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00.PHUONG CAM LINH_MAY BAN\0.PHUONG CAM LINH\2.GIAO DUC THUONG XUYEN\DSHS_2025\"/>
    </mc:Choice>
  </mc:AlternateContent>
  <bookViews>
    <workbookView showSheetTabs="0" xWindow="9495" yWindow="345" windowWidth="10635" windowHeight="7560" tabRatio="0" activeTab="5"/>
  </bookViews>
  <sheets>
    <sheet name="MN" sheetId="2" r:id="rId1"/>
    <sheet name="TuoiMN" sheetId="4" r:id="rId2"/>
    <sheet name="TKe HSMN" sheetId="5" r:id="rId3"/>
    <sheet name="DS-CBGVNV-MN" sheetId="6" r:id="rId4"/>
    <sheet name="phu" sheetId="3" state="hidden" r:id="rId5"/>
    <sheet name="Chinh" sheetId="1" r:id="rId6"/>
    <sheet name="TKe-CBGVNV-MN" sheetId="7" r:id="rId7"/>
    <sheet name="TKe-CSVC-MN" sheetId="8" r:id="rId8"/>
    <sheet name="TH" sheetId="10" r:id="rId9"/>
    <sheet name="TuoiTH" sheetId="11" r:id="rId10"/>
    <sheet name="TKe HSTH" sheetId="12" r:id="rId11"/>
    <sheet name="DS-CBGVNV-TH" sheetId="13" r:id="rId12"/>
    <sheet name="TKe-CBGVNV-TH" sheetId="14" r:id="rId13"/>
    <sheet name="TKe-CSVC" sheetId="15" r:id="rId14"/>
    <sheet name="BH" sheetId="16" r:id="rId15"/>
    <sheet name="THCS" sheetId="17" r:id="rId16"/>
    <sheet name="TuoiTHCS" sheetId="18" r:id="rId17"/>
    <sheet name="TKe HSTHCS" sheetId="19" r:id="rId18"/>
    <sheet name="DS-CBGVNV-THCS" sheetId="24" r:id="rId19"/>
    <sheet name="TKe-CBGVNV-THCS" sheetId="21" r:id="rId20"/>
    <sheet name="TKe-CSVC-THCS" sheetId="22" r:id="rId21"/>
    <sheet name="BH2" sheetId="23" r:id="rId22"/>
  </sheets>
  <externalReferences>
    <externalReference r:id="rId23"/>
    <externalReference r:id="rId24"/>
    <externalReference r:id="rId25"/>
    <externalReference r:id="rId26"/>
  </externalReferences>
  <definedNames>
    <definedName name="_xlnm._FilterDatabase" localSheetId="14" hidden="1">BH!$I$5:$K$6</definedName>
    <definedName name="_xlnm._FilterDatabase" localSheetId="21" hidden="1">'BH2'!$I$5:$K$6</definedName>
    <definedName name="_xlnm._FilterDatabase" localSheetId="11" hidden="1">'DS-CBGVNV-TH'!$A$7:$T$7</definedName>
    <definedName name="_xlnm._FilterDatabase" localSheetId="18" hidden="1">'DS-CBGVNV-THCS'!$A$7:$T$107</definedName>
    <definedName name="_xlnm._FilterDatabase" localSheetId="0" hidden="1">MN!$L$5:$N$5</definedName>
    <definedName name="_xlnm._FilterDatabase" localSheetId="8" hidden="1">TH!$M$5:$O$5</definedName>
    <definedName name="_xlnm._FilterDatabase" localSheetId="15" hidden="1">THCS!$M$5:$P$5</definedName>
    <definedName name="CMonTHCS">phu!$D$1:$D$25</definedName>
    <definedName name="diaphuong">phu!$B$1:$B$18</definedName>
    <definedName name="DSBacTN">[1]DuLieu!$J$2:$J$5</definedName>
    <definedName name="DSBacTNNghe">[1]DuLieu!$K$14:$K$19</definedName>
    <definedName name="DSDanToc">[1]DuLieu!$C$2:$C$59</definedName>
    <definedName name="DSDienCuTru">[1]DuLieu!$D$2:$D$3</definedName>
    <definedName name="DSDienUuTien">[1]DuLieu!$F$2:$F$18</definedName>
    <definedName name="DSHCDB">[1]DuLieu!$I$2:$I$4</definedName>
    <definedName name="DSKhoiBoHoc">[1]DuLieu!$G$2:$G$19</definedName>
    <definedName name="DSKhoiHoc">[1]DuLieu!$G$2:$G$36</definedName>
    <definedName name="DSNamDieuTra">[1]DuLieu!$U$2:$U$7</definedName>
    <definedName name="DSTonGiao">[1]DuLieu!$B$2:$B$15</definedName>
    <definedName name="DSTTCT">[1]DuLieu!$E$2:$E$3</definedName>
    <definedName name="DSX">[1]DuLieu!$H$2</definedName>
    <definedName name="HTL">[1]DuLieu!$N$2:$N$3</definedName>
    <definedName name="monc2" localSheetId="14">[2]phu!$E$1:$E$25</definedName>
    <definedName name="monc2" localSheetId="21">[2]phu!$E$1:$E$25</definedName>
    <definedName name="monc2" localSheetId="11">[2]phu!$E$1:$E$25</definedName>
    <definedName name="monc2" localSheetId="18">[2]phu!$E$1:$E$25</definedName>
    <definedName name="monc2" localSheetId="8">[2]phu!$E$1:$E$25</definedName>
    <definedName name="monc2" localSheetId="15">[2]phu!$E$1:$E$25</definedName>
    <definedName name="monc2" localSheetId="10">[2]phu!$E$1:$E$25</definedName>
    <definedName name="monc2" localSheetId="17">[3]phu!$E$1:$E$25</definedName>
    <definedName name="monc2" localSheetId="12">[2]phu!$E$1:$E$25</definedName>
    <definedName name="monc2" localSheetId="19">[3]phu!$E$1:$E$25</definedName>
    <definedName name="monc2" localSheetId="13">[2]phu!$E$1:$E$25</definedName>
    <definedName name="monc2" localSheetId="20">[3]phu!$E$1:$E$25</definedName>
    <definedName name="monc2" localSheetId="9">[2]phu!$E$1:$E$25</definedName>
    <definedName name="monc2" localSheetId="16">[3]phu!$E$1:$E$25</definedName>
    <definedName name="monc2">[4]phu!$E$1:$E$25</definedName>
    <definedName name="MondayTHCS" localSheetId="14">[2]phu!$E$1:$E$24</definedName>
    <definedName name="MondayTHCS" localSheetId="21">[2]phu!$E$1:$E$24</definedName>
    <definedName name="MondayTHCS" localSheetId="11">[2]phu!$E$1:$E$24</definedName>
    <definedName name="MondayTHCS" localSheetId="18">[2]phu!$E$1:$E$24</definedName>
    <definedName name="MondayTHCS" localSheetId="8">[2]phu!$E$1:$E$24</definedName>
    <definedName name="MondayTHCS" localSheetId="15">[2]phu!$E$1:$E$24</definedName>
    <definedName name="MondayTHCS" localSheetId="10">[2]phu!$E$1:$E$24</definedName>
    <definedName name="MondayTHCS" localSheetId="17">[3]phu!$E$1:$E$24</definedName>
    <definedName name="MondayTHCS" localSheetId="12">[2]phu!$E$1:$E$24</definedName>
    <definedName name="MondayTHCS" localSheetId="19">[3]phu!$E$1:$E$24</definedName>
    <definedName name="MondayTHCS" localSheetId="13">[2]phu!$E$1:$E$24</definedName>
    <definedName name="MondayTHCS" localSheetId="20">[3]phu!$E$1:$E$24</definedName>
    <definedName name="MondayTHCS" localSheetId="9">[2]phu!$E$1:$E$24</definedName>
    <definedName name="MondayTHCS" localSheetId="16">[3]phu!$E$1:$E$24</definedName>
    <definedName name="MondayTHCS">[4]phu!$E$1:$E$24</definedName>
    <definedName name="_xlnm.Print_Titles" localSheetId="3">'DS-CBGVNV-MN'!$A$5:$IV$6</definedName>
    <definedName name="_xlnm.Print_Titles" localSheetId="11">'DS-CBGVNV-TH'!$A$5:$IV$6</definedName>
    <definedName name="_xlnm.Print_Titles" localSheetId="18">'DS-CBGVNV-THCS'!$A$5:$IV$6</definedName>
    <definedName name="thon" localSheetId="14">[2]phu!$K$3:$K$101</definedName>
    <definedName name="thon" localSheetId="21">[2]phu!$K$3:$K$101</definedName>
    <definedName name="thon" localSheetId="11">[2]phu!$K$3:$K$101</definedName>
    <definedName name="thon" localSheetId="18">[2]phu!$K$3:$K$101</definedName>
    <definedName name="thon" localSheetId="8">[2]phu!$K$3:$K$101</definedName>
    <definedName name="thon" localSheetId="15">[2]phu!$K$3:$K$101</definedName>
    <definedName name="thon" localSheetId="10">[2]phu!$K$3:$K$101</definedName>
    <definedName name="thon" localSheetId="17">[3]phu!$K$3:$K$101</definedName>
    <definedName name="thon" localSheetId="12">[2]phu!$K$3:$K$101</definedName>
    <definedName name="thon" localSheetId="19">[3]phu!$K$3:$K$101</definedName>
    <definedName name="thon" localSheetId="13">[2]phu!$K$3:$K$101</definedName>
    <definedName name="thon" localSheetId="20">[3]phu!$K$3:$K$101</definedName>
    <definedName name="thon" localSheetId="9">[2]phu!$K$3:$K$101</definedName>
    <definedName name="thon" localSheetId="16">[3]phu!$K$3:$K$101</definedName>
    <definedName name="thon">[4]phu!$K$3:$K$101</definedName>
    <definedName name="TMM">[1]DuLieu!$M$2:$M$3</definedName>
    <definedName name="Truong">phu!$E$1:$E$54</definedName>
    <definedName name="Truong0" localSheetId="14">[2]phu!$F$1:$F$54</definedName>
    <definedName name="Truong0" localSheetId="21">[2]phu!$F$1:$F$54</definedName>
    <definedName name="Truong0" localSheetId="11">[2]phu!$F$1:$F$54</definedName>
    <definedName name="Truong0" localSheetId="18">[2]phu!$F$1:$F$54</definedName>
    <definedName name="Truong0" localSheetId="8">[2]phu!$F$1:$F$54</definedName>
    <definedName name="Truong0" localSheetId="15">[2]phu!$F$1:$F$54</definedName>
    <definedName name="Truong0" localSheetId="10">[2]phu!$F$1:$F$54</definedName>
    <definedName name="Truong0" localSheetId="17">[3]phu!$F$1:$F$54</definedName>
    <definedName name="Truong0" localSheetId="12">[2]phu!$F$1:$F$54</definedName>
    <definedName name="Truong0" localSheetId="19">[3]phu!$F$1:$F$54</definedName>
    <definedName name="Truong0" localSheetId="13">[2]phu!$F$1:$F$54</definedName>
    <definedName name="Truong0" localSheetId="20">[3]phu!$F$1:$F$54</definedName>
    <definedName name="Truong0" localSheetId="9">[2]phu!$F$1:$F$54</definedName>
    <definedName name="Truong0" localSheetId="16">[3]phu!$F$1:$F$54</definedName>
    <definedName name="Truong0">[4]phu!$F$1:$F$54</definedName>
    <definedName name="xa.phuong" localSheetId="14">[2]phu!$C$1:$C$18</definedName>
    <definedName name="xa.phuong" localSheetId="21">[2]phu!$C$1:$C$18</definedName>
    <definedName name="xa.phuong" localSheetId="11">[2]phu!$C$1:$C$18</definedName>
    <definedName name="xa.phuong" localSheetId="18">[2]phu!$C$1:$C$18</definedName>
    <definedName name="xa.phuong" localSheetId="8">[2]phu!$C$1:$C$18</definedName>
    <definedName name="xa.phuong" localSheetId="15">[2]phu!$C$1:$C$18</definedName>
    <definedName name="xa.phuong" localSheetId="10">[2]phu!$C$1:$C$18</definedName>
    <definedName name="xa.phuong" localSheetId="17">[3]phu!$C$1:$C$18</definedName>
    <definedName name="xa.phuong" localSheetId="12">[2]phu!$C$1:$C$18</definedName>
    <definedName name="xa.phuong" localSheetId="19">[3]phu!$C$1:$C$18</definedName>
    <definedName name="xa.phuong" localSheetId="13">[2]phu!$C$1:$C$18</definedName>
    <definedName name="xa.phuong" localSheetId="20">[3]phu!$C$1:$C$18</definedName>
    <definedName name="xa.phuong" localSheetId="9">[2]phu!$C$1:$C$18</definedName>
    <definedName name="xa.phuong" localSheetId="16">[3]phu!$C$1:$C$18</definedName>
    <definedName name="xa.phuong">[4]phu!$C$1:$C$18</definedName>
  </definedNames>
  <calcPr calcId="162913"/>
</workbook>
</file>

<file path=xl/calcChain.xml><?xml version="1.0" encoding="utf-8"?>
<calcChain xmlns="http://schemas.openxmlformats.org/spreadsheetml/2006/main">
  <c r="O13" i="1" l="1"/>
  <c r="X5" i="19"/>
  <c r="X5" i="12"/>
  <c r="W5" i="5"/>
  <c r="R25" i="11"/>
  <c r="R23" i="11"/>
  <c r="R24" i="11"/>
  <c r="R22" i="11"/>
  <c r="N25" i="11"/>
  <c r="O25" i="11"/>
  <c r="O23" i="11"/>
  <c r="O22" i="11"/>
  <c r="O24" i="11"/>
  <c r="M15" i="11"/>
  <c r="M14" i="11"/>
  <c r="Q25" i="18"/>
  <c r="Q24" i="18"/>
  <c r="Q23" i="18"/>
  <c r="Q22" i="18"/>
  <c r="N22" i="18"/>
  <c r="A1" i="1"/>
  <c r="O20" i="4"/>
  <c r="L24" i="4"/>
  <c r="P22" i="4" s="1"/>
  <c r="M21" i="4"/>
  <c r="M22" i="4"/>
  <c r="M24" i="4" l="1"/>
  <c r="P21" i="4"/>
  <c r="I9" i="1"/>
  <c r="D3" i="14" s="1"/>
  <c r="N9" i="10"/>
  <c r="O9" i="10" s="1"/>
  <c r="N6" i="10" l="1"/>
  <c r="O6" i="10" s="1"/>
  <c r="N1605" i="17" l="1"/>
  <c r="O1605" i="17" s="1"/>
  <c r="N1604" i="17"/>
  <c r="O1604" i="17" s="1"/>
  <c r="N1603" i="17"/>
  <c r="O1603" i="17" s="1"/>
  <c r="N1602" i="17"/>
  <c r="O1602" i="17" s="1"/>
  <c r="N1601" i="17"/>
  <c r="O1601" i="17" s="1"/>
  <c r="N1600" i="17"/>
  <c r="O1600" i="17" s="1"/>
  <c r="N1599" i="17"/>
  <c r="O1599" i="17" s="1"/>
  <c r="N1598" i="17"/>
  <c r="O1598" i="17" s="1"/>
  <c r="N1597" i="17"/>
  <c r="O1597" i="17" s="1"/>
  <c r="N1596" i="17"/>
  <c r="O1596" i="17" s="1"/>
  <c r="N1595" i="17"/>
  <c r="O1595" i="17" s="1"/>
  <c r="N1594" i="17"/>
  <c r="O1594" i="17" s="1"/>
  <c r="N1593" i="17"/>
  <c r="O1593" i="17" s="1"/>
  <c r="N1592" i="17"/>
  <c r="O1592" i="17" s="1"/>
  <c r="N1591" i="17"/>
  <c r="O1591" i="17" s="1"/>
  <c r="N1590" i="17"/>
  <c r="O1590" i="17" s="1"/>
  <c r="N1589" i="17"/>
  <c r="O1589" i="17" s="1"/>
  <c r="N1588" i="17"/>
  <c r="O1588" i="17" s="1"/>
  <c r="N1587" i="17"/>
  <c r="O1587" i="17" s="1"/>
  <c r="N1586" i="17"/>
  <c r="O1586" i="17" s="1"/>
  <c r="N1585" i="17"/>
  <c r="O1585" i="17" s="1"/>
  <c r="N1584" i="17"/>
  <c r="O1584" i="17" s="1"/>
  <c r="N1583" i="17"/>
  <c r="O1583" i="17" s="1"/>
  <c r="N1582" i="17"/>
  <c r="O1582" i="17" s="1"/>
  <c r="N1581" i="17"/>
  <c r="O1581" i="17" s="1"/>
  <c r="N1580" i="17"/>
  <c r="O1580" i="17" s="1"/>
  <c r="N1579" i="17"/>
  <c r="O1579" i="17" s="1"/>
  <c r="N1578" i="17"/>
  <c r="O1578" i="17" s="1"/>
  <c r="N1577" i="17"/>
  <c r="O1577" i="17" s="1"/>
  <c r="N1576" i="17"/>
  <c r="O1576" i="17" s="1"/>
  <c r="N1575" i="17"/>
  <c r="O1575" i="17" s="1"/>
  <c r="N1574" i="17"/>
  <c r="O1574" i="17" s="1"/>
  <c r="N1573" i="17"/>
  <c r="O1573" i="17" s="1"/>
  <c r="N1572" i="17"/>
  <c r="O1572" i="17" s="1"/>
  <c r="N1571" i="17"/>
  <c r="O1571" i="17" s="1"/>
  <c r="N1570" i="17"/>
  <c r="O1570" i="17" s="1"/>
  <c r="N1569" i="17"/>
  <c r="O1569" i="17" s="1"/>
  <c r="N1568" i="17"/>
  <c r="O1568" i="17" s="1"/>
  <c r="N1567" i="17"/>
  <c r="O1567" i="17" s="1"/>
  <c r="N1566" i="17"/>
  <c r="O1566" i="17" s="1"/>
  <c r="N1565" i="17"/>
  <c r="O1565" i="17" s="1"/>
  <c r="N1564" i="17"/>
  <c r="O1564" i="17" s="1"/>
  <c r="N1563" i="17"/>
  <c r="O1563" i="17" s="1"/>
  <c r="N1562" i="17"/>
  <c r="O1562" i="17" s="1"/>
  <c r="N1561" i="17"/>
  <c r="O1561" i="17" s="1"/>
  <c r="N1560" i="17"/>
  <c r="O1560" i="17" s="1"/>
  <c r="N1559" i="17"/>
  <c r="O1559" i="17" s="1"/>
  <c r="N1558" i="17"/>
  <c r="O1558" i="17" s="1"/>
  <c r="N1557" i="17"/>
  <c r="O1557" i="17" s="1"/>
  <c r="N1556" i="17"/>
  <c r="O1556" i="17" s="1"/>
  <c r="N1555" i="17"/>
  <c r="O1555" i="17" s="1"/>
  <c r="N1554" i="17"/>
  <c r="O1554" i="17" s="1"/>
  <c r="N1553" i="17"/>
  <c r="O1553" i="17" s="1"/>
  <c r="N1552" i="17"/>
  <c r="O1552" i="17" s="1"/>
  <c r="N1551" i="17"/>
  <c r="O1551" i="17" s="1"/>
  <c r="N1550" i="17"/>
  <c r="O1550" i="17" s="1"/>
  <c r="N1549" i="17"/>
  <c r="O1549" i="17" s="1"/>
  <c r="N1548" i="17"/>
  <c r="O1548" i="17" s="1"/>
  <c r="N1547" i="17"/>
  <c r="O1547" i="17" s="1"/>
  <c r="N1546" i="17"/>
  <c r="O1546" i="17" s="1"/>
  <c r="N1545" i="17"/>
  <c r="O1545" i="17" s="1"/>
  <c r="N1544" i="17"/>
  <c r="O1544" i="17" s="1"/>
  <c r="N1543" i="17"/>
  <c r="O1543" i="17" s="1"/>
  <c r="N1542" i="17"/>
  <c r="O1542" i="17" s="1"/>
  <c r="N1541" i="17"/>
  <c r="O1541" i="17" s="1"/>
  <c r="N1540" i="17"/>
  <c r="O1540" i="17" s="1"/>
  <c r="N1539" i="17"/>
  <c r="O1539" i="17" s="1"/>
  <c r="N1538" i="17"/>
  <c r="O1538" i="17" s="1"/>
  <c r="N1537" i="17"/>
  <c r="O1537" i="17" s="1"/>
  <c r="N1536" i="17"/>
  <c r="O1536" i="17" s="1"/>
  <c r="N1535" i="17"/>
  <c r="O1535" i="17" s="1"/>
  <c r="N1534" i="17"/>
  <c r="O1534" i="17" s="1"/>
  <c r="N1533" i="17"/>
  <c r="O1533" i="17" s="1"/>
  <c r="N1532" i="17"/>
  <c r="O1532" i="17" s="1"/>
  <c r="N1531" i="17"/>
  <c r="O1531" i="17" s="1"/>
  <c r="N1530" i="17"/>
  <c r="O1530" i="17" s="1"/>
  <c r="N1529" i="17"/>
  <c r="O1529" i="17" s="1"/>
  <c r="N1528" i="17"/>
  <c r="O1528" i="17" s="1"/>
  <c r="N1527" i="17"/>
  <c r="O1527" i="17" s="1"/>
  <c r="N1526" i="17"/>
  <c r="O1526" i="17" s="1"/>
  <c r="N1525" i="17"/>
  <c r="O1525" i="17" s="1"/>
  <c r="N1524" i="17"/>
  <c r="O1524" i="17" s="1"/>
  <c r="N1523" i="17"/>
  <c r="O1523" i="17" s="1"/>
  <c r="N1522" i="17"/>
  <c r="O1522" i="17" s="1"/>
  <c r="N1521" i="17"/>
  <c r="O1521" i="17" s="1"/>
  <c r="N1520" i="17"/>
  <c r="O1520" i="17" s="1"/>
  <c r="N1519" i="17"/>
  <c r="O1519" i="17" s="1"/>
  <c r="N1518" i="17"/>
  <c r="O1518" i="17" s="1"/>
  <c r="N1517" i="17"/>
  <c r="O1517" i="17" s="1"/>
  <c r="N1516" i="17"/>
  <c r="O1516" i="17" s="1"/>
  <c r="N1515" i="17"/>
  <c r="O1515" i="17" s="1"/>
  <c r="N1514" i="17"/>
  <c r="O1514" i="17" s="1"/>
  <c r="N1513" i="17"/>
  <c r="O1513" i="17" s="1"/>
  <c r="N1512" i="17"/>
  <c r="O1512" i="17" s="1"/>
  <c r="N1511" i="17"/>
  <c r="O1511" i="17" s="1"/>
  <c r="N1510" i="17"/>
  <c r="O1510" i="17" s="1"/>
  <c r="N1509" i="17"/>
  <c r="O1509" i="17" s="1"/>
  <c r="N1508" i="17"/>
  <c r="O1508" i="17" s="1"/>
  <c r="N1507" i="17"/>
  <c r="O1507" i="17" s="1"/>
  <c r="N1506" i="17"/>
  <c r="O1506" i="17" s="1"/>
  <c r="N1505" i="17"/>
  <c r="O1505" i="17" s="1"/>
  <c r="N1504" i="17"/>
  <c r="O1504" i="17" s="1"/>
  <c r="N1503" i="17"/>
  <c r="O1503" i="17" s="1"/>
  <c r="N1502" i="17"/>
  <c r="O1502" i="17" s="1"/>
  <c r="N1501" i="17"/>
  <c r="O1501" i="17" s="1"/>
  <c r="N1500" i="17"/>
  <c r="O1500" i="17" s="1"/>
  <c r="N1499" i="17"/>
  <c r="O1499" i="17" s="1"/>
  <c r="N1498" i="17"/>
  <c r="O1498" i="17" s="1"/>
  <c r="N1497" i="17"/>
  <c r="O1497" i="17" s="1"/>
  <c r="N1496" i="17"/>
  <c r="O1496" i="17" s="1"/>
  <c r="N1495" i="17"/>
  <c r="O1495" i="17" s="1"/>
  <c r="N1494" i="17"/>
  <c r="O1494" i="17" s="1"/>
  <c r="N1493" i="17"/>
  <c r="O1493" i="17" s="1"/>
  <c r="N1492" i="17"/>
  <c r="O1492" i="17" s="1"/>
  <c r="N1491" i="17"/>
  <c r="O1491" i="17" s="1"/>
  <c r="N1490" i="17"/>
  <c r="O1490" i="17" s="1"/>
  <c r="N1489" i="17"/>
  <c r="O1489" i="17" s="1"/>
  <c r="N1488" i="17"/>
  <c r="O1488" i="17" s="1"/>
  <c r="N1487" i="17"/>
  <c r="O1487" i="17" s="1"/>
  <c r="N1486" i="17"/>
  <c r="O1486" i="17" s="1"/>
  <c r="N1485" i="17"/>
  <c r="O1485" i="17" s="1"/>
  <c r="N1484" i="17"/>
  <c r="O1484" i="17" s="1"/>
  <c r="N1483" i="17"/>
  <c r="O1483" i="17" s="1"/>
  <c r="N1482" i="17"/>
  <c r="O1482" i="17" s="1"/>
  <c r="N1481" i="17"/>
  <c r="O1481" i="17" s="1"/>
  <c r="N1480" i="17"/>
  <c r="O1480" i="17" s="1"/>
  <c r="N1479" i="17"/>
  <c r="O1479" i="17" s="1"/>
  <c r="N1478" i="17"/>
  <c r="O1478" i="17" s="1"/>
  <c r="N1477" i="17"/>
  <c r="O1477" i="17" s="1"/>
  <c r="N1476" i="17"/>
  <c r="O1476" i="17" s="1"/>
  <c r="N1475" i="17"/>
  <c r="O1475" i="17" s="1"/>
  <c r="N1474" i="17"/>
  <c r="O1474" i="17" s="1"/>
  <c r="N1473" i="17"/>
  <c r="O1473" i="17" s="1"/>
  <c r="N1472" i="17"/>
  <c r="O1472" i="17" s="1"/>
  <c r="N1471" i="17"/>
  <c r="O1471" i="17" s="1"/>
  <c r="N1470" i="17"/>
  <c r="O1470" i="17" s="1"/>
  <c r="N1469" i="17"/>
  <c r="O1469" i="17" s="1"/>
  <c r="N1468" i="17"/>
  <c r="O1468" i="17" s="1"/>
  <c r="N1467" i="17"/>
  <c r="O1467" i="17" s="1"/>
  <c r="N1466" i="17"/>
  <c r="O1466" i="17" s="1"/>
  <c r="N1465" i="17"/>
  <c r="O1465" i="17" s="1"/>
  <c r="N1464" i="17"/>
  <c r="O1464" i="17" s="1"/>
  <c r="N1463" i="17"/>
  <c r="O1463" i="17" s="1"/>
  <c r="N1462" i="17"/>
  <c r="O1462" i="17" s="1"/>
  <c r="N1461" i="17"/>
  <c r="O1461" i="17" s="1"/>
  <c r="N1460" i="17"/>
  <c r="O1460" i="17" s="1"/>
  <c r="N1459" i="17"/>
  <c r="O1459" i="17" s="1"/>
  <c r="N1458" i="17"/>
  <c r="O1458" i="17" s="1"/>
  <c r="N1457" i="17"/>
  <c r="O1457" i="17" s="1"/>
  <c r="N1456" i="17"/>
  <c r="O1456" i="17" s="1"/>
  <c r="N1455" i="17"/>
  <c r="O1455" i="17" s="1"/>
  <c r="N1454" i="17"/>
  <c r="O1454" i="17" s="1"/>
  <c r="N1453" i="17"/>
  <c r="O1453" i="17" s="1"/>
  <c r="N1452" i="17"/>
  <c r="O1452" i="17" s="1"/>
  <c r="N1451" i="17"/>
  <c r="O1451" i="17" s="1"/>
  <c r="N1450" i="17"/>
  <c r="O1450" i="17" s="1"/>
  <c r="N1449" i="17"/>
  <c r="O1449" i="17" s="1"/>
  <c r="N1448" i="17"/>
  <c r="O1448" i="17" s="1"/>
  <c r="N1447" i="17"/>
  <c r="O1447" i="17" s="1"/>
  <c r="N1446" i="17"/>
  <c r="O1446" i="17" s="1"/>
  <c r="N1445" i="17"/>
  <c r="O1445" i="17" s="1"/>
  <c r="N1444" i="17"/>
  <c r="O1444" i="17" s="1"/>
  <c r="N1443" i="17"/>
  <c r="O1443" i="17" s="1"/>
  <c r="N1442" i="17"/>
  <c r="O1442" i="17" s="1"/>
  <c r="N1441" i="17"/>
  <c r="O1441" i="17" s="1"/>
  <c r="N1440" i="17"/>
  <c r="O1440" i="17" s="1"/>
  <c r="N1439" i="17"/>
  <c r="O1439" i="17" s="1"/>
  <c r="N1438" i="17"/>
  <c r="O1438" i="17" s="1"/>
  <c r="N1437" i="17"/>
  <c r="O1437" i="17" s="1"/>
  <c r="N1436" i="17"/>
  <c r="O1436" i="17" s="1"/>
  <c r="N1435" i="17"/>
  <c r="O1435" i="17" s="1"/>
  <c r="N1434" i="17"/>
  <c r="O1434" i="17" s="1"/>
  <c r="N1433" i="17"/>
  <c r="O1433" i="17" s="1"/>
  <c r="N1432" i="17"/>
  <c r="O1432" i="17" s="1"/>
  <c r="N1431" i="17"/>
  <c r="O1431" i="17" s="1"/>
  <c r="N1430" i="17"/>
  <c r="O1430" i="17" s="1"/>
  <c r="N1429" i="17"/>
  <c r="O1429" i="17" s="1"/>
  <c r="N1428" i="17"/>
  <c r="O1428" i="17" s="1"/>
  <c r="N1427" i="17"/>
  <c r="O1427" i="17" s="1"/>
  <c r="N1426" i="17"/>
  <c r="O1426" i="17" s="1"/>
  <c r="N1425" i="17"/>
  <c r="O1425" i="17" s="1"/>
  <c r="N1424" i="17"/>
  <c r="O1424" i="17" s="1"/>
  <c r="N1423" i="17"/>
  <c r="O1423" i="17" s="1"/>
  <c r="N1422" i="17"/>
  <c r="O1422" i="17" s="1"/>
  <c r="N1421" i="17"/>
  <c r="O1421" i="17" s="1"/>
  <c r="N1420" i="17"/>
  <c r="O1420" i="17" s="1"/>
  <c r="N1419" i="17"/>
  <c r="O1419" i="17" s="1"/>
  <c r="N1418" i="17"/>
  <c r="O1418" i="17" s="1"/>
  <c r="N1417" i="17"/>
  <c r="O1417" i="17" s="1"/>
  <c r="N1416" i="17"/>
  <c r="O1416" i="17" s="1"/>
  <c r="N1415" i="17"/>
  <c r="O1415" i="17" s="1"/>
  <c r="N1414" i="17"/>
  <c r="O1414" i="17" s="1"/>
  <c r="N1413" i="17"/>
  <c r="O1413" i="17" s="1"/>
  <c r="N1412" i="17"/>
  <c r="O1412" i="17" s="1"/>
  <c r="N1411" i="17"/>
  <c r="O1411" i="17" s="1"/>
  <c r="N1410" i="17"/>
  <c r="O1410" i="17" s="1"/>
  <c r="N1409" i="17"/>
  <c r="O1409" i="17" s="1"/>
  <c r="N1408" i="17"/>
  <c r="O1408" i="17" s="1"/>
  <c r="N1407" i="17"/>
  <c r="O1407" i="17" s="1"/>
  <c r="N1406" i="17"/>
  <c r="O1406" i="17" s="1"/>
  <c r="N1405" i="17"/>
  <c r="O1405" i="17" s="1"/>
  <c r="N1404" i="17"/>
  <c r="O1404" i="17" s="1"/>
  <c r="N1403" i="17"/>
  <c r="O1403" i="17" s="1"/>
  <c r="N1402" i="17"/>
  <c r="O1402" i="17" s="1"/>
  <c r="N1401" i="17"/>
  <c r="O1401" i="17" s="1"/>
  <c r="N1400" i="17"/>
  <c r="O1400" i="17" s="1"/>
  <c r="N1399" i="17"/>
  <c r="O1399" i="17" s="1"/>
  <c r="N1398" i="17"/>
  <c r="O1398" i="17" s="1"/>
  <c r="N1397" i="17"/>
  <c r="O1397" i="17" s="1"/>
  <c r="N1396" i="17"/>
  <c r="O1396" i="17" s="1"/>
  <c r="N1395" i="17"/>
  <c r="O1395" i="17" s="1"/>
  <c r="N1394" i="17"/>
  <c r="O1394" i="17" s="1"/>
  <c r="N1393" i="17"/>
  <c r="O1393" i="17" s="1"/>
  <c r="N1392" i="17"/>
  <c r="O1392" i="17" s="1"/>
  <c r="N1391" i="17"/>
  <c r="O1391" i="17" s="1"/>
  <c r="N1390" i="17"/>
  <c r="O1390" i="17" s="1"/>
  <c r="N1389" i="17"/>
  <c r="O1389" i="17" s="1"/>
  <c r="N1388" i="17"/>
  <c r="O1388" i="17" s="1"/>
  <c r="N1387" i="17"/>
  <c r="O1387" i="17" s="1"/>
  <c r="N1386" i="17"/>
  <c r="O1386" i="17" s="1"/>
  <c r="N1385" i="17"/>
  <c r="O1385" i="17" s="1"/>
  <c r="N1384" i="17"/>
  <c r="O1384" i="17" s="1"/>
  <c r="N1383" i="17"/>
  <c r="O1383" i="17" s="1"/>
  <c r="N1382" i="17"/>
  <c r="O1382" i="17" s="1"/>
  <c r="N1381" i="17"/>
  <c r="O1381" i="17" s="1"/>
  <c r="N1380" i="17"/>
  <c r="O1380" i="17" s="1"/>
  <c r="N1379" i="17"/>
  <c r="O1379" i="17" s="1"/>
  <c r="N1378" i="17"/>
  <c r="O1378" i="17" s="1"/>
  <c r="N1377" i="17"/>
  <c r="O1377" i="17" s="1"/>
  <c r="N1376" i="17"/>
  <c r="O1376" i="17" s="1"/>
  <c r="N1375" i="17"/>
  <c r="O1375" i="17" s="1"/>
  <c r="N1374" i="17"/>
  <c r="O1374" i="17" s="1"/>
  <c r="N1373" i="17"/>
  <c r="O1373" i="17" s="1"/>
  <c r="N1372" i="17"/>
  <c r="O1372" i="17" s="1"/>
  <c r="N1371" i="17"/>
  <c r="O1371" i="17" s="1"/>
  <c r="N1370" i="17"/>
  <c r="O1370" i="17" s="1"/>
  <c r="N1369" i="17"/>
  <c r="O1369" i="17" s="1"/>
  <c r="N1368" i="17"/>
  <c r="O1368" i="17" s="1"/>
  <c r="N1367" i="17"/>
  <c r="O1367" i="17" s="1"/>
  <c r="N1366" i="17"/>
  <c r="O1366" i="17" s="1"/>
  <c r="N1365" i="17"/>
  <c r="O1365" i="17" s="1"/>
  <c r="N1364" i="17"/>
  <c r="O1364" i="17" s="1"/>
  <c r="N1363" i="17"/>
  <c r="O1363" i="17" s="1"/>
  <c r="N1362" i="17"/>
  <c r="O1362" i="17" s="1"/>
  <c r="N1361" i="17"/>
  <c r="O1361" i="17" s="1"/>
  <c r="N1360" i="17"/>
  <c r="O1360" i="17" s="1"/>
  <c r="N1359" i="17"/>
  <c r="O1359" i="17" s="1"/>
  <c r="N1358" i="17"/>
  <c r="O1358" i="17" s="1"/>
  <c r="N1357" i="17"/>
  <c r="O1357" i="17" s="1"/>
  <c r="N1356" i="17"/>
  <c r="O1356" i="17" s="1"/>
  <c r="N1355" i="17"/>
  <c r="O1355" i="17" s="1"/>
  <c r="N1354" i="17"/>
  <c r="O1354" i="17" s="1"/>
  <c r="N1353" i="17"/>
  <c r="O1353" i="17" s="1"/>
  <c r="N1352" i="17"/>
  <c r="O1352" i="17" s="1"/>
  <c r="N1351" i="17"/>
  <c r="O1351" i="17" s="1"/>
  <c r="N1350" i="17"/>
  <c r="O1350" i="17" s="1"/>
  <c r="N1349" i="17"/>
  <c r="O1349" i="17" s="1"/>
  <c r="N1348" i="17"/>
  <c r="O1348" i="17" s="1"/>
  <c r="N1347" i="17"/>
  <c r="O1347" i="17" s="1"/>
  <c r="N1346" i="17"/>
  <c r="O1346" i="17" s="1"/>
  <c r="N1345" i="17"/>
  <c r="O1345" i="17" s="1"/>
  <c r="N1344" i="17"/>
  <c r="O1344" i="17" s="1"/>
  <c r="N1343" i="17"/>
  <c r="O1343" i="17" s="1"/>
  <c r="N1342" i="17"/>
  <c r="O1342" i="17" s="1"/>
  <c r="N1341" i="17"/>
  <c r="O1341" i="17" s="1"/>
  <c r="N1340" i="17"/>
  <c r="O1340" i="17" s="1"/>
  <c r="N1339" i="17"/>
  <c r="O1339" i="17" s="1"/>
  <c r="N1338" i="17"/>
  <c r="O1338" i="17" s="1"/>
  <c r="N1337" i="17"/>
  <c r="O1337" i="17" s="1"/>
  <c r="N1336" i="17"/>
  <c r="O1336" i="17" s="1"/>
  <c r="N1335" i="17"/>
  <c r="O1335" i="17" s="1"/>
  <c r="N1334" i="17"/>
  <c r="O1334" i="17" s="1"/>
  <c r="N1333" i="17"/>
  <c r="O1333" i="17" s="1"/>
  <c r="N1332" i="17"/>
  <c r="O1332" i="17" s="1"/>
  <c r="N1331" i="17"/>
  <c r="O1331" i="17" s="1"/>
  <c r="N1330" i="17"/>
  <c r="O1330" i="17" s="1"/>
  <c r="N1329" i="17"/>
  <c r="O1329" i="17" s="1"/>
  <c r="N1328" i="17"/>
  <c r="O1328" i="17" s="1"/>
  <c r="N1327" i="17"/>
  <c r="O1327" i="17" s="1"/>
  <c r="N1326" i="17"/>
  <c r="O1326" i="17" s="1"/>
  <c r="N1325" i="17"/>
  <c r="O1325" i="17" s="1"/>
  <c r="N1324" i="17"/>
  <c r="O1324" i="17" s="1"/>
  <c r="N1323" i="17"/>
  <c r="O1323" i="17" s="1"/>
  <c r="N1322" i="17"/>
  <c r="O1322" i="17" s="1"/>
  <c r="N1321" i="17"/>
  <c r="O1321" i="17" s="1"/>
  <c r="N1320" i="17"/>
  <c r="O1320" i="17" s="1"/>
  <c r="N1319" i="17"/>
  <c r="O1319" i="17" s="1"/>
  <c r="N1318" i="17"/>
  <c r="O1318" i="17" s="1"/>
  <c r="N1317" i="17"/>
  <c r="O1317" i="17" s="1"/>
  <c r="N1316" i="17"/>
  <c r="O1316" i="17" s="1"/>
  <c r="N1315" i="17"/>
  <c r="O1315" i="17" s="1"/>
  <c r="N1314" i="17"/>
  <c r="O1314" i="17" s="1"/>
  <c r="N1313" i="17"/>
  <c r="O1313" i="17" s="1"/>
  <c r="N1312" i="17"/>
  <c r="O1312" i="17" s="1"/>
  <c r="N1311" i="17"/>
  <c r="O1311" i="17" s="1"/>
  <c r="N1310" i="17"/>
  <c r="O1310" i="17" s="1"/>
  <c r="N1309" i="17"/>
  <c r="O1309" i="17" s="1"/>
  <c r="N1308" i="17"/>
  <c r="O1308" i="17" s="1"/>
  <c r="N1307" i="17"/>
  <c r="O1307" i="17" s="1"/>
  <c r="N1306" i="17"/>
  <c r="O1306" i="17" s="1"/>
  <c r="N1305" i="17"/>
  <c r="O1305" i="17" s="1"/>
  <c r="N1304" i="17"/>
  <c r="O1304" i="17" s="1"/>
  <c r="N1303" i="17"/>
  <c r="O1303" i="17" s="1"/>
  <c r="N1302" i="17"/>
  <c r="O1302" i="17" s="1"/>
  <c r="N1301" i="17"/>
  <c r="O1301" i="17" s="1"/>
  <c r="N1300" i="17"/>
  <c r="O1300" i="17" s="1"/>
  <c r="N1299" i="17"/>
  <c r="O1299" i="17" s="1"/>
  <c r="N1298" i="17"/>
  <c r="O1298" i="17" s="1"/>
  <c r="N1297" i="17"/>
  <c r="O1297" i="17" s="1"/>
  <c r="N1296" i="17"/>
  <c r="O1296" i="17" s="1"/>
  <c r="N1295" i="17"/>
  <c r="O1295" i="17" s="1"/>
  <c r="N1294" i="17"/>
  <c r="O1294" i="17" s="1"/>
  <c r="N1293" i="17"/>
  <c r="O1293" i="17" s="1"/>
  <c r="N1292" i="17"/>
  <c r="O1292" i="17" s="1"/>
  <c r="N1291" i="17"/>
  <c r="O1291" i="17" s="1"/>
  <c r="N1290" i="17"/>
  <c r="O1290" i="17" s="1"/>
  <c r="N1289" i="17"/>
  <c r="O1289" i="17" s="1"/>
  <c r="N1288" i="17"/>
  <c r="O1288" i="17" s="1"/>
  <c r="N1287" i="17"/>
  <c r="O1287" i="17" s="1"/>
  <c r="N1286" i="17"/>
  <c r="O1286" i="17" s="1"/>
  <c r="N1285" i="17"/>
  <c r="O1285" i="17" s="1"/>
  <c r="N1284" i="17"/>
  <c r="O1284" i="17" s="1"/>
  <c r="N1283" i="17"/>
  <c r="O1283" i="17" s="1"/>
  <c r="N1282" i="17"/>
  <c r="O1282" i="17" s="1"/>
  <c r="N1281" i="17"/>
  <c r="O1281" i="17" s="1"/>
  <c r="N1280" i="17"/>
  <c r="O1280" i="17" s="1"/>
  <c r="N1279" i="17"/>
  <c r="O1279" i="17" s="1"/>
  <c r="N1278" i="17"/>
  <c r="O1278" i="17" s="1"/>
  <c r="N1277" i="17"/>
  <c r="O1277" i="17" s="1"/>
  <c r="N1276" i="17"/>
  <c r="O1276" i="17" s="1"/>
  <c r="N1275" i="17"/>
  <c r="O1275" i="17" s="1"/>
  <c r="N1274" i="17"/>
  <c r="O1274" i="17" s="1"/>
  <c r="N1273" i="17"/>
  <c r="O1273" i="17" s="1"/>
  <c r="N1272" i="17"/>
  <c r="O1272" i="17" s="1"/>
  <c r="N1271" i="17"/>
  <c r="O1271" i="17" s="1"/>
  <c r="N1270" i="17"/>
  <c r="O1270" i="17" s="1"/>
  <c r="N1269" i="17"/>
  <c r="O1269" i="17" s="1"/>
  <c r="N1268" i="17"/>
  <c r="O1268" i="17" s="1"/>
  <c r="N1267" i="17"/>
  <c r="O1267" i="17" s="1"/>
  <c r="N1266" i="17"/>
  <c r="O1266" i="17" s="1"/>
  <c r="N1265" i="17"/>
  <c r="O1265" i="17" s="1"/>
  <c r="N1264" i="17"/>
  <c r="O1264" i="17" s="1"/>
  <c r="N1263" i="17"/>
  <c r="O1263" i="17" s="1"/>
  <c r="N1262" i="17"/>
  <c r="O1262" i="17" s="1"/>
  <c r="N1261" i="17"/>
  <c r="O1261" i="17" s="1"/>
  <c r="N1260" i="17"/>
  <c r="O1260" i="17" s="1"/>
  <c r="N1259" i="17"/>
  <c r="O1259" i="17" s="1"/>
  <c r="N1258" i="17"/>
  <c r="O1258" i="17" s="1"/>
  <c r="N1257" i="17"/>
  <c r="O1257" i="17" s="1"/>
  <c r="N1256" i="17"/>
  <c r="O1256" i="17" s="1"/>
  <c r="N1255" i="17"/>
  <c r="O1255" i="17" s="1"/>
  <c r="N1254" i="17"/>
  <c r="O1254" i="17" s="1"/>
  <c r="N1253" i="17"/>
  <c r="O1253" i="17" s="1"/>
  <c r="N1252" i="17"/>
  <c r="O1252" i="17" s="1"/>
  <c r="N1251" i="17"/>
  <c r="O1251" i="17" s="1"/>
  <c r="N1250" i="17"/>
  <c r="O1250" i="17" s="1"/>
  <c r="N1249" i="17"/>
  <c r="O1249" i="17" s="1"/>
  <c r="N1248" i="17"/>
  <c r="O1248" i="17" s="1"/>
  <c r="N1247" i="17"/>
  <c r="O1247" i="17" s="1"/>
  <c r="N1246" i="17"/>
  <c r="O1246" i="17" s="1"/>
  <c r="N1245" i="17"/>
  <c r="O1245" i="17" s="1"/>
  <c r="N1244" i="17"/>
  <c r="O1244" i="17" s="1"/>
  <c r="N1243" i="17"/>
  <c r="O1243" i="17" s="1"/>
  <c r="N1242" i="17"/>
  <c r="O1242" i="17" s="1"/>
  <c r="N1241" i="17"/>
  <c r="O1241" i="17" s="1"/>
  <c r="N1240" i="17"/>
  <c r="O1240" i="17" s="1"/>
  <c r="N1239" i="17"/>
  <c r="O1239" i="17" s="1"/>
  <c r="N1238" i="17"/>
  <c r="O1238" i="17" s="1"/>
  <c r="N1237" i="17"/>
  <c r="O1237" i="17" s="1"/>
  <c r="N1236" i="17"/>
  <c r="O1236" i="17" s="1"/>
  <c r="N1235" i="17"/>
  <c r="O1235" i="17" s="1"/>
  <c r="N1234" i="17"/>
  <c r="O1234" i="17" s="1"/>
  <c r="N1233" i="17"/>
  <c r="O1233" i="17" s="1"/>
  <c r="N1232" i="17"/>
  <c r="O1232" i="17" s="1"/>
  <c r="N1231" i="17"/>
  <c r="O1231" i="17" s="1"/>
  <c r="N1230" i="17"/>
  <c r="O1230" i="17" s="1"/>
  <c r="N1229" i="17"/>
  <c r="O1229" i="17" s="1"/>
  <c r="N1228" i="17"/>
  <c r="O1228" i="17" s="1"/>
  <c r="N1227" i="17"/>
  <c r="O1227" i="17" s="1"/>
  <c r="N1226" i="17"/>
  <c r="O1226" i="17" s="1"/>
  <c r="N1225" i="17"/>
  <c r="O1225" i="17" s="1"/>
  <c r="N1224" i="17"/>
  <c r="O1224" i="17" s="1"/>
  <c r="N1223" i="17"/>
  <c r="O1223" i="17" s="1"/>
  <c r="N1222" i="17"/>
  <c r="O1222" i="17" s="1"/>
  <c r="N1221" i="17"/>
  <c r="O1221" i="17" s="1"/>
  <c r="N1220" i="17"/>
  <c r="O1220" i="17" s="1"/>
  <c r="N1219" i="17"/>
  <c r="O1219" i="17" s="1"/>
  <c r="N1218" i="17"/>
  <c r="O1218" i="17" s="1"/>
  <c r="N1217" i="17"/>
  <c r="O1217" i="17" s="1"/>
  <c r="N1216" i="17"/>
  <c r="O1216" i="17" s="1"/>
  <c r="N1215" i="17"/>
  <c r="O1215" i="17" s="1"/>
  <c r="N1214" i="17"/>
  <c r="O1214" i="17" s="1"/>
  <c r="N1213" i="17"/>
  <c r="O1213" i="17" s="1"/>
  <c r="N1212" i="17"/>
  <c r="O1212" i="17" s="1"/>
  <c r="N1211" i="17"/>
  <c r="O1211" i="17" s="1"/>
  <c r="N1210" i="17"/>
  <c r="O1210" i="17" s="1"/>
  <c r="N1209" i="17"/>
  <c r="O1209" i="17" s="1"/>
  <c r="N1208" i="17"/>
  <c r="O1208" i="17" s="1"/>
  <c r="N1207" i="17"/>
  <c r="O1207" i="17" s="1"/>
  <c r="N1206" i="17"/>
  <c r="O1206" i="17" s="1"/>
  <c r="N1205" i="17"/>
  <c r="O1205" i="17" s="1"/>
  <c r="N1204" i="17"/>
  <c r="O1204" i="17" s="1"/>
  <c r="N1203" i="17"/>
  <c r="O1203" i="17" s="1"/>
  <c r="N1202" i="17"/>
  <c r="O1202" i="17" s="1"/>
  <c r="N1201" i="17"/>
  <c r="O1201" i="17" s="1"/>
  <c r="N1200" i="17"/>
  <c r="O1200" i="17" s="1"/>
  <c r="N1199" i="17"/>
  <c r="O1199" i="17" s="1"/>
  <c r="N1198" i="17"/>
  <c r="O1198" i="17" s="1"/>
  <c r="N1197" i="17"/>
  <c r="O1197" i="17" s="1"/>
  <c r="N1196" i="17"/>
  <c r="O1196" i="17" s="1"/>
  <c r="N1195" i="17"/>
  <c r="O1195" i="17" s="1"/>
  <c r="N1194" i="17"/>
  <c r="O1194" i="17" s="1"/>
  <c r="N1193" i="17"/>
  <c r="O1193" i="17" s="1"/>
  <c r="N1192" i="17"/>
  <c r="O1192" i="17" s="1"/>
  <c r="N1191" i="17"/>
  <c r="O1191" i="17" s="1"/>
  <c r="N1190" i="17"/>
  <c r="O1190" i="17" s="1"/>
  <c r="N1189" i="17"/>
  <c r="O1189" i="17" s="1"/>
  <c r="N1188" i="17"/>
  <c r="O1188" i="17" s="1"/>
  <c r="N1187" i="17"/>
  <c r="O1187" i="17" s="1"/>
  <c r="N1186" i="17"/>
  <c r="O1186" i="17" s="1"/>
  <c r="N1185" i="17"/>
  <c r="O1185" i="17" s="1"/>
  <c r="N1184" i="17"/>
  <c r="O1184" i="17" s="1"/>
  <c r="N1183" i="17"/>
  <c r="O1183" i="17" s="1"/>
  <c r="N1182" i="17"/>
  <c r="O1182" i="17" s="1"/>
  <c r="N1181" i="17"/>
  <c r="O1181" i="17" s="1"/>
  <c r="N1180" i="17"/>
  <c r="O1180" i="17" s="1"/>
  <c r="N1179" i="17"/>
  <c r="O1179" i="17" s="1"/>
  <c r="N1178" i="17"/>
  <c r="O1178" i="17" s="1"/>
  <c r="N1177" i="17"/>
  <c r="O1177" i="17" s="1"/>
  <c r="N1176" i="17"/>
  <c r="O1176" i="17" s="1"/>
  <c r="N1175" i="17"/>
  <c r="O1175" i="17" s="1"/>
  <c r="N1174" i="17"/>
  <c r="O1174" i="17" s="1"/>
  <c r="N1173" i="17"/>
  <c r="O1173" i="17" s="1"/>
  <c r="N1172" i="17"/>
  <c r="O1172" i="17" s="1"/>
  <c r="N1171" i="17"/>
  <c r="O1171" i="17" s="1"/>
  <c r="N1170" i="17"/>
  <c r="O1170" i="17" s="1"/>
  <c r="N1169" i="17"/>
  <c r="O1169" i="17" s="1"/>
  <c r="N1168" i="17"/>
  <c r="O1168" i="17" s="1"/>
  <c r="N1167" i="17"/>
  <c r="O1167" i="17" s="1"/>
  <c r="N1166" i="17"/>
  <c r="O1166" i="17" s="1"/>
  <c r="N1165" i="17"/>
  <c r="O1165" i="17" s="1"/>
  <c r="N1164" i="17"/>
  <c r="O1164" i="17" s="1"/>
  <c r="N1163" i="17"/>
  <c r="O1163" i="17" s="1"/>
  <c r="N1162" i="17"/>
  <c r="O1162" i="17" s="1"/>
  <c r="N1161" i="17"/>
  <c r="O1161" i="17" s="1"/>
  <c r="N1160" i="17"/>
  <c r="O1160" i="17" s="1"/>
  <c r="N1159" i="17"/>
  <c r="O1159" i="17" s="1"/>
  <c r="N1158" i="17"/>
  <c r="O1158" i="17" s="1"/>
  <c r="N1157" i="17"/>
  <c r="O1157" i="17" s="1"/>
  <c r="N1156" i="17"/>
  <c r="O1156" i="17" s="1"/>
  <c r="N1155" i="17"/>
  <c r="O1155" i="17" s="1"/>
  <c r="N1154" i="17"/>
  <c r="O1154" i="17" s="1"/>
  <c r="N1153" i="17"/>
  <c r="O1153" i="17" s="1"/>
  <c r="N1152" i="17"/>
  <c r="O1152" i="17" s="1"/>
  <c r="N1151" i="17"/>
  <c r="O1151" i="17" s="1"/>
  <c r="N1150" i="17"/>
  <c r="O1150" i="17" s="1"/>
  <c r="N1149" i="17"/>
  <c r="O1149" i="17" s="1"/>
  <c r="N1148" i="17"/>
  <c r="O1148" i="17" s="1"/>
  <c r="N1147" i="17"/>
  <c r="O1147" i="17" s="1"/>
  <c r="N1146" i="17"/>
  <c r="O1146" i="17" s="1"/>
  <c r="N1145" i="17"/>
  <c r="O1145" i="17" s="1"/>
  <c r="N1144" i="17"/>
  <c r="O1144" i="17" s="1"/>
  <c r="N1143" i="17"/>
  <c r="O1143" i="17" s="1"/>
  <c r="N1142" i="17"/>
  <c r="O1142" i="17" s="1"/>
  <c r="N1141" i="17"/>
  <c r="O1141" i="17" s="1"/>
  <c r="N1140" i="17"/>
  <c r="O1140" i="17" s="1"/>
  <c r="N1139" i="17"/>
  <c r="O1139" i="17" s="1"/>
  <c r="N1138" i="17"/>
  <c r="O1138" i="17" s="1"/>
  <c r="N1137" i="17"/>
  <c r="O1137" i="17" s="1"/>
  <c r="N1136" i="17"/>
  <c r="O1136" i="17" s="1"/>
  <c r="N1135" i="17"/>
  <c r="O1135" i="17" s="1"/>
  <c r="N1134" i="17"/>
  <c r="O1134" i="17" s="1"/>
  <c r="N1133" i="17"/>
  <c r="O1133" i="17" s="1"/>
  <c r="N1132" i="17"/>
  <c r="O1132" i="17" s="1"/>
  <c r="N1131" i="17"/>
  <c r="O1131" i="17" s="1"/>
  <c r="N1130" i="17"/>
  <c r="O1130" i="17" s="1"/>
  <c r="N1129" i="17"/>
  <c r="O1129" i="17" s="1"/>
  <c r="N1128" i="17"/>
  <c r="O1128" i="17" s="1"/>
  <c r="N1127" i="17"/>
  <c r="O1127" i="17" s="1"/>
  <c r="N1126" i="17"/>
  <c r="O1126" i="17" s="1"/>
  <c r="N1125" i="17"/>
  <c r="O1125" i="17" s="1"/>
  <c r="N1124" i="17"/>
  <c r="O1124" i="17" s="1"/>
  <c r="N1123" i="17"/>
  <c r="O1123" i="17" s="1"/>
  <c r="N1122" i="17"/>
  <c r="O1122" i="17" s="1"/>
  <c r="N1121" i="17"/>
  <c r="O1121" i="17" s="1"/>
  <c r="N1120" i="17"/>
  <c r="O1120" i="17" s="1"/>
  <c r="N1119" i="17"/>
  <c r="O1119" i="17" s="1"/>
  <c r="N1118" i="17"/>
  <c r="O1118" i="17" s="1"/>
  <c r="N1117" i="17"/>
  <c r="O1117" i="17" s="1"/>
  <c r="N1116" i="17"/>
  <c r="O1116" i="17" s="1"/>
  <c r="N1115" i="17"/>
  <c r="O1115" i="17" s="1"/>
  <c r="N1114" i="17"/>
  <c r="O1114" i="17" s="1"/>
  <c r="N1113" i="17"/>
  <c r="O1113" i="17" s="1"/>
  <c r="N1112" i="17"/>
  <c r="O1112" i="17" s="1"/>
  <c r="N1111" i="17"/>
  <c r="O1111" i="17" s="1"/>
  <c r="N1110" i="17"/>
  <c r="O1110" i="17" s="1"/>
  <c r="N1109" i="17"/>
  <c r="O1109" i="17" s="1"/>
  <c r="N1108" i="17"/>
  <c r="O1108" i="17" s="1"/>
  <c r="N1107" i="17"/>
  <c r="O1107" i="17" s="1"/>
  <c r="N1106" i="17"/>
  <c r="O1106" i="17" s="1"/>
  <c r="N1105" i="17"/>
  <c r="O1105" i="17" s="1"/>
  <c r="N1104" i="17"/>
  <c r="O1104" i="17" s="1"/>
  <c r="N1103" i="17"/>
  <c r="O1103" i="17" s="1"/>
  <c r="N1102" i="17"/>
  <c r="O1102" i="17" s="1"/>
  <c r="N1101" i="17"/>
  <c r="O1101" i="17" s="1"/>
  <c r="N1100" i="17"/>
  <c r="O1100" i="17" s="1"/>
  <c r="N1099" i="17"/>
  <c r="O1099" i="17" s="1"/>
  <c r="N1098" i="17"/>
  <c r="O1098" i="17" s="1"/>
  <c r="N1097" i="17"/>
  <c r="O1097" i="17" s="1"/>
  <c r="N1096" i="17"/>
  <c r="O1096" i="17" s="1"/>
  <c r="N1095" i="17"/>
  <c r="O1095" i="17" s="1"/>
  <c r="N1094" i="17"/>
  <c r="O1094" i="17" s="1"/>
  <c r="N1093" i="17"/>
  <c r="O1093" i="17" s="1"/>
  <c r="N1092" i="17"/>
  <c r="O1092" i="17" s="1"/>
  <c r="N1091" i="17"/>
  <c r="O1091" i="17" s="1"/>
  <c r="N1090" i="17"/>
  <c r="O1090" i="17" s="1"/>
  <c r="N1089" i="17"/>
  <c r="O1089" i="17" s="1"/>
  <c r="N1088" i="17"/>
  <c r="O1088" i="17" s="1"/>
  <c r="N1087" i="17"/>
  <c r="O1087" i="17" s="1"/>
  <c r="N1086" i="17"/>
  <c r="O1086" i="17" s="1"/>
  <c r="N1085" i="17"/>
  <c r="O1085" i="17" s="1"/>
  <c r="N1084" i="17"/>
  <c r="O1084" i="17" s="1"/>
  <c r="N1083" i="17"/>
  <c r="O1083" i="17" s="1"/>
  <c r="N1082" i="17"/>
  <c r="O1082" i="17" s="1"/>
  <c r="N1081" i="17"/>
  <c r="O1081" i="17" s="1"/>
  <c r="N1080" i="17"/>
  <c r="O1080" i="17" s="1"/>
  <c r="N1079" i="17"/>
  <c r="O1079" i="17" s="1"/>
  <c r="N1078" i="17"/>
  <c r="O1078" i="17" s="1"/>
  <c r="N1077" i="17"/>
  <c r="O1077" i="17" s="1"/>
  <c r="N1076" i="17"/>
  <c r="O1076" i="17" s="1"/>
  <c r="N1075" i="17"/>
  <c r="O1075" i="17" s="1"/>
  <c r="N1074" i="17"/>
  <c r="O1074" i="17" s="1"/>
  <c r="N1073" i="17"/>
  <c r="O1073" i="17" s="1"/>
  <c r="N1072" i="17"/>
  <c r="O1072" i="17" s="1"/>
  <c r="N1071" i="17"/>
  <c r="O1071" i="17" s="1"/>
  <c r="N1070" i="17"/>
  <c r="O1070" i="17" s="1"/>
  <c r="N1069" i="17"/>
  <c r="O1069" i="17" s="1"/>
  <c r="N1068" i="17"/>
  <c r="O1068" i="17" s="1"/>
  <c r="N1067" i="17"/>
  <c r="O1067" i="17" s="1"/>
  <c r="N1066" i="17"/>
  <c r="O1066" i="17" s="1"/>
  <c r="N1065" i="17"/>
  <c r="O1065" i="17" s="1"/>
  <c r="N1064" i="17"/>
  <c r="O1064" i="17" s="1"/>
  <c r="N1063" i="17"/>
  <c r="O1063" i="17" s="1"/>
  <c r="N1062" i="17"/>
  <c r="O1062" i="17" s="1"/>
  <c r="N1061" i="17"/>
  <c r="O1061" i="17" s="1"/>
  <c r="N1060" i="17"/>
  <c r="O1060" i="17" s="1"/>
  <c r="N1059" i="17"/>
  <c r="O1059" i="17" s="1"/>
  <c r="N1058" i="17"/>
  <c r="O1058" i="17" s="1"/>
  <c r="N1057" i="17"/>
  <c r="O1057" i="17" s="1"/>
  <c r="N1056" i="17"/>
  <c r="O1056" i="17" s="1"/>
  <c r="N1055" i="17"/>
  <c r="O1055" i="17" s="1"/>
  <c r="N1054" i="17"/>
  <c r="O1054" i="17" s="1"/>
  <c r="N1053" i="17"/>
  <c r="O1053" i="17" s="1"/>
  <c r="N1052" i="17"/>
  <c r="O1052" i="17" s="1"/>
  <c r="N1051" i="17"/>
  <c r="O1051" i="17" s="1"/>
  <c r="N1050" i="17"/>
  <c r="O1050" i="17" s="1"/>
  <c r="N1049" i="17"/>
  <c r="O1049" i="17" s="1"/>
  <c r="N1048" i="17"/>
  <c r="O1048" i="17" s="1"/>
  <c r="N1047" i="17"/>
  <c r="O1047" i="17" s="1"/>
  <c r="N1046" i="17"/>
  <c r="O1046" i="17" s="1"/>
  <c r="N1045" i="17"/>
  <c r="O1045" i="17" s="1"/>
  <c r="N1044" i="17"/>
  <c r="O1044" i="17" s="1"/>
  <c r="N1043" i="17"/>
  <c r="O1043" i="17" s="1"/>
  <c r="N1042" i="17"/>
  <c r="O1042" i="17" s="1"/>
  <c r="N1041" i="17"/>
  <c r="O1041" i="17" s="1"/>
  <c r="N1040" i="17"/>
  <c r="O1040" i="17" s="1"/>
  <c r="N1039" i="17"/>
  <c r="O1039" i="17" s="1"/>
  <c r="N1038" i="17"/>
  <c r="O1038" i="17" s="1"/>
  <c r="N1037" i="17"/>
  <c r="O1037" i="17" s="1"/>
  <c r="N1036" i="17"/>
  <c r="O1036" i="17" s="1"/>
  <c r="N1035" i="17"/>
  <c r="O1035" i="17" s="1"/>
  <c r="N1034" i="17"/>
  <c r="O1034" i="17" s="1"/>
  <c r="N1033" i="17"/>
  <c r="O1033" i="17" s="1"/>
  <c r="N1032" i="17"/>
  <c r="O1032" i="17" s="1"/>
  <c r="N1031" i="17"/>
  <c r="O1031" i="17" s="1"/>
  <c r="N1030" i="17"/>
  <c r="O1030" i="17" s="1"/>
  <c r="N1029" i="17"/>
  <c r="O1029" i="17" s="1"/>
  <c r="N1028" i="17"/>
  <c r="O1028" i="17" s="1"/>
  <c r="N1027" i="17"/>
  <c r="O1027" i="17" s="1"/>
  <c r="N1026" i="17"/>
  <c r="O1026" i="17" s="1"/>
  <c r="N1025" i="17"/>
  <c r="O1025" i="17" s="1"/>
  <c r="N1024" i="17"/>
  <c r="O1024" i="17" s="1"/>
  <c r="N1023" i="17"/>
  <c r="O1023" i="17" s="1"/>
  <c r="N1022" i="17"/>
  <c r="O1022" i="17" s="1"/>
  <c r="N1021" i="17"/>
  <c r="O1021" i="17" s="1"/>
  <c r="N1020" i="17"/>
  <c r="O1020" i="17" s="1"/>
  <c r="N1019" i="17"/>
  <c r="O1019" i="17" s="1"/>
  <c r="N1018" i="17"/>
  <c r="O1018" i="17" s="1"/>
  <c r="N1017" i="17"/>
  <c r="O1017" i="17" s="1"/>
  <c r="N1016" i="17"/>
  <c r="O1016" i="17" s="1"/>
  <c r="N1015" i="17"/>
  <c r="O1015" i="17" s="1"/>
  <c r="N1014" i="17"/>
  <c r="O1014" i="17" s="1"/>
  <c r="N1013" i="17"/>
  <c r="O1013" i="17" s="1"/>
  <c r="N1012" i="17"/>
  <c r="O1012" i="17" s="1"/>
  <c r="N1011" i="17"/>
  <c r="O1011" i="17" s="1"/>
  <c r="N1010" i="17"/>
  <c r="O1010" i="17" s="1"/>
  <c r="N1009" i="17"/>
  <c r="O1009" i="17" s="1"/>
  <c r="N1008" i="17"/>
  <c r="O1008" i="17" s="1"/>
  <c r="N1007" i="17"/>
  <c r="O1007" i="17" s="1"/>
  <c r="N1006" i="17"/>
  <c r="O1006" i="17" s="1"/>
  <c r="N1005" i="17"/>
  <c r="O1005" i="17" s="1"/>
  <c r="N1004" i="17"/>
  <c r="O1004" i="17" s="1"/>
  <c r="N1003" i="17"/>
  <c r="O1003" i="17" s="1"/>
  <c r="N1002" i="17"/>
  <c r="O1002" i="17" s="1"/>
  <c r="N1001" i="17"/>
  <c r="O1001" i="17" s="1"/>
  <c r="N1000" i="17"/>
  <c r="O1000" i="17" s="1"/>
  <c r="N999" i="17"/>
  <c r="O999" i="17" s="1"/>
  <c r="N998" i="17"/>
  <c r="O998" i="17" s="1"/>
  <c r="N997" i="17"/>
  <c r="O997" i="17" s="1"/>
  <c r="N996" i="17"/>
  <c r="O996" i="17" s="1"/>
  <c r="N995" i="17"/>
  <c r="O995" i="17" s="1"/>
  <c r="N994" i="17"/>
  <c r="O994" i="17" s="1"/>
  <c r="N993" i="17"/>
  <c r="O993" i="17" s="1"/>
  <c r="N992" i="17"/>
  <c r="O992" i="17" s="1"/>
  <c r="N991" i="17"/>
  <c r="O991" i="17" s="1"/>
  <c r="N990" i="17"/>
  <c r="O990" i="17" s="1"/>
  <c r="N989" i="17"/>
  <c r="O989" i="17" s="1"/>
  <c r="N988" i="17"/>
  <c r="O988" i="17" s="1"/>
  <c r="N987" i="17"/>
  <c r="O987" i="17" s="1"/>
  <c r="N986" i="17"/>
  <c r="O986" i="17" s="1"/>
  <c r="N985" i="17"/>
  <c r="O985" i="17" s="1"/>
  <c r="N984" i="17"/>
  <c r="O984" i="17" s="1"/>
  <c r="N983" i="17"/>
  <c r="O983" i="17" s="1"/>
  <c r="N982" i="17"/>
  <c r="O982" i="17" s="1"/>
  <c r="N981" i="17"/>
  <c r="O981" i="17" s="1"/>
  <c r="N980" i="17"/>
  <c r="O980" i="17" s="1"/>
  <c r="N979" i="17"/>
  <c r="O979" i="17" s="1"/>
  <c r="N978" i="17"/>
  <c r="O978" i="17" s="1"/>
  <c r="N977" i="17"/>
  <c r="O977" i="17" s="1"/>
  <c r="N976" i="17"/>
  <c r="O976" i="17" s="1"/>
  <c r="N975" i="17"/>
  <c r="O975" i="17" s="1"/>
  <c r="N974" i="17"/>
  <c r="O974" i="17" s="1"/>
  <c r="N973" i="17"/>
  <c r="O973" i="17" s="1"/>
  <c r="N972" i="17"/>
  <c r="O972" i="17" s="1"/>
  <c r="N971" i="17"/>
  <c r="O971" i="17" s="1"/>
  <c r="N970" i="17"/>
  <c r="O970" i="17" s="1"/>
  <c r="N969" i="17"/>
  <c r="O969" i="17" s="1"/>
  <c r="N968" i="17"/>
  <c r="O968" i="17" s="1"/>
  <c r="N967" i="17"/>
  <c r="O967" i="17" s="1"/>
  <c r="N966" i="17"/>
  <c r="O966" i="17" s="1"/>
  <c r="N965" i="17"/>
  <c r="O965" i="17" s="1"/>
  <c r="N964" i="17"/>
  <c r="O964" i="17" s="1"/>
  <c r="N963" i="17"/>
  <c r="O963" i="17" s="1"/>
  <c r="N962" i="17"/>
  <c r="O962" i="17" s="1"/>
  <c r="N961" i="17"/>
  <c r="O961" i="17" s="1"/>
  <c r="N960" i="17"/>
  <c r="O960" i="17" s="1"/>
  <c r="N959" i="17"/>
  <c r="O959" i="17" s="1"/>
  <c r="N958" i="17"/>
  <c r="O958" i="17" s="1"/>
  <c r="N957" i="17"/>
  <c r="O957" i="17" s="1"/>
  <c r="N956" i="17"/>
  <c r="O956" i="17" s="1"/>
  <c r="N955" i="17"/>
  <c r="O955" i="17" s="1"/>
  <c r="N954" i="17"/>
  <c r="O954" i="17" s="1"/>
  <c r="N953" i="17"/>
  <c r="O953" i="17" s="1"/>
  <c r="N952" i="17"/>
  <c r="O952" i="17" s="1"/>
  <c r="N951" i="17"/>
  <c r="O951" i="17" s="1"/>
  <c r="N950" i="17"/>
  <c r="O950" i="17" s="1"/>
  <c r="N949" i="17"/>
  <c r="O949" i="17" s="1"/>
  <c r="N948" i="17"/>
  <c r="O948" i="17" s="1"/>
  <c r="N947" i="17"/>
  <c r="O947" i="17" s="1"/>
  <c r="N946" i="17"/>
  <c r="O946" i="17" s="1"/>
  <c r="N945" i="17"/>
  <c r="O945" i="17" s="1"/>
  <c r="N944" i="17"/>
  <c r="O944" i="17" s="1"/>
  <c r="N943" i="17"/>
  <c r="O943" i="17" s="1"/>
  <c r="N942" i="17"/>
  <c r="O942" i="17" s="1"/>
  <c r="N941" i="17"/>
  <c r="O941" i="17" s="1"/>
  <c r="N940" i="17"/>
  <c r="O940" i="17" s="1"/>
  <c r="N939" i="17"/>
  <c r="O939" i="17" s="1"/>
  <c r="N938" i="17"/>
  <c r="O938" i="17" s="1"/>
  <c r="N937" i="17"/>
  <c r="O937" i="17" s="1"/>
  <c r="N936" i="17"/>
  <c r="O936" i="17" s="1"/>
  <c r="N935" i="17"/>
  <c r="O935" i="17" s="1"/>
  <c r="N934" i="17"/>
  <c r="O934" i="17" s="1"/>
  <c r="N933" i="17"/>
  <c r="O933" i="17" s="1"/>
  <c r="N932" i="17"/>
  <c r="O932" i="17" s="1"/>
  <c r="N931" i="17"/>
  <c r="O931" i="17" s="1"/>
  <c r="N930" i="17"/>
  <c r="O930" i="17" s="1"/>
  <c r="N929" i="17"/>
  <c r="O929" i="17" s="1"/>
  <c r="N928" i="17"/>
  <c r="O928" i="17" s="1"/>
  <c r="N927" i="17"/>
  <c r="O927" i="17" s="1"/>
  <c r="N926" i="17"/>
  <c r="O926" i="17" s="1"/>
  <c r="N925" i="17"/>
  <c r="O925" i="17" s="1"/>
  <c r="N924" i="17"/>
  <c r="O924" i="17" s="1"/>
  <c r="N923" i="17"/>
  <c r="O923" i="17" s="1"/>
  <c r="N922" i="17"/>
  <c r="O922" i="17" s="1"/>
  <c r="N921" i="17"/>
  <c r="O921" i="17" s="1"/>
  <c r="N920" i="17"/>
  <c r="O920" i="17" s="1"/>
  <c r="N919" i="17"/>
  <c r="O919" i="17" s="1"/>
  <c r="N918" i="17"/>
  <c r="O918" i="17" s="1"/>
  <c r="N917" i="17"/>
  <c r="O917" i="17" s="1"/>
  <c r="N916" i="17"/>
  <c r="O916" i="17" s="1"/>
  <c r="N915" i="17"/>
  <c r="O915" i="17" s="1"/>
  <c r="N914" i="17"/>
  <c r="O914" i="17" s="1"/>
  <c r="N913" i="17"/>
  <c r="O913" i="17" s="1"/>
  <c r="N912" i="17"/>
  <c r="O912" i="17" s="1"/>
  <c r="N911" i="17"/>
  <c r="O911" i="17" s="1"/>
  <c r="N910" i="17"/>
  <c r="O910" i="17" s="1"/>
  <c r="N909" i="17"/>
  <c r="O909" i="17" s="1"/>
  <c r="N908" i="17"/>
  <c r="O908" i="17" s="1"/>
  <c r="N907" i="17"/>
  <c r="O907" i="17" s="1"/>
  <c r="N906" i="17"/>
  <c r="O906" i="17" s="1"/>
  <c r="N905" i="17"/>
  <c r="O905" i="17" s="1"/>
  <c r="N904" i="17"/>
  <c r="O904" i="17" s="1"/>
  <c r="N903" i="17"/>
  <c r="O903" i="17" s="1"/>
  <c r="N902" i="17"/>
  <c r="O902" i="17" s="1"/>
  <c r="N901" i="17"/>
  <c r="O901" i="17" s="1"/>
  <c r="N900" i="17"/>
  <c r="O900" i="17" s="1"/>
  <c r="N899" i="17"/>
  <c r="O899" i="17" s="1"/>
  <c r="N898" i="17"/>
  <c r="O898" i="17" s="1"/>
  <c r="N897" i="17"/>
  <c r="O897" i="17" s="1"/>
  <c r="N896" i="17"/>
  <c r="O896" i="17" s="1"/>
  <c r="N895" i="17"/>
  <c r="O895" i="17" s="1"/>
  <c r="N894" i="17"/>
  <c r="O894" i="17" s="1"/>
  <c r="N893" i="17"/>
  <c r="O893" i="17" s="1"/>
  <c r="N892" i="17"/>
  <c r="O892" i="17" s="1"/>
  <c r="N891" i="17"/>
  <c r="O891" i="17" s="1"/>
  <c r="N890" i="17"/>
  <c r="O890" i="17" s="1"/>
  <c r="N889" i="17"/>
  <c r="O889" i="17" s="1"/>
  <c r="N888" i="17"/>
  <c r="O888" i="17" s="1"/>
  <c r="N887" i="17"/>
  <c r="O887" i="17" s="1"/>
  <c r="N886" i="17"/>
  <c r="O886" i="17" s="1"/>
  <c r="N885" i="17"/>
  <c r="O885" i="17" s="1"/>
  <c r="N884" i="17"/>
  <c r="O884" i="17" s="1"/>
  <c r="N883" i="17"/>
  <c r="O883" i="17" s="1"/>
  <c r="N882" i="17"/>
  <c r="O882" i="17" s="1"/>
  <c r="N881" i="17"/>
  <c r="O881" i="17" s="1"/>
  <c r="N880" i="17"/>
  <c r="O880" i="17" s="1"/>
  <c r="N879" i="17"/>
  <c r="O879" i="17" s="1"/>
  <c r="N878" i="17"/>
  <c r="O878" i="17" s="1"/>
  <c r="N877" i="17"/>
  <c r="O877" i="17" s="1"/>
  <c r="N876" i="17"/>
  <c r="O876" i="17" s="1"/>
  <c r="N875" i="17"/>
  <c r="O875" i="17" s="1"/>
  <c r="N874" i="17"/>
  <c r="O874" i="17" s="1"/>
  <c r="N873" i="17"/>
  <c r="O873" i="17" s="1"/>
  <c r="N872" i="17"/>
  <c r="O872" i="17" s="1"/>
  <c r="N871" i="17"/>
  <c r="O871" i="17" s="1"/>
  <c r="N870" i="17"/>
  <c r="O870" i="17" s="1"/>
  <c r="N869" i="17"/>
  <c r="O869" i="17" s="1"/>
  <c r="N868" i="17"/>
  <c r="O868" i="17" s="1"/>
  <c r="N867" i="17"/>
  <c r="O867" i="17" s="1"/>
  <c r="N866" i="17"/>
  <c r="O866" i="17" s="1"/>
  <c r="N865" i="17"/>
  <c r="O865" i="17" s="1"/>
  <c r="N864" i="17"/>
  <c r="O864" i="17" s="1"/>
  <c r="N863" i="17"/>
  <c r="O863" i="17" s="1"/>
  <c r="N862" i="17"/>
  <c r="O862" i="17" s="1"/>
  <c r="N861" i="17"/>
  <c r="O861" i="17" s="1"/>
  <c r="N860" i="17"/>
  <c r="O860" i="17" s="1"/>
  <c r="N859" i="17"/>
  <c r="O859" i="17" s="1"/>
  <c r="N858" i="17"/>
  <c r="O858" i="17" s="1"/>
  <c r="N857" i="17"/>
  <c r="O857" i="17" s="1"/>
  <c r="N856" i="17"/>
  <c r="O856" i="17" s="1"/>
  <c r="N855" i="17"/>
  <c r="O855" i="17" s="1"/>
  <c r="N854" i="17"/>
  <c r="O854" i="17" s="1"/>
  <c r="N853" i="17"/>
  <c r="O853" i="17" s="1"/>
  <c r="N852" i="17"/>
  <c r="O852" i="17" s="1"/>
  <c r="N851" i="17"/>
  <c r="O851" i="17" s="1"/>
  <c r="N850" i="17"/>
  <c r="O850" i="17" s="1"/>
  <c r="N849" i="17"/>
  <c r="O849" i="17" s="1"/>
  <c r="N848" i="17"/>
  <c r="O848" i="17" s="1"/>
  <c r="N847" i="17"/>
  <c r="O847" i="17" s="1"/>
  <c r="N846" i="17"/>
  <c r="O846" i="17" s="1"/>
  <c r="N845" i="17"/>
  <c r="O845" i="17" s="1"/>
  <c r="N844" i="17"/>
  <c r="O844" i="17" s="1"/>
  <c r="N843" i="17"/>
  <c r="O843" i="17" s="1"/>
  <c r="N842" i="17"/>
  <c r="O842" i="17" s="1"/>
  <c r="N841" i="17"/>
  <c r="O841" i="17" s="1"/>
  <c r="N840" i="17"/>
  <c r="O840" i="17" s="1"/>
  <c r="N839" i="17"/>
  <c r="O839" i="17" s="1"/>
  <c r="N838" i="17"/>
  <c r="O838" i="17" s="1"/>
  <c r="N837" i="17"/>
  <c r="O837" i="17" s="1"/>
  <c r="N836" i="17"/>
  <c r="O836" i="17" s="1"/>
  <c r="N835" i="17"/>
  <c r="O835" i="17" s="1"/>
  <c r="N834" i="17"/>
  <c r="O834" i="17" s="1"/>
  <c r="N833" i="17"/>
  <c r="O833" i="17" s="1"/>
  <c r="N832" i="17"/>
  <c r="O832" i="17" s="1"/>
  <c r="N831" i="17"/>
  <c r="O831" i="17" s="1"/>
  <c r="N830" i="17"/>
  <c r="O830" i="17" s="1"/>
  <c r="N829" i="17"/>
  <c r="O829" i="17" s="1"/>
  <c r="N828" i="17"/>
  <c r="O828" i="17" s="1"/>
  <c r="N827" i="17"/>
  <c r="O827" i="17" s="1"/>
  <c r="N826" i="17"/>
  <c r="O826" i="17" s="1"/>
  <c r="N825" i="17"/>
  <c r="O825" i="17" s="1"/>
  <c r="N824" i="17"/>
  <c r="O824" i="17" s="1"/>
  <c r="N823" i="17"/>
  <c r="O823" i="17" s="1"/>
  <c r="N822" i="17"/>
  <c r="O822" i="17" s="1"/>
  <c r="N821" i="17"/>
  <c r="O821" i="17" s="1"/>
  <c r="N820" i="17"/>
  <c r="O820" i="17" s="1"/>
  <c r="N819" i="17"/>
  <c r="O819" i="17" s="1"/>
  <c r="N818" i="17"/>
  <c r="O818" i="17" s="1"/>
  <c r="N817" i="17"/>
  <c r="O817" i="17" s="1"/>
  <c r="N816" i="17"/>
  <c r="O816" i="17" s="1"/>
  <c r="N815" i="17"/>
  <c r="O815" i="17" s="1"/>
  <c r="N814" i="17"/>
  <c r="O814" i="17" s="1"/>
  <c r="N813" i="17"/>
  <c r="O813" i="17" s="1"/>
  <c r="N812" i="17"/>
  <c r="O812" i="17" s="1"/>
  <c r="N811" i="17"/>
  <c r="O811" i="17" s="1"/>
  <c r="N810" i="17"/>
  <c r="O810" i="17" s="1"/>
  <c r="N809" i="17"/>
  <c r="O809" i="17" s="1"/>
  <c r="N808" i="17"/>
  <c r="O808" i="17" s="1"/>
  <c r="N807" i="17"/>
  <c r="O807" i="17" s="1"/>
  <c r="N806" i="17"/>
  <c r="O806" i="17" s="1"/>
  <c r="N805" i="17"/>
  <c r="O805" i="17" s="1"/>
  <c r="N804" i="17"/>
  <c r="O804" i="17" s="1"/>
  <c r="N803" i="17"/>
  <c r="O803" i="17" s="1"/>
  <c r="N802" i="17"/>
  <c r="O802" i="17" s="1"/>
  <c r="N801" i="17"/>
  <c r="O801" i="17" s="1"/>
  <c r="N800" i="17"/>
  <c r="O800" i="17" s="1"/>
  <c r="N799" i="17"/>
  <c r="O799" i="17" s="1"/>
  <c r="N798" i="17"/>
  <c r="O798" i="17" s="1"/>
  <c r="N797" i="17"/>
  <c r="O797" i="17" s="1"/>
  <c r="N796" i="17"/>
  <c r="O796" i="17" s="1"/>
  <c r="N795" i="17"/>
  <c r="O795" i="17" s="1"/>
  <c r="N794" i="17"/>
  <c r="O794" i="17" s="1"/>
  <c r="N793" i="17"/>
  <c r="O793" i="17" s="1"/>
  <c r="N792" i="17"/>
  <c r="O792" i="17" s="1"/>
  <c r="N791" i="17"/>
  <c r="O791" i="17" s="1"/>
  <c r="N790" i="17"/>
  <c r="O790" i="17" s="1"/>
  <c r="N789" i="17"/>
  <c r="O789" i="17" s="1"/>
  <c r="N788" i="17"/>
  <c r="O788" i="17" s="1"/>
  <c r="N787" i="17"/>
  <c r="O787" i="17" s="1"/>
  <c r="N786" i="17"/>
  <c r="O786" i="17" s="1"/>
  <c r="N785" i="17"/>
  <c r="O785" i="17" s="1"/>
  <c r="N784" i="17"/>
  <c r="O784" i="17" s="1"/>
  <c r="N783" i="17"/>
  <c r="O783" i="17" s="1"/>
  <c r="N782" i="17"/>
  <c r="O782" i="17" s="1"/>
  <c r="N781" i="17"/>
  <c r="O781" i="17" s="1"/>
  <c r="N780" i="17"/>
  <c r="O780" i="17" s="1"/>
  <c r="N779" i="17"/>
  <c r="O779" i="17" s="1"/>
  <c r="N778" i="17"/>
  <c r="O778" i="17" s="1"/>
  <c r="N777" i="17"/>
  <c r="O777" i="17" s="1"/>
  <c r="N776" i="17"/>
  <c r="O776" i="17" s="1"/>
  <c r="N775" i="17"/>
  <c r="O775" i="17" s="1"/>
  <c r="N774" i="17"/>
  <c r="O774" i="17" s="1"/>
  <c r="N773" i="17"/>
  <c r="O773" i="17" s="1"/>
  <c r="N772" i="17"/>
  <c r="O772" i="17" s="1"/>
  <c r="N771" i="17"/>
  <c r="O771" i="17" s="1"/>
  <c r="N770" i="17"/>
  <c r="O770" i="17" s="1"/>
  <c r="N769" i="17"/>
  <c r="O769" i="17" s="1"/>
  <c r="N768" i="17"/>
  <c r="O768" i="17" s="1"/>
  <c r="N767" i="17"/>
  <c r="O767" i="17" s="1"/>
  <c r="N766" i="17"/>
  <c r="O766" i="17" s="1"/>
  <c r="N765" i="17"/>
  <c r="O765" i="17" s="1"/>
  <c r="N764" i="17"/>
  <c r="O764" i="17" s="1"/>
  <c r="N763" i="17"/>
  <c r="O763" i="17" s="1"/>
  <c r="N762" i="17"/>
  <c r="O762" i="17" s="1"/>
  <c r="N761" i="17"/>
  <c r="O761" i="17" s="1"/>
  <c r="N760" i="17"/>
  <c r="O760" i="17" s="1"/>
  <c r="N759" i="17"/>
  <c r="O759" i="17" s="1"/>
  <c r="N758" i="17"/>
  <c r="O758" i="17" s="1"/>
  <c r="N757" i="17"/>
  <c r="O757" i="17" s="1"/>
  <c r="N756" i="17"/>
  <c r="O756" i="17" s="1"/>
  <c r="N755" i="17"/>
  <c r="O755" i="17" s="1"/>
  <c r="N754" i="17"/>
  <c r="O754" i="17" s="1"/>
  <c r="N753" i="17"/>
  <c r="O753" i="17" s="1"/>
  <c r="N752" i="17"/>
  <c r="O752" i="17" s="1"/>
  <c r="N751" i="17"/>
  <c r="O751" i="17" s="1"/>
  <c r="N750" i="17"/>
  <c r="O750" i="17" s="1"/>
  <c r="N749" i="17"/>
  <c r="O749" i="17" s="1"/>
  <c r="N748" i="17"/>
  <c r="O748" i="17" s="1"/>
  <c r="N747" i="17"/>
  <c r="O747" i="17" s="1"/>
  <c r="N746" i="17"/>
  <c r="O746" i="17" s="1"/>
  <c r="N745" i="17"/>
  <c r="O745" i="17" s="1"/>
  <c r="N744" i="17"/>
  <c r="O744" i="17" s="1"/>
  <c r="N743" i="17"/>
  <c r="O743" i="17" s="1"/>
  <c r="N742" i="17"/>
  <c r="O742" i="17" s="1"/>
  <c r="N741" i="17"/>
  <c r="O741" i="17" s="1"/>
  <c r="N740" i="17"/>
  <c r="O740" i="17" s="1"/>
  <c r="N739" i="17"/>
  <c r="O739" i="17" s="1"/>
  <c r="N738" i="17"/>
  <c r="O738" i="17" s="1"/>
  <c r="N737" i="17"/>
  <c r="O737" i="17" s="1"/>
  <c r="N736" i="17"/>
  <c r="O736" i="17" s="1"/>
  <c r="N735" i="17"/>
  <c r="O735" i="17" s="1"/>
  <c r="N734" i="17"/>
  <c r="O734" i="17" s="1"/>
  <c r="N733" i="17"/>
  <c r="O733" i="17" s="1"/>
  <c r="N732" i="17"/>
  <c r="O732" i="17" s="1"/>
  <c r="N731" i="17"/>
  <c r="O731" i="17" s="1"/>
  <c r="N730" i="17"/>
  <c r="O730" i="17" s="1"/>
  <c r="N729" i="17"/>
  <c r="O729" i="17" s="1"/>
  <c r="N728" i="17"/>
  <c r="O728" i="17" s="1"/>
  <c r="N727" i="17"/>
  <c r="O727" i="17" s="1"/>
  <c r="N726" i="17"/>
  <c r="O726" i="17" s="1"/>
  <c r="N725" i="17"/>
  <c r="O725" i="17" s="1"/>
  <c r="N724" i="17"/>
  <c r="O724" i="17" s="1"/>
  <c r="N723" i="17"/>
  <c r="O723" i="17" s="1"/>
  <c r="N722" i="17"/>
  <c r="O722" i="17" s="1"/>
  <c r="N721" i="17"/>
  <c r="O721" i="17" s="1"/>
  <c r="N720" i="17"/>
  <c r="O720" i="17" s="1"/>
  <c r="N719" i="17"/>
  <c r="O719" i="17" s="1"/>
  <c r="N718" i="17"/>
  <c r="O718" i="17" s="1"/>
  <c r="N717" i="17"/>
  <c r="O717" i="17" s="1"/>
  <c r="N716" i="17"/>
  <c r="O716" i="17" s="1"/>
  <c r="N715" i="17"/>
  <c r="O715" i="17" s="1"/>
  <c r="N714" i="17"/>
  <c r="O714" i="17" s="1"/>
  <c r="N713" i="17"/>
  <c r="O713" i="17" s="1"/>
  <c r="N712" i="17"/>
  <c r="O712" i="17" s="1"/>
  <c r="N711" i="17"/>
  <c r="O711" i="17" s="1"/>
  <c r="N710" i="17"/>
  <c r="O710" i="17" s="1"/>
  <c r="N709" i="17"/>
  <c r="O709" i="17" s="1"/>
  <c r="N708" i="17"/>
  <c r="O708" i="17" s="1"/>
  <c r="N707" i="17"/>
  <c r="O707" i="17" s="1"/>
  <c r="N706" i="17"/>
  <c r="O706" i="17" s="1"/>
  <c r="N705" i="17"/>
  <c r="O705" i="17" s="1"/>
  <c r="N704" i="17"/>
  <c r="O704" i="17" s="1"/>
  <c r="N703" i="17"/>
  <c r="O703" i="17" s="1"/>
  <c r="N702" i="17"/>
  <c r="O702" i="17" s="1"/>
  <c r="N701" i="17"/>
  <c r="O701" i="17" s="1"/>
  <c r="N700" i="17"/>
  <c r="O700" i="17" s="1"/>
  <c r="N699" i="17"/>
  <c r="O699" i="17" s="1"/>
  <c r="N698" i="17"/>
  <c r="O698" i="17" s="1"/>
  <c r="N697" i="17"/>
  <c r="O697" i="17" s="1"/>
  <c r="N696" i="17"/>
  <c r="O696" i="17" s="1"/>
  <c r="N695" i="17"/>
  <c r="O695" i="17" s="1"/>
  <c r="N694" i="17"/>
  <c r="O694" i="17" s="1"/>
  <c r="N693" i="17"/>
  <c r="O693" i="17" s="1"/>
  <c r="N692" i="17"/>
  <c r="O692" i="17" s="1"/>
  <c r="N691" i="17"/>
  <c r="O691" i="17" s="1"/>
  <c r="N690" i="17"/>
  <c r="O690" i="17" s="1"/>
  <c r="N689" i="17"/>
  <c r="O689" i="17" s="1"/>
  <c r="N688" i="17"/>
  <c r="O688" i="17" s="1"/>
  <c r="N687" i="17"/>
  <c r="O687" i="17" s="1"/>
  <c r="N686" i="17"/>
  <c r="O686" i="17" s="1"/>
  <c r="N685" i="17"/>
  <c r="O685" i="17" s="1"/>
  <c r="N684" i="17"/>
  <c r="O684" i="17" s="1"/>
  <c r="N683" i="17"/>
  <c r="O683" i="17" s="1"/>
  <c r="N682" i="17"/>
  <c r="O682" i="17" s="1"/>
  <c r="N681" i="17"/>
  <c r="O681" i="17" s="1"/>
  <c r="N680" i="17"/>
  <c r="O680" i="17" s="1"/>
  <c r="N679" i="17"/>
  <c r="O679" i="17" s="1"/>
  <c r="N678" i="17"/>
  <c r="O678" i="17" s="1"/>
  <c r="N677" i="17"/>
  <c r="O677" i="17" s="1"/>
  <c r="N676" i="17"/>
  <c r="O676" i="17" s="1"/>
  <c r="N675" i="17"/>
  <c r="O675" i="17" s="1"/>
  <c r="N674" i="17"/>
  <c r="O674" i="17" s="1"/>
  <c r="N673" i="17"/>
  <c r="O673" i="17" s="1"/>
  <c r="N672" i="17"/>
  <c r="O672" i="17" s="1"/>
  <c r="N671" i="17"/>
  <c r="O671" i="17" s="1"/>
  <c r="N670" i="17"/>
  <c r="O670" i="17" s="1"/>
  <c r="N669" i="17"/>
  <c r="O669" i="17" s="1"/>
  <c r="N668" i="17"/>
  <c r="O668" i="17" s="1"/>
  <c r="N667" i="17"/>
  <c r="O667" i="17" s="1"/>
  <c r="N666" i="17"/>
  <c r="O666" i="17" s="1"/>
  <c r="N665" i="17"/>
  <c r="O665" i="17" s="1"/>
  <c r="N664" i="17"/>
  <c r="O664" i="17" s="1"/>
  <c r="N663" i="17"/>
  <c r="O663" i="17" s="1"/>
  <c r="N662" i="17"/>
  <c r="O662" i="17" s="1"/>
  <c r="N661" i="17"/>
  <c r="O661" i="17" s="1"/>
  <c r="N660" i="17"/>
  <c r="O660" i="17" s="1"/>
  <c r="N659" i="17"/>
  <c r="O659" i="17" s="1"/>
  <c r="N658" i="17"/>
  <c r="O658" i="17" s="1"/>
  <c r="N657" i="17"/>
  <c r="O657" i="17" s="1"/>
  <c r="N656" i="17"/>
  <c r="O656" i="17" s="1"/>
  <c r="N655" i="17"/>
  <c r="O655" i="17" s="1"/>
  <c r="N654" i="17"/>
  <c r="O654" i="17" s="1"/>
  <c r="N653" i="17"/>
  <c r="O653" i="17" s="1"/>
  <c r="N652" i="17"/>
  <c r="O652" i="17" s="1"/>
  <c r="N651" i="17"/>
  <c r="O651" i="17" s="1"/>
  <c r="N650" i="17"/>
  <c r="O650" i="17" s="1"/>
  <c r="N649" i="17"/>
  <c r="O649" i="17" s="1"/>
  <c r="N648" i="17"/>
  <c r="O648" i="17" s="1"/>
  <c r="N647" i="17"/>
  <c r="O647" i="17" s="1"/>
  <c r="N646" i="17"/>
  <c r="O646" i="17" s="1"/>
  <c r="N645" i="17"/>
  <c r="O645" i="17" s="1"/>
  <c r="N644" i="17"/>
  <c r="O644" i="17" s="1"/>
  <c r="N643" i="17"/>
  <c r="O643" i="17" s="1"/>
  <c r="N642" i="17"/>
  <c r="O642" i="17" s="1"/>
  <c r="N641" i="17"/>
  <c r="O641" i="17" s="1"/>
  <c r="N640" i="17"/>
  <c r="O640" i="17" s="1"/>
  <c r="N639" i="17"/>
  <c r="O639" i="17" s="1"/>
  <c r="N638" i="17"/>
  <c r="O638" i="17" s="1"/>
  <c r="N637" i="17"/>
  <c r="O637" i="17" s="1"/>
  <c r="N636" i="17"/>
  <c r="O636" i="17" s="1"/>
  <c r="N635" i="17"/>
  <c r="O635" i="17" s="1"/>
  <c r="N634" i="17"/>
  <c r="O634" i="17" s="1"/>
  <c r="N633" i="17"/>
  <c r="O633" i="17" s="1"/>
  <c r="N632" i="17"/>
  <c r="O632" i="17" s="1"/>
  <c r="N631" i="17"/>
  <c r="O631" i="17" s="1"/>
  <c r="N630" i="17"/>
  <c r="O630" i="17" s="1"/>
  <c r="N629" i="17"/>
  <c r="O629" i="17" s="1"/>
  <c r="N628" i="17"/>
  <c r="O628" i="17" s="1"/>
  <c r="N627" i="17"/>
  <c r="O627" i="17" s="1"/>
  <c r="N626" i="17"/>
  <c r="O626" i="17" s="1"/>
  <c r="N625" i="17"/>
  <c r="O625" i="17" s="1"/>
  <c r="N624" i="17"/>
  <c r="O624" i="17" s="1"/>
  <c r="N623" i="17"/>
  <c r="O623" i="17" s="1"/>
  <c r="N622" i="17"/>
  <c r="O622" i="17" s="1"/>
  <c r="N621" i="17"/>
  <c r="O621" i="17" s="1"/>
  <c r="N620" i="17"/>
  <c r="O620" i="17" s="1"/>
  <c r="N619" i="17"/>
  <c r="O619" i="17" s="1"/>
  <c r="N618" i="17"/>
  <c r="O618" i="17" s="1"/>
  <c r="N617" i="17"/>
  <c r="O617" i="17" s="1"/>
  <c r="N616" i="17"/>
  <c r="O616" i="17" s="1"/>
  <c r="N615" i="17"/>
  <c r="O615" i="17" s="1"/>
  <c r="N614" i="17"/>
  <c r="O614" i="17" s="1"/>
  <c r="N613" i="17"/>
  <c r="O613" i="17" s="1"/>
  <c r="N612" i="17"/>
  <c r="O612" i="17" s="1"/>
  <c r="N611" i="17"/>
  <c r="O611" i="17" s="1"/>
  <c r="N610" i="17"/>
  <c r="O610" i="17" s="1"/>
  <c r="N609" i="17"/>
  <c r="O609" i="17" s="1"/>
  <c r="N608" i="17"/>
  <c r="O608" i="17" s="1"/>
  <c r="N607" i="17"/>
  <c r="O607" i="17" s="1"/>
  <c r="N606" i="17"/>
  <c r="O606" i="17" s="1"/>
  <c r="N605" i="17"/>
  <c r="O605" i="17" s="1"/>
  <c r="N604" i="17"/>
  <c r="O604" i="17" s="1"/>
  <c r="N603" i="17"/>
  <c r="O603" i="17" s="1"/>
  <c r="N602" i="17"/>
  <c r="O602" i="17" s="1"/>
  <c r="N601" i="17"/>
  <c r="O601" i="17" s="1"/>
  <c r="N600" i="17"/>
  <c r="O600" i="17" s="1"/>
  <c r="N599" i="17"/>
  <c r="O599" i="17" s="1"/>
  <c r="N598" i="17"/>
  <c r="O598" i="17" s="1"/>
  <c r="N597" i="17"/>
  <c r="O597" i="17" s="1"/>
  <c r="N596" i="17"/>
  <c r="O596" i="17" s="1"/>
  <c r="N595" i="17"/>
  <c r="O595" i="17" s="1"/>
  <c r="N594" i="17"/>
  <c r="O594" i="17" s="1"/>
  <c r="N593" i="17"/>
  <c r="O593" i="17" s="1"/>
  <c r="N592" i="17"/>
  <c r="O592" i="17" s="1"/>
  <c r="N591" i="17"/>
  <c r="O591" i="17" s="1"/>
  <c r="N590" i="17"/>
  <c r="O590" i="17" s="1"/>
  <c r="N589" i="17"/>
  <c r="O589" i="17" s="1"/>
  <c r="N588" i="17"/>
  <c r="O588" i="17" s="1"/>
  <c r="N587" i="17"/>
  <c r="O587" i="17" s="1"/>
  <c r="N586" i="17"/>
  <c r="O586" i="17" s="1"/>
  <c r="N585" i="17"/>
  <c r="O585" i="17" s="1"/>
  <c r="N584" i="17"/>
  <c r="O584" i="17" s="1"/>
  <c r="N583" i="17"/>
  <c r="O583" i="17" s="1"/>
  <c r="N582" i="17"/>
  <c r="O582" i="17" s="1"/>
  <c r="N581" i="17"/>
  <c r="O581" i="17" s="1"/>
  <c r="N580" i="17"/>
  <c r="O580" i="17" s="1"/>
  <c r="N579" i="17"/>
  <c r="O579" i="17" s="1"/>
  <c r="N578" i="17"/>
  <c r="O578" i="17" s="1"/>
  <c r="N577" i="17"/>
  <c r="O577" i="17" s="1"/>
  <c r="N576" i="17"/>
  <c r="O576" i="17" s="1"/>
  <c r="N575" i="17"/>
  <c r="O575" i="17" s="1"/>
  <c r="N574" i="17"/>
  <c r="O574" i="17" s="1"/>
  <c r="N573" i="17"/>
  <c r="O573" i="17" s="1"/>
  <c r="N572" i="17"/>
  <c r="O572" i="17" s="1"/>
  <c r="N571" i="17"/>
  <c r="O571" i="17" s="1"/>
  <c r="N570" i="17"/>
  <c r="O570" i="17" s="1"/>
  <c r="N569" i="17"/>
  <c r="O569" i="17" s="1"/>
  <c r="N568" i="17"/>
  <c r="O568" i="17" s="1"/>
  <c r="N567" i="17"/>
  <c r="O567" i="17" s="1"/>
  <c r="N566" i="17"/>
  <c r="O566" i="17" s="1"/>
  <c r="N565" i="17"/>
  <c r="O565" i="17" s="1"/>
  <c r="N564" i="17"/>
  <c r="O564" i="17" s="1"/>
  <c r="N563" i="17"/>
  <c r="O563" i="17" s="1"/>
  <c r="N562" i="17"/>
  <c r="O562" i="17" s="1"/>
  <c r="N561" i="17"/>
  <c r="O561" i="17" s="1"/>
  <c r="N560" i="17"/>
  <c r="O560" i="17" s="1"/>
  <c r="N559" i="17"/>
  <c r="O559" i="17" s="1"/>
  <c r="N558" i="17"/>
  <c r="O558" i="17" s="1"/>
  <c r="N557" i="17"/>
  <c r="O557" i="17" s="1"/>
  <c r="N556" i="17"/>
  <c r="O556" i="17" s="1"/>
  <c r="N555" i="17"/>
  <c r="O555" i="17" s="1"/>
  <c r="N554" i="17"/>
  <c r="O554" i="17" s="1"/>
  <c r="N553" i="17"/>
  <c r="O553" i="17" s="1"/>
  <c r="N552" i="17"/>
  <c r="O552" i="17" s="1"/>
  <c r="N551" i="17"/>
  <c r="O551" i="17" s="1"/>
  <c r="N550" i="17"/>
  <c r="O550" i="17" s="1"/>
  <c r="N549" i="17"/>
  <c r="O549" i="17" s="1"/>
  <c r="N548" i="17"/>
  <c r="O548" i="17" s="1"/>
  <c r="N547" i="17"/>
  <c r="O547" i="17" s="1"/>
  <c r="N546" i="17"/>
  <c r="O546" i="17" s="1"/>
  <c r="N545" i="17"/>
  <c r="O545" i="17" s="1"/>
  <c r="N544" i="17"/>
  <c r="O544" i="17" s="1"/>
  <c r="N543" i="17"/>
  <c r="O543" i="17" s="1"/>
  <c r="N542" i="17"/>
  <c r="O542" i="17" s="1"/>
  <c r="N541" i="17"/>
  <c r="O541" i="17" s="1"/>
  <c r="N540" i="17"/>
  <c r="O540" i="17" s="1"/>
  <c r="N539" i="17"/>
  <c r="O539" i="17" s="1"/>
  <c r="N538" i="17"/>
  <c r="O538" i="17" s="1"/>
  <c r="N537" i="17"/>
  <c r="O537" i="17" s="1"/>
  <c r="N536" i="17"/>
  <c r="O536" i="17" s="1"/>
  <c r="N535" i="17"/>
  <c r="O535" i="17" s="1"/>
  <c r="N534" i="17"/>
  <c r="O534" i="17" s="1"/>
  <c r="N533" i="17"/>
  <c r="O533" i="17" s="1"/>
  <c r="N532" i="17"/>
  <c r="O532" i="17" s="1"/>
  <c r="N531" i="17"/>
  <c r="O531" i="17" s="1"/>
  <c r="N530" i="17"/>
  <c r="O530" i="17" s="1"/>
  <c r="N529" i="17"/>
  <c r="O529" i="17" s="1"/>
  <c r="N528" i="17"/>
  <c r="O528" i="17" s="1"/>
  <c r="N527" i="17"/>
  <c r="O527" i="17" s="1"/>
  <c r="N526" i="17"/>
  <c r="O526" i="17" s="1"/>
  <c r="N525" i="17"/>
  <c r="O525" i="17" s="1"/>
  <c r="N524" i="17"/>
  <c r="O524" i="17" s="1"/>
  <c r="N523" i="17"/>
  <c r="O523" i="17" s="1"/>
  <c r="N522" i="17"/>
  <c r="O522" i="17" s="1"/>
  <c r="N521" i="17"/>
  <c r="O521" i="17" s="1"/>
  <c r="N520" i="17"/>
  <c r="O520" i="17" s="1"/>
  <c r="N519" i="17"/>
  <c r="O519" i="17" s="1"/>
  <c r="N518" i="17"/>
  <c r="O518" i="17" s="1"/>
  <c r="N517" i="17"/>
  <c r="O517" i="17" s="1"/>
  <c r="N516" i="17"/>
  <c r="O516" i="17" s="1"/>
  <c r="N515" i="17"/>
  <c r="O515" i="17" s="1"/>
  <c r="N514" i="17"/>
  <c r="O514" i="17" s="1"/>
  <c r="N513" i="17"/>
  <c r="O513" i="17" s="1"/>
  <c r="N512" i="17"/>
  <c r="O512" i="17" s="1"/>
  <c r="N511" i="17"/>
  <c r="O511" i="17" s="1"/>
  <c r="N510" i="17"/>
  <c r="O510" i="17" s="1"/>
  <c r="N509" i="17"/>
  <c r="O509" i="17" s="1"/>
  <c r="N508" i="17"/>
  <c r="O508" i="17" s="1"/>
  <c r="N507" i="17"/>
  <c r="O507" i="17" s="1"/>
  <c r="N506" i="17"/>
  <c r="O506" i="17" s="1"/>
  <c r="N505" i="17"/>
  <c r="O505" i="17" s="1"/>
  <c r="N504" i="17"/>
  <c r="O504" i="17" s="1"/>
  <c r="N503" i="17"/>
  <c r="O503" i="17" s="1"/>
  <c r="N502" i="17"/>
  <c r="O502" i="17" s="1"/>
  <c r="N501" i="17"/>
  <c r="O501" i="17" s="1"/>
  <c r="N500" i="17"/>
  <c r="O500" i="17" s="1"/>
  <c r="N499" i="17"/>
  <c r="O499" i="17" s="1"/>
  <c r="N498" i="17"/>
  <c r="O498" i="17" s="1"/>
  <c r="N497" i="17"/>
  <c r="O497" i="17" s="1"/>
  <c r="N496" i="17"/>
  <c r="O496" i="17" s="1"/>
  <c r="N495" i="17"/>
  <c r="O495" i="17" s="1"/>
  <c r="N494" i="17"/>
  <c r="O494" i="17" s="1"/>
  <c r="N493" i="17"/>
  <c r="O493" i="17" s="1"/>
  <c r="N492" i="17"/>
  <c r="O492" i="17" s="1"/>
  <c r="N491" i="17"/>
  <c r="O491" i="17" s="1"/>
  <c r="N490" i="17"/>
  <c r="O490" i="17" s="1"/>
  <c r="N489" i="17"/>
  <c r="O489" i="17" s="1"/>
  <c r="N488" i="17"/>
  <c r="O488" i="17" s="1"/>
  <c r="N487" i="17"/>
  <c r="O487" i="17" s="1"/>
  <c r="N486" i="17"/>
  <c r="O486" i="17" s="1"/>
  <c r="N485" i="17"/>
  <c r="O485" i="17" s="1"/>
  <c r="N484" i="17"/>
  <c r="O484" i="17" s="1"/>
  <c r="N483" i="17"/>
  <c r="O483" i="17" s="1"/>
  <c r="N482" i="17"/>
  <c r="O482" i="17" s="1"/>
  <c r="N481" i="17"/>
  <c r="O481" i="17" s="1"/>
  <c r="N480" i="17"/>
  <c r="O480" i="17" s="1"/>
  <c r="N479" i="17"/>
  <c r="O479" i="17" s="1"/>
  <c r="N478" i="17"/>
  <c r="O478" i="17" s="1"/>
  <c r="N477" i="17"/>
  <c r="O477" i="17" s="1"/>
  <c r="N476" i="17"/>
  <c r="O476" i="17" s="1"/>
  <c r="N475" i="17"/>
  <c r="O475" i="17" s="1"/>
  <c r="N474" i="17"/>
  <c r="O474" i="17" s="1"/>
  <c r="N473" i="17"/>
  <c r="O473" i="17" s="1"/>
  <c r="N472" i="17"/>
  <c r="O472" i="17" s="1"/>
  <c r="N471" i="17"/>
  <c r="O471" i="17" s="1"/>
  <c r="N470" i="17"/>
  <c r="O470" i="17" s="1"/>
  <c r="N469" i="17"/>
  <c r="O469" i="17" s="1"/>
  <c r="N468" i="17"/>
  <c r="O468" i="17" s="1"/>
  <c r="N467" i="17"/>
  <c r="O467" i="17" s="1"/>
  <c r="N466" i="17"/>
  <c r="O466" i="17" s="1"/>
  <c r="N465" i="17"/>
  <c r="O465" i="17" s="1"/>
  <c r="N464" i="17"/>
  <c r="O464" i="17" s="1"/>
  <c r="N463" i="17"/>
  <c r="O463" i="17" s="1"/>
  <c r="N462" i="17"/>
  <c r="O462" i="17" s="1"/>
  <c r="N461" i="17"/>
  <c r="O461" i="17" s="1"/>
  <c r="N460" i="17"/>
  <c r="O460" i="17" s="1"/>
  <c r="N459" i="17"/>
  <c r="O459" i="17" s="1"/>
  <c r="N458" i="17"/>
  <c r="O458" i="17" s="1"/>
  <c r="N457" i="17"/>
  <c r="O457" i="17" s="1"/>
  <c r="N456" i="17"/>
  <c r="O456" i="17" s="1"/>
  <c r="N455" i="17"/>
  <c r="O455" i="17" s="1"/>
  <c r="N454" i="17"/>
  <c r="O454" i="17" s="1"/>
  <c r="N453" i="17"/>
  <c r="O453" i="17" s="1"/>
  <c r="N452" i="17"/>
  <c r="O452" i="17" s="1"/>
  <c r="N451" i="17"/>
  <c r="O451" i="17" s="1"/>
  <c r="N450" i="17"/>
  <c r="O450" i="17" s="1"/>
  <c r="N449" i="17"/>
  <c r="O449" i="17" s="1"/>
  <c r="N448" i="17"/>
  <c r="O448" i="17" s="1"/>
  <c r="N447" i="17"/>
  <c r="O447" i="17" s="1"/>
  <c r="N446" i="17"/>
  <c r="O446" i="17" s="1"/>
  <c r="N445" i="17"/>
  <c r="O445" i="17" s="1"/>
  <c r="N444" i="17"/>
  <c r="O444" i="17" s="1"/>
  <c r="N443" i="17"/>
  <c r="O443" i="17" s="1"/>
  <c r="N442" i="17"/>
  <c r="O442" i="17" s="1"/>
  <c r="N441" i="17"/>
  <c r="O441" i="17" s="1"/>
  <c r="N440" i="17"/>
  <c r="O440" i="17" s="1"/>
  <c r="N439" i="17"/>
  <c r="O439" i="17" s="1"/>
  <c r="N438" i="17"/>
  <c r="O438" i="17" s="1"/>
  <c r="N437" i="17"/>
  <c r="O437" i="17" s="1"/>
  <c r="N436" i="17"/>
  <c r="O436" i="17" s="1"/>
  <c r="N435" i="17"/>
  <c r="O435" i="17" s="1"/>
  <c r="N434" i="17"/>
  <c r="O434" i="17" s="1"/>
  <c r="N433" i="17"/>
  <c r="O433" i="17" s="1"/>
  <c r="N432" i="17"/>
  <c r="O432" i="17" s="1"/>
  <c r="N431" i="17"/>
  <c r="O431" i="17" s="1"/>
  <c r="N430" i="17"/>
  <c r="O430" i="17" s="1"/>
  <c r="N429" i="17"/>
  <c r="O429" i="17" s="1"/>
  <c r="N428" i="17"/>
  <c r="O428" i="17" s="1"/>
  <c r="N427" i="17"/>
  <c r="O427" i="17" s="1"/>
  <c r="N426" i="17"/>
  <c r="O426" i="17" s="1"/>
  <c r="N425" i="17"/>
  <c r="O425" i="17" s="1"/>
  <c r="N424" i="17"/>
  <c r="O424" i="17" s="1"/>
  <c r="N423" i="17"/>
  <c r="O423" i="17" s="1"/>
  <c r="N422" i="17"/>
  <c r="O422" i="17" s="1"/>
  <c r="N421" i="17"/>
  <c r="O421" i="17" s="1"/>
  <c r="N420" i="17"/>
  <c r="O420" i="17" s="1"/>
  <c r="N419" i="17"/>
  <c r="O419" i="17" s="1"/>
  <c r="N418" i="17"/>
  <c r="O418" i="17" s="1"/>
  <c r="N417" i="17"/>
  <c r="O417" i="17" s="1"/>
  <c r="N416" i="17"/>
  <c r="O416" i="17" s="1"/>
  <c r="N415" i="17"/>
  <c r="O415" i="17" s="1"/>
  <c r="N414" i="17"/>
  <c r="O414" i="17" s="1"/>
  <c r="N413" i="17"/>
  <c r="O413" i="17" s="1"/>
  <c r="N412" i="17"/>
  <c r="O412" i="17" s="1"/>
  <c r="N411" i="17"/>
  <c r="O411" i="17" s="1"/>
  <c r="N410" i="17"/>
  <c r="O410" i="17" s="1"/>
  <c r="N409" i="17"/>
  <c r="O409" i="17" s="1"/>
  <c r="N408" i="17"/>
  <c r="O408" i="17" s="1"/>
  <c r="N407" i="17"/>
  <c r="O407" i="17" s="1"/>
  <c r="N406" i="17"/>
  <c r="O406" i="17" s="1"/>
  <c r="N405" i="17"/>
  <c r="O405" i="17" s="1"/>
  <c r="N404" i="17"/>
  <c r="O404" i="17" s="1"/>
  <c r="N403" i="17"/>
  <c r="O403" i="17" s="1"/>
  <c r="N402" i="17"/>
  <c r="O402" i="17" s="1"/>
  <c r="N401" i="17"/>
  <c r="O401" i="17" s="1"/>
  <c r="N400" i="17"/>
  <c r="O400" i="17" s="1"/>
  <c r="N399" i="17"/>
  <c r="O399" i="17" s="1"/>
  <c r="N398" i="17"/>
  <c r="O398" i="17" s="1"/>
  <c r="N397" i="17"/>
  <c r="O397" i="17" s="1"/>
  <c r="N396" i="17"/>
  <c r="O396" i="17" s="1"/>
  <c r="N395" i="17"/>
  <c r="O395" i="17" s="1"/>
  <c r="N394" i="17"/>
  <c r="O394" i="17" s="1"/>
  <c r="N393" i="17"/>
  <c r="O393" i="17" s="1"/>
  <c r="N392" i="17"/>
  <c r="O392" i="17" s="1"/>
  <c r="N391" i="17"/>
  <c r="O391" i="17" s="1"/>
  <c r="N390" i="17"/>
  <c r="O390" i="17" s="1"/>
  <c r="N389" i="17"/>
  <c r="O389" i="17" s="1"/>
  <c r="N388" i="17"/>
  <c r="O388" i="17" s="1"/>
  <c r="N387" i="17"/>
  <c r="O387" i="17" s="1"/>
  <c r="N386" i="17"/>
  <c r="O386" i="17" s="1"/>
  <c r="N385" i="17"/>
  <c r="O385" i="17" s="1"/>
  <c r="N384" i="17"/>
  <c r="O384" i="17" s="1"/>
  <c r="N383" i="17"/>
  <c r="O383" i="17" s="1"/>
  <c r="N382" i="17"/>
  <c r="O382" i="17" s="1"/>
  <c r="N381" i="17"/>
  <c r="O381" i="17" s="1"/>
  <c r="N380" i="17"/>
  <c r="O380" i="17" s="1"/>
  <c r="N379" i="17"/>
  <c r="O379" i="17" s="1"/>
  <c r="N378" i="17"/>
  <c r="O378" i="17" s="1"/>
  <c r="N377" i="17"/>
  <c r="O377" i="17" s="1"/>
  <c r="N376" i="17"/>
  <c r="O376" i="17" s="1"/>
  <c r="N375" i="17"/>
  <c r="O375" i="17" s="1"/>
  <c r="N374" i="17"/>
  <c r="O374" i="17" s="1"/>
  <c r="N373" i="17"/>
  <c r="O373" i="17" s="1"/>
  <c r="N372" i="17"/>
  <c r="O372" i="17" s="1"/>
  <c r="N371" i="17"/>
  <c r="O371" i="17" s="1"/>
  <c r="N370" i="17"/>
  <c r="O370" i="17" s="1"/>
  <c r="N369" i="17"/>
  <c r="O369" i="17" s="1"/>
  <c r="N368" i="17"/>
  <c r="O368" i="17" s="1"/>
  <c r="N367" i="17"/>
  <c r="O367" i="17" s="1"/>
  <c r="N366" i="17"/>
  <c r="O366" i="17" s="1"/>
  <c r="N365" i="17"/>
  <c r="O365" i="17" s="1"/>
  <c r="N364" i="17"/>
  <c r="O364" i="17" s="1"/>
  <c r="N363" i="17"/>
  <c r="O363" i="17" s="1"/>
  <c r="N362" i="17"/>
  <c r="O362" i="17" s="1"/>
  <c r="N361" i="17"/>
  <c r="O361" i="17" s="1"/>
  <c r="N360" i="17"/>
  <c r="O360" i="17" s="1"/>
  <c r="N359" i="17"/>
  <c r="O359" i="17" s="1"/>
  <c r="N358" i="17"/>
  <c r="O358" i="17" s="1"/>
  <c r="N357" i="17"/>
  <c r="O357" i="17" s="1"/>
  <c r="N356" i="17"/>
  <c r="O356" i="17" s="1"/>
  <c r="N355" i="17"/>
  <c r="O355" i="17" s="1"/>
  <c r="N354" i="17"/>
  <c r="O354" i="17" s="1"/>
  <c r="N353" i="17"/>
  <c r="O353" i="17" s="1"/>
  <c r="N352" i="17"/>
  <c r="O352" i="17" s="1"/>
  <c r="N351" i="17"/>
  <c r="O351" i="17" s="1"/>
  <c r="N350" i="17"/>
  <c r="O350" i="17" s="1"/>
  <c r="N349" i="17"/>
  <c r="O349" i="17" s="1"/>
  <c r="N348" i="17"/>
  <c r="O348" i="17" s="1"/>
  <c r="N347" i="17"/>
  <c r="O347" i="17" s="1"/>
  <c r="N346" i="17"/>
  <c r="O346" i="17" s="1"/>
  <c r="N345" i="17"/>
  <c r="O345" i="17" s="1"/>
  <c r="N344" i="17"/>
  <c r="O344" i="17" s="1"/>
  <c r="N343" i="17"/>
  <c r="O343" i="17" s="1"/>
  <c r="N342" i="17"/>
  <c r="O342" i="17" s="1"/>
  <c r="N341" i="17"/>
  <c r="O341" i="17" s="1"/>
  <c r="N340" i="17"/>
  <c r="O340" i="17" s="1"/>
  <c r="N339" i="17"/>
  <c r="O339" i="17" s="1"/>
  <c r="N338" i="17"/>
  <c r="O338" i="17" s="1"/>
  <c r="N337" i="17"/>
  <c r="O337" i="17" s="1"/>
  <c r="N336" i="17"/>
  <c r="O336" i="17" s="1"/>
  <c r="N335" i="17"/>
  <c r="O335" i="17" s="1"/>
  <c r="N334" i="17"/>
  <c r="O334" i="17" s="1"/>
  <c r="N333" i="17"/>
  <c r="O333" i="17" s="1"/>
  <c r="N332" i="17"/>
  <c r="O332" i="17" s="1"/>
  <c r="N331" i="17"/>
  <c r="O331" i="17" s="1"/>
  <c r="N330" i="17"/>
  <c r="O330" i="17" s="1"/>
  <c r="N329" i="17"/>
  <c r="O329" i="17" s="1"/>
  <c r="N328" i="17"/>
  <c r="O328" i="17" s="1"/>
  <c r="N327" i="17"/>
  <c r="O327" i="17" s="1"/>
  <c r="N326" i="17"/>
  <c r="O326" i="17" s="1"/>
  <c r="N325" i="17"/>
  <c r="O325" i="17" s="1"/>
  <c r="N324" i="17"/>
  <c r="O324" i="17" s="1"/>
  <c r="N323" i="17"/>
  <c r="O323" i="17" s="1"/>
  <c r="N322" i="17"/>
  <c r="O322" i="17" s="1"/>
  <c r="N321" i="17"/>
  <c r="O321" i="17" s="1"/>
  <c r="N320" i="17"/>
  <c r="O320" i="17" s="1"/>
  <c r="N319" i="17"/>
  <c r="O319" i="17" s="1"/>
  <c r="N318" i="17"/>
  <c r="O318" i="17" s="1"/>
  <c r="N317" i="17"/>
  <c r="O317" i="17" s="1"/>
  <c r="N316" i="17"/>
  <c r="O316" i="17" s="1"/>
  <c r="N315" i="17"/>
  <c r="O315" i="17" s="1"/>
  <c r="N314" i="17"/>
  <c r="O314" i="17" s="1"/>
  <c r="N313" i="17"/>
  <c r="O313" i="17" s="1"/>
  <c r="N312" i="17"/>
  <c r="O312" i="17" s="1"/>
  <c r="N311" i="17"/>
  <c r="O311" i="17" s="1"/>
  <c r="N310" i="17"/>
  <c r="O310" i="17" s="1"/>
  <c r="N309" i="17"/>
  <c r="O309" i="17" s="1"/>
  <c r="N308" i="17"/>
  <c r="O308" i="17" s="1"/>
  <c r="N307" i="17"/>
  <c r="O307" i="17" s="1"/>
  <c r="N306" i="17"/>
  <c r="O306" i="17" s="1"/>
  <c r="N305" i="17"/>
  <c r="O305" i="17" s="1"/>
  <c r="N304" i="17"/>
  <c r="O304" i="17" s="1"/>
  <c r="N303" i="17"/>
  <c r="O303" i="17" s="1"/>
  <c r="N302" i="17"/>
  <c r="O302" i="17" s="1"/>
  <c r="N301" i="17"/>
  <c r="O301" i="17" s="1"/>
  <c r="N300" i="17"/>
  <c r="O300" i="17" s="1"/>
  <c r="N299" i="17"/>
  <c r="O299" i="17" s="1"/>
  <c r="N298" i="17"/>
  <c r="O298" i="17" s="1"/>
  <c r="N297" i="17"/>
  <c r="O297" i="17" s="1"/>
  <c r="N296" i="17"/>
  <c r="O296" i="17" s="1"/>
  <c r="N295" i="17"/>
  <c r="O295" i="17" s="1"/>
  <c r="N294" i="17"/>
  <c r="O294" i="17" s="1"/>
  <c r="N293" i="17"/>
  <c r="O293" i="17" s="1"/>
  <c r="N292" i="17"/>
  <c r="O292" i="17" s="1"/>
  <c r="N291" i="17"/>
  <c r="O291" i="17" s="1"/>
  <c r="N290" i="17"/>
  <c r="O290" i="17" s="1"/>
  <c r="N289" i="17"/>
  <c r="O289" i="17" s="1"/>
  <c r="N288" i="17"/>
  <c r="O288" i="17" s="1"/>
  <c r="N287" i="17"/>
  <c r="O287" i="17" s="1"/>
  <c r="N286" i="17"/>
  <c r="O286" i="17" s="1"/>
  <c r="N285" i="17"/>
  <c r="O285" i="17" s="1"/>
  <c r="N284" i="17"/>
  <c r="O284" i="17" s="1"/>
  <c r="N283" i="17"/>
  <c r="O283" i="17" s="1"/>
  <c r="N282" i="17"/>
  <c r="O282" i="17" s="1"/>
  <c r="N281" i="17"/>
  <c r="O281" i="17" s="1"/>
  <c r="N280" i="17"/>
  <c r="O280" i="17" s="1"/>
  <c r="N279" i="17"/>
  <c r="O279" i="17" s="1"/>
  <c r="N278" i="17"/>
  <c r="O278" i="17" s="1"/>
  <c r="N277" i="17"/>
  <c r="O277" i="17" s="1"/>
  <c r="N276" i="17"/>
  <c r="O276" i="17" s="1"/>
  <c r="N275" i="17"/>
  <c r="O275" i="17" s="1"/>
  <c r="N274" i="17"/>
  <c r="O274" i="17" s="1"/>
  <c r="N273" i="17"/>
  <c r="O273" i="17" s="1"/>
  <c r="N272" i="17"/>
  <c r="O272" i="17" s="1"/>
  <c r="N271" i="17"/>
  <c r="O271" i="17" s="1"/>
  <c r="N270" i="17"/>
  <c r="O270" i="17" s="1"/>
  <c r="N269" i="17"/>
  <c r="O269" i="17" s="1"/>
  <c r="N268" i="17"/>
  <c r="O268" i="17" s="1"/>
  <c r="N267" i="17"/>
  <c r="O267" i="17" s="1"/>
  <c r="N266" i="17"/>
  <c r="O266" i="17" s="1"/>
  <c r="N265" i="17"/>
  <c r="O265" i="17" s="1"/>
  <c r="N264" i="17"/>
  <c r="O264" i="17" s="1"/>
  <c r="N263" i="17"/>
  <c r="O263" i="17" s="1"/>
  <c r="N262" i="17"/>
  <c r="O262" i="17" s="1"/>
  <c r="N261" i="17"/>
  <c r="O261" i="17" s="1"/>
  <c r="N260" i="17"/>
  <c r="O260" i="17" s="1"/>
  <c r="N259" i="17"/>
  <c r="O259" i="17" s="1"/>
  <c r="N258" i="17"/>
  <c r="O258" i="17" s="1"/>
  <c r="N257" i="17"/>
  <c r="O257" i="17" s="1"/>
  <c r="N256" i="17"/>
  <c r="O256" i="17" s="1"/>
  <c r="N255" i="17"/>
  <c r="O255" i="17" s="1"/>
  <c r="N254" i="17"/>
  <c r="O254" i="17" s="1"/>
  <c r="N253" i="17"/>
  <c r="O253" i="17" s="1"/>
  <c r="N252" i="17"/>
  <c r="O252" i="17" s="1"/>
  <c r="N251" i="17"/>
  <c r="O251" i="17" s="1"/>
  <c r="N250" i="17"/>
  <c r="O250" i="17" s="1"/>
  <c r="N249" i="17"/>
  <c r="O249" i="17" s="1"/>
  <c r="N248" i="17"/>
  <c r="O248" i="17" s="1"/>
  <c r="N247" i="17"/>
  <c r="O247" i="17" s="1"/>
  <c r="N246" i="17"/>
  <c r="O246" i="17" s="1"/>
  <c r="N245" i="17"/>
  <c r="O245" i="17" s="1"/>
  <c r="N244" i="17"/>
  <c r="O244" i="17" s="1"/>
  <c r="N243" i="17"/>
  <c r="O243" i="17" s="1"/>
  <c r="N242" i="17"/>
  <c r="O242" i="17" s="1"/>
  <c r="N241" i="17"/>
  <c r="O241" i="17" s="1"/>
  <c r="N240" i="17"/>
  <c r="O240" i="17" s="1"/>
  <c r="N239" i="17"/>
  <c r="O239" i="17" s="1"/>
  <c r="N238" i="17"/>
  <c r="O238" i="17" s="1"/>
  <c r="N237" i="17"/>
  <c r="O237" i="17" s="1"/>
  <c r="N236" i="17"/>
  <c r="O236" i="17" s="1"/>
  <c r="N235" i="17"/>
  <c r="O235" i="17" s="1"/>
  <c r="N234" i="17"/>
  <c r="O234" i="17" s="1"/>
  <c r="N233" i="17"/>
  <c r="O233" i="17" s="1"/>
  <c r="N232" i="17"/>
  <c r="O232" i="17" s="1"/>
  <c r="N231" i="17"/>
  <c r="O231" i="17" s="1"/>
  <c r="N230" i="17"/>
  <c r="O230" i="17" s="1"/>
  <c r="N229" i="17"/>
  <c r="O229" i="17" s="1"/>
  <c r="N228" i="17"/>
  <c r="O228" i="17" s="1"/>
  <c r="N227" i="17"/>
  <c r="O227" i="17" s="1"/>
  <c r="N226" i="17"/>
  <c r="O226" i="17" s="1"/>
  <c r="N225" i="17"/>
  <c r="O225" i="17" s="1"/>
  <c r="N224" i="17"/>
  <c r="O224" i="17" s="1"/>
  <c r="N223" i="17"/>
  <c r="O223" i="17" s="1"/>
  <c r="N222" i="17"/>
  <c r="O222" i="17" s="1"/>
  <c r="N221" i="17"/>
  <c r="O221" i="17" s="1"/>
  <c r="N220" i="17"/>
  <c r="O220" i="17" s="1"/>
  <c r="N219" i="17"/>
  <c r="O219" i="17" s="1"/>
  <c r="N218" i="17"/>
  <c r="O218" i="17" s="1"/>
  <c r="N217" i="17"/>
  <c r="O217" i="17" s="1"/>
  <c r="N216" i="17"/>
  <c r="O216" i="17" s="1"/>
  <c r="N215" i="17"/>
  <c r="O215" i="17" s="1"/>
  <c r="N214" i="17"/>
  <c r="O214" i="17" s="1"/>
  <c r="N213" i="17"/>
  <c r="O213" i="17" s="1"/>
  <c r="N212" i="17"/>
  <c r="O212" i="17" s="1"/>
  <c r="N211" i="17"/>
  <c r="O211" i="17" s="1"/>
  <c r="N210" i="17"/>
  <c r="O210" i="17" s="1"/>
  <c r="N209" i="17"/>
  <c r="O209" i="17" s="1"/>
  <c r="N208" i="17"/>
  <c r="O208" i="17" s="1"/>
  <c r="N207" i="17"/>
  <c r="O207" i="17" s="1"/>
  <c r="N206" i="17"/>
  <c r="O206" i="17" s="1"/>
  <c r="N205" i="17"/>
  <c r="O205" i="17" s="1"/>
  <c r="N204" i="17"/>
  <c r="O204" i="17" s="1"/>
  <c r="N203" i="17"/>
  <c r="O203" i="17" s="1"/>
  <c r="N202" i="17"/>
  <c r="O202" i="17" s="1"/>
  <c r="N201" i="17"/>
  <c r="O201" i="17" s="1"/>
  <c r="N200" i="17"/>
  <c r="O200" i="17" s="1"/>
  <c r="N199" i="17"/>
  <c r="O199" i="17" s="1"/>
  <c r="N198" i="17"/>
  <c r="O198" i="17" s="1"/>
  <c r="N197" i="17"/>
  <c r="O197" i="17" s="1"/>
  <c r="N196" i="17"/>
  <c r="O196" i="17" s="1"/>
  <c r="N195" i="17"/>
  <c r="O195" i="17" s="1"/>
  <c r="N194" i="17"/>
  <c r="O194" i="17" s="1"/>
  <c r="N193" i="17"/>
  <c r="O193" i="17" s="1"/>
  <c r="N192" i="17"/>
  <c r="O192" i="17" s="1"/>
  <c r="N191" i="17"/>
  <c r="O191" i="17" s="1"/>
  <c r="N190" i="17"/>
  <c r="O190" i="17" s="1"/>
  <c r="N189" i="17"/>
  <c r="O189" i="17" s="1"/>
  <c r="N188" i="17"/>
  <c r="O188" i="17" s="1"/>
  <c r="N187" i="17"/>
  <c r="O187" i="17" s="1"/>
  <c r="N186" i="17"/>
  <c r="O186" i="17" s="1"/>
  <c r="N185" i="17"/>
  <c r="O185" i="17" s="1"/>
  <c r="N184" i="17"/>
  <c r="O184" i="17" s="1"/>
  <c r="N183" i="17"/>
  <c r="O183" i="17" s="1"/>
  <c r="N182" i="17"/>
  <c r="O182" i="17" s="1"/>
  <c r="N181" i="17"/>
  <c r="O181" i="17" s="1"/>
  <c r="N180" i="17"/>
  <c r="O180" i="17" s="1"/>
  <c r="N179" i="17"/>
  <c r="O179" i="17" s="1"/>
  <c r="N178" i="17"/>
  <c r="O178" i="17" s="1"/>
  <c r="N177" i="17"/>
  <c r="O177" i="17" s="1"/>
  <c r="N176" i="17"/>
  <c r="O176" i="17" s="1"/>
  <c r="N175" i="17"/>
  <c r="O175" i="17" s="1"/>
  <c r="N174" i="17"/>
  <c r="O174" i="17" s="1"/>
  <c r="N173" i="17"/>
  <c r="O173" i="17" s="1"/>
  <c r="N172" i="17"/>
  <c r="O172" i="17" s="1"/>
  <c r="N171" i="17"/>
  <c r="O171" i="17" s="1"/>
  <c r="N170" i="17"/>
  <c r="O170" i="17" s="1"/>
  <c r="N169" i="17"/>
  <c r="O169" i="17" s="1"/>
  <c r="N168" i="17"/>
  <c r="O168" i="17" s="1"/>
  <c r="N167" i="17"/>
  <c r="O167" i="17" s="1"/>
  <c r="N166" i="17"/>
  <c r="O166" i="17" s="1"/>
  <c r="N165" i="17"/>
  <c r="O165" i="17" s="1"/>
  <c r="N164" i="17"/>
  <c r="O164" i="17" s="1"/>
  <c r="N163" i="17"/>
  <c r="O163" i="17" s="1"/>
  <c r="N162" i="17"/>
  <c r="O162" i="17" s="1"/>
  <c r="N161" i="17"/>
  <c r="O161" i="17" s="1"/>
  <c r="N160" i="17"/>
  <c r="O160" i="17" s="1"/>
  <c r="N159" i="17"/>
  <c r="O159" i="17" s="1"/>
  <c r="N158" i="17"/>
  <c r="O158" i="17" s="1"/>
  <c r="N157" i="17"/>
  <c r="O157" i="17" s="1"/>
  <c r="N156" i="17"/>
  <c r="O156" i="17" s="1"/>
  <c r="N155" i="17"/>
  <c r="O155" i="17" s="1"/>
  <c r="N154" i="17"/>
  <c r="O154" i="17" s="1"/>
  <c r="N153" i="17"/>
  <c r="O153" i="17" s="1"/>
  <c r="N152" i="17"/>
  <c r="O152" i="17" s="1"/>
  <c r="N151" i="17"/>
  <c r="O151" i="17" s="1"/>
  <c r="N150" i="17"/>
  <c r="O150" i="17" s="1"/>
  <c r="N149" i="17"/>
  <c r="O149" i="17" s="1"/>
  <c r="N148" i="17"/>
  <c r="O148" i="17" s="1"/>
  <c r="N147" i="17"/>
  <c r="O147" i="17" s="1"/>
  <c r="N146" i="17"/>
  <c r="O146" i="17" s="1"/>
  <c r="N145" i="17"/>
  <c r="O145" i="17" s="1"/>
  <c r="N144" i="17"/>
  <c r="O144" i="17" s="1"/>
  <c r="N143" i="17"/>
  <c r="O143" i="17" s="1"/>
  <c r="N142" i="17"/>
  <c r="O142" i="17" s="1"/>
  <c r="N141" i="17"/>
  <c r="O141" i="17" s="1"/>
  <c r="N140" i="17"/>
  <c r="O140" i="17" s="1"/>
  <c r="N139" i="17"/>
  <c r="O139" i="17" s="1"/>
  <c r="N138" i="17"/>
  <c r="O138" i="17" s="1"/>
  <c r="N137" i="17"/>
  <c r="O137" i="17" s="1"/>
  <c r="N136" i="17"/>
  <c r="O136" i="17" s="1"/>
  <c r="N135" i="17"/>
  <c r="O135" i="17" s="1"/>
  <c r="N134" i="17"/>
  <c r="O134" i="17" s="1"/>
  <c r="N133" i="17"/>
  <c r="O133" i="17" s="1"/>
  <c r="N132" i="17"/>
  <c r="O132" i="17" s="1"/>
  <c r="N131" i="17"/>
  <c r="O131" i="17" s="1"/>
  <c r="N130" i="17"/>
  <c r="O130" i="17" s="1"/>
  <c r="N129" i="17"/>
  <c r="O129" i="17" s="1"/>
  <c r="N128" i="17"/>
  <c r="O128" i="17" s="1"/>
  <c r="N127" i="17"/>
  <c r="O127" i="17" s="1"/>
  <c r="N126" i="17"/>
  <c r="O126" i="17" s="1"/>
  <c r="N125" i="17"/>
  <c r="O125" i="17" s="1"/>
  <c r="N124" i="17"/>
  <c r="O124" i="17" s="1"/>
  <c r="N123" i="17"/>
  <c r="O123" i="17" s="1"/>
  <c r="N122" i="17"/>
  <c r="O122" i="17" s="1"/>
  <c r="N121" i="17"/>
  <c r="O121" i="17" s="1"/>
  <c r="N120" i="17"/>
  <c r="O120" i="17" s="1"/>
  <c r="N119" i="17"/>
  <c r="O119" i="17" s="1"/>
  <c r="N118" i="17"/>
  <c r="O118" i="17" s="1"/>
  <c r="N117" i="17"/>
  <c r="O117" i="17" s="1"/>
  <c r="N116" i="17"/>
  <c r="O116" i="17" s="1"/>
  <c r="N115" i="17"/>
  <c r="O115" i="17" s="1"/>
  <c r="N114" i="17"/>
  <c r="O114" i="17" s="1"/>
  <c r="N113" i="17"/>
  <c r="O113" i="17" s="1"/>
  <c r="N112" i="17"/>
  <c r="O112" i="17" s="1"/>
  <c r="N111" i="17"/>
  <c r="O111" i="17" s="1"/>
  <c r="N110" i="17"/>
  <c r="O110" i="17" s="1"/>
  <c r="N109" i="17"/>
  <c r="O109" i="17" s="1"/>
  <c r="N108" i="17"/>
  <c r="O108" i="17" s="1"/>
  <c r="N107" i="17"/>
  <c r="O107" i="17" s="1"/>
  <c r="N106" i="17"/>
  <c r="O106" i="17" s="1"/>
  <c r="N105" i="17"/>
  <c r="O105" i="17" s="1"/>
  <c r="N104" i="17"/>
  <c r="O104" i="17" s="1"/>
  <c r="N103" i="17"/>
  <c r="O103" i="17" s="1"/>
  <c r="N102" i="17"/>
  <c r="O102" i="17" s="1"/>
  <c r="N101" i="17"/>
  <c r="O101" i="17" s="1"/>
  <c r="N100" i="17"/>
  <c r="O100" i="17" s="1"/>
  <c r="N99" i="17"/>
  <c r="O99" i="17" s="1"/>
  <c r="N98" i="17"/>
  <c r="O98" i="17" s="1"/>
  <c r="N97" i="17"/>
  <c r="O97" i="17" s="1"/>
  <c r="N96" i="17"/>
  <c r="O96" i="17" s="1"/>
  <c r="N95" i="17"/>
  <c r="O95" i="17" s="1"/>
  <c r="N94" i="17"/>
  <c r="O94" i="17" s="1"/>
  <c r="N93" i="17"/>
  <c r="O93" i="17" s="1"/>
  <c r="N92" i="17"/>
  <c r="O92" i="17" s="1"/>
  <c r="N91" i="17"/>
  <c r="O91" i="17" s="1"/>
  <c r="N90" i="17"/>
  <c r="O90" i="17" s="1"/>
  <c r="N89" i="17"/>
  <c r="O89" i="17" s="1"/>
  <c r="N88" i="17"/>
  <c r="O88" i="17" s="1"/>
  <c r="N87" i="17"/>
  <c r="O87" i="17" s="1"/>
  <c r="N86" i="17"/>
  <c r="O86" i="17" s="1"/>
  <c r="N85" i="17"/>
  <c r="O85" i="17" s="1"/>
  <c r="N84" i="17"/>
  <c r="O84" i="17" s="1"/>
  <c r="N83" i="17"/>
  <c r="O83" i="17" s="1"/>
  <c r="N82" i="17"/>
  <c r="O82" i="17" s="1"/>
  <c r="N81" i="17"/>
  <c r="O81" i="17" s="1"/>
  <c r="N80" i="17"/>
  <c r="O80" i="17" s="1"/>
  <c r="N79" i="17"/>
  <c r="O79" i="17" s="1"/>
  <c r="N78" i="17"/>
  <c r="O78" i="17" s="1"/>
  <c r="N77" i="17"/>
  <c r="O77" i="17" s="1"/>
  <c r="N76" i="17"/>
  <c r="O76" i="17" s="1"/>
  <c r="N75" i="17"/>
  <c r="O75" i="17" s="1"/>
  <c r="N74" i="17"/>
  <c r="O74" i="17" s="1"/>
  <c r="N73" i="17"/>
  <c r="O73" i="17" s="1"/>
  <c r="N72" i="17"/>
  <c r="O72" i="17" s="1"/>
  <c r="N71" i="17"/>
  <c r="O71" i="17" s="1"/>
  <c r="N70" i="17"/>
  <c r="O70" i="17" s="1"/>
  <c r="N69" i="17"/>
  <c r="O69" i="17" s="1"/>
  <c r="N68" i="17"/>
  <c r="O68" i="17" s="1"/>
  <c r="N67" i="17"/>
  <c r="O67" i="17" s="1"/>
  <c r="N66" i="17"/>
  <c r="O66" i="17" s="1"/>
  <c r="N65" i="17"/>
  <c r="O65" i="17" s="1"/>
  <c r="N64" i="17"/>
  <c r="O64" i="17" s="1"/>
  <c r="N63" i="17"/>
  <c r="O63" i="17" s="1"/>
  <c r="N62" i="17"/>
  <c r="O62" i="17" s="1"/>
  <c r="N61" i="17"/>
  <c r="O61" i="17" s="1"/>
  <c r="N60" i="17"/>
  <c r="O60" i="17" s="1"/>
  <c r="N59" i="17"/>
  <c r="O59" i="17" s="1"/>
  <c r="N58" i="17"/>
  <c r="O58" i="17" s="1"/>
  <c r="N57" i="17"/>
  <c r="O57" i="17" s="1"/>
  <c r="N56" i="17"/>
  <c r="O56" i="17" s="1"/>
  <c r="N55" i="17"/>
  <c r="O55" i="17" s="1"/>
  <c r="N54" i="17"/>
  <c r="O54" i="17" s="1"/>
  <c r="N53" i="17"/>
  <c r="O53" i="17" s="1"/>
  <c r="N52" i="17"/>
  <c r="O52" i="17" s="1"/>
  <c r="N51" i="17"/>
  <c r="O51" i="17" s="1"/>
  <c r="N50" i="17"/>
  <c r="O50" i="17" s="1"/>
  <c r="N49" i="17"/>
  <c r="O49" i="17" s="1"/>
  <c r="N48" i="17"/>
  <c r="O48" i="17" s="1"/>
  <c r="N47" i="17"/>
  <c r="O47" i="17" s="1"/>
  <c r="N46" i="17"/>
  <c r="O46" i="17" s="1"/>
  <c r="N45" i="17"/>
  <c r="O45" i="17" s="1"/>
  <c r="N44" i="17"/>
  <c r="O44" i="17" s="1"/>
  <c r="N43" i="17"/>
  <c r="O43" i="17" s="1"/>
  <c r="N42" i="17"/>
  <c r="O42" i="17" s="1"/>
  <c r="N41" i="17"/>
  <c r="O41" i="17" s="1"/>
  <c r="N40" i="17"/>
  <c r="O40" i="17" s="1"/>
  <c r="N39" i="17"/>
  <c r="O39" i="17" s="1"/>
  <c r="N38" i="17"/>
  <c r="O38" i="17" s="1"/>
  <c r="N37" i="17"/>
  <c r="O37" i="17" s="1"/>
  <c r="N36" i="17"/>
  <c r="O36" i="17" s="1"/>
  <c r="N35" i="17"/>
  <c r="O35" i="17" s="1"/>
  <c r="N34" i="17"/>
  <c r="O34" i="17" s="1"/>
  <c r="N33" i="17"/>
  <c r="O33" i="17" s="1"/>
  <c r="N32" i="17"/>
  <c r="O32" i="17" s="1"/>
  <c r="N31" i="17"/>
  <c r="O31" i="17" s="1"/>
  <c r="N30" i="17"/>
  <c r="O30" i="17" s="1"/>
  <c r="N29" i="17"/>
  <c r="O29" i="17" s="1"/>
  <c r="N28" i="17"/>
  <c r="O28" i="17" s="1"/>
  <c r="N27" i="17"/>
  <c r="O27" i="17" s="1"/>
  <c r="N26" i="17"/>
  <c r="O26" i="17" s="1"/>
  <c r="N25" i="17"/>
  <c r="O25" i="17" s="1"/>
  <c r="N24" i="17"/>
  <c r="O24" i="17" s="1"/>
  <c r="N23" i="17"/>
  <c r="O23" i="17" s="1"/>
  <c r="N22" i="17"/>
  <c r="O22" i="17" s="1"/>
  <c r="N21" i="17"/>
  <c r="O21" i="17" s="1"/>
  <c r="N20" i="17"/>
  <c r="O20" i="17" s="1"/>
  <c r="N19" i="17"/>
  <c r="O19" i="17" s="1"/>
  <c r="N18" i="17"/>
  <c r="O18" i="17" s="1"/>
  <c r="N17" i="17"/>
  <c r="O17" i="17" s="1"/>
  <c r="N16" i="17"/>
  <c r="O16" i="17" s="1"/>
  <c r="N15" i="17"/>
  <c r="O15" i="17" s="1"/>
  <c r="N14" i="17"/>
  <c r="O14" i="17" s="1"/>
  <c r="N13" i="17"/>
  <c r="O13" i="17" s="1"/>
  <c r="N12" i="17"/>
  <c r="O12" i="17" s="1"/>
  <c r="N8" i="17"/>
  <c r="O8" i="17" s="1"/>
  <c r="N9" i="17"/>
  <c r="O9" i="17" s="1"/>
  <c r="N10" i="17"/>
  <c r="O10" i="17" s="1"/>
  <c r="N11" i="17"/>
  <c r="O11" i="17" s="1"/>
  <c r="N7" i="17"/>
  <c r="O7" i="17" s="1"/>
  <c r="N6" i="17"/>
  <c r="O6" i="17" s="1"/>
  <c r="N8" i="10"/>
  <c r="O8" i="10" s="1"/>
  <c r="N7" i="10"/>
  <c r="O7" i="10" s="1"/>
  <c r="N1605" i="10"/>
  <c r="O1605" i="10" s="1"/>
  <c r="N1604" i="10"/>
  <c r="O1604" i="10" s="1"/>
  <c r="N1603" i="10"/>
  <c r="O1603" i="10" s="1"/>
  <c r="N1602" i="10"/>
  <c r="O1602" i="10" s="1"/>
  <c r="N1601" i="10"/>
  <c r="O1601" i="10" s="1"/>
  <c r="N1600" i="10"/>
  <c r="O1600" i="10" s="1"/>
  <c r="N1599" i="10"/>
  <c r="O1599" i="10" s="1"/>
  <c r="N1598" i="10"/>
  <c r="O1598" i="10" s="1"/>
  <c r="N1597" i="10"/>
  <c r="O1597" i="10" s="1"/>
  <c r="N1596" i="10"/>
  <c r="O1596" i="10" s="1"/>
  <c r="N1595" i="10"/>
  <c r="O1595" i="10" s="1"/>
  <c r="N1594" i="10"/>
  <c r="O1594" i="10" s="1"/>
  <c r="N1593" i="10"/>
  <c r="O1593" i="10" s="1"/>
  <c r="N1592" i="10"/>
  <c r="O1592" i="10" s="1"/>
  <c r="N1591" i="10"/>
  <c r="O1591" i="10" s="1"/>
  <c r="N1590" i="10"/>
  <c r="O1590" i="10" s="1"/>
  <c r="N1589" i="10"/>
  <c r="O1589" i="10" s="1"/>
  <c r="N1588" i="10"/>
  <c r="O1588" i="10" s="1"/>
  <c r="N1587" i="10"/>
  <c r="O1587" i="10" s="1"/>
  <c r="N1586" i="10"/>
  <c r="O1586" i="10" s="1"/>
  <c r="N1585" i="10"/>
  <c r="O1585" i="10" s="1"/>
  <c r="N1584" i="10"/>
  <c r="O1584" i="10" s="1"/>
  <c r="N1583" i="10"/>
  <c r="O1583" i="10" s="1"/>
  <c r="N1582" i="10"/>
  <c r="O1582" i="10" s="1"/>
  <c r="N1581" i="10"/>
  <c r="O1581" i="10" s="1"/>
  <c r="N1580" i="10"/>
  <c r="O1580" i="10" s="1"/>
  <c r="N1579" i="10"/>
  <c r="O1579" i="10" s="1"/>
  <c r="N1578" i="10"/>
  <c r="O1578" i="10" s="1"/>
  <c r="N1577" i="10"/>
  <c r="O1577" i="10" s="1"/>
  <c r="N1576" i="10"/>
  <c r="O1576" i="10" s="1"/>
  <c r="N1575" i="10"/>
  <c r="O1575" i="10" s="1"/>
  <c r="N1574" i="10"/>
  <c r="O1574" i="10" s="1"/>
  <c r="N1573" i="10"/>
  <c r="O1573" i="10" s="1"/>
  <c r="N1572" i="10"/>
  <c r="O1572" i="10" s="1"/>
  <c r="N1571" i="10"/>
  <c r="O1571" i="10" s="1"/>
  <c r="N1570" i="10"/>
  <c r="O1570" i="10" s="1"/>
  <c r="N1569" i="10"/>
  <c r="O1569" i="10" s="1"/>
  <c r="N1568" i="10"/>
  <c r="O1568" i="10" s="1"/>
  <c r="N1567" i="10"/>
  <c r="O1567" i="10" s="1"/>
  <c r="N1566" i="10"/>
  <c r="O1566" i="10" s="1"/>
  <c r="N1565" i="10"/>
  <c r="O1565" i="10" s="1"/>
  <c r="N1564" i="10"/>
  <c r="O1564" i="10" s="1"/>
  <c r="N1563" i="10"/>
  <c r="O1563" i="10" s="1"/>
  <c r="N1562" i="10"/>
  <c r="O1562" i="10" s="1"/>
  <c r="N1561" i="10"/>
  <c r="O1561" i="10" s="1"/>
  <c r="N1560" i="10"/>
  <c r="O1560" i="10" s="1"/>
  <c r="N1559" i="10"/>
  <c r="O1559" i="10" s="1"/>
  <c r="N1558" i="10"/>
  <c r="O1558" i="10" s="1"/>
  <c r="N1557" i="10"/>
  <c r="O1557" i="10" s="1"/>
  <c r="N1556" i="10"/>
  <c r="O1556" i="10" s="1"/>
  <c r="N1555" i="10"/>
  <c r="O1555" i="10" s="1"/>
  <c r="N1554" i="10"/>
  <c r="O1554" i="10" s="1"/>
  <c r="N1553" i="10"/>
  <c r="O1553" i="10" s="1"/>
  <c r="N1552" i="10"/>
  <c r="O1552" i="10" s="1"/>
  <c r="N1551" i="10"/>
  <c r="O1551" i="10" s="1"/>
  <c r="N1550" i="10"/>
  <c r="O1550" i="10" s="1"/>
  <c r="N1549" i="10"/>
  <c r="O1549" i="10" s="1"/>
  <c r="N1548" i="10"/>
  <c r="O1548" i="10" s="1"/>
  <c r="N1547" i="10"/>
  <c r="O1547" i="10" s="1"/>
  <c r="N1546" i="10"/>
  <c r="O1546" i="10" s="1"/>
  <c r="N1545" i="10"/>
  <c r="O1545" i="10" s="1"/>
  <c r="N1544" i="10"/>
  <c r="O1544" i="10" s="1"/>
  <c r="N1543" i="10"/>
  <c r="O1543" i="10" s="1"/>
  <c r="N1542" i="10"/>
  <c r="O1542" i="10" s="1"/>
  <c r="N1541" i="10"/>
  <c r="O1541" i="10" s="1"/>
  <c r="N1540" i="10"/>
  <c r="O1540" i="10" s="1"/>
  <c r="N1539" i="10"/>
  <c r="O1539" i="10" s="1"/>
  <c r="N1538" i="10"/>
  <c r="O1538" i="10" s="1"/>
  <c r="N1537" i="10"/>
  <c r="O1537" i="10" s="1"/>
  <c r="N1536" i="10"/>
  <c r="O1536" i="10" s="1"/>
  <c r="N1535" i="10"/>
  <c r="O1535" i="10" s="1"/>
  <c r="N1534" i="10"/>
  <c r="O1534" i="10" s="1"/>
  <c r="N1533" i="10"/>
  <c r="O1533" i="10" s="1"/>
  <c r="N1532" i="10"/>
  <c r="O1532" i="10" s="1"/>
  <c r="N1531" i="10"/>
  <c r="O1531" i="10" s="1"/>
  <c r="N1530" i="10"/>
  <c r="O1530" i="10" s="1"/>
  <c r="N1529" i="10"/>
  <c r="O1529" i="10" s="1"/>
  <c r="N1528" i="10"/>
  <c r="O1528" i="10" s="1"/>
  <c r="N1527" i="10"/>
  <c r="O1527" i="10" s="1"/>
  <c r="N1526" i="10"/>
  <c r="O1526" i="10" s="1"/>
  <c r="N1525" i="10"/>
  <c r="O1525" i="10" s="1"/>
  <c r="N1524" i="10"/>
  <c r="O1524" i="10" s="1"/>
  <c r="N1523" i="10"/>
  <c r="O1523" i="10" s="1"/>
  <c r="N1522" i="10"/>
  <c r="O1522" i="10" s="1"/>
  <c r="N1521" i="10"/>
  <c r="O1521" i="10" s="1"/>
  <c r="N1520" i="10"/>
  <c r="O1520" i="10" s="1"/>
  <c r="N1519" i="10"/>
  <c r="O1519" i="10" s="1"/>
  <c r="N1518" i="10"/>
  <c r="O1518" i="10" s="1"/>
  <c r="N1517" i="10"/>
  <c r="O1517" i="10" s="1"/>
  <c r="N1516" i="10"/>
  <c r="O1516" i="10" s="1"/>
  <c r="N1515" i="10"/>
  <c r="O1515" i="10" s="1"/>
  <c r="N1514" i="10"/>
  <c r="O1514" i="10" s="1"/>
  <c r="N1513" i="10"/>
  <c r="O1513" i="10" s="1"/>
  <c r="N1512" i="10"/>
  <c r="O1512" i="10" s="1"/>
  <c r="N1511" i="10"/>
  <c r="O1511" i="10" s="1"/>
  <c r="N1510" i="10"/>
  <c r="O1510" i="10" s="1"/>
  <c r="N1509" i="10"/>
  <c r="O1509" i="10" s="1"/>
  <c r="N1508" i="10"/>
  <c r="O1508" i="10" s="1"/>
  <c r="N1507" i="10"/>
  <c r="O1507" i="10" s="1"/>
  <c r="N1506" i="10"/>
  <c r="O1506" i="10" s="1"/>
  <c r="N1505" i="10"/>
  <c r="O1505" i="10" s="1"/>
  <c r="N1504" i="10"/>
  <c r="O1504" i="10" s="1"/>
  <c r="N1503" i="10"/>
  <c r="O1503" i="10" s="1"/>
  <c r="N1502" i="10"/>
  <c r="O1502" i="10" s="1"/>
  <c r="N1501" i="10"/>
  <c r="O1501" i="10" s="1"/>
  <c r="N1500" i="10"/>
  <c r="O1500" i="10" s="1"/>
  <c r="N1499" i="10"/>
  <c r="O1499" i="10" s="1"/>
  <c r="N1498" i="10"/>
  <c r="O1498" i="10" s="1"/>
  <c r="N1497" i="10"/>
  <c r="O1497" i="10" s="1"/>
  <c r="N1496" i="10"/>
  <c r="O1496" i="10" s="1"/>
  <c r="N1495" i="10"/>
  <c r="O1495" i="10" s="1"/>
  <c r="N1494" i="10"/>
  <c r="O1494" i="10" s="1"/>
  <c r="N1493" i="10"/>
  <c r="O1493" i="10" s="1"/>
  <c r="N1492" i="10"/>
  <c r="O1492" i="10" s="1"/>
  <c r="N1491" i="10"/>
  <c r="O1491" i="10" s="1"/>
  <c r="N1490" i="10"/>
  <c r="O1490" i="10" s="1"/>
  <c r="N1489" i="10"/>
  <c r="O1489" i="10" s="1"/>
  <c r="N1488" i="10"/>
  <c r="O1488" i="10" s="1"/>
  <c r="N1487" i="10"/>
  <c r="O1487" i="10" s="1"/>
  <c r="N1486" i="10"/>
  <c r="O1486" i="10" s="1"/>
  <c r="N1485" i="10"/>
  <c r="O1485" i="10" s="1"/>
  <c r="N1484" i="10"/>
  <c r="O1484" i="10" s="1"/>
  <c r="N1483" i="10"/>
  <c r="O1483" i="10" s="1"/>
  <c r="N1482" i="10"/>
  <c r="O1482" i="10" s="1"/>
  <c r="N1481" i="10"/>
  <c r="O1481" i="10" s="1"/>
  <c r="N1480" i="10"/>
  <c r="O1480" i="10" s="1"/>
  <c r="N1479" i="10"/>
  <c r="O1479" i="10" s="1"/>
  <c r="N1478" i="10"/>
  <c r="O1478" i="10" s="1"/>
  <c r="N1477" i="10"/>
  <c r="O1477" i="10" s="1"/>
  <c r="N1476" i="10"/>
  <c r="O1476" i="10" s="1"/>
  <c r="N1475" i="10"/>
  <c r="O1475" i="10" s="1"/>
  <c r="N1474" i="10"/>
  <c r="O1474" i="10" s="1"/>
  <c r="N1473" i="10"/>
  <c r="O1473" i="10" s="1"/>
  <c r="N1472" i="10"/>
  <c r="O1472" i="10" s="1"/>
  <c r="N1471" i="10"/>
  <c r="O1471" i="10" s="1"/>
  <c r="N1470" i="10"/>
  <c r="O1470" i="10" s="1"/>
  <c r="N1469" i="10"/>
  <c r="O1469" i="10" s="1"/>
  <c r="N1468" i="10"/>
  <c r="O1468" i="10" s="1"/>
  <c r="N1467" i="10"/>
  <c r="O1467" i="10" s="1"/>
  <c r="N1466" i="10"/>
  <c r="O1466" i="10" s="1"/>
  <c r="N1465" i="10"/>
  <c r="O1465" i="10" s="1"/>
  <c r="N1464" i="10"/>
  <c r="O1464" i="10" s="1"/>
  <c r="N1463" i="10"/>
  <c r="O1463" i="10" s="1"/>
  <c r="N1462" i="10"/>
  <c r="O1462" i="10" s="1"/>
  <c r="N1461" i="10"/>
  <c r="O1461" i="10" s="1"/>
  <c r="N1460" i="10"/>
  <c r="O1460" i="10" s="1"/>
  <c r="N1459" i="10"/>
  <c r="O1459" i="10" s="1"/>
  <c r="N1458" i="10"/>
  <c r="O1458" i="10" s="1"/>
  <c r="N1457" i="10"/>
  <c r="O1457" i="10" s="1"/>
  <c r="N1456" i="10"/>
  <c r="O1456" i="10" s="1"/>
  <c r="N1455" i="10"/>
  <c r="O1455" i="10" s="1"/>
  <c r="N1454" i="10"/>
  <c r="O1454" i="10" s="1"/>
  <c r="N1453" i="10"/>
  <c r="O1453" i="10" s="1"/>
  <c r="N1452" i="10"/>
  <c r="O1452" i="10" s="1"/>
  <c r="N1451" i="10"/>
  <c r="O1451" i="10" s="1"/>
  <c r="N1450" i="10"/>
  <c r="O1450" i="10" s="1"/>
  <c r="N1449" i="10"/>
  <c r="O1449" i="10" s="1"/>
  <c r="N1448" i="10"/>
  <c r="O1448" i="10" s="1"/>
  <c r="N1447" i="10"/>
  <c r="O1447" i="10" s="1"/>
  <c r="N1446" i="10"/>
  <c r="O1446" i="10" s="1"/>
  <c r="N1445" i="10"/>
  <c r="O1445" i="10" s="1"/>
  <c r="N1444" i="10"/>
  <c r="O1444" i="10" s="1"/>
  <c r="N1443" i="10"/>
  <c r="O1443" i="10" s="1"/>
  <c r="N1442" i="10"/>
  <c r="O1442" i="10" s="1"/>
  <c r="N1441" i="10"/>
  <c r="O1441" i="10" s="1"/>
  <c r="N1440" i="10"/>
  <c r="O1440" i="10" s="1"/>
  <c r="N1439" i="10"/>
  <c r="O1439" i="10" s="1"/>
  <c r="N1438" i="10"/>
  <c r="O1438" i="10" s="1"/>
  <c r="N1437" i="10"/>
  <c r="O1437" i="10" s="1"/>
  <c r="N1436" i="10"/>
  <c r="O1436" i="10" s="1"/>
  <c r="N1435" i="10"/>
  <c r="O1435" i="10" s="1"/>
  <c r="N1434" i="10"/>
  <c r="O1434" i="10" s="1"/>
  <c r="N1433" i="10"/>
  <c r="O1433" i="10" s="1"/>
  <c r="N1432" i="10"/>
  <c r="O1432" i="10" s="1"/>
  <c r="N1431" i="10"/>
  <c r="O1431" i="10" s="1"/>
  <c r="N1430" i="10"/>
  <c r="O1430" i="10" s="1"/>
  <c r="N1429" i="10"/>
  <c r="O1429" i="10" s="1"/>
  <c r="N1428" i="10"/>
  <c r="O1428" i="10" s="1"/>
  <c r="N1427" i="10"/>
  <c r="O1427" i="10" s="1"/>
  <c r="N1426" i="10"/>
  <c r="O1426" i="10" s="1"/>
  <c r="N1425" i="10"/>
  <c r="O1425" i="10" s="1"/>
  <c r="N1424" i="10"/>
  <c r="O1424" i="10" s="1"/>
  <c r="N1423" i="10"/>
  <c r="O1423" i="10" s="1"/>
  <c r="N1422" i="10"/>
  <c r="O1422" i="10" s="1"/>
  <c r="N1421" i="10"/>
  <c r="O1421" i="10" s="1"/>
  <c r="N1420" i="10"/>
  <c r="O1420" i="10" s="1"/>
  <c r="N1419" i="10"/>
  <c r="O1419" i="10" s="1"/>
  <c r="N1418" i="10"/>
  <c r="O1418" i="10" s="1"/>
  <c r="N1417" i="10"/>
  <c r="O1417" i="10" s="1"/>
  <c r="N1416" i="10"/>
  <c r="O1416" i="10" s="1"/>
  <c r="N1415" i="10"/>
  <c r="O1415" i="10" s="1"/>
  <c r="N1414" i="10"/>
  <c r="O1414" i="10" s="1"/>
  <c r="N1413" i="10"/>
  <c r="O1413" i="10" s="1"/>
  <c r="N1412" i="10"/>
  <c r="O1412" i="10" s="1"/>
  <c r="N1411" i="10"/>
  <c r="O1411" i="10" s="1"/>
  <c r="N1410" i="10"/>
  <c r="O1410" i="10" s="1"/>
  <c r="N1409" i="10"/>
  <c r="O1409" i="10" s="1"/>
  <c r="N1408" i="10"/>
  <c r="O1408" i="10" s="1"/>
  <c r="N1407" i="10"/>
  <c r="O1407" i="10" s="1"/>
  <c r="N1406" i="10"/>
  <c r="O1406" i="10" s="1"/>
  <c r="N1405" i="10"/>
  <c r="O1405" i="10" s="1"/>
  <c r="N1404" i="10"/>
  <c r="O1404" i="10" s="1"/>
  <c r="N1403" i="10"/>
  <c r="O1403" i="10" s="1"/>
  <c r="N1402" i="10"/>
  <c r="O1402" i="10" s="1"/>
  <c r="N1401" i="10"/>
  <c r="O1401" i="10" s="1"/>
  <c r="N1400" i="10"/>
  <c r="O1400" i="10" s="1"/>
  <c r="N1399" i="10"/>
  <c r="O1399" i="10" s="1"/>
  <c r="N1398" i="10"/>
  <c r="O1398" i="10" s="1"/>
  <c r="N1397" i="10"/>
  <c r="O1397" i="10" s="1"/>
  <c r="N1396" i="10"/>
  <c r="O1396" i="10" s="1"/>
  <c r="N1395" i="10"/>
  <c r="O1395" i="10" s="1"/>
  <c r="N1394" i="10"/>
  <c r="O1394" i="10" s="1"/>
  <c r="N1393" i="10"/>
  <c r="O1393" i="10" s="1"/>
  <c r="N1392" i="10"/>
  <c r="O1392" i="10" s="1"/>
  <c r="N1391" i="10"/>
  <c r="O1391" i="10" s="1"/>
  <c r="N1390" i="10"/>
  <c r="O1390" i="10" s="1"/>
  <c r="N1389" i="10"/>
  <c r="O1389" i="10" s="1"/>
  <c r="N1388" i="10"/>
  <c r="O1388" i="10" s="1"/>
  <c r="N1387" i="10"/>
  <c r="O1387" i="10" s="1"/>
  <c r="N1386" i="10"/>
  <c r="O1386" i="10" s="1"/>
  <c r="N1385" i="10"/>
  <c r="O1385" i="10" s="1"/>
  <c r="N1384" i="10"/>
  <c r="O1384" i="10" s="1"/>
  <c r="N1383" i="10"/>
  <c r="O1383" i="10" s="1"/>
  <c r="N1382" i="10"/>
  <c r="O1382" i="10" s="1"/>
  <c r="N1381" i="10"/>
  <c r="O1381" i="10" s="1"/>
  <c r="N1380" i="10"/>
  <c r="O1380" i="10" s="1"/>
  <c r="N1379" i="10"/>
  <c r="O1379" i="10" s="1"/>
  <c r="N1378" i="10"/>
  <c r="O1378" i="10" s="1"/>
  <c r="N1377" i="10"/>
  <c r="O1377" i="10" s="1"/>
  <c r="N1376" i="10"/>
  <c r="O1376" i="10" s="1"/>
  <c r="N1375" i="10"/>
  <c r="O1375" i="10" s="1"/>
  <c r="N1374" i="10"/>
  <c r="O1374" i="10" s="1"/>
  <c r="N1373" i="10"/>
  <c r="O1373" i="10" s="1"/>
  <c r="N1372" i="10"/>
  <c r="O1372" i="10" s="1"/>
  <c r="N1371" i="10"/>
  <c r="O1371" i="10" s="1"/>
  <c r="N1370" i="10"/>
  <c r="O1370" i="10" s="1"/>
  <c r="N1369" i="10"/>
  <c r="O1369" i="10" s="1"/>
  <c r="N1368" i="10"/>
  <c r="O1368" i="10" s="1"/>
  <c r="N1367" i="10"/>
  <c r="O1367" i="10" s="1"/>
  <c r="N1366" i="10"/>
  <c r="O1366" i="10" s="1"/>
  <c r="N1365" i="10"/>
  <c r="O1365" i="10" s="1"/>
  <c r="N1364" i="10"/>
  <c r="O1364" i="10" s="1"/>
  <c r="N1363" i="10"/>
  <c r="O1363" i="10" s="1"/>
  <c r="N1362" i="10"/>
  <c r="O1362" i="10" s="1"/>
  <c r="N1361" i="10"/>
  <c r="O1361" i="10" s="1"/>
  <c r="N1360" i="10"/>
  <c r="O1360" i="10" s="1"/>
  <c r="N1359" i="10"/>
  <c r="O1359" i="10" s="1"/>
  <c r="N1358" i="10"/>
  <c r="O1358" i="10" s="1"/>
  <c r="N1357" i="10"/>
  <c r="O1357" i="10" s="1"/>
  <c r="N1356" i="10"/>
  <c r="O1356" i="10" s="1"/>
  <c r="N1355" i="10"/>
  <c r="O1355" i="10" s="1"/>
  <c r="N1354" i="10"/>
  <c r="O1354" i="10" s="1"/>
  <c r="N1353" i="10"/>
  <c r="O1353" i="10" s="1"/>
  <c r="N1352" i="10"/>
  <c r="O1352" i="10" s="1"/>
  <c r="N1351" i="10"/>
  <c r="O1351" i="10" s="1"/>
  <c r="N1350" i="10"/>
  <c r="O1350" i="10" s="1"/>
  <c r="N1349" i="10"/>
  <c r="O1349" i="10" s="1"/>
  <c r="N1348" i="10"/>
  <c r="O1348" i="10" s="1"/>
  <c r="N1347" i="10"/>
  <c r="O1347" i="10" s="1"/>
  <c r="N1346" i="10"/>
  <c r="O1346" i="10" s="1"/>
  <c r="N1345" i="10"/>
  <c r="O1345" i="10" s="1"/>
  <c r="N1344" i="10"/>
  <c r="O1344" i="10" s="1"/>
  <c r="N1343" i="10"/>
  <c r="O1343" i="10" s="1"/>
  <c r="N1342" i="10"/>
  <c r="O1342" i="10" s="1"/>
  <c r="N1341" i="10"/>
  <c r="O1341" i="10" s="1"/>
  <c r="N1340" i="10"/>
  <c r="O1340" i="10" s="1"/>
  <c r="N1339" i="10"/>
  <c r="O1339" i="10" s="1"/>
  <c r="N1338" i="10"/>
  <c r="O1338" i="10" s="1"/>
  <c r="N1337" i="10"/>
  <c r="O1337" i="10" s="1"/>
  <c r="N1336" i="10"/>
  <c r="O1336" i="10" s="1"/>
  <c r="N1335" i="10"/>
  <c r="O1335" i="10" s="1"/>
  <c r="N1334" i="10"/>
  <c r="O1334" i="10" s="1"/>
  <c r="N1333" i="10"/>
  <c r="O1333" i="10" s="1"/>
  <c r="N1332" i="10"/>
  <c r="O1332" i="10" s="1"/>
  <c r="N1331" i="10"/>
  <c r="O1331" i="10" s="1"/>
  <c r="N1330" i="10"/>
  <c r="O1330" i="10" s="1"/>
  <c r="N1329" i="10"/>
  <c r="O1329" i="10" s="1"/>
  <c r="N1328" i="10"/>
  <c r="O1328" i="10" s="1"/>
  <c r="N1327" i="10"/>
  <c r="O1327" i="10" s="1"/>
  <c r="N1326" i="10"/>
  <c r="O1326" i="10" s="1"/>
  <c r="N1325" i="10"/>
  <c r="O1325" i="10" s="1"/>
  <c r="N1324" i="10"/>
  <c r="O1324" i="10" s="1"/>
  <c r="N1323" i="10"/>
  <c r="O1323" i="10" s="1"/>
  <c r="N1322" i="10"/>
  <c r="O1322" i="10" s="1"/>
  <c r="N1321" i="10"/>
  <c r="O1321" i="10" s="1"/>
  <c r="N1320" i="10"/>
  <c r="O1320" i="10" s="1"/>
  <c r="N1319" i="10"/>
  <c r="O1319" i="10" s="1"/>
  <c r="N1318" i="10"/>
  <c r="O1318" i="10" s="1"/>
  <c r="N1317" i="10"/>
  <c r="O1317" i="10" s="1"/>
  <c r="N1316" i="10"/>
  <c r="O1316" i="10" s="1"/>
  <c r="N1315" i="10"/>
  <c r="O1315" i="10" s="1"/>
  <c r="N1314" i="10"/>
  <c r="O1314" i="10" s="1"/>
  <c r="N1313" i="10"/>
  <c r="O1313" i="10" s="1"/>
  <c r="N1312" i="10"/>
  <c r="O1312" i="10" s="1"/>
  <c r="N1311" i="10"/>
  <c r="O1311" i="10" s="1"/>
  <c r="N1310" i="10"/>
  <c r="O1310" i="10" s="1"/>
  <c r="N1309" i="10"/>
  <c r="O1309" i="10" s="1"/>
  <c r="N1308" i="10"/>
  <c r="O1308" i="10" s="1"/>
  <c r="N1307" i="10"/>
  <c r="O1307" i="10" s="1"/>
  <c r="N1306" i="10"/>
  <c r="O1306" i="10" s="1"/>
  <c r="N1305" i="10"/>
  <c r="O1305" i="10" s="1"/>
  <c r="N1304" i="10"/>
  <c r="O1304" i="10" s="1"/>
  <c r="N1303" i="10"/>
  <c r="O1303" i="10" s="1"/>
  <c r="N1302" i="10"/>
  <c r="O1302" i="10" s="1"/>
  <c r="N1301" i="10"/>
  <c r="O1301" i="10" s="1"/>
  <c r="N1300" i="10"/>
  <c r="O1300" i="10" s="1"/>
  <c r="N1299" i="10"/>
  <c r="O1299" i="10" s="1"/>
  <c r="N1298" i="10"/>
  <c r="O1298" i="10" s="1"/>
  <c r="N1297" i="10"/>
  <c r="O1297" i="10" s="1"/>
  <c r="N1296" i="10"/>
  <c r="O1296" i="10" s="1"/>
  <c r="N1295" i="10"/>
  <c r="O1295" i="10" s="1"/>
  <c r="N1294" i="10"/>
  <c r="O1294" i="10" s="1"/>
  <c r="N1293" i="10"/>
  <c r="O1293" i="10" s="1"/>
  <c r="N1292" i="10"/>
  <c r="O1292" i="10" s="1"/>
  <c r="N1291" i="10"/>
  <c r="O1291" i="10" s="1"/>
  <c r="N1290" i="10"/>
  <c r="O1290" i="10" s="1"/>
  <c r="N1289" i="10"/>
  <c r="O1289" i="10" s="1"/>
  <c r="N1288" i="10"/>
  <c r="O1288" i="10" s="1"/>
  <c r="N1287" i="10"/>
  <c r="O1287" i="10" s="1"/>
  <c r="N1286" i="10"/>
  <c r="O1286" i="10" s="1"/>
  <c r="N1285" i="10"/>
  <c r="O1285" i="10" s="1"/>
  <c r="N1284" i="10"/>
  <c r="O1284" i="10" s="1"/>
  <c r="N1283" i="10"/>
  <c r="O1283" i="10" s="1"/>
  <c r="N1282" i="10"/>
  <c r="O1282" i="10" s="1"/>
  <c r="N1281" i="10"/>
  <c r="O1281" i="10" s="1"/>
  <c r="N1280" i="10"/>
  <c r="O1280" i="10" s="1"/>
  <c r="N1279" i="10"/>
  <c r="O1279" i="10" s="1"/>
  <c r="N1278" i="10"/>
  <c r="O1278" i="10" s="1"/>
  <c r="N1277" i="10"/>
  <c r="O1277" i="10" s="1"/>
  <c r="N1276" i="10"/>
  <c r="O1276" i="10" s="1"/>
  <c r="N1275" i="10"/>
  <c r="O1275" i="10" s="1"/>
  <c r="N1274" i="10"/>
  <c r="O1274" i="10" s="1"/>
  <c r="N1273" i="10"/>
  <c r="O1273" i="10" s="1"/>
  <c r="N1272" i="10"/>
  <c r="O1272" i="10" s="1"/>
  <c r="N1271" i="10"/>
  <c r="O1271" i="10" s="1"/>
  <c r="N1270" i="10"/>
  <c r="O1270" i="10" s="1"/>
  <c r="N1269" i="10"/>
  <c r="O1269" i="10" s="1"/>
  <c r="N1268" i="10"/>
  <c r="O1268" i="10" s="1"/>
  <c r="N1267" i="10"/>
  <c r="O1267" i="10" s="1"/>
  <c r="N1266" i="10"/>
  <c r="O1266" i="10" s="1"/>
  <c r="N1265" i="10"/>
  <c r="O1265" i="10" s="1"/>
  <c r="N1264" i="10"/>
  <c r="O1264" i="10" s="1"/>
  <c r="N1263" i="10"/>
  <c r="O1263" i="10" s="1"/>
  <c r="N1262" i="10"/>
  <c r="O1262" i="10" s="1"/>
  <c r="N1261" i="10"/>
  <c r="O1261" i="10" s="1"/>
  <c r="N1260" i="10"/>
  <c r="O1260" i="10" s="1"/>
  <c r="N1259" i="10"/>
  <c r="O1259" i="10" s="1"/>
  <c r="N1258" i="10"/>
  <c r="O1258" i="10" s="1"/>
  <c r="N1257" i="10"/>
  <c r="O1257" i="10" s="1"/>
  <c r="N1256" i="10"/>
  <c r="O1256" i="10" s="1"/>
  <c r="N1255" i="10"/>
  <c r="O1255" i="10" s="1"/>
  <c r="N1254" i="10"/>
  <c r="O1254" i="10" s="1"/>
  <c r="N1253" i="10"/>
  <c r="O1253" i="10" s="1"/>
  <c r="N1252" i="10"/>
  <c r="O1252" i="10" s="1"/>
  <c r="N1251" i="10"/>
  <c r="O1251" i="10" s="1"/>
  <c r="N1250" i="10"/>
  <c r="O1250" i="10" s="1"/>
  <c r="N1249" i="10"/>
  <c r="O1249" i="10" s="1"/>
  <c r="N1248" i="10"/>
  <c r="O1248" i="10" s="1"/>
  <c r="N1247" i="10"/>
  <c r="O1247" i="10" s="1"/>
  <c r="N1246" i="10"/>
  <c r="O1246" i="10" s="1"/>
  <c r="N1245" i="10"/>
  <c r="O1245" i="10" s="1"/>
  <c r="N1244" i="10"/>
  <c r="O1244" i="10" s="1"/>
  <c r="N1243" i="10"/>
  <c r="O1243" i="10" s="1"/>
  <c r="N1242" i="10"/>
  <c r="O1242" i="10" s="1"/>
  <c r="N1241" i="10"/>
  <c r="O1241" i="10" s="1"/>
  <c r="N1240" i="10"/>
  <c r="O1240" i="10" s="1"/>
  <c r="N1239" i="10"/>
  <c r="O1239" i="10" s="1"/>
  <c r="N1238" i="10"/>
  <c r="O1238" i="10" s="1"/>
  <c r="N1237" i="10"/>
  <c r="O1237" i="10" s="1"/>
  <c r="N1236" i="10"/>
  <c r="O1236" i="10" s="1"/>
  <c r="N1235" i="10"/>
  <c r="O1235" i="10" s="1"/>
  <c r="N1234" i="10"/>
  <c r="O1234" i="10" s="1"/>
  <c r="N1233" i="10"/>
  <c r="O1233" i="10" s="1"/>
  <c r="N1232" i="10"/>
  <c r="O1232" i="10" s="1"/>
  <c r="N1231" i="10"/>
  <c r="O1231" i="10" s="1"/>
  <c r="N1230" i="10"/>
  <c r="O1230" i="10" s="1"/>
  <c r="N1229" i="10"/>
  <c r="O1229" i="10" s="1"/>
  <c r="N1228" i="10"/>
  <c r="O1228" i="10" s="1"/>
  <c r="N1227" i="10"/>
  <c r="O1227" i="10" s="1"/>
  <c r="N1226" i="10"/>
  <c r="O1226" i="10" s="1"/>
  <c r="N1225" i="10"/>
  <c r="O1225" i="10" s="1"/>
  <c r="N1224" i="10"/>
  <c r="O1224" i="10" s="1"/>
  <c r="N1223" i="10"/>
  <c r="O1223" i="10" s="1"/>
  <c r="N1222" i="10"/>
  <c r="O1222" i="10" s="1"/>
  <c r="N1221" i="10"/>
  <c r="O1221" i="10" s="1"/>
  <c r="N1220" i="10"/>
  <c r="O1220" i="10" s="1"/>
  <c r="N1219" i="10"/>
  <c r="O1219" i="10" s="1"/>
  <c r="N1218" i="10"/>
  <c r="O1218" i="10" s="1"/>
  <c r="N1217" i="10"/>
  <c r="O1217" i="10" s="1"/>
  <c r="N1216" i="10"/>
  <c r="O1216" i="10" s="1"/>
  <c r="N1215" i="10"/>
  <c r="O1215" i="10" s="1"/>
  <c r="N1214" i="10"/>
  <c r="O1214" i="10" s="1"/>
  <c r="N1213" i="10"/>
  <c r="O1213" i="10" s="1"/>
  <c r="N1212" i="10"/>
  <c r="O1212" i="10" s="1"/>
  <c r="N1211" i="10"/>
  <c r="O1211" i="10" s="1"/>
  <c r="N1210" i="10"/>
  <c r="O1210" i="10" s="1"/>
  <c r="N1209" i="10"/>
  <c r="O1209" i="10" s="1"/>
  <c r="N1208" i="10"/>
  <c r="O1208" i="10" s="1"/>
  <c r="N1207" i="10"/>
  <c r="O1207" i="10" s="1"/>
  <c r="N1206" i="10"/>
  <c r="O1206" i="10" s="1"/>
  <c r="N1205" i="10"/>
  <c r="O1205" i="10" s="1"/>
  <c r="N1204" i="10"/>
  <c r="O1204" i="10" s="1"/>
  <c r="N1203" i="10"/>
  <c r="O1203" i="10" s="1"/>
  <c r="N1202" i="10"/>
  <c r="O1202" i="10" s="1"/>
  <c r="N1201" i="10"/>
  <c r="O1201" i="10" s="1"/>
  <c r="N1200" i="10"/>
  <c r="O1200" i="10" s="1"/>
  <c r="N1199" i="10"/>
  <c r="O1199" i="10" s="1"/>
  <c r="N1198" i="10"/>
  <c r="O1198" i="10" s="1"/>
  <c r="N1197" i="10"/>
  <c r="O1197" i="10" s="1"/>
  <c r="N1196" i="10"/>
  <c r="O1196" i="10" s="1"/>
  <c r="N1195" i="10"/>
  <c r="O1195" i="10" s="1"/>
  <c r="N1194" i="10"/>
  <c r="O1194" i="10" s="1"/>
  <c r="N1193" i="10"/>
  <c r="O1193" i="10" s="1"/>
  <c r="N1192" i="10"/>
  <c r="O1192" i="10" s="1"/>
  <c r="N1191" i="10"/>
  <c r="O1191" i="10" s="1"/>
  <c r="N1190" i="10"/>
  <c r="O1190" i="10" s="1"/>
  <c r="N1189" i="10"/>
  <c r="O1189" i="10" s="1"/>
  <c r="N1188" i="10"/>
  <c r="O1188" i="10" s="1"/>
  <c r="N1187" i="10"/>
  <c r="O1187" i="10" s="1"/>
  <c r="N1186" i="10"/>
  <c r="O1186" i="10" s="1"/>
  <c r="N1185" i="10"/>
  <c r="O1185" i="10" s="1"/>
  <c r="N1184" i="10"/>
  <c r="O1184" i="10" s="1"/>
  <c r="N1183" i="10"/>
  <c r="O1183" i="10" s="1"/>
  <c r="N1182" i="10"/>
  <c r="O1182" i="10" s="1"/>
  <c r="N1181" i="10"/>
  <c r="O1181" i="10" s="1"/>
  <c r="N1180" i="10"/>
  <c r="O1180" i="10" s="1"/>
  <c r="N1179" i="10"/>
  <c r="O1179" i="10" s="1"/>
  <c r="N1178" i="10"/>
  <c r="O1178" i="10" s="1"/>
  <c r="N1177" i="10"/>
  <c r="O1177" i="10" s="1"/>
  <c r="N1176" i="10"/>
  <c r="O1176" i="10" s="1"/>
  <c r="N1175" i="10"/>
  <c r="O1175" i="10" s="1"/>
  <c r="N1174" i="10"/>
  <c r="O1174" i="10" s="1"/>
  <c r="N1173" i="10"/>
  <c r="O1173" i="10" s="1"/>
  <c r="N1172" i="10"/>
  <c r="O1172" i="10" s="1"/>
  <c r="N1171" i="10"/>
  <c r="O1171" i="10" s="1"/>
  <c r="N1170" i="10"/>
  <c r="O1170" i="10" s="1"/>
  <c r="N1169" i="10"/>
  <c r="O1169" i="10" s="1"/>
  <c r="N1168" i="10"/>
  <c r="O1168" i="10" s="1"/>
  <c r="N1167" i="10"/>
  <c r="O1167" i="10" s="1"/>
  <c r="N1166" i="10"/>
  <c r="O1166" i="10" s="1"/>
  <c r="N1165" i="10"/>
  <c r="O1165" i="10" s="1"/>
  <c r="N1164" i="10"/>
  <c r="O1164" i="10" s="1"/>
  <c r="N1163" i="10"/>
  <c r="O1163" i="10" s="1"/>
  <c r="N1162" i="10"/>
  <c r="O1162" i="10" s="1"/>
  <c r="N1161" i="10"/>
  <c r="O1161" i="10" s="1"/>
  <c r="N1160" i="10"/>
  <c r="O1160" i="10" s="1"/>
  <c r="N1159" i="10"/>
  <c r="O1159" i="10" s="1"/>
  <c r="N1158" i="10"/>
  <c r="O1158" i="10" s="1"/>
  <c r="N1157" i="10"/>
  <c r="O1157" i="10" s="1"/>
  <c r="N1156" i="10"/>
  <c r="O1156" i="10" s="1"/>
  <c r="N1155" i="10"/>
  <c r="O1155" i="10" s="1"/>
  <c r="N1154" i="10"/>
  <c r="O1154" i="10" s="1"/>
  <c r="N1153" i="10"/>
  <c r="O1153" i="10" s="1"/>
  <c r="N1152" i="10"/>
  <c r="O1152" i="10" s="1"/>
  <c r="N1151" i="10"/>
  <c r="O1151" i="10" s="1"/>
  <c r="N1150" i="10"/>
  <c r="O1150" i="10" s="1"/>
  <c r="N1149" i="10"/>
  <c r="O1149" i="10" s="1"/>
  <c r="N1148" i="10"/>
  <c r="O1148" i="10" s="1"/>
  <c r="N1147" i="10"/>
  <c r="O1147" i="10" s="1"/>
  <c r="N1146" i="10"/>
  <c r="O1146" i="10" s="1"/>
  <c r="N1145" i="10"/>
  <c r="O1145" i="10" s="1"/>
  <c r="N1144" i="10"/>
  <c r="O1144" i="10" s="1"/>
  <c r="N1143" i="10"/>
  <c r="O1143" i="10" s="1"/>
  <c r="N1142" i="10"/>
  <c r="O1142" i="10" s="1"/>
  <c r="N1141" i="10"/>
  <c r="O1141" i="10" s="1"/>
  <c r="N1140" i="10"/>
  <c r="O1140" i="10" s="1"/>
  <c r="N1139" i="10"/>
  <c r="O1139" i="10" s="1"/>
  <c r="N1138" i="10"/>
  <c r="O1138" i="10" s="1"/>
  <c r="N1137" i="10"/>
  <c r="O1137" i="10" s="1"/>
  <c r="N1136" i="10"/>
  <c r="O1136" i="10" s="1"/>
  <c r="N1135" i="10"/>
  <c r="O1135" i="10" s="1"/>
  <c r="N1134" i="10"/>
  <c r="O1134" i="10" s="1"/>
  <c r="N1133" i="10"/>
  <c r="O1133" i="10" s="1"/>
  <c r="N1132" i="10"/>
  <c r="O1132" i="10" s="1"/>
  <c r="N1131" i="10"/>
  <c r="O1131" i="10" s="1"/>
  <c r="N1130" i="10"/>
  <c r="O1130" i="10" s="1"/>
  <c r="N1129" i="10"/>
  <c r="O1129" i="10" s="1"/>
  <c r="N1128" i="10"/>
  <c r="O1128" i="10" s="1"/>
  <c r="N1127" i="10"/>
  <c r="O1127" i="10" s="1"/>
  <c r="N1126" i="10"/>
  <c r="O1126" i="10" s="1"/>
  <c r="N1125" i="10"/>
  <c r="O1125" i="10" s="1"/>
  <c r="N1124" i="10"/>
  <c r="O1124" i="10" s="1"/>
  <c r="N1123" i="10"/>
  <c r="O1123" i="10" s="1"/>
  <c r="N1122" i="10"/>
  <c r="O1122" i="10" s="1"/>
  <c r="N1121" i="10"/>
  <c r="O1121" i="10" s="1"/>
  <c r="N1120" i="10"/>
  <c r="O1120" i="10" s="1"/>
  <c r="N1119" i="10"/>
  <c r="O1119" i="10" s="1"/>
  <c r="N1118" i="10"/>
  <c r="O1118" i="10" s="1"/>
  <c r="N1117" i="10"/>
  <c r="O1117" i="10" s="1"/>
  <c r="N1116" i="10"/>
  <c r="O1116" i="10" s="1"/>
  <c r="N1115" i="10"/>
  <c r="O1115" i="10" s="1"/>
  <c r="N1114" i="10"/>
  <c r="O1114" i="10" s="1"/>
  <c r="N1113" i="10"/>
  <c r="O1113" i="10" s="1"/>
  <c r="N1112" i="10"/>
  <c r="O1112" i="10" s="1"/>
  <c r="N1111" i="10"/>
  <c r="O1111" i="10" s="1"/>
  <c r="N1110" i="10"/>
  <c r="O1110" i="10" s="1"/>
  <c r="N1109" i="10"/>
  <c r="O1109" i="10" s="1"/>
  <c r="N1108" i="10"/>
  <c r="O1108" i="10" s="1"/>
  <c r="N1107" i="10"/>
  <c r="O1107" i="10" s="1"/>
  <c r="N1106" i="10"/>
  <c r="O1106" i="10" s="1"/>
  <c r="N1105" i="10"/>
  <c r="O1105" i="10" s="1"/>
  <c r="N1104" i="10"/>
  <c r="O1104" i="10" s="1"/>
  <c r="N1103" i="10"/>
  <c r="O1103" i="10" s="1"/>
  <c r="N1102" i="10"/>
  <c r="O1102" i="10" s="1"/>
  <c r="N1101" i="10"/>
  <c r="O1101" i="10" s="1"/>
  <c r="N1100" i="10"/>
  <c r="O1100" i="10" s="1"/>
  <c r="N1099" i="10"/>
  <c r="O1099" i="10" s="1"/>
  <c r="N1098" i="10"/>
  <c r="O1098" i="10" s="1"/>
  <c r="N1097" i="10"/>
  <c r="O1097" i="10" s="1"/>
  <c r="N1096" i="10"/>
  <c r="O1096" i="10" s="1"/>
  <c r="N1095" i="10"/>
  <c r="O1095" i="10" s="1"/>
  <c r="N1094" i="10"/>
  <c r="O1094" i="10" s="1"/>
  <c r="N1093" i="10"/>
  <c r="O1093" i="10" s="1"/>
  <c r="N1092" i="10"/>
  <c r="O1092" i="10" s="1"/>
  <c r="N1091" i="10"/>
  <c r="O1091" i="10" s="1"/>
  <c r="N1090" i="10"/>
  <c r="O1090" i="10" s="1"/>
  <c r="N1089" i="10"/>
  <c r="O1089" i="10" s="1"/>
  <c r="N1088" i="10"/>
  <c r="O1088" i="10" s="1"/>
  <c r="N1087" i="10"/>
  <c r="O1087" i="10" s="1"/>
  <c r="N1086" i="10"/>
  <c r="O1086" i="10" s="1"/>
  <c r="N1085" i="10"/>
  <c r="O1085" i="10" s="1"/>
  <c r="N1084" i="10"/>
  <c r="O1084" i="10" s="1"/>
  <c r="N1083" i="10"/>
  <c r="O1083" i="10" s="1"/>
  <c r="N1082" i="10"/>
  <c r="O1082" i="10" s="1"/>
  <c r="N1081" i="10"/>
  <c r="O1081" i="10" s="1"/>
  <c r="N1080" i="10"/>
  <c r="O1080" i="10" s="1"/>
  <c r="N1079" i="10"/>
  <c r="O1079" i="10" s="1"/>
  <c r="N1078" i="10"/>
  <c r="O1078" i="10" s="1"/>
  <c r="N1077" i="10"/>
  <c r="O1077" i="10" s="1"/>
  <c r="N1076" i="10"/>
  <c r="O1076" i="10" s="1"/>
  <c r="N1075" i="10"/>
  <c r="O1075" i="10" s="1"/>
  <c r="N1074" i="10"/>
  <c r="O1074" i="10" s="1"/>
  <c r="N1073" i="10"/>
  <c r="O1073" i="10" s="1"/>
  <c r="N1072" i="10"/>
  <c r="O1072" i="10" s="1"/>
  <c r="N1071" i="10"/>
  <c r="O1071" i="10" s="1"/>
  <c r="N1070" i="10"/>
  <c r="O1070" i="10" s="1"/>
  <c r="N1069" i="10"/>
  <c r="O1069" i="10" s="1"/>
  <c r="N1068" i="10"/>
  <c r="O1068" i="10" s="1"/>
  <c r="N1067" i="10"/>
  <c r="O1067" i="10" s="1"/>
  <c r="N1066" i="10"/>
  <c r="O1066" i="10" s="1"/>
  <c r="N1065" i="10"/>
  <c r="O1065" i="10" s="1"/>
  <c r="N1064" i="10"/>
  <c r="O1064" i="10" s="1"/>
  <c r="N1063" i="10"/>
  <c r="O1063" i="10" s="1"/>
  <c r="N1062" i="10"/>
  <c r="O1062" i="10" s="1"/>
  <c r="N1061" i="10"/>
  <c r="O1061" i="10" s="1"/>
  <c r="N1060" i="10"/>
  <c r="O1060" i="10" s="1"/>
  <c r="N1059" i="10"/>
  <c r="O1059" i="10" s="1"/>
  <c r="N1058" i="10"/>
  <c r="O1058" i="10" s="1"/>
  <c r="N1057" i="10"/>
  <c r="O1057" i="10" s="1"/>
  <c r="N1056" i="10"/>
  <c r="O1056" i="10" s="1"/>
  <c r="N1055" i="10"/>
  <c r="O1055" i="10" s="1"/>
  <c r="N1054" i="10"/>
  <c r="O1054" i="10" s="1"/>
  <c r="N1053" i="10"/>
  <c r="O1053" i="10" s="1"/>
  <c r="N1052" i="10"/>
  <c r="O1052" i="10" s="1"/>
  <c r="N1051" i="10"/>
  <c r="O1051" i="10" s="1"/>
  <c r="N1050" i="10"/>
  <c r="O1050" i="10" s="1"/>
  <c r="N1049" i="10"/>
  <c r="O1049" i="10" s="1"/>
  <c r="N1048" i="10"/>
  <c r="O1048" i="10" s="1"/>
  <c r="N1047" i="10"/>
  <c r="O1047" i="10" s="1"/>
  <c r="N1046" i="10"/>
  <c r="O1046" i="10" s="1"/>
  <c r="N1045" i="10"/>
  <c r="O1045" i="10" s="1"/>
  <c r="N1044" i="10"/>
  <c r="O1044" i="10" s="1"/>
  <c r="N1043" i="10"/>
  <c r="O1043" i="10" s="1"/>
  <c r="N1042" i="10"/>
  <c r="O1042" i="10" s="1"/>
  <c r="N1041" i="10"/>
  <c r="O1041" i="10" s="1"/>
  <c r="N1040" i="10"/>
  <c r="O1040" i="10" s="1"/>
  <c r="N1039" i="10"/>
  <c r="O1039" i="10" s="1"/>
  <c r="N1038" i="10"/>
  <c r="O1038" i="10" s="1"/>
  <c r="N1037" i="10"/>
  <c r="O1037" i="10" s="1"/>
  <c r="N1036" i="10"/>
  <c r="O1036" i="10" s="1"/>
  <c r="N1035" i="10"/>
  <c r="O1035" i="10" s="1"/>
  <c r="N1034" i="10"/>
  <c r="O1034" i="10" s="1"/>
  <c r="N1033" i="10"/>
  <c r="O1033" i="10" s="1"/>
  <c r="N1032" i="10"/>
  <c r="O1032" i="10" s="1"/>
  <c r="N1031" i="10"/>
  <c r="O1031" i="10" s="1"/>
  <c r="N1030" i="10"/>
  <c r="O1030" i="10" s="1"/>
  <c r="N1029" i="10"/>
  <c r="O1029" i="10" s="1"/>
  <c r="N1028" i="10"/>
  <c r="O1028" i="10" s="1"/>
  <c r="N1027" i="10"/>
  <c r="O1027" i="10" s="1"/>
  <c r="N1026" i="10"/>
  <c r="O1026" i="10" s="1"/>
  <c r="N1025" i="10"/>
  <c r="O1025" i="10" s="1"/>
  <c r="N1024" i="10"/>
  <c r="O1024" i="10" s="1"/>
  <c r="N1023" i="10"/>
  <c r="O1023" i="10" s="1"/>
  <c r="N1022" i="10"/>
  <c r="O1022" i="10" s="1"/>
  <c r="N1021" i="10"/>
  <c r="O1021" i="10" s="1"/>
  <c r="N1020" i="10"/>
  <c r="O1020" i="10" s="1"/>
  <c r="N1019" i="10"/>
  <c r="O1019" i="10" s="1"/>
  <c r="N1018" i="10"/>
  <c r="O1018" i="10" s="1"/>
  <c r="N1017" i="10"/>
  <c r="O1017" i="10" s="1"/>
  <c r="N1016" i="10"/>
  <c r="O1016" i="10" s="1"/>
  <c r="N1015" i="10"/>
  <c r="O1015" i="10" s="1"/>
  <c r="N1014" i="10"/>
  <c r="O1014" i="10" s="1"/>
  <c r="N1013" i="10"/>
  <c r="O1013" i="10" s="1"/>
  <c r="N1012" i="10"/>
  <c r="O1012" i="10" s="1"/>
  <c r="N1011" i="10"/>
  <c r="O1011" i="10" s="1"/>
  <c r="N1010" i="10"/>
  <c r="O1010" i="10" s="1"/>
  <c r="N1009" i="10"/>
  <c r="O1009" i="10" s="1"/>
  <c r="N1008" i="10"/>
  <c r="O1008" i="10" s="1"/>
  <c r="N1007" i="10"/>
  <c r="O1007" i="10" s="1"/>
  <c r="N1006" i="10"/>
  <c r="O1006" i="10" s="1"/>
  <c r="N1005" i="10"/>
  <c r="O1005" i="10" s="1"/>
  <c r="N1004" i="10"/>
  <c r="O1004" i="10" s="1"/>
  <c r="N1003" i="10"/>
  <c r="O1003" i="10" s="1"/>
  <c r="N1002" i="10"/>
  <c r="O1002" i="10" s="1"/>
  <c r="N1001" i="10"/>
  <c r="O1001" i="10" s="1"/>
  <c r="N1000" i="10"/>
  <c r="O1000" i="10" s="1"/>
  <c r="N999" i="10"/>
  <c r="O999" i="10" s="1"/>
  <c r="N998" i="10"/>
  <c r="O998" i="10" s="1"/>
  <c r="N997" i="10"/>
  <c r="O997" i="10" s="1"/>
  <c r="N996" i="10"/>
  <c r="O996" i="10" s="1"/>
  <c r="N995" i="10"/>
  <c r="O995" i="10" s="1"/>
  <c r="N994" i="10"/>
  <c r="O994" i="10" s="1"/>
  <c r="N993" i="10"/>
  <c r="O993" i="10" s="1"/>
  <c r="N992" i="10"/>
  <c r="O992" i="10" s="1"/>
  <c r="N991" i="10"/>
  <c r="O991" i="10" s="1"/>
  <c r="N990" i="10"/>
  <c r="O990" i="10" s="1"/>
  <c r="N989" i="10"/>
  <c r="O989" i="10" s="1"/>
  <c r="N988" i="10"/>
  <c r="O988" i="10" s="1"/>
  <c r="N987" i="10"/>
  <c r="O987" i="10" s="1"/>
  <c r="N986" i="10"/>
  <c r="O986" i="10" s="1"/>
  <c r="N985" i="10"/>
  <c r="O985" i="10" s="1"/>
  <c r="N984" i="10"/>
  <c r="O984" i="10" s="1"/>
  <c r="N983" i="10"/>
  <c r="O983" i="10" s="1"/>
  <c r="N982" i="10"/>
  <c r="O982" i="10" s="1"/>
  <c r="N981" i="10"/>
  <c r="O981" i="10" s="1"/>
  <c r="N980" i="10"/>
  <c r="O980" i="10" s="1"/>
  <c r="N979" i="10"/>
  <c r="O979" i="10" s="1"/>
  <c r="N978" i="10"/>
  <c r="O978" i="10" s="1"/>
  <c r="N977" i="10"/>
  <c r="O977" i="10" s="1"/>
  <c r="N976" i="10"/>
  <c r="O976" i="10" s="1"/>
  <c r="N975" i="10"/>
  <c r="O975" i="10" s="1"/>
  <c r="N974" i="10"/>
  <c r="O974" i="10" s="1"/>
  <c r="N973" i="10"/>
  <c r="O973" i="10" s="1"/>
  <c r="N972" i="10"/>
  <c r="O972" i="10" s="1"/>
  <c r="N971" i="10"/>
  <c r="O971" i="10" s="1"/>
  <c r="N970" i="10"/>
  <c r="O970" i="10" s="1"/>
  <c r="N969" i="10"/>
  <c r="O969" i="10" s="1"/>
  <c r="N968" i="10"/>
  <c r="O968" i="10" s="1"/>
  <c r="N967" i="10"/>
  <c r="O967" i="10" s="1"/>
  <c r="N966" i="10"/>
  <c r="O966" i="10" s="1"/>
  <c r="N965" i="10"/>
  <c r="O965" i="10" s="1"/>
  <c r="N964" i="10"/>
  <c r="O964" i="10" s="1"/>
  <c r="N963" i="10"/>
  <c r="O963" i="10" s="1"/>
  <c r="N962" i="10"/>
  <c r="O962" i="10" s="1"/>
  <c r="N961" i="10"/>
  <c r="O961" i="10" s="1"/>
  <c r="N960" i="10"/>
  <c r="O960" i="10" s="1"/>
  <c r="N959" i="10"/>
  <c r="O959" i="10" s="1"/>
  <c r="N958" i="10"/>
  <c r="O958" i="10" s="1"/>
  <c r="N957" i="10"/>
  <c r="O957" i="10" s="1"/>
  <c r="N956" i="10"/>
  <c r="O956" i="10" s="1"/>
  <c r="N955" i="10"/>
  <c r="O955" i="10" s="1"/>
  <c r="N954" i="10"/>
  <c r="O954" i="10" s="1"/>
  <c r="N953" i="10"/>
  <c r="O953" i="10" s="1"/>
  <c r="N952" i="10"/>
  <c r="O952" i="10" s="1"/>
  <c r="N951" i="10"/>
  <c r="O951" i="10" s="1"/>
  <c r="N950" i="10"/>
  <c r="O950" i="10" s="1"/>
  <c r="N949" i="10"/>
  <c r="O949" i="10" s="1"/>
  <c r="N948" i="10"/>
  <c r="O948" i="10" s="1"/>
  <c r="N947" i="10"/>
  <c r="O947" i="10" s="1"/>
  <c r="N946" i="10"/>
  <c r="O946" i="10" s="1"/>
  <c r="N945" i="10"/>
  <c r="O945" i="10" s="1"/>
  <c r="N944" i="10"/>
  <c r="O944" i="10" s="1"/>
  <c r="N943" i="10"/>
  <c r="O943" i="10" s="1"/>
  <c r="N942" i="10"/>
  <c r="O942" i="10" s="1"/>
  <c r="N941" i="10"/>
  <c r="O941" i="10" s="1"/>
  <c r="N940" i="10"/>
  <c r="O940" i="10" s="1"/>
  <c r="N939" i="10"/>
  <c r="O939" i="10" s="1"/>
  <c r="N938" i="10"/>
  <c r="O938" i="10" s="1"/>
  <c r="N937" i="10"/>
  <c r="O937" i="10" s="1"/>
  <c r="N936" i="10"/>
  <c r="O936" i="10" s="1"/>
  <c r="N935" i="10"/>
  <c r="O935" i="10" s="1"/>
  <c r="N934" i="10"/>
  <c r="O934" i="10" s="1"/>
  <c r="N933" i="10"/>
  <c r="O933" i="10" s="1"/>
  <c r="N932" i="10"/>
  <c r="O932" i="10" s="1"/>
  <c r="N931" i="10"/>
  <c r="O931" i="10" s="1"/>
  <c r="N930" i="10"/>
  <c r="O930" i="10" s="1"/>
  <c r="N929" i="10"/>
  <c r="O929" i="10" s="1"/>
  <c r="N928" i="10"/>
  <c r="O928" i="10" s="1"/>
  <c r="N927" i="10"/>
  <c r="O927" i="10" s="1"/>
  <c r="N926" i="10"/>
  <c r="O926" i="10" s="1"/>
  <c r="N925" i="10"/>
  <c r="O925" i="10" s="1"/>
  <c r="N924" i="10"/>
  <c r="O924" i="10" s="1"/>
  <c r="N923" i="10"/>
  <c r="O923" i="10" s="1"/>
  <c r="N922" i="10"/>
  <c r="O922" i="10" s="1"/>
  <c r="N921" i="10"/>
  <c r="O921" i="10" s="1"/>
  <c r="N920" i="10"/>
  <c r="O920" i="10" s="1"/>
  <c r="N919" i="10"/>
  <c r="O919" i="10" s="1"/>
  <c r="N918" i="10"/>
  <c r="O918" i="10" s="1"/>
  <c r="N917" i="10"/>
  <c r="O917" i="10" s="1"/>
  <c r="N916" i="10"/>
  <c r="O916" i="10" s="1"/>
  <c r="N915" i="10"/>
  <c r="O915" i="10" s="1"/>
  <c r="N914" i="10"/>
  <c r="O914" i="10" s="1"/>
  <c r="N913" i="10"/>
  <c r="O913" i="10" s="1"/>
  <c r="N912" i="10"/>
  <c r="O912" i="10" s="1"/>
  <c r="N911" i="10"/>
  <c r="O911" i="10" s="1"/>
  <c r="N910" i="10"/>
  <c r="O910" i="10" s="1"/>
  <c r="N909" i="10"/>
  <c r="O909" i="10" s="1"/>
  <c r="N908" i="10"/>
  <c r="O908" i="10" s="1"/>
  <c r="N907" i="10"/>
  <c r="O907" i="10" s="1"/>
  <c r="N906" i="10"/>
  <c r="O906" i="10" s="1"/>
  <c r="N905" i="10"/>
  <c r="O905" i="10" s="1"/>
  <c r="N904" i="10"/>
  <c r="O904" i="10" s="1"/>
  <c r="N903" i="10"/>
  <c r="O903" i="10" s="1"/>
  <c r="N902" i="10"/>
  <c r="O902" i="10" s="1"/>
  <c r="N901" i="10"/>
  <c r="O901" i="10" s="1"/>
  <c r="N900" i="10"/>
  <c r="O900" i="10" s="1"/>
  <c r="N899" i="10"/>
  <c r="O899" i="10" s="1"/>
  <c r="N898" i="10"/>
  <c r="O898" i="10" s="1"/>
  <c r="N897" i="10"/>
  <c r="O897" i="10" s="1"/>
  <c r="N896" i="10"/>
  <c r="O896" i="10" s="1"/>
  <c r="N895" i="10"/>
  <c r="O895" i="10" s="1"/>
  <c r="N894" i="10"/>
  <c r="O894" i="10" s="1"/>
  <c r="N893" i="10"/>
  <c r="O893" i="10" s="1"/>
  <c r="N892" i="10"/>
  <c r="O892" i="10" s="1"/>
  <c r="N891" i="10"/>
  <c r="O891" i="10" s="1"/>
  <c r="N890" i="10"/>
  <c r="O890" i="10" s="1"/>
  <c r="N889" i="10"/>
  <c r="O889" i="10" s="1"/>
  <c r="N888" i="10"/>
  <c r="O888" i="10" s="1"/>
  <c r="N887" i="10"/>
  <c r="O887" i="10" s="1"/>
  <c r="N886" i="10"/>
  <c r="O886" i="10" s="1"/>
  <c r="N885" i="10"/>
  <c r="O885" i="10" s="1"/>
  <c r="N884" i="10"/>
  <c r="O884" i="10" s="1"/>
  <c r="N883" i="10"/>
  <c r="O883" i="10" s="1"/>
  <c r="N882" i="10"/>
  <c r="O882" i="10" s="1"/>
  <c r="N881" i="10"/>
  <c r="O881" i="10" s="1"/>
  <c r="N880" i="10"/>
  <c r="O880" i="10" s="1"/>
  <c r="N879" i="10"/>
  <c r="O879" i="10" s="1"/>
  <c r="N878" i="10"/>
  <c r="O878" i="10" s="1"/>
  <c r="N877" i="10"/>
  <c r="O877" i="10" s="1"/>
  <c r="N876" i="10"/>
  <c r="O876" i="10" s="1"/>
  <c r="N875" i="10"/>
  <c r="O875" i="10" s="1"/>
  <c r="N874" i="10"/>
  <c r="O874" i="10" s="1"/>
  <c r="N873" i="10"/>
  <c r="O873" i="10" s="1"/>
  <c r="N872" i="10"/>
  <c r="O872" i="10" s="1"/>
  <c r="N871" i="10"/>
  <c r="O871" i="10" s="1"/>
  <c r="N870" i="10"/>
  <c r="O870" i="10" s="1"/>
  <c r="N869" i="10"/>
  <c r="O869" i="10" s="1"/>
  <c r="N868" i="10"/>
  <c r="O868" i="10" s="1"/>
  <c r="N867" i="10"/>
  <c r="O867" i="10" s="1"/>
  <c r="N866" i="10"/>
  <c r="O866" i="10" s="1"/>
  <c r="N865" i="10"/>
  <c r="O865" i="10" s="1"/>
  <c r="N864" i="10"/>
  <c r="O864" i="10" s="1"/>
  <c r="N863" i="10"/>
  <c r="O863" i="10" s="1"/>
  <c r="N862" i="10"/>
  <c r="O862" i="10" s="1"/>
  <c r="N861" i="10"/>
  <c r="O861" i="10" s="1"/>
  <c r="N860" i="10"/>
  <c r="O860" i="10" s="1"/>
  <c r="N859" i="10"/>
  <c r="O859" i="10" s="1"/>
  <c r="N858" i="10"/>
  <c r="O858" i="10" s="1"/>
  <c r="N857" i="10"/>
  <c r="O857" i="10" s="1"/>
  <c r="N856" i="10"/>
  <c r="O856" i="10" s="1"/>
  <c r="N855" i="10"/>
  <c r="O855" i="10" s="1"/>
  <c r="N854" i="10"/>
  <c r="O854" i="10" s="1"/>
  <c r="N853" i="10"/>
  <c r="O853" i="10" s="1"/>
  <c r="N852" i="10"/>
  <c r="O852" i="10" s="1"/>
  <c r="N851" i="10"/>
  <c r="O851" i="10" s="1"/>
  <c r="N850" i="10"/>
  <c r="O850" i="10" s="1"/>
  <c r="N849" i="10"/>
  <c r="O849" i="10" s="1"/>
  <c r="N848" i="10"/>
  <c r="O848" i="10" s="1"/>
  <c r="N847" i="10"/>
  <c r="O847" i="10" s="1"/>
  <c r="N846" i="10"/>
  <c r="O846" i="10" s="1"/>
  <c r="N845" i="10"/>
  <c r="O845" i="10" s="1"/>
  <c r="N844" i="10"/>
  <c r="O844" i="10" s="1"/>
  <c r="N843" i="10"/>
  <c r="O843" i="10" s="1"/>
  <c r="N842" i="10"/>
  <c r="O842" i="10" s="1"/>
  <c r="N841" i="10"/>
  <c r="O841" i="10" s="1"/>
  <c r="N840" i="10"/>
  <c r="O840" i="10" s="1"/>
  <c r="N839" i="10"/>
  <c r="O839" i="10" s="1"/>
  <c r="N838" i="10"/>
  <c r="O838" i="10" s="1"/>
  <c r="N837" i="10"/>
  <c r="O837" i="10" s="1"/>
  <c r="N836" i="10"/>
  <c r="O836" i="10" s="1"/>
  <c r="N835" i="10"/>
  <c r="O835" i="10" s="1"/>
  <c r="N834" i="10"/>
  <c r="O834" i="10" s="1"/>
  <c r="N833" i="10"/>
  <c r="O833" i="10" s="1"/>
  <c r="N832" i="10"/>
  <c r="O832" i="10" s="1"/>
  <c r="N831" i="10"/>
  <c r="O831" i="10" s="1"/>
  <c r="N830" i="10"/>
  <c r="O830" i="10" s="1"/>
  <c r="N829" i="10"/>
  <c r="O829" i="10" s="1"/>
  <c r="N828" i="10"/>
  <c r="O828" i="10" s="1"/>
  <c r="N827" i="10"/>
  <c r="O827" i="10" s="1"/>
  <c r="N826" i="10"/>
  <c r="O826" i="10" s="1"/>
  <c r="N825" i="10"/>
  <c r="O825" i="10" s="1"/>
  <c r="N824" i="10"/>
  <c r="O824" i="10" s="1"/>
  <c r="N823" i="10"/>
  <c r="O823" i="10" s="1"/>
  <c r="N822" i="10"/>
  <c r="O822" i="10" s="1"/>
  <c r="N821" i="10"/>
  <c r="O821" i="10" s="1"/>
  <c r="N820" i="10"/>
  <c r="O820" i="10" s="1"/>
  <c r="N819" i="10"/>
  <c r="O819" i="10" s="1"/>
  <c r="N818" i="10"/>
  <c r="O818" i="10" s="1"/>
  <c r="N817" i="10"/>
  <c r="O817" i="10" s="1"/>
  <c r="N816" i="10"/>
  <c r="O816" i="10" s="1"/>
  <c r="N815" i="10"/>
  <c r="O815" i="10" s="1"/>
  <c r="N814" i="10"/>
  <c r="O814" i="10" s="1"/>
  <c r="N813" i="10"/>
  <c r="O813" i="10" s="1"/>
  <c r="N812" i="10"/>
  <c r="O812" i="10" s="1"/>
  <c r="N811" i="10"/>
  <c r="O811" i="10" s="1"/>
  <c r="N810" i="10"/>
  <c r="O810" i="10" s="1"/>
  <c r="N809" i="10"/>
  <c r="O809" i="10" s="1"/>
  <c r="N808" i="10"/>
  <c r="O808" i="10" s="1"/>
  <c r="N807" i="10"/>
  <c r="O807" i="10" s="1"/>
  <c r="N806" i="10"/>
  <c r="O806" i="10" s="1"/>
  <c r="N805" i="10"/>
  <c r="O805" i="10" s="1"/>
  <c r="N804" i="10"/>
  <c r="O804" i="10" s="1"/>
  <c r="N803" i="10"/>
  <c r="O803" i="10" s="1"/>
  <c r="N802" i="10"/>
  <c r="O802" i="10" s="1"/>
  <c r="N801" i="10"/>
  <c r="O801" i="10" s="1"/>
  <c r="N800" i="10"/>
  <c r="O800" i="10" s="1"/>
  <c r="N799" i="10"/>
  <c r="O799" i="10" s="1"/>
  <c r="N798" i="10"/>
  <c r="O798" i="10" s="1"/>
  <c r="N797" i="10"/>
  <c r="O797" i="10" s="1"/>
  <c r="N796" i="10"/>
  <c r="O796" i="10" s="1"/>
  <c r="N795" i="10"/>
  <c r="O795" i="10" s="1"/>
  <c r="N794" i="10"/>
  <c r="O794" i="10" s="1"/>
  <c r="N793" i="10"/>
  <c r="O793" i="10" s="1"/>
  <c r="N792" i="10"/>
  <c r="O792" i="10" s="1"/>
  <c r="N791" i="10"/>
  <c r="O791" i="10" s="1"/>
  <c r="N790" i="10"/>
  <c r="O790" i="10" s="1"/>
  <c r="N789" i="10"/>
  <c r="O789" i="10" s="1"/>
  <c r="N788" i="10"/>
  <c r="O788" i="10" s="1"/>
  <c r="N787" i="10"/>
  <c r="O787" i="10" s="1"/>
  <c r="N786" i="10"/>
  <c r="O786" i="10" s="1"/>
  <c r="N785" i="10"/>
  <c r="O785" i="10" s="1"/>
  <c r="N784" i="10"/>
  <c r="O784" i="10" s="1"/>
  <c r="N783" i="10"/>
  <c r="O783" i="10" s="1"/>
  <c r="N782" i="10"/>
  <c r="O782" i="10" s="1"/>
  <c r="N781" i="10"/>
  <c r="O781" i="10" s="1"/>
  <c r="N780" i="10"/>
  <c r="O780" i="10" s="1"/>
  <c r="N779" i="10"/>
  <c r="O779" i="10" s="1"/>
  <c r="N778" i="10"/>
  <c r="O778" i="10" s="1"/>
  <c r="N777" i="10"/>
  <c r="O777" i="10" s="1"/>
  <c r="N776" i="10"/>
  <c r="O776" i="10" s="1"/>
  <c r="N775" i="10"/>
  <c r="O775" i="10" s="1"/>
  <c r="N774" i="10"/>
  <c r="O774" i="10" s="1"/>
  <c r="N773" i="10"/>
  <c r="O773" i="10" s="1"/>
  <c r="N772" i="10"/>
  <c r="O772" i="10" s="1"/>
  <c r="N771" i="10"/>
  <c r="O771" i="10" s="1"/>
  <c r="N770" i="10"/>
  <c r="O770" i="10" s="1"/>
  <c r="N769" i="10"/>
  <c r="O769" i="10" s="1"/>
  <c r="N768" i="10"/>
  <c r="O768" i="10" s="1"/>
  <c r="N767" i="10"/>
  <c r="O767" i="10" s="1"/>
  <c r="N766" i="10"/>
  <c r="O766" i="10" s="1"/>
  <c r="N765" i="10"/>
  <c r="O765" i="10" s="1"/>
  <c r="N764" i="10"/>
  <c r="O764" i="10" s="1"/>
  <c r="N763" i="10"/>
  <c r="O763" i="10" s="1"/>
  <c r="N762" i="10"/>
  <c r="O762" i="10" s="1"/>
  <c r="N761" i="10"/>
  <c r="O761" i="10" s="1"/>
  <c r="N760" i="10"/>
  <c r="O760" i="10" s="1"/>
  <c r="N759" i="10"/>
  <c r="O759" i="10" s="1"/>
  <c r="N758" i="10"/>
  <c r="O758" i="10" s="1"/>
  <c r="N757" i="10"/>
  <c r="O757" i="10" s="1"/>
  <c r="N756" i="10"/>
  <c r="O756" i="10" s="1"/>
  <c r="N755" i="10"/>
  <c r="O755" i="10" s="1"/>
  <c r="N754" i="10"/>
  <c r="O754" i="10" s="1"/>
  <c r="N753" i="10"/>
  <c r="O753" i="10" s="1"/>
  <c r="N752" i="10"/>
  <c r="O752" i="10" s="1"/>
  <c r="N751" i="10"/>
  <c r="O751" i="10" s="1"/>
  <c r="N750" i="10"/>
  <c r="O750" i="10" s="1"/>
  <c r="N749" i="10"/>
  <c r="O749" i="10" s="1"/>
  <c r="N748" i="10"/>
  <c r="O748" i="10" s="1"/>
  <c r="N747" i="10"/>
  <c r="O747" i="10" s="1"/>
  <c r="N746" i="10"/>
  <c r="O746" i="10" s="1"/>
  <c r="N745" i="10"/>
  <c r="O745" i="10" s="1"/>
  <c r="N744" i="10"/>
  <c r="O744" i="10" s="1"/>
  <c r="N743" i="10"/>
  <c r="O743" i="10" s="1"/>
  <c r="N742" i="10"/>
  <c r="O742" i="10" s="1"/>
  <c r="N741" i="10"/>
  <c r="O741" i="10" s="1"/>
  <c r="N740" i="10"/>
  <c r="O740" i="10" s="1"/>
  <c r="N739" i="10"/>
  <c r="O739" i="10" s="1"/>
  <c r="N738" i="10"/>
  <c r="O738" i="10" s="1"/>
  <c r="N737" i="10"/>
  <c r="O737" i="10" s="1"/>
  <c r="N736" i="10"/>
  <c r="O736" i="10" s="1"/>
  <c r="N735" i="10"/>
  <c r="O735" i="10" s="1"/>
  <c r="N734" i="10"/>
  <c r="O734" i="10" s="1"/>
  <c r="N733" i="10"/>
  <c r="O733" i="10" s="1"/>
  <c r="N732" i="10"/>
  <c r="O732" i="10" s="1"/>
  <c r="N731" i="10"/>
  <c r="O731" i="10" s="1"/>
  <c r="N730" i="10"/>
  <c r="O730" i="10" s="1"/>
  <c r="N729" i="10"/>
  <c r="O729" i="10" s="1"/>
  <c r="N728" i="10"/>
  <c r="O728" i="10" s="1"/>
  <c r="N727" i="10"/>
  <c r="O727" i="10" s="1"/>
  <c r="N726" i="10"/>
  <c r="O726" i="10" s="1"/>
  <c r="N725" i="10"/>
  <c r="O725" i="10" s="1"/>
  <c r="N724" i="10"/>
  <c r="O724" i="10" s="1"/>
  <c r="N723" i="10"/>
  <c r="O723" i="10" s="1"/>
  <c r="N722" i="10"/>
  <c r="O722" i="10" s="1"/>
  <c r="N721" i="10"/>
  <c r="O721" i="10" s="1"/>
  <c r="N720" i="10"/>
  <c r="O720" i="10" s="1"/>
  <c r="N719" i="10"/>
  <c r="O719" i="10" s="1"/>
  <c r="N718" i="10"/>
  <c r="O718" i="10" s="1"/>
  <c r="N717" i="10"/>
  <c r="O717" i="10" s="1"/>
  <c r="N716" i="10"/>
  <c r="O716" i="10" s="1"/>
  <c r="N715" i="10"/>
  <c r="O715" i="10" s="1"/>
  <c r="N714" i="10"/>
  <c r="O714" i="10" s="1"/>
  <c r="N713" i="10"/>
  <c r="O713" i="10" s="1"/>
  <c r="N712" i="10"/>
  <c r="O712" i="10" s="1"/>
  <c r="N711" i="10"/>
  <c r="O711" i="10" s="1"/>
  <c r="N710" i="10"/>
  <c r="O710" i="10" s="1"/>
  <c r="N709" i="10"/>
  <c r="O709" i="10" s="1"/>
  <c r="N708" i="10"/>
  <c r="O708" i="10" s="1"/>
  <c r="N707" i="10"/>
  <c r="O707" i="10" s="1"/>
  <c r="N706" i="10"/>
  <c r="O706" i="10" s="1"/>
  <c r="N705" i="10"/>
  <c r="O705" i="10" s="1"/>
  <c r="N704" i="10"/>
  <c r="O704" i="10" s="1"/>
  <c r="N703" i="10"/>
  <c r="O703" i="10" s="1"/>
  <c r="N702" i="10"/>
  <c r="O702" i="10" s="1"/>
  <c r="N701" i="10"/>
  <c r="O701" i="10" s="1"/>
  <c r="N700" i="10"/>
  <c r="O700" i="10" s="1"/>
  <c r="N699" i="10"/>
  <c r="O699" i="10" s="1"/>
  <c r="N698" i="10"/>
  <c r="O698" i="10" s="1"/>
  <c r="N697" i="10"/>
  <c r="O697" i="10" s="1"/>
  <c r="N696" i="10"/>
  <c r="O696" i="10" s="1"/>
  <c r="N695" i="10"/>
  <c r="O695" i="10" s="1"/>
  <c r="N694" i="10"/>
  <c r="O694" i="10" s="1"/>
  <c r="N693" i="10"/>
  <c r="O693" i="10" s="1"/>
  <c r="N692" i="10"/>
  <c r="O692" i="10" s="1"/>
  <c r="N691" i="10"/>
  <c r="O691" i="10" s="1"/>
  <c r="N690" i="10"/>
  <c r="O690" i="10" s="1"/>
  <c r="N689" i="10"/>
  <c r="O689" i="10" s="1"/>
  <c r="N688" i="10"/>
  <c r="O688" i="10" s="1"/>
  <c r="N687" i="10"/>
  <c r="O687" i="10" s="1"/>
  <c r="N686" i="10"/>
  <c r="O686" i="10" s="1"/>
  <c r="N685" i="10"/>
  <c r="O685" i="10" s="1"/>
  <c r="N684" i="10"/>
  <c r="O684" i="10" s="1"/>
  <c r="N683" i="10"/>
  <c r="O683" i="10" s="1"/>
  <c r="N682" i="10"/>
  <c r="O682" i="10" s="1"/>
  <c r="N681" i="10"/>
  <c r="O681" i="10" s="1"/>
  <c r="N680" i="10"/>
  <c r="O680" i="10" s="1"/>
  <c r="N679" i="10"/>
  <c r="O679" i="10" s="1"/>
  <c r="N678" i="10"/>
  <c r="O678" i="10" s="1"/>
  <c r="N677" i="10"/>
  <c r="O677" i="10" s="1"/>
  <c r="N676" i="10"/>
  <c r="O676" i="10" s="1"/>
  <c r="N675" i="10"/>
  <c r="O675" i="10" s="1"/>
  <c r="N674" i="10"/>
  <c r="O674" i="10" s="1"/>
  <c r="N673" i="10"/>
  <c r="O673" i="10" s="1"/>
  <c r="N672" i="10"/>
  <c r="O672" i="10" s="1"/>
  <c r="N671" i="10"/>
  <c r="O671" i="10" s="1"/>
  <c r="N670" i="10"/>
  <c r="O670" i="10" s="1"/>
  <c r="N669" i="10"/>
  <c r="O669" i="10" s="1"/>
  <c r="N668" i="10"/>
  <c r="O668" i="10" s="1"/>
  <c r="N667" i="10"/>
  <c r="O667" i="10" s="1"/>
  <c r="N666" i="10"/>
  <c r="O666" i="10" s="1"/>
  <c r="N665" i="10"/>
  <c r="O665" i="10" s="1"/>
  <c r="N664" i="10"/>
  <c r="O664" i="10" s="1"/>
  <c r="N663" i="10"/>
  <c r="O663" i="10" s="1"/>
  <c r="N662" i="10"/>
  <c r="O662" i="10" s="1"/>
  <c r="N661" i="10"/>
  <c r="O661" i="10" s="1"/>
  <c r="N660" i="10"/>
  <c r="O660" i="10" s="1"/>
  <c r="N659" i="10"/>
  <c r="O659" i="10" s="1"/>
  <c r="N658" i="10"/>
  <c r="O658" i="10" s="1"/>
  <c r="N657" i="10"/>
  <c r="O657" i="10" s="1"/>
  <c r="N656" i="10"/>
  <c r="O656" i="10" s="1"/>
  <c r="N655" i="10"/>
  <c r="O655" i="10" s="1"/>
  <c r="N654" i="10"/>
  <c r="O654" i="10" s="1"/>
  <c r="N653" i="10"/>
  <c r="O653" i="10" s="1"/>
  <c r="N652" i="10"/>
  <c r="O652" i="10" s="1"/>
  <c r="N651" i="10"/>
  <c r="O651" i="10" s="1"/>
  <c r="N650" i="10"/>
  <c r="O650" i="10" s="1"/>
  <c r="N649" i="10"/>
  <c r="O649" i="10" s="1"/>
  <c r="N648" i="10"/>
  <c r="O648" i="10" s="1"/>
  <c r="N647" i="10"/>
  <c r="O647" i="10" s="1"/>
  <c r="N646" i="10"/>
  <c r="O646" i="10" s="1"/>
  <c r="N645" i="10"/>
  <c r="O645" i="10" s="1"/>
  <c r="N644" i="10"/>
  <c r="O644" i="10" s="1"/>
  <c r="N643" i="10"/>
  <c r="O643" i="10" s="1"/>
  <c r="N642" i="10"/>
  <c r="O642" i="10" s="1"/>
  <c r="N641" i="10"/>
  <c r="O641" i="10" s="1"/>
  <c r="N640" i="10"/>
  <c r="O640" i="10" s="1"/>
  <c r="N639" i="10"/>
  <c r="O639" i="10" s="1"/>
  <c r="N638" i="10"/>
  <c r="O638" i="10" s="1"/>
  <c r="N637" i="10"/>
  <c r="O637" i="10" s="1"/>
  <c r="N636" i="10"/>
  <c r="O636" i="10" s="1"/>
  <c r="N635" i="10"/>
  <c r="O635" i="10" s="1"/>
  <c r="N634" i="10"/>
  <c r="O634" i="10" s="1"/>
  <c r="N633" i="10"/>
  <c r="O633" i="10" s="1"/>
  <c r="N632" i="10"/>
  <c r="O632" i="10" s="1"/>
  <c r="N631" i="10"/>
  <c r="O631" i="10" s="1"/>
  <c r="N630" i="10"/>
  <c r="O630" i="10" s="1"/>
  <c r="N629" i="10"/>
  <c r="O629" i="10" s="1"/>
  <c r="N628" i="10"/>
  <c r="O628" i="10" s="1"/>
  <c r="N627" i="10"/>
  <c r="O627" i="10" s="1"/>
  <c r="N626" i="10"/>
  <c r="O626" i="10" s="1"/>
  <c r="N625" i="10"/>
  <c r="O625" i="10" s="1"/>
  <c r="N624" i="10"/>
  <c r="O624" i="10" s="1"/>
  <c r="N623" i="10"/>
  <c r="O623" i="10" s="1"/>
  <c r="N622" i="10"/>
  <c r="O622" i="10" s="1"/>
  <c r="N621" i="10"/>
  <c r="O621" i="10" s="1"/>
  <c r="N620" i="10"/>
  <c r="O620" i="10" s="1"/>
  <c r="N619" i="10"/>
  <c r="O619" i="10" s="1"/>
  <c r="N618" i="10"/>
  <c r="O618" i="10" s="1"/>
  <c r="N617" i="10"/>
  <c r="O617" i="10" s="1"/>
  <c r="N616" i="10"/>
  <c r="O616" i="10" s="1"/>
  <c r="N615" i="10"/>
  <c r="O615" i="10" s="1"/>
  <c r="N614" i="10"/>
  <c r="O614" i="10" s="1"/>
  <c r="N613" i="10"/>
  <c r="O613" i="10" s="1"/>
  <c r="N612" i="10"/>
  <c r="O612" i="10" s="1"/>
  <c r="N611" i="10"/>
  <c r="O611" i="10" s="1"/>
  <c r="N610" i="10"/>
  <c r="O610" i="10" s="1"/>
  <c r="N609" i="10"/>
  <c r="O609" i="10" s="1"/>
  <c r="N608" i="10"/>
  <c r="O608" i="10" s="1"/>
  <c r="N607" i="10"/>
  <c r="O607" i="10" s="1"/>
  <c r="N606" i="10"/>
  <c r="O606" i="10" s="1"/>
  <c r="N605" i="10"/>
  <c r="O605" i="10" s="1"/>
  <c r="N604" i="10"/>
  <c r="O604" i="10" s="1"/>
  <c r="N603" i="10"/>
  <c r="O603" i="10" s="1"/>
  <c r="N602" i="10"/>
  <c r="O602" i="10" s="1"/>
  <c r="N601" i="10"/>
  <c r="O601" i="10" s="1"/>
  <c r="N600" i="10"/>
  <c r="O600" i="10" s="1"/>
  <c r="N599" i="10"/>
  <c r="O599" i="10" s="1"/>
  <c r="N598" i="10"/>
  <c r="O598" i="10" s="1"/>
  <c r="N597" i="10"/>
  <c r="O597" i="10" s="1"/>
  <c r="N596" i="10"/>
  <c r="O596" i="10" s="1"/>
  <c r="N595" i="10"/>
  <c r="O595" i="10" s="1"/>
  <c r="N594" i="10"/>
  <c r="O594" i="10" s="1"/>
  <c r="N593" i="10"/>
  <c r="O593" i="10" s="1"/>
  <c r="N592" i="10"/>
  <c r="O592" i="10" s="1"/>
  <c r="N591" i="10"/>
  <c r="O591" i="10" s="1"/>
  <c r="N590" i="10"/>
  <c r="O590" i="10" s="1"/>
  <c r="N589" i="10"/>
  <c r="O589" i="10" s="1"/>
  <c r="N588" i="10"/>
  <c r="O588" i="10" s="1"/>
  <c r="N587" i="10"/>
  <c r="O587" i="10" s="1"/>
  <c r="N586" i="10"/>
  <c r="O586" i="10" s="1"/>
  <c r="N585" i="10"/>
  <c r="O585" i="10" s="1"/>
  <c r="N584" i="10"/>
  <c r="O584" i="10" s="1"/>
  <c r="N583" i="10"/>
  <c r="O583" i="10" s="1"/>
  <c r="N582" i="10"/>
  <c r="O582" i="10" s="1"/>
  <c r="N581" i="10"/>
  <c r="O581" i="10" s="1"/>
  <c r="N580" i="10"/>
  <c r="O580" i="10" s="1"/>
  <c r="N579" i="10"/>
  <c r="O579" i="10" s="1"/>
  <c r="N578" i="10"/>
  <c r="O578" i="10" s="1"/>
  <c r="N577" i="10"/>
  <c r="O577" i="10" s="1"/>
  <c r="N576" i="10"/>
  <c r="O576" i="10" s="1"/>
  <c r="N575" i="10"/>
  <c r="O575" i="10" s="1"/>
  <c r="N574" i="10"/>
  <c r="O574" i="10" s="1"/>
  <c r="N573" i="10"/>
  <c r="O573" i="10" s="1"/>
  <c r="N572" i="10"/>
  <c r="O572" i="10" s="1"/>
  <c r="N571" i="10"/>
  <c r="O571" i="10" s="1"/>
  <c r="N570" i="10"/>
  <c r="O570" i="10" s="1"/>
  <c r="N569" i="10"/>
  <c r="O569" i="10" s="1"/>
  <c r="N568" i="10"/>
  <c r="O568" i="10" s="1"/>
  <c r="N567" i="10"/>
  <c r="O567" i="10" s="1"/>
  <c r="N566" i="10"/>
  <c r="O566" i="10" s="1"/>
  <c r="N565" i="10"/>
  <c r="O565" i="10" s="1"/>
  <c r="N564" i="10"/>
  <c r="O564" i="10" s="1"/>
  <c r="N563" i="10"/>
  <c r="O563" i="10" s="1"/>
  <c r="N562" i="10"/>
  <c r="O562" i="10" s="1"/>
  <c r="N561" i="10"/>
  <c r="O561" i="10" s="1"/>
  <c r="N560" i="10"/>
  <c r="O560" i="10" s="1"/>
  <c r="N559" i="10"/>
  <c r="O559" i="10" s="1"/>
  <c r="N558" i="10"/>
  <c r="O558" i="10" s="1"/>
  <c r="N557" i="10"/>
  <c r="O557" i="10" s="1"/>
  <c r="N556" i="10"/>
  <c r="O556" i="10" s="1"/>
  <c r="N555" i="10"/>
  <c r="O555" i="10" s="1"/>
  <c r="N554" i="10"/>
  <c r="O554" i="10" s="1"/>
  <c r="N553" i="10"/>
  <c r="O553" i="10" s="1"/>
  <c r="N552" i="10"/>
  <c r="O552" i="10" s="1"/>
  <c r="N551" i="10"/>
  <c r="O551" i="10" s="1"/>
  <c r="N550" i="10"/>
  <c r="O550" i="10" s="1"/>
  <c r="N549" i="10"/>
  <c r="O549" i="10" s="1"/>
  <c r="N548" i="10"/>
  <c r="O548" i="10" s="1"/>
  <c r="N547" i="10"/>
  <c r="O547" i="10" s="1"/>
  <c r="N546" i="10"/>
  <c r="O546" i="10" s="1"/>
  <c r="N545" i="10"/>
  <c r="O545" i="10" s="1"/>
  <c r="N544" i="10"/>
  <c r="O544" i="10" s="1"/>
  <c r="N543" i="10"/>
  <c r="O543" i="10" s="1"/>
  <c r="N542" i="10"/>
  <c r="O542" i="10" s="1"/>
  <c r="N541" i="10"/>
  <c r="O541" i="10" s="1"/>
  <c r="N540" i="10"/>
  <c r="O540" i="10" s="1"/>
  <c r="N539" i="10"/>
  <c r="O539" i="10" s="1"/>
  <c r="N538" i="10"/>
  <c r="O538" i="10" s="1"/>
  <c r="N537" i="10"/>
  <c r="O537" i="10" s="1"/>
  <c r="N536" i="10"/>
  <c r="O536" i="10" s="1"/>
  <c r="N535" i="10"/>
  <c r="O535" i="10" s="1"/>
  <c r="N534" i="10"/>
  <c r="O534" i="10" s="1"/>
  <c r="N533" i="10"/>
  <c r="O533" i="10" s="1"/>
  <c r="N532" i="10"/>
  <c r="O532" i="10" s="1"/>
  <c r="N531" i="10"/>
  <c r="O531" i="10" s="1"/>
  <c r="N530" i="10"/>
  <c r="O530" i="10" s="1"/>
  <c r="N529" i="10"/>
  <c r="O529" i="10" s="1"/>
  <c r="N528" i="10"/>
  <c r="O528" i="10" s="1"/>
  <c r="N527" i="10"/>
  <c r="O527" i="10" s="1"/>
  <c r="N526" i="10"/>
  <c r="O526" i="10" s="1"/>
  <c r="N525" i="10"/>
  <c r="O525" i="10" s="1"/>
  <c r="N524" i="10"/>
  <c r="O524" i="10" s="1"/>
  <c r="N523" i="10"/>
  <c r="O523" i="10" s="1"/>
  <c r="N522" i="10"/>
  <c r="O522" i="10" s="1"/>
  <c r="N521" i="10"/>
  <c r="O521" i="10" s="1"/>
  <c r="N520" i="10"/>
  <c r="O520" i="10" s="1"/>
  <c r="N519" i="10"/>
  <c r="O519" i="10" s="1"/>
  <c r="N518" i="10"/>
  <c r="O518" i="10" s="1"/>
  <c r="N517" i="10"/>
  <c r="O517" i="10" s="1"/>
  <c r="N516" i="10"/>
  <c r="O516" i="10" s="1"/>
  <c r="N515" i="10"/>
  <c r="O515" i="10" s="1"/>
  <c r="N514" i="10"/>
  <c r="O514" i="10" s="1"/>
  <c r="N513" i="10"/>
  <c r="O513" i="10" s="1"/>
  <c r="N512" i="10"/>
  <c r="O512" i="10" s="1"/>
  <c r="N511" i="10"/>
  <c r="O511" i="10" s="1"/>
  <c r="N510" i="10"/>
  <c r="O510" i="10" s="1"/>
  <c r="N509" i="10"/>
  <c r="O509" i="10" s="1"/>
  <c r="N508" i="10"/>
  <c r="O508" i="10" s="1"/>
  <c r="N507" i="10"/>
  <c r="O507" i="10" s="1"/>
  <c r="N506" i="10"/>
  <c r="O506" i="10" s="1"/>
  <c r="N505" i="10"/>
  <c r="O505" i="10" s="1"/>
  <c r="N504" i="10"/>
  <c r="O504" i="10" s="1"/>
  <c r="N503" i="10"/>
  <c r="O503" i="10" s="1"/>
  <c r="N502" i="10"/>
  <c r="O502" i="10" s="1"/>
  <c r="N501" i="10"/>
  <c r="O501" i="10" s="1"/>
  <c r="N500" i="10"/>
  <c r="O500" i="10" s="1"/>
  <c r="N499" i="10"/>
  <c r="O499" i="10" s="1"/>
  <c r="N498" i="10"/>
  <c r="O498" i="10" s="1"/>
  <c r="N497" i="10"/>
  <c r="O497" i="10" s="1"/>
  <c r="N496" i="10"/>
  <c r="O496" i="10" s="1"/>
  <c r="N495" i="10"/>
  <c r="O495" i="10" s="1"/>
  <c r="N494" i="10"/>
  <c r="O494" i="10" s="1"/>
  <c r="N493" i="10"/>
  <c r="O493" i="10" s="1"/>
  <c r="N492" i="10"/>
  <c r="O492" i="10" s="1"/>
  <c r="N491" i="10"/>
  <c r="O491" i="10" s="1"/>
  <c r="N490" i="10"/>
  <c r="O490" i="10" s="1"/>
  <c r="N489" i="10"/>
  <c r="O489" i="10" s="1"/>
  <c r="N488" i="10"/>
  <c r="O488" i="10" s="1"/>
  <c r="N487" i="10"/>
  <c r="O487" i="10" s="1"/>
  <c r="N486" i="10"/>
  <c r="O486" i="10" s="1"/>
  <c r="N485" i="10"/>
  <c r="O485" i="10" s="1"/>
  <c r="N484" i="10"/>
  <c r="O484" i="10" s="1"/>
  <c r="N483" i="10"/>
  <c r="O483" i="10" s="1"/>
  <c r="N482" i="10"/>
  <c r="O482" i="10" s="1"/>
  <c r="N481" i="10"/>
  <c r="O481" i="10" s="1"/>
  <c r="N480" i="10"/>
  <c r="O480" i="10" s="1"/>
  <c r="N479" i="10"/>
  <c r="O479" i="10" s="1"/>
  <c r="N478" i="10"/>
  <c r="O478" i="10" s="1"/>
  <c r="N477" i="10"/>
  <c r="O477" i="10" s="1"/>
  <c r="N476" i="10"/>
  <c r="O476" i="10" s="1"/>
  <c r="N475" i="10"/>
  <c r="O475" i="10" s="1"/>
  <c r="N474" i="10"/>
  <c r="O474" i="10" s="1"/>
  <c r="N473" i="10"/>
  <c r="O473" i="10" s="1"/>
  <c r="N472" i="10"/>
  <c r="O472" i="10" s="1"/>
  <c r="N471" i="10"/>
  <c r="O471" i="10" s="1"/>
  <c r="N470" i="10"/>
  <c r="O470" i="10" s="1"/>
  <c r="N469" i="10"/>
  <c r="O469" i="10" s="1"/>
  <c r="N468" i="10"/>
  <c r="O468" i="10" s="1"/>
  <c r="N467" i="10"/>
  <c r="O467" i="10" s="1"/>
  <c r="N466" i="10"/>
  <c r="O466" i="10" s="1"/>
  <c r="N465" i="10"/>
  <c r="O465" i="10" s="1"/>
  <c r="N464" i="10"/>
  <c r="O464" i="10" s="1"/>
  <c r="N463" i="10"/>
  <c r="O463" i="10" s="1"/>
  <c r="N462" i="10"/>
  <c r="O462" i="10" s="1"/>
  <c r="N461" i="10"/>
  <c r="O461" i="10" s="1"/>
  <c r="N460" i="10"/>
  <c r="O460" i="10" s="1"/>
  <c r="N459" i="10"/>
  <c r="O459" i="10" s="1"/>
  <c r="N458" i="10"/>
  <c r="O458" i="10" s="1"/>
  <c r="N457" i="10"/>
  <c r="O457" i="10" s="1"/>
  <c r="N456" i="10"/>
  <c r="O456" i="10" s="1"/>
  <c r="N455" i="10"/>
  <c r="O455" i="10" s="1"/>
  <c r="N454" i="10"/>
  <c r="O454" i="10" s="1"/>
  <c r="N453" i="10"/>
  <c r="O453" i="10" s="1"/>
  <c r="N452" i="10"/>
  <c r="O452" i="10" s="1"/>
  <c r="N451" i="10"/>
  <c r="O451" i="10" s="1"/>
  <c r="N450" i="10"/>
  <c r="O450" i="10" s="1"/>
  <c r="N449" i="10"/>
  <c r="O449" i="10" s="1"/>
  <c r="N448" i="10"/>
  <c r="O448" i="10" s="1"/>
  <c r="N447" i="10"/>
  <c r="O447" i="10" s="1"/>
  <c r="N446" i="10"/>
  <c r="O446" i="10" s="1"/>
  <c r="N445" i="10"/>
  <c r="O445" i="10" s="1"/>
  <c r="N444" i="10"/>
  <c r="O444" i="10" s="1"/>
  <c r="N443" i="10"/>
  <c r="O443" i="10" s="1"/>
  <c r="N442" i="10"/>
  <c r="O442" i="10" s="1"/>
  <c r="N441" i="10"/>
  <c r="O441" i="10" s="1"/>
  <c r="N440" i="10"/>
  <c r="O440" i="10" s="1"/>
  <c r="N439" i="10"/>
  <c r="O439" i="10" s="1"/>
  <c r="N438" i="10"/>
  <c r="O438" i="10" s="1"/>
  <c r="N437" i="10"/>
  <c r="O437" i="10" s="1"/>
  <c r="N436" i="10"/>
  <c r="O436" i="10" s="1"/>
  <c r="N435" i="10"/>
  <c r="O435" i="10" s="1"/>
  <c r="N434" i="10"/>
  <c r="O434" i="10" s="1"/>
  <c r="N433" i="10"/>
  <c r="O433" i="10" s="1"/>
  <c r="N432" i="10"/>
  <c r="O432" i="10" s="1"/>
  <c r="N431" i="10"/>
  <c r="O431" i="10" s="1"/>
  <c r="N430" i="10"/>
  <c r="O430" i="10" s="1"/>
  <c r="N429" i="10"/>
  <c r="O429" i="10" s="1"/>
  <c r="N428" i="10"/>
  <c r="O428" i="10" s="1"/>
  <c r="N427" i="10"/>
  <c r="O427" i="10" s="1"/>
  <c r="N426" i="10"/>
  <c r="O426" i="10" s="1"/>
  <c r="N425" i="10"/>
  <c r="O425" i="10" s="1"/>
  <c r="N424" i="10"/>
  <c r="O424" i="10" s="1"/>
  <c r="N423" i="10"/>
  <c r="O423" i="10" s="1"/>
  <c r="N422" i="10"/>
  <c r="O422" i="10" s="1"/>
  <c r="N421" i="10"/>
  <c r="O421" i="10" s="1"/>
  <c r="N420" i="10"/>
  <c r="O420" i="10" s="1"/>
  <c r="N419" i="10"/>
  <c r="O419" i="10" s="1"/>
  <c r="N418" i="10"/>
  <c r="O418" i="10" s="1"/>
  <c r="N417" i="10"/>
  <c r="O417" i="10" s="1"/>
  <c r="N416" i="10"/>
  <c r="O416" i="10" s="1"/>
  <c r="N415" i="10"/>
  <c r="O415" i="10" s="1"/>
  <c r="N414" i="10"/>
  <c r="O414" i="10" s="1"/>
  <c r="N413" i="10"/>
  <c r="O413" i="10" s="1"/>
  <c r="N412" i="10"/>
  <c r="O412" i="10" s="1"/>
  <c r="N411" i="10"/>
  <c r="O411" i="10" s="1"/>
  <c r="N410" i="10"/>
  <c r="O410" i="10" s="1"/>
  <c r="N409" i="10"/>
  <c r="O409" i="10" s="1"/>
  <c r="N408" i="10"/>
  <c r="O408" i="10" s="1"/>
  <c r="N407" i="10"/>
  <c r="O407" i="10" s="1"/>
  <c r="N406" i="10"/>
  <c r="O406" i="10" s="1"/>
  <c r="N405" i="10"/>
  <c r="O405" i="10" s="1"/>
  <c r="N404" i="10"/>
  <c r="O404" i="10" s="1"/>
  <c r="N403" i="10"/>
  <c r="O403" i="10" s="1"/>
  <c r="N402" i="10"/>
  <c r="O402" i="10" s="1"/>
  <c r="N401" i="10"/>
  <c r="O401" i="10" s="1"/>
  <c r="N400" i="10"/>
  <c r="O400" i="10" s="1"/>
  <c r="N399" i="10"/>
  <c r="O399" i="10" s="1"/>
  <c r="N398" i="10"/>
  <c r="O398" i="10" s="1"/>
  <c r="N397" i="10"/>
  <c r="O397" i="10" s="1"/>
  <c r="N396" i="10"/>
  <c r="O396" i="10" s="1"/>
  <c r="N395" i="10"/>
  <c r="O395" i="10" s="1"/>
  <c r="N394" i="10"/>
  <c r="O394" i="10" s="1"/>
  <c r="N393" i="10"/>
  <c r="O393" i="10" s="1"/>
  <c r="N392" i="10"/>
  <c r="O392" i="10" s="1"/>
  <c r="N391" i="10"/>
  <c r="O391" i="10" s="1"/>
  <c r="N390" i="10"/>
  <c r="O390" i="10" s="1"/>
  <c r="N389" i="10"/>
  <c r="O389" i="10" s="1"/>
  <c r="N388" i="10"/>
  <c r="O388" i="10" s="1"/>
  <c r="N387" i="10"/>
  <c r="O387" i="10" s="1"/>
  <c r="N386" i="10"/>
  <c r="O386" i="10" s="1"/>
  <c r="N385" i="10"/>
  <c r="O385" i="10" s="1"/>
  <c r="N384" i="10"/>
  <c r="O384" i="10" s="1"/>
  <c r="N383" i="10"/>
  <c r="O383" i="10" s="1"/>
  <c r="N382" i="10"/>
  <c r="O382" i="10" s="1"/>
  <c r="N381" i="10"/>
  <c r="O381" i="10" s="1"/>
  <c r="N380" i="10"/>
  <c r="O380" i="10" s="1"/>
  <c r="N379" i="10"/>
  <c r="O379" i="10" s="1"/>
  <c r="N378" i="10"/>
  <c r="O378" i="10" s="1"/>
  <c r="N377" i="10"/>
  <c r="O377" i="10" s="1"/>
  <c r="N376" i="10"/>
  <c r="O376" i="10" s="1"/>
  <c r="N375" i="10"/>
  <c r="O375" i="10" s="1"/>
  <c r="N374" i="10"/>
  <c r="O374" i="10" s="1"/>
  <c r="N373" i="10"/>
  <c r="O373" i="10" s="1"/>
  <c r="N372" i="10"/>
  <c r="O372" i="10" s="1"/>
  <c r="N371" i="10"/>
  <c r="O371" i="10" s="1"/>
  <c r="N370" i="10"/>
  <c r="O370" i="10" s="1"/>
  <c r="N369" i="10"/>
  <c r="O369" i="10" s="1"/>
  <c r="N368" i="10"/>
  <c r="O368" i="10" s="1"/>
  <c r="N367" i="10"/>
  <c r="O367" i="10" s="1"/>
  <c r="N366" i="10"/>
  <c r="O366" i="10" s="1"/>
  <c r="N365" i="10"/>
  <c r="O365" i="10" s="1"/>
  <c r="N364" i="10"/>
  <c r="O364" i="10" s="1"/>
  <c r="N363" i="10"/>
  <c r="O363" i="10" s="1"/>
  <c r="N362" i="10"/>
  <c r="O362" i="10" s="1"/>
  <c r="N361" i="10"/>
  <c r="O361" i="10" s="1"/>
  <c r="N360" i="10"/>
  <c r="O360" i="10" s="1"/>
  <c r="N359" i="10"/>
  <c r="O359" i="10" s="1"/>
  <c r="N358" i="10"/>
  <c r="O358" i="10" s="1"/>
  <c r="N357" i="10"/>
  <c r="O357" i="10" s="1"/>
  <c r="N356" i="10"/>
  <c r="O356" i="10" s="1"/>
  <c r="N355" i="10"/>
  <c r="O355" i="10" s="1"/>
  <c r="N354" i="10"/>
  <c r="O354" i="10" s="1"/>
  <c r="N353" i="10"/>
  <c r="O353" i="10" s="1"/>
  <c r="N352" i="10"/>
  <c r="O352" i="10" s="1"/>
  <c r="N351" i="10"/>
  <c r="O351" i="10" s="1"/>
  <c r="N350" i="10"/>
  <c r="O350" i="10" s="1"/>
  <c r="N349" i="10"/>
  <c r="O349" i="10" s="1"/>
  <c r="N348" i="10"/>
  <c r="O348" i="10" s="1"/>
  <c r="N347" i="10"/>
  <c r="O347" i="10" s="1"/>
  <c r="N346" i="10"/>
  <c r="O346" i="10" s="1"/>
  <c r="N345" i="10"/>
  <c r="O345" i="10" s="1"/>
  <c r="N344" i="10"/>
  <c r="O344" i="10" s="1"/>
  <c r="N343" i="10"/>
  <c r="O343" i="10" s="1"/>
  <c r="N342" i="10"/>
  <c r="O342" i="10" s="1"/>
  <c r="N341" i="10"/>
  <c r="O341" i="10" s="1"/>
  <c r="N340" i="10"/>
  <c r="O340" i="10" s="1"/>
  <c r="N339" i="10"/>
  <c r="O339" i="10" s="1"/>
  <c r="N338" i="10"/>
  <c r="O338" i="10" s="1"/>
  <c r="N337" i="10"/>
  <c r="O337" i="10" s="1"/>
  <c r="N336" i="10"/>
  <c r="O336" i="10" s="1"/>
  <c r="N335" i="10"/>
  <c r="O335" i="10" s="1"/>
  <c r="N334" i="10"/>
  <c r="O334" i="10" s="1"/>
  <c r="N333" i="10"/>
  <c r="O333" i="10" s="1"/>
  <c r="N332" i="10"/>
  <c r="O332" i="10" s="1"/>
  <c r="N331" i="10"/>
  <c r="O331" i="10" s="1"/>
  <c r="N330" i="10"/>
  <c r="O330" i="10" s="1"/>
  <c r="N329" i="10"/>
  <c r="O329" i="10" s="1"/>
  <c r="N328" i="10"/>
  <c r="O328" i="10" s="1"/>
  <c r="N327" i="10"/>
  <c r="O327" i="10" s="1"/>
  <c r="N326" i="10"/>
  <c r="O326" i="10" s="1"/>
  <c r="N325" i="10"/>
  <c r="O325" i="10" s="1"/>
  <c r="N324" i="10"/>
  <c r="O324" i="10" s="1"/>
  <c r="N323" i="10"/>
  <c r="O323" i="10" s="1"/>
  <c r="N322" i="10"/>
  <c r="O322" i="10" s="1"/>
  <c r="N321" i="10"/>
  <c r="O321" i="10" s="1"/>
  <c r="N320" i="10"/>
  <c r="O320" i="10" s="1"/>
  <c r="N319" i="10"/>
  <c r="O319" i="10" s="1"/>
  <c r="N318" i="10"/>
  <c r="O318" i="10" s="1"/>
  <c r="N317" i="10"/>
  <c r="O317" i="10" s="1"/>
  <c r="N316" i="10"/>
  <c r="O316" i="10" s="1"/>
  <c r="N315" i="10"/>
  <c r="O315" i="10" s="1"/>
  <c r="N314" i="10"/>
  <c r="O314" i="10" s="1"/>
  <c r="N313" i="10"/>
  <c r="O313" i="10" s="1"/>
  <c r="N312" i="10"/>
  <c r="O312" i="10" s="1"/>
  <c r="N311" i="10"/>
  <c r="O311" i="10" s="1"/>
  <c r="N310" i="10"/>
  <c r="O310" i="10" s="1"/>
  <c r="N309" i="10"/>
  <c r="O309" i="10" s="1"/>
  <c r="N308" i="10"/>
  <c r="O308" i="10" s="1"/>
  <c r="N307" i="10"/>
  <c r="O307" i="10" s="1"/>
  <c r="N306" i="10"/>
  <c r="O306" i="10" s="1"/>
  <c r="N305" i="10"/>
  <c r="O305" i="10" s="1"/>
  <c r="N304" i="10"/>
  <c r="O304" i="10" s="1"/>
  <c r="N303" i="10"/>
  <c r="O303" i="10" s="1"/>
  <c r="N302" i="10"/>
  <c r="O302" i="10" s="1"/>
  <c r="N301" i="10"/>
  <c r="O301" i="10" s="1"/>
  <c r="N300" i="10"/>
  <c r="O300" i="10" s="1"/>
  <c r="N299" i="10"/>
  <c r="O299" i="10" s="1"/>
  <c r="N298" i="10"/>
  <c r="O298" i="10" s="1"/>
  <c r="N297" i="10"/>
  <c r="O297" i="10" s="1"/>
  <c r="N296" i="10"/>
  <c r="O296" i="10" s="1"/>
  <c r="N295" i="10"/>
  <c r="O295" i="10" s="1"/>
  <c r="N294" i="10"/>
  <c r="O294" i="10" s="1"/>
  <c r="N293" i="10"/>
  <c r="O293" i="10" s="1"/>
  <c r="N292" i="10"/>
  <c r="O292" i="10" s="1"/>
  <c r="N291" i="10"/>
  <c r="O291" i="10" s="1"/>
  <c r="N290" i="10"/>
  <c r="O290" i="10" s="1"/>
  <c r="N289" i="10"/>
  <c r="O289" i="10" s="1"/>
  <c r="N288" i="10"/>
  <c r="O288" i="10" s="1"/>
  <c r="N287" i="10"/>
  <c r="O287" i="10" s="1"/>
  <c r="N286" i="10"/>
  <c r="O286" i="10" s="1"/>
  <c r="N285" i="10"/>
  <c r="O285" i="10" s="1"/>
  <c r="N284" i="10"/>
  <c r="O284" i="10" s="1"/>
  <c r="N283" i="10"/>
  <c r="O283" i="10" s="1"/>
  <c r="N282" i="10"/>
  <c r="O282" i="10" s="1"/>
  <c r="N281" i="10"/>
  <c r="O281" i="10" s="1"/>
  <c r="N280" i="10"/>
  <c r="O280" i="10" s="1"/>
  <c r="N279" i="10"/>
  <c r="O279" i="10" s="1"/>
  <c r="N278" i="10"/>
  <c r="O278" i="10" s="1"/>
  <c r="N277" i="10"/>
  <c r="O277" i="10" s="1"/>
  <c r="N276" i="10"/>
  <c r="O276" i="10" s="1"/>
  <c r="N275" i="10"/>
  <c r="O275" i="10" s="1"/>
  <c r="N274" i="10"/>
  <c r="O274" i="10" s="1"/>
  <c r="N273" i="10"/>
  <c r="O273" i="10" s="1"/>
  <c r="N272" i="10"/>
  <c r="O272" i="10" s="1"/>
  <c r="N271" i="10"/>
  <c r="O271" i="10" s="1"/>
  <c r="N270" i="10"/>
  <c r="O270" i="10" s="1"/>
  <c r="N269" i="10"/>
  <c r="O269" i="10" s="1"/>
  <c r="N268" i="10"/>
  <c r="O268" i="10" s="1"/>
  <c r="N267" i="10"/>
  <c r="O267" i="10" s="1"/>
  <c r="N266" i="10"/>
  <c r="O266" i="10" s="1"/>
  <c r="N265" i="10"/>
  <c r="O265" i="10" s="1"/>
  <c r="N264" i="10"/>
  <c r="O264" i="10" s="1"/>
  <c r="N263" i="10"/>
  <c r="O263" i="10" s="1"/>
  <c r="N262" i="10"/>
  <c r="O262" i="10" s="1"/>
  <c r="N261" i="10"/>
  <c r="O261" i="10" s="1"/>
  <c r="N260" i="10"/>
  <c r="O260" i="10" s="1"/>
  <c r="N259" i="10"/>
  <c r="O259" i="10" s="1"/>
  <c r="N258" i="10"/>
  <c r="O258" i="10" s="1"/>
  <c r="N257" i="10"/>
  <c r="O257" i="10" s="1"/>
  <c r="N256" i="10"/>
  <c r="O256" i="10" s="1"/>
  <c r="N255" i="10"/>
  <c r="O255" i="10" s="1"/>
  <c r="N254" i="10"/>
  <c r="O254" i="10" s="1"/>
  <c r="N253" i="10"/>
  <c r="O253" i="10" s="1"/>
  <c r="N252" i="10"/>
  <c r="O252" i="10" s="1"/>
  <c r="N251" i="10"/>
  <c r="O251" i="10" s="1"/>
  <c r="N250" i="10"/>
  <c r="O250" i="10" s="1"/>
  <c r="N249" i="10"/>
  <c r="O249" i="10" s="1"/>
  <c r="N248" i="10"/>
  <c r="O248" i="10" s="1"/>
  <c r="N247" i="10"/>
  <c r="O247" i="10" s="1"/>
  <c r="N246" i="10"/>
  <c r="O246" i="10" s="1"/>
  <c r="N245" i="10"/>
  <c r="O245" i="10" s="1"/>
  <c r="N244" i="10"/>
  <c r="O244" i="10" s="1"/>
  <c r="N243" i="10"/>
  <c r="O243" i="10" s="1"/>
  <c r="N242" i="10"/>
  <c r="O242" i="10" s="1"/>
  <c r="N241" i="10"/>
  <c r="O241" i="10" s="1"/>
  <c r="N240" i="10"/>
  <c r="O240" i="10" s="1"/>
  <c r="N239" i="10"/>
  <c r="O239" i="10" s="1"/>
  <c r="N238" i="10"/>
  <c r="O238" i="10" s="1"/>
  <c r="N237" i="10"/>
  <c r="O237" i="10" s="1"/>
  <c r="N236" i="10"/>
  <c r="O236" i="10" s="1"/>
  <c r="N235" i="10"/>
  <c r="O235" i="10" s="1"/>
  <c r="N234" i="10"/>
  <c r="O234" i="10" s="1"/>
  <c r="N233" i="10"/>
  <c r="O233" i="10" s="1"/>
  <c r="N232" i="10"/>
  <c r="O232" i="10" s="1"/>
  <c r="N231" i="10"/>
  <c r="O231" i="10" s="1"/>
  <c r="N230" i="10"/>
  <c r="O230" i="10" s="1"/>
  <c r="N229" i="10"/>
  <c r="O229" i="10" s="1"/>
  <c r="N228" i="10"/>
  <c r="O228" i="10" s="1"/>
  <c r="N227" i="10"/>
  <c r="O227" i="10" s="1"/>
  <c r="N226" i="10"/>
  <c r="O226" i="10" s="1"/>
  <c r="N225" i="10"/>
  <c r="O225" i="10" s="1"/>
  <c r="N224" i="10"/>
  <c r="O224" i="10" s="1"/>
  <c r="N223" i="10"/>
  <c r="O223" i="10" s="1"/>
  <c r="N222" i="10"/>
  <c r="O222" i="10" s="1"/>
  <c r="N221" i="10"/>
  <c r="O221" i="10" s="1"/>
  <c r="N220" i="10"/>
  <c r="O220" i="10" s="1"/>
  <c r="N219" i="10"/>
  <c r="O219" i="10" s="1"/>
  <c r="N218" i="10"/>
  <c r="O218" i="10" s="1"/>
  <c r="N217" i="10"/>
  <c r="O217" i="10" s="1"/>
  <c r="N216" i="10"/>
  <c r="O216" i="10" s="1"/>
  <c r="N215" i="10"/>
  <c r="O215" i="10" s="1"/>
  <c r="N214" i="10"/>
  <c r="O214" i="10" s="1"/>
  <c r="N213" i="10"/>
  <c r="O213" i="10" s="1"/>
  <c r="N212" i="10"/>
  <c r="O212" i="10" s="1"/>
  <c r="N211" i="10"/>
  <c r="O211" i="10" s="1"/>
  <c r="N210" i="10"/>
  <c r="O210" i="10" s="1"/>
  <c r="N209" i="10"/>
  <c r="O209" i="10" s="1"/>
  <c r="N208" i="10"/>
  <c r="O208" i="10" s="1"/>
  <c r="N207" i="10"/>
  <c r="O207" i="10" s="1"/>
  <c r="N206" i="10"/>
  <c r="O206" i="10" s="1"/>
  <c r="N205" i="10"/>
  <c r="O205" i="10" s="1"/>
  <c r="N204" i="10"/>
  <c r="O204" i="10" s="1"/>
  <c r="N203" i="10"/>
  <c r="O203" i="10" s="1"/>
  <c r="N202" i="10"/>
  <c r="O202" i="10" s="1"/>
  <c r="N201" i="10"/>
  <c r="O201" i="10" s="1"/>
  <c r="N200" i="10"/>
  <c r="O200" i="10" s="1"/>
  <c r="N199" i="10"/>
  <c r="O199" i="10" s="1"/>
  <c r="N198" i="10"/>
  <c r="O198" i="10" s="1"/>
  <c r="N197" i="10"/>
  <c r="O197" i="10" s="1"/>
  <c r="N196" i="10"/>
  <c r="O196" i="10" s="1"/>
  <c r="N195" i="10"/>
  <c r="O195" i="10" s="1"/>
  <c r="N194" i="10"/>
  <c r="O194" i="10" s="1"/>
  <c r="N193" i="10"/>
  <c r="O193" i="10" s="1"/>
  <c r="N192" i="10"/>
  <c r="O192" i="10" s="1"/>
  <c r="N191" i="10"/>
  <c r="O191" i="10" s="1"/>
  <c r="N190" i="10"/>
  <c r="O190" i="10" s="1"/>
  <c r="N189" i="10"/>
  <c r="O189" i="10" s="1"/>
  <c r="N188" i="10"/>
  <c r="O188" i="10" s="1"/>
  <c r="N187" i="10"/>
  <c r="O187" i="10" s="1"/>
  <c r="N186" i="10"/>
  <c r="O186" i="10" s="1"/>
  <c r="N185" i="10"/>
  <c r="O185" i="10" s="1"/>
  <c r="N184" i="10"/>
  <c r="O184" i="10" s="1"/>
  <c r="N183" i="10"/>
  <c r="O183" i="10" s="1"/>
  <c r="N182" i="10"/>
  <c r="O182" i="10" s="1"/>
  <c r="N181" i="10"/>
  <c r="O181" i="10" s="1"/>
  <c r="N180" i="10"/>
  <c r="O180" i="10" s="1"/>
  <c r="N179" i="10"/>
  <c r="O179" i="10" s="1"/>
  <c r="N178" i="10"/>
  <c r="O178" i="10" s="1"/>
  <c r="N177" i="10"/>
  <c r="O177" i="10" s="1"/>
  <c r="N176" i="10"/>
  <c r="O176" i="10" s="1"/>
  <c r="N175" i="10"/>
  <c r="O175" i="10" s="1"/>
  <c r="N174" i="10"/>
  <c r="O174" i="10" s="1"/>
  <c r="N173" i="10"/>
  <c r="O173" i="10" s="1"/>
  <c r="N172" i="10"/>
  <c r="O172" i="10" s="1"/>
  <c r="N171" i="10"/>
  <c r="O171" i="10" s="1"/>
  <c r="N170" i="10"/>
  <c r="O170" i="10" s="1"/>
  <c r="N169" i="10"/>
  <c r="O169" i="10" s="1"/>
  <c r="N168" i="10"/>
  <c r="O168" i="10" s="1"/>
  <c r="N167" i="10"/>
  <c r="O167" i="10" s="1"/>
  <c r="N166" i="10"/>
  <c r="O166" i="10" s="1"/>
  <c r="N165" i="10"/>
  <c r="O165" i="10" s="1"/>
  <c r="N164" i="10"/>
  <c r="O164" i="10" s="1"/>
  <c r="N163" i="10"/>
  <c r="O163" i="10" s="1"/>
  <c r="N162" i="10"/>
  <c r="O162" i="10" s="1"/>
  <c r="N161" i="10"/>
  <c r="O161" i="10" s="1"/>
  <c r="N160" i="10"/>
  <c r="O160" i="10" s="1"/>
  <c r="N159" i="10"/>
  <c r="O159" i="10" s="1"/>
  <c r="N158" i="10"/>
  <c r="O158" i="10" s="1"/>
  <c r="N157" i="10"/>
  <c r="O157" i="10" s="1"/>
  <c r="N156" i="10"/>
  <c r="O156" i="10" s="1"/>
  <c r="N155" i="10"/>
  <c r="O155" i="10" s="1"/>
  <c r="N154" i="10"/>
  <c r="O154" i="10" s="1"/>
  <c r="N153" i="10"/>
  <c r="O153" i="10" s="1"/>
  <c r="N152" i="10"/>
  <c r="O152" i="10" s="1"/>
  <c r="N151" i="10"/>
  <c r="O151" i="10" s="1"/>
  <c r="N150" i="10"/>
  <c r="O150" i="10" s="1"/>
  <c r="N149" i="10"/>
  <c r="O149" i="10" s="1"/>
  <c r="N148" i="10"/>
  <c r="O148" i="10" s="1"/>
  <c r="N147" i="10"/>
  <c r="O147" i="10" s="1"/>
  <c r="N146" i="10"/>
  <c r="O146" i="10" s="1"/>
  <c r="N145" i="10"/>
  <c r="O145" i="10" s="1"/>
  <c r="N144" i="10"/>
  <c r="O144" i="10" s="1"/>
  <c r="N143" i="10"/>
  <c r="O143" i="10" s="1"/>
  <c r="N142" i="10"/>
  <c r="O142" i="10" s="1"/>
  <c r="N141" i="10"/>
  <c r="O141" i="10" s="1"/>
  <c r="N140" i="10"/>
  <c r="O140" i="10" s="1"/>
  <c r="N139" i="10"/>
  <c r="O139" i="10" s="1"/>
  <c r="N138" i="10"/>
  <c r="O138" i="10" s="1"/>
  <c r="N137" i="10"/>
  <c r="O137" i="10" s="1"/>
  <c r="N136" i="10"/>
  <c r="O136" i="10" s="1"/>
  <c r="N135" i="10"/>
  <c r="O135" i="10" s="1"/>
  <c r="N134" i="10"/>
  <c r="O134" i="10" s="1"/>
  <c r="N133" i="10"/>
  <c r="O133" i="10" s="1"/>
  <c r="N132" i="10"/>
  <c r="O132" i="10" s="1"/>
  <c r="N131" i="10"/>
  <c r="O131" i="10" s="1"/>
  <c r="N130" i="10"/>
  <c r="O130" i="10" s="1"/>
  <c r="N129" i="10"/>
  <c r="O129" i="10" s="1"/>
  <c r="N128" i="10"/>
  <c r="O128" i="10" s="1"/>
  <c r="N127" i="10"/>
  <c r="O127" i="10" s="1"/>
  <c r="N126" i="10"/>
  <c r="O126" i="10" s="1"/>
  <c r="N125" i="10"/>
  <c r="O125" i="10" s="1"/>
  <c r="N124" i="10"/>
  <c r="O124" i="10" s="1"/>
  <c r="N123" i="10"/>
  <c r="O123" i="10" s="1"/>
  <c r="N122" i="10"/>
  <c r="O122" i="10" s="1"/>
  <c r="N121" i="10"/>
  <c r="O121" i="10" s="1"/>
  <c r="N120" i="10"/>
  <c r="O120" i="10" s="1"/>
  <c r="N119" i="10"/>
  <c r="O119" i="10" s="1"/>
  <c r="N118" i="10"/>
  <c r="O118" i="10" s="1"/>
  <c r="N117" i="10"/>
  <c r="O117" i="10" s="1"/>
  <c r="N116" i="10"/>
  <c r="O116" i="10" s="1"/>
  <c r="N115" i="10"/>
  <c r="O115" i="10" s="1"/>
  <c r="N114" i="10"/>
  <c r="O114" i="10" s="1"/>
  <c r="N113" i="10"/>
  <c r="O113" i="10" s="1"/>
  <c r="N112" i="10"/>
  <c r="O112" i="10" s="1"/>
  <c r="N111" i="10"/>
  <c r="O111" i="10" s="1"/>
  <c r="N110" i="10"/>
  <c r="O110" i="10" s="1"/>
  <c r="N109" i="10"/>
  <c r="O109" i="10" s="1"/>
  <c r="N108" i="10"/>
  <c r="O108" i="10" s="1"/>
  <c r="N107" i="10"/>
  <c r="O107" i="10" s="1"/>
  <c r="N106" i="10"/>
  <c r="O106" i="10" s="1"/>
  <c r="N105" i="10"/>
  <c r="O105" i="10" s="1"/>
  <c r="N104" i="10"/>
  <c r="O104" i="10" s="1"/>
  <c r="N103" i="10"/>
  <c r="O103" i="10" s="1"/>
  <c r="N102" i="10"/>
  <c r="O102" i="10" s="1"/>
  <c r="N101" i="10"/>
  <c r="O101" i="10" s="1"/>
  <c r="N100" i="10"/>
  <c r="O100" i="10" s="1"/>
  <c r="N99" i="10"/>
  <c r="O99" i="10" s="1"/>
  <c r="N98" i="10"/>
  <c r="O98" i="10" s="1"/>
  <c r="N97" i="10"/>
  <c r="O97" i="10" s="1"/>
  <c r="N96" i="10"/>
  <c r="O96" i="10" s="1"/>
  <c r="N95" i="10"/>
  <c r="O95" i="10" s="1"/>
  <c r="N94" i="10"/>
  <c r="O94" i="10" s="1"/>
  <c r="N93" i="10"/>
  <c r="O93" i="10" s="1"/>
  <c r="N92" i="10"/>
  <c r="O92" i="10" s="1"/>
  <c r="N91" i="10"/>
  <c r="O91" i="10" s="1"/>
  <c r="N90" i="10"/>
  <c r="O90" i="10" s="1"/>
  <c r="N89" i="10"/>
  <c r="O89" i="10" s="1"/>
  <c r="N88" i="10"/>
  <c r="O88" i="10" s="1"/>
  <c r="N87" i="10"/>
  <c r="O87" i="10" s="1"/>
  <c r="N86" i="10"/>
  <c r="O86" i="10" s="1"/>
  <c r="N85" i="10"/>
  <c r="O85" i="10" s="1"/>
  <c r="N84" i="10"/>
  <c r="O84" i="10" s="1"/>
  <c r="N83" i="10"/>
  <c r="O83" i="10" s="1"/>
  <c r="N82" i="10"/>
  <c r="O82" i="10" s="1"/>
  <c r="N81" i="10"/>
  <c r="O81" i="10" s="1"/>
  <c r="N80" i="10"/>
  <c r="O80" i="10" s="1"/>
  <c r="N79" i="10"/>
  <c r="O79" i="10" s="1"/>
  <c r="N78" i="10"/>
  <c r="O78" i="10" s="1"/>
  <c r="N77" i="10"/>
  <c r="O77" i="10" s="1"/>
  <c r="N76" i="10"/>
  <c r="O76" i="10" s="1"/>
  <c r="N75" i="10"/>
  <c r="O75" i="10" s="1"/>
  <c r="N74" i="10"/>
  <c r="O74" i="10" s="1"/>
  <c r="N73" i="10"/>
  <c r="O73" i="10" s="1"/>
  <c r="N72" i="10"/>
  <c r="O72" i="10" s="1"/>
  <c r="N71" i="10"/>
  <c r="O71" i="10" s="1"/>
  <c r="N70" i="10"/>
  <c r="O70" i="10" s="1"/>
  <c r="N69" i="10"/>
  <c r="O69" i="10" s="1"/>
  <c r="N68" i="10"/>
  <c r="O68" i="10" s="1"/>
  <c r="N67" i="10"/>
  <c r="O67" i="10" s="1"/>
  <c r="N66" i="10"/>
  <c r="O66" i="10" s="1"/>
  <c r="N65" i="10"/>
  <c r="O65" i="10" s="1"/>
  <c r="N64" i="10"/>
  <c r="O64" i="10" s="1"/>
  <c r="N63" i="10"/>
  <c r="O63" i="10" s="1"/>
  <c r="N62" i="10"/>
  <c r="O62" i="10" s="1"/>
  <c r="N61" i="10"/>
  <c r="O61" i="10" s="1"/>
  <c r="N60" i="10"/>
  <c r="O60" i="10" s="1"/>
  <c r="N59" i="10"/>
  <c r="O59" i="10" s="1"/>
  <c r="N58" i="10"/>
  <c r="O58" i="10" s="1"/>
  <c r="N57" i="10"/>
  <c r="O57" i="10" s="1"/>
  <c r="N56" i="10"/>
  <c r="O56" i="10" s="1"/>
  <c r="N55" i="10"/>
  <c r="O55" i="10" s="1"/>
  <c r="N54" i="10"/>
  <c r="O54" i="10" s="1"/>
  <c r="N53" i="10"/>
  <c r="O53" i="10" s="1"/>
  <c r="N52" i="10"/>
  <c r="O52" i="10" s="1"/>
  <c r="N51" i="10"/>
  <c r="O51" i="10" s="1"/>
  <c r="N50" i="10"/>
  <c r="O50" i="10" s="1"/>
  <c r="N49" i="10"/>
  <c r="O49" i="10" s="1"/>
  <c r="N48" i="10"/>
  <c r="O48" i="10" s="1"/>
  <c r="N47" i="10"/>
  <c r="O47" i="10" s="1"/>
  <c r="N46" i="10"/>
  <c r="O46" i="10" s="1"/>
  <c r="N45" i="10"/>
  <c r="O45" i="10" s="1"/>
  <c r="N44" i="10"/>
  <c r="O44" i="10" s="1"/>
  <c r="N43" i="10"/>
  <c r="O43" i="10" s="1"/>
  <c r="N42" i="10"/>
  <c r="O42" i="10" s="1"/>
  <c r="N41" i="10"/>
  <c r="O41" i="10" s="1"/>
  <c r="N40" i="10"/>
  <c r="O40" i="10" s="1"/>
  <c r="N39" i="10"/>
  <c r="O39" i="10" s="1"/>
  <c r="N38" i="10"/>
  <c r="O38" i="10" s="1"/>
  <c r="N37" i="10"/>
  <c r="O37" i="10" s="1"/>
  <c r="N36" i="10"/>
  <c r="O36" i="10" s="1"/>
  <c r="N35" i="10"/>
  <c r="O35" i="10" s="1"/>
  <c r="N34" i="10"/>
  <c r="O34" i="10" s="1"/>
  <c r="N33" i="10"/>
  <c r="O33" i="10" s="1"/>
  <c r="N32" i="10"/>
  <c r="O32" i="10" s="1"/>
  <c r="N31" i="10"/>
  <c r="O31" i="10" s="1"/>
  <c r="N30" i="10"/>
  <c r="O30" i="10" s="1"/>
  <c r="N29" i="10"/>
  <c r="O29" i="10" s="1"/>
  <c r="N28" i="10"/>
  <c r="O28" i="10" s="1"/>
  <c r="N27" i="10"/>
  <c r="O27" i="10" s="1"/>
  <c r="N26" i="10"/>
  <c r="O26" i="10" s="1"/>
  <c r="N25" i="10"/>
  <c r="O25" i="10" s="1"/>
  <c r="N24" i="10"/>
  <c r="O24" i="10" s="1"/>
  <c r="N23" i="10"/>
  <c r="O23" i="10" s="1"/>
  <c r="N22" i="10"/>
  <c r="O22" i="10" s="1"/>
  <c r="N21" i="10"/>
  <c r="O21" i="10" s="1"/>
  <c r="N20" i="10"/>
  <c r="O20" i="10" s="1"/>
  <c r="N19" i="10"/>
  <c r="O19" i="10" s="1"/>
  <c r="N18" i="10"/>
  <c r="O18" i="10" s="1"/>
  <c r="N17" i="10"/>
  <c r="O17" i="10" s="1"/>
  <c r="N16" i="10"/>
  <c r="O16" i="10" s="1"/>
  <c r="N15" i="10"/>
  <c r="O15" i="10" s="1"/>
  <c r="N14" i="10"/>
  <c r="O14" i="10" s="1"/>
  <c r="N13" i="10"/>
  <c r="O13" i="10" s="1"/>
  <c r="N12" i="10"/>
  <c r="O12" i="10" s="1"/>
  <c r="N11" i="10"/>
  <c r="O11" i="10" s="1"/>
  <c r="N10" i="10"/>
  <c r="O10" i="10" s="1"/>
  <c r="M6" i="2"/>
  <c r="N6" i="2" s="1"/>
  <c r="M650" i="2"/>
  <c r="N650" i="2" s="1"/>
  <c r="M649" i="2"/>
  <c r="N649" i="2" s="1"/>
  <c r="M648" i="2"/>
  <c r="N648" i="2" s="1"/>
  <c r="M647" i="2"/>
  <c r="N647" i="2" s="1"/>
  <c r="M646" i="2"/>
  <c r="N646" i="2" s="1"/>
  <c r="M645" i="2"/>
  <c r="N645" i="2" s="1"/>
  <c r="M644" i="2"/>
  <c r="N644" i="2" s="1"/>
  <c r="M643" i="2"/>
  <c r="N643" i="2" s="1"/>
  <c r="M642" i="2"/>
  <c r="N642" i="2" s="1"/>
  <c r="M641" i="2"/>
  <c r="N641" i="2" s="1"/>
  <c r="M640" i="2"/>
  <c r="N640" i="2" s="1"/>
  <c r="M639" i="2"/>
  <c r="N639" i="2" s="1"/>
  <c r="M638" i="2"/>
  <c r="N638" i="2" s="1"/>
  <c r="M637" i="2"/>
  <c r="N637" i="2" s="1"/>
  <c r="M636" i="2"/>
  <c r="N636" i="2" s="1"/>
  <c r="M635" i="2"/>
  <c r="N635" i="2" s="1"/>
  <c r="M634" i="2"/>
  <c r="N634" i="2" s="1"/>
  <c r="M633" i="2"/>
  <c r="N633" i="2" s="1"/>
  <c r="M632" i="2"/>
  <c r="N632" i="2" s="1"/>
  <c r="M631" i="2"/>
  <c r="N631" i="2" s="1"/>
  <c r="M630" i="2"/>
  <c r="N630" i="2" s="1"/>
  <c r="M629" i="2"/>
  <c r="N629" i="2" s="1"/>
  <c r="M628" i="2"/>
  <c r="N628" i="2" s="1"/>
  <c r="M627" i="2"/>
  <c r="N627" i="2" s="1"/>
  <c r="M626" i="2"/>
  <c r="N626" i="2" s="1"/>
  <c r="M625" i="2"/>
  <c r="N625" i="2" s="1"/>
  <c r="M624" i="2"/>
  <c r="N624" i="2" s="1"/>
  <c r="M623" i="2"/>
  <c r="N623" i="2" s="1"/>
  <c r="M622" i="2"/>
  <c r="N622" i="2" s="1"/>
  <c r="M621" i="2"/>
  <c r="N621" i="2" s="1"/>
  <c r="M620" i="2"/>
  <c r="N620" i="2" s="1"/>
  <c r="M619" i="2"/>
  <c r="N619" i="2" s="1"/>
  <c r="M618" i="2"/>
  <c r="N618" i="2" s="1"/>
  <c r="M617" i="2"/>
  <c r="N617" i="2" s="1"/>
  <c r="M616" i="2"/>
  <c r="N616" i="2" s="1"/>
  <c r="M615" i="2"/>
  <c r="N615" i="2" s="1"/>
  <c r="M614" i="2"/>
  <c r="N614" i="2" s="1"/>
  <c r="M613" i="2"/>
  <c r="N613" i="2" s="1"/>
  <c r="M612" i="2"/>
  <c r="N612" i="2" s="1"/>
  <c r="M611" i="2"/>
  <c r="N611" i="2" s="1"/>
  <c r="M610" i="2"/>
  <c r="N610" i="2" s="1"/>
  <c r="M609" i="2"/>
  <c r="N609" i="2" s="1"/>
  <c r="M608" i="2"/>
  <c r="N608" i="2" s="1"/>
  <c r="M607" i="2"/>
  <c r="N607" i="2" s="1"/>
  <c r="M606" i="2"/>
  <c r="N606" i="2" s="1"/>
  <c r="M605" i="2"/>
  <c r="N605" i="2" s="1"/>
  <c r="M604" i="2"/>
  <c r="N604" i="2" s="1"/>
  <c r="M603" i="2"/>
  <c r="N603" i="2" s="1"/>
  <c r="M602" i="2"/>
  <c r="N602" i="2" s="1"/>
  <c r="M601" i="2"/>
  <c r="N601" i="2" s="1"/>
  <c r="M600" i="2"/>
  <c r="N600" i="2" s="1"/>
  <c r="M599" i="2"/>
  <c r="N599" i="2" s="1"/>
  <c r="M598" i="2"/>
  <c r="N598" i="2" s="1"/>
  <c r="M597" i="2"/>
  <c r="N597" i="2" s="1"/>
  <c r="M596" i="2"/>
  <c r="N596" i="2" s="1"/>
  <c r="M595" i="2"/>
  <c r="N595" i="2" s="1"/>
  <c r="M594" i="2"/>
  <c r="N594" i="2" s="1"/>
  <c r="M593" i="2"/>
  <c r="N593" i="2" s="1"/>
  <c r="M592" i="2"/>
  <c r="N592" i="2" s="1"/>
  <c r="M591" i="2"/>
  <c r="N591" i="2" s="1"/>
  <c r="M590" i="2"/>
  <c r="N590" i="2" s="1"/>
  <c r="M589" i="2"/>
  <c r="N589" i="2" s="1"/>
  <c r="M588" i="2"/>
  <c r="N588" i="2" s="1"/>
  <c r="M587" i="2"/>
  <c r="N587" i="2" s="1"/>
  <c r="M586" i="2"/>
  <c r="N586" i="2" s="1"/>
  <c r="M585" i="2"/>
  <c r="N585" i="2" s="1"/>
  <c r="M584" i="2"/>
  <c r="N584" i="2" s="1"/>
  <c r="M583" i="2"/>
  <c r="N583" i="2" s="1"/>
  <c r="M582" i="2"/>
  <c r="N582" i="2" s="1"/>
  <c r="M581" i="2"/>
  <c r="N581" i="2" s="1"/>
  <c r="M580" i="2"/>
  <c r="N580" i="2" s="1"/>
  <c r="M579" i="2"/>
  <c r="N579" i="2" s="1"/>
  <c r="M578" i="2"/>
  <c r="N578" i="2" s="1"/>
  <c r="M577" i="2"/>
  <c r="N577" i="2" s="1"/>
  <c r="M576" i="2"/>
  <c r="N576" i="2" s="1"/>
  <c r="M575" i="2"/>
  <c r="N575" i="2" s="1"/>
  <c r="M574" i="2"/>
  <c r="N574" i="2" s="1"/>
  <c r="M573" i="2"/>
  <c r="N573" i="2" s="1"/>
  <c r="M572" i="2"/>
  <c r="N572" i="2" s="1"/>
  <c r="M571" i="2"/>
  <c r="N571" i="2" s="1"/>
  <c r="M570" i="2"/>
  <c r="N570" i="2" s="1"/>
  <c r="M569" i="2"/>
  <c r="N569" i="2" s="1"/>
  <c r="M568" i="2"/>
  <c r="N568" i="2" s="1"/>
  <c r="M567" i="2"/>
  <c r="N567" i="2" s="1"/>
  <c r="M566" i="2"/>
  <c r="N566" i="2" s="1"/>
  <c r="M565" i="2"/>
  <c r="N565" i="2" s="1"/>
  <c r="M564" i="2"/>
  <c r="N564" i="2" s="1"/>
  <c r="M563" i="2"/>
  <c r="N563" i="2" s="1"/>
  <c r="M562" i="2"/>
  <c r="N562" i="2" s="1"/>
  <c r="M561" i="2"/>
  <c r="N561" i="2" s="1"/>
  <c r="M560" i="2"/>
  <c r="N560" i="2" s="1"/>
  <c r="M559" i="2"/>
  <c r="N559" i="2" s="1"/>
  <c r="M558" i="2"/>
  <c r="N558" i="2" s="1"/>
  <c r="M557" i="2"/>
  <c r="N557" i="2" s="1"/>
  <c r="M556" i="2"/>
  <c r="N556" i="2" s="1"/>
  <c r="M555" i="2"/>
  <c r="N555" i="2" s="1"/>
  <c r="M554" i="2"/>
  <c r="N554" i="2" s="1"/>
  <c r="M553" i="2"/>
  <c r="N553" i="2" s="1"/>
  <c r="M552" i="2"/>
  <c r="N552" i="2" s="1"/>
  <c r="M551" i="2"/>
  <c r="N551" i="2" s="1"/>
  <c r="M550" i="2"/>
  <c r="N550" i="2" s="1"/>
  <c r="M549" i="2"/>
  <c r="N549" i="2" s="1"/>
  <c r="M548" i="2"/>
  <c r="N548" i="2" s="1"/>
  <c r="M547" i="2"/>
  <c r="N547" i="2" s="1"/>
  <c r="M546" i="2"/>
  <c r="N546" i="2" s="1"/>
  <c r="M545" i="2"/>
  <c r="N545" i="2" s="1"/>
  <c r="M544" i="2"/>
  <c r="N544" i="2" s="1"/>
  <c r="M543" i="2"/>
  <c r="N543" i="2" s="1"/>
  <c r="M542" i="2"/>
  <c r="N542" i="2" s="1"/>
  <c r="M541" i="2"/>
  <c r="N541" i="2" s="1"/>
  <c r="M540" i="2"/>
  <c r="N540" i="2" s="1"/>
  <c r="M539" i="2"/>
  <c r="N539" i="2" s="1"/>
  <c r="M538" i="2"/>
  <c r="N538" i="2" s="1"/>
  <c r="M537" i="2"/>
  <c r="N537" i="2" s="1"/>
  <c r="M536" i="2"/>
  <c r="N536" i="2" s="1"/>
  <c r="M535" i="2"/>
  <c r="N535" i="2" s="1"/>
  <c r="M534" i="2"/>
  <c r="N534" i="2" s="1"/>
  <c r="M533" i="2"/>
  <c r="N533" i="2" s="1"/>
  <c r="M532" i="2"/>
  <c r="N532" i="2" s="1"/>
  <c r="M531" i="2"/>
  <c r="N531" i="2" s="1"/>
  <c r="M530" i="2"/>
  <c r="N530" i="2" s="1"/>
  <c r="M529" i="2"/>
  <c r="N529" i="2" s="1"/>
  <c r="M528" i="2"/>
  <c r="N528" i="2" s="1"/>
  <c r="M527" i="2"/>
  <c r="N527" i="2" s="1"/>
  <c r="M526" i="2"/>
  <c r="N526" i="2" s="1"/>
  <c r="M525" i="2"/>
  <c r="N525" i="2" s="1"/>
  <c r="M524" i="2"/>
  <c r="N524" i="2" s="1"/>
  <c r="M523" i="2"/>
  <c r="N523" i="2" s="1"/>
  <c r="M522" i="2"/>
  <c r="N522" i="2" s="1"/>
  <c r="M521" i="2"/>
  <c r="N521" i="2" s="1"/>
  <c r="M520" i="2"/>
  <c r="N520" i="2" s="1"/>
  <c r="M519" i="2"/>
  <c r="N519" i="2" s="1"/>
  <c r="M518" i="2"/>
  <c r="N518" i="2" s="1"/>
  <c r="M517" i="2"/>
  <c r="N517" i="2" s="1"/>
  <c r="M516" i="2"/>
  <c r="N516" i="2" s="1"/>
  <c r="M515" i="2"/>
  <c r="N515" i="2" s="1"/>
  <c r="M514" i="2"/>
  <c r="N514" i="2" s="1"/>
  <c r="M513" i="2"/>
  <c r="N513" i="2" s="1"/>
  <c r="M512" i="2"/>
  <c r="N512" i="2" s="1"/>
  <c r="M511" i="2"/>
  <c r="N511" i="2" s="1"/>
  <c r="M510" i="2"/>
  <c r="N510" i="2" s="1"/>
  <c r="M509" i="2"/>
  <c r="N509" i="2" s="1"/>
  <c r="M508" i="2"/>
  <c r="N508" i="2" s="1"/>
  <c r="M507" i="2"/>
  <c r="N507" i="2" s="1"/>
  <c r="M506" i="2"/>
  <c r="N506" i="2" s="1"/>
  <c r="M505" i="2"/>
  <c r="N505" i="2" s="1"/>
  <c r="M504" i="2"/>
  <c r="N504" i="2" s="1"/>
  <c r="M503" i="2"/>
  <c r="N503" i="2" s="1"/>
  <c r="M502" i="2"/>
  <c r="N502" i="2" s="1"/>
  <c r="M501" i="2"/>
  <c r="N501" i="2" s="1"/>
  <c r="M500" i="2"/>
  <c r="N500" i="2" s="1"/>
  <c r="M499" i="2"/>
  <c r="N499" i="2" s="1"/>
  <c r="M498" i="2"/>
  <c r="N498" i="2" s="1"/>
  <c r="M497" i="2"/>
  <c r="N497" i="2" s="1"/>
  <c r="M496" i="2"/>
  <c r="N496" i="2" s="1"/>
  <c r="M495" i="2"/>
  <c r="N495" i="2" s="1"/>
  <c r="M494" i="2"/>
  <c r="N494" i="2" s="1"/>
  <c r="M493" i="2"/>
  <c r="N493" i="2" s="1"/>
  <c r="M492" i="2"/>
  <c r="N492" i="2" s="1"/>
  <c r="M13" i="2"/>
  <c r="N13" i="2" s="1"/>
  <c r="M14" i="2"/>
  <c r="N14" i="2" s="1"/>
  <c r="M15" i="2"/>
  <c r="N15" i="2" s="1"/>
  <c r="M16" i="2"/>
  <c r="N16" i="2" s="1"/>
  <c r="M17" i="2"/>
  <c r="N17" i="2" s="1"/>
  <c r="M18" i="2"/>
  <c r="N18" i="2" s="1"/>
  <c r="M19" i="2"/>
  <c r="N19" i="2" s="1"/>
  <c r="M20" i="2"/>
  <c r="N20" i="2" s="1"/>
  <c r="M21" i="2"/>
  <c r="N21" i="2" s="1"/>
  <c r="M22" i="2"/>
  <c r="N22" i="2" s="1"/>
  <c r="M23" i="2"/>
  <c r="N23" i="2" s="1"/>
  <c r="M24" i="2"/>
  <c r="N24" i="2" s="1"/>
  <c r="M25" i="2"/>
  <c r="N25" i="2" s="1"/>
  <c r="M26" i="2"/>
  <c r="N26" i="2" s="1"/>
  <c r="M27" i="2"/>
  <c r="N27" i="2" s="1"/>
  <c r="M28" i="2"/>
  <c r="N28" i="2" s="1"/>
  <c r="M29" i="2"/>
  <c r="N29" i="2" s="1"/>
  <c r="M30" i="2"/>
  <c r="N30" i="2" s="1"/>
  <c r="M31" i="2"/>
  <c r="N31" i="2" s="1"/>
  <c r="M32" i="2"/>
  <c r="N32" i="2" s="1"/>
  <c r="M33" i="2"/>
  <c r="N33" i="2" s="1"/>
  <c r="M34" i="2"/>
  <c r="N34" i="2" s="1"/>
  <c r="M35" i="2"/>
  <c r="N35" i="2" s="1"/>
  <c r="M36" i="2"/>
  <c r="N36" i="2" s="1"/>
  <c r="M37" i="2"/>
  <c r="N37" i="2" s="1"/>
  <c r="M38" i="2"/>
  <c r="N38" i="2" s="1"/>
  <c r="M39" i="2"/>
  <c r="N39" i="2" s="1"/>
  <c r="M40" i="2"/>
  <c r="N40" i="2" s="1"/>
  <c r="M41" i="2"/>
  <c r="N41" i="2" s="1"/>
  <c r="M42" i="2"/>
  <c r="N42" i="2" s="1"/>
  <c r="M43" i="2"/>
  <c r="N43" i="2" s="1"/>
  <c r="M44" i="2"/>
  <c r="N44" i="2" s="1"/>
  <c r="M45" i="2"/>
  <c r="N45" i="2" s="1"/>
  <c r="M46" i="2"/>
  <c r="N46" i="2" s="1"/>
  <c r="M47" i="2"/>
  <c r="N47" i="2" s="1"/>
  <c r="M48" i="2"/>
  <c r="N48" i="2" s="1"/>
  <c r="M49" i="2"/>
  <c r="N49" i="2" s="1"/>
  <c r="M50" i="2"/>
  <c r="N50" i="2" s="1"/>
  <c r="M51" i="2"/>
  <c r="N51" i="2" s="1"/>
  <c r="M52" i="2"/>
  <c r="N52" i="2" s="1"/>
  <c r="M53" i="2"/>
  <c r="N53" i="2" s="1"/>
  <c r="M54" i="2"/>
  <c r="N54" i="2" s="1"/>
  <c r="M55" i="2"/>
  <c r="N55" i="2" s="1"/>
  <c r="M56" i="2"/>
  <c r="N56" i="2" s="1"/>
  <c r="M57" i="2"/>
  <c r="N57" i="2" s="1"/>
  <c r="M58" i="2"/>
  <c r="N58" i="2" s="1"/>
  <c r="M59" i="2"/>
  <c r="N59" i="2" s="1"/>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0" i="2"/>
  <c r="N80" i="2" s="1"/>
  <c r="M81" i="2"/>
  <c r="N81" i="2" s="1"/>
  <c r="M82" i="2"/>
  <c r="N82" i="2" s="1"/>
  <c r="M83" i="2"/>
  <c r="N83" i="2" s="1"/>
  <c r="M84" i="2"/>
  <c r="N84" i="2" s="1"/>
  <c r="M85" i="2"/>
  <c r="N85" i="2" s="1"/>
  <c r="M86" i="2"/>
  <c r="N86" i="2" s="1"/>
  <c r="M87" i="2"/>
  <c r="N87" i="2" s="1"/>
  <c r="M88" i="2"/>
  <c r="N88" i="2" s="1"/>
  <c r="M89" i="2"/>
  <c r="N89" i="2" s="1"/>
  <c r="M90" i="2"/>
  <c r="N90" i="2" s="1"/>
  <c r="M91" i="2"/>
  <c r="N91" i="2" s="1"/>
  <c r="M92" i="2"/>
  <c r="N92" i="2" s="1"/>
  <c r="M93" i="2"/>
  <c r="N93" i="2" s="1"/>
  <c r="M94" i="2"/>
  <c r="N94" i="2" s="1"/>
  <c r="M95" i="2"/>
  <c r="N95" i="2" s="1"/>
  <c r="M96" i="2"/>
  <c r="N96" i="2" s="1"/>
  <c r="M97" i="2"/>
  <c r="N97" i="2" s="1"/>
  <c r="M98" i="2"/>
  <c r="N98" i="2" s="1"/>
  <c r="M99" i="2"/>
  <c r="N99" i="2" s="1"/>
  <c r="M100" i="2"/>
  <c r="N100" i="2" s="1"/>
  <c r="M101" i="2"/>
  <c r="N101" i="2" s="1"/>
  <c r="M102" i="2"/>
  <c r="N102" i="2" s="1"/>
  <c r="M103" i="2"/>
  <c r="N103" i="2" s="1"/>
  <c r="M104" i="2"/>
  <c r="N104" i="2" s="1"/>
  <c r="M105" i="2"/>
  <c r="N105" i="2" s="1"/>
  <c r="M106" i="2"/>
  <c r="N106" i="2" s="1"/>
  <c r="M107" i="2"/>
  <c r="N107" i="2" s="1"/>
  <c r="M108" i="2"/>
  <c r="N108" i="2" s="1"/>
  <c r="M109" i="2"/>
  <c r="N109" i="2" s="1"/>
  <c r="M110" i="2"/>
  <c r="N110" i="2" s="1"/>
  <c r="M111" i="2"/>
  <c r="N111" i="2" s="1"/>
  <c r="M112" i="2"/>
  <c r="N112" i="2" s="1"/>
  <c r="M113" i="2"/>
  <c r="N113" i="2" s="1"/>
  <c r="M114" i="2"/>
  <c r="N114" i="2" s="1"/>
  <c r="M115" i="2"/>
  <c r="N115" i="2" s="1"/>
  <c r="M116" i="2"/>
  <c r="N116" i="2" s="1"/>
  <c r="M117" i="2"/>
  <c r="N117" i="2" s="1"/>
  <c r="M118" i="2"/>
  <c r="N118" i="2" s="1"/>
  <c r="M119" i="2"/>
  <c r="N119" i="2" s="1"/>
  <c r="M120" i="2"/>
  <c r="N120" i="2" s="1"/>
  <c r="M121" i="2"/>
  <c r="N121" i="2" s="1"/>
  <c r="M122" i="2"/>
  <c r="N122" i="2" s="1"/>
  <c r="M123" i="2"/>
  <c r="N123" i="2" s="1"/>
  <c r="M124" i="2"/>
  <c r="N124" i="2" s="1"/>
  <c r="M125" i="2"/>
  <c r="N125" i="2" s="1"/>
  <c r="M126" i="2"/>
  <c r="N126" i="2" s="1"/>
  <c r="M127" i="2"/>
  <c r="N127" i="2" s="1"/>
  <c r="M128" i="2"/>
  <c r="N128" i="2" s="1"/>
  <c r="M129" i="2"/>
  <c r="N129" i="2" s="1"/>
  <c r="M130" i="2"/>
  <c r="N130" i="2" s="1"/>
  <c r="M131" i="2"/>
  <c r="N131" i="2" s="1"/>
  <c r="M132" i="2"/>
  <c r="N132" i="2" s="1"/>
  <c r="M133" i="2"/>
  <c r="N133" i="2" s="1"/>
  <c r="M134" i="2"/>
  <c r="N134" i="2" s="1"/>
  <c r="M135" i="2"/>
  <c r="N135" i="2" s="1"/>
  <c r="M136" i="2"/>
  <c r="N136" i="2" s="1"/>
  <c r="M137" i="2"/>
  <c r="N137" i="2" s="1"/>
  <c r="M138" i="2"/>
  <c r="N138" i="2" s="1"/>
  <c r="M139" i="2"/>
  <c r="N139" i="2" s="1"/>
  <c r="M140" i="2"/>
  <c r="N140" i="2" s="1"/>
  <c r="M141" i="2"/>
  <c r="N141" i="2" s="1"/>
  <c r="M142" i="2"/>
  <c r="N142" i="2" s="1"/>
  <c r="M143" i="2"/>
  <c r="N143" i="2" s="1"/>
  <c r="M144" i="2"/>
  <c r="N144" i="2" s="1"/>
  <c r="M145" i="2"/>
  <c r="N145" i="2" s="1"/>
  <c r="M146" i="2"/>
  <c r="N146" i="2" s="1"/>
  <c r="M147" i="2"/>
  <c r="N147" i="2" s="1"/>
  <c r="M148" i="2"/>
  <c r="N148" i="2" s="1"/>
  <c r="M149" i="2"/>
  <c r="N149" i="2" s="1"/>
  <c r="M150" i="2"/>
  <c r="N150" i="2" s="1"/>
  <c r="M151" i="2"/>
  <c r="N151" i="2" s="1"/>
  <c r="M152" i="2"/>
  <c r="N152" i="2" s="1"/>
  <c r="M153" i="2"/>
  <c r="N153" i="2" s="1"/>
  <c r="M154" i="2"/>
  <c r="N154" i="2" s="1"/>
  <c r="M155" i="2"/>
  <c r="N155" i="2" s="1"/>
  <c r="M156" i="2"/>
  <c r="N156" i="2" s="1"/>
  <c r="M157" i="2"/>
  <c r="N157" i="2" s="1"/>
  <c r="M158" i="2"/>
  <c r="N158" i="2" s="1"/>
  <c r="M159" i="2"/>
  <c r="N159" i="2" s="1"/>
  <c r="M160" i="2"/>
  <c r="N160" i="2" s="1"/>
  <c r="M161" i="2"/>
  <c r="N161" i="2" s="1"/>
  <c r="M162" i="2"/>
  <c r="N162" i="2" s="1"/>
  <c r="M163" i="2"/>
  <c r="N163" i="2" s="1"/>
  <c r="M164" i="2"/>
  <c r="N164" i="2" s="1"/>
  <c r="M165" i="2"/>
  <c r="N165" i="2" s="1"/>
  <c r="M166" i="2"/>
  <c r="N166" i="2" s="1"/>
  <c r="M167" i="2"/>
  <c r="N167" i="2" s="1"/>
  <c r="M168" i="2"/>
  <c r="N168" i="2" s="1"/>
  <c r="M169" i="2"/>
  <c r="N169" i="2" s="1"/>
  <c r="M170" i="2"/>
  <c r="N170" i="2" s="1"/>
  <c r="M171" i="2"/>
  <c r="N171" i="2" s="1"/>
  <c r="M172" i="2"/>
  <c r="N172" i="2" s="1"/>
  <c r="M173" i="2"/>
  <c r="N173" i="2" s="1"/>
  <c r="M174" i="2"/>
  <c r="N174" i="2" s="1"/>
  <c r="M175" i="2"/>
  <c r="N175" i="2" s="1"/>
  <c r="M176" i="2"/>
  <c r="N176" i="2" s="1"/>
  <c r="M177" i="2"/>
  <c r="N177" i="2" s="1"/>
  <c r="M178" i="2"/>
  <c r="N178" i="2" s="1"/>
  <c r="M179" i="2"/>
  <c r="N179" i="2" s="1"/>
  <c r="M180" i="2"/>
  <c r="N180" i="2" s="1"/>
  <c r="M181" i="2"/>
  <c r="N181" i="2" s="1"/>
  <c r="M182" i="2"/>
  <c r="N182" i="2" s="1"/>
  <c r="M183" i="2"/>
  <c r="N183" i="2" s="1"/>
  <c r="M184" i="2"/>
  <c r="N184" i="2" s="1"/>
  <c r="M185" i="2"/>
  <c r="N185" i="2" s="1"/>
  <c r="M186" i="2"/>
  <c r="N186" i="2" s="1"/>
  <c r="M187" i="2"/>
  <c r="N187" i="2" s="1"/>
  <c r="M188" i="2"/>
  <c r="N188" i="2" s="1"/>
  <c r="M189" i="2"/>
  <c r="N189" i="2" s="1"/>
  <c r="M190" i="2"/>
  <c r="N190" i="2" s="1"/>
  <c r="M191" i="2"/>
  <c r="N191" i="2" s="1"/>
  <c r="M192" i="2"/>
  <c r="N192" i="2" s="1"/>
  <c r="M193" i="2"/>
  <c r="N193" i="2" s="1"/>
  <c r="M194" i="2"/>
  <c r="N194" i="2" s="1"/>
  <c r="M195" i="2"/>
  <c r="N195" i="2" s="1"/>
  <c r="M196" i="2"/>
  <c r="N196" i="2" s="1"/>
  <c r="M197" i="2"/>
  <c r="N197" i="2" s="1"/>
  <c r="M198" i="2"/>
  <c r="N198" i="2" s="1"/>
  <c r="M199" i="2"/>
  <c r="N199" i="2" s="1"/>
  <c r="M200" i="2"/>
  <c r="N200" i="2" s="1"/>
  <c r="M201" i="2"/>
  <c r="N201" i="2" s="1"/>
  <c r="M202" i="2"/>
  <c r="N202" i="2" s="1"/>
  <c r="M203" i="2"/>
  <c r="N203" i="2" s="1"/>
  <c r="M204" i="2"/>
  <c r="N204" i="2" s="1"/>
  <c r="M205" i="2"/>
  <c r="N205" i="2" s="1"/>
  <c r="M206" i="2"/>
  <c r="N206" i="2" s="1"/>
  <c r="M207" i="2"/>
  <c r="N207" i="2" s="1"/>
  <c r="M208" i="2"/>
  <c r="N208" i="2" s="1"/>
  <c r="M209" i="2"/>
  <c r="N209" i="2" s="1"/>
  <c r="M210" i="2"/>
  <c r="N210" i="2" s="1"/>
  <c r="M211" i="2"/>
  <c r="N211" i="2" s="1"/>
  <c r="M212" i="2"/>
  <c r="N212" i="2" s="1"/>
  <c r="M213" i="2"/>
  <c r="N213" i="2" s="1"/>
  <c r="M214" i="2"/>
  <c r="N214" i="2" s="1"/>
  <c r="M215" i="2"/>
  <c r="N215" i="2" s="1"/>
  <c r="M216" i="2"/>
  <c r="N216" i="2" s="1"/>
  <c r="M217" i="2"/>
  <c r="N217" i="2" s="1"/>
  <c r="M218" i="2"/>
  <c r="N218" i="2" s="1"/>
  <c r="M219" i="2"/>
  <c r="N219" i="2" s="1"/>
  <c r="M220" i="2"/>
  <c r="N220" i="2" s="1"/>
  <c r="M221" i="2"/>
  <c r="N221" i="2" s="1"/>
  <c r="M222" i="2"/>
  <c r="N222" i="2" s="1"/>
  <c r="M223" i="2"/>
  <c r="N223" i="2" s="1"/>
  <c r="M224" i="2"/>
  <c r="N224" i="2" s="1"/>
  <c r="M225" i="2"/>
  <c r="N225" i="2" s="1"/>
  <c r="M226" i="2"/>
  <c r="N226" i="2" s="1"/>
  <c r="M227" i="2"/>
  <c r="N227" i="2" s="1"/>
  <c r="M228" i="2"/>
  <c r="N228" i="2" s="1"/>
  <c r="M229" i="2"/>
  <c r="N229" i="2" s="1"/>
  <c r="M230" i="2"/>
  <c r="N230" i="2" s="1"/>
  <c r="M231" i="2"/>
  <c r="N231" i="2" s="1"/>
  <c r="M232" i="2"/>
  <c r="N232" i="2" s="1"/>
  <c r="M233" i="2"/>
  <c r="N233" i="2" s="1"/>
  <c r="M234" i="2"/>
  <c r="N234" i="2" s="1"/>
  <c r="M235" i="2"/>
  <c r="N235" i="2" s="1"/>
  <c r="M236" i="2"/>
  <c r="N236" i="2" s="1"/>
  <c r="M237" i="2"/>
  <c r="N237" i="2" s="1"/>
  <c r="M238" i="2"/>
  <c r="N238" i="2" s="1"/>
  <c r="M239" i="2"/>
  <c r="N239" i="2" s="1"/>
  <c r="M240" i="2"/>
  <c r="N240" i="2" s="1"/>
  <c r="M241" i="2"/>
  <c r="N241" i="2" s="1"/>
  <c r="M242" i="2"/>
  <c r="N242" i="2" s="1"/>
  <c r="M243" i="2"/>
  <c r="N243" i="2" s="1"/>
  <c r="M244" i="2"/>
  <c r="N244" i="2" s="1"/>
  <c r="M245" i="2"/>
  <c r="N245" i="2" s="1"/>
  <c r="M246" i="2"/>
  <c r="N246" i="2" s="1"/>
  <c r="M247" i="2"/>
  <c r="N247" i="2" s="1"/>
  <c r="M248" i="2"/>
  <c r="N248" i="2" s="1"/>
  <c r="M249" i="2"/>
  <c r="N249" i="2" s="1"/>
  <c r="M250" i="2"/>
  <c r="N250" i="2" s="1"/>
  <c r="M251" i="2"/>
  <c r="N251" i="2" s="1"/>
  <c r="M252" i="2"/>
  <c r="N252" i="2" s="1"/>
  <c r="M253" i="2"/>
  <c r="N253" i="2" s="1"/>
  <c r="M254" i="2"/>
  <c r="N254" i="2" s="1"/>
  <c r="M255" i="2"/>
  <c r="N255" i="2" s="1"/>
  <c r="M256" i="2"/>
  <c r="N256" i="2" s="1"/>
  <c r="M257" i="2"/>
  <c r="N257" i="2" s="1"/>
  <c r="M258" i="2"/>
  <c r="N258" i="2" s="1"/>
  <c r="M259" i="2"/>
  <c r="N259" i="2" s="1"/>
  <c r="M260" i="2"/>
  <c r="N260" i="2" s="1"/>
  <c r="M261" i="2"/>
  <c r="N261" i="2" s="1"/>
  <c r="M262" i="2"/>
  <c r="N262"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M279" i="2"/>
  <c r="N279" i="2" s="1"/>
  <c r="M280" i="2"/>
  <c r="N280" i="2" s="1"/>
  <c r="M281" i="2"/>
  <c r="N281" i="2" s="1"/>
  <c r="M282" i="2"/>
  <c r="N282" i="2" s="1"/>
  <c r="M283" i="2"/>
  <c r="N283" i="2" s="1"/>
  <c r="M284" i="2"/>
  <c r="N284" i="2" s="1"/>
  <c r="M285" i="2"/>
  <c r="N285" i="2" s="1"/>
  <c r="M286" i="2"/>
  <c r="N286" i="2" s="1"/>
  <c r="M287" i="2"/>
  <c r="N287" i="2" s="1"/>
  <c r="M288" i="2"/>
  <c r="N288" i="2" s="1"/>
  <c r="M289" i="2"/>
  <c r="N289" i="2" s="1"/>
  <c r="M290" i="2"/>
  <c r="N290" i="2" s="1"/>
  <c r="M291" i="2"/>
  <c r="N291" i="2" s="1"/>
  <c r="M292" i="2"/>
  <c r="N292" i="2" s="1"/>
  <c r="M293" i="2"/>
  <c r="N293" i="2" s="1"/>
  <c r="M294" i="2"/>
  <c r="N294" i="2" s="1"/>
  <c r="M295" i="2"/>
  <c r="N295" i="2" s="1"/>
  <c r="M296" i="2"/>
  <c r="N296" i="2" s="1"/>
  <c r="M297" i="2"/>
  <c r="N297" i="2" s="1"/>
  <c r="M298" i="2"/>
  <c r="N298" i="2" s="1"/>
  <c r="M299" i="2"/>
  <c r="N299" i="2" s="1"/>
  <c r="M300" i="2"/>
  <c r="N300" i="2" s="1"/>
  <c r="M301" i="2"/>
  <c r="N301" i="2" s="1"/>
  <c r="M302" i="2"/>
  <c r="N302" i="2" s="1"/>
  <c r="M303" i="2"/>
  <c r="N303" i="2" s="1"/>
  <c r="M304" i="2"/>
  <c r="N304" i="2" s="1"/>
  <c r="M305" i="2"/>
  <c r="N305" i="2" s="1"/>
  <c r="M306" i="2"/>
  <c r="N306" i="2" s="1"/>
  <c r="M307" i="2"/>
  <c r="N307" i="2" s="1"/>
  <c r="M308" i="2"/>
  <c r="N308" i="2" s="1"/>
  <c r="M309" i="2"/>
  <c r="N309" i="2" s="1"/>
  <c r="M310" i="2"/>
  <c r="N310" i="2" s="1"/>
  <c r="M311" i="2"/>
  <c r="N311" i="2" s="1"/>
  <c r="M312" i="2"/>
  <c r="N312" i="2" s="1"/>
  <c r="M313" i="2"/>
  <c r="N313"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28" i="2"/>
  <c r="N328" i="2" s="1"/>
  <c r="M329" i="2"/>
  <c r="N329" i="2" s="1"/>
  <c r="M330" i="2"/>
  <c r="N330" i="2" s="1"/>
  <c r="M331" i="2"/>
  <c r="N331" i="2" s="1"/>
  <c r="M332" i="2"/>
  <c r="N332" i="2" s="1"/>
  <c r="M333" i="2"/>
  <c r="N333" i="2" s="1"/>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55" i="2"/>
  <c r="N355" i="2" s="1"/>
  <c r="M356" i="2"/>
  <c r="N356" i="2" s="1"/>
  <c r="M357" i="2"/>
  <c r="N357" i="2" s="1"/>
  <c r="M358" i="2"/>
  <c r="N358" i="2" s="1"/>
  <c r="M359" i="2"/>
  <c r="N359" i="2" s="1"/>
  <c r="M360" i="2"/>
  <c r="N360" i="2" s="1"/>
  <c r="M361" i="2"/>
  <c r="N361" i="2" s="1"/>
  <c r="M362" i="2"/>
  <c r="N362" i="2" s="1"/>
  <c r="M363" i="2"/>
  <c r="N363" i="2" s="1"/>
  <c r="M364" i="2"/>
  <c r="N364" i="2" s="1"/>
  <c r="M365" i="2"/>
  <c r="N365" i="2" s="1"/>
  <c r="M366" i="2"/>
  <c r="N366" i="2" s="1"/>
  <c r="M367" i="2"/>
  <c r="N367" i="2" s="1"/>
  <c r="M368" i="2"/>
  <c r="N368" i="2" s="1"/>
  <c r="M369" i="2"/>
  <c r="N369" i="2" s="1"/>
  <c r="M370" i="2"/>
  <c r="N370" i="2" s="1"/>
  <c r="M371" i="2"/>
  <c r="N371" i="2" s="1"/>
  <c r="M372" i="2"/>
  <c r="N372" i="2" s="1"/>
  <c r="M373" i="2"/>
  <c r="N373" i="2" s="1"/>
  <c r="M374" i="2"/>
  <c r="N374" i="2" s="1"/>
  <c r="M375" i="2"/>
  <c r="N375" i="2" s="1"/>
  <c r="M376" i="2"/>
  <c r="N376" i="2" s="1"/>
  <c r="M377" i="2"/>
  <c r="N377" i="2" s="1"/>
  <c r="M378" i="2"/>
  <c r="N378" i="2" s="1"/>
  <c r="M379" i="2"/>
  <c r="N379" i="2" s="1"/>
  <c r="M380" i="2"/>
  <c r="N380" i="2" s="1"/>
  <c r="M381" i="2"/>
  <c r="N381" i="2" s="1"/>
  <c r="M382" i="2"/>
  <c r="N382" i="2" s="1"/>
  <c r="M383" i="2"/>
  <c r="N383" i="2" s="1"/>
  <c r="M384" i="2"/>
  <c r="N384" i="2" s="1"/>
  <c r="M385" i="2"/>
  <c r="N385" i="2" s="1"/>
  <c r="M386" i="2"/>
  <c r="N386" i="2" s="1"/>
  <c r="M387" i="2"/>
  <c r="N387" i="2" s="1"/>
  <c r="M388" i="2"/>
  <c r="N388" i="2" s="1"/>
  <c r="M389" i="2"/>
  <c r="N389" i="2" s="1"/>
  <c r="M390" i="2"/>
  <c r="N390" i="2" s="1"/>
  <c r="M391" i="2"/>
  <c r="N391" i="2" s="1"/>
  <c r="M392" i="2"/>
  <c r="N392" i="2" s="1"/>
  <c r="M393" i="2"/>
  <c r="N393" i="2" s="1"/>
  <c r="M394" i="2"/>
  <c r="N394" i="2" s="1"/>
  <c r="M395" i="2"/>
  <c r="N395" i="2" s="1"/>
  <c r="M396" i="2"/>
  <c r="N396" i="2" s="1"/>
  <c r="M397" i="2"/>
  <c r="N397" i="2" s="1"/>
  <c r="M398" i="2"/>
  <c r="N398" i="2" s="1"/>
  <c r="M399" i="2"/>
  <c r="N399" i="2" s="1"/>
  <c r="M400" i="2"/>
  <c r="N400" i="2" s="1"/>
  <c r="M401" i="2"/>
  <c r="N401" i="2" s="1"/>
  <c r="M402" i="2"/>
  <c r="N402" i="2" s="1"/>
  <c r="M403" i="2"/>
  <c r="N403" i="2" s="1"/>
  <c r="M404" i="2"/>
  <c r="N404" i="2" s="1"/>
  <c r="M405" i="2"/>
  <c r="N405" i="2" s="1"/>
  <c r="M406" i="2"/>
  <c r="N406" i="2" s="1"/>
  <c r="M407" i="2"/>
  <c r="N407" i="2" s="1"/>
  <c r="M408" i="2"/>
  <c r="N408" i="2" s="1"/>
  <c r="M409" i="2"/>
  <c r="N409" i="2" s="1"/>
  <c r="M410" i="2"/>
  <c r="N410" i="2" s="1"/>
  <c r="M411" i="2"/>
  <c r="N411" i="2" s="1"/>
  <c r="M412" i="2"/>
  <c r="N412" i="2" s="1"/>
  <c r="M413" i="2"/>
  <c r="N413" i="2" s="1"/>
  <c r="M414" i="2"/>
  <c r="N414" i="2" s="1"/>
  <c r="M415" i="2"/>
  <c r="N415" i="2" s="1"/>
  <c r="M416" i="2"/>
  <c r="N416" i="2" s="1"/>
  <c r="M417" i="2"/>
  <c r="N417" i="2" s="1"/>
  <c r="M418" i="2"/>
  <c r="N418" i="2" s="1"/>
  <c r="M419" i="2"/>
  <c r="N419" i="2" s="1"/>
  <c r="M420" i="2"/>
  <c r="N420" i="2" s="1"/>
  <c r="M421" i="2"/>
  <c r="N421" i="2" s="1"/>
  <c r="M422" i="2"/>
  <c r="N422" i="2" s="1"/>
  <c r="M423" i="2"/>
  <c r="N423" i="2" s="1"/>
  <c r="M424" i="2"/>
  <c r="N424" i="2" s="1"/>
  <c r="M425" i="2"/>
  <c r="N425" i="2" s="1"/>
  <c r="M426" i="2"/>
  <c r="N426" i="2" s="1"/>
  <c r="M427" i="2"/>
  <c r="N427" i="2" s="1"/>
  <c r="M428" i="2"/>
  <c r="N428" i="2" s="1"/>
  <c r="M429" i="2"/>
  <c r="N429" i="2" s="1"/>
  <c r="M430" i="2"/>
  <c r="N430" i="2" s="1"/>
  <c r="M431" i="2"/>
  <c r="N431" i="2" s="1"/>
  <c r="M432" i="2"/>
  <c r="N432" i="2" s="1"/>
  <c r="M433" i="2"/>
  <c r="N433" i="2" s="1"/>
  <c r="M434" i="2"/>
  <c r="N434" i="2" s="1"/>
  <c r="M435" i="2"/>
  <c r="N435" i="2" s="1"/>
  <c r="M436" i="2"/>
  <c r="N436" i="2" s="1"/>
  <c r="M437" i="2"/>
  <c r="N437" i="2" s="1"/>
  <c r="M438" i="2"/>
  <c r="N438" i="2" s="1"/>
  <c r="M439" i="2"/>
  <c r="N439" i="2" s="1"/>
  <c r="M440" i="2"/>
  <c r="N440" i="2" s="1"/>
  <c r="M441" i="2"/>
  <c r="N441" i="2" s="1"/>
  <c r="M442" i="2"/>
  <c r="N442" i="2" s="1"/>
  <c r="M443" i="2"/>
  <c r="N443" i="2" s="1"/>
  <c r="M444" i="2"/>
  <c r="N444" i="2" s="1"/>
  <c r="M445" i="2"/>
  <c r="N445" i="2" s="1"/>
  <c r="M446" i="2"/>
  <c r="N446" i="2" s="1"/>
  <c r="M447" i="2"/>
  <c r="N447" i="2" s="1"/>
  <c r="M448" i="2"/>
  <c r="N448" i="2" s="1"/>
  <c r="M449" i="2"/>
  <c r="N449" i="2" s="1"/>
  <c r="M450" i="2"/>
  <c r="N450" i="2" s="1"/>
  <c r="M451" i="2"/>
  <c r="N451" i="2" s="1"/>
  <c r="M452" i="2"/>
  <c r="N452" i="2" s="1"/>
  <c r="M453" i="2"/>
  <c r="N453" i="2" s="1"/>
  <c r="M454" i="2"/>
  <c r="N454" i="2" s="1"/>
  <c r="M455" i="2"/>
  <c r="N455" i="2" s="1"/>
  <c r="M456" i="2"/>
  <c r="N456" i="2" s="1"/>
  <c r="M457" i="2"/>
  <c r="N457" i="2" s="1"/>
  <c r="M458" i="2"/>
  <c r="N458" i="2" s="1"/>
  <c r="M459" i="2"/>
  <c r="N459" i="2" s="1"/>
  <c r="M460" i="2"/>
  <c r="N460" i="2" s="1"/>
  <c r="M461" i="2"/>
  <c r="N461" i="2" s="1"/>
  <c r="M462" i="2"/>
  <c r="N462" i="2" s="1"/>
  <c r="M463" i="2"/>
  <c r="N463" i="2" s="1"/>
  <c r="M464" i="2"/>
  <c r="N464" i="2" s="1"/>
  <c r="M465" i="2"/>
  <c r="N465" i="2" s="1"/>
  <c r="M466" i="2"/>
  <c r="N466" i="2" s="1"/>
  <c r="M467" i="2"/>
  <c r="N467" i="2" s="1"/>
  <c r="M468" i="2"/>
  <c r="N468" i="2" s="1"/>
  <c r="M469" i="2"/>
  <c r="N469" i="2" s="1"/>
  <c r="M470" i="2"/>
  <c r="N470" i="2" s="1"/>
  <c r="M471" i="2"/>
  <c r="N471" i="2" s="1"/>
  <c r="M472" i="2"/>
  <c r="N472" i="2" s="1"/>
  <c r="M473" i="2"/>
  <c r="N473" i="2" s="1"/>
  <c r="M474" i="2"/>
  <c r="N474" i="2" s="1"/>
  <c r="M475" i="2"/>
  <c r="N475" i="2" s="1"/>
  <c r="M476" i="2"/>
  <c r="N476" i="2" s="1"/>
  <c r="M477" i="2"/>
  <c r="N477" i="2" s="1"/>
  <c r="M478" i="2"/>
  <c r="N478" i="2" s="1"/>
  <c r="M479" i="2"/>
  <c r="N479" i="2" s="1"/>
  <c r="M480" i="2"/>
  <c r="N480" i="2" s="1"/>
  <c r="M481" i="2"/>
  <c r="N481" i="2" s="1"/>
  <c r="M482" i="2"/>
  <c r="N482" i="2" s="1"/>
  <c r="M483" i="2"/>
  <c r="N483" i="2" s="1"/>
  <c r="M484" i="2"/>
  <c r="N484" i="2" s="1"/>
  <c r="M485" i="2"/>
  <c r="N485" i="2" s="1"/>
  <c r="M486" i="2"/>
  <c r="N486" i="2" s="1"/>
  <c r="M487" i="2"/>
  <c r="N487" i="2" s="1"/>
  <c r="M488" i="2"/>
  <c r="N488" i="2" s="1"/>
  <c r="M489" i="2"/>
  <c r="N489" i="2" s="1"/>
  <c r="M490" i="2"/>
  <c r="N490" i="2" s="1"/>
  <c r="M491" i="2"/>
  <c r="N491" i="2" s="1"/>
  <c r="M8" i="2"/>
  <c r="N8" i="2" s="1"/>
  <c r="M9" i="2"/>
  <c r="N9" i="2" s="1"/>
  <c r="M10" i="2"/>
  <c r="N10" i="2" s="1"/>
  <c r="M11" i="2"/>
  <c r="N11" i="2" s="1"/>
  <c r="M12" i="2"/>
  <c r="N12" i="2" s="1"/>
  <c r="M7" i="2"/>
  <c r="N7" i="2" s="1"/>
  <c r="AG10" i="21" l="1"/>
  <c r="N9" i="1"/>
  <c r="C3" i="21" s="1"/>
  <c r="I8" i="14"/>
  <c r="H8" i="14"/>
  <c r="Q8" i="14"/>
  <c r="P8" i="14"/>
  <c r="O8" i="14"/>
  <c r="N8" i="14"/>
  <c r="M8" i="14"/>
  <c r="AC8" i="14"/>
  <c r="AF8" i="14"/>
  <c r="AF11" i="14" s="1"/>
  <c r="G8" i="14" l="1"/>
  <c r="A3" i="18" l="1"/>
  <c r="X6" i="2" l="1"/>
  <c r="X650" i="2" l="1"/>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X215" i="2"/>
  <c r="X214" i="2"/>
  <c r="X213" i="2"/>
  <c r="X212" i="2"/>
  <c r="X211" i="2"/>
  <c r="X210" i="2"/>
  <c r="X209" i="2"/>
  <c r="X208" i="2"/>
  <c r="X207" i="2"/>
  <c r="X206" i="2"/>
  <c r="X205" i="2"/>
  <c r="X204" i="2"/>
  <c r="X203" i="2"/>
  <c r="X202" i="2"/>
  <c r="X201" i="2"/>
  <c r="X200" i="2"/>
  <c r="X199" i="2"/>
  <c r="X198" i="2"/>
  <c r="X197" i="2"/>
  <c r="X196" i="2"/>
  <c r="X195" i="2"/>
  <c r="X194" i="2"/>
  <c r="X193" i="2"/>
  <c r="X192" i="2"/>
  <c r="X191" i="2"/>
  <c r="X190" i="2"/>
  <c r="X189" i="2"/>
  <c r="X188" i="2"/>
  <c r="X187" i="2"/>
  <c r="X186" i="2"/>
  <c r="X185" i="2"/>
  <c r="X184" i="2"/>
  <c r="X183" i="2"/>
  <c r="X182" i="2"/>
  <c r="X181" i="2"/>
  <c r="X180" i="2"/>
  <c r="X179" i="2"/>
  <c r="X178" i="2"/>
  <c r="X177" i="2"/>
  <c r="X176" i="2"/>
  <c r="X175" i="2"/>
  <c r="X174" i="2"/>
  <c r="X173" i="2"/>
  <c r="X172" i="2"/>
  <c r="X171" i="2"/>
  <c r="X170" i="2"/>
  <c r="X169" i="2"/>
  <c r="X168" i="2"/>
  <c r="X167" i="2"/>
  <c r="X166" i="2"/>
  <c r="X165" i="2"/>
  <c r="X164" i="2"/>
  <c r="X163" i="2"/>
  <c r="X162" i="2"/>
  <c r="X161" i="2"/>
  <c r="X160" i="2"/>
  <c r="X159" i="2"/>
  <c r="X158" i="2"/>
  <c r="X157" i="2"/>
  <c r="X156" i="2"/>
  <c r="X155" i="2"/>
  <c r="X154" i="2"/>
  <c r="X153" i="2"/>
  <c r="X152" i="2"/>
  <c r="X151" i="2"/>
  <c r="X150" i="2"/>
  <c r="X149" i="2"/>
  <c r="X148" i="2"/>
  <c r="X147" i="2"/>
  <c r="X146" i="2"/>
  <c r="X145" i="2"/>
  <c r="X144" i="2"/>
  <c r="X143" i="2"/>
  <c r="X142" i="2"/>
  <c r="X141" i="2"/>
  <c r="X140" i="2"/>
  <c r="X139"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X111" i="2"/>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7" i="2"/>
  <c r="X8" i="2"/>
  <c r="X9" i="2"/>
  <c r="X10" i="2"/>
  <c r="X11" i="2"/>
  <c r="X12" i="2"/>
  <c r="X13" i="2"/>
  <c r="X14" i="2"/>
  <c r="X15" i="2"/>
  <c r="X16" i="2"/>
  <c r="X17" i="2"/>
  <c r="X18" i="2"/>
  <c r="X19" i="2"/>
  <c r="X20" i="2"/>
  <c r="X21" i="2"/>
  <c r="X22" i="2"/>
  <c r="X23" i="2"/>
  <c r="X24" i="2"/>
  <c r="X25" i="2"/>
  <c r="X26" i="2"/>
  <c r="X27" i="2"/>
  <c r="D11" i="14" l="1"/>
  <c r="B15" i="23" l="1"/>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J8" i="15" l="1"/>
  <c r="H3" i="10"/>
  <c r="B6" i="10" l="1"/>
  <c r="Y6" i="10" s="1"/>
  <c r="B7" i="10"/>
  <c r="Y7" i="10" s="1"/>
  <c r="B8" i="10"/>
  <c r="Y8" i="10" s="1"/>
  <c r="B9" i="10"/>
  <c r="Y9" i="10" s="1"/>
  <c r="B10" i="10"/>
  <c r="Y10" i="10" s="1"/>
  <c r="B11" i="10"/>
  <c r="Y11" i="10" s="1"/>
  <c r="B12" i="10"/>
  <c r="Y12" i="10" s="1"/>
  <c r="B13" i="10"/>
  <c r="Y13" i="10" s="1"/>
  <c r="B14" i="10"/>
  <c r="Y14" i="10" s="1"/>
  <c r="B15" i="10"/>
  <c r="Y15" i="10" s="1"/>
  <c r="B16" i="10"/>
  <c r="Y16" i="10" s="1"/>
  <c r="B17" i="10"/>
  <c r="Y17" i="10" s="1"/>
  <c r="B18" i="10"/>
  <c r="Y18" i="10" s="1"/>
  <c r="B19" i="10"/>
  <c r="Y19" i="10" s="1"/>
  <c r="B20" i="10"/>
  <c r="Y20" i="10" s="1"/>
  <c r="B21" i="10"/>
  <c r="Y21" i="10" s="1"/>
  <c r="B22" i="10"/>
  <c r="Y22" i="10" s="1"/>
  <c r="B23" i="10"/>
  <c r="Y23" i="10" s="1"/>
  <c r="B24" i="10"/>
  <c r="Y24" i="10" s="1"/>
  <c r="B25" i="10"/>
  <c r="Y25" i="10" s="1"/>
  <c r="B26" i="10"/>
  <c r="Y26" i="10" s="1"/>
  <c r="B27" i="10"/>
  <c r="Y27" i="10" s="1"/>
  <c r="B28" i="10"/>
  <c r="Y28" i="10" s="1"/>
  <c r="B29" i="10"/>
  <c r="Y29" i="10" s="1"/>
  <c r="B30" i="10"/>
  <c r="Y30" i="10" s="1"/>
  <c r="B31" i="10"/>
  <c r="Y31" i="10" s="1"/>
  <c r="B32" i="10"/>
  <c r="Y32" i="10" s="1"/>
  <c r="B33" i="10"/>
  <c r="Y33" i="10" s="1"/>
  <c r="B34" i="10"/>
  <c r="Y34" i="10" s="1"/>
  <c r="B35" i="10"/>
  <c r="Y35" i="10" s="1"/>
  <c r="B36" i="10"/>
  <c r="Y36" i="10" s="1"/>
  <c r="B37" i="10"/>
  <c r="Y37" i="10" s="1"/>
  <c r="B38" i="10"/>
  <c r="Y38" i="10" s="1"/>
  <c r="B39" i="10"/>
  <c r="Y39" i="10" s="1"/>
  <c r="B40" i="10"/>
  <c r="Y40" i="10" s="1"/>
  <c r="B41" i="10"/>
  <c r="Y41" i="10" s="1"/>
  <c r="B42" i="10"/>
  <c r="Y42" i="10" s="1"/>
  <c r="B43" i="10"/>
  <c r="Y43" i="10" s="1"/>
  <c r="B44" i="10"/>
  <c r="Y44" i="10" s="1"/>
  <c r="B45" i="10"/>
  <c r="Y45" i="10" s="1"/>
  <c r="B46" i="10"/>
  <c r="Y46" i="10" s="1"/>
  <c r="B47" i="10"/>
  <c r="Y47" i="10" s="1"/>
  <c r="B48" i="10"/>
  <c r="Y48" i="10" s="1"/>
  <c r="B49" i="10"/>
  <c r="Y49" i="10" s="1"/>
  <c r="B50" i="10"/>
  <c r="Y50" i="10" s="1"/>
  <c r="B51" i="10"/>
  <c r="Y51" i="10" s="1"/>
  <c r="B52" i="10"/>
  <c r="Y52" i="10" s="1"/>
  <c r="B53" i="10"/>
  <c r="Y53" i="10" s="1"/>
  <c r="B54" i="10"/>
  <c r="Y54" i="10" s="1"/>
  <c r="B55" i="10"/>
  <c r="Y55" i="10" s="1"/>
  <c r="B56" i="10"/>
  <c r="Y56" i="10" s="1"/>
  <c r="B57" i="10"/>
  <c r="Y57" i="10" s="1"/>
  <c r="B58" i="10"/>
  <c r="Y58" i="10" s="1"/>
  <c r="B59" i="10"/>
  <c r="Y59" i="10" s="1"/>
  <c r="B60" i="10"/>
  <c r="Y60" i="10" s="1"/>
  <c r="B61" i="10"/>
  <c r="Y61" i="10" s="1"/>
  <c r="B62" i="10"/>
  <c r="Y62" i="10" s="1"/>
  <c r="B63" i="10"/>
  <c r="Y63" i="10" s="1"/>
  <c r="B64" i="10"/>
  <c r="Y64" i="10" s="1"/>
  <c r="B65" i="10"/>
  <c r="Y65" i="10" s="1"/>
  <c r="B66" i="10"/>
  <c r="Y66" i="10" s="1"/>
  <c r="B67" i="10"/>
  <c r="Y67" i="10" s="1"/>
  <c r="B68" i="10"/>
  <c r="Y68" i="10" s="1"/>
  <c r="B69" i="10"/>
  <c r="Y69" i="10" s="1"/>
  <c r="B70" i="10"/>
  <c r="Y70" i="10" s="1"/>
  <c r="B71" i="10"/>
  <c r="Y71" i="10" s="1"/>
  <c r="B72" i="10"/>
  <c r="Y72" i="10" s="1"/>
  <c r="B73" i="10"/>
  <c r="Y73" i="10" s="1"/>
  <c r="B74" i="10"/>
  <c r="Y74" i="10" s="1"/>
  <c r="B75" i="10"/>
  <c r="Y75" i="10" s="1"/>
  <c r="B76" i="10"/>
  <c r="Y76" i="10" s="1"/>
  <c r="B77" i="10"/>
  <c r="Y77" i="10" s="1"/>
  <c r="B78" i="10"/>
  <c r="Y78" i="10" s="1"/>
  <c r="B79" i="10"/>
  <c r="Y79" i="10" s="1"/>
  <c r="B80" i="10"/>
  <c r="Y80" i="10" s="1"/>
  <c r="B81" i="10"/>
  <c r="Y81" i="10" s="1"/>
  <c r="B82" i="10"/>
  <c r="Y82" i="10" s="1"/>
  <c r="B83" i="10"/>
  <c r="Y83" i="10" s="1"/>
  <c r="B84" i="10"/>
  <c r="Y84" i="10" s="1"/>
  <c r="B85" i="10"/>
  <c r="Y85" i="10" s="1"/>
  <c r="B86" i="10"/>
  <c r="Y86" i="10" s="1"/>
  <c r="B87" i="10"/>
  <c r="Y87" i="10" s="1"/>
  <c r="B88" i="10"/>
  <c r="Y88" i="10" s="1"/>
  <c r="B89" i="10"/>
  <c r="Y89" i="10" s="1"/>
  <c r="B90" i="10"/>
  <c r="Y90" i="10" s="1"/>
  <c r="B91" i="10"/>
  <c r="Y91" i="10" s="1"/>
  <c r="B92" i="10"/>
  <c r="Y92" i="10" s="1"/>
  <c r="B93" i="10"/>
  <c r="Y93" i="10" s="1"/>
  <c r="B94" i="10"/>
  <c r="Y94" i="10" s="1"/>
  <c r="B95" i="10"/>
  <c r="Y95" i="10" s="1"/>
  <c r="B96" i="10"/>
  <c r="Y96" i="10" s="1"/>
  <c r="B97" i="10"/>
  <c r="Y97" i="10" s="1"/>
  <c r="B98" i="10"/>
  <c r="Y98" i="10" s="1"/>
  <c r="B99" i="10"/>
  <c r="Y99" i="10" s="1"/>
  <c r="B100" i="10"/>
  <c r="Y100" i="10" s="1"/>
  <c r="B101" i="10"/>
  <c r="Y101" i="10" s="1"/>
  <c r="B102" i="10"/>
  <c r="Y102" i="10" s="1"/>
  <c r="B103" i="10"/>
  <c r="Y103" i="10" s="1"/>
  <c r="B104" i="10"/>
  <c r="Y104" i="10" s="1"/>
  <c r="B105" i="10"/>
  <c r="Y105" i="10" s="1"/>
  <c r="B106" i="10"/>
  <c r="Y106" i="10" s="1"/>
  <c r="B107" i="10"/>
  <c r="Y107" i="10" s="1"/>
  <c r="B108" i="10"/>
  <c r="Y108" i="10" s="1"/>
  <c r="B109" i="10"/>
  <c r="Y109" i="10" s="1"/>
  <c r="B110" i="10"/>
  <c r="Y110" i="10" s="1"/>
  <c r="B111" i="10"/>
  <c r="Y111" i="10" s="1"/>
  <c r="B112" i="10"/>
  <c r="Y112" i="10" s="1"/>
  <c r="B113" i="10"/>
  <c r="Y113" i="10" s="1"/>
  <c r="B114" i="10"/>
  <c r="Y114" i="10" s="1"/>
  <c r="B115" i="10"/>
  <c r="Y115" i="10" s="1"/>
  <c r="B116" i="10"/>
  <c r="Y116" i="10" s="1"/>
  <c r="B117" i="10"/>
  <c r="Y117" i="10" s="1"/>
  <c r="B118" i="10"/>
  <c r="Y118" i="10" s="1"/>
  <c r="B119" i="10"/>
  <c r="Y119" i="10" s="1"/>
  <c r="B120" i="10"/>
  <c r="Y120" i="10" s="1"/>
  <c r="B121" i="10"/>
  <c r="Y121" i="10" s="1"/>
  <c r="B122" i="10"/>
  <c r="Y122" i="10" s="1"/>
  <c r="B123" i="10"/>
  <c r="Y123" i="10" s="1"/>
  <c r="B124" i="10"/>
  <c r="Y124" i="10" s="1"/>
  <c r="B125" i="10"/>
  <c r="Y125" i="10" s="1"/>
  <c r="B126" i="10"/>
  <c r="Y126" i="10" s="1"/>
  <c r="B127" i="10"/>
  <c r="Y127" i="10" s="1"/>
  <c r="B128" i="10"/>
  <c r="Y128" i="10" s="1"/>
  <c r="B129" i="10"/>
  <c r="Y129" i="10" s="1"/>
  <c r="B130" i="10"/>
  <c r="Y130" i="10" s="1"/>
  <c r="B131" i="10"/>
  <c r="Y131" i="10" s="1"/>
  <c r="B132" i="10"/>
  <c r="Y132" i="10" s="1"/>
  <c r="B133" i="10"/>
  <c r="Y133" i="10" s="1"/>
  <c r="B134" i="10"/>
  <c r="Y134" i="10" s="1"/>
  <c r="B135" i="10"/>
  <c r="Y135" i="10" s="1"/>
  <c r="B136" i="10"/>
  <c r="Y136" i="10" s="1"/>
  <c r="B137" i="10"/>
  <c r="Y137" i="10" s="1"/>
  <c r="B138" i="10"/>
  <c r="Y138" i="10" s="1"/>
  <c r="B139" i="10"/>
  <c r="Y139" i="10" s="1"/>
  <c r="B140" i="10"/>
  <c r="Y140" i="10" s="1"/>
  <c r="B141" i="10"/>
  <c r="Y141" i="10" s="1"/>
  <c r="B142" i="10"/>
  <c r="Y142" i="10" s="1"/>
  <c r="B143" i="10"/>
  <c r="Y143" i="10" s="1"/>
  <c r="B144" i="10"/>
  <c r="Y144" i="10" s="1"/>
  <c r="B145" i="10"/>
  <c r="Y145" i="10" s="1"/>
  <c r="B146" i="10"/>
  <c r="Y146" i="10" s="1"/>
  <c r="B147" i="10"/>
  <c r="Y147" i="10" s="1"/>
  <c r="B148" i="10"/>
  <c r="Y148" i="10" s="1"/>
  <c r="B149" i="10"/>
  <c r="Y149" i="10" s="1"/>
  <c r="B150" i="10"/>
  <c r="Y150" i="10" s="1"/>
  <c r="B151" i="10"/>
  <c r="Y151" i="10" s="1"/>
  <c r="B152" i="10"/>
  <c r="Y152" i="10" s="1"/>
  <c r="B153" i="10"/>
  <c r="Y153" i="10" s="1"/>
  <c r="B154" i="10"/>
  <c r="Y154" i="10" s="1"/>
  <c r="B155" i="10"/>
  <c r="Y155" i="10" s="1"/>
  <c r="B156" i="10"/>
  <c r="Y156" i="10" s="1"/>
  <c r="B157" i="10"/>
  <c r="Y157" i="10" s="1"/>
  <c r="B158" i="10"/>
  <c r="Y158" i="10" s="1"/>
  <c r="B159" i="10"/>
  <c r="Y159" i="10" s="1"/>
  <c r="B160" i="10"/>
  <c r="Y160" i="10" s="1"/>
  <c r="B161" i="10"/>
  <c r="Y161" i="10" s="1"/>
  <c r="B162" i="10"/>
  <c r="Y162" i="10" s="1"/>
  <c r="B163" i="10"/>
  <c r="Y163" i="10" s="1"/>
  <c r="B164" i="10"/>
  <c r="Y164" i="10" s="1"/>
  <c r="B165" i="10"/>
  <c r="Y165" i="10" s="1"/>
  <c r="B166" i="10"/>
  <c r="Y166" i="10" s="1"/>
  <c r="B167" i="10"/>
  <c r="Y167" i="10" s="1"/>
  <c r="B168" i="10"/>
  <c r="Y168" i="10" s="1"/>
  <c r="B169" i="10"/>
  <c r="Y169" i="10" s="1"/>
  <c r="B170" i="10"/>
  <c r="Y170" i="10" s="1"/>
  <c r="B171" i="10"/>
  <c r="Y171" i="10" s="1"/>
  <c r="B172" i="10"/>
  <c r="Y172" i="10" s="1"/>
  <c r="B173" i="10"/>
  <c r="Y173" i="10" s="1"/>
  <c r="B174" i="10"/>
  <c r="Y174" i="10" s="1"/>
  <c r="B175" i="10"/>
  <c r="Y175" i="10" s="1"/>
  <c r="B176" i="10"/>
  <c r="Y176" i="10" s="1"/>
  <c r="B177" i="10"/>
  <c r="Y177" i="10" s="1"/>
  <c r="B178" i="10"/>
  <c r="Y178" i="10" s="1"/>
  <c r="B179" i="10"/>
  <c r="Y179" i="10" s="1"/>
  <c r="B180" i="10"/>
  <c r="Y180" i="10" s="1"/>
  <c r="B181" i="10"/>
  <c r="Y181" i="10" s="1"/>
  <c r="B182" i="10"/>
  <c r="Y182" i="10" s="1"/>
  <c r="B183" i="10"/>
  <c r="Y183" i="10" s="1"/>
  <c r="B184" i="10"/>
  <c r="Y184" i="10" s="1"/>
  <c r="B185" i="10"/>
  <c r="Y185" i="10" s="1"/>
  <c r="B186" i="10"/>
  <c r="Y186" i="10" s="1"/>
  <c r="B187" i="10"/>
  <c r="Y187" i="10" s="1"/>
  <c r="B188" i="10"/>
  <c r="Y188" i="10" s="1"/>
  <c r="B189" i="10"/>
  <c r="Y189" i="10" s="1"/>
  <c r="B190" i="10"/>
  <c r="Y190" i="10" s="1"/>
  <c r="B191" i="10"/>
  <c r="Y191" i="10" s="1"/>
  <c r="B192" i="10"/>
  <c r="Y192" i="10" s="1"/>
  <c r="B193" i="10"/>
  <c r="Y193" i="10" s="1"/>
  <c r="B194" i="10"/>
  <c r="Y194" i="10" s="1"/>
  <c r="B195" i="10"/>
  <c r="Y195" i="10" s="1"/>
  <c r="B196" i="10"/>
  <c r="Y196" i="10" s="1"/>
  <c r="B197" i="10"/>
  <c r="Y197" i="10" s="1"/>
  <c r="B198" i="10"/>
  <c r="Y198" i="10" s="1"/>
  <c r="B199" i="10"/>
  <c r="Y199" i="10" s="1"/>
  <c r="B200" i="10"/>
  <c r="Y200" i="10" s="1"/>
  <c r="B201" i="10"/>
  <c r="Y201" i="10" s="1"/>
  <c r="B202" i="10"/>
  <c r="Y202" i="10" s="1"/>
  <c r="B203" i="10"/>
  <c r="Y203" i="10" s="1"/>
  <c r="B204" i="10"/>
  <c r="Y204" i="10" s="1"/>
  <c r="B205" i="10"/>
  <c r="Y205" i="10" s="1"/>
  <c r="B206" i="10"/>
  <c r="Y206" i="10" s="1"/>
  <c r="B207" i="10"/>
  <c r="Y207" i="10" s="1"/>
  <c r="B208" i="10"/>
  <c r="Y208" i="10" s="1"/>
  <c r="B209" i="10"/>
  <c r="Y209" i="10" s="1"/>
  <c r="B210" i="10"/>
  <c r="Y210" i="10" s="1"/>
  <c r="B211" i="10"/>
  <c r="Y211" i="10" s="1"/>
  <c r="B212" i="10"/>
  <c r="Y212" i="10" s="1"/>
  <c r="B213" i="10"/>
  <c r="Y213" i="10" s="1"/>
  <c r="B214" i="10"/>
  <c r="Y214" i="10" s="1"/>
  <c r="B215" i="10"/>
  <c r="Y215" i="10" s="1"/>
  <c r="B216" i="10"/>
  <c r="Y216" i="10" s="1"/>
  <c r="B217" i="10"/>
  <c r="Y217" i="10" s="1"/>
  <c r="B218" i="10"/>
  <c r="Y218" i="10" s="1"/>
  <c r="B219" i="10"/>
  <c r="Y219" i="10" s="1"/>
  <c r="B220" i="10"/>
  <c r="Y220" i="10" s="1"/>
  <c r="B221" i="10"/>
  <c r="Y221" i="10" s="1"/>
  <c r="B222" i="10"/>
  <c r="Y222" i="10" s="1"/>
  <c r="B223" i="10"/>
  <c r="Y223" i="10" s="1"/>
  <c r="B224" i="10"/>
  <c r="Y224" i="10" s="1"/>
  <c r="B225" i="10"/>
  <c r="Y225" i="10" s="1"/>
  <c r="B226" i="10"/>
  <c r="Y226" i="10" s="1"/>
  <c r="B227" i="10"/>
  <c r="Y227" i="10" s="1"/>
  <c r="B228" i="10"/>
  <c r="Y228" i="10" s="1"/>
  <c r="B229" i="10"/>
  <c r="Y229" i="10" s="1"/>
  <c r="B230" i="10"/>
  <c r="Y230" i="10" s="1"/>
  <c r="B231" i="10"/>
  <c r="Y231" i="10" s="1"/>
  <c r="B232" i="10"/>
  <c r="Y232" i="10" s="1"/>
  <c r="B233" i="10"/>
  <c r="Y233" i="10" s="1"/>
  <c r="B234" i="10"/>
  <c r="Y234" i="10" s="1"/>
  <c r="B235" i="10"/>
  <c r="Y235" i="10" s="1"/>
  <c r="B236" i="10"/>
  <c r="Y236" i="10" s="1"/>
  <c r="B237" i="10"/>
  <c r="Y237" i="10" s="1"/>
  <c r="B238" i="10"/>
  <c r="Y238" i="10" s="1"/>
  <c r="B239" i="10"/>
  <c r="Y239" i="10" s="1"/>
  <c r="B240" i="10"/>
  <c r="Y240" i="10" s="1"/>
  <c r="B241" i="10"/>
  <c r="Y241" i="10" s="1"/>
  <c r="B242" i="10"/>
  <c r="Y242" i="10" s="1"/>
  <c r="B243" i="10"/>
  <c r="Y243" i="10" s="1"/>
  <c r="B244" i="10"/>
  <c r="Y244" i="10" s="1"/>
  <c r="B245" i="10"/>
  <c r="Y245" i="10" s="1"/>
  <c r="B246" i="10"/>
  <c r="Y246" i="10" s="1"/>
  <c r="B247" i="10"/>
  <c r="Y247" i="10" s="1"/>
  <c r="B248" i="10"/>
  <c r="Y248" i="10" s="1"/>
  <c r="B249" i="10"/>
  <c r="Y249" i="10" s="1"/>
  <c r="B250" i="10"/>
  <c r="Y250" i="10" s="1"/>
  <c r="B251" i="10"/>
  <c r="Y251" i="10" s="1"/>
  <c r="B252" i="10"/>
  <c r="Y252" i="10" s="1"/>
  <c r="B253" i="10"/>
  <c r="Y253" i="10" s="1"/>
  <c r="B254" i="10"/>
  <c r="Y254" i="10" s="1"/>
  <c r="B255" i="10"/>
  <c r="Y255" i="10" s="1"/>
  <c r="B256" i="10"/>
  <c r="Y256" i="10" s="1"/>
  <c r="B257" i="10"/>
  <c r="Y257" i="10" s="1"/>
  <c r="B258" i="10"/>
  <c r="Y258" i="10" s="1"/>
  <c r="B259" i="10"/>
  <c r="Y259" i="10" s="1"/>
  <c r="B260" i="10"/>
  <c r="Y260" i="10" s="1"/>
  <c r="B261" i="10"/>
  <c r="Y261" i="10" s="1"/>
  <c r="B262" i="10"/>
  <c r="Y262" i="10" s="1"/>
  <c r="B263" i="10"/>
  <c r="Y263" i="10" s="1"/>
  <c r="B264" i="10"/>
  <c r="Y264" i="10" s="1"/>
  <c r="B265" i="10"/>
  <c r="Y265" i="10" s="1"/>
  <c r="B266" i="10"/>
  <c r="Y266" i="10" s="1"/>
  <c r="B267" i="10"/>
  <c r="Y267" i="10" s="1"/>
  <c r="B268" i="10"/>
  <c r="Y268" i="10" s="1"/>
  <c r="B269" i="10"/>
  <c r="Y269" i="10" s="1"/>
  <c r="B270" i="10"/>
  <c r="Y270" i="10" s="1"/>
  <c r="B271" i="10"/>
  <c r="Y271" i="10" s="1"/>
  <c r="B272" i="10"/>
  <c r="Y272" i="10" s="1"/>
  <c r="B273" i="10"/>
  <c r="Y273" i="10" s="1"/>
  <c r="B274" i="10"/>
  <c r="Y274" i="10" s="1"/>
  <c r="B275" i="10"/>
  <c r="Y275" i="10" s="1"/>
  <c r="B276" i="10"/>
  <c r="Y276" i="10" s="1"/>
  <c r="B277" i="10"/>
  <c r="Y277" i="10" s="1"/>
  <c r="B278" i="10"/>
  <c r="Y278" i="10" s="1"/>
  <c r="B279" i="10"/>
  <c r="Y279" i="10" s="1"/>
  <c r="B280" i="10"/>
  <c r="Y280" i="10" s="1"/>
  <c r="B281" i="10"/>
  <c r="Y281" i="10" s="1"/>
  <c r="B282" i="10"/>
  <c r="Y282" i="10" s="1"/>
  <c r="B283" i="10"/>
  <c r="Y283" i="10" s="1"/>
  <c r="B284" i="10"/>
  <c r="Y284" i="10" s="1"/>
  <c r="B285" i="10"/>
  <c r="Y285" i="10" s="1"/>
  <c r="B286" i="10"/>
  <c r="Y286" i="10" s="1"/>
  <c r="B287" i="10"/>
  <c r="Y287" i="10" s="1"/>
  <c r="B288" i="10"/>
  <c r="Y288" i="10" s="1"/>
  <c r="B289" i="10"/>
  <c r="Y289" i="10" s="1"/>
  <c r="B290" i="10"/>
  <c r="Y290" i="10" s="1"/>
  <c r="B291" i="10"/>
  <c r="Y291" i="10" s="1"/>
  <c r="B292" i="10"/>
  <c r="Y292" i="10" s="1"/>
  <c r="B293" i="10"/>
  <c r="Y293" i="10" s="1"/>
  <c r="B294" i="10"/>
  <c r="Y294" i="10" s="1"/>
  <c r="B295" i="10"/>
  <c r="Y295" i="10" s="1"/>
  <c r="B296" i="10"/>
  <c r="Y296" i="10" s="1"/>
  <c r="B297" i="10"/>
  <c r="Y297" i="10" s="1"/>
  <c r="B298" i="10"/>
  <c r="Y298" i="10" s="1"/>
  <c r="B299" i="10"/>
  <c r="Y299" i="10" s="1"/>
  <c r="B300" i="10"/>
  <c r="Y300" i="10" s="1"/>
  <c r="B301" i="10"/>
  <c r="Y301" i="10" s="1"/>
  <c r="B302" i="10"/>
  <c r="Y302" i="10" s="1"/>
  <c r="B303" i="10"/>
  <c r="Y303" i="10" s="1"/>
  <c r="B304" i="10"/>
  <c r="Y304" i="10" s="1"/>
  <c r="B305" i="10"/>
  <c r="Y305" i="10" s="1"/>
  <c r="B306" i="10"/>
  <c r="Y306" i="10" s="1"/>
  <c r="B307" i="10"/>
  <c r="Y307" i="10" s="1"/>
  <c r="B308" i="10"/>
  <c r="Y308" i="10" s="1"/>
  <c r="B309" i="10"/>
  <c r="Y309" i="10" s="1"/>
  <c r="B310" i="10"/>
  <c r="Y310" i="10" s="1"/>
  <c r="B311" i="10"/>
  <c r="Y311" i="10" s="1"/>
  <c r="B312" i="10"/>
  <c r="Y312" i="10" s="1"/>
  <c r="B313" i="10"/>
  <c r="Y313" i="10" s="1"/>
  <c r="B314" i="10"/>
  <c r="Y314" i="10" s="1"/>
  <c r="B315" i="10"/>
  <c r="Y315" i="10" s="1"/>
  <c r="B316" i="10"/>
  <c r="Y316" i="10" s="1"/>
  <c r="B317" i="10"/>
  <c r="Y317" i="10" s="1"/>
  <c r="B318" i="10"/>
  <c r="Y318" i="10" s="1"/>
  <c r="B319" i="10"/>
  <c r="Y319" i="10" s="1"/>
  <c r="B320" i="10"/>
  <c r="Y320" i="10" s="1"/>
  <c r="B321" i="10"/>
  <c r="Y321" i="10" s="1"/>
  <c r="B322" i="10"/>
  <c r="Y322" i="10" s="1"/>
  <c r="B323" i="10"/>
  <c r="Y323" i="10" s="1"/>
  <c r="B324" i="10"/>
  <c r="Y324" i="10" s="1"/>
  <c r="B325" i="10"/>
  <c r="Y325" i="10" s="1"/>
  <c r="B326" i="10"/>
  <c r="Y326" i="10" s="1"/>
  <c r="B327" i="10"/>
  <c r="Y327" i="10" s="1"/>
  <c r="B328" i="10"/>
  <c r="Y328" i="10" s="1"/>
  <c r="B329" i="10"/>
  <c r="Y329" i="10" s="1"/>
  <c r="B330" i="10"/>
  <c r="Y330" i="10" s="1"/>
  <c r="B331" i="10"/>
  <c r="Y331" i="10" s="1"/>
  <c r="B332" i="10"/>
  <c r="Y332" i="10" s="1"/>
  <c r="B333" i="10"/>
  <c r="Y333" i="10" s="1"/>
  <c r="B334" i="10"/>
  <c r="Y334" i="10" s="1"/>
  <c r="B335" i="10"/>
  <c r="Y335" i="10" s="1"/>
  <c r="B336" i="10"/>
  <c r="Y336" i="10" s="1"/>
  <c r="B337" i="10"/>
  <c r="Y337" i="10" s="1"/>
  <c r="B338" i="10"/>
  <c r="Y338" i="10" s="1"/>
  <c r="B339" i="10"/>
  <c r="Y339" i="10" s="1"/>
  <c r="B340" i="10"/>
  <c r="Y340" i="10" s="1"/>
  <c r="B341" i="10"/>
  <c r="Y341" i="10" s="1"/>
  <c r="B342" i="10"/>
  <c r="Y342" i="10" s="1"/>
  <c r="B343" i="10"/>
  <c r="Y343" i="10" s="1"/>
  <c r="B344" i="10"/>
  <c r="Y344" i="10" s="1"/>
  <c r="B345" i="10"/>
  <c r="Y345" i="10" s="1"/>
  <c r="B346" i="10"/>
  <c r="Y346" i="10" s="1"/>
  <c r="B347" i="10"/>
  <c r="Y347" i="10" s="1"/>
  <c r="B348" i="10"/>
  <c r="Y348" i="10" s="1"/>
  <c r="B349" i="10"/>
  <c r="Y349" i="10" s="1"/>
  <c r="B350" i="10"/>
  <c r="Y350" i="10" s="1"/>
  <c r="B351" i="10"/>
  <c r="Y351" i="10" s="1"/>
  <c r="B352" i="10"/>
  <c r="Y352" i="10" s="1"/>
  <c r="B353" i="10"/>
  <c r="Y353" i="10" s="1"/>
  <c r="B354" i="10"/>
  <c r="Y354" i="10" s="1"/>
  <c r="B355" i="10"/>
  <c r="Y355" i="10" s="1"/>
  <c r="B356" i="10"/>
  <c r="Y356" i="10" s="1"/>
  <c r="B357" i="10"/>
  <c r="Y357" i="10" s="1"/>
  <c r="B358" i="10"/>
  <c r="Y358" i="10" s="1"/>
  <c r="B359" i="10"/>
  <c r="Y359" i="10" s="1"/>
  <c r="B360" i="10"/>
  <c r="Y360" i="10" s="1"/>
  <c r="B361" i="10"/>
  <c r="Y361" i="10" s="1"/>
  <c r="B362" i="10"/>
  <c r="Y362" i="10" s="1"/>
  <c r="B363" i="10"/>
  <c r="Y363" i="10" s="1"/>
  <c r="B364" i="10"/>
  <c r="Y364" i="10" s="1"/>
  <c r="B365" i="10"/>
  <c r="Y365" i="10" s="1"/>
  <c r="B366" i="10"/>
  <c r="Y366" i="10" s="1"/>
  <c r="B367" i="10"/>
  <c r="Y367" i="10" s="1"/>
  <c r="B368" i="10"/>
  <c r="Y368" i="10" s="1"/>
  <c r="B369" i="10"/>
  <c r="Y369" i="10" s="1"/>
  <c r="B370" i="10"/>
  <c r="Y370" i="10" s="1"/>
  <c r="B371" i="10"/>
  <c r="Y371" i="10" s="1"/>
  <c r="B372" i="10"/>
  <c r="Y372" i="10" s="1"/>
  <c r="B373" i="10"/>
  <c r="Y373" i="10" s="1"/>
  <c r="B374" i="10"/>
  <c r="Y374" i="10" s="1"/>
  <c r="B375" i="10"/>
  <c r="Y375" i="10" s="1"/>
  <c r="B376" i="10"/>
  <c r="Y376" i="10" s="1"/>
  <c r="B377" i="10"/>
  <c r="Y377" i="10" s="1"/>
  <c r="B378" i="10"/>
  <c r="Y378" i="10" s="1"/>
  <c r="B379" i="10"/>
  <c r="Y379" i="10" s="1"/>
  <c r="B380" i="10"/>
  <c r="Y380" i="10" s="1"/>
  <c r="B381" i="10"/>
  <c r="Y381" i="10" s="1"/>
  <c r="B382" i="10"/>
  <c r="Y382" i="10" s="1"/>
  <c r="B383" i="10"/>
  <c r="Y383" i="10" s="1"/>
  <c r="B384" i="10"/>
  <c r="Y384" i="10" s="1"/>
  <c r="B385" i="10"/>
  <c r="Y385" i="10" s="1"/>
  <c r="B386" i="10"/>
  <c r="Y386" i="10" s="1"/>
  <c r="B387" i="10"/>
  <c r="Y387" i="10" s="1"/>
  <c r="B388" i="10"/>
  <c r="Y388" i="10" s="1"/>
  <c r="B389" i="10"/>
  <c r="Y389" i="10" s="1"/>
  <c r="B390" i="10"/>
  <c r="Y390" i="10" s="1"/>
  <c r="B391" i="10"/>
  <c r="Y391" i="10" s="1"/>
  <c r="B392" i="10"/>
  <c r="Y392" i="10" s="1"/>
  <c r="B393" i="10"/>
  <c r="Y393" i="10" s="1"/>
  <c r="B394" i="10"/>
  <c r="Y394" i="10" s="1"/>
  <c r="B395" i="10"/>
  <c r="Y395" i="10" s="1"/>
  <c r="B396" i="10"/>
  <c r="Y396" i="10" s="1"/>
  <c r="B397" i="10"/>
  <c r="Y397" i="10" s="1"/>
  <c r="B398" i="10"/>
  <c r="Y398" i="10" s="1"/>
  <c r="B399" i="10"/>
  <c r="Y399" i="10" s="1"/>
  <c r="B400" i="10"/>
  <c r="Y400" i="10" s="1"/>
  <c r="B401" i="10"/>
  <c r="Y401" i="10" s="1"/>
  <c r="B402" i="10"/>
  <c r="Y402" i="10" s="1"/>
  <c r="B403" i="10"/>
  <c r="Y403" i="10" s="1"/>
  <c r="B404" i="10"/>
  <c r="Y404" i="10" s="1"/>
  <c r="B405" i="10"/>
  <c r="Y405" i="10" s="1"/>
  <c r="B406" i="10"/>
  <c r="Y406" i="10" s="1"/>
  <c r="B407" i="10"/>
  <c r="Y407" i="10" s="1"/>
  <c r="B408" i="10"/>
  <c r="Y408" i="10" s="1"/>
  <c r="B409" i="10"/>
  <c r="Y409" i="10" s="1"/>
  <c r="B410" i="10"/>
  <c r="Y410" i="10" s="1"/>
  <c r="B411" i="10"/>
  <c r="Y411" i="10" s="1"/>
  <c r="B412" i="10"/>
  <c r="Y412" i="10" s="1"/>
  <c r="B413" i="10"/>
  <c r="Y413" i="10" s="1"/>
  <c r="B414" i="10"/>
  <c r="Y414" i="10" s="1"/>
  <c r="B415" i="10"/>
  <c r="Y415" i="10" s="1"/>
  <c r="B416" i="10"/>
  <c r="Y416" i="10" s="1"/>
  <c r="B417" i="10"/>
  <c r="Y417" i="10" s="1"/>
  <c r="B418" i="10"/>
  <c r="Y418" i="10" s="1"/>
  <c r="B419" i="10"/>
  <c r="Y419" i="10" s="1"/>
  <c r="B420" i="10"/>
  <c r="Y420" i="10" s="1"/>
  <c r="B421" i="10"/>
  <c r="Y421" i="10" s="1"/>
  <c r="B422" i="10"/>
  <c r="Y422" i="10" s="1"/>
  <c r="B423" i="10"/>
  <c r="Y423" i="10" s="1"/>
  <c r="B424" i="10"/>
  <c r="Y424" i="10" s="1"/>
  <c r="B425" i="10"/>
  <c r="Y425" i="10" s="1"/>
  <c r="B426" i="10"/>
  <c r="Y426" i="10" s="1"/>
  <c r="B427" i="10"/>
  <c r="Y427" i="10" s="1"/>
  <c r="B428" i="10"/>
  <c r="Y428" i="10" s="1"/>
  <c r="B429" i="10"/>
  <c r="Y429" i="10" s="1"/>
  <c r="B430" i="10"/>
  <c r="Y430" i="10" s="1"/>
  <c r="B431" i="10"/>
  <c r="Y431" i="10" s="1"/>
  <c r="B432" i="10"/>
  <c r="Y432" i="10" s="1"/>
  <c r="B433" i="10"/>
  <c r="Y433" i="10" s="1"/>
  <c r="B434" i="10"/>
  <c r="Y434" i="10" s="1"/>
  <c r="B435" i="10"/>
  <c r="Y435" i="10" s="1"/>
  <c r="B436" i="10"/>
  <c r="Y436" i="10" s="1"/>
  <c r="B437" i="10"/>
  <c r="Y437" i="10" s="1"/>
  <c r="B438" i="10"/>
  <c r="Y438" i="10" s="1"/>
  <c r="B439" i="10"/>
  <c r="Y439" i="10" s="1"/>
  <c r="B440" i="10"/>
  <c r="Y440" i="10" s="1"/>
  <c r="B441" i="10"/>
  <c r="Y441" i="10" s="1"/>
  <c r="B442" i="10"/>
  <c r="Y442" i="10" s="1"/>
  <c r="B443" i="10"/>
  <c r="Y443" i="10" s="1"/>
  <c r="B444" i="10"/>
  <c r="Y444" i="10" s="1"/>
  <c r="B445" i="10"/>
  <c r="Y445" i="10" s="1"/>
  <c r="B446" i="10"/>
  <c r="Y446" i="10" s="1"/>
  <c r="B447" i="10"/>
  <c r="Y447" i="10" s="1"/>
  <c r="B448" i="10"/>
  <c r="Y448" i="10" s="1"/>
  <c r="B449" i="10"/>
  <c r="Y449" i="10" s="1"/>
  <c r="B450" i="10"/>
  <c r="Y450" i="10" s="1"/>
  <c r="B451" i="10"/>
  <c r="Y451" i="10" s="1"/>
  <c r="B452" i="10"/>
  <c r="Y452" i="10" s="1"/>
  <c r="B453" i="10"/>
  <c r="Y453" i="10" s="1"/>
  <c r="B454" i="10"/>
  <c r="Y454" i="10" s="1"/>
  <c r="B455" i="10"/>
  <c r="Y455" i="10" s="1"/>
  <c r="B456" i="10"/>
  <c r="Y456" i="10" s="1"/>
  <c r="B457" i="10"/>
  <c r="Y457" i="10" s="1"/>
  <c r="B458" i="10"/>
  <c r="Y458" i="10" s="1"/>
  <c r="B459" i="10"/>
  <c r="Y459" i="10" s="1"/>
  <c r="B460" i="10"/>
  <c r="Y460" i="10" s="1"/>
  <c r="B461" i="10"/>
  <c r="Y461" i="10" s="1"/>
  <c r="B462" i="10"/>
  <c r="Y462" i="10" s="1"/>
  <c r="B463" i="10"/>
  <c r="Y463" i="10" s="1"/>
  <c r="B464" i="10"/>
  <c r="Y464" i="10" s="1"/>
  <c r="B465" i="10"/>
  <c r="Y465" i="10" s="1"/>
  <c r="B466" i="10"/>
  <c r="Y466" i="10" s="1"/>
  <c r="B467" i="10"/>
  <c r="Y467" i="10" s="1"/>
  <c r="B468" i="10"/>
  <c r="Y468" i="10" s="1"/>
  <c r="B469" i="10"/>
  <c r="Y469" i="10" s="1"/>
  <c r="B470" i="10"/>
  <c r="Y470" i="10" s="1"/>
  <c r="B471" i="10"/>
  <c r="Y471" i="10" s="1"/>
  <c r="B472" i="10"/>
  <c r="Y472" i="10" s="1"/>
  <c r="B473" i="10"/>
  <c r="Y473" i="10" s="1"/>
  <c r="B474" i="10"/>
  <c r="Y474" i="10" s="1"/>
  <c r="B475" i="10"/>
  <c r="Y475" i="10" s="1"/>
  <c r="B476" i="10"/>
  <c r="Y476" i="10" s="1"/>
  <c r="B477" i="10"/>
  <c r="Y477" i="10" s="1"/>
  <c r="B478" i="10"/>
  <c r="Y478" i="10" s="1"/>
  <c r="B479" i="10"/>
  <c r="Y479" i="10" s="1"/>
  <c r="B480" i="10"/>
  <c r="Y480" i="10" s="1"/>
  <c r="B481" i="10"/>
  <c r="Y481" i="10" s="1"/>
  <c r="B482" i="10"/>
  <c r="Y482" i="10" s="1"/>
  <c r="B483" i="10"/>
  <c r="Y483" i="10" s="1"/>
  <c r="B484" i="10"/>
  <c r="Y484" i="10" s="1"/>
  <c r="B485" i="10"/>
  <c r="Y485" i="10" s="1"/>
  <c r="B486" i="10"/>
  <c r="Y486" i="10" s="1"/>
  <c r="B487" i="10"/>
  <c r="Y487" i="10" s="1"/>
  <c r="B488" i="10"/>
  <c r="Y488" i="10" s="1"/>
  <c r="B489" i="10"/>
  <c r="Y489" i="10" s="1"/>
  <c r="B490" i="10"/>
  <c r="Y490" i="10" s="1"/>
  <c r="B491" i="10"/>
  <c r="Y491" i="10" s="1"/>
  <c r="B492" i="10"/>
  <c r="Y492" i="10" s="1"/>
  <c r="B493" i="10"/>
  <c r="Y493" i="10" s="1"/>
  <c r="B494" i="10"/>
  <c r="Y494" i="10" s="1"/>
  <c r="B495" i="10"/>
  <c r="Y495" i="10" s="1"/>
  <c r="B496" i="10"/>
  <c r="Y496" i="10" s="1"/>
  <c r="B497" i="10"/>
  <c r="Y497" i="10" s="1"/>
  <c r="B498" i="10"/>
  <c r="Y498" i="10" s="1"/>
  <c r="B499" i="10"/>
  <c r="Y499" i="10" s="1"/>
  <c r="B500" i="10"/>
  <c r="Y500" i="10" s="1"/>
  <c r="B501" i="10"/>
  <c r="Y501" i="10" s="1"/>
  <c r="B502" i="10"/>
  <c r="Y502" i="10" s="1"/>
  <c r="B503" i="10"/>
  <c r="Y503" i="10" s="1"/>
  <c r="B504" i="10"/>
  <c r="Y504" i="10" s="1"/>
  <c r="B505" i="10"/>
  <c r="Y505" i="10" s="1"/>
  <c r="B506" i="10"/>
  <c r="Y506" i="10" s="1"/>
  <c r="B507" i="10"/>
  <c r="Y507" i="10" s="1"/>
  <c r="B508" i="10"/>
  <c r="Y508" i="10" s="1"/>
  <c r="B509" i="10"/>
  <c r="Y509" i="10" s="1"/>
  <c r="B510" i="10"/>
  <c r="Y510" i="10" s="1"/>
  <c r="B511" i="10"/>
  <c r="Y511" i="10" s="1"/>
  <c r="B512" i="10"/>
  <c r="Y512" i="10" s="1"/>
  <c r="B513" i="10"/>
  <c r="Y513" i="10" s="1"/>
  <c r="B514" i="10"/>
  <c r="Y514" i="10" s="1"/>
  <c r="B515" i="10"/>
  <c r="Y515" i="10" s="1"/>
  <c r="B516" i="10"/>
  <c r="Y516" i="10" s="1"/>
  <c r="B517" i="10"/>
  <c r="Y517" i="10" s="1"/>
  <c r="B518" i="10"/>
  <c r="Y518" i="10" s="1"/>
  <c r="B519" i="10"/>
  <c r="Y519" i="10" s="1"/>
  <c r="B520" i="10"/>
  <c r="Y520" i="10" s="1"/>
  <c r="B521" i="10"/>
  <c r="Y521" i="10" s="1"/>
  <c r="B522" i="10"/>
  <c r="Y522" i="10" s="1"/>
  <c r="B523" i="10"/>
  <c r="Y523" i="10" s="1"/>
  <c r="B524" i="10"/>
  <c r="Y524" i="10" s="1"/>
  <c r="B525" i="10"/>
  <c r="Y525" i="10" s="1"/>
  <c r="B526" i="10"/>
  <c r="Y526" i="10" s="1"/>
  <c r="B527" i="10"/>
  <c r="Y527" i="10" s="1"/>
  <c r="B528" i="10"/>
  <c r="Y528" i="10" s="1"/>
  <c r="B529" i="10"/>
  <c r="Y529" i="10" s="1"/>
  <c r="B530" i="10"/>
  <c r="Y530" i="10" s="1"/>
  <c r="B531" i="10"/>
  <c r="Y531" i="10" s="1"/>
  <c r="B532" i="10"/>
  <c r="Y532" i="10" s="1"/>
  <c r="B533" i="10"/>
  <c r="Y533" i="10" s="1"/>
  <c r="B534" i="10"/>
  <c r="Y534" i="10" s="1"/>
  <c r="B535" i="10"/>
  <c r="Y535" i="10" s="1"/>
  <c r="B536" i="10"/>
  <c r="Y536" i="10" s="1"/>
  <c r="B537" i="10"/>
  <c r="Y537" i="10" s="1"/>
  <c r="B538" i="10"/>
  <c r="Y538" i="10" s="1"/>
  <c r="B539" i="10"/>
  <c r="Y539" i="10" s="1"/>
  <c r="B540" i="10"/>
  <c r="Y540" i="10" s="1"/>
  <c r="B541" i="10"/>
  <c r="Y541" i="10" s="1"/>
  <c r="B542" i="10"/>
  <c r="Y542" i="10" s="1"/>
  <c r="B543" i="10"/>
  <c r="Y543" i="10" s="1"/>
  <c r="B544" i="10"/>
  <c r="Y544" i="10" s="1"/>
  <c r="B545" i="10"/>
  <c r="Y545" i="10" s="1"/>
  <c r="B546" i="10"/>
  <c r="Y546" i="10" s="1"/>
  <c r="B547" i="10"/>
  <c r="Y547" i="10" s="1"/>
  <c r="B548" i="10"/>
  <c r="Y548" i="10" s="1"/>
  <c r="B549" i="10"/>
  <c r="Y549" i="10" s="1"/>
  <c r="B550" i="10"/>
  <c r="Y550" i="10" s="1"/>
  <c r="B551" i="10"/>
  <c r="Y551" i="10" s="1"/>
  <c r="B552" i="10"/>
  <c r="Y552" i="10" s="1"/>
  <c r="B553" i="10"/>
  <c r="Y553" i="10" s="1"/>
  <c r="B554" i="10"/>
  <c r="Y554" i="10" s="1"/>
  <c r="B555" i="10"/>
  <c r="Y555" i="10" s="1"/>
  <c r="B556" i="10"/>
  <c r="Y556" i="10" s="1"/>
  <c r="B557" i="10"/>
  <c r="Y557" i="10" s="1"/>
  <c r="B558" i="10"/>
  <c r="Y558" i="10" s="1"/>
  <c r="B559" i="10"/>
  <c r="Y559" i="10" s="1"/>
  <c r="B560" i="10"/>
  <c r="Y560" i="10" s="1"/>
  <c r="B561" i="10"/>
  <c r="Y561" i="10" s="1"/>
  <c r="B562" i="10"/>
  <c r="Y562" i="10" s="1"/>
  <c r="B563" i="10"/>
  <c r="Y563" i="10" s="1"/>
  <c r="B564" i="10"/>
  <c r="Y564" i="10" s="1"/>
  <c r="B565" i="10"/>
  <c r="Y565" i="10" s="1"/>
  <c r="B566" i="10"/>
  <c r="Y566" i="10" s="1"/>
  <c r="B567" i="10"/>
  <c r="Y567" i="10" s="1"/>
  <c r="B568" i="10"/>
  <c r="Y568" i="10" s="1"/>
  <c r="B569" i="10"/>
  <c r="Y569" i="10" s="1"/>
  <c r="B570" i="10"/>
  <c r="Y570" i="10" s="1"/>
  <c r="B571" i="10"/>
  <c r="Y571" i="10" s="1"/>
  <c r="B572" i="10"/>
  <c r="Y572" i="10" s="1"/>
  <c r="B573" i="10"/>
  <c r="Y573" i="10" s="1"/>
  <c r="B574" i="10"/>
  <c r="Y574" i="10" s="1"/>
  <c r="B575" i="10"/>
  <c r="Y575" i="10" s="1"/>
  <c r="B576" i="10"/>
  <c r="Y576" i="10" s="1"/>
  <c r="B577" i="10"/>
  <c r="Y577" i="10" s="1"/>
  <c r="B578" i="10"/>
  <c r="Y578" i="10" s="1"/>
  <c r="B579" i="10"/>
  <c r="Y579" i="10" s="1"/>
  <c r="B580" i="10"/>
  <c r="Y580" i="10" s="1"/>
  <c r="B581" i="10"/>
  <c r="Y581" i="10" s="1"/>
  <c r="B582" i="10"/>
  <c r="Y582" i="10" s="1"/>
  <c r="B583" i="10"/>
  <c r="Y583" i="10" s="1"/>
  <c r="B584" i="10"/>
  <c r="Y584" i="10" s="1"/>
  <c r="B585" i="10"/>
  <c r="Y585" i="10" s="1"/>
  <c r="B586" i="10"/>
  <c r="Y586" i="10" s="1"/>
  <c r="B587" i="10"/>
  <c r="Y587" i="10" s="1"/>
  <c r="B588" i="10"/>
  <c r="Y588" i="10" s="1"/>
  <c r="B589" i="10"/>
  <c r="Y589" i="10" s="1"/>
  <c r="B590" i="10"/>
  <c r="Y590" i="10" s="1"/>
  <c r="B591" i="10"/>
  <c r="Y591" i="10" s="1"/>
  <c r="B592" i="10"/>
  <c r="Y592" i="10" s="1"/>
  <c r="B593" i="10"/>
  <c r="Y593" i="10" s="1"/>
  <c r="B594" i="10"/>
  <c r="Y594" i="10" s="1"/>
  <c r="B595" i="10"/>
  <c r="Y595" i="10" s="1"/>
  <c r="B596" i="10"/>
  <c r="Y596" i="10" s="1"/>
  <c r="B597" i="10"/>
  <c r="Y597" i="10" s="1"/>
  <c r="B598" i="10"/>
  <c r="Y598" i="10" s="1"/>
  <c r="B599" i="10"/>
  <c r="Y599" i="10" s="1"/>
  <c r="B600" i="10"/>
  <c r="Y600" i="10" s="1"/>
  <c r="B601" i="10"/>
  <c r="Y601" i="10" s="1"/>
  <c r="B602" i="10"/>
  <c r="Y602" i="10" s="1"/>
  <c r="B603" i="10"/>
  <c r="Y603" i="10" s="1"/>
  <c r="B604" i="10"/>
  <c r="Y604" i="10" s="1"/>
  <c r="B605" i="10"/>
  <c r="Y605" i="10" s="1"/>
  <c r="B606" i="10"/>
  <c r="Y606" i="10" s="1"/>
  <c r="B607" i="10"/>
  <c r="Y607" i="10" s="1"/>
  <c r="B608" i="10"/>
  <c r="Y608" i="10" s="1"/>
  <c r="B609" i="10"/>
  <c r="Y609" i="10" s="1"/>
  <c r="B610" i="10"/>
  <c r="Y610" i="10" s="1"/>
  <c r="B611" i="10"/>
  <c r="Y611" i="10" s="1"/>
  <c r="B612" i="10"/>
  <c r="Y612" i="10" s="1"/>
  <c r="B613" i="10"/>
  <c r="Y613" i="10" s="1"/>
  <c r="B614" i="10"/>
  <c r="Y614" i="10" s="1"/>
  <c r="B615" i="10"/>
  <c r="Y615" i="10" s="1"/>
  <c r="B616" i="10"/>
  <c r="Y616" i="10" s="1"/>
  <c r="B617" i="10"/>
  <c r="Y617" i="10" s="1"/>
  <c r="B618" i="10"/>
  <c r="Y618" i="10" s="1"/>
  <c r="B619" i="10"/>
  <c r="Y619" i="10" s="1"/>
  <c r="B620" i="10"/>
  <c r="Y620" i="10" s="1"/>
  <c r="B621" i="10"/>
  <c r="Y621" i="10" s="1"/>
  <c r="B622" i="10"/>
  <c r="Y622" i="10" s="1"/>
  <c r="B623" i="10"/>
  <c r="Y623" i="10" s="1"/>
  <c r="B624" i="10"/>
  <c r="Y624" i="10" s="1"/>
  <c r="B625" i="10"/>
  <c r="Y625" i="10" s="1"/>
  <c r="B626" i="10"/>
  <c r="Y626" i="10" s="1"/>
  <c r="B627" i="10"/>
  <c r="Y627" i="10" s="1"/>
  <c r="B628" i="10"/>
  <c r="Y628" i="10" s="1"/>
  <c r="B629" i="10"/>
  <c r="Y629" i="10" s="1"/>
  <c r="B630" i="10"/>
  <c r="Y630" i="10" s="1"/>
  <c r="B631" i="10"/>
  <c r="Y631" i="10" s="1"/>
  <c r="B632" i="10"/>
  <c r="Y632" i="10" s="1"/>
  <c r="B633" i="10"/>
  <c r="Y633" i="10" s="1"/>
  <c r="B634" i="10"/>
  <c r="Y634" i="10" s="1"/>
  <c r="B635" i="10"/>
  <c r="Y635" i="10" s="1"/>
  <c r="B636" i="10"/>
  <c r="Y636" i="10" s="1"/>
  <c r="B637" i="10"/>
  <c r="Y637" i="10" s="1"/>
  <c r="B638" i="10"/>
  <c r="Y638" i="10" s="1"/>
  <c r="B639" i="10"/>
  <c r="Y639" i="10" s="1"/>
  <c r="B640" i="10"/>
  <c r="Y640" i="10" s="1"/>
  <c r="B641" i="10"/>
  <c r="Y641" i="10" s="1"/>
  <c r="B642" i="10"/>
  <c r="Y642" i="10" s="1"/>
  <c r="B643" i="10"/>
  <c r="Y643" i="10" s="1"/>
  <c r="B644" i="10"/>
  <c r="Y644" i="10" s="1"/>
  <c r="B645" i="10"/>
  <c r="Y645" i="10" s="1"/>
  <c r="B646" i="10"/>
  <c r="Y646" i="10" s="1"/>
  <c r="B647" i="10"/>
  <c r="Y647" i="10" s="1"/>
  <c r="B648" i="10"/>
  <c r="Y648" i="10" s="1"/>
  <c r="B649" i="10"/>
  <c r="Y649" i="10" s="1"/>
  <c r="B650" i="10"/>
  <c r="Y650" i="10" s="1"/>
  <c r="B651" i="10"/>
  <c r="Y651" i="10" s="1"/>
  <c r="B652" i="10"/>
  <c r="Y652" i="10" s="1"/>
  <c r="B653" i="10"/>
  <c r="Y653" i="10" s="1"/>
  <c r="B654" i="10"/>
  <c r="Y654" i="10" s="1"/>
  <c r="B655" i="10"/>
  <c r="Y655" i="10" s="1"/>
  <c r="B656" i="10"/>
  <c r="Y656" i="10" s="1"/>
  <c r="B657" i="10"/>
  <c r="Y657" i="10" s="1"/>
  <c r="B658" i="10"/>
  <c r="Y658" i="10" s="1"/>
  <c r="B659" i="10"/>
  <c r="Y659" i="10" s="1"/>
  <c r="B660" i="10"/>
  <c r="Y660" i="10" s="1"/>
  <c r="B661" i="10"/>
  <c r="Y661" i="10" s="1"/>
  <c r="B662" i="10"/>
  <c r="Y662" i="10" s="1"/>
  <c r="B663" i="10"/>
  <c r="Y663" i="10" s="1"/>
  <c r="B664" i="10"/>
  <c r="Y664" i="10" s="1"/>
  <c r="B665" i="10"/>
  <c r="Y665" i="10" s="1"/>
  <c r="B666" i="10"/>
  <c r="Y666" i="10" s="1"/>
  <c r="B667" i="10"/>
  <c r="Y667" i="10" s="1"/>
  <c r="B668" i="10"/>
  <c r="Y668" i="10" s="1"/>
  <c r="B669" i="10"/>
  <c r="Y669" i="10" s="1"/>
  <c r="B670" i="10"/>
  <c r="Y670" i="10" s="1"/>
  <c r="B671" i="10"/>
  <c r="Y671" i="10" s="1"/>
  <c r="B672" i="10"/>
  <c r="Y672" i="10" s="1"/>
  <c r="B673" i="10"/>
  <c r="Y673" i="10" s="1"/>
  <c r="B674" i="10"/>
  <c r="Y674" i="10" s="1"/>
  <c r="B675" i="10"/>
  <c r="Y675" i="10" s="1"/>
  <c r="B676" i="10"/>
  <c r="Y676" i="10" s="1"/>
  <c r="B677" i="10"/>
  <c r="Y677" i="10" s="1"/>
  <c r="B678" i="10"/>
  <c r="Y678" i="10" s="1"/>
  <c r="B679" i="10"/>
  <c r="Y679" i="10" s="1"/>
  <c r="B680" i="10"/>
  <c r="Y680" i="10" s="1"/>
  <c r="B681" i="10"/>
  <c r="Y681" i="10" s="1"/>
  <c r="B682" i="10"/>
  <c r="Y682" i="10" s="1"/>
  <c r="B683" i="10"/>
  <c r="Y683" i="10" s="1"/>
  <c r="B684" i="10"/>
  <c r="Y684" i="10" s="1"/>
  <c r="B685" i="10"/>
  <c r="Y685" i="10" s="1"/>
  <c r="B686" i="10"/>
  <c r="Y686" i="10" s="1"/>
  <c r="B687" i="10"/>
  <c r="Y687" i="10" s="1"/>
  <c r="B688" i="10"/>
  <c r="Y688" i="10" s="1"/>
  <c r="B689" i="10"/>
  <c r="Y689" i="10" s="1"/>
  <c r="B690" i="10"/>
  <c r="Y690" i="10" s="1"/>
  <c r="B691" i="10"/>
  <c r="Y691" i="10" s="1"/>
  <c r="B692" i="10"/>
  <c r="Y692" i="10" s="1"/>
  <c r="B693" i="10"/>
  <c r="Y693" i="10" s="1"/>
  <c r="B694" i="10"/>
  <c r="Y694" i="10" s="1"/>
  <c r="B695" i="10"/>
  <c r="Y695" i="10" s="1"/>
  <c r="B696" i="10"/>
  <c r="Y696" i="10" s="1"/>
  <c r="B697" i="10"/>
  <c r="Y697" i="10" s="1"/>
  <c r="B698" i="10"/>
  <c r="Y698" i="10" s="1"/>
  <c r="B699" i="10"/>
  <c r="Y699" i="10" s="1"/>
  <c r="B700" i="10"/>
  <c r="Y700" i="10" s="1"/>
  <c r="B701" i="10"/>
  <c r="Y701" i="10" s="1"/>
  <c r="B702" i="10"/>
  <c r="Y702" i="10" s="1"/>
  <c r="B703" i="10"/>
  <c r="Y703" i="10" s="1"/>
  <c r="B704" i="10"/>
  <c r="Y704" i="10" s="1"/>
  <c r="B705" i="10"/>
  <c r="Y705" i="10" s="1"/>
  <c r="B706" i="10"/>
  <c r="Y706" i="10" s="1"/>
  <c r="B707" i="10"/>
  <c r="Y707" i="10" s="1"/>
  <c r="B708" i="10"/>
  <c r="Y708" i="10" s="1"/>
  <c r="B709" i="10"/>
  <c r="Y709" i="10" s="1"/>
  <c r="B710" i="10"/>
  <c r="Y710" i="10" s="1"/>
  <c r="B711" i="10"/>
  <c r="Y711" i="10" s="1"/>
  <c r="B712" i="10"/>
  <c r="Y712" i="10" s="1"/>
  <c r="B713" i="10"/>
  <c r="Y713" i="10" s="1"/>
  <c r="B714" i="10"/>
  <c r="Y714" i="10" s="1"/>
  <c r="B715" i="10"/>
  <c r="Y715" i="10" s="1"/>
  <c r="B716" i="10"/>
  <c r="Y716" i="10" s="1"/>
  <c r="B717" i="10"/>
  <c r="Y717" i="10" s="1"/>
  <c r="B718" i="10"/>
  <c r="Y718" i="10" s="1"/>
  <c r="B719" i="10"/>
  <c r="Y719" i="10" s="1"/>
  <c r="B720" i="10"/>
  <c r="Y720" i="10" s="1"/>
  <c r="B721" i="10"/>
  <c r="Y721" i="10" s="1"/>
  <c r="B722" i="10"/>
  <c r="Y722" i="10" s="1"/>
  <c r="B723" i="10"/>
  <c r="Y723" i="10" s="1"/>
  <c r="B724" i="10"/>
  <c r="Y724" i="10" s="1"/>
  <c r="B725" i="10"/>
  <c r="Y725" i="10" s="1"/>
  <c r="B726" i="10"/>
  <c r="Y726" i="10" s="1"/>
  <c r="B727" i="10"/>
  <c r="Y727" i="10" s="1"/>
  <c r="B728" i="10"/>
  <c r="Y728" i="10" s="1"/>
  <c r="B729" i="10"/>
  <c r="Y729" i="10" s="1"/>
  <c r="B730" i="10"/>
  <c r="Y730" i="10" s="1"/>
  <c r="B731" i="10"/>
  <c r="Y731" i="10" s="1"/>
  <c r="B732" i="10"/>
  <c r="Y732" i="10" s="1"/>
  <c r="B733" i="10"/>
  <c r="Y733" i="10" s="1"/>
  <c r="B734" i="10"/>
  <c r="Y734" i="10" s="1"/>
  <c r="B735" i="10"/>
  <c r="Y735" i="10" s="1"/>
  <c r="B736" i="10"/>
  <c r="Y736" i="10" s="1"/>
  <c r="B737" i="10"/>
  <c r="Y737" i="10" s="1"/>
  <c r="B738" i="10"/>
  <c r="Y738" i="10" s="1"/>
  <c r="B739" i="10"/>
  <c r="Y739" i="10" s="1"/>
  <c r="B740" i="10"/>
  <c r="Y740" i="10" s="1"/>
  <c r="B741" i="10"/>
  <c r="Y741" i="10" s="1"/>
  <c r="B742" i="10"/>
  <c r="Y742" i="10" s="1"/>
  <c r="B743" i="10"/>
  <c r="Y743" i="10" s="1"/>
  <c r="B744" i="10"/>
  <c r="Y744" i="10" s="1"/>
  <c r="B745" i="10"/>
  <c r="Y745" i="10" s="1"/>
  <c r="B746" i="10"/>
  <c r="Y746" i="10" s="1"/>
  <c r="B747" i="10"/>
  <c r="Y747" i="10" s="1"/>
  <c r="B748" i="10"/>
  <c r="Y748" i="10" s="1"/>
  <c r="B749" i="10"/>
  <c r="Y749" i="10" s="1"/>
  <c r="B750" i="10"/>
  <c r="Y750" i="10" s="1"/>
  <c r="B751" i="10"/>
  <c r="Y751" i="10" s="1"/>
  <c r="B752" i="10"/>
  <c r="Y752" i="10" s="1"/>
  <c r="B753" i="10"/>
  <c r="Y753" i="10" s="1"/>
  <c r="B754" i="10"/>
  <c r="Y754" i="10" s="1"/>
  <c r="B755" i="10"/>
  <c r="Y755" i="10" s="1"/>
  <c r="B756" i="10"/>
  <c r="Y756" i="10" s="1"/>
  <c r="B757" i="10"/>
  <c r="Y757" i="10" s="1"/>
  <c r="B758" i="10"/>
  <c r="Y758" i="10" s="1"/>
  <c r="B759" i="10"/>
  <c r="Y759" i="10" s="1"/>
  <c r="B760" i="10"/>
  <c r="Y760" i="10" s="1"/>
  <c r="B761" i="10"/>
  <c r="Y761" i="10" s="1"/>
  <c r="B762" i="10"/>
  <c r="Y762" i="10" s="1"/>
  <c r="B763" i="10"/>
  <c r="Y763" i="10" s="1"/>
  <c r="B764" i="10"/>
  <c r="Y764" i="10" s="1"/>
  <c r="B765" i="10"/>
  <c r="Y765" i="10" s="1"/>
  <c r="B766" i="10"/>
  <c r="Y766" i="10" s="1"/>
  <c r="B767" i="10"/>
  <c r="Y767" i="10" s="1"/>
  <c r="B768" i="10"/>
  <c r="Y768" i="10" s="1"/>
  <c r="B769" i="10"/>
  <c r="Y769" i="10" s="1"/>
  <c r="B770" i="10"/>
  <c r="Y770" i="10" s="1"/>
  <c r="B771" i="10"/>
  <c r="Y771" i="10" s="1"/>
  <c r="B772" i="10"/>
  <c r="Y772" i="10" s="1"/>
  <c r="B773" i="10"/>
  <c r="Y773" i="10" s="1"/>
  <c r="B774" i="10"/>
  <c r="Y774" i="10" s="1"/>
  <c r="B775" i="10"/>
  <c r="Y775" i="10" s="1"/>
  <c r="B776" i="10"/>
  <c r="Y776" i="10" s="1"/>
  <c r="B777" i="10"/>
  <c r="Y777" i="10" s="1"/>
  <c r="B778" i="10"/>
  <c r="Y778" i="10" s="1"/>
  <c r="B779" i="10"/>
  <c r="Y779" i="10" s="1"/>
  <c r="B780" i="10"/>
  <c r="Y780" i="10" s="1"/>
  <c r="B781" i="10"/>
  <c r="Y781" i="10" s="1"/>
  <c r="B782" i="10"/>
  <c r="Y782" i="10" s="1"/>
  <c r="B783" i="10"/>
  <c r="Y783" i="10" s="1"/>
  <c r="B784" i="10"/>
  <c r="Y784" i="10" s="1"/>
  <c r="B785" i="10"/>
  <c r="Y785" i="10" s="1"/>
  <c r="B786" i="10"/>
  <c r="Y786" i="10" s="1"/>
  <c r="B787" i="10"/>
  <c r="Y787" i="10" s="1"/>
  <c r="B788" i="10"/>
  <c r="Y788" i="10" s="1"/>
  <c r="B789" i="10"/>
  <c r="Y789" i="10" s="1"/>
  <c r="B790" i="10"/>
  <c r="Y790" i="10" s="1"/>
  <c r="B791" i="10"/>
  <c r="Y791" i="10" s="1"/>
  <c r="B792" i="10"/>
  <c r="Y792" i="10" s="1"/>
  <c r="B793" i="10"/>
  <c r="Y793" i="10" s="1"/>
  <c r="B794" i="10"/>
  <c r="Y794" i="10" s="1"/>
  <c r="B795" i="10"/>
  <c r="Y795" i="10" s="1"/>
  <c r="B796" i="10"/>
  <c r="Y796" i="10" s="1"/>
  <c r="B797" i="10"/>
  <c r="Y797" i="10" s="1"/>
  <c r="B798" i="10"/>
  <c r="Y798" i="10" s="1"/>
  <c r="B799" i="10"/>
  <c r="Y799" i="10" s="1"/>
  <c r="B800" i="10"/>
  <c r="Y800" i="10" s="1"/>
  <c r="B801" i="10"/>
  <c r="Y801" i="10" s="1"/>
  <c r="B802" i="10"/>
  <c r="Y802" i="10" s="1"/>
  <c r="B803" i="10"/>
  <c r="Y803" i="10" s="1"/>
  <c r="B804" i="10"/>
  <c r="Y804" i="10" s="1"/>
  <c r="B805" i="10"/>
  <c r="Y805" i="10" s="1"/>
  <c r="B806" i="10"/>
  <c r="Y806" i="10" s="1"/>
  <c r="B807" i="10"/>
  <c r="Y807" i="10" s="1"/>
  <c r="B808" i="10"/>
  <c r="Y808" i="10" s="1"/>
  <c r="B809" i="10"/>
  <c r="Y809" i="10" s="1"/>
  <c r="B810" i="10"/>
  <c r="Y810" i="10" s="1"/>
  <c r="B811" i="10"/>
  <c r="Y811" i="10" s="1"/>
  <c r="B812" i="10"/>
  <c r="Y812" i="10" s="1"/>
  <c r="B813" i="10"/>
  <c r="Y813" i="10" s="1"/>
  <c r="B814" i="10"/>
  <c r="Y814" i="10" s="1"/>
  <c r="B815" i="10"/>
  <c r="Y815" i="10" s="1"/>
  <c r="B816" i="10"/>
  <c r="Y816" i="10" s="1"/>
  <c r="B817" i="10"/>
  <c r="Y817" i="10" s="1"/>
  <c r="B818" i="10"/>
  <c r="Y818" i="10" s="1"/>
  <c r="B819" i="10"/>
  <c r="Y819" i="10" s="1"/>
  <c r="B820" i="10"/>
  <c r="Y820" i="10" s="1"/>
  <c r="B821" i="10"/>
  <c r="Y821" i="10" s="1"/>
  <c r="B822" i="10"/>
  <c r="Y822" i="10" s="1"/>
  <c r="B823" i="10"/>
  <c r="Y823" i="10" s="1"/>
  <c r="B824" i="10"/>
  <c r="Y824" i="10" s="1"/>
  <c r="B825" i="10"/>
  <c r="Y825" i="10" s="1"/>
  <c r="B826" i="10"/>
  <c r="Y826" i="10" s="1"/>
  <c r="B827" i="10"/>
  <c r="Y827" i="10" s="1"/>
  <c r="B828" i="10"/>
  <c r="Y828" i="10" s="1"/>
  <c r="B829" i="10"/>
  <c r="Y829" i="10" s="1"/>
  <c r="B830" i="10"/>
  <c r="Y830" i="10" s="1"/>
  <c r="B831" i="10"/>
  <c r="Y831" i="10" s="1"/>
  <c r="B832" i="10"/>
  <c r="Y832" i="10" s="1"/>
  <c r="B833" i="10"/>
  <c r="Y833" i="10" s="1"/>
  <c r="B834" i="10"/>
  <c r="Y834" i="10" s="1"/>
  <c r="B835" i="10"/>
  <c r="Y835" i="10" s="1"/>
  <c r="B836" i="10"/>
  <c r="Y836" i="10" s="1"/>
  <c r="B837" i="10"/>
  <c r="Y837" i="10" s="1"/>
  <c r="B838" i="10"/>
  <c r="Y838" i="10" s="1"/>
  <c r="B839" i="10"/>
  <c r="Y839" i="10" s="1"/>
  <c r="B840" i="10"/>
  <c r="Y840" i="10" s="1"/>
  <c r="B841" i="10"/>
  <c r="Y841" i="10" s="1"/>
  <c r="B842" i="10"/>
  <c r="Y842" i="10" s="1"/>
  <c r="B843" i="10"/>
  <c r="Y843" i="10" s="1"/>
  <c r="B844" i="10"/>
  <c r="Y844" i="10" s="1"/>
  <c r="B845" i="10"/>
  <c r="Y845" i="10" s="1"/>
  <c r="B846" i="10"/>
  <c r="Y846" i="10" s="1"/>
  <c r="B847" i="10"/>
  <c r="Y847" i="10" s="1"/>
  <c r="B848" i="10"/>
  <c r="Y848" i="10" s="1"/>
  <c r="B849" i="10"/>
  <c r="Y849" i="10" s="1"/>
  <c r="B850" i="10"/>
  <c r="Y850" i="10" s="1"/>
  <c r="B851" i="10"/>
  <c r="Y851" i="10" s="1"/>
  <c r="B852" i="10"/>
  <c r="Y852" i="10" s="1"/>
  <c r="B853" i="10"/>
  <c r="Y853" i="10" s="1"/>
  <c r="B854" i="10"/>
  <c r="Y854" i="10" s="1"/>
  <c r="B855" i="10"/>
  <c r="Y855" i="10" s="1"/>
  <c r="B856" i="10"/>
  <c r="Y856" i="10" s="1"/>
  <c r="B857" i="10"/>
  <c r="Y857" i="10" s="1"/>
  <c r="B858" i="10"/>
  <c r="Y858" i="10" s="1"/>
  <c r="B859" i="10"/>
  <c r="Y859" i="10" s="1"/>
  <c r="B860" i="10"/>
  <c r="Y860" i="10" s="1"/>
  <c r="B861" i="10"/>
  <c r="Y861" i="10" s="1"/>
  <c r="B862" i="10"/>
  <c r="Y862" i="10" s="1"/>
  <c r="B863" i="10"/>
  <c r="Y863" i="10" s="1"/>
  <c r="B864" i="10"/>
  <c r="Y864" i="10" s="1"/>
  <c r="B865" i="10"/>
  <c r="Y865" i="10" s="1"/>
  <c r="B866" i="10"/>
  <c r="Y866" i="10" s="1"/>
  <c r="B867" i="10"/>
  <c r="Y867" i="10" s="1"/>
  <c r="B868" i="10"/>
  <c r="Y868" i="10" s="1"/>
  <c r="B869" i="10"/>
  <c r="Y869" i="10" s="1"/>
  <c r="B870" i="10"/>
  <c r="Y870" i="10" s="1"/>
  <c r="B871" i="10"/>
  <c r="Y871" i="10" s="1"/>
  <c r="B872" i="10"/>
  <c r="Y872" i="10" s="1"/>
  <c r="B873" i="10"/>
  <c r="Y873" i="10" s="1"/>
  <c r="B874" i="10"/>
  <c r="Y874" i="10" s="1"/>
  <c r="B875" i="10"/>
  <c r="Y875" i="10" s="1"/>
  <c r="B876" i="10"/>
  <c r="Y876" i="10" s="1"/>
  <c r="B877" i="10"/>
  <c r="Y877" i="10" s="1"/>
  <c r="B878" i="10"/>
  <c r="Y878" i="10" s="1"/>
  <c r="B879" i="10"/>
  <c r="Y879" i="10" s="1"/>
  <c r="B880" i="10"/>
  <c r="Y880" i="10" s="1"/>
  <c r="B881" i="10"/>
  <c r="Y881" i="10" s="1"/>
  <c r="B882" i="10"/>
  <c r="Y882" i="10" s="1"/>
  <c r="B883" i="10"/>
  <c r="Y883" i="10" s="1"/>
  <c r="B884" i="10"/>
  <c r="Y884" i="10" s="1"/>
  <c r="B885" i="10"/>
  <c r="Y885" i="10" s="1"/>
  <c r="B886" i="10"/>
  <c r="Y886" i="10" s="1"/>
  <c r="B887" i="10"/>
  <c r="Y887" i="10" s="1"/>
  <c r="B888" i="10"/>
  <c r="Y888" i="10" s="1"/>
  <c r="B889" i="10"/>
  <c r="Y889" i="10" s="1"/>
  <c r="B890" i="10"/>
  <c r="Y890" i="10" s="1"/>
  <c r="B891" i="10"/>
  <c r="Y891" i="10" s="1"/>
  <c r="B892" i="10"/>
  <c r="Y892" i="10" s="1"/>
  <c r="B893" i="10"/>
  <c r="Y893" i="10" s="1"/>
  <c r="B894" i="10"/>
  <c r="Y894" i="10" s="1"/>
  <c r="B895" i="10"/>
  <c r="Y895" i="10" s="1"/>
  <c r="B896" i="10"/>
  <c r="Y896" i="10" s="1"/>
  <c r="B897" i="10"/>
  <c r="Y897" i="10" s="1"/>
  <c r="B898" i="10"/>
  <c r="Y898" i="10" s="1"/>
  <c r="B899" i="10"/>
  <c r="Y899" i="10" s="1"/>
  <c r="B900" i="10"/>
  <c r="Y900" i="10" s="1"/>
  <c r="B901" i="10"/>
  <c r="Y901" i="10" s="1"/>
  <c r="B902" i="10"/>
  <c r="Y902" i="10" s="1"/>
  <c r="B903" i="10"/>
  <c r="Y903" i="10" s="1"/>
  <c r="B904" i="10"/>
  <c r="Y904" i="10" s="1"/>
  <c r="B905" i="10"/>
  <c r="Y905" i="10" s="1"/>
  <c r="B906" i="10"/>
  <c r="Y906" i="10" s="1"/>
  <c r="B907" i="10"/>
  <c r="Y907" i="10" s="1"/>
  <c r="B908" i="10"/>
  <c r="Y908" i="10" s="1"/>
  <c r="B909" i="10"/>
  <c r="Y909" i="10" s="1"/>
  <c r="B910" i="10"/>
  <c r="Y910" i="10" s="1"/>
  <c r="B911" i="10"/>
  <c r="Y911" i="10" s="1"/>
  <c r="B912" i="10"/>
  <c r="Y912" i="10" s="1"/>
  <c r="B913" i="10"/>
  <c r="Y913" i="10" s="1"/>
  <c r="B914" i="10"/>
  <c r="Y914" i="10" s="1"/>
  <c r="B915" i="10"/>
  <c r="Y915" i="10" s="1"/>
  <c r="B916" i="10"/>
  <c r="Y916" i="10" s="1"/>
  <c r="B917" i="10"/>
  <c r="Y917" i="10" s="1"/>
  <c r="B918" i="10"/>
  <c r="Y918" i="10" s="1"/>
  <c r="B919" i="10"/>
  <c r="Y919" i="10" s="1"/>
  <c r="B920" i="10"/>
  <c r="Y920" i="10" s="1"/>
  <c r="B921" i="10"/>
  <c r="Y921" i="10" s="1"/>
  <c r="B922" i="10"/>
  <c r="Y922" i="10" s="1"/>
  <c r="B923" i="10"/>
  <c r="Y923" i="10" s="1"/>
  <c r="B924" i="10"/>
  <c r="Y924" i="10" s="1"/>
  <c r="B925" i="10"/>
  <c r="Y925" i="10" s="1"/>
  <c r="B926" i="10"/>
  <c r="Y926" i="10" s="1"/>
  <c r="B927" i="10"/>
  <c r="Y927" i="10" s="1"/>
  <c r="B928" i="10"/>
  <c r="Y928" i="10" s="1"/>
  <c r="B929" i="10"/>
  <c r="Y929" i="10" s="1"/>
  <c r="B930" i="10"/>
  <c r="Y930" i="10" s="1"/>
  <c r="B931" i="10"/>
  <c r="Y931" i="10" s="1"/>
  <c r="B932" i="10"/>
  <c r="Y932" i="10" s="1"/>
  <c r="B933" i="10"/>
  <c r="Y933" i="10" s="1"/>
  <c r="B934" i="10"/>
  <c r="Y934" i="10" s="1"/>
  <c r="B935" i="10"/>
  <c r="Y935" i="10" s="1"/>
  <c r="B936" i="10"/>
  <c r="Y936" i="10" s="1"/>
  <c r="B937" i="10"/>
  <c r="Y937" i="10" s="1"/>
  <c r="B938" i="10"/>
  <c r="Y938" i="10" s="1"/>
  <c r="B939" i="10"/>
  <c r="Y939" i="10" s="1"/>
  <c r="B940" i="10"/>
  <c r="Y940" i="10" s="1"/>
  <c r="B941" i="10"/>
  <c r="Y941" i="10" s="1"/>
  <c r="B942" i="10"/>
  <c r="Y942" i="10" s="1"/>
  <c r="B943" i="10"/>
  <c r="Y943" i="10" s="1"/>
  <c r="B944" i="10"/>
  <c r="Y944" i="10" s="1"/>
  <c r="B945" i="10"/>
  <c r="Y945" i="10" s="1"/>
  <c r="B946" i="10"/>
  <c r="Y946" i="10" s="1"/>
  <c r="B947" i="10"/>
  <c r="Y947" i="10" s="1"/>
  <c r="B948" i="10"/>
  <c r="Y948" i="10" s="1"/>
  <c r="B949" i="10"/>
  <c r="Y949" i="10" s="1"/>
  <c r="B950" i="10"/>
  <c r="Y950" i="10" s="1"/>
  <c r="B951" i="10"/>
  <c r="Y951" i="10" s="1"/>
  <c r="B952" i="10"/>
  <c r="Y952" i="10" s="1"/>
  <c r="B953" i="10"/>
  <c r="Y953" i="10" s="1"/>
  <c r="B954" i="10"/>
  <c r="Y954" i="10" s="1"/>
  <c r="B955" i="10"/>
  <c r="Y955" i="10" s="1"/>
  <c r="B956" i="10"/>
  <c r="Y956" i="10" s="1"/>
  <c r="B957" i="10"/>
  <c r="Y957" i="10" s="1"/>
  <c r="B958" i="10"/>
  <c r="Y958" i="10" s="1"/>
  <c r="B959" i="10"/>
  <c r="Y959" i="10" s="1"/>
  <c r="B960" i="10"/>
  <c r="Y960" i="10" s="1"/>
  <c r="B961" i="10"/>
  <c r="Y961" i="10" s="1"/>
  <c r="B962" i="10"/>
  <c r="Y962" i="10" s="1"/>
  <c r="B963" i="10"/>
  <c r="Y963" i="10" s="1"/>
  <c r="B964" i="10"/>
  <c r="Y964" i="10" s="1"/>
  <c r="B965" i="10"/>
  <c r="Y965" i="10" s="1"/>
  <c r="B9" i="23" l="1"/>
  <c r="B10" i="23"/>
  <c r="B11" i="23"/>
  <c r="B12" i="23"/>
  <c r="B13" i="23"/>
  <c r="B14"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Z1" i="10"/>
  <c r="Z915" i="10" s="1"/>
  <c r="AA915" i="10" s="1"/>
  <c r="AK10" i="21"/>
  <c r="AK12" i="21" s="1"/>
  <c r="AJ10" i="21"/>
  <c r="AJ12" i="21" s="1"/>
  <c r="AI10" i="21"/>
  <c r="AI12" i="21" s="1"/>
  <c r="AH10" i="21"/>
  <c r="AH12" i="21" s="1"/>
  <c r="AG12" i="21"/>
  <c r="AO10" i="21"/>
  <c r="AO12" i="21" s="1"/>
  <c r="AN10" i="21"/>
  <c r="AN12" i="21" s="1"/>
  <c r="AM10" i="21"/>
  <c r="AM12" i="21" s="1"/>
  <c r="AL10" i="21"/>
  <c r="AL12" i="21" s="1"/>
  <c r="AB10" i="21"/>
  <c r="AF10" i="21"/>
  <c r="AF12" i="21" s="1"/>
  <c r="AE10" i="21"/>
  <c r="AE12" i="21" s="1"/>
  <c r="AD10" i="21"/>
  <c r="AC10" i="21"/>
  <c r="AC12" i="21" s="1"/>
  <c r="AA10" i="21"/>
  <c r="AA12" i="21" s="1"/>
  <c r="Z10" i="21"/>
  <c r="Z12" i="21" s="1"/>
  <c r="Y10" i="21"/>
  <c r="Y12" i="21" s="1"/>
  <c r="X10" i="21"/>
  <c r="X12" i="21" s="1"/>
  <c r="W10" i="21"/>
  <c r="W12" i="21" s="1"/>
  <c r="V10" i="21"/>
  <c r="V12" i="21" s="1"/>
  <c r="U10" i="21"/>
  <c r="U12" i="21" s="1"/>
  <c r="T10" i="21"/>
  <c r="T12" i="21" s="1"/>
  <c r="S10" i="21"/>
  <c r="S12" i="21" s="1"/>
  <c r="R10" i="21"/>
  <c r="R12" i="21" s="1"/>
  <c r="Q10" i="21"/>
  <c r="Q12" i="21" s="1"/>
  <c r="P10" i="21"/>
  <c r="P12" i="21" s="1"/>
  <c r="C2" i="21"/>
  <c r="O10" i="21"/>
  <c r="O12" i="21" s="1"/>
  <c r="N10" i="21"/>
  <c r="N12" i="21" s="1"/>
  <c r="M10" i="21"/>
  <c r="M12" i="21" s="1"/>
  <c r="L10" i="21"/>
  <c r="L12" i="21" s="1"/>
  <c r="I16" i="21" s="1"/>
  <c r="I10" i="21"/>
  <c r="I12" i="21" s="1"/>
  <c r="H10" i="21"/>
  <c r="H12" i="21" s="1"/>
  <c r="G10" i="21"/>
  <c r="F10" i="21"/>
  <c r="K10" i="21" s="1"/>
  <c r="E10" i="21"/>
  <c r="E12" i="21" s="1"/>
  <c r="D10" i="21"/>
  <c r="D12" i="21" s="1"/>
  <c r="L109" i="24"/>
  <c r="U107" i="24"/>
  <c r="U106" i="24"/>
  <c r="U105" i="24"/>
  <c r="U104" i="24"/>
  <c r="U103" i="24"/>
  <c r="U102" i="24"/>
  <c r="U101" i="24"/>
  <c r="U100" i="24"/>
  <c r="U99" i="24"/>
  <c r="U98" i="24"/>
  <c r="U97" i="24"/>
  <c r="U96" i="24"/>
  <c r="U95" i="24"/>
  <c r="U94" i="24"/>
  <c r="U93" i="24"/>
  <c r="U92" i="24"/>
  <c r="U91" i="24"/>
  <c r="U90" i="24"/>
  <c r="U89" i="24"/>
  <c r="U88" i="24"/>
  <c r="U87" i="24"/>
  <c r="U86" i="24"/>
  <c r="U85" i="24"/>
  <c r="U84" i="24"/>
  <c r="U83" i="24"/>
  <c r="U82" i="24"/>
  <c r="U81" i="24"/>
  <c r="U80" i="24"/>
  <c r="U79" i="24"/>
  <c r="U78" i="24"/>
  <c r="U77" i="24"/>
  <c r="U76" i="24"/>
  <c r="U75" i="24"/>
  <c r="U74" i="24"/>
  <c r="U73" i="24"/>
  <c r="U72" i="24"/>
  <c r="U71" i="24"/>
  <c r="U70" i="24"/>
  <c r="U69" i="24"/>
  <c r="U68" i="24"/>
  <c r="U67" i="24"/>
  <c r="U66" i="24"/>
  <c r="U65" i="24"/>
  <c r="U64" i="24"/>
  <c r="U63" i="24"/>
  <c r="U62" i="24"/>
  <c r="U61" i="24"/>
  <c r="U60" i="24"/>
  <c r="U59" i="24"/>
  <c r="U58" i="24"/>
  <c r="U57" i="24"/>
  <c r="U56" i="24"/>
  <c r="U55" i="24"/>
  <c r="U54" i="24"/>
  <c r="U53" i="24"/>
  <c r="U52" i="24"/>
  <c r="U51" i="24"/>
  <c r="U50" i="24"/>
  <c r="U49" i="24"/>
  <c r="U48" i="24"/>
  <c r="U47" i="24"/>
  <c r="U46" i="24"/>
  <c r="U45" i="24"/>
  <c r="U44" i="24"/>
  <c r="U43" i="24"/>
  <c r="U42" i="24"/>
  <c r="U41" i="24"/>
  <c r="U40" i="24"/>
  <c r="U39" i="24"/>
  <c r="U38" i="24"/>
  <c r="U37" i="24"/>
  <c r="U36" i="24"/>
  <c r="U35" i="24"/>
  <c r="U34" i="24"/>
  <c r="U33" i="24"/>
  <c r="U32" i="24"/>
  <c r="U31" i="24"/>
  <c r="U30" i="24"/>
  <c r="U29" i="24"/>
  <c r="U28" i="24"/>
  <c r="U27" i="24"/>
  <c r="U26" i="24"/>
  <c r="U25" i="24"/>
  <c r="U24" i="24"/>
  <c r="U23" i="24"/>
  <c r="U22" i="24"/>
  <c r="U21" i="24"/>
  <c r="U20" i="24"/>
  <c r="U19" i="24"/>
  <c r="U18" i="24"/>
  <c r="U17" i="24"/>
  <c r="U16" i="24"/>
  <c r="U15" i="24"/>
  <c r="U14" i="24"/>
  <c r="U13" i="24"/>
  <c r="U12" i="24"/>
  <c r="U11" i="24"/>
  <c r="U10" i="24"/>
  <c r="U9" i="24"/>
  <c r="U8" i="24"/>
  <c r="K3" i="24"/>
  <c r="A1" i="24"/>
  <c r="P20" i="18"/>
  <c r="L13" i="7"/>
  <c r="L14" i="7"/>
  <c r="L15" i="7"/>
  <c r="L16" i="7"/>
  <c r="L17" i="7"/>
  <c r="L18" i="7"/>
  <c r="L19" i="7"/>
  <c r="L20" i="7"/>
  <c r="L21" i="7"/>
  <c r="L22" i="7"/>
  <c r="L23" i="7"/>
  <c r="L12" i="7"/>
  <c r="Z1" i="17"/>
  <c r="Z445" i="17" s="1"/>
  <c r="AA445" i="17" s="1"/>
  <c r="R2" i="16"/>
  <c r="R2" i="23"/>
  <c r="R1" i="16"/>
  <c r="R1" i="23"/>
  <c r="C1" i="22"/>
  <c r="J1" i="19"/>
  <c r="S56" i="23"/>
  <c r="U56" i="23" s="1"/>
  <c r="S55" i="23"/>
  <c r="U55" i="23" s="1"/>
  <c r="S54" i="23"/>
  <c r="U54" i="23" s="1"/>
  <c r="S53" i="23"/>
  <c r="U53" i="23" s="1"/>
  <c r="S52" i="23"/>
  <c r="U52" i="23" s="1"/>
  <c r="S51" i="23"/>
  <c r="U51" i="23" s="1"/>
  <c r="S50" i="23"/>
  <c r="U50" i="23" s="1"/>
  <c r="S49" i="23"/>
  <c r="U49" i="23" s="1"/>
  <c r="S48" i="23"/>
  <c r="U48" i="23" s="1"/>
  <c r="S47" i="23"/>
  <c r="U47" i="23" s="1"/>
  <c r="S46" i="23"/>
  <c r="U46" i="23" s="1"/>
  <c r="S45" i="23"/>
  <c r="U45" i="23" s="1"/>
  <c r="S44" i="23"/>
  <c r="U44" i="23" s="1"/>
  <c r="S43" i="23"/>
  <c r="U43" i="23" s="1"/>
  <c r="S42" i="23"/>
  <c r="U42" i="23" s="1"/>
  <c r="S41" i="23"/>
  <c r="U41" i="23" s="1"/>
  <c r="S40" i="23"/>
  <c r="U40" i="23" s="1"/>
  <c r="S39" i="23"/>
  <c r="U39" i="23" s="1"/>
  <c r="S38" i="23"/>
  <c r="U38" i="23" s="1"/>
  <c r="S37" i="23"/>
  <c r="U37" i="23" s="1"/>
  <c r="S36" i="23"/>
  <c r="U36" i="23" s="1"/>
  <c r="S35" i="23"/>
  <c r="U35" i="23" s="1"/>
  <c r="S34" i="23"/>
  <c r="U34" i="23" s="1"/>
  <c r="S33" i="23"/>
  <c r="U33" i="23" s="1"/>
  <c r="S32" i="23"/>
  <c r="U32" i="23" s="1"/>
  <c r="S31" i="23"/>
  <c r="U31" i="23" s="1"/>
  <c r="S30" i="23"/>
  <c r="U30" i="23" s="1"/>
  <c r="S29" i="23"/>
  <c r="U29" i="23" s="1"/>
  <c r="S28" i="23"/>
  <c r="U28" i="23" s="1"/>
  <c r="S27" i="23"/>
  <c r="U27" i="23" s="1"/>
  <c r="S26" i="23"/>
  <c r="U26" i="23" s="1"/>
  <c r="S25" i="23"/>
  <c r="U25" i="23" s="1"/>
  <c r="S24" i="23"/>
  <c r="U24" i="23" s="1"/>
  <c r="S23" i="23"/>
  <c r="U23" i="23" s="1"/>
  <c r="S22" i="23"/>
  <c r="U22" i="23" s="1"/>
  <c r="S21" i="23"/>
  <c r="U21" i="23" s="1"/>
  <c r="S20" i="23"/>
  <c r="U20" i="23" s="1"/>
  <c r="S19" i="23"/>
  <c r="U19" i="23" s="1"/>
  <c r="S18" i="23"/>
  <c r="U18" i="23" s="1"/>
  <c r="S17" i="23"/>
  <c r="U17" i="23" s="1"/>
  <c r="S16" i="23"/>
  <c r="U16" i="23" s="1"/>
  <c r="S15" i="23"/>
  <c r="U15" i="23" s="1"/>
  <c r="S14" i="23"/>
  <c r="U14" i="23" s="1"/>
  <c r="S13" i="23"/>
  <c r="U13" i="23" s="1"/>
  <c r="S12" i="23"/>
  <c r="U12" i="23" s="1"/>
  <c r="S11" i="23"/>
  <c r="U11" i="23" s="1"/>
  <c r="S10" i="23"/>
  <c r="U10" i="23" s="1"/>
  <c r="S9" i="23"/>
  <c r="U9" i="23" s="1"/>
  <c r="S8" i="23"/>
  <c r="U8" i="23" s="1"/>
  <c r="B8" i="23"/>
  <c r="S7" i="23"/>
  <c r="U7" i="23" s="1"/>
  <c r="B7" i="23"/>
  <c r="A7" i="23"/>
  <c r="A1" i="23"/>
  <c r="T12" i="22"/>
  <c r="AB18" i="21"/>
  <c r="AD12" i="21"/>
  <c r="X10" i="22"/>
  <c r="W10" i="22"/>
  <c r="V10" i="22"/>
  <c r="U10" i="22"/>
  <c r="T10" i="22"/>
  <c r="S10" i="22"/>
  <c r="R10" i="22"/>
  <c r="Q10" i="22"/>
  <c r="P10" i="22"/>
  <c r="O10" i="22"/>
  <c r="N10" i="22"/>
  <c r="M10" i="22"/>
  <c r="L10" i="22"/>
  <c r="K10" i="22"/>
  <c r="J10" i="22"/>
  <c r="I10" i="22"/>
  <c r="G10" i="22"/>
  <c r="F10" i="22"/>
  <c r="E10" i="22"/>
  <c r="D10" i="22"/>
  <c r="C10" i="22"/>
  <c r="H9" i="22"/>
  <c r="AJ9" i="22" s="1"/>
  <c r="H8" i="22"/>
  <c r="AB12" i="21"/>
  <c r="A1" i="19"/>
  <c r="A9" i="19"/>
  <c r="A8" i="19"/>
  <c r="A7" i="19"/>
  <c r="A6" i="19"/>
  <c r="Y5" i="19"/>
  <c r="W5" i="19"/>
  <c r="V5" i="19"/>
  <c r="U5" i="19"/>
  <c r="T5" i="19"/>
  <c r="S5" i="19"/>
  <c r="R5" i="19"/>
  <c r="Q5" i="19"/>
  <c r="P5" i="19"/>
  <c r="O5" i="19"/>
  <c r="N5" i="19"/>
  <c r="M5" i="19"/>
  <c r="L5" i="19"/>
  <c r="K5" i="19"/>
  <c r="J5" i="19"/>
  <c r="I5" i="19"/>
  <c r="A1" i="18"/>
  <c r="O29" i="18"/>
  <c r="M27" i="18"/>
  <c r="O30" i="18"/>
  <c r="N26" i="18"/>
  <c r="N24" i="18"/>
  <c r="N21" i="18"/>
  <c r="Z863" i="17"/>
  <c r="AA863" i="17" s="1"/>
  <c r="Z864" i="17"/>
  <c r="AA864" i="17" s="1"/>
  <c r="Z865" i="17"/>
  <c r="AA865" i="17" s="1"/>
  <c r="Z866" i="17"/>
  <c r="AA866" i="17" s="1"/>
  <c r="Z867" i="17"/>
  <c r="AA867" i="17" s="1"/>
  <c r="Z868" i="17"/>
  <c r="AA868" i="17" s="1"/>
  <c r="Z869" i="17"/>
  <c r="AA869" i="17" s="1"/>
  <c r="Z870" i="17"/>
  <c r="AA870" i="17" s="1"/>
  <c r="Z871" i="17"/>
  <c r="AA871" i="17" s="1"/>
  <c r="Z872" i="17"/>
  <c r="AA872" i="17" s="1"/>
  <c r="Z873" i="17"/>
  <c r="AA873" i="17" s="1"/>
  <c r="Z874" i="17"/>
  <c r="AA874" i="17" s="1"/>
  <c r="Z875" i="17"/>
  <c r="AA875" i="17" s="1"/>
  <c r="Z876" i="17"/>
  <c r="AA876" i="17" s="1"/>
  <c r="Z877" i="17"/>
  <c r="AA877" i="17" s="1"/>
  <c r="Z878" i="17"/>
  <c r="AA878" i="17" s="1"/>
  <c r="Z879" i="17"/>
  <c r="AA879" i="17" s="1"/>
  <c r="Z880" i="17"/>
  <c r="AA880" i="17" s="1"/>
  <c r="Z881" i="17"/>
  <c r="AA881" i="17" s="1"/>
  <c r="Z882" i="17"/>
  <c r="AA882" i="17" s="1"/>
  <c r="Z883" i="17"/>
  <c r="AA883" i="17" s="1"/>
  <c r="Z884" i="17"/>
  <c r="AA884" i="17" s="1"/>
  <c r="Z885" i="17"/>
  <c r="AA885" i="17" s="1"/>
  <c r="Z886" i="17"/>
  <c r="AA886" i="17" s="1"/>
  <c r="Z887" i="17"/>
  <c r="AA887" i="17" s="1"/>
  <c r="Z888" i="17"/>
  <c r="AA888" i="17" s="1"/>
  <c r="Z889" i="17"/>
  <c r="AA889" i="17" s="1"/>
  <c r="Z890" i="17"/>
  <c r="AA890" i="17" s="1"/>
  <c r="Z891" i="17"/>
  <c r="AA891" i="17" s="1"/>
  <c r="Z892" i="17"/>
  <c r="AA892" i="17" s="1"/>
  <c r="Z893" i="17"/>
  <c r="AA893" i="17" s="1"/>
  <c r="Z894" i="17"/>
  <c r="AA894" i="17" s="1"/>
  <c r="Z895" i="17"/>
  <c r="AA895" i="17" s="1"/>
  <c r="Z896" i="17"/>
  <c r="AA896" i="17" s="1"/>
  <c r="Z897" i="17"/>
  <c r="AA897" i="17" s="1"/>
  <c r="Z898" i="17"/>
  <c r="AA898" i="17" s="1"/>
  <c r="Z899" i="17"/>
  <c r="AA899" i="17" s="1"/>
  <c r="Z900" i="17"/>
  <c r="AA900" i="17" s="1"/>
  <c r="Z901" i="17"/>
  <c r="AA901" i="17" s="1"/>
  <c r="Z902" i="17"/>
  <c r="AA902" i="17" s="1"/>
  <c r="Z903" i="17"/>
  <c r="AA903" i="17" s="1"/>
  <c r="Z904" i="17"/>
  <c r="AA904" i="17" s="1"/>
  <c r="Z905" i="17"/>
  <c r="AA905" i="17" s="1"/>
  <c r="Z906" i="17"/>
  <c r="AA906" i="17" s="1"/>
  <c r="Z907" i="17"/>
  <c r="AA907" i="17" s="1"/>
  <c r="Z908" i="17"/>
  <c r="AA908" i="17" s="1"/>
  <c r="Z909" i="17"/>
  <c r="AA909" i="17" s="1"/>
  <c r="Z910" i="17"/>
  <c r="AA910" i="17" s="1"/>
  <c r="Z911" i="17"/>
  <c r="AA911" i="17" s="1"/>
  <c r="Z912" i="17"/>
  <c r="AA912" i="17" s="1"/>
  <c r="Z913" i="17"/>
  <c r="AA913" i="17" s="1"/>
  <c r="Z914" i="17"/>
  <c r="AA914" i="17" s="1"/>
  <c r="Z915" i="17"/>
  <c r="AA915" i="17" s="1"/>
  <c r="Z916" i="17"/>
  <c r="AA916" i="17" s="1"/>
  <c r="Z917" i="17"/>
  <c r="AA917" i="17" s="1"/>
  <c r="Z918" i="17"/>
  <c r="AA918" i="17" s="1"/>
  <c r="Z919" i="17"/>
  <c r="AA919" i="17" s="1"/>
  <c r="Z920" i="17"/>
  <c r="AA920" i="17" s="1"/>
  <c r="Z921" i="17"/>
  <c r="AA921" i="17" s="1"/>
  <c r="Z922" i="17"/>
  <c r="AA922" i="17" s="1"/>
  <c r="Z923" i="17"/>
  <c r="AA923" i="17" s="1"/>
  <c r="Z924" i="17"/>
  <c r="AA924" i="17" s="1"/>
  <c r="Z925" i="17"/>
  <c r="AA925" i="17" s="1"/>
  <c r="Z926" i="17"/>
  <c r="AA926" i="17" s="1"/>
  <c r="Z927" i="17"/>
  <c r="AA927" i="17" s="1"/>
  <c r="Z928" i="17"/>
  <c r="AA928" i="17" s="1"/>
  <c r="Z929" i="17"/>
  <c r="AA929" i="17" s="1"/>
  <c r="Z930" i="17"/>
  <c r="AA930" i="17" s="1"/>
  <c r="Z931" i="17"/>
  <c r="AA931" i="17" s="1"/>
  <c r="Z932" i="17"/>
  <c r="AA932" i="17" s="1"/>
  <c r="Z933" i="17"/>
  <c r="AA933" i="17" s="1"/>
  <c r="Z934" i="17"/>
  <c r="AA934" i="17" s="1"/>
  <c r="Z935" i="17"/>
  <c r="AA935" i="17" s="1"/>
  <c r="Z936" i="17"/>
  <c r="AA936" i="17" s="1"/>
  <c r="Z937" i="17"/>
  <c r="AA937" i="17" s="1"/>
  <c r="Z938" i="17"/>
  <c r="AA938" i="17" s="1"/>
  <c r="Z939" i="17"/>
  <c r="AA939" i="17" s="1"/>
  <c r="Z940" i="17"/>
  <c r="AA940" i="17" s="1"/>
  <c r="Z941" i="17"/>
  <c r="AA941" i="17" s="1"/>
  <c r="Z942" i="17"/>
  <c r="AA942" i="17" s="1"/>
  <c r="Z943" i="17"/>
  <c r="AA943" i="17" s="1"/>
  <c r="Z944" i="17"/>
  <c r="AA944" i="17" s="1"/>
  <c r="Z945" i="17"/>
  <c r="AA945" i="17" s="1"/>
  <c r="Z946" i="17"/>
  <c r="AA946" i="17" s="1"/>
  <c r="Z947" i="17"/>
  <c r="AA947" i="17" s="1"/>
  <c r="Z948" i="17"/>
  <c r="AA948" i="17" s="1"/>
  <c r="Z949" i="17"/>
  <c r="AA949" i="17" s="1"/>
  <c r="Z950" i="17"/>
  <c r="AA950" i="17" s="1"/>
  <c r="Z951" i="17"/>
  <c r="AA951" i="17" s="1"/>
  <c r="Z952" i="17"/>
  <c r="AA952" i="17" s="1"/>
  <c r="Z953" i="17"/>
  <c r="AA953" i="17" s="1"/>
  <c r="Z954" i="17"/>
  <c r="AA954" i="17" s="1"/>
  <c r="Z955" i="17"/>
  <c r="AA955" i="17" s="1"/>
  <c r="Z956" i="17"/>
  <c r="AA956" i="17" s="1"/>
  <c r="Z957" i="17"/>
  <c r="AA957" i="17" s="1"/>
  <c r="Z958" i="17"/>
  <c r="AA958" i="17" s="1"/>
  <c r="Z959" i="17"/>
  <c r="AA959" i="17" s="1"/>
  <c r="Z960" i="17"/>
  <c r="AA960" i="17" s="1"/>
  <c r="Z961" i="17"/>
  <c r="AA961" i="17" s="1"/>
  <c r="Z962" i="17"/>
  <c r="AA962" i="17" s="1"/>
  <c r="Z963" i="17"/>
  <c r="AA963" i="17" s="1"/>
  <c r="Z964" i="17"/>
  <c r="AA964" i="17" s="1"/>
  <c r="Z965" i="17"/>
  <c r="AA965" i="17" s="1"/>
  <c r="Z966" i="17"/>
  <c r="AA966" i="17" s="1"/>
  <c r="Z967" i="17"/>
  <c r="AA967" i="17" s="1"/>
  <c r="Z968" i="17"/>
  <c r="AA968" i="17" s="1"/>
  <c r="Z969" i="17"/>
  <c r="AA969" i="17" s="1"/>
  <c r="Z970" i="17"/>
  <c r="AA970" i="17" s="1"/>
  <c r="Z971" i="17"/>
  <c r="AA971" i="17" s="1"/>
  <c r="Z972" i="17"/>
  <c r="AA972" i="17" s="1"/>
  <c r="Z973" i="17"/>
  <c r="AA973" i="17" s="1"/>
  <c r="Z974" i="17"/>
  <c r="AA974" i="17" s="1"/>
  <c r="Z975" i="17"/>
  <c r="AA975" i="17" s="1"/>
  <c r="Z976" i="17"/>
  <c r="AA976" i="17" s="1"/>
  <c r="Z977" i="17"/>
  <c r="AA977" i="17" s="1"/>
  <c r="Z978" i="17"/>
  <c r="AA978" i="17" s="1"/>
  <c r="Z979" i="17"/>
  <c r="AA979" i="17" s="1"/>
  <c r="Z980" i="17"/>
  <c r="AA980" i="17" s="1"/>
  <c r="Z981" i="17"/>
  <c r="AA981" i="17" s="1"/>
  <c r="Z982" i="17"/>
  <c r="AA982" i="17" s="1"/>
  <c r="Z983" i="17"/>
  <c r="AA983" i="17" s="1"/>
  <c r="Z984" i="17"/>
  <c r="AA984" i="17" s="1"/>
  <c r="Z985" i="17"/>
  <c r="AA985" i="17" s="1"/>
  <c r="Z986" i="17"/>
  <c r="AA986" i="17" s="1"/>
  <c r="Z987" i="17"/>
  <c r="AA987" i="17" s="1"/>
  <c r="Z988" i="17"/>
  <c r="AA988" i="17" s="1"/>
  <c r="Z989" i="17"/>
  <c r="AA989" i="17" s="1"/>
  <c r="Z990" i="17"/>
  <c r="AA990" i="17" s="1"/>
  <c r="Z991" i="17"/>
  <c r="AA991" i="17" s="1"/>
  <c r="Z992" i="17"/>
  <c r="AA992" i="17" s="1"/>
  <c r="Z993" i="17"/>
  <c r="AA993" i="17" s="1"/>
  <c r="Z994" i="17"/>
  <c r="AA994" i="17" s="1"/>
  <c r="Z995" i="17"/>
  <c r="AA995" i="17" s="1"/>
  <c r="Z996" i="17"/>
  <c r="AA996" i="17" s="1"/>
  <c r="Z997" i="17"/>
  <c r="AA997" i="17" s="1"/>
  <c r="Z998" i="17"/>
  <c r="AA998" i="17" s="1"/>
  <c r="Z999" i="17"/>
  <c r="AA999" i="17" s="1"/>
  <c r="Z1000" i="17"/>
  <c r="AA1000" i="17" s="1"/>
  <c r="Z1001" i="17"/>
  <c r="AA1001" i="17" s="1"/>
  <c r="Z1002" i="17"/>
  <c r="AA1002" i="17" s="1"/>
  <c r="Z1003" i="17"/>
  <c r="AA1003" i="17" s="1"/>
  <c r="Z1004" i="17"/>
  <c r="AA1004" i="17" s="1"/>
  <c r="Z1005" i="17"/>
  <c r="AA1005" i="17" s="1"/>
  <c r="Z1006" i="17"/>
  <c r="AA1006" i="17" s="1"/>
  <c r="Z1007" i="17"/>
  <c r="AA1007" i="17" s="1"/>
  <c r="Z1008" i="17"/>
  <c r="AA1008" i="17" s="1"/>
  <c r="Z1009" i="17"/>
  <c r="AA1009" i="17" s="1"/>
  <c r="Z1010" i="17"/>
  <c r="AA1010" i="17" s="1"/>
  <c r="Z1011" i="17"/>
  <c r="AA1011" i="17" s="1"/>
  <c r="Z1012" i="17"/>
  <c r="AA1012" i="17" s="1"/>
  <c r="Z1013" i="17"/>
  <c r="AA1013" i="17" s="1"/>
  <c r="Z1014" i="17"/>
  <c r="AA1014" i="17" s="1"/>
  <c r="Z1015" i="17"/>
  <c r="AA1015" i="17" s="1"/>
  <c r="Z1016" i="17"/>
  <c r="AA1016" i="17" s="1"/>
  <c r="Z1017" i="17"/>
  <c r="AA1017" i="17" s="1"/>
  <c r="Z1018" i="17"/>
  <c r="AA1018" i="17" s="1"/>
  <c r="Z1019" i="17"/>
  <c r="AA1019" i="17" s="1"/>
  <c r="Z1020" i="17"/>
  <c r="AA1020" i="17" s="1"/>
  <c r="Z1021" i="17"/>
  <c r="AA1021" i="17" s="1"/>
  <c r="Z1022" i="17"/>
  <c r="AA1022" i="17" s="1"/>
  <c r="Z1023" i="17"/>
  <c r="AA1023" i="17" s="1"/>
  <c r="Z1024" i="17"/>
  <c r="AA1024" i="17" s="1"/>
  <c r="Z1025" i="17"/>
  <c r="AA1025" i="17" s="1"/>
  <c r="Z1026" i="17"/>
  <c r="AA1026" i="17" s="1"/>
  <c r="Z1027" i="17"/>
  <c r="AA1027" i="17" s="1"/>
  <c r="Z1028" i="17"/>
  <c r="AA1028" i="17" s="1"/>
  <c r="Z1029" i="17"/>
  <c r="AA1029" i="17" s="1"/>
  <c r="Z1030" i="17"/>
  <c r="AA1030" i="17" s="1"/>
  <c r="Z1031" i="17"/>
  <c r="AA1031" i="17" s="1"/>
  <c r="Z1032" i="17"/>
  <c r="AA1032" i="17" s="1"/>
  <c r="Z1033" i="17"/>
  <c r="AA1033" i="17" s="1"/>
  <c r="Z1034" i="17"/>
  <c r="AA1034" i="17" s="1"/>
  <c r="Z1035" i="17"/>
  <c r="AA1035" i="17" s="1"/>
  <c r="Z1036" i="17"/>
  <c r="AA1036" i="17" s="1"/>
  <c r="Z1037" i="17"/>
  <c r="AA1037" i="17" s="1"/>
  <c r="Z1038" i="17"/>
  <c r="AA1038" i="17" s="1"/>
  <c r="Z1039" i="17"/>
  <c r="AA1039" i="17" s="1"/>
  <c r="Z1040" i="17"/>
  <c r="AA1040" i="17" s="1"/>
  <c r="Z1041" i="17"/>
  <c r="AA1041" i="17" s="1"/>
  <c r="Z1042" i="17"/>
  <c r="AA1042" i="17" s="1"/>
  <c r="Z1043" i="17"/>
  <c r="AA1043" i="17" s="1"/>
  <c r="Z1044" i="17"/>
  <c r="AA1044" i="17" s="1"/>
  <c r="Z1045" i="17"/>
  <c r="AA1045" i="17" s="1"/>
  <c r="Z1046" i="17"/>
  <c r="AA1046" i="17" s="1"/>
  <c r="Z1047" i="17"/>
  <c r="AA1047" i="17" s="1"/>
  <c r="Z1048" i="17"/>
  <c r="AA1048" i="17" s="1"/>
  <c r="Z1049" i="17"/>
  <c r="AA1049" i="17" s="1"/>
  <c r="Z1050" i="17"/>
  <c r="AA1050" i="17" s="1"/>
  <c r="Z1051" i="17"/>
  <c r="AA1051" i="17" s="1"/>
  <c r="Z1052" i="17"/>
  <c r="AA1052" i="17" s="1"/>
  <c r="Z1053" i="17"/>
  <c r="AA1053" i="17" s="1"/>
  <c r="Z1054" i="17"/>
  <c r="AA1054" i="17" s="1"/>
  <c r="Z1055" i="17"/>
  <c r="AA1055" i="17" s="1"/>
  <c r="Z1056" i="17"/>
  <c r="AA1056" i="17" s="1"/>
  <c r="Z1057" i="17"/>
  <c r="AA1057" i="17" s="1"/>
  <c r="Z1058" i="17"/>
  <c r="AA1058" i="17" s="1"/>
  <c r="Z1059" i="17"/>
  <c r="AA1059" i="17" s="1"/>
  <c r="Z1060" i="17"/>
  <c r="AA1060" i="17" s="1"/>
  <c r="Z1061" i="17"/>
  <c r="AA1061" i="17" s="1"/>
  <c r="Z1062" i="17"/>
  <c r="AA1062" i="17" s="1"/>
  <c r="Z1063" i="17"/>
  <c r="AA1063" i="17" s="1"/>
  <c r="Z1064" i="17"/>
  <c r="AA1064" i="17" s="1"/>
  <c r="Z1065" i="17"/>
  <c r="AA1065" i="17" s="1"/>
  <c r="Z1066" i="17"/>
  <c r="AA1066" i="17" s="1"/>
  <c r="Z1067" i="17"/>
  <c r="AA1067" i="17" s="1"/>
  <c r="Z1068" i="17"/>
  <c r="AA1068" i="17" s="1"/>
  <c r="Z1069" i="17"/>
  <c r="AA1069" i="17" s="1"/>
  <c r="Z1070" i="17"/>
  <c r="AA1070" i="17" s="1"/>
  <c r="Z1071" i="17"/>
  <c r="AA1071" i="17" s="1"/>
  <c r="Z1072" i="17"/>
  <c r="AA1072" i="17" s="1"/>
  <c r="Z1073" i="17"/>
  <c r="AA1073" i="17" s="1"/>
  <c r="Z1074" i="17"/>
  <c r="AA1074" i="17" s="1"/>
  <c r="Z1075" i="17"/>
  <c r="AA1075" i="17" s="1"/>
  <c r="Z1076" i="17"/>
  <c r="AA1076" i="17" s="1"/>
  <c r="Z1077" i="17"/>
  <c r="AA1077" i="17" s="1"/>
  <c r="Z1078" i="17"/>
  <c r="AA1078" i="17" s="1"/>
  <c r="Z1079" i="17"/>
  <c r="AA1079" i="17" s="1"/>
  <c r="Z1080" i="17"/>
  <c r="AA1080" i="17" s="1"/>
  <c r="Z1081" i="17"/>
  <c r="AA1081" i="17" s="1"/>
  <c r="Z1082" i="17"/>
  <c r="AA1082" i="17" s="1"/>
  <c r="Z1083" i="17"/>
  <c r="AA1083" i="17" s="1"/>
  <c r="Z1084" i="17"/>
  <c r="AA1084" i="17" s="1"/>
  <c r="Z1085" i="17"/>
  <c r="AA1085" i="17" s="1"/>
  <c r="Z1086" i="17"/>
  <c r="AA1086" i="17" s="1"/>
  <c r="Z1087" i="17"/>
  <c r="AA1087" i="17" s="1"/>
  <c r="Z1088" i="17"/>
  <c r="AA1088" i="17" s="1"/>
  <c r="Z1089" i="17"/>
  <c r="AA1089" i="17" s="1"/>
  <c r="Z1090" i="17"/>
  <c r="AA1090" i="17" s="1"/>
  <c r="Z1091" i="17"/>
  <c r="AA1091" i="17" s="1"/>
  <c r="Z1092" i="17"/>
  <c r="AA1092" i="17" s="1"/>
  <c r="Z1093" i="17"/>
  <c r="AA1093" i="17" s="1"/>
  <c r="Z1094" i="17"/>
  <c r="AA1094" i="17" s="1"/>
  <c r="Z1095" i="17"/>
  <c r="AA1095" i="17" s="1"/>
  <c r="Z1096" i="17"/>
  <c r="AA1096" i="17" s="1"/>
  <c r="Z1097" i="17"/>
  <c r="AA1097" i="17" s="1"/>
  <c r="Z1098" i="17"/>
  <c r="AA1098" i="17" s="1"/>
  <c r="Z1099" i="17"/>
  <c r="AA1099" i="17" s="1"/>
  <c r="Z1100" i="17"/>
  <c r="AA1100" i="17" s="1"/>
  <c r="Z1101" i="17"/>
  <c r="AA1101" i="17" s="1"/>
  <c r="Z1102" i="17"/>
  <c r="AA1102" i="17" s="1"/>
  <c r="Z1103" i="17"/>
  <c r="AA1103" i="17" s="1"/>
  <c r="Z1104" i="17"/>
  <c r="AA1104" i="17" s="1"/>
  <c r="Z1105" i="17"/>
  <c r="AA1105" i="17" s="1"/>
  <c r="Z1106" i="17"/>
  <c r="AA1106" i="17" s="1"/>
  <c r="Z1107" i="17"/>
  <c r="AA1107" i="17" s="1"/>
  <c r="Z1108" i="17"/>
  <c r="AA1108" i="17" s="1"/>
  <c r="Z1109" i="17"/>
  <c r="AA1109" i="17" s="1"/>
  <c r="Z1110" i="17"/>
  <c r="AA1110" i="17" s="1"/>
  <c r="Z1111" i="17"/>
  <c r="AA1111" i="17" s="1"/>
  <c r="Z1112" i="17"/>
  <c r="AA1112" i="17" s="1"/>
  <c r="Z1113" i="17"/>
  <c r="AA1113" i="17" s="1"/>
  <c r="Z1114" i="17"/>
  <c r="AA1114" i="17" s="1"/>
  <c r="Z1115" i="17"/>
  <c r="AA1115" i="17" s="1"/>
  <c r="Z1116" i="17"/>
  <c r="AA1116" i="17" s="1"/>
  <c r="Z1117" i="17"/>
  <c r="AA1117" i="17" s="1"/>
  <c r="Z1118" i="17"/>
  <c r="AA1118" i="17" s="1"/>
  <c r="Z1119" i="17"/>
  <c r="AA1119" i="17" s="1"/>
  <c r="Z1120" i="17"/>
  <c r="AA1120" i="17" s="1"/>
  <c r="Z1121" i="17"/>
  <c r="AA1121" i="17" s="1"/>
  <c r="Z1122" i="17"/>
  <c r="AA1122" i="17" s="1"/>
  <c r="Z1123" i="17"/>
  <c r="AA1123" i="17" s="1"/>
  <c r="Z1124" i="17"/>
  <c r="AA1124" i="17" s="1"/>
  <c r="Z1125" i="17"/>
  <c r="AA1125" i="17" s="1"/>
  <c r="Z1126" i="17"/>
  <c r="AA1126" i="17" s="1"/>
  <c r="Z1127" i="17"/>
  <c r="AA1127" i="17" s="1"/>
  <c r="Z1128" i="17"/>
  <c r="AA1128" i="17" s="1"/>
  <c r="Z1129" i="17"/>
  <c r="AA1129" i="17" s="1"/>
  <c r="Z1130" i="17"/>
  <c r="AA1130" i="17" s="1"/>
  <c r="Z1131" i="17"/>
  <c r="AA1131" i="17" s="1"/>
  <c r="Z1132" i="17"/>
  <c r="AA1132" i="17" s="1"/>
  <c r="Z1133" i="17"/>
  <c r="AA1133" i="17" s="1"/>
  <c r="Z1134" i="17"/>
  <c r="AA1134" i="17" s="1"/>
  <c r="Z1135" i="17"/>
  <c r="AA1135" i="17" s="1"/>
  <c r="Z1136" i="17"/>
  <c r="AA1136" i="17" s="1"/>
  <c r="Z1137" i="17"/>
  <c r="AA1137" i="17" s="1"/>
  <c r="Z1138" i="17"/>
  <c r="AA1138" i="17" s="1"/>
  <c r="Z1139" i="17"/>
  <c r="AA1139" i="17" s="1"/>
  <c r="Z1140" i="17"/>
  <c r="AA1140" i="17" s="1"/>
  <c r="Z1141" i="17"/>
  <c r="AA1141" i="17" s="1"/>
  <c r="Z1142" i="17"/>
  <c r="AA1142" i="17" s="1"/>
  <c r="Z1143" i="17"/>
  <c r="AA1143" i="17" s="1"/>
  <c r="Z1144" i="17"/>
  <c r="AA1144" i="17" s="1"/>
  <c r="Z1145" i="17"/>
  <c r="AA1145" i="17" s="1"/>
  <c r="Z1146" i="17"/>
  <c r="AA1146" i="17" s="1"/>
  <c r="Z1147" i="17"/>
  <c r="AA1147" i="17" s="1"/>
  <c r="Z1148" i="17"/>
  <c r="AA1148" i="17" s="1"/>
  <c r="Z1149" i="17"/>
  <c r="AA1149" i="17" s="1"/>
  <c r="Z1150" i="17"/>
  <c r="AA1150" i="17" s="1"/>
  <c r="Z1151" i="17"/>
  <c r="AA1151" i="17" s="1"/>
  <c r="Z1152" i="17"/>
  <c r="AA1152" i="17" s="1"/>
  <c r="Z1153" i="17"/>
  <c r="AA1153" i="17" s="1"/>
  <c r="Z1154" i="17"/>
  <c r="AA1154" i="17" s="1"/>
  <c r="Z1155" i="17"/>
  <c r="AA1155" i="17" s="1"/>
  <c r="Z1156" i="17"/>
  <c r="AA1156" i="17" s="1"/>
  <c r="Z1157" i="17"/>
  <c r="AA1157" i="17" s="1"/>
  <c r="Z1158" i="17"/>
  <c r="AA1158" i="17" s="1"/>
  <c r="Z1159" i="17"/>
  <c r="AA1159" i="17" s="1"/>
  <c r="Z1160" i="17"/>
  <c r="AA1160" i="17" s="1"/>
  <c r="Z1161" i="17"/>
  <c r="AA1161" i="17" s="1"/>
  <c r="Z1162" i="17"/>
  <c r="AA1162" i="17" s="1"/>
  <c r="Z1163" i="17"/>
  <c r="AA1163" i="17" s="1"/>
  <c r="Z1164" i="17"/>
  <c r="AA1164" i="17" s="1"/>
  <c r="Z1165" i="17"/>
  <c r="AA1165" i="17" s="1"/>
  <c r="Z1166" i="17"/>
  <c r="AA1166" i="17" s="1"/>
  <c r="Z1167" i="17"/>
  <c r="AA1167" i="17" s="1"/>
  <c r="Z1168" i="17"/>
  <c r="AA1168" i="17" s="1"/>
  <c r="Z1169" i="17"/>
  <c r="AA1169" i="17" s="1"/>
  <c r="Z1170" i="17"/>
  <c r="AA1170" i="17" s="1"/>
  <c r="Z1171" i="17"/>
  <c r="AA1171" i="17" s="1"/>
  <c r="Z1172" i="17"/>
  <c r="AA1172" i="17" s="1"/>
  <c r="Z1173" i="17"/>
  <c r="AA1173" i="17" s="1"/>
  <c r="Z1174" i="17"/>
  <c r="AA1174" i="17" s="1"/>
  <c r="Z1175" i="17"/>
  <c r="AA1175" i="17" s="1"/>
  <c r="Z1176" i="17"/>
  <c r="AA1176" i="17" s="1"/>
  <c r="Z1177" i="17"/>
  <c r="AA1177" i="17" s="1"/>
  <c r="Z1178" i="17"/>
  <c r="AA1178" i="17" s="1"/>
  <c r="Z1179" i="17"/>
  <c r="AA1179" i="17" s="1"/>
  <c r="Z1180" i="17"/>
  <c r="AA1180" i="17" s="1"/>
  <c r="Z1181" i="17"/>
  <c r="AA1181" i="17" s="1"/>
  <c r="Z1182" i="17"/>
  <c r="AA1182" i="17" s="1"/>
  <c r="Z1183" i="17"/>
  <c r="AA1183" i="17" s="1"/>
  <c r="Z1184" i="17"/>
  <c r="AA1184" i="17" s="1"/>
  <c r="Z1185" i="17"/>
  <c r="AA1185" i="17" s="1"/>
  <c r="Z1186" i="17"/>
  <c r="AA1186" i="17" s="1"/>
  <c r="Z1187" i="17"/>
  <c r="AA1187" i="17" s="1"/>
  <c r="Z1188" i="17"/>
  <c r="AA1188" i="17" s="1"/>
  <c r="Z1189" i="17"/>
  <c r="AA1189" i="17" s="1"/>
  <c r="Z1190" i="17"/>
  <c r="AA1190" i="17" s="1"/>
  <c r="Z1191" i="17"/>
  <c r="AA1191" i="17" s="1"/>
  <c r="Z1192" i="17"/>
  <c r="AA1192" i="17" s="1"/>
  <c r="Z1193" i="17"/>
  <c r="AA1193" i="17" s="1"/>
  <c r="Z1194" i="17"/>
  <c r="AA1194" i="17" s="1"/>
  <c r="Z1195" i="17"/>
  <c r="AA1195" i="17" s="1"/>
  <c r="Z1196" i="17"/>
  <c r="AA1196" i="17" s="1"/>
  <c r="Z1197" i="17"/>
  <c r="AA1197" i="17" s="1"/>
  <c r="Z1198" i="17"/>
  <c r="AA1198" i="17" s="1"/>
  <c r="Z1199" i="17"/>
  <c r="AA1199" i="17" s="1"/>
  <c r="Z1200" i="17"/>
  <c r="AA1200" i="17" s="1"/>
  <c r="Z1201" i="17"/>
  <c r="AA1201" i="17" s="1"/>
  <c r="Z1202" i="17"/>
  <c r="AA1202" i="17" s="1"/>
  <c r="Z1203" i="17"/>
  <c r="AA1203" i="17" s="1"/>
  <c r="Z1204" i="17"/>
  <c r="AA1204" i="17" s="1"/>
  <c r="Z1205" i="17"/>
  <c r="AA1205" i="17" s="1"/>
  <c r="Z1206" i="17"/>
  <c r="AA1206" i="17" s="1"/>
  <c r="Z1207" i="17"/>
  <c r="AA1207" i="17" s="1"/>
  <c r="Z1208" i="17"/>
  <c r="AA1208" i="17" s="1"/>
  <c r="Z1209" i="17"/>
  <c r="AA1209" i="17" s="1"/>
  <c r="Z1210" i="17"/>
  <c r="AA1210" i="17" s="1"/>
  <c r="Z1211" i="17"/>
  <c r="AA1211" i="17" s="1"/>
  <c r="Z1212" i="17"/>
  <c r="AA1212" i="17" s="1"/>
  <c r="Z1213" i="17"/>
  <c r="AA1213" i="17" s="1"/>
  <c r="Z1214" i="17"/>
  <c r="AA1214" i="17" s="1"/>
  <c r="Z1215" i="17"/>
  <c r="AA1215" i="17" s="1"/>
  <c r="Z1216" i="17"/>
  <c r="AA1216" i="17" s="1"/>
  <c r="Z1217" i="17"/>
  <c r="AA1217" i="17" s="1"/>
  <c r="Z1218" i="17"/>
  <c r="AA1218" i="17" s="1"/>
  <c r="Z1219" i="17"/>
  <c r="AA1219" i="17" s="1"/>
  <c r="Z1220" i="17"/>
  <c r="AA1220" i="17" s="1"/>
  <c r="Z1221" i="17"/>
  <c r="AA1221" i="17" s="1"/>
  <c r="Z1222" i="17"/>
  <c r="AA1222" i="17" s="1"/>
  <c r="Z1223" i="17"/>
  <c r="AA1223" i="17" s="1"/>
  <c r="Z1224" i="17"/>
  <c r="AA1224" i="17" s="1"/>
  <c r="Z1225" i="17"/>
  <c r="AA1225" i="17" s="1"/>
  <c r="Z1226" i="17"/>
  <c r="AA1226" i="17" s="1"/>
  <c r="Z1227" i="17"/>
  <c r="AA1227" i="17" s="1"/>
  <c r="Z1228" i="17"/>
  <c r="AA1228" i="17" s="1"/>
  <c r="Z1229" i="17"/>
  <c r="AA1229" i="17" s="1"/>
  <c r="Z1230" i="17"/>
  <c r="AA1230" i="17" s="1"/>
  <c r="Z1231" i="17"/>
  <c r="AA1231" i="17" s="1"/>
  <c r="Z1232" i="17"/>
  <c r="AA1232" i="17" s="1"/>
  <c r="Z1233" i="17"/>
  <c r="AA1233" i="17" s="1"/>
  <c r="Z1234" i="17"/>
  <c r="AA1234" i="17" s="1"/>
  <c r="Z1235" i="17"/>
  <c r="AA1235" i="17" s="1"/>
  <c r="Z1236" i="17"/>
  <c r="AA1236" i="17" s="1"/>
  <c r="Z1237" i="17"/>
  <c r="AA1237" i="17" s="1"/>
  <c r="Z1238" i="17"/>
  <c r="AA1238" i="17" s="1"/>
  <c r="Z1239" i="17"/>
  <c r="AA1239" i="17" s="1"/>
  <c r="Z1240" i="17"/>
  <c r="AA1240" i="17" s="1"/>
  <c r="Z1241" i="17"/>
  <c r="AA1241" i="17" s="1"/>
  <c r="Z1242" i="17"/>
  <c r="AA1242" i="17" s="1"/>
  <c r="Z1243" i="17"/>
  <c r="AA1243" i="17" s="1"/>
  <c r="Z1244" i="17"/>
  <c r="AA1244" i="17" s="1"/>
  <c r="Z1245" i="17"/>
  <c r="AA1245" i="17" s="1"/>
  <c r="Z1246" i="17"/>
  <c r="AA1246" i="17" s="1"/>
  <c r="Z1247" i="17"/>
  <c r="AA1247" i="17" s="1"/>
  <c r="Z1248" i="17"/>
  <c r="AA1248" i="17" s="1"/>
  <c r="Z1249" i="17"/>
  <c r="AA1249" i="17" s="1"/>
  <c r="Z1250" i="17"/>
  <c r="AA1250" i="17" s="1"/>
  <c r="Z1251" i="17"/>
  <c r="AA1251" i="17" s="1"/>
  <c r="Z1252" i="17"/>
  <c r="AA1252" i="17" s="1"/>
  <c r="Z1253" i="17"/>
  <c r="AA1253" i="17" s="1"/>
  <c r="Z1254" i="17"/>
  <c r="AA1254" i="17" s="1"/>
  <c r="Z1255" i="17"/>
  <c r="AA1255" i="17" s="1"/>
  <c r="Z1256" i="17"/>
  <c r="AA1256" i="17" s="1"/>
  <c r="Z1257" i="17"/>
  <c r="AA1257" i="17" s="1"/>
  <c r="Z1258" i="17"/>
  <c r="AA1258" i="17" s="1"/>
  <c r="Z1259" i="17"/>
  <c r="AA1259" i="17" s="1"/>
  <c r="Z1260" i="17"/>
  <c r="AA1260" i="17" s="1"/>
  <c r="Z1261" i="17"/>
  <c r="AA1261" i="17" s="1"/>
  <c r="Z1262" i="17"/>
  <c r="AA1262" i="17" s="1"/>
  <c r="Z1263" i="17"/>
  <c r="AA1263" i="17" s="1"/>
  <c r="Z1264" i="17"/>
  <c r="AA1264" i="17" s="1"/>
  <c r="Z1265" i="17"/>
  <c r="AA1265" i="17" s="1"/>
  <c r="Z1266" i="17"/>
  <c r="AA1266" i="17" s="1"/>
  <c r="Z1267" i="17"/>
  <c r="AA1267" i="17" s="1"/>
  <c r="Z1268" i="17"/>
  <c r="AA1268" i="17" s="1"/>
  <c r="Z1269" i="17"/>
  <c r="AA1269" i="17" s="1"/>
  <c r="Z1270" i="17"/>
  <c r="AA1270" i="17" s="1"/>
  <c r="Z1271" i="17"/>
  <c r="AA1271" i="17" s="1"/>
  <c r="Z1272" i="17"/>
  <c r="AA1272" i="17" s="1"/>
  <c r="Z1273" i="17"/>
  <c r="AA1273" i="17" s="1"/>
  <c r="Z1274" i="17"/>
  <c r="AA1274" i="17" s="1"/>
  <c r="Z1275" i="17"/>
  <c r="AA1275" i="17" s="1"/>
  <c r="Z1276" i="17"/>
  <c r="AA1276" i="17" s="1"/>
  <c r="Z1277" i="17"/>
  <c r="AA1277" i="17" s="1"/>
  <c r="Z1278" i="17"/>
  <c r="AA1278" i="17" s="1"/>
  <c r="Z1279" i="17"/>
  <c r="AA1279" i="17" s="1"/>
  <c r="Z1280" i="17"/>
  <c r="AA1280" i="17" s="1"/>
  <c r="Z1281" i="17"/>
  <c r="AA1281" i="17" s="1"/>
  <c r="Z1282" i="17"/>
  <c r="AA1282" i="17" s="1"/>
  <c r="Z1283" i="17"/>
  <c r="AA1283" i="17" s="1"/>
  <c r="Z1284" i="17"/>
  <c r="AA1284" i="17" s="1"/>
  <c r="Z1285" i="17"/>
  <c r="AA1285" i="17" s="1"/>
  <c r="Z1286" i="17"/>
  <c r="AA1286" i="17" s="1"/>
  <c r="Z1287" i="17"/>
  <c r="AA1287" i="17" s="1"/>
  <c r="Z1288" i="17"/>
  <c r="AA1288" i="17" s="1"/>
  <c r="Z1289" i="17"/>
  <c r="AA1289" i="17" s="1"/>
  <c r="Z1290" i="17"/>
  <c r="AA1290" i="17" s="1"/>
  <c r="Z1291" i="17"/>
  <c r="AA1291" i="17" s="1"/>
  <c r="Z1292" i="17"/>
  <c r="AA1292" i="17" s="1"/>
  <c r="Z1293" i="17"/>
  <c r="AA1293" i="17" s="1"/>
  <c r="Z1294" i="17"/>
  <c r="AA1294" i="17" s="1"/>
  <c r="Z1295" i="17"/>
  <c r="AA1295" i="17" s="1"/>
  <c r="Z1296" i="17"/>
  <c r="AA1296" i="17" s="1"/>
  <c r="Z1297" i="17"/>
  <c r="AA1297" i="17" s="1"/>
  <c r="Z1298" i="17"/>
  <c r="AA1298" i="17" s="1"/>
  <c r="Z1299" i="17"/>
  <c r="AA1299" i="17" s="1"/>
  <c r="Z1300" i="17"/>
  <c r="AA1300" i="17" s="1"/>
  <c r="Z1301" i="17"/>
  <c r="AA1301" i="17" s="1"/>
  <c r="Z1302" i="17"/>
  <c r="AA1302" i="17" s="1"/>
  <c r="Z1303" i="17"/>
  <c r="AA1303" i="17" s="1"/>
  <c r="Z1304" i="17"/>
  <c r="AA1304" i="17" s="1"/>
  <c r="Z1305" i="17"/>
  <c r="AA1305" i="17" s="1"/>
  <c r="Z1306" i="17"/>
  <c r="AA1306" i="17" s="1"/>
  <c r="Z1307" i="17"/>
  <c r="AA1307" i="17" s="1"/>
  <c r="Z1308" i="17"/>
  <c r="AA1308" i="17" s="1"/>
  <c r="Z1309" i="17"/>
  <c r="AA1309" i="17" s="1"/>
  <c r="Z1310" i="17"/>
  <c r="AA1310" i="17" s="1"/>
  <c r="Z1311" i="17"/>
  <c r="AA1311" i="17" s="1"/>
  <c r="Z1312" i="17"/>
  <c r="AA1312" i="17" s="1"/>
  <c r="Z1313" i="17"/>
  <c r="AA1313" i="17" s="1"/>
  <c r="Z1314" i="17"/>
  <c r="AA1314" i="17" s="1"/>
  <c r="Z1315" i="17"/>
  <c r="AA1315" i="17" s="1"/>
  <c r="Z1316" i="17"/>
  <c r="AA1316" i="17" s="1"/>
  <c r="Z1317" i="17"/>
  <c r="AA1317" i="17" s="1"/>
  <c r="Z1318" i="17"/>
  <c r="AA1318" i="17" s="1"/>
  <c r="Z1319" i="17"/>
  <c r="AA1319" i="17" s="1"/>
  <c r="Z1320" i="17"/>
  <c r="AA1320" i="17" s="1"/>
  <c r="Z1321" i="17"/>
  <c r="AA1321" i="17" s="1"/>
  <c r="Z1322" i="17"/>
  <c r="AA1322" i="17" s="1"/>
  <c r="Z1323" i="17"/>
  <c r="AA1323" i="17" s="1"/>
  <c r="Z1324" i="17"/>
  <c r="AA1324" i="17" s="1"/>
  <c r="Z1325" i="17"/>
  <c r="AA1325" i="17" s="1"/>
  <c r="Z1326" i="17"/>
  <c r="AA1326" i="17" s="1"/>
  <c r="Z1327" i="17"/>
  <c r="AA1327" i="17" s="1"/>
  <c r="Z1328" i="17"/>
  <c r="AA1328" i="17" s="1"/>
  <c r="Z1329" i="17"/>
  <c r="AA1329" i="17" s="1"/>
  <c r="Z1330" i="17"/>
  <c r="AA1330" i="17" s="1"/>
  <c r="Z1331" i="17"/>
  <c r="AA1331" i="17" s="1"/>
  <c r="Z1332" i="17"/>
  <c r="AA1332" i="17" s="1"/>
  <c r="Z1333" i="17"/>
  <c r="AA1333" i="17" s="1"/>
  <c r="Z1334" i="17"/>
  <c r="AA1334" i="17" s="1"/>
  <c r="Z1335" i="17"/>
  <c r="AA1335" i="17" s="1"/>
  <c r="Z1336" i="17"/>
  <c r="AA1336" i="17" s="1"/>
  <c r="Z1337" i="17"/>
  <c r="AA1337" i="17" s="1"/>
  <c r="Z1338" i="17"/>
  <c r="AA1338" i="17" s="1"/>
  <c r="Z1339" i="17"/>
  <c r="AA1339" i="17" s="1"/>
  <c r="Z1340" i="17"/>
  <c r="AA1340" i="17" s="1"/>
  <c r="Z1341" i="17"/>
  <c r="AA1341" i="17" s="1"/>
  <c r="Z1342" i="17"/>
  <c r="AA1342" i="17" s="1"/>
  <c r="Z1343" i="17"/>
  <c r="AA1343" i="17" s="1"/>
  <c r="Z1344" i="17"/>
  <c r="AA1344" i="17" s="1"/>
  <c r="Z1345" i="17"/>
  <c r="AA1345" i="17" s="1"/>
  <c r="Z1346" i="17"/>
  <c r="AA1346" i="17" s="1"/>
  <c r="Z1347" i="17"/>
  <c r="AA1347" i="17" s="1"/>
  <c r="Z1348" i="17"/>
  <c r="AA1348" i="17" s="1"/>
  <c r="Z1349" i="17"/>
  <c r="AA1349" i="17" s="1"/>
  <c r="Z1350" i="17"/>
  <c r="AA1350" i="17" s="1"/>
  <c r="Z1351" i="17"/>
  <c r="AA1351" i="17" s="1"/>
  <c r="Z1352" i="17"/>
  <c r="AA1352" i="17" s="1"/>
  <c r="Z1353" i="17"/>
  <c r="AA1353" i="17" s="1"/>
  <c r="Z1354" i="17"/>
  <c r="AA1354" i="17" s="1"/>
  <c r="Z1355" i="17"/>
  <c r="AA1355" i="17" s="1"/>
  <c r="Z1356" i="17"/>
  <c r="AA1356" i="17" s="1"/>
  <c r="Z1357" i="17"/>
  <c r="AA1357" i="17" s="1"/>
  <c r="Z1358" i="17"/>
  <c r="AA1358" i="17" s="1"/>
  <c r="Z1359" i="17"/>
  <c r="AA1359" i="17" s="1"/>
  <c r="Z1360" i="17"/>
  <c r="AA1360" i="17" s="1"/>
  <c r="Z1361" i="17"/>
  <c r="AA1361" i="17" s="1"/>
  <c r="Z1362" i="17"/>
  <c r="AA1362" i="17" s="1"/>
  <c r="Z1363" i="17"/>
  <c r="AA1363" i="17" s="1"/>
  <c r="Z1364" i="17"/>
  <c r="AA1364" i="17" s="1"/>
  <c r="Z1365" i="17"/>
  <c r="AA1365" i="17" s="1"/>
  <c r="Z1366" i="17"/>
  <c r="AA1366" i="17" s="1"/>
  <c r="Z1367" i="17"/>
  <c r="AA1367" i="17" s="1"/>
  <c r="Z1368" i="17"/>
  <c r="AA1368" i="17" s="1"/>
  <c r="Z1369" i="17"/>
  <c r="AA1369" i="17" s="1"/>
  <c r="Z1370" i="17"/>
  <c r="AA1370" i="17" s="1"/>
  <c r="Z1371" i="17"/>
  <c r="AA1371" i="17" s="1"/>
  <c r="Z1372" i="17"/>
  <c r="AA1372" i="17" s="1"/>
  <c r="Z1373" i="17"/>
  <c r="AA1373" i="17" s="1"/>
  <c r="Z1374" i="17"/>
  <c r="AA1374" i="17" s="1"/>
  <c r="Z1375" i="17"/>
  <c r="AA1375" i="17" s="1"/>
  <c r="Z1376" i="17"/>
  <c r="AA1376" i="17" s="1"/>
  <c r="Z1377" i="17"/>
  <c r="AA1377" i="17" s="1"/>
  <c r="Z1378" i="17"/>
  <c r="AA1378" i="17" s="1"/>
  <c r="Z1379" i="17"/>
  <c r="AA1379" i="17" s="1"/>
  <c r="Z1380" i="17"/>
  <c r="AA1380" i="17" s="1"/>
  <c r="Z1381" i="17"/>
  <c r="AA1381" i="17" s="1"/>
  <c r="Z1382" i="17"/>
  <c r="AA1382" i="17" s="1"/>
  <c r="Z1383" i="17"/>
  <c r="AA1383" i="17" s="1"/>
  <c r="Z1384" i="17"/>
  <c r="AA1384" i="17" s="1"/>
  <c r="Z1385" i="17"/>
  <c r="AA1385" i="17" s="1"/>
  <c r="Z1386" i="17"/>
  <c r="AA1386" i="17" s="1"/>
  <c r="Z1387" i="17"/>
  <c r="AA1387" i="17" s="1"/>
  <c r="Z1388" i="17"/>
  <c r="AA1388" i="17" s="1"/>
  <c r="Z1389" i="17"/>
  <c r="AA1389" i="17" s="1"/>
  <c r="Z1390" i="17"/>
  <c r="AA1390" i="17" s="1"/>
  <c r="Z1391" i="17"/>
  <c r="AA1391" i="17" s="1"/>
  <c r="Z1392" i="17"/>
  <c r="AA1392" i="17" s="1"/>
  <c r="Z1393" i="17"/>
  <c r="AA1393" i="17" s="1"/>
  <c r="Z1394" i="17"/>
  <c r="AA1394" i="17" s="1"/>
  <c r="Z1395" i="17"/>
  <c r="AA1395" i="17" s="1"/>
  <c r="Z1396" i="17"/>
  <c r="AA1396" i="17" s="1"/>
  <c r="Z1397" i="17"/>
  <c r="AA1397" i="17" s="1"/>
  <c r="Z1398" i="17"/>
  <c r="AA1398" i="17" s="1"/>
  <c r="Z1399" i="17"/>
  <c r="AA1399" i="17" s="1"/>
  <c r="Z1400" i="17"/>
  <c r="AA1400" i="17" s="1"/>
  <c r="Z1401" i="17"/>
  <c r="AA1401" i="17" s="1"/>
  <c r="Z1402" i="17"/>
  <c r="AA1402" i="17" s="1"/>
  <c r="Z1403" i="17"/>
  <c r="AA1403" i="17" s="1"/>
  <c r="Z1404" i="17"/>
  <c r="AA1404" i="17" s="1"/>
  <c r="Z1405" i="17"/>
  <c r="AA1405" i="17" s="1"/>
  <c r="Z1406" i="17"/>
  <c r="AA1406" i="17" s="1"/>
  <c r="Z1407" i="17"/>
  <c r="AA1407" i="17" s="1"/>
  <c r="Z1408" i="17"/>
  <c r="AA1408" i="17" s="1"/>
  <c r="Z1409" i="17"/>
  <c r="AA1409" i="17" s="1"/>
  <c r="Z1410" i="17"/>
  <c r="AA1410" i="17" s="1"/>
  <c r="Z1411" i="17"/>
  <c r="AA1411" i="17" s="1"/>
  <c r="Z1412" i="17"/>
  <c r="AA1412" i="17" s="1"/>
  <c r="Z1413" i="17"/>
  <c r="AA1413" i="17" s="1"/>
  <c r="Z1414" i="17"/>
  <c r="AA1414" i="17" s="1"/>
  <c r="Z1415" i="17"/>
  <c r="AA1415" i="17" s="1"/>
  <c r="Z1416" i="17"/>
  <c r="AA1416" i="17" s="1"/>
  <c r="Z1417" i="17"/>
  <c r="AA1417" i="17" s="1"/>
  <c r="Z1418" i="17"/>
  <c r="AA1418" i="17" s="1"/>
  <c r="Z1419" i="17"/>
  <c r="AA1419" i="17" s="1"/>
  <c r="Z1420" i="17"/>
  <c r="AA1420" i="17" s="1"/>
  <c r="Z1421" i="17"/>
  <c r="AA1421" i="17" s="1"/>
  <c r="Z1422" i="17"/>
  <c r="AA1422" i="17" s="1"/>
  <c r="Z1423" i="17"/>
  <c r="AA1423" i="17" s="1"/>
  <c r="Z1424" i="17"/>
  <c r="AA1424" i="17" s="1"/>
  <c r="Z1425" i="17"/>
  <c r="AA1425" i="17" s="1"/>
  <c r="Z1426" i="17"/>
  <c r="AA1426" i="17" s="1"/>
  <c r="Z1427" i="17"/>
  <c r="AA1427" i="17" s="1"/>
  <c r="Z1428" i="17"/>
  <c r="AA1428" i="17" s="1"/>
  <c r="Z1429" i="17"/>
  <c r="AA1429" i="17" s="1"/>
  <c r="Z1430" i="17"/>
  <c r="AA1430" i="17" s="1"/>
  <c r="Z1431" i="17"/>
  <c r="AA1431" i="17" s="1"/>
  <c r="Z1432" i="17"/>
  <c r="AA1432" i="17" s="1"/>
  <c r="Z1433" i="17"/>
  <c r="AA1433" i="17" s="1"/>
  <c r="Z1434" i="17"/>
  <c r="AA1434" i="17" s="1"/>
  <c r="Z1435" i="17"/>
  <c r="AA1435" i="17" s="1"/>
  <c r="Z1436" i="17"/>
  <c r="AA1436" i="17" s="1"/>
  <c r="Z1437" i="17"/>
  <c r="AA1437" i="17" s="1"/>
  <c r="Z1438" i="17"/>
  <c r="AA1438" i="17" s="1"/>
  <c r="Z1439" i="17"/>
  <c r="AA1439" i="17" s="1"/>
  <c r="Z1440" i="17"/>
  <c r="AA1440" i="17" s="1"/>
  <c r="Z1441" i="17"/>
  <c r="AA1441" i="17" s="1"/>
  <c r="Z1442" i="17"/>
  <c r="AA1442" i="17" s="1"/>
  <c r="Z1443" i="17"/>
  <c r="AA1443" i="17" s="1"/>
  <c r="Z1444" i="17"/>
  <c r="AA1444" i="17" s="1"/>
  <c r="Z1445" i="17"/>
  <c r="AA1445" i="17" s="1"/>
  <c r="Z1446" i="17"/>
  <c r="AA1446" i="17" s="1"/>
  <c r="Z1447" i="17"/>
  <c r="AA1447" i="17" s="1"/>
  <c r="Z1448" i="17"/>
  <c r="AA1448" i="17" s="1"/>
  <c r="Z1449" i="17"/>
  <c r="AA1449" i="17" s="1"/>
  <c r="Z1450" i="17"/>
  <c r="AA1450" i="17" s="1"/>
  <c r="Z1451" i="17"/>
  <c r="AA1451" i="17" s="1"/>
  <c r="Z1452" i="17"/>
  <c r="AA1452" i="17" s="1"/>
  <c r="Z1453" i="17"/>
  <c r="AA1453" i="17" s="1"/>
  <c r="Z1454" i="17"/>
  <c r="AA1454" i="17" s="1"/>
  <c r="Z1455" i="17"/>
  <c r="AA1455" i="17" s="1"/>
  <c r="Z1456" i="17"/>
  <c r="AA1456" i="17" s="1"/>
  <c r="Z1457" i="17"/>
  <c r="AA1457" i="17" s="1"/>
  <c r="Z1458" i="17"/>
  <c r="AA1458" i="17" s="1"/>
  <c r="Z1459" i="17"/>
  <c r="AA1459" i="17" s="1"/>
  <c r="Z1460" i="17"/>
  <c r="AA1460" i="17" s="1"/>
  <c r="Z1461" i="17"/>
  <c r="AA1461" i="17" s="1"/>
  <c r="Z1462" i="17"/>
  <c r="AA1462" i="17" s="1"/>
  <c r="Z1463" i="17"/>
  <c r="AA1463" i="17" s="1"/>
  <c r="Z1464" i="17"/>
  <c r="AA1464" i="17" s="1"/>
  <c r="Z1465" i="17"/>
  <c r="AA1465" i="17" s="1"/>
  <c r="Z1466" i="17"/>
  <c r="AA1466" i="17" s="1"/>
  <c r="Z1467" i="17"/>
  <c r="AA1467" i="17" s="1"/>
  <c r="Z1468" i="17"/>
  <c r="AA1468" i="17" s="1"/>
  <c r="Z1469" i="17"/>
  <c r="AA1469" i="17" s="1"/>
  <c r="Z1470" i="17"/>
  <c r="AA1470" i="17" s="1"/>
  <c r="Z1471" i="17"/>
  <c r="AA1471" i="17" s="1"/>
  <c r="Z1472" i="17"/>
  <c r="AA1472" i="17" s="1"/>
  <c r="Z1473" i="17"/>
  <c r="AA1473" i="17" s="1"/>
  <c r="Z1474" i="17"/>
  <c r="AA1474" i="17" s="1"/>
  <c r="Z1475" i="17"/>
  <c r="AA1475" i="17" s="1"/>
  <c r="Z1476" i="17"/>
  <c r="AA1476" i="17" s="1"/>
  <c r="Z1477" i="17"/>
  <c r="AA1477" i="17" s="1"/>
  <c r="Z1478" i="17"/>
  <c r="AA1478" i="17" s="1"/>
  <c r="Z1479" i="17"/>
  <c r="AA1479" i="17" s="1"/>
  <c r="Z1480" i="17"/>
  <c r="AA1480" i="17" s="1"/>
  <c r="Z1481" i="17"/>
  <c r="AA1481" i="17" s="1"/>
  <c r="Z1482" i="17"/>
  <c r="AA1482" i="17" s="1"/>
  <c r="Z1483" i="17"/>
  <c r="AA1483" i="17" s="1"/>
  <c r="Z1484" i="17"/>
  <c r="AA1484" i="17" s="1"/>
  <c r="Z1485" i="17"/>
  <c r="AA1485" i="17" s="1"/>
  <c r="Z1486" i="17"/>
  <c r="AA1486" i="17" s="1"/>
  <c r="Z1487" i="17"/>
  <c r="AA1487" i="17" s="1"/>
  <c r="Z1488" i="17"/>
  <c r="AA1488" i="17" s="1"/>
  <c r="Z1489" i="17"/>
  <c r="AA1489" i="17" s="1"/>
  <c r="Z1490" i="17"/>
  <c r="AA1490" i="17" s="1"/>
  <c r="Z1491" i="17"/>
  <c r="AA1491" i="17" s="1"/>
  <c r="Z1492" i="17"/>
  <c r="AA1492" i="17" s="1"/>
  <c r="Z1493" i="17"/>
  <c r="AA1493" i="17" s="1"/>
  <c r="Z1494" i="17"/>
  <c r="AA1494" i="17" s="1"/>
  <c r="Z1495" i="17"/>
  <c r="AA1495" i="17" s="1"/>
  <c r="Z1496" i="17"/>
  <c r="AA1496" i="17" s="1"/>
  <c r="Z1497" i="17"/>
  <c r="AA1497" i="17" s="1"/>
  <c r="Z1498" i="17"/>
  <c r="AA1498" i="17" s="1"/>
  <c r="Z1499" i="17"/>
  <c r="AA1499" i="17" s="1"/>
  <c r="Z1500" i="17"/>
  <c r="AA1500" i="17" s="1"/>
  <c r="Z1501" i="17"/>
  <c r="AA1501" i="17" s="1"/>
  <c r="Z1502" i="17"/>
  <c r="AA1502" i="17" s="1"/>
  <c r="Z1503" i="17"/>
  <c r="AA1503" i="17" s="1"/>
  <c r="Z1504" i="17"/>
  <c r="AA1504" i="17" s="1"/>
  <c r="Z1505" i="17"/>
  <c r="AA1505" i="17" s="1"/>
  <c r="Z1506" i="17"/>
  <c r="AA1506" i="17" s="1"/>
  <c r="Z1507" i="17"/>
  <c r="AA1507" i="17" s="1"/>
  <c r="Z1508" i="17"/>
  <c r="AA1508" i="17" s="1"/>
  <c r="Z1509" i="17"/>
  <c r="AA1509" i="17" s="1"/>
  <c r="Z1510" i="17"/>
  <c r="AA1510" i="17" s="1"/>
  <c r="Z1511" i="17"/>
  <c r="AA1511" i="17" s="1"/>
  <c r="Z1512" i="17"/>
  <c r="AA1512" i="17" s="1"/>
  <c r="Z1513" i="17"/>
  <c r="AA1513" i="17" s="1"/>
  <c r="Z1514" i="17"/>
  <c r="AA1514" i="17" s="1"/>
  <c r="Z1515" i="17"/>
  <c r="AA1515" i="17" s="1"/>
  <c r="Z1516" i="17"/>
  <c r="AA1516" i="17" s="1"/>
  <c r="Z1517" i="17"/>
  <c r="AA1517" i="17" s="1"/>
  <c r="Z1518" i="17"/>
  <c r="AA1518" i="17" s="1"/>
  <c r="Z1519" i="17"/>
  <c r="AA1519" i="17" s="1"/>
  <c r="Z1520" i="17"/>
  <c r="AA1520" i="17" s="1"/>
  <c r="Z1521" i="17"/>
  <c r="AA1521" i="17" s="1"/>
  <c r="Z1522" i="17"/>
  <c r="AA1522" i="17" s="1"/>
  <c r="Z1523" i="17"/>
  <c r="AA1523" i="17" s="1"/>
  <c r="Z1524" i="17"/>
  <c r="AA1524" i="17" s="1"/>
  <c r="Z1525" i="17"/>
  <c r="AA1525" i="17" s="1"/>
  <c r="Z1526" i="17"/>
  <c r="AA1526" i="17" s="1"/>
  <c r="Z1527" i="17"/>
  <c r="AA1527" i="17" s="1"/>
  <c r="Z1528" i="17"/>
  <c r="AA1528" i="17" s="1"/>
  <c r="Z1529" i="17"/>
  <c r="AA1529" i="17" s="1"/>
  <c r="Z1530" i="17"/>
  <c r="AA1530" i="17" s="1"/>
  <c r="Z1531" i="17"/>
  <c r="AA1531" i="17" s="1"/>
  <c r="Z1532" i="17"/>
  <c r="AA1532" i="17" s="1"/>
  <c r="Z1533" i="17"/>
  <c r="AA1533" i="17" s="1"/>
  <c r="Z1534" i="17"/>
  <c r="AA1534" i="17" s="1"/>
  <c r="Z1535" i="17"/>
  <c r="AA1535" i="17" s="1"/>
  <c r="Z1536" i="17"/>
  <c r="AA1536" i="17" s="1"/>
  <c r="Z1537" i="17"/>
  <c r="AA1537" i="17" s="1"/>
  <c r="Z1538" i="17"/>
  <c r="AA1538" i="17" s="1"/>
  <c r="Z1539" i="17"/>
  <c r="AA1539" i="17" s="1"/>
  <c r="Z1540" i="17"/>
  <c r="AA1540" i="17" s="1"/>
  <c r="Z1541" i="17"/>
  <c r="AA1541" i="17" s="1"/>
  <c r="Z1542" i="17"/>
  <c r="AA1542" i="17" s="1"/>
  <c r="Z1543" i="17"/>
  <c r="AA1543" i="17" s="1"/>
  <c r="Z1544" i="17"/>
  <c r="AA1544" i="17" s="1"/>
  <c r="Z1545" i="17"/>
  <c r="AA1545" i="17" s="1"/>
  <c r="Z1546" i="17"/>
  <c r="AA1546" i="17" s="1"/>
  <c r="Z1547" i="17"/>
  <c r="AA1547" i="17" s="1"/>
  <c r="Z1548" i="17"/>
  <c r="AA1548" i="17" s="1"/>
  <c r="Z1549" i="17"/>
  <c r="AA1549" i="17" s="1"/>
  <c r="Z1550" i="17"/>
  <c r="AA1550" i="17" s="1"/>
  <c r="Z1551" i="17"/>
  <c r="AA1551" i="17" s="1"/>
  <c r="Z1552" i="17"/>
  <c r="AA1552" i="17" s="1"/>
  <c r="Z1553" i="17"/>
  <c r="AA1553" i="17" s="1"/>
  <c r="Z1554" i="17"/>
  <c r="AA1554" i="17" s="1"/>
  <c r="Z1555" i="17"/>
  <c r="AA1555" i="17" s="1"/>
  <c r="Z1556" i="17"/>
  <c r="AA1556" i="17" s="1"/>
  <c r="Z1557" i="17"/>
  <c r="AA1557" i="17" s="1"/>
  <c r="Z1558" i="17"/>
  <c r="AA1558" i="17" s="1"/>
  <c r="Z1559" i="17"/>
  <c r="AA1559" i="17" s="1"/>
  <c r="Z1560" i="17"/>
  <c r="AA1560" i="17" s="1"/>
  <c r="Z1561" i="17"/>
  <c r="AA1561" i="17" s="1"/>
  <c r="Z1562" i="17"/>
  <c r="AA1562" i="17" s="1"/>
  <c r="Z1563" i="17"/>
  <c r="AA1563" i="17" s="1"/>
  <c r="Z1564" i="17"/>
  <c r="AA1564" i="17" s="1"/>
  <c r="Z1565" i="17"/>
  <c r="AA1565" i="17" s="1"/>
  <c r="Z1566" i="17"/>
  <c r="AA1566" i="17" s="1"/>
  <c r="Z1567" i="17"/>
  <c r="AA1567" i="17" s="1"/>
  <c r="Z1568" i="17"/>
  <c r="AA1568" i="17" s="1"/>
  <c r="Z1569" i="17"/>
  <c r="AA1569" i="17" s="1"/>
  <c r="Z1570" i="17"/>
  <c r="AA1570" i="17" s="1"/>
  <c r="Z1571" i="17"/>
  <c r="AA1571" i="17" s="1"/>
  <c r="Z1572" i="17"/>
  <c r="AA1572" i="17" s="1"/>
  <c r="Z1573" i="17"/>
  <c r="AA1573" i="17" s="1"/>
  <c r="Z1574" i="17"/>
  <c r="AA1574" i="17" s="1"/>
  <c r="Z1575" i="17"/>
  <c r="AA1575" i="17" s="1"/>
  <c r="Z1576" i="17"/>
  <c r="AA1576" i="17" s="1"/>
  <c r="Z1577" i="17"/>
  <c r="AA1577" i="17" s="1"/>
  <c r="Z1578" i="17"/>
  <c r="AA1578" i="17" s="1"/>
  <c r="Z1579" i="17"/>
  <c r="AA1579" i="17" s="1"/>
  <c r="Z1580" i="17"/>
  <c r="AA1580" i="17" s="1"/>
  <c r="Z1581" i="17"/>
  <c r="AA1581" i="17" s="1"/>
  <c r="Z1582" i="17"/>
  <c r="AA1582" i="17" s="1"/>
  <c r="Z1583" i="17"/>
  <c r="AA1583" i="17" s="1"/>
  <c r="Z1584" i="17"/>
  <c r="AA1584" i="17" s="1"/>
  <c r="Z1585" i="17"/>
  <c r="AA1585" i="17" s="1"/>
  <c r="Z1586" i="17"/>
  <c r="AA1586" i="17" s="1"/>
  <c r="Z1587" i="17"/>
  <c r="AA1587" i="17" s="1"/>
  <c r="Z1588" i="17"/>
  <c r="AA1588" i="17" s="1"/>
  <c r="Z1589" i="17"/>
  <c r="AA1589" i="17" s="1"/>
  <c r="Z1590" i="17"/>
  <c r="AA1590" i="17" s="1"/>
  <c r="Z1591" i="17"/>
  <c r="AA1591" i="17" s="1"/>
  <c r="Z1592" i="17"/>
  <c r="AA1592" i="17" s="1"/>
  <c r="Z1593" i="17"/>
  <c r="AA1593" i="17" s="1"/>
  <c r="Z1594" i="17"/>
  <c r="AA1594" i="17" s="1"/>
  <c r="Z1595" i="17"/>
  <c r="AA1595" i="17" s="1"/>
  <c r="Z1596" i="17"/>
  <c r="AA1596" i="17" s="1"/>
  <c r="Z1597" i="17"/>
  <c r="AA1597" i="17" s="1"/>
  <c r="Z1598" i="17"/>
  <c r="AA1598" i="17" s="1"/>
  <c r="Z1599" i="17"/>
  <c r="AA1599" i="17" s="1"/>
  <c r="Z1600" i="17"/>
  <c r="AA1600" i="17" s="1"/>
  <c r="Z1601" i="17"/>
  <c r="AA1601" i="17" s="1"/>
  <c r="Z1602" i="17"/>
  <c r="AA1602" i="17" s="1"/>
  <c r="Z1603" i="17"/>
  <c r="AA1603" i="17" s="1"/>
  <c r="Z1604" i="17"/>
  <c r="AA1604" i="17" s="1"/>
  <c r="Z1605" i="17"/>
  <c r="AA1605" i="17" s="1"/>
  <c r="B506" i="17"/>
  <c r="Y506" i="17" s="1"/>
  <c r="B507" i="17"/>
  <c r="Y507" i="17" s="1"/>
  <c r="B508" i="17"/>
  <c r="Y508" i="17" s="1"/>
  <c r="B509" i="17"/>
  <c r="Y509" i="17" s="1"/>
  <c r="B510" i="17"/>
  <c r="Y510" i="17" s="1"/>
  <c r="B511" i="17"/>
  <c r="Y511" i="17" s="1"/>
  <c r="B512" i="17"/>
  <c r="Y512" i="17" s="1"/>
  <c r="B513" i="17"/>
  <c r="Y513" i="17" s="1"/>
  <c r="B514" i="17"/>
  <c r="Y514" i="17" s="1"/>
  <c r="B515" i="17"/>
  <c r="Y515" i="17" s="1"/>
  <c r="B516" i="17"/>
  <c r="Y516" i="17" s="1"/>
  <c r="B517" i="17"/>
  <c r="Y517" i="17" s="1"/>
  <c r="B518" i="17"/>
  <c r="Y518" i="17" s="1"/>
  <c r="B519" i="17"/>
  <c r="Y519" i="17" s="1"/>
  <c r="B520" i="17"/>
  <c r="Y520" i="17" s="1"/>
  <c r="B521" i="17"/>
  <c r="Y521" i="17" s="1"/>
  <c r="B522" i="17"/>
  <c r="Y522" i="17" s="1"/>
  <c r="B523" i="17"/>
  <c r="Y523" i="17" s="1"/>
  <c r="B524" i="17"/>
  <c r="Y524" i="17" s="1"/>
  <c r="B525" i="17"/>
  <c r="Y525" i="17" s="1"/>
  <c r="B526" i="17"/>
  <c r="Y526" i="17" s="1"/>
  <c r="B527" i="17"/>
  <c r="Y527" i="17" s="1"/>
  <c r="B528" i="17"/>
  <c r="Y528" i="17" s="1"/>
  <c r="B529" i="17"/>
  <c r="Y529" i="17" s="1"/>
  <c r="B530" i="17"/>
  <c r="Y530" i="17" s="1"/>
  <c r="B531" i="17"/>
  <c r="Y531" i="17" s="1"/>
  <c r="B532" i="17"/>
  <c r="Y532" i="17" s="1"/>
  <c r="B533" i="17"/>
  <c r="Y533" i="17" s="1"/>
  <c r="B534" i="17"/>
  <c r="Y534" i="17" s="1"/>
  <c r="B535" i="17"/>
  <c r="Y535" i="17" s="1"/>
  <c r="B536" i="17"/>
  <c r="Y536" i="17" s="1"/>
  <c r="B537" i="17"/>
  <c r="Y537" i="17" s="1"/>
  <c r="B538" i="17"/>
  <c r="Y538" i="17" s="1"/>
  <c r="B539" i="17"/>
  <c r="Y539" i="17" s="1"/>
  <c r="B540" i="17"/>
  <c r="Y540" i="17" s="1"/>
  <c r="B541" i="17"/>
  <c r="Y541" i="17" s="1"/>
  <c r="B542" i="17"/>
  <c r="Y542" i="17" s="1"/>
  <c r="B543" i="17"/>
  <c r="Y543" i="17" s="1"/>
  <c r="B544" i="17"/>
  <c r="Y544" i="17" s="1"/>
  <c r="B545" i="17"/>
  <c r="Y545" i="17" s="1"/>
  <c r="B546" i="17"/>
  <c r="Y546" i="17" s="1"/>
  <c r="B547" i="17"/>
  <c r="Y547" i="17" s="1"/>
  <c r="B548" i="17"/>
  <c r="Y548" i="17" s="1"/>
  <c r="B549" i="17"/>
  <c r="Y549" i="17" s="1"/>
  <c r="B550" i="17"/>
  <c r="Y550" i="17" s="1"/>
  <c r="B551" i="17"/>
  <c r="Y551" i="17" s="1"/>
  <c r="B552" i="17"/>
  <c r="Y552" i="17" s="1"/>
  <c r="B553" i="17"/>
  <c r="Y553" i="17" s="1"/>
  <c r="B554" i="17"/>
  <c r="Y554" i="17" s="1"/>
  <c r="B555" i="17"/>
  <c r="Y555" i="17" s="1"/>
  <c r="B556" i="17"/>
  <c r="Y556" i="17" s="1"/>
  <c r="B557" i="17"/>
  <c r="Y557" i="17" s="1"/>
  <c r="B558" i="17"/>
  <c r="Y558" i="17" s="1"/>
  <c r="B559" i="17"/>
  <c r="Y559" i="17" s="1"/>
  <c r="B560" i="17"/>
  <c r="Y560" i="17" s="1"/>
  <c r="B561" i="17"/>
  <c r="Y561" i="17" s="1"/>
  <c r="B562" i="17"/>
  <c r="Y562" i="17" s="1"/>
  <c r="B563" i="17"/>
  <c r="Y563" i="17" s="1"/>
  <c r="B564" i="17"/>
  <c r="Y564" i="17" s="1"/>
  <c r="B565" i="17"/>
  <c r="Y565" i="17" s="1"/>
  <c r="B566" i="17"/>
  <c r="Y566" i="17" s="1"/>
  <c r="B567" i="17"/>
  <c r="Y567" i="17" s="1"/>
  <c r="B568" i="17"/>
  <c r="Y568" i="17" s="1"/>
  <c r="B569" i="17"/>
  <c r="Y569" i="17" s="1"/>
  <c r="B570" i="17"/>
  <c r="Y570" i="17" s="1"/>
  <c r="B571" i="17"/>
  <c r="Y571" i="17" s="1"/>
  <c r="B572" i="17"/>
  <c r="Y572" i="17" s="1"/>
  <c r="B573" i="17"/>
  <c r="Y573" i="17" s="1"/>
  <c r="B574" i="17"/>
  <c r="Y574" i="17" s="1"/>
  <c r="B575" i="17"/>
  <c r="Y575" i="17" s="1"/>
  <c r="B576" i="17"/>
  <c r="Y576" i="17" s="1"/>
  <c r="B577" i="17"/>
  <c r="Y577" i="17" s="1"/>
  <c r="B578" i="17"/>
  <c r="Y578" i="17" s="1"/>
  <c r="B579" i="17"/>
  <c r="Y579" i="17" s="1"/>
  <c r="B580" i="17"/>
  <c r="Y580" i="17" s="1"/>
  <c r="B581" i="17"/>
  <c r="Y581" i="17" s="1"/>
  <c r="B582" i="17"/>
  <c r="Y582" i="17" s="1"/>
  <c r="B583" i="17"/>
  <c r="Y583" i="17" s="1"/>
  <c r="B584" i="17"/>
  <c r="Y584" i="17" s="1"/>
  <c r="B585" i="17"/>
  <c r="Y585" i="17" s="1"/>
  <c r="B586" i="17"/>
  <c r="Y586" i="17" s="1"/>
  <c r="B587" i="17"/>
  <c r="Y587" i="17" s="1"/>
  <c r="B588" i="17"/>
  <c r="Y588" i="17" s="1"/>
  <c r="B589" i="17"/>
  <c r="Y589" i="17" s="1"/>
  <c r="B590" i="17"/>
  <c r="Y590" i="17" s="1"/>
  <c r="B591" i="17"/>
  <c r="Y591" i="17" s="1"/>
  <c r="B592" i="17"/>
  <c r="Y592" i="17" s="1"/>
  <c r="B593" i="17"/>
  <c r="Y593" i="17" s="1"/>
  <c r="B594" i="17"/>
  <c r="Y594" i="17" s="1"/>
  <c r="B595" i="17"/>
  <c r="Y595" i="17" s="1"/>
  <c r="B596" i="17"/>
  <c r="Y596" i="17" s="1"/>
  <c r="B597" i="17"/>
  <c r="Y597" i="17" s="1"/>
  <c r="B598" i="17"/>
  <c r="Y598" i="17" s="1"/>
  <c r="B599" i="17"/>
  <c r="Y599" i="17" s="1"/>
  <c r="B600" i="17"/>
  <c r="Y600" i="17" s="1"/>
  <c r="B601" i="17"/>
  <c r="Y601" i="17" s="1"/>
  <c r="B602" i="17"/>
  <c r="Y602" i="17" s="1"/>
  <c r="B603" i="17"/>
  <c r="Y603" i="17" s="1"/>
  <c r="B604" i="17"/>
  <c r="Y604" i="17" s="1"/>
  <c r="B605" i="17"/>
  <c r="Y605" i="17" s="1"/>
  <c r="B606" i="17"/>
  <c r="Y606" i="17" s="1"/>
  <c r="B607" i="17"/>
  <c r="Y607" i="17" s="1"/>
  <c r="B608" i="17"/>
  <c r="Y608" i="17" s="1"/>
  <c r="B609" i="17"/>
  <c r="Y609" i="17" s="1"/>
  <c r="B610" i="17"/>
  <c r="Y610" i="17" s="1"/>
  <c r="B611" i="17"/>
  <c r="Y611" i="17" s="1"/>
  <c r="B612" i="17"/>
  <c r="Y612" i="17" s="1"/>
  <c r="B613" i="17"/>
  <c r="Y613" i="17" s="1"/>
  <c r="B614" i="17"/>
  <c r="Y614" i="17" s="1"/>
  <c r="B615" i="17"/>
  <c r="Y615" i="17" s="1"/>
  <c r="B616" i="17"/>
  <c r="Y616" i="17" s="1"/>
  <c r="B617" i="17"/>
  <c r="Y617" i="17" s="1"/>
  <c r="B618" i="17"/>
  <c r="Y618" i="17" s="1"/>
  <c r="B619" i="17"/>
  <c r="Y619" i="17" s="1"/>
  <c r="B620" i="17"/>
  <c r="Y620" i="17" s="1"/>
  <c r="B621" i="17"/>
  <c r="Y621" i="17" s="1"/>
  <c r="B622" i="17"/>
  <c r="Y622" i="17" s="1"/>
  <c r="B623" i="17"/>
  <c r="Y623" i="17" s="1"/>
  <c r="B624" i="17"/>
  <c r="Y624" i="17" s="1"/>
  <c r="B625" i="17"/>
  <c r="Y625" i="17" s="1"/>
  <c r="B626" i="17"/>
  <c r="Y626" i="17" s="1"/>
  <c r="B627" i="17"/>
  <c r="Y627" i="17" s="1"/>
  <c r="B628" i="17"/>
  <c r="Y628" i="17" s="1"/>
  <c r="B629" i="17"/>
  <c r="Y629" i="17" s="1"/>
  <c r="B630" i="17"/>
  <c r="Y630" i="17" s="1"/>
  <c r="B631" i="17"/>
  <c r="Y631" i="17" s="1"/>
  <c r="B632" i="17"/>
  <c r="Y632" i="17" s="1"/>
  <c r="B633" i="17"/>
  <c r="Y633" i="17" s="1"/>
  <c r="B634" i="17"/>
  <c r="Y634" i="17" s="1"/>
  <c r="B635" i="17"/>
  <c r="Y635" i="17" s="1"/>
  <c r="B636" i="17"/>
  <c r="Y636" i="17" s="1"/>
  <c r="B637" i="17"/>
  <c r="Y637" i="17" s="1"/>
  <c r="B638" i="17"/>
  <c r="Y638" i="17" s="1"/>
  <c r="B639" i="17"/>
  <c r="Y639" i="17" s="1"/>
  <c r="B640" i="17"/>
  <c r="Y640" i="17" s="1"/>
  <c r="B641" i="17"/>
  <c r="Y641" i="17" s="1"/>
  <c r="B642" i="17"/>
  <c r="Y642" i="17" s="1"/>
  <c r="B643" i="17"/>
  <c r="Y643" i="17" s="1"/>
  <c r="B644" i="17"/>
  <c r="Y644" i="17" s="1"/>
  <c r="B645" i="17"/>
  <c r="Y645" i="17" s="1"/>
  <c r="B646" i="17"/>
  <c r="Y646" i="17" s="1"/>
  <c r="B647" i="17"/>
  <c r="Y647" i="17" s="1"/>
  <c r="B648" i="17"/>
  <c r="Y648" i="17" s="1"/>
  <c r="B649" i="17"/>
  <c r="Y649" i="17" s="1"/>
  <c r="B650" i="17"/>
  <c r="Y650" i="17" s="1"/>
  <c r="B651" i="17"/>
  <c r="Y651" i="17" s="1"/>
  <c r="B652" i="17"/>
  <c r="Y652" i="17" s="1"/>
  <c r="B653" i="17"/>
  <c r="Y653" i="17" s="1"/>
  <c r="B654" i="17"/>
  <c r="Y654" i="17" s="1"/>
  <c r="B655" i="17"/>
  <c r="Y655" i="17" s="1"/>
  <c r="B656" i="17"/>
  <c r="Y656" i="17" s="1"/>
  <c r="B657" i="17"/>
  <c r="Y657" i="17" s="1"/>
  <c r="B658" i="17"/>
  <c r="Y658" i="17" s="1"/>
  <c r="B659" i="17"/>
  <c r="Y659" i="17" s="1"/>
  <c r="B660" i="17"/>
  <c r="Y660" i="17" s="1"/>
  <c r="B661" i="17"/>
  <c r="Y661" i="17" s="1"/>
  <c r="B662" i="17"/>
  <c r="Y662" i="17" s="1"/>
  <c r="B663" i="17"/>
  <c r="Y663" i="17" s="1"/>
  <c r="B664" i="17"/>
  <c r="Y664" i="17" s="1"/>
  <c r="B665" i="17"/>
  <c r="Y665" i="17" s="1"/>
  <c r="B666" i="17"/>
  <c r="Y666" i="17" s="1"/>
  <c r="B667" i="17"/>
  <c r="Y667" i="17" s="1"/>
  <c r="B668" i="17"/>
  <c r="Y668" i="17" s="1"/>
  <c r="B669" i="17"/>
  <c r="Y669" i="17" s="1"/>
  <c r="B670" i="17"/>
  <c r="Y670" i="17" s="1"/>
  <c r="B671" i="17"/>
  <c r="Y671" i="17" s="1"/>
  <c r="B672" i="17"/>
  <c r="Y672" i="17" s="1"/>
  <c r="B673" i="17"/>
  <c r="Y673" i="17" s="1"/>
  <c r="B674" i="17"/>
  <c r="Y674" i="17" s="1"/>
  <c r="B675" i="17"/>
  <c r="Y675" i="17" s="1"/>
  <c r="B676" i="17"/>
  <c r="Y676" i="17" s="1"/>
  <c r="B677" i="17"/>
  <c r="Y677" i="17" s="1"/>
  <c r="B678" i="17"/>
  <c r="Y678" i="17" s="1"/>
  <c r="B679" i="17"/>
  <c r="Y679" i="17" s="1"/>
  <c r="B680" i="17"/>
  <c r="Y680" i="17" s="1"/>
  <c r="B681" i="17"/>
  <c r="Y681" i="17" s="1"/>
  <c r="B682" i="17"/>
  <c r="Y682" i="17" s="1"/>
  <c r="B683" i="17"/>
  <c r="Y683" i="17" s="1"/>
  <c r="B684" i="17"/>
  <c r="Y684" i="17" s="1"/>
  <c r="B685" i="17"/>
  <c r="Y685" i="17" s="1"/>
  <c r="B686" i="17"/>
  <c r="Y686" i="17" s="1"/>
  <c r="B687" i="17"/>
  <c r="Y687" i="17" s="1"/>
  <c r="B688" i="17"/>
  <c r="Y688" i="17" s="1"/>
  <c r="B689" i="17"/>
  <c r="Y689" i="17" s="1"/>
  <c r="B690" i="17"/>
  <c r="Y690" i="17" s="1"/>
  <c r="B691" i="17"/>
  <c r="Y691" i="17" s="1"/>
  <c r="B692" i="17"/>
  <c r="Y692" i="17" s="1"/>
  <c r="B693" i="17"/>
  <c r="Y693" i="17" s="1"/>
  <c r="B694" i="17"/>
  <c r="Y694" i="17" s="1"/>
  <c r="B695" i="17"/>
  <c r="Y695" i="17" s="1"/>
  <c r="B696" i="17"/>
  <c r="Y696" i="17" s="1"/>
  <c r="B697" i="17"/>
  <c r="Y697" i="17" s="1"/>
  <c r="B698" i="17"/>
  <c r="Y698" i="17" s="1"/>
  <c r="B699" i="17"/>
  <c r="Y699" i="17" s="1"/>
  <c r="B700" i="17"/>
  <c r="Y700" i="17" s="1"/>
  <c r="B701" i="17"/>
  <c r="Y701" i="17" s="1"/>
  <c r="B702" i="17"/>
  <c r="Y702" i="17" s="1"/>
  <c r="B703" i="17"/>
  <c r="Y703" i="17" s="1"/>
  <c r="B704" i="17"/>
  <c r="Y704" i="17" s="1"/>
  <c r="B705" i="17"/>
  <c r="Y705" i="17" s="1"/>
  <c r="B706" i="17"/>
  <c r="Y706" i="17" s="1"/>
  <c r="B707" i="17"/>
  <c r="Y707" i="17" s="1"/>
  <c r="B708" i="17"/>
  <c r="Y708" i="17" s="1"/>
  <c r="B709" i="17"/>
  <c r="Y709" i="17" s="1"/>
  <c r="B710" i="17"/>
  <c r="Y710" i="17" s="1"/>
  <c r="B711" i="17"/>
  <c r="Y711" i="17" s="1"/>
  <c r="B712" i="17"/>
  <c r="Y712" i="17" s="1"/>
  <c r="B713" i="17"/>
  <c r="Y713" i="17" s="1"/>
  <c r="B714" i="17"/>
  <c r="Y714" i="17" s="1"/>
  <c r="B715" i="17"/>
  <c r="Y715" i="17" s="1"/>
  <c r="B716" i="17"/>
  <c r="Y716" i="17" s="1"/>
  <c r="B717" i="17"/>
  <c r="Y717" i="17" s="1"/>
  <c r="B718" i="17"/>
  <c r="Y718" i="17" s="1"/>
  <c r="B719" i="17"/>
  <c r="Y719" i="17" s="1"/>
  <c r="B720" i="17"/>
  <c r="Y720" i="17" s="1"/>
  <c r="B721" i="17"/>
  <c r="Y721" i="17" s="1"/>
  <c r="B722" i="17"/>
  <c r="Y722" i="17" s="1"/>
  <c r="B723" i="17"/>
  <c r="Y723" i="17" s="1"/>
  <c r="B724" i="17"/>
  <c r="Y724" i="17" s="1"/>
  <c r="B725" i="17"/>
  <c r="Y725" i="17" s="1"/>
  <c r="B726" i="17"/>
  <c r="Y726" i="17" s="1"/>
  <c r="B727" i="17"/>
  <c r="Y727" i="17" s="1"/>
  <c r="B728" i="17"/>
  <c r="Y728" i="17" s="1"/>
  <c r="B729" i="17"/>
  <c r="Y729" i="17" s="1"/>
  <c r="B730" i="17"/>
  <c r="Y730" i="17" s="1"/>
  <c r="B731" i="17"/>
  <c r="Y731" i="17" s="1"/>
  <c r="B732" i="17"/>
  <c r="Y732" i="17" s="1"/>
  <c r="B733" i="17"/>
  <c r="Y733" i="17" s="1"/>
  <c r="B734" i="17"/>
  <c r="Y734" i="17" s="1"/>
  <c r="B735" i="17"/>
  <c r="Y735" i="17" s="1"/>
  <c r="B736" i="17"/>
  <c r="Y736" i="17" s="1"/>
  <c r="B737" i="17"/>
  <c r="Y737" i="17" s="1"/>
  <c r="B738" i="17"/>
  <c r="Y738" i="17" s="1"/>
  <c r="B739" i="17"/>
  <c r="Y739" i="17" s="1"/>
  <c r="B740" i="17"/>
  <c r="Y740" i="17" s="1"/>
  <c r="B741" i="17"/>
  <c r="Y741" i="17" s="1"/>
  <c r="B742" i="17"/>
  <c r="Y742" i="17" s="1"/>
  <c r="B743" i="17"/>
  <c r="Y743" i="17" s="1"/>
  <c r="B744" i="17"/>
  <c r="Y744" i="17" s="1"/>
  <c r="B745" i="17"/>
  <c r="Y745" i="17" s="1"/>
  <c r="B746" i="17"/>
  <c r="Y746" i="17" s="1"/>
  <c r="B747" i="17"/>
  <c r="Y747" i="17" s="1"/>
  <c r="B748" i="17"/>
  <c r="Y748" i="17" s="1"/>
  <c r="B749" i="17"/>
  <c r="Y749" i="17" s="1"/>
  <c r="B750" i="17"/>
  <c r="Y750" i="17" s="1"/>
  <c r="B751" i="17"/>
  <c r="Y751" i="17" s="1"/>
  <c r="B752" i="17"/>
  <c r="Y752" i="17" s="1"/>
  <c r="B753" i="17"/>
  <c r="Y753" i="17" s="1"/>
  <c r="B754" i="17"/>
  <c r="Y754" i="17" s="1"/>
  <c r="B755" i="17"/>
  <c r="Y755" i="17" s="1"/>
  <c r="B756" i="17"/>
  <c r="Y756" i="17" s="1"/>
  <c r="B757" i="17"/>
  <c r="Y757" i="17" s="1"/>
  <c r="B758" i="17"/>
  <c r="Y758" i="17" s="1"/>
  <c r="B759" i="17"/>
  <c r="Y759" i="17" s="1"/>
  <c r="B760" i="17"/>
  <c r="Y760" i="17" s="1"/>
  <c r="B761" i="17"/>
  <c r="Y761" i="17" s="1"/>
  <c r="B762" i="17"/>
  <c r="Y762" i="17" s="1"/>
  <c r="B763" i="17"/>
  <c r="Y763" i="17" s="1"/>
  <c r="B764" i="17"/>
  <c r="Y764" i="17" s="1"/>
  <c r="B765" i="17"/>
  <c r="Y765" i="17" s="1"/>
  <c r="B766" i="17"/>
  <c r="Y766" i="17" s="1"/>
  <c r="B767" i="17"/>
  <c r="Y767" i="17" s="1"/>
  <c r="B768" i="17"/>
  <c r="Y768" i="17" s="1"/>
  <c r="B769" i="17"/>
  <c r="Y769" i="17" s="1"/>
  <c r="B770" i="17"/>
  <c r="Y770" i="17" s="1"/>
  <c r="B771" i="17"/>
  <c r="Y771" i="17" s="1"/>
  <c r="B772" i="17"/>
  <c r="Y772" i="17" s="1"/>
  <c r="B773" i="17"/>
  <c r="Y773" i="17" s="1"/>
  <c r="B774" i="17"/>
  <c r="Y774" i="17" s="1"/>
  <c r="B775" i="17"/>
  <c r="Y775" i="17" s="1"/>
  <c r="B776" i="17"/>
  <c r="Y776" i="17" s="1"/>
  <c r="B777" i="17"/>
  <c r="Y777" i="17" s="1"/>
  <c r="B778" i="17"/>
  <c r="Y778" i="17" s="1"/>
  <c r="B779" i="17"/>
  <c r="Y779" i="17" s="1"/>
  <c r="B780" i="17"/>
  <c r="Y780" i="17" s="1"/>
  <c r="B781" i="17"/>
  <c r="Y781" i="17" s="1"/>
  <c r="B782" i="17"/>
  <c r="Y782" i="17" s="1"/>
  <c r="B783" i="17"/>
  <c r="Y783" i="17" s="1"/>
  <c r="B784" i="17"/>
  <c r="Y784" i="17" s="1"/>
  <c r="B785" i="17"/>
  <c r="Y785" i="17" s="1"/>
  <c r="B786" i="17"/>
  <c r="Y786" i="17" s="1"/>
  <c r="B787" i="17"/>
  <c r="Y787" i="17" s="1"/>
  <c r="B788" i="17"/>
  <c r="Y788" i="17" s="1"/>
  <c r="B789" i="17"/>
  <c r="Y789" i="17" s="1"/>
  <c r="B790" i="17"/>
  <c r="Y790" i="17" s="1"/>
  <c r="B791" i="17"/>
  <c r="Y791" i="17" s="1"/>
  <c r="B792" i="17"/>
  <c r="Y792" i="17" s="1"/>
  <c r="B793" i="17"/>
  <c r="Y793" i="17" s="1"/>
  <c r="B794" i="17"/>
  <c r="Y794" i="17" s="1"/>
  <c r="B795" i="17"/>
  <c r="Y795" i="17" s="1"/>
  <c r="B796" i="17"/>
  <c r="Y796" i="17" s="1"/>
  <c r="B797" i="17"/>
  <c r="Y797" i="17" s="1"/>
  <c r="B798" i="17"/>
  <c r="Y798" i="17" s="1"/>
  <c r="B799" i="17"/>
  <c r="Y799" i="17" s="1"/>
  <c r="B800" i="17"/>
  <c r="Y800" i="17" s="1"/>
  <c r="B801" i="17"/>
  <c r="Y801" i="17" s="1"/>
  <c r="B802" i="17"/>
  <c r="Y802" i="17" s="1"/>
  <c r="B803" i="17"/>
  <c r="Y803" i="17" s="1"/>
  <c r="B804" i="17"/>
  <c r="Y804" i="17" s="1"/>
  <c r="B805" i="17"/>
  <c r="Y805" i="17" s="1"/>
  <c r="B806" i="17"/>
  <c r="Y806" i="17" s="1"/>
  <c r="B807" i="17"/>
  <c r="Y807" i="17" s="1"/>
  <c r="B808" i="17"/>
  <c r="Y808" i="17" s="1"/>
  <c r="B809" i="17"/>
  <c r="Y809" i="17" s="1"/>
  <c r="B810" i="17"/>
  <c r="Y810" i="17" s="1"/>
  <c r="B811" i="17"/>
  <c r="Y811" i="17" s="1"/>
  <c r="B812" i="17"/>
  <c r="Y812" i="17" s="1"/>
  <c r="B813" i="17"/>
  <c r="Y813" i="17" s="1"/>
  <c r="B814" i="17"/>
  <c r="Y814" i="17" s="1"/>
  <c r="B815" i="17"/>
  <c r="Y815" i="17" s="1"/>
  <c r="B816" i="17"/>
  <c r="Y816" i="17" s="1"/>
  <c r="B817" i="17"/>
  <c r="Y817" i="17" s="1"/>
  <c r="B818" i="17"/>
  <c r="Y818" i="17" s="1"/>
  <c r="B819" i="17"/>
  <c r="Y819" i="17" s="1"/>
  <c r="B820" i="17"/>
  <c r="Y820" i="17" s="1"/>
  <c r="B821" i="17"/>
  <c r="Y821" i="17" s="1"/>
  <c r="B822" i="17"/>
  <c r="Y822" i="17" s="1"/>
  <c r="B823" i="17"/>
  <c r="Y823" i="17" s="1"/>
  <c r="B824" i="17"/>
  <c r="Y824" i="17" s="1"/>
  <c r="B825" i="17"/>
  <c r="Y825" i="17" s="1"/>
  <c r="B826" i="17"/>
  <c r="Y826" i="17" s="1"/>
  <c r="B827" i="17"/>
  <c r="Y827" i="17" s="1"/>
  <c r="B828" i="17"/>
  <c r="Y828" i="17" s="1"/>
  <c r="B829" i="17"/>
  <c r="Y829" i="17" s="1"/>
  <c r="B830" i="17"/>
  <c r="Y830" i="17" s="1"/>
  <c r="B831" i="17"/>
  <c r="Y831" i="17" s="1"/>
  <c r="B832" i="17"/>
  <c r="Y832" i="17" s="1"/>
  <c r="B833" i="17"/>
  <c r="Y833" i="17" s="1"/>
  <c r="B834" i="17"/>
  <c r="Y834" i="17" s="1"/>
  <c r="B835" i="17"/>
  <c r="Y835" i="17" s="1"/>
  <c r="B836" i="17"/>
  <c r="Y836" i="17" s="1"/>
  <c r="B837" i="17"/>
  <c r="Y837" i="17" s="1"/>
  <c r="B838" i="17"/>
  <c r="Y838" i="17" s="1"/>
  <c r="B839" i="17"/>
  <c r="Y839" i="17" s="1"/>
  <c r="B840" i="17"/>
  <c r="Y840" i="17" s="1"/>
  <c r="B841" i="17"/>
  <c r="Y841" i="17" s="1"/>
  <c r="B842" i="17"/>
  <c r="Y842" i="17" s="1"/>
  <c r="B843" i="17"/>
  <c r="Y843" i="17" s="1"/>
  <c r="B844" i="17"/>
  <c r="Y844" i="17" s="1"/>
  <c r="B845" i="17"/>
  <c r="Y845" i="17" s="1"/>
  <c r="B846" i="17"/>
  <c r="Y846" i="17" s="1"/>
  <c r="B847" i="17"/>
  <c r="Y847" i="17" s="1"/>
  <c r="B848" i="17"/>
  <c r="Y848" i="17" s="1"/>
  <c r="B849" i="17"/>
  <c r="Y849" i="17" s="1"/>
  <c r="B850" i="17"/>
  <c r="Y850" i="17" s="1"/>
  <c r="B851" i="17"/>
  <c r="Y851" i="17" s="1"/>
  <c r="B852" i="17"/>
  <c r="Y852" i="17" s="1"/>
  <c r="B853" i="17"/>
  <c r="Y853" i="17" s="1"/>
  <c r="B854" i="17"/>
  <c r="Y854" i="17" s="1"/>
  <c r="B855" i="17"/>
  <c r="Y855" i="17" s="1"/>
  <c r="B856" i="17"/>
  <c r="Y856" i="17" s="1"/>
  <c r="B857" i="17"/>
  <c r="Y857" i="17" s="1"/>
  <c r="B858" i="17"/>
  <c r="Y858" i="17" s="1"/>
  <c r="B859" i="17"/>
  <c r="Y859" i="17" s="1"/>
  <c r="B860" i="17"/>
  <c r="Y860" i="17" s="1"/>
  <c r="B861" i="17"/>
  <c r="Y861" i="17" s="1"/>
  <c r="B862" i="17"/>
  <c r="Y862" i="17" s="1"/>
  <c r="B863" i="17"/>
  <c r="Y863" i="17" s="1"/>
  <c r="B864" i="17"/>
  <c r="Y864" i="17" s="1"/>
  <c r="B865" i="17"/>
  <c r="Y865" i="17" s="1"/>
  <c r="B866" i="17"/>
  <c r="Y866" i="17" s="1"/>
  <c r="B867" i="17"/>
  <c r="Y867" i="17" s="1"/>
  <c r="B868" i="17"/>
  <c r="Y868" i="17" s="1"/>
  <c r="B869" i="17"/>
  <c r="Y869" i="17" s="1"/>
  <c r="B870" i="17"/>
  <c r="Y870" i="17" s="1"/>
  <c r="B871" i="17"/>
  <c r="Y871" i="17" s="1"/>
  <c r="B872" i="17"/>
  <c r="Y872" i="17" s="1"/>
  <c r="B873" i="17"/>
  <c r="Y873" i="17" s="1"/>
  <c r="B874" i="17"/>
  <c r="Y874" i="17" s="1"/>
  <c r="B875" i="17"/>
  <c r="Y875" i="17" s="1"/>
  <c r="B876" i="17"/>
  <c r="Y876" i="17" s="1"/>
  <c r="B877" i="17"/>
  <c r="Y877" i="17" s="1"/>
  <c r="B878" i="17"/>
  <c r="Y878" i="17" s="1"/>
  <c r="B879" i="17"/>
  <c r="Y879" i="17" s="1"/>
  <c r="B880" i="17"/>
  <c r="Y880" i="17" s="1"/>
  <c r="B881" i="17"/>
  <c r="Y881" i="17" s="1"/>
  <c r="B882" i="17"/>
  <c r="Y882" i="17" s="1"/>
  <c r="B883" i="17"/>
  <c r="Y883" i="17" s="1"/>
  <c r="B884" i="17"/>
  <c r="Y884" i="17" s="1"/>
  <c r="B885" i="17"/>
  <c r="Y885" i="17" s="1"/>
  <c r="B886" i="17"/>
  <c r="Y886" i="17" s="1"/>
  <c r="B887" i="17"/>
  <c r="Y887" i="17" s="1"/>
  <c r="B888" i="17"/>
  <c r="Y888" i="17" s="1"/>
  <c r="B889" i="17"/>
  <c r="Y889" i="17" s="1"/>
  <c r="B890" i="17"/>
  <c r="Y890" i="17" s="1"/>
  <c r="B891" i="17"/>
  <c r="Y891" i="17" s="1"/>
  <c r="B892" i="17"/>
  <c r="Y892" i="17" s="1"/>
  <c r="B893" i="17"/>
  <c r="Y893" i="17" s="1"/>
  <c r="B894" i="17"/>
  <c r="Y894" i="17" s="1"/>
  <c r="B895" i="17"/>
  <c r="Y895" i="17" s="1"/>
  <c r="B896" i="17"/>
  <c r="Y896" i="17" s="1"/>
  <c r="B897" i="17"/>
  <c r="Y897" i="17" s="1"/>
  <c r="B898" i="17"/>
  <c r="Y898" i="17" s="1"/>
  <c r="B899" i="17"/>
  <c r="Y899" i="17" s="1"/>
  <c r="B900" i="17"/>
  <c r="Y900" i="17" s="1"/>
  <c r="B901" i="17"/>
  <c r="Y901" i="17" s="1"/>
  <c r="B902" i="17"/>
  <c r="Y902" i="17" s="1"/>
  <c r="B903" i="17"/>
  <c r="Y903" i="17" s="1"/>
  <c r="B904" i="17"/>
  <c r="Y904" i="17" s="1"/>
  <c r="B905" i="17"/>
  <c r="Y905" i="17" s="1"/>
  <c r="B906" i="17"/>
  <c r="Y906" i="17" s="1"/>
  <c r="B907" i="17"/>
  <c r="Y907" i="17" s="1"/>
  <c r="B908" i="17"/>
  <c r="Y908" i="17" s="1"/>
  <c r="B909" i="17"/>
  <c r="Y909" i="17" s="1"/>
  <c r="B910" i="17"/>
  <c r="Y910" i="17" s="1"/>
  <c r="B911" i="17"/>
  <c r="Y911" i="17" s="1"/>
  <c r="B912" i="17"/>
  <c r="Y912" i="17" s="1"/>
  <c r="B913" i="17"/>
  <c r="Y913" i="17" s="1"/>
  <c r="B914" i="17"/>
  <c r="Y914" i="17" s="1"/>
  <c r="B915" i="17"/>
  <c r="Y915" i="17" s="1"/>
  <c r="B916" i="17"/>
  <c r="Y916" i="17" s="1"/>
  <c r="B917" i="17"/>
  <c r="Y917" i="17" s="1"/>
  <c r="B918" i="17"/>
  <c r="Y918" i="17" s="1"/>
  <c r="B919" i="17"/>
  <c r="Y919" i="17" s="1"/>
  <c r="B920" i="17"/>
  <c r="Y920" i="17" s="1"/>
  <c r="B921" i="17"/>
  <c r="Y921" i="17" s="1"/>
  <c r="B922" i="17"/>
  <c r="Y922" i="17" s="1"/>
  <c r="B923" i="17"/>
  <c r="Y923" i="17" s="1"/>
  <c r="B924" i="17"/>
  <c r="Y924" i="17" s="1"/>
  <c r="B925" i="17"/>
  <c r="Y925" i="17" s="1"/>
  <c r="B926" i="17"/>
  <c r="Y926" i="17" s="1"/>
  <c r="B927" i="17"/>
  <c r="Y927" i="17" s="1"/>
  <c r="B928" i="17"/>
  <c r="Y928" i="17" s="1"/>
  <c r="B929" i="17"/>
  <c r="Y929" i="17" s="1"/>
  <c r="B930" i="17"/>
  <c r="Y930" i="17" s="1"/>
  <c r="B931" i="17"/>
  <c r="Y931" i="17" s="1"/>
  <c r="B932" i="17"/>
  <c r="Y932" i="17" s="1"/>
  <c r="B933" i="17"/>
  <c r="Y933" i="17" s="1"/>
  <c r="B934" i="17"/>
  <c r="Y934" i="17" s="1"/>
  <c r="B935" i="17"/>
  <c r="Y935" i="17" s="1"/>
  <c r="B936" i="17"/>
  <c r="Y936" i="17" s="1"/>
  <c r="B937" i="17"/>
  <c r="Y937" i="17" s="1"/>
  <c r="B938" i="17"/>
  <c r="Y938" i="17" s="1"/>
  <c r="B939" i="17"/>
  <c r="Y939" i="17" s="1"/>
  <c r="B940" i="17"/>
  <c r="Y940" i="17" s="1"/>
  <c r="B941" i="17"/>
  <c r="Y941" i="17" s="1"/>
  <c r="B942" i="17"/>
  <c r="Y942" i="17" s="1"/>
  <c r="B943" i="17"/>
  <c r="Y943" i="17" s="1"/>
  <c r="B944" i="17"/>
  <c r="Y944" i="17" s="1"/>
  <c r="B945" i="17"/>
  <c r="Y945" i="17" s="1"/>
  <c r="B946" i="17"/>
  <c r="Y946" i="17" s="1"/>
  <c r="B947" i="17"/>
  <c r="Y947" i="17" s="1"/>
  <c r="B948" i="17"/>
  <c r="Y948" i="17" s="1"/>
  <c r="B949" i="17"/>
  <c r="Y949" i="17" s="1"/>
  <c r="B950" i="17"/>
  <c r="Y950" i="17" s="1"/>
  <c r="B951" i="17"/>
  <c r="Y951" i="17" s="1"/>
  <c r="B952" i="17"/>
  <c r="Y952" i="17" s="1"/>
  <c r="B953" i="17"/>
  <c r="Y953" i="17" s="1"/>
  <c r="B954" i="17"/>
  <c r="Y954" i="17" s="1"/>
  <c r="B955" i="17"/>
  <c r="Y955" i="17" s="1"/>
  <c r="B956" i="17"/>
  <c r="Y956" i="17" s="1"/>
  <c r="B957" i="17"/>
  <c r="Y957" i="17" s="1"/>
  <c r="B958" i="17"/>
  <c r="Y958" i="17" s="1"/>
  <c r="B959" i="17"/>
  <c r="Y959" i="17" s="1"/>
  <c r="B960" i="17"/>
  <c r="Y960" i="17" s="1"/>
  <c r="B961" i="17"/>
  <c r="Y961" i="17" s="1"/>
  <c r="B962" i="17"/>
  <c r="Y962" i="17" s="1"/>
  <c r="B963" i="17"/>
  <c r="Y963" i="17" s="1"/>
  <c r="B964" i="17"/>
  <c r="Y964" i="17" s="1"/>
  <c r="B965" i="17"/>
  <c r="Y965" i="17" s="1"/>
  <c r="B966" i="17"/>
  <c r="Y966" i="17" s="1"/>
  <c r="B967" i="17"/>
  <c r="Y967" i="17" s="1"/>
  <c r="B968" i="17"/>
  <c r="Y968" i="17" s="1"/>
  <c r="B969" i="17"/>
  <c r="Y969" i="17" s="1"/>
  <c r="B970" i="17"/>
  <c r="Y970" i="17" s="1"/>
  <c r="B971" i="17"/>
  <c r="Y971" i="17" s="1"/>
  <c r="B972" i="17"/>
  <c r="Y972" i="17" s="1"/>
  <c r="B973" i="17"/>
  <c r="Y973" i="17" s="1"/>
  <c r="B974" i="17"/>
  <c r="Y974" i="17" s="1"/>
  <c r="B975" i="17"/>
  <c r="Y975" i="17" s="1"/>
  <c r="B976" i="17"/>
  <c r="Y976" i="17" s="1"/>
  <c r="B977" i="17"/>
  <c r="Y977" i="17" s="1"/>
  <c r="B978" i="17"/>
  <c r="Y978" i="17" s="1"/>
  <c r="B979" i="17"/>
  <c r="Y979" i="17" s="1"/>
  <c r="B980" i="17"/>
  <c r="Y980" i="17" s="1"/>
  <c r="B981" i="17"/>
  <c r="Y981" i="17" s="1"/>
  <c r="B982" i="17"/>
  <c r="Y982" i="17" s="1"/>
  <c r="B983" i="17"/>
  <c r="Y983" i="17" s="1"/>
  <c r="B984" i="17"/>
  <c r="Y984" i="17" s="1"/>
  <c r="B985" i="17"/>
  <c r="Y985" i="17" s="1"/>
  <c r="B986" i="17"/>
  <c r="Y986" i="17" s="1"/>
  <c r="B987" i="17"/>
  <c r="Y987" i="17" s="1"/>
  <c r="B988" i="17"/>
  <c r="Y988" i="17" s="1"/>
  <c r="B989" i="17"/>
  <c r="Y989" i="17" s="1"/>
  <c r="B990" i="17"/>
  <c r="Y990" i="17" s="1"/>
  <c r="B991" i="17"/>
  <c r="Y991" i="17" s="1"/>
  <c r="B992" i="17"/>
  <c r="Y992" i="17" s="1"/>
  <c r="B993" i="17"/>
  <c r="Y993" i="17" s="1"/>
  <c r="B994" i="17"/>
  <c r="Y994" i="17" s="1"/>
  <c r="B995" i="17"/>
  <c r="Y995" i="17" s="1"/>
  <c r="B996" i="17"/>
  <c r="Y996" i="17" s="1"/>
  <c r="B997" i="17"/>
  <c r="Y997" i="17" s="1"/>
  <c r="B998" i="17"/>
  <c r="Y998" i="17" s="1"/>
  <c r="B999" i="17"/>
  <c r="Y999" i="17" s="1"/>
  <c r="B1000" i="17"/>
  <c r="Y1000" i="17" s="1"/>
  <c r="B1001" i="17"/>
  <c r="Y1001" i="17" s="1"/>
  <c r="B1002" i="17"/>
  <c r="Y1002" i="17" s="1"/>
  <c r="B1003" i="17"/>
  <c r="Y1003" i="17" s="1"/>
  <c r="B1004" i="17"/>
  <c r="Y1004" i="17" s="1"/>
  <c r="B1005" i="17"/>
  <c r="Y1005" i="17" s="1"/>
  <c r="B1006" i="17"/>
  <c r="Y1006" i="17" s="1"/>
  <c r="B1007" i="17"/>
  <c r="Y1007" i="17" s="1"/>
  <c r="B1008" i="17"/>
  <c r="Y1008" i="17" s="1"/>
  <c r="B1009" i="17"/>
  <c r="Y1009" i="17" s="1"/>
  <c r="B1010" i="17"/>
  <c r="Y1010" i="17" s="1"/>
  <c r="B1011" i="17"/>
  <c r="Y1011" i="17" s="1"/>
  <c r="B1012" i="17"/>
  <c r="Y1012" i="17" s="1"/>
  <c r="B1013" i="17"/>
  <c r="Y1013" i="17" s="1"/>
  <c r="B1014" i="17"/>
  <c r="Y1014" i="17" s="1"/>
  <c r="B1015" i="17"/>
  <c r="Y1015" i="17" s="1"/>
  <c r="B1016" i="17"/>
  <c r="Y1016" i="17" s="1"/>
  <c r="B1017" i="17"/>
  <c r="Y1017" i="17" s="1"/>
  <c r="B1018" i="17"/>
  <c r="Y1018" i="17" s="1"/>
  <c r="B1019" i="17"/>
  <c r="Y1019" i="17" s="1"/>
  <c r="B1020" i="17"/>
  <c r="Y1020" i="17" s="1"/>
  <c r="B1021" i="17"/>
  <c r="Y1021" i="17" s="1"/>
  <c r="B1022" i="17"/>
  <c r="Y1022" i="17" s="1"/>
  <c r="B1023" i="17"/>
  <c r="Y1023" i="17" s="1"/>
  <c r="B1024" i="17"/>
  <c r="Y1024" i="17" s="1"/>
  <c r="B1025" i="17"/>
  <c r="Y1025" i="17" s="1"/>
  <c r="B1026" i="17"/>
  <c r="Y1026" i="17" s="1"/>
  <c r="B1027" i="17"/>
  <c r="Y1027" i="17" s="1"/>
  <c r="B1028" i="17"/>
  <c r="Y1028" i="17" s="1"/>
  <c r="B1029" i="17"/>
  <c r="Y1029" i="17" s="1"/>
  <c r="B1030" i="17"/>
  <c r="Y1030" i="17" s="1"/>
  <c r="B1031" i="17"/>
  <c r="Y1031" i="17" s="1"/>
  <c r="B1032" i="17"/>
  <c r="Y1032" i="17" s="1"/>
  <c r="B1033" i="17"/>
  <c r="Y1033" i="17" s="1"/>
  <c r="B1034" i="17"/>
  <c r="Y1034" i="17" s="1"/>
  <c r="B1035" i="17"/>
  <c r="Y1035" i="17" s="1"/>
  <c r="B1036" i="17"/>
  <c r="Y1036" i="17" s="1"/>
  <c r="B1037" i="17"/>
  <c r="Y1037" i="17" s="1"/>
  <c r="B1038" i="17"/>
  <c r="Y1038" i="17" s="1"/>
  <c r="B1039" i="17"/>
  <c r="Y1039" i="17" s="1"/>
  <c r="B1040" i="17"/>
  <c r="Y1040" i="17" s="1"/>
  <c r="B1041" i="17"/>
  <c r="Y1041" i="17" s="1"/>
  <c r="B1042" i="17"/>
  <c r="Y1042" i="17" s="1"/>
  <c r="B1043" i="17"/>
  <c r="Y1043" i="17" s="1"/>
  <c r="B1044" i="17"/>
  <c r="Y1044" i="17" s="1"/>
  <c r="B1045" i="17"/>
  <c r="Y1045" i="17" s="1"/>
  <c r="B1046" i="17"/>
  <c r="Y1046" i="17" s="1"/>
  <c r="B1047" i="17"/>
  <c r="Y1047" i="17" s="1"/>
  <c r="B1048" i="17"/>
  <c r="Y1048" i="17" s="1"/>
  <c r="B1049" i="17"/>
  <c r="Y1049" i="17" s="1"/>
  <c r="B1050" i="17"/>
  <c r="Y1050" i="17" s="1"/>
  <c r="B1051" i="17"/>
  <c r="Y1051" i="17" s="1"/>
  <c r="B1052" i="17"/>
  <c r="Y1052" i="17" s="1"/>
  <c r="B1053" i="17"/>
  <c r="Y1053" i="17" s="1"/>
  <c r="B1054" i="17"/>
  <c r="Y1054" i="17" s="1"/>
  <c r="B1055" i="17"/>
  <c r="Y1055" i="17" s="1"/>
  <c r="B1056" i="17"/>
  <c r="Y1056" i="17" s="1"/>
  <c r="B1057" i="17"/>
  <c r="Y1057" i="17" s="1"/>
  <c r="B1058" i="17"/>
  <c r="Y1058" i="17" s="1"/>
  <c r="B1059" i="17"/>
  <c r="Y1059" i="17" s="1"/>
  <c r="B1060" i="17"/>
  <c r="Y1060" i="17" s="1"/>
  <c r="B1061" i="17"/>
  <c r="Y1061" i="17" s="1"/>
  <c r="B1062" i="17"/>
  <c r="Y1062" i="17" s="1"/>
  <c r="B1063" i="17"/>
  <c r="Y1063" i="17" s="1"/>
  <c r="B1064" i="17"/>
  <c r="Y1064" i="17" s="1"/>
  <c r="B1065" i="17"/>
  <c r="Y1065" i="17" s="1"/>
  <c r="B1066" i="17"/>
  <c r="Y1066" i="17" s="1"/>
  <c r="B1067" i="17"/>
  <c r="Y1067" i="17" s="1"/>
  <c r="B1068" i="17"/>
  <c r="Y1068" i="17" s="1"/>
  <c r="B1069" i="17"/>
  <c r="Y1069" i="17" s="1"/>
  <c r="B1070" i="17"/>
  <c r="Y1070" i="17" s="1"/>
  <c r="B1071" i="17"/>
  <c r="Y1071" i="17" s="1"/>
  <c r="B1072" i="17"/>
  <c r="Y1072" i="17" s="1"/>
  <c r="B1073" i="17"/>
  <c r="Y1073" i="17" s="1"/>
  <c r="B1074" i="17"/>
  <c r="Y1074" i="17" s="1"/>
  <c r="B1075" i="17"/>
  <c r="Y1075" i="17" s="1"/>
  <c r="B1076" i="17"/>
  <c r="Y1076" i="17" s="1"/>
  <c r="B1077" i="17"/>
  <c r="Y1077" i="17" s="1"/>
  <c r="B1078" i="17"/>
  <c r="Y1078" i="17" s="1"/>
  <c r="B1079" i="17"/>
  <c r="Y1079" i="17" s="1"/>
  <c r="B1080" i="17"/>
  <c r="Y1080" i="17" s="1"/>
  <c r="B1081" i="17"/>
  <c r="Y1081" i="17" s="1"/>
  <c r="B1082" i="17"/>
  <c r="Y1082" i="17" s="1"/>
  <c r="B1083" i="17"/>
  <c r="Y1083" i="17" s="1"/>
  <c r="B1084" i="17"/>
  <c r="Y1084" i="17" s="1"/>
  <c r="B1085" i="17"/>
  <c r="Y1085" i="17" s="1"/>
  <c r="B1086" i="17"/>
  <c r="Y1086" i="17" s="1"/>
  <c r="B1087" i="17"/>
  <c r="Y1087" i="17" s="1"/>
  <c r="B1088" i="17"/>
  <c r="Y1088" i="17" s="1"/>
  <c r="B1089" i="17"/>
  <c r="Y1089" i="17" s="1"/>
  <c r="B1090" i="17"/>
  <c r="Y1090" i="17" s="1"/>
  <c r="B1091" i="17"/>
  <c r="Y1091" i="17" s="1"/>
  <c r="B1092" i="17"/>
  <c r="Y1092" i="17" s="1"/>
  <c r="B1093" i="17"/>
  <c r="Y1093" i="17" s="1"/>
  <c r="B1094" i="17"/>
  <c r="Y1094" i="17" s="1"/>
  <c r="B1095" i="17"/>
  <c r="Y1095" i="17" s="1"/>
  <c r="B1096" i="17"/>
  <c r="Y1096" i="17" s="1"/>
  <c r="B1097" i="17"/>
  <c r="Y1097" i="17" s="1"/>
  <c r="B1098" i="17"/>
  <c r="Y1098" i="17" s="1"/>
  <c r="B1099" i="17"/>
  <c r="Y1099" i="17" s="1"/>
  <c r="B1100" i="17"/>
  <c r="Y1100" i="17" s="1"/>
  <c r="B1101" i="17"/>
  <c r="Y1101" i="17" s="1"/>
  <c r="B1102" i="17"/>
  <c r="Y1102" i="17" s="1"/>
  <c r="B1103" i="17"/>
  <c r="Y1103" i="17" s="1"/>
  <c r="B1104" i="17"/>
  <c r="Y1104" i="17" s="1"/>
  <c r="B1105" i="17"/>
  <c r="Y1105" i="17" s="1"/>
  <c r="B1106" i="17"/>
  <c r="Y1106" i="17" s="1"/>
  <c r="B1107" i="17"/>
  <c r="Y1107" i="17" s="1"/>
  <c r="B1108" i="17"/>
  <c r="Y1108" i="17" s="1"/>
  <c r="B1109" i="17"/>
  <c r="Y1109" i="17" s="1"/>
  <c r="B1110" i="17"/>
  <c r="Y1110" i="17" s="1"/>
  <c r="B1111" i="17"/>
  <c r="Y1111" i="17" s="1"/>
  <c r="B1112" i="17"/>
  <c r="Y1112" i="17" s="1"/>
  <c r="B1113" i="17"/>
  <c r="Y1113" i="17" s="1"/>
  <c r="B1114" i="17"/>
  <c r="Y1114" i="17" s="1"/>
  <c r="B1115" i="17"/>
  <c r="Y1115" i="17" s="1"/>
  <c r="B1116" i="17"/>
  <c r="Y1116" i="17" s="1"/>
  <c r="B1117" i="17"/>
  <c r="Y1117" i="17" s="1"/>
  <c r="B1118" i="17"/>
  <c r="Y1118" i="17" s="1"/>
  <c r="B1119" i="17"/>
  <c r="Y1119" i="17" s="1"/>
  <c r="B1120" i="17"/>
  <c r="Y1120" i="17" s="1"/>
  <c r="B1121" i="17"/>
  <c r="Y1121" i="17" s="1"/>
  <c r="B1122" i="17"/>
  <c r="Y1122" i="17" s="1"/>
  <c r="B1123" i="17"/>
  <c r="Y1123" i="17" s="1"/>
  <c r="B1124" i="17"/>
  <c r="Y1124" i="17" s="1"/>
  <c r="B1125" i="17"/>
  <c r="Y1125" i="17" s="1"/>
  <c r="B1126" i="17"/>
  <c r="Y1126" i="17" s="1"/>
  <c r="B1127" i="17"/>
  <c r="Y1127" i="17" s="1"/>
  <c r="B1128" i="17"/>
  <c r="Y1128" i="17" s="1"/>
  <c r="B1129" i="17"/>
  <c r="Y1129" i="17" s="1"/>
  <c r="B1130" i="17"/>
  <c r="Y1130" i="17" s="1"/>
  <c r="B1131" i="17"/>
  <c r="Y1131" i="17" s="1"/>
  <c r="B1132" i="17"/>
  <c r="Y1132" i="17" s="1"/>
  <c r="B1133" i="17"/>
  <c r="Y1133" i="17" s="1"/>
  <c r="B1134" i="17"/>
  <c r="Y1134" i="17" s="1"/>
  <c r="B1135" i="17"/>
  <c r="Y1135" i="17" s="1"/>
  <c r="B1136" i="17"/>
  <c r="Y1136" i="17" s="1"/>
  <c r="B1137" i="17"/>
  <c r="Y1137" i="17" s="1"/>
  <c r="B1138" i="17"/>
  <c r="Y1138" i="17" s="1"/>
  <c r="B1139" i="17"/>
  <c r="Y1139" i="17" s="1"/>
  <c r="B1140" i="17"/>
  <c r="Y1140" i="17" s="1"/>
  <c r="B1141" i="17"/>
  <c r="Y1141" i="17" s="1"/>
  <c r="B1142" i="17"/>
  <c r="Y1142" i="17" s="1"/>
  <c r="B1143" i="17"/>
  <c r="Y1143" i="17" s="1"/>
  <c r="B1144" i="17"/>
  <c r="Y1144" i="17" s="1"/>
  <c r="B1145" i="17"/>
  <c r="Y1145" i="17" s="1"/>
  <c r="B1146" i="17"/>
  <c r="Y1146" i="17" s="1"/>
  <c r="B1147" i="17"/>
  <c r="Y1147" i="17" s="1"/>
  <c r="B1148" i="17"/>
  <c r="Y1148" i="17" s="1"/>
  <c r="B1149" i="17"/>
  <c r="Y1149" i="17" s="1"/>
  <c r="B1150" i="17"/>
  <c r="Y1150" i="17" s="1"/>
  <c r="B1151" i="17"/>
  <c r="Y1151" i="17" s="1"/>
  <c r="B1152" i="17"/>
  <c r="Y1152" i="17" s="1"/>
  <c r="B1153" i="17"/>
  <c r="Y1153" i="17" s="1"/>
  <c r="B1154" i="17"/>
  <c r="Y1154" i="17" s="1"/>
  <c r="B1155" i="17"/>
  <c r="Y1155" i="17" s="1"/>
  <c r="B1156" i="17"/>
  <c r="Y1156" i="17" s="1"/>
  <c r="B1157" i="17"/>
  <c r="Y1157" i="17" s="1"/>
  <c r="B1158" i="17"/>
  <c r="Y1158" i="17" s="1"/>
  <c r="B1159" i="17"/>
  <c r="Y1159" i="17" s="1"/>
  <c r="B1160" i="17"/>
  <c r="Y1160" i="17" s="1"/>
  <c r="B1161" i="17"/>
  <c r="Y1161" i="17" s="1"/>
  <c r="B1162" i="17"/>
  <c r="Y1162" i="17" s="1"/>
  <c r="B1163" i="17"/>
  <c r="Y1163" i="17" s="1"/>
  <c r="B1164" i="17"/>
  <c r="Y1164" i="17" s="1"/>
  <c r="B1165" i="17"/>
  <c r="Y1165" i="17" s="1"/>
  <c r="B1166" i="17"/>
  <c r="Y1166" i="17" s="1"/>
  <c r="B1167" i="17"/>
  <c r="Y1167" i="17" s="1"/>
  <c r="B1168" i="17"/>
  <c r="Y1168" i="17" s="1"/>
  <c r="B1169" i="17"/>
  <c r="Y1169" i="17" s="1"/>
  <c r="B1170" i="17"/>
  <c r="Y1170" i="17" s="1"/>
  <c r="B1171" i="17"/>
  <c r="Y1171" i="17" s="1"/>
  <c r="B1172" i="17"/>
  <c r="Y1172" i="17" s="1"/>
  <c r="B1173" i="17"/>
  <c r="Y1173" i="17" s="1"/>
  <c r="B1174" i="17"/>
  <c r="Y1174" i="17" s="1"/>
  <c r="B1175" i="17"/>
  <c r="Y1175" i="17" s="1"/>
  <c r="B1176" i="17"/>
  <c r="Y1176" i="17" s="1"/>
  <c r="B1177" i="17"/>
  <c r="Y1177" i="17" s="1"/>
  <c r="B1178" i="17"/>
  <c r="Y1178" i="17" s="1"/>
  <c r="B1179" i="17"/>
  <c r="Y1179" i="17" s="1"/>
  <c r="B1180" i="17"/>
  <c r="Y1180" i="17" s="1"/>
  <c r="B1181" i="17"/>
  <c r="Y1181" i="17" s="1"/>
  <c r="B1182" i="17"/>
  <c r="Y1182" i="17" s="1"/>
  <c r="B1183" i="17"/>
  <c r="Y1183" i="17" s="1"/>
  <c r="B1184" i="17"/>
  <c r="Y1184" i="17" s="1"/>
  <c r="B1185" i="17"/>
  <c r="Y1185" i="17" s="1"/>
  <c r="B1186" i="17"/>
  <c r="Y1186" i="17" s="1"/>
  <c r="B1187" i="17"/>
  <c r="Y1187" i="17" s="1"/>
  <c r="B1188" i="17"/>
  <c r="Y1188" i="17" s="1"/>
  <c r="B1189" i="17"/>
  <c r="Y1189" i="17" s="1"/>
  <c r="B1190" i="17"/>
  <c r="Y1190" i="17" s="1"/>
  <c r="B1191" i="17"/>
  <c r="Y1191" i="17" s="1"/>
  <c r="B1192" i="17"/>
  <c r="Y1192" i="17" s="1"/>
  <c r="B1193" i="17"/>
  <c r="Y1193" i="17" s="1"/>
  <c r="B1194" i="17"/>
  <c r="Y1194" i="17" s="1"/>
  <c r="B1195" i="17"/>
  <c r="Y1195" i="17" s="1"/>
  <c r="B1196" i="17"/>
  <c r="Y1196" i="17" s="1"/>
  <c r="B1197" i="17"/>
  <c r="Y1197" i="17" s="1"/>
  <c r="B1198" i="17"/>
  <c r="Y1198" i="17" s="1"/>
  <c r="B1199" i="17"/>
  <c r="Y1199" i="17" s="1"/>
  <c r="B1200" i="17"/>
  <c r="Y1200" i="17" s="1"/>
  <c r="B1201" i="17"/>
  <c r="Y1201" i="17" s="1"/>
  <c r="B1202" i="17"/>
  <c r="Y1202" i="17" s="1"/>
  <c r="B1203" i="17"/>
  <c r="Y1203" i="17" s="1"/>
  <c r="B1204" i="17"/>
  <c r="Y1204" i="17" s="1"/>
  <c r="B1205" i="17"/>
  <c r="Y1205" i="17" s="1"/>
  <c r="B1206" i="17"/>
  <c r="Y1206" i="17" s="1"/>
  <c r="B1207" i="17"/>
  <c r="Y1207" i="17" s="1"/>
  <c r="B1208" i="17"/>
  <c r="Y1208" i="17" s="1"/>
  <c r="B1209" i="17"/>
  <c r="Y1209" i="17" s="1"/>
  <c r="B1210" i="17"/>
  <c r="Y1210" i="17" s="1"/>
  <c r="B1211" i="17"/>
  <c r="Y1211" i="17" s="1"/>
  <c r="B1212" i="17"/>
  <c r="Y1212" i="17" s="1"/>
  <c r="B1213" i="17"/>
  <c r="Y1213" i="17" s="1"/>
  <c r="B1214" i="17"/>
  <c r="Y1214" i="17" s="1"/>
  <c r="B1215" i="17"/>
  <c r="Y1215" i="17" s="1"/>
  <c r="B1216" i="17"/>
  <c r="Y1216" i="17" s="1"/>
  <c r="B1217" i="17"/>
  <c r="Y1217" i="17" s="1"/>
  <c r="B1218" i="17"/>
  <c r="Y1218" i="17" s="1"/>
  <c r="B1219" i="17"/>
  <c r="Y1219" i="17" s="1"/>
  <c r="B1220" i="17"/>
  <c r="Y1220" i="17" s="1"/>
  <c r="B1221" i="17"/>
  <c r="Y1221" i="17" s="1"/>
  <c r="B1222" i="17"/>
  <c r="Y1222" i="17" s="1"/>
  <c r="B1223" i="17"/>
  <c r="Y1223" i="17" s="1"/>
  <c r="B1224" i="17"/>
  <c r="Y1224" i="17" s="1"/>
  <c r="B1225" i="17"/>
  <c r="Y1225" i="17" s="1"/>
  <c r="B1226" i="17"/>
  <c r="Y1226" i="17" s="1"/>
  <c r="B1227" i="17"/>
  <c r="Y1227" i="17" s="1"/>
  <c r="B1228" i="17"/>
  <c r="Y1228" i="17" s="1"/>
  <c r="B1229" i="17"/>
  <c r="Y1229" i="17" s="1"/>
  <c r="B1230" i="17"/>
  <c r="Y1230" i="17" s="1"/>
  <c r="B1231" i="17"/>
  <c r="Y1231" i="17" s="1"/>
  <c r="B1232" i="17"/>
  <c r="Y1232" i="17" s="1"/>
  <c r="B1233" i="17"/>
  <c r="Y1233" i="17" s="1"/>
  <c r="B1234" i="17"/>
  <c r="Y1234" i="17" s="1"/>
  <c r="B1235" i="17"/>
  <c r="Y1235" i="17" s="1"/>
  <c r="B1236" i="17"/>
  <c r="Y1236" i="17" s="1"/>
  <c r="B1237" i="17"/>
  <c r="Y1237" i="17" s="1"/>
  <c r="B1238" i="17"/>
  <c r="Y1238" i="17" s="1"/>
  <c r="B1239" i="17"/>
  <c r="Y1239" i="17" s="1"/>
  <c r="B1240" i="17"/>
  <c r="Y1240" i="17" s="1"/>
  <c r="B1241" i="17"/>
  <c r="Y1241" i="17" s="1"/>
  <c r="B1242" i="17"/>
  <c r="Y1242" i="17" s="1"/>
  <c r="B1243" i="17"/>
  <c r="Y1243" i="17" s="1"/>
  <c r="B1244" i="17"/>
  <c r="Y1244" i="17" s="1"/>
  <c r="B1245" i="17"/>
  <c r="Y1245" i="17" s="1"/>
  <c r="B1246" i="17"/>
  <c r="Y1246" i="17" s="1"/>
  <c r="B1247" i="17"/>
  <c r="Y1247" i="17" s="1"/>
  <c r="B1248" i="17"/>
  <c r="Y1248" i="17" s="1"/>
  <c r="B1249" i="17"/>
  <c r="Y1249" i="17" s="1"/>
  <c r="B1250" i="17"/>
  <c r="Y1250" i="17" s="1"/>
  <c r="B1251" i="17"/>
  <c r="Y1251" i="17" s="1"/>
  <c r="B1252" i="17"/>
  <c r="Y1252" i="17" s="1"/>
  <c r="B1253" i="17"/>
  <c r="Y1253" i="17" s="1"/>
  <c r="B1254" i="17"/>
  <c r="Y1254" i="17" s="1"/>
  <c r="B1255" i="17"/>
  <c r="Y1255" i="17" s="1"/>
  <c r="B1256" i="17"/>
  <c r="Y1256" i="17" s="1"/>
  <c r="B1257" i="17"/>
  <c r="Y1257" i="17" s="1"/>
  <c r="B1258" i="17"/>
  <c r="Y1258" i="17" s="1"/>
  <c r="B1259" i="17"/>
  <c r="Y1259" i="17" s="1"/>
  <c r="B1260" i="17"/>
  <c r="Y1260" i="17" s="1"/>
  <c r="B1261" i="17"/>
  <c r="Y1261" i="17" s="1"/>
  <c r="B1262" i="17"/>
  <c r="Y1262" i="17" s="1"/>
  <c r="B1263" i="17"/>
  <c r="Y1263" i="17" s="1"/>
  <c r="B1264" i="17"/>
  <c r="Y1264" i="17" s="1"/>
  <c r="B1265" i="17"/>
  <c r="Y1265" i="17" s="1"/>
  <c r="B1266" i="17"/>
  <c r="Y1266" i="17" s="1"/>
  <c r="B1267" i="17"/>
  <c r="Y1267" i="17" s="1"/>
  <c r="B1268" i="17"/>
  <c r="Y1268" i="17" s="1"/>
  <c r="B1269" i="17"/>
  <c r="Y1269" i="17" s="1"/>
  <c r="B1270" i="17"/>
  <c r="Y1270" i="17" s="1"/>
  <c r="B1271" i="17"/>
  <c r="Y1271" i="17" s="1"/>
  <c r="B1272" i="17"/>
  <c r="Y1272" i="17" s="1"/>
  <c r="B1273" i="17"/>
  <c r="Y1273" i="17" s="1"/>
  <c r="B1274" i="17"/>
  <c r="Y1274" i="17" s="1"/>
  <c r="B1275" i="17"/>
  <c r="Y1275" i="17" s="1"/>
  <c r="B1276" i="17"/>
  <c r="Y1276" i="17" s="1"/>
  <c r="B1277" i="17"/>
  <c r="Y1277" i="17" s="1"/>
  <c r="B1278" i="17"/>
  <c r="Y1278" i="17" s="1"/>
  <c r="B1279" i="17"/>
  <c r="Y1279" i="17" s="1"/>
  <c r="B1280" i="17"/>
  <c r="Y1280" i="17" s="1"/>
  <c r="B1281" i="17"/>
  <c r="Y1281" i="17" s="1"/>
  <c r="B1282" i="17"/>
  <c r="Y1282" i="17" s="1"/>
  <c r="B1283" i="17"/>
  <c r="Y1283" i="17" s="1"/>
  <c r="B1284" i="17"/>
  <c r="Y1284" i="17" s="1"/>
  <c r="B1285" i="17"/>
  <c r="Y1285" i="17" s="1"/>
  <c r="B1286" i="17"/>
  <c r="Y1286" i="17" s="1"/>
  <c r="B1287" i="17"/>
  <c r="Y1287" i="17" s="1"/>
  <c r="B1288" i="17"/>
  <c r="Y1288" i="17" s="1"/>
  <c r="B1289" i="17"/>
  <c r="Y1289" i="17" s="1"/>
  <c r="B1290" i="17"/>
  <c r="Y1290" i="17" s="1"/>
  <c r="B1291" i="17"/>
  <c r="Y1291" i="17" s="1"/>
  <c r="B1292" i="17"/>
  <c r="Y1292" i="17" s="1"/>
  <c r="B1293" i="17"/>
  <c r="Y1293" i="17" s="1"/>
  <c r="B1294" i="17"/>
  <c r="Y1294" i="17" s="1"/>
  <c r="B1295" i="17"/>
  <c r="Y1295" i="17" s="1"/>
  <c r="B1296" i="17"/>
  <c r="Y1296" i="17" s="1"/>
  <c r="B1297" i="17"/>
  <c r="Y1297" i="17" s="1"/>
  <c r="B1298" i="17"/>
  <c r="Y1298" i="17" s="1"/>
  <c r="B1299" i="17"/>
  <c r="Y1299" i="17" s="1"/>
  <c r="B1300" i="17"/>
  <c r="Y1300" i="17" s="1"/>
  <c r="B1301" i="17"/>
  <c r="Y1301" i="17" s="1"/>
  <c r="B1302" i="17"/>
  <c r="Y1302" i="17" s="1"/>
  <c r="B1303" i="17"/>
  <c r="Y1303" i="17" s="1"/>
  <c r="B1304" i="17"/>
  <c r="Y1304" i="17" s="1"/>
  <c r="B1305" i="17"/>
  <c r="Y1305" i="17" s="1"/>
  <c r="B1306" i="17"/>
  <c r="Y1306" i="17" s="1"/>
  <c r="B1307" i="17"/>
  <c r="Y1307" i="17" s="1"/>
  <c r="B1308" i="17"/>
  <c r="Y1308" i="17" s="1"/>
  <c r="B1309" i="17"/>
  <c r="Y1309" i="17" s="1"/>
  <c r="B1310" i="17"/>
  <c r="Y1310" i="17" s="1"/>
  <c r="B1311" i="17"/>
  <c r="Y1311" i="17" s="1"/>
  <c r="B1312" i="17"/>
  <c r="Y1312" i="17" s="1"/>
  <c r="B1313" i="17"/>
  <c r="Y1313" i="17" s="1"/>
  <c r="B1314" i="17"/>
  <c r="Y1314" i="17" s="1"/>
  <c r="B1315" i="17"/>
  <c r="Y1315" i="17" s="1"/>
  <c r="B1316" i="17"/>
  <c r="Y1316" i="17" s="1"/>
  <c r="B1317" i="17"/>
  <c r="Y1317" i="17" s="1"/>
  <c r="B1318" i="17"/>
  <c r="Y1318" i="17" s="1"/>
  <c r="B1319" i="17"/>
  <c r="Y1319" i="17" s="1"/>
  <c r="B1320" i="17"/>
  <c r="Y1320" i="17" s="1"/>
  <c r="B1321" i="17"/>
  <c r="Y1321" i="17" s="1"/>
  <c r="B1322" i="17"/>
  <c r="Y1322" i="17" s="1"/>
  <c r="B1323" i="17"/>
  <c r="Y1323" i="17" s="1"/>
  <c r="B1324" i="17"/>
  <c r="Y1324" i="17" s="1"/>
  <c r="B1325" i="17"/>
  <c r="Y1325" i="17" s="1"/>
  <c r="B1326" i="17"/>
  <c r="Y1326" i="17" s="1"/>
  <c r="B1327" i="17"/>
  <c r="Y1327" i="17" s="1"/>
  <c r="B1328" i="17"/>
  <c r="Y1328" i="17" s="1"/>
  <c r="B1329" i="17"/>
  <c r="Y1329" i="17" s="1"/>
  <c r="B1330" i="17"/>
  <c r="Y1330" i="17" s="1"/>
  <c r="B1331" i="17"/>
  <c r="Y1331" i="17" s="1"/>
  <c r="B1332" i="17"/>
  <c r="Y1332" i="17" s="1"/>
  <c r="B1333" i="17"/>
  <c r="Y1333" i="17" s="1"/>
  <c r="B1334" i="17"/>
  <c r="Y1334" i="17" s="1"/>
  <c r="B1335" i="17"/>
  <c r="Y1335" i="17" s="1"/>
  <c r="B1336" i="17"/>
  <c r="Y1336" i="17" s="1"/>
  <c r="B1337" i="17"/>
  <c r="Y1337" i="17" s="1"/>
  <c r="B1338" i="17"/>
  <c r="Y1338" i="17" s="1"/>
  <c r="B1339" i="17"/>
  <c r="Y1339" i="17" s="1"/>
  <c r="B1340" i="17"/>
  <c r="Y1340" i="17" s="1"/>
  <c r="B1341" i="17"/>
  <c r="Y1341" i="17" s="1"/>
  <c r="B1342" i="17"/>
  <c r="Y1342" i="17" s="1"/>
  <c r="B1343" i="17"/>
  <c r="Y1343" i="17" s="1"/>
  <c r="B1344" i="17"/>
  <c r="Y1344" i="17" s="1"/>
  <c r="B1345" i="17"/>
  <c r="Y1345" i="17" s="1"/>
  <c r="B1346" i="17"/>
  <c r="Y1346" i="17" s="1"/>
  <c r="B1347" i="17"/>
  <c r="Y1347" i="17" s="1"/>
  <c r="B1348" i="17"/>
  <c r="Y1348" i="17" s="1"/>
  <c r="B1349" i="17"/>
  <c r="Y1349" i="17" s="1"/>
  <c r="B1350" i="17"/>
  <c r="Y1350" i="17" s="1"/>
  <c r="B1351" i="17"/>
  <c r="Y1351" i="17" s="1"/>
  <c r="B1352" i="17"/>
  <c r="Y1352" i="17" s="1"/>
  <c r="B1353" i="17"/>
  <c r="Y1353" i="17" s="1"/>
  <c r="B1354" i="17"/>
  <c r="Y1354" i="17" s="1"/>
  <c r="B1355" i="17"/>
  <c r="Y1355" i="17" s="1"/>
  <c r="B1356" i="17"/>
  <c r="Y1356" i="17" s="1"/>
  <c r="B1357" i="17"/>
  <c r="Y1357" i="17" s="1"/>
  <c r="B1358" i="17"/>
  <c r="Y1358" i="17" s="1"/>
  <c r="B1359" i="17"/>
  <c r="Y1359" i="17" s="1"/>
  <c r="B1360" i="17"/>
  <c r="Y1360" i="17" s="1"/>
  <c r="B1361" i="17"/>
  <c r="Y1361" i="17" s="1"/>
  <c r="B1362" i="17"/>
  <c r="Y1362" i="17" s="1"/>
  <c r="B1363" i="17"/>
  <c r="Y1363" i="17" s="1"/>
  <c r="B1364" i="17"/>
  <c r="Y1364" i="17" s="1"/>
  <c r="B1365" i="17"/>
  <c r="Y1365" i="17" s="1"/>
  <c r="B1366" i="17"/>
  <c r="Y1366" i="17" s="1"/>
  <c r="B1367" i="17"/>
  <c r="Y1367" i="17" s="1"/>
  <c r="B1368" i="17"/>
  <c r="Y1368" i="17" s="1"/>
  <c r="B1369" i="17"/>
  <c r="Y1369" i="17" s="1"/>
  <c r="B1370" i="17"/>
  <c r="Y1370" i="17" s="1"/>
  <c r="B1371" i="17"/>
  <c r="Y1371" i="17" s="1"/>
  <c r="B1372" i="17"/>
  <c r="Y1372" i="17" s="1"/>
  <c r="B1373" i="17"/>
  <c r="Y1373" i="17" s="1"/>
  <c r="B1374" i="17"/>
  <c r="Y1374" i="17" s="1"/>
  <c r="B1375" i="17"/>
  <c r="Y1375" i="17" s="1"/>
  <c r="B1376" i="17"/>
  <c r="Y1376" i="17" s="1"/>
  <c r="B1377" i="17"/>
  <c r="Y1377" i="17" s="1"/>
  <c r="B1378" i="17"/>
  <c r="Y1378" i="17" s="1"/>
  <c r="B1379" i="17"/>
  <c r="Y1379" i="17" s="1"/>
  <c r="B1380" i="17"/>
  <c r="Y1380" i="17" s="1"/>
  <c r="B1381" i="17"/>
  <c r="Y1381" i="17" s="1"/>
  <c r="B1382" i="17"/>
  <c r="Y1382" i="17" s="1"/>
  <c r="B1383" i="17"/>
  <c r="Y1383" i="17" s="1"/>
  <c r="B1384" i="17"/>
  <c r="Y1384" i="17" s="1"/>
  <c r="B1385" i="17"/>
  <c r="Y1385" i="17" s="1"/>
  <c r="B1386" i="17"/>
  <c r="Y1386" i="17" s="1"/>
  <c r="B1387" i="17"/>
  <c r="Y1387" i="17" s="1"/>
  <c r="B1388" i="17"/>
  <c r="Y1388" i="17" s="1"/>
  <c r="B1389" i="17"/>
  <c r="Y1389" i="17" s="1"/>
  <c r="B1390" i="17"/>
  <c r="Y1390" i="17" s="1"/>
  <c r="B1391" i="17"/>
  <c r="Y1391" i="17" s="1"/>
  <c r="B1392" i="17"/>
  <c r="Y1392" i="17" s="1"/>
  <c r="B1393" i="17"/>
  <c r="Y1393" i="17" s="1"/>
  <c r="B1394" i="17"/>
  <c r="Y1394" i="17" s="1"/>
  <c r="B1395" i="17"/>
  <c r="Y1395" i="17" s="1"/>
  <c r="B1396" i="17"/>
  <c r="Y1396" i="17" s="1"/>
  <c r="B1397" i="17"/>
  <c r="Y1397" i="17" s="1"/>
  <c r="B1398" i="17"/>
  <c r="Y1398" i="17" s="1"/>
  <c r="B1399" i="17"/>
  <c r="Y1399" i="17" s="1"/>
  <c r="B1400" i="17"/>
  <c r="Y1400" i="17" s="1"/>
  <c r="B1401" i="17"/>
  <c r="Y1401" i="17" s="1"/>
  <c r="B1402" i="17"/>
  <c r="Y1402" i="17" s="1"/>
  <c r="B1403" i="17"/>
  <c r="Y1403" i="17" s="1"/>
  <c r="B1404" i="17"/>
  <c r="Y1404" i="17" s="1"/>
  <c r="B1405" i="17"/>
  <c r="Y1405" i="17" s="1"/>
  <c r="B1406" i="17"/>
  <c r="Y1406" i="17" s="1"/>
  <c r="B1407" i="17"/>
  <c r="Y1407" i="17" s="1"/>
  <c r="B1408" i="17"/>
  <c r="Y1408" i="17" s="1"/>
  <c r="B1409" i="17"/>
  <c r="Y1409" i="17" s="1"/>
  <c r="B1410" i="17"/>
  <c r="Y1410" i="17" s="1"/>
  <c r="B1411" i="17"/>
  <c r="Y1411" i="17" s="1"/>
  <c r="B1412" i="17"/>
  <c r="Y1412" i="17" s="1"/>
  <c r="B1413" i="17"/>
  <c r="Y1413" i="17" s="1"/>
  <c r="B1414" i="17"/>
  <c r="Y1414" i="17" s="1"/>
  <c r="B1415" i="17"/>
  <c r="Y1415" i="17" s="1"/>
  <c r="B1416" i="17"/>
  <c r="Y1416" i="17" s="1"/>
  <c r="B1417" i="17"/>
  <c r="Y1417" i="17" s="1"/>
  <c r="B1418" i="17"/>
  <c r="Y1418" i="17" s="1"/>
  <c r="B1419" i="17"/>
  <c r="Y1419" i="17" s="1"/>
  <c r="B1420" i="17"/>
  <c r="Y1420" i="17" s="1"/>
  <c r="B1421" i="17"/>
  <c r="Y1421" i="17" s="1"/>
  <c r="B1422" i="17"/>
  <c r="Y1422" i="17" s="1"/>
  <c r="B1423" i="17"/>
  <c r="Y1423" i="17" s="1"/>
  <c r="B1424" i="17"/>
  <c r="Y1424" i="17" s="1"/>
  <c r="B1425" i="17"/>
  <c r="Y1425" i="17" s="1"/>
  <c r="B1426" i="17"/>
  <c r="Y1426" i="17" s="1"/>
  <c r="B1427" i="17"/>
  <c r="Y1427" i="17" s="1"/>
  <c r="B1428" i="17"/>
  <c r="Y1428" i="17" s="1"/>
  <c r="B1429" i="17"/>
  <c r="Y1429" i="17" s="1"/>
  <c r="B1430" i="17"/>
  <c r="Y1430" i="17" s="1"/>
  <c r="B1431" i="17"/>
  <c r="Y1431" i="17" s="1"/>
  <c r="B1432" i="17"/>
  <c r="Y1432" i="17" s="1"/>
  <c r="B1433" i="17"/>
  <c r="Y1433" i="17" s="1"/>
  <c r="B1434" i="17"/>
  <c r="Y1434" i="17" s="1"/>
  <c r="B1435" i="17"/>
  <c r="Y1435" i="17" s="1"/>
  <c r="B1436" i="17"/>
  <c r="Y1436" i="17" s="1"/>
  <c r="B1437" i="17"/>
  <c r="Y1437" i="17" s="1"/>
  <c r="B1438" i="17"/>
  <c r="Y1438" i="17" s="1"/>
  <c r="B1439" i="17"/>
  <c r="Y1439" i="17" s="1"/>
  <c r="B1440" i="17"/>
  <c r="Y1440" i="17" s="1"/>
  <c r="B1441" i="17"/>
  <c r="Y1441" i="17" s="1"/>
  <c r="B1442" i="17"/>
  <c r="Y1442" i="17" s="1"/>
  <c r="B1443" i="17"/>
  <c r="Y1443" i="17" s="1"/>
  <c r="B1444" i="17"/>
  <c r="Y1444" i="17" s="1"/>
  <c r="B1445" i="17"/>
  <c r="Y1445" i="17" s="1"/>
  <c r="B1446" i="17"/>
  <c r="Y1446" i="17" s="1"/>
  <c r="B1447" i="17"/>
  <c r="Y1447" i="17" s="1"/>
  <c r="B1448" i="17"/>
  <c r="Y1448" i="17" s="1"/>
  <c r="B1449" i="17"/>
  <c r="Y1449" i="17" s="1"/>
  <c r="B1450" i="17"/>
  <c r="Y1450" i="17" s="1"/>
  <c r="B1451" i="17"/>
  <c r="Y1451" i="17" s="1"/>
  <c r="B1452" i="17"/>
  <c r="Y1452" i="17" s="1"/>
  <c r="B1453" i="17"/>
  <c r="Y1453" i="17" s="1"/>
  <c r="B1454" i="17"/>
  <c r="Y1454" i="17" s="1"/>
  <c r="B1455" i="17"/>
  <c r="Y1455" i="17" s="1"/>
  <c r="B1456" i="17"/>
  <c r="Y1456" i="17" s="1"/>
  <c r="B1457" i="17"/>
  <c r="Y1457" i="17" s="1"/>
  <c r="B1458" i="17"/>
  <c r="Y1458" i="17" s="1"/>
  <c r="B1459" i="17"/>
  <c r="Y1459" i="17" s="1"/>
  <c r="B1460" i="17"/>
  <c r="Y1460" i="17" s="1"/>
  <c r="B1461" i="17"/>
  <c r="Y1461" i="17" s="1"/>
  <c r="B1462" i="17"/>
  <c r="Y1462" i="17" s="1"/>
  <c r="B1463" i="17"/>
  <c r="Y1463" i="17" s="1"/>
  <c r="B1464" i="17"/>
  <c r="Y1464" i="17" s="1"/>
  <c r="B1465" i="17"/>
  <c r="Y1465" i="17" s="1"/>
  <c r="B1466" i="17"/>
  <c r="Y1466" i="17" s="1"/>
  <c r="B1467" i="17"/>
  <c r="Y1467" i="17" s="1"/>
  <c r="B1468" i="17"/>
  <c r="Y1468" i="17" s="1"/>
  <c r="B1469" i="17"/>
  <c r="Y1469" i="17" s="1"/>
  <c r="B1470" i="17"/>
  <c r="Y1470" i="17" s="1"/>
  <c r="B1471" i="17"/>
  <c r="Y1471" i="17" s="1"/>
  <c r="B1472" i="17"/>
  <c r="Y1472" i="17" s="1"/>
  <c r="B1473" i="17"/>
  <c r="Y1473" i="17" s="1"/>
  <c r="B1474" i="17"/>
  <c r="Y1474" i="17" s="1"/>
  <c r="B1475" i="17"/>
  <c r="Y1475" i="17" s="1"/>
  <c r="B1476" i="17"/>
  <c r="Y1476" i="17" s="1"/>
  <c r="B1477" i="17"/>
  <c r="Y1477" i="17" s="1"/>
  <c r="B1478" i="17"/>
  <c r="Y1478" i="17" s="1"/>
  <c r="B1479" i="17"/>
  <c r="Y1479" i="17" s="1"/>
  <c r="B1480" i="17"/>
  <c r="Y1480" i="17" s="1"/>
  <c r="B1481" i="17"/>
  <c r="Y1481" i="17" s="1"/>
  <c r="B1482" i="17"/>
  <c r="Y1482" i="17" s="1"/>
  <c r="B1483" i="17"/>
  <c r="Y1483" i="17" s="1"/>
  <c r="B1484" i="17"/>
  <c r="Y1484" i="17" s="1"/>
  <c r="B1485" i="17"/>
  <c r="Y1485" i="17" s="1"/>
  <c r="B1486" i="17"/>
  <c r="Y1486" i="17" s="1"/>
  <c r="B1487" i="17"/>
  <c r="Y1487" i="17" s="1"/>
  <c r="B1488" i="17"/>
  <c r="Y1488" i="17" s="1"/>
  <c r="B1489" i="17"/>
  <c r="Y1489" i="17" s="1"/>
  <c r="B1490" i="17"/>
  <c r="Y1490" i="17" s="1"/>
  <c r="B1491" i="17"/>
  <c r="Y1491" i="17" s="1"/>
  <c r="B1492" i="17"/>
  <c r="Y1492" i="17" s="1"/>
  <c r="B1493" i="17"/>
  <c r="Y1493" i="17" s="1"/>
  <c r="B1494" i="17"/>
  <c r="Y1494" i="17" s="1"/>
  <c r="B1495" i="17"/>
  <c r="Y1495" i="17" s="1"/>
  <c r="B1496" i="17"/>
  <c r="Y1496" i="17" s="1"/>
  <c r="B1497" i="17"/>
  <c r="Y1497" i="17" s="1"/>
  <c r="B1498" i="17"/>
  <c r="Y1498" i="17" s="1"/>
  <c r="B1499" i="17"/>
  <c r="Y1499" i="17" s="1"/>
  <c r="B1500" i="17"/>
  <c r="Y1500" i="17" s="1"/>
  <c r="B1501" i="17"/>
  <c r="Y1501" i="17" s="1"/>
  <c r="B1502" i="17"/>
  <c r="Y1502" i="17" s="1"/>
  <c r="B1503" i="17"/>
  <c r="Y1503" i="17" s="1"/>
  <c r="B1504" i="17"/>
  <c r="Y1504" i="17" s="1"/>
  <c r="B1505" i="17"/>
  <c r="Y1505" i="17" s="1"/>
  <c r="B1506" i="17"/>
  <c r="Y1506" i="17" s="1"/>
  <c r="B1507" i="17"/>
  <c r="Y1507" i="17" s="1"/>
  <c r="B1508" i="17"/>
  <c r="Y1508" i="17" s="1"/>
  <c r="B1509" i="17"/>
  <c r="Y1509" i="17" s="1"/>
  <c r="B1510" i="17"/>
  <c r="Y1510" i="17" s="1"/>
  <c r="B1511" i="17"/>
  <c r="Y1511" i="17" s="1"/>
  <c r="B1512" i="17"/>
  <c r="Y1512" i="17" s="1"/>
  <c r="B1513" i="17"/>
  <c r="Y1513" i="17" s="1"/>
  <c r="B1514" i="17"/>
  <c r="Y1514" i="17" s="1"/>
  <c r="B1515" i="17"/>
  <c r="Y1515" i="17" s="1"/>
  <c r="B1516" i="17"/>
  <c r="Y1516" i="17" s="1"/>
  <c r="B1517" i="17"/>
  <c r="Y1517" i="17" s="1"/>
  <c r="B1518" i="17"/>
  <c r="Y1518" i="17" s="1"/>
  <c r="B1519" i="17"/>
  <c r="Y1519" i="17" s="1"/>
  <c r="B1520" i="17"/>
  <c r="Y1520" i="17" s="1"/>
  <c r="B1521" i="17"/>
  <c r="Y1521" i="17" s="1"/>
  <c r="B1522" i="17"/>
  <c r="Y1522" i="17" s="1"/>
  <c r="B1523" i="17"/>
  <c r="Y1523" i="17" s="1"/>
  <c r="B1524" i="17"/>
  <c r="Y1524" i="17" s="1"/>
  <c r="B1525" i="17"/>
  <c r="Y1525" i="17" s="1"/>
  <c r="B1526" i="17"/>
  <c r="Y1526" i="17" s="1"/>
  <c r="B1527" i="17"/>
  <c r="Y1527" i="17" s="1"/>
  <c r="B1528" i="17"/>
  <c r="Y1528" i="17" s="1"/>
  <c r="B1529" i="17"/>
  <c r="Y1529" i="17" s="1"/>
  <c r="B1530" i="17"/>
  <c r="Y1530" i="17" s="1"/>
  <c r="B1531" i="17"/>
  <c r="Y1531" i="17" s="1"/>
  <c r="B1532" i="17"/>
  <c r="Y1532" i="17" s="1"/>
  <c r="B1533" i="17"/>
  <c r="Y1533" i="17" s="1"/>
  <c r="B1534" i="17"/>
  <c r="Y1534" i="17" s="1"/>
  <c r="B1535" i="17"/>
  <c r="Y1535" i="17" s="1"/>
  <c r="B1536" i="17"/>
  <c r="Y1536" i="17" s="1"/>
  <c r="B1537" i="17"/>
  <c r="Y1537" i="17" s="1"/>
  <c r="B1538" i="17"/>
  <c r="Y1538" i="17" s="1"/>
  <c r="B1539" i="17"/>
  <c r="Y1539" i="17" s="1"/>
  <c r="B1540" i="17"/>
  <c r="Y1540" i="17" s="1"/>
  <c r="B1541" i="17"/>
  <c r="Y1541" i="17" s="1"/>
  <c r="B1542" i="17"/>
  <c r="Y1542" i="17" s="1"/>
  <c r="B1543" i="17"/>
  <c r="Y1543" i="17" s="1"/>
  <c r="B1544" i="17"/>
  <c r="Y1544" i="17" s="1"/>
  <c r="B1545" i="17"/>
  <c r="Y1545" i="17" s="1"/>
  <c r="B1546" i="17"/>
  <c r="Y1546" i="17" s="1"/>
  <c r="B1547" i="17"/>
  <c r="Y1547" i="17" s="1"/>
  <c r="B1548" i="17"/>
  <c r="Y1548" i="17" s="1"/>
  <c r="B1549" i="17"/>
  <c r="Y1549" i="17" s="1"/>
  <c r="B1550" i="17"/>
  <c r="Y1550" i="17" s="1"/>
  <c r="B1551" i="17"/>
  <c r="Y1551" i="17" s="1"/>
  <c r="B1552" i="17"/>
  <c r="Y1552" i="17" s="1"/>
  <c r="B1553" i="17"/>
  <c r="Y1553" i="17" s="1"/>
  <c r="B1554" i="17"/>
  <c r="Y1554" i="17" s="1"/>
  <c r="B1555" i="17"/>
  <c r="Y1555" i="17" s="1"/>
  <c r="B1556" i="17"/>
  <c r="Y1556" i="17" s="1"/>
  <c r="B1557" i="17"/>
  <c r="Y1557" i="17" s="1"/>
  <c r="B1558" i="17"/>
  <c r="Y1558" i="17" s="1"/>
  <c r="B1559" i="17"/>
  <c r="Y1559" i="17" s="1"/>
  <c r="B1560" i="17"/>
  <c r="Y1560" i="17" s="1"/>
  <c r="B1561" i="17"/>
  <c r="Y1561" i="17" s="1"/>
  <c r="B1562" i="17"/>
  <c r="Y1562" i="17" s="1"/>
  <c r="B1563" i="17"/>
  <c r="Y1563" i="17" s="1"/>
  <c r="B1564" i="17"/>
  <c r="Y1564" i="17" s="1"/>
  <c r="B1565" i="17"/>
  <c r="Y1565" i="17" s="1"/>
  <c r="B1566" i="17"/>
  <c r="Y1566" i="17" s="1"/>
  <c r="B1567" i="17"/>
  <c r="Y1567" i="17" s="1"/>
  <c r="B1568" i="17"/>
  <c r="Y1568" i="17" s="1"/>
  <c r="B1569" i="17"/>
  <c r="Y1569" i="17" s="1"/>
  <c r="B1570" i="17"/>
  <c r="Y1570" i="17" s="1"/>
  <c r="B1571" i="17"/>
  <c r="Y1571" i="17" s="1"/>
  <c r="B1572" i="17"/>
  <c r="Y1572" i="17" s="1"/>
  <c r="B1573" i="17"/>
  <c r="Y1573" i="17" s="1"/>
  <c r="B1574" i="17"/>
  <c r="Y1574" i="17" s="1"/>
  <c r="B1575" i="17"/>
  <c r="Y1575" i="17" s="1"/>
  <c r="B1576" i="17"/>
  <c r="Y1576" i="17" s="1"/>
  <c r="B1577" i="17"/>
  <c r="Y1577" i="17" s="1"/>
  <c r="B1578" i="17"/>
  <c r="Y1578" i="17" s="1"/>
  <c r="B1579" i="17"/>
  <c r="Y1579" i="17" s="1"/>
  <c r="B1580" i="17"/>
  <c r="Y1580" i="17" s="1"/>
  <c r="B1581" i="17"/>
  <c r="Y1581" i="17" s="1"/>
  <c r="B1582" i="17"/>
  <c r="Y1582" i="17" s="1"/>
  <c r="B1583" i="17"/>
  <c r="Y1583" i="17" s="1"/>
  <c r="B1584" i="17"/>
  <c r="Y1584" i="17" s="1"/>
  <c r="B1585" i="17"/>
  <c r="Y1585" i="17" s="1"/>
  <c r="B1586" i="17"/>
  <c r="Y1586" i="17" s="1"/>
  <c r="B1587" i="17"/>
  <c r="Y1587" i="17" s="1"/>
  <c r="B1588" i="17"/>
  <c r="Y1588" i="17" s="1"/>
  <c r="B1589" i="17"/>
  <c r="Y1589" i="17" s="1"/>
  <c r="B1590" i="17"/>
  <c r="Y1590" i="17" s="1"/>
  <c r="B1591" i="17"/>
  <c r="Y1591" i="17" s="1"/>
  <c r="B1592" i="17"/>
  <c r="Y1592" i="17" s="1"/>
  <c r="B1593" i="17"/>
  <c r="Y1593" i="17" s="1"/>
  <c r="B1594" i="17"/>
  <c r="Y1594" i="17" s="1"/>
  <c r="B1595" i="17"/>
  <c r="Y1595" i="17" s="1"/>
  <c r="B1596" i="17"/>
  <c r="Y1596" i="17" s="1"/>
  <c r="B1597" i="17"/>
  <c r="Y1597" i="17" s="1"/>
  <c r="B1598" i="17"/>
  <c r="Y1598" i="17" s="1"/>
  <c r="B1599" i="17"/>
  <c r="Y1599" i="17" s="1"/>
  <c r="B1600" i="17"/>
  <c r="Y1600" i="17" s="1"/>
  <c r="B1601" i="17"/>
  <c r="Y1601" i="17" s="1"/>
  <c r="B1602" i="17"/>
  <c r="Y1602" i="17" s="1"/>
  <c r="B1603" i="17"/>
  <c r="Y1603" i="17" s="1"/>
  <c r="B1604" i="17"/>
  <c r="Y1604" i="17" s="1"/>
  <c r="B1605" i="17"/>
  <c r="Y1605" i="17" s="1"/>
  <c r="H1" i="17"/>
  <c r="B505" i="17"/>
  <c r="Y505" i="17" s="1"/>
  <c r="B504" i="17"/>
  <c r="Y504" i="17" s="1"/>
  <c r="B503" i="17"/>
  <c r="Y503" i="17" s="1"/>
  <c r="B502" i="17"/>
  <c r="Y502" i="17" s="1"/>
  <c r="B501" i="17"/>
  <c r="Y501" i="17" s="1"/>
  <c r="B500" i="17"/>
  <c r="Y500" i="17" s="1"/>
  <c r="B499" i="17"/>
  <c r="Y499" i="17" s="1"/>
  <c r="B498" i="17"/>
  <c r="Y498" i="17" s="1"/>
  <c r="B497" i="17"/>
  <c r="Y497" i="17" s="1"/>
  <c r="B496" i="17"/>
  <c r="Y496" i="17" s="1"/>
  <c r="B495" i="17"/>
  <c r="Y495" i="17" s="1"/>
  <c r="B494" i="17"/>
  <c r="Y494" i="17" s="1"/>
  <c r="B493" i="17"/>
  <c r="Y493" i="17" s="1"/>
  <c r="B492" i="17"/>
  <c r="Y492" i="17" s="1"/>
  <c r="B491" i="17"/>
  <c r="Y491" i="17" s="1"/>
  <c r="B490" i="17"/>
  <c r="Y490" i="17" s="1"/>
  <c r="B489" i="17"/>
  <c r="Y489" i="17" s="1"/>
  <c r="B488" i="17"/>
  <c r="Y488" i="17" s="1"/>
  <c r="B487" i="17"/>
  <c r="Y487" i="17" s="1"/>
  <c r="B486" i="17"/>
  <c r="Y486" i="17" s="1"/>
  <c r="B485" i="17"/>
  <c r="Y485" i="17" s="1"/>
  <c r="B484" i="17"/>
  <c r="Y484" i="17" s="1"/>
  <c r="B483" i="17"/>
  <c r="Y483" i="17" s="1"/>
  <c r="B482" i="17"/>
  <c r="Y482" i="17" s="1"/>
  <c r="B481" i="17"/>
  <c r="Y481" i="17" s="1"/>
  <c r="B480" i="17"/>
  <c r="Y480" i="17" s="1"/>
  <c r="B479" i="17"/>
  <c r="Y479" i="17" s="1"/>
  <c r="B478" i="17"/>
  <c r="Y478" i="17" s="1"/>
  <c r="B477" i="17"/>
  <c r="Y477" i="17" s="1"/>
  <c r="B476" i="17"/>
  <c r="Y476" i="17" s="1"/>
  <c r="B475" i="17"/>
  <c r="Y475" i="17" s="1"/>
  <c r="B474" i="17"/>
  <c r="Y474" i="17" s="1"/>
  <c r="B473" i="17"/>
  <c r="Y473" i="17" s="1"/>
  <c r="B472" i="17"/>
  <c r="Y472" i="17" s="1"/>
  <c r="B471" i="17"/>
  <c r="Y471" i="17" s="1"/>
  <c r="B470" i="17"/>
  <c r="Y470" i="17" s="1"/>
  <c r="B469" i="17"/>
  <c r="Y469" i="17" s="1"/>
  <c r="B468" i="17"/>
  <c r="Y468" i="17" s="1"/>
  <c r="B467" i="17"/>
  <c r="Y467" i="17" s="1"/>
  <c r="B466" i="17"/>
  <c r="Y466" i="17" s="1"/>
  <c r="B465" i="17"/>
  <c r="Y465" i="17" s="1"/>
  <c r="B464" i="17"/>
  <c r="Y464" i="17" s="1"/>
  <c r="B463" i="17"/>
  <c r="Y463" i="17" s="1"/>
  <c r="B462" i="17"/>
  <c r="Y462" i="17" s="1"/>
  <c r="B461" i="17"/>
  <c r="Y461" i="17" s="1"/>
  <c r="B460" i="17"/>
  <c r="Y460" i="17" s="1"/>
  <c r="B459" i="17"/>
  <c r="Y459" i="17" s="1"/>
  <c r="B458" i="17"/>
  <c r="Y458" i="17" s="1"/>
  <c r="B457" i="17"/>
  <c r="Y457" i="17" s="1"/>
  <c r="B456" i="17"/>
  <c r="Y456" i="17" s="1"/>
  <c r="B455" i="17"/>
  <c r="Y455" i="17" s="1"/>
  <c r="B454" i="17"/>
  <c r="Y454" i="17" s="1"/>
  <c r="B453" i="17"/>
  <c r="Y453" i="17" s="1"/>
  <c r="B452" i="17"/>
  <c r="Y452" i="17" s="1"/>
  <c r="B451" i="17"/>
  <c r="Y451" i="17" s="1"/>
  <c r="B450" i="17"/>
  <c r="Y450" i="17" s="1"/>
  <c r="B449" i="17"/>
  <c r="Y449" i="17" s="1"/>
  <c r="B448" i="17"/>
  <c r="Y448" i="17" s="1"/>
  <c r="B447" i="17"/>
  <c r="Y447" i="17" s="1"/>
  <c r="B446" i="17"/>
  <c r="Y446" i="17" s="1"/>
  <c r="B445" i="17"/>
  <c r="Y445" i="17" s="1"/>
  <c r="B444" i="17"/>
  <c r="Y444" i="17" s="1"/>
  <c r="B443" i="17"/>
  <c r="Y443" i="17" s="1"/>
  <c r="B442" i="17"/>
  <c r="Y442" i="17" s="1"/>
  <c r="B441" i="17"/>
  <c r="Y441" i="17" s="1"/>
  <c r="B440" i="17"/>
  <c r="Y440" i="17" s="1"/>
  <c r="B439" i="17"/>
  <c r="Y439" i="17" s="1"/>
  <c r="B438" i="17"/>
  <c r="Y438" i="17" s="1"/>
  <c r="B437" i="17"/>
  <c r="Y437" i="17" s="1"/>
  <c r="B436" i="17"/>
  <c r="Y436" i="17" s="1"/>
  <c r="B435" i="17"/>
  <c r="Y435" i="17" s="1"/>
  <c r="B434" i="17"/>
  <c r="Y434" i="17" s="1"/>
  <c r="B433" i="17"/>
  <c r="Y433" i="17" s="1"/>
  <c r="B432" i="17"/>
  <c r="Y432" i="17" s="1"/>
  <c r="B431" i="17"/>
  <c r="Y431" i="17" s="1"/>
  <c r="B430" i="17"/>
  <c r="Y430" i="17" s="1"/>
  <c r="B429" i="17"/>
  <c r="Y429" i="17" s="1"/>
  <c r="B428" i="17"/>
  <c r="Y428" i="17" s="1"/>
  <c r="B427" i="17"/>
  <c r="Y427" i="17" s="1"/>
  <c r="B426" i="17"/>
  <c r="Y426" i="17" s="1"/>
  <c r="B425" i="17"/>
  <c r="Y425" i="17" s="1"/>
  <c r="B424" i="17"/>
  <c r="Y424" i="17" s="1"/>
  <c r="B423" i="17"/>
  <c r="Y423" i="17" s="1"/>
  <c r="B422" i="17"/>
  <c r="Y422" i="17" s="1"/>
  <c r="B421" i="17"/>
  <c r="Y421" i="17" s="1"/>
  <c r="B420" i="17"/>
  <c r="Y420" i="17" s="1"/>
  <c r="B419" i="17"/>
  <c r="Y419" i="17" s="1"/>
  <c r="B418" i="17"/>
  <c r="Y418" i="17" s="1"/>
  <c r="B417" i="17"/>
  <c r="Y417" i="17" s="1"/>
  <c r="B416" i="17"/>
  <c r="Y416" i="17" s="1"/>
  <c r="B415" i="17"/>
  <c r="Y415" i="17" s="1"/>
  <c r="B414" i="17"/>
  <c r="Y414" i="17" s="1"/>
  <c r="B413" i="17"/>
  <c r="Y413" i="17" s="1"/>
  <c r="B412" i="17"/>
  <c r="Y412" i="17" s="1"/>
  <c r="B411" i="17"/>
  <c r="Y411" i="17" s="1"/>
  <c r="B410" i="17"/>
  <c r="Y410" i="17" s="1"/>
  <c r="B409" i="17"/>
  <c r="Y409" i="17" s="1"/>
  <c r="B408" i="17"/>
  <c r="Y408" i="17" s="1"/>
  <c r="B407" i="17"/>
  <c r="Y407" i="17" s="1"/>
  <c r="B406" i="17"/>
  <c r="Y406" i="17" s="1"/>
  <c r="B405" i="17"/>
  <c r="Y405" i="17" s="1"/>
  <c r="B404" i="17"/>
  <c r="Y404" i="17" s="1"/>
  <c r="B403" i="17"/>
  <c r="Y403" i="17" s="1"/>
  <c r="B402" i="17"/>
  <c r="Y402" i="17" s="1"/>
  <c r="B401" i="17"/>
  <c r="Y401" i="17" s="1"/>
  <c r="B400" i="17"/>
  <c r="Y400" i="17" s="1"/>
  <c r="B399" i="17"/>
  <c r="Y399" i="17" s="1"/>
  <c r="B398" i="17"/>
  <c r="Y398" i="17" s="1"/>
  <c r="B397" i="17"/>
  <c r="Y397" i="17" s="1"/>
  <c r="B396" i="17"/>
  <c r="Y396" i="17" s="1"/>
  <c r="B395" i="17"/>
  <c r="Y395" i="17" s="1"/>
  <c r="B394" i="17"/>
  <c r="Y394" i="17" s="1"/>
  <c r="B393" i="17"/>
  <c r="Y393" i="17" s="1"/>
  <c r="B392" i="17"/>
  <c r="Y392" i="17" s="1"/>
  <c r="B391" i="17"/>
  <c r="Y391" i="17" s="1"/>
  <c r="B390" i="17"/>
  <c r="Y390" i="17" s="1"/>
  <c r="B389" i="17"/>
  <c r="Y389" i="17" s="1"/>
  <c r="B388" i="17"/>
  <c r="Y388" i="17" s="1"/>
  <c r="B387" i="17"/>
  <c r="Y387" i="17" s="1"/>
  <c r="B386" i="17"/>
  <c r="Y386" i="17" s="1"/>
  <c r="B385" i="17"/>
  <c r="Y385" i="17" s="1"/>
  <c r="B384" i="17"/>
  <c r="Y384" i="17" s="1"/>
  <c r="B383" i="17"/>
  <c r="Y383" i="17" s="1"/>
  <c r="B382" i="17"/>
  <c r="Y382" i="17" s="1"/>
  <c r="B381" i="17"/>
  <c r="Y381" i="17" s="1"/>
  <c r="B380" i="17"/>
  <c r="Y380" i="17" s="1"/>
  <c r="B379" i="17"/>
  <c r="Y379" i="17" s="1"/>
  <c r="B378" i="17"/>
  <c r="Y378" i="17" s="1"/>
  <c r="B377" i="17"/>
  <c r="Y377" i="17" s="1"/>
  <c r="B376" i="17"/>
  <c r="Y376" i="17" s="1"/>
  <c r="B375" i="17"/>
  <c r="Y375" i="17" s="1"/>
  <c r="B374" i="17"/>
  <c r="Y374" i="17" s="1"/>
  <c r="B373" i="17"/>
  <c r="Y373" i="17" s="1"/>
  <c r="B372" i="17"/>
  <c r="Y372" i="17" s="1"/>
  <c r="B371" i="17"/>
  <c r="Y371" i="17" s="1"/>
  <c r="B370" i="17"/>
  <c r="Y370" i="17" s="1"/>
  <c r="B369" i="17"/>
  <c r="Y369" i="17" s="1"/>
  <c r="B368" i="17"/>
  <c r="Y368" i="17" s="1"/>
  <c r="B367" i="17"/>
  <c r="Y367" i="17" s="1"/>
  <c r="B366" i="17"/>
  <c r="Y366" i="17" s="1"/>
  <c r="B365" i="17"/>
  <c r="Y365" i="17" s="1"/>
  <c r="B364" i="17"/>
  <c r="Y364" i="17" s="1"/>
  <c r="B363" i="17"/>
  <c r="Y363" i="17" s="1"/>
  <c r="B362" i="17"/>
  <c r="Y362" i="17" s="1"/>
  <c r="B361" i="17"/>
  <c r="Y361" i="17" s="1"/>
  <c r="B360" i="17"/>
  <c r="Y360" i="17" s="1"/>
  <c r="B359" i="17"/>
  <c r="Y359" i="17" s="1"/>
  <c r="B358" i="17"/>
  <c r="Y358" i="17" s="1"/>
  <c r="B357" i="17"/>
  <c r="Y357" i="17" s="1"/>
  <c r="B356" i="17"/>
  <c r="Y356" i="17" s="1"/>
  <c r="B355" i="17"/>
  <c r="Y355" i="17" s="1"/>
  <c r="B354" i="17"/>
  <c r="Y354" i="17" s="1"/>
  <c r="B353" i="17"/>
  <c r="Y353" i="17" s="1"/>
  <c r="B352" i="17"/>
  <c r="Y352" i="17" s="1"/>
  <c r="B351" i="17"/>
  <c r="Y351" i="17" s="1"/>
  <c r="B350" i="17"/>
  <c r="Y350" i="17" s="1"/>
  <c r="B349" i="17"/>
  <c r="Y349" i="17" s="1"/>
  <c r="B348" i="17"/>
  <c r="Y348" i="17" s="1"/>
  <c r="B347" i="17"/>
  <c r="Y347" i="17" s="1"/>
  <c r="B346" i="17"/>
  <c r="Y346" i="17" s="1"/>
  <c r="B345" i="17"/>
  <c r="Y345" i="17" s="1"/>
  <c r="B344" i="17"/>
  <c r="Y344" i="17" s="1"/>
  <c r="B343" i="17"/>
  <c r="Y343" i="17" s="1"/>
  <c r="B342" i="17"/>
  <c r="Y342" i="17" s="1"/>
  <c r="B341" i="17"/>
  <c r="Y341" i="17" s="1"/>
  <c r="B340" i="17"/>
  <c r="Y340" i="17" s="1"/>
  <c r="B339" i="17"/>
  <c r="Y339" i="17" s="1"/>
  <c r="B338" i="17"/>
  <c r="Y338" i="17" s="1"/>
  <c r="B337" i="17"/>
  <c r="Y337" i="17" s="1"/>
  <c r="B336" i="17"/>
  <c r="Y336" i="17" s="1"/>
  <c r="B335" i="17"/>
  <c r="Y335" i="17" s="1"/>
  <c r="B334" i="17"/>
  <c r="Y334" i="17" s="1"/>
  <c r="B333" i="17"/>
  <c r="Y333" i="17" s="1"/>
  <c r="B332" i="17"/>
  <c r="Y332" i="17" s="1"/>
  <c r="B331" i="17"/>
  <c r="Y331" i="17" s="1"/>
  <c r="B330" i="17"/>
  <c r="Y330" i="17" s="1"/>
  <c r="B329" i="17"/>
  <c r="Y329" i="17" s="1"/>
  <c r="B328" i="17"/>
  <c r="Y328" i="17" s="1"/>
  <c r="B327" i="17"/>
  <c r="Y327" i="17" s="1"/>
  <c r="B326" i="17"/>
  <c r="Y326" i="17" s="1"/>
  <c r="B325" i="17"/>
  <c r="Y325" i="17" s="1"/>
  <c r="B324" i="17"/>
  <c r="Y324" i="17" s="1"/>
  <c r="B323" i="17"/>
  <c r="Y323" i="17" s="1"/>
  <c r="B322" i="17"/>
  <c r="Y322" i="17" s="1"/>
  <c r="B321" i="17"/>
  <c r="Y321" i="17" s="1"/>
  <c r="B320" i="17"/>
  <c r="Y320" i="17" s="1"/>
  <c r="B319" i="17"/>
  <c r="Y319" i="17" s="1"/>
  <c r="B318" i="17"/>
  <c r="Y318" i="17" s="1"/>
  <c r="B317" i="17"/>
  <c r="Y317" i="17" s="1"/>
  <c r="B316" i="17"/>
  <c r="Y316" i="17" s="1"/>
  <c r="B315" i="17"/>
  <c r="Y315" i="17" s="1"/>
  <c r="B314" i="17"/>
  <c r="Y314" i="17" s="1"/>
  <c r="B313" i="17"/>
  <c r="Y313" i="17" s="1"/>
  <c r="B312" i="17"/>
  <c r="Y312" i="17" s="1"/>
  <c r="B311" i="17"/>
  <c r="Y311" i="17" s="1"/>
  <c r="B310" i="17"/>
  <c r="Y310" i="17" s="1"/>
  <c r="B309" i="17"/>
  <c r="Y309" i="17" s="1"/>
  <c r="B308" i="17"/>
  <c r="Y308" i="17" s="1"/>
  <c r="B307" i="17"/>
  <c r="Y307" i="17" s="1"/>
  <c r="B306" i="17"/>
  <c r="Y306" i="17" s="1"/>
  <c r="B305" i="17"/>
  <c r="Y305" i="17" s="1"/>
  <c r="B304" i="17"/>
  <c r="Y304" i="17" s="1"/>
  <c r="B303" i="17"/>
  <c r="Y303" i="17" s="1"/>
  <c r="B302" i="17"/>
  <c r="Y302" i="17" s="1"/>
  <c r="B301" i="17"/>
  <c r="Y301" i="17" s="1"/>
  <c r="B300" i="17"/>
  <c r="Y300" i="17" s="1"/>
  <c r="B299" i="17"/>
  <c r="Y299" i="17" s="1"/>
  <c r="B298" i="17"/>
  <c r="Y298" i="17" s="1"/>
  <c r="B297" i="17"/>
  <c r="Y297" i="17" s="1"/>
  <c r="B296" i="17"/>
  <c r="Y296" i="17" s="1"/>
  <c r="B295" i="17"/>
  <c r="Y295" i="17" s="1"/>
  <c r="B294" i="17"/>
  <c r="Y294" i="17" s="1"/>
  <c r="B293" i="17"/>
  <c r="Y293" i="17" s="1"/>
  <c r="B292" i="17"/>
  <c r="Y292" i="17" s="1"/>
  <c r="B291" i="17"/>
  <c r="Y291" i="17" s="1"/>
  <c r="B290" i="17"/>
  <c r="Y290" i="17" s="1"/>
  <c r="B289" i="17"/>
  <c r="Y289" i="17" s="1"/>
  <c r="B288" i="17"/>
  <c r="Y288" i="17" s="1"/>
  <c r="B287" i="17"/>
  <c r="Y287" i="17" s="1"/>
  <c r="B286" i="17"/>
  <c r="Y286" i="17" s="1"/>
  <c r="B285" i="17"/>
  <c r="Y285" i="17" s="1"/>
  <c r="B284" i="17"/>
  <c r="Y284" i="17" s="1"/>
  <c r="B283" i="17"/>
  <c r="Y283" i="17" s="1"/>
  <c r="B282" i="17"/>
  <c r="Y282" i="17" s="1"/>
  <c r="B281" i="17"/>
  <c r="Y281" i="17" s="1"/>
  <c r="B280" i="17"/>
  <c r="Y280" i="17" s="1"/>
  <c r="B279" i="17"/>
  <c r="Y279" i="17" s="1"/>
  <c r="B278" i="17"/>
  <c r="Y278" i="17" s="1"/>
  <c r="B277" i="17"/>
  <c r="Y277" i="17" s="1"/>
  <c r="B276" i="17"/>
  <c r="Y276" i="17" s="1"/>
  <c r="B275" i="17"/>
  <c r="Y275" i="17" s="1"/>
  <c r="B274" i="17"/>
  <c r="Y274" i="17" s="1"/>
  <c r="B273" i="17"/>
  <c r="Y273" i="17" s="1"/>
  <c r="B272" i="17"/>
  <c r="Y272" i="17" s="1"/>
  <c r="B271" i="17"/>
  <c r="Y271" i="17" s="1"/>
  <c r="B270" i="17"/>
  <c r="Y270" i="17" s="1"/>
  <c r="B269" i="17"/>
  <c r="Y269" i="17" s="1"/>
  <c r="B268" i="17"/>
  <c r="Y268" i="17" s="1"/>
  <c r="B267" i="17"/>
  <c r="Y267" i="17" s="1"/>
  <c r="B266" i="17"/>
  <c r="Y266" i="17" s="1"/>
  <c r="B265" i="17"/>
  <c r="Y265" i="17" s="1"/>
  <c r="B264" i="17"/>
  <c r="Y264" i="17" s="1"/>
  <c r="B263" i="17"/>
  <c r="Y263" i="17" s="1"/>
  <c r="B262" i="17"/>
  <c r="Y262" i="17" s="1"/>
  <c r="B261" i="17"/>
  <c r="Y261" i="17" s="1"/>
  <c r="B260" i="17"/>
  <c r="Y260" i="17" s="1"/>
  <c r="B259" i="17"/>
  <c r="Y259" i="17" s="1"/>
  <c r="B258" i="17"/>
  <c r="Y258" i="17" s="1"/>
  <c r="B257" i="17"/>
  <c r="Y257" i="17" s="1"/>
  <c r="B256" i="17"/>
  <c r="Y256" i="17" s="1"/>
  <c r="B255" i="17"/>
  <c r="Y255" i="17" s="1"/>
  <c r="B254" i="17"/>
  <c r="Y254" i="17" s="1"/>
  <c r="B253" i="17"/>
  <c r="Y253" i="17" s="1"/>
  <c r="B252" i="17"/>
  <c r="Y252" i="17" s="1"/>
  <c r="B251" i="17"/>
  <c r="Y251" i="17" s="1"/>
  <c r="B250" i="17"/>
  <c r="Y250" i="17" s="1"/>
  <c r="B249" i="17"/>
  <c r="Y249" i="17" s="1"/>
  <c r="B248" i="17"/>
  <c r="Y248" i="17" s="1"/>
  <c r="B247" i="17"/>
  <c r="Y247" i="17" s="1"/>
  <c r="B246" i="17"/>
  <c r="Y246" i="17" s="1"/>
  <c r="B245" i="17"/>
  <c r="Y245" i="17" s="1"/>
  <c r="B244" i="17"/>
  <c r="Y244" i="17" s="1"/>
  <c r="B243" i="17"/>
  <c r="Y243" i="17" s="1"/>
  <c r="B242" i="17"/>
  <c r="Y242" i="17" s="1"/>
  <c r="B241" i="17"/>
  <c r="Y241" i="17" s="1"/>
  <c r="B240" i="17"/>
  <c r="Y240" i="17" s="1"/>
  <c r="B239" i="17"/>
  <c r="Y239" i="17" s="1"/>
  <c r="B238" i="17"/>
  <c r="Y238" i="17" s="1"/>
  <c r="B237" i="17"/>
  <c r="Y237" i="17" s="1"/>
  <c r="B236" i="17"/>
  <c r="Y236" i="17" s="1"/>
  <c r="B235" i="17"/>
  <c r="Y235" i="17" s="1"/>
  <c r="B234" i="17"/>
  <c r="Y234" i="17" s="1"/>
  <c r="B233" i="17"/>
  <c r="Y233" i="17" s="1"/>
  <c r="B232" i="17"/>
  <c r="Y232" i="17" s="1"/>
  <c r="B231" i="17"/>
  <c r="Y231" i="17" s="1"/>
  <c r="B230" i="17"/>
  <c r="Y230" i="17" s="1"/>
  <c r="B229" i="17"/>
  <c r="Y229" i="17" s="1"/>
  <c r="B228" i="17"/>
  <c r="Y228" i="17" s="1"/>
  <c r="B227" i="17"/>
  <c r="Y227" i="17" s="1"/>
  <c r="B226" i="17"/>
  <c r="Y226" i="17" s="1"/>
  <c r="B225" i="17"/>
  <c r="Y225" i="17" s="1"/>
  <c r="B224" i="17"/>
  <c r="Y224" i="17" s="1"/>
  <c r="B223" i="17"/>
  <c r="Y223" i="17" s="1"/>
  <c r="B222" i="17"/>
  <c r="Y222" i="17" s="1"/>
  <c r="B221" i="17"/>
  <c r="Y221" i="17" s="1"/>
  <c r="B220" i="17"/>
  <c r="Y220" i="17" s="1"/>
  <c r="B219" i="17"/>
  <c r="Y219" i="17" s="1"/>
  <c r="B218" i="17"/>
  <c r="Y218" i="17" s="1"/>
  <c r="B217" i="17"/>
  <c r="Y217" i="17" s="1"/>
  <c r="B216" i="17"/>
  <c r="Y216" i="17" s="1"/>
  <c r="B215" i="17"/>
  <c r="Y215" i="17" s="1"/>
  <c r="B214" i="17"/>
  <c r="Y214" i="17" s="1"/>
  <c r="B213" i="17"/>
  <c r="Y213" i="17" s="1"/>
  <c r="B212" i="17"/>
  <c r="Y212" i="17" s="1"/>
  <c r="B211" i="17"/>
  <c r="Y211" i="17" s="1"/>
  <c r="B210" i="17"/>
  <c r="Y210" i="17" s="1"/>
  <c r="B209" i="17"/>
  <c r="Y209" i="17" s="1"/>
  <c r="B208" i="17"/>
  <c r="Y208" i="17" s="1"/>
  <c r="B207" i="17"/>
  <c r="Y207" i="17" s="1"/>
  <c r="B206" i="17"/>
  <c r="Y206" i="17" s="1"/>
  <c r="B205" i="17"/>
  <c r="Y205" i="17" s="1"/>
  <c r="B204" i="17"/>
  <c r="Y204" i="17" s="1"/>
  <c r="B203" i="17"/>
  <c r="Y203" i="17" s="1"/>
  <c r="B202" i="17"/>
  <c r="Y202" i="17" s="1"/>
  <c r="B201" i="17"/>
  <c r="Y201" i="17" s="1"/>
  <c r="B200" i="17"/>
  <c r="Y200" i="17" s="1"/>
  <c r="B199" i="17"/>
  <c r="Y199" i="17" s="1"/>
  <c r="B198" i="17"/>
  <c r="Y198" i="17" s="1"/>
  <c r="B197" i="17"/>
  <c r="Y197" i="17" s="1"/>
  <c r="B196" i="17"/>
  <c r="Y196" i="17" s="1"/>
  <c r="B195" i="17"/>
  <c r="Y195" i="17" s="1"/>
  <c r="B194" i="17"/>
  <c r="Y194" i="17" s="1"/>
  <c r="B193" i="17"/>
  <c r="Y193" i="17" s="1"/>
  <c r="B192" i="17"/>
  <c r="Y192" i="17" s="1"/>
  <c r="B191" i="17"/>
  <c r="Y191" i="17" s="1"/>
  <c r="B190" i="17"/>
  <c r="Y190" i="17" s="1"/>
  <c r="B189" i="17"/>
  <c r="Y189" i="17" s="1"/>
  <c r="B188" i="17"/>
  <c r="Y188" i="17" s="1"/>
  <c r="B187" i="17"/>
  <c r="Y187" i="17" s="1"/>
  <c r="B186" i="17"/>
  <c r="Y186" i="17" s="1"/>
  <c r="B185" i="17"/>
  <c r="Y185" i="17" s="1"/>
  <c r="B184" i="17"/>
  <c r="Y184" i="17" s="1"/>
  <c r="B183" i="17"/>
  <c r="Y183" i="17" s="1"/>
  <c r="B182" i="17"/>
  <c r="Y182" i="17" s="1"/>
  <c r="B181" i="17"/>
  <c r="Y181" i="17" s="1"/>
  <c r="B180" i="17"/>
  <c r="Y180" i="17" s="1"/>
  <c r="B179" i="17"/>
  <c r="Y179" i="17" s="1"/>
  <c r="B178" i="17"/>
  <c r="Y178" i="17" s="1"/>
  <c r="B177" i="17"/>
  <c r="Y177" i="17" s="1"/>
  <c r="B176" i="17"/>
  <c r="Y176" i="17" s="1"/>
  <c r="B175" i="17"/>
  <c r="Y175" i="17" s="1"/>
  <c r="B174" i="17"/>
  <c r="Y174" i="17" s="1"/>
  <c r="B173" i="17"/>
  <c r="Y173" i="17" s="1"/>
  <c r="B172" i="17"/>
  <c r="Y172" i="17" s="1"/>
  <c r="B171" i="17"/>
  <c r="Y171" i="17" s="1"/>
  <c r="B170" i="17"/>
  <c r="Y170" i="17" s="1"/>
  <c r="B169" i="17"/>
  <c r="Y169" i="17" s="1"/>
  <c r="B168" i="17"/>
  <c r="Y168" i="17" s="1"/>
  <c r="B167" i="17"/>
  <c r="Y167" i="17" s="1"/>
  <c r="B166" i="17"/>
  <c r="Y166" i="17" s="1"/>
  <c r="B165" i="17"/>
  <c r="Y165" i="17" s="1"/>
  <c r="B164" i="17"/>
  <c r="Y164" i="17" s="1"/>
  <c r="B163" i="17"/>
  <c r="Y163" i="17" s="1"/>
  <c r="B162" i="17"/>
  <c r="Y162" i="17" s="1"/>
  <c r="B161" i="17"/>
  <c r="Y161" i="17" s="1"/>
  <c r="B160" i="17"/>
  <c r="Y160" i="17" s="1"/>
  <c r="B159" i="17"/>
  <c r="Y159" i="17" s="1"/>
  <c r="B158" i="17"/>
  <c r="Y158" i="17" s="1"/>
  <c r="B157" i="17"/>
  <c r="Y157" i="17" s="1"/>
  <c r="B156" i="17"/>
  <c r="Y156" i="17" s="1"/>
  <c r="B155" i="17"/>
  <c r="Y155" i="17" s="1"/>
  <c r="B154" i="17"/>
  <c r="Y154" i="17" s="1"/>
  <c r="B153" i="17"/>
  <c r="Y153" i="17" s="1"/>
  <c r="B152" i="17"/>
  <c r="Y152" i="17" s="1"/>
  <c r="B151" i="17"/>
  <c r="Y151" i="17" s="1"/>
  <c r="B150" i="17"/>
  <c r="Y150" i="17" s="1"/>
  <c r="B149" i="17"/>
  <c r="Y149" i="17" s="1"/>
  <c r="B148" i="17"/>
  <c r="Y148" i="17" s="1"/>
  <c r="B147" i="17"/>
  <c r="Y147" i="17" s="1"/>
  <c r="B146" i="17"/>
  <c r="Y146" i="17" s="1"/>
  <c r="B145" i="17"/>
  <c r="Y145" i="17" s="1"/>
  <c r="B144" i="17"/>
  <c r="Y144" i="17" s="1"/>
  <c r="B143" i="17"/>
  <c r="Y143" i="17" s="1"/>
  <c r="B142" i="17"/>
  <c r="Y142" i="17" s="1"/>
  <c r="B141" i="17"/>
  <c r="Y141" i="17" s="1"/>
  <c r="B140" i="17"/>
  <c r="Y140" i="17" s="1"/>
  <c r="B139" i="17"/>
  <c r="Y139" i="17" s="1"/>
  <c r="B138" i="17"/>
  <c r="Y138" i="17" s="1"/>
  <c r="B137" i="17"/>
  <c r="Y137" i="17" s="1"/>
  <c r="B136" i="17"/>
  <c r="Y136" i="17" s="1"/>
  <c r="B135" i="17"/>
  <c r="Y135" i="17" s="1"/>
  <c r="B134" i="17"/>
  <c r="Y134" i="17" s="1"/>
  <c r="B133" i="17"/>
  <c r="Y133" i="17" s="1"/>
  <c r="B132" i="17"/>
  <c r="Y132" i="17" s="1"/>
  <c r="B131" i="17"/>
  <c r="Y131" i="17" s="1"/>
  <c r="B130" i="17"/>
  <c r="Y130" i="17" s="1"/>
  <c r="B129" i="17"/>
  <c r="Y129" i="17" s="1"/>
  <c r="B128" i="17"/>
  <c r="Y128" i="17" s="1"/>
  <c r="B127" i="17"/>
  <c r="Y127" i="17" s="1"/>
  <c r="B126" i="17"/>
  <c r="Y126" i="17" s="1"/>
  <c r="B125" i="17"/>
  <c r="Y125" i="17" s="1"/>
  <c r="B124" i="17"/>
  <c r="Y124" i="17" s="1"/>
  <c r="B123" i="17"/>
  <c r="Y123" i="17" s="1"/>
  <c r="B122" i="17"/>
  <c r="Y122" i="17" s="1"/>
  <c r="B121" i="17"/>
  <c r="Y121" i="17" s="1"/>
  <c r="B120" i="17"/>
  <c r="Y120" i="17" s="1"/>
  <c r="B119" i="17"/>
  <c r="Y119" i="17" s="1"/>
  <c r="B118" i="17"/>
  <c r="Y118" i="17" s="1"/>
  <c r="B117" i="17"/>
  <c r="Y117" i="17" s="1"/>
  <c r="B116" i="17"/>
  <c r="Y116" i="17" s="1"/>
  <c r="B115" i="17"/>
  <c r="Y115" i="17" s="1"/>
  <c r="B114" i="17"/>
  <c r="Y114" i="17" s="1"/>
  <c r="B113" i="17"/>
  <c r="Y113" i="17" s="1"/>
  <c r="B112" i="17"/>
  <c r="Y112" i="17" s="1"/>
  <c r="B111" i="17"/>
  <c r="Y111" i="17" s="1"/>
  <c r="B110" i="17"/>
  <c r="Y110" i="17" s="1"/>
  <c r="B109" i="17"/>
  <c r="Y109" i="17" s="1"/>
  <c r="B108" i="17"/>
  <c r="Y108" i="17" s="1"/>
  <c r="B107" i="17"/>
  <c r="Y107" i="17" s="1"/>
  <c r="B106" i="17"/>
  <c r="Y106" i="17" s="1"/>
  <c r="B105" i="17"/>
  <c r="Y105" i="17" s="1"/>
  <c r="B104" i="17"/>
  <c r="Y104" i="17" s="1"/>
  <c r="B103" i="17"/>
  <c r="Y103" i="17" s="1"/>
  <c r="B102" i="17"/>
  <c r="Y102" i="17" s="1"/>
  <c r="B101" i="17"/>
  <c r="Y101" i="17" s="1"/>
  <c r="B100" i="17"/>
  <c r="Y100" i="17" s="1"/>
  <c r="B99" i="17"/>
  <c r="Y99" i="17" s="1"/>
  <c r="B98" i="17"/>
  <c r="Y98" i="17" s="1"/>
  <c r="B97" i="17"/>
  <c r="Y97" i="17" s="1"/>
  <c r="B96" i="17"/>
  <c r="Y96" i="17" s="1"/>
  <c r="B95" i="17"/>
  <c r="Y95" i="17" s="1"/>
  <c r="B94" i="17"/>
  <c r="Y94" i="17" s="1"/>
  <c r="B93" i="17"/>
  <c r="Y93" i="17" s="1"/>
  <c r="B92" i="17"/>
  <c r="Y92" i="17" s="1"/>
  <c r="B91" i="17"/>
  <c r="Y91" i="17" s="1"/>
  <c r="B90" i="17"/>
  <c r="Y90" i="17" s="1"/>
  <c r="B89" i="17"/>
  <c r="Y89" i="17" s="1"/>
  <c r="B88" i="17"/>
  <c r="Y88" i="17" s="1"/>
  <c r="B87" i="17"/>
  <c r="Y87" i="17" s="1"/>
  <c r="B86" i="17"/>
  <c r="Y86" i="17" s="1"/>
  <c r="B85" i="17"/>
  <c r="Y85" i="17" s="1"/>
  <c r="B84" i="17"/>
  <c r="Y84" i="17" s="1"/>
  <c r="B83" i="17"/>
  <c r="Y83" i="17" s="1"/>
  <c r="B82" i="17"/>
  <c r="Y82" i="17" s="1"/>
  <c r="B81" i="17"/>
  <c r="Y81" i="17" s="1"/>
  <c r="B80" i="17"/>
  <c r="Y80" i="17" s="1"/>
  <c r="B79" i="17"/>
  <c r="Y79" i="17" s="1"/>
  <c r="B78" i="17"/>
  <c r="Y78" i="17" s="1"/>
  <c r="B77" i="17"/>
  <c r="Y77" i="17" s="1"/>
  <c r="B76" i="17"/>
  <c r="Y76" i="17" s="1"/>
  <c r="B75" i="17"/>
  <c r="Y75" i="17" s="1"/>
  <c r="B74" i="17"/>
  <c r="Y74" i="17" s="1"/>
  <c r="B73" i="17"/>
  <c r="Y73" i="17" s="1"/>
  <c r="B72" i="17"/>
  <c r="Y72" i="17" s="1"/>
  <c r="B71" i="17"/>
  <c r="Y71" i="17" s="1"/>
  <c r="B70" i="17"/>
  <c r="Y70" i="17" s="1"/>
  <c r="B69" i="17"/>
  <c r="Y69" i="17" s="1"/>
  <c r="B68" i="17"/>
  <c r="Y68" i="17" s="1"/>
  <c r="B67" i="17"/>
  <c r="Y67" i="17" s="1"/>
  <c r="B66" i="17"/>
  <c r="Y66" i="17" s="1"/>
  <c r="B65" i="17"/>
  <c r="Y65" i="17" s="1"/>
  <c r="B64" i="17"/>
  <c r="Y64" i="17" s="1"/>
  <c r="B63" i="17"/>
  <c r="Y63" i="17" s="1"/>
  <c r="B62" i="17"/>
  <c r="Y62" i="17" s="1"/>
  <c r="B61" i="17"/>
  <c r="Y61" i="17" s="1"/>
  <c r="B60" i="17"/>
  <c r="Y60" i="17" s="1"/>
  <c r="B59" i="17"/>
  <c r="Y59" i="17" s="1"/>
  <c r="B58" i="17"/>
  <c r="Y58" i="17" s="1"/>
  <c r="B57" i="17"/>
  <c r="Y57" i="17" s="1"/>
  <c r="B56" i="17"/>
  <c r="Y56" i="17" s="1"/>
  <c r="B55" i="17"/>
  <c r="Y55" i="17" s="1"/>
  <c r="B54" i="17"/>
  <c r="Y54" i="17" s="1"/>
  <c r="B53" i="17"/>
  <c r="Y53" i="17" s="1"/>
  <c r="B52" i="17"/>
  <c r="Y52" i="17" s="1"/>
  <c r="B51" i="17"/>
  <c r="Y51" i="17" s="1"/>
  <c r="B50" i="17"/>
  <c r="Y50" i="17" s="1"/>
  <c r="B49" i="17"/>
  <c r="Y49" i="17" s="1"/>
  <c r="B48" i="17"/>
  <c r="Y48" i="17" s="1"/>
  <c r="B47" i="17"/>
  <c r="Y47" i="17" s="1"/>
  <c r="B46" i="17"/>
  <c r="Y46" i="17" s="1"/>
  <c r="B45" i="17"/>
  <c r="Y45" i="17" s="1"/>
  <c r="B44" i="17"/>
  <c r="Y44" i="17" s="1"/>
  <c r="B43" i="17"/>
  <c r="Y43" i="17" s="1"/>
  <c r="B42" i="17"/>
  <c r="Y42" i="17" s="1"/>
  <c r="B41" i="17"/>
  <c r="Y41" i="17" s="1"/>
  <c r="B40" i="17"/>
  <c r="Y40" i="17" s="1"/>
  <c r="B39" i="17"/>
  <c r="Y39" i="17" s="1"/>
  <c r="B38" i="17"/>
  <c r="Y38" i="17" s="1"/>
  <c r="B37" i="17"/>
  <c r="Y37" i="17" s="1"/>
  <c r="B36" i="17"/>
  <c r="Y36" i="17" s="1"/>
  <c r="B35" i="17"/>
  <c r="Y35" i="17" s="1"/>
  <c r="B34" i="17"/>
  <c r="Y34" i="17" s="1"/>
  <c r="B33" i="17"/>
  <c r="Y33" i="17" s="1"/>
  <c r="B32" i="17"/>
  <c r="Y32" i="17" s="1"/>
  <c r="B31" i="17"/>
  <c r="Y31" i="17" s="1"/>
  <c r="B30" i="17"/>
  <c r="Y30" i="17" s="1"/>
  <c r="B29" i="17"/>
  <c r="Y29" i="17" s="1"/>
  <c r="B28" i="17"/>
  <c r="Y28" i="17" s="1"/>
  <c r="B27" i="17"/>
  <c r="Y27" i="17" s="1"/>
  <c r="B26" i="17"/>
  <c r="Y26" i="17" s="1"/>
  <c r="B25" i="17"/>
  <c r="Y25" i="17" s="1"/>
  <c r="B24" i="17"/>
  <c r="Y24" i="17" s="1"/>
  <c r="B23" i="17"/>
  <c r="Y23" i="17" s="1"/>
  <c r="B22" i="17"/>
  <c r="Y22" i="17" s="1"/>
  <c r="B21" i="17"/>
  <c r="Y21" i="17" s="1"/>
  <c r="B20" i="17"/>
  <c r="Y20" i="17" s="1"/>
  <c r="B19" i="17"/>
  <c r="Y19" i="17" s="1"/>
  <c r="B18" i="17"/>
  <c r="Y18" i="17" s="1"/>
  <c r="B17" i="17"/>
  <c r="Y17" i="17" s="1"/>
  <c r="B16" i="17"/>
  <c r="Y16" i="17" s="1"/>
  <c r="B15" i="17"/>
  <c r="Y15" i="17" s="1"/>
  <c r="B14" i="17"/>
  <c r="Y14" i="17" s="1"/>
  <c r="B13" i="17"/>
  <c r="Y13" i="17" s="1"/>
  <c r="B12" i="17"/>
  <c r="Y12" i="17" s="1"/>
  <c r="B11" i="17"/>
  <c r="Y11" i="17" s="1"/>
  <c r="B10" i="17"/>
  <c r="Y10" i="17" s="1"/>
  <c r="B9" i="17"/>
  <c r="Y9" i="17" s="1"/>
  <c r="B8" i="17"/>
  <c r="Y8" i="17" s="1"/>
  <c r="B7" i="17"/>
  <c r="Y7" i="17" s="1"/>
  <c r="B6" i="17"/>
  <c r="Y6" i="17" s="1"/>
  <c r="A6" i="17"/>
  <c r="A1" i="17"/>
  <c r="S8" i="16"/>
  <c r="T8" i="16" s="1"/>
  <c r="S9" i="16"/>
  <c r="T9" i="16" s="1"/>
  <c r="S10" i="16"/>
  <c r="T10" i="16" s="1"/>
  <c r="U10" i="16"/>
  <c r="S11" i="16"/>
  <c r="T11" i="16" s="1"/>
  <c r="S12" i="16"/>
  <c r="T12" i="16" s="1"/>
  <c r="S13" i="16"/>
  <c r="T13" i="16" s="1"/>
  <c r="S14" i="16"/>
  <c r="T14" i="16" s="1"/>
  <c r="S15" i="16"/>
  <c r="T15" i="16" s="1"/>
  <c r="S16" i="16"/>
  <c r="T16" i="16" s="1"/>
  <c r="S17" i="16"/>
  <c r="T17" i="16" s="1"/>
  <c r="S18" i="16"/>
  <c r="T18" i="16" s="1"/>
  <c r="S19" i="16"/>
  <c r="T19" i="16" s="1"/>
  <c r="S20" i="16"/>
  <c r="T20" i="16" s="1"/>
  <c r="S21" i="16"/>
  <c r="T21" i="16" s="1"/>
  <c r="S22" i="16"/>
  <c r="T22" i="16" s="1"/>
  <c r="S23" i="16"/>
  <c r="T23" i="16" s="1"/>
  <c r="S24" i="16"/>
  <c r="T24" i="16" s="1"/>
  <c r="S25" i="16"/>
  <c r="T25" i="16" s="1"/>
  <c r="S26" i="16"/>
  <c r="T26" i="16" s="1"/>
  <c r="U26" i="16"/>
  <c r="S27" i="16"/>
  <c r="T27" i="16" s="1"/>
  <c r="S28" i="16"/>
  <c r="T28" i="16" s="1"/>
  <c r="S29" i="16"/>
  <c r="T29" i="16" s="1"/>
  <c r="S30" i="16"/>
  <c r="T30" i="16" s="1"/>
  <c r="S31" i="16"/>
  <c r="T31" i="16" s="1"/>
  <c r="S32" i="16"/>
  <c r="T32" i="16" s="1"/>
  <c r="S33" i="16"/>
  <c r="T33" i="16" s="1"/>
  <c r="S34" i="16"/>
  <c r="T34" i="16" s="1"/>
  <c r="S35" i="16"/>
  <c r="T35" i="16" s="1"/>
  <c r="S36" i="16"/>
  <c r="T36" i="16" s="1"/>
  <c r="S37" i="16"/>
  <c r="T37" i="16" s="1"/>
  <c r="S38" i="16"/>
  <c r="T38" i="16" s="1"/>
  <c r="S39" i="16"/>
  <c r="T39" i="16" s="1"/>
  <c r="S40" i="16"/>
  <c r="T40" i="16" s="1"/>
  <c r="S41" i="16"/>
  <c r="T41" i="16" s="1"/>
  <c r="S42" i="16"/>
  <c r="T42" i="16" s="1"/>
  <c r="U42" i="16"/>
  <c r="S43" i="16"/>
  <c r="T43" i="16" s="1"/>
  <c r="S44" i="16"/>
  <c r="T44" i="16" s="1"/>
  <c r="S45" i="16"/>
  <c r="T45" i="16" s="1"/>
  <c r="S46" i="16"/>
  <c r="T46" i="16" s="1"/>
  <c r="S47" i="16"/>
  <c r="T47" i="16" s="1"/>
  <c r="S48" i="16"/>
  <c r="T48" i="16" s="1"/>
  <c r="S49" i="16"/>
  <c r="T49" i="16" s="1"/>
  <c r="S50" i="16"/>
  <c r="T50" i="16" s="1"/>
  <c r="S51" i="16"/>
  <c r="T51" i="16" s="1"/>
  <c r="S52" i="16"/>
  <c r="T52" i="16" s="1"/>
  <c r="S53" i="16"/>
  <c r="T53" i="16" s="1"/>
  <c r="S54" i="16"/>
  <c r="T54" i="16" s="1"/>
  <c r="S55" i="16"/>
  <c r="T55" i="16" s="1"/>
  <c r="S56" i="16"/>
  <c r="T56" i="16" s="1"/>
  <c r="S7" i="16"/>
  <c r="H1" i="10"/>
  <c r="B966" i="10"/>
  <c r="Y966" i="10" s="1"/>
  <c r="B967" i="10"/>
  <c r="Y967" i="10" s="1"/>
  <c r="B968" i="10"/>
  <c r="Y968" i="10" s="1"/>
  <c r="B969" i="10"/>
  <c r="Y969" i="10" s="1"/>
  <c r="B970" i="10"/>
  <c r="Y970" i="10" s="1"/>
  <c r="B971" i="10"/>
  <c r="Y971" i="10" s="1"/>
  <c r="B972" i="10"/>
  <c r="Y972" i="10" s="1"/>
  <c r="B973" i="10"/>
  <c r="Y973" i="10" s="1"/>
  <c r="B974" i="10"/>
  <c r="Y974" i="10" s="1"/>
  <c r="B975" i="10"/>
  <c r="Y975" i="10" s="1"/>
  <c r="B976" i="10"/>
  <c r="Y976" i="10" s="1"/>
  <c r="B977" i="10"/>
  <c r="Y977" i="10" s="1"/>
  <c r="B978" i="10"/>
  <c r="Y978" i="10" s="1"/>
  <c r="B979" i="10"/>
  <c r="Y979" i="10" s="1"/>
  <c r="B980" i="10"/>
  <c r="Y980" i="10" s="1"/>
  <c r="B981" i="10"/>
  <c r="Y981" i="10" s="1"/>
  <c r="B982" i="10"/>
  <c r="Y982" i="10" s="1"/>
  <c r="B983" i="10"/>
  <c r="Y983" i="10" s="1"/>
  <c r="B984" i="10"/>
  <c r="Y984" i="10" s="1"/>
  <c r="B985" i="10"/>
  <c r="Y985" i="10" s="1"/>
  <c r="B986" i="10"/>
  <c r="Y986" i="10" s="1"/>
  <c r="B987" i="10"/>
  <c r="Y987" i="10" s="1"/>
  <c r="B988" i="10"/>
  <c r="Y988" i="10" s="1"/>
  <c r="B989" i="10"/>
  <c r="Y989" i="10" s="1"/>
  <c r="B990" i="10"/>
  <c r="Y990" i="10" s="1"/>
  <c r="B991" i="10"/>
  <c r="Y991" i="10" s="1"/>
  <c r="B992" i="10"/>
  <c r="Y992" i="10" s="1"/>
  <c r="B993" i="10"/>
  <c r="Y993" i="10" s="1"/>
  <c r="B994" i="10"/>
  <c r="Y994" i="10" s="1"/>
  <c r="B995" i="10"/>
  <c r="Y995" i="10" s="1"/>
  <c r="B996" i="10"/>
  <c r="Y996" i="10" s="1"/>
  <c r="B997" i="10"/>
  <c r="Y997" i="10" s="1"/>
  <c r="B998" i="10"/>
  <c r="Y998" i="10" s="1"/>
  <c r="B999" i="10"/>
  <c r="Y999" i="10" s="1"/>
  <c r="B1000" i="10"/>
  <c r="Y1000" i="10" s="1"/>
  <c r="B1001" i="10"/>
  <c r="Y1001" i="10" s="1"/>
  <c r="B1002" i="10"/>
  <c r="Y1002" i="10" s="1"/>
  <c r="B1003" i="10"/>
  <c r="Y1003" i="10" s="1"/>
  <c r="B1004" i="10"/>
  <c r="Y1004" i="10" s="1"/>
  <c r="B1005" i="10"/>
  <c r="Y1005" i="10" s="1"/>
  <c r="B1006" i="10"/>
  <c r="Y1006" i="10" s="1"/>
  <c r="B1007" i="10"/>
  <c r="Y1007" i="10" s="1"/>
  <c r="B1008" i="10"/>
  <c r="Y1008" i="10" s="1"/>
  <c r="B1009" i="10"/>
  <c r="Y1009" i="10" s="1"/>
  <c r="B1010" i="10"/>
  <c r="Y1010" i="10" s="1"/>
  <c r="B1011" i="10"/>
  <c r="Y1011" i="10" s="1"/>
  <c r="B1012" i="10"/>
  <c r="Y1012" i="10" s="1"/>
  <c r="B1013" i="10"/>
  <c r="Y1013" i="10" s="1"/>
  <c r="B1014" i="10"/>
  <c r="Y1014" i="10" s="1"/>
  <c r="B1015" i="10"/>
  <c r="Y1015" i="10" s="1"/>
  <c r="B1016" i="10"/>
  <c r="Y1016" i="10" s="1"/>
  <c r="B1017" i="10"/>
  <c r="Y1017" i="10" s="1"/>
  <c r="B1018" i="10"/>
  <c r="Y1018" i="10" s="1"/>
  <c r="B1019" i="10"/>
  <c r="Y1019" i="10" s="1"/>
  <c r="B1020" i="10"/>
  <c r="Y1020" i="10" s="1"/>
  <c r="B1021" i="10"/>
  <c r="Y1021" i="10" s="1"/>
  <c r="B1022" i="10"/>
  <c r="Y1022" i="10" s="1"/>
  <c r="B1023" i="10"/>
  <c r="Y1023" i="10" s="1"/>
  <c r="B1024" i="10"/>
  <c r="Y1024" i="10" s="1"/>
  <c r="B1025" i="10"/>
  <c r="Y1025" i="10" s="1"/>
  <c r="B1026" i="10"/>
  <c r="Y1026" i="10" s="1"/>
  <c r="B1027" i="10"/>
  <c r="Y1027" i="10" s="1"/>
  <c r="B1028" i="10"/>
  <c r="Y1028" i="10" s="1"/>
  <c r="B1029" i="10"/>
  <c r="Y1029" i="10" s="1"/>
  <c r="B1030" i="10"/>
  <c r="Y1030" i="10" s="1"/>
  <c r="B1031" i="10"/>
  <c r="Y1031" i="10" s="1"/>
  <c r="B1032" i="10"/>
  <c r="Y1032" i="10" s="1"/>
  <c r="B1033" i="10"/>
  <c r="Y1033" i="10" s="1"/>
  <c r="B1034" i="10"/>
  <c r="Y1034" i="10" s="1"/>
  <c r="B1035" i="10"/>
  <c r="Y1035" i="10" s="1"/>
  <c r="B1036" i="10"/>
  <c r="Y1036" i="10" s="1"/>
  <c r="B1037" i="10"/>
  <c r="Y1037" i="10" s="1"/>
  <c r="B1038" i="10"/>
  <c r="Y1038" i="10" s="1"/>
  <c r="B1039" i="10"/>
  <c r="Y1039" i="10" s="1"/>
  <c r="B1040" i="10"/>
  <c r="Y1040" i="10" s="1"/>
  <c r="B1041" i="10"/>
  <c r="Y1041" i="10" s="1"/>
  <c r="B1042" i="10"/>
  <c r="Y1042" i="10" s="1"/>
  <c r="B1043" i="10"/>
  <c r="Y1043" i="10" s="1"/>
  <c r="B1044" i="10"/>
  <c r="Y1044" i="10" s="1"/>
  <c r="B1045" i="10"/>
  <c r="Y1045" i="10" s="1"/>
  <c r="B1046" i="10"/>
  <c r="Y1046" i="10" s="1"/>
  <c r="B1047" i="10"/>
  <c r="Y1047" i="10" s="1"/>
  <c r="B1048" i="10"/>
  <c r="Y1048" i="10" s="1"/>
  <c r="B1049" i="10"/>
  <c r="Y1049" i="10" s="1"/>
  <c r="B1050" i="10"/>
  <c r="Y1050" i="10" s="1"/>
  <c r="B1051" i="10"/>
  <c r="Y1051" i="10" s="1"/>
  <c r="B1052" i="10"/>
  <c r="Y1052" i="10" s="1"/>
  <c r="B1053" i="10"/>
  <c r="Y1053" i="10" s="1"/>
  <c r="B1054" i="10"/>
  <c r="Y1054" i="10" s="1"/>
  <c r="B1055" i="10"/>
  <c r="Y1055" i="10" s="1"/>
  <c r="B1056" i="10"/>
  <c r="Y1056" i="10" s="1"/>
  <c r="B1057" i="10"/>
  <c r="Y1057" i="10" s="1"/>
  <c r="B1058" i="10"/>
  <c r="Y1058" i="10" s="1"/>
  <c r="B1059" i="10"/>
  <c r="Y1059" i="10" s="1"/>
  <c r="B1060" i="10"/>
  <c r="Y1060" i="10" s="1"/>
  <c r="B1061" i="10"/>
  <c r="Y1061" i="10" s="1"/>
  <c r="B1062" i="10"/>
  <c r="Y1062" i="10" s="1"/>
  <c r="B1063" i="10"/>
  <c r="Y1063" i="10" s="1"/>
  <c r="B1064" i="10"/>
  <c r="Y1064" i="10" s="1"/>
  <c r="B1065" i="10"/>
  <c r="Y1065" i="10" s="1"/>
  <c r="B1066" i="10"/>
  <c r="Y1066" i="10" s="1"/>
  <c r="B1067" i="10"/>
  <c r="Y1067" i="10" s="1"/>
  <c r="B1068" i="10"/>
  <c r="Y1068" i="10" s="1"/>
  <c r="B1069" i="10"/>
  <c r="Y1069" i="10" s="1"/>
  <c r="B1070" i="10"/>
  <c r="Y1070" i="10" s="1"/>
  <c r="B1071" i="10"/>
  <c r="Y1071" i="10" s="1"/>
  <c r="B1072" i="10"/>
  <c r="Y1072" i="10" s="1"/>
  <c r="B1073" i="10"/>
  <c r="Y1073" i="10" s="1"/>
  <c r="B1074" i="10"/>
  <c r="Y1074" i="10" s="1"/>
  <c r="B1075" i="10"/>
  <c r="Y1075" i="10" s="1"/>
  <c r="B1076" i="10"/>
  <c r="Y1076" i="10" s="1"/>
  <c r="B1077" i="10"/>
  <c r="Y1077" i="10" s="1"/>
  <c r="B1078" i="10"/>
  <c r="Y1078" i="10" s="1"/>
  <c r="B1079" i="10"/>
  <c r="Y1079" i="10" s="1"/>
  <c r="B1080" i="10"/>
  <c r="Y1080" i="10" s="1"/>
  <c r="B1081" i="10"/>
  <c r="Y1081" i="10" s="1"/>
  <c r="B1082" i="10"/>
  <c r="Y1082" i="10" s="1"/>
  <c r="B1083" i="10"/>
  <c r="Y1083" i="10" s="1"/>
  <c r="B1084" i="10"/>
  <c r="Y1084" i="10" s="1"/>
  <c r="B1085" i="10"/>
  <c r="Y1085" i="10" s="1"/>
  <c r="B1086" i="10"/>
  <c r="Y1086" i="10" s="1"/>
  <c r="B1087" i="10"/>
  <c r="Y1087" i="10" s="1"/>
  <c r="B1088" i="10"/>
  <c r="Y1088" i="10" s="1"/>
  <c r="B1089" i="10"/>
  <c r="Y1089" i="10" s="1"/>
  <c r="B1090" i="10"/>
  <c r="Y1090" i="10" s="1"/>
  <c r="B1091" i="10"/>
  <c r="Y1091" i="10" s="1"/>
  <c r="B1092" i="10"/>
  <c r="Y1092" i="10" s="1"/>
  <c r="B1093" i="10"/>
  <c r="Y1093" i="10" s="1"/>
  <c r="B1094" i="10"/>
  <c r="Y1094" i="10" s="1"/>
  <c r="B1095" i="10"/>
  <c r="Y1095" i="10" s="1"/>
  <c r="B1096" i="10"/>
  <c r="Y1096" i="10" s="1"/>
  <c r="B1097" i="10"/>
  <c r="Y1097" i="10" s="1"/>
  <c r="B1098" i="10"/>
  <c r="Y1098" i="10" s="1"/>
  <c r="B1099" i="10"/>
  <c r="Y1099" i="10" s="1"/>
  <c r="B1100" i="10"/>
  <c r="Y1100" i="10" s="1"/>
  <c r="B1101" i="10"/>
  <c r="Y1101" i="10" s="1"/>
  <c r="B1102" i="10"/>
  <c r="Y1102" i="10" s="1"/>
  <c r="B1103" i="10"/>
  <c r="Y1103" i="10" s="1"/>
  <c r="B1104" i="10"/>
  <c r="Y1104" i="10" s="1"/>
  <c r="B1105" i="10"/>
  <c r="Y1105" i="10" s="1"/>
  <c r="B1106" i="10"/>
  <c r="Y1106" i="10" s="1"/>
  <c r="B1107" i="10"/>
  <c r="Y1107" i="10" s="1"/>
  <c r="B1108" i="10"/>
  <c r="Y1108" i="10" s="1"/>
  <c r="B1109" i="10"/>
  <c r="Y1109" i="10" s="1"/>
  <c r="B1110" i="10"/>
  <c r="Y1110" i="10" s="1"/>
  <c r="B1111" i="10"/>
  <c r="Y1111" i="10" s="1"/>
  <c r="B1112" i="10"/>
  <c r="Y1112" i="10" s="1"/>
  <c r="B1113" i="10"/>
  <c r="Y1113" i="10" s="1"/>
  <c r="B1114" i="10"/>
  <c r="Y1114" i="10" s="1"/>
  <c r="B1115" i="10"/>
  <c r="Y1115" i="10" s="1"/>
  <c r="B1116" i="10"/>
  <c r="Y1116" i="10" s="1"/>
  <c r="B1117" i="10"/>
  <c r="Y1117" i="10" s="1"/>
  <c r="B1118" i="10"/>
  <c r="Y1118" i="10" s="1"/>
  <c r="B1119" i="10"/>
  <c r="Y1119" i="10" s="1"/>
  <c r="B1120" i="10"/>
  <c r="Y1120" i="10" s="1"/>
  <c r="B1121" i="10"/>
  <c r="Y1121" i="10" s="1"/>
  <c r="B1122" i="10"/>
  <c r="Y1122" i="10" s="1"/>
  <c r="B1123" i="10"/>
  <c r="Y1123" i="10" s="1"/>
  <c r="B1124" i="10"/>
  <c r="Y1124" i="10" s="1"/>
  <c r="B1125" i="10"/>
  <c r="Y1125" i="10" s="1"/>
  <c r="B1126" i="10"/>
  <c r="Y1126" i="10" s="1"/>
  <c r="B1127" i="10"/>
  <c r="Y1127" i="10" s="1"/>
  <c r="B1128" i="10"/>
  <c r="Y1128" i="10" s="1"/>
  <c r="B1129" i="10"/>
  <c r="Y1129" i="10" s="1"/>
  <c r="B1130" i="10"/>
  <c r="Y1130" i="10" s="1"/>
  <c r="B1131" i="10"/>
  <c r="Y1131" i="10" s="1"/>
  <c r="B1132" i="10"/>
  <c r="Y1132" i="10" s="1"/>
  <c r="B1133" i="10"/>
  <c r="Y1133" i="10" s="1"/>
  <c r="B1134" i="10"/>
  <c r="Y1134" i="10" s="1"/>
  <c r="B1135" i="10"/>
  <c r="Y1135" i="10" s="1"/>
  <c r="B1136" i="10"/>
  <c r="Y1136" i="10" s="1"/>
  <c r="B1137" i="10"/>
  <c r="Y1137" i="10" s="1"/>
  <c r="B1138" i="10"/>
  <c r="Y1138" i="10" s="1"/>
  <c r="B1139" i="10"/>
  <c r="Y1139" i="10" s="1"/>
  <c r="B1140" i="10"/>
  <c r="Y1140" i="10" s="1"/>
  <c r="B1141" i="10"/>
  <c r="Y1141" i="10" s="1"/>
  <c r="B1142" i="10"/>
  <c r="Y1142" i="10" s="1"/>
  <c r="B1143" i="10"/>
  <c r="Y1143" i="10" s="1"/>
  <c r="B1144" i="10"/>
  <c r="Y1144" i="10" s="1"/>
  <c r="B1145" i="10"/>
  <c r="Y1145" i="10" s="1"/>
  <c r="B1146" i="10"/>
  <c r="Y1146" i="10" s="1"/>
  <c r="B1147" i="10"/>
  <c r="Y1147" i="10" s="1"/>
  <c r="B1148" i="10"/>
  <c r="Y1148" i="10" s="1"/>
  <c r="B1149" i="10"/>
  <c r="Y1149" i="10" s="1"/>
  <c r="B1150" i="10"/>
  <c r="Y1150" i="10" s="1"/>
  <c r="B1151" i="10"/>
  <c r="Y1151" i="10" s="1"/>
  <c r="B1152" i="10"/>
  <c r="Y1152" i="10" s="1"/>
  <c r="B1153" i="10"/>
  <c r="Y1153" i="10" s="1"/>
  <c r="B1154" i="10"/>
  <c r="Y1154" i="10" s="1"/>
  <c r="B1155" i="10"/>
  <c r="Y1155" i="10" s="1"/>
  <c r="B1156" i="10"/>
  <c r="Y1156" i="10" s="1"/>
  <c r="B1157" i="10"/>
  <c r="Y1157" i="10" s="1"/>
  <c r="B1158" i="10"/>
  <c r="Y1158" i="10" s="1"/>
  <c r="B1159" i="10"/>
  <c r="Y1159" i="10" s="1"/>
  <c r="B1160" i="10"/>
  <c r="Y1160" i="10" s="1"/>
  <c r="B1161" i="10"/>
  <c r="Y1161" i="10" s="1"/>
  <c r="B1162" i="10"/>
  <c r="Y1162" i="10" s="1"/>
  <c r="B1163" i="10"/>
  <c r="Y1163" i="10" s="1"/>
  <c r="B1164" i="10"/>
  <c r="Y1164" i="10" s="1"/>
  <c r="B1165" i="10"/>
  <c r="Y1165" i="10" s="1"/>
  <c r="B1166" i="10"/>
  <c r="Y1166" i="10" s="1"/>
  <c r="B1167" i="10"/>
  <c r="Y1167" i="10" s="1"/>
  <c r="B1168" i="10"/>
  <c r="Y1168" i="10" s="1"/>
  <c r="B1169" i="10"/>
  <c r="Y1169" i="10" s="1"/>
  <c r="B1170" i="10"/>
  <c r="Y1170" i="10" s="1"/>
  <c r="B1171" i="10"/>
  <c r="Y1171" i="10" s="1"/>
  <c r="B1172" i="10"/>
  <c r="Y1172" i="10" s="1"/>
  <c r="B1173" i="10"/>
  <c r="Y1173" i="10" s="1"/>
  <c r="B1174" i="10"/>
  <c r="Y1174" i="10" s="1"/>
  <c r="B1175" i="10"/>
  <c r="Y1175" i="10" s="1"/>
  <c r="B1176" i="10"/>
  <c r="Y1176" i="10" s="1"/>
  <c r="B1177" i="10"/>
  <c r="Y1177" i="10" s="1"/>
  <c r="B1178" i="10"/>
  <c r="Y1178" i="10" s="1"/>
  <c r="B1179" i="10"/>
  <c r="Y1179" i="10" s="1"/>
  <c r="B1180" i="10"/>
  <c r="Y1180" i="10" s="1"/>
  <c r="B1181" i="10"/>
  <c r="Y1181" i="10" s="1"/>
  <c r="B1182" i="10"/>
  <c r="Y1182" i="10" s="1"/>
  <c r="B1183" i="10"/>
  <c r="Y1183" i="10" s="1"/>
  <c r="B1184" i="10"/>
  <c r="Y1184" i="10" s="1"/>
  <c r="B1185" i="10"/>
  <c r="Y1185" i="10" s="1"/>
  <c r="B1186" i="10"/>
  <c r="Y1186" i="10" s="1"/>
  <c r="B1187" i="10"/>
  <c r="Y1187" i="10" s="1"/>
  <c r="B1188" i="10"/>
  <c r="Y1188" i="10" s="1"/>
  <c r="B1189" i="10"/>
  <c r="Y1189" i="10" s="1"/>
  <c r="B1190" i="10"/>
  <c r="Y1190" i="10" s="1"/>
  <c r="B1191" i="10"/>
  <c r="Y1191" i="10" s="1"/>
  <c r="B1192" i="10"/>
  <c r="Y1192" i="10" s="1"/>
  <c r="B1193" i="10"/>
  <c r="Y1193" i="10" s="1"/>
  <c r="B1194" i="10"/>
  <c r="Y1194" i="10" s="1"/>
  <c r="B1195" i="10"/>
  <c r="Y1195" i="10" s="1"/>
  <c r="B1196" i="10"/>
  <c r="Y1196" i="10" s="1"/>
  <c r="B1197" i="10"/>
  <c r="Y1197" i="10" s="1"/>
  <c r="B1198" i="10"/>
  <c r="Y1198" i="10" s="1"/>
  <c r="B1199" i="10"/>
  <c r="Y1199" i="10" s="1"/>
  <c r="B1200" i="10"/>
  <c r="Y1200" i="10" s="1"/>
  <c r="B1201" i="10"/>
  <c r="Y1201" i="10" s="1"/>
  <c r="B1202" i="10"/>
  <c r="Y1202" i="10" s="1"/>
  <c r="B1203" i="10"/>
  <c r="Y1203" i="10" s="1"/>
  <c r="B1204" i="10"/>
  <c r="Y1204" i="10" s="1"/>
  <c r="B1205" i="10"/>
  <c r="Y1205" i="10" s="1"/>
  <c r="B1206" i="10"/>
  <c r="Y1206" i="10" s="1"/>
  <c r="B1207" i="10"/>
  <c r="Y1207" i="10" s="1"/>
  <c r="B1208" i="10"/>
  <c r="Y1208" i="10" s="1"/>
  <c r="B1209" i="10"/>
  <c r="Y1209" i="10" s="1"/>
  <c r="B1210" i="10"/>
  <c r="Y1210" i="10" s="1"/>
  <c r="B1211" i="10"/>
  <c r="Y1211" i="10" s="1"/>
  <c r="B1212" i="10"/>
  <c r="Y1212" i="10" s="1"/>
  <c r="B1213" i="10"/>
  <c r="Y1213" i="10" s="1"/>
  <c r="B1214" i="10"/>
  <c r="Y1214" i="10" s="1"/>
  <c r="B1215" i="10"/>
  <c r="Y1215" i="10" s="1"/>
  <c r="B1216" i="10"/>
  <c r="Y1216" i="10" s="1"/>
  <c r="B1217" i="10"/>
  <c r="Y1217" i="10" s="1"/>
  <c r="B1218" i="10"/>
  <c r="Y1218" i="10" s="1"/>
  <c r="B1219" i="10"/>
  <c r="Y1219" i="10" s="1"/>
  <c r="B1220" i="10"/>
  <c r="Y1220" i="10" s="1"/>
  <c r="B1221" i="10"/>
  <c r="Y1221" i="10" s="1"/>
  <c r="B1222" i="10"/>
  <c r="Y1222" i="10" s="1"/>
  <c r="B1223" i="10"/>
  <c r="Y1223" i="10" s="1"/>
  <c r="B1224" i="10"/>
  <c r="Y1224" i="10" s="1"/>
  <c r="B1225" i="10"/>
  <c r="Y1225" i="10" s="1"/>
  <c r="B1226" i="10"/>
  <c r="Y1226" i="10" s="1"/>
  <c r="B1227" i="10"/>
  <c r="Y1227" i="10" s="1"/>
  <c r="B1228" i="10"/>
  <c r="Y1228" i="10" s="1"/>
  <c r="B1229" i="10"/>
  <c r="Y1229" i="10" s="1"/>
  <c r="B1230" i="10"/>
  <c r="Y1230" i="10" s="1"/>
  <c r="B1231" i="10"/>
  <c r="Y1231" i="10" s="1"/>
  <c r="B1232" i="10"/>
  <c r="Y1232" i="10" s="1"/>
  <c r="B1233" i="10"/>
  <c r="Y1233" i="10" s="1"/>
  <c r="B1234" i="10"/>
  <c r="Y1234" i="10" s="1"/>
  <c r="B1235" i="10"/>
  <c r="Y1235" i="10" s="1"/>
  <c r="B1236" i="10"/>
  <c r="Y1236" i="10" s="1"/>
  <c r="B1237" i="10"/>
  <c r="Y1237" i="10" s="1"/>
  <c r="B1238" i="10"/>
  <c r="Y1238" i="10" s="1"/>
  <c r="B1239" i="10"/>
  <c r="Y1239" i="10" s="1"/>
  <c r="B1240" i="10"/>
  <c r="Y1240" i="10" s="1"/>
  <c r="B1241" i="10"/>
  <c r="Y1241" i="10" s="1"/>
  <c r="B1242" i="10"/>
  <c r="Y1242" i="10" s="1"/>
  <c r="B1243" i="10"/>
  <c r="Y1243" i="10" s="1"/>
  <c r="B1244" i="10"/>
  <c r="Y1244" i="10" s="1"/>
  <c r="B1245" i="10"/>
  <c r="Y1245" i="10" s="1"/>
  <c r="B1246" i="10"/>
  <c r="Y1246" i="10" s="1"/>
  <c r="B1247" i="10"/>
  <c r="Y1247" i="10" s="1"/>
  <c r="B1248" i="10"/>
  <c r="Y1248" i="10" s="1"/>
  <c r="B1249" i="10"/>
  <c r="Y1249" i="10" s="1"/>
  <c r="B1250" i="10"/>
  <c r="Y1250" i="10" s="1"/>
  <c r="B1251" i="10"/>
  <c r="Y1251" i="10" s="1"/>
  <c r="B1252" i="10"/>
  <c r="Y1252" i="10" s="1"/>
  <c r="B1253" i="10"/>
  <c r="Y1253" i="10" s="1"/>
  <c r="B1254" i="10"/>
  <c r="Y1254" i="10" s="1"/>
  <c r="B1255" i="10"/>
  <c r="Y1255" i="10" s="1"/>
  <c r="B1256" i="10"/>
  <c r="Y1256" i="10" s="1"/>
  <c r="B1257" i="10"/>
  <c r="Y1257" i="10" s="1"/>
  <c r="B1258" i="10"/>
  <c r="Y1258" i="10" s="1"/>
  <c r="B1259" i="10"/>
  <c r="Y1259" i="10" s="1"/>
  <c r="B1260" i="10"/>
  <c r="Y1260" i="10" s="1"/>
  <c r="B1261" i="10"/>
  <c r="Y1261" i="10" s="1"/>
  <c r="B1262" i="10"/>
  <c r="Y1262" i="10" s="1"/>
  <c r="B1263" i="10"/>
  <c r="Y1263" i="10" s="1"/>
  <c r="B1264" i="10"/>
  <c r="Y1264" i="10" s="1"/>
  <c r="B1265" i="10"/>
  <c r="Y1265" i="10" s="1"/>
  <c r="B1266" i="10"/>
  <c r="Y1266" i="10" s="1"/>
  <c r="B1267" i="10"/>
  <c r="Y1267" i="10" s="1"/>
  <c r="B1268" i="10"/>
  <c r="Y1268" i="10" s="1"/>
  <c r="B1269" i="10"/>
  <c r="Y1269" i="10" s="1"/>
  <c r="B1270" i="10"/>
  <c r="Y1270" i="10" s="1"/>
  <c r="B1271" i="10"/>
  <c r="Y1271" i="10" s="1"/>
  <c r="B1272" i="10"/>
  <c r="Y1272" i="10" s="1"/>
  <c r="B1273" i="10"/>
  <c r="Y1273" i="10" s="1"/>
  <c r="B1274" i="10"/>
  <c r="Y1274" i="10" s="1"/>
  <c r="B1275" i="10"/>
  <c r="Y1275" i="10" s="1"/>
  <c r="B1276" i="10"/>
  <c r="Y1276" i="10" s="1"/>
  <c r="B1277" i="10"/>
  <c r="Y1277" i="10" s="1"/>
  <c r="B1278" i="10"/>
  <c r="Y1278" i="10" s="1"/>
  <c r="B1279" i="10"/>
  <c r="Y1279" i="10" s="1"/>
  <c r="B1280" i="10"/>
  <c r="Y1280" i="10" s="1"/>
  <c r="B1281" i="10"/>
  <c r="Y1281" i="10" s="1"/>
  <c r="B1282" i="10"/>
  <c r="Y1282" i="10" s="1"/>
  <c r="B1283" i="10"/>
  <c r="Y1283" i="10" s="1"/>
  <c r="B1284" i="10"/>
  <c r="Y1284" i="10" s="1"/>
  <c r="B1285" i="10"/>
  <c r="Y1285" i="10" s="1"/>
  <c r="B1286" i="10"/>
  <c r="Y1286" i="10" s="1"/>
  <c r="B1287" i="10"/>
  <c r="Y1287" i="10" s="1"/>
  <c r="B1288" i="10"/>
  <c r="Y1288" i="10" s="1"/>
  <c r="B1289" i="10"/>
  <c r="Y1289" i="10" s="1"/>
  <c r="B1290" i="10"/>
  <c r="Y1290" i="10" s="1"/>
  <c r="B1291" i="10"/>
  <c r="Y1291" i="10" s="1"/>
  <c r="B1292" i="10"/>
  <c r="Y1292" i="10" s="1"/>
  <c r="B1293" i="10"/>
  <c r="Y1293" i="10" s="1"/>
  <c r="B1294" i="10"/>
  <c r="Y1294" i="10" s="1"/>
  <c r="B1295" i="10"/>
  <c r="Y1295" i="10" s="1"/>
  <c r="B1296" i="10"/>
  <c r="Y1296" i="10" s="1"/>
  <c r="B1297" i="10"/>
  <c r="Y1297" i="10" s="1"/>
  <c r="B1298" i="10"/>
  <c r="Y1298" i="10" s="1"/>
  <c r="B1299" i="10"/>
  <c r="Y1299" i="10" s="1"/>
  <c r="B1300" i="10"/>
  <c r="Y1300" i="10" s="1"/>
  <c r="B1301" i="10"/>
  <c r="Y1301" i="10" s="1"/>
  <c r="B1302" i="10"/>
  <c r="Y1302" i="10" s="1"/>
  <c r="B1303" i="10"/>
  <c r="Y1303" i="10" s="1"/>
  <c r="B1304" i="10"/>
  <c r="Y1304" i="10" s="1"/>
  <c r="B1305" i="10"/>
  <c r="Y1305" i="10" s="1"/>
  <c r="B1306" i="10"/>
  <c r="Y1306" i="10" s="1"/>
  <c r="B1307" i="10"/>
  <c r="Y1307" i="10" s="1"/>
  <c r="B1308" i="10"/>
  <c r="Y1308" i="10" s="1"/>
  <c r="B1309" i="10"/>
  <c r="Y1309" i="10" s="1"/>
  <c r="B1310" i="10"/>
  <c r="Y1310" i="10" s="1"/>
  <c r="B1311" i="10"/>
  <c r="Y1311" i="10" s="1"/>
  <c r="B1312" i="10"/>
  <c r="Y1312" i="10" s="1"/>
  <c r="B1313" i="10"/>
  <c r="Y1313" i="10" s="1"/>
  <c r="B1314" i="10"/>
  <c r="Y1314" i="10" s="1"/>
  <c r="B1315" i="10"/>
  <c r="Y1315" i="10" s="1"/>
  <c r="B1316" i="10"/>
  <c r="Y1316" i="10" s="1"/>
  <c r="B1317" i="10"/>
  <c r="Y1317" i="10" s="1"/>
  <c r="B1318" i="10"/>
  <c r="Y1318" i="10" s="1"/>
  <c r="B1319" i="10"/>
  <c r="Y1319" i="10" s="1"/>
  <c r="B1320" i="10"/>
  <c r="Y1320" i="10" s="1"/>
  <c r="B1321" i="10"/>
  <c r="Y1321" i="10" s="1"/>
  <c r="B1322" i="10"/>
  <c r="Y1322" i="10" s="1"/>
  <c r="B1323" i="10"/>
  <c r="Y1323" i="10" s="1"/>
  <c r="B1324" i="10"/>
  <c r="Y1324" i="10" s="1"/>
  <c r="B1325" i="10"/>
  <c r="Y1325" i="10" s="1"/>
  <c r="B1326" i="10"/>
  <c r="Y1326" i="10" s="1"/>
  <c r="B1327" i="10"/>
  <c r="Y1327" i="10" s="1"/>
  <c r="B1328" i="10"/>
  <c r="Y1328" i="10" s="1"/>
  <c r="B1329" i="10"/>
  <c r="Y1329" i="10" s="1"/>
  <c r="B1330" i="10"/>
  <c r="Y1330" i="10" s="1"/>
  <c r="B1331" i="10"/>
  <c r="Y1331" i="10" s="1"/>
  <c r="B1332" i="10"/>
  <c r="Y1332" i="10" s="1"/>
  <c r="B1333" i="10"/>
  <c r="Y1333" i="10" s="1"/>
  <c r="B1334" i="10"/>
  <c r="Y1334" i="10" s="1"/>
  <c r="B1335" i="10"/>
  <c r="Y1335" i="10" s="1"/>
  <c r="B1336" i="10"/>
  <c r="Y1336" i="10" s="1"/>
  <c r="B1337" i="10"/>
  <c r="Y1337" i="10" s="1"/>
  <c r="B1338" i="10"/>
  <c r="Y1338" i="10" s="1"/>
  <c r="B1339" i="10"/>
  <c r="Y1339" i="10" s="1"/>
  <c r="B1340" i="10"/>
  <c r="Y1340" i="10" s="1"/>
  <c r="B1341" i="10"/>
  <c r="Y1341" i="10" s="1"/>
  <c r="B1342" i="10"/>
  <c r="Y1342" i="10" s="1"/>
  <c r="B1343" i="10"/>
  <c r="Y1343" i="10" s="1"/>
  <c r="B1344" i="10"/>
  <c r="Y1344" i="10" s="1"/>
  <c r="B1345" i="10"/>
  <c r="Y1345" i="10" s="1"/>
  <c r="B1346" i="10"/>
  <c r="Y1346" i="10" s="1"/>
  <c r="B1347" i="10"/>
  <c r="Y1347" i="10" s="1"/>
  <c r="B1348" i="10"/>
  <c r="Y1348" i="10" s="1"/>
  <c r="B1349" i="10"/>
  <c r="Y1349" i="10" s="1"/>
  <c r="B1350" i="10"/>
  <c r="Y1350" i="10" s="1"/>
  <c r="B1351" i="10"/>
  <c r="Y1351" i="10" s="1"/>
  <c r="B1352" i="10"/>
  <c r="Y1352" i="10" s="1"/>
  <c r="B1353" i="10"/>
  <c r="Y1353" i="10" s="1"/>
  <c r="B1354" i="10"/>
  <c r="Y1354" i="10" s="1"/>
  <c r="B1355" i="10"/>
  <c r="Y1355" i="10" s="1"/>
  <c r="B1356" i="10"/>
  <c r="Y1356" i="10" s="1"/>
  <c r="Z1024" i="10"/>
  <c r="Z1025" i="10"/>
  <c r="Z1026" i="10"/>
  <c r="Z1027" i="10"/>
  <c r="AA1027" i="10" s="1"/>
  <c r="Z1028" i="10"/>
  <c r="AA1028" i="10" s="1"/>
  <c r="Z1029" i="10"/>
  <c r="AA1029" i="10" s="1"/>
  <c r="Z1030" i="10"/>
  <c r="AA1030" i="10" s="1"/>
  <c r="Z1031" i="10"/>
  <c r="AA1031" i="10" s="1"/>
  <c r="Z1032" i="10"/>
  <c r="Z1033" i="10"/>
  <c r="Z1034" i="10"/>
  <c r="Z1035" i="10"/>
  <c r="AA1035" i="10" s="1"/>
  <c r="Z1036" i="10"/>
  <c r="AA1036" i="10" s="1"/>
  <c r="Z1037" i="10"/>
  <c r="AA1037" i="10" s="1"/>
  <c r="Z1038" i="10"/>
  <c r="AA1038" i="10" s="1"/>
  <c r="Z1039" i="10"/>
  <c r="AA1039" i="10" s="1"/>
  <c r="Z1040" i="10"/>
  <c r="Z1041" i="10"/>
  <c r="Z1042" i="10"/>
  <c r="Z1043" i="10"/>
  <c r="AA1043" i="10" s="1"/>
  <c r="Z1044" i="10"/>
  <c r="AA1044" i="10" s="1"/>
  <c r="Z1045" i="10"/>
  <c r="AA1045" i="10" s="1"/>
  <c r="Z1046" i="10"/>
  <c r="AA1046" i="10" s="1"/>
  <c r="Z1047" i="10"/>
  <c r="AA1047" i="10" s="1"/>
  <c r="Z1048" i="10"/>
  <c r="Z1049" i="10"/>
  <c r="Z1050" i="10"/>
  <c r="Z1051" i="10"/>
  <c r="AA1051" i="10" s="1"/>
  <c r="Z1052" i="10"/>
  <c r="AA1052" i="10" s="1"/>
  <c r="Z1053" i="10"/>
  <c r="AA1053" i="10" s="1"/>
  <c r="Z1054" i="10"/>
  <c r="AA1054" i="10" s="1"/>
  <c r="Z1055" i="10"/>
  <c r="AA1055" i="10" s="1"/>
  <c r="Z1056" i="10"/>
  <c r="Z1057" i="10"/>
  <c r="Z1058" i="10"/>
  <c r="Z1059" i="10"/>
  <c r="AA1059" i="10" s="1"/>
  <c r="Z1060" i="10"/>
  <c r="AA1060" i="10" s="1"/>
  <c r="Z1061" i="10"/>
  <c r="AA1061" i="10" s="1"/>
  <c r="Z1062" i="10"/>
  <c r="AA1062" i="10" s="1"/>
  <c r="Z1063" i="10"/>
  <c r="AA1063" i="10" s="1"/>
  <c r="Z1064" i="10"/>
  <c r="Z1065" i="10"/>
  <c r="Z1066" i="10"/>
  <c r="Z1067" i="10"/>
  <c r="AA1067" i="10" s="1"/>
  <c r="Z1068" i="10"/>
  <c r="AA1068" i="10" s="1"/>
  <c r="Z1069" i="10"/>
  <c r="AA1069" i="10" s="1"/>
  <c r="Z1070" i="10"/>
  <c r="AA1070" i="10" s="1"/>
  <c r="Z1071" i="10"/>
  <c r="AA1071" i="10" s="1"/>
  <c r="Z1072" i="10"/>
  <c r="Z1073" i="10"/>
  <c r="Z1074" i="10"/>
  <c r="Z1075" i="10"/>
  <c r="AA1075" i="10" s="1"/>
  <c r="Z1076" i="10"/>
  <c r="AA1076" i="10" s="1"/>
  <c r="Z1077" i="10"/>
  <c r="AA1077" i="10" s="1"/>
  <c r="Z1078" i="10"/>
  <c r="AA1078" i="10" s="1"/>
  <c r="Z1079" i="10"/>
  <c r="AA1079" i="10" s="1"/>
  <c r="Z1080" i="10"/>
  <c r="Z1081" i="10"/>
  <c r="Z1082" i="10"/>
  <c r="Z1083" i="10"/>
  <c r="AA1083" i="10" s="1"/>
  <c r="Z1084" i="10"/>
  <c r="AA1084" i="10" s="1"/>
  <c r="Z1085" i="10"/>
  <c r="AA1085" i="10" s="1"/>
  <c r="Z1086" i="10"/>
  <c r="AA1086" i="10" s="1"/>
  <c r="Z1087" i="10"/>
  <c r="AA1087" i="10" s="1"/>
  <c r="Z1088" i="10"/>
  <c r="Z1089" i="10"/>
  <c r="Z1090" i="10"/>
  <c r="Z1091" i="10"/>
  <c r="AA1091" i="10" s="1"/>
  <c r="Z1092" i="10"/>
  <c r="AA1092" i="10" s="1"/>
  <c r="Z1093" i="10"/>
  <c r="AA1093" i="10" s="1"/>
  <c r="Z1094" i="10"/>
  <c r="AA1094" i="10" s="1"/>
  <c r="Z1095" i="10"/>
  <c r="AA1095" i="10" s="1"/>
  <c r="Z1096" i="10"/>
  <c r="Z1097" i="10"/>
  <c r="Z1098" i="10"/>
  <c r="Z1099" i="10"/>
  <c r="AA1099" i="10" s="1"/>
  <c r="Z1100" i="10"/>
  <c r="AA1100" i="10" s="1"/>
  <c r="Z1101" i="10"/>
  <c r="AA1101" i="10" s="1"/>
  <c r="Z1102" i="10"/>
  <c r="AA1102" i="10" s="1"/>
  <c r="Z1103" i="10"/>
  <c r="AA1103" i="10" s="1"/>
  <c r="Z1104" i="10"/>
  <c r="Z1105" i="10"/>
  <c r="Z1106" i="10"/>
  <c r="Z1107" i="10"/>
  <c r="AA1107" i="10" s="1"/>
  <c r="Z1108" i="10"/>
  <c r="AA1108" i="10" s="1"/>
  <c r="Z1109" i="10"/>
  <c r="AA1109" i="10" s="1"/>
  <c r="Z1110" i="10"/>
  <c r="AA1110" i="10" s="1"/>
  <c r="Z1111" i="10"/>
  <c r="AA1111" i="10" s="1"/>
  <c r="Z1112" i="10"/>
  <c r="Z1113" i="10"/>
  <c r="Z1114" i="10"/>
  <c r="Z1115" i="10"/>
  <c r="AA1115" i="10" s="1"/>
  <c r="Z1116" i="10"/>
  <c r="AA1116" i="10" s="1"/>
  <c r="Z1117" i="10"/>
  <c r="AA1117" i="10" s="1"/>
  <c r="Z1118" i="10"/>
  <c r="AA1118" i="10" s="1"/>
  <c r="Z1119" i="10"/>
  <c r="AA1119" i="10" s="1"/>
  <c r="Z1120" i="10"/>
  <c r="Z1121" i="10"/>
  <c r="Z1122" i="10"/>
  <c r="Z1123" i="10"/>
  <c r="AA1123" i="10" s="1"/>
  <c r="Z1124" i="10"/>
  <c r="AA1124" i="10" s="1"/>
  <c r="Z1125" i="10"/>
  <c r="AA1125" i="10" s="1"/>
  <c r="Z1126" i="10"/>
  <c r="AA1126" i="10" s="1"/>
  <c r="Z1127" i="10"/>
  <c r="AA1127" i="10" s="1"/>
  <c r="Z1128" i="10"/>
  <c r="Z1129" i="10"/>
  <c r="Z1130" i="10"/>
  <c r="Z1131" i="10"/>
  <c r="AA1131" i="10" s="1"/>
  <c r="Z1132" i="10"/>
  <c r="AA1132" i="10" s="1"/>
  <c r="Z1133" i="10"/>
  <c r="AA1133" i="10" s="1"/>
  <c r="Z1134" i="10"/>
  <c r="AA1134" i="10" s="1"/>
  <c r="Z1135" i="10"/>
  <c r="AA1135" i="10" s="1"/>
  <c r="Z1136" i="10"/>
  <c r="Z1137" i="10"/>
  <c r="Z1138" i="10"/>
  <c r="Z1139" i="10"/>
  <c r="AA1139" i="10" s="1"/>
  <c r="Z1140" i="10"/>
  <c r="AA1140" i="10" s="1"/>
  <c r="Z1141" i="10"/>
  <c r="AA1141" i="10" s="1"/>
  <c r="Z1142" i="10"/>
  <c r="AA1142" i="10" s="1"/>
  <c r="Z1143" i="10"/>
  <c r="AA1143" i="10" s="1"/>
  <c r="Z1144" i="10"/>
  <c r="Z1145" i="10"/>
  <c r="Z1146" i="10"/>
  <c r="Z1147" i="10"/>
  <c r="AA1147" i="10" s="1"/>
  <c r="Z1148" i="10"/>
  <c r="AA1148" i="10" s="1"/>
  <c r="Z1149" i="10"/>
  <c r="AA1149" i="10" s="1"/>
  <c r="Z1150" i="10"/>
  <c r="AA1150" i="10" s="1"/>
  <c r="Z1151" i="10"/>
  <c r="AA1151" i="10" s="1"/>
  <c r="Z1152" i="10"/>
  <c r="Z1153" i="10"/>
  <c r="Z1154" i="10"/>
  <c r="Z1155" i="10"/>
  <c r="AA1155" i="10" s="1"/>
  <c r="Z1156" i="10"/>
  <c r="AA1156" i="10" s="1"/>
  <c r="Z1157" i="10"/>
  <c r="AA1157" i="10" s="1"/>
  <c r="Z1158" i="10"/>
  <c r="AA1158" i="10" s="1"/>
  <c r="Z1159" i="10"/>
  <c r="AA1159" i="10" s="1"/>
  <c r="Z1160" i="10"/>
  <c r="Z1161" i="10"/>
  <c r="Z1162" i="10"/>
  <c r="Z1163" i="10"/>
  <c r="AA1163" i="10" s="1"/>
  <c r="Z1164" i="10"/>
  <c r="AA1164" i="10" s="1"/>
  <c r="Z1165" i="10"/>
  <c r="AA1165" i="10" s="1"/>
  <c r="Z1166" i="10"/>
  <c r="AA1166" i="10" s="1"/>
  <c r="Z1167" i="10"/>
  <c r="AA1167" i="10" s="1"/>
  <c r="Z1168" i="10"/>
  <c r="Z1169" i="10"/>
  <c r="Z1170" i="10"/>
  <c r="Z1171" i="10"/>
  <c r="AA1171" i="10" s="1"/>
  <c r="Z1172" i="10"/>
  <c r="AA1172" i="10" s="1"/>
  <c r="Z1173" i="10"/>
  <c r="AA1173" i="10" s="1"/>
  <c r="Z1174" i="10"/>
  <c r="AA1174" i="10" s="1"/>
  <c r="Z1175" i="10"/>
  <c r="AA1175" i="10" s="1"/>
  <c r="Z1176" i="10"/>
  <c r="Z1177" i="10"/>
  <c r="Z1178" i="10"/>
  <c r="Z1179" i="10"/>
  <c r="AA1179" i="10" s="1"/>
  <c r="Z1180" i="10"/>
  <c r="AA1180" i="10" s="1"/>
  <c r="Z1181" i="10"/>
  <c r="AA1181" i="10" s="1"/>
  <c r="Z1182" i="10"/>
  <c r="AA1182" i="10" s="1"/>
  <c r="Z1183" i="10"/>
  <c r="AA1183" i="10" s="1"/>
  <c r="Z1184" i="10"/>
  <c r="Z1185" i="10"/>
  <c r="Z1186" i="10"/>
  <c r="Z1187" i="10"/>
  <c r="AA1187" i="10" s="1"/>
  <c r="Z1188" i="10"/>
  <c r="AA1188" i="10" s="1"/>
  <c r="Z1189" i="10"/>
  <c r="AA1189" i="10" s="1"/>
  <c r="Z1190" i="10"/>
  <c r="AA1190" i="10" s="1"/>
  <c r="Z1191" i="10"/>
  <c r="AA1191" i="10" s="1"/>
  <c r="Z1192" i="10"/>
  <c r="Z1193" i="10"/>
  <c r="Z1194" i="10"/>
  <c r="Z1195" i="10"/>
  <c r="AA1195" i="10" s="1"/>
  <c r="Z1196" i="10"/>
  <c r="AA1196" i="10" s="1"/>
  <c r="Z1197" i="10"/>
  <c r="AA1197" i="10" s="1"/>
  <c r="Z1198" i="10"/>
  <c r="AA1198" i="10" s="1"/>
  <c r="Z1199" i="10"/>
  <c r="AA1199" i="10" s="1"/>
  <c r="Z1200" i="10"/>
  <c r="Z1201" i="10"/>
  <c r="Z1202" i="10"/>
  <c r="Z1203" i="10"/>
  <c r="AA1203" i="10" s="1"/>
  <c r="Z1204" i="10"/>
  <c r="AA1204" i="10" s="1"/>
  <c r="Z1205" i="10"/>
  <c r="AA1205" i="10" s="1"/>
  <c r="Z1206" i="10"/>
  <c r="AA1206" i="10" s="1"/>
  <c r="Z1207" i="10"/>
  <c r="AA1207" i="10" s="1"/>
  <c r="Z1208" i="10"/>
  <c r="Z1209" i="10"/>
  <c r="Z1210" i="10"/>
  <c r="Z1211" i="10"/>
  <c r="AA1211" i="10" s="1"/>
  <c r="Z1212" i="10"/>
  <c r="AA1212" i="10" s="1"/>
  <c r="Z1213" i="10"/>
  <c r="AA1213" i="10" s="1"/>
  <c r="Z1214" i="10"/>
  <c r="AA1214" i="10" s="1"/>
  <c r="Z1215" i="10"/>
  <c r="AA1215" i="10" s="1"/>
  <c r="Z1216" i="10"/>
  <c r="Z1217" i="10"/>
  <c r="Z1218" i="10"/>
  <c r="Z1219" i="10"/>
  <c r="AA1219" i="10" s="1"/>
  <c r="Z1220" i="10"/>
  <c r="AA1220" i="10" s="1"/>
  <c r="Z1221" i="10"/>
  <c r="AA1221" i="10" s="1"/>
  <c r="Z1222" i="10"/>
  <c r="AA1222" i="10" s="1"/>
  <c r="Z1223" i="10"/>
  <c r="AA1223" i="10" s="1"/>
  <c r="Z1224" i="10"/>
  <c r="Z1225" i="10"/>
  <c r="Z1226" i="10"/>
  <c r="Z1227" i="10"/>
  <c r="AA1227" i="10" s="1"/>
  <c r="Z1228" i="10"/>
  <c r="AA1228" i="10" s="1"/>
  <c r="Z1229" i="10"/>
  <c r="AA1229" i="10" s="1"/>
  <c r="Z1230" i="10"/>
  <c r="AA1230" i="10" s="1"/>
  <c r="Z1231" i="10"/>
  <c r="AA1231" i="10" s="1"/>
  <c r="Z1232" i="10"/>
  <c r="Z1233" i="10"/>
  <c r="Z1234" i="10"/>
  <c r="Z1235" i="10"/>
  <c r="AA1235" i="10" s="1"/>
  <c r="Z1236" i="10"/>
  <c r="AA1236" i="10" s="1"/>
  <c r="Z1237" i="10"/>
  <c r="AA1237" i="10" s="1"/>
  <c r="Z1238" i="10"/>
  <c r="AA1238" i="10" s="1"/>
  <c r="Z1239" i="10"/>
  <c r="AA1239" i="10" s="1"/>
  <c r="Z1240" i="10"/>
  <c r="Z1241" i="10"/>
  <c r="Z1242" i="10"/>
  <c r="Z1243" i="10"/>
  <c r="AA1243" i="10" s="1"/>
  <c r="Z1244" i="10"/>
  <c r="AA1244" i="10" s="1"/>
  <c r="Z1245" i="10"/>
  <c r="AA1245" i="10" s="1"/>
  <c r="Z1246" i="10"/>
  <c r="AA1246" i="10" s="1"/>
  <c r="Z1247" i="10"/>
  <c r="AA1247" i="10" s="1"/>
  <c r="Z1248" i="10"/>
  <c r="Z1249" i="10"/>
  <c r="Z1250" i="10"/>
  <c r="Z1251" i="10"/>
  <c r="AA1251" i="10" s="1"/>
  <c r="Z1252" i="10"/>
  <c r="AA1252" i="10" s="1"/>
  <c r="Z1253" i="10"/>
  <c r="AA1253" i="10" s="1"/>
  <c r="Z1254" i="10"/>
  <c r="AA1254" i="10" s="1"/>
  <c r="Z1255" i="10"/>
  <c r="AA1255" i="10" s="1"/>
  <c r="Z1256" i="10"/>
  <c r="Z1257" i="10"/>
  <c r="Z1258" i="10"/>
  <c r="Z1259" i="10"/>
  <c r="AA1259" i="10" s="1"/>
  <c r="Z1260" i="10"/>
  <c r="AA1260" i="10" s="1"/>
  <c r="Z1261" i="10"/>
  <c r="AA1261" i="10" s="1"/>
  <c r="Z1262" i="10"/>
  <c r="AA1262" i="10" s="1"/>
  <c r="Z1263" i="10"/>
  <c r="AA1263" i="10" s="1"/>
  <c r="Z1264" i="10"/>
  <c r="Z1265" i="10"/>
  <c r="Z1266" i="10"/>
  <c r="Z1267" i="10"/>
  <c r="AA1267" i="10" s="1"/>
  <c r="Z1268" i="10"/>
  <c r="AA1268" i="10" s="1"/>
  <c r="Z1269" i="10"/>
  <c r="AA1269" i="10" s="1"/>
  <c r="Z1270" i="10"/>
  <c r="AA1270" i="10" s="1"/>
  <c r="Z1271" i="10"/>
  <c r="AA1271" i="10" s="1"/>
  <c r="Z1272" i="10"/>
  <c r="Z1273" i="10"/>
  <c r="Z1274" i="10"/>
  <c r="Z1275" i="10"/>
  <c r="AA1275" i="10" s="1"/>
  <c r="Z1276" i="10"/>
  <c r="AA1276" i="10" s="1"/>
  <c r="Z1277" i="10"/>
  <c r="AA1277" i="10" s="1"/>
  <c r="Z1278" i="10"/>
  <c r="AA1278" i="10" s="1"/>
  <c r="Z1279" i="10"/>
  <c r="AA1279" i="10" s="1"/>
  <c r="Z1280" i="10"/>
  <c r="Z1281" i="10"/>
  <c r="Z1282" i="10"/>
  <c r="Z1283" i="10"/>
  <c r="AA1283" i="10" s="1"/>
  <c r="Z1284" i="10"/>
  <c r="AA1284" i="10" s="1"/>
  <c r="Z1285" i="10"/>
  <c r="AA1285" i="10" s="1"/>
  <c r="Z1286" i="10"/>
  <c r="AA1286" i="10" s="1"/>
  <c r="Z1287" i="10"/>
  <c r="AA1287" i="10" s="1"/>
  <c r="Z1288" i="10"/>
  <c r="Z1289" i="10"/>
  <c r="Z1290" i="10"/>
  <c r="Z1291" i="10"/>
  <c r="AA1291" i="10" s="1"/>
  <c r="Z1292" i="10"/>
  <c r="AA1292" i="10" s="1"/>
  <c r="Z1293" i="10"/>
  <c r="AA1293" i="10" s="1"/>
  <c r="Z1294" i="10"/>
  <c r="AA1294" i="10" s="1"/>
  <c r="Z1295" i="10"/>
  <c r="AA1295" i="10" s="1"/>
  <c r="Z1296" i="10"/>
  <c r="Z1297" i="10"/>
  <c r="Z1298" i="10"/>
  <c r="Z1299" i="10"/>
  <c r="AA1299" i="10" s="1"/>
  <c r="Z1300" i="10"/>
  <c r="AA1300" i="10" s="1"/>
  <c r="Z1301" i="10"/>
  <c r="AA1301" i="10" s="1"/>
  <c r="Z1302" i="10"/>
  <c r="AA1302" i="10" s="1"/>
  <c r="Z1303" i="10"/>
  <c r="AA1303" i="10" s="1"/>
  <c r="Z1304" i="10"/>
  <c r="Z1305" i="10"/>
  <c r="Z1306" i="10"/>
  <c r="Z1307" i="10"/>
  <c r="AA1307" i="10" s="1"/>
  <c r="Z1308" i="10"/>
  <c r="AA1308" i="10" s="1"/>
  <c r="Z1309" i="10"/>
  <c r="AA1309" i="10" s="1"/>
  <c r="Z1310" i="10"/>
  <c r="AA1310" i="10" s="1"/>
  <c r="Z1311" i="10"/>
  <c r="AA1311" i="10" s="1"/>
  <c r="Z1312" i="10"/>
  <c r="Z1313" i="10"/>
  <c r="Z1314" i="10"/>
  <c r="Z1315" i="10"/>
  <c r="AA1315" i="10" s="1"/>
  <c r="Z1316" i="10"/>
  <c r="AA1316" i="10" s="1"/>
  <c r="Z1317" i="10"/>
  <c r="AA1317" i="10" s="1"/>
  <c r="Z1318" i="10"/>
  <c r="AA1318" i="10" s="1"/>
  <c r="Z1319" i="10"/>
  <c r="AA1319" i="10" s="1"/>
  <c r="Z1320" i="10"/>
  <c r="Z1321" i="10"/>
  <c r="Z1322" i="10"/>
  <c r="Z1323" i="10"/>
  <c r="AA1323" i="10" s="1"/>
  <c r="Z1324" i="10"/>
  <c r="AA1324" i="10" s="1"/>
  <c r="Z1325" i="10"/>
  <c r="AA1325" i="10" s="1"/>
  <c r="Z1326" i="10"/>
  <c r="AA1326" i="10" s="1"/>
  <c r="Z1327" i="10"/>
  <c r="AA1327" i="10" s="1"/>
  <c r="Z1328" i="10"/>
  <c r="Z1329" i="10"/>
  <c r="Z1330" i="10"/>
  <c r="Z1331" i="10"/>
  <c r="AA1331" i="10" s="1"/>
  <c r="Z1332" i="10"/>
  <c r="AA1332" i="10" s="1"/>
  <c r="Z1333" i="10"/>
  <c r="AA1333" i="10" s="1"/>
  <c r="Z1334" i="10"/>
  <c r="AA1334" i="10" s="1"/>
  <c r="Z1335" i="10"/>
  <c r="AA1335" i="10" s="1"/>
  <c r="Z1336" i="10"/>
  <c r="Z1337" i="10"/>
  <c r="Z1338" i="10"/>
  <c r="Z1339" i="10"/>
  <c r="AA1339" i="10" s="1"/>
  <c r="Z1340" i="10"/>
  <c r="AA1340" i="10" s="1"/>
  <c r="Z1341" i="10"/>
  <c r="AA1341" i="10" s="1"/>
  <c r="Z1342" i="10"/>
  <c r="AA1342" i="10" s="1"/>
  <c r="Z1343" i="10"/>
  <c r="AA1343" i="10" s="1"/>
  <c r="Z1344" i="10"/>
  <c r="Z1345" i="10"/>
  <c r="Z1346" i="10"/>
  <c r="Z1347" i="10"/>
  <c r="AA1347" i="10" s="1"/>
  <c r="Z1348" i="10"/>
  <c r="AA1348" i="10" s="1"/>
  <c r="Z1349" i="10"/>
  <c r="AA1349" i="10" s="1"/>
  <c r="Z1350" i="10"/>
  <c r="AA1350" i="10" s="1"/>
  <c r="Z1351" i="10"/>
  <c r="AA1351" i="10" s="1"/>
  <c r="Z1352" i="10"/>
  <c r="Z1353" i="10"/>
  <c r="Z1354" i="10"/>
  <c r="Z1355" i="10"/>
  <c r="AA1355" i="10" s="1"/>
  <c r="Z1356" i="10"/>
  <c r="AA1356" i="10" s="1"/>
  <c r="B1357" i="10"/>
  <c r="Y1357" i="10" s="1"/>
  <c r="Z1357" i="10"/>
  <c r="B1358" i="10"/>
  <c r="Y1358" i="10" s="1"/>
  <c r="Z1358" i="10"/>
  <c r="B1359" i="10"/>
  <c r="Y1359" i="10" s="1"/>
  <c r="Z1359" i="10"/>
  <c r="B1360" i="10"/>
  <c r="Y1360" i="10" s="1"/>
  <c r="Z1360" i="10"/>
  <c r="B1361" i="10"/>
  <c r="Y1361" i="10" s="1"/>
  <c r="Z1361" i="10"/>
  <c r="B1362" i="10"/>
  <c r="Y1362" i="10" s="1"/>
  <c r="Z1362" i="10"/>
  <c r="B1363" i="10"/>
  <c r="Y1363" i="10" s="1"/>
  <c r="Z1363" i="10"/>
  <c r="B1364" i="10"/>
  <c r="Y1364" i="10" s="1"/>
  <c r="Z1364" i="10"/>
  <c r="B1365" i="10"/>
  <c r="Y1365" i="10" s="1"/>
  <c r="Z1365" i="10"/>
  <c r="B1366" i="10"/>
  <c r="Y1366" i="10" s="1"/>
  <c r="Z1366" i="10"/>
  <c r="B1367" i="10"/>
  <c r="Y1367" i="10" s="1"/>
  <c r="Z1367" i="10"/>
  <c r="B1368" i="10"/>
  <c r="Y1368" i="10" s="1"/>
  <c r="Z1368" i="10"/>
  <c r="B1369" i="10"/>
  <c r="Y1369" i="10" s="1"/>
  <c r="Z1369" i="10"/>
  <c r="B1370" i="10"/>
  <c r="Y1370" i="10" s="1"/>
  <c r="Z1370" i="10"/>
  <c r="B1371" i="10"/>
  <c r="Y1371" i="10" s="1"/>
  <c r="Z1371" i="10"/>
  <c r="B1372" i="10"/>
  <c r="Y1372" i="10" s="1"/>
  <c r="Z1372" i="10"/>
  <c r="B1373" i="10"/>
  <c r="Y1373" i="10" s="1"/>
  <c r="Z1373" i="10"/>
  <c r="B1374" i="10"/>
  <c r="Y1374" i="10" s="1"/>
  <c r="Z1374" i="10"/>
  <c r="B1375" i="10"/>
  <c r="Y1375" i="10" s="1"/>
  <c r="Z1375" i="10"/>
  <c r="B1376" i="10"/>
  <c r="Y1376" i="10" s="1"/>
  <c r="Z1376" i="10"/>
  <c r="B1377" i="10"/>
  <c r="Y1377" i="10" s="1"/>
  <c r="Z1377" i="10"/>
  <c r="B1378" i="10"/>
  <c r="Y1378" i="10" s="1"/>
  <c r="Z1378" i="10"/>
  <c r="B1379" i="10"/>
  <c r="Y1379" i="10" s="1"/>
  <c r="Z1379" i="10"/>
  <c r="B1380" i="10"/>
  <c r="Y1380" i="10" s="1"/>
  <c r="Z1380" i="10"/>
  <c r="B1381" i="10"/>
  <c r="Y1381" i="10" s="1"/>
  <c r="Z1381" i="10"/>
  <c r="B1382" i="10"/>
  <c r="Y1382" i="10" s="1"/>
  <c r="Z1382" i="10"/>
  <c r="B1383" i="10"/>
  <c r="Y1383" i="10" s="1"/>
  <c r="Z1383" i="10"/>
  <c r="B1384" i="10"/>
  <c r="Y1384" i="10" s="1"/>
  <c r="Z1384" i="10"/>
  <c r="B1385" i="10"/>
  <c r="Y1385" i="10" s="1"/>
  <c r="Z1385" i="10"/>
  <c r="B1386" i="10"/>
  <c r="Y1386" i="10" s="1"/>
  <c r="Z1386" i="10"/>
  <c r="B1387" i="10"/>
  <c r="Y1387" i="10" s="1"/>
  <c r="Z1387" i="10"/>
  <c r="B1388" i="10"/>
  <c r="Y1388" i="10" s="1"/>
  <c r="Z1388" i="10"/>
  <c r="B1389" i="10"/>
  <c r="Y1389" i="10" s="1"/>
  <c r="Z1389" i="10"/>
  <c r="B1390" i="10"/>
  <c r="Y1390" i="10" s="1"/>
  <c r="Z1390" i="10"/>
  <c r="B1391" i="10"/>
  <c r="Y1391" i="10" s="1"/>
  <c r="Z1391" i="10"/>
  <c r="B1392" i="10"/>
  <c r="Y1392" i="10" s="1"/>
  <c r="Z1392" i="10"/>
  <c r="B1393" i="10"/>
  <c r="Y1393" i="10" s="1"/>
  <c r="Z1393" i="10"/>
  <c r="B1394" i="10"/>
  <c r="Y1394" i="10" s="1"/>
  <c r="Z1394" i="10"/>
  <c r="B1395" i="10"/>
  <c r="Y1395" i="10" s="1"/>
  <c r="Z1395" i="10"/>
  <c r="B1396" i="10"/>
  <c r="Y1396" i="10" s="1"/>
  <c r="Z1396" i="10"/>
  <c r="B1397" i="10"/>
  <c r="Y1397" i="10" s="1"/>
  <c r="Z1397" i="10"/>
  <c r="B1398" i="10"/>
  <c r="Y1398" i="10" s="1"/>
  <c r="Z1398" i="10"/>
  <c r="B1399" i="10"/>
  <c r="Y1399" i="10" s="1"/>
  <c r="Z1399" i="10"/>
  <c r="B1400" i="10"/>
  <c r="Y1400" i="10" s="1"/>
  <c r="Z1400" i="10"/>
  <c r="B1401" i="10"/>
  <c r="Y1401" i="10" s="1"/>
  <c r="Z1401" i="10"/>
  <c r="B1402" i="10"/>
  <c r="Y1402" i="10" s="1"/>
  <c r="Z1402" i="10"/>
  <c r="B1403" i="10"/>
  <c r="Y1403" i="10" s="1"/>
  <c r="Z1403" i="10"/>
  <c r="B1404" i="10"/>
  <c r="Y1404" i="10" s="1"/>
  <c r="Z1404" i="10"/>
  <c r="B1405" i="10"/>
  <c r="Y1405" i="10" s="1"/>
  <c r="Z1405" i="10"/>
  <c r="B1406" i="10"/>
  <c r="Y1406" i="10" s="1"/>
  <c r="Z1406" i="10"/>
  <c r="B1407" i="10"/>
  <c r="Y1407" i="10" s="1"/>
  <c r="Z1407" i="10"/>
  <c r="B1408" i="10"/>
  <c r="Y1408" i="10" s="1"/>
  <c r="Z1408" i="10"/>
  <c r="B1409" i="10"/>
  <c r="Y1409" i="10" s="1"/>
  <c r="Z1409" i="10"/>
  <c r="B1410" i="10"/>
  <c r="Y1410" i="10" s="1"/>
  <c r="Z1410" i="10"/>
  <c r="B1411" i="10"/>
  <c r="Y1411" i="10" s="1"/>
  <c r="Z1411" i="10"/>
  <c r="B1412" i="10"/>
  <c r="Y1412" i="10" s="1"/>
  <c r="Z1412" i="10"/>
  <c r="B1413" i="10"/>
  <c r="Y1413" i="10" s="1"/>
  <c r="Z1413" i="10"/>
  <c r="B1414" i="10"/>
  <c r="Y1414" i="10" s="1"/>
  <c r="Z1414" i="10"/>
  <c r="B1415" i="10"/>
  <c r="Y1415" i="10" s="1"/>
  <c r="Z1415" i="10"/>
  <c r="B1416" i="10"/>
  <c r="Y1416" i="10" s="1"/>
  <c r="Z1416" i="10"/>
  <c r="B1417" i="10"/>
  <c r="Y1417" i="10" s="1"/>
  <c r="Z1417" i="10"/>
  <c r="B1418" i="10"/>
  <c r="Y1418" i="10" s="1"/>
  <c r="Z1418" i="10"/>
  <c r="B1419" i="10"/>
  <c r="Y1419" i="10" s="1"/>
  <c r="Z1419" i="10"/>
  <c r="B1420" i="10"/>
  <c r="Y1420" i="10" s="1"/>
  <c r="Z1420" i="10"/>
  <c r="B1421" i="10"/>
  <c r="Y1421" i="10" s="1"/>
  <c r="Z1421" i="10"/>
  <c r="B1422" i="10"/>
  <c r="Y1422" i="10" s="1"/>
  <c r="Z1422" i="10"/>
  <c r="B1423" i="10"/>
  <c r="Y1423" i="10" s="1"/>
  <c r="Z1423" i="10"/>
  <c r="B1424" i="10"/>
  <c r="Y1424" i="10" s="1"/>
  <c r="Z1424" i="10"/>
  <c r="B1425" i="10"/>
  <c r="Y1425" i="10" s="1"/>
  <c r="Z1425" i="10"/>
  <c r="B1426" i="10"/>
  <c r="Y1426" i="10" s="1"/>
  <c r="Z1426" i="10"/>
  <c r="B1427" i="10"/>
  <c r="Y1427" i="10" s="1"/>
  <c r="Z1427" i="10"/>
  <c r="B1428" i="10"/>
  <c r="Y1428" i="10" s="1"/>
  <c r="Z1428" i="10"/>
  <c r="B1429" i="10"/>
  <c r="Y1429" i="10" s="1"/>
  <c r="Z1429" i="10"/>
  <c r="B1430" i="10"/>
  <c r="Y1430" i="10" s="1"/>
  <c r="Z1430" i="10"/>
  <c r="B1431" i="10"/>
  <c r="Y1431" i="10" s="1"/>
  <c r="Z1431" i="10"/>
  <c r="B1432" i="10"/>
  <c r="Y1432" i="10" s="1"/>
  <c r="Z1432" i="10"/>
  <c r="B1433" i="10"/>
  <c r="Y1433" i="10" s="1"/>
  <c r="Z1433" i="10"/>
  <c r="B1434" i="10"/>
  <c r="Y1434" i="10" s="1"/>
  <c r="Z1434" i="10"/>
  <c r="B1435" i="10"/>
  <c r="Y1435" i="10" s="1"/>
  <c r="Z1435" i="10"/>
  <c r="B1436" i="10"/>
  <c r="Y1436" i="10" s="1"/>
  <c r="Z1436" i="10"/>
  <c r="B1437" i="10"/>
  <c r="Y1437" i="10" s="1"/>
  <c r="Z1437" i="10"/>
  <c r="B1438" i="10"/>
  <c r="Y1438" i="10" s="1"/>
  <c r="Z1438" i="10"/>
  <c r="B1439" i="10"/>
  <c r="Y1439" i="10" s="1"/>
  <c r="Z1439" i="10"/>
  <c r="B1440" i="10"/>
  <c r="Y1440" i="10" s="1"/>
  <c r="Z1440" i="10"/>
  <c r="B1441" i="10"/>
  <c r="Y1441" i="10" s="1"/>
  <c r="Z1441" i="10"/>
  <c r="B1442" i="10"/>
  <c r="Y1442" i="10" s="1"/>
  <c r="Z1442" i="10"/>
  <c r="B1443" i="10"/>
  <c r="Y1443" i="10" s="1"/>
  <c r="Z1443" i="10"/>
  <c r="B1444" i="10"/>
  <c r="Y1444" i="10" s="1"/>
  <c r="Z1444" i="10"/>
  <c r="B1445" i="10"/>
  <c r="Y1445" i="10" s="1"/>
  <c r="Z1445" i="10"/>
  <c r="B1446" i="10"/>
  <c r="Y1446" i="10" s="1"/>
  <c r="Z1446" i="10"/>
  <c r="B1447" i="10"/>
  <c r="Y1447" i="10" s="1"/>
  <c r="Z1447" i="10"/>
  <c r="B1448" i="10"/>
  <c r="Y1448" i="10" s="1"/>
  <c r="Z1448" i="10"/>
  <c r="B1449" i="10"/>
  <c r="Y1449" i="10" s="1"/>
  <c r="Z1449" i="10"/>
  <c r="B1450" i="10"/>
  <c r="Y1450" i="10" s="1"/>
  <c r="Z1450" i="10"/>
  <c r="B1451" i="10"/>
  <c r="Y1451" i="10" s="1"/>
  <c r="Z1451" i="10"/>
  <c r="B1452" i="10"/>
  <c r="Y1452" i="10" s="1"/>
  <c r="Z1452" i="10"/>
  <c r="B1453" i="10"/>
  <c r="Y1453" i="10" s="1"/>
  <c r="Z1453" i="10"/>
  <c r="B1454" i="10"/>
  <c r="Y1454" i="10" s="1"/>
  <c r="Z1454" i="10"/>
  <c r="B1455" i="10"/>
  <c r="Y1455" i="10" s="1"/>
  <c r="Z1455" i="10"/>
  <c r="B1456" i="10"/>
  <c r="Y1456" i="10" s="1"/>
  <c r="Z1456" i="10"/>
  <c r="B1457" i="10"/>
  <c r="Y1457" i="10" s="1"/>
  <c r="Z1457" i="10"/>
  <c r="B1458" i="10"/>
  <c r="Y1458" i="10" s="1"/>
  <c r="Z1458" i="10"/>
  <c r="B1459" i="10"/>
  <c r="Y1459" i="10" s="1"/>
  <c r="Z1459" i="10"/>
  <c r="B1460" i="10"/>
  <c r="Y1460" i="10" s="1"/>
  <c r="Z1460" i="10"/>
  <c r="B1461" i="10"/>
  <c r="Y1461" i="10" s="1"/>
  <c r="Z1461" i="10"/>
  <c r="B1462" i="10"/>
  <c r="Y1462" i="10" s="1"/>
  <c r="Z1462" i="10"/>
  <c r="B1463" i="10"/>
  <c r="Y1463" i="10" s="1"/>
  <c r="Z1463" i="10"/>
  <c r="B1464" i="10"/>
  <c r="Y1464" i="10" s="1"/>
  <c r="Z1464" i="10"/>
  <c r="B1465" i="10"/>
  <c r="Y1465" i="10" s="1"/>
  <c r="Z1465" i="10"/>
  <c r="B1466" i="10"/>
  <c r="Y1466" i="10" s="1"/>
  <c r="Z1466" i="10"/>
  <c r="B1467" i="10"/>
  <c r="Y1467" i="10" s="1"/>
  <c r="Z1467" i="10"/>
  <c r="B1468" i="10"/>
  <c r="Y1468" i="10" s="1"/>
  <c r="Z1468" i="10"/>
  <c r="B1469" i="10"/>
  <c r="Y1469" i="10" s="1"/>
  <c r="Z1469" i="10"/>
  <c r="B1470" i="10"/>
  <c r="Y1470" i="10" s="1"/>
  <c r="Z1470" i="10"/>
  <c r="B1471" i="10"/>
  <c r="Y1471" i="10" s="1"/>
  <c r="Z1471" i="10"/>
  <c r="B1472" i="10"/>
  <c r="Y1472" i="10" s="1"/>
  <c r="Z1472" i="10"/>
  <c r="B1473" i="10"/>
  <c r="Y1473" i="10" s="1"/>
  <c r="Z1473" i="10"/>
  <c r="B1474" i="10"/>
  <c r="Y1474" i="10" s="1"/>
  <c r="Z1474" i="10"/>
  <c r="B1475" i="10"/>
  <c r="Y1475" i="10" s="1"/>
  <c r="Z1475" i="10"/>
  <c r="B1476" i="10"/>
  <c r="Y1476" i="10" s="1"/>
  <c r="Z1476" i="10"/>
  <c r="B1477" i="10"/>
  <c r="Y1477" i="10" s="1"/>
  <c r="Z1477" i="10"/>
  <c r="B1478" i="10"/>
  <c r="Y1478" i="10" s="1"/>
  <c r="Z1478" i="10"/>
  <c r="B1479" i="10"/>
  <c r="Y1479" i="10" s="1"/>
  <c r="Z1479" i="10"/>
  <c r="B1480" i="10"/>
  <c r="Y1480" i="10" s="1"/>
  <c r="Z1480" i="10"/>
  <c r="B1481" i="10"/>
  <c r="Y1481" i="10" s="1"/>
  <c r="Z1481" i="10"/>
  <c r="B1482" i="10"/>
  <c r="Y1482" i="10" s="1"/>
  <c r="Z1482" i="10"/>
  <c r="B1483" i="10"/>
  <c r="Y1483" i="10" s="1"/>
  <c r="Z1483" i="10"/>
  <c r="B1484" i="10"/>
  <c r="Y1484" i="10" s="1"/>
  <c r="Z1484" i="10"/>
  <c r="B1485" i="10"/>
  <c r="Y1485" i="10" s="1"/>
  <c r="Z1485" i="10"/>
  <c r="B1486" i="10"/>
  <c r="Y1486" i="10" s="1"/>
  <c r="Z1486" i="10"/>
  <c r="B1487" i="10"/>
  <c r="Y1487" i="10" s="1"/>
  <c r="Z1487" i="10"/>
  <c r="B1488" i="10"/>
  <c r="Y1488" i="10" s="1"/>
  <c r="Z1488" i="10"/>
  <c r="B1489" i="10"/>
  <c r="Y1489" i="10" s="1"/>
  <c r="Z1489" i="10"/>
  <c r="B1490" i="10"/>
  <c r="Y1490" i="10" s="1"/>
  <c r="Z1490" i="10"/>
  <c r="B1491" i="10"/>
  <c r="Y1491" i="10" s="1"/>
  <c r="Z1491" i="10"/>
  <c r="B1492" i="10"/>
  <c r="Y1492" i="10" s="1"/>
  <c r="Z1492" i="10"/>
  <c r="B1493" i="10"/>
  <c r="Y1493" i="10" s="1"/>
  <c r="Z1493" i="10"/>
  <c r="B1494" i="10"/>
  <c r="Y1494" i="10" s="1"/>
  <c r="Z1494" i="10"/>
  <c r="B1495" i="10"/>
  <c r="Y1495" i="10" s="1"/>
  <c r="Z1495" i="10"/>
  <c r="B1496" i="10"/>
  <c r="Y1496" i="10" s="1"/>
  <c r="Z1496" i="10"/>
  <c r="B1497" i="10"/>
  <c r="Y1497" i="10" s="1"/>
  <c r="Z1497" i="10"/>
  <c r="B1498" i="10"/>
  <c r="Y1498" i="10" s="1"/>
  <c r="Z1498" i="10"/>
  <c r="B1499" i="10"/>
  <c r="Y1499" i="10" s="1"/>
  <c r="Z1499" i="10"/>
  <c r="B1500" i="10"/>
  <c r="Y1500" i="10" s="1"/>
  <c r="Z1500" i="10"/>
  <c r="B1501" i="10"/>
  <c r="Y1501" i="10" s="1"/>
  <c r="Z1501" i="10"/>
  <c r="B1502" i="10"/>
  <c r="Y1502" i="10" s="1"/>
  <c r="Z1502" i="10"/>
  <c r="B1503" i="10"/>
  <c r="Y1503" i="10" s="1"/>
  <c r="Z1503" i="10"/>
  <c r="B1504" i="10"/>
  <c r="Y1504" i="10" s="1"/>
  <c r="Z1504" i="10"/>
  <c r="B1505" i="10"/>
  <c r="Y1505" i="10" s="1"/>
  <c r="Z1505" i="10"/>
  <c r="B1506" i="10"/>
  <c r="Y1506" i="10" s="1"/>
  <c r="Z1506" i="10"/>
  <c r="B1507" i="10"/>
  <c r="Y1507" i="10" s="1"/>
  <c r="Z1507" i="10"/>
  <c r="B1508" i="10"/>
  <c r="Y1508" i="10" s="1"/>
  <c r="Z1508" i="10"/>
  <c r="B1509" i="10"/>
  <c r="Y1509" i="10" s="1"/>
  <c r="Z1509" i="10"/>
  <c r="B1510" i="10"/>
  <c r="Y1510" i="10" s="1"/>
  <c r="Z1510" i="10"/>
  <c r="B1511" i="10"/>
  <c r="Y1511" i="10" s="1"/>
  <c r="Z1511" i="10"/>
  <c r="B1512" i="10"/>
  <c r="Y1512" i="10" s="1"/>
  <c r="Z1512" i="10"/>
  <c r="B1513" i="10"/>
  <c r="Y1513" i="10" s="1"/>
  <c r="Z1513" i="10"/>
  <c r="B1514" i="10"/>
  <c r="Y1514" i="10" s="1"/>
  <c r="Z1514" i="10"/>
  <c r="B1515" i="10"/>
  <c r="Y1515" i="10" s="1"/>
  <c r="Z1515" i="10"/>
  <c r="B1516" i="10"/>
  <c r="Y1516" i="10" s="1"/>
  <c r="Z1516" i="10"/>
  <c r="B1517" i="10"/>
  <c r="Y1517" i="10" s="1"/>
  <c r="Z1517" i="10"/>
  <c r="B1518" i="10"/>
  <c r="Y1518" i="10" s="1"/>
  <c r="Z1518" i="10"/>
  <c r="B1519" i="10"/>
  <c r="Y1519" i="10" s="1"/>
  <c r="Z1519" i="10"/>
  <c r="B1520" i="10"/>
  <c r="Y1520" i="10" s="1"/>
  <c r="Z1520" i="10"/>
  <c r="B1521" i="10"/>
  <c r="Y1521" i="10" s="1"/>
  <c r="Z1521" i="10"/>
  <c r="B1522" i="10"/>
  <c r="Y1522" i="10" s="1"/>
  <c r="Z1522" i="10"/>
  <c r="B1523" i="10"/>
  <c r="Y1523" i="10" s="1"/>
  <c r="Z1523" i="10"/>
  <c r="B1524" i="10"/>
  <c r="Y1524" i="10" s="1"/>
  <c r="Z1524" i="10"/>
  <c r="B1525" i="10"/>
  <c r="Y1525" i="10" s="1"/>
  <c r="Z1525" i="10"/>
  <c r="B1526" i="10"/>
  <c r="Y1526" i="10" s="1"/>
  <c r="Z1526" i="10"/>
  <c r="B1527" i="10"/>
  <c r="Y1527" i="10" s="1"/>
  <c r="Z1527" i="10"/>
  <c r="B1528" i="10"/>
  <c r="Y1528" i="10" s="1"/>
  <c r="Z1528" i="10"/>
  <c r="B1529" i="10"/>
  <c r="Y1529" i="10" s="1"/>
  <c r="Z1529" i="10"/>
  <c r="B1530" i="10"/>
  <c r="Y1530" i="10" s="1"/>
  <c r="Z1530" i="10"/>
  <c r="B1531" i="10"/>
  <c r="Y1531" i="10" s="1"/>
  <c r="Z1531" i="10"/>
  <c r="B1532" i="10"/>
  <c r="Y1532" i="10" s="1"/>
  <c r="Z1532" i="10"/>
  <c r="B1533" i="10"/>
  <c r="Y1533" i="10" s="1"/>
  <c r="Z1533" i="10"/>
  <c r="B1534" i="10"/>
  <c r="Y1534" i="10" s="1"/>
  <c r="Z1534" i="10"/>
  <c r="B1535" i="10"/>
  <c r="Y1535" i="10" s="1"/>
  <c r="Z1535" i="10"/>
  <c r="B1536" i="10"/>
  <c r="Y1536" i="10" s="1"/>
  <c r="Z1536" i="10"/>
  <c r="B1537" i="10"/>
  <c r="Y1537" i="10" s="1"/>
  <c r="Z1537" i="10"/>
  <c r="B1538" i="10"/>
  <c r="Y1538" i="10" s="1"/>
  <c r="Z1538" i="10"/>
  <c r="B1539" i="10"/>
  <c r="Y1539" i="10" s="1"/>
  <c r="Z1539" i="10"/>
  <c r="B1540" i="10"/>
  <c r="Y1540" i="10" s="1"/>
  <c r="Z1540" i="10"/>
  <c r="B1541" i="10"/>
  <c r="Y1541" i="10" s="1"/>
  <c r="Z1541" i="10"/>
  <c r="B1542" i="10"/>
  <c r="Y1542" i="10" s="1"/>
  <c r="Z1542" i="10"/>
  <c r="B1543" i="10"/>
  <c r="Y1543" i="10" s="1"/>
  <c r="Z1543" i="10"/>
  <c r="B1544" i="10"/>
  <c r="Y1544" i="10" s="1"/>
  <c r="Z1544" i="10"/>
  <c r="B1545" i="10"/>
  <c r="Y1545" i="10" s="1"/>
  <c r="Z1545" i="10"/>
  <c r="B1546" i="10"/>
  <c r="Y1546" i="10" s="1"/>
  <c r="Z1546" i="10"/>
  <c r="B1547" i="10"/>
  <c r="Y1547" i="10" s="1"/>
  <c r="Z1547" i="10"/>
  <c r="B1548" i="10"/>
  <c r="Y1548" i="10" s="1"/>
  <c r="Z1548" i="10"/>
  <c r="B1549" i="10"/>
  <c r="Y1549" i="10" s="1"/>
  <c r="Z1549" i="10"/>
  <c r="B1550" i="10"/>
  <c r="Y1550" i="10" s="1"/>
  <c r="Z1550" i="10"/>
  <c r="B1551" i="10"/>
  <c r="Y1551" i="10" s="1"/>
  <c r="Z1551" i="10"/>
  <c r="B1552" i="10"/>
  <c r="Y1552" i="10" s="1"/>
  <c r="Z1552" i="10"/>
  <c r="B1553" i="10"/>
  <c r="Y1553" i="10" s="1"/>
  <c r="Z1553" i="10"/>
  <c r="B1554" i="10"/>
  <c r="Y1554" i="10" s="1"/>
  <c r="Z1554" i="10"/>
  <c r="B1555" i="10"/>
  <c r="Y1555" i="10" s="1"/>
  <c r="Z1555" i="10"/>
  <c r="B1556" i="10"/>
  <c r="Y1556" i="10" s="1"/>
  <c r="Z1556" i="10"/>
  <c r="B1557" i="10"/>
  <c r="Y1557" i="10" s="1"/>
  <c r="Z1557" i="10"/>
  <c r="B1558" i="10"/>
  <c r="Y1558" i="10" s="1"/>
  <c r="Z1558" i="10"/>
  <c r="B1559" i="10"/>
  <c r="Y1559" i="10" s="1"/>
  <c r="Z1559" i="10"/>
  <c r="B1560" i="10"/>
  <c r="Y1560" i="10" s="1"/>
  <c r="Z1560" i="10"/>
  <c r="B1561" i="10"/>
  <c r="Y1561" i="10" s="1"/>
  <c r="Z1561" i="10"/>
  <c r="B1562" i="10"/>
  <c r="Y1562" i="10" s="1"/>
  <c r="Z1562" i="10"/>
  <c r="B1563" i="10"/>
  <c r="Y1563" i="10" s="1"/>
  <c r="Z1563" i="10"/>
  <c r="B1564" i="10"/>
  <c r="Y1564" i="10" s="1"/>
  <c r="Z1564" i="10"/>
  <c r="B1565" i="10"/>
  <c r="Y1565" i="10" s="1"/>
  <c r="Z1565" i="10"/>
  <c r="B1566" i="10"/>
  <c r="Y1566" i="10" s="1"/>
  <c r="Z1566" i="10"/>
  <c r="B1567" i="10"/>
  <c r="Y1567" i="10" s="1"/>
  <c r="Z1567" i="10"/>
  <c r="B1568" i="10"/>
  <c r="Y1568" i="10" s="1"/>
  <c r="Z1568" i="10"/>
  <c r="B1569" i="10"/>
  <c r="Y1569" i="10" s="1"/>
  <c r="Z1569" i="10"/>
  <c r="B1570" i="10"/>
  <c r="Y1570" i="10" s="1"/>
  <c r="Z1570" i="10"/>
  <c r="B1571" i="10"/>
  <c r="Y1571" i="10" s="1"/>
  <c r="Z1571" i="10"/>
  <c r="B1572" i="10"/>
  <c r="Y1572" i="10" s="1"/>
  <c r="Z1572" i="10"/>
  <c r="B1573" i="10"/>
  <c r="Y1573" i="10" s="1"/>
  <c r="Z1573" i="10"/>
  <c r="B1574" i="10"/>
  <c r="Y1574" i="10" s="1"/>
  <c r="Z1574" i="10"/>
  <c r="B1575" i="10"/>
  <c r="Y1575" i="10" s="1"/>
  <c r="Z1575" i="10"/>
  <c r="B1576" i="10"/>
  <c r="Y1576" i="10" s="1"/>
  <c r="Z1576" i="10"/>
  <c r="B1577" i="10"/>
  <c r="Y1577" i="10" s="1"/>
  <c r="Z1577" i="10"/>
  <c r="B1578" i="10"/>
  <c r="Y1578" i="10" s="1"/>
  <c r="Z1578" i="10"/>
  <c r="B1579" i="10"/>
  <c r="Y1579" i="10" s="1"/>
  <c r="Z1579" i="10"/>
  <c r="B1580" i="10"/>
  <c r="Y1580" i="10" s="1"/>
  <c r="Z1580" i="10"/>
  <c r="B1581" i="10"/>
  <c r="Y1581" i="10" s="1"/>
  <c r="Z1581" i="10"/>
  <c r="B1582" i="10"/>
  <c r="Y1582" i="10" s="1"/>
  <c r="Z1582" i="10"/>
  <c r="B1583" i="10"/>
  <c r="Y1583" i="10" s="1"/>
  <c r="Z1583" i="10"/>
  <c r="B1584" i="10"/>
  <c r="Y1584" i="10" s="1"/>
  <c r="Z1584" i="10"/>
  <c r="B1585" i="10"/>
  <c r="Y1585" i="10" s="1"/>
  <c r="Z1585" i="10"/>
  <c r="B1586" i="10"/>
  <c r="Y1586" i="10" s="1"/>
  <c r="Z1586" i="10"/>
  <c r="B1587" i="10"/>
  <c r="Y1587" i="10" s="1"/>
  <c r="Z1587" i="10"/>
  <c r="B1588" i="10"/>
  <c r="Y1588" i="10" s="1"/>
  <c r="Z1588" i="10"/>
  <c r="B1589" i="10"/>
  <c r="Y1589" i="10" s="1"/>
  <c r="Z1589" i="10"/>
  <c r="B1590" i="10"/>
  <c r="Y1590" i="10" s="1"/>
  <c r="Z1590" i="10"/>
  <c r="B1591" i="10"/>
  <c r="Y1591" i="10" s="1"/>
  <c r="Z1591" i="10"/>
  <c r="B1592" i="10"/>
  <c r="Y1592" i="10" s="1"/>
  <c r="Z1592" i="10"/>
  <c r="B1593" i="10"/>
  <c r="Y1593" i="10" s="1"/>
  <c r="Z1593" i="10"/>
  <c r="B1594" i="10"/>
  <c r="Y1594" i="10" s="1"/>
  <c r="Z1594" i="10"/>
  <c r="B1595" i="10"/>
  <c r="Y1595" i="10" s="1"/>
  <c r="Z1595" i="10"/>
  <c r="B1596" i="10"/>
  <c r="Y1596" i="10" s="1"/>
  <c r="Z1596" i="10"/>
  <c r="B1597" i="10"/>
  <c r="Y1597" i="10" s="1"/>
  <c r="Z1597" i="10"/>
  <c r="B1598" i="10"/>
  <c r="Y1598" i="10" s="1"/>
  <c r="Z1598" i="10"/>
  <c r="B1599" i="10"/>
  <c r="Y1599" i="10" s="1"/>
  <c r="Z1599" i="10"/>
  <c r="B1600" i="10"/>
  <c r="Y1600" i="10" s="1"/>
  <c r="Z1600" i="10"/>
  <c r="B1601" i="10"/>
  <c r="Y1601" i="10" s="1"/>
  <c r="Z1601" i="10"/>
  <c r="B1602" i="10"/>
  <c r="Y1602" i="10" s="1"/>
  <c r="Z1602" i="10"/>
  <c r="B1603" i="10"/>
  <c r="Y1603" i="10" s="1"/>
  <c r="Z1603" i="10"/>
  <c r="B1604" i="10"/>
  <c r="Y1604" i="10" s="1"/>
  <c r="Z1604" i="10"/>
  <c r="B9" i="16"/>
  <c r="B8" i="16"/>
  <c r="B7" i="16"/>
  <c r="A7" i="16"/>
  <c r="A1" i="16"/>
  <c r="C1" i="15"/>
  <c r="Y13" i="15"/>
  <c r="C1" i="14"/>
  <c r="AE8" i="14"/>
  <c r="AE11" i="14" s="1"/>
  <c r="AD8" i="14"/>
  <c r="AD11" i="14" s="1"/>
  <c r="AC11" i="14"/>
  <c r="AB8" i="14"/>
  <c r="AB11" i="14" s="1"/>
  <c r="AA8" i="14"/>
  <c r="AA11" i="14" s="1"/>
  <c r="Z8" i="14"/>
  <c r="Z11" i="14" s="1"/>
  <c r="Y8" i="14"/>
  <c r="Y11" i="14" s="1"/>
  <c r="X8" i="14"/>
  <c r="X11" i="14" s="1"/>
  <c r="W8" i="14"/>
  <c r="W11" i="14" s="1"/>
  <c r="V8" i="14"/>
  <c r="V11" i="14" s="1"/>
  <c r="U8" i="14"/>
  <c r="U11" i="14" s="1"/>
  <c r="T8" i="14"/>
  <c r="T11" i="14" s="1"/>
  <c r="S8" i="14"/>
  <c r="S11" i="14" s="1"/>
  <c r="R8" i="14"/>
  <c r="R11" i="14" s="1"/>
  <c r="Q11" i="14"/>
  <c r="P11" i="14"/>
  <c r="O11" i="14"/>
  <c r="N11" i="14"/>
  <c r="M11" i="14"/>
  <c r="I15" i="14" s="1"/>
  <c r="AC11" i="15"/>
  <c r="AB11" i="15"/>
  <c r="AA11" i="15"/>
  <c r="Z11" i="15"/>
  <c r="Y11" i="15"/>
  <c r="X11" i="15"/>
  <c r="W11" i="15"/>
  <c r="V11" i="15"/>
  <c r="U11" i="15"/>
  <c r="T11" i="15"/>
  <c r="S11" i="15"/>
  <c r="R11" i="15"/>
  <c r="Q11" i="15"/>
  <c r="P11" i="15"/>
  <c r="O11" i="15"/>
  <c r="N11" i="15"/>
  <c r="M11" i="15"/>
  <c r="L11" i="15"/>
  <c r="K11" i="15"/>
  <c r="I11" i="15"/>
  <c r="H11" i="15"/>
  <c r="G11" i="15"/>
  <c r="F11" i="15"/>
  <c r="E11" i="15"/>
  <c r="D11" i="15"/>
  <c r="C11" i="15"/>
  <c r="J10" i="15"/>
  <c r="AD10" i="15" s="1"/>
  <c r="J9" i="15"/>
  <c r="AD9" i="15" s="1"/>
  <c r="J8" i="14"/>
  <c r="J11" i="14" s="1"/>
  <c r="I11" i="14"/>
  <c r="H11" i="14"/>
  <c r="L8" i="14"/>
  <c r="F8" i="14"/>
  <c r="F11" i="14" s="1"/>
  <c r="E8" i="14"/>
  <c r="E11" i="14" s="1"/>
  <c r="V18" i="14"/>
  <c r="L109" i="13"/>
  <c r="K3" i="13"/>
  <c r="A1" i="13"/>
  <c r="U107" i="13"/>
  <c r="U106" i="13"/>
  <c r="U105" i="13"/>
  <c r="U104" i="13"/>
  <c r="U103" i="13"/>
  <c r="U102" i="13"/>
  <c r="U101" i="13"/>
  <c r="U100" i="13"/>
  <c r="U99" i="13"/>
  <c r="U98" i="13"/>
  <c r="U97" i="13"/>
  <c r="U96" i="13"/>
  <c r="U95" i="13"/>
  <c r="U94" i="13"/>
  <c r="U93" i="13"/>
  <c r="U92" i="13"/>
  <c r="U91" i="13"/>
  <c r="U90" i="13"/>
  <c r="U89" i="13"/>
  <c r="U88" i="13"/>
  <c r="U87" i="13"/>
  <c r="U86" i="13"/>
  <c r="U85" i="13"/>
  <c r="U84" i="13"/>
  <c r="U83" i="13"/>
  <c r="U82" i="13"/>
  <c r="U81" i="13"/>
  <c r="U80" i="13"/>
  <c r="U79" i="13"/>
  <c r="U78" i="13"/>
  <c r="U77" i="13"/>
  <c r="U76" i="13"/>
  <c r="U75" i="13"/>
  <c r="U74" i="13"/>
  <c r="U73" i="13"/>
  <c r="U72" i="13"/>
  <c r="U71" i="13"/>
  <c r="U70" i="13"/>
  <c r="U69" i="13"/>
  <c r="U68" i="13"/>
  <c r="U67" i="13"/>
  <c r="U66" i="13"/>
  <c r="U65" i="13"/>
  <c r="U64" i="13"/>
  <c r="U63" i="13"/>
  <c r="U62" i="13"/>
  <c r="U61" i="13"/>
  <c r="U60" i="13"/>
  <c r="U59" i="13"/>
  <c r="U58" i="13"/>
  <c r="U57" i="13"/>
  <c r="U56" i="13"/>
  <c r="U55" i="13"/>
  <c r="U54" i="13"/>
  <c r="U53" i="13"/>
  <c r="U52" i="13"/>
  <c r="U51" i="13"/>
  <c r="U50" i="13"/>
  <c r="U49" i="13"/>
  <c r="U48" i="13"/>
  <c r="U47" i="13"/>
  <c r="U46" i="13"/>
  <c r="U45" i="13"/>
  <c r="U44" i="13"/>
  <c r="U43" i="13"/>
  <c r="U42" i="13"/>
  <c r="U41" i="13"/>
  <c r="U40" i="13"/>
  <c r="U39" i="13"/>
  <c r="U38" i="13"/>
  <c r="U37" i="13"/>
  <c r="U36" i="13"/>
  <c r="U35" i="13"/>
  <c r="U34" i="13"/>
  <c r="U33" i="13"/>
  <c r="U32" i="13"/>
  <c r="U31" i="13"/>
  <c r="U30" i="13"/>
  <c r="U29" i="13"/>
  <c r="U28" i="13"/>
  <c r="U27" i="13"/>
  <c r="U26" i="13"/>
  <c r="U25" i="13"/>
  <c r="U24" i="13"/>
  <c r="U23" i="13"/>
  <c r="U22" i="13"/>
  <c r="U21" i="13"/>
  <c r="U20" i="13"/>
  <c r="U19" i="13"/>
  <c r="U18" i="13"/>
  <c r="U17" i="13"/>
  <c r="U16" i="13"/>
  <c r="U15" i="13"/>
  <c r="U14" i="13"/>
  <c r="U13" i="13"/>
  <c r="U12" i="13"/>
  <c r="U11" i="13"/>
  <c r="U10" i="13"/>
  <c r="U9" i="13"/>
  <c r="U8" i="13"/>
  <c r="J1" i="12"/>
  <c r="A1" i="10"/>
  <c r="A3" i="11"/>
  <c r="A1" i="11"/>
  <c r="A1" i="12"/>
  <c r="A10" i="12"/>
  <c r="A9" i="12"/>
  <c r="A8" i="12"/>
  <c r="A7" i="12"/>
  <c r="A6" i="12"/>
  <c r="Y5" i="12"/>
  <c r="W5" i="12"/>
  <c r="V5" i="12"/>
  <c r="U5" i="12"/>
  <c r="T5" i="12"/>
  <c r="S5" i="12"/>
  <c r="R5" i="12"/>
  <c r="Q5" i="12"/>
  <c r="P5" i="12"/>
  <c r="O5" i="12"/>
  <c r="N5" i="12"/>
  <c r="M5" i="12"/>
  <c r="L5" i="12"/>
  <c r="K5" i="12"/>
  <c r="J5" i="12"/>
  <c r="I5" i="12"/>
  <c r="O21" i="11"/>
  <c r="J10" i="11"/>
  <c r="I10" i="11"/>
  <c r="H10" i="11"/>
  <c r="G10" i="11"/>
  <c r="F10" i="11"/>
  <c r="E10" i="11"/>
  <c r="D10" i="11"/>
  <c r="C10" i="11"/>
  <c r="B10" i="11"/>
  <c r="Q20" i="11"/>
  <c r="R20" i="11" s="1"/>
  <c r="J6" i="11"/>
  <c r="I6" i="11"/>
  <c r="H6" i="11"/>
  <c r="M13" i="11" s="1"/>
  <c r="G6" i="11"/>
  <c r="M12" i="11" s="1"/>
  <c r="F6" i="11"/>
  <c r="M11" i="11" s="1"/>
  <c r="E6" i="11"/>
  <c r="M10" i="11" s="1"/>
  <c r="D6" i="11"/>
  <c r="M9" i="11" s="1"/>
  <c r="C6" i="11"/>
  <c r="M8" i="11" s="1"/>
  <c r="B6" i="11"/>
  <c r="M7" i="11" s="1"/>
  <c r="R5" i="11"/>
  <c r="Q5" i="11"/>
  <c r="P5" i="11"/>
  <c r="O5" i="11"/>
  <c r="N5" i="11"/>
  <c r="Z1605" i="10"/>
  <c r="B1605" i="10"/>
  <c r="Y1605" i="10" s="1"/>
  <c r="A6" i="10"/>
  <c r="A7" i="10" s="1"/>
  <c r="B32" i="8"/>
  <c r="B32" i="7"/>
  <c r="G32" i="7"/>
  <c r="B13" i="8"/>
  <c r="B14" i="8"/>
  <c r="B15" i="8"/>
  <c r="B16" i="8"/>
  <c r="B17" i="8"/>
  <c r="B18" i="8"/>
  <c r="B19" i="8"/>
  <c r="B20" i="8"/>
  <c r="B21" i="8"/>
  <c r="B22" i="8"/>
  <c r="B23" i="8"/>
  <c r="B12" i="8"/>
  <c r="T9" i="7"/>
  <c r="T11" i="7" s="1"/>
  <c r="U9" i="7"/>
  <c r="U11" i="7" s="1"/>
  <c r="S9" i="7"/>
  <c r="S11" i="7" s="1"/>
  <c r="N9" i="7"/>
  <c r="N11" i="7" s="1"/>
  <c r="M9" i="7"/>
  <c r="M11" i="7" s="1"/>
  <c r="L10" i="7"/>
  <c r="V24" i="8"/>
  <c r="U24" i="8"/>
  <c r="T24" i="8"/>
  <c r="S24" i="8"/>
  <c r="R24" i="8"/>
  <c r="Q24" i="8"/>
  <c r="P24" i="8"/>
  <c r="O24" i="8"/>
  <c r="N24" i="8"/>
  <c r="M24" i="8"/>
  <c r="L24" i="8"/>
  <c r="K24" i="8"/>
  <c r="I24" i="8" s="1"/>
  <c r="H24" i="8"/>
  <c r="G24" i="8"/>
  <c r="F24" i="8"/>
  <c r="E24" i="8"/>
  <c r="D24" i="8"/>
  <c r="C24" i="8"/>
  <c r="I23" i="8"/>
  <c r="J23" i="8" s="1"/>
  <c r="I22" i="8"/>
  <c r="J22" i="8" s="1"/>
  <c r="I21" i="8"/>
  <c r="J21" i="8" s="1"/>
  <c r="I20" i="8"/>
  <c r="J20" i="8" s="1"/>
  <c r="I19" i="8"/>
  <c r="J19" i="8" s="1"/>
  <c r="I18" i="8"/>
  <c r="J18" i="8" s="1"/>
  <c r="I17" i="8"/>
  <c r="J17" i="8" s="1"/>
  <c r="I16" i="8"/>
  <c r="J16" i="8" s="1"/>
  <c r="I15" i="8"/>
  <c r="J15" i="8" s="1"/>
  <c r="I14" i="8"/>
  <c r="J14" i="8" s="1"/>
  <c r="I13" i="8"/>
  <c r="J13" i="8" s="1"/>
  <c r="I12" i="8"/>
  <c r="J12" i="8" s="1"/>
  <c r="V11" i="8"/>
  <c r="U11" i="8"/>
  <c r="T11" i="8"/>
  <c r="S11" i="8"/>
  <c r="R11" i="8"/>
  <c r="Q11" i="8"/>
  <c r="P11" i="8"/>
  <c r="O11" i="8"/>
  <c r="N11" i="8"/>
  <c r="M11" i="8"/>
  <c r="L11" i="8"/>
  <c r="K11" i="8"/>
  <c r="H11" i="8"/>
  <c r="G11" i="8"/>
  <c r="F11" i="8"/>
  <c r="E11" i="8"/>
  <c r="D11" i="8"/>
  <c r="C11" i="8"/>
  <c r="W10" i="8"/>
  <c r="J10" i="8"/>
  <c r="I9" i="8"/>
  <c r="I11" i="8" s="1"/>
  <c r="J11" i="8" s="1"/>
  <c r="K9" i="7"/>
  <c r="K11" i="7" s="1"/>
  <c r="J9" i="7"/>
  <c r="J11" i="7" s="1"/>
  <c r="I9" i="7"/>
  <c r="I11" i="7" s="1"/>
  <c r="H9" i="7"/>
  <c r="H11" i="7" s="1"/>
  <c r="U24" i="7"/>
  <c r="T24" i="7"/>
  <c r="S24" i="7"/>
  <c r="Q24" i="7"/>
  <c r="P24" i="7"/>
  <c r="O24" i="7"/>
  <c r="N24" i="7"/>
  <c r="M24" i="7"/>
  <c r="K24" i="7"/>
  <c r="J24" i="7"/>
  <c r="I24" i="7"/>
  <c r="H24" i="7"/>
  <c r="G24" i="7"/>
  <c r="F24" i="7"/>
  <c r="E24" i="7"/>
  <c r="D24" i="7"/>
  <c r="C23" i="7"/>
  <c r="C22" i="7"/>
  <c r="C21" i="7"/>
  <c r="C20" i="7"/>
  <c r="C19" i="7"/>
  <c r="C18" i="7"/>
  <c r="C17" i="7"/>
  <c r="C16" i="7"/>
  <c r="C15" i="7"/>
  <c r="C14" i="7"/>
  <c r="C13" i="7"/>
  <c r="C12" i="7"/>
  <c r="Q11" i="7"/>
  <c r="P11" i="7"/>
  <c r="F11" i="7"/>
  <c r="E11" i="7"/>
  <c r="D11" i="7"/>
  <c r="R10" i="7"/>
  <c r="O11" i="7"/>
  <c r="B116" i="6"/>
  <c r="L116" i="6"/>
  <c r="J3" i="6"/>
  <c r="A1"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A1" i="5"/>
  <c r="R2" i="5"/>
  <c r="J2" i="7" s="1"/>
  <c r="I1" i="5"/>
  <c r="X5" i="5"/>
  <c r="V5" i="5"/>
  <c r="U5" i="5"/>
  <c r="T5" i="5"/>
  <c r="S5" i="5"/>
  <c r="R5" i="5"/>
  <c r="Q5" i="5"/>
  <c r="P5" i="5"/>
  <c r="O5" i="5"/>
  <c r="N5" i="5"/>
  <c r="M5" i="5"/>
  <c r="L5" i="5"/>
  <c r="K5" i="5"/>
  <c r="J5" i="5"/>
  <c r="I5" i="5"/>
  <c r="H5" i="5"/>
  <c r="A3" i="4"/>
  <c r="Q4" i="1"/>
  <c r="A1" i="4"/>
  <c r="H6" i="4"/>
  <c r="K13" i="4" s="1"/>
  <c r="G6" i="4"/>
  <c r="K12" i="4" s="1"/>
  <c r="F6" i="4"/>
  <c r="K11" i="4" s="1"/>
  <c r="E6" i="4"/>
  <c r="K10" i="4" s="1"/>
  <c r="D6" i="4"/>
  <c r="K9" i="4" s="1"/>
  <c r="C6" i="4"/>
  <c r="K8" i="4" s="1"/>
  <c r="B6" i="4"/>
  <c r="K7" i="4" s="1"/>
  <c r="Q5" i="4"/>
  <c r="P5" i="4"/>
  <c r="O5" i="4"/>
  <c r="N5" i="4"/>
  <c r="M5" i="4"/>
  <c r="L5" i="4"/>
  <c r="O1" i="2"/>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P20" i="4" l="1"/>
  <c r="AA1357" i="10"/>
  <c r="U35" i="16"/>
  <c r="U41" i="16"/>
  <c r="U27" i="16"/>
  <c r="AA1354" i="10"/>
  <c r="AA1346" i="10"/>
  <c r="AA1338" i="10"/>
  <c r="AA1330" i="10"/>
  <c r="AA1322" i="10"/>
  <c r="AA1314" i="10"/>
  <c r="AA1306" i="10"/>
  <c r="AA1298" i="10"/>
  <c r="AA1290" i="10"/>
  <c r="AA1282" i="10"/>
  <c r="AA1274" i="10"/>
  <c r="AA1266" i="10"/>
  <c r="AA1258" i="10"/>
  <c r="AA1250" i="10"/>
  <c r="AA1242" i="10"/>
  <c r="AA1234" i="10"/>
  <c r="AA1226" i="10"/>
  <c r="AA1218" i="10"/>
  <c r="AA1210" i="10"/>
  <c r="AA1202" i="10"/>
  <c r="AA1194" i="10"/>
  <c r="AA1186" i="10"/>
  <c r="AA1178" i="10"/>
  <c r="AA1170" i="10"/>
  <c r="AA1162" i="10"/>
  <c r="AA1154" i="10"/>
  <c r="AA1146" i="10"/>
  <c r="AA1138" i="10"/>
  <c r="AA1130" i="10"/>
  <c r="AA1122" i="10"/>
  <c r="AA1114" i="10"/>
  <c r="AA1106" i="10"/>
  <c r="AA1098" i="10"/>
  <c r="AA1090" i="10"/>
  <c r="AA1082" i="10"/>
  <c r="AA1074" i="10"/>
  <c r="AA1066" i="10"/>
  <c r="AA1058" i="10"/>
  <c r="AA1050" i="10"/>
  <c r="AA1042" i="10"/>
  <c r="AA1034" i="10"/>
  <c r="AA1026" i="10"/>
  <c r="AA1353" i="10"/>
  <c r="AA1345" i="10"/>
  <c r="AA1337" i="10"/>
  <c r="AA1329" i="10"/>
  <c r="AA1321" i="10"/>
  <c r="AA1313" i="10"/>
  <c r="AA1305" i="10"/>
  <c r="AA1297" i="10"/>
  <c r="AA1289" i="10"/>
  <c r="AA1281" i="10"/>
  <c r="AA1273" i="10"/>
  <c r="AA1265" i="10"/>
  <c r="AA1257" i="10"/>
  <c r="AA1249" i="10"/>
  <c r="AA1241" i="10"/>
  <c r="AA1233" i="10"/>
  <c r="AA1225" i="10"/>
  <c r="AA1217" i="10"/>
  <c r="AA1209" i="10"/>
  <c r="AA1201" i="10"/>
  <c r="AA1193" i="10"/>
  <c r="AA1185" i="10"/>
  <c r="AA1177" i="10"/>
  <c r="AA1169" i="10"/>
  <c r="AA1161" i="10"/>
  <c r="AA1153" i="10"/>
  <c r="AA1145" i="10"/>
  <c r="AA1137" i="10"/>
  <c r="AA1129" i="10"/>
  <c r="AA1121" i="10"/>
  <c r="AA1113" i="10"/>
  <c r="AA1105" i="10"/>
  <c r="AA1097" i="10"/>
  <c r="AA1089" i="10"/>
  <c r="AA1081" i="10"/>
  <c r="AA1073" i="10"/>
  <c r="AA1065" i="10"/>
  <c r="AA1057" i="10"/>
  <c r="AA1049" i="10"/>
  <c r="AA1041" i="10"/>
  <c r="AA1033" i="10"/>
  <c r="AA1025" i="10"/>
  <c r="U43" i="16"/>
  <c r="U25" i="16"/>
  <c r="U18" i="16"/>
  <c r="U11" i="16"/>
  <c r="AA1352" i="10"/>
  <c r="AA1344" i="10"/>
  <c r="AA1336" i="10"/>
  <c r="AA1328" i="10"/>
  <c r="AA1320" i="10"/>
  <c r="AA1312" i="10"/>
  <c r="AA1304" i="10"/>
  <c r="AA1296" i="10"/>
  <c r="AA1288" i="10"/>
  <c r="AA1280" i="10"/>
  <c r="AA1272" i="10"/>
  <c r="AA1264" i="10"/>
  <c r="AA1256" i="10"/>
  <c r="AA1248" i="10"/>
  <c r="AA1240" i="10"/>
  <c r="AA1232" i="10"/>
  <c r="AA1224" i="10"/>
  <c r="AA1216" i="10"/>
  <c r="AA1208" i="10"/>
  <c r="AA1200" i="10"/>
  <c r="AA1192" i="10"/>
  <c r="AA1184" i="10"/>
  <c r="AA1176" i="10"/>
  <c r="AA1168" i="10"/>
  <c r="AA1160" i="10"/>
  <c r="AA1152" i="10"/>
  <c r="AA1144" i="10"/>
  <c r="AA1136" i="10"/>
  <c r="AA1128" i="10"/>
  <c r="AA1120" i="10"/>
  <c r="AA1112" i="10"/>
  <c r="AA1104" i="10"/>
  <c r="AA1096" i="10"/>
  <c r="AA1088" i="10"/>
  <c r="AA1080" i="10"/>
  <c r="AA1072" i="10"/>
  <c r="AA1064" i="10"/>
  <c r="AA1056" i="10"/>
  <c r="AA1048" i="10"/>
  <c r="AA1040" i="10"/>
  <c r="AA1032" i="10"/>
  <c r="AA1024" i="10"/>
  <c r="AA1573" i="10"/>
  <c r="AA1565" i="10"/>
  <c r="AA1557" i="10"/>
  <c r="AA1549" i="10"/>
  <c r="AA1541" i="10"/>
  <c r="AA1509" i="10"/>
  <c r="AA1501" i="10"/>
  <c r="AA1485" i="10"/>
  <c r="AA1477" i="10"/>
  <c r="AA1445" i="10"/>
  <c r="AA1437" i="10"/>
  <c r="AA1429" i="10"/>
  <c r="AA1421" i="10"/>
  <c r="AA1413" i="10"/>
  <c r="AA1381" i="10"/>
  <c r="AA1373" i="10"/>
  <c r="AA1596" i="10"/>
  <c r="AA1580" i="10"/>
  <c r="AA1548" i="10"/>
  <c r="AA1516" i="10"/>
  <c r="AA1484" i="10"/>
  <c r="AA1468" i="10"/>
  <c r="AA1452" i="10"/>
  <c r="AA1579" i="10"/>
  <c r="AA1547" i="10"/>
  <c r="AA1515" i="10"/>
  <c r="AA1499" i="10"/>
  <c r="AA1483" i="10"/>
  <c r="AA1451" i="10"/>
  <c r="AA1419" i="10"/>
  <c r="AA1387" i="10"/>
  <c r="AA1371" i="10"/>
  <c r="Z65" i="17"/>
  <c r="AA65" i="17" s="1"/>
  <c r="Z856" i="17"/>
  <c r="AA856" i="17" s="1"/>
  <c r="Z768" i="17"/>
  <c r="AA768" i="17" s="1"/>
  <c r="Z760" i="17"/>
  <c r="AA760" i="17" s="1"/>
  <c r="Z664" i="17"/>
  <c r="AA664" i="17" s="1"/>
  <c r="Z656" i="17"/>
  <c r="AA656" i="17" s="1"/>
  <c r="Z568" i="17"/>
  <c r="AA568" i="17" s="1"/>
  <c r="Z544" i="17"/>
  <c r="AA544" i="17" s="1"/>
  <c r="Z848" i="17"/>
  <c r="AA848" i="17" s="1"/>
  <c r="Z736" i="17"/>
  <c r="AA736" i="17" s="1"/>
  <c r="Z640" i="17"/>
  <c r="AA640" i="17" s="1"/>
  <c r="Z536" i="17"/>
  <c r="AA536" i="17" s="1"/>
  <c r="Z832" i="17"/>
  <c r="AA832" i="17" s="1"/>
  <c r="Z728" i="17"/>
  <c r="AA728" i="17" s="1"/>
  <c r="Z632" i="17"/>
  <c r="AA632" i="17" s="1"/>
  <c r="Z528" i="17"/>
  <c r="AA528" i="17" s="1"/>
  <c r="Z824" i="17"/>
  <c r="AA824" i="17" s="1"/>
  <c r="Z720" i="17"/>
  <c r="AA720" i="17" s="1"/>
  <c r="Z608" i="17"/>
  <c r="AA608" i="17" s="1"/>
  <c r="Z512" i="17"/>
  <c r="AA512" i="17" s="1"/>
  <c r="Z800" i="17"/>
  <c r="AA800" i="17" s="1"/>
  <c r="Z704" i="17"/>
  <c r="AA704" i="17" s="1"/>
  <c r="Z600" i="17"/>
  <c r="AA600" i="17" s="1"/>
  <c r="Z472" i="17"/>
  <c r="AA472" i="17" s="1"/>
  <c r="Z792" i="17"/>
  <c r="AA792" i="17" s="1"/>
  <c r="Z696" i="17"/>
  <c r="AA696" i="17" s="1"/>
  <c r="Z592" i="17"/>
  <c r="AA592" i="17" s="1"/>
  <c r="Z456" i="17"/>
  <c r="AA456" i="17" s="1"/>
  <c r="Z784" i="17"/>
  <c r="AA784" i="17" s="1"/>
  <c r="Z672" i="17"/>
  <c r="AA672" i="17" s="1"/>
  <c r="Z576" i="17"/>
  <c r="AA576" i="17" s="1"/>
  <c r="Z840" i="17"/>
  <c r="AA840" i="17" s="1"/>
  <c r="Z776" i="17"/>
  <c r="AA776" i="17" s="1"/>
  <c r="Z712" i="17"/>
  <c r="AA712" i="17" s="1"/>
  <c r="Z648" i="17"/>
  <c r="AA648" i="17" s="1"/>
  <c r="Z584" i="17"/>
  <c r="AA584" i="17" s="1"/>
  <c r="Z520" i="17"/>
  <c r="AA520" i="17" s="1"/>
  <c r="Z504" i="17"/>
  <c r="AA504" i="17" s="1"/>
  <c r="Z816" i="17"/>
  <c r="AA816" i="17" s="1"/>
  <c r="Z752" i="17"/>
  <c r="AA752" i="17" s="1"/>
  <c r="Z688" i="17"/>
  <c r="AA688" i="17" s="1"/>
  <c r="Z624" i="17"/>
  <c r="AA624" i="17" s="1"/>
  <c r="Z560" i="17"/>
  <c r="AA560" i="17" s="1"/>
  <c r="Z496" i="17"/>
  <c r="AA496" i="17" s="1"/>
  <c r="Z808" i="17"/>
  <c r="AA808" i="17" s="1"/>
  <c r="Z744" i="17"/>
  <c r="AA744" i="17" s="1"/>
  <c r="Z680" i="17"/>
  <c r="AA680" i="17" s="1"/>
  <c r="Z616" i="17"/>
  <c r="AA616" i="17" s="1"/>
  <c r="Z552" i="17"/>
  <c r="AA552" i="17" s="1"/>
  <c r="Z488" i="17"/>
  <c r="AA488" i="17" s="1"/>
  <c r="Z857" i="17"/>
  <c r="AA857" i="17" s="1"/>
  <c r="Z849" i="17"/>
  <c r="AA849" i="17" s="1"/>
  <c r="Z841" i="17"/>
  <c r="AA841" i="17" s="1"/>
  <c r="Z833" i="17"/>
  <c r="AA833" i="17" s="1"/>
  <c r="Z825" i="17"/>
  <c r="AA825" i="17" s="1"/>
  <c r="Z817" i="17"/>
  <c r="AA817" i="17" s="1"/>
  <c r="Z809" i="17"/>
  <c r="AA809" i="17" s="1"/>
  <c r="Z801" i="17"/>
  <c r="AA801" i="17" s="1"/>
  <c r="Z793" i="17"/>
  <c r="AA793" i="17" s="1"/>
  <c r="Z785" i="17"/>
  <c r="AA785" i="17" s="1"/>
  <c r="Z777" i="17"/>
  <c r="AA777" i="17" s="1"/>
  <c r="Z769" i="17"/>
  <c r="AA769" i="17" s="1"/>
  <c r="Z761" i="17"/>
  <c r="AA761" i="17" s="1"/>
  <c r="Z753" i="17"/>
  <c r="AA753" i="17" s="1"/>
  <c r="Z745" i="17"/>
  <c r="AA745" i="17" s="1"/>
  <c r="Z737" i="17"/>
  <c r="AA737" i="17" s="1"/>
  <c r="Z729" i="17"/>
  <c r="AA729" i="17" s="1"/>
  <c r="Z721" i="17"/>
  <c r="AA721" i="17" s="1"/>
  <c r="Z713" i="17"/>
  <c r="AA713" i="17" s="1"/>
  <c r="Z705" i="17"/>
  <c r="AA705" i="17" s="1"/>
  <c r="Z697" i="17"/>
  <c r="AA697" i="17" s="1"/>
  <c r="Z689" i="17"/>
  <c r="AA689" i="17" s="1"/>
  <c r="Z681" i="17"/>
  <c r="AA681" i="17" s="1"/>
  <c r="Z673" i="17"/>
  <c r="AA673" i="17" s="1"/>
  <c r="Z665" i="17"/>
  <c r="AA665" i="17" s="1"/>
  <c r="Z657" i="17"/>
  <c r="AA657" i="17" s="1"/>
  <c r="Z649" i="17"/>
  <c r="AA649" i="17" s="1"/>
  <c r="Z641" i="17"/>
  <c r="AA641" i="17" s="1"/>
  <c r="Z633" i="17"/>
  <c r="AA633" i="17" s="1"/>
  <c r="Z625" i="17"/>
  <c r="AA625" i="17" s="1"/>
  <c r="Z617" i="17"/>
  <c r="AA617" i="17" s="1"/>
  <c r="Z609" i="17"/>
  <c r="AA609" i="17" s="1"/>
  <c r="Z601" i="17"/>
  <c r="AA601" i="17" s="1"/>
  <c r="Z593" i="17"/>
  <c r="AA593" i="17" s="1"/>
  <c r="Z585" i="17"/>
  <c r="AA585" i="17" s="1"/>
  <c r="Z577" i="17"/>
  <c r="AA577" i="17" s="1"/>
  <c r="Z569" i="17"/>
  <c r="AA569" i="17" s="1"/>
  <c r="Z561" i="17"/>
  <c r="AA561" i="17" s="1"/>
  <c r="Z553" i="17"/>
  <c r="AA553" i="17" s="1"/>
  <c r="Z545" i="17"/>
  <c r="AA545" i="17" s="1"/>
  <c r="Z537" i="17"/>
  <c r="AA537" i="17" s="1"/>
  <c r="Z529" i="17"/>
  <c r="AA529" i="17" s="1"/>
  <c r="Z521" i="17"/>
  <c r="AA521" i="17" s="1"/>
  <c r="Z513" i="17"/>
  <c r="AA513" i="17" s="1"/>
  <c r="Z505" i="17"/>
  <c r="AA505" i="17" s="1"/>
  <c r="Z497" i="17"/>
  <c r="AA497" i="17" s="1"/>
  <c r="Z489" i="17"/>
  <c r="AA489" i="17" s="1"/>
  <c r="Z474" i="17"/>
  <c r="AA474" i="17" s="1"/>
  <c r="Z458" i="17"/>
  <c r="AA458" i="17" s="1"/>
  <c r="Z855" i="17"/>
  <c r="AA855" i="17" s="1"/>
  <c r="Z847" i="17"/>
  <c r="AA847" i="17" s="1"/>
  <c r="Z839" i="17"/>
  <c r="AA839" i="17" s="1"/>
  <c r="Z831" i="17"/>
  <c r="AA831" i="17" s="1"/>
  <c r="Z823" i="17"/>
  <c r="AA823" i="17" s="1"/>
  <c r="Z815" i="17"/>
  <c r="AA815" i="17" s="1"/>
  <c r="Z807" i="17"/>
  <c r="AA807" i="17" s="1"/>
  <c r="Z799" i="17"/>
  <c r="AA799" i="17" s="1"/>
  <c r="Z791" i="17"/>
  <c r="AA791" i="17" s="1"/>
  <c r="Z783" i="17"/>
  <c r="AA783" i="17" s="1"/>
  <c r="Z775" i="17"/>
  <c r="AA775" i="17" s="1"/>
  <c r="Z767" i="17"/>
  <c r="AA767" i="17" s="1"/>
  <c r="Z759" i="17"/>
  <c r="AA759" i="17" s="1"/>
  <c r="Z751" i="17"/>
  <c r="AA751" i="17" s="1"/>
  <c r="Z743" i="17"/>
  <c r="AA743" i="17" s="1"/>
  <c r="Z735" i="17"/>
  <c r="AA735" i="17" s="1"/>
  <c r="Z727" i="17"/>
  <c r="AA727" i="17" s="1"/>
  <c r="Z719" i="17"/>
  <c r="AA719" i="17" s="1"/>
  <c r="Z711" i="17"/>
  <c r="AA711" i="17" s="1"/>
  <c r="Z703" i="17"/>
  <c r="AA703" i="17" s="1"/>
  <c r="Z695" i="17"/>
  <c r="AA695" i="17" s="1"/>
  <c r="Z687" i="17"/>
  <c r="AA687" i="17" s="1"/>
  <c r="Z679" i="17"/>
  <c r="AA679" i="17" s="1"/>
  <c r="Z671" i="17"/>
  <c r="AA671" i="17" s="1"/>
  <c r="Z663" i="17"/>
  <c r="AA663" i="17" s="1"/>
  <c r="Z655" i="17"/>
  <c r="AA655" i="17" s="1"/>
  <c r="Z647" i="17"/>
  <c r="AA647" i="17" s="1"/>
  <c r="Z639" i="17"/>
  <c r="AA639" i="17" s="1"/>
  <c r="Z631" i="17"/>
  <c r="AA631" i="17" s="1"/>
  <c r="Z623" i="17"/>
  <c r="AA623" i="17" s="1"/>
  <c r="Z615" i="17"/>
  <c r="AA615" i="17" s="1"/>
  <c r="Z607" i="17"/>
  <c r="AA607" i="17" s="1"/>
  <c r="Z599" i="17"/>
  <c r="AA599" i="17" s="1"/>
  <c r="Z591" i="17"/>
  <c r="AA591" i="17" s="1"/>
  <c r="Z583" i="17"/>
  <c r="AA583" i="17" s="1"/>
  <c r="Z575" i="17"/>
  <c r="AA575" i="17" s="1"/>
  <c r="Z567" i="17"/>
  <c r="AA567" i="17" s="1"/>
  <c r="Z559" i="17"/>
  <c r="AA559" i="17" s="1"/>
  <c r="Z551" i="17"/>
  <c r="AA551" i="17" s="1"/>
  <c r="Z543" i="17"/>
  <c r="AA543" i="17" s="1"/>
  <c r="Z535" i="17"/>
  <c r="AA535" i="17" s="1"/>
  <c r="Z527" i="17"/>
  <c r="AA527" i="17" s="1"/>
  <c r="Z519" i="17"/>
  <c r="AA519" i="17" s="1"/>
  <c r="Z511" i="17"/>
  <c r="AA511" i="17" s="1"/>
  <c r="Z503" i="17"/>
  <c r="AA503" i="17" s="1"/>
  <c r="Z495" i="17"/>
  <c r="AA495" i="17" s="1"/>
  <c r="Z486" i="17"/>
  <c r="AA486" i="17" s="1"/>
  <c r="Z470" i="17"/>
  <c r="AA470" i="17" s="1"/>
  <c r="Z454" i="17"/>
  <c r="AA454" i="17" s="1"/>
  <c r="Z862" i="17"/>
  <c r="AA862" i="17" s="1"/>
  <c r="Z854" i="17"/>
  <c r="AA854" i="17" s="1"/>
  <c r="Z846" i="17"/>
  <c r="AA846" i="17" s="1"/>
  <c r="Z838" i="17"/>
  <c r="AA838" i="17" s="1"/>
  <c r="Z830" i="17"/>
  <c r="AA830" i="17" s="1"/>
  <c r="Z822" i="17"/>
  <c r="AA822" i="17" s="1"/>
  <c r="Z814" i="17"/>
  <c r="AA814" i="17" s="1"/>
  <c r="Z806" i="17"/>
  <c r="AA806" i="17" s="1"/>
  <c r="Z798" i="17"/>
  <c r="AA798" i="17" s="1"/>
  <c r="Z790" i="17"/>
  <c r="AA790" i="17" s="1"/>
  <c r="Z782" i="17"/>
  <c r="AA782" i="17" s="1"/>
  <c r="Z774" i="17"/>
  <c r="AA774" i="17" s="1"/>
  <c r="Z766" i="17"/>
  <c r="AA766" i="17" s="1"/>
  <c r="Z758" i="17"/>
  <c r="AA758" i="17" s="1"/>
  <c r="Z750" i="17"/>
  <c r="AA750" i="17" s="1"/>
  <c r="Z742" i="17"/>
  <c r="AA742" i="17" s="1"/>
  <c r="Z734" i="17"/>
  <c r="AA734" i="17" s="1"/>
  <c r="Z726" i="17"/>
  <c r="AA726" i="17" s="1"/>
  <c r="Z718" i="17"/>
  <c r="AA718" i="17" s="1"/>
  <c r="Z710" i="17"/>
  <c r="AA710" i="17" s="1"/>
  <c r="Z702" i="17"/>
  <c r="AA702" i="17" s="1"/>
  <c r="Z694" i="17"/>
  <c r="AA694" i="17" s="1"/>
  <c r="Z686" i="17"/>
  <c r="AA686" i="17" s="1"/>
  <c r="Z678" i="17"/>
  <c r="AA678" i="17" s="1"/>
  <c r="Z670" i="17"/>
  <c r="AA670" i="17" s="1"/>
  <c r="Z662" i="17"/>
  <c r="AA662" i="17" s="1"/>
  <c r="Z654" i="17"/>
  <c r="AA654" i="17" s="1"/>
  <c r="Z646" i="17"/>
  <c r="AA646" i="17" s="1"/>
  <c r="Z638" i="17"/>
  <c r="AA638" i="17" s="1"/>
  <c r="Z630" i="17"/>
  <c r="AA630" i="17" s="1"/>
  <c r="Z622" i="17"/>
  <c r="AA622" i="17" s="1"/>
  <c r="Z614" i="17"/>
  <c r="AA614" i="17" s="1"/>
  <c r="Z606" i="17"/>
  <c r="AA606" i="17" s="1"/>
  <c r="Z598" i="17"/>
  <c r="AA598" i="17" s="1"/>
  <c r="Z590" i="17"/>
  <c r="AA590" i="17" s="1"/>
  <c r="Z582" i="17"/>
  <c r="AA582" i="17" s="1"/>
  <c r="Z574" i="17"/>
  <c r="AA574" i="17" s="1"/>
  <c r="Z566" i="17"/>
  <c r="AA566" i="17" s="1"/>
  <c r="Z558" i="17"/>
  <c r="AA558" i="17" s="1"/>
  <c r="Z550" i="17"/>
  <c r="AA550" i="17" s="1"/>
  <c r="Z542" i="17"/>
  <c r="AA542" i="17" s="1"/>
  <c r="Z534" i="17"/>
  <c r="AA534" i="17" s="1"/>
  <c r="Z526" i="17"/>
  <c r="AA526" i="17" s="1"/>
  <c r="Z518" i="17"/>
  <c r="AA518" i="17" s="1"/>
  <c r="Z510" i="17"/>
  <c r="AA510" i="17" s="1"/>
  <c r="Z502" i="17"/>
  <c r="AA502" i="17" s="1"/>
  <c r="Z494" i="17"/>
  <c r="AA494" i="17" s="1"/>
  <c r="Z484" i="17"/>
  <c r="AA484" i="17" s="1"/>
  <c r="Z468" i="17"/>
  <c r="AA468" i="17" s="1"/>
  <c r="Z452" i="17"/>
  <c r="AA452" i="17" s="1"/>
  <c r="Z861" i="17"/>
  <c r="AA861" i="17" s="1"/>
  <c r="Z853" i="17"/>
  <c r="AA853" i="17" s="1"/>
  <c r="Z845" i="17"/>
  <c r="AA845" i="17" s="1"/>
  <c r="Z837" i="17"/>
  <c r="AA837" i="17" s="1"/>
  <c r="Z829" i="17"/>
  <c r="AA829" i="17" s="1"/>
  <c r="Z821" i="17"/>
  <c r="AA821" i="17" s="1"/>
  <c r="Z813" i="17"/>
  <c r="AA813" i="17" s="1"/>
  <c r="Z805" i="17"/>
  <c r="AA805" i="17" s="1"/>
  <c r="Z797" i="17"/>
  <c r="AA797" i="17" s="1"/>
  <c r="Z789" i="17"/>
  <c r="AA789" i="17" s="1"/>
  <c r="Z781" i="17"/>
  <c r="AA781" i="17" s="1"/>
  <c r="Z773" i="17"/>
  <c r="AA773" i="17" s="1"/>
  <c r="Z765" i="17"/>
  <c r="AA765" i="17" s="1"/>
  <c r="Z757" i="17"/>
  <c r="AA757" i="17" s="1"/>
  <c r="Z749" i="17"/>
  <c r="AA749" i="17" s="1"/>
  <c r="Z741" i="17"/>
  <c r="AA741" i="17" s="1"/>
  <c r="Z733" i="17"/>
  <c r="AA733" i="17" s="1"/>
  <c r="Z725" i="17"/>
  <c r="AA725" i="17" s="1"/>
  <c r="Z717" i="17"/>
  <c r="AA717" i="17" s="1"/>
  <c r="Z709" i="17"/>
  <c r="AA709" i="17" s="1"/>
  <c r="Z701" i="17"/>
  <c r="AA701" i="17" s="1"/>
  <c r="Z693" i="17"/>
  <c r="AA693" i="17" s="1"/>
  <c r="Z685" i="17"/>
  <c r="AA685" i="17" s="1"/>
  <c r="Z677" i="17"/>
  <c r="AA677" i="17" s="1"/>
  <c r="Z669" i="17"/>
  <c r="AA669" i="17" s="1"/>
  <c r="Z661" i="17"/>
  <c r="AA661" i="17" s="1"/>
  <c r="Z653" i="17"/>
  <c r="AA653" i="17" s="1"/>
  <c r="Z645" i="17"/>
  <c r="AA645" i="17" s="1"/>
  <c r="Z637" i="17"/>
  <c r="AA637" i="17" s="1"/>
  <c r="Z629" i="17"/>
  <c r="AA629" i="17" s="1"/>
  <c r="Z621" i="17"/>
  <c r="AA621" i="17" s="1"/>
  <c r="Z613" i="17"/>
  <c r="AA613" i="17" s="1"/>
  <c r="Z605" i="17"/>
  <c r="AA605" i="17" s="1"/>
  <c r="Z597" i="17"/>
  <c r="AA597" i="17" s="1"/>
  <c r="Z589" i="17"/>
  <c r="AA589" i="17" s="1"/>
  <c r="Z581" i="17"/>
  <c r="AA581" i="17" s="1"/>
  <c r="Z573" i="17"/>
  <c r="AA573" i="17" s="1"/>
  <c r="Z565" i="17"/>
  <c r="AA565" i="17" s="1"/>
  <c r="Z557" i="17"/>
  <c r="AA557" i="17" s="1"/>
  <c r="Z549" i="17"/>
  <c r="AA549" i="17" s="1"/>
  <c r="Z541" i="17"/>
  <c r="AA541" i="17" s="1"/>
  <c r="Z533" i="17"/>
  <c r="AA533" i="17" s="1"/>
  <c r="Z525" i="17"/>
  <c r="AA525" i="17" s="1"/>
  <c r="Z517" i="17"/>
  <c r="AA517" i="17" s="1"/>
  <c r="Z509" i="17"/>
  <c r="AA509" i="17" s="1"/>
  <c r="Z501" i="17"/>
  <c r="AA501" i="17" s="1"/>
  <c r="Z493" i="17"/>
  <c r="AA493" i="17" s="1"/>
  <c r="Z482" i="17"/>
  <c r="AA482" i="17" s="1"/>
  <c r="Z466" i="17"/>
  <c r="AA466" i="17" s="1"/>
  <c r="Z450" i="17"/>
  <c r="AA450" i="17" s="1"/>
  <c r="Z860" i="17"/>
  <c r="AA860" i="17" s="1"/>
  <c r="Z852" i="17"/>
  <c r="AA852" i="17" s="1"/>
  <c r="Z844" i="17"/>
  <c r="AA844" i="17" s="1"/>
  <c r="Z836" i="17"/>
  <c r="AA836" i="17" s="1"/>
  <c r="Z828" i="17"/>
  <c r="AA828" i="17" s="1"/>
  <c r="Z820" i="17"/>
  <c r="AA820" i="17" s="1"/>
  <c r="Z812" i="17"/>
  <c r="AA812" i="17" s="1"/>
  <c r="Z804" i="17"/>
  <c r="AA804" i="17" s="1"/>
  <c r="Z796" i="17"/>
  <c r="AA796" i="17" s="1"/>
  <c r="Z788" i="17"/>
  <c r="AA788" i="17" s="1"/>
  <c r="Z780" i="17"/>
  <c r="AA780" i="17" s="1"/>
  <c r="Z772" i="17"/>
  <c r="AA772" i="17" s="1"/>
  <c r="Z764" i="17"/>
  <c r="AA764" i="17" s="1"/>
  <c r="Z756" i="17"/>
  <c r="AA756" i="17" s="1"/>
  <c r="Z748" i="17"/>
  <c r="AA748" i="17" s="1"/>
  <c r="Z740" i="17"/>
  <c r="AA740" i="17" s="1"/>
  <c r="Z732" i="17"/>
  <c r="AA732" i="17" s="1"/>
  <c r="Z724" i="17"/>
  <c r="AA724" i="17" s="1"/>
  <c r="Z716" i="17"/>
  <c r="AA716" i="17" s="1"/>
  <c r="Z708" i="17"/>
  <c r="AA708" i="17" s="1"/>
  <c r="Z700" i="17"/>
  <c r="AA700" i="17" s="1"/>
  <c r="Z692" i="17"/>
  <c r="AA692" i="17" s="1"/>
  <c r="Z684" i="17"/>
  <c r="AA684" i="17" s="1"/>
  <c r="Z676" i="17"/>
  <c r="AA676" i="17" s="1"/>
  <c r="Z668" i="17"/>
  <c r="AA668" i="17" s="1"/>
  <c r="Z660" i="17"/>
  <c r="AA660" i="17" s="1"/>
  <c r="Z652" i="17"/>
  <c r="AA652" i="17" s="1"/>
  <c r="Z644" i="17"/>
  <c r="AA644" i="17" s="1"/>
  <c r="Z636" i="17"/>
  <c r="AA636" i="17" s="1"/>
  <c r="Z628" i="17"/>
  <c r="AA628" i="17" s="1"/>
  <c r="Z620" i="17"/>
  <c r="AA620" i="17" s="1"/>
  <c r="Z612" i="17"/>
  <c r="AA612" i="17" s="1"/>
  <c r="Z604" i="17"/>
  <c r="AA604" i="17" s="1"/>
  <c r="Z596" i="17"/>
  <c r="AA596" i="17" s="1"/>
  <c r="Z588" i="17"/>
  <c r="AA588" i="17" s="1"/>
  <c r="Z580" i="17"/>
  <c r="AA580" i="17" s="1"/>
  <c r="Z572" i="17"/>
  <c r="AA572" i="17" s="1"/>
  <c r="Z564" i="17"/>
  <c r="AA564" i="17" s="1"/>
  <c r="Z556" i="17"/>
  <c r="AA556" i="17" s="1"/>
  <c r="Z548" i="17"/>
  <c r="AA548" i="17" s="1"/>
  <c r="Z540" i="17"/>
  <c r="AA540" i="17" s="1"/>
  <c r="Z532" i="17"/>
  <c r="AA532" i="17" s="1"/>
  <c r="Z524" i="17"/>
  <c r="AA524" i="17" s="1"/>
  <c r="Z516" i="17"/>
  <c r="AA516" i="17" s="1"/>
  <c r="Z508" i="17"/>
  <c r="AA508" i="17" s="1"/>
  <c r="Z500" i="17"/>
  <c r="AA500" i="17" s="1"/>
  <c r="Z492" i="17"/>
  <c r="AA492" i="17" s="1"/>
  <c r="Z480" i="17"/>
  <c r="AA480" i="17" s="1"/>
  <c r="Z464" i="17"/>
  <c r="AA464" i="17" s="1"/>
  <c r="Z448" i="17"/>
  <c r="AA448" i="17" s="1"/>
  <c r="Z859" i="17"/>
  <c r="AA859" i="17" s="1"/>
  <c r="Z851" i="17"/>
  <c r="AA851" i="17" s="1"/>
  <c r="Z843" i="17"/>
  <c r="AA843" i="17" s="1"/>
  <c r="Z835" i="17"/>
  <c r="AA835" i="17" s="1"/>
  <c r="Z827" i="17"/>
  <c r="AA827" i="17" s="1"/>
  <c r="Z819" i="17"/>
  <c r="AA819" i="17" s="1"/>
  <c r="Z811" i="17"/>
  <c r="AA811" i="17" s="1"/>
  <c r="Z803" i="17"/>
  <c r="AA803" i="17" s="1"/>
  <c r="Z795" i="17"/>
  <c r="AA795" i="17" s="1"/>
  <c r="Z787" i="17"/>
  <c r="AA787" i="17" s="1"/>
  <c r="Z779" i="17"/>
  <c r="AA779" i="17" s="1"/>
  <c r="Z771" i="17"/>
  <c r="AA771" i="17" s="1"/>
  <c r="Z763" i="17"/>
  <c r="AA763" i="17" s="1"/>
  <c r="Z755" i="17"/>
  <c r="AA755" i="17" s="1"/>
  <c r="Z747" i="17"/>
  <c r="AA747" i="17" s="1"/>
  <c r="Z739" i="17"/>
  <c r="AA739" i="17" s="1"/>
  <c r="Z731" i="17"/>
  <c r="AA731" i="17" s="1"/>
  <c r="Z723" i="17"/>
  <c r="AA723" i="17" s="1"/>
  <c r="Z715" i="17"/>
  <c r="AA715" i="17" s="1"/>
  <c r="Z707" i="17"/>
  <c r="AA707" i="17" s="1"/>
  <c r="Z699" i="17"/>
  <c r="AA699" i="17" s="1"/>
  <c r="Z691" i="17"/>
  <c r="AA691" i="17" s="1"/>
  <c r="Z683" i="17"/>
  <c r="AA683" i="17" s="1"/>
  <c r="Z675" i="17"/>
  <c r="AA675" i="17" s="1"/>
  <c r="Z667" i="17"/>
  <c r="AA667" i="17" s="1"/>
  <c r="Z659" i="17"/>
  <c r="AA659" i="17" s="1"/>
  <c r="Z651" i="17"/>
  <c r="AA651" i="17" s="1"/>
  <c r="Z643" i="17"/>
  <c r="AA643" i="17" s="1"/>
  <c r="Z635" i="17"/>
  <c r="AA635" i="17" s="1"/>
  <c r="Z627" i="17"/>
  <c r="AA627" i="17" s="1"/>
  <c r="Z619" i="17"/>
  <c r="AA619" i="17" s="1"/>
  <c r="Z611" i="17"/>
  <c r="AA611" i="17" s="1"/>
  <c r="Z603" i="17"/>
  <c r="AA603" i="17" s="1"/>
  <c r="Z595" i="17"/>
  <c r="AA595" i="17" s="1"/>
  <c r="Z587" i="17"/>
  <c r="AA587" i="17" s="1"/>
  <c r="Z579" i="17"/>
  <c r="AA579" i="17" s="1"/>
  <c r="Z571" i="17"/>
  <c r="AA571" i="17" s="1"/>
  <c r="Z563" i="17"/>
  <c r="AA563" i="17" s="1"/>
  <c r="Z555" i="17"/>
  <c r="AA555" i="17" s="1"/>
  <c r="Z547" i="17"/>
  <c r="AA547" i="17" s="1"/>
  <c r="Z539" i="17"/>
  <c r="AA539" i="17" s="1"/>
  <c r="Z531" i="17"/>
  <c r="AA531" i="17" s="1"/>
  <c r="Z523" i="17"/>
  <c r="AA523" i="17" s="1"/>
  <c r="Z515" i="17"/>
  <c r="AA515" i="17" s="1"/>
  <c r="Z507" i="17"/>
  <c r="AA507" i="17" s="1"/>
  <c r="Z499" i="17"/>
  <c r="AA499" i="17" s="1"/>
  <c r="Z491" i="17"/>
  <c r="AA491" i="17" s="1"/>
  <c r="Z478" i="17"/>
  <c r="AA478" i="17" s="1"/>
  <c r="Z462" i="17"/>
  <c r="AA462" i="17" s="1"/>
  <c r="Z446" i="17"/>
  <c r="AA446" i="17" s="1"/>
  <c r="Z858" i="17"/>
  <c r="AA858" i="17" s="1"/>
  <c r="Z850" i="17"/>
  <c r="AA850" i="17" s="1"/>
  <c r="Z842" i="17"/>
  <c r="AA842" i="17" s="1"/>
  <c r="Z834" i="17"/>
  <c r="AA834" i="17" s="1"/>
  <c r="Z826" i="17"/>
  <c r="AA826" i="17" s="1"/>
  <c r="Z818" i="17"/>
  <c r="AA818" i="17" s="1"/>
  <c r="Z810" i="17"/>
  <c r="AA810" i="17" s="1"/>
  <c r="Z802" i="17"/>
  <c r="AA802" i="17" s="1"/>
  <c r="Z794" i="17"/>
  <c r="AA794" i="17" s="1"/>
  <c r="Z786" i="17"/>
  <c r="AA786" i="17" s="1"/>
  <c r="Z778" i="17"/>
  <c r="AA778" i="17" s="1"/>
  <c r="Z770" i="17"/>
  <c r="AA770" i="17" s="1"/>
  <c r="Z762" i="17"/>
  <c r="AA762" i="17" s="1"/>
  <c r="Z754" i="17"/>
  <c r="AA754" i="17" s="1"/>
  <c r="Z746" i="17"/>
  <c r="AA746" i="17" s="1"/>
  <c r="Z738" i="17"/>
  <c r="AA738" i="17" s="1"/>
  <c r="Z730" i="17"/>
  <c r="AA730" i="17" s="1"/>
  <c r="Z722" i="17"/>
  <c r="AA722" i="17" s="1"/>
  <c r="Z714" i="17"/>
  <c r="AA714" i="17" s="1"/>
  <c r="Z706" i="17"/>
  <c r="AA706" i="17" s="1"/>
  <c r="Z698" i="17"/>
  <c r="AA698" i="17" s="1"/>
  <c r="Z690" i="17"/>
  <c r="AA690" i="17" s="1"/>
  <c r="Z682" i="17"/>
  <c r="AA682" i="17" s="1"/>
  <c r="Z674" i="17"/>
  <c r="AA674" i="17" s="1"/>
  <c r="Z666" i="17"/>
  <c r="AA666" i="17" s="1"/>
  <c r="Z658" i="17"/>
  <c r="AA658" i="17" s="1"/>
  <c r="Z650" i="17"/>
  <c r="AA650" i="17" s="1"/>
  <c r="Z642" i="17"/>
  <c r="AA642" i="17" s="1"/>
  <c r="Z634" i="17"/>
  <c r="AA634" i="17" s="1"/>
  <c r="Z626" i="17"/>
  <c r="AA626" i="17" s="1"/>
  <c r="Z618" i="17"/>
  <c r="AA618" i="17" s="1"/>
  <c r="Z610" i="17"/>
  <c r="AA610" i="17" s="1"/>
  <c r="Z602" i="17"/>
  <c r="AA602" i="17" s="1"/>
  <c r="Z594" i="17"/>
  <c r="AA594" i="17" s="1"/>
  <c r="Z586" i="17"/>
  <c r="AA586" i="17" s="1"/>
  <c r="Z578" i="17"/>
  <c r="AA578" i="17" s="1"/>
  <c r="Z570" i="17"/>
  <c r="AA570" i="17" s="1"/>
  <c r="Z562" i="17"/>
  <c r="AA562" i="17" s="1"/>
  <c r="Z554" i="17"/>
  <c r="AA554" i="17" s="1"/>
  <c r="Z546" i="17"/>
  <c r="AA546" i="17" s="1"/>
  <c r="Z538" i="17"/>
  <c r="AA538" i="17" s="1"/>
  <c r="Z530" i="17"/>
  <c r="AA530" i="17" s="1"/>
  <c r="Z522" i="17"/>
  <c r="AA522" i="17" s="1"/>
  <c r="Z514" i="17"/>
  <c r="AA514" i="17" s="1"/>
  <c r="Z506" i="17"/>
  <c r="AA506" i="17" s="1"/>
  <c r="Z498" i="17"/>
  <c r="AA498" i="17" s="1"/>
  <c r="Z490" i="17"/>
  <c r="AA490" i="17" s="1"/>
  <c r="Z476" i="17"/>
  <c r="AA476" i="17" s="1"/>
  <c r="Z460" i="17"/>
  <c r="AA460" i="17" s="1"/>
  <c r="AA1533" i="10"/>
  <c r="AA1405" i="10"/>
  <c r="AA1595" i="10"/>
  <c r="AA1564" i="10"/>
  <c r="AA1525" i="10"/>
  <c r="AA1517" i="10"/>
  <c r="AA1467" i="10"/>
  <c r="AA1397" i="10"/>
  <c r="AA1389" i="10"/>
  <c r="U51" i="16"/>
  <c r="U34" i="16"/>
  <c r="U17" i="16"/>
  <c r="V39" i="23"/>
  <c r="L24" i="7"/>
  <c r="AA1563" i="10"/>
  <c r="AA1532" i="10"/>
  <c r="AA1493" i="10"/>
  <c r="AA1435" i="10"/>
  <c r="AA1365" i="10"/>
  <c r="U50" i="16"/>
  <c r="U33" i="16"/>
  <c r="AA1597" i="10"/>
  <c r="AA1469" i="10"/>
  <c r="AA1589" i="10"/>
  <c r="AA1581" i="10"/>
  <c r="AA1531" i="10"/>
  <c r="AA1500" i="10"/>
  <c r="AA1461" i="10"/>
  <c r="AA1453" i="10"/>
  <c r="AA1403" i="10"/>
  <c r="U49" i="16"/>
  <c r="U19" i="16"/>
  <c r="H1" i="23"/>
  <c r="Z487" i="17"/>
  <c r="AA487" i="17" s="1"/>
  <c r="Z485" i="17"/>
  <c r="AA485" i="17" s="1"/>
  <c r="Z483" i="17"/>
  <c r="AA483" i="17" s="1"/>
  <c r="Z481" i="17"/>
  <c r="AA481" i="17" s="1"/>
  <c r="Z479" i="17"/>
  <c r="AA479" i="17" s="1"/>
  <c r="Z477" i="17"/>
  <c r="AA477" i="17" s="1"/>
  <c r="Z475" i="17"/>
  <c r="AA475" i="17" s="1"/>
  <c r="Z473" i="17"/>
  <c r="AA473" i="17" s="1"/>
  <c r="Z471" i="17"/>
  <c r="AA471" i="17" s="1"/>
  <c r="Z469" i="17"/>
  <c r="AA469" i="17" s="1"/>
  <c r="Z467" i="17"/>
  <c r="AA467" i="17" s="1"/>
  <c r="Z465" i="17"/>
  <c r="AA465" i="17" s="1"/>
  <c r="Z463" i="17"/>
  <c r="AA463" i="17" s="1"/>
  <c r="Z461" i="17"/>
  <c r="AA461" i="17" s="1"/>
  <c r="Z459" i="17"/>
  <c r="AA459" i="17" s="1"/>
  <c r="Z457" i="17"/>
  <c r="AA457" i="17" s="1"/>
  <c r="Z455" i="17"/>
  <c r="AA455" i="17" s="1"/>
  <c r="Z453" i="17"/>
  <c r="AA453" i="17" s="1"/>
  <c r="Z451" i="17"/>
  <c r="AA451" i="17" s="1"/>
  <c r="Z449" i="17"/>
  <c r="AA449" i="17" s="1"/>
  <c r="Z447" i="17"/>
  <c r="AA447" i="17" s="1"/>
  <c r="R21" i="11"/>
  <c r="AA1604" i="10"/>
  <c r="AA1588" i="10"/>
  <c r="AA1572" i="10"/>
  <c r="AA1556" i="10"/>
  <c r="AA1540" i="10"/>
  <c r="AA1524" i="10"/>
  <c r="AA1508" i="10"/>
  <c r="AA1492" i="10"/>
  <c r="AA1476" i="10"/>
  <c r="AA1460" i="10"/>
  <c r="G5" i="4"/>
  <c r="R24" i="7"/>
  <c r="AA1600" i="10"/>
  <c r="AA1599" i="10"/>
  <c r="AA1592" i="10"/>
  <c r="AA1584" i="10"/>
  <c r="AA1583" i="10"/>
  <c r="AA1576" i="10"/>
  <c r="AA1568" i="10"/>
  <c r="AA1567" i="10"/>
  <c r="AA1560" i="10"/>
  <c r="AA1552" i="10"/>
  <c r="AA1551" i="10"/>
  <c r="AA1544" i="10"/>
  <c r="AA1536" i="10"/>
  <c r="AA1535" i="10"/>
  <c r="AA1528" i="10"/>
  <c r="AA1520" i="10"/>
  <c r="AA1519" i="10"/>
  <c r="AA1512" i="10"/>
  <c r="AA1504" i="10"/>
  <c r="AA1503" i="10"/>
  <c r="AA1496" i="10"/>
  <c r="AA1488" i="10"/>
  <c r="AA1487" i="10"/>
  <c r="AA1480" i="10"/>
  <c r="AA1472" i="10"/>
  <c r="AA1471" i="10"/>
  <c r="AA1464" i="10"/>
  <c r="AA1456" i="10"/>
  <c r="AA1455" i="10"/>
  <c r="AA1439" i="10"/>
  <c r="AA1423" i="10"/>
  <c r="AA1407" i="10"/>
  <c r="AA1391" i="10"/>
  <c r="AA1375" i="10"/>
  <c r="AA1359" i="10"/>
  <c r="U55" i="16"/>
  <c r="U54" i="16"/>
  <c r="U53" i="16"/>
  <c r="U47" i="16"/>
  <c r="U46" i="16"/>
  <c r="U45" i="16"/>
  <c r="U39" i="16"/>
  <c r="U38" i="16"/>
  <c r="U37" i="16"/>
  <c r="U31" i="16"/>
  <c r="U30" i="16"/>
  <c r="U29" i="16"/>
  <c r="U23" i="16"/>
  <c r="U22" i="16"/>
  <c r="U21" i="16"/>
  <c r="U15" i="16"/>
  <c r="U14" i="16"/>
  <c r="U13" i="16"/>
  <c r="T15" i="23"/>
  <c r="T19" i="23"/>
  <c r="V21" i="23"/>
  <c r="T35" i="23"/>
  <c r="V37" i="23"/>
  <c r="T51" i="23"/>
  <c r="V53" i="23"/>
  <c r="V17" i="23"/>
  <c r="V19" i="23"/>
  <c r="V23" i="23"/>
  <c r="V35" i="23"/>
  <c r="V51" i="23"/>
  <c r="V55" i="23"/>
  <c r="J24" i="8"/>
  <c r="T23" i="23"/>
  <c r="V27" i="23"/>
  <c r="V41" i="23"/>
  <c r="T55" i="23"/>
  <c r="V33" i="23"/>
  <c r="T47" i="23"/>
  <c r="T11" i="23"/>
  <c r="V15" i="23"/>
  <c r="V29" i="23"/>
  <c r="T43" i="23"/>
  <c r="V47" i="23"/>
  <c r="V11" i="23"/>
  <c r="V25" i="23"/>
  <c r="T39" i="23"/>
  <c r="V43" i="23"/>
  <c r="T31" i="23"/>
  <c r="V49" i="23"/>
  <c r="V13" i="23"/>
  <c r="T27" i="23"/>
  <c r="V31" i="23"/>
  <c r="V45" i="23"/>
  <c r="AA1601" i="10"/>
  <c r="AA1598" i="10"/>
  <c r="AA1585" i="10"/>
  <c r="AA1582" i="10"/>
  <c r="AA1569" i="10"/>
  <c r="AA1566" i="10"/>
  <c r="AA1553" i="10"/>
  <c r="AA1550" i="10"/>
  <c r="AA1537" i="10"/>
  <c r="AA1534" i="10"/>
  <c r="AA1521" i="10"/>
  <c r="AA1518" i="10"/>
  <c r="AA1505" i="10"/>
  <c r="AA1502" i="10"/>
  <c r="AA1489" i="10"/>
  <c r="AA1486" i="10"/>
  <c r="AA1473" i="10"/>
  <c r="AA1470" i="10"/>
  <c r="AA1457" i="10"/>
  <c r="AA1454" i="10"/>
  <c r="AA1441" i="10"/>
  <c r="AA1438" i="10"/>
  <c r="AA1425" i="10"/>
  <c r="AA1422" i="10"/>
  <c r="AA1409" i="10"/>
  <c r="AA1406" i="10"/>
  <c r="AA1393" i="10"/>
  <c r="AA1390" i="10"/>
  <c r="AA1377" i="10"/>
  <c r="AA1374" i="10"/>
  <c r="AA1361" i="10"/>
  <c r="AA1358" i="10"/>
  <c r="AA1591" i="10"/>
  <c r="AA1575" i="10"/>
  <c r="AA1559" i="10"/>
  <c r="AA1543" i="10"/>
  <c r="AA1527" i="10"/>
  <c r="AA1511" i="10"/>
  <c r="AA1495" i="10"/>
  <c r="AA1479" i="10"/>
  <c r="AA1463" i="10"/>
  <c r="AA1447" i="10"/>
  <c r="AA1431" i="10"/>
  <c r="AA1415" i="10"/>
  <c r="AA1399" i="10"/>
  <c r="AA1383" i="10"/>
  <c r="AA1367" i="10"/>
  <c r="U56" i="16"/>
  <c r="U52" i="16"/>
  <c r="U48" i="16"/>
  <c r="U44" i="16"/>
  <c r="U40" i="16"/>
  <c r="U36" i="16"/>
  <c r="U32" i="16"/>
  <c r="U28" i="16"/>
  <c r="U24" i="16"/>
  <c r="U20" i="16"/>
  <c r="U16" i="16"/>
  <c r="U12" i="16"/>
  <c r="W13" i="8"/>
  <c r="W17" i="8"/>
  <c r="W21" i="8"/>
  <c r="AA1594" i="10"/>
  <c r="AA1578" i="10"/>
  <c r="AA1562" i="10"/>
  <c r="AA1546" i="10"/>
  <c r="AA1530" i="10"/>
  <c r="AA1514" i="10"/>
  <c r="AA1498" i="10"/>
  <c r="AA1482" i="10"/>
  <c r="AA1466" i="10"/>
  <c r="AA1450" i="10"/>
  <c r="AA1434" i="10"/>
  <c r="AA1418" i="10"/>
  <c r="AA1402" i="10"/>
  <c r="AA1386" i="10"/>
  <c r="AA1370" i="10"/>
  <c r="C24" i="7"/>
  <c r="AA1603" i="10"/>
  <c r="AA1587" i="10"/>
  <c r="AA1571" i="10"/>
  <c r="AA1555" i="10"/>
  <c r="AA1539" i="10"/>
  <c r="AA1523" i="10"/>
  <c r="AA1507" i="10"/>
  <c r="AA1491" i="10"/>
  <c r="AA1475" i="10"/>
  <c r="AA1459" i="10"/>
  <c r="AA1443" i="10"/>
  <c r="AA1427" i="10"/>
  <c r="AA1411" i="10"/>
  <c r="AA1395" i="10"/>
  <c r="AA1379" i="10"/>
  <c r="AA1363" i="10"/>
  <c r="W12" i="8"/>
  <c r="W16" i="8"/>
  <c r="W20" i="8"/>
  <c r="W14" i="8"/>
  <c r="W18" i="8"/>
  <c r="W22" i="8"/>
  <c r="AA1593" i="10"/>
  <c r="AA1590" i="10"/>
  <c r="AA1577" i="10"/>
  <c r="AA1574" i="10"/>
  <c r="AA1561" i="10"/>
  <c r="AA1558" i="10"/>
  <c r="AA1545" i="10"/>
  <c r="AA1542" i="10"/>
  <c r="AA1529" i="10"/>
  <c r="AA1526" i="10"/>
  <c r="AA1513" i="10"/>
  <c r="AA1510" i="10"/>
  <c r="AA1497" i="10"/>
  <c r="AA1494" i="10"/>
  <c r="AA1481" i="10"/>
  <c r="AA1478" i="10"/>
  <c r="AA1465" i="10"/>
  <c r="AA1462" i="10"/>
  <c r="AA1449" i="10"/>
  <c r="AA1446" i="10"/>
  <c r="AA1433" i="10"/>
  <c r="AA1430" i="10"/>
  <c r="AA1417" i="10"/>
  <c r="AA1414" i="10"/>
  <c r="AA1401" i="10"/>
  <c r="AA1398" i="10"/>
  <c r="AA1385" i="10"/>
  <c r="AA1382" i="10"/>
  <c r="AA1369" i="10"/>
  <c r="AA1366" i="10"/>
  <c r="W15" i="8"/>
  <c r="W19" i="8"/>
  <c r="W23" i="8"/>
  <c r="R9" i="7"/>
  <c r="AA1602" i="10"/>
  <c r="AA1586" i="10"/>
  <c r="AA1570" i="10"/>
  <c r="AA1554" i="10"/>
  <c r="AA1538" i="10"/>
  <c r="AA1522" i="10"/>
  <c r="AA1506" i="10"/>
  <c r="AA1490" i="10"/>
  <c r="AA1474" i="10"/>
  <c r="AA1458" i="10"/>
  <c r="AA1442" i="10"/>
  <c r="AA1426" i="10"/>
  <c r="AA1410" i="10"/>
  <c r="AA1394" i="10"/>
  <c r="AA1378" i="10"/>
  <c r="AA1362" i="10"/>
  <c r="Q3" i="23"/>
  <c r="T13" i="23"/>
  <c r="T17" i="23"/>
  <c r="T21" i="23"/>
  <c r="T25" i="23"/>
  <c r="T29" i="23"/>
  <c r="T33" i="23"/>
  <c r="T37" i="23"/>
  <c r="T41" i="23"/>
  <c r="T45" i="23"/>
  <c r="T49" i="23"/>
  <c r="T53" i="23"/>
  <c r="H1" i="16"/>
  <c r="A8" i="23"/>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B5" i="11"/>
  <c r="D5" i="11"/>
  <c r="F5" i="11"/>
  <c r="H5" i="11"/>
  <c r="J5" i="11"/>
  <c r="C5" i="18"/>
  <c r="E5" i="18"/>
  <c r="G5" i="18"/>
  <c r="I5" i="18"/>
  <c r="C5" i="11"/>
  <c r="E5" i="11"/>
  <c r="G5" i="11"/>
  <c r="I5" i="11"/>
  <c r="B5" i="18"/>
  <c r="D5" i="18"/>
  <c r="F5" i="18"/>
  <c r="H5" i="18"/>
  <c r="I14" i="14"/>
  <c r="I15" i="21"/>
  <c r="Q21" i="18"/>
  <c r="Q20" i="18"/>
  <c r="L11" i="7"/>
  <c r="R11" i="7"/>
  <c r="H10" i="22"/>
  <c r="AJ10" i="22" s="1"/>
  <c r="J11" i="15"/>
  <c r="G11" i="14"/>
  <c r="L11" i="14" s="1"/>
  <c r="N2" i="16"/>
  <c r="V8" i="23"/>
  <c r="T8" i="23"/>
  <c r="V9" i="23"/>
  <c r="N2" i="23"/>
  <c r="T9" i="23"/>
  <c r="V7" i="23"/>
  <c r="T7" i="23"/>
  <c r="T10" i="23"/>
  <c r="V10" i="23"/>
  <c r="T12" i="23"/>
  <c r="V12" i="23"/>
  <c r="T14" i="23"/>
  <c r="V14" i="23"/>
  <c r="T16" i="23"/>
  <c r="V16" i="23"/>
  <c r="T18" i="23"/>
  <c r="V18" i="23"/>
  <c r="T20" i="23"/>
  <c r="V20" i="23"/>
  <c r="T22" i="23"/>
  <c r="V22" i="23"/>
  <c r="T24" i="23"/>
  <c r="V24" i="23"/>
  <c r="T26" i="23"/>
  <c r="V26" i="23"/>
  <c r="T28" i="23"/>
  <c r="V28" i="23"/>
  <c r="T30" i="23"/>
  <c r="V30" i="23"/>
  <c r="T32" i="23"/>
  <c r="V32" i="23"/>
  <c r="T34" i="23"/>
  <c r="V34" i="23"/>
  <c r="T36" i="23"/>
  <c r="V36" i="23"/>
  <c r="T38" i="23"/>
  <c r="V38" i="23"/>
  <c r="T40" i="23"/>
  <c r="V40" i="23"/>
  <c r="T42" i="23"/>
  <c r="V42" i="23"/>
  <c r="T44" i="23"/>
  <c r="V44" i="23"/>
  <c r="T46" i="23"/>
  <c r="V46" i="23"/>
  <c r="T48" i="23"/>
  <c r="V48" i="23"/>
  <c r="T50" i="23"/>
  <c r="V50" i="23"/>
  <c r="T52" i="23"/>
  <c r="V52" i="23"/>
  <c r="T54" i="23"/>
  <c r="V54" i="23"/>
  <c r="T56" i="23"/>
  <c r="V56" i="23"/>
  <c r="G12" i="21"/>
  <c r="I17" i="21"/>
  <c r="F12" i="21"/>
  <c r="K12" i="21" s="1"/>
  <c r="Z21" i="17"/>
  <c r="AA21" i="17" s="1"/>
  <c r="Z37" i="17"/>
  <c r="AA37" i="17" s="1"/>
  <c r="Z53" i="17"/>
  <c r="AA53" i="17" s="1"/>
  <c r="Z69" i="17"/>
  <c r="AA69" i="17" s="1"/>
  <c r="Z13" i="17"/>
  <c r="AA13" i="17" s="1"/>
  <c r="Z29" i="17"/>
  <c r="AA29" i="17" s="1"/>
  <c r="Z45" i="17"/>
  <c r="AA45" i="17" s="1"/>
  <c r="Z61" i="17"/>
  <c r="AA61" i="17" s="1"/>
  <c r="N27" i="18"/>
  <c r="Z9" i="17"/>
  <c r="AA9" i="17" s="1"/>
  <c r="Z17" i="17"/>
  <c r="AA17" i="17" s="1"/>
  <c r="Z25" i="17"/>
  <c r="AA25" i="17" s="1"/>
  <c r="Z33" i="17"/>
  <c r="AA33" i="17" s="1"/>
  <c r="Z41" i="17"/>
  <c r="AA41" i="17" s="1"/>
  <c r="Z49" i="17"/>
  <c r="AA49" i="17" s="1"/>
  <c r="Z57" i="17"/>
  <c r="AA57" i="17" s="1"/>
  <c r="G9" i="7"/>
  <c r="G11" i="7" s="1"/>
  <c r="C11" i="7" s="1"/>
  <c r="L9" i="7"/>
  <c r="Z71" i="17"/>
  <c r="AA71" i="17" s="1"/>
  <c r="Z73" i="17"/>
  <c r="AA73" i="17" s="1"/>
  <c r="Z75" i="17"/>
  <c r="AA75" i="17" s="1"/>
  <c r="Z77" i="17"/>
  <c r="AA77" i="17" s="1"/>
  <c r="Z79" i="17"/>
  <c r="AA79" i="17" s="1"/>
  <c r="Z81" i="17"/>
  <c r="AA81" i="17" s="1"/>
  <c r="Z83" i="17"/>
  <c r="AA83" i="17" s="1"/>
  <c r="Z85" i="17"/>
  <c r="AA85" i="17" s="1"/>
  <c r="Z87" i="17"/>
  <c r="AA87" i="17" s="1"/>
  <c r="Z89" i="17"/>
  <c r="AA89" i="17" s="1"/>
  <c r="Z91" i="17"/>
  <c r="AA91" i="17" s="1"/>
  <c r="Z93" i="17"/>
  <c r="AA93" i="17" s="1"/>
  <c r="Z95" i="17"/>
  <c r="AA95" i="17" s="1"/>
  <c r="Z97" i="17"/>
  <c r="AA97" i="17" s="1"/>
  <c r="Z99" i="17"/>
  <c r="AA99" i="17" s="1"/>
  <c r="Z101" i="17"/>
  <c r="AA101" i="17" s="1"/>
  <c r="Z103" i="17"/>
  <c r="AA103" i="17" s="1"/>
  <c r="Z105" i="17"/>
  <c r="AA105" i="17" s="1"/>
  <c r="Z107" i="17"/>
  <c r="AA107" i="17" s="1"/>
  <c r="Z109" i="17"/>
  <c r="AA109" i="17" s="1"/>
  <c r="Z111" i="17"/>
  <c r="AA111" i="17" s="1"/>
  <c r="Z113" i="17"/>
  <c r="AA113" i="17" s="1"/>
  <c r="Z115" i="17"/>
  <c r="AA115" i="17" s="1"/>
  <c r="Z117" i="17"/>
  <c r="AA117" i="17" s="1"/>
  <c r="Z119" i="17"/>
  <c r="AA119" i="17" s="1"/>
  <c r="Z121" i="17"/>
  <c r="AA121" i="17" s="1"/>
  <c r="Z123" i="17"/>
  <c r="AA123" i="17" s="1"/>
  <c r="Z125" i="17"/>
  <c r="AA125" i="17" s="1"/>
  <c r="Z127" i="17"/>
  <c r="AA127" i="17" s="1"/>
  <c r="Z129" i="17"/>
  <c r="AA129" i="17" s="1"/>
  <c r="Z131" i="17"/>
  <c r="AA131" i="17" s="1"/>
  <c r="Z133" i="17"/>
  <c r="AA133" i="17" s="1"/>
  <c r="Z135" i="17"/>
  <c r="AA135" i="17" s="1"/>
  <c r="Z137" i="17"/>
  <c r="AA137" i="17" s="1"/>
  <c r="Z139" i="17"/>
  <c r="AA139" i="17" s="1"/>
  <c r="Z141" i="17"/>
  <c r="AA141" i="17" s="1"/>
  <c r="Z143" i="17"/>
  <c r="AA143" i="17" s="1"/>
  <c r="Z145" i="17"/>
  <c r="AA145" i="17" s="1"/>
  <c r="Z147" i="17"/>
  <c r="AA147" i="17" s="1"/>
  <c r="Z149" i="17"/>
  <c r="AA149" i="17" s="1"/>
  <c r="Z151" i="17"/>
  <c r="AA151" i="17" s="1"/>
  <c r="Z153" i="17"/>
  <c r="AA153" i="17" s="1"/>
  <c r="Z155" i="17"/>
  <c r="AA155" i="17" s="1"/>
  <c r="Z157" i="17"/>
  <c r="AA157" i="17" s="1"/>
  <c r="Z159" i="17"/>
  <c r="AA159" i="17" s="1"/>
  <c r="Z161" i="17"/>
  <c r="AA161" i="17" s="1"/>
  <c r="Z163" i="17"/>
  <c r="AA163" i="17" s="1"/>
  <c r="Z165" i="17"/>
  <c r="AA165" i="17" s="1"/>
  <c r="Z167" i="17"/>
  <c r="AA167" i="17" s="1"/>
  <c r="Z169" i="17"/>
  <c r="AA169" i="17" s="1"/>
  <c r="Z171" i="17"/>
  <c r="AA171" i="17" s="1"/>
  <c r="Z173" i="17"/>
  <c r="AA173" i="17" s="1"/>
  <c r="Z175" i="17"/>
  <c r="AA175" i="17" s="1"/>
  <c r="Z177" i="17"/>
  <c r="AA177" i="17" s="1"/>
  <c r="Z179" i="17"/>
  <c r="AA179" i="17" s="1"/>
  <c r="Z181" i="17"/>
  <c r="AA181" i="17" s="1"/>
  <c r="Z183" i="17"/>
  <c r="AA183" i="17" s="1"/>
  <c r="Z185" i="17"/>
  <c r="AA185" i="17" s="1"/>
  <c r="Z187" i="17"/>
  <c r="AA187" i="17" s="1"/>
  <c r="Z189" i="17"/>
  <c r="AA189" i="17" s="1"/>
  <c r="Z191" i="17"/>
  <c r="AA191" i="17" s="1"/>
  <c r="Z193" i="17"/>
  <c r="AA193" i="17" s="1"/>
  <c r="Z195" i="17"/>
  <c r="AA195" i="17" s="1"/>
  <c r="Z197" i="17"/>
  <c r="AA197" i="17" s="1"/>
  <c r="Z199" i="17"/>
  <c r="AA199" i="17" s="1"/>
  <c r="Z201" i="17"/>
  <c r="AA201" i="17" s="1"/>
  <c r="Z203" i="17"/>
  <c r="AA203" i="17" s="1"/>
  <c r="Z205" i="17"/>
  <c r="AA205" i="17" s="1"/>
  <c r="Z207" i="17"/>
  <c r="AA207" i="17" s="1"/>
  <c r="Z209" i="17"/>
  <c r="AA209" i="17" s="1"/>
  <c r="Z211" i="17"/>
  <c r="AA211" i="17" s="1"/>
  <c r="Z213" i="17"/>
  <c r="AA213" i="17" s="1"/>
  <c r="Z215" i="17"/>
  <c r="AA215" i="17" s="1"/>
  <c r="Z217" i="17"/>
  <c r="AA217" i="17" s="1"/>
  <c r="Z219" i="17"/>
  <c r="AA219" i="17" s="1"/>
  <c r="Z221" i="17"/>
  <c r="AA221" i="17" s="1"/>
  <c r="Z223" i="17"/>
  <c r="AA223" i="17" s="1"/>
  <c r="Z225" i="17"/>
  <c r="AA225" i="17" s="1"/>
  <c r="Z227" i="17"/>
  <c r="AA227" i="17" s="1"/>
  <c r="Z229" i="17"/>
  <c r="AA229" i="17" s="1"/>
  <c r="Z231" i="17"/>
  <c r="AA231" i="17" s="1"/>
  <c r="Z233" i="17"/>
  <c r="AA233" i="17" s="1"/>
  <c r="Z235" i="17"/>
  <c r="AA235" i="17" s="1"/>
  <c r="Z237" i="17"/>
  <c r="AA237" i="17" s="1"/>
  <c r="Z239" i="17"/>
  <c r="AA239" i="17" s="1"/>
  <c r="Z241" i="17"/>
  <c r="AA241" i="17" s="1"/>
  <c r="Z243" i="17"/>
  <c r="AA243" i="17" s="1"/>
  <c r="Z245" i="17"/>
  <c r="AA245" i="17" s="1"/>
  <c r="Z247" i="17"/>
  <c r="AA247" i="17" s="1"/>
  <c r="Z249" i="17"/>
  <c r="AA249" i="17" s="1"/>
  <c r="Z251" i="17"/>
  <c r="AA251" i="17" s="1"/>
  <c r="Z253" i="17"/>
  <c r="AA253" i="17" s="1"/>
  <c r="Z255" i="17"/>
  <c r="AA255" i="17" s="1"/>
  <c r="Z257" i="17"/>
  <c r="AA257" i="17" s="1"/>
  <c r="Z259" i="17"/>
  <c r="AA259" i="17" s="1"/>
  <c r="Z261" i="17"/>
  <c r="AA261" i="17" s="1"/>
  <c r="Z263" i="17"/>
  <c r="AA263" i="17" s="1"/>
  <c r="Z265" i="17"/>
  <c r="AA265" i="17" s="1"/>
  <c r="Z267" i="17"/>
  <c r="AA267" i="17" s="1"/>
  <c r="Z269" i="17"/>
  <c r="AA269" i="17" s="1"/>
  <c r="Z271" i="17"/>
  <c r="AA271" i="17" s="1"/>
  <c r="Z273" i="17"/>
  <c r="AA273" i="17" s="1"/>
  <c r="Z275" i="17"/>
  <c r="AA275" i="17" s="1"/>
  <c r="Z277" i="17"/>
  <c r="AA277" i="17" s="1"/>
  <c r="Z279" i="17"/>
  <c r="AA279" i="17" s="1"/>
  <c r="Z281" i="17"/>
  <c r="AA281" i="17" s="1"/>
  <c r="Z283" i="17"/>
  <c r="AA283" i="17" s="1"/>
  <c r="Z285" i="17"/>
  <c r="AA285" i="17" s="1"/>
  <c r="Z287" i="17"/>
  <c r="AA287" i="17" s="1"/>
  <c r="Z289" i="17"/>
  <c r="AA289" i="17" s="1"/>
  <c r="Z291" i="17"/>
  <c r="AA291" i="17" s="1"/>
  <c r="Z293" i="17"/>
  <c r="AA293" i="17" s="1"/>
  <c r="Z295" i="17"/>
  <c r="AA295" i="17" s="1"/>
  <c r="Z297" i="17"/>
  <c r="AA297" i="17" s="1"/>
  <c r="Z299" i="17"/>
  <c r="AA299" i="17" s="1"/>
  <c r="Z301" i="17"/>
  <c r="AA301" i="17" s="1"/>
  <c r="Z303" i="17"/>
  <c r="AA303" i="17" s="1"/>
  <c r="Z305" i="17"/>
  <c r="AA305" i="17" s="1"/>
  <c r="Z307" i="17"/>
  <c r="AA307" i="17" s="1"/>
  <c r="Z309" i="17"/>
  <c r="AA309" i="17" s="1"/>
  <c r="Z311" i="17"/>
  <c r="AA311" i="17" s="1"/>
  <c r="Z313" i="17"/>
  <c r="AA313" i="17" s="1"/>
  <c r="Z315" i="17"/>
  <c r="AA315" i="17" s="1"/>
  <c r="Z317" i="17"/>
  <c r="AA317" i="17" s="1"/>
  <c r="Z319" i="17"/>
  <c r="AA319" i="17" s="1"/>
  <c r="Z321" i="17"/>
  <c r="AA321" i="17" s="1"/>
  <c r="Z323" i="17"/>
  <c r="AA323" i="17" s="1"/>
  <c r="Z325" i="17"/>
  <c r="AA325" i="17" s="1"/>
  <c r="Z327" i="17"/>
  <c r="AA327" i="17" s="1"/>
  <c r="Z329" i="17"/>
  <c r="AA329" i="17" s="1"/>
  <c r="Z331" i="17"/>
  <c r="AA331" i="17" s="1"/>
  <c r="Z333" i="17"/>
  <c r="AA333" i="17" s="1"/>
  <c r="Z335" i="17"/>
  <c r="AA335" i="17" s="1"/>
  <c r="Z337" i="17"/>
  <c r="AA337" i="17" s="1"/>
  <c r="Z339" i="17"/>
  <c r="AA339" i="17" s="1"/>
  <c r="Z341" i="17"/>
  <c r="AA341" i="17" s="1"/>
  <c r="Z343" i="17"/>
  <c r="AA343" i="17" s="1"/>
  <c r="Z345" i="17"/>
  <c r="AA345" i="17" s="1"/>
  <c r="Z347" i="17"/>
  <c r="AA347" i="17" s="1"/>
  <c r="Z349" i="17"/>
  <c r="AA349" i="17" s="1"/>
  <c r="Z351" i="17"/>
  <c r="AA351" i="17" s="1"/>
  <c r="Z353" i="17"/>
  <c r="AA353" i="17" s="1"/>
  <c r="Z355" i="17"/>
  <c r="AA355" i="17" s="1"/>
  <c r="Z357" i="17"/>
  <c r="AA357" i="17" s="1"/>
  <c r="Z359" i="17"/>
  <c r="AA359" i="17" s="1"/>
  <c r="Z361" i="17"/>
  <c r="AA361" i="17" s="1"/>
  <c r="Z363" i="17"/>
  <c r="AA363" i="17" s="1"/>
  <c r="Z365" i="17"/>
  <c r="AA365" i="17" s="1"/>
  <c r="Z367" i="17"/>
  <c r="AA367" i="17" s="1"/>
  <c r="Z369" i="17"/>
  <c r="AA369" i="17" s="1"/>
  <c r="Z371" i="17"/>
  <c r="AA371" i="17" s="1"/>
  <c r="Z373" i="17"/>
  <c r="AA373" i="17" s="1"/>
  <c r="Z375" i="17"/>
  <c r="AA375" i="17" s="1"/>
  <c r="Z377" i="17"/>
  <c r="AA377" i="17" s="1"/>
  <c r="Z379" i="17"/>
  <c r="AA379" i="17" s="1"/>
  <c r="Z381" i="17"/>
  <c r="AA381" i="17" s="1"/>
  <c r="Z383" i="17"/>
  <c r="AA383" i="17" s="1"/>
  <c r="Z385" i="17"/>
  <c r="AA385" i="17" s="1"/>
  <c r="Z387" i="17"/>
  <c r="AA387" i="17" s="1"/>
  <c r="Z389" i="17"/>
  <c r="AA389" i="17" s="1"/>
  <c r="Z391" i="17"/>
  <c r="AA391" i="17" s="1"/>
  <c r="Z393" i="17"/>
  <c r="AA393" i="17" s="1"/>
  <c r="Z395" i="17"/>
  <c r="AA395" i="17" s="1"/>
  <c r="Z397" i="17"/>
  <c r="AA397" i="17" s="1"/>
  <c r="Z399" i="17"/>
  <c r="AA399" i="17" s="1"/>
  <c r="Z401" i="17"/>
  <c r="AA401" i="17" s="1"/>
  <c r="Z403" i="17"/>
  <c r="AA403" i="17" s="1"/>
  <c r="Z405" i="17"/>
  <c r="AA405" i="17" s="1"/>
  <c r="Z407" i="17"/>
  <c r="AA407" i="17" s="1"/>
  <c r="Z409" i="17"/>
  <c r="AA409" i="17" s="1"/>
  <c r="Z411" i="17"/>
  <c r="AA411" i="17" s="1"/>
  <c r="Z413" i="17"/>
  <c r="AA413" i="17" s="1"/>
  <c r="Z415" i="17"/>
  <c r="AA415" i="17" s="1"/>
  <c r="Z417" i="17"/>
  <c r="AA417" i="17" s="1"/>
  <c r="Z419" i="17"/>
  <c r="AA419" i="17" s="1"/>
  <c r="Z421" i="17"/>
  <c r="AA421" i="17" s="1"/>
  <c r="Z423" i="17"/>
  <c r="AA423" i="17" s="1"/>
  <c r="Z425" i="17"/>
  <c r="AA425" i="17" s="1"/>
  <c r="Z427" i="17"/>
  <c r="AA427" i="17" s="1"/>
  <c r="Z429" i="17"/>
  <c r="AA429" i="17" s="1"/>
  <c r="Z431" i="17"/>
  <c r="AA431" i="17" s="1"/>
  <c r="Z433" i="17"/>
  <c r="AA433" i="17" s="1"/>
  <c r="Z435" i="17"/>
  <c r="AA435" i="17" s="1"/>
  <c r="Z437" i="17"/>
  <c r="AA437" i="17" s="1"/>
  <c r="Z439" i="17"/>
  <c r="AA439" i="17" s="1"/>
  <c r="Z441" i="17"/>
  <c r="AA441" i="17" s="1"/>
  <c r="Z443" i="17"/>
  <c r="AA443" i="17" s="1"/>
  <c r="Z72" i="17"/>
  <c r="AA72" i="17" s="1"/>
  <c r="Z74" i="17"/>
  <c r="AA74" i="17" s="1"/>
  <c r="Z76" i="17"/>
  <c r="AA76" i="17" s="1"/>
  <c r="Z78" i="17"/>
  <c r="AA78" i="17" s="1"/>
  <c r="Z80" i="17"/>
  <c r="AA80" i="17" s="1"/>
  <c r="Z82" i="17"/>
  <c r="AA82" i="17" s="1"/>
  <c r="Z84" i="17"/>
  <c r="AA84" i="17" s="1"/>
  <c r="Z86" i="17"/>
  <c r="AA86" i="17" s="1"/>
  <c r="Z88" i="17"/>
  <c r="AA88" i="17" s="1"/>
  <c r="Z90" i="17"/>
  <c r="AA90" i="17" s="1"/>
  <c r="Z92" i="17"/>
  <c r="AA92" i="17" s="1"/>
  <c r="Z94" i="17"/>
  <c r="AA94" i="17" s="1"/>
  <c r="Z96" i="17"/>
  <c r="AA96" i="17" s="1"/>
  <c r="Z98" i="17"/>
  <c r="AA98" i="17" s="1"/>
  <c r="Z100" i="17"/>
  <c r="AA100" i="17" s="1"/>
  <c r="Z102" i="17"/>
  <c r="AA102" i="17" s="1"/>
  <c r="Z104" i="17"/>
  <c r="AA104" i="17" s="1"/>
  <c r="Z106" i="17"/>
  <c r="AA106" i="17" s="1"/>
  <c r="Z108" i="17"/>
  <c r="AA108" i="17" s="1"/>
  <c r="Z110" i="17"/>
  <c r="AA110" i="17" s="1"/>
  <c r="Z112" i="17"/>
  <c r="AA112" i="17" s="1"/>
  <c r="Z114" i="17"/>
  <c r="AA114" i="17" s="1"/>
  <c r="Z116" i="17"/>
  <c r="AA116" i="17" s="1"/>
  <c r="Z118" i="17"/>
  <c r="AA118" i="17" s="1"/>
  <c r="Z120" i="17"/>
  <c r="AA120" i="17" s="1"/>
  <c r="Z122" i="17"/>
  <c r="AA122" i="17" s="1"/>
  <c r="Z124" i="17"/>
  <c r="AA124" i="17" s="1"/>
  <c r="Z126" i="17"/>
  <c r="AA126" i="17" s="1"/>
  <c r="Z128" i="17"/>
  <c r="AA128" i="17" s="1"/>
  <c r="Z130" i="17"/>
  <c r="AA130" i="17" s="1"/>
  <c r="Z132" i="17"/>
  <c r="AA132" i="17" s="1"/>
  <c r="Z134" i="17"/>
  <c r="AA134" i="17" s="1"/>
  <c r="Z136" i="17"/>
  <c r="AA136" i="17" s="1"/>
  <c r="Z138" i="17"/>
  <c r="AA138" i="17" s="1"/>
  <c r="Z140" i="17"/>
  <c r="AA140" i="17" s="1"/>
  <c r="Z142" i="17"/>
  <c r="AA142" i="17" s="1"/>
  <c r="Z144" i="17"/>
  <c r="AA144" i="17" s="1"/>
  <c r="Z146" i="17"/>
  <c r="AA146" i="17" s="1"/>
  <c r="Z148" i="17"/>
  <c r="AA148" i="17" s="1"/>
  <c r="Z150" i="17"/>
  <c r="AA150" i="17" s="1"/>
  <c r="Z152" i="17"/>
  <c r="AA152" i="17" s="1"/>
  <c r="Z154" i="17"/>
  <c r="AA154" i="17" s="1"/>
  <c r="Z156" i="17"/>
  <c r="AA156" i="17" s="1"/>
  <c r="Z158" i="17"/>
  <c r="AA158" i="17" s="1"/>
  <c r="Z160" i="17"/>
  <c r="AA160" i="17" s="1"/>
  <c r="Z162" i="17"/>
  <c r="AA162" i="17" s="1"/>
  <c r="Z164" i="17"/>
  <c r="AA164" i="17" s="1"/>
  <c r="Z166" i="17"/>
  <c r="AA166" i="17" s="1"/>
  <c r="Z168" i="17"/>
  <c r="AA168" i="17" s="1"/>
  <c r="Z170" i="17"/>
  <c r="AA170" i="17" s="1"/>
  <c r="Z172" i="17"/>
  <c r="AA172" i="17" s="1"/>
  <c r="Z174" i="17"/>
  <c r="AA174" i="17" s="1"/>
  <c r="Z176" i="17"/>
  <c r="AA176" i="17" s="1"/>
  <c r="Z178" i="17"/>
  <c r="AA178" i="17" s="1"/>
  <c r="Z180" i="17"/>
  <c r="AA180" i="17" s="1"/>
  <c r="Z182" i="17"/>
  <c r="AA182" i="17" s="1"/>
  <c r="Z184" i="17"/>
  <c r="AA184" i="17" s="1"/>
  <c r="Z186" i="17"/>
  <c r="AA186" i="17" s="1"/>
  <c r="Z188" i="17"/>
  <c r="AA188" i="17" s="1"/>
  <c r="Z190" i="17"/>
  <c r="AA190" i="17" s="1"/>
  <c r="Z192" i="17"/>
  <c r="AA192" i="17" s="1"/>
  <c r="Z194" i="17"/>
  <c r="AA194" i="17" s="1"/>
  <c r="Z196" i="17"/>
  <c r="AA196" i="17" s="1"/>
  <c r="Z198" i="17"/>
  <c r="AA198" i="17" s="1"/>
  <c r="Z200" i="17"/>
  <c r="AA200" i="17" s="1"/>
  <c r="Z202" i="17"/>
  <c r="AA202" i="17" s="1"/>
  <c r="Z204" i="17"/>
  <c r="AA204" i="17" s="1"/>
  <c r="Z206" i="17"/>
  <c r="AA206" i="17" s="1"/>
  <c r="Z208" i="17"/>
  <c r="AA208" i="17" s="1"/>
  <c r="Z210" i="17"/>
  <c r="AA210" i="17" s="1"/>
  <c r="Z212" i="17"/>
  <c r="AA212" i="17" s="1"/>
  <c r="Z214" i="17"/>
  <c r="AA214" i="17" s="1"/>
  <c r="Z216" i="17"/>
  <c r="AA216" i="17" s="1"/>
  <c r="Z218" i="17"/>
  <c r="AA218" i="17" s="1"/>
  <c r="Z220" i="17"/>
  <c r="AA220" i="17" s="1"/>
  <c r="Z222" i="17"/>
  <c r="AA222" i="17" s="1"/>
  <c r="Z224" i="17"/>
  <c r="AA224" i="17" s="1"/>
  <c r="Z226" i="17"/>
  <c r="AA226" i="17" s="1"/>
  <c r="Z228" i="17"/>
  <c r="AA228" i="17" s="1"/>
  <c r="Z230" i="17"/>
  <c r="AA230" i="17" s="1"/>
  <c r="Z232" i="17"/>
  <c r="AA232" i="17" s="1"/>
  <c r="Z234" i="17"/>
  <c r="AA234" i="17" s="1"/>
  <c r="Z236" i="17"/>
  <c r="AA236" i="17" s="1"/>
  <c r="Z238" i="17"/>
  <c r="AA238" i="17" s="1"/>
  <c r="Z240" i="17"/>
  <c r="AA240" i="17" s="1"/>
  <c r="Z242" i="17"/>
  <c r="AA242" i="17" s="1"/>
  <c r="Z244" i="17"/>
  <c r="AA244" i="17" s="1"/>
  <c r="Z246" i="17"/>
  <c r="AA246" i="17" s="1"/>
  <c r="Z248" i="17"/>
  <c r="AA248" i="17" s="1"/>
  <c r="Z250" i="17"/>
  <c r="AA250" i="17" s="1"/>
  <c r="Z252" i="17"/>
  <c r="AA252" i="17" s="1"/>
  <c r="Z254" i="17"/>
  <c r="AA254" i="17" s="1"/>
  <c r="Z256" i="17"/>
  <c r="AA256" i="17" s="1"/>
  <c r="Z258" i="17"/>
  <c r="AA258" i="17" s="1"/>
  <c r="Z260" i="17"/>
  <c r="AA260" i="17" s="1"/>
  <c r="Z262" i="17"/>
  <c r="AA262" i="17" s="1"/>
  <c r="Z264" i="17"/>
  <c r="AA264" i="17" s="1"/>
  <c r="Z266" i="17"/>
  <c r="AA266" i="17" s="1"/>
  <c r="Z268" i="17"/>
  <c r="AA268" i="17" s="1"/>
  <c r="Z270" i="17"/>
  <c r="AA270" i="17" s="1"/>
  <c r="Z272" i="17"/>
  <c r="AA272" i="17" s="1"/>
  <c r="Z274" i="17"/>
  <c r="AA274" i="17" s="1"/>
  <c r="Z276" i="17"/>
  <c r="AA276" i="17" s="1"/>
  <c r="Z278" i="17"/>
  <c r="AA278" i="17" s="1"/>
  <c r="Z280" i="17"/>
  <c r="AA280" i="17" s="1"/>
  <c r="Z282" i="17"/>
  <c r="AA282" i="17" s="1"/>
  <c r="Z284" i="17"/>
  <c r="AA284" i="17" s="1"/>
  <c r="Z286" i="17"/>
  <c r="AA286" i="17" s="1"/>
  <c r="Z288" i="17"/>
  <c r="AA288" i="17" s="1"/>
  <c r="Z290" i="17"/>
  <c r="AA290" i="17" s="1"/>
  <c r="Z292" i="17"/>
  <c r="AA292" i="17" s="1"/>
  <c r="Z294" i="17"/>
  <c r="AA294" i="17" s="1"/>
  <c r="Z296" i="17"/>
  <c r="AA296" i="17" s="1"/>
  <c r="Z298" i="17"/>
  <c r="AA298" i="17" s="1"/>
  <c r="Z300" i="17"/>
  <c r="AA300" i="17" s="1"/>
  <c r="Z302" i="17"/>
  <c r="AA302" i="17" s="1"/>
  <c r="Z304" i="17"/>
  <c r="AA304" i="17" s="1"/>
  <c r="Z306" i="17"/>
  <c r="AA306" i="17" s="1"/>
  <c r="Z308" i="17"/>
  <c r="AA308" i="17" s="1"/>
  <c r="Z310" i="17"/>
  <c r="AA310" i="17" s="1"/>
  <c r="Z312" i="17"/>
  <c r="AA312" i="17" s="1"/>
  <c r="Z314" i="17"/>
  <c r="AA314" i="17" s="1"/>
  <c r="Z316" i="17"/>
  <c r="AA316" i="17" s="1"/>
  <c r="Z318" i="17"/>
  <c r="AA318" i="17" s="1"/>
  <c r="Z320" i="17"/>
  <c r="AA320" i="17" s="1"/>
  <c r="Z322" i="17"/>
  <c r="AA322" i="17" s="1"/>
  <c r="Z324" i="17"/>
  <c r="AA324" i="17" s="1"/>
  <c r="Z326" i="17"/>
  <c r="AA326" i="17" s="1"/>
  <c r="Z328" i="17"/>
  <c r="AA328" i="17" s="1"/>
  <c r="Z330" i="17"/>
  <c r="AA330" i="17" s="1"/>
  <c r="Z332" i="17"/>
  <c r="AA332" i="17" s="1"/>
  <c r="Z334" i="17"/>
  <c r="AA334" i="17" s="1"/>
  <c r="Z336" i="17"/>
  <c r="AA336" i="17" s="1"/>
  <c r="Z338" i="17"/>
  <c r="AA338" i="17" s="1"/>
  <c r="Z340" i="17"/>
  <c r="AA340" i="17" s="1"/>
  <c r="Z342" i="17"/>
  <c r="AA342" i="17" s="1"/>
  <c r="Z344" i="17"/>
  <c r="AA344" i="17" s="1"/>
  <c r="Z346" i="17"/>
  <c r="AA346" i="17" s="1"/>
  <c r="Z348" i="17"/>
  <c r="AA348" i="17" s="1"/>
  <c r="Z350" i="17"/>
  <c r="AA350" i="17" s="1"/>
  <c r="Z352" i="17"/>
  <c r="AA352" i="17" s="1"/>
  <c r="Z354" i="17"/>
  <c r="AA354" i="17" s="1"/>
  <c r="Z356" i="17"/>
  <c r="AA356" i="17" s="1"/>
  <c r="Z358" i="17"/>
  <c r="AA358" i="17" s="1"/>
  <c r="Z360" i="17"/>
  <c r="AA360" i="17" s="1"/>
  <c r="Z362" i="17"/>
  <c r="AA362" i="17" s="1"/>
  <c r="Z364" i="17"/>
  <c r="AA364" i="17" s="1"/>
  <c r="Z366" i="17"/>
  <c r="AA366" i="17" s="1"/>
  <c r="Z368" i="17"/>
  <c r="AA368" i="17" s="1"/>
  <c r="Z370" i="17"/>
  <c r="AA370" i="17" s="1"/>
  <c r="Z372" i="17"/>
  <c r="AA372" i="17" s="1"/>
  <c r="Z374" i="17"/>
  <c r="AA374" i="17" s="1"/>
  <c r="Z376" i="17"/>
  <c r="AA376" i="17" s="1"/>
  <c r="Z378" i="17"/>
  <c r="AA378" i="17" s="1"/>
  <c r="Z380" i="17"/>
  <c r="AA380" i="17" s="1"/>
  <c r="Z382" i="17"/>
  <c r="AA382" i="17" s="1"/>
  <c r="Z384" i="17"/>
  <c r="AA384" i="17" s="1"/>
  <c r="Z386" i="17"/>
  <c r="AA386" i="17" s="1"/>
  <c r="Z388" i="17"/>
  <c r="AA388" i="17" s="1"/>
  <c r="Z390" i="17"/>
  <c r="AA390" i="17" s="1"/>
  <c r="Z392" i="17"/>
  <c r="AA392" i="17" s="1"/>
  <c r="Z394" i="17"/>
  <c r="AA394" i="17" s="1"/>
  <c r="Z396" i="17"/>
  <c r="AA396" i="17" s="1"/>
  <c r="Z398" i="17"/>
  <c r="AA398" i="17" s="1"/>
  <c r="Z400" i="17"/>
  <c r="AA400" i="17" s="1"/>
  <c r="Z402" i="17"/>
  <c r="AA402" i="17" s="1"/>
  <c r="Z404" i="17"/>
  <c r="AA404" i="17" s="1"/>
  <c r="Z406" i="17"/>
  <c r="AA406" i="17" s="1"/>
  <c r="Z408" i="17"/>
  <c r="AA408" i="17" s="1"/>
  <c r="Z410" i="17"/>
  <c r="AA410" i="17" s="1"/>
  <c r="Z412" i="17"/>
  <c r="AA412" i="17" s="1"/>
  <c r="Z414" i="17"/>
  <c r="AA414" i="17" s="1"/>
  <c r="Z416" i="17"/>
  <c r="AA416" i="17" s="1"/>
  <c r="Z418" i="17"/>
  <c r="AA418" i="17" s="1"/>
  <c r="Z420" i="17"/>
  <c r="AA420" i="17" s="1"/>
  <c r="Z422" i="17"/>
  <c r="AA422" i="17" s="1"/>
  <c r="Z424" i="17"/>
  <c r="AA424" i="17" s="1"/>
  <c r="Z426" i="17"/>
  <c r="AA426" i="17" s="1"/>
  <c r="Z428" i="17"/>
  <c r="AA428" i="17" s="1"/>
  <c r="Z430" i="17"/>
  <c r="AA430" i="17" s="1"/>
  <c r="Z432" i="17"/>
  <c r="AA432" i="17" s="1"/>
  <c r="Z434" i="17"/>
  <c r="AA434" i="17" s="1"/>
  <c r="Z436" i="17"/>
  <c r="AA436" i="17" s="1"/>
  <c r="Z438" i="17"/>
  <c r="AA438" i="17" s="1"/>
  <c r="Z440" i="17"/>
  <c r="AA440" i="17" s="1"/>
  <c r="Z442" i="17"/>
  <c r="AA442" i="17" s="1"/>
  <c r="Z444" i="17"/>
  <c r="AA444" i="17" s="1"/>
  <c r="Z7" i="17"/>
  <c r="AA7" i="17" s="1"/>
  <c r="Z11" i="17"/>
  <c r="AA11" i="17" s="1"/>
  <c r="Z15" i="17"/>
  <c r="AA15" i="17" s="1"/>
  <c r="Z19" i="17"/>
  <c r="AA19" i="17" s="1"/>
  <c r="Z23" i="17"/>
  <c r="AA23" i="17" s="1"/>
  <c r="Z27" i="17"/>
  <c r="AA27" i="17" s="1"/>
  <c r="Z31" i="17"/>
  <c r="AA31" i="17" s="1"/>
  <c r="Z35" i="17"/>
  <c r="AA35" i="17" s="1"/>
  <c r="Z39" i="17"/>
  <c r="AA39" i="17" s="1"/>
  <c r="Z43" i="17"/>
  <c r="AA43" i="17" s="1"/>
  <c r="Z47" i="17"/>
  <c r="AA47" i="17" s="1"/>
  <c r="Z51" i="17"/>
  <c r="AA51" i="17" s="1"/>
  <c r="Z55" i="17"/>
  <c r="AA55" i="17" s="1"/>
  <c r="Z59" i="17"/>
  <c r="AA59" i="17" s="1"/>
  <c r="Z63" i="17"/>
  <c r="AA63" i="17" s="1"/>
  <c r="Z67" i="17"/>
  <c r="AA67" i="17" s="1"/>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A1176" i="17" s="1"/>
  <c r="A1177" i="17" s="1"/>
  <c r="A1178" i="17" s="1"/>
  <c r="A1179" i="17" s="1"/>
  <c r="A1180" i="17" s="1"/>
  <c r="A1181" i="17" s="1"/>
  <c r="A1182" i="17" s="1"/>
  <c r="A1183" i="17" s="1"/>
  <c r="A1184" i="17" s="1"/>
  <c r="A1185" i="17" s="1"/>
  <c r="A1186" i="17" s="1"/>
  <c r="A1187" i="17" s="1"/>
  <c r="A1188" i="17" s="1"/>
  <c r="A1189" i="17" s="1"/>
  <c r="A1190" i="17" s="1"/>
  <c r="A1191" i="17" s="1"/>
  <c r="A1192" i="17" s="1"/>
  <c r="A1193" i="17" s="1"/>
  <c r="A1194" i="17" s="1"/>
  <c r="A1195" i="17" s="1"/>
  <c r="A1196" i="17" s="1"/>
  <c r="A1197" i="17" s="1"/>
  <c r="A1198" i="17" s="1"/>
  <c r="A1199" i="17" s="1"/>
  <c r="A1200" i="17" s="1"/>
  <c r="A1201" i="17" s="1"/>
  <c r="A1202" i="17" s="1"/>
  <c r="A1203" i="17" s="1"/>
  <c r="A1204" i="17" s="1"/>
  <c r="A1205" i="17" s="1"/>
  <c r="A1206" i="17" s="1"/>
  <c r="A1207" i="17" s="1"/>
  <c r="A1208" i="17" s="1"/>
  <c r="A1209" i="17" s="1"/>
  <c r="A1210" i="17" s="1"/>
  <c r="A1211" i="17" s="1"/>
  <c r="A1212" i="17" s="1"/>
  <c r="A1213" i="17" s="1"/>
  <c r="A1214" i="17" s="1"/>
  <c r="A1215" i="17" s="1"/>
  <c r="A1216" i="17" s="1"/>
  <c r="A1217" i="17" s="1"/>
  <c r="A1218" i="17" s="1"/>
  <c r="A1219" i="17" s="1"/>
  <c r="A1220" i="17" s="1"/>
  <c r="A1221" i="17" s="1"/>
  <c r="A1222" i="17" s="1"/>
  <c r="A1223" i="17" s="1"/>
  <c r="A1224" i="17" s="1"/>
  <c r="A1225" i="17" s="1"/>
  <c r="A1226" i="17" s="1"/>
  <c r="A1227" i="17" s="1"/>
  <c r="A1228" i="17" s="1"/>
  <c r="A1229" i="17" s="1"/>
  <c r="A1230" i="17" s="1"/>
  <c r="A1231" i="17" s="1"/>
  <c r="A1232" i="17" s="1"/>
  <c r="A1233" i="17" s="1"/>
  <c r="A1234" i="17" s="1"/>
  <c r="A1235" i="17" s="1"/>
  <c r="A1236" i="17" s="1"/>
  <c r="A1237" i="17" s="1"/>
  <c r="A1238" i="17" s="1"/>
  <c r="A1239" i="17" s="1"/>
  <c r="A1240" i="17" s="1"/>
  <c r="A1241" i="17" s="1"/>
  <c r="A1242" i="17" s="1"/>
  <c r="A1243" i="17" s="1"/>
  <c r="A1244" i="17" s="1"/>
  <c r="A1245" i="17" s="1"/>
  <c r="A1246" i="17" s="1"/>
  <c r="A1247" i="17" s="1"/>
  <c r="A1248" i="17" s="1"/>
  <c r="A1249" i="17" s="1"/>
  <c r="A1250" i="17" s="1"/>
  <c r="A1251" i="17" s="1"/>
  <c r="A1252" i="17" s="1"/>
  <c r="A1253" i="17" s="1"/>
  <c r="A1254" i="17" s="1"/>
  <c r="A1255" i="17" s="1"/>
  <c r="A1256" i="17" s="1"/>
  <c r="A1257" i="17" s="1"/>
  <c r="A1258" i="17" s="1"/>
  <c r="A1259" i="17" s="1"/>
  <c r="A1260" i="17" s="1"/>
  <c r="A1261" i="17" s="1"/>
  <c r="A1262" i="17" s="1"/>
  <c r="A1263" i="17" s="1"/>
  <c r="A1264" i="17" s="1"/>
  <c r="A1265" i="17" s="1"/>
  <c r="A1266" i="17" s="1"/>
  <c r="A1267" i="17" s="1"/>
  <c r="A1268" i="17" s="1"/>
  <c r="A1269" i="17" s="1"/>
  <c r="A1270" i="17" s="1"/>
  <c r="A1271" i="17" s="1"/>
  <c r="A1272" i="17" s="1"/>
  <c r="A1273" i="17" s="1"/>
  <c r="A1274" i="17" s="1"/>
  <c r="A1275" i="17" s="1"/>
  <c r="A1276" i="17" s="1"/>
  <c r="A1277" i="17" s="1"/>
  <c r="A1278" i="17" s="1"/>
  <c r="A1279" i="17" s="1"/>
  <c r="A1280" i="17" s="1"/>
  <c r="A1281" i="17" s="1"/>
  <c r="A1282" i="17" s="1"/>
  <c r="A1283" i="17" s="1"/>
  <c r="A1284" i="17" s="1"/>
  <c r="A1285" i="17" s="1"/>
  <c r="A1286" i="17" s="1"/>
  <c r="A1287" i="17" s="1"/>
  <c r="A1288" i="17" s="1"/>
  <c r="A1289" i="17" s="1"/>
  <c r="A1290" i="17" s="1"/>
  <c r="A1291" i="17" s="1"/>
  <c r="A1292" i="17" s="1"/>
  <c r="A1293" i="17" s="1"/>
  <c r="A1294" i="17" s="1"/>
  <c r="A1295" i="17" s="1"/>
  <c r="A1296" i="17" s="1"/>
  <c r="A1297" i="17" s="1"/>
  <c r="A1298" i="17" s="1"/>
  <c r="A1299" i="17" s="1"/>
  <c r="A1300" i="17" s="1"/>
  <c r="A1301" i="17" s="1"/>
  <c r="A1302" i="17" s="1"/>
  <c r="A1303" i="17" s="1"/>
  <c r="A1304" i="17" s="1"/>
  <c r="A1305" i="17" s="1"/>
  <c r="A1306" i="17" s="1"/>
  <c r="A1307" i="17" s="1"/>
  <c r="A1308" i="17" s="1"/>
  <c r="A1309" i="17" s="1"/>
  <c r="A1310" i="17" s="1"/>
  <c r="A1311" i="17" s="1"/>
  <c r="A1312" i="17" s="1"/>
  <c r="A1313" i="17" s="1"/>
  <c r="A1314" i="17" s="1"/>
  <c r="A1315" i="17" s="1"/>
  <c r="A1316" i="17" s="1"/>
  <c r="A1317" i="17" s="1"/>
  <c r="A1318" i="17" s="1"/>
  <c r="A1319" i="17" s="1"/>
  <c r="A1320" i="17" s="1"/>
  <c r="A1321" i="17" s="1"/>
  <c r="A1322" i="17" s="1"/>
  <c r="A1323" i="17" s="1"/>
  <c r="A1324" i="17" s="1"/>
  <c r="A1325" i="17" s="1"/>
  <c r="A1326" i="17" s="1"/>
  <c r="A1327" i="17" s="1"/>
  <c r="A1328" i="17" s="1"/>
  <c r="A1329" i="17" s="1"/>
  <c r="A1330" i="17" s="1"/>
  <c r="A1331" i="17" s="1"/>
  <c r="A1332" i="17" s="1"/>
  <c r="A1333" i="17" s="1"/>
  <c r="A1334" i="17" s="1"/>
  <c r="A1335" i="17" s="1"/>
  <c r="A1336" i="17" s="1"/>
  <c r="A1337" i="17" s="1"/>
  <c r="A1338" i="17" s="1"/>
  <c r="A1339" i="17" s="1"/>
  <c r="A1340" i="17" s="1"/>
  <c r="A1341" i="17" s="1"/>
  <c r="A1342" i="17" s="1"/>
  <c r="A1343" i="17" s="1"/>
  <c r="A1344" i="17" s="1"/>
  <c r="A1345" i="17" s="1"/>
  <c r="A1346" i="17" s="1"/>
  <c r="A1347" i="17" s="1"/>
  <c r="A1348" i="17" s="1"/>
  <c r="A1349" i="17" s="1"/>
  <c r="A1350" i="17" s="1"/>
  <c r="A1351" i="17" s="1"/>
  <c r="A1352" i="17" s="1"/>
  <c r="A1353" i="17" s="1"/>
  <c r="A1354" i="17" s="1"/>
  <c r="A1355" i="17" s="1"/>
  <c r="A1356" i="17" s="1"/>
  <c r="A1357" i="17" s="1"/>
  <c r="A1358" i="17" s="1"/>
  <c r="A1359" i="17" s="1"/>
  <c r="A1360" i="17" s="1"/>
  <c r="A1361" i="17" s="1"/>
  <c r="A1362" i="17" s="1"/>
  <c r="A1363" i="17" s="1"/>
  <c r="A1364" i="17" s="1"/>
  <c r="A1365" i="17" s="1"/>
  <c r="A1366" i="17" s="1"/>
  <c r="A1367" i="17" s="1"/>
  <c r="A1368" i="17" s="1"/>
  <c r="A1369" i="17" s="1"/>
  <c r="A1370" i="17" s="1"/>
  <c r="A1371" i="17" s="1"/>
  <c r="A1372" i="17" s="1"/>
  <c r="A1373" i="17" s="1"/>
  <c r="A1374" i="17" s="1"/>
  <c r="A1375" i="17" s="1"/>
  <c r="A1376" i="17" s="1"/>
  <c r="A1377" i="17" s="1"/>
  <c r="A1378" i="17" s="1"/>
  <c r="A1379" i="17" s="1"/>
  <c r="A1380" i="17" s="1"/>
  <c r="A1381" i="17" s="1"/>
  <c r="A1382" i="17" s="1"/>
  <c r="A1383" i="17" s="1"/>
  <c r="A1384" i="17" s="1"/>
  <c r="A1385" i="17" s="1"/>
  <c r="A1386" i="17" s="1"/>
  <c r="A1387" i="17" s="1"/>
  <c r="A1388" i="17" s="1"/>
  <c r="A1389" i="17" s="1"/>
  <c r="A1390" i="17" s="1"/>
  <c r="A1391" i="17" s="1"/>
  <c r="A1392" i="17" s="1"/>
  <c r="A1393" i="17" s="1"/>
  <c r="A1394" i="17" s="1"/>
  <c r="A1395" i="17" s="1"/>
  <c r="A1396" i="17" s="1"/>
  <c r="A1397" i="17" s="1"/>
  <c r="A1398" i="17" s="1"/>
  <c r="A1399" i="17" s="1"/>
  <c r="A1400" i="17" s="1"/>
  <c r="A1401" i="17" s="1"/>
  <c r="A1402" i="17" s="1"/>
  <c r="A1403" i="17" s="1"/>
  <c r="A1404" i="17" s="1"/>
  <c r="A1405" i="17" s="1"/>
  <c r="A1406" i="17" s="1"/>
  <c r="A1407" i="17" s="1"/>
  <c r="A1408" i="17" s="1"/>
  <c r="A1409" i="17" s="1"/>
  <c r="A1410" i="17" s="1"/>
  <c r="A1411" i="17" s="1"/>
  <c r="A1412" i="17" s="1"/>
  <c r="A1413" i="17" s="1"/>
  <c r="A1414" i="17" s="1"/>
  <c r="A1415" i="17" s="1"/>
  <c r="A1416" i="17" s="1"/>
  <c r="A1417" i="17" s="1"/>
  <c r="A1418" i="17" s="1"/>
  <c r="A1419" i="17" s="1"/>
  <c r="A1420" i="17" s="1"/>
  <c r="A1421" i="17" s="1"/>
  <c r="A1422" i="17" s="1"/>
  <c r="A1423" i="17" s="1"/>
  <c r="A1424" i="17" s="1"/>
  <c r="A1425" i="17" s="1"/>
  <c r="A1426" i="17" s="1"/>
  <c r="A1427" i="17" s="1"/>
  <c r="A1428" i="17" s="1"/>
  <c r="A1429" i="17" s="1"/>
  <c r="A1430" i="17" s="1"/>
  <c r="A1431" i="17" s="1"/>
  <c r="A1432" i="17" s="1"/>
  <c r="A1433" i="17" s="1"/>
  <c r="A1434" i="17" s="1"/>
  <c r="A1435" i="17" s="1"/>
  <c r="A1436" i="17" s="1"/>
  <c r="A1437" i="17" s="1"/>
  <c r="A1438" i="17" s="1"/>
  <c r="A1439" i="17" s="1"/>
  <c r="A1440" i="17" s="1"/>
  <c r="A1441" i="17" s="1"/>
  <c r="A1442" i="17" s="1"/>
  <c r="A1443" i="17" s="1"/>
  <c r="A1444" i="17" s="1"/>
  <c r="A1445" i="17" s="1"/>
  <c r="A1446" i="17" s="1"/>
  <c r="A1447" i="17" s="1"/>
  <c r="A1448" i="17" s="1"/>
  <c r="A1449" i="17" s="1"/>
  <c r="A1450" i="17" s="1"/>
  <c r="A1451" i="17" s="1"/>
  <c r="A1452" i="17" s="1"/>
  <c r="A1453" i="17" s="1"/>
  <c r="A1454" i="17" s="1"/>
  <c r="A1455" i="17" s="1"/>
  <c r="A1456" i="17" s="1"/>
  <c r="A1457" i="17" s="1"/>
  <c r="A1458" i="17" s="1"/>
  <c r="A1459" i="17" s="1"/>
  <c r="A1460" i="17" s="1"/>
  <c r="A1461" i="17" s="1"/>
  <c r="A1462" i="17" s="1"/>
  <c r="A1463" i="17" s="1"/>
  <c r="A1464" i="17" s="1"/>
  <c r="A1465" i="17" s="1"/>
  <c r="A1466" i="17" s="1"/>
  <c r="A1467" i="17" s="1"/>
  <c r="A1468" i="17" s="1"/>
  <c r="A1469" i="17" s="1"/>
  <c r="A1470" i="17" s="1"/>
  <c r="A1471" i="17" s="1"/>
  <c r="A1472" i="17" s="1"/>
  <c r="A1473" i="17" s="1"/>
  <c r="A1474" i="17" s="1"/>
  <c r="A1475" i="17" s="1"/>
  <c r="A1476" i="17" s="1"/>
  <c r="A1477" i="17" s="1"/>
  <c r="A1478" i="17" s="1"/>
  <c r="A1479" i="17" s="1"/>
  <c r="A1480" i="17" s="1"/>
  <c r="A1481" i="17" s="1"/>
  <c r="A1482" i="17" s="1"/>
  <c r="A1483" i="17" s="1"/>
  <c r="A1484" i="17" s="1"/>
  <c r="A1485" i="17" s="1"/>
  <c r="A1486" i="17" s="1"/>
  <c r="A1487" i="17" s="1"/>
  <c r="A1488" i="17" s="1"/>
  <c r="A1489" i="17" s="1"/>
  <c r="A1490" i="17" s="1"/>
  <c r="A1491" i="17" s="1"/>
  <c r="A1492" i="17" s="1"/>
  <c r="A1493" i="17" s="1"/>
  <c r="A1494" i="17" s="1"/>
  <c r="A1495" i="17" s="1"/>
  <c r="A1496" i="17" s="1"/>
  <c r="A1497" i="17" s="1"/>
  <c r="A1498" i="17" s="1"/>
  <c r="A1499" i="17" s="1"/>
  <c r="A1500" i="17" s="1"/>
  <c r="A1501" i="17" s="1"/>
  <c r="A1502" i="17" s="1"/>
  <c r="A1503" i="17" s="1"/>
  <c r="A1504" i="17" s="1"/>
  <c r="A1505" i="17" s="1"/>
  <c r="A1506" i="17" s="1"/>
  <c r="A1507" i="17" s="1"/>
  <c r="A1508" i="17" s="1"/>
  <c r="A1509" i="17" s="1"/>
  <c r="A1510" i="17" s="1"/>
  <c r="A1511" i="17" s="1"/>
  <c r="A1512" i="17" s="1"/>
  <c r="A1513" i="17" s="1"/>
  <c r="A1514" i="17" s="1"/>
  <c r="A1515" i="17" s="1"/>
  <c r="A1516" i="17" s="1"/>
  <c r="A1517" i="17" s="1"/>
  <c r="A1518" i="17" s="1"/>
  <c r="A1519" i="17" s="1"/>
  <c r="A1520" i="17" s="1"/>
  <c r="A1521" i="17" s="1"/>
  <c r="A1522" i="17" s="1"/>
  <c r="A1523" i="17" s="1"/>
  <c r="A1524" i="17" s="1"/>
  <c r="A1525" i="17" s="1"/>
  <c r="A1526" i="17" s="1"/>
  <c r="A1527" i="17" s="1"/>
  <c r="A1528" i="17" s="1"/>
  <c r="A1529" i="17" s="1"/>
  <c r="A1530" i="17" s="1"/>
  <c r="A1531" i="17" s="1"/>
  <c r="A1532" i="17" s="1"/>
  <c r="A1533" i="17" s="1"/>
  <c r="A1534" i="17" s="1"/>
  <c r="A1535" i="17" s="1"/>
  <c r="A1536" i="17" s="1"/>
  <c r="A1537" i="17" s="1"/>
  <c r="A1538" i="17" s="1"/>
  <c r="A1539" i="17" s="1"/>
  <c r="A1540" i="17" s="1"/>
  <c r="A1541" i="17" s="1"/>
  <c r="A1542" i="17" s="1"/>
  <c r="A1543" i="17" s="1"/>
  <c r="A1544" i="17" s="1"/>
  <c r="A1545" i="17" s="1"/>
  <c r="A1546" i="17" s="1"/>
  <c r="A1547" i="17" s="1"/>
  <c r="A1548" i="17" s="1"/>
  <c r="A1549" i="17" s="1"/>
  <c r="A1550" i="17" s="1"/>
  <c r="A1551" i="17" s="1"/>
  <c r="A1552" i="17" s="1"/>
  <c r="A1553" i="17" s="1"/>
  <c r="A1554" i="17" s="1"/>
  <c r="A1555" i="17" s="1"/>
  <c r="A1556" i="17" s="1"/>
  <c r="A1557" i="17" s="1"/>
  <c r="A1558" i="17" s="1"/>
  <c r="A1559" i="17" s="1"/>
  <c r="A1560" i="17" s="1"/>
  <c r="A1561" i="17" s="1"/>
  <c r="A1562" i="17" s="1"/>
  <c r="A1563" i="17" s="1"/>
  <c r="A1564" i="17" s="1"/>
  <c r="A1565" i="17" s="1"/>
  <c r="A1566" i="17" s="1"/>
  <c r="A1567" i="17" s="1"/>
  <c r="A1568" i="17" s="1"/>
  <c r="A1569" i="17" s="1"/>
  <c r="A1570" i="17" s="1"/>
  <c r="A1571" i="17" s="1"/>
  <c r="A1572" i="17" s="1"/>
  <c r="A1573" i="17" s="1"/>
  <c r="A1574" i="17" s="1"/>
  <c r="A1575" i="17" s="1"/>
  <c r="A1576" i="17" s="1"/>
  <c r="A1577" i="17" s="1"/>
  <c r="A1578" i="17" s="1"/>
  <c r="A1579" i="17" s="1"/>
  <c r="A1580" i="17" s="1"/>
  <c r="A1581" i="17" s="1"/>
  <c r="A1582" i="17" s="1"/>
  <c r="A1583" i="17" s="1"/>
  <c r="A1584" i="17" s="1"/>
  <c r="A1585" i="17" s="1"/>
  <c r="A1586" i="17" s="1"/>
  <c r="A1587" i="17" s="1"/>
  <c r="A1588" i="17" s="1"/>
  <c r="A1589" i="17" s="1"/>
  <c r="A1590" i="17" s="1"/>
  <c r="A1591" i="17" s="1"/>
  <c r="A1592" i="17" s="1"/>
  <c r="A1593" i="17" s="1"/>
  <c r="A1594" i="17" s="1"/>
  <c r="A1595" i="17" s="1"/>
  <c r="A1596" i="17" s="1"/>
  <c r="A1597" i="17" s="1"/>
  <c r="A1598" i="17" s="1"/>
  <c r="A1599" i="17" s="1"/>
  <c r="A1600" i="17" s="1"/>
  <c r="A1601" i="17" s="1"/>
  <c r="A1602" i="17" s="1"/>
  <c r="A1603" i="17" s="1"/>
  <c r="A1604" i="17" s="1"/>
  <c r="A1605" i="17" s="1"/>
  <c r="Z6" i="17"/>
  <c r="Z8" i="17"/>
  <c r="AA8" i="17" s="1"/>
  <c r="Z10" i="17"/>
  <c r="AA10" i="17" s="1"/>
  <c r="Z12" i="17"/>
  <c r="AA12" i="17" s="1"/>
  <c r="Z14" i="17"/>
  <c r="AA14" i="17" s="1"/>
  <c r="Z16" i="17"/>
  <c r="AA16" i="17" s="1"/>
  <c r="Z18" i="17"/>
  <c r="AA18" i="17" s="1"/>
  <c r="Z20" i="17"/>
  <c r="AA20" i="17" s="1"/>
  <c r="Z22" i="17"/>
  <c r="AA22" i="17" s="1"/>
  <c r="Z24" i="17"/>
  <c r="AA24" i="17" s="1"/>
  <c r="Z26" i="17"/>
  <c r="AA26" i="17" s="1"/>
  <c r="Z28" i="17"/>
  <c r="AA28" i="17" s="1"/>
  <c r="Z30" i="17"/>
  <c r="AA30" i="17" s="1"/>
  <c r="Z32" i="17"/>
  <c r="AA32" i="17" s="1"/>
  <c r="Z34" i="17"/>
  <c r="AA34" i="17" s="1"/>
  <c r="Z36" i="17"/>
  <c r="AA36" i="17" s="1"/>
  <c r="Z38" i="17"/>
  <c r="AA38" i="17" s="1"/>
  <c r="Z40" i="17"/>
  <c r="AA40" i="17" s="1"/>
  <c r="Z42" i="17"/>
  <c r="AA42" i="17" s="1"/>
  <c r="Z44" i="17"/>
  <c r="AA44" i="17" s="1"/>
  <c r="Z46" i="17"/>
  <c r="AA46" i="17" s="1"/>
  <c r="Z48" i="17"/>
  <c r="AA48" i="17" s="1"/>
  <c r="Z50" i="17"/>
  <c r="AA50" i="17" s="1"/>
  <c r="Z52" i="17"/>
  <c r="AA52" i="17" s="1"/>
  <c r="Z54" i="17"/>
  <c r="AA54" i="17" s="1"/>
  <c r="Z56" i="17"/>
  <c r="AA56" i="17" s="1"/>
  <c r="Z58" i="17"/>
  <c r="AA58" i="17" s="1"/>
  <c r="Z60" i="17"/>
  <c r="AA60" i="17" s="1"/>
  <c r="Z62" i="17"/>
  <c r="AA62" i="17" s="1"/>
  <c r="Z64" i="17"/>
  <c r="AA64" i="17" s="1"/>
  <c r="Z66" i="17"/>
  <c r="AA66" i="17" s="1"/>
  <c r="Z68" i="17"/>
  <c r="AA68" i="17" s="1"/>
  <c r="Z70" i="17"/>
  <c r="AA70" i="17" s="1"/>
  <c r="U9" i="16"/>
  <c r="U8" i="16"/>
  <c r="V7" i="16"/>
  <c r="T7" i="16"/>
  <c r="Q2" i="16" s="1"/>
  <c r="U7" i="16"/>
  <c r="V56" i="16"/>
  <c r="V55" i="16"/>
  <c r="V54" i="16"/>
  <c r="V53" i="16"/>
  <c r="V52" i="16"/>
  <c r="V51" i="16"/>
  <c r="V50" i="16"/>
  <c r="V49" i="16"/>
  <c r="V48" i="16"/>
  <c r="V47" i="16"/>
  <c r="V46" i="16"/>
  <c r="V45" i="16"/>
  <c r="V44" i="16"/>
  <c r="V43" i="16"/>
  <c r="V42" i="16"/>
  <c r="V41" i="16"/>
  <c r="V40" i="16"/>
  <c r="V39" i="16"/>
  <c r="V38" i="16"/>
  <c r="V37" i="16"/>
  <c r="V36" i="16"/>
  <c r="V35" i="16"/>
  <c r="V34" i="16"/>
  <c r="V33" i="16"/>
  <c r="V32" i="16"/>
  <c r="V31" i="16"/>
  <c r="V30" i="16"/>
  <c r="V29" i="16"/>
  <c r="V28" i="16"/>
  <c r="V27" i="16"/>
  <c r="V26" i="16"/>
  <c r="V25" i="16"/>
  <c r="V24" i="16"/>
  <c r="V23" i="16"/>
  <c r="V22" i="16"/>
  <c r="V21" i="16"/>
  <c r="V20" i="16"/>
  <c r="V19" i="16"/>
  <c r="V18" i="16"/>
  <c r="V17" i="16"/>
  <c r="V16" i="16"/>
  <c r="V15" i="16"/>
  <c r="V14" i="16"/>
  <c r="V13" i="16"/>
  <c r="V12" i="16"/>
  <c r="V11" i="16"/>
  <c r="V10" i="16"/>
  <c r="V9" i="16"/>
  <c r="V8" i="16"/>
  <c r="A8" i="16"/>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Z99" i="10"/>
  <c r="AA99" i="10" s="1"/>
  <c r="Z1023" i="10"/>
  <c r="AA1023" i="10" s="1"/>
  <c r="Z1022" i="10"/>
  <c r="AA1022" i="10" s="1"/>
  <c r="Z1021" i="10"/>
  <c r="AA1021" i="10" s="1"/>
  <c r="Z1020" i="10"/>
  <c r="AA1020" i="10" s="1"/>
  <c r="Z1015" i="10"/>
  <c r="AA1015" i="10" s="1"/>
  <c r="Z1014" i="10"/>
  <c r="AA1014" i="10" s="1"/>
  <c r="Z1013" i="10"/>
  <c r="AA1013" i="10" s="1"/>
  <c r="Z1012" i="10"/>
  <c r="AA1012" i="10" s="1"/>
  <c r="Z1007" i="10"/>
  <c r="AA1007" i="10" s="1"/>
  <c r="Z1006" i="10"/>
  <c r="AA1006" i="10" s="1"/>
  <c r="Z1005" i="10"/>
  <c r="AA1005" i="10" s="1"/>
  <c r="Z1004" i="10"/>
  <c r="AA1004" i="10" s="1"/>
  <c r="Z999" i="10"/>
  <c r="AA999" i="10" s="1"/>
  <c r="Z998" i="10"/>
  <c r="AA998" i="10" s="1"/>
  <c r="Z997" i="10"/>
  <c r="AA997" i="10" s="1"/>
  <c r="Z996" i="10"/>
  <c r="AA996" i="10" s="1"/>
  <c r="Z991" i="10"/>
  <c r="AA991" i="10" s="1"/>
  <c r="Z990" i="10"/>
  <c r="AA990" i="10" s="1"/>
  <c r="Z989" i="10"/>
  <c r="AA989" i="10" s="1"/>
  <c r="Z988" i="10"/>
  <c r="AA988" i="10" s="1"/>
  <c r="Z983" i="10"/>
  <c r="AA983" i="10" s="1"/>
  <c r="Z982" i="10"/>
  <c r="AA982" i="10" s="1"/>
  <c r="Z981" i="10"/>
  <c r="AA981" i="10" s="1"/>
  <c r="Z980" i="10"/>
  <c r="AA980" i="10" s="1"/>
  <c r="Z975" i="10"/>
  <c r="AA975" i="10" s="1"/>
  <c r="Z974" i="10"/>
  <c r="AA974" i="10" s="1"/>
  <c r="Z973" i="10"/>
  <c r="AA973" i="10" s="1"/>
  <c r="Z972" i="10"/>
  <c r="AA972" i="10" s="1"/>
  <c r="Z967" i="10"/>
  <c r="AA967" i="10" s="1"/>
  <c r="Z966" i="10"/>
  <c r="AA966" i="10" s="1"/>
  <c r="Z965" i="10"/>
  <c r="AA965" i="10" s="1"/>
  <c r="Z964" i="10"/>
  <c r="AA964" i="10" s="1"/>
  <c r="Z959" i="10"/>
  <c r="AA959" i="10" s="1"/>
  <c r="Z958" i="10"/>
  <c r="AA958" i="10" s="1"/>
  <c r="Z957" i="10"/>
  <c r="AA957" i="10" s="1"/>
  <c r="Z956" i="10"/>
  <c r="AA956" i="10" s="1"/>
  <c r="Z951" i="10"/>
  <c r="AA951" i="10" s="1"/>
  <c r="Z950" i="10"/>
  <c r="AA950" i="10" s="1"/>
  <c r="Z949" i="10"/>
  <c r="AA949" i="10" s="1"/>
  <c r="Z948" i="10"/>
  <c r="AA948" i="10" s="1"/>
  <c r="Z943" i="10"/>
  <c r="AA943" i="10" s="1"/>
  <c r="Z942" i="10"/>
  <c r="AA942" i="10" s="1"/>
  <c r="Z941" i="10"/>
  <c r="AA941" i="10" s="1"/>
  <c r="Z940" i="10"/>
  <c r="AA940" i="10" s="1"/>
  <c r="Z935" i="10"/>
  <c r="AA935" i="10" s="1"/>
  <c r="Z934" i="10"/>
  <c r="AA934" i="10" s="1"/>
  <c r="Z933" i="10"/>
  <c r="AA933" i="10" s="1"/>
  <c r="Z932" i="10"/>
  <c r="AA932" i="10" s="1"/>
  <c r="Z927" i="10"/>
  <c r="AA927" i="10" s="1"/>
  <c r="Z926" i="10"/>
  <c r="AA926" i="10" s="1"/>
  <c r="Z925" i="10"/>
  <c r="AA925" i="10" s="1"/>
  <c r="Z924" i="10"/>
  <c r="AA924" i="10" s="1"/>
  <c r="Z919" i="10"/>
  <c r="AA919" i="10" s="1"/>
  <c r="Z918" i="10"/>
  <c r="AA918" i="10" s="1"/>
  <c r="Z104" i="10"/>
  <c r="AA104" i="10" s="1"/>
  <c r="Z105" i="10"/>
  <c r="AA105" i="10" s="1"/>
  <c r="Z106" i="10"/>
  <c r="AA106" i="10" s="1"/>
  <c r="Z107" i="10"/>
  <c r="AA107" i="10" s="1"/>
  <c r="Z112" i="10"/>
  <c r="AA112" i="10" s="1"/>
  <c r="Z113" i="10"/>
  <c r="AA113" i="10" s="1"/>
  <c r="Z114" i="10"/>
  <c r="AA114" i="10" s="1"/>
  <c r="Z115" i="10"/>
  <c r="AA115" i="10" s="1"/>
  <c r="Z120" i="10"/>
  <c r="AA120" i="10" s="1"/>
  <c r="Z121" i="10"/>
  <c r="AA121" i="10" s="1"/>
  <c r="Z122" i="10"/>
  <c r="AA122" i="10" s="1"/>
  <c r="Z123" i="10"/>
  <c r="AA123" i="10" s="1"/>
  <c r="Z128" i="10"/>
  <c r="AA128" i="10" s="1"/>
  <c r="Z129" i="10"/>
  <c r="AA129" i="10" s="1"/>
  <c r="Z130" i="10"/>
  <c r="AA130" i="10" s="1"/>
  <c r="Z131" i="10"/>
  <c r="AA131" i="10" s="1"/>
  <c r="Z136" i="10"/>
  <c r="AA136" i="10" s="1"/>
  <c r="Z137" i="10"/>
  <c r="AA137" i="10" s="1"/>
  <c r="Z138" i="10"/>
  <c r="AA138" i="10" s="1"/>
  <c r="Z139" i="10"/>
  <c r="AA139" i="10" s="1"/>
  <c r="Z144" i="10"/>
  <c r="AA144" i="10" s="1"/>
  <c r="Z145" i="10"/>
  <c r="AA145" i="10" s="1"/>
  <c r="Z146" i="10"/>
  <c r="AA146" i="10" s="1"/>
  <c r="Z147" i="10"/>
  <c r="AA147" i="10" s="1"/>
  <c r="Z152" i="10"/>
  <c r="AA152" i="10" s="1"/>
  <c r="Z153" i="10"/>
  <c r="AA153" i="10" s="1"/>
  <c r="Z154" i="10"/>
  <c r="AA154" i="10" s="1"/>
  <c r="Z155" i="10"/>
  <c r="AA155" i="10" s="1"/>
  <c r="Z160" i="10"/>
  <c r="AA160" i="10" s="1"/>
  <c r="Z161" i="10"/>
  <c r="AA161" i="10" s="1"/>
  <c r="Z162" i="10"/>
  <c r="AA162" i="10" s="1"/>
  <c r="Z163" i="10"/>
  <c r="AA163" i="10" s="1"/>
  <c r="Z168" i="10"/>
  <c r="AA168" i="10" s="1"/>
  <c r="Z169" i="10"/>
  <c r="AA169" i="10" s="1"/>
  <c r="Z170" i="10"/>
  <c r="AA170" i="10" s="1"/>
  <c r="Z171" i="10"/>
  <c r="AA171" i="10" s="1"/>
  <c r="Z176" i="10"/>
  <c r="AA176" i="10" s="1"/>
  <c r="Z177" i="10"/>
  <c r="AA177" i="10" s="1"/>
  <c r="Z178" i="10"/>
  <c r="AA178" i="10" s="1"/>
  <c r="Z179" i="10"/>
  <c r="AA179" i="10" s="1"/>
  <c r="Z184" i="10"/>
  <c r="AA184" i="10" s="1"/>
  <c r="Z185" i="10"/>
  <c r="AA185" i="10" s="1"/>
  <c r="Z186" i="10"/>
  <c r="AA186" i="10" s="1"/>
  <c r="Z187" i="10"/>
  <c r="AA187" i="10" s="1"/>
  <c r="Z192" i="10"/>
  <c r="AA192" i="10" s="1"/>
  <c r="Z193" i="10"/>
  <c r="AA193" i="10" s="1"/>
  <c r="Z194" i="10"/>
  <c r="AA194" i="10" s="1"/>
  <c r="Z195" i="10"/>
  <c r="AA195" i="10" s="1"/>
  <c r="Z200" i="10"/>
  <c r="AA200" i="10" s="1"/>
  <c r="Z201" i="10"/>
  <c r="AA201" i="10" s="1"/>
  <c r="Z202" i="10"/>
  <c r="AA202" i="10" s="1"/>
  <c r="Z203" i="10"/>
  <c r="AA203" i="10" s="1"/>
  <c r="Z208" i="10"/>
  <c r="AA208" i="10" s="1"/>
  <c r="Z209" i="10"/>
  <c r="AA209" i="10" s="1"/>
  <c r="Z210" i="10"/>
  <c r="AA210" i="10" s="1"/>
  <c r="Z211" i="10"/>
  <c r="AA211" i="10" s="1"/>
  <c r="Z216" i="10"/>
  <c r="AA216" i="10" s="1"/>
  <c r="Z217" i="10"/>
  <c r="AA217" i="10" s="1"/>
  <c r="Z218" i="10"/>
  <c r="AA218" i="10" s="1"/>
  <c r="Z219" i="10"/>
  <c r="AA219" i="10" s="1"/>
  <c r="Z224" i="10"/>
  <c r="AA224" i="10" s="1"/>
  <c r="Z225" i="10"/>
  <c r="AA225" i="10" s="1"/>
  <c r="Z226" i="10"/>
  <c r="AA226" i="10" s="1"/>
  <c r="Z227" i="10"/>
  <c r="AA227" i="10" s="1"/>
  <c r="Z232" i="10"/>
  <c r="AA232" i="10" s="1"/>
  <c r="Z233" i="10"/>
  <c r="AA233" i="10" s="1"/>
  <c r="Z234" i="10"/>
  <c r="AA234" i="10" s="1"/>
  <c r="Z235" i="10"/>
  <c r="AA235" i="10" s="1"/>
  <c r="Z240" i="10"/>
  <c r="AA240" i="10" s="1"/>
  <c r="Z241" i="10"/>
  <c r="AA241" i="10" s="1"/>
  <c r="Z242" i="10"/>
  <c r="AA242" i="10" s="1"/>
  <c r="Z243" i="10"/>
  <c r="AA243" i="10" s="1"/>
  <c r="Z248" i="10"/>
  <c r="AA248" i="10" s="1"/>
  <c r="Z249" i="10"/>
  <c r="AA249" i="10" s="1"/>
  <c r="Z250" i="10"/>
  <c r="AA250" i="10" s="1"/>
  <c r="Z251" i="10"/>
  <c r="AA251" i="10" s="1"/>
  <c r="Z256" i="10"/>
  <c r="AA256" i="10" s="1"/>
  <c r="Z257" i="10"/>
  <c r="AA257" i="10" s="1"/>
  <c r="Z258" i="10"/>
  <c r="AA258" i="10" s="1"/>
  <c r="Z259" i="10"/>
  <c r="AA259" i="10" s="1"/>
  <c r="Z264" i="10"/>
  <c r="AA264" i="10" s="1"/>
  <c r="Z265" i="10"/>
  <c r="AA265" i="10" s="1"/>
  <c r="Z266" i="10"/>
  <c r="AA266" i="10" s="1"/>
  <c r="Z267" i="10"/>
  <c r="AA267" i="10" s="1"/>
  <c r="Z272" i="10"/>
  <c r="AA272" i="10" s="1"/>
  <c r="Z273" i="10"/>
  <c r="AA273" i="10" s="1"/>
  <c r="Z274" i="10"/>
  <c r="AA274" i="10" s="1"/>
  <c r="Z275" i="10"/>
  <c r="AA275" i="10" s="1"/>
  <c r="Z280" i="10"/>
  <c r="AA280" i="10" s="1"/>
  <c r="Z281" i="10"/>
  <c r="AA281" i="10" s="1"/>
  <c r="Z282" i="10"/>
  <c r="AA282" i="10" s="1"/>
  <c r="Z283" i="10"/>
  <c r="AA283" i="10" s="1"/>
  <c r="Z288" i="10"/>
  <c r="AA288" i="10" s="1"/>
  <c r="Z289" i="10"/>
  <c r="AA289" i="10" s="1"/>
  <c r="Z290" i="10"/>
  <c r="AA290" i="10" s="1"/>
  <c r="Z291" i="10"/>
  <c r="AA291" i="10" s="1"/>
  <c r="Z296" i="10"/>
  <c r="AA296" i="10" s="1"/>
  <c r="Z297" i="10"/>
  <c r="AA297" i="10" s="1"/>
  <c r="Z298" i="10"/>
  <c r="AA298" i="10" s="1"/>
  <c r="Z299" i="10"/>
  <c r="AA299" i="10" s="1"/>
  <c r="Z304" i="10"/>
  <c r="AA304" i="10" s="1"/>
  <c r="Z305" i="10"/>
  <c r="AA305" i="10" s="1"/>
  <c r="Z306" i="10"/>
  <c r="AA306" i="10" s="1"/>
  <c r="Z307" i="10"/>
  <c r="AA307" i="10" s="1"/>
  <c r="Z312" i="10"/>
  <c r="AA312" i="10" s="1"/>
  <c r="Z313" i="10"/>
  <c r="AA313" i="10" s="1"/>
  <c r="Z314" i="10"/>
  <c r="AA314" i="10" s="1"/>
  <c r="Z315" i="10"/>
  <c r="AA315" i="10" s="1"/>
  <c r="Z320" i="10"/>
  <c r="AA320" i="10" s="1"/>
  <c r="Z321" i="10"/>
  <c r="AA321" i="10" s="1"/>
  <c r="Z322" i="10"/>
  <c r="AA322" i="10" s="1"/>
  <c r="Z323" i="10"/>
  <c r="AA323" i="10" s="1"/>
  <c r="Z328" i="10"/>
  <c r="AA328" i="10" s="1"/>
  <c r="Z329" i="10"/>
  <c r="AA329" i="10" s="1"/>
  <c r="Z330" i="10"/>
  <c r="AA330" i="10" s="1"/>
  <c r="Z331" i="10"/>
  <c r="AA331" i="10" s="1"/>
  <c r="Z336" i="10"/>
  <c r="AA336" i="10" s="1"/>
  <c r="Z337" i="10"/>
  <c r="AA337" i="10" s="1"/>
  <c r="Z338" i="10"/>
  <c r="AA338" i="10" s="1"/>
  <c r="Z339" i="10"/>
  <c r="AA339" i="10" s="1"/>
  <c r="Z344" i="10"/>
  <c r="AA344" i="10" s="1"/>
  <c r="Z345" i="10"/>
  <c r="AA345" i="10" s="1"/>
  <c r="Z346" i="10"/>
  <c r="AA346" i="10" s="1"/>
  <c r="Z347" i="10"/>
  <c r="AA347" i="10" s="1"/>
  <c r="Z352" i="10"/>
  <c r="AA352" i="10" s="1"/>
  <c r="Z353" i="10"/>
  <c r="AA353" i="10" s="1"/>
  <c r="Z354" i="10"/>
  <c r="AA354" i="10" s="1"/>
  <c r="Z355" i="10"/>
  <c r="AA355" i="10" s="1"/>
  <c r="Z360" i="10"/>
  <c r="AA360" i="10" s="1"/>
  <c r="Z361" i="10"/>
  <c r="AA361" i="10" s="1"/>
  <c r="Z362" i="10"/>
  <c r="AA362" i="10" s="1"/>
  <c r="Z363" i="10"/>
  <c r="AA363" i="10" s="1"/>
  <c r="Z368" i="10"/>
  <c r="AA368" i="10" s="1"/>
  <c r="Z369" i="10"/>
  <c r="AA369" i="10" s="1"/>
  <c r="Z370" i="10"/>
  <c r="AA370" i="10" s="1"/>
  <c r="Z371" i="10"/>
  <c r="AA371" i="10" s="1"/>
  <c r="Z376" i="10"/>
  <c r="AA376" i="10" s="1"/>
  <c r="Z377" i="10"/>
  <c r="AA377" i="10" s="1"/>
  <c r="Z378" i="10"/>
  <c r="AA378" i="10" s="1"/>
  <c r="Z379" i="10"/>
  <c r="AA379" i="10" s="1"/>
  <c r="Z384" i="10"/>
  <c r="AA384" i="10" s="1"/>
  <c r="Z385" i="10"/>
  <c r="AA385" i="10" s="1"/>
  <c r="Z386" i="10"/>
  <c r="AA386" i="10" s="1"/>
  <c r="Z387" i="10"/>
  <c r="AA387" i="10" s="1"/>
  <c r="Z392" i="10"/>
  <c r="AA392" i="10" s="1"/>
  <c r="Z393" i="10"/>
  <c r="AA393" i="10" s="1"/>
  <c r="Z394" i="10"/>
  <c r="AA394" i="10" s="1"/>
  <c r="Z395" i="10"/>
  <c r="AA395" i="10" s="1"/>
  <c r="Z400" i="10"/>
  <c r="AA400" i="10" s="1"/>
  <c r="Z401" i="10"/>
  <c r="AA401" i="10" s="1"/>
  <c r="Z402" i="10"/>
  <c r="AA402" i="10" s="1"/>
  <c r="Z403" i="10"/>
  <c r="AA403" i="10" s="1"/>
  <c r="Z408" i="10"/>
  <c r="AA408" i="10" s="1"/>
  <c r="Z409" i="10"/>
  <c r="AA409" i="10" s="1"/>
  <c r="Z410" i="10"/>
  <c r="AA410" i="10" s="1"/>
  <c r="Z411" i="10"/>
  <c r="AA411" i="10" s="1"/>
  <c r="Z416" i="10"/>
  <c r="AA416" i="10" s="1"/>
  <c r="Z417" i="10"/>
  <c r="AA417" i="10" s="1"/>
  <c r="Z418" i="10"/>
  <c r="AA418" i="10" s="1"/>
  <c r="Z419" i="10"/>
  <c r="AA419" i="10" s="1"/>
  <c r="Z424" i="10"/>
  <c r="AA424" i="10" s="1"/>
  <c r="Z425" i="10"/>
  <c r="AA425" i="10" s="1"/>
  <c r="Z426" i="10"/>
  <c r="AA426" i="10" s="1"/>
  <c r="Z427" i="10"/>
  <c r="AA427" i="10" s="1"/>
  <c r="Z432" i="10"/>
  <c r="AA432" i="10" s="1"/>
  <c r="Z433" i="10"/>
  <c r="AA433" i="10" s="1"/>
  <c r="Z434" i="10"/>
  <c r="AA434" i="10" s="1"/>
  <c r="Z435" i="10"/>
  <c r="AA435" i="10" s="1"/>
  <c r="Z440" i="10"/>
  <c r="AA440" i="10" s="1"/>
  <c r="Z441" i="10"/>
  <c r="AA441" i="10" s="1"/>
  <c r="Z442" i="10"/>
  <c r="AA442" i="10" s="1"/>
  <c r="Z443" i="10"/>
  <c r="AA443" i="10" s="1"/>
  <c r="Z448" i="10"/>
  <c r="AA448" i="10" s="1"/>
  <c r="Z449" i="10"/>
  <c r="AA449" i="10" s="1"/>
  <c r="Z450" i="10"/>
  <c r="AA450" i="10" s="1"/>
  <c r="Z451" i="10"/>
  <c r="AA451" i="10" s="1"/>
  <c r="Z456" i="10"/>
  <c r="AA456" i="10" s="1"/>
  <c r="Z457" i="10"/>
  <c r="AA457" i="10" s="1"/>
  <c r="Z458" i="10"/>
  <c r="AA458" i="10" s="1"/>
  <c r="Z459" i="10"/>
  <c r="AA459" i="10" s="1"/>
  <c r="Z464" i="10"/>
  <c r="AA464" i="10" s="1"/>
  <c r="Z465" i="10"/>
  <c r="AA465" i="10" s="1"/>
  <c r="Z466" i="10"/>
  <c r="AA466" i="10" s="1"/>
  <c r="Z467" i="10"/>
  <c r="AA467" i="10" s="1"/>
  <c r="Z472" i="10"/>
  <c r="AA472" i="10" s="1"/>
  <c r="Z473" i="10"/>
  <c r="AA473" i="10" s="1"/>
  <c r="Z474" i="10"/>
  <c r="AA474" i="10" s="1"/>
  <c r="Z475" i="10"/>
  <c r="AA475" i="10" s="1"/>
  <c r="Z480" i="10"/>
  <c r="AA480" i="10" s="1"/>
  <c r="Z481" i="10"/>
  <c r="AA481" i="10" s="1"/>
  <c r="Z482" i="10"/>
  <c r="AA482" i="10" s="1"/>
  <c r="Z483" i="10"/>
  <c r="AA483" i="10" s="1"/>
  <c r="Z488" i="10"/>
  <c r="AA488" i="10" s="1"/>
  <c r="Z489" i="10"/>
  <c r="AA489" i="10" s="1"/>
  <c r="Z490" i="10"/>
  <c r="AA490" i="10" s="1"/>
  <c r="Z491" i="10"/>
  <c r="AA491" i="10" s="1"/>
  <c r="Z496" i="10"/>
  <c r="AA496" i="10" s="1"/>
  <c r="Z497" i="10"/>
  <c r="AA497" i="10" s="1"/>
  <c r="Z101" i="10"/>
  <c r="AA101" i="10" s="1"/>
  <c r="Z102" i="10"/>
  <c r="AA102" i="10" s="1"/>
  <c r="Z103" i="10"/>
  <c r="AA103" i="10" s="1"/>
  <c r="Z108" i="10"/>
  <c r="AA108" i="10" s="1"/>
  <c r="Z109" i="10"/>
  <c r="AA109" i="10" s="1"/>
  <c r="Z110" i="10"/>
  <c r="AA110" i="10" s="1"/>
  <c r="Z111" i="10"/>
  <c r="AA111" i="10" s="1"/>
  <c r="Z116" i="10"/>
  <c r="AA116" i="10" s="1"/>
  <c r="Z117" i="10"/>
  <c r="AA117" i="10" s="1"/>
  <c r="Z118" i="10"/>
  <c r="AA118" i="10" s="1"/>
  <c r="Z119" i="10"/>
  <c r="AA119" i="10" s="1"/>
  <c r="Z124" i="10"/>
  <c r="AA124" i="10" s="1"/>
  <c r="Z125" i="10"/>
  <c r="AA125" i="10" s="1"/>
  <c r="Z126" i="10"/>
  <c r="AA126" i="10" s="1"/>
  <c r="Z127" i="10"/>
  <c r="AA127" i="10" s="1"/>
  <c r="Z132" i="10"/>
  <c r="AA132" i="10" s="1"/>
  <c r="Z133" i="10"/>
  <c r="AA133" i="10" s="1"/>
  <c r="Z134" i="10"/>
  <c r="AA134" i="10" s="1"/>
  <c r="Z135" i="10"/>
  <c r="AA135" i="10" s="1"/>
  <c r="Z140" i="10"/>
  <c r="AA140" i="10" s="1"/>
  <c r="Z141" i="10"/>
  <c r="AA141" i="10" s="1"/>
  <c r="Z142" i="10"/>
  <c r="AA142" i="10" s="1"/>
  <c r="Z143" i="10"/>
  <c r="AA143" i="10" s="1"/>
  <c r="Z148" i="10"/>
  <c r="AA148" i="10" s="1"/>
  <c r="Z149" i="10"/>
  <c r="AA149" i="10" s="1"/>
  <c r="Z150" i="10"/>
  <c r="AA150" i="10" s="1"/>
  <c r="Z151" i="10"/>
  <c r="AA151" i="10" s="1"/>
  <c r="Z156" i="10"/>
  <c r="AA156" i="10" s="1"/>
  <c r="Z157" i="10"/>
  <c r="AA157" i="10" s="1"/>
  <c r="Z158" i="10"/>
  <c r="AA158" i="10" s="1"/>
  <c r="Z159" i="10"/>
  <c r="AA159" i="10" s="1"/>
  <c r="Z164" i="10"/>
  <c r="AA164" i="10" s="1"/>
  <c r="Z165" i="10"/>
  <c r="AA165" i="10" s="1"/>
  <c r="Z166" i="10"/>
  <c r="AA166" i="10" s="1"/>
  <c r="Z167" i="10"/>
  <c r="AA167" i="10" s="1"/>
  <c r="Z172" i="10"/>
  <c r="AA172" i="10" s="1"/>
  <c r="Z173" i="10"/>
  <c r="AA173" i="10" s="1"/>
  <c r="Z174" i="10"/>
  <c r="AA174" i="10" s="1"/>
  <c r="Z175" i="10"/>
  <c r="AA175" i="10" s="1"/>
  <c r="Z180" i="10"/>
  <c r="AA180" i="10" s="1"/>
  <c r="Z181" i="10"/>
  <c r="AA181" i="10" s="1"/>
  <c r="Z182" i="10"/>
  <c r="AA182" i="10" s="1"/>
  <c r="Z183" i="10"/>
  <c r="AA183" i="10" s="1"/>
  <c r="Z188" i="10"/>
  <c r="AA188" i="10" s="1"/>
  <c r="Z189" i="10"/>
  <c r="AA189" i="10" s="1"/>
  <c r="Z190" i="10"/>
  <c r="AA190" i="10" s="1"/>
  <c r="Z191" i="10"/>
  <c r="AA191" i="10" s="1"/>
  <c r="Z196" i="10"/>
  <c r="AA196" i="10" s="1"/>
  <c r="Z197" i="10"/>
  <c r="AA197" i="10" s="1"/>
  <c r="Z198" i="10"/>
  <c r="AA198" i="10" s="1"/>
  <c r="Z199" i="10"/>
  <c r="AA199" i="10" s="1"/>
  <c r="Z204" i="10"/>
  <c r="AA204" i="10" s="1"/>
  <c r="Z205" i="10"/>
  <c r="AA205" i="10" s="1"/>
  <c r="Z206" i="10"/>
  <c r="AA206" i="10" s="1"/>
  <c r="Z207" i="10"/>
  <c r="AA207" i="10" s="1"/>
  <c r="Z212" i="10"/>
  <c r="AA212" i="10" s="1"/>
  <c r="Z213" i="10"/>
  <c r="AA213" i="10" s="1"/>
  <c r="Z214" i="10"/>
  <c r="AA214" i="10" s="1"/>
  <c r="Z215" i="10"/>
  <c r="AA215" i="10" s="1"/>
  <c r="Z220" i="10"/>
  <c r="AA220" i="10" s="1"/>
  <c r="Z221" i="10"/>
  <c r="AA221" i="10" s="1"/>
  <c r="Z222" i="10"/>
  <c r="AA222" i="10" s="1"/>
  <c r="Z223" i="10"/>
  <c r="AA223" i="10" s="1"/>
  <c r="Z228" i="10"/>
  <c r="AA228" i="10" s="1"/>
  <c r="Z229" i="10"/>
  <c r="AA229" i="10" s="1"/>
  <c r="Z230" i="10"/>
  <c r="AA230" i="10" s="1"/>
  <c r="Z231" i="10"/>
  <c r="AA231" i="10" s="1"/>
  <c r="Z236" i="10"/>
  <c r="AA236" i="10" s="1"/>
  <c r="Z237" i="10"/>
  <c r="AA237" i="10" s="1"/>
  <c r="Z238" i="10"/>
  <c r="AA238" i="10" s="1"/>
  <c r="Z239" i="10"/>
  <c r="AA239" i="10" s="1"/>
  <c r="Z244" i="10"/>
  <c r="AA244" i="10" s="1"/>
  <c r="Z245" i="10"/>
  <c r="AA245" i="10" s="1"/>
  <c r="Z246" i="10"/>
  <c r="AA246" i="10" s="1"/>
  <c r="Z247" i="10"/>
  <c r="AA247" i="10" s="1"/>
  <c r="Z252" i="10"/>
  <c r="AA252" i="10" s="1"/>
  <c r="Z253" i="10"/>
  <c r="AA253" i="10" s="1"/>
  <c r="Z254" i="10"/>
  <c r="AA254" i="10" s="1"/>
  <c r="Z255" i="10"/>
  <c r="AA255" i="10" s="1"/>
  <c r="Z260" i="10"/>
  <c r="AA260" i="10" s="1"/>
  <c r="Z261" i="10"/>
  <c r="AA261" i="10" s="1"/>
  <c r="Z262" i="10"/>
  <c r="AA262" i="10" s="1"/>
  <c r="Z263" i="10"/>
  <c r="AA263" i="10" s="1"/>
  <c r="Z268" i="10"/>
  <c r="AA268" i="10" s="1"/>
  <c r="Z269" i="10"/>
  <c r="AA269" i="10" s="1"/>
  <c r="Z270" i="10"/>
  <c r="AA270" i="10" s="1"/>
  <c r="Z271" i="10"/>
  <c r="AA271" i="10" s="1"/>
  <c r="Z276" i="10"/>
  <c r="AA276" i="10" s="1"/>
  <c r="Z277" i="10"/>
  <c r="AA277" i="10" s="1"/>
  <c r="Z278" i="10"/>
  <c r="AA278" i="10" s="1"/>
  <c r="Z279" i="10"/>
  <c r="AA279" i="10" s="1"/>
  <c r="Z284" i="10"/>
  <c r="AA284" i="10" s="1"/>
  <c r="Z285" i="10"/>
  <c r="AA285" i="10" s="1"/>
  <c r="Z286" i="10"/>
  <c r="AA286" i="10" s="1"/>
  <c r="Z287" i="10"/>
  <c r="AA287" i="10" s="1"/>
  <c r="Z292" i="10"/>
  <c r="AA292" i="10" s="1"/>
  <c r="Z293" i="10"/>
  <c r="AA293" i="10" s="1"/>
  <c r="Z294" i="10"/>
  <c r="AA294" i="10" s="1"/>
  <c r="Z295" i="10"/>
  <c r="AA295" i="10" s="1"/>
  <c r="Z300" i="10"/>
  <c r="AA300" i="10" s="1"/>
  <c r="Z301" i="10"/>
  <c r="AA301" i="10" s="1"/>
  <c r="Z302" i="10"/>
  <c r="AA302" i="10" s="1"/>
  <c r="Z303" i="10"/>
  <c r="AA303" i="10" s="1"/>
  <c r="Z308" i="10"/>
  <c r="AA308" i="10" s="1"/>
  <c r="Z309" i="10"/>
  <c r="AA309" i="10" s="1"/>
  <c r="Z310" i="10"/>
  <c r="AA310" i="10" s="1"/>
  <c r="Z311" i="10"/>
  <c r="AA311" i="10" s="1"/>
  <c r="Z316" i="10"/>
  <c r="AA316" i="10" s="1"/>
  <c r="Z317" i="10"/>
  <c r="AA317" i="10" s="1"/>
  <c r="Z318" i="10"/>
  <c r="AA318" i="10" s="1"/>
  <c r="Z319" i="10"/>
  <c r="AA319" i="10" s="1"/>
  <c r="Z324" i="10"/>
  <c r="AA324" i="10" s="1"/>
  <c r="Z325" i="10"/>
  <c r="AA325" i="10" s="1"/>
  <c r="Z326" i="10"/>
  <c r="AA326" i="10" s="1"/>
  <c r="Z327" i="10"/>
  <c r="AA327" i="10" s="1"/>
  <c r="Z332" i="10"/>
  <c r="AA332" i="10" s="1"/>
  <c r="Z333" i="10"/>
  <c r="AA333" i="10" s="1"/>
  <c r="Z334" i="10"/>
  <c r="AA334" i="10" s="1"/>
  <c r="Z335" i="10"/>
  <c r="AA335" i="10" s="1"/>
  <c r="Z340" i="10"/>
  <c r="AA340" i="10" s="1"/>
  <c r="Z341" i="10"/>
  <c r="AA341" i="10" s="1"/>
  <c r="Z342" i="10"/>
  <c r="AA342" i="10" s="1"/>
  <c r="Z343" i="10"/>
  <c r="AA343" i="10" s="1"/>
  <c r="Z348" i="10"/>
  <c r="AA348" i="10" s="1"/>
  <c r="Z349" i="10"/>
  <c r="AA349" i="10" s="1"/>
  <c r="Z350" i="10"/>
  <c r="AA350" i="10" s="1"/>
  <c r="Z351" i="10"/>
  <c r="AA351" i="10" s="1"/>
  <c r="Z356" i="10"/>
  <c r="AA356" i="10" s="1"/>
  <c r="Z357" i="10"/>
  <c r="AA357" i="10" s="1"/>
  <c r="Z358" i="10"/>
  <c r="AA358" i="10" s="1"/>
  <c r="Z359" i="10"/>
  <c r="AA359" i="10" s="1"/>
  <c r="Z364" i="10"/>
  <c r="AA364" i="10" s="1"/>
  <c r="Z365" i="10"/>
  <c r="AA365" i="10" s="1"/>
  <c r="Z366" i="10"/>
  <c r="AA366" i="10" s="1"/>
  <c r="Z367" i="10"/>
  <c r="AA367" i="10" s="1"/>
  <c r="Z372" i="10"/>
  <c r="AA372" i="10" s="1"/>
  <c r="Z373" i="10"/>
  <c r="AA373" i="10" s="1"/>
  <c r="Z374" i="10"/>
  <c r="AA374" i="10" s="1"/>
  <c r="Z375" i="10"/>
  <c r="AA375" i="10" s="1"/>
  <c r="Z380" i="10"/>
  <c r="AA380" i="10" s="1"/>
  <c r="Z381" i="10"/>
  <c r="AA381" i="10" s="1"/>
  <c r="Z382" i="10"/>
  <c r="AA382" i="10" s="1"/>
  <c r="Z383" i="10"/>
  <c r="AA383" i="10" s="1"/>
  <c r="Z388" i="10"/>
  <c r="AA388" i="10" s="1"/>
  <c r="Z389" i="10"/>
  <c r="AA389" i="10" s="1"/>
  <c r="Z390" i="10"/>
  <c r="AA390" i="10" s="1"/>
  <c r="Z391" i="10"/>
  <c r="AA391" i="10" s="1"/>
  <c r="Z396" i="10"/>
  <c r="AA396" i="10" s="1"/>
  <c r="Z397" i="10"/>
  <c r="AA397" i="10" s="1"/>
  <c r="Z398" i="10"/>
  <c r="AA398" i="10" s="1"/>
  <c r="Z399" i="10"/>
  <c r="AA399" i="10" s="1"/>
  <c r="Z404" i="10"/>
  <c r="AA404" i="10" s="1"/>
  <c r="Z405" i="10"/>
  <c r="AA405" i="10" s="1"/>
  <c r="Z406" i="10"/>
  <c r="AA406" i="10" s="1"/>
  <c r="Z407" i="10"/>
  <c r="AA407" i="10" s="1"/>
  <c r="Z412" i="10"/>
  <c r="AA412" i="10" s="1"/>
  <c r="Z413" i="10"/>
  <c r="AA413" i="10" s="1"/>
  <c r="Z414" i="10"/>
  <c r="AA414" i="10" s="1"/>
  <c r="Z415" i="10"/>
  <c r="AA415" i="10" s="1"/>
  <c r="Z420" i="10"/>
  <c r="AA420" i="10" s="1"/>
  <c r="Z421" i="10"/>
  <c r="AA421" i="10" s="1"/>
  <c r="Z422" i="10"/>
  <c r="AA422" i="10" s="1"/>
  <c r="Z423" i="10"/>
  <c r="AA423" i="10" s="1"/>
  <c r="Z428" i="10"/>
  <c r="AA428" i="10" s="1"/>
  <c r="Z429" i="10"/>
  <c r="AA429" i="10" s="1"/>
  <c r="Z430" i="10"/>
  <c r="AA430" i="10" s="1"/>
  <c r="Z431" i="10"/>
  <c r="AA431" i="10" s="1"/>
  <c r="Z436" i="10"/>
  <c r="AA436" i="10" s="1"/>
  <c r="Z437" i="10"/>
  <c r="AA437" i="10" s="1"/>
  <c r="Z438" i="10"/>
  <c r="AA438" i="10" s="1"/>
  <c r="Z439" i="10"/>
  <c r="AA439" i="10" s="1"/>
  <c r="Z444" i="10"/>
  <c r="AA444" i="10" s="1"/>
  <c r="Z445" i="10"/>
  <c r="AA445" i="10" s="1"/>
  <c r="Z446" i="10"/>
  <c r="AA446" i="10" s="1"/>
  <c r="Z447" i="10"/>
  <c r="AA447" i="10" s="1"/>
  <c r="Z452" i="10"/>
  <c r="AA452" i="10" s="1"/>
  <c r="Z453" i="10"/>
  <c r="AA453" i="10" s="1"/>
  <c r="Z454" i="10"/>
  <c r="AA454" i="10" s="1"/>
  <c r="Z455" i="10"/>
  <c r="AA455" i="10" s="1"/>
  <c r="Z460" i="10"/>
  <c r="AA460" i="10" s="1"/>
  <c r="Z461" i="10"/>
  <c r="AA461" i="10" s="1"/>
  <c r="Z462" i="10"/>
  <c r="AA462" i="10" s="1"/>
  <c r="Z463" i="10"/>
  <c r="AA463" i="10" s="1"/>
  <c r="Z468" i="10"/>
  <c r="AA468" i="10" s="1"/>
  <c r="Z469" i="10"/>
  <c r="AA469" i="10" s="1"/>
  <c r="Z470" i="10"/>
  <c r="AA470" i="10" s="1"/>
  <c r="Z471" i="10"/>
  <c r="AA471" i="10" s="1"/>
  <c r="Z476" i="10"/>
  <c r="AA476" i="10" s="1"/>
  <c r="Z477" i="10"/>
  <c r="AA477" i="10" s="1"/>
  <c r="Z478" i="10"/>
  <c r="AA478" i="10" s="1"/>
  <c r="Z479" i="10"/>
  <c r="AA479" i="10" s="1"/>
  <c r="Z484" i="10"/>
  <c r="AA484" i="10" s="1"/>
  <c r="Z485" i="10"/>
  <c r="AA485" i="10" s="1"/>
  <c r="Z486" i="10"/>
  <c r="AA486" i="10" s="1"/>
  <c r="Z487" i="10"/>
  <c r="AA487" i="10" s="1"/>
  <c r="Z492" i="10"/>
  <c r="AA492" i="10" s="1"/>
  <c r="Z493" i="10"/>
  <c r="AA493" i="10" s="1"/>
  <c r="Z494" i="10"/>
  <c r="AA494" i="10" s="1"/>
  <c r="Z495" i="10"/>
  <c r="AA495" i="10" s="1"/>
  <c r="Z500" i="10"/>
  <c r="AA500" i="10" s="1"/>
  <c r="Z501" i="10"/>
  <c r="AA501" i="10" s="1"/>
  <c r="Z502" i="10"/>
  <c r="AA502" i="10" s="1"/>
  <c r="Z503" i="10"/>
  <c r="AA503" i="10" s="1"/>
  <c r="Z508" i="10"/>
  <c r="AA508" i="10" s="1"/>
  <c r="Z509" i="10"/>
  <c r="AA509" i="10" s="1"/>
  <c r="Z498" i="10"/>
  <c r="AA498" i="10" s="1"/>
  <c r="Z499" i="10"/>
  <c r="AA499" i="10" s="1"/>
  <c r="Z512" i="10"/>
  <c r="AA512" i="10" s="1"/>
  <c r="Z513" i="10"/>
  <c r="AA513" i="10" s="1"/>
  <c r="Z514" i="10"/>
  <c r="AA514" i="10" s="1"/>
  <c r="Z515" i="10"/>
  <c r="AA515" i="10" s="1"/>
  <c r="Z520" i="10"/>
  <c r="AA520" i="10" s="1"/>
  <c r="Z521" i="10"/>
  <c r="AA521" i="10" s="1"/>
  <c r="Z522" i="10"/>
  <c r="AA522" i="10" s="1"/>
  <c r="Z523" i="10"/>
  <c r="AA523" i="10" s="1"/>
  <c r="Z528" i="10"/>
  <c r="AA528" i="10" s="1"/>
  <c r="Z529" i="10"/>
  <c r="AA529" i="10" s="1"/>
  <c r="Z530" i="10"/>
  <c r="AA530" i="10" s="1"/>
  <c r="Z531" i="10"/>
  <c r="AA531" i="10" s="1"/>
  <c r="Z536" i="10"/>
  <c r="AA536" i="10" s="1"/>
  <c r="Z537" i="10"/>
  <c r="AA537" i="10" s="1"/>
  <c r="Z538" i="10"/>
  <c r="AA538" i="10" s="1"/>
  <c r="Z539" i="10"/>
  <c r="AA539" i="10" s="1"/>
  <c r="Z544" i="10"/>
  <c r="AA544" i="10" s="1"/>
  <c r="Z545" i="10"/>
  <c r="AA545" i="10" s="1"/>
  <c r="Z546" i="10"/>
  <c r="AA546" i="10" s="1"/>
  <c r="Z547" i="10"/>
  <c r="AA547" i="10" s="1"/>
  <c r="Z552" i="10"/>
  <c r="AA552" i="10" s="1"/>
  <c r="Z553" i="10"/>
  <c r="AA553" i="10" s="1"/>
  <c r="Z554" i="10"/>
  <c r="AA554" i="10" s="1"/>
  <c r="Z555" i="10"/>
  <c r="AA555" i="10" s="1"/>
  <c r="Z560" i="10"/>
  <c r="AA560" i="10" s="1"/>
  <c r="Z561" i="10"/>
  <c r="AA561" i="10" s="1"/>
  <c r="Z562" i="10"/>
  <c r="AA562" i="10" s="1"/>
  <c r="Z563" i="10"/>
  <c r="AA563" i="10" s="1"/>
  <c r="Z568" i="10"/>
  <c r="AA568" i="10" s="1"/>
  <c r="Z569" i="10"/>
  <c r="AA569" i="10" s="1"/>
  <c r="Z570" i="10"/>
  <c r="AA570" i="10" s="1"/>
  <c r="Z571" i="10"/>
  <c r="AA571" i="10" s="1"/>
  <c r="Z576" i="10"/>
  <c r="AA576" i="10" s="1"/>
  <c r="Z577" i="10"/>
  <c r="AA577" i="10" s="1"/>
  <c r="Z578" i="10"/>
  <c r="AA578" i="10" s="1"/>
  <c r="Z579" i="10"/>
  <c r="AA579" i="10" s="1"/>
  <c r="Z584" i="10"/>
  <c r="AA584" i="10" s="1"/>
  <c r="Z585" i="10"/>
  <c r="AA585" i="10" s="1"/>
  <c r="Z586" i="10"/>
  <c r="AA586" i="10" s="1"/>
  <c r="Z587" i="10"/>
  <c r="AA587" i="10" s="1"/>
  <c r="Z592" i="10"/>
  <c r="AA592" i="10" s="1"/>
  <c r="Z593" i="10"/>
  <c r="AA593" i="10" s="1"/>
  <c r="Z594" i="10"/>
  <c r="AA594" i="10" s="1"/>
  <c r="Z595" i="10"/>
  <c r="AA595" i="10" s="1"/>
  <c r="Z600" i="10"/>
  <c r="AA600" i="10" s="1"/>
  <c r="Z601" i="10"/>
  <c r="AA601" i="10" s="1"/>
  <c r="Z602" i="10"/>
  <c r="AA602" i="10" s="1"/>
  <c r="Z603" i="10"/>
  <c r="AA603" i="10" s="1"/>
  <c r="Z608" i="10"/>
  <c r="AA608" i="10" s="1"/>
  <c r="Z609" i="10"/>
  <c r="AA609" i="10" s="1"/>
  <c r="Z610" i="10"/>
  <c r="AA610" i="10" s="1"/>
  <c r="Z611" i="10"/>
  <c r="AA611" i="10" s="1"/>
  <c r="Z616" i="10"/>
  <c r="AA616" i="10" s="1"/>
  <c r="Z617" i="10"/>
  <c r="AA617" i="10" s="1"/>
  <c r="Z618" i="10"/>
  <c r="AA618" i="10" s="1"/>
  <c r="Z619" i="10"/>
  <c r="AA619" i="10" s="1"/>
  <c r="Z624" i="10"/>
  <c r="AA624" i="10" s="1"/>
  <c r="Z625" i="10"/>
  <c r="AA625" i="10" s="1"/>
  <c r="Z626" i="10"/>
  <c r="AA626" i="10" s="1"/>
  <c r="Z627" i="10"/>
  <c r="AA627" i="10" s="1"/>
  <c r="Z632" i="10"/>
  <c r="AA632" i="10" s="1"/>
  <c r="Z633" i="10"/>
  <c r="AA633" i="10" s="1"/>
  <c r="Z634" i="10"/>
  <c r="AA634" i="10" s="1"/>
  <c r="Z635" i="10"/>
  <c r="AA635" i="10" s="1"/>
  <c r="Z640" i="10"/>
  <c r="AA640" i="10" s="1"/>
  <c r="Z641" i="10"/>
  <c r="AA641" i="10" s="1"/>
  <c r="Z642" i="10"/>
  <c r="AA642" i="10" s="1"/>
  <c r="Z643" i="10"/>
  <c r="AA643" i="10" s="1"/>
  <c r="Z648" i="10"/>
  <c r="AA648" i="10" s="1"/>
  <c r="Z649" i="10"/>
  <c r="AA649" i="10" s="1"/>
  <c r="Z650" i="10"/>
  <c r="AA650" i="10" s="1"/>
  <c r="Z651" i="10"/>
  <c r="AA651" i="10" s="1"/>
  <c r="Z656" i="10"/>
  <c r="AA656" i="10" s="1"/>
  <c r="Z657" i="10"/>
  <c r="AA657" i="10" s="1"/>
  <c r="Z658" i="10"/>
  <c r="AA658" i="10" s="1"/>
  <c r="Z659" i="10"/>
  <c r="AA659" i="10" s="1"/>
  <c r="Z664" i="10"/>
  <c r="AA664" i="10" s="1"/>
  <c r="Z665" i="10"/>
  <c r="AA665" i="10" s="1"/>
  <c r="Z666" i="10"/>
  <c r="AA666" i="10" s="1"/>
  <c r="Z667" i="10"/>
  <c r="AA667" i="10" s="1"/>
  <c r="Z672" i="10"/>
  <c r="AA672" i="10" s="1"/>
  <c r="Z673" i="10"/>
  <c r="AA673" i="10" s="1"/>
  <c r="Z674" i="10"/>
  <c r="AA674" i="10" s="1"/>
  <c r="Z675" i="10"/>
  <c r="AA675" i="10" s="1"/>
  <c r="Z680" i="10"/>
  <c r="AA680" i="10" s="1"/>
  <c r="Z681" i="10"/>
  <c r="AA681" i="10" s="1"/>
  <c r="Z682" i="10"/>
  <c r="AA682" i="10" s="1"/>
  <c r="Z683" i="10"/>
  <c r="AA683" i="10" s="1"/>
  <c r="Z688" i="10"/>
  <c r="AA688" i="10" s="1"/>
  <c r="Z689" i="10"/>
  <c r="AA689" i="10" s="1"/>
  <c r="Z690" i="10"/>
  <c r="AA690" i="10" s="1"/>
  <c r="Z691" i="10"/>
  <c r="AA691" i="10" s="1"/>
  <c r="Z696" i="10"/>
  <c r="AA696" i="10" s="1"/>
  <c r="Z697" i="10"/>
  <c r="AA697" i="10" s="1"/>
  <c r="Z698" i="10"/>
  <c r="AA698" i="10" s="1"/>
  <c r="Z699" i="10"/>
  <c r="AA699" i="10" s="1"/>
  <c r="Z704" i="10"/>
  <c r="AA704" i="10" s="1"/>
  <c r="Z705" i="10"/>
  <c r="AA705" i="10" s="1"/>
  <c r="Z706" i="10"/>
  <c r="AA706" i="10" s="1"/>
  <c r="Z707" i="10"/>
  <c r="AA707" i="10" s="1"/>
  <c r="Z712" i="10"/>
  <c r="AA712" i="10" s="1"/>
  <c r="Z713" i="10"/>
  <c r="AA713" i="10" s="1"/>
  <c r="Z714" i="10"/>
  <c r="AA714" i="10" s="1"/>
  <c r="Z715" i="10"/>
  <c r="AA715" i="10" s="1"/>
  <c r="Z720" i="10"/>
  <c r="AA720" i="10" s="1"/>
  <c r="Z721" i="10"/>
  <c r="AA721" i="10" s="1"/>
  <c r="Z722" i="10"/>
  <c r="AA722" i="10" s="1"/>
  <c r="Z723" i="10"/>
  <c r="AA723" i="10" s="1"/>
  <c r="Z728" i="10"/>
  <c r="AA728" i="10" s="1"/>
  <c r="Z729" i="10"/>
  <c r="AA729" i="10" s="1"/>
  <c r="Z730" i="10"/>
  <c r="AA730" i="10" s="1"/>
  <c r="Z731" i="10"/>
  <c r="AA731" i="10" s="1"/>
  <c r="Z736" i="10"/>
  <c r="AA736" i="10" s="1"/>
  <c r="Z737" i="10"/>
  <c r="AA737" i="10" s="1"/>
  <c r="Z738" i="10"/>
  <c r="AA738" i="10" s="1"/>
  <c r="Z739" i="10"/>
  <c r="AA739" i="10" s="1"/>
  <c r="Z744" i="10"/>
  <c r="AA744" i="10" s="1"/>
  <c r="Z745" i="10"/>
  <c r="AA745" i="10" s="1"/>
  <c r="Z746" i="10"/>
  <c r="AA746" i="10" s="1"/>
  <c r="Z747" i="10"/>
  <c r="AA747" i="10" s="1"/>
  <c r="Z752" i="10"/>
  <c r="AA752" i="10" s="1"/>
  <c r="Z753" i="10"/>
  <c r="AA753" i="10" s="1"/>
  <c r="Z754" i="10"/>
  <c r="AA754" i="10" s="1"/>
  <c r="Z755" i="10"/>
  <c r="AA755" i="10" s="1"/>
  <c r="Z760" i="10"/>
  <c r="AA760" i="10" s="1"/>
  <c r="Z761" i="10"/>
  <c r="AA761" i="10" s="1"/>
  <c r="Z762" i="10"/>
  <c r="AA762" i="10" s="1"/>
  <c r="Z763" i="10"/>
  <c r="AA763" i="10" s="1"/>
  <c r="Z768" i="10"/>
  <c r="AA768" i="10" s="1"/>
  <c r="Z769" i="10"/>
  <c r="AA769" i="10" s="1"/>
  <c r="Z770" i="10"/>
  <c r="AA770" i="10" s="1"/>
  <c r="Z771" i="10"/>
  <c r="AA771" i="10" s="1"/>
  <c r="Z776" i="10"/>
  <c r="AA776" i="10" s="1"/>
  <c r="Z777" i="10"/>
  <c r="AA777" i="10" s="1"/>
  <c r="Z778" i="10"/>
  <c r="AA778" i="10" s="1"/>
  <c r="Z779" i="10"/>
  <c r="AA779" i="10" s="1"/>
  <c r="Z784" i="10"/>
  <c r="AA784" i="10" s="1"/>
  <c r="Z785" i="10"/>
  <c r="AA785" i="10" s="1"/>
  <c r="Z786" i="10"/>
  <c r="AA786" i="10" s="1"/>
  <c r="Z787" i="10"/>
  <c r="AA787" i="10" s="1"/>
  <c r="Z792" i="10"/>
  <c r="AA792" i="10" s="1"/>
  <c r="Z793" i="10"/>
  <c r="AA793" i="10" s="1"/>
  <c r="Z794" i="10"/>
  <c r="AA794" i="10" s="1"/>
  <c r="Z795" i="10"/>
  <c r="AA795" i="10" s="1"/>
  <c r="Z800" i="10"/>
  <c r="AA800" i="10" s="1"/>
  <c r="Z801" i="10"/>
  <c r="AA801" i="10" s="1"/>
  <c r="Z802" i="10"/>
  <c r="AA802" i="10" s="1"/>
  <c r="Z803" i="10"/>
  <c r="AA803" i="10" s="1"/>
  <c r="Z808" i="10"/>
  <c r="AA808" i="10" s="1"/>
  <c r="Z809" i="10"/>
  <c r="AA809" i="10" s="1"/>
  <c r="Z810" i="10"/>
  <c r="AA810" i="10" s="1"/>
  <c r="Z811" i="10"/>
  <c r="AA811" i="10" s="1"/>
  <c r="Z816" i="10"/>
  <c r="AA816" i="10" s="1"/>
  <c r="Z817" i="10"/>
  <c r="AA817" i="10" s="1"/>
  <c r="Z818" i="10"/>
  <c r="AA818" i="10" s="1"/>
  <c r="Z819" i="10"/>
  <c r="AA819" i="10" s="1"/>
  <c r="Z824" i="10"/>
  <c r="AA824" i="10" s="1"/>
  <c r="Z825" i="10"/>
  <c r="AA825" i="10" s="1"/>
  <c r="Z826" i="10"/>
  <c r="AA826" i="10" s="1"/>
  <c r="Z827" i="10"/>
  <c r="AA827" i="10" s="1"/>
  <c r="Z832" i="10"/>
  <c r="AA832" i="10" s="1"/>
  <c r="Z833" i="10"/>
  <c r="AA833" i="10" s="1"/>
  <c r="Z834" i="10"/>
  <c r="AA834" i="10" s="1"/>
  <c r="Z835" i="10"/>
  <c r="AA835" i="10" s="1"/>
  <c r="Z840" i="10"/>
  <c r="AA840" i="10" s="1"/>
  <c r="Z841" i="10"/>
  <c r="AA841" i="10" s="1"/>
  <c r="Z842" i="10"/>
  <c r="AA842" i="10" s="1"/>
  <c r="Z843" i="10"/>
  <c r="AA843" i="10" s="1"/>
  <c r="Z848" i="10"/>
  <c r="AA848" i="10" s="1"/>
  <c r="Z849" i="10"/>
  <c r="AA849" i="10" s="1"/>
  <c r="Z850" i="10"/>
  <c r="AA850" i="10" s="1"/>
  <c r="Z851" i="10"/>
  <c r="AA851" i="10" s="1"/>
  <c r="Z856" i="10"/>
  <c r="AA856" i="10" s="1"/>
  <c r="Z857" i="10"/>
  <c r="AA857" i="10" s="1"/>
  <c r="Z858" i="10"/>
  <c r="AA858" i="10" s="1"/>
  <c r="Z859" i="10"/>
  <c r="AA859" i="10" s="1"/>
  <c r="Z864" i="10"/>
  <c r="AA864" i="10" s="1"/>
  <c r="Z865" i="10"/>
  <c r="AA865" i="10" s="1"/>
  <c r="Z866" i="10"/>
  <c r="AA866" i="10" s="1"/>
  <c r="Z867" i="10"/>
  <c r="AA867" i="10" s="1"/>
  <c r="Z872" i="10"/>
  <c r="AA872" i="10" s="1"/>
  <c r="Z873" i="10"/>
  <c r="AA873" i="10" s="1"/>
  <c r="Z874" i="10"/>
  <c r="AA874" i="10" s="1"/>
  <c r="Z875" i="10"/>
  <c r="AA875" i="10" s="1"/>
  <c r="Z880" i="10"/>
  <c r="AA880" i="10" s="1"/>
  <c r="Z881" i="10"/>
  <c r="AA881" i="10" s="1"/>
  <c r="Z882" i="10"/>
  <c r="AA882" i="10" s="1"/>
  <c r="Z883" i="10"/>
  <c r="AA883" i="10" s="1"/>
  <c r="Z888" i="10"/>
  <c r="AA888" i="10" s="1"/>
  <c r="Z889" i="10"/>
  <c r="AA889" i="10" s="1"/>
  <c r="Z890" i="10"/>
  <c r="AA890" i="10" s="1"/>
  <c r="Z891" i="10"/>
  <c r="AA891" i="10" s="1"/>
  <c r="Z896" i="10"/>
  <c r="AA896" i="10" s="1"/>
  <c r="Z897" i="10"/>
  <c r="AA897" i="10" s="1"/>
  <c r="Z898" i="10"/>
  <c r="AA898" i="10" s="1"/>
  <c r="Z899" i="10"/>
  <c r="AA899" i="10" s="1"/>
  <c r="Z904" i="10"/>
  <c r="AA904" i="10" s="1"/>
  <c r="Z905" i="10"/>
  <c r="AA905" i="10" s="1"/>
  <c r="Z906" i="10"/>
  <c r="AA906" i="10" s="1"/>
  <c r="Z907" i="10"/>
  <c r="AA907" i="10" s="1"/>
  <c r="Z912" i="10"/>
  <c r="AA912" i="10" s="1"/>
  <c r="Z913" i="10"/>
  <c r="AA913" i="10" s="1"/>
  <c r="Z914" i="10"/>
  <c r="AA914" i="10" s="1"/>
  <c r="Z504" i="10"/>
  <c r="AA504" i="10" s="1"/>
  <c r="Z505" i="10"/>
  <c r="AA505" i="10" s="1"/>
  <c r="Z506" i="10"/>
  <c r="AA506" i="10" s="1"/>
  <c r="Z507" i="10"/>
  <c r="AA507" i="10" s="1"/>
  <c r="Z510" i="10"/>
  <c r="AA510" i="10" s="1"/>
  <c r="Z511" i="10"/>
  <c r="AA511" i="10" s="1"/>
  <c r="Z516" i="10"/>
  <c r="AA516" i="10" s="1"/>
  <c r="Z517" i="10"/>
  <c r="AA517" i="10" s="1"/>
  <c r="Z518" i="10"/>
  <c r="AA518" i="10" s="1"/>
  <c r="Z519" i="10"/>
  <c r="AA519" i="10" s="1"/>
  <c r="Z524" i="10"/>
  <c r="AA524" i="10" s="1"/>
  <c r="Z525" i="10"/>
  <c r="AA525" i="10" s="1"/>
  <c r="Z526" i="10"/>
  <c r="AA526" i="10" s="1"/>
  <c r="Z527" i="10"/>
  <c r="AA527" i="10" s="1"/>
  <c r="Z532" i="10"/>
  <c r="AA532" i="10" s="1"/>
  <c r="Z533" i="10"/>
  <c r="AA533" i="10" s="1"/>
  <c r="Z534" i="10"/>
  <c r="AA534" i="10" s="1"/>
  <c r="Z535" i="10"/>
  <c r="AA535" i="10" s="1"/>
  <c r="Z540" i="10"/>
  <c r="AA540" i="10" s="1"/>
  <c r="Z541" i="10"/>
  <c r="AA541" i="10" s="1"/>
  <c r="Z542" i="10"/>
  <c r="AA542" i="10" s="1"/>
  <c r="Z543" i="10"/>
  <c r="AA543" i="10" s="1"/>
  <c r="Z548" i="10"/>
  <c r="AA548" i="10" s="1"/>
  <c r="Z549" i="10"/>
  <c r="AA549" i="10" s="1"/>
  <c r="Z550" i="10"/>
  <c r="AA550" i="10" s="1"/>
  <c r="Z551" i="10"/>
  <c r="AA551" i="10" s="1"/>
  <c r="Z556" i="10"/>
  <c r="AA556" i="10" s="1"/>
  <c r="Z557" i="10"/>
  <c r="AA557" i="10" s="1"/>
  <c r="Z558" i="10"/>
  <c r="AA558" i="10" s="1"/>
  <c r="Z559" i="10"/>
  <c r="AA559" i="10" s="1"/>
  <c r="Z564" i="10"/>
  <c r="AA564" i="10" s="1"/>
  <c r="Z565" i="10"/>
  <c r="AA565" i="10" s="1"/>
  <c r="Z566" i="10"/>
  <c r="AA566" i="10" s="1"/>
  <c r="Z567" i="10"/>
  <c r="AA567" i="10" s="1"/>
  <c r="Z572" i="10"/>
  <c r="AA572" i="10" s="1"/>
  <c r="Z573" i="10"/>
  <c r="AA573" i="10" s="1"/>
  <c r="Z574" i="10"/>
  <c r="AA574" i="10" s="1"/>
  <c r="Z575" i="10"/>
  <c r="AA575" i="10" s="1"/>
  <c r="Z580" i="10"/>
  <c r="AA580" i="10" s="1"/>
  <c r="Z581" i="10"/>
  <c r="AA581" i="10" s="1"/>
  <c r="Z582" i="10"/>
  <c r="AA582" i="10" s="1"/>
  <c r="Z583" i="10"/>
  <c r="AA583" i="10" s="1"/>
  <c r="Z588" i="10"/>
  <c r="AA588" i="10" s="1"/>
  <c r="Z589" i="10"/>
  <c r="AA589" i="10" s="1"/>
  <c r="Z590" i="10"/>
  <c r="AA590" i="10" s="1"/>
  <c r="Z591" i="10"/>
  <c r="AA591" i="10" s="1"/>
  <c r="Z596" i="10"/>
  <c r="AA596" i="10" s="1"/>
  <c r="Z597" i="10"/>
  <c r="AA597" i="10" s="1"/>
  <c r="Z598" i="10"/>
  <c r="AA598" i="10" s="1"/>
  <c r="Z599" i="10"/>
  <c r="AA599" i="10" s="1"/>
  <c r="Z604" i="10"/>
  <c r="AA604" i="10" s="1"/>
  <c r="Z605" i="10"/>
  <c r="AA605" i="10" s="1"/>
  <c r="Z606" i="10"/>
  <c r="AA606" i="10" s="1"/>
  <c r="Z607" i="10"/>
  <c r="AA607" i="10" s="1"/>
  <c r="Z612" i="10"/>
  <c r="AA612" i="10" s="1"/>
  <c r="Z613" i="10"/>
  <c r="AA613" i="10" s="1"/>
  <c r="Z614" i="10"/>
  <c r="AA614" i="10" s="1"/>
  <c r="Z615" i="10"/>
  <c r="AA615" i="10" s="1"/>
  <c r="Z620" i="10"/>
  <c r="AA620" i="10" s="1"/>
  <c r="Z621" i="10"/>
  <c r="AA621" i="10" s="1"/>
  <c r="Z622" i="10"/>
  <c r="AA622" i="10" s="1"/>
  <c r="Z623" i="10"/>
  <c r="AA623" i="10" s="1"/>
  <c r="Z628" i="10"/>
  <c r="AA628" i="10" s="1"/>
  <c r="Z629" i="10"/>
  <c r="AA629" i="10" s="1"/>
  <c r="Z630" i="10"/>
  <c r="AA630" i="10" s="1"/>
  <c r="Z631" i="10"/>
  <c r="AA631" i="10" s="1"/>
  <c r="Z636" i="10"/>
  <c r="AA636" i="10" s="1"/>
  <c r="Z637" i="10"/>
  <c r="AA637" i="10" s="1"/>
  <c r="Z638" i="10"/>
  <c r="AA638" i="10" s="1"/>
  <c r="Z639" i="10"/>
  <c r="AA639" i="10" s="1"/>
  <c r="Z644" i="10"/>
  <c r="AA644" i="10" s="1"/>
  <c r="Z645" i="10"/>
  <c r="AA645" i="10" s="1"/>
  <c r="Z646" i="10"/>
  <c r="AA646" i="10" s="1"/>
  <c r="Z647" i="10"/>
  <c r="AA647" i="10" s="1"/>
  <c r="Z652" i="10"/>
  <c r="AA652" i="10" s="1"/>
  <c r="Z653" i="10"/>
  <c r="AA653" i="10" s="1"/>
  <c r="Z654" i="10"/>
  <c r="AA654" i="10" s="1"/>
  <c r="Z655" i="10"/>
  <c r="AA655" i="10" s="1"/>
  <c r="Z660" i="10"/>
  <c r="AA660" i="10" s="1"/>
  <c r="Z661" i="10"/>
  <c r="AA661" i="10" s="1"/>
  <c r="Z662" i="10"/>
  <c r="AA662" i="10" s="1"/>
  <c r="Z663" i="10"/>
  <c r="AA663" i="10" s="1"/>
  <c r="Z668" i="10"/>
  <c r="AA668" i="10" s="1"/>
  <c r="Z669" i="10"/>
  <c r="AA669" i="10" s="1"/>
  <c r="Z670" i="10"/>
  <c r="AA670" i="10" s="1"/>
  <c r="Z671" i="10"/>
  <c r="AA671" i="10" s="1"/>
  <c r="Z676" i="10"/>
  <c r="AA676" i="10" s="1"/>
  <c r="Z677" i="10"/>
  <c r="AA677" i="10" s="1"/>
  <c r="Z678" i="10"/>
  <c r="AA678" i="10" s="1"/>
  <c r="Z679" i="10"/>
  <c r="AA679" i="10" s="1"/>
  <c r="Z684" i="10"/>
  <c r="AA684" i="10" s="1"/>
  <c r="Z685" i="10"/>
  <c r="AA685" i="10" s="1"/>
  <c r="Z686" i="10"/>
  <c r="AA686" i="10" s="1"/>
  <c r="Z687" i="10"/>
  <c r="AA687" i="10" s="1"/>
  <c r="Z692" i="10"/>
  <c r="AA692" i="10" s="1"/>
  <c r="Z693" i="10"/>
  <c r="AA693" i="10" s="1"/>
  <c r="Z694" i="10"/>
  <c r="AA694" i="10" s="1"/>
  <c r="Z695" i="10"/>
  <c r="AA695" i="10" s="1"/>
  <c r="Z700" i="10"/>
  <c r="AA700" i="10" s="1"/>
  <c r="Z701" i="10"/>
  <c r="AA701" i="10" s="1"/>
  <c r="Z702" i="10"/>
  <c r="AA702" i="10" s="1"/>
  <c r="Z703" i="10"/>
  <c r="AA703" i="10" s="1"/>
  <c r="Z708" i="10"/>
  <c r="AA708" i="10" s="1"/>
  <c r="Z709" i="10"/>
  <c r="AA709" i="10" s="1"/>
  <c r="Z710" i="10"/>
  <c r="AA710" i="10" s="1"/>
  <c r="Z711" i="10"/>
  <c r="AA711" i="10" s="1"/>
  <c r="Z716" i="10"/>
  <c r="AA716" i="10" s="1"/>
  <c r="Z717" i="10"/>
  <c r="AA717" i="10" s="1"/>
  <c r="Z718" i="10"/>
  <c r="AA718" i="10" s="1"/>
  <c r="Z719" i="10"/>
  <c r="AA719" i="10" s="1"/>
  <c r="Z724" i="10"/>
  <c r="AA724" i="10" s="1"/>
  <c r="Z725" i="10"/>
  <c r="AA725" i="10" s="1"/>
  <c r="Z726" i="10"/>
  <c r="AA726" i="10" s="1"/>
  <c r="Z727" i="10"/>
  <c r="AA727" i="10" s="1"/>
  <c r="Z732" i="10"/>
  <c r="AA732" i="10" s="1"/>
  <c r="Z733" i="10"/>
  <c r="AA733" i="10" s="1"/>
  <c r="Z734" i="10"/>
  <c r="AA734" i="10" s="1"/>
  <c r="Z735" i="10"/>
  <c r="AA735" i="10" s="1"/>
  <c r="Z740" i="10"/>
  <c r="AA740" i="10" s="1"/>
  <c r="Z741" i="10"/>
  <c r="AA741" i="10" s="1"/>
  <c r="Z742" i="10"/>
  <c r="AA742" i="10" s="1"/>
  <c r="Z743" i="10"/>
  <c r="AA743" i="10" s="1"/>
  <c r="Z748" i="10"/>
  <c r="AA748" i="10" s="1"/>
  <c r="Z749" i="10"/>
  <c r="AA749" i="10" s="1"/>
  <c r="Z750" i="10"/>
  <c r="AA750" i="10" s="1"/>
  <c r="Z751" i="10"/>
  <c r="AA751" i="10" s="1"/>
  <c r="Z756" i="10"/>
  <c r="AA756" i="10" s="1"/>
  <c r="Z757" i="10"/>
  <c r="AA757" i="10" s="1"/>
  <c r="Z758" i="10"/>
  <c r="AA758" i="10" s="1"/>
  <c r="Z759" i="10"/>
  <c r="AA759" i="10" s="1"/>
  <c r="Z764" i="10"/>
  <c r="AA764" i="10" s="1"/>
  <c r="Z765" i="10"/>
  <c r="AA765" i="10" s="1"/>
  <c r="Z766" i="10"/>
  <c r="AA766" i="10" s="1"/>
  <c r="Z767" i="10"/>
  <c r="AA767" i="10" s="1"/>
  <c r="Z772" i="10"/>
  <c r="AA772" i="10" s="1"/>
  <c r="Z773" i="10"/>
  <c r="AA773" i="10" s="1"/>
  <c r="Z774" i="10"/>
  <c r="AA774" i="10" s="1"/>
  <c r="Z775" i="10"/>
  <c r="AA775" i="10" s="1"/>
  <c r="Z780" i="10"/>
  <c r="AA780" i="10" s="1"/>
  <c r="Z781" i="10"/>
  <c r="AA781" i="10" s="1"/>
  <c r="Z782" i="10"/>
  <c r="AA782" i="10" s="1"/>
  <c r="Z783" i="10"/>
  <c r="AA783" i="10" s="1"/>
  <c r="Z788" i="10"/>
  <c r="AA788" i="10" s="1"/>
  <c r="Z789" i="10"/>
  <c r="AA789" i="10" s="1"/>
  <c r="Z790" i="10"/>
  <c r="AA790" i="10" s="1"/>
  <c r="Z791" i="10"/>
  <c r="AA791" i="10" s="1"/>
  <c r="Z796" i="10"/>
  <c r="AA796" i="10" s="1"/>
  <c r="Z797" i="10"/>
  <c r="AA797" i="10" s="1"/>
  <c r="Z798" i="10"/>
  <c r="AA798" i="10" s="1"/>
  <c r="Z799" i="10"/>
  <c r="AA799" i="10" s="1"/>
  <c r="Z804" i="10"/>
  <c r="AA804" i="10" s="1"/>
  <c r="Z805" i="10"/>
  <c r="AA805" i="10" s="1"/>
  <c r="Z806" i="10"/>
  <c r="AA806" i="10" s="1"/>
  <c r="Z807" i="10"/>
  <c r="AA807" i="10" s="1"/>
  <c r="Z812" i="10"/>
  <c r="AA812" i="10" s="1"/>
  <c r="Z813" i="10"/>
  <c r="AA813" i="10" s="1"/>
  <c r="Z814" i="10"/>
  <c r="AA814" i="10" s="1"/>
  <c r="Z815" i="10"/>
  <c r="AA815" i="10" s="1"/>
  <c r="Z820" i="10"/>
  <c r="AA820" i="10" s="1"/>
  <c r="Z821" i="10"/>
  <c r="AA821" i="10" s="1"/>
  <c r="Z822" i="10"/>
  <c r="AA822" i="10" s="1"/>
  <c r="Z823" i="10"/>
  <c r="AA823" i="10" s="1"/>
  <c r="Z828" i="10"/>
  <c r="AA828" i="10" s="1"/>
  <c r="Z829" i="10"/>
  <c r="AA829" i="10" s="1"/>
  <c r="Z830" i="10"/>
  <c r="AA830" i="10" s="1"/>
  <c r="Z831" i="10"/>
  <c r="AA831" i="10" s="1"/>
  <c r="Z836" i="10"/>
  <c r="AA836" i="10" s="1"/>
  <c r="Z837" i="10"/>
  <c r="AA837" i="10" s="1"/>
  <c r="Z838" i="10"/>
  <c r="AA838" i="10" s="1"/>
  <c r="Z839" i="10"/>
  <c r="AA839" i="10" s="1"/>
  <c r="Z844" i="10"/>
  <c r="AA844" i="10" s="1"/>
  <c r="Z845" i="10"/>
  <c r="AA845" i="10" s="1"/>
  <c r="Z846" i="10"/>
  <c r="AA846" i="10" s="1"/>
  <c r="Z847" i="10"/>
  <c r="AA847" i="10" s="1"/>
  <c r="Z852" i="10"/>
  <c r="AA852" i="10" s="1"/>
  <c r="Z853" i="10"/>
  <c r="AA853" i="10" s="1"/>
  <c r="Z854" i="10"/>
  <c r="AA854" i="10" s="1"/>
  <c r="Z855" i="10"/>
  <c r="AA855" i="10" s="1"/>
  <c r="Z860" i="10"/>
  <c r="AA860" i="10" s="1"/>
  <c r="Z861" i="10"/>
  <c r="AA861" i="10" s="1"/>
  <c r="Z862" i="10"/>
  <c r="AA862" i="10" s="1"/>
  <c r="Z863" i="10"/>
  <c r="AA863" i="10" s="1"/>
  <c r="Z868" i="10"/>
  <c r="AA868" i="10" s="1"/>
  <c r="Z869" i="10"/>
  <c r="AA869" i="10" s="1"/>
  <c r="Z870" i="10"/>
  <c r="AA870" i="10" s="1"/>
  <c r="Z871" i="10"/>
  <c r="AA871" i="10" s="1"/>
  <c r="Z876" i="10"/>
  <c r="AA876" i="10" s="1"/>
  <c r="Z877" i="10"/>
  <c r="AA877" i="10" s="1"/>
  <c r="Z878" i="10"/>
  <c r="AA878" i="10" s="1"/>
  <c r="Z879" i="10"/>
  <c r="AA879" i="10" s="1"/>
  <c r="Z884" i="10"/>
  <c r="AA884" i="10" s="1"/>
  <c r="Z885" i="10"/>
  <c r="AA885" i="10" s="1"/>
  <c r="Z886" i="10"/>
  <c r="AA886" i="10" s="1"/>
  <c r="Z887" i="10"/>
  <c r="AA887" i="10" s="1"/>
  <c r="Z892" i="10"/>
  <c r="AA892" i="10" s="1"/>
  <c r="Z893" i="10"/>
  <c r="AA893" i="10" s="1"/>
  <c r="Z894" i="10"/>
  <c r="AA894" i="10" s="1"/>
  <c r="Z895" i="10"/>
  <c r="AA895" i="10" s="1"/>
  <c r="Z900" i="10"/>
  <c r="AA900" i="10" s="1"/>
  <c r="Z901" i="10"/>
  <c r="AA901" i="10" s="1"/>
  <c r="Z902" i="10"/>
  <c r="AA902" i="10" s="1"/>
  <c r="Z903" i="10"/>
  <c r="AA903" i="10" s="1"/>
  <c r="Z908" i="10"/>
  <c r="AA908" i="10" s="1"/>
  <c r="Z909" i="10"/>
  <c r="AA909" i="10" s="1"/>
  <c r="Z910" i="10"/>
  <c r="AA910" i="10" s="1"/>
  <c r="Z911" i="10"/>
  <c r="AA911" i="10" s="1"/>
  <c r="Z916" i="10"/>
  <c r="AA916" i="10" s="1"/>
  <c r="Z917" i="10"/>
  <c r="AA917" i="10" s="1"/>
  <c r="Z1019" i="10"/>
  <c r="AA1019" i="10" s="1"/>
  <c r="Z1018" i="10"/>
  <c r="AA1018" i="10" s="1"/>
  <c r="Z1017" i="10"/>
  <c r="AA1017" i="10" s="1"/>
  <c r="Z1016" i="10"/>
  <c r="AA1016" i="10" s="1"/>
  <c r="Z1011" i="10"/>
  <c r="AA1011" i="10" s="1"/>
  <c r="Z1010" i="10"/>
  <c r="AA1010" i="10" s="1"/>
  <c r="Z1009" i="10"/>
  <c r="AA1009" i="10" s="1"/>
  <c r="Z1008" i="10"/>
  <c r="AA1008" i="10" s="1"/>
  <c r="Z1003" i="10"/>
  <c r="AA1003" i="10" s="1"/>
  <c r="Z1002" i="10"/>
  <c r="AA1002" i="10" s="1"/>
  <c r="Z1001" i="10"/>
  <c r="AA1001" i="10" s="1"/>
  <c r="Z1000" i="10"/>
  <c r="AA1000" i="10" s="1"/>
  <c r="Z995" i="10"/>
  <c r="AA995" i="10" s="1"/>
  <c r="Z994" i="10"/>
  <c r="AA994" i="10" s="1"/>
  <c r="Z993" i="10"/>
  <c r="AA993" i="10" s="1"/>
  <c r="Z992" i="10"/>
  <c r="AA992" i="10" s="1"/>
  <c r="Z987" i="10"/>
  <c r="AA987" i="10" s="1"/>
  <c r="Z986" i="10"/>
  <c r="AA986" i="10" s="1"/>
  <c r="Z985" i="10"/>
  <c r="AA985" i="10" s="1"/>
  <c r="Z984" i="10"/>
  <c r="AA984" i="10" s="1"/>
  <c r="Z979" i="10"/>
  <c r="AA979" i="10" s="1"/>
  <c r="Z978" i="10"/>
  <c r="AA978" i="10" s="1"/>
  <c r="Z977" i="10"/>
  <c r="AA977" i="10" s="1"/>
  <c r="Z976" i="10"/>
  <c r="AA976" i="10" s="1"/>
  <c r="Z971" i="10"/>
  <c r="AA971" i="10" s="1"/>
  <c r="Z970" i="10"/>
  <c r="AA970" i="10" s="1"/>
  <c r="Z969" i="10"/>
  <c r="AA969" i="10" s="1"/>
  <c r="Z968" i="10"/>
  <c r="AA968" i="10" s="1"/>
  <c r="Z963" i="10"/>
  <c r="AA963" i="10" s="1"/>
  <c r="Z962" i="10"/>
  <c r="AA962" i="10" s="1"/>
  <c r="Z961" i="10"/>
  <c r="AA961" i="10" s="1"/>
  <c r="Z960" i="10"/>
  <c r="AA960" i="10" s="1"/>
  <c r="Z955" i="10"/>
  <c r="AA955" i="10" s="1"/>
  <c r="Z954" i="10"/>
  <c r="AA954" i="10" s="1"/>
  <c r="Z953" i="10"/>
  <c r="AA953" i="10" s="1"/>
  <c r="Z952" i="10"/>
  <c r="AA952" i="10" s="1"/>
  <c r="Z947" i="10"/>
  <c r="AA947" i="10" s="1"/>
  <c r="Z946" i="10"/>
  <c r="AA946" i="10" s="1"/>
  <c r="Z945" i="10"/>
  <c r="AA945" i="10" s="1"/>
  <c r="Z944" i="10"/>
  <c r="AA944" i="10" s="1"/>
  <c r="Z939" i="10"/>
  <c r="AA939" i="10" s="1"/>
  <c r="Z938" i="10"/>
  <c r="AA938" i="10" s="1"/>
  <c r="Z937" i="10"/>
  <c r="AA937" i="10" s="1"/>
  <c r="Z936" i="10"/>
  <c r="AA936" i="10" s="1"/>
  <c r="Z931" i="10"/>
  <c r="AA931" i="10" s="1"/>
  <c r="Z930" i="10"/>
  <c r="AA930" i="10" s="1"/>
  <c r="Z929" i="10"/>
  <c r="AA929" i="10" s="1"/>
  <c r="Z928" i="10"/>
  <c r="AA928" i="10" s="1"/>
  <c r="Z923" i="10"/>
  <c r="AA923" i="10" s="1"/>
  <c r="Z922" i="10"/>
  <c r="AA922" i="10" s="1"/>
  <c r="Z921" i="10"/>
  <c r="AA921" i="10" s="1"/>
  <c r="Z920" i="10"/>
  <c r="AA920" i="10" s="1"/>
  <c r="AA1448" i="10"/>
  <c r="AA1444" i="10"/>
  <c r="AA1440" i="10"/>
  <c r="AA1436" i="10"/>
  <c r="AA1432" i="10"/>
  <c r="AA1428" i="10"/>
  <c r="AA1424" i="10"/>
  <c r="AA1420" i="10"/>
  <c r="AA1416" i="10"/>
  <c r="AA1412" i="10"/>
  <c r="AA1408" i="10"/>
  <c r="AA1404" i="10"/>
  <c r="AA1400" i="10"/>
  <c r="AA1396" i="10"/>
  <c r="AA1392" i="10"/>
  <c r="AA1388" i="10"/>
  <c r="AA1384" i="10"/>
  <c r="AA1380" i="10"/>
  <c r="AA1376" i="10"/>
  <c r="AA1372" i="10"/>
  <c r="AA1368" i="10"/>
  <c r="AA1364" i="10"/>
  <c r="AA1360"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A1605" i="10"/>
  <c r="I16" i="14"/>
  <c r="AD11" i="15"/>
  <c r="AG8" i="14"/>
  <c r="B5" i="4"/>
  <c r="J2" i="8"/>
  <c r="K10" i="11"/>
  <c r="Z6" i="10"/>
  <c r="Z8" i="10"/>
  <c r="AA8" i="10" s="1"/>
  <c r="Z10" i="10"/>
  <c r="AA10" i="10" s="1"/>
  <c r="Z12" i="10"/>
  <c r="AA12" i="10" s="1"/>
  <c r="Z14" i="10"/>
  <c r="AA14" i="10" s="1"/>
  <c r="Z16" i="10"/>
  <c r="AA16" i="10" s="1"/>
  <c r="Z18" i="10"/>
  <c r="AA18" i="10" s="1"/>
  <c r="Z20" i="10"/>
  <c r="AA20" i="10" s="1"/>
  <c r="Z22" i="10"/>
  <c r="AA22" i="10" s="1"/>
  <c r="Z24" i="10"/>
  <c r="AA24" i="10" s="1"/>
  <c r="Z26" i="10"/>
  <c r="AA26" i="10" s="1"/>
  <c r="Z28" i="10"/>
  <c r="AA28" i="10" s="1"/>
  <c r="Z30" i="10"/>
  <c r="AA30" i="10" s="1"/>
  <c r="Z32" i="10"/>
  <c r="AA32" i="10" s="1"/>
  <c r="Z34" i="10"/>
  <c r="AA34" i="10" s="1"/>
  <c r="Z36" i="10"/>
  <c r="AA36" i="10" s="1"/>
  <c r="Z38" i="10"/>
  <c r="AA38" i="10" s="1"/>
  <c r="Z40" i="10"/>
  <c r="AA40" i="10" s="1"/>
  <c r="Z42" i="10"/>
  <c r="AA42" i="10" s="1"/>
  <c r="Z44" i="10"/>
  <c r="AA44" i="10" s="1"/>
  <c r="Z46" i="10"/>
  <c r="AA46" i="10" s="1"/>
  <c r="Z48" i="10"/>
  <c r="AA48" i="10" s="1"/>
  <c r="Z50" i="10"/>
  <c r="AA50" i="10" s="1"/>
  <c r="Z52" i="10"/>
  <c r="AA52" i="10" s="1"/>
  <c r="Z54" i="10"/>
  <c r="AA54" i="10" s="1"/>
  <c r="Z56" i="10"/>
  <c r="AA56" i="10" s="1"/>
  <c r="Z58" i="10"/>
  <c r="AA58" i="10" s="1"/>
  <c r="Z60" i="10"/>
  <c r="AA60" i="10" s="1"/>
  <c r="Z62" i="10"/>
  <c r="AA62" i="10" s="1"/>
  <c r="Z64" i="10"/>
  <c r="AA64" i="10" s="1"/>
  <c r="Z66" i="10"/>
  <c r="AA66" i="10" s="1"/>
  <c r="Z68" i="10"/>
  <c r="AA68" i="10" s="1"/>
  <c r="Z70" i="10"/>
  <c r="AA70" i="10" s="1"/>
  <c r="Z72" i="10"/>
  <c r="AA72" i="10" s="1"/>
  <c r="Z74" i="10"/>
  <c r="AA74" i="10" s="1"/>
  <c r="Z76" i="10"/>
  <c r="AA76" i="10" s="1"/>
  <c r="Z78" i="10"/>
  <c r="AA78" i="10" s="1"/>
  <c r="Z80" i="10"/>
  <c r="AA80" i="10" s="1"/>
  <c r="Z82" i="10"/>
  <c r="AA82" i="10" s="1"/>
  <c r="Z84" i="10"/>
  <c r="AA84" i="10" s="1"/>
  <c r="Z86" i="10"/>
  <c r="AA86" i="10" s="1"/>
  <c r="Z88" i="10"/>
  <c r="AA88" i="10" s="1"/>
  <c r="Z90" i="10"/>
  <c r="AA90" i="10" s="1"/>
  <c r="Z92" i="10"/>
  <c r="AA92" i="10" s="1"/>
  <c r="Z94" i="10"/>
  <c r="AA94" i="10" s="1"/>
  <c r="Z96" i="10"/>
  <c r="AA96" i="10" s="1"/>
  <c r="Z98" i="10"/>
  <c r="AA98" i="10" s="1"/>
  <c r="Z100" i="10"/>
  <c r="AA100" i="10" s="1"/>
  <c r="Z97" i="10"/>
  <c r="AA97" i="10" s="1"/>
  <c r="Z95" i="10"/>
  <c r="AA95" i="10" s="1"/>
  <c r="Z93" i="10"/>
  <c r="AA93" i="10" s="1"/>
  <c r="Z91" i="10"/>
  <c r="AA91" i="10" s="1"/>
  <c r="Z89" i="10"/>
  <c r="AA89" i="10" s="1"/>
  <c r="Z87" i="10"/>
  <c r="AA87" i="10" s="1"/>
  <c r="Z85" i="10"/>
  <c r="AA85" i="10" s="1"/>
  <c r="Z83" i="10"/>
  <c r="AA83" i="10" s="1"/>
  <c r="Z81" i="10"/>
  <c r="AA81" i="10" s="1"/>
  <c r="Z79" i="10"/>
  <c r="AA79" i="10" s="1"/>
  <c r="Z77" i="10"/>
  <c r="AA77" i="10" s="1"/>
  <c r="Z75" i="10"/>
  <c r="AA75" i="10" s="1"/>
  <c r="Z73" i="10"/>
  <c r="AA73" i="10" s="1"/>
  <c r="Z71" i="10"/>
  <c r="AA71" i="10" s="1"/>
  <c r="Z69" i="10"/>
  <c r="AA69" i="10" s="1"/>
  <c r="Z67" i="10"/>
  <c r="AA67" i="10" s="1"/>
  <c r="Z65" i="10"/>
  <c r="AA65" i="10" s="1"/>
  <c r="Z63" i="10"/>
  <c r="AA63" i="10" s="1"/>
  <c r="Z61" i="10"/>
  <c r="AA61" i="10" s="1"/>
  <c r="Z59" i="10"/>
  <c r="AA59" i="10" s="1"/>
  <c r="Z57" i="10"/>
  <c r="AA57" i="10" s="1"/>
  <c r="Z55" i="10"/>
  <c r="AA55" i="10" s="1"/>
  <c r="Z53" i="10"/>
  <c r="AA53" i="10" s="1"/>
  <c r="Z51" i="10"/>
  <c r="AA51" i="10" s="1"/>
  <c r="Z49" i="10"/>
  <c r="AA49" i="10" s="1"/>
  <c r="Z47" i="10"/>
  <c r="AA47" i="10" s="1"/>
  <c r="Z45" i="10"/>
  <c r="AA45" i="10" s="1"/>
  <c r="Z43" i="10"/>
  <c r="AA43" i="10" s="1"/>
  <c r="Z41" i="10"/>
  <c r="AA41" i="10" s="1"/>
  <c r="Z39" i="10"/>
  <c r="AA39" i="10" s="1"/>
  <c r="Z37" i="10"/>
  <c r="AA37" i="10" s="1"/>
  <c r="Z35" i="10"/>
  <c r="AA35" i="10" s="1"/>
  <c r="Z33" i="10"/>
  <c r="AA33" i="10" s="1"/>
  <c r="Z31" i="10"/>
  <c r="AA31" i="10" s="1"/>
  <c r="Z29" i="10"/>
  <c r="AA29" i="10" s="1"/>
  <c r="Z27" i="10"/>
  <c r="AA27" i="10" s="1"/>
  <c r="Z25" i="10"/>
  <c r="AA25" i="10" s="1"/>
  <c r="Z23" i="10"/>
  <c r="AA23" i="10" s="1"/>
  <c r="Z21" i="10"/>
  <c r="AA21" i="10" s="1"/>
  <c r="Z19" i="10"/>
  <c r="AA19" i="10" s="1"/>
  <c r="Z17" i="10"/>
  <c r="AA17" i="10" s="1"/>
  <c r="Z15" i="10"/>
  <c r="AA15" i="10" s="1"/>
  <c r="Z13" i="10"/>
  <c r="AA13" i="10" s="1"/>
  <c r="Z11" i="10"/>
  <c r="AA11" i="10" s="1"/>
  <c r="Z9" i="10"/>
  <c r="AA9" i="10" s="1"/>
  <c r="Z7" i="10"/>
  <c r="AA7" i="10" s="1"/>
  <c r="M3" i="8"/>
  <c r="W1" i="8"/>
  <c r="J9" i="8"/>
  <c r="C9" i="7"/>
  <c r="D5" i="4"/>
  <c r="F5" i="4"/>
  <c r="H5" i="4"/>
  <c r="C5" i="4"/>
  <c r="E5" i="4"/>
  <c r="P2" i="2"/>
  <c r="A1" i="2"/>
  <c r="D9" i="1"/>
  <c r="R14" i="11" l="1"/>
  <c r="Q14" i="11"/>
  <c r="P14" i="11"/>
  <c r="R15" i="11"/>
  <c r="Q15" i="11"/>
  <c r="O14" i="11"/>
  <c r="P15" i="11"/>
  <c r="N14" i="11"/>
  <c r="O15" i="11"/>
  <c r="N15" i="11"/>
  <c r="AA6" i="17"/>
  <c r="M14" i="18"/>
  <c r="N14" i="18"/>
  <c r="P14" i="18"/>
  <c r="O14" i="18"/>
  <c r="Q19" i="4"/>
  <c r="C3" i="7"/>
  <c r="C3" i="8" s="1"/>
  <c r="P26" i="8" s="1"/>
  <c r="AG11" i="14"/>
  <c r="G3" i="14" s="1"/>
  <c r="I24" i="1" s="1"/>
  <c r="W6" i="2"/>
  <c r="W606" i="2"/>
  <c r="B606" i="2" s="1"/>
  <c r="W610" i="2"/>
  <c r="B610" i="2" s="1"/>
  <c r="W614" i="2"/>
  <c r="B614" i="2" s="1"/>
  <c r="W618" i="2"/>
  <c r="B618" i="2" s="1"/>
  <c r="W622" i="2"/>
  <c r="B622" i="2" s="1"/>
  <c r="W626" i="2"/>
  <c r="B626" i="2" s="1"/>
  <c r="W630" i="2"/>
  <c r="B630" i="2" s="1"/>
  <c r="W634" i="2"/>
  <c r="B634" i="2" s="1"/>
  <c r="W638" i="2"/>
  <c r="B638" i="2" s="1"/>
  <c r="W642" i="2"/>
  <c r="B642" i="2" s="1"/>
  <c r="W646" i="2"/>
  <c r="B646" i="2" s="1"/>
  <c r="W609" i="2"/>
  <c r="B609" i="2" s="1"/>
  <c r="W625" i="2"/>
  <c r="B625" i="2" s="1"/>
  <c r="W637" i="2"/>
  <c r="B637" i="2" s="1"/>
  <c r="W602" i="2"/>
  <c r="B602" i="2" s="1"/>
  <c r="W647" i="2"/>
  <c r="B647" i="2" s="1"/>
  <c r="W604" i="2"/>
  <c r="B604" i="2" s="1"/>
  <c r="W620" i="2"/>
  <c r="B620" i="2" s="1"/>
  <c r="W632" i="2"/>
  <c r="B632" i="2" s="1"/>
  <c r="W644" i="2"/>
  <c r="B644" i="2" s="1"/>
  <c r="W605" i="2"/>
  <c r="B605" i="2" s="1"/>
  <c r="W617" i="2"/>
  <c r="B617" i="2" s="1"/>
  <c r="W629" i="2"/>
  <c r="B629" i="2" s="1"/>
  <c r="W641" i="2"/>
  <c r="B641" i="2" s="1"/>
  <c r="W603" i="2"/>
  <c r="B603" i="2" s="1"/>
  <c r="W607" i="2"/>
  <c r="B607" i="2" s="1"/>
  <c r="W611" i="2"/>
  <c r="B611" i="2" s="1"/>
  <c r="W615" i="2"/>
  <c r="B615" i="2" s="1"/>
  <c r="W619" i="2"/>
  <c r="B619" i="2" s="1"/>
  <c r="W623" i="2"/>
  <c r="B623" i="2" s="1"/>
  <c r="W627" i="2"/>
  <c r="B627" i="2" s="1"/>
  <c r="W631" i="2"/>
  <c r="B631" i="2" s="1"/>
  <c r="W635" i="2"/>
  <c r="B635" i="2" s="1"/>
  <c r="W639" i="2"/>
  <c r="B639" i="2" s="1"/>
  <c r="W643" i="2"/>
  <c r="B643" i="2" s="1"/>
  <c r="W648" i="2"/>
  <c r="B648" i="2" s="1"/>
  <c r="W608" i="2"/>
  <c r="B608" i="2" s="1"/>
  <c r="W624" i="2"/>
  <c r="B624" i="2" s="1"/>
  <c r="W640" i="2"/>
  <c r="B640" i="2" s="1"/>
  <c r="W650" i="2"/>
  <c r="B650" i="2" s="1"/>
  <c r="W613" i="2"/>
  <c r="B613" i="2" s="1"/>
  <c r="W621" i="2"/>
  <c r="B621" i="2" s="1"/>
  <c r="W633" i="2"/>
  <c r="B633" i="2" s="1"/>
  <c r="W645" i="2"/>
  <c r="B645" i="2" s="1"/>
  <c r="W649" i="2"/>
  <c r="B649" i="2" s="1"/>
  <c r="W612" i="2"/>
  <c r="B612" i="2" s="1"/>
  <c r="W616" i="2"/>
  <c r="B616" i="2" s="1"/>
  <c r="W628" i="2"/>
  <c r="B628" i="2" s="1"/>
  <c r="W636" i="2"/>
  <c r="B636" i="2" s="1"/>
  <c r="D10" i="12"/>
  <c r="D9" i="12"/>
  <c r="D8" i="12"/>
  <c r="D7" i="12"/>
  <c r="D6" i="12"/>
  <c r="G27" i="11"/>
  <c r="F27" i="11"/>
  <c r="E27" i="11"/>
  <c r="D27" i="11"/>
  <c r="C27" i="11"/>
  <c r="J27" i="11"/>
  <c r="B27" i="11"/>
  <c r="I27" i="11"/>
  <c r="H27" i="11"/>
  <c r="J16" i="14"/>
  <c r="J14" i="14"/>
  <c r="J15" i="14"/>
  <c r="A2" i="24"/>
  <c r="G3" i="24" s="1"/>
  <c r="N15" i="1" s="1"/>
  <c r="B10" i="21"/>
  <c r="V22" i="7"/>
  <c r="V20" i="7"/>
  <c r="V18" i="7"/>
  <c r="V16" i="7"/>
  <c r="V14" i="7"/>
  <c r="V12" i="7"/>
  <c r="V23" i="7"/>
  <c r="V21" i="7"/>
  <c r="V19" i="7"/>
  <c r="V17" i="7"/>
  <c r="V15" i="7"/>
  <c r="V13" i="7"/>
  <c r="V9" i="7"/>
  <c r="V11" i="7" s="1"/>
  <c r="F20" i="5"/>
  <c r="T20" i="5"/>
  <c r="C3" i="22"/>
  <c r="H21" i="22"/>
  <c r="A2" i="23"/>
  <c r="B21" i="22"/>
  <c r="Q2" i="23"/>
  <c r="Q4" i="23"/>
  <c r="AP10" i="21"/>
  <c r="AP12" i="21" s="1"/>
  <c r="E27" i="21"/>
  <c r="P27" i="21"/>
  <c r="B8" i="22"/>
  <c r="J16" i="21"/>
  <c r="J15" i="21"/>
  <c r="J17" i="21"/>
  <c r="S13" i="19"/>
  <c r="Y9" i="19"/>
  <c r="Y7" i="19"/>
  <c r="X8" i="19"/>
  <c r="X6" i="19"/>
  <c r="W8" i="19"/>
  <c r="W6" i="19"/>
  <c r="V8" i="19"/>
  <c r="U9" i="19"/>
  <c r="U7" i="19"/>
  <c r="T8" i="19"/>
  <c r="S9" i="19"/>
  <c r="S7" i="19"/>
  <c r="R8" i="19"/>
  <c r="R6" i="19"/>
  <c r="Q8" i="19"/>
  <c r="Q6" i="19"/>
  <c r="P8" i="19"/>
  <c r="P6" i="19"/>
  <c r="O8" i="19"/>
  <c r="N8" i="19"/>
  <c r="M9" i="19"/>
  <c r="M7" i="19"/>
  <c r="L8" i="19"/>
  <c r="L6" i="19"/>
  <c r="K8" i="19"/>
  <c r="K6" i="19"/>
  <c r="J8" i="19"/>
  <c r="I9" i="19"/>
  <c r="I7" i="19"/>
  <c r="V6" i="19"/>
  <c r="T6" i="19"/>
  <c r="O6" i="19"/>
  <c r="M6" i="19"/>
  <c r="I6" i="19"/>
  <c r="S18" i="19"/>
  <c r="F18" i="19"/>
  <c r="Y8" i="19"/>
  <c r="X9" i="19"/>
  <c r="X7" i="19"/>
  <c r="W9" i="19"/>
  <c r="W7" i="19"/>
  <c r="V9" i="19"/>
  <c r="V7" i="19"/>
  <c r="U8" i="19"/>
  <c r="T9" i="19"/>
  <c r="T7" i="19"/>
  <c r="S8" i="19"/>
  <c r="R9" i="19"/>
  <c r="R7" i="19"/>
  <c r="Q9" i="19"/>
  <c r="Q7" i="19"/>
  <c r="P9" i="19"/>
  <c r="P7" i="19"/>
  <c r="O9" i="19"/>
  <c r="O7" i="19"/>
  <c r="N9" i="19"/>
  <c r="N7" i="19"/>
  <c r="M8" i="19"/>
  <c r="L9" i="19"/>
  <c r="L7" i="19"/>
  <c r="K9" i="19"/>
  <c r="K7" i="19"/>
  <c r="J9" i="19"/>
  <c r="J7" i="19"/>
  <c r="I8" i="19"/>
  <c r="Y6" i="19"/>
  <c r="U6" i="19"/>
  <c r="S6" i="19"/>
  <c r="N6" i="19"/>
  <c r="J6" i="19"/>
  <c r="F8" i="19"/>
  <c r="F6" i="19"/>
  <c r="E8" i="19"/>
  <c r="E6" i="19"/>
  <c r="D8" i="19"/>
  <c r="D6" i="19"/>
  <c r="C9" i="19"/>
  <c r="C6" i="19"/>
  <c r="B8" i="19"/>
  <c r="B6" i="19"/>
  <c r="A2" i="19"/>
  <c r="G6" i="19" s="1"/>
  <c r="F9" i="19"/>
  <c r="F7" i="19"/>
  <c r="E9" i="19"/>
  <c r="E7" i="19"/>
  <c r="D9" i="19"/>
  <c r="D7" i="19"/>
  <c r="C8" i="19"/>
  <c r="C7" i="19"/>
  <c r="B9" i="19"/>
  <c r="B7" i="19"/>
  <c r="P12" i="18"/>
  <c r="P10" i="18"/>
  <c r="P8" i="18"/>
  <c r="O13" i="18"/>
  <c r="O11" i="18"/>
  <c r="O9" i="18"/>
  <c r="N12" i="18"/>
  <c r="N10" i="18"/>
  <c r="N8" i="18"/>
  <c r="M13" i="18"/>
  <c r="M11" i="18"/>
  <c r="M9" i="18"/>
  <c r="P7" i="18"/>
  <c r="O7" i="18"/>
  <c r="I32" i="18"/>
  <c r="I29" i="18"/>
  <c r="I27" i="18"/>
  <c r="I24" i="18"/>
  <c r="I21" i="18"/>
  <c r="I19" i="18"/>
  <c r="I16" i="18"/>
  <c r="I13" i="18"/>
  <c r="I11" i="18"/>
  <c r="H31" i="18"/>
  <c r="H28" i="18"/>
  <c r="H26" i="18"/>
  <c r="H23" i="18"/>
  <c r="H20" i="18"/>
  <c r="H17" i="18"/>
  <c r="H15" i="18"/>
  <c r="H12" i="18"/>
  <c r="G32" i="18"/>
  <c r="G29" i="18"/>
  <c r="G27" i="18"/>
  <c r="G24" i="18"/>
  <c r="G21" i="18"/>
  <c r="G19" i="18"/>
  <c r="G16" i="18"/>
  <c r="G13" i="18"/>
  <c r="G11" i="18"/>
  <c r="F31" i="18"/>
  <c r="F28" i="18"/>
  <c r="F26" i="18"/>
  <c r="F23" i="18"/>
  <c r="F20" i="18"/>
  <c r="F17" i="18"/>
  <c r="F15" i="18"/>
  <c r="F12" i="18"/>
  <c r="E32" i="18"/>
  <c r="E29" i="18"/>
  <c r="E27" i="18"/>
  <c r="E24" i="18"/>
  <c r="E21" i="18"/>
  <c r="E19" i="18"/>
  <c r="E16" i="18"/>
  <c r="E13" i="18"/>
  <c r="E11" i="18"/>
  <c r="D31" i="18"/>
  <c r="D28" i="18"/>
  <c r="D26" i="18"/>
  <c r="D23" i="18"/>
  <c r="D20" i="18"/>
  <c r="D17" i="18"/>
  <c r="D15" i="18"/>
  <c r="D12" i="18"/>
  <c r="C32" i="18"/>
  <c r="C29" i="18"/>
  <c r="C27" i="18"/>
  <c r="C24" i="18"/>
  <c r="C21" i="18"/>
  <c r="C19" i="18"/>
  <c r="C16" i="18"/>
  <c r="P13" i="18"/>
  <c r="P11" i="18"/>
  <c r="P9" i="18"/>
  <c r="O12" i="18"/>
  <c r="O10" i="18"/>
  <c r="O8" i="18"/>
  <c r="N13" i="18"/>
  <c r="N11" i="18"/>
  <c r="N9" i="18"/>
  <c r="M12" i="18"/>
  <c r="M10" i="18"/>
  <c r="M8" i="18"/>
  <c r="N7" i="18"/>
  <c r="M7" i="18"/>
  <c r="I31" i="18"/>
  <c r="I28" i="18"/>
  <c r="I26" i="18"/>
  <c r="I23" i="18"/>
  <c r="I25" i="18" s="1"/>
  <c r="I20" i="18"/>
  <c r="I17" i="18"/>
  <c r="I15" i="18"/>
  <c r="I12" i="18"/>
  <c r="H32" i="18"/>
  <c r="H29" i="18"/>
  <c r="H27" i="18"/>
  <c r="H24" i="18"/>
  <c r="H21" i="18"/>
  <c r="H19" i="18"/>
  <c r="H16" i="18"/>
  <c r="H13" i="18"/>
  <c r="H11" i="18"/>
  <c r="G31" i="18"/>
  <c r="G28" i="18"/>
  <c r="G26" i="18"/>
  <c r="G23" i="18"/>
  <c r="G25" i="18" s="1"/>
  <c r="G20" i="18"/>
  <c r="G17" i="18"/>
  <c r="G15" i="18"/>
  <c r="G12" i="18"/>
  <c r="F32" i="18"/>
  <c r="F29" i="18"/>
  <c r="F27" i="18"/>
  <c r="F24" i="18"/>
  <c r="F21" i="18"/>
  <c r="F19" i="18"/>
  <c r="F16" i="18"/>
  <c r="F13" i="18"/>
  <c r="F11" i="18"/>
  <c r="E31" i="18"/>
  <c r="E28" i="18"/>
  <c r="E26" i="18"/>
  <c r="E30" i="18" s="1"/>
  <c r="E23" i="18"/>
  <c r="E25" i="18" s="1"/>
  <c r="E20" i="18"/>
  <c r="E17" i="18"/>
  <c r="E15" i="18"/>
  <c r="E12" i="18"/>
  <c r="D32" i="18"/>
  <c r="D29" i="18"/>
  <c r="D27" i="18"/>
  <c r="D24" i="18"/>
  <c r="D21" i="18"/>
  <c r="D19" i="18"/>
  <c r="D16" i="18"/>
  <c r="D13" i="18"/>
  <c r="D11" i="18"/>
  <c r="C31" i="18"/>
  <c r="C28" i="18"/>
  <c r="C26" i="18"/>
  <c r="C23" i="18"/>
  <c r="C25" i="18" s="1"/>
  <c r="C20" i="18"/>
  <c r="C17" i="18"/>
  <c r="C15" i="18"/>
  <c r="C12" i="18"/>
  <c r="B32" i="18"/>
  <c r="B29" i="18"/>
  <c r="B27" i="18"/>
  <c r="B24" i="18"/>
  <c r="B21" i="18"/>
  <c r="B19" i="18"/>
  <c r="B16" i="18"/>
  <c r="B13" i="18"/>
  <c r="B11" i="18"/>
  <c r="H10" i="18"/>
  <c r="F10" i="18"/>
  <c r="D10" i="18"/>
  <c r="B10" i="18"/>
  <c r="H9" i="18"/>
  <c r="F9" i="18"/>
  <c r="D9" i="18"/>
  <c r="B9" i="18"/>
  <c r="H8" i="18"/>
  <c r="F8" i="18"/>
  <c r="D8" i="18"/>
  <c r="B8" i="18"/>
  <c r="C13" i="18"/>
  <c r="B31" i="18"/>
  <c r="B26" i="18"/>
  <c r="B20" i="18"/>
  <c r="B15" i="18"/>
  <c r="I10" i="18"/>
  <c r="E10" i="18"/>
  <c r="I9" i="18"/>
  <c r="E9" i="18"/>
  <c r="I8" i="18"/>
  <c r="E8" i="18"/>
  <c r="C11" i="18"/>
  <c r="B28" i="18"/>
  <c r="B23" i="18"/>
  <c r="B25" i="18" s="1"/>
  <c r="B17" i="18"/>
  <c r="B12" i="18"/>
  <c r="G10" i="18"/>
  <c r="C10" i="18"/>
  <c r="G9" i="18"/>
  <c r="C9" i="18"/>
  <c r="G8" i="18"/>
  <c r="C8" i="18"/>
  <c r="A2" i="16"/>
  <c r="Q3" i="16"/>
  <c r="A2" i="18"/>
  <c r="O36" i="18"/>
  <c r="R19" i="18"/>
  <c r="L2" i="18" s="1"/>
  <c r="N27" i="1" s="1"/>
  <c r="A2" i="17"/>
  <c r="P2" i="17" s="1"/>
  <c r="N31" i="1"/>
  <c r="I31" i="1"/>
  <c r="Q4" i="16"/>
  <c r="L21" i="15"/>
  <c r="M23" i="14"/>
  <c r="C21" i="15"/>
  <c r="B8" i="15"/>
  <c r="AD8" i="15" s="1"/>
  <c r="G3" i="15" s="1"/>
  <c r="I18" i="1" s="1"/>
  <c r="B8" i="14"/>
  <c r="C23" i="14"/>
  <c r="A2" i="10"/>
  <c r="U19" i="12"/>
  <c r="Y9" i="12"/>
  <c r="Y7" i="12"/>
  <c r="X9" i="12"/>
  <c r="X7" i="12"/>
  <c r="W9" i="12"/>
  <c r="W7" i="12"/>
  <c r="V9" i="12"/>
  <c r="V7" i="12"/>
  <c r="U10" i="12"/>
  <c r="U8" i="12"/>
  <c r="T10" i="12"/>
  <c r="T8" i="12"/>
  <c r="S10" i="12"/>
  <c r="S8" i="12"/>
  <c r="R10" i="12"/>
  <c r="R8" i="12"/>
  <c r="Q10" i="12"/>
  <c r="Q8" i="12"/>
  <c r="P10" i="12"/>
  <c r="P8" i="12"/>
  <c r="P6" i="12"/>
  <c r="O9" i="12"/>
  <c r="O7" i="12"/>
  <c r="N9" i="12"/>
  <c r="N7" i="12"/>
  <c r="M9" i="12"/>
  <c r="M7" i="12"/>
  <c r="L10" i="12"/>
  <c r="L8" i="12"/>
  <c r="K10" i="12"/>
  <c r="K8" i="12"/>
  <c r="K6" i="12"/>
  <c r="J9" i="12"/>
  <c r="J7" i="12"/>
  <c r="I9" i="12"/>
  <c r="I7" i="12"/>
  <c r="X6" i="12"/>
  <c r="U6" i="12"/>
  <c r="S6" i="12"/>
  <c r="Q6" i="12"/>
  <c r="N6" i="12"/>
  <c r="J6" i="12"/>
  <c r="F9" i="12"/>
  <c r="F7" i="12"/>
  <c r="E10" i="12"/>
  <c r="E8" i="12"/>
  <c r="E6" i="12"/>
  <c r="C10" i="12"/>
  <c r="C8" i="12"/>
  <c r="C6" i="12"/>
  <c r="B10" i="12"/>
  <c r="B8" i="12"/>
  <c r="B6" i="12"/>
  <c r="A2" i="11"/>
  <c r="D3" i="15"/>
  <c r="A2" i="13"/>
  <c r="G3" i="13" s="1"/>
  <c r="C19" i="12"/>
  <c r="Y10" i="12"/>
  <c r="Y8" i="12"/>
  <c r="X10" i="12"/>
  <c r="X8" i="12"/>
  <c r="W10" i="12"/>
  <c r="W8" i="12"/>
  <c r="V10" i="12"/>
  <c r="V8" i="12"/>
  <c r="V6" i="12"/>
  <c r="U9" i="12"/>
  <c r="U7" i="12"/>
  <c r="T9" i="12"/>
  <c r="T7" i="12"/>
  <c r="S9" i="12"/>
  <c r="S7" i="12"/>
  <c r="R9" i="12"/>
  <c r="R7" i="12"/>
  <c r="Q9" i="12"/>
  <c r="Q7" i="12"/>
  <c r="P9" i="12"/>
  <c r="P7" i="12"/>
  <c r="O10" i="12"/>
  <c r="O8" i="12"/>
  <c r="N10" i="12"/>
  <c r="N8" i="12"/>
  <c r="M10" i="12"/>
  <c r="M8" i="12"/>
  <c r="M6" i="12"/>
  <c r="L9" i="12"/>
  <c r="L7" i="12"/>
  <c r="K9" i="12"/>
  <c r="K7" i="12"/>
  <c r="J10" i="12"/>
  <c r="J8" i="12"/>
  <c r="I10" i="12"/>
  <c r="I8" i="12"/>
  <c r="Y6" i="12"/>
  <c r="W6" i="12"/>
  <c r="T6" i="12"/>
  <c r="R6" i="12"/>
  <c r="O6" i="12"/>
  <c r="L6" i="12"/>
  <c r="I6" i="12"/>
  <c r="F10" i="12"/>
  <c r="F8" i="12"/>
  <c r="F6" i="12"/>
  <c r="E9" i="12"/>
  <c r="E7" i="12"/>
  <c r="C9" i="12"/>
  <c r="C7" i="12"/>
  <c r="B9" i="12"/>
  <c r="B7" i="12"/>
  <c r="A2" i="12"/>
  <c r="I8" i="11"/>
  <c r="R13" i="11"/>
  <c r="R11" i="11"/>
  <c r="R9" i="11"/>
  <c r="R7" i="11"/>
  <c r="Q12" i="11"/>
  <c r="Q10" i="11"/>
  <c r="Q8" i="11"/>
  <c r="P13" i="11"/>
  <c r="P11" i="11"/>
  <c r="P9" i="11"/>
  <c r="P7" i="11"/>
  <c r="O12" i="11"/>
  <c r="O10" i="11"/>
  <c r="O8" i="11"/>
  <c r="N13" i="11"/>
  <c r="N11" i="11"/>
  <c r="N9" i="11"/>
  <c r="N7" i="11"/>
  <c r="J31" i="11"/>
  <c r="J28" i="11"/>
  <c r="J26" i="11"/>
  <c r="J23" i="11"/>
  <c r="J20" i="11"/>
  <c r="J17" i="11"/>
  <c r="J15" i="11"/>
  <c r="J12" i="11"/>
  <c r="I31" i="11"/>
  <c r="I28" i="11"/>
  <c r="I26" i="11"/>
  <c r="I23" i="11"/>
  <c r="I20" i="11"/>
  <c r="I17" i="11"/>
  <c r="I15" i="11"/>
  <c r="I12" i="11"/>
  <c r="H31" i="11"/>
  <c r="H28" i="11"/>
  <c r="H26" i="11"/>
  <c r="H23" i="11"/>
  <c r="H20" i="11"/>
  <c r="H17" i="11"/>
  <c r="H15" i="11"/>
  <c r="H12" i="11"/>
  <c r="G31" i="11"/>
  <c r="G28" i="11"/>
  <c r="G26" i="11"/>
  <c r="G23" i="11"/>
  <c r="G20" i="11"/>
  <c r="G17" i="11"/>
  <c r="G15" i="11"/>
  <c r="G12" i="11"/>
  <c r="F31" i="11"/>
  <c r="F28" i="11"/>
  <c r="F26" i="11"/>
  <c r="F23" i="11"/>
  <c r="F20" i="11"/>
  <c r="F17" i="11"/>
  <c r="F15" i="11"/>
  <c r="F12" i="11"/>
  <c r="E31" i="11"/>
  <c r="E28" i="11"/>
  <c r="E26" i="11"/>
  <c r="E23" i="11"/>
  <c r="E20" i="11"/>
  <c r="E17" i="11"/>
  <c r="E15" i="11"/>
  <c r="E12" i="11"/>
  <c r="D31" i="11"/>
  <c r="D28" i="11"/>
  <c r="D26" i="11"/>
  <c r="D23" i="11"/>
  <c r="D20" i="11"/>
  <c r="D17" i="11"/>
  <c r="D15" i="11"/>
  <c r="D12" i="11"/>
  <c r="C31" i="11"/>
  <c r="C28" i="11"/>
  <c r="C26" i="11"/>
  <c r="C23" i="11"/>
  <c r="C20" i="11"/>
  <c r="C17" i="11"/>
  <c r="C15" i="11"/>
  <c r="C12" i="11"/>
  <c r="B31" i="11"/>
  <c r="B28" i="11"/>
  <c r="K28" i="11" s="1"/>
  <c r="B26" i="11"/>
  <c r="B23" i="11"/>
  <c r="B20" i="11"/>
  <c r="K20" i="11" s="1"/>
  <c r="B17" i="11"/>
  <c r="B15" i="11"/>
  <c r="B12" i="11"/>
  <c r="I11" i="11"/>
  <c r="G11" i="11"/>
  <c r="E11" i="11"/>
  <c r="C11" i="11"/>
  <c r="J9" i="11"/>
  <c r="H9" i="11"/>
  <c r="G8" i="11"/>
  <c r="E8" i="11"/>
  <c r="C8" i="11"/>
  <c r="F9" i="11"/>
  <c r="D9" i="11"/>
  <c r="B9" i="11"/>
  <c r="J8" i="11"/>
  <c r="H8" i="11"/>
  <c r="AA6" i="10"/>
  <c r="R12" i="11"/>
  <c r="R10" i="11"/>
  <c r="R8" i="11"/>
  <c r="Q13" i="11"/>
  <c r="Q11" i="11"/>
  <c r="Q9" i="11"/>
  <c r="Q7" i="11"/>
  <c r="P12" i="11"/>
  <c r="P10" i="11"/>
  <c r="P8" i="11"/>
  <c r="O13" i="11"/>
  <c r="O11" i="11"/>
  <c r="O9" i="11"/>
  <c r="O7" i="11"/>
  <c r="N12" i="11"/>
  <c r="N10" i="11"/>
  <c r="N8" i="11"/>
  <c r="J32" i="11"/>
  <c r="J29" i="11"/>
  <c r="J24" i="11"/>
  <c r="J21" i="11"/>
  <c r="J19" i="11"/>
  <c r="J22" i="11" s="1"/>
  <c r="J16" i="11"/>
  <c r="J13" i="11"/>
  <c r="I32" i="11"/>
  <c r="I29" i="11"/>
  <c r="I24" i="11"/>
  <c r="I21" i="11"/>
  <c r="I19" i="11"/>
  <c r="I16" i="11"/>
  <c r="I13" i="11"/>
  <c r="H32" i="11"/>
  <c r="H29" i="11"/>
  <c r="H24" i="11"/>
  <c r="H21" i="11"/>
  <c r="H19" i="11"/>
  <c r="H16" i="11"/>
  <c r="H13" i="11"/>
  <c r="G32" i="11"/>
  <c r="G29" i="11"/>
  <c r="G24" i="11"/>
  <c r="G21" i="11"/>
  <c r="G19" i="11"/>
  <c r="G16" i="11"/>
  <c r="G13" i="11"/>
  <c r="F32" i="11"/>
  <c r="F29" i="11"/>
  <c r="F24" i="11"/>
  <c r="F21" i="11"/>
  <c r="F19" i="11"/>
  <c r="F22" i="11" s="1"/>
  <c r="F16" i="11"/>
  <c r="F13" i="11"/>
  <c r="E32" i="11"/>
  <c r="E29" i="11"/>
  <c r="E24" i="11"/>
  <c r="E21" i="11"/>
  <c r="E19" i="11"/>
  <c r="E16" i="11"/>
  <c r="E13" i="11"/>
  <c r="D32" i="11"/>
  <c r="D29" i="11"/>
  <c r="D24" i="11"/>
  <c r="D21" i="11"/>
  <c r="D19" i="11"/>
  <c r="D16" i="11"/>
  <c r="D13" i="11"/>
  <c r="C32" i="11"/>
  <c r="C29" i="11"/>
  <c r="C24" i="11"/>
  <c r="C21" i="11"/>
  <c r="C19" i="11"/>
  <c r="C16" i="11"/>
  <c r="C13" i="11"/>
  <c r="B32" i="11"/>
  <c r="B29" i="11"/>
  <c r="K27" i="11"/>
  <c r="B24" i="11"/>
  <c r="B21" i="11"/>
  <c r="B19" i="11"/>
  <c r="B16" i="11"/>
  <c r="B13" i="11"/>
  <c r="J11" i="11"/>
  <c r="J14" i="11" s="1"/>
  <c r="H11" i="11"/>
  <c r="F11" i="11"/>
  <c r="F14" i="11" s="1"/>
  <c r="D11" i="11"/>
  <c r="B11" i="11"/>
  <c r="G9" i="11"/>
  <c r="I9" i="11"/>
  <c r="F8" i="11"/>
  <c r="D8" i="11"/>
  <c r="B8" i="11"/>
  <c r="E9" i="11"/>
  <c r="C9" i="11"/>
  <c r="S19" i="11"/>
  <c r="M2" i="11" s="1"/>
  <c r="I27" i="1" s="1"/>
  <c r="I32" i="8"/>
  <c r="G3" i="6"/>
  <c r="D15" i="1" s="1"/>
  <c r="B9" i="8"/>
  <c r="W9" i="8" s="1"/>
  <c r="W11" i="8" s="1"/>
  <c r="B9" i="7"/>
  <c r="A2" i="6"/>
  <c r="A2" i="2"/>
  <c r="A2" i="4"/>
  <c r="A2" i="5"/>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7" i="2"/>
  <c r="W9" i="2"/>
  <c r="W11" i="2"/>
  <c r="W13" i="2"/>
  <c r="W15" i="2"/>
  <c r="W17" i="2"/>
  <c r="W19" i="2"/>
  <c r="W21" i="2"/>
  <c r="W23" i="2"/>
  <c r="W25" i="2"/>
  <c r="W27" i="2"/>
  <c r="W29" i="2"/>
  <c r="W31" i="2"/>
  <c r="W33" i="2"/>
  <c r="W35" i="2"/>
  <c r="W37" i="2"/>
  <c r="W39" i="2"/>
  <c r="W41" i="2"/>
  <c r="W43" i="2"/>
  <c r="W45" i="2"/>
  <c r="W47" i="2"/>
  <c r="W49" i="2"/>
  <c r="W51" i="2"/>
  <c r="W53" i="2"/>
  <c r="W55" i="2"/>
  <c r="W57" i="2"/>
  <c r="W59" i="2"/>
  <c r="W61" i="2"/>
  <c r="W63" i="2"/>
  <c r="W65" i="2"/>
  <c r="W67" i="2"/>
  <c r="W69" i="2"/>
  <c r="W71" i="2"/>
  <c r="W73" i="2"/>
  <c r="W75" i="2"/>
  <c r="W77" i="2"/>
  <c r="W79" i="2"/>
  <c r="W81" i="2"/>
  <c r="W83" i="2"/>
  <c r="W85" i="2"/>
  <c r="W87" i="2"/>
  <c r="W89" i="2"/>
  <c r="W91" i="2"/>
  <c r="W93" i="2"/>
  <c r="W95" i="2"/>
  <c r="W97" i="2"/>
  <c r="W99" i="2"/>
  <c r="W101" i="2"/>
  <c r="W103" i="2"/>
  <c r="W105" i="2"/>
  <c r="W107" i="2"/>
  <c r="W109" i="2"/>
  <c r="W111" i="2"/>
  <c r="W113" i="2"/>
  <c r="W115" i="2"/>
  <c r="W117" i="2"/>
  <c r="W119" i="2"/>
  <c r="W121" i="2"/>
  <c r="W123" i="2"/>
  <c r="W125" i="2"/>
  <c r="W127" i="2"/>
  <c r="W129" i="2"/>
  <c r="W131" i="2"/>
  <c r="W133" i="2"/>
  <c r="W135" i="2"/>
  <c r="W137" i="2"/>
  <c r="W139" i="2"/>
  <c r="W141" i="2"/>
  <c r="W143" i="2"/>
  <c r="W145" i="2"/>
  <c r="W147" i="2"/>
  <c r="W149" i="2"/>
  <c r="W151" i="2"/>
  <c r="W153" i="2"/>
  <c r="W155" i="2"/>
  <c r="W157" i="2"/>
  <c r="W159" i="2"/>
  <c r="W161" i="2"/>
  <c r="W163" i="2"/>
  <c r="W165" i="2"/>
  <c r="W167" i="2"/>
  <c r="W169" i="2"/>
  <c r="W171" i="2"/>
  <c r="W173" i="2"/>
  <c r="W175" i="2"/>
  <c r="W177" i="2"/>
  <c r="W179" i="2"/>
  <c r="W181" i="2"/>
  <c r="W183" i="2"/>
  <c r="W185" i="2"/>
  <c r="W187" i="2"/>
  <c r="W189" i="2"/>
  <c r="W191" i="2"/>
  <c r="W193" i="2"/>
  <c r="W195" i="2"/>
  <c r="W197" i="2"/>
  <c r="W199" i="2"/>
  <c r="W201" i="2"/>
  <c r="W203" i="2"/>
  <c r="W205" i="2"/>
  <c r="W207" i="2"/>
  <c r="W209" i="2"/>
  <c r="W211" i="2"/>
  <c r="W213" i="2"/>
  <c r="W215" i="2"/>
  <c r="W217" i="2"/>
  <c r="W219" i="2"/>
  <c r="W221" i="2"/>
  <c r="W223" i="2"/>
  <c r="W225" i="2"/>
  <c r="W227" i="2"/>
  <c r="W229" i="2"/>
  <c r="W231" i="2"/>
  <c r="W233" i="2"/>
  <c r="W235" i="2"/>
  <c r="W237" i="2"/>
  <c r="W239" i="2"/>
  <c r="W241" i="2"/>
  <c r="W243" i="2"/>
  <c r="W245" i="2"/>
  <c r="W247" i="2"/>
  <c r="W249" i="2"/>
  <c r="W251" i="2"/>
  <c r="W253" i="2"/>
  <c r="W255" i="2"/>
  <c r="W257" i="2"/>
  <c r="W259" i="2"/>
  <c r="W261" i="2"/>
  <c r="W263" i="2"/>
  <c r="W265" i="2"/>
  <c r="W267" i="2"/>
  <c r="W269" i="2"/>
  <c r="W271" i="2"/>
  <c r="W273" i="2"/>
  <c r="W275" i="2"/>
  <c r="W277" i="2"/>
  <c r="W279" i="2"/>
  <c r="W281" i="2"/>
  <c r="W283" i="2"/>
  <c r="W285" i="2"/>
  <c r="W287" i="2"/>
  <c r="W289" i="2"/>
  <c r="W291" i="2"/>
  <c r="W293" i="2"/>
  <c r="W295" i="2"/>
  <c r="W297" i="2"/>
  <c r="W299" i="2"/>
  <c r="W301" i="2"/>
  <c r="W303" i="2"/>
  <c r="W305" i="2"/>
  <c r="W307" i="2"/>
  <c r="W309" i="2"/>
  <c r="W311" i="2"/>
  <c r="W313" i="2"/>
  <c r="W315" i="2"/>
  <c r="W317" i="2"/>
  <c r="W319" i="2"/>
  <c r="W321" i="2"/>
  <c r="W323" i="2"/>
  <c r="W325" i="2"/>
  <c r="W327" i="2"/>
  <c r="W329" i="2"/>
  <c r="W331" i="2"/>
  <c r="W333" i="2"/>
  <c r="W335" i="2"/>
  <c r="W337" i="2"/>
  <c r="W339" i="2"/>
  <c r="W341" i="2"/>
  <c r="W343" i="2"/>
  <c r="W345" i="2"/>
  <c r="W347" i="2"/>
  <c r="W349" i="2"/>
  <c r="W351" i="2"/>
  <c r="W353" i="2"/>
  <c r="W355" i="2"/>
  <c r="W357" i="2"/>
  <c r="W359" i="2"/>
  <c r="W361" i="2"/>
  <c r="W363" i="2"/>
  <c r="W365" i="2"/>
  <c r="W367" i="2"/>
  <c r="W369" i="2"/>
  <c r="W371" i="2"/>
  <c r="W373" i="2"/>
  <c r="W8" i="2"/>
  <c r="W10" i="2"/>
  <c r="W12" i="2"/>
  <c r="W14" i="2"/>
  <c r="W16" i="2"/>
  <c r="W18" i="2"/>
  <c r="W20" i="2"/>
  <c r="W22" i="2"/>
  <c r="W24" i="2"/>
  <c r="W26" i="2"/>
  <c r="W28" i="2"/>
  <c r="W30" i="2"/>
  <c r="W32" i="2"/>
  <c r="W34" i="2"/>
  <c r="W36" i="2"/>
  <c r="W38" i="2"/>
  <c r="W40" i="2"/>
  <c r="W42" i="2"/>
  <c r="W44" i="2"/>
  <c r="W46" i="2"/>
  <c r="W48" i="2"/>
  <c r="W52" i="2"/>
  <c r="W56" i="2"/>
  <c r="W60" i="2"/>
  <c r="W64" i="2"/>
  <c r="W68" i="2"/>
  <c r="W72" i="2"/>
  <c r="W76" i="2"/>
  <c r="W80" i="2"/>
  <c r="W84" i="2"/>
  <c r="W88" i="2"/>
  <c r="W92" i="2"/>
  <c r="W96" i="2"/>
  <c r="W100" i="2"/>
  <c r="W104" i="2"/>
  <c r="W108" i="2"/>
  <c r="W112" i="2"/>
  <c r="W116" i="2"/>
  <c r="W120" i="2"/>
  <c r="W124" i="2"/>
  <c r="W128" i="2"/>
  <c r="W132" i="2"/>
  <c r="W136" i="2"/>
  <c r="W140" i="2"/>
  <c r="W144" i="2"/>
  <c r="W148" i="2"/>
  <c r="W152" i="2"/>
  <c r="W156" i="2"/>
  <c r="W160" i="2"/>
  <c r="W164" i="2"/>
  <c r="W168" i="2"/>
  <c r="W172" i="2"/>
  <c r="W176" i="2"/>
  <c r="W180" i="2"/>
  <c r="W184" i="2"/>
  <c r="W188" i="2"/>
  <c r="W192" i="2"/>
  <c r="W196" i="2"/>
  <c r="W200" i="2"/>
  <c r="W204" i="2"/>
  <c r="W208" i="2"/>
  <c r="W212" i="2"/>
  <c r="W216" i="2"/>
  <c r="W220" i="2"/>
  <c r="W224" i="2"/>
  <c r="W228" i="2"/>
  <c r="W232" i="2"/>
  <c r="W236" i="2"/>
  <c r="W240" i="2"/>
  <c r="W244" i="2"/>
  <c r="W248" i="2"/>
  <c r="W252" i="2"/>
  <c r="W256" i="2"/>
  <c r="W260" i="2"/>
  <c r="W264" i="2"/>
  <c r="W268" i="2"/>
  <c r="W272" i="2"/>
  <c r="W276" i="2"/>
  <c r="W280" i="2"/>
  <c r="W284" i="2"/>
  <c r="W288" i="2"/>
  <c r="W292" i="2"/>
  <c r="W296" i="2"/>
  <c r="W300" i="2"/>
  <c r="W304" i="2"/>
  <c r="W308" i="2"/>
  <c r="W312" i="2"/>
  <c r="W316" i="2"/>
  <c r="W320" i="2"/>
  <c r="W324" i="2"/>
  <c r="W328" i="2"/>
  <c r="W332" i="2"/>
  <c r="W336" i="2"/>
  <c r="W340" i="2"/>
  <c r="W344" i="2"/>
  <c r="W348" i="2"/>
  <c r="W352" i="2"/>
  <c r="W356" i="2"/>
  <c r="W360" i="2"/>
  <c r="W364" i="2"/>
  <c r="W368" i="2"/>
  <c r="W372" i="2"/>
  <c r="W375" i="2"/>
  <c r="W377" i="2"/>
  <c r="W379" i="2"/>
  <c r="W381" i="2"/>
  <c r="W383" i="2"/>
  <c r="W385" i="2"/>
  <c r="W387" i="2"/>
  <c r="W389" i="2"/>
  <c r="W391" i="2"/>
  <c r="W393" i="2"/>
  <c r="W395" i="2"/>
  <c r="W397" i="2"/>
  <c r="W399" i="2"/>
  <c r="W401" i="2"/>
  <c r="W403" i="2"/>
  <c r="W405" i="2"/>
  <c r="W407" i="2"/>
  <c r="W409" i="2"/>
  <c r="W411" i="2"/>
  <c r="W413" i="2"/>
  <c r="W415" i="2"/>
  <c r="W417" i="2"/>
  <c r="W419" i="2"/>
  <c r="W421" i="2"/>
  <c r="W423" i="2"/>
  <c r="W425" i="2"/>
  <c r="W427" i="2"/>
  <c r="W429" i="2"/>
  <c r="W431" i="2"/>
  <c r="W433" i="2"/>
  <c r="W435" i="2"/>
  <c r="W437" i="2"/>
  <c r="W439" i="2"/>
  <c r="W441" i="2"/>
  <c r="W443" i="2"/>
  <c r="W445" i="2"/>
  <c r="W447" i="2"/>
  <c r="W449" i="2"/>
  <c r="W451" i="2"/>
  <c r="W453" i="2"/>
  <c r="W455" i="2"/>
  <c r="W457" i="2"/>
  <c r="W459" i="2"/>
  <c r="W461" i="2"/>
  <c r="W463" i="2"/>
  <c r="W465" i="2"/>
  <c r="W467" i="2"/>
  <c r="W469" i="2"/>
  <c r="W471" i="2"/>
  <c r="W473" i="2"/>
  <c r="W475" i="2"/>
  <c r="W477" i="2"/>
  <c r="W479" i="2"/>
  <c r="W481" i="2"/>
  <c r="W483" i="2"/>
  <c r="W485" i="2"/>
  <c r="W487" i="2"/>
  <c r="W489" i="2"/>
  <c r="W491" i="2"/>
  <c r="W493" i="2"/>
  <c r="W495" i="2"/>
  <c r="W497" i="2"/>
  <c r="W50" i="2"/>
  <c r="W54" i="2"/>
  <c r="W58" i="2"/>
  <c r="W62" i="2"/>
  <c r="W66" i="2"/>
  <c r="W70" i="2"/>
  <c r="W74" i="2"/>
  <c r="W78" i="2"/>
  <c r="W82" i="2"/>
  <c r="W86" i="2"/>
  <c r="W90" i="2"/>
  <c r="W94" i="2"/>
  <c r="W98" i="2"/>
  <c r="W102" i="2"/>
  <c r="W106" i="2"/>
  <c r="W110" i="2"/>
  <c r="W114" i="2"/>
  <c r="W118" i="2"/>
  <c r="W122" i="2"/>
  <c r="W126" i="2"/>
  <c r="W130" i="2"/>
  <c r="W134" i="2"/>
  <c r="W138" i="2"/>
  <c r="W142" i="2"/>
  <c r="W146" i="2"/>
  <c r="W150" i="2"/>
  <c r="W154" i="2"/>
  <c r="W158" i="2"/>
  <c r="W162" i="2"/>
  <c r="W166" i="2"/>
  <c r="W170" i="2"/>
  <c r="W174" i="2"/>
  <c r="W178" i="2"/>
  <c r="W182" i="2"/>
  <c r="W186" i="2"/>
  <c r="W190" i="2"/>
  <c r="W194" i="2"/>
  <c r="W198" i="2"/>
  <c r="W202" i="2"/>
  <c r="W206" i="2"/>
  <c r="W210" i="2"/>
  <c r="W214" i="2"/>
  <c r="W218" i="2"/>
  <c r="W222" i="2"/>
  <c r="W226" i="2"/>
  <c r="W230" i="2"/>
  <c r="W234" i="2"/>
  <c r="W238" i="2"/>
  <c r="W242" i="2"/>
  <c r="W246" i="2"/>
  <c r="W250" i="2"/>
  <c r="W254" i="2"/>
  <c r="W258" i="2"/>
  <c r="W262" i="2"/>
  <c r="W266" i="2"/>
  <c r="W270" i="2"/>
  <c r="W274" i="2"/>
  <c r="W278" i="2"/>
  <c r="W282" i="2"/>
  <c r="W286" i="2"/>
  <c r="W290" i="2"/>
  <c r="W294" i="2"/>
  <c r="W298" i="2"/>
  <c r="W302" i="2"/>
  <c r="W306" i="2"/>
  <c r="W310" i="2"/>
  <c r="W314" i="2"/>
  <c r="W318" i="2"/>
  <c r="W322" i="2"/>
  <c r="W326" i="2"/>
  <c r="W330" i="2"/>
  <c r="W334" i="2"/>
  <c r="W338" i="2"/>
  <c r="W342" i="2"/>
  <c r="W346" i="2"/>
  <c r="W350" i="2"/>
  <c r="W354" i="2"/>
  <c r="W358" i="2"/>
  <c r="W362" i="2"/>
  <c r="W366" i="2"/>
  <c r="W370" i="2"/>
  <c r="W374" i="2"/>
  <c r="W376" i="2"/>
  <c r="W378" i="2"/>
  <c r="W380" i="2"/>
  <c r="W382" i="2"/>
  <c r="W384" i="2"/>
  <c r="W386" i="2"/>
  <c r="W388" i="2"/>
  <c r="W390" i="2"/>
  <c r="W392" i="2"/>
  <c r="W394" i="2"/>
  <c r="W396" i="2"/>
  <c r="W398" i="2"/>
  <c r="W400" i="2"/>
  <c r="W402" i="2"/>
  <c r="W404" i="2"/>
  <c r="W406" i="2"/>
  <c r="W408" i="2"/>
  <c r="W410" i="2"/>
  <c r="W412" i="2"/>
  <c r="W414" i="2"/>
  <c r="W416" i="2"/>
  <c r="W418" i="2"/>
  <c r="W420" i="2"/>
  <c r="W422" i="2"/>
  <c r="W424" i="2"/>
  <c r="W426" i="2"/>
  <c r="W428" i="2"/>
  <c r="W430" i="2"/>
  <c r="W432" i="2"/>
  <c r="W434" i="2"/>
  <c r="W436" i="2"/>
  <c r="W438" i="2"/>
  <c r="W440" i="2"/>
  <c r="W442" i="2"/>
  <c r="W444" i="2"/>
  <c r="W446" i="2"/>
  <c r="W448" i="2"/>
  <c r="W450" i="2"/>
  <c r="W452" i="2"/>
  <c r="W454" i="2"/>
  <c r="W456" i="2"/>
  <c r="W458" i="2"/>
  <c r="W460" i="2"/>
  <c r="W462" i="2"/>
  <c r="W464" i="2"/>
  <c r="W466" i="2"/>
  <c r="W468" i="2"/>
  <c r="W470" i="2"/>
  <c r="W472" i="2"/>
  <c r="W474" i="2"/>
  <c r="W476" i="2"/>
  <c r="W478" i="2"/>
  <c r="W480" i="2"/>
  <c r="W482" i="2"/>
  <c r="W484" i="2"/>
  <c r="W486" i="2"/>
  <c r="W488" i="2"/>
  <c r="W490" i="2"/>
  <c r="W492" i="2"/>
  <c r="W494" i="2"/>
  <c r="W496" i="2"/>
  <c r="W498" i="2"/>
  <c r="H22" i="11" l="1"/>
  <c r="I30" i="18"/>
  <c r="H14" i="11"/>
  <c r="J8" i="18"/>
  <c r="B18" i="11"/>
  <c r="C18" i="11"/>
  <c r="D18" i="11"/>
  <c r="E18" i="11"/>
  <c r="F18" i="11"/>
  <c r="G18" i="11"/>
  <c r="H18" i="11"/>
  <c r="I18" i="11"/>
  <c r="J18" i="11"/>
  <c r="C14" i="18"/>
  <c r="K26" i="11"/>
  <c r="B30" i="11"/>
  <c r="C30" i="11"/>
  <c r="D30" i="11"/>
  <c r="E30" i="11"/>
  <c r="F30" i="11"/>
  <c r="G30" i="11"/>
  <c r="H30" i="11"/>
  <c r="I30" i="11"/>
  <c r="J30" i="11"/>
  <c r="E22" i="11"/>
  <c r="B22" i="11"/>
  <c r="C22" i="11"/>
  <c r="K23" i="11"/>
  <c r="B25" i="11"/>
  <c r="C25" i="11"/>
  <c r="D25" i="11"/>
  <c r="E25" i="11"/>
  <c r="F25" i="11"/>
  <c r="G25" i="11"/>
  <c r="H25" i="11"/>
  <c r="I25" i="11"/>
  <c r="J25" i="11"/>
  <c r="G22" i="11"/>
  <c r="D22" i="11"/>
  <c r="I22" i="11"/>
  <c r="E14" i="11"/>
  <c r="G14" i="11"/>
  <c r="I14" i="11"/>
  <c r="B14" i="11"/>
  <c r="D14" i="11"/>
  <c r="D7" i="11" s="1"/>
  <c r="C14" i="11"/>
  <c r="B22" i="18"/>
  <c r="B30" i="18"/>
  <c r="D25" i="18"/>
  <c r="C30" i="18"/>
  <c r="D30" i="18"/>
  <c r="F25" i="18"/>
  <c r="F30" i="18"/>
  <c r="H25" i="18"/>
  <c r="G30" i="18"/>
  <c r="H30" i="18"/>
  <c r="D14" i="18"/>
  <c r="E18" i="18"/>
  <c r="H22" i="18"/>
  <c r="C22" i="18"/>
  <c r="D22" i="18"/>
  <c r="E22" i="18"/>
  <c r="F22" i="18"/>
  <c r="G22" i="18"/>
  <c r="I22" i="18"/>
  <c r="B14" i="18"/>
  <c r="C18" i="18"/>
  <c r="F14" i="18"/>
  <c r="D18" i="18"/>
  <c r="F18" i="18"/>
  <c r="G18" i="18"/>
  <c r="H18" i="18"/>
  <c r="I18" i="18"/>
  <c r="B18" i="18"/>
  <c r="E14" i="18"/>
  <c r="E7" i="18" s="1"/>
  <c r="G14" i="18"/>
  <c r="H14" i="18"/>
  <c r="I14" i="18"/>
  <c r="G7" i="12"/>
  <c r="G6" i="12"/>
  <c r="G9" i="12"/>
  <c r="G8" i="12"/>
  <c r="H8" i="12" s="1"/>
  <c r="Z8" i="12" s="1"/>
  <c r="G10" i="12"/>
  <c r="G7" i="19"/>
  <c r="H7" i="19" s="1"/>
  <c r="Z7" i="19" s="1"/>
  <c r="G9" i="19"/>
  <c r="H9" i="19" s="1"/>
  <c r="H6" i="19"/>
  <c r="G8" i="19"/>
  <c r="H8" i="19" s="1"/>
  <c r="Z8" i="19" s="1"/>
  <c r="K15" i="11"/>
  <c r="K17" i="11"/>
  <c r="K31" i="11"/>
  <c r="J28" i="18"/>
  <c r="J15" i="18"/>
  <c r="J26" i="18"/>
  <c r="J17" i="18"/>
  <c r="K12" i="11"/>
  <c r="J24" i="18"/>
  <c r="J31" i="18"/>
  <c r="J23" i="18"/>
  <c r="B6" i="2"/>
  <c r="C10" i="4"/>
  <c r="B10" i="4"/>
  <c r="E10" i="4"/>
  <c r="H10" i="4"/>
  <c r="G10" i="4"/>
  <c r="F10" i="4"/>
  <c r="D10" i="4"/>
  <c r="J20" i="18"/>
  <c r="J29" i="18"/>
  <c r="J16" i="18"/>
  <c r="K13" i="11"/>
  <c r="C4" i="24"/>
  <c r="V1" i="7"/>
  <c r="J19" i="18"/>
  <c r="J12" i="18"/>
  <c r="J21" i="18"/>
  <c r="J27" i="18"/>
  <c r="N12" i="1"/>
  <c r="H2" i="17"/>
  <c r="AJ8" i="22"/>
  <c r="G3" i="22" s="1"/>
  <c r="N18" i="1" s="1"/>
  <c r="B498" i="2"/>
  <c r="B490" i="2"/>
  <c r="B482" i="2"/>
  <c r="B496" i="2"/>
  <c r="B492" i="2"/>
  <c r="B488" i="2"/>
  <c r="B484" i="2"/>
  <c r="B480" i="2"/>
  <c r="B476" i="2"/>
  <c r="B472" i="2"/>
  <c r="B468" i="2"/>
  <c r="B464" i="2"/>
  <c r="B460" i="2"/>
  <c r="B456" i="2"/>
  <c r="B452" i="2"/>
  <c r="B448" i="2"/>
  <c r="B444" i="2"/>
  <c r="B440" i="2"/>
  <c r="B436" i="2"/>
  <c r="B432" i="2"/>
  <c r="B428" i="2"/>
  <c r="B424" i="2"/>
  <c r="B420" i="2"/>
  <c r="B416" i="2"/>
  <c r="B412" i="2"/>
  <c r="B408" i="2"/>
  <c r="B404" i="2"/>
  <c r="B400" i="2"/>
  <c r="B396" i="2"/>
  <c r="B392" i="2"/>
  <c r="B388" i="2"/>
  <c r="B384" i="2"/>
  <c r="B380" i="2"/>
  <c r="B376" i="2"/>
  <c r="B370" i="2"/>
  <c r="B362" i="2"/>
  <c r="B354" i="2"/>
  <c r="B346" i="2"/>
  <c r="B338" i="2"/>
  <c r="B330" i="2"/>
  <c r="B322" i="2"/>
  <c r="B314" i="2"/>
  <c r="B306" i="2"/>
  <c r="B298" i="2"/>
  <c r="B290" i="2"/>
  <c r="B282" i="2"/>
  <c r="B274" i="2"/>
  <c r="B266" i="2"/>
  <c r="B258" i="2"/>
  <c r="B250" i="2"/>
  <c r="B242" i="2"/>
  <c r="B234" i="2"/>
  <c r="B226" i="2"/>
  <c r="B218" i="2"/>
  <c r="B210" i="2"/>
  <c r="B202" i="2"/>
  <c r="B194" i="2"/>
  <c r="B186" i="2"/>
  <c r="B178" i="2"/>
  <c r="B170" i="2"/>
  <c r="B162" i="2"/>
  <c r="B154" i="2"/>
  <c r="B146" i="2"/>
  <c r="B138" i="2"/>
  <c r="B130" i="2"/>
  <c r="B122" i="2"/>
  <c r="B114" i="2"/>
  <c r="B106" i="2"/>
  <c r="B98" i="2"/>
  <c r="B90" i="2"/>
  <c r="B82" i="2"/>
  <c r="B74" i="2"/>
  <c r="B66" i="2"/>
  <c r="B58" i="2"/>
  <c r="B50" i="2"/>
  <c r="B495" i="2"/>
  <c r="B491" i="2"/>
  <c r="B487" i="2"/>
  <c r="B483" i="2"/>
  <c r="B479" i="2"/>
  <c r="B475" i="2"/>
  <c r="B471" i="2"/>
  <c r="B467" i="2"/>
  <c r="B463" i="2"/>
  <c r="B459" i="2"/>
  <c r="B455" i="2"/>
  <c r="B451" i="2"/>
  <c r="B447" i="2"/>
  <c r="B443" i="2"/>
  <c r="B439" i="2"/>
  <c r="B435" i="2"/>
  <c r="B431" i="2"/>
  <c r="B427" i="2"/>
  <c r="B423" i="2"/>
  <c r="B419" i="2"/>
  <c r="B415" i="2"/>
  <c r="B411" i="2"/>
  <c r="B407" i="2"/>
  <c r="B403" i="2"/>
  <c r="B399" i="2"/>
  <c r="B395" i="2"/>
  <c r="B391" i="2"/>
  <c r="B387" i="2"/>
  <c r="B383" i="2"/>
  <c r="B379" i="2"/>
  <c r="B375" i="2"/>
  <c r="B368" i="2"/>
  <c r="B360" i="2"/>
  <c r="B352" i="2"/>
  <c r="B344" i="2"/>
  <c r="B336" i="2"/>
  <c r="B328" i="2"/>
  <c r="B320" i="2"/>
  <c r="B312" i="2"/>
  <c r="B304" i="2"/>
  <c r="B296" i="2"/>
  <c r="B288" i="2"/>
  <c r="B280" i="2"/>
  <c r="B272" i="2"/>
  <c r="B264" i="2"/>
  <c r="B256" i="2"/>
  <c r="B248" i="2"/>
  <c r="B240" i="2"/>
  <c r="B232" i="2"/>
  <c r="B224" i="2"/>
  <c r="B216" i="2"/>
  <c r="B208" i="2"/>
  <c r="B200" i="2"/>
  <c r="B192" i="2"/>
  <c r="B184" i="2"/>
  <c r="B176" i="2"/>
  <c r="B168" i="2"/>
  <c r="B160" i="2"/>
  <c r="B152" i="2"/>
  <c r="B144" i="2"/>
  <c r="B136" i="2"/>
  <c r="B128" i="2"/>
  <c r="B120" i="2"/>
  <c r="B112" i="2"/>
  <c r="B104" i="2"/>
  <c r="B96" i="2"/>
  <c r="B88" i="2"/>
  <c r="B80" i="2"/>
  <c r="B72" i="2"/>
  <c r="B64" i="2"/>
  <c r="B56" i="2"/>
  <c r="B48" i="2"/>
  <c r="B44" i="2"/>
  <c r="B40" i="2"/>
  <c r="B36" i="2"/>
  <c r="B32" i="2"/>
  <c r="B28" i="2"/>
  <c r="B24" i="2"/>
  <c r="B20" i="2"/>
  <c r="B16" i="2"/>
  <c r="B12" i="2"/>
  <c r="B8" i="2"/>
  <c r="B371" i="2"/>
  <c r="B367" i="2"/>
  <c r="B363" i="2"/>
  <c r="B359" i="2"/>
  <c r="B355" i="2"/>
  <c r="B351" i="2"/>
  <c r="B347" i="2"/>
  <c r="B343" i="2"/>
  <c r="B339" i="2"/>
  <c r="B335" i="2"/>
  <c r="B331" i="2"/>
  <c r="B327" i="2"/>
  <c r="B323" i="2"/>
  <c r="B319" i="2"/>
  <c r="B315" i="2"/>
  <c r="B311" i="2"/>
  <c r="B307" i="2"/>
  <c r="B303" i="2"/>
  <c r="B299" i="2"/>
  <c r="B295" i="2"/>
  <c r="B291" i="2"/>
  <c r="B287" i="2"/>
  <c r="B283" i="2"/>
  <c r="B279" i="2"/>
  <c r="B275" i="2"/>
  <c r="B271" i="2"/>
  <c r="B267" i="2"/>
  <c r="B263" i="2"/>
  <c r="B259" i="2"/>
  <c r="B255" i="2"/>
  <c r="B251" i="2"/>
  <c r="B247" i="2"/>
  <c r="B243" i="2"/>
  <c r="B239" i="2"/>
  <c r="B235" i="2"/>
  <c r="B231" i="2"/>
  <c r="B227" i="2"/>
  <c r="B223" i="2"/>
  <c r="B219" i="2"/>
  <c r="B215" i="2"/>
  <c r="B211" i="2"/>
  <c r="B207" i="2"/>
  <c r="B203" i="2"/>
  <c r="B199" i="2"/>
  <c r="B195" i="2"/>
  <c r="B191" i="2"/>
  <c r="B187" i="2"/>
  <c r="B183" i="2"/>
  <c r="B179" i="2"/>
  <c r="B175" i="2"/>
  <c r="B171" i="2"/>
  <c r="B167" i="2"/>
  <c r="B163" i="2"/>
  <c r="B159" i="2"/>
  <c r="B155" i="2"/>
  <c r="B151" i="2"/>
  <c r="B147" i="2"/>
  <c r="B143" i="2"/>
  <c r="B139" i="2"/>
  <c r="B135" i="2"/>
  <c r="B131" i="2"/>
  <c r="B127" i="2"/>
  <c r="B123" i="2"/>
  <c r="B119" i="2"/>
  <c r="B115" i="2"/>
  <c r="B111" i="2"/>
  <c r="B107" i="2"/>
  <c r="B103" i="2"/>
  <c r="B99" i="2"/>
  <c r="B95" i="2"/>
  <c r="B91" i="2"/>
  <c r="B87" i="2"/>
  <c r="B83" i="2"/>
  <c r="B79" i="2"/>
  <c r="B75" i="2"/>
  <c r="B71" i="2"/>
  <c r="B67" i="2"/>
  <c r="B63" i="2"/>
  <c r="B59" i="2"/>
  <c r="B55" i="2"/>
  <c r="B51" i="2"/>
  <c r="B47" i="2"/>
  <c r="B43" i="2"/>
  <c r="B39" i="2"/>
  <c r="B35" i="2"/>
  <c r="B31" i="2"/>
  <c r="B27" i="2"/>
  <c r="B23" i="2"/>
  <c r="B19" i="2"/>
  <c r="B15" i="2"/>
  <c r="B11" i="2"/>
  <c r="B7" i="2"/>
  <c r="B601" i="2"/>
  <c r="B599" i="2"/>
  <c r="B597" i="2"/>
  <c r="B595" i="2"/>
  <c r="B593" i="2"/>
  <c r="B591" i="2"/>
  <c r="B589" i="2"/>
  <c r="B587" i="2"/>
  <c r="B585" i="2"/>
  <c r="B583" i="2"/>
  <c r="B581" i="2"/>
  <c r="B579" i="2"/>
  <c r="B577" i="2"/>
  <c r="B575" i="2"/>
  <c r="B573" i="2"/>
  <c r="B571" i="2"/>
  <c r="B569" i="2"/>
  <c r="B567" i="2"/>
  <c r="B565" i="2"/>
  <c r="B563" i="2"/>
  <c r="B561" i="2"/>
  <c r="B559" i="2"/>
  <c r="B557" i="2"/>
  <c r="B555" i="2"/>
  <c r="B553" i="2"/>
  <c r="B551" i="2"/>
  <c r="B549" i="2"/>
  <c r="B547" i="2"/>
  <c r="B545" i="2"/>
  <c r="B543" i="2"/>
  <c r="B541" i="2"/>
  <c r="B539" i="2"/>
  <c r="B537" i="2"/>
  <c r="B535" i="2"/>
  <c r="B533" i="2"/>
  <c r="B531" i="2"/>
  <c r="B529" i="2"/>
  <c r="B527" i="2"/>
  <c r="B525" i="2"/>
  <c r="B523" i="2"/>
  <c r="B521" i="2"/>
  <c r="B519" i="2"/>
  <c r="B517" i="2"/>
  <c r="B515" i="2"/>
  <c r="B513" i="2"/>
  <c r="B511" i="2"/>
  <c r="B509" i="2"/>
  <c r="B507" i="2"/>
  <c r="B505" i="2"/>
  <c r="B503" i="2"/>
  <c r="B501" i="2"/>
  <c r="B499" i="2"/>
  <c r="B494" i="2"/>
  <c r="B486" i="2"/>
  <c r="B478" i="2"/>
  <c r="B474" i="2"/>
  <c r="B470" i="2"/>
  <c r="B466" i="2"/>
  <c r="B462" i="2"/>
  <c r="B458" i="2"/>
  <c r="B454" i="2"/>
  <c r="B450" i="2"/>
  <c r="B446" i="2"/>
  <c r="B442" i="2"/>
  <c r="B438" i="2"/>
  <c r="B434" i="2"/>
  <c r="B430" i="2"/>
  <c r="B426" i="2"/>
  <c r="B422" i="2"/>
  <c r="B418" i="2"/>
  <c r="B414" i="2"/>
  <c r="B410" i="2"/>
  <c r="B406" i="2"/>
  <c r="B402" i="2"/>
  <c r="B398" i="2"/>
  <c r="B394" i="2"/>
  <c r="B390" i="2"/>
  <c r="B386" i="2"/>
  <c r="B382" i="2"/>
  <c r="B378" i="2"/>
  <c r="B374" i="2"/>
  <c r="B366" i="2"/>
  <c r="B358" i="2"/>
  <c r="B350" i="2"/>
  <c r="B342" i="2"/>
  <c r="B334" i="2"/>
  <c r="B326" i="2"/>
  <c r="B318" i="2"/>
  <c r="B310" i="2"/>
  <c r="B302" i="2"/>
  <c r="B294" i="2"/>
  <c r="B286" i="2"/>
  <c r="B278" i="2"/>
  <c r="B270" i="2"/>
  <c r="B262" i="2"/>
  <c r="B254" i="2"/>
  <c r="B246" i="2"/>
  <c r="B238" i="2"/>
  <c r="B230" i="2"/>
  <c r="B222" i="2"/>
  <c r="B214" i="2"/>
  <c r="B206" i="2"/>
  <c r="B198" i="2"/>
  <c r="B190" i="2"/>
  <c r="B182" i="2"/>
  <c r="B174" i="2"/>
  <c r="B166" i="2"/>
  <c r="B158" i="2"/>
  <c r="B150" i="2"/>
  <c r="B142" i="2"/>
  <c r="B134" i="2"/>
  <c r="B126" i="2"/>
  <c r="B118" i="2"/>
  <c r="B110" i="2"/>
  <c r="B102" i="2"/>
  <c r="B94" i="2"/>
  <c r="B86" i="2"/>
  <c r="B78" i="2"/>
  <c r="B70" i="2"/>
  <c r="B62" i="2"/>
  <c r="B54" i="2"/>
  <c r="B497" i="2"/>
  <c r="B493" i="2"/>
  <c r="B489" i="2"/>
  <c r="B485" i="2"/>
  <c r="B481" i="2"/>
  <c r="B477" i="2"/>
  <c r="B473" i="2"/>
  <c r="B469" i="2"/>
  <c r="B465" i="2"/>
  <c r="B461" i="2"/>
  <c r="B457" i="2"/>
  <c r="B453" i="2"/>
  <c r="B449" i="2"/>
  <c r="B445" i="2"/>
  <c r="B441" i="2"/>
  <c r="B437" i="2"/>
  <c r="B433" i="2"/>
  <c r="B429" i="2"/>
  <c r="B425" i="2"/>
  <c r="B421" i="2"/>
  <c r="B417" i="2"/>
  <c r="B413" i="2"/>
  <c r="B409" i="2"/>
  <c r="B405" i="2"/>
  <c r="B401" i="2"/>
  <c r="B397" i="2"/>
  <c r="B393" i="2"/>
  <c r="B389" i="2"/>
  <c r="B385" i="2"/>
  <c r="B381" i="2"/>
  <c r="B377" i="2"/>
  <c r="B372" i="2"/>
  <c r="B364" i="2"/>
  <c r="B356" i="2"/>
  <c r="B348" i="2"/>
  <c r="B340" i="2"/>
  <c r="B332" i="2"/>
  <c r="B324" i="2"/>
  <c r="B316" i="2"/>
  <c r="B308" i="2"/>
  <c r="B300" i="2"/>
  <c r="B292" i="2"/>
  <c r="B284" i="2"/>
  <c r="B276" i="2"/>
  <c r="B268" i="2"/>
  <c r="B260" i="2"/>
  <c r="B252" i="2"/>
  <c r="B244" i="2"/>
  <c r="B236" i="2"/>
  <c r="B228" i="2"/>
  <c r="B220" i="2"/>
  <c r="B212" i="2"/>
  <c r="B204" i="2"/>
  <c r="B196" i="2"/>
  <c r="B188" i="2"/>
  <c r="B180" i="2"/>
  <c r="B172" i="2"/>
  <c r="B164" i="2"/>
  <c r="B156" i="2"/>
  <c r="B148" i="2"/>
  <c r="B140" i="2"/>
  <c r="B132" i="2"/>
  <c r="B124" i="2"/>
  <c r="B116" i="2"/>
  <c r="B108" i="2"/>
  <c r="B100" i="2"/>
  <c r="B92" i="2"/>
  <c r="B84" i="2"/>
  <c r="B76" i="2"/>
  <c r="B68" i="2"/>
  <c r="B60" i="2"/>
  <c r="B52" i="2"/>
  <c r="B46" i="2"/>
  <c r="B42" i="2"/>
  <c r="B38" i="2"/>
  <c r="B34" i="2"/>
  <c r="B30" i="2"/>
  <c r="B26" i="2"/>
  <c r="B22" i="2"/>
  <c r="B18" i="2"/>
  <c r="B14" i="2"/>
  <c r="B10" i="2"/>
  <c r="B373" i="2"/>
  <c r="B369" i="2"/>
  <c r="B365" i="2"/>
  <c r="B361" i="2"/>
  <c r="B357" i="2"/>
  <c r="B353" i="2"/>
  <c r="B349" i="2"/>
  <c r="B345" i="2"/>
  <c r="B341" i="2"/>
  <c r="B337" i="2"/>
  <c r="B333" i="2"/>
  <c r="B329" i="2"/>
  <c r="B325" i="2"/>
  <c r="B321" i="2"/>
  <c r="B317" i="2"/>
  <c r="B313" i="2"/>
  <c r="B309" i="2"/>
  <c r="B305" i="2"/>
  <c r="B301" i="2"/>
  <c r="B297" i="2"/>
  <c r="B293" i="2"/>
  <c r="B289" i="2"/>
  <c r="B285" i="2"/>
  <c r="B281" i="2"/>
  <c r="B277" i="2"/>
  <c r="B273" i="2"/>
  <c r="B269" i="2"/>
  <c r="B265" i="2"/>
  <c r="B261" i="2"/>
  <c r="B257" i="2"/>
  <c r="B253" i="2"/>
  <c r="B249" i="2"/>
  <c r="B245" i="2"/>
  <c r="B241" i="2"/>
  <c r="B237" i="2"/>
  <c r="B233" i="2"/>
  <c r="B229" i="2"/>
  <c r="B225" i="2"/>
  <c r="B221" i="2"/>
  <c r="B217" i="2"/>
  <c r="B213" i="2"/>
  <c r="B209" i="2"/>
  <c r="B205" i="2"/>
  <c r="B201" i="2"/>
  <c r="B197" i="2"/>
  <c r="B193" i="2"/>
  <c r="B189" i="2"/>
  <c r="B185" i="2"/>
  <c r="B181" i="2"/>
  <c r="B177" i="2"/>
  <c r="B173" i="2"/>
  <c r="B169" i="2"/>
  <c r="B165" i="2"/>
  <c r="B161" i="2"/>
  <c r="B157" i="2"/>
  <c r="B153" i="2"/>
  <c r="B149" i="2"/>
  <c r="B145" i="2"/>
  <c r="B141" i="2"/>
  <c r="B137" i="2"/>
  <c r="B133" i="2"/>
  <c r="B129" i="2"/>
  <c r="B125" i="2"/>
  <c r="B121" i="2"/>
  <c r="B117" i="2"/>
  <c r="B113" i="2"/>
  <c r="B109" i="2"/>
  <c r="B105" i="2"/>
  <c r="B101" i="2"/>
  <c r="B97" i="2"/>
  <c r="B93" i="2"/>
  <c r="B89" i="2"/>
  <c r="B85" i="2"/>
  <c r="B81" i="2"/>
  <c r="B77" i="2"/>
  <c r="B73" i="2"/>
  <c r="B69" i="2"/>
  <c r="B65" i="2"/>
  <c r="B61" i="2"/>
  <c r="B57" i="2"/>
  <c r="B53" i="2"/>
  <c r="B49" i="2"/>
  <c r="B45" i="2"/>
  <c r="B41" i="2"/>
  <c r="B37" i="2"/>
  <c r="B33" i="2"/>
  <c r="B29" i="2"/>
  <c r="B25" i="2"/>
  <c r="B21" i="2"/>
  <c r="B17" i="2"/>
  <c r="B13" i="2"/>
  <c r="B9" i="2"/>
  <c r="B600" i="2"/>
  <c r="B598" i="2"/>
  <c r="B596" i="2"/>
  <c r="B594" i="2"/>
  <c r="B592" i="2"/>
  <c r="B590" i="2"/>
  <c r="B588" i="2"/>
  <c r="B586" i="2"/>
  <c r="B584" i="2"/>
  <c r="B582" i="2"/>
  <c r="B580" i="2"/>
  <c r="B578" i="2"/>
  <c r="B576" i="2"/>
  <c r="B574" i="2"/>
  <c r="B572" i="2"/>
  <c r="B570" i="2"/>
  <c r="B568" i="2"/>
  <c r="B566" i="2"/>
  <c r="B564" i="2"/>
  <c r="B562" i="2"/>
  <c r="B560" i="2"/>
  <c r="B558" i="2"/>
  <c r="B556" i="2"/>
  <c r="B554" i="2"/>
  <c r="B552" i="2"/>
  <c r="B550" i="2"/>
  <c r="B548" i="2"/>
  <c r="B546" i="2"/>
  <c r="B544" i="2"/>
  <c r="B542" i="2"/>
  <c r="B540" i="2"/>
  <c r="B538" i="2"/>
  <c r="B536" i="2"/>
  <c r="B534" i="2"/>
  <c r="B532" i="2"/>
  <c r="B530" i="2"/>
  <c r="B528" i="2"/>
  <c r="B526" i="2"/>
  <c r="B524" i="2"/>
  <c r="B522" i="2"/>
  <c r="B520" i="2"/>
  <c r="B518" i="2"/>
  <c r="B516" i="2"/>
  <c r="B514" i="2"/>
  <c r="B512" i="2"/>
  <c r="B510" i="2"/>
  <c r="B508" i="2"/>
  <c r="B506" i="2"/>
  <c r="B504" i="2"/>
  <c r="B502" i="2"/>
  <c r="B500" i="2"/>
  <c r="K29" i="11"/>
  <c r="K32" i="11"/>
  <c r="J32" i="18"/>
  <c r="K16" i="11"/>
  <c r="K19" i="11"/>
  <c r="K21" i="11"/>
  <c r="M6" i="18"/>
  <c r="K24" i="11"/>
  <c r="N6" i="18"/>
  <c r="I3" i="7"/>
  <c r="D24" i="1" s="1"/>
  <c r="J10" i="21"/>
  <c r="J12" i="21" s="1"/>
  <c r="G4" i="21"/>
  <c r="N24" i="1" s="1"/>
  <c r="S10" i="19"/>
  <c r="Y10" i="19"/>
  <c r="P2" i="10"/>
  <c r="I12" i="1" s="1"/>
  <c r="O11" i="12"/>
  <c r="T11" i="12"/>
  <c r="Y11" i="12"/>
  <c r="J10" i="19"/>
  <c r="N10" i="19"/>
  <c r="U10" i="19"/>
  <c r="I10" i="19"/>
  <c r="O10" i="19"/>
  <c r="V10" i="19"/>
  <c r="K10" i="19"/>
  <c r="L10" i="19"/>
  <c r="P10" i="19"/>
  <c r="Q10" i="19"/>
  <c r="R10" i="19"/>
  <c r="W10" i="19"/>
  <c r="X10" i="19"/>
  <c r="M10" i="19"/>
  <c r="T10" i="19"/>
  <c r="H10" i="12" s="1"/>
  <c r="Z10" i="12" s="1"/>
  <c r="B10" i="19"/>
  <c r="C10" i="19"/>
  <c r="D10" i="19"/>
  <c r="E10" i="19"/>
  <c r="F10" i="19"/>
  <c r="J11" i="18"/>
  <c r="J9" i="18"/>
  <c r="J10" i="18"/>
  <c r="O6" i="18"/>
  <c r="J13" i="18"/>
  <c r="P6" i="18"/>
  <c r="Q6" i="11"/>
  <c r="O6" i="11"/>
  <c r="I11" i="12"/>
  <c r="D11" i="12"/>
  <c r="V11" i="12"/>
  <c r="C4" i="13"/>
  <c r="K8" i="14"/>
  <c r="K11" i="14" s="1"/>
  <c r="I15" i="1"/>
  <c r="F11" i="12"/>
  <c r="L11" i="12"/>
  <c r="R11" i="12"/>
  <c r="W11" i="12"/>
  <c r="M11" i="12"/>
  <c r="C11" i="12"/>
  <c r="J11" i="12"/>
  <c r="Q11" i="12"/>
  <c r="U11" i="12"/>
  <c r="K11" i="12"/>
  <c r="B11" i="12"/>
  <c r="E11" i="12"/>
  <c r="N11" i="12"/>
  <c r="S11" i="12"/>
  <c r="X11" i="12"/>
  <c r="P11" i="12"/>
  <c r="K8" i="11"/>
  <c r="P6" i="11"/>
  <c r="K11" i="11"/>
  <c r="K9" i="11"/>
  <c r="N6" i="11"/>
  <c r="R6" i="11"/>
  <c r="C4" i="6"/>
  <c r="J3" i="8"/>
  <c r="D18" i="1" s="1"/>
  <c r="H31" i="4"/>
  <c r="H28" i="4"/>
  <c r="H26" i="4"/>
  <c r="H23" i="4"/>
  <c r="H20" i="4"/>
  <c r="H17" i="4"/>
  <c r="H15" i="4"/>
  <c r="H12" i="4"/>
  <c r="G31" i="4"/>
  <c r="G28" i="4"/>
  <c r="G26" i="4"/>
  <c r="G23" i="4"/>
  <c r="G20" i="4"/>
  <c r="G17" i="4"/>
  <c r="G15" i="4"/>
  <c r="G12" i="4"/>
  <c r="F31" i="4"/>
  <c r="F28" i="4"/>
  <c r="F26" i="4"/>
  <c r="F23" i="4"/>
  <c r="F20" i="4"/>
  <c r="F17" i="4"/>
  <c r="F15" i="4"/>
  <c r="F12" i="4"/>
  <c r="E31" i="4"/>
  <c r="E28" i="4"/>
  <c r="E26" i="4"/>
  <c r="E23" i="4"/>
  <c r="E20" i="4"/>
  <c r="E17" i="4"/>
  <c r="E15" i="4"/>
  <c r="E12" i="4"/>
  <c r="D31" i="4"/>
  <c r="D28" i="4"/>
  <c r="D26" i="4"/>
  <c r="D23" i="4"/>
  <c r="D20" i="4"/>
  <c r="D17" i="4"/>
  <c r="D15" i="4"/>
  <c r="D12" i="4"/>
  <c r="C32" i="4"/>
  <c r="C29" i="4"/>
  <c r="C27" i="4"/>
  <c r="C24" i="4"/>
  <c r="C21" i="4"/>
  <c r="C19" i="4"/>
  <c r="C16" i="4"/>
  <c r="C13" i="4"/>
  <c r="B31" i="4"/>
  <c r="B29" i="4"/>
  <c r="B27" i="4"/>
  <c r="B24" i="4"/>
  <c r="B21" i="4"/>
  <c r="B19" i="4"/>
  <c r="B16" i="4"/>
  <c r="B13" i="4"/>
  <c r="H11" i="4"/>
  <c r="F11" i="4"/>
  <c r="C11" i="4"/>
  <c r="G9" i="4"/>
  <c r="E9" i="4"/>
  <c r="C9" i="4"/>
  <c r="F8" i="4"/>
  <c r="B8" i="4"/>
  <c r="H32" i="4"/>
  <c r="H29" i="4"/>
  <c r="H27" i="4"/>
  <c r="H24" i="4"/>
  <c r="H21" i="4"/>
  <c r="H19" i="4"/>
  <c r="H16" i="4"/>
  <c r="H13" i="4"/>
  <c r="G32" i="4"/>
  <c r="G29" i="4"/>
  <c r="G27" i="4"/>
  <c r="G24" i="4"/>
  <c r="G21" i="4"/>
  <c r="G19" i="4"/>
  <c r="G16" i="4"/>
  <c r="G13" i="4"/>
  <c r="F32" i="4"/>
  <c r="F29" i="4"/>
  <c r="F27" i="4"/>
  <c r="F24" i="4"/>
  <c r="F21" i="4"/>
  <c r="F19" i="4"/>
  <c r="F16" i="4"/>
  <c r="F13" i="4"/>
  <c r="E32" i="4"/>
  <c r="E29" i="4"/>
  <c r="E27" i="4"/>
  <c r="E24" i="4"/>
  <c r="E21" i="4"/>
  <c r="E19" i="4"/>
  <c r="E16" i="4"/>
  <c r="E13" i="4"/>
  <c r="D32" i="4"/>
  <c r="D29" i="4"/>
  <c r="D27" i="4"/>
  <c r="D24" i="4"/>
  <c r="D21" i="4"/>
  <c r="D19" i="4"/>
  <c r="D16" i="4"/>
  <c r="D13" i="4"/>
  <c r="D11" i="4"/>
  <c r="D14" i="4" s="1"/>
  <c r="C31" i="4"/>
  <c r="C28" i="4"/>
  <c r="C26" i="4"/>
  <c r="C23" i="4"/>
  <c r="C25" i="4" s="1"/>
  <c r="C20" i="4"/>
  <c r="C17" i="4"/>
  <c r="C15" i="4"/>
  <c r="C12" i="4"/>
  <c r="B32" i="4"/>
  <c r="B28" i="4"/>
  <c r="B26" i="4"/>
  <c r="B23" i="4"/>
  <c r="B25" i="4" s="1"/>
  <c r="B20" i="4"/>
  <c r="B17" i="4"/>
  <c r="B15" i="4"/>
  <c r="B12" i="4"/>
  <c r="G11" i="4"/>
  <c r="G14" i="4" s="1"/>
  <c r="E11" i="4"/>
  <c r="E14" i="4" s="1"/>
  <c r="B11" i="4"/>
  <c r="H9" i="4"/>
  <c r="F9" i="4"/>
  <c r="D9" i="4"/>
  <c r="B9" i="4"/>
  <c r="G8" i="4"/>
  <c r="E8" i="4"/>
  <c r="C8" i="4"/>
  <c r="H8" i="4"/>
  <c r="D8" i="4"/>
  <c r="O10" i="4" l="1"/>
  <c r="K22" i="11"/>
  <c r="J7" i="11"/>
  <c r="F7" i="11"/>
  <c r="H14" i="4"/>
  <c r="K30" i="11"/>
  <c r="C7" i="11"/>
  <c r="B7" i="11"/>
  <c r="C7" i="18"/>
  <c r="I7" i="11"/>
  <c r="G7" i="11"/>
  <c r="D7" i="18"/>
  <c r="E7" i="11"/>
  <c r="H7" i="11"/>
  <c r="K18" i="11"/>
  <c r="D22" i="4"/>
  <c r="E22" i="4"/>
  <c r="F22" i="4"/>
  <c r="G22" i="4"/>
  <c r="H22" i="4"/>
  <c r="B14" i="4"/>
  <c r="K14" i="11"/>
  <c r="K25" i="11"/>
  <c r="J30" i="18"/>
  <c r="H7" i="18"/>
  <c r="G7" i="18"/>
  <c r="F7" i="18"/>
  <c r="J25" i="18"/>
  <c r="B7" i="18"/>
  <c r="I7" i="18"/>
  <c r="J22" i="18"/>
  <c r="J18" i="18"/>
  <c r="J14" i="18"/>
  <c r="Z9" i="19"/>
  <c r="D18" i="4"/>
  <c r="E18" i="4"/>
  <c r="F18" i="4"/>
  <c r="G18" i="4"/>
  <c r="H18" i="4"/>
  <c r="B22" i="4"/>
  <c r="C22" i="4"/>
  <c r="B30" i="4"/>
  <c r="C30" i="4"/>
  <c r="D25" i="4"/>
  <c r="E25" i="4"/>
  <c r="F25" i="4"/>
  <c r="G25" i="4"/>
  <c r="H25" i="4"/>
  <c r="C14" i="4"/>
  <c r="D30" i="4"/>
  <c r="E30" i="4"/>
  <c r="F30" i="4"/>
  <c r="G30" i="4"/>
  <c r="H30" i="4"/>
  <c r="F14" i="4"/>
  <c r="B18" i="4"/>
  <c r="C18" i="4"/>
  <c r="I23" i="4"/>
  <c r="I28" i="4"/>
  <c r="I26" i="4"/>
  <c r="I12" i="4"/>
  <c r="I20" i="4"/>
  <c r="E8" i="5"/>
  <c r="E7" i="5"/>
  <c r="E6" i="5"/>
  <c r="E10" i="5"/>
  <c r="E9" i="5"/>
  <c r="I17" i="4"/>
  <c r="B6" i="5"/>
  <c r="C20" i="1"/>
  <c r="K3" i="7"/>
  <c r="C26" i="1"/>
  <c r="G10" i="19"/>
  <c r="L6" i="18"/>
  <c r="H10" i="19"/>
  <c r="Z6" i="19"/>
  <c r="M6" i="11"/>
  <c r="I15" i="4"/>
  <c r="G11" i="12"/>
  <c r="H7" i="12"/>
  <c r="Z7" i="12" s="1"/>
  <c r="H9" i="12"/>
  <c r="Z9" i="12" s="1"/>
  <c r="H6" i="12"/>
  <c r="I32" i="4"/>
  <c r="X9" i="5"/>
  <c r="W10" i="5"/>
  <c r="W6" i="5"/>
  <c r="V7" i="5"/>
  <c r="U8" i="5"/>
  <c r="T9" i="5"/>
  <c r="S10" i="5"/>
  <c r="S6" i="5"/>
  <c r="R7" i="5"/>
  <c r="Q8" i="5"/>
  <c r="P9" i="5"/>
  <c r="O10" i="5"/>
  <c r="O6" i="5"/>
  <c r="N7" i="5"/>
  <c r="M8" i="5"/>
  <c r="L9" i="5"/>
  <c r="K10" i="5"/>
  <c r="K6" i="5"/>
  <c r="J7" i="5"/>
  <c r="I8" i="5"/>
  <c r="X8" i="5"/>
  <c r="W9" i="5"/>
  <c r="V10" i="5"/>
  <c r="V6" i="5"/>
  <c r="U7" i="5"/>
  <c r="T8" i="5"/>
  <c r="S9" i="5"/>
  <c r="R10" i="5"/>
  <c r="R6" i="5"/>
  <c r="Q7" i="5"/>
  <c r="P8" i="5"/>
  <c r="O9" i="5"/>
  <c r="N10" i="5"/>
  <c r="N6" i="5"/>
  <c r="M7" i="5"/>
  <c r="L8" i="5"/>
  <c r="K9" i="5"/>
  <c r="J10" i="5"/>
  <c r="J6" i="5"/>
  <c r="I7" i="5"/>
  <c r="X7" i="5"/>
  <c r="W8" i="5"/>
  <c r="V9" i="5"/>
  <c r="U10" i="5"/>
  <c r="U6" i="5"/>
  <c r="T7" i="5"/>
  <c r="S8" i="5"/>
  <c r="R9" i="5"/>
  <c r="Q10" i="5"/>
  <c r="Q6" i="5"/>
  <c r="P7" i="5"/>
  <c r="O8" i="5"/>
  <c r="N9" i="5"/>
  <c r="M10" i="5"/>
  <c r="M6" i="5"/>
  <c r="L7" i="5"/>
  <c r="K8" i="5"/>
  <c r="J9" i="5"/>
  <c r="I10" i="5"/>
  <c r="I6" i="5"/>
  <c r="X10" i="5"/>
  <c r="X6" i="5"/>
  <c r="W7" i="5"/>
  <c r="V8" i="5"/>
  <c r="U9" i="5"/>
  <c r="T10" i="5"/>
  <c r="T6" i="5"/>
  <c r="S7" i="5"/>
  <c r="R8" i="5"/>
  <c r="Q9" i="5"/>
  <c r="P10" i="5"/>
  <c r="P6" i="5"/>
  <c r="O7" i="5"/>
  <c r="N8" i="5"/>
  <c r="M9" i="5"/>
  <c r="L10" i="5"/>
  <c r="L6" i="5"/>
  <c r="K7" i="5"/>
  <c r="J8" i="5"/>
  <c r="I9" i="5"/>
  <c r="I9" i="4"/>
  <c r="L2" i="2"/>
  <c r="H3" i="2" s="1"/>
  <c r="H9" i="5"/>
  <c r="H7" i="5"/>
  <c r="F7" i="5" s="1"/>
  <c r="D10" i="5"/>
  <c r="D8" i="5"/>
  <c r="D6" i="5"/>
  <c r="C9" i="5"/>
  <c r="C7" i="5"/>
  <c r="B10" i="5"/>
  <c r="B8" i="5"/>
  <c r="C10" i="5"/>
  <c r="B9" i="5"/>
  <c r="B7" i="5"/>
  <c r="H10" i="5"/>
  <c r="F10" i="5" s="1"/>
  <c r="H8" i="5"/>
  <c r="F8" i="5" s="1"/>
  <c r="H6" i="5"/>
  <c r="D9" i="5"/>
  <c r="D7" i="5"/>
  <c r="C8" i="5"/>
  <c r="C6" i="5"/>
  <c r="O7" i="4"/>
  <c r="L9" i="4"/>
  <c r="L13" i="4"/>
  <c r="M11" i="4"/>
  <c r="N9" i="4"/>
  <c r="N13" i="4"/>
  <c r="O11" i="4"/>
  <c r="P9" i="4"/>
  <c r="Q8" i="4"/>
  <c r="Q12" i="4"/>
  <c r="I10" i="4"/>
  <c r="I16" i="4"/>
  <c r="I21" i="4"/>
  <c r="I27" i="4"/>
  <c r="I31" i="4"/>
  <c r="N7" i="4"/>
  <c r="L8" i="4"/>
  <c r="L12" i="4"/>
  <c r="M10" i="4"/>
  <c r="N8" i="4"/>
  <c r="N12" i="4"/>
  <c r="O13" i="4"/>
  <c r="P10" i="4"/>
  <c r="Q9" i="4"/>
  <c r="Q13" i="4"/>
  <c r="I11" i="4"/>
  <c r="M7" i="4"/>
  <c r="Q7" i="4"/>
  <c r="L11" i="4"/>
  <c r="M9" i="4"/>
  <c r="M13" i="4"/>
  <c r="N11" i="4"/>
  <c r="O9" i="4"/>
  <c r="P13" i="4"/>
  <c r="P11" i="4"/>
  <c r="Q10" i="4"/>
  <c r="I8" i="4"/>
  <c r="I13" i="4"/>
  <c r="I19" i="4"/>
  <c r="I24" i="4"/>
  <c r="I29" i="4"/>
  <c r="L7" i="4"/>
  <c r="P7" i="4"/>
  <c r="L10" i="4"/>
  <c r="M8" i="4"/>
  <c r="M12" i="4"/>
  <c r="N10" i="4"/>
  <c r="O8" i="4"/>
  <c r="O12" i="4"/>
  <c r="P8" i="4"/>
  <c r="P12" i="4"/>
  <c r="Q11" i="4"/>
  <c r="F7" i="4" l="1"/>
  <c r="H7" i="4"/>
  <c r="G7" i="4"/>
  <c r="E7" i="4"/>
  <c r="I14" i="4"/>
  <c r="D7" i="4"/>
  <c r="I25" i="4"/>
  <c r="C7" i="4"/>
  <c r="F9" i="5"/>
  <c r="G9" i="5" s="1"/>
  <c r="Y9" i="5" s="1"/>
  <c r="I18" i="4"/>
  <c r="F6" i="5"/>
  <c r="B7" i="4"/>
  <c r="K7" i="11"/>
  <c r="J7" i="18"/>
  <c r="M3" i="19"/>
  <c r="N21" i="1" s="1"/>
  <c r="K7" i="1" s="1"/>
  <c r="I22" i="4"/>
  <c r="I30" i="4"/>
  <c r="G7" i="5"/>
  <c r="Y7" i="5" s="1"/>
  <c r="G10" i="5"/>
  <c r="Y10" i="5" s="1"/>
  <c r="Z10" i="19"/>
  <c r="D12" i="1"/>
  <c r="H11" i="12"/>
  <c r="Z11" i="12" s="1"/>
  <c r="Z6" i="12"/>
  <c r="M3" i="12" s="1"/>
  <c r="I21" i="1" s="1"/>
  <c r="F7" i="1" s="1"/>
  <c r="X11" i="5"/>
  <c r="P11" i="5"/>
  <c r="E11" i="5"/>
  <c r="C11" i="5"/>
  <c r="L11" i="5"/>
  <c r="T11" i="5"/>
  <c r="M11" i="5"/>
  <c r="U11" i="5"/>
  <c r="J11" i="5"/>
  <c r="R11" i="5"/>
  <c r="O11" i="5"/>
  <c r="W11" i="5"/>
  <c r="I11" i="5"/>
  <c r="Q11" i="5"/>
  <c r="N11" i="5"/>
  <c r="V11" i="5"/>
  <c r="K11" i="5"/>
  <c r="S11" i="5"/>
  <c r="H11" i="5"/>
  <c r="B11" i="5"/>
  <c r="G8" i="5"/>
  <c r="Y8" i="5" s="1"/>
  <c r="D11" i="5"/>
  <c r="L6" i="4"/>
  <c r="K6" i="4" s="1"/>
  <c r="M6" i="4"/>
  <c r="O6" i="4"/>
  <c r="P6" i="4"/>
  <c r="Q6" i="4"/>
  <c r="N6" i="4"/>
  <c r="I7" i="4" l="1"/>
  <c r="F11" i="5"/>
  <c r="G6" i="5"/>
  <c r="Y6" i="5" l="1"/>
  <c r="M3" i="5" s="1"/>
  <c r="D21" i="1" s="1"/>
  <c r="G11" i="5"/>
  <c r="Y11" i="5" s="1"/>
  <c r="M23" i="4"/>
  <c r="K2" i="4" l="1"/>
  <c r="D27" i="1" s="1"/>
  <c r="A7" i="1" s="1"/>
  <c r="P24" i="4"/>
</calcChain>
</file>

<file path=xl/comments1.xml><?xml version="1.0" encoding="utf-8"?>
<comments xmlns="http://schemas.openxmlformats.org/spreadsheetml/2006/main">
  <authors>
    <author>Author</author>
  </authors>
  <commentList>
    <comment ref="J4" authorId="0" shapeId="0">
      <text>
        <r>
          <rPr>
            <b/>
            <sz val="9"/>
            <color indexed="81"/>
            <rFont val="Tahoma"/>
            <family val="2"/>
          </rPr>
          <t>Ghi rõ tên dân tộc!</t>
        </r>
      </text>
    </comment>
    <comment ref="S4" authorId="0" shapeId="0">
      <text>
        <r>
          <rPr>
            <b/>
            <sz val="9"/>
            <color indexed="81"/>
            <rFont val="Tahoma"/>
            <family val="2"/>
          </rPr>
          <t>Ghi rõ dạng tật!</t>
        </r>
      </text>
    </comment>
  </commentList>
</comments>
</file>

<file path=xl/comments10.xml><?xml version="1.0" encoding="utf-8"?>
<comments xmlns="http://schemas.openxmlformats.org/spreadsheetml/2006/main">
  <authors>
    <author>Author</author>
  </authors>
  <commentList>
    <comment ref="G5" authorId="0" shapeId="0">
      <text>
        <r>
          <rPr>
            <b/>
            <sz val="9"/>
            <color indexed="81"/>
            <rFont val="Tahoma"/>
            <family val="2"/>
          </rPr>
          <t>Nhập số HS tại chỗ!</t>
        </r>
      </text>
    </comment>
    <comment ref="H5" authorId="0" shapeId="0">
      <text>
        <r>
          <rPr>
            <b/>
            <sz val="9"/>
            <color indexed="81"/>
            <rFont val="Tahoma"/>
            <family val="2"/>
          </rPr>
          <t>Nhập số HS nơi khác đến (</t>
        </r>
        <r>
          <rPr>
            <b/>
            <i/>
            <sz val="9"/>
            <color indexed="81"/>
            <rFont val="Tahoma"/>
            <family val="2"/>
          </rPr>
          <t>nếu có)!</t>
        </r>
      </text>
    </comment>
  </commentList>
</comments>
</file>

<file path=xl/comments11.xml><?xml version="1.0" encoding="utf-8"?>
<comments xmlns="http://schemas.openxmlformats.org/spreadsheetml/2006/main">
  <authors>
    <author>Author</author>
  </authors>
  <commentList>
    <comment ref="C4" authorId="0" shapeId="0">
      <text>
        <r>
          <rPr>
            <b/>
            <sz val="9"/>
            <color indexed="81"/>
            <rFont val="Tahoma"/>
            <family val="2"/>
          </rPr>
          <t>Nhập số điểm lẻ (phụ)</t>
        </r>
      </text>
    </comment>
  </commentList>
</comments>
</file>

<file path=xl/comments2.xml><?xml version="1.0" encoding="utf-8"?>
<comments xmlns="http://schemas.openxmlformats.org/spreadsheetml/2006/main">
  <authors>
    <author>HO VAN PHUC TRAN</author>
  </authors>
  <commentList>
    <comment ref="L20" authorId="0" shapeId="0">
      <text>
        <r>
          <rPr>
            <b/>
            <sz val="9"/>
            <color indexed="81"/>
            <rFont val="Tahoma"/>
            <family val="2"/>
          </rPr>
          <t>Nhập số trẻ!</t>
        </r>
      </text>
    </comment>
    <comment ref="L21" authorId="0" shapeId="0">
      <text>
        <r>
          <rPr>
            <b/>
            <sz val="9"/>
            <color indexed="81"/>
            <rFont val="Tahoma"/>
            <family val="2"/>
          </rPr>
          <t>Nhập số trẻ!</t>
        </r>
      </text>
    </comment>
    <comment ref="O21" authorId="0" shapeId="0">
      <text>
        <r>
          <rPr>
            <b/>
            <sz val="9"/>
            <color indexed="81"/>
            <rFont val="Tahoma"/>
            <family val="2"/>
          </rPr>
          <t>Nhập số trẻ!</t>
        </r>
      </text>
    </comment>
    <comment ref="L22" authorId="0" shapeId="0">
      <text>
        <r>
          <rPr>
            <b/>
            <sz val="9"/>
            <color indexed="81"/>
            <rFont val="Tahoma"/>
            <family val="2"/>
          </rPr>
          <t>Nhập số trẻ!</t>
        </r>
      </text>
    </comment>
  </commentList>
</comments>
</file>

<file path=xl/comments3.xml><?xml version="1.0" encoding="utf-8"?>
<comments xmlns="http://schemas.openxmlformats.org/spreadsheetml/2006/main">
  <authors>
    <author>Author</author>
  </authors>
  <commentList>
    <comment ref="F5" authorId="0" shapeId="0">
      <text>
        <r>
          <rPr>
            <b/>
            <sz val="9"/>
            <color indexed="81"/>
            <rFont val="Tahoma"/>
            <family val="2"/>
          </rPr>
          <t>Nhập số HS tại chỗ!</t>
        </r>
      </text>
    </comment>
    <comment ref="G5" authorId="0" shapeId="0">
      <text>
        <r>
          <rPr>
            <b/>
            <sz val="9"/>
            <color indexed="81"/>
            <rFont val="Tahoma"/>
            <family val="2"/>
          </rPr>
          <t>Nhập số HS nơi khác đến (</t>
        </r>
        <r>
          <rPr>
            <b/>
            <i/>
            <sz val="9"/>
            <color indexed="81"/>
            <rFont val="Tahoma"/>
            <family val="2"/>
          </rPr>
          <t>nếu có)!</t>
        </r>
      </text>
    </comment>
  </commentList>
</comments>
</file>

<file path=xl/comments4.xml><?xml version="1.0" encoding="utf-8"?>
<comments xmlns="http://schemas.openxmlformats.org/spreadsheetml/2006/main">
  <authors>
    <author>HO VAN PHUC TRAN</author>
  </authors>
  <commentList>
    <comment ref="A2" authorId="0" shapeId="0">
      <text>
        <r>
          <rPr>
            <b/>
            <sz val="9"/>
            <color indexed="81"/>
            <rFont val="Tahoma"/>
            <family val="2"/>
          </rPr>
          <t>Chọn tên trường!</t>
        </r>
      </text>
    </comment>
  </commentList>
</comments>
</file>

<file path=xl/comments5.xml><?xml version="1.0" encoding="utf-8"?>
<comments xmlns="http://schemas.openxmlformats.org/spreadsheetml/2006/main">
  <authors>
    <author>Author</author>
    <author>HO VAN PHUC TRAN</author>
  </authors>
  <commentList>
    <comment ref="D9" authorId="0" shapeId="0">
      <text>
        <r>
          <rPr>
            <b/>
            <sz val="9"/>
            <color indexed="81"/>
            <rFont val="Tahoma"/>
            <family val="2"/>
          </rPr>
          <t>Nhập số liệu vào ô này!</t>
        </r>
      </text>
    </comment>
    <comment ref="E9" authorId="0" shapeId="0">
      <text>
        <r>
          <rPr>
            <b/>
            <sz val="9"/>
            <color indexed="81"/>
            <rFont val="Tahoma"/>
            <family val="2"/>
          </rPr>
          <t>Nhập số liệu vào ô này!</t>
        </r>
      </text>
    </comment>
    <comment ref="F9" authorId="0" shapeId="0">
      <text>
        <r>
          <rPr>
            <b/>
            <sz val="9"/>
            <color indexed="81"/>
            <rFont val="Tahoma"/>
            <family val="2"/>
          </rPr>
          <t>Nhập số liệu vào ô này!</t>
        </r>
      </text>
    </comment>
    <comment ref="P9" authorId="0" shapeId="0">
      <text>
        <r>
          <rPr>
            <b/>
            <sz val="9"/>
            <color indexed="81"/>
            <rFont val="Tahoma"/>
            <family val="2"/>
          </rPr>
          <t>Nhập số liệu vào ô này!</t>
        </r>
      </text>
    </comment>
    <comment ref="Q9" authorId="0" shapeId="0">
      <text>
        <r>
          <rPr>
            <b/>
            <sz val="9"/>
            <color indexed="81"/>
            <rFont val="Tahoma"/>
            <family val="2"/>
          </rPr>
          <t>Nhập số liệu vào ô này!</t>
        </r>
      </text>
    </comment>
    <comment ref="B12" authorId="1" shapeId="0">
      <text>
        <r>
          <rPr>
            <b/>
            <sz val="9"/>
            <color indexed="81"/>
            <rFont val="Tahoma"/>
            <family val="2"/>
          </rPr>
          <t>Nhập tên Cơ sở MN Tư thục!</t>
        </r>
        <r>
          <rPr>
            <sz val="9"/>
            <color indexed="81"/>
            <rFont val="Tahoma"/>
            <family val="2"/>
          </rPr>
          <t xml:space="preserve">
</t>
        </r>
      </text>
    </comment>
    <comment ref="B13" authorId="1" shapeId="0">
      <text>
        <r>
          <rPr>
            <b/>
            <sz val="9"/>
            <color indexed="81"/>
            <rFont val="Tahoma"/>
            <family val="2"/>
          </rPr>
          <t>Nhập tên Cơ sở MN Tư thục!</t>
        </r>
        <r>
          <rPr>
            <sz val="9"/>
            <color indexed="81"/>
            <rFont val="Tahoma"/>
            <family val="2"/>
          </rPr>
          <t xml:space="preserve">
</t>
        </r>
      </text>
    </comment>
    <comment ref="B14" authorId="1" shapeId="0">
      <text>
        <r>
          <rPr>
            <b/>
            <sz val="9"/>
            <color indexed="81"/>
            <rFont val="Tahoma"/>
            <family val="2"/>
          </rPr>
          <t>Nhập tên Cơ sở MN Tư thục!</t>
        </r>
        <r>
          <rPr>
            <sz val="9"/>
            <color indexed="81"/>
            <rFont val="Tahoma"/>
            <family val="2"/>
          </rPr>
          <t xml:space="preserve">
</t>
        </r>
      </text>
    </comment>
    <comment ref="B15" authorId="1" shapeId="0">
      <text>
        <r>
          <rPr>
            <b/>
            <sz val="9"/>
            <color indexed="81"/>
            <rFont val="Tahoma"/>
            <family val="2"/>
          </rPr>
          <t>Nhập tên Cơ sở MN Tư thục!</t>
        </r>
        <r>
          <rPr>
            <sz val="9"/>
            <color indexed="81"/>
            <rFont val="Tahoma"/>
            <family val="2"/>
          </rPr>
          <t xml:space="preserve">
</t>
        </r>
      </text>
    </comment>
    <comment ref="B16" authorId="1" shapeId="0">
      <text>
        <r>
          <rPr>
            <b/>
            <sz val="9"/>
            <color indexed="81"/>
            <rFont val="Tahoma"/>
            <family val="2"/>
          </rPr>
          <t>Nhập tên Cơ sở MN Tư thục!</t>
        </r>
        <r>
          <rPr>
            <sz val="9"/>
            <color indexed="81"/>
            <rFont val="Tahoma"/>
            <family val="2"/>
          </rPr>
          <t xml:space="preserve">
</t>
        </r>
      </text>
    </comment>
    <comment ref="B17" authorId="1" shapeId="0">
      <text>
        <r>
          <rPr>
            <b/>
            <sz val="9"/>
            <color indexed="81"/>
            <rFont val="Tahoma"/>
            <family val="2"/>
          </rPr>
          <t>Nhập tên Cơ sở MN Tư thục!</t>
        </r>
        <r>
          <rPr>
            <sz val="9"/>
            <color indexed="81"/>
            <rFont val="Tahoma"/>
            <family val="2"/>
          </rPr>
          <t xml:space="preserve">
</t>
        </r>
      </text>
    </comment>
    <comment ref="B18" authorId="1" shapeId="0">
      <text>
        <r>
          <rPr>
            <b/>
            <sz val="9"/>
            <color indexed="81"/>
            <rFont val="Tahoma"/>
            <family val="2"/>
          </rPr>
          <t>Nhập tên Cơ sở MN Tư thục!</t>
        </r>
        <r>
          <rPr>
            <sz val="9"/>
            <color indexed="81"/>
            <rFont val="Tahoma"/>
            <family val="2"/>
          </rPr>
          <t xml:space="preserve">
</t>
        </r>
      </text>
    </comment>
    <comment ref="B19" authorId="1" shapeId="0">
      <text>
        <r>
          <rPr>
            <b/>
            <sz val="9"/>
            <color indexed="81"/>
            <rFont val="Tahoma"/>
            <family val="2"/>
          </rPr>
          <t>Nhập tên Cơ sở MN Tư thục!</t>
        </r>
        <r>
          <rPr>
            <sz val="9"/>
            <color indexed="81"/>
            <rFont val="Tahoma"/>
            <family val="2"/>
          </rPr>
          <t xml:space="preserve">
</t>
        </r>
      </text>
    </comment>
    <comment ref="B20" authorId="1" shapeId="0">
      <text>
        <r>
          <rPr>
            <b/>
            <sz val="9"/>
            <color indexed="81"/>
            <rFont val="Tahoma"/>
            <family val="2"/>
          </rPr>
          <t>Nhập tên Cơ sở MN Tư thục!</t>
        </r>
        <r>
          <rPr>
            <sz val="9"/>
            <color indexed="81"/>
            <rFont val="Tahoma"/>
            <family val="2"/>
          </rPr>
          <t xml:space="preserve">
</t>
        </r>
      </text>
    </comment>
    <comment ref="B21" authorId="1" shapeId="0">
      <text>
        <r>
          <rPr>
            <b/>
            <sz val="9"/>
            <color indexed="81"/>
            <rFont val="Tahoma"/>
            <family val="2"/>
          </rPr>
          <t>Nhập tên Cơ sở MN Tư thục!</t>
        </r>
        <r>
          <rPr>
            <sz val="9"/>
            <color indexed="81"/>
            <rFont val="Tahoma"/>
            <family val="2"/>
          </rPr>
          <t xml:space="preserve">
</t>
        </r>
      </text>
    </comment>
    <comment ref="B22" authorId="1" shapeId="0">
      <text>
        <r>
          <rPr>
            <b/>
            <sz val="9"/>
            <color indexed="81"/>
            <rFont val="Tahoma"/>
            <family val="2"/>
          </rPr>
          <t>Nhập tên Cơ sở MN Tư thục!</t>
        </r>
        <r>
          <rPr>
            <sz val="9"/>
            <color indexed="81"/>
            <rFont val="Tahoma"/>
            <family val="2"/>
          </rPr>
          <t xml:space="preserve">
</t>
        </r>
      </text>
    </comment>
    <comment ref="B23" authorId="1" shapeId="0">
      <text>
        <r>
          <rPr>
            <b/>
            <sz val="9"/>
            <color indexed="81"/>
            <rFont val="Tahoma"/>
            <family val="2"/>
          </rPr>
          <t>Nhập tên Cơ sở MN Tư thục!</t>
        </r>
        <r>
          <rPr>
            <sz val="9"/>
            <color indexed="81"/>
            <rFont val="Tahoma"/>
            <family val="2"/>
          </rPr>
          <t xml:space="preserve">
</t>
        </r>
      </text>
    </comment>
  </commentList>
</comments>
</file>

<file path=xl/comments6.xml><?xml version="1.0" encoding="utf-8"?>
<comments xmlns="http://schemas.openxmlformats.org/spreadsheetml/2006/main">
  <authors>
    <author>CAMRANH COMPUTER</author>
  </authors>
  <commentList>
    <comment ref="T4" authorId="0" shapeId="0">
      <text>
        <r>
          <rPr>
            <b/>
            <sz val="9"/>
            <color indexed="81"/>
            <rFont val="Tahoma"/>
            <family val="2"/>
          </rPr>
          <t>Ghi rõ dạng tật (nếu là Khuyết tật)!</t>
        </r>
      </text>
    </comment>
  </commentList>
</comments>
</file>

<file path=xl/comments7.xml><?xml version="1.0" encoding="utf-8"?>
<comments xmlns="http://schemas.openxmlformats.org/spreadsheetml/2006/main">
  <authors>
    <author>HO VAN PHUC TRAN</author>
  </authors>
  <commentList>
    <comment ref="N20" authorId="0" shapeId="0">
      <text>
        <r>
          <rPr>
            <b/>
            <sz val="9"/>
            <color indexed="81"/>
            <rFont val="Tahoma"/>
            <family val="2"/>
          </rPr>
          <t>Nhập số HS!</t>
        </r>
      </text>
    </comment>
    <comment ref="N21" authorId="0" shapeId="0">
      <text>
        <r>
          <rPr>
            <b/>
            <sz val="9"/>
            <color indexed="81"/>
            <rFont val="Tahoma"/>
            <family val="2"/>
          </rPr>
          <t>Nhập số HS!</t>
        </r>
      </text>
    </comment>
    <comment ref="Q21" authorId="0" shapeId="0">
      <text>
        <r>
          <rPr>
            <b/>
            <sz val="9"/>
            <color indexed="81"/>
            <rFont val="Tahoma"/>
            <family val="2"/>
          </rPr>
          <t>Nhập số HS!</t>
        </r>
      </text>
    </comment>
    <comment ref="Q22" authorId="0" shapeId="0">
      <text>
        <r>
          <rPr>
            <b/>
            <sz val="9"/>
            <color indexed="81"/>
            <rFont val="Tahoma"/>
            <family val="2"/>
          </rPr>
          <t>Nhập số HS!</t>
        </r>
      </text>
    </comment>
    <comment ref="Q23" authorId="0" shapeId="0">
      <text>
        <r>
          <rPr>
            <b/>
            <sz val="9"/>
            <color indexed="81"/>
            <rFont val="Tahoma"/>
            <family val="2"/>
          </rPr>
          <t>Nhập số HS!</t>
        </r>
      </text>
    </comment>
    <comment ref="Q24" authorId="0" shapeId="0">
      <text>
        <r>
          <rPr>
            <b/>
            <sz val="9"/>
            <color indexed="81"/>
            <rFont val="Tahoma"/>
            <family val="2"/>
          </rPr>
          <t>Nhập số HS!</t>
        </r>
      </text>
    </comment>
    <comment ref="Q25" authorId="0" shapeId="0">
      <text>
        <r>
          <rPr>
            <b/>
            <sz val="9"/>
            <color indexed="81"/>
            <rFont val="Tahoma"/>
            <family val="2"/>
          </rPr>
          <t>Nhập số HS!</t>
        </r>
      </text>
    </comment>
  </commentList>
</comments>
</file>

<file path=xl/comments8.xml><?xml version="1.0" encoding="utf-8"?>
<comments xmlns="http://schemas.openxmlformats.org/spreadsheetml/2006/main">
  <authors>
    <author>CAMRANH COMPUTER</author>
  </authors>
  <commentList>
    <comment ref="T4" authorId="0" shapeId="0">
      <text>
        <r>
          <rPr>
            <b/>
            <sz val="9"/>
            <color indexed="81"/>
            <rFont val="Tahoma"/>
            <family val="2"/>
          </rPr>
          <t>Ghi rõ dạng tật (Nếu Khuyết tật)</t>
        </r>
      </text>
    </comment>
  </commentList>
</comments>
</file>

<file path=xl/comments9.xml><?xml version="1.0" encoding="utf-8"?>
<comments xmlns="http://schemas.openxmlformats.org/spreadsheetml/2006/main">
  <authors>
    <author>HO VAN PHUC TRAN</author>
  </authors>
  <commentList>
    <comment ref="M20" authorId="0" shapeId="0">
      <text>
        <r>
          <rPr>
            <b/>
            <sz val="9"/>
            <color indexed="81"/>
            <rFont val="Tahoma"/>
            <family val="2"/>
          </rPr>
          <t>Nhập số HS!</t>
        </r>
      </text>
    </comment>
    <comment ref="M21" authorId="0" shapeId="0">
      <text>
        <r>
          <rPr>
            <b/>
            <sz val="9"/>
            <color indexed="81"/>
            <rFont val="Tahoma"/>
            <family val="2"/>
          </rPr>
          <t>Nhập số HS!</t>
        </r>
      </text>
    </comment>
    <comment ref="P21" authorId="0" shapeId="0">
      <text>
        <r>
          <rPr>
            <b/>
            <sz val="9"/>
            <color indexed="81"/>
            <rFont val="Tahoma"/>
            <family val="2"/>
          </rPr>
          <t>Nhập số HS!</t>
        </r>
      </text>
    </comment>
    <comment ref="P22" authorId="0" shapeId="0">
      <text>
        <r>
          <rPr>
            <b/>
            <sz val="9"/>
            <color indexed="81"/>
            <rFont val="Tahoma"/>
            <family val="2"/>
          </rPr>
          <t>Nhập số HS!</t>
        </r>
      </text>
    </comment>
    <comment ref="P23" authorId="0" shapeId="0">
      <text>
        <r>
          <rPr>
            <b/>
            <sz val="9"/>
            <color indexed="81"/>
            <rFont val="Tahoma"/>
            <family val="2"/>
          </rPr>
          <t>Nhập số HS!</t>
        </r>
      </text>
    </comment>
    <comment ref="P24" authorId="0" shapeId="0">
      <text>
        <r>
          <rPr>
            <b/>
            <sz val="9"/>
            <color indexed="81"/>
            <rFont val="Tahoma"/>
            <family val="2"/>
          </rPr>
          <t>Nhập số HS!</t>
        </r>
      </text>
    </comment>
    <comment ref="P26" authorId="0" shapeId="0">
      <text>
        <r>
          <rPr>
            <b/>
            <sz val="9"/>
            <color indexed="81"/>
            <rFont val="Tahoma"/>
            <family val="2"/>
          </rPr>
          <t>Nhập số HS!</t>
        </r>
      </text>
    </comment>
    <comment ref="P27" authorId="0" shapeId="0">
      <text>
        <r>
          <rPr>
            <b/>
            <sz val="9"/>
            <color indexed="81"/>
            <rFont val="Tahoma"/>
            <family val="2"/>
          </rPr>
          <t>Nhập số HS!</t>
        </r>
      </text>
    </comment>
  </commentList>
</comments>
</file>

<file path=xl/sharedStrings.xml><?xml version="1.0" encoding="utf-8"?>
<sst xmlns="http://schemas.openxmlformats.org/spreadsheetml/2006/main" count="1901" uniqueCount="891">
  <si>
    <t>PHÒNG GIÁO DỤC VÀ ĐÀO TẠO</t>
  </si>
  <si>
    <t>Cam Thành Nam</t>
  </si>
  <si>
    <t>Quản lý</t>
  </si>
  <si>
    <t>TRƯỜNG MẦM NON CAM THÀNH NAM</t>
  </si>
  <si>
    <t>MẦM NON CAM THÀNH NAM</t>
  </si>
  <si>
    <t>Cam Nghĩa</t>
  </si>
  <si>
    <t>Toán</t>
  </si>
  <si>
    <t>MẦM NON CAM NGHĨA</t>
  </si>
  <si>
    <t>Cam Phúc Bắc</t>
  </si>
  <si>
    <t>Ngữ văn</t>
  </si>
  <si>
    <t>TRƯỜNG MẦM NON CAM NGHĨA</t>
  </si>
  <si>
    <t>56_06_01_01</t>
  </si>
  <si>
    <t>MẦM NON TRƯỜNG SA</t>
  </si>
  <si>
    <t>Cam Phúc Nam</t>
  </si>
  <si>
    <t>Vật lý</t>
  </si>
  <si>
    <t>TRƯỜNG MẦM NON TRƯỜNG SA</t>
  </si>
  <si>
    <t>56_06_01_02</t>
  </si>
  <si>
    <t>MẦM NON CĂN CỨ CAM RANH</t>
  </si>
  <si>
    <t>Cam Lộc</t>
  </si>
  <si>
    <t>Hóa học</t>
  </si>
  <si>
    <t>TRƯỜNG MẦM NON CĂN CỨ CAM RANH</t>
  </si>
  <si>
    <t>56_06_01_03</t>
  </si>
  <si>
    <t>MẦM NON CAM PHÚC BẮC</t>
  </si>
  <si>
    <t>Cam Phú</t>
  </si>
  <si>
    <t>Sinh vật</t>
  </si>
  <si>
    <t>TRƯỜNG MẦM NON CAM PHÚC BẮC</t>
  </si>
  <si>
    <t>56_06_02_01</t>
  </si>
  <si>
    <t>MẦM NON CAM PHÚC NAM</t>
  </si>
  <si>
    <t>Cam Linh</t>
  </si>
  <si>
    <t>Lịch sử</t>
  </si>
  <si>
    <t>TRƯỜNG MẦM NON CAM PHÚC NAM</t>
  </si>
  <si>
    <t>56_06_02_02</t>
  </si>
  <si>
    <t>MẦM NON CAM PHÚ</t>
  </si>
  <si>
    <t>Cam Thuận</t>
  </si>
  <si>
    <t>Địa lý</t>
  </si>
  <si>
    <t>TRƯỜNG MẦM NON CAM PHÚ</t>
  </si>
  <si>
    <t>56_06_02_03</t>
  </si>
  <si>
    <t>MẦM NON CAM LINH</t>
  </si>
  <si>
    <t>Cam Lợi</t>
  </si>
  <si>
    <t>TRƯỜNG MẦM NON CAM LINH</t>
  </si>
  <si>
    <t>56_06_02_04</t>
  </si>
  <si>
    <t>MẦM NON CAM THUẬN</t>
  </si>
  <si>
    <t>Ba Ngòi</t>
  </si>
  <si>
    <t>Mỹ thuật</t>
  </si>
  <si>
    <t>TRƯỜNG MẦM NON CAM THUẬN</t>
  </si>
  <si>
    <t>56_06_02_05</t>
  </si>
  <si>
    <t>MẦM NON CAM LỢI</t>
  </si>
  <si>
    <t>Cam Phước Đông</t>
  </si>
  <si>
    <t>TRƯỜNG MẦM NON CAM LỢI</t>
  </si>
  <si>
    <t>56_06_02_06</t>
  </si>
  <si>
    <t>MẦM NON BA NGÒI</t>
  </si>
  <si>
    <t>Cam Thịnh Đông</t>
  </si>
  <si>
    <t>GD Công dân</t>
  </si>
  <si>
    <t>TRƯỜNG MẦM NON BA NGÒI</t>
  </si>
  <si>
    <t>56_06_02_07</t>
  </si>
  <si>
    <t>Cam Thịnh Tây</t>
  </si>
  <si>
    <t>Công nghệ</t>
  </si>
  <si>
    <t>56_06_02_08</t>
  </si>
  <si>
    <t>MẦM NON HOA MAI</t>
  </si>
  <si>
    <t>Cam Lập</t>
  </si>
  <si>
    <t>Tin học</t>
  </si>
  <si>
    <t>TRƯỜNG MẦM NON HOA MAI</t>
  </si>
  <si>
    <t>56_06_02_09</t>
  </si>
  <si>
    <t>MẦM NON 2/4</t>
  </si>
  <si>
    <t>Cam Bình</t>
  </si>
  <si>
    <t>Tiếng Anh</t>
  </si>
  <si>
    <t>TRƯỜNG MẦM NON 2/4</t>
  </si>
  <si>
    <t>56_06_02_10</t>
  </si>
  <si>
    <t>MẦM NON CAM PHƯỚC ĐÔNG</t>
  </si>
  <si>
    <t>Huyện khác</t>
  </si>
  <si>
    <t>Tiếng Nga</t>
  </si>
  <si>
    <t>TRƯỜNG MẦM NON CAM PHƯỚC ĐÔNG</t>
  </si>
  <si>
    <t>56_06_02_11</t>
  </si>
  <si>
    <t>MẦM NON CAM THỊNH ĐÔNG</t>
  </si>
  <si>
    <t>Tỉnh khác</t>
  </si>
  <si>
    <t>Tiếng Pháp</t>
  </si>
  <si>
    <t>TRƯỜNG MẦM NON CAM THỊNH ĐÔNG</t>
  </si>
  <si>
    <t>56_06_03_01</t>
  </si>
  <si>
    <t>MẦM NON CAM THỊNH TÂY</t>
  </si>
  <si>
    <t>N.Ngữ khác</t>
  </si>
  <si>
    <t>TRƯỜNG MẦM NON CAM THỊNH TÂY</t>
  </si>
  <si>
    <t>MẦM NON CAM LẬP</t>
  </si>
  <si>
    <t>TPT.Đội</t>
  </si>
  <si>
    <t>TRƯỜNG MẦM NON CAM LẬP</t>
  </si>
  <si>
    <t>56_06_03_03</t>
  </si>
  <si>
    <t>MẦM NON CAM BÌNH</t>
  </si>
  <si>
    <t>Thư viện</t>
  </si>
  <si>
    <t>TRƯỜNG MẦM NON CAM BÌNH</t>
  </si>
  <si>
    <t>56_06_03_04</t>
  </si>
  <si>
    <t>T.Bị-T.nghiệm</t>
  </si>
  <si>
    <t>56_06_03_05</t>
  </si>
  <si>
    <t>TIỂU HỌC CAM NGHĨA 1</t>
  </si>
  <si>
    <t>Văn phòng</t>
  </si>
  <si>
    <t>56_06_03_06</t>
  </si>
  <si>
    <t>TIỂU HỌC CAM NGHĨA 2</t>
  </si>
  <si>
    <t>Y tế</t>
  </si>
  <si>
    <t>Khác</t>
  </si>
  <si>
    <t>56_06_03_08</t>
  </si>
  <si>
    <t>56_06_03_09</t>
  </si>
  <si>
    <t>56_06_04_01</t>
  </si>
  <si>
    <t>TIỂU HỌC CAM PHÚ</t>
  </si>
  <si>
    <t>56_06_04_02</t>
  </si>
  <si>
    <t>TIỂU HỌC CAM LINH</t>
  </si>
  <si>
    <t>56_06_04_03</t>
  </si>
  <si>
    <t>TIỂU HỌC CAM THUẬN</t>
  </si>
  <si>
    <t>56_06_04_05</t>
  </si>
  <si>
    <t>TIỂU HỌC CAM LỢI</t>
  </si>
  <si>
    <t>56_06_06_01</t>
  </si>
  <si>
    <t>TIỂU HỌC BA NGÒI</t>
  </si>
  <si>
    <t>56_06_06_02</t>
  </si>
  <si>
    <t>TIỂU HỌC CAM LỘC 1</t>
  </si>
  <si>
    <t>56_06_06_03</t>
  </si>
  <si>
    <t>TIỂU HỌC CAM LỘC 2</t>
  </si>
  <si>
    <t>56_06_06_04</t>
  </si>
  <si>
    <t>TIỂU HỌC CAM PHƯỚC ĐÔNG 1</t>
  </si>
  <si>
    <t>56_06_06_05</t>
  </si>
  <si>
    <t>TIỂU HỌC CAM PHƯỚC ĐÔNG 2</t>
  </si>
  <si>
    <t>56_06_06_06</t>
  </si>
  <si>
    <t>TIỂU HỌC CAM THỊNH ĐÔNG</t>
  </si>
  <si>
    <t>56_06_06_08</t>
  </si>
  <si>
    <t>TIỂU HỌC CAM THỊNH TÂY</t>
  </si>
  <si>
    <t>56_06_07_01</t>
  </si>
  <si>
    <t>56_06_07_02</t>
  </si>
  <si>
    <t>TH&amp;THCS CAM LẬP</t>
  </si>
  <si>
    <t>TRƯỜNG TH&amp;THCS CAM LẬP</t>
  </si>
  <si>
    <t>56_06_07_03</t>
  </si>
  <si>
    <t>TH&amp;THCS BÌNH HƯNG</t>
  </si>
  <si>
    <t>TRƯỜNG TH&amp;THCS BÌNH HƯNG</t>
  </si>
  <si>
    <t>56_06_07_04</t>
  </si>
  <si>
    <t>TH&amp;THCS BÌNH BA</t>
  </si>
  <si>
    <t>TRƯỜNG TH&amp;THCS BÌNH BA</t>
  </si>
  <si>
    <t>56_06_07_05</t>
  </si>
  <si>
    <t>56_06_07_06</t>
  </si>
  <si>
    <t>THCS NGUYỄN VĂN TRỖI</t>
  </si>
  <si>
    <t>TRƯỜNG THCS NGUYỄN VĂN TRỖI</t>
  </si>
  <si>
    <t>56_06_07_07</t>
  </si>
  <si>
    <t>THCS NGUYỄN THỊ MINH KHAI</t>
  </si>
  <si>
    <t>TRƯỜNG THCS NGUYỄN THỊ MINH KHAI</t>
  </si>
  <si>
    <t>56_06_07_08</t>
  </si>
  <si>
    <t>56_06_07_09</t>
  </si>
  <si>
    <t>THCS LÊ HỒNG PHONG</t>
  </si>
  <si>
    <t>TRƯỜNG THCS LÊ HỒNG PHONG</t>
  </si>
  <si>
    <t>56_06_08_01</t>
  </si>
  <si>
    <t>THCS NGUYỄN TRỌNG KỶ</t>
  </si>
  <si>
    <t>TRƯỜNG THCS NGUYỄN TRỌNG KỶ</t>
  </si>
  <si>
    <t>56_06_08_02</t>
  </si>
  <si>
    <t>THCS TRẦN PHÚ</t>
  </si>
  <si>
    <t>TRƯỜNG THCS TRẦN PHÚ</t>
  </si>
  <si>
    <t>56_06_08_03</t>
  </si>
  <si>
    <t>THCS NGUYỄN DU</t>
  </si>
  <si>
    <t>TRƯỜNG THCS NGUYỄN DU</t>
  </si>
  <si>
    <t>56_06_08_04</t>
  </si>
  <si>
    <t>THCS NGUYỄN KHUYẾN</t>
  </si>
  <si>
    <t>TRƯỜNG THCS NGUYỄN KHUYẾN</t>
  </si>
  <si>
    <t>56_06_08_05</t>
  </si>
  <si>
    <t>THCS CAM THỊNH TÂY</t>
  </si>
  <si>
    <t>TRƯỜNG THCS CAM THỊNH TÂY</t>
  </si>
  <si>
    <t>56_06_08_06</t>
  </si>
  <si>
    <t>PHỔ THÔNG DÂN TỘC NỘI TRÚ CAM RANH</t>
  </si>
  <si>
    <t>TRƯỜNG PTDT NỘI TRÚ CAM RANH</t>
  </si>
  <si>
    <t>56_06_08_07</t>
  </si>
  <si>
    <t>56_06_08_08</t>
  </si>
  <si>
    <t>56_06_08_09</t>
  </si>
  <si>
    <t>56_06_09_01</t>
  </si>
  <si>
    <t>56_06_09_02</t>
  </si>
  <si>
    <t>56_06_09_05</t>
  </si>
  <si>
    <t>56_06_09_06</t>
  </si>
  <si>
    <t>56_06_09_07</t>
  </si>
  <si>
    <t>56_06_09_08</t>
  </si>
  <si>
    <t>56_06_10_01</t>
  </si>
  <si>
    <t>Trà Long 1</t>
  </si>
  <si>
    <t>56_06_10_02</t>
  </si>
  <si>
    <t>Trà Long 2</t>
  </si>
  <si>
    <t>56_06_10_03</t>
  </si>
  <si>
    <t>Khánh Cam 1</t>
  </si>
  <si>
    <t>56_06_10_04</t>
  </si>
  <si>
    <t>Khánh Cam 2</t>
  </si>
  <si>
    <t>56_06_10_05</t>
  </si>
  <si>
    <t>Sơn Long</t>
  </si>
  <si>
    <t>Hương Long</t>
  </si>
  <si>
    <t>Tây Sơn</t>
  </si>
  <si>
    <t>Ngô Mây</t>
  </si>
  <si>
    <t>56_06_11_01</t>
  </si>
  <si>
    <t>56_06_11_02</t>
  </si>
  <si>
    <t>56_06_11_03</t>
  </si>
  <si>
    <t>56_06_11_04</t>
  </si>
  <si>
    <t>56_06_11_05</t>
  </si>
  <si>
    <t>56_06_11_06</t>
  </si>
  <si>
    <t>56_06_11_07</t>
  </si>
  <si>
    <t>56_06_12_01</t>
  </si>
  <si>
    <t>56_06_12_02</t>
  </si>
  <si>
    <t>56_06_12_03</t>
  </si>
  <si>
    <t>56_06_12_04</t>
  </si>
  <si>
    <t>56_06_12_05</t>
  </si>
  <si>
    <t>56_06_12_06</t>
  </si>
  <si>
    <t>56_06_13_01</t>
  </si>
  <si>
    <t>56_06_13_02</t>
  </si>
  <si>
    <t>56_06_13_03</t>
  </si>
  <si>
    <t>56_06_13_04</t>
  </si>
  <si>
    <t>56_06_14_02</t>
  </si>
  <si>
    <t>56_06_14_03</t>
  </si>
  <si>
    <t>56_06_14_04</t>
  </si>
  <si>
    <t>56_06_15_01</t>
  </si>
  <si>
    <t>56_06_15_200X</t>
  </si>
  <si>
    <t>Bình Lập</t>
  </si>
  <si>
    <t>56_06_16_01</t>
  </si>
  <si>
    <t>56_06_16_02</t>
  </si>
  <si>
    <t>56_06_16_03</t>
  </si>
  <si>
    <t>56_06_16_05</t>
  </si>
  <si>
    <t>56_06_16_06</t>
  </si>
  <si>
    <t>56_06_16_07</t>
  </si>
  <si>
    <t>Độc lập - Tự do - Hạnh phúc</t>
  </si>
  <si>
    <t>TỔNG HỢP DANH SÁCH  HỌC SINH -CBQL,GIÁO VIÊN, NHÂN VIÊN - THỐNG KÊ CƠ SỞ VẬT CHẤT, ĐỘ TUỔI</t>
  </si>
  <si>
    <t>NĂM HỌC</t>
  </si>
  <si>
    <t>TT</t>
  </si>
  <si>
    <t>Khối</t>
  </si>
  <si>
    <t>Lớp/ Nhóm</t>
  </si>
  <si>
    <t>Họ và</t>
  </si>
  <si>
    <t>Tên</t>
  </si>
  <si>
    <t xml:space="preserve"> Nữ (X)</t>
  </si>
  <si>
    <t>Dân tộc</t>
  </si>
  <si>
    <t>THEO HỒ SƠ NHẬP HỌC</t>
  </si>
  <si>
    <t>Tên Cha</t>
  </si>
  <si>
    <t>Tên Mẹ</t>
  </si>
  <si>
    <t>Mã số PC</t>
  </si>
  <si>
    <t xml:space="preserve">Ngày </t>
  </si>
  <si>
    <t>Tháng</t>
  </si>
  <si>
    <t>Năm</t>
  </si>
  <si>
    <t>Phường / Xã</t>
  </si>
  <si>
    <t>Chủ hộ</t>
  </si>
  <si>
    <t>TDP
/Thôn</t>
  </si>
  <si>
    <t>Anh</t>
  </si>
  <si>
    <t>Số điện thoại</t>
  </si>
  <si>
    <t>Sinh</t>
  </si>
  <si>
    <t>THỐNG KÊ TUỔI THEO LỚP HỌC</t>
  </si>
  <si>
    <t>Năm sinh</t>
  </si>
  <si>
    <t>Toàn trường</t>
  </si>
  <si>
    <t>Độ tuổi</t>
  </si>
  <si>
    <t>Tổng số</t>
  </si>
  <si>
    <t>Nữ</t>
  </si>
  <si>
    <t>Khuyết tật</t>
  </si>
  <si>
    <t>THỐNG KÊ TRẺ  HT CTMN 5 TUỔI NĂM QUA -TIẾP TỤC HỌC TIỂU HỌC</t>
  </si>
  <si>
    <t>Số lượng</t>
  </si>
  <si>
    <t>Tỉ lệ</t>
  </si>
  <si>
    <t>Tiếp tục
học</t>
  </si>
  <si>
    <t>TS cháu 5 tuổi (năm qua)</t>
  </si>
  <si>
    <t>Cháu HTMN Công lập</t>
  </si>
  <si>
    <t>Tiểu học</t>
  </si>
  <si>
    <t>Cháu HTMN Tư thục</t>
  </si>
  <si>
    <t>Cộng</t>
  </si>
  <si>
    <t>Lưu ý: Cần phải</t>
  </si>
  <si>
    <t>- Chọn tên trường!</t>
  </si>
  <si>
    <t>- Chọn Năm học!</t>
  </si>
  <si>
    <t>KHỐI</t>
  </si>
  <si>
    <t>TS</t>
  </si>
  <si>
    <t>DTTS</t>
  </si>
  <si>
    <t>KT hòa nhập</t>
  </si>
  <si>
    <t>Đã ra lớp</t>
  </si>
  <si>
    <t>Thống kê theo HKTT nhập học</t>
  </si>
  <si>
    <t>Tại chỗ</t>
  </si>
  <si>
    <t>Nơi khác đến</t>
  </si>
  <si>
    <t>5-6 tuổi</t>
  </si>
  <si>
    <t>4-5 tuổi</t>
  </si>
  <si>
    <t>3-4 tuổi</t>
  </si>
  <si>
    <t>25-36 tháng</t>
  </si>
  <si>
    <t>13-24 tháng</t>
  </si>
  <si>
    <t>* Huyện khác/ Tỉnh khác (khi HS không có giấy tạm trú hoặc HK thường trú tại Cam Ranh)</t>
  </si>
  <si>
    <t>NGƯỜI LẬP BẢNG</t>
  </si>
  <si>
    <t xml:space="preserve">            </t>
  </si>
  <si>
    <t>(Tính đến thời điểm tháng 9</t>
  </si>
  <si>
    <t>DANH SÁCH CÁN BỘ - GIÁO VIÊN - NHÂN VIÊN MẦM NON</t>
  </si>
  <si>
    <t>Số TT</t>
  </si>
  <si>
    <t>Họ và tên</t>
  </si>
  <si>
    <t>Ngày/tháng/
năm sinh</t>
  </si>
  <si>
    <t>Nữ
(X)</t>
  </si>
  <si>
    <t>Chức vụ,
chức danh</t>
  </si>
  <si>
    <t>Nhiệm vụ/ môn giảng dạy chính</t>
  </si>
  <si>
    <t>Năm tuyển dụng</t>
  </si>
  <si>
    <t>Trình độ chuyên môn cao nhất</t>
  </si>
  <si>
    <t>Biên chế</t>
  </si>
  <si>
    <t>Hợp đồng</t>
  </si>
  <si>
    <t>XL chuẩn nghề nghiệp</t>
  </si>
  <si>
    <t>Ghi chú</t>
  </si>
  <si>
    <t>Vào cơ quan Nhà nước</t>
  </si>
  <si>
    <t>Vào đơn vị đang làm việc</t>
  </si>
  <si>
    <t>Trình độ đào tạo</t>
  </si>
  <si>
    <t>Chuyên ngành được đào tạo</t>
  </si>
  <si>
    <t>Hệ đào tạo</t>
  </si>
  <si>
    <t>Hiệu trưởng</t>
  </si>
  <si>
    <t>Tốt</t>
  </si>
  <si>
    <t>Mẫu</t>
  </si>
  <si>
    <t>Giáo viên</t>
  </si>
  <si>
    <t>Đạt</t>
  </si>
  <si>
    <t>Khá</t>
  </si>
  <si>
    <t>Nhân viên</t>
  </si>
  <si>
    <t>Cam Lộc, ngày 05 tháng 10 năm 2021</t>
  </si>
  <si>
    <t>HIỆU TRƯỞNG</t>
  </si>
  <si>
    <t>Tỉnh Khánh Hòa</t>
  </si>
  <si>
    <t>THỐNG KÊ ĐỘI NGŨ CÁN BỘ QUẢN LÝ, GIÁO VIÊN, NHÂN VIÊN PCGDMN CHO TRẺ EM 5 TUỔI</t>
  </si>
  <si>
    <t>Mẫu: MN-01-GV</t>
  </si>
  <si>
    <t>Thành phố Cam Ranh</t>
  </si>
  <si>
    <t>Trường/nhóm lớp độc lập</t>
  </si>
  <si>
    <t>CBQL, giáo viên, nhân viên</t>
  </si>
  <si>
    <t>Giáo viên dạy MG 5 tuổi</t>
  </si>
  <si>
    <t>Hợp đồng làm việc</t>
  </si>
  <si>
    <t>Hợp đồng
lao động</t>
  </si>
  <si>
    <t>CBQL</t>
  </si>
  <si>
    <t>Hợp đồng lao động</t>
  </si>
  <si>
    <t>Tỉ lệ GV/Lớp</t>
  </si>
  <si>
    <t>Đạt chuẩn nghề nghiệp</t>
  </si>
  <si>
    <t>Được hưởng CĐ, CS theo quy định</t>
  </si>
  <si>
    <t>Phó Hiệu trưởng</t>
  </si>
  <si>
    <t xml:space="preserve">  Dân tộc thiểu số</t>
  </si>
  <si>
    <t>Tỉ lệ GV/lớp</t>
  </si>
  <si>
    <t>Đạt chuẩn</t>
  </si>
  <si>
    <t>Trên chuẩn</t>
  </si>
  <si>
    <t>3 = 7+9+12</t>
  </si>
  <si>
    <t>Cộng Công lập</t>
  </si>
  <si>
    <t>CỘNG</t>
  </si>
  <si>
    <t>NGƯỜI LẬP BIỂU</t>
  </si>
  <si>
    <t>HIỆU TRƯỞNG MẦM NON</t>
  </si>
  <si>
    <t>TM.ỦY BAN NHÂN DÂN</t>
  </si>
  <si>
    <t>Tổng
số</t>
  </si>
  <si>
    <t>Điểm Tư thục 4</t>
  </si>
  <si>
    <t>Điểm Tư thục 5</t>
  </si>
  <si>
    <t>Điểm Tư thục 6</t>
  </si>
  <si>
    <t>Điểm Tư thục 7</t>
  </si>
  <si>
    <t>Điểm Tư thục 8</t>
  </si>
  <si>
    <t>Điểm Tư thục 9</t>
  </si>
  <si>
    <t>Điểm Tư thục 10</t>
  </si>
  <si>
    <t>Điểm Tư thục 11</t>
  </si>
  <si>
    <t>Điểm Tư thục 12</t>
  </si>
  <si>
    <t>THỐNG KÊ CƠ SỞ VẬT CHẤT PHỔ CẬP GIÁO DỤC MẦM NON CHO TRẺ EM 5 TUỔI</t>
  </si>
  <si>
    <t>Mẫu: MN-01-CSVC</t>
  </si>
  <si>
    <t>Trường/nhóm lớp độc lập tư thục</t>
  </si>
  <si>
    <t>Điểm trường</t>
  </si>
  <si>
    <t>Tổng số phòng học</t>
  </si>
  <si>
    <t xml:space="preserve">Số lớp, nhóm </t>
  </si>
  <si>
    <t xml:space="preserve">Phòng học cho lớp MG 5 tuổi  </t>
  </si>
  <si>
    <t>Phòng hoặc khu VS</t>
  </si>
  <si>
    <t>CT Nước sạch</t>
  </si>
  <si>
    <t>Bếp ăn</t>
  </si>
  <si>
    <t xml:space="preserve">Sân và đồ chơi     </t>
  </si>
  <si>
    <t>Số lớp MG 5 tuổi</t>
  </si>
  <si>
    <t>Số lớp, nhóm dưới 5 tuổi</t>
  </si>
  <si>
    <t>Tỷ lệ Ph/L</t>
  </si>
  <si>
    <t>Kiên cố</t>
  </si>
  <si>
    <t>Bán kiên cố</t>
  </si>
  <si>
    <t>Phòng học khác (tạm, nhờ)</t>
  </si>
  <si>
    <t>Đủ bộ TBị, ĐD, ĐC</t>
  </si>
  <si>
    <t>Sân chơi</t>
  </si>
  <si>
    <t>Tr đó:  Sân có   ĐC</t>
  </si>
  <si>
    <t xml:space="preserve">Tổng số </t>
  </si>
  <si>
    <t>Tr.đó, lớp
ghép 5 tuổi</t>
  </si>
  <si>
    <t>Số lớp học 2 buổi/ ngày</t>
  </si>
  <si>
    <t>DTBQ phòng sinh hoạt chung (m2)</t>
  </si>
  <si>
    <t>SL</t>
  </si>
  <si>
    <t>9=11+13+15</t>
  </si>
  <si>
    <t>10=9/5</t>
  </si>
  <si>
    <t>CỘNG Công lập</t>
  </si>
  <si>
    <t>CỘNG Tư thục</t>
  </si>
  <si>
    <t>Cam …, ngày ...tháng ...năm 2022</t>
  </si>
  <si>
    <t xml:space="preserve">Phường/ xã: </t>
  </si>
  <si>
    <t xml:space="preserve">Phường / xã: </t>
  </si>
  <si>
    <t>ngày 01 tháng 10 năm 2021</t>
  </si>
  <si>
    <t>…………</t>
  </si>
  <si>
    <t>………………..</t>
  </si>
  <si>
    <t>Cam ….., ngày ... tháng ... năm 202…</t>
  </si>
  <si>
    <t>Lớp</t>
  </si>
  <si>
    <t>Ngày /tháng/nămsinh</t>
  </si>
  <si>
    <t>Nữ
(x)</t>
  </si>
  <si>
    <t>Tên
Dân tộc</t>
  </si>
  <si>
    <t>Lưu ban
(x)</t>
  </si>
  <si>
    <t>Nơi HTCTMN</t>
  </si>
  <si>
    <t>TDP/Thôn</t>
  </si>
  <si>
    <t>(MẪU)</t>
  </si>
  <si>
    <t>Trường</t>
  </si>
  <si>
    <t>Nga</t>
  </si>
  <si>
    <t>K.
tật
(x)</t>
  </si>
  <si>
    <t>THỐNG KÊ HỌC SINH HT CTTH NĂM QUA -TIẾP TỤC HỌC THCS/TX/Nghề</t>
  </si>
  <si>
    <t>TS HS lớp 5 (năm qua)</t>
  </si>
  <si>
    <t>HT CTTH hệ PT</t>
  </si>
  <si>
    <t>THCS</t>
  </si>
  <si>
    <t>HT CTTH hệ TX</t>
  </si>
  <si>
    <t>TT GDTX</t>
  </si>
  <si>
    <t>Nghề</t>
  </si>
  <si>
    <t>.....</t>
  </si>
  <si>
    <t>......</t>
  </si>
  <si>
    <t>(Tính đến thời điểm  tháng .... năm 202....)</t>
  </si>
  <si>
    <t>Lưu ban</t>
  </si>
  <si>
    <t>NGƯỜI THỐNG KÊ</t>
  </si>
  <si>
    <t>DANH SÁCH CÁN BỘ - GIÁO VIÊN - NHÂN VIÊN TIỂU HỌC</t>
  </si>
  <si>
    <t>Họ và tên
(*)</t>
  </si>
  <si>
    <t>Ngày/tháng/ năm sinh
(*)</t>
  </si>
  <si>
    <t>Chức vụ,
chức danh
(*)</t>
  </si>
  <si>
    <t>Nhiệm vụ/ môn giảng dạy chính
(*)</t>
  </si>
  <si>
    <t>Mã số chức danh nghề nghiệp</t>
  </si>
  <si>
    <t>Trình độ ngoại ngữ</t>
  </si>
  <si>
    <t>Trình độ tin học</t>
  </si>
  <si>
    <t>Chứng chỉ, bồi dưỡng nghiệp vụ</t>
  </si>
  <si>
    <t>Biên chế
(*)</t>
  </si>
  <si>
    <t>Hợp đồng
(*)</t>
  </si>
  <si>
    <t>Tên
Dân tộc
(*)</t>
  </si>
  <si>
    <t>XL chuẩn nghề nghiệp
(*)</t>
  </si>
  <si>
    <t>Trình độ đào tạo
(*)</t>
  </si>
  <si>
    <t>Ngoại ngữ</t>
  </si>
  <si>
    <t>ĐH</t>
  </si>
  <si>
    <t>Mẫu: TH-01-GV</t>
  </si>
  <si>
    <t>Hạng trường</t>
  </si>
  <si>
    <t>1-2 buổi/ngày</t>
  </si>
  <si>
    <t>P.Hiệu trưởng</t>
  </si>
  <si>
    <t>Loại hình đào tạo</t>
  </si>
  <si>
    <t>Chuẩn nghề nghiệp</t>
  </si>
  <si>
    <t>T.Viện-TBDH</t>
  </si>
  <si>
    <t>Trên ĐH</t>
  </si>
  <si>
    <t>CĐ</t>
  </si>
  <si>
    <t>THSP</t>
  </si>
  <si>
    <t>Dưới THSP</t>
  </si>
  <si>
    <t>AN</t>
  </si>
  <si>
    <t>MT</t>
  </si>
  <si>
    <t>TD</t>
  </si>
  <si>
    <t>Tin
học</t>
  </si>
  <si>
    <t>NN</t>
  </si>
  <si>
    <t>Chưa đạt</t>
  </si>
  <si>
    <t>Tổng</t>
  </si>
  <si>
    <t>Tiêu chí</t>
  </si>
  <si>
    <t>Tỷ lệ</t>
  </si>
  <si>
    <t>GV đạt chuẩn trình độ đào tạo</t>
  </si>
  <si>
    <t>GV đạt trên chuẩn trình độ đào tạo</t>
  </si>
  <si>
    <t>GV đạt yêu cầu chuẩn nghề nghiệp</t>
  </si>
  <si>
    <t>HIỆU TRƯỞNG TIỂU HỌC</t>
  </si>
  <si>
    <t>Phường / xã:</t>
  </si>
  <si>
    <t>Thời điểm: Ngày ….tháng 09 năm 202….</t>
  </si>
  <si>
    <t>Mẫu: TH-01-CSVC</t>
  </si>
  <si>
    <t>Số Đ.Tr</t>
  </si>
  <si>
    <t>Số lớp</t>
  </si>
  <si>
    <t>Số phòng học</t>
  </si>
  <si>
    <t>Số phòng chức năng</t>
  </si>
  <si>
    <t>Công trình VS</t>
  </si>
  <si>
    <t>Bãi tập</t>
  </si>
  <si>
    <t>Lớp ghép</t>
  </si>
  <si>
    <t>Tạm</t>
  </si>
  <si>
    <t>Thuê/mượn</t>
  </si>
  <si>
    <t>Tỉ lệ Ph/Lớp</t>
  </si>
  <si>
    <t>HTr</t>
  </si>
  <si>
    <t>PHT</t>
  </si>
  <si>
    <t>VP</t>
  </si>
  <si>
    <t>TT
HĐ 
Đội</t>
  </si>
  <si>
    <t>P.họp</t>
  </si>
  <si>
    <t>T.Viện</t>
  </si>
  <si>
    <t>Thiết bị</t>
  </si>
  <si>
    <t>GV</t>
  </si>
  <si>
    <t>HS</t>
  </si>
  <si>
    <t>DT
(m2)</t>
  </si>
  <si>
    <t xml:space="preserve"> Thời điểm : Tháng ... Năm : 202…..</t>
  </si>
  <si>
    <t>?</t>
  </si>
  <si>
    <t>1. Danh sách học sinh</t>
  </si>
  <si>
    <t>2. Danh sách CBGVNV</t>
  </si>
  <si>
    <t>3. Thống kê CSVC</t>
  </si>
  <si>
    <t>4. Thống kê học sinh</t>
  </si>
  <si>
    <t>5. Thống kê CBGVNV</t>
  </si>
  <si>
    <t>6. Thống kê độ tuổi.</t>
  </si>
  <si>
    <t>7. Danh sách HS chuyển đi, Bỏ học trong năm</t>
  </si>
  <si>
    <t>Tên Cha (hoặc mẹ)</t>
  </si>
  <si>
    <t>Trường nào?</t>
  </si>
  <si>
    <t>Huyện/tỉnh nào?</t>
  </si>
  <si>
    <t>Bỏ học</t>
  </si>
  <si>
    <t>Thời gian nào?</t>
  </si>
  <si>
    <t>H</t>
  </si>
  <si>
    <t>T</t>
  </si>
  <si>
    <t>BH</t>
  </si>
  <si>
    <t>KT</t>
  </si>
  <si>
    <t>HS bỏ học</t>
  </si>
  <si>
    <t>Nơi HTCTTH</t>
  </si>
  <si>
    <t>Lớp 6</t>
  </si>
  <si>
    <t>Lớp 7</t>
  </si>
  <si>
    <t>Lớp 8</t>
  </si>
  <si>
    <t>Lớp 9</t>
  </si>
  <si>
    <t>11 tuổi</t>
  </si>
  <si>
    <t>12 tuổi</t>
  </si>
  <si>
    <t>13 tuổi</t>
  </si>
  <si>
    <t>14 tuổi</t>
  </si>
  <si>
    <t>15 tuổi</t>
  </si>
  <si>
    <t>16 tuổi</t>
  </si>
  <si>
    <t>17 tuổi</t>
  </si>
  <si>
    <t>18 tuổi</t>
  </si>
  <si>
    <t>THỐNG KÊ TỐT NGHIỆP THCS NĂM QUA -TIẾP TỤC HỌC THPT/TX/Nghề</t>
  </si>
  <si>
    <t>Tiếp tục học</t>
  </si>
  <si>
    <t>TS HS lớp 9 (năm qua)</t>
  </si>
  <si>
    <t>Tốt nghiệp hệ PT</t>
  </si>
  <si>
    <t>THPT</t>
  </si>
  <si>
    <t>Tốt nghiệp hệ TX</t>
  </si>
  <si>
    <t>Sơ cấp Nghề</t>
  </si>
  <si>
    <t>(Tính đến thời điểm   ...  tháng 09 năm 202...)</t>
  </si>
  <si>
    <t>DANH SÁCH CÁN BỘ - GIÁO VIÊN - NHÂN VIÊN THCS</t>
  </si>
  <si>
    <t>Mẫu: THCS-01-GV</t>
  </si>
  <si>
    <t>Chuyên ngành đào tạo</t>
  </si>
  <si>
    <t>Thiết bị - Thí nghiệm</t>
  </si>
  <si>
    <t>KHTN</t>
  </si>
  <si>
    <t>KHXH</t>
  </si>
  <si>
    <t>HĐGD</t>
  </si>
  <si>
    <t>Lí</t>
  </si>
  <si>
    <t>Hóa</t>
  </si>
  <si>
    <t>Sử</t>
  </si>
  <si>
    <t>Địa</t>
  </si>
  <si>
    <t>Nhạc</t>
  </si>
  <si>
    <t>Pháp</t>
  </si>
  <si>
    <t>HIỆU TRƯỞNG THCS</t>
  </si>
  <si>
    <t>TM.ỦY BAN NHÂN DÂN  XÃ</t>
  </si>
  <si>
    <t>Tính đến thời điểm: ngày  tháng 09 năm 202…</t>
  </si>
  <si>
    <t>Mẫu: THCS-01-CSVC</t>
  </si>
  <si>
    <t>Tính đến thời điểm: ngày  ... tháng 09 năm 202…</t>
  </si>
  <si>
    <t>Phòng chức năng</t>
  </si>
  <si>
    <t>Công trình vệ sinh</t>
  </si>
  <si>
    <t>Phòng họp</t>
  </si>
  <si>
    <t>Phòng thí nghiệm</t>
  </si>
  <si>
    <t>DT(m2)</t>
  </si>
  <si>
    <t>DT (m2)</t>
  </si>
  <si>
    <t>TM.UBND XÃ/PHƯỜNG</t>
  </si>
  <si>
    <t>……………</t>
  </si>
  <si>
    <t>Xã / Phường:</t>
  </si>
  <si>
    <t>Xã/Phường:</t>
  </si>
  <si>
    <t xml:space="preserve"> HIỆU TRƯỞNG</t>
  </si>
  <si>
    <t>DTNT tỉnh</t>
  </si>
  <si>
    <t>CĐ/TC Nghề</t>
  </si>
  <si>
    <t>GDTC</t>
  </si>
  <si>
    <t>GD Thể chất</t>
  </si>
  <si>
    <r>
      <rPr>
        <b/>
        <sz val="11"/>
        <color rgb="FFFF0000"/>
        <rFont val="Times New Roman"/>
        <family val="1"/>
      </rPr>
      <t>Ghi chú</t>
    </r>
    <r>
      <rPr>
        <sz val="11"/>
        <color rgb="FFFF0000"/>
        <rFont val="Times New Roman"/>
        <family val="1"/>
      </rPr>
      <t xml:space="preserve">
(Ghi môn chuyên ngành 2)</t>
    </r>
  </si>
  <si>
    <t>M. thuật</t>
  </si>
  <si>
    <t>Âm nhạc</t>
  </si>
  <si>
    <r>
      <t xml:space="preserve">* Lưu ý: </t>
    </r>
    <r>
      <rPr>
        <b/>
        <i/>
        <sz val="10"/>
        <color rgb="FF0000CC"/>
        <rFont val="Arial"/>
        <family val="2"/>
      </rPr>
      <t>Chuyên ngành Đào tạo nếu 2 môn</t>
    </r>
    <r>
      <rPr>
        <sz val="10"/>
        <color rgb="FFFF0000"/>
        <rFont val="Arial"/>
        <family val="2"/>
      </rPr>
      <t>: Chỉ tích chọn một môn chính, phần Ghi chú ghi thêm môn thứ hai</t>
    </r>
  </si>
  <si>
    <t>TRƯỜNG TIỂU HỌC CAM NGHĨA 1</t>
  </si>
  <si>
    <t>TRƯỜNG TIỂU HỌC CAM NGHĨA 2</t>
  </si>
  <si>
    <t>TRƯỜNG TIỂU HỌC CAM PHÚ</t>
  </si>
  <si>
    <t>TRƯỜNG TIỂU HỌC CAM LINH</t>
  </si>
  <si>
    <t>TRƯỜNG TIỂU HỌC CAM THUẬN</t>
  </si>
  <si>
    <t>TRƯỜNG TIỂU HỌC CAM LỢI</t>
  </si>
  <si>
    <t>TRƯỜNG TIỂU HỌC BA NGÒI</t>
  </si>
  <si>
    <t>TRƯỜNG TIỂU HỌC CAM LỘC 1</t>
  </si>
  <si>
    <t>TRƯỜNG TIỂU HỌC CAM LỘC 2</t>
  </si>
  <si>
    <t>TRƯỜNG TIỂU HỌC CAM PHƯỚC ĐÔNG 1</t>
  </si>
  <si>
    <t>TRƯỜNG TIỂU HỌC CAM PHƯỚC ĐÔNG 2</t>
  </si>
  <si>
    <t>TRƯỜNG TIỂU HỌC CAM THỊNH ĐÔNG</t>
  </si>
  <si>
    <t>TRƯỜNG TIỂU HỌC CAM THỊNH TÂY</t>
  </si>
  <si>
    <r>
      <t>Mã định danh</t>
    </r>
    <r>
      <rPr>
        <b/>
        <sz val="11"/>
        <color rgb="FFFF0000"/>
        <rFont val="Calibri"/>
        <family val="2"/>
      </rPr>
      <t>*</t>
    </r>
  </si>
  <si>
    <r>
      <t>Mã
định danh</t>
    </r>
    <r>
      <rPr>
        <b/>
        <sz val="11"/>
        <color rgb="FFFF0000"/>
        <rFont val="Calibri"/>
        <family val="2"/>
      </rPr>
      <t>*</t>
    </r>
  </si>
  <si>
    <t>Mã
số PC</t>
  </si>
  <si>
    <r>
      <t>Mã
định danh</t>
    </r>
    <r>
      <rPr>
        <b/>
        <sz val="11"/>
        <color rgb="FFFF0000"/>
        <rFont val="Times New Roman"/>
        <family val="1"/>
      </rPr>
      <t>*</t>
    </r>
  </si>
  <si>
    <t>(Số liệu từ tháng 10 năm học trước đến tại thời điểm cập nhật)</t>
  </si>
  <si>
    <t>Chuyên ngành được đào tạo *</t>
  </si>
  <si>
    <t>Hệ đào tạo*</t>
  </si>
  <si>
    <t>Tên Dân tộc</t>
  </si>
  <si>
    <t>Dạng tật</t>
  </si>
  <si>
    <t>Dạng
tật</t>
  </si>
  <si>
    <t>TRƯỜNG TH&amp;THCS CAM THÀNH NAM</t>
  </si>
  <si>
    <t>Điểm Tư thục 1</t>
  </si>
  <si>
    <t>Điểm Tư thục 2</t>
  </si>
  <si>
    <t>Điểm Tư thục 3</t>
  </si>
  <si>
    <t>* Trường nhập đầy đủ các thông tin sau:</t>
  </si>
  <si>
    <t>Điểm Tư thục</t>
  </si>
  <si>
    <t>Ngày/tháng/nămsinh</t>
  </si>
  <si>
    <t>HÒA DO 7</t>
  </si>
  <si>
    <t>QUẢNG HÒA</t>
  </si>
  <si>
    <t>QUẢNG PHÚC</t>
  </si>
  <si>
    <t>NGHĨA PHÚ</t>
  </si>
  <si>
    <t>NGHĨA QUÝ</t>
  </si>
  <si>
    <t>MỸ CA</t>
  </si>
  <si>
    <t>HÒA BÌNH</t>
  </si>
  <si>
    <t>HÒA PHƯỚC</t>
  </si>
  <si>
    <t>NGHĨA AN</t>
  </si>
  <si>
    <t>NGHĨA LỘC</t>
  </si>
  <si>
    <t>NGHĨA CAM</t>
  </si>
  <si>
    <t>NGHĨA BÌNH</t>
  </si>
  <si>
    <t>HÒA TIẾN</t>
  </si>
  <si>
    <t>HÒA THUẬN</t>
  </si>
  <si>
    <t>HÒA DO 1</t>
  </si>
  <si>
    <t>HÒA DO 2</t>
  </si>
  <si>
    <t>HÒA DO 3</t>
  </si>
  <si>
    <t>HÒA DO 4</t>
  </si>
  <si>
    <t>HÒA DO 5</t>
  </si>
  <si>
    <t>HÒA DO 6A</t>
  </si>
  <si>
    <t>HÒA DO 6B</t>
  </si>
  <si>
    <t>HẢI THỦY</t>
  </si>
  <si>
    <t>NINH XUÂN</t>
  </si>
  <si>
    <t>PHÚC SƠN</t>
  </si>
  <si>
    <t>XUÂN NINH</t>
  </si>
  <si>
    <t>THUẬN THÀNH</t>
  </si>
  <si>
    <t>THUẬN PHÁT</t>
  </si>
  <si>
    <t>THUẬN LỢI</t>
  </si>
  <si>
    <t>THUẬN LỘC</t>
  </si>
  <si>
    <t>HIỆP HƯNG</t>
  </si>
  <si>
    <t>THUẬN HÒA</t>
  </si>
  <si>
    <t>THUẬN HẢI</t>
  </si>
  <si>
    <t>ĐÁ BẠC</t>
  </si>
  <si>
    <t>LINH HÒA</t>
  </si>
  <si>
    <t>LINH PHÚ</t>
  </si>
  <si>
    <t>LINH TÂN</t>
  </si>
  <si>
    <t>LINH VÂN</t>
  </si>
  <si>
    <t>LINH XUÂN</t>
  </si>
  <si>
    <t>LINH THƯƠNG</t>
  </si>
  <si>
    <t>LINH TRUNG</t>
  </si>
  <si>
    <t>XÓM CỒN</t>
  </si>
  <si>
    <t>LỢI PHÚ</t>
  </si>
  <si>
    <t>LỢI THỦY</t>
  </si>
  <si>
    <t>LỢI HẢI</t>
  </si>
  <si>
    <t>LỢI HƯNG</t>
  </si>
  <si>
    <t>LỢI THỊNH</t>
  </si>
  <si>
    <t>LỢI PHÚC</t>
  </si>
  <si>
    <t>LỢI THỌ</t>
  </si>
  <si>
    <t>LỢI HÒA</t>
  </si>
  <si>
    <t>LỢI HIỆP</t>
  </si>
  <si>
    <t>LỘC AN</t>
  </si>
  <si>
    <t>LỘC HẢI</t>
  </si>
  <si>
    <t>LỘC PHÚC</t>
  </si>
  <si>
    <t>LỘC SƠN</t>
  </si>
  <si>
    <t>LỘC THÀNH</t>
  </si>
  <si>
    <t>LỘC THỊNH</t>
  </si>
  <si>
    <t>Hưng Long</t>
  </si>
  <si>
    <t>56_06_10_6</t>
  </si>
  <si>
    <t>56_06_10_7</t>
  </si>
  <si>
    <t>56_06_10_8</t>
  </si>
  <si>
    <t>56_06_10_9</t>
  </si>
  <si>
    <t>GIẢI PHÓNG</t>
  </si>
  <si>
    <t>THỐNG NHẤT</t>
  </si>
  <si>
    <t>SUỐI MÔN</t>
  </si>
  <si>
    <t>TÂN HIỆP</t>
  </si>
  <si>
    <t>HÒA AN</t>
  </si>
  <si>
    <t>TRÀ SƠN</t>
  </si>
  <si>
    <t>HÒN QUI</t>
  </si>
  <si>
    <t>HÒA DIÊM</t>
  </si>
  <si>
    <t>HÒA SƠN</t>
  </si>
  <si>
    <t>HIỆP THANH</t>
  </si>
  <si>
    <t>HIỆP MỸ</t>
  </si>
  <si>
    <t>MỸ THANH</t>
  </si>
  <si>
    <t>SÔNG CẠN ĐÔNG</t>
  </si>
  <si>
    <t>THỊNH SƠN</t>
  </si>
  <si>
    <t>SUỐI RUA</t>
  </si>
  <si>
    <t>BÌNH BA ĐÔNG</t>
  </si>
  <si>
    <t>BÌNH BA TÂY</t>
  </si>
  <si>
    <t>BÌNH HƯNG</t>
  </si>
  <si>
    <t>NƯỚC NGỌT</t>
  </si>
  <si>
    <t>PHÚ HẢI</t>
  </si>
  <si>
    <t>PHÚ BÌNH</t>
  </si>
  <si>
    <t>PHÚ LỘC</t>
  </si>
  <si>
    <t>PHÚ TRUNG</t>
  </si>
  <si>
    <t>PHÚ SƠN</t>
  </si>
  <si>
    <t>PHÚ THỊNH</t>
  </si>
  <si>
    <t>TRƯỜNG TIỂU HỌC CAM PHÚC BẮC</t>
  </si>
  <si>
    <t>TRƯỜNG TH&amp;THCS CAM PHÚC NAM</t>
  </si>
  <si>
    <t>1</t>
  </si>
  <si>
    <t>Nguyễn</t>
  </si>
  <si>
    <t>A</t>
  </si>
  <si>
    <t>X</t>
  </si>
  <si>
    <t>Kính</t>
  </si>
  <si>
    <t>Hòa Do 7</t>
  </si>
  <si>
    <t>Quảng Hòa</t>
  </si>
  <si>
    <t>Quảng Phúc</t>
  </si>
  <si>
    <t>Nghĩa Phú</t>
  </si>
  <si>
    <t>Nghĩa Quý</t>
  </si>
  <si>
    <t>Mỹ Ca</t>
  </si>
  <si>
    <t>Hòa Bình</t>
  </si>
  <si>
    <t>Hòa Phước</t>
  </si>
  <si>
    <t>Nghĩa An</t>
  </si>
  <si>
    <t>Nghĩa Lộc</t>
  </si>
  <si>
    <t>Nghĩa Cam</t>
  </si>
  <si>
    <t>Nghĩa Bình</t>
  </si>
  <si>
    <t>Hòa Tiến</t>
  </si>
  <si>
    <t>Hòa Thuận</t>
  </si>
  <si>
    <t>Hòa Do 1</t>
  </si>
  <si>
    <t>Hòa Do 2</t>
  </si>
  <si>
    <t>Hòa Do 3</t>
  </si>
  <si>
    <t>Hòa Do 4</t>
  </si>
  <si>
    <t>Hòa Do 5</t>
  </si>
  <si>
    <t>Hòa Do 6A</t>
  </si>
  <si>
    <t>Hòa Do 6B</t>
  </si>
  <si>
    <t>Hải Thủy</t>
  </si>
  <si>
    <t>Ninh Xuân</t>
  </si>
  <si>
    <t>Phúc Sơn</t>
  </si>
  <si>
    <t>Xuân Ninh</t>
  </si>
  <si>
    <t>Phú Hải</t>
  </si>
  <si>
    <t>Phú Bình</t>
  </si>
  <si>
    <t>Phú Lộc</t>
  </si>
  <si>
    <t>Phú Trung</t>
  </si>
  <si>
    <t>Phú Sơn</t>
  </si>
  <si>
    <t>Phú Thịnh</t>
  </si>
  <si>
    <t>Lộc An</t>
  </si>
  <si>
    <t>Lộc Hải</t>
  </si>
  <si>
    <t>Lộc Phúc</t>
  </si>
  <si>
    <t>Lộc Sơn</t>
  </si>
  <si>
    <t>Lộc Thành</t>
  </si>
  <si>
    <t>Lộc Thịnh</t>
  </si>
  <si>
    <t>Thuận Thành</t>
  </si>
  <si>
    <t>Thuận Phát</t>
  </si>
  <si>
    <t>Thuận Lợi</t>
  </si>
  <si>
    <t>Thuận Lộc</t>
  </si>
  <si>
    <t>Hiệp Hưng</t>
  </si>
  <si>
    <t>Thuận Hòa</t>
  </si>
  <si>
    <t>Thuận Hải</t>
  </si>
  <si>
    <t>Đá Bạc</t>
  </si>
  <si>
    <t>Linh Hòa</t>
  </si>
  <si>
    <t>Linh Phú</t>
  </si>
  <si>
    <t>Linh Tân</t>
  </si>
  <si>
    <t>Linh Vân</t>
  </si>
  <si>
    <t>Linh Xuân</t>
  </si>
  <si>
    <t>Linh Thương</t>
  </si>
  <si>
    <t>Linh Trung</t>
  </si>
  <si>
    <t>Xóm Cồn</t>
  </si>
  <si>
    <t>Lợi Phú</t>
  </si>
  <si>
    <t>Lợi Thủy</t>
  </si>
  <si>
    <t>Lợi Hải</t>
  </si>
  <si>
    <t>Lợi Hưng</t>
  </si>
  <si>
    <t>Lợi Thịnh</t>
  </si>
  <si>
    <t>Lợi Phúc</t>
  </si>
  <si>
    <t>Lợi Thọ</t>
  </si>
  <si>
    <t>Lợi Hòa</t>
  </si>
  <si>
    <t>Lợi Hiệp</t>
  </si>
  <si>
    <t>Giải Phóng</t>
  </si>
  <si>
    <t>Thống Nhất</t>
  </si>
  <si>
    <t>Suối Môn</t>
  </si>
  <si>
    <t>Tân Hiệp</t>
  </si>
  <si>
    <t>Hòa An</t>
  </si>
  <si>
    <t>Trà Sơn</t>
  </si>
  <si>
    <t>Hòn Qui</t>
  </si>
  <si>
    <t>Hòa Diêm</t>
  </si>
  <si>
    <t>Hòa Sơn</t>
  </si>
  <si>
    <t>Hiệp Thanh</t>
  </si>
  <si>
    <t>Hiệp Mỹ</t>
  </si>
  <si>
    <t>Mỹ Thanh</t>
  </si>
  <si>
    <t>Sông Cạn Đông</t>
  </si>
  <si>
    <t>Thịnh Sơn</t>
  </si>
  <si>
    <t>Suối Rua</t>
  </si>
  <si>
    <t>Nước Ngọt</t>
  </si>
  <si>
    <t>Bình Ba Đông</t>
  </si>
  <si>
    <t>Bình Ba Tây</t>
  </si>
  <si>
    <t>Bình Hưng</t>
  </si>
  <si>
    <t>Cam Lâm</t>
  </si>
  <si>
    <t>Khánh Sơn</t>
  </si>
  <si>
    <t>Vạn Ninh</t>
  </si>
  <si>
    <t>Nha Trang</t>
  </si>
  <si>
    <t>Diên Khánh</t>
  </si>
  <si>
    <t>Khánh Vĩnh</t>
  </si>
  <si>
    <t>/</t>
  </si>
  <si>
    <t>Hòa Bình*</t>
  </si>
  <si>
    <t>Nguyễn B</t>
  </si>
  <si>
    <t>Nguyễn C</t>
  </si>
  <si>
    <t>5444</t>
  </si>
  <si>
    <t>09124531254</t>
  </si>
  <si>
    <t>0918431245</t>
  </si>
  <si>
    <t>Vận động</t>
  </si>
  <si>
    <t>2</t>
  </si>
  <si>
    <t>Lê</t>
  </si>
  <si>
    <t>D</t>
  </si>
  <si>
    <t>Raglay</t>
  </si>
  <si>
    <t>Lê H</t>
  </si>
  <si>
    <t>Trần M</t>
  </si>
  <si>
    <t>1214</t>
  </si>
  <si>
    <t>09133121245</t>
  </si>
  <si>
    <t>03197548212</t>
  </si>
  <si>
    <t>TIỂU HỌC CAM PHÚC BẮC</t>
  </si>
  <si>
    <t>TH&amp;THCS CAM THÀNH NAM</t>
  </si>
  <si>
    <t>TH&amp;THCS CAM PHÚC NAM</t>
  </si>
  <si>
    <t>TRÀ LONG 1</t>
  </si>
  <si>
    <t>TRÀ LONG 2</t>
  </si>
  <si>
    <t>KHÁNH CAM 1</t>
  </si>
  <si>
    <t>KHÁNH CAM 2</t>
  </si>
  <si>
    <t>HƯNG LONG</t>
  </si>
  <si>
    <t>SƠN LONG</t>
  </si>
  <si>
    <t>HƯƠNG LONG</t>
  </si>
  <si>
    <t>TÂY SƠN</t>
  </si>
  <si>
    <t>NGÔ MÂY</t>
  </si>
  <si>
    <t>*</t>
  </si>
  <si>
    <t>3.2</t>
  </si>
  <si>
    <t>Kinh</t>
  </si>
  <si>
    <t>Lê C</t>
  </si>
  <si>
    <t>1425</t>
  </si>
  <si>
    <t>096312454512</t>
  </si>
  <si>
    <t>0915124532</t>
  </si>
  <si>
    <t>4.1</t>
  </si>
  <si>
    <t>Trần Thị</t>
  </si>
  <si>
    <t>Trần E</t>
  </si>
  <si>
    <t>Tô H</t>
  </si>
  <si>
    <t>2154</t>
  </si>
  <si>
    <t>0560126000123</t>
  </si>
  <si>
    <t>0918917345</t>
  </si>
  <si>
    <t>Lý</t>
  </si>
  <si>
    <t>M</t>
  </si>
  <si>
    <t>5.3</t>
  </si>
  <si>
    <t>Lý D</t>
  </si>
  <si>
    <t>Trần O</t>
  </si>
  <si>
    <t>2103</t>
  </si>
  <si>
    <t>056122000312</t>
  </si>
  <si>
    <t>0312456123</t>
  </si>
  <si>
    <t>5.4</t>
  </si>
  <si>
    <t>2104</t>
  </si>
  <si>
    <t>0312456124</t>
  </si>
  <si>
    <t>Lê Minh</t>
  </si>
  <si>
    <t>04/02/1975</t>
  </si>
  <si>
    <t>V7……</t>
  </si>
  <si>
    <t>Đại học</t>
  </si>
  <si>
    <t>GD.Tiểu học</t>
  </si>
  <si>
    <t>Từ xa</t>
  </si>
  <si>
    <t>B</t>
  </si>
  <si>
    <t>CCVP</t>
  </si>
  <si>
    <t>12/12/1986</t>
  </si>
  <si>
    <t>Nguyễn A</t>
  </si>
  <si>
    <t>12/12/1987</t>
  </si>
  <si>
    <t>12/12/1988</t>
  </si>
  <si>
    <t>12/12/1989</t>
  </si>
  <si>
    <t>12/12/1990</t>
  </si>
  <si>
    <t>Tại chức</t>
  </si>
  <si>
    <t>Chính quy</t>
  </si>
  <si>
    <t>VH-VL</t>
  </si>
  <si>
    <t>TPT Đội</t>
  </si>
  <si>
    <t>1215</t>
  </si>
  <si>
    <t>03197548213</t>
  </si>
  <si>
    <t>1216</t>
  </si>
  <si>
    <t>03197548214</t>
  </si>
  <si>
    <t>Lê A</t>
  </si>
  <si>
    <t>01/01/1986</t>
  </si>
  <si>
    <t>GDMN</t>
  </si>
  <si>
    <t>01/01/1987</t>
  </si>
  <si>
    <t>01/01/1988</t>
  </si>
  <si>
    <t>01/01/1989</t>
  </si>
  <si>
    <t>01/01/1990</t>
  </si>
  <si>
    <t>Dạy 5-6 tuổi</t>
  </si>
  <si>
    <t>Dạy 4 -5 tuổi</t>
  </si>
  <si>
    <t>01/01/1991</t>
  </si>
  <si>
    <t>Dạy 3-4 tuổi</t>
  </si>
  <si>
    <t>01/01/1992</t>
  </si>
  <si>
    <t>Dạy Nhà trẻ</t>
  </si>
  <si>
    <t>Kế toán</t>
  </si>
  <si>
    <t>Cao đẳng</t>
  </si>
  <si>
    <t>Lê B</t>
  </si>
  <si>
    <t>Lê D</t>
  </si>
  <si>
    <t>Lê E</t>
  </si>
  <si>
    <t>Lê F</t>
  </si>
  <si>
    <t>Lê G</t>
  </si>
  <si>
    <t>6.1</t>
  </si>
  <si>
    <t>7.2</t>
  </si>
  <si>
    <t>8.3</t>
  </si>
  <si>
    <t>9.4</t>
  </si>
  <si>
    <t>TH Cam Phúc Nam</t>
  </si>
  <si>
    <t>2105</t>
  </si>
  <si>
    <t>0312456125</t>
  </si>
  <si>
    <t>9.6</t>
  </si>
  <si>
    <t>2106</t>
  </si>
  <si>
    <t>0312456126</t>
  </si>
  <si>
    <t>01/01/1966</t>
  </si>
  <si>
    <t>01/01/1967</t>
  </si>
  <si>
    <t>01/01/1968</t>
  </si>
  <si>
    <t>01/01/1969</t>
  </si>
  <si>
    <t>01/01/1970</t>
  </si>
  <si>
    <t>01/01/1971</t>
  </si>
  <si>
    <t>V7……..</t>
  </si>
  <si>
    <t>Tin</t>
  </si>
  <si>
    <t>1217</t>
  </si>
  <si>
    <t>03197548215</t>
  </si>
  <si>
    <t>CỘNG HÒA XÃ HỘI CHỦ NGHĨA VIỆT NAM</t>
  </si>
  <si>
    <t>SÔNG CẠN TÂY</t>
  </si>
  <si>
    <t>Sông Cạn Tây</t>
  </si>
  <si>
    <t>Ninh Hòa</t>
  </si>
  <si>
    <t>Phường / Xã (cũ)</t>
  </si>
  <si>
    <t>Phường / Xã (Mới)</t>
  </si>
  <si>
    <t>Bắc Cam Ranh</t>
  </si>
  <si>
    <t>Cam Ranh</t>
  </si>
  <si>
    <t>Nam Cam Ranh</t>
  </si>
  <si>
    <t>2025-2026</t>
  </si>
  <si>
    <t>TRƯỜNG TIỂU HỌC CĂN CỨ CAM RANH</t>
  </si>
  <si>
    <t>TIỂU HỌC CĂN CỨ CAM RANH</t>
  </si>
  <si>
    <t>UBND PHƯỜNG BẮC CAM RANH</t>
  </si>
  <si>
    <t>UBND PHƯỜNG CAM RANH</t>
  </si>
  <si>
    <t>UBND PHƯỜNG CAM LINH</t>
  </si>
  <si>
    <t>UBND PHƯỜNG BA NGÒI</t>
  </si>
  <si>
    <t>UBND XÃ NAM CAM RANH</t>
  </si>
  <si>
    <t>P. Bắc Cam Ranh</t>
  </si>
  <si>
    <t>P. Cam Linh</t>
  </si>
  <si>
    <t>P. Cam Ranh</t>
  </si>
  <si>
    <t>P. Ba Ngòi</t>
  </si>
  <si>
    <t>X.Nam Cam Ranh</t>
  </si>
  <si>
    <t>8.5</t>
  </si>
  <si>
    <t>X. Nam Cam Ranh</t>
  </si>
  <si>
    <t>*Tỉnh khác (HS từ tỉnh khác chuyển đến nhưng không có giấy tạm trú tại địa phương)</t>
  </si>
  <si>
    <t>Ngoài 5 xã/phường</t>
  </si>
  <si>
    <t>phiên bản 8/2025</t>
  </si>
  <si>
    <t>Chuyển đi trong 5 xã/phường</t>
  </si>
  <si>
    <t>Chuyển đi ngoài 5 xã/phường</t>
  </si>
  <si>
    <t>HS chuyển đi trong 5x/p</t>
  </si>
  <si>
    <t>HS chuyển đi Ngoài 5 x/p</t>
  </si>
  <si>
    <t>* Tỉnh khác (HS từ tỉnh khác đến không có giấy tạm trú hoặc HK thường trú tại địa phương)</t>
  </si>
  <si>
    <t>HS chuyển đi trong 5 xã/phường</t>
  </si>
  <si>
    <t>HS chuyển đi Ngoài 5 xã phường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</si>
</sst>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0"/>
    <numFmt numFmtId="166" formatCode="0\ &quot;tuổi&quot;"/>
    <numFmt numFmtId="167" formatCode="0.0"/>
  </numFmts>
  <fonts count="166" x14ac:knownFonts="1">
    <font>
      <sz val="12"/>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charset val="163"/>
    </font>
    <font>
      <sz val="11"/>
      <color indexed="8"/>
      <name val="Times New Roman"/>
      <family val="1"/>
    </font>
    <font>
      <b/>
      <sz val="18"/>
      <color indexed="56"/>
      <name val="Cambria"/>
      <family val="2"/>
    </font>
    <font>
      <sz val="14"/>
      <color indexed="8"/>
      <name val="Times New Roman"/>
      <family val="2"/>
    </font>
    <font>
      <sz val="14"/>
      <color indexed="9"/>
      <name val="Times New Roman"/>
      <family val="2"/>
    </font>
    <font>
      <sz val="14"/>
      <color indexed="20"/>
      <name val="Times New Roman"/>
      <family val="2"/>
    </font>
    <font>
      <b/>
      <sz val="14"/>
      <color indexed="52"/>
      <name val="Times New Roman"/>
      <family val="2"/>
    </font>
    <font>
      <b/>
      <sz val="14"/>
      <color indexed="9"/>
      <name val="Times New Roman"/>
      <family val="2"/>
    </font>
    <font>
      <sz val="10"/>
      <color indexed="8"/>
      <name val="Arial"/>
      <family val="2"/>
    </font>
    <font>
      <i/>
      <sz val="14"/>
      <color indexed="23"/>
      <name val="Times New Roman"/>
      <family val="2"/>
    </font>
    <font>
      <sz val="14"/>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4"/>
      <color indexed="62"/>
      <name val="Times New Roman"/>
      <family val="2"/>
    </font>
    <font>
      <sz val="14"/>
      <color indexed="52"/>
      <name val="Times New Roman"/>
      <family val="2"/>
    </font>
    <font>
      <sz val="14"/>
      <color indexed="60"/>
      <name val="Times New Roman"/>
      <family val="2"/>
    </font>
    <font>
      <sz val="12"/>
      <name val="Times New Roman"/>
      <family val="1"/>
    </font>
    <font>
      <sz val="10"/>
      <name val="Arial"/>
      <family val="2"/>
    </font>
    <font>
      <b/>
      <sz val="14"/>
      <color indexed="63"/>
      <name val="Times New Roman"/>
      <family val="2"/>
    </font>
    <font>
      <b/>
      <sz val="14"/>
      <color indexed="8"/>
      <name val="Times New Roman"/>
      <family val="2"/>
    </font>
    <font>
      <sz val="14"/>
      <color indexed="10"/>
      <name val="Times New Roman"/>
      <family val="2"/>
    </font>
    <font>
      <sz val="10"/>
      <name val="Times New Roman"/>
      <family val="1"/>
    </font>
    <font>
      <sz val="12"/>
      <color indexed="8"/>
      <name val="Times New Roman"/>
      <family val="1"/>
    </font>
    <font>
      <b/>
      <sz val="12"/>
      <color indexed="8"/>
      <name val="Times New Roman"/>
      <family val="1"/>
    </font>
    <font>
      <sz val="14"/>
      <color theme="1"/>
      <name val="Times New Roman"/>
      <family val="2"/>
      <charset val="163"/>
    </font>
    <font>
      <sz val="11"/>
      <color theme="1"/>
      <name val="Calibri"/>
      <family val="2"/>
      <charset val="163"/>
      <scheme val="minor"/>
    </font>
    <font>
      <sz val="12"/>
      <color theme="1"/>
      <name val="Times New Roman"/>
      <family val="1"/>
    </font>
    <font>
      <b/>
      <sz val="12"/>
      <color theme="1"/>
      <name val="Times New Roman"/>
      <family val="1"/>
    </font>
    <font>
      <b/>
      <sz val="14"/>
      <color indexed="10"/>
      <name val="Times New Roman"/>
      <family val="1"/>
    </font>
    <font>
      <b/>
      <i/>
      <sz val="11"/>
      <color indexed="17"/>
      <name val="Times New Roman"/>
      <family val="1"/>
    </font>
    <font>
      <b/>
      <sz val="13"/>
      <color indexed="8"/>
      <name val="Times New Roman"/>
      <family val="1"/>
    </font>
    <font>
      <b/>
      <sz val="11"/>
      <name val="Times New Roman"/>
      <family val="1"/>
    </font>
    <font>
      <b/>
      <sz val="12"/>
      <name val="Times New Roman"/>
      <family val="1"/>
    </font>
    <font>
      <b/>
      <sz val="9"/>
      <color indexed="81"/>
      <name val="Tahoma"/>
      <family val="2"/>
    </font>
    <font>
      <b/>
      <sz val="11"/>
      <color indexed="8"/>
      <name val="Times New Roman"/>
      <family val="1"/>
    </font>
    <font>
      <b/>
      <sz val="14"/>
      <color indexed="8"/>
      <name val="Times New Roman"/>
      <family val="1"/>
    </font>
    <font>
      <b/>
      <sz val="11"/>
      <color indexed="10"/>
      <name val="Times New Roman"/>
      <family val="1"/>
    </font>
    <font>
      <b/>
      <sz val="10"/>
      <name val="Times New Roman"/>
      <family val="1"/>
    </font>
    <font>
      <i/>
      <sz val="11"/>
      <name val="Times New Roman"/>
      <family val="1"/>
    </font>
    <font>
      <i/>
      <sz val="12"/>
      <color theme="1"/>
      <name val="Times New Roman"/>
      <family val="1"/>
    </font>
    <font>
      <sz val="12"/>
      <color theme="0"/>
      <name val="Times New Roman"/>
      <family val="1"/>
    </font>
    <font>
      <b/>
      <sz val="8"/>
      <name val="Times New Roman"/>
      <family val="1"/>
    </font>
    <font>
      <sz val="11"/>
      <name val="Times New Roman"/>
      <family val="1"/>
    </font>
    <font>
      <sz val="13"/>
      <color indexed="8"/>
      <name val="Times New Roman"/>
      <family val="1"/>
    </font>
    <font>
      <b/>
      <sz val="12"/>
      <color indexed="12"/>
      <name val="Times New Roman"/>
      <family val="1"/>
    </font>
    <font>
      <i/>
      <sz val="12"/>
      <color indexed="12"/>
      <name val="Times New Roman"/>
      <family val="1"/>
    </font>
    <font>
      <b/>
      <i/>
      <sz val="12"/>
      <color indexed="10"/>
      <name val="Times New Roman"/>
      <family val="1"/>
    </font>
    <font>
      <b/>
      <i/>
      <sz val="12"/>
      <color indexed="8"/>
      <name val="Times New Roman"/>
      <family val="1"/>
    </font>
    <font>
      <i/>
      <sz val="12"/>
      <color indexed="8"/>
      <name val="Times New Roman"/>
      <family val="1"/>
    </font>
    <font>
      <sz val="11"/>
      <color indexed="8"/>
      <name val="Calibri"/>
      <family val="2"/>
      <charset val="163"/>
    </font>
    <font>
      <b/>
      <sz val="11"/>
      <color indexed="8"/>
      <name val="Calibri"/>
      <family val="2"/>
    </font>
    <font>
      <b/>
      <sz val="13"/>
      <color indexed="8"/>
      <name val="Calibri"/>
      <family val="2"/>
    </font>
    <font>
      <i/>
      <sz val="11"/>
      <color indexed="8"/>
      <name val="Calibri"/>
      <family val="2"/>
    </font>
    <font>
      <b/>
      <i/>
      <sz val="11"/>
      <color indexed="12"/>
      <name val="Calibri"/>
      <family val="2"/>
    </font>
    <font>
      <b/>
      <sz val="10"/>
      <name val="Arial"/>
      <family val="2"/>
    </font>
    <font>
      <sz val="8"/>
      <name val="Arial"/>
      <family val="2"/>
    </font>
    <font>
      <b/>
      <sz val="13"/>
      <name val="Arial"/>
      <family val="2"/>
    </font>
    <font>
      <sz val="13"/>
      <name val="Arial"/>
      <family val="2"/>
    </font>
    <font>
      <sz val="13"/>
      <color indexed="12"/>
      <name val="Arial"/>
      <family val="2"/>
    </font>
    <font>
      <b/>
      <sz val="11"/>
      <color indexed="10"/>
      <name val="Arial"/>
      <family val="2"/>
    </font>
    <font>
      <sz val="11"/>
      <color indexed="12"/>
      <name val="Calibri"/>
      <family val="2"/>
      <charset val="163"/>
    </font>
    <font>
      <b/>
      <i/>
      <sz val="12"/>
      <color indexed="8"/>
      <name val="Calibri"/>
      <family val="2"/>
    </font>
    <font>
      <i/>
      <sz val="11"/>
      <color indexed="8"/>
      <name val="Arial"/>
      <family val="2"/>
    </font>
    <font>
      <sz val="12"/>
      <color indexed="8"/>
      <name val="Calibri"/>
      <family val="2"/>
      <charset val="163"/>
    </font>
    <font>
      <b/>
      <sz val="12"/>
      <color indexed="9"/>
      <name val="Times New Roman"/>
      <family val="1"/>
    </font>
    <font>
      <b/>
      <sz val="12"/>
      <color indexed="9"/>
      <name val="Calibri"/>
      <family val="2"/>
      <charset val="163"/>
    </font>
    <font>
      <b/>
      <i/>
      <sz val="9"/>
      <color indexed="81"/>
      <name val="Tahoma"/>
      <family val="2"/>
    </font>
    <font>
      <i/>
      <sz val="12"/>
      <color indexed="8"/>
      <name val="Calibri"/>
      <family val="2"/>
      <charset val="163"/>
    </font>
    <font>
      <b/>
      <sz val="13"/>
      <color rgb="FF0000CC"/>
      <name val="Arial"/>
      <family val="2"/>
    </font>
    <font>
      <sz val="14"/>
      <color indexed="8"/>
      <name val="Times New Roman"/>
      <family val="1"/>
    </font>
    <font>
      <sz val="10"/>
      <color indexed="8"/>
      <name val="Times New Roman"/>
      <family val="1"/>
    </font>
    <font>
      <sz val="10"/>
      <color indexed="10"/>
      <name val="Arial"/>
      <family val="2"/>
    </font>
    <font>
      <b/>
      <i/>
      <sz val="12"/>
      <color indexed="12"/>
      <name val="Times New Roman"/>
      <family val="1"/>
    </font>
    <font>
      <i/>
      <sz val="12"/>
      <name val="Times New Roman"/>
      <family val="1"/>
    </font>
    <font>
      <sz val="12"/>
      <color indexed="10"/>
      <name val="Times New Roman"/>
      <family val="1"/>
      <charset val="163"/>
    </font>
    <font>
      <i/>
      <sz val="10"/>
      <name val="Times New Roman"/>
      <family val="1"/>
    </font>
    <font>
      <i/>
      <sz val="14"/>
      <color indexed="8"/>
      <name val="Times New Roman"/>
      <family val="1"/>
    </font>
    <font>
      <sz val="14"/>
      <color indexed="8"/>
      <name val="Arial"/>
      <family val="2"/>
    </font>
    <font>
      <b/>
      <sz val="10"/>
      <color indexed="8"/>
      <name val="Times New Roman"/>
      <family val="1"/>
    </font>
    <font>
      <b/>
      <i/>
      <sz val="11"/>
      <color indexed="8"/>
      <name val="Times New Roman"/>
      <family val="1"/>
    </font>
    <font>
      <b/>
      <i/>
      <sz val="13"/>
      <color indexed="12"/>
      <name val="Times New Roman"/>
      <family val="1"/>
    </font>
    <font>
      <b/>
      <i/>
      <sz val="13"/>
      <color indexed="10"/>
      <name val="Times New Roman"/>
      <family val="1"/>
    </font>
    <font>
      <sz val="8"/>
      <color indexed="8"/>
      <name val="Arial"/>
      <family val="2"/>
    </font>
    <font>
      <sz val="9"/>
      <color indexed="8"/>
      <name val="Times New Roman"/>
      <family val="1"/>
    </font>
    <font>
      <sz val="12"/>
      <color indexed="8"/>
      <name val="Arial"/>
      <family val="2"/>
    </font>
    <font>
      <sz val="8"/>
      <color indexed="8"/>
      <name val="Times New Roman"/>
      <family val="1"/>
    </font>
    <font>
      <b/>
      <sz val="10"/>
      <color indexed="8"/>
      <name val="Arial"/>
      <family val="2"/>
    </font>
    <font>
      <i/>
      <sz val="13"/>
      <color indexed="8"/>
      <name val="Times New Roman"/>
      <family val="1"/>
    </font>
    <font>
      <b/>
      <sz val="10"/>
      <color indexed="10"/>
      <name val="Times New Roman"/>
      <family val="1"/>
    </font>
    <font>
      <b/>
      <sz val="14"/>
      <color indexed="8"/>
      <name val="Calibri"/>
      <family val="2"/>
      <charset val="163"/>
    </font>
    <font>
      <sz val="11"/>
      <color indexed="10"/>
      <name val="Calibri"/>
      <family val="2"/>
    </font>
    <font>
      <sz val="11"/>
      <color indexed="12"/>
      <name val="Calibri"/>
      <family val="2"/>
    </font>
    <font>
      <b/>
      <sz val="11"/>
      <name val="Calibri"/>
      <family val="2"/>
    </font>
    <font>
      <b/>
      <sz val="11"/>
      <name val="Calibri"/>
      <family val="2"/>
      <charset val="163"/>
    </font>
    <font>
      <b/>
      <sz val="9"/>
      <name val="Calibri"/>
      <family val="2"/>
      <charset val="163"/>
    </font>
    <font>
      <b/>
      <sz val="10"/>
      <name val="Calibri"/>
      <family val="2"/>
      <charset val="163"/>
    </font>
    <font>
      <i/>
      <sz val="11"/>
      <color indexed="8"/>
      <name val="Times New Roman"/>
      <family val="1"/>
    </font>
    <font>
      <b/>
      <i/>
      <sz val="12"/>
      <color rgb="FFFF0000"/>
      <name val="Times New Roman"/>
      <family val="1"/>
    </font>
    <font>
      <b/>
      <sz val="12"/>
      <color indexed="8"/>
      <name val="Calibri"/>
      <family val="2"/>
    </font>
    <font>
      <b/>
      <sz val="11"/>
      <color indexed="8"/>
      <name val="Arial"/>
      <family val="2"/>
    </font>
    <font>
      <sz val="11"/>
      <color indexed="8"/>
      <name val="Arial"/>
      <family val="2"/>
    </font>
    <font>
      <b/>
      <sz val="20"/>
      <name val="Arial"/>
      <family val="2"/>
    </font>
    <font>
      <sz val="13"/>
      <color indexed="18"/>
      <name val="Arial"/>
      <family val="2"/>
    </font>
    <font>
      <sz val="13"/>
      <color indexed="10"/>
      <name val="Arial"/>
      <family val="2"/>
    </font>
    <font>
      <b/>
      <sz val="13"/>
      <color indexed="18"/>
      <name val="Arial"/>
      <family val="2"/>
    </font>
    <font>
      <b/>
      <sz val="13"/>
      <color indexed="10"/>
      <name val="Arial"/>
      <family val="2"/>
    </font>
    <font>
      <b/>
      <i/>
      <sz val="10"/>
      <color indexed="8"/>
      <name val="Arial"/>
      <family val="2"/>
    </font>
    <font>
      <sz val="9"/>
      <color indexed="8"/>
      <name val="Arial"/>
      <family val="2"/>
    </font>
    <font>
      <b/>
      <sz val="9"/>
      <color indexed="8"/>
      <name val="Arial"/>
      <family val="2"/>
    </font>
    <font>
      <b/>
      <i/>
      <sz val="8"/>
      <color indexed="8"/>
      <name val="Arial"/>
      <family val="2"/>
    </font>
    <font>
      <sz val="11"/>
      <color indexed="12"/>
      <name val="Arial"/>
      <family val="2"/>
    </font>
    <font>
      <b/>
      <sz val="11"/>
      <color indexed="12"/>
      <name val="Arial"/>
      <family val="2"/>
    </font>
    <font>
      <sz val="10"/>
      <color indexed="9"/>
      <name val="Arial"/>
      <family val="2"/>
    </font>
    <font>
      <b/>
      <sz val="8"/>
      <color indexed="8"/>
      <name val="Arial"/>
      <family val="2"/>
    </font>
    <font>
      <b/>
      <sz val="12"/>
      <color indexed="8"/>
      <name val="Arial"/>
      <family val="2"/>
    </font>
    <font>
      <sz val="13"/>
      <color indexed="8"/>
      <name val="Wingdings 2"/>
      <family val="1"/>
      <charset val="2"/>
    </font>
    <font>
      <sz val="11"/>
      <name val="Calibri"/>
      <family val="2"/>
      <scheme val="minor"/>
    </font>
    <font>
      <sz val="11"/>
      <name val="Calibri"/>
      <family val="2"/>
    </font>
    <font>
      <b/>
      <sz val="11"/>
      <color theme="1"/>
      <name val="Calibri"/>
      <family val="2"/>
      <scheme val="minor"/>
    </font>
    <font>
      <b/>
      <sz val="11"/>
      <color rgb="FF0000CC"/>
      <name val="Calibri"/>
      <family val="2"/>
      <scheme val="minor"/>
    </font>
    <font>
      <i/>
      <sz val="10"/>
      <color indexed="8"/>
      <name val="Times New Roman"/>
      <family val="1"/>
    </font>
    <font>
      <b/>
      <i/>
      <sz val="11"/>
      <color rgb="FF0000CC"/>
      <name val="Calibri"/>
      <family val="2"/>
    </font>
    <font>
      <b/>
      <sz val="9"/>
      <color indexed="10"/>
      <name val="Times New Roman"/>
      <family val="1"/>
    </font>
    <font>
      <b/>
      <sz val="12"/>
      <color rgb="FF0000CC"/>
      <name val="Times New Roman"/>
      <family val="1"/>
    </font>
    <font>
      <i/>
      <sz val="12"/>
      <color rgb="FF0000CC"/>
      <name val="Times New Roman"/>
      <family val="1"/>
    </font>
    <font>
      <b/>
      <i/>
      <sz val="12"/>
      <color theme="1"/>
      <name val="Times New Roman"/>
      <family val="1"/>
    </font>
    <font>
      <i/>
      <sz val="13"/>
      <color theme="1"/>
      <name val="Times New Roman"/>
      <family val="1"/>
    </font>
    <font>
      <b/>
      <sz val="20"/>
      <color rgb="FFC00000"/>
      <name val="Arial"/>
      <family val="2"/>
    </font>
    <font>
      <sz val="13"/>
      <color rgb="FF0000FF"/>
      <name val="Arial"/>
      <family val="2"/>
    </font>
    <font>
      <sz val="13"/>
      <color rgb="FFFF0000"/>
      <name val="Arial"/>
      <family val="2"/>
    </font>
    <font>
      <b/>
      <sz val="13"/>
      <color rgb="FF0000FF"/>
      <name val="Arial"/>
      <family val="2"/>
    </font>
    <font>
      <b/>
      <sz val="13"/>
      <color rgb="FFFF0000"/>
      <name val="Arial"/>
      <family val="2"/>
    </font>
    <font>
      <sz val="10"/>
      <color rgb="FFFF0000"/>
      <name val="Arial"/>
      <family val="2"/>
    </font>
    <font>
      <b/>
      <sz val="13"/>
      <color indexed="12"/>
      <name val="Times New Roman"/>
      <family val="1"/>
    </font>
    <font>
      <sz val="13"/>
      <name val="Times New Roman"/>
      <family val="1"/>
    </font>
    <font>
      <sz val="12"/>
      <color indexed="12"/>
      <name val="Times New Roman"/>
      <family val="1"/>
    </font>
    <font>
      <b/>
      <i/>
      <sz val="10"/>
      <color indexed="8"/>
      <name val="Times New Roman"/>
      <family val="1"/>
    </font>
    <font>
      <b/>
      <i/>
      <sz val="11"/>
      <color indexed="12"/>
      <name val="Times New Roman"/>
      <family val="1"/>
    </font>
    <font>
      <sz val="11"/>
      <color theme="1"/>
      <name val="Times New Roman"/>
      <family val="1"/>
    </font>
    <font>
      <sz val="11"/>
      <color theme="0"/>
      <name val="Calibri"/>
      <family val="2"/>
      <scheme val="minor"/>
    </font>
    <font>
      <b/>
      <sz val="12"/>
      <color rgb="FFFF0000"/>
      <name val="Times New Roman"/>
      <family val="1"/>
    </font>
    <font>
      <b/>
      <sz val="10"/>
      <color rgb="FFFF0000"/>
      <name val="Arial"/>
      <family val="2"/>
    </font>
    <font>
      <b/>
      <sz val="13"/>
      <color rgb="FFFF0000"/>
      <name val="Times New Roman"/>
      <family val="1"/>
    </font>
    <font>
      <b/>
      <sz val="12"/>
      <color rgb="FF0000CC"/>
      <name val="Calibri"/>
      <family val="2"/>
      <scheme val="minor"/>
    </font>
    <font>
      <sz val="11"/>
      <color rgb="FFFF0000"/>
      <name val="Times New Roman"/>
      <family val="1"/>
    </font>
    <font>
      <b/>
      <sz val="11"/>
      <color rgb="FFFF0000"/>
      <name val="Times New Roman"/>
      <family val="1"/>
    </font>
    <font>
      <b/>
      <i/>
      <sz val="10"/>
      <color rgb="FF0000CC"/>
      <name val="Arial"/>
      <family val="2"/>
    </font>
    <font>
      <b/>
      <sz val="11"/>
      <color rgb="FFFF0000"/>
      <name val="Calibri"/>
      <family val="2"/>
    </font>
    <font>
      <b/>
      <i/>
      <sz val="11"/>
      <color rgb="FF0000CC"/>
      <name val="Calibri"/>
      <family val="2"/>
      <scheme val="minor"/>
    </font>
    <font>
      <b/>
      <i/>
      <sz val="12"/>
      <color rgb="FF0000CC"/>
      <name val="Times New Roman"/>
      <family val="1"/>
    </font>
    <font>
      <sz val="10"/>
      <color theme="0"/>
      <name val="Arial"/>
      <family val="2"/>
    </font>
    <font>
      <sz val="12"/>
      <color rgb="FFFF0000"/>
      <name val="Times New Roman"/>
      <family val="1"/>
    </font>
    <font>
      <sz val="11"/>
      <color rgb="FF0000CC"/>
      <name val="Times New Roman"/>
      <family val="1"/>
    </font>
    <font>
      <b/>
      <sz val="11"/>
      <color rgb="FF0000CC"/>
      <name val="Calibri"/>
      <family val="2"/>
    </font>
    <font>
      <b/>
      <sz val="11"/>
      <color rgb="FF000099"/>
      <name val="Calibri"/>
      <family val="2"/>
    </font>
    <font>
      <b/>
      <sz val="14"/>
      <color rgb="FFFF0000"/>
      <name val="Times New Roman"/>
      <family val="1"/>
    </font>
    <font>
      <sz val="11"/>
      <color rgb="FF000099"/>
      <name val="Times New Roman"/>
      <family val="1"/>
    </font>
    <font>
      <sz val="11"/>
      <color rgb="FF660033"/>
      <name val="Times New Roman"/>
      <family val="1"/>
    </font>
    <font>
      <sz val="9"/>
      <color indexed="81"/>
      <name val="Tahoma"/>
      <family val="2"/>
    </font>
    <font>
      <b/>
      <i/>
      <sz val="12"/>
      <color indexed="12"/>
      <name val="Calibri"/>
      <family val="2"/>
    </font>
    <font>
      <b/>
      <i/>
      <sz val="11"/>
      <color rgb="FF0000CC"/>
      <name val="Times New Roman"/>
      <family val="1"/>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3"/>
        <bgColor indexed="64"/>
      </patternFill>
    </fill>
    <fill>
      <patternFill patternType="solid">
        <fgColor indexed="27"/>
        <bgColor indexed="64"/>
      </patternFill>
    </fill>
    <fill>
      <patternFill patternType="solid">
        <fgColor theme="0"/>
        <bgColor indexed="64"/>
      </patternFill>
    </fill>
    <fill>
      <patternFill patternType="solid">
        <fgColor indexed="26"/>
        <bgColor indexed="64"/>
      </patternFill>
    </fill>
    <fill>
      <patternFill patternType="solid">
        <fgColor indexed="44"/>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9"/>
        <bgColor indexed="8"/>
      </patternFill>
    </fill>
    <fill>
      <patternFill patternType="solid">
        <fgColor rgb="FFCCFFFF"/>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8" tint="0.79998168889431442"/>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thin">
        <color indexed="8"/>
      </bottom>
      <diagonal/>
    </border>
    <border>
      <left style="thin">
        <color indexed="8"/>
      </left>
      <right/>
      <top/>
      <bottom style="thin">
        <color indexed="8"/>
      </bottom>
      <diagonal/>
    </border>
    <border>
      <left style="thin">
        <color indexed="64"/>
      </left>
      <right/>
      <top style="thin">
        <color indexed="64"/>
      </top>
      <bottom/>
      <diagonal/>
    </border>
  </borders>
  <cellStyleXfs count="67">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6" fillId="0" borderId="0"/>
    <xf numFmtId="0" fontId="29" fillId="0" borderId="0"/>
    <xf numFmtId="0" fontId="3" fillId="0" borderId="0" applyFill="0" applyProtection="0"/>
    <xf numFmtId="0" fontId="3" fillId="0" borderId="0" applyFill="0" applyProtection="0"/>
    <xf numFmtId="0" fontId="3" fillId="0" borderId="0" applyFill="0" applyProtection="0"/>
    <xf numFmtId="0" fontId="4" fillId="0" borderId="0"/>
    <xf numFmtId="0" fontId="21" fillId="0" borderId="0"/>
    <xf numFmtId="0" fontId="12" fillId="0" borderId="0" applyFill="0" applyProtection="0"/>
    <xf numFmtId="0" fontId="21" fillId="0" borderId="0"/>
    <xf numFmtId="0" fontId="3" fillId="0" borderId="0" applyFill="0" applyProtection="0"/>
    <xf numFmtId="0" fontId="3" fillId="0" borderId="0" applyFill="0" applyProtection="0"/>
    <xf numFmtId="0" fontId="30" fillId="0" borderId="0"/>
    <xf numFmtId="0" fontId="3" fillId="0" borderId="0"/>
    <xf numFmtId="0" fontId="22" fillId="0" borderId="0"/>
    <xf numFmtId="0" fontId="12" fillId="0" borderId="0" applyFill="0" applyProtection="0"/>
    <xf numFmtId="0" fontId="12" fillId="0" borderId="0" applyFill="0" applyAlignment="0" applyProtection="0">
      <alignment wrapText="1"/>
    </xf>
    <xf numFmtId="0" fontId="12" fillId="0" borderId="0" applyFill="0" applyProtection="0"/>
    <xf numFmtId="0" fontId="26" fillId="0" borderId="0"/>
    <xf numFmtId="0" fontId="26" fillId="0" borderId="0"/>
    <xf numFmtId="0" fontId="4" fillId="23" borderId="7" applyNumberFormat="0" applyFont="0" applyAlignment="0" applyProtection="0"/>
    <xf numFmtId="0" fontId="23" fillId="20" borderId="8" applyNumberFormat="0" applyAlignment="0" applyProtection="0"/>
    <xf numFmtId="0" fontId="6"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22" fillId="0" borderId="0"/>
    <xf numFmtId="0" fontId="12" fillId="0" borderId="0" applyFill="0" applyProtection="0"/>
    <xf numFmtId="0" fontId="54" fillId="0" borderId="0"/>
    <xf numFmtId="0" fontId="12" fillId="0" borderId="0" applyFill="0" applyProtection="0"/>
    <xf numFmtId="0" fontId="12" fillId="0" borderId="0" applyFill="0" applyProtection="0"/>
  </cellStyleXfs>
  <cellXfs count="840">
    <xf numFmtId="0" fontId="0" fillId="0" borderId="0" xfId="0"/>
    <xf numFmtId="0" fontId="2" fillId="0" borderId="0" xfId="1"/>
    <xf numFmtId="0" fontId="5" fillId="0" borderId="0" xfId="1" applyFont="1"/>
    <xf numFmtId="0" fontId="3" fillId="0" borderId="0" xfId="1" applyFont="1"/>
    <xf numFmtId="0" fontId="28" fillId="0" borderId="0" xfId="1" applyNumberFormat="1" applyFont="1" applyAlignment="1" applyProtection="1">
      <alignment horizontal="right"/>
      <protection locked="0"/>
    </xf>
    <xf numFmtId="49" fontId="21" fillId="25" borderId="15" xfId="0" applyNumberFormat="1" applyFont="1" applyFill="1" applyBorder="1" applyAlignment="1" applyProtection="1">
      <alignment horizontal="center" vertical="center" shrinkToFit="1"/>
      <protection locked="0"/>
    </xf>
    <xf numFmtId="0" fontId="40" fillId="0" borderId="0" xfId="0" applyNumberFormat="1" applyFont="1" applyAlignment="1" applyProtection="1">
      <alignment horizontal="center"/>
      <protection hidden="1"/>
    </xf>
    <xf numFmtId="0" fontId="31" fillId="25" borderId="0" xfId="0" applyNumberFormat="1" applyFont="1" applyFill="1" applyProtection="1">
      <protection hidden="1"/>
    </xf>
    <xf numFmtId="49" fontId="36" fillId="24" borderId="10" xfId="0" applyNumberFormat="1" applyFont="1" applyFill="1" applyBorder="1" applyAlignment="1" applyProtection="1">
      <alignment horizontal="center" vertical="center" textRotation="90" wrapText="1"/>
      <protection locked="0"/>
    </xf>
    <xf numFmtId="49" fontId="5" fillId="0" borderId="15" xfId="0" applyNumberFormat="1" applyFont="1" applyFill="1" applyBorder="1" applyAlignment="1" applyProtection="1">
      <alignment horizontal="center" vertical="center" shrinkToFit="1"/>
      <protection locked="0"/>
    </xf>
    <xf numFmtId="49" fontId="5" fillId="0" borderId="16" xfId="0" applyNumberFormat="1" applyFont="1" applyFill="1" applyBorder="1" applyAlignment="1" applyProtection="1">
      <alignment horizontal="left" vertical="center" shrinkToFit="1"/>
      <protection locked="0"/>
    </xf>
    <xf numFmtId="49" fontId="39" fillId="0" borderId="17" xfId="0" applyNumberFormat="1" applyFont="1" applyFill="1" applyBorder="1" applyAlignment="1" applyProtection="1">
      <alignment horizontal="left" vertical="center" shrinkToFit="1"/>
      <protection locked="0"/>
    </xf>
    <xf numFmtId="164" fontId="5" fillId="0" borderId="15" xfId="0" applyNumberFormat="1" applyFont="1" applyFill="1" applyBorder="1" applyAlignment="1" applyProtection="1">
      <alignment horizontal="center" vertical="center" shrinkToFit="1"/>
      <protection locked="0"/>
    </xf>
    <xf numFmtId="0" fontId="5" fillId="0" borderId="15" xfId="0" applyNumberFormat="1" applyFont="1" applyFill="1" applyBorder="1" applyAlignment="1" applyProtection="1">
      <alignment horizontal="center" vertical="center" shrinkToFit="1"/>
      <protection locked="0"/>
    </xf>
    <xf numFmtId="49" fontId="5" fillId="0" borderId="15" xfId="0" applyNumberFormat="1" applyFont="1" applyFill="1" applyBorder="1" applyAlignment="1" applyProtection="1">
      <alignment horizontal="left" vertical="center" shrinkToFit="1"/>
      <protection locked="0"/>
    </xf>
    <xf numFmtId="49" fontId="5" fillId="0" borderId="18" xfId="0" applyNumberFormat="1" applyFont="1" applyFill="1" applyBorder="1" applyAlignment="1" applyProtection="1">
      <alignment horizontal="center" vertical="center" shrinkToFit="1"/>
      <protection locked="0"/>
    </xf>
    <xf numFmtId="49" fontId="5" fillId="0" borderId="19" xfId="0" applyNumberFormat="1" applyFont="1" applyFill="1" applyBorder="1" applyAlignment="1" applyProtection="1">
      <alignment horizontal="left" vertical="center" shrinkToFit="1"/>
      <protection locked="0"/>
    </xf>
    <xf numFmtId="49" fontId="39" fillId="0" borderId="20" xfId="0" applyNumberFormat="1" applyFont="1" applyFill="1" applyBorder="1" applyAlignment="1" applyProtection="1">
      <alignment horizontal="left" vertical="center" shrinkToFit="1"/>
      <protection locked="0"/>
    </xf>
    <xf numFmtId="164" fontId="5" fillId="0" borderId="18" xfId="0" applyNumberFormat="1" applyFont="1" applyFill="1" applyBorder="1" applyAlignment="1" applyProtection="1">
      <alignment horizontal="center" vertical="center" shrinkToFit="1"/>
      <protection locked="0"/>
    </xf>
    <xf numFmtId="0" fontId="5" fillId="0" borderId="18" xfId="0" applyNumberFormat="1" applyFont="1" applyFill="1" applyBorder="1" applyAlignment="1" applyProtection="1">
      <alignment horizontal="center" vertical="center" shrinkToFit="1"/>
      <protection locked="0"/>
    </xf>
    <xf numFmtId="49" fontId="5" fillId="0" borderId="18" xfId="0" applyNumberFormat="1" applyFont="1" applyFill="1" applyBorder="1" applyAlignment="1" applyProtection="1">
      <alignment horizontal="left" vertical="center" shrinkToFit="1"/>
      <protection locked="0"/>
    </xf>
    <xf numFmtId="49" fontId="21" fillId="25" borderId="18" xfId="0" applyNumberFormat="1" applyFont="1" applyFill="1" applyBorder="1" applyAlignment="1" applyProtection="1">
      <alignment horizontal="center" vertical="center" shrinkToFit="1"/>
      <protection locked="0"/>
    </xf>
    <xf numFmtId="0" fontId="5" fillId="0" borderId="15" xfId="0" applyNumberFormat="1" applyFont="1" applyFill="1" applyBorder="1" applyAlignment="1" applyProtection="1">
      <alignment horizontal="center" vertical="center" shrinkToFit="1"/>
      <protection hidden="1"/>
    </xf>
    <xf numFmtId="0" fontId="5" fillId="0" borderId="18" xfId="0" applyNumberFormat="1" applyFont="1" applyFill="1" applyBorder="1" applyAlignment="1" applyProtection="1">
      <alignment horizontal="center" vertical="center" shrinkToFit="1"/>
      <protection hidden="1"/>
    </xf>
    <xf numFmtId="49" fontId="5" fillId="0" borderId="24" xfId="0" applyNumberFormat="1" applyFont="1" applyFill="1" applyBorder="1" applyAlignment="1" applyProtection="1">
      <alignment horizontal="center" vertical="center" shrinkToFit="1"/>
      <protection locked="0"/>
    </xf>
    <xf numFmtId="49" fontId="5" fillId="25" borderId="18" xfId="0" applyNumberFormat="1" applyFont="1" applyFill="1" applyBorder="1" applyAlignment="1" applyProtection="1">
      <alignment horizontal="center" vertical="center" shrinkToFit="1"/>
      <protection locked="0"/>
    </xf>
    <xf numFmtId="49" fontId="47" fillId="0" borderId="18" xfId="0" applyNumberFormat="1" applyFont="1" applyFill="1" applyBorder="1" applyAlignment="1" applyProtection="1">
      <alignment horizontal="center" vertical="center" shrinkToFit="1"/>
      <protection locked="0"/>
    </xf>
    <xf numFmtId="49" fontId="47" fillId="25" borderId="18" xfId="0" applyNumberFormat="1" applyFont="1" applyFill="1" applyBorder="1" applyAlignment="1" applyProtection="1">
      <alignment horizontal="center" vertical="center" shrinkToFit="1"/>
      <protection locked="0"/>
    </xf>
    <xf numFmtId="49" fontId="5" fillId="28" borderId="18" xfId="0" applyNumberFormat="1" applyFont="1" applyFill="1" applyBorder="1" applyAlignment="1" applyProtection="1">
      <alignment horizontal="center" vertical="center" shrinkToFit="1"/>
      <protection locked="0"/>
    </xf>
    <xf numFmtId="0" fontId="27" fillId="0" borderId="0" xfId="1" applyFont="1" applyProtection="1">
      <protection locked="0"/>
    </xf>
    <xf numFmtId="0" fontId="27" fillId="0" borderId="0" xfId="1" applyFont="1" applyAlignment="1" applyProtection="1">
      <alignment horizontal="center" vertical="center"/>
      <protection locked="0"/>
    </xf>
    <xf numFmtId="0" fontId="28" fillId="0" borderId="0" xfId="1" applyFont="1" applyProtection="1">
      <protection hidden="1"/>
    </xf>
    <xf numFmtId="0" fontId="28" fillId="0" borderId="0" xfId="1" applyFont="1" applyProtection="1">
      <protection locked="0"/>
    </xf>
    <xf numFmtId="0" fontId="49" fillId="29" borderId="10" xfId="1" applyFont="1" applyFill="1" applyBorder="1" applyAlignment="1" applyProtection="1">
      <alignment vertical="center"/>
      <protection locked="0"/>
    </xf>
    <xf numFmtId="0" fontId="50" fillId="29" borderId="10" xfId="1" applyFont="1" applyFill="1" applyBorder="1" applyAlignment="1" applyProtection="1">
      <alignment horizontal="center" vertical="center"/>
      <protection hidden="1"/>
    </xf>
    <xf numFmtId="0" fontId="27" fillId="0" borderId="10" xfId="1" applyFont="1" applyBorder="1" applyAlignment="1" applyProtection="1">
      <alignment vertical="center" wrapText="1"/>
      <protection locked="0"/>
    </xf>
    <xf numFmtId="0" fontId="39" fillId="0" borderId="10" xfId="1" applyFont="1" applyBorder="1" applyAlignment="1" applyProtection="1">
      <alignment horizontal="center" vertical="center" wrapText="1"/>
      <protection hidden="1"/>
    </xf>
    <xf numFmtId="0" fontId="28" fillId="0" borderId="10" xfId="1" applyFont="1" applyBorder="1" applyAlignment="1" applyProtection="1">
      <alignment horizontal="center" vertical="center" wrapText="1"/>
      <protection hidden="1"/>
    </xf>
    <xf numFmtId="0" fontId="49" fillId="29" borderId="10" xfId="1" applyFont="1" applyFill="1" applyBorder="1" applyProtection="1">
      <protection locked="0"/>
    </xf>
    <xf numFmtId="166" fontId="50" fillId="29" borderId="10" xfId="1" applyNumberFormat="1" applyFont="1" applyFill="1" applyBorder="1" applyAlignment="1" applyProtection="1">
      <alignment horizontal="center"/>
      <protection hidden="1"/>
    </xf>
    <xf numFmtId="0" fontId="28" fillId="0" borderId="10" xfId="1" applyFont="1" applyBorder="1" applyProtection="1">
      <protection hidden="1"/>
    </xf>
    <xf numFmtId="0" fontId="49" fillId="0" borderId="10" xfId="1" applyFont="1" applyBorder="1" applyAlignment="1" applyProtection="1">
      <alignment horizontal="center" vertical="center"/>
      <protection hidden="1"/>
    </xf>
    <xf numFmtId="0" fontId="28" fillId="29" borderId="10" xfId="1" applyFont="1" applyFill="1" applyBorder="1" applyAlignment="1" applyProtection="1">
      <alignment horizontal="center"/>
      <protection hidden="1"/>
    </xf>
    <xf numFmtId="166" fontId="27" fillId="0" borderId="10" xfId="1" applyNumberFormat="1" applyFont="1" applyBorder="1" applyAlignment="1" applyProtection="1">
      <alignment horizontal="right"/>
      <protection hidden="1"/>
    </xf>
    <xf numFmtId="0" fontId="27" fillId="0" borderId="10" xfId="1" applyFont="1" applyBorder="1" applyAlignment="1" applyProtection="1">
      <alignment horizontal="center" vertical="center"/>
      <protection hidden="1"/>
    </xf>
    <xf numFmtId="0" fontId="27" fillId="29" borderId="10" xfId="1" applyFont="1" applyFill="1" applyBorder="1" applyAlignment="1" applyProtection="1">
      <alignment horizontal="center"/>
      <protection hidden="1"/>
    </xf>
    <xf numFmtId="0" fontId="27" fillId="0" borderId="10" xfId="1" applyFont="1" applyBorder="1" applyProtection="1">
      <protection locked="0"/>
    </xf>
    <xf numFmtId="0" fontId="27" fillId="0" borderId="10" xfId="1" applyFont="1" applyBorder="1" applyAlignment="1" applyProtection="1">
      <alignment horizontal="center"/>
      <protection hidden="1"/>
    </xf>
    <xf numFmtId="0" fontId="28" fillId="0" borderId="10" xfId="1" applyFont="1" applyBorder="1" applyAlignment="1" applyProtection="1">
      <alignment horizontal="center"/>
      <protection hidden="1"/>
    </xf>
    <xf numFmtId="166" fontId="27" fillId="0" borderId="10" xfId="1" applyNumberFormat="1" applyFont="1" applyBorder="1" applyAlignment="1" applyProtection="1">
      <alignment horizontal="right"/>
      <protection locked="0"/>
    </xf>
    <xf numFmtId="0" fontId="27" fillId="0" borderId="10" xfId="1" applyFont="1" applyBorder="1" applyAlignment="1" applyProtection="1">
      <alignment horizontal="center" vertical="center"/>
      <protection locked="0"/>
    </xf>
    <xf numFmtId="0" fontId="28" fillId="0" borderId="10" xfId="1" applyFont="1" applyBorder="1" applyAlignment="1" applyProtection="1">
      <alignment horizontal="center" vertical="center"/>
      <protection locked="0"/>
    </xf>
    <xf numFmtId="0" fontId="28" fillId="0" borderId="21" xfId="1" applyFont="1" applyBorder="1" applyAlignment="1" applyProtection="1">
      <alignment horizontal="center" vertical="center"/>
      <protection locked="0"/>
    </xf>
    <xf numFmtId="0" fontId="51" fillId="0" borderId="0" xfId="1" applyFont="1" applyProtection="1">
      <protection hidden="1"/>
    </xf>
    <xf numFmtId="0" fontId="28" fillId="0" borderId="10" xfId="1" applyFont="1" applyBorder="1" applyProtection="1">
      <protection locked="0"/>
    </xf>
    <xf numFmtId="0" fontId="49" fillId="0" borderId="0" xfId="1" applyFont="1" applyAlignment="1" applyProtection="1">
      <alignment horizontal="center" vertical="center"/>
      <protection hidden="1"/>
    </xf>
    <xf numFmtId="10" fontId="28" fillId="0" borderId="10" xfId="1" applyNumberFormat="1" applyFont="1" applyBorder="1" applyProtection="1">
      <protection hidden="1"/>
    </xf>
    <xf numFmtId="0" fontId="52" fillId="0" borderId="10" xfId="1" applyFont="1" applyBorder="1" applyProtection="1">
      <protection locked="0"/>
    </xf>
    <xf numFmtId="10" fontId="27" fillId="0" borderId="10" xfId="1" applyNumberFormat="1" applyFont="1" applyBorder="1" applyAlignment="1" applyProtection="1">
      <alignment horizontal="center" vertical="center"/>
      <protection hidden="1"/>
    </xf>
    <xf numFmtId="0" fontId="27" fillId="0" borderId="10" xfId="1" applyFont="1" applyBorder="1" applyAlignment="1" applyProtection="1">
      <alignment horizontal="right" vertical="center"/>
      <protection locked="0"/>
    </xf>
    <xf numFmtId="10" fontId="27" fillId="0" borderId="10" xfId="1" applyNumberFormat="1" applyFont="1" applyBorder="1" applyProtection="1">
      <protection hidden="1"/>
    </xf>
    <xf numFmtId="0" fontId="53" fillId="0" borderId="10" xfId="1" applyFont="1" applyBorder="1" applyProtection="1">
      <protection locked="0"/>
    </xf>
    <xf numFmtId="0" fontId="55" fillId="0" borderId="0" xfId="0" applyNumberFormat="1" applyFont="1" applyProtection="1">
      <protection locked="0"/>
    </xf>
    <xf numFmtId="0" fontId="31" fillId="0" borderId="0" xfId="0" applyFont="1" applyProtection="1">
      <protection locked="0"/>
    </xf>
    <xf numFmtId="0" fontId="31" fillId="0" borderId="0" xfId="0" applyFont="1" applyAlignment="1" applyProtection="1">
      <alignment shrinkToFit="1"/>
      <protection locked="0"/>
    </xf>
    <xf numFmtId="165" fontId="43" fillId="0" borderId="15" xfId="0" applyNumberFormat="1" applyFont="1" applyFill="1" applyBorder="1" applyAlignment="1" applyProtection="1">
      <alignment horizontal="center" vertical="center"/>
      <protection hidden="1"/>
    </xf>
    <xf numFmtId="165" fontId="44" fillId="0" borderId="19" xfId="0" applyNumberFormat="1" applyFont="1" applyBorder="1" applyAlignment="1" applyProtection="1">
      <alignment horizontal="center" vertical="center"/>
      <protection hidden="1"/>
    </xf>
    <xf numFmtId="0" fontId="45" fillId="28" borderId="0" xfId="0" applyFont="1" applyFill="1" applyProtection="1">
      <protection hidden="1"/>
    </xf>
    <xf numFmtId="0" fontId="54" fillId="0" borderId="0" xfId="64" applyProtection="1">
      <protection locked="0"/>
    </xf>
    <xf numFmtId="0" fontId="54" fillId="0" borderId="0" xfId="64" applyFont="1" applyProtection="1">
      <protection locked="0"/>
    </xf>
    <xf numFmtId="0" fontId="60" fillId="30" borderId="10" xfId="64" applyFont="1" applyFill="1" applyBorder="1" applyAlignment="1" applyProtection="1">
      <alignment horizontal="center" vertical="center" wrapText="1"/>
      <protection hidden="1"/>
    </xf>
    <xf numFmtId="0" fontId="61" fillId="0" borderId="10" xfId="64" applyFont="1" applyBorder="1" applyAlignment="1" applyProtection="1">
      <alignment horizontal="center" vertical="center"/>
      <protection locked="0"/>
    </xf>
    <xf numFmtId="0" fontId="62" fillId="0" borderId="10" xfId="64" applyFont="1" applyBorder="1" applyAlignment="1" applyProtection="1">
      <alignment horizontal="center" vertical="center"/>
      <protection hidden="1"/>
    </xf>
    <xf numFmtId="0" fontId="62" fillId="0" borderId="10" xfId="64" applyNumberFormat="1" applyFont="1" applyBorder="1" applyAlignment="1" applyProtection="1">
      <alignment horizontal="center" vertical="center"/>
      <protection hidden="1"/>
    </xf>
    <xf numFmtId="0" fontId="63" fillId="0" borderId="10" xfId="64" applyFont="1" applyBorder="1" applyAlignment="1" applyProtection="1">
      <alignment horizontal="center" vertical="center"/>
      <protection hidden="1"/>
    </xf>
    <xf numFmtId="0" fontId="64" fillId="0" borderId="0" xfId="64" applyFont="1" applyProtection="1">
      <protection hidden="1"/>
    </xf>
    <xf numFmtId="0" fontId="61" fillId="0" borderId="10" xfId="64" applyFont="1" applyBorder="1" applyAlignment="1" applyProtection="1">
      <alignment horizontal="center" vertical="center" wrapText="1"/>
      <protection locked="0"/>
    </xf>
    <xf numFmtId="0" fontId="65" fillId="0" borderId="0" xfId="64" applyFont="1" applyProtection="1">
      <protection locked="0"/>
    </xf>
    <xf numFmtId="0" fontId="55" fillId="27" borderId="10" xfId="64" applyFont="1" applyFill="1" applyBorder="1" applyAlignment="1" applyProtection="1">
      <alignment horizontal="center" vertical="center" wrapText="1"/>
      <protection locked="0"/>
    </xf>
    <xf numFmtId="0" fontId="66" fillId="0" borderId="0" xfId="64" applyFont="1" applyProtection="1">
      <protection locked="0"/>
    </xf>
    <xf numFmtId="0" fontId="67" fillId="0" borderId="0" xfId="64" applyFont="1" applyProtection="1">
      <protection locked="0"/>
    </xf>
    <xf numFmtId="0" fontId="27" fillId="0" borderId="0" xfId="64" applyFont="1" applyProtection="1">
      <protection locked="0"/>
    </xf>
    <xf numFmtId="0" fontId="28" fillId="0" borderId="0" xfId="64" applyFont="1" applyProtection="1">
      <protection locked="0"/>
    </xf>
    <xf numFmtId="0" fontId="68" fillId="0" borderId="0" xfId="64" applyFont="1" applyProtection="1">
      <protection locked="0"/>
    </xf>
    <xf numFmtId="0" fontId="28" fillId="0" borderId="0" xfId="64" applyFont="1" applyAlignment="1" applyProtection="1">
      <protection locked="0"/>
    </xf>
    <xf numFmtId="0" fontId="28" fillId="0" borderId="0" xfId="64" applyFont="1" applyAlignment="1" applyProtection="1">
      <alignment vertical="center"/>
      <protection locked="0"/>
    </xf>
    <xf numFmtId="0" fontId="69" fillId="0" borderId="0" xfId="64" applyFont="1" applyAlignment="1" applyProtection="1">
      <protection locked="0"/>
    </xf>
    <xf numFmtId="0" fontId="70" fillId="0" borderId="0" xfId="64" applyFont="1" applyAlignment="1" applyProtection="1">
      <protection locked="0"/>
    </xf>
    <xf numFmtId="0" fontId="57" fillId="0" borderId="0" xfId="64" applyFont="1" applyAlignment="1" applyProtection="1">
      <protection locked="0"/>
    </xf>
    <xf numFmtId="0" fontId="72" fillId="0" borderId="0" xfId="64" applyFont="1" applyAlignment="1" applyProtection="1">
      <protection locked="0"/>
    </xf>
    <xf numFmtId="0" fontId="72" fillId="0" borderId="0" xfId="64" applyFont="1" applyAlignment="1" applyProtection="1">
      <alignment horizontal="right"/>
      <protection locked="0"/>
    </xf>
    <xf numFmtId="0" fontId="61" fillId="27" borderId="10" xfId="64" applyFont="1" applyFill="1" applyBorder="1" applyAlignment="1" applyProtection="1">
      <alignment horizontal="center" vertical="center"/>
      <protection hidden="1"/>
    </xf>
    <xf numFmtId="0" fontId="73" fillId="27" borderId="10" xfId="64" applyFont="1" applyFill="1" applyBorder="1" applyAlignment="1" applyProtection="1">
      <alignment horizontal="center" vertical="center"/>
      <protection hidden="1"/>
    </xf>
    <xf numFmtId="0" fontId="72" fillId="0" borderId="0" xfId="64" applyFont="1" applyAlignment="1" applyProtection="1">
      <protection hidden="1"/>
    </xf>
    <xf numFmtId="0" fontId="75" fillId="0" borderId="0" xfId="63" applyFont="1" applyFill="1" applyProtection="1">
      <protection locked="0"/>
    </xf>
    <xf numFmtId="0" fontId="76" fillId="0" borderId="0" xfId="63" applyFont="1" applyFill="1" applyProtection="1">
      <protection locked="0"/>
    </xf>
    <xf numFmtId="0" fontId="12" fillId="0" borderId="0" xfId="63" applyFill="1" applyProtection="1">
      <protection locked="0"/>
    </xf>
    <xf numFmtId="0" fontId="74" fillId="0" borderId="0" xfId="63" applyFont="1" applyFill="1" applyProtection="1">
      <protection locked="0"/>
    </xf>
    <xf numFmtId="0" fontId="74" fillId="0" borderId="0" xfId="63" applyNumberFormat="1" applyFont="1" applyFill="1" applyProtection="1">
      <protection locked="0"/>
    </xf>
    <xf numFmtId="0" fontId="77" fillId="0" borderId="0" xfId="63" applyFont="1" applyFill="1" applyAlignment="1" applyProtection="1">
      <protection hidden="1"/>
    </xf>
    <xf numFmtId="0" fontId="77" fillId="0" borderId="0" xfId="63" applyFont="1" applyFill="1" applyAlignment="1" applyProtection="1">
      <protection locked="0"/>
    </xf>
    <xf numFmtId="0" fontId="37" fillId="0" borderId="0" xfId="51" applyFont="1" applyBorder="1" applyAlignment="1" applyProtection="1">
      <alignment horizontal="center"/>
      <protection locked="0"/>
    </xf>
    <xf numFmtId="0" fontId="78" fillId="0" borderId="0" xfId="51" applyFont="1" applyAlignment="1" applyProtection="1">
      <alignment horizontal="center" vertical="center"/>
      <protection locked="0"/>
    </xf>
    <xf numFmtId="0" fontId="49" fillId="0" borderId="0" xfId="51" applyFont="1" applyProtection="1">
      <protection locked="0"/>
    </xf>
    <xf numFmtId="0" fontId="21" fillId="0" borderId="0" xfId="51" applyFont="1" applyProtection="1">
      <protection locked="0"/>
    </xf>
    <xf numFmtId="0" fontId="21" fillId="0" borderId="25" xfId="51" applyFont="1" applyBorder="1" applyAlignment="1" applyProtection="1">
      <protection locked="0"/>
    </xf>
    <xf numFmtId="0" fontId="21" fillId="0" borderId="0" xfId="51" applyFont="1" applyBorder="1" applyAlignment="1" applyProtection="1">
      <protection locked="0"/>
    </xf>
    <xf numFmtId="0" fontId="79" fillId="0" borderId="0" xfId="51" applyFont="1" applyProtection="1">
      <protection locked="0"/>
    </xf>
    <xf numFmtId="0" fontId="80" fillId="26" borderId="10" xfId="51" applyFont="1" applyFill="1" applyBorder="1" applyAlignment="1" applyProtection="1">
      <alignment horizontal="center" vertical="center" wrapText="1"/>
      <protection locked="0"/>
    </xf>
    <xf numFmtId="49" fontId="80" fillId="26" borderId="10" xfId="51" applyNumberFormat="1" applyFont="1" applyFill="1" applyBorder="1" applyAlignment="1" applyProtection="1">
      <alignment horizontal="center" vertical="center" wrapText="1"/>
      <protection locked="0"/>
    </xf>
    <xf numFmtId="0" fontId="47" fillId="0" borderId="10" xfId="51" applyFont="1" applyFill="1" applyBorder="1" applyAlignment="1" applyProtection="1">
      <alignment horizontal="center" vertical="center" wrapText="1"/>
      <protection locked="0"/>
    </xf>
    <xf numFmtId="0" fontId="47" fillId="0" borderId="10" xfId="51" applyFont="1" applyFill="1" applyBorder="1" applyAlignment="1" applyProtection="1">
      <alignment horizontal="left" vertical="center" shrinkToFit="1"/>
      <protection locked="0"/>
    </xf>
    <xf numFmtId="49" fontId="47" fillId="0" borderId="10" xfId="51" applyNumberFormat="1" applyFont="1" applyFill="1" applyBorder="1" applyAlignment="1" applyProtection="1">
      <alignment horizontal="center" vertical="center" shrinkToFit="1"/>
      <protection locked="0"/>
    </xf>
    <xf numFmtId="0" fontId="47" fillId="0" borderId="10" xfId="51" applyFont="1" applyFill="1" applyBorder="1" applyAlignment="1" applyProtection="1">
      <alignment horizontal="center" vertical="center" shrinkToFit="1"/>
      <protection locked="0"/>
    </xf>
    <xf numFmtId="14" fontId="47" fillId="0" borderId="10" xfId="51" applyNumberFormat="1" applyFont="1" applyFill="1" applyBorder="1" applyAlignment="1" applyProtection="1">
      <alignment horizontal="center" vertical="center" shrinkToFit="1"/>
      <protection locked="0"/>
    </xf>
    <xf numFmtId="0" fontId="76" fillId="0" borderId="0" xfId="63" applyFont="1" applyFill="1" applyProtection="1">
      <protection hidden="1"/>
    </xf>
    <xf numFmtId="0" fontId="12" fillId="26" borderId="0" xfId="63" applyFill="1" applyProtection="1">
      <protection locked="0"/>
    </xf>
    <xf numFmtId="49" fontId="75" fillId="0" borderId="0" xfId="63" applyNumberFormat="1" applyFont="1" applyFill="1" applyProtection="1">
      <protection locked="0"/>
    </xf>
    <xf numFmtId="49" fontId="74" fillId="0" borderId="0" xfId="63" applyNumberFormat="1" applyFont="1" applyFill="1" applyProtection="1">
      <protection locked="0"/>
    </xf>
    <xf numFmtId="0" fontId="82" fillId="0" borderId="0" xfId="63" applyFont="1" applyFill="1" applyProtection="1">
      <protection locked="0"/>
    </xf>
    <xf numFmtId="49" fontId="82" fillId="0" borderId="0" xfId="63" applyNumberFormat="1" applyFont="1" applyFill="1" applyProtection="1">
      <protection locked="0"/>
    </xf>
    <xf numFmtId="0" fontId="40" fillId="0" borderId="0" xfId="63" applyFont="1" applyFill="1" applyProtection="1">
      <protection locked="0"/>
    </xf>
    <xf numFmtId="49" fontId="12" fillId="0" borderId="0" xfId="63" applyNumberFormat="1" applyFill="1" applyProtection="1">
      <protection locked="0"/>
    </xf>
    <xf numFmtId="0" fontId="83" fillId="0" borderId="0" xfId="63" applyFont="1" applyFill="1" applyProtection="1">
      <protection locked="0"/>
    </xf>
    <xf numFmtId="0" fontId="40" fillId="0" borderId="0" xfId="63" applyFont="1" applyFill="1" applyAlignment="1" applyProtection="1">
      <alignment horizontal="center" vertical="center"/>
      <protection locked="0"/>
    </xf>
    <xf numFmtId="0" fontId="81" fillId="0" borderId="0" xfId="63" applyFont="1" applyFill="1" applyAlignment="1" applyProtection="1">
      <alignment horizontal="center"/>
      <protection locked="0"/>
    </xf>
    <xf numFmtId="0" fontId="40" fillId="0" borderId="0" xfId="63" applyFont="1" applyFill="1" applyAlignment="1" applyProtection="1">
      <alignment horizontal="center" vertical="center"/>
      <protection hidden="1"/>
    </xf>
    <xf numFmtId="0" fontId="39" fillId="0" borderId="0" xfId="53" applyNumberFormat="1" applyFont="1" applyFill="1" applyAlignment="1" applyProtection="1">
      <protection locked="0"/>
    </xf>
    <xf numFmtId="0" fontId="76" fillId="0" borderId="0" xfId="53" applyNumberFormat="1" applyFont="1" applyFill="1" applyAlignment="1" applyProtection="1">
      <protection locked="0"/>
    </xf>
    <xf numFmtId="0" fontId="12" fillId="0" borderId="0" xfId="53" applyNumberFormat="1" applyFill="1" applyAlignment="1" applyProtection="1">
      <protection locked="0"/>
    </xf>
    <xf numFmtId="0" fontId="84" fillId="0" borderId="0" xfId="53" applyNumberFormat="1" applyFont="1" applyFill="1" applyAlignment="1" applyProtection="1">
      <alignment vertical="center"/>
      <protection locked="0"/>
    </xf>
    <xf numFmtId="0" fontId="75" fillId="0" borderId="0" xfId="53" applyNumberFormat="1" applyFont="1" applyFill="1" applyAlignment="1" applyProtection="1">
      <alignment vertical="center"/>
      <protection locked="0"/>
    </xf>
    <xf numFmtId="0" fontId="12" fillId="0" borderId="0" xfId="53" applyNumberFormat="1" applyFill="1" applyAlignment="1" applyProtection="1">
      <alignment vertical="center"/>
      <protection locked="0"/>
    </xf>
    <xf numFmtId="0" fontId="75" fillId="0" borderId="0" xfId="53" applyNumberFormat="1" applyFont="1" applyFill="1" applyAlignment="1" applyProtection="1">
      <alignment horizontal="center" vertical="center"/>
      <protection locked="0"/>
    </xf>
    <xf numFmtId="0" fontId="27" fillId="0" borderId="0" xfId="53" applyNumberFormat="1" applyFont="1" applyFill="1" applyAlignment="1" applyProtection="1">
      <alignment horizontal="left" vertical="center"/>
      <protection locked="0"/>
    </xf>
    <xf numFmtId="0" fontId="86" fillId="0" borderId="0" xfId="53" applyNumberFormat="1" applyFont="1" applyFill="1" applyAlignment="1" applyProtection="1">
      <alignment horizontal="left" vertical="center"/>
      <protection hidden="1"/>
    </xf>
    <xf numFmtId="0" fontId="48" fillId="0" borderId="0" xfId="53" applyNumberFormat="1" applyFont="1" applyFill="1" applyAlignment="1" applyProtection="1">
      <alignment horizontal="left" vertical="center"/>
      <protection locked="0"/>
    </xf>
    <xf numFmtId="0" fontId="48" fillId="0" borderId="0" xfId="53" applyNumberFormat="1" applyFont="1" applyFill="1" applyAlignment="1" applyProtection="1">
      <alignment vertical="center"/>
      <protection locked="0"/>
    </xf>
    <xf numFmtId="0" fontId="12" fillId="0" borderId="0" xfId="53" applyNumberFormat="1" applyFont="1" applyFill="1" applyAlignment="1" applyProtection="1">
      <alignment vertical="center"/>
      <protection locked="0"/>
    </xf>
    <xf numFmtId="0" fontId="28" fillId="0" borderId="0" xfId="53" applyNumberFormat="1" applyFont="1" applyFill="1" applyAlignment="1" applyProtection="1">
      <alignment horizontal="left" vertical="center"/>
      <protection locked="0"/>
    </xf>
    <xf numFmtId="0" fontId="75" fillId="0" borderId="0" xfId="53" applyNumberFormat="1" applyFont="1" applyFill="1" applyAlignment="1" applyProtection="1">
      <alignment horizontal="right" vertical="center"/>
      <protection locked="0"/>
    </xf>
    <xf numFmtId="0" fontId="87" fillId="0" borderId="0" xfId="53" applyNumberFormat="1" applyFont="1" applyFill="1" applyAlignment="1" applyProtection="1">
      <alignment vertical="center"/>
      <protection locked="0"/>
    </xf>
    <xf numFmtId="0" fontId="87" fillId="0" borderId="0" xfId="53" applyNumberFormat="1" applyFont="1" applyFill="1" applyAlignment="1" applyProtection="1">
      <protection locked="0"/>
    </xf>
    <xf numFmtId="0" fontId="12" fillId="0" borderId="0" xfId="53" applyNumberFormat="1" applyFont="1" applyFill="1" applyAlignment="1" applyProtection="1">
      <alignment vertical="center"/>
      <protection hidden="1"/>
    </xf>
    <xf numFmtId="0" fontId="12" fillId="0" borderId="0" xfId="53" applyNumberFormat="1" applyFill="1" applyAlignment="1" applyProtection="1">
      <alignment wrapText="1"/>
      <protection locked="0"/>
    </xf>
    <xf numFmtId="0" fontId="27" fillId="0" borderId="0" xfId="53" applyNumberFormat="1" applyFont="1" applyFill="1" applyAlignment="1" applyProtection="1">
      <protection locked="0"/>
    </xf>
    <xf numFmtId="0" fontId="53" fillId="0" borderId="0" xfId="53" applyNumberFormat="1" applyFont="1" applyFill="1" applyAlignment="1" applyProtection="1">
      <alignment horizontal="center" vertical="center"/>
      <protection locked="0"/>
    </xf>
    <xf numFmtId="0" fontId="27" fillId="0" borderId="0" xfId="53" applyNumberFormat="1" applyFont="1" applyFill="1" applyAlignment="1" applyProtection="1">
      <alignment wrapText="1"/>
      <protection locked="0"/>
    </xf>
    <xf numFmtId="0" fontId="12" fillId="0" borderId="0" xfId="53" applyNumberFormat="1" applyFill="1" applyAlignment="1" applyProtection="1">
      <alignment vertical="center" wrapText="1"/>
      <protection locked="0"/>
    </xf>
    <xf numFmtId="0" fontId="27" fillId="0" borderId="0" xfId="63" applyNumberFormat="1" applyFont="1" applyFill="1" applyProtection="1">
      <protection locked="0"/>
    </xf>
    <xf numFmtId="0" fontId="12" fillId="0" borderId="0" xfId="63" applyNumberFormat="1" applyFill="1" applyAlignment="1" applyProtection="1">
      <alignment vertical="center"/>
      <protection locked="0"/>
    </xf>
    <xf numFmtId="0" fontId="12" fillId="0" borderId="0" xfId="63" applyNumberFormat="1" applyFill="1" applyAlignment="1" applyProtection="1">
      <protection locked="0"/>
    </xf>
    <xf numFmtId="0" fontId="12" fillId="0" borderId="0" xfId="63" applyNumberFormat="1" applyFill="1" applyProtection="1">
      <protection locked="0"/>
    </xf>
    <xf numFmtId="0" fontId="28" fillId="0" borderId="0" xfId="63" applyNumberFormat="1" applyFont="1" applyFill="1" applyAlignment="1" applyProtection="1">
      <protection locked="0"/>
    </xf>
    <xf numFmtId="0" fontId="27" fillId="0" borderId="0" xfId="63" applyNumberFormat="1" applyFont="1" applyFill="1" applyAlignment="1" applyProtection="1">
      <protection locked="0"/>
    </xf>
    <xf numFmtId="0" fontId="89" fillId="0" borderId="0" xfId="53" applyNumberFormat="1" applyFont="1" applyFill="1" applyAlignment="1" applyProtection="1">
      <protection locked="0"/>
    </xf>
    <xf numFmtId="0" fontId="89" fillId="0" borderId="0" xfId="53" applyNumberFormat="1" applyFont="1" applyFill="1" applyAlignment="1" applyProtection="1">
      <alignment wrapText="1"/>
      <protection locked="0"/>
    </xf>
    <xf numFmtId="0" fontId="39" fillId="0" borderId="0" xfId="45" applyFont="1" applyFill="1" applyProtection="1">
      <protection locked="0"/>
    </xf>
    <xf numFmtId="0" fontId="83" fillId="0" borderId="0" xfId="45" applyFont="1" applyFill="1" applyAlignment="1" applyProtection="1">
      <alignment horizontal="right" vertical="center"/>
      <protection locked="0"/>
    </xf>
    <xf numFmtId="0" fontId="12" fillId="0" borderId="0" xfId="45" applyFont="1" applyFill="1" applyProtection="1">
      <protection hidden="1"/>
    </xf>
    <xf numFmtId="0" fontId="12" fillId="0" borderId="0" xfId="45" applyFill="1" applyProtection="1">
      <protection locked="0"/>
    </xf>
    <xf numFmtId="0" fontId="84" fillId="0" borderId="0" xfId="45" applyFont="1" applyFill="1" applyAlignment="1" applyProtection="1">
      <alignment vertical="center"/>
      <protection locked="0"/>
    </xf>
    <xf numFmtId="0" fontId="12" fillId="0" borderId="0" xfId="45" applyFont="1" applyFill="1" applyAlignment="1" applyProtection="1">
      <alignment vertical="center"/>
      <protection locked="0"/>
    </xf>
    <xf numFmtId="0" fontId="12" fillId="0" borderId="0" xfId="45" applyFill="1" applyAlignment="1" applyProtection="1">
      <alignment vertical="center"/>
      <protection locked="0"/>
    </xf>
    <xf numFmtId="0" fontId="27" fillId="0" borderId="0" xfId="45" applyFont="1" applyFill="1" applyAlignment="1" applyProtection="1">
      <alignment horizontal="left" vertical="center"/>
      <protection locked="0"/>
    </xf>
    <xf numFmtId="0" fontId="75" fillId="0" borderId="0" xfId="45" applyFont="1" applyFill="1" applyAlignment="1" applyProtection="1">
      <alignment vertical="center"/>
      <protection locked="0"/>
    </xf>
    <xf numFmtId="0" fontId="75" fillId="0" borderId="0" xfId="45" applyFont="1" applyFill="1" applyAlignment="1" applyProtection="1">
      <alignment horizontal="center" vertical="center"/>
      <protection locked="0"/>
    </xf>
    <xf numFmtId="0" fontId="51" fillId="0" borderId="0" xfId="45" applyFont="1" applyFill="1" applyAlignment="1" applyProtection="1">
      <alignment horizontal="left" vertical="center"/>
      <protection hidden="1"/>
    </xf>
    <xf numFmtId="0" fontId="39" fillId="0" borderId="0" xfId="45" applyFont="1" applyFill="1" applyAlignment="1" applyProtection="1">
      <alignment horizontal="left" vertical="center"/>
      <protection locked="0"/>
    </xf>
    <xf numFmtId="0" fontId="27" fillId="0" borderId="0" xfId="45" applyFont="1" applyFill="1" applyAlignment="1" applyProtection="1">
      <alignment horizontal="left" vertical="center" wrapText="1"/>
      <protection locked="0"/>
    </xf>
    <xf numFmtId="0" fontId="75" fillId="0" borderId="0" xfId="45" applyFont="1" applyFill="1" applyAlignment="1" applyProtection="1">
      <alignment horizontal="right" vertical="center"/>
      <protection locked="0"/>
    </xf>
    <xf numFmtId="0" fontId="12" fillId="0" borderId="0" xfId="45" applyFont="1" applyFill="1" applyProtection="1">
      <protection locked="0"/>
    </xf>
    <xf numFmtId="0" fontId="75" fillId="0" borderId="29" xfId="45" applyFont="1" applyFill="1" applyBorder="1" applyAlignment="1" applyProtection="1">
      <alignment horizontal="center" vertical="center"/>
      <protection locked="0"/>
    </xf>
    <xf numFmtId="0" fontId="88" fillId="24" borderId="33" xfId="45" applyFont="1" applyFill="1" applyBorder="1" applyAlignment="1" applyProtection="1">
      <alignment horizontal="center" vertical="center" wrapText="1"/>
      <protection locked="0"/>
    </xf>
    <xf numFmtId="0" fontId="90" fillId="24" borderId="33" xfId="45" applyFont="1" applyFill="1" applyBorder="1" applyAlignment="1" applyProtection="1">
      <alignment horizontal="center" vertical="center" wrapText="1"/>
      <protection locked="0"/>
    </xf>
    <xf numFmtId="0" fontId="27" fillId="0" borderId="29" xfId="45" applyFont="1" applyFill="1" applyBorder="1" applyAlignment="1" applyProtection="1">
      <alignment horizontal="center" vertical="center"/>
      <protection locked="0"/>
    </xf>
    <xf numFmtId="0" fontId="27" fillId="0" borderId="29" xfId="45" applyFont="1" applyFill="1" applyBorder="1" applyAlignment="1" applyProtection="1">
      <alignment horizontal="center" vertical="center"/>
      <protection hidden="1"/>
    </xf>
    <xf numFmtId="0" fontId="5" fillId="0" borderId="29" xfId="45" applyFont="1" applyFill="1" applyBorder="1" applyAlignment="1" applyProtection="1">
      <alignment horizontal="center" vertical="center" wrapText="1"/>
      <protection locked="0"/>
    </xf>
    <xf numFmtId="0" fontId="49" fillId="0" borderId="29" xfId="45" applyFont="1" applyFill="1" applyBorder="1" applyAlignment="1" applyProtection="1">
      <alignment horizontal="center" vertical="center"/>
      <protection hidden="1"/>
    </xf>
    <xf numFmtId="0" fontId="27" fillId="0" borderId="29" xfId="45" applyFont="1" applyFill="1" applyBorder="1" applyAlignment="1" applyProtection="1">
      <alignment horizontal="center" vertical="center" wrapText="1"/>
      <protection hidden="1"/>
    </xf>
    <xf numFmtId="0" fontId="37" fillId="0" borderId="29" xfId="45" applyFont="1" applyFill="1" applyBorder="1" applyAlignment="1" applyProtection="1">
      <alignment horizontal="center" vertical="center"/>
      <protection hidden="1"/>
    </xf>
    <xf numFmtId="0" fontId="49" fillId="0" borderId="29" xfId="45" applyFont="1" applyFill="1" applyBorder="1" applyAlignment="1" applyProtection="1">
      <alignment horizontal="center" vertical="center"/>
      <protection locked="0"/>
    </xf>
    <xf numFmtId="0" fontId="49" fillId="0" borderId="29" xfId="45" applyFont="1" applyFill="1" applyBorder="1" applyAlignment="1" applyProtection="1">
      <alignment horizontal="center" vertical="center" wrapText="1"/>
      <protection locked="0"/>
    </xf>
    <xf numFmtId="0" fontId="27" fillId="0" borderId="0" xfId="45" applyFont="1" applyFill="1" applyProtection="1">
      <protection locked="0"/>
    </xf>
    <xf numFmtId="0" fontId="27" fillId="0" borderId="0" xfId="45" applyFont="1" applyFill="1" applyAlignment="1" applyProtection="1">
      <alignment wrapText="1"/>
      <protection locked="0"/>
    </xf>
    <xf numFmtId="0" fontId="27" fillId="0" borderId="0" xfId="45" applyFont="1" applyFill="1" applyAlignment="1" applyProtection="1">
      <alignment horizontal="center"/>
      <protection locked="0"/>
    </xf>
    <xf numFmtId="0" fontId="28" fillId="0" borderId="0" xfId="63" applyFont="1" applyFill="1" applyProtection="1">
      <protection locked="0"/>
    </xf>
    <xf numFmtId="0" fontId="27" fillId="0" borderId="0" xfId="63" applyFont="1" applyFill="1" applyProtection="1">
      <protection locked="0"/>
    </xf>
    <xf numFmtId="0" fontId="12" fillId="0" borderId="0" xfId="63" applyFont="1" applyFill="1" applyProtection="1">
      <protection locked="0"/>
    </xf>
    <xf numFmtId="0" fontId="28" fillId="0" borderId="0" xfId="63" applyFont="1" applyFill="1" applyAlignment="1" applyProtection="1">
      <protection locked="0"/>
    </xf>
    <xf numFmtId="0" fontId="27" fillId="0" borderId="0" xfId="63" applyFont="1" applyFill="1" applyAlignment="1" applyProtection="1">
      <protection locked="0"/>
    </xf>
    <xf numFmtId="0" fontId="89" fillId="0" borderId="0" xfId="45" applyFont="1" applyFill="1" applyProtection="1">
      <protection locked="0"/>
    </xf>
    <xf numFmtId="0" fontId="89" fillId="0" borderId="0" xfId="45" applyFont="1" applyFill="1" applyAlignment="1" applyProtection="1">
      <alignment wrapText="1"/>
      <protection locked="0"/>
    </xf>
    <xf numFmtId="0" fontId="89" fillId="0" borderId="0" xfId="45" applyFont="1" applyFill="1" applyAlignment="1" applyProtection="1">
      <alignment horizontal="center"/>
      <protection locked="0"/>
    </xf>
    <xf numFmtId="0" fontId="12" fillId="0" borderId="0" xfId="45" applyFill="1" applyAlignment="1" applyProtection="1">
      <alignment wrapText="1"/>
      <protection locked="0"/>
    </xf>
    <xf numFmtId="0" fontId="12" fillId="0" borderId="0" xfId="45" applyFill="1" applyAlignment="1" applyProtection="1">
      <alignment horizontal="center"/>
      <protection locked="0"/>
    </xf>
    <xf numFmtId="0" fontId="84" fillId="0" borderId="0" xfId="45" applyFont="1" applyFill="1" applyAlignment="1" applyProtection="1">
      <protection locked="0"/>
    </xf>
    <xf numFmtId="0" fontId="75" fillId="0" borderId="10" xfId="53" applyNumberFormat="1" applyFont="1" applyFill="1" applyBorder="1" applyAlignment="1" applyProtection="1">
      <alignment horizontal="center" vertical="center"/>
      <protection locked="0"/>
    </xf>
    <xf numFmtId="0" fontId="27" fillId="0" borderId="10" xfId="53" applyNumberFormat="1" applyFont="1" applyFill="1" applyBorder="1" applyAlignment="1" applyProtection="1">
      <alignment horizontal="center" vertical="center"/>
      <protection hidden="1"/>
    </xf>
    <xf numFmtId="0" fontId="27" fillId="0" borderId="10" xfId="53" applyNumberFormat="1" applyFont="1" applyFill="1" applyBorder="1" applyAlignment="1" applyProtection="1">
      <alignment horizontal="center" vertical="center"/>
      <protection locked="0"/>
    </xf>
    <xf numFmtId="0" fontId="75" fillId="0" borderId="10" xfId="53" applyNumberFormat="1" applyFont="1" applyFill="1" applyBorder="1" applyAlignment="1" applyProtection="1">
      <alignment horizontal="center" vertical="center" shrinkToFit="1"/>
      <protection locked="0"/>
    </xf>
    <xf numFmtId="0" fontId="28" fillId="0" borderId="10" xfId="53" applyNumberFormat="1" applyFont="1" applyFill="1" applyBorder="1" applyAlignment="1" applyProtection="1">
      <alignment horizontal="center" vertical="center"/>
      <protection hidden="1"/>
    </xf>
    <xf numFmtId="0" fontId="83" fillId="0" borderId="10" xfId="53" applyNumberFormat="1" applyFont="1" applyFill="1" applyBorder="1" applyAlignment="1" applyProtection="1">
      <alignment horizontal="center" vertical="center"/>
      <protection locked="0"/>
    </xf>
    <xf numFmtId="0" fontId="83" fillId="0" borderId="0" xfId="53" applyNumberFormat="1" applyFont="1" applyFill="1" applyAlignment="1" applyProtection="1">
      <alignment horizontal="right" vertical="center"/>
      <protection locked="0"/>
    </xf>
    <xf numFmtId="0" fontId="84" fillId="0" borderId="0" xfId="53" applyNumberFormat="1" applyFont="1" applyFill="1" applyAlignment="1" applyProtection="1">
      <alignment vertical="center"/>
      <protection hidden="1"/>
    </xf>
    <xf numFmtId="0" fontId="91" fillId="0" borderId="0" xfId="45" applyFont="1" applyFill="1" applyProtection="1">
      <protection locked="0"/>
    </xf>
    <xf numFmtId="0" fontId="28" fillId="0" borderId="0" xfId="63" applyFont="1" applyFill="1" applyAlignment="1" applyProtection="1">
      <alignment vertical="center"/>
      <protection locked="0"/>
    </xf>
    <xf numFmtId="0" fontId="28" fillId="0" borderId="0" xfId="63" applyFont="1" applyFill="1" applyAlignment="1" applyProtection="1">
      <alignment horizontal="center" vertical="center"/>
      <protection locked="0"/>
    </xf>
    <xf numFmtId="0" fontId="28" fillId="0" borderId="0" xfId="63" applyNumberFormat="1" applyFont="1" applyFill="1" applyAlignment="1" applyProtection="1">
      <alignment vertical="center"/>
      <protection locked="0"/>
    </xf>
    <xf numFmtId="0" fontId="0" fillId="0" borderId="0" xfId="0" applyNumberFormat="1" applyProtection="1">
      <protection locked="0"/>
    </xf>
    <xf numFmtId="0" fontId="28" fillId="0" borderId="0" xfId="0" applyNumberFormat="1" applyFont="1" applyAlignment="1" applyProtection="1">
      <alignment horizontal="center"/>
      <protection locked="0"/>
    </xf>
    <xf numFmtId="0" fontId="28" fillId="0" borderId="0" xfId="63" applyNumberFormat="1" applyFont="1" applyFill="1" applyAlignment="1" applyProtection="1">
      <alignment horizontal="center" vertical="center"/>
      <protection locked="0"/>
    </xf>
    <xf numFmtId="0" fontId="83" fillId="0" borderId="10" xfId="53" applyNumberFormat="1" applyFont="1" applyFill="1" applyBorder="1" applyAlignment="1" applyProtection="1">
      <alignment horizontal="center" vertical="center" wrapText="1"/>
      <protection hidden="1"/>
    </xf>
    <xf numFmtId="0" fontId="39" fillId="0" borderId="29" xfId="45" applyFont="1" applyFill="1" applyBorder="1" applyAlignment="1" applyProtection="1">
      <alignment horizontal="center" vertical="center" wrapText="1"/>
      <protection hidden="1"/>
    </xf>
    <xf numFmtId="0" fontId="52" fillId="0" borderId="0" xfId="45" applyFont="1" applyFill="1" applyAlignment="1" applyProtection="1">
      <alignment horizontal="center"/>
      <protection hidden="1"/>
    </xf>
    <xf numFmtId="0" fontId="53" fillId="0" borderId="0" xfId="63" applyFont="1" applyFill="1" applyAlignment="1" applyProtection="1">
      <protection locked="0"/>
    </xf>
    <xf numFmtId="0" fontId="28" fillId="0" borderId="0" xfId="0" applyNumberFormat="1" applyFont="1" applyAlignment="1" applyProtection="1">
      <alignment horizontal="center"/>
      <protection hidden="1"/>
    </xf>
    <xf numFmtId="0" fontId="52" fillId="0" borderId="0" xfId="45" applyFont="1" applyFill="1" applyAlignment="1" applyProtection="1">
      <alignment horizontal="center"/>
      <protection locked="0"/>
    </xf>
    <xf numFmtId="0" fontId="84" fillId="0" borderId="0" xfId="45" applyFont="1" applyFill="1" applyAlignment="1" applyProtection="1">
      <protection hidden="1"/>
    </xf>
    <xf numFmtId="0" fontId="53" fillId="0" borderId="0" xfId="63" applyFont="1" applyFill="1" applyAlignment="1" applyProtection="1">
      <alignment horizontal="right" vertical="center"/>
      <protection hidden="1"/>
    </xf>
    <xf numFmtId="49" fontId="2" fillId="0" borderId="0" xfId="1" applyNumberFormat="1" applyAlignment="1" applyProtection="1">
      <alignment horizontal="center"/>
      <protection locked="0"/>
    </xf>
    <xf numFmtId="0" fontId="94" fillId="0" borderId="0" xfId="1" applyNumberFormat="1" applyFont="1" applyAlignment="1" applyProtection="1">
      <alignment horizontal="left"/>
      <protection hidden="1"/>
    </xf>
    <xf numFmtId="0" fontId="2" fillId="0" borderId="0" xfId="1" applyNumberFormat="1" applyAlignment="1" applyProtection="1">
      <alignment horizontal="center"/>
      <protection locked="0"/>
    </xf>
    <xf numFmtId="0" fontId="2" fillId="0" borderId="0" xfId="1" applyAlignment="1" applyProtection="1">
      <alignment horizontal="center"/>
      <protection locked="0"/>
    </xf>
    <xf numFmtId="0" fontId="2" fillId="0" borderId="0" xfId="1" applyProtection="1">
      <protection locked="0"/>
    </xf>
    <xf numFmtId="0" fontId="2" fillId="0" borderId="0" xfId="1" applyFont="1" applyProtection="1">
      <protection locked="0"/>
    </xf>
    <xf numFmtId="49" fontId="2" fillId="0" borderId="0" xfId="1" applyNumberFormat="1" applyFont="1" applyProtection="1">
      <protection locked="0"/>
    </xf>
    <xf numFmtId="0" fontId="95" fillId="0" borderId="0" xfId="1" applyFont="1" applyProtection="1">
      <protection locked="0"/>
    </xf>
    <xf numFmtId="0" fontId="96" fillId="0" borderId="0" xfId="1" applyFont="1" applyProtection="1">
      <protection hidden="1"/>
    </xf>
    <xf numFmtId="0" fontId="96" fillId="0" borderId="0" xfId="1" applyFont="1" applyProtection="1">
      <protection locked="0"/>
    </xf>
    <xf numFmtId="0" fontId="2" fillId="0" borderId="0" xfId="1" applyFont="1" applyAlignment="1" applyProtection="1">
      <alignment horizontal="center" vertical="center"/>
      <protection locked="0"/>
    </xf>
    <xf numFmtId="0" fontId="2" fillId="0" borderId="0" xfId="1" applyAlignment="1" applyProtection="1">
      <alignment horizontal="center" vertical="center"/>
      <protection locked="0"/>
    </xf>
    <xf numFmtId="49" fontId="2" fillId="0" borderId="0" xfId="1" applyNumberFormat="1" applyAlignment="1" applyProtection="1">
      <alignment horizontal="center" vertical="center"/>
      <protection locked="0"/>
    </xf>
    <xf numFmtId="0" fontId="55" fillId="0" borderId="0" xfId="1" applyFont="1" applyProtection="1">
      <protection locked="0"/>
    </xf>
    <xf numFmtId="49" fontId="100" fillId="24" borderId="10" xfId="1" applyNumberFormat="1" applyFont="1" applyFill="1" applyBorder="1" applyAlignment="1" applyProtection="1">
      <alignment horizontal="center" vertical="center" wrapText="1"/>
      <protection locked="0"/>
    </xf>
    <xf numFmtId="0" fontId="97" fillId="24" borderId="10" xfId="1" applyFont="1" applyFill="1" applyBorder="1" applyAlignment="1" applyProtection="1">
      <alignment horizontal="center" vertical="center" shrinkToFit="1"/>
      <protection locked="0"/>
    </xf>
    <xf numFmtId="0" fontId="98" fillId="24" borderId="14" xfId="1" applyFont="1" applyFill="1" applyBorder="1" applyAlignment="1" applyProtection="1">
      <alignment horizontal="center" vertical="center" shrinkToFit="1"/>
      <protection locked="0"/>
    </xf>
    <xf numFmtId="165" fontId="101" fillId="0" borderId="22" xfId="1" applyNumberFormat="1" applyFont="1" applyFill="1" applyBorder="1" applyAlignment="1" applyProtection="1">
      <alignment horizontal="center" vertical="center"/>
      <protection hidden="1"/>
    </xf>
    <xf numFmtId="0" fontId="5" fillId="0" borderId="22" xfId="1" applyNumberFormat="1" applyFont="1" applyFill="1" applyBorder="1" applyAlignment="1" applyProtection="1">
      <alignment horizontal="center" vertical="center" shrinkToFit="1"/>
      <protection hidden="1"/>
    </xf>
    <xf numFmtId="49" fontId="5" fillId="0" borderId="22" xfId="1" applyNumberFormat="1" applyFont="1" applyFill="1" applyBorder="1" applyAlignment="1" applyProtection="1">
      <alignment horizontal="center" vertical="center" shrinkToFit="1"/>
      <protection locked="0"/>
    </xf>
    <xf numFmtId="49" fontId="5" fillId="0" borderId="40" xfId="1" applyNumberFormat="1" applyFont="1" applyFill="1" applyBorder="1" applyAlignment="1" applyProtection="1">
      <alignment horizontal="left" vertical="center" shrinkToFit="1"/>
      <protection locked="0"/>
    </xf>
    <xf numFmtId="49" fontId="39" fillId="0" borderId="41" xfId="1" applyNumberFormat="1" applyFont="1" applyFill="1" applyBorder="1" applyAlignment="1" applyProtection="1">
      <alignment horizontal="left" vertical="center" shrinkToFit="1"/>
      <protection locked="0"/>
    </xf>
    <xf numFmtId="164" fontId="5" fillId="0" borderId="22" xfId="1" applyNumberFormat="1" applyFont="1" applyFill="1" applyBorder="1" applyAlignment="1" applyProtection="1">
      <alignment horizontal="center" vertical="center" shrinkToFit="1"/>
      <protection locked="0"/>
    </xf>
    <xf numFmtId="1" fontId="5" fillId="0" borderId="22" xfId="1" applyNumberFormat="1" applyFont="1" applyFill="1" applyBorder="1" applyAlignment="1" applyProtection="1">
      <alignment horizontal="center" vertical="center" shrinkToFit="1"/>
      <protection locked="0"/>
    </xf>
    <xf numFmtId="49" fontId="5" fillId="0" borderId="22" xfId="1" applyNumberFormat="1" applyFont="1" applyFill="1" applyBorder="1" applyAlignment="1" applyProtection="1">
      <alignment horizontal="left" vertical="center" shrinkToFit="1"/>
      <protection locked="0"/>
    </xf>
    <xf numFmtId="0" fontId="2" fillId="26" borderId="0" xfId="1" applyFill="1" applyProtection="1">
      <protection locked="0"/>
    </xf>
    <xf numFmtId="0" fontId="95" fillId="0" borderId="0" xfId="1" applyFont="1" applyProtection="1">
      <protection hidden="1"/>
    </xf>
    <xf numFmtId="1" fontId="96" fillId="0" borderId="0" xfId="1" applyNumberFormat="1" applyFont="1" applyProtection="1">
      <protection hidden="1"/>
    </xf>
    <xf numFmtId="165" fontId="101" fillId="0" borderId="23" xfId="1" applyNumberFormat="1" applyFont="1" applyFill="1" applyBorder="1" applyAlignment="1" applyProtection="1">
      <alignment horizontal="center" vertical="center"/>
      <protection hidden="1"/>
    </xf>
    <xf numFmtId="0" fontId="5" fillId="0" borderId="23" xfId="1" applyNumberFormat="1" applyFont="1" applyFill="1" applyBorder="1" applyAlignment="1" applyProtection="1">
      <alignment horizontal="center" vertical="center" shrinkToFit="1"/>
      <protection hidden="1"/>
    </xf>
    <xf numFmtId="49" fontId="5" fillId="0" borderId="23" xfId="1" applyNumberFormat="1" applyFont="1" applyFill="1" applyBorder="1" applyAlignment="1" applyProtection="1">
      <alignment horizontal="center" vertical="center" shrinkToFit="1"/>
      <protection locked="0"/>
    </xf>
    <xf numFmtId="49" fontId="5" fillId="0" borderId="42" xfId="1" applyNumberFormat="1" applyFont="1" applyFill="1" applyBorder="1" applyAlignment="1" applyProtection="1">
      <alignment horizontal="left" vertical="center" shrinkToFit="1"/>
      <protection locked="0"/>
    </xf>
    <xf numFmtId="164" fontId="5" fillId="0" borderId="23" xfId="1" applyNumberFormat="1" applyFont="1" applyFill="1" applyBorder="1" applyAlignment="1" applyProtection="1">
      <alignment horizontal="center" vertical="center" shrinkToFit="1"/>
      <protection locked="0"/>
    </xf>
    <xf numFmtId="1" fontId="5" fillId="0" borderId="23" xfId="1" applyNumberFormat="1" applyFont="1" applyFill="1" applyBorder="1" applyAlignment="1" applyProtection="1">
      <alignment horizontal="center" vertical="center" shrinkToFit="1"/>
      <protection locked="0"/>
    </xf>
    <xf numFmtId="49" fontId="5" fillId="0" borderId="23" xfId="1" applyNumberFormat="1" applyFont="1" applyFill="1" applyBorder="1" applyAlignment="1" applyProtection="1">
      <alignment horizontal="left" vertical="center" shrinkToFit="1"/>
      <protection locked="0"/>
    </xf>
    <xf numFmtId="164" fontId="47" fillId="0" borderId="23" xfId="1" applyNumberFormat="1" applyFont="1" applyFill="1" applyBorder="1" applyAlignment="1" applyProtection="1">
      <alignment horizontal="center" vertical="center" shrinkToFit="1"/>
      <protection locked="0"/>
    </xf>
    <xf numFmtId="0" fontId="5" fillId="0" borderId="23" xfId="1" applyFont="1" applyFill="1" applyBorder="1" applyAlignment="1" applyProtection="1">
      <alignment horizontal="left" shrinkToFit="1"/>
      <protection locked="0"/>
    </xf>
    <xf numFmtId="165" fontId="101" fillId="0" borderId="43" xfId="1" applyNumberFormat="1" applyFont="1" applyFill="1" applyBorder="1" applyAlignment="1" applyProtection="1">
      <alignment horizontal="center" vertical="center"/>
      <protection hidden="1"/>
    </xf>
    <xf numFmtId="0" fontId="5" fillId="0" borderId="43" xfId="1" applyNumberFormat="1" applyFont="1" applyFill="1" applyBorder="1" applyAlignment="1" applyProtection="1">
      <alignment horizontal="center" vertical="center" shrinkToFit="1"/>
      <protection hidden="1"/>
    </xf>
    <xf numFmtId="49" fontId="5" fillId="0" borderId="43" xfId="1" applyNumberFormat="1" applyFont="1" applyFill="1" applyBorder="1" applyAlignment="1" applyProtection="1">
      <alignment horizontal="center" vertical="center" shrinkToFit="1"/>
      <protection locked="0"/>
    </xf>
    <xf numFmtId="49" fontId="5" fillId="0" borderId="44" xfId="1" applyNumberFormat="1" applyFont="1" applyFill="1" applyBorder="1" applyAlignment="1" applyProtection="1">
      <alignment horizontal="left" vertical="center" shrinkToFit="1"/>
      <protection locked="0"/>
    </xf>
    <xf numFmtId="49" fontId="39" fillId="0" borderId="45" xfId="1" applyNumberFormat="1" applyFont="1" applyFill="1" applyBorder="1" applyAlignment="1" applyProtection="1">
      <alignment horizontal="left" vertical="center" shrinkToFit="1"/>
      <protection locked="0"/>
    </xf>
    <xf numFmtId="164" fontId="5" fillId="0" borderId="43" xfId="1" applyNumberFormat="1" applyFont="1" applyFill="1" applyBorder="1" applyAlignment="1" applyProtection="1">
      <alignment horizontal="center" vertical="center" shrinkToFit="1"/>
      <protection locked="0"/>
    </xf>
    <xf numFmtId="1" fontId="5" fillId="0" borderId="43" xfId="1" applyNumberFormat="1" applyFont="1" applyFill="1" applyBorder="1" applyAlignment="1" applyProtection="1">
      <alignment horizontal="center" vertical="center" shrinkToFit="1"/>
      <protection locked="0"/>
    </xf>
    <xf numFmtId="49" fontId="5" fillId="0" borderId="43" xfId="1" applyNumberFormat="1" applyFont="1" applyFill="1" applyBorder="1" applyAlignment="1" applyProtection="1">
      <alignment horizontal="left" vertical="center" shrinkToFit="1"/>
      <protection locked="0"/>
    </xf>
    <xf numFmtId="49" fontId="2" fillId="0" borderId="0" xfId="1" applyNumberFormat="1" applyFont="1" applyAlignment="1" applyProtection="1">
      <alignment horizontal="center" vertical="center"/>
      <protection locked="0"/>
    </xf>
    <xf numFmtId="49" fontId="2" fillId="0" borderId="0" xfId="1" applyNumberFormat="1" applyFont="1" applyAlignment="1" applyProtection="1">
      <alignment horizontal="center"/>
      <protection locked="0"/>
    </xf>
    <xf numFmtId="0" fontId="2" fillId="0" borderId="0" xfId="1" applyFont="1" applyAlignment="1" applyProtection="1">
      <alignment horizontal="center"/>
      <protection locked="0"/>
    </xf>
    <xf numFmtId="0" fontId="2" fillId="0" borderId="0" xfId="1" applyFont="1" applyAlignment="1" applyProtection="1">
      <alignment shrinkToFit="1"/>
      <protection locked="0"/>
    </xf>
    <xf numFmtId="49" fontId="47" fillId="0" borderId="22" xfId="0" applyNumberFormat="1" applyFont="1" applyFill="1" applyBorder="1" applyAlignment="1" applyProtection="1">
      <alignment horizontal="center" vertical="center" shrinkToFit="1"/>
      <protection locked="0"/>
    </xf>
    <xf numFmtId="49" fontId="47" fillId="0" borderId="23" xfId="0" applyNumberFormat="1" applyFont="1" applyFill="1" applyBorder="1" applyAlignment="1" applyProtection="1">
      <alignment horizontal="center" vertical="center" shrinkToFit="1"/>
      <protection locked="0"/>
    </xf>
    <xf numFmtId="49" fontId="47" fillId="0" borderId="43" xfId="0" applyNumberFormat="1" applyFont="1" applyFill="1" applyBorder="1" applyAlignment="1" applyProtection="1">
      <alignment horizontal="center" vertical="center" shrinkToFit="1"/>
      <protection locked="0"/>
    </xf>
    <xf numFmtId="0" fontId="28" fillId="0" borderId="10" xfId="1" applyFont="1" applyBorder="1" applyAlignment="1" applyProtection="1">
      <alignment horizontal="center" vertical="center"/>
      <protection hidden="1"/>
    </xf>
    <xf numFmtId="0" fontId="50" fillId="29" borderId="10" xfId="1" applyNumberFormat="1" applyFont="1" applyFill="1" applyBorder="1" applyAlignment="1" applyProtection="1">
      <alignment horizontal="center"/>
      <protection hidden="1"/>
    </xf>
    <xf numFmtId="0" fontId="102" fillId="0" borderId="0" xfId="1" applyFont="1" applyProtection="1">
      <protection hidden="1"/>
    </xf>
    <xf numFmtId="0" fontId="54" fillId="0" borderId="0" xfId="64" applyAlignment="1" applyProtection="1">
      <protection locked="0"/>
    </xf>
    <xf numFmtId="0" fontId="105" fillId="0" borderId="0" xfId="64" applyFont="1" applyFill="1" applyAlignment="1" applyProtection="1">
      <protection locked="0"/>
    </xf>
    <xf numFmtId="0" fontId="106" fillId="0" borderId="10" xfId="64" applyFont="1" applyBorder="1" applyAlignment="1" applyProtection="1">
      <alignment horizontal="center" vertical="center"/>
      <protection hidden="1"/>
    </xf>
    <xf numFmtId="0" fontId="107" fillId="0" borderId="10" xfId="64" applyFont="1" applyBorder="1" applyAlignment="1" applyProtection="1">
      <alignment horizontal="center" vertical="center"/>
      <protection hidden="1"/>
    </xf>
    <xf numFmtId="0" fontId="108" fillId="0" borderId="10" xfId="64" applyFont="1" applyBorder="1" applyAlignment="1" applyProtection="1">
      <alignment horizontal="center" vertical="center"/>
      <protection hidden="1"/>
    </xf>
    <xf numFmtId="0" fontId="109" fillId="27" borderId="10" xfId="64" applyFont="1" applyFill="1" applyBorder="1" applyAlignment="1" applyProtection="1">
      <alignment horizontal="center" vertical="center"/>
      <protection hidden="1"/>
    </xf>
    <xf numFmtId="0" fontId="110" fillId="27" borderId="10" xfId="64" applyFont="1" applyFill="1" applyBorder="1" applyAlignment="1" applyProtection="1">
      <alignment horizontal="center" vertical="center"/>
      <protection hidden="1"/>
    </xf>
    <xf numFmtId="0" fontId="55" fillId="0" borderId="0" xfId="64" applyFont="1" applyProtection="1">
      <protection locked="0"/>
    </xf>
    <xf numFmtId="0" fontId="52" fillId="0" borderId="0" xfId="64" applyFont="1" applyAlignment="1" applyProtection="1">
      <alignment horizontal="center"/>
      <protection hidden="1"/>
    </xf>
    <xf numFmtId="0" fontId="28" fillId="0" borderId="0" xfId="64" applyFont="1" applyAlignment="1" applyProtection="1">
      <alignment horizontal="center" vertical="center"/>
      <protection locked="0"/>
    </xf>
    <xf numFmtId="0" fontId="75" fillId="0" borderId="0" xfId="65" applyFont="1" applyFill="1" applyProtection="1">
      <protection locked="0"/>
    </xf>
    <xf numFmtId="0" fontId="76" fillId="0" borderId="0" xfId="65" applyFont="1" applyFill="1" applyProtection="1">
      <protection locked="0"/>
    </xf>
    <xf numFmtId="0" fontId="12" fillId="0" borderId="0" xfId="65" applyFill="1" applyProtection="1">
      <protection locked="0"/>
    </xf>
    <xf numFmtId="0" fontId="74" fillId="0" borderId="0" xfId="65" applyFont="1" applyFill="1" applyProtection="1">
      <protection locked="0"/>
    </xf>
    <xf numFmtId="49" fontId="74" fillId="0" borderId="0" xfId="65" applyNumberFormat="1" applyFont="1" applyFill="1" applyProtection="1">
      <protection locked="0"/>
    </xf>
    <xf numFmtId="0" fontId="75" fillId="0" borderId="0" xfId="65" applyFont="1" applyFill="1" applyAlignment="1" applyProtection="1">
      <alignment horizontal="left"/>
      <protection locked="0"/>
    </xf>
    <xf numFmtId="0" fontId="37" fillId="0" borderId="0" xfId="62" applyFont="1" applyBorder="1" applyAlignment="1" applyProtection="1">
      <alignment horizontal="center"/>
      <protection locked="0"/>
    </xf>
    <xf numFmtId="0" fontId="78" fillId="0" borderId="0" xfId="62" applyFont="1" applyAlignment="1" applyProtection="1">
      <alignment horizontal="center" vertical="center"/>
      <protection locked="0"/>
    </xf>
    <xf numFmtId="0" fontId="21" fillId="0" borderId="0" xfId="62" applyFont="1" applyProtection="1">
      <protection locked="0"/>
    </xf>
    <xf numFmtId="0" fontId="21" fillId="0" borderId="0" xfId="62" applyFont="1" applyAlignment="1" applyProtection="1">
      <alignment horizontal="left"/>
      <protection locked="0"/>
    </xf>
    <xf numFmtId="0" fontId="21" fillId="0" borderId="25" xfId="62" applyFont="1" applyBorder="1" applyAlignment="1" applyProtection="1">
      <protection locked="0"/>
    </xf>
    <xf numFmtId="0" fontId="21" fillId="0" borderId="0" xfId="62" applyFont="1" applyBorder="1" applyAlignment="1" applyProtection="1">
      <protection locked="0"/>
    </xf>
    <xf numFmtId="0" fontId="79" fillId="0" borderId="0" xfId="62" applyFont="1" applyProtection="1">
      <protection locked="0"/>
    </xf>
    <xf numFmtId="0" fontId="80" fillId="26" borderId="10" xfId="62" applyFont="1" applyFill="1" applyBorder="1" applyAlignment="1" applyProtection="1">
      <alignment horizontal="center" vertical="center" wrapText="1"/>
      <protection locked="0"/>
    </xf>
    <xf numFmtId="0" fontId="47" fillId="0" borderId="10" xfId="62" applyFont="1" applyFill="1" applyBorder="1" applyAlignment="1" applyProtection="1">
      <alignment horizontal="center" vertical="center" wrapText="1"/>
      <protection locked="0"/>
    </xf>
    <xf numFmtId="0" fontId="47" fillId="0" borderId="10" xfId="62" applyFont="1" applyFill="1" applyBorder="1" applyAlignment="1" applyProtection="1">
      <alignment horizontal="left" vertical="center" shrinkToFit="1"/>
      <protection locked="0"/>
    </xf>
    <xf numFmtId="49" fontId="47" fillId="0" borderId="10" xfId="62" applyNumberFormat="1" applyFont="1" applyFill="1" applyBorder="1" applyAlignment="1" applyProtection="1">
      <alignment horizontal="center" vertical="center" shrinkToFit="1"/>
      <protection locked="0"/>
    </xf>
    <xf numFmtId="0" fontId="47" fillId="0" borderId="10" xfId="62" applyFont="1" applyFill="1" applyBorder="1" applyAlignment="1" applyProtection="1">
      <alignment horizontal="center" vertical="center" shrinkToFit="1"/>
      <protection locked="0"/>
    </xf>
    <xf numFmtId="0" fontId="76" fillId="0" borderId="0" xfId="65" applyFont="1" applyFill="1" applyProtection="1">
      <protection hidden="1"/>
    </xf>
    <xf numFmtId="49" fontId="75" fillId="0" borderId="0" xfId="65" applyNumberFormat="1" applyFont="1" applyFill="1" applyProtection="1">
      <protection locked="0"/>
    </xf>
    <xf numFmtId="0" fontId="74" fillId="0" borderId="0" xfId="65" applyFont="1" applyFill="1" applyAlignment="1" applyProtection="1">
      <alignment horizontal="left"/>
      <protection locked="0"/>
    </xf>
    <xf numFmtId="0" fontId="82" fillId="0" borderId="0" xfId="65" applyFont="1" applyFill="1" applyProtection="1">
      <protection locked="0"/>
    </xf>
    <xf numFmtId="0" fontId="82" fillId="0" borderId="0" xfId="65" applyFont="1" applyFill="1" applyAlignment="1" applyProtection="1">
      <alignment horizontal="left"/>
      <protection locked="0"/>
    </xf>
    <xf numFmtId="49" fontId="82" fillId="0" borderId="0" xfId="65" applyNumberFormat="1" applyFont="1" applyFill="1" applyProtection="1">
      <protection locked="0"/>
    </xf>
    <xf numFmtId="0" fontId="12" fillId="0" borderId="0" xfId="65" applyFill="1" applyAlignment="1" applyProtection="1">
      <alignment horizontal="left"/>
      <protection locked="0"/>
    </xf>
    <xf numFmtId="49" fontId="12" fillId="0" borderId="0" xfId="65" applyNumberFormat="1" applyFill="1" applyProtection="1">
      <protection locked="0"/>
    </xf>
    <xf numFmtId="0" fontId="81" fillId="0" borderId="0" xfId="65" applyFont="1" applyFill="1" applyAlignment="1" applyProtection="1">
      <alignment horizontal="center" vertical="center"/>
      <protection hidden="1"/>
    </xf>
    <xf numFmtId="0" fontId="91" fillId="0" borderId="0" xfId="52" applyFont="1" applyFill="1" applyAlignment="1" applyProtection="1">
      <alignment vertical="center"/>
      <protection locked="0"/>
    </xf>
    <xf numFmtId="0" fontId="12" fillId="0" borderId="0" xfId="52" applyFill="1" applyAlignment="1" applyProtection="1">
      <alignment vertical="center"/>
      <protection locked="0"/>
    </xf>
    <xf numFmtId="0" fontId="76" fillId="0" borderId="0" xfId="53" applyFont="1" applyFill="1" applyAlignment="1" applyProtection="1">
      <protection locked="0"/>
    </xf>
    <xf numFmtId="0" fontId="111" fillId="0" borderId="0" xfId="52" applyFont="1" applyFill="1" applyAlignment="1" applyProtection="1">
      <alignment vertical="center"/>
      <protection locked="0"/>
    </xf>
    <xf numFmtId="0" fontId="12" fillId="0" borderId="0" xfId="52" applyFill="1" applyAlignment="1" applyProtection="1">
      <alignment horizontal="left" vertical="center"/>
      <protection locked="0"/>
    </xf>
    <xf numFmtId="0" fontId="12" fillId="0" borderId="46" xfId="52" applyFill="1" applyBorder="1" applyAlignment="1" applyProtection="1">
      <alignment vertical="center"/>
      <protection locked="0"/>
    </xf>
    <xf numFmtId="0" fontId="51" fillId="0" borderId="46" xfId="63" applyFont="1" applyFill="1" applyBorder="1" applyAlignment="1" applyProtection="1">
      <alignment vertical="center"/>
      <protection hidden="1"/>
    </xf>
    <xf numFmtId="0" fontId="77" fillId="0" borderId="46" xfId="63" applyFont="1" applyFill="1" applyBorder="1" applyAlignment="1" applyProtection="1">
      <alignment vertical="center"/>
      <protection locked="0"/>
    </xf>
    <xf numFmtId="0" fontId="12" fillId="0" borderId="0" xfId="52" applyFill="1" applyProtection="1">
      <protection locked="0"/>
    </xf>
    <xf numFmtId="0" fontId="114" fillId="0" borderId="29" xfId="52" applyFont="1" applyFill="1" applyBorder="1" applyAlignment="1" applyProtection="1">
      <alignment horizontal="center" vertical="center" wrapText="1"/>
      <protection locked="0"/>
    </xf>
    <xf numFmtId="0" fontId="12" fillId="0" borderId="29" xfId="52" applyFill="1" applyBorder="1" applyAlignment="1" applyProtection="1">
      <alignment horizontal="center" vertical="center"/>
      <protection locked="0"/>
    </xf>
    <xf numFmtId="0" fontId="12" fillId="0" borderId="29" xfId="52" applyFill="1" applyBorder="1" applyAlignment="1" applyProtection="1">
      <alignment horizontal="center" vertical="center" wrapText="1"/>
      <protection hidden="1"/>
    </xf>
    <xf numFmtId="0" fontId="105" fillId="0" borderId="29" xfId="52" applyFont="1" applyFill="1" applyBorder="1" applyAlignment="1" applyProtection="1">
      <alignment horizontal="center" vertical="center"/>
      <protection locked="0"/>
    </xf>
    <xf numFmtId="0" fontId="105" fillId="0" borderId="29" xfId="52" applyFont="1" applyFill="1" applyBorder="1" applyAlignment="1" applyProtection="1">
      <alignment horizontal="center" vertical="center"/>
      <protection hidden="1"/>
    </xf>
    <xf numFmtId="0" fontId="115" fillId="0" borderId="29" xfId="52" applyFont="1" applyFill="1" applyBorder="1" applyAlignment="1" applyProtection="1">
      <alignment horizontal="center" vertical="center"/>
      <protection hidden="1"/>
    </xf>
    <xf numFmtId="167" fontId="105" fillId="0" borderId="29" xfId="52" applyNumberFormat="1" applyFont="1" applyFill="1" applyBorder="1" applyAlignment="1" applyProtection="1">
      <alignment horizontal="center" vertical="center"/>
      <protection hidden="1"/>
    </xf>
    <xf numFmtId="0" fontId="76" fillId="0" borderId="0" xfId="52" applyFont="1" applyFill="1" applyProtection="1">
      <protection hidden="1"/>
    </xf>
    <xf numFmtId="0" fontId="115" fillId="0" borderId="29" xfId="52" applyFont="1" applyFill="1" applyBorder="1" applyAlignment="1" applyProtection="1">
      <alignment horizontal="center" vertical="center"/>
      <protection locked="0"/>
    </xf>
    <xf numFmtId="0" fontId="67" fillId="0" borderId="29" xfId="52" applyFont="1" applyFill="1" applyBorder="1" applyAlignment="1" applyProtection="1">
      <alignment horizontal="center" vertical="center"/>
      <protection locked="0"/>
    </xf>
    <xf numFmtId="0" fontId="104" fillId="0" borderId="29" xfId="52" applyFont="1" applyFill="1" applyBorder="1" applyAlignment="1" applyProtection="1">
      <alignment horizontal="center" vertical="center"/>
      <protection locked="0"/>
    </xf>
    <xf numFmtId="0" fontId="76" fillId="0" borderId="0" xfId="52" applyFont="1" applyFill="1" applyProtection="1">
      <protection locked="0"/>
    </xf>
    <xf numFmtId="0" fontId="104" fillId="0" borderId="29" xfId="52" applyFont="1" applyFill="1" applyBorder="1" applyAlignment="1" applyProtection="1">
      <alignment horizontal="center" vertical="center"/>
      <protection hidden="1"/>
    </xf>
    <xf numFmtId="0" fontId="116" fillId="0" borderId="29" xfId="52" applyFont="1" applyFill="1" applyBorder="1" applyAlignment="1" applyProtection="1">
      <alignment horizontal="center" vertical="center"/>
      <protection hidden="1"/>
    </xf>
    <xf numFmtId="167" fontId="104" fillId="0" borderId="29" xfId="52" applyNumberFormat="1" applyFont="1" applyFill="1" applyBorder="1" applyAlignment="1" applyProtection="1">
      <alignment horizontal="center" vertical="center"/>
      <protection hidden="1"/>
    </xf>
    <xf numFmtId="0" fontId="117" fillId="0" borderId="0" xfId="52" applyFont="1" applyFill="1" applyProtection="1">
      <protection hidden="1"/>
    </xf>
    <xf numFmtId="0" fontId="12" fillId="0" borderId="0" xfId="52" applyFont="1" applyFill="1" applyProtection="1">
      <protection locked="0"/>
    </xf>
    <xf numFmtId="0" fontId="28" fillId="0" borderId="30" xfId="52" applyFont="1" applyFill="1" applyBorder="1" applyAlignment="1" applyProtection="1">
      <alignment horizontal="center" vertical="center"/>
      <protection locked="0"/>
    </xf>
    <xf numFmtId="0" fontId="27" fillId="0" borderId="30" xfId="52" applyFont="1" applyFill="1" applyBorder="1" applyAlignment="1" applyProtection="1">
      <alignment vertical="center"/>
      <protection hidden="1"/>
    </xf>
    <xf numFmtId="0" fontId="12" fillId="0" borderId="0" xfId="52" applyFill="1" applyAlignment="1" applyProtection="1">
      <protection locked="0"/>
    </xf>
    <xf numFmtId="0" fontId="91" fillId="0" borderId="0" xfId="52" applyFont="1" applyFill="1" applyProtection="1">
      <protection locked="0"/>
    </xf>
    <xf numFmtId="0" fontId="91" fillId="0" borderId="0" xfId="52" applyFont="1" applyFill="1" applyAlignment="1" applyProtection="1">
      <protection locked="0"/>
    </xf>
    <xf numFmtId="0" fontId="89" fillId="0" borderId="0" xfId="65" applyFont="1" applyFill="1" applyProtection="1">
      <protection locked="0"/>
    </xf>
    <xf numFmtId="0" fontId="27" fillId="0" borderId="0" xfId="65" applyFont="1" applyFill="1" applyProtection="1">
      <protection locked="0"/>
    </xf>
    <xf numFmtId="0" fontId="12" fillId="0" borderId="0" xfId="65" applyFill="1" applyAlignment="1" applyProtection="1">
      <protection locked="0"/>
    </xf>
    <xf numFmtId="0" fontId="28" fillId="0" borderId="0" xfId="65" applyFont="1" applyFill="1" applyAlignment="1" applyProtection="1">
      <protection locked="0"/>
    </xf>
    <xf numFmtId="0" fontId="27" fillId="0" borderId="0" xfId="65" applyFont="1" applyFill="1" applyAlignment="1" applyProtection="1">
      <protection locked="0"/>
    </xf>
    <xf numFmtId="0" fontId="89" fillId="0" borderId="0" xfId="52" applyFont="1" applyFill="1" applyProtection="1">
      <protection locked="0"/>
    </xf>
    <xf numFmtId="0" fontId="27" fillId="0" borderId="0" xfId="52" applyFont="1" applyFill="1" applyProtection="1">
      <protection locked="0"/>
    </xf>
    <xf numFmtId="0" fontId="12" fillId="0" borderId="0" xfId="52" applyFill="1" applyAlignment="1" applyProtection="1">
      <alignment horizontal="right" vertical="center"/>
      <protection locked="0"/>
    </xf>
    <xf numFmtId="0" fontId="91" fillId="0" borderId="46" xfId="65" applyFont="1" applyFill="1" applyBorder="1" applyAlignment="1" applyProtection="1">
      <alignment vertical="center"/>
      <protection locked="0"/>
    </xf>
    <xf numFmtId="0" fontId="28" fillId="0" borderId="0" xfId="65" applyFont="1" applyFill="1" applyAlignment="1" applyProtection="1">
      <alignment horizontal="center"/>
      <protection locked="0"/>
    </xf>
    <xf numFmtId="0" fontId="28" fillId="0" borderId="0" xfId="65" applyFont="1" applyFill="1" applyAlignment="1" applyProtection="1">
      <alignment horizontal="center" vertical="center"/>
      <protection locked="0"/>
    </xf>
    <xf numFmtId="0" fontId="27" fillId="0" borderId="0" xfId="52" applyFont="1" applyFill="1" applyAlignment="1" applyProtection="1">
      <alignment horizontal="center" vertical="center"/>
      <protection locked="0"/>
    </xf>
    <xf numFmtId="0" fontId="12" fillId="0" borderId="29" xfId="52" applyFill="1" applyBorder="1" applyAlignment="1" applyProtection="1">
      <alignment horizontal="left"/>
      <protection locked="0"/>
    </xf>
    <xf numFmtId="0" fontId="91" fillId="0" borderId="29" xfId="52" applyFont="1" applyFill="1" applyBorder="1" applyAlignment="1" applyProtection="1">
      <alignment horizontal="center"/>
      <protection locked="0"/>
    </xf>
    <xf numFmtId="0" fontId="91" fillId="0" borderId="29" xfId="52" applyFont="1" applyFill="1" applyBorder="1" applyAlignment="1" applyProtection="1">
      <alignment horizontal="center" vertical="center"/>
      <protection hidden="1"/>
    </xf>
    <xf numFmtId="167" fontId="91" fillId="0" borderId="29" xfId="52" applyNumberFormat="1" applyFont="1" applyFill="1" applyBorder="1" applyAlignment="1" applyProtection="1">
      <alignment horizontal="center" vertical="center"/>
      <protection hidden="1"/>
    </xf>
    <xf numFmtId="0" fontId="91" fillId="0" borderId="0" xfId="65" applyFont="1" applyFill="1" applyProtection="1">
      <protection locked="0"/>
    </xf>
    <xf numFmtId="0" fontId="119" fillId="0" borderId="0" xfId="65" applyFont="1" applyFill="1" applyProtection="1">
      <protection locked="0"/>
    </xf>
    <xf numFmtId="0" fontId="75" fillId="0" borderId="0" xfId="52" applyFont="1" applyFill="1" applyProtection="1">
      <protection locked="0"/>
    </xf>
    <xf numFmtId="0" fontId="52" fillId="0" borderId="0" xfId="52" applyFont="1" applyFill="1" applyProtection="1">
      <protection locked="0"/>
    </xf>
    <xf numFmtId="0" fontId="91" fillId="0" borderId="46" xfId="65" applyFont="1" applyFill="1" applyBorder="1" applyAlignment="1" applyProtection="1">
      <alignment horizontal="left" vertical="center"/>
      <protection locked="0"/>
    </xf>
    <xf numFmtId="0" fontId="91" fillId="0" borderId="0" xfId="65" applyFont="1" applyFill="1" applyAlignment="1" applyProtection="1">
      <alignment vertical="center"/>
      <protection locked="0"/>
    </xf>
    <xf numFmtId="0" fontId="27" fillId="0" borderId="0" xfId="65" applyFont="1" applyFill="1" applyAlignment="1" applyProtection="1">
      <alignment vertical="center"/>
      <protection locked="0"/>
    </xf>
    <xf numFmtId="0" fontId="53" fillId="0" borderId="0" xfId="65" applyFont="1" applyFill="1" applyAlignment="1" applyProtection="1">
      <protection locked="0"/>
    </xf>
    <xf numFmtId="0" fontId="5" fillId="0" borderId="29" xfId="52" applyFont="1" applyFill="1" applyBorder="1" applyAlignment="1" applyProtection="1">
      <alignment horizontal="center" vertical="center" wrapText="1"/>
      <protection hidden="1"/>
    </xf>
    <xf numFmtId="0" fontId="5" fillId="0" borderId="29" xfId="52" applyFont="1" applyFill="1" applyBorder="1" applyAlignment="1" applyProtection="1">
      <alignment horizontal="left" vertical="center"/>
      <protection locked="0"/>
    </xf>
    <xf numFmtId="0" fontId="92" fillId="0" borderId="0" xfId="65" applyFont="1" applyFill="1" applyAlignment="1" applyProtection="1">
      <alignment horizontal="center" vertical="center"/>
      <protection hidden="1"/>
    </xf>
    <xf numFmtId="0" fontId="28" fillId="0" borderId="0" xfId="65" applyFont="1" applyFill="1" applyAlignment="1" applyProtection="1">
      <alignment horizontal="center" vertical="center"/>
      <protection hidden="1"/>
    </xf>
    <xf numFmtId="0" fontId="112" fillId="0" borderId="33" xfId="52" applyFont="1" applyFill="1" applyBorder="1" applyAlignment="1" applyProtection="1">
      <alignment horizontal="center" vertical="center"/>
      <protection locked="0"/>
    </xf>
    <xf numFmtId="0" fontId="52" fillId="0" borderId="0" xfId="0" applyNumberFormat="1" applyFont="1" applyAlignment="1" applyProtection="1">
      <alignment horizontal="left"/>
      <protection hidden="1"/>
    </xf>
    <xf numFmtId="0" fontId="120" fillId="0" borderId="0" xfId="0" applyNumberFormat="1" applyFont="1" applyAlignment="1" applyProtection="1">
      <alignment horizontal="right"/>
      <protection locked="0"/>
    </xf>
    <xf numFmtId="0" fontId="95" fillId="0" borderId="0" xfId="0" applyNumberFormat="1" applyFont="1" applyProtection="1">
      <protection locked="0"/>
    </xf>
    <xf numFmtId="0" fontId="36" fillId="24" borderId="10" xfId="1" applyFont="1" applyFill="1" applyBorder="1" applyAlignment="1" applyProtection="1">
      <alignment horizontal="center" vertical="center" wrapText="1"/>
      <protection locked="0"/>
    </xf>
    <xf numFmtId="0" fontId="98" fillId="24" borderId="21" xfId="1" applyFont="1" applyFill="1" applyBorder="1" applyAlignment="1" applyProtection="1">
      <alignment horizontal="center" vertical="center" shrinkToFit="1"/>
      <protection locked="0"/>
    </xf>
    <xf numFmtId="0" fontId="121" fillId="0" borderId="0" xfId="1" applyFont="1" applyProtection="1">
      <protection locked="0"/>
    </xf>
    <xf numFmtId="0" fontId="122" fillId="0" borderId="0" xfId="1" applyFont="1" applyProtection="1">
      <protection locked="0"/>
    </xf>
    <xf numFmtId="0" fontId="122" fillId="0" borderId="0" xfId="1" applyFont="1" applyProtection="1">
      <protection hidden="1"/>
    </xf>
    <xf numFmtId="0" fontId="123" fillId="0" borderId="0" xfId="1" applyFont="1" applyAlignment="1" applyProtection="1">
      <alignment horizontal="right"/>
      <protection locked="0"/>
    </xf>
    <xf numFmtId="49" fontId="123" fillId="0" borderId="0" xfId="1" applyNumberFormat="1" applyFont="1" applyAlignment="1" applyProtection="1">
      <alignment horizontal="right"/>
      <protection locked="0"/>
    </xf>
    <xf numFmtId="165" fontId="125" fillId="0" borderId="22" xfId="1" applyNumberFormat="1" applyFont="1" applyFill="1" applyBorder="1" applyAlignment="1" applyProtection="1">
      <alignment horizontal="center" vertical="center"/>
      <protection hidden="1"/>
    </xf>
    <xf numFmtId="165" fontId="125" fillId="0" borderId="23" xfId="1" applyNumberFormat="1" applyFont="1" applyFill="1" applyBorder="1" applyAlignment="1" applyProtection="1">
      <alignment horizontal="center" vertical="center"/>
      <protection hidden="1"/>
    </xf>
    <xf numFmtId="49" fontId="99" fillId="24" borderId="10" xfId="1" applyNumberFormat="1" applyFont="1" applyFill="1" applyBorder="1" applyAlignment="1" applyProtection="1">
      <alignment horizontal="center" vertical="center" wrapText="1"/>
      <protection locked="0"/>
    </xf>
    <xf numFmtId="0" fontId="126" fillId="0" borderId="0" xfId="1" applyFont="1" applyFill="1" applyAlignment="1" applyProtection="1">
      <alignment horizontal="right"/>
      <protection hidden="1"/>
    </xf>
    <xf numFmtId="0" fontId="31" fillId="0" borderId="0" xfId="1" applyFont="1" applyProtection="1">
      <protection hidden="1"/>
    </xf>
    <xf numFmtId="0" fontId="31" fillId="0" borderId="0" xfId="1" applyFont="1" applyProtection="1">
      <protection locked="0"/>
    </xf>
    <xf numFmtId="0" fontId="31" fillId="0" borderId="0" xfId="1" applyFont="1" applyAlignment="1" applyProtection="1">
      <alignment horizontal="center" vertical="center"/>
      <protection locked="0"/>
    </xf>
    <xf numFmtId="0" fontId="32" fillId="0" borderId="0" xfId="1" applyFont="1" applyProtection="1">
      <protection hidden="1"/>
    </xf>
    <xf numFmtId="0" fontId="32" fillId="0" borderId="0" xfId="1" applyFont="1" applyProtection="1">
      <protection locked="0"/>
    </xf>
    <xf numFmtId="0" fontId="128" fillId="31" borderId="10" xfId="1" applyFont="1" applyFill="1" applyBorder="1" applyProtection="1">
      <protection locked="0"/>
    </xf>
    <xf numFmtId="0" fontId="31" fillId="0" borderId="10" xfId="1" applyFont="1" applyBorder="1" applyProtection="1">
      <protection locked="0"/>
    </xf>
    <xf numFmtId="0" fontId="32" fillId="0" borderId="10" xfId="1" applyFont="1" applyBorder="1" applyAlignment="1" applyProtection="1">
      <alignment horizontal="center" vertical="center"/>
      <protection locked="0"/>
    </xf>
    <xf numFmtId="166" fontId="129" fillId="31" borderId="10" xfId="1" applyNumberFormat="1" applyFont="1" applyFill="1" applyBorder="1" applyAlignment="1" applyProtection="1">
      <alignment horizontal="center"/>
      <protection locked="0"/>
    </xf>
    <xf numFmtId="0" fontId="32" fillId="0" borderId="10" xfId="1" applyFont="1" applyBorder="1" applyProtection="1">
      <protection locked="0"/>
    </xf>
    <xf numFmtId="0" fontId="128" fillId="0" borderId="10" xfId="1" applyFont="1" applyBorder="1" applyAlignment="1" applyProtection="1">
      <alignment horizontal="center" vertical="center"/>
      <protection hidden="1"/>
    </xf>
    <xf numFmtId="0" fontId="32" fillId="31" borderId="10" xfId="1" applyFont="1" applyFill="1" applyBorder="1" applyAlignment="1" applyProtection="1">
      <alignment horizontal="center"/>
      <protection hidden="1"/>
    </xf>
    <xf numFmtId="0" fontId="31" fillId="0" borderId="10" xfId="1" applyFont="1" applyBorder="1" applyAlignment="1" applyProtection="1">
      <alignment horizontal="center" vertical="center"/>
      <protection hidden="1"/>
    </xf>
    <xf numFmtId="0" fontId="31" fillId="31" borderId="10" xfId="1" applyFont="1" applyFill="1" applyBorder="1" applyAlignment="1" applyProtection="1">
      <alignment horizontal="center"/>
      <protection hidden="1"/>
    </xf>
    <xf numFmtId="0" fontId="31" fillId="0" borderId="10" xfId="1" applyFont="1" applyBorder="1" applyAlignment="1" applyProtection="1">
      <alignment horizontal="center"/>
      <protection hidden="1"/>
    </xf>
    <xf numFmtId="0" fontId="32" fillId="0" borderId="10" xfId="1" applyFont="1" applyBorder="1" applyAlignment="1" applyProtection="1">
      <alignment horizontal="center"/>
      <protection hidden="1"/>
    </xf>
    <xf numFmtId="0" fontId="32" fillId="0" borderId="21" xfId="1" applyFont="1" applyBorder="1" applyAlignment="1" applyProtection="1">
      <alignment horizontal="center" vertical="center"/>
      <protection locked="0"/>
    </xf>
    <xf numFmtId="0" fontId="128" fillId="0" borderId="0" xfId="1" applyFont="1" applyAlignment="1" applyProtection="1">
      <alignment horizontal="center" vertical="center"/>
      <protection hidden="1"/>
    </xf>
    <xf numFmtId="10" fontId="32" fillId="0" borderId="10" xfId="1" applyNumberFormat="1" applyFont="1" applyBorder="1" applyProtection="1">
      <protection hidden="1"/>
    </xf>
    <xf numFmtId="0" fontId="130" fillId="0" borderId="10" xfId="1" applyFont="1" applyBorder="1" applyProtection="1">
      <protection locked="0"/>
    </xf>
    <xf numFmtId="0" fontId="31" fillId="0" borderId="10" xfId="1" applyFont="1" applyBorder="1" applyAlignment="1" applyProtection="1">
      <alignment horizontal="center" vertical="center"/>
      <protection locked="0"/>
    </xf>
    <xf numFmtId="10" fontId="31" fillId="0" borderId="10" xfId="1" applyNumberFormat="1" applyFont="1" applyBorder="1" applyAlignment="1" applyProtection="1">
      <alignment horizontal="center" vertical="center"/>
      <protection hidden="1"/>
    </xf>
    <xf numFmtId="0" fontId="31" fillId="0" borderId="10" xfId="1" applyFont="1" applyBorder="1" applyAlignment="1" applyProtection="1">
      <alignment horizontal="right" vertical="center"/>
      <protection locked="0"/>
    </xf>
    <xf numFmtId="10" fontId="31" fillId="0" borderId="10" xfId="1" applyNumberFormat="1" applyFont="1" applyBorder="1" applyProtection="1">
      <protection hidden="1"/>
    </xf>
    <xf numFmtId="0" fontId="131" fillId="0" borderId="0" xfId="1" applyFont="1" applyAlignment="1" applyProtection="1">
      <alignment horizontal="center" vertical="center"/>
      <protection hidden="1"/>
    </xf>
    <xf numFmtId="0" fontId="44" fillId="0" borderId="10" xfId="1" applyFont="1" applyBorder="1" applyProtection="1">
      <protection locked="0"/>
    </xf>
    <xf numFmtId="0" fontId="32" fillId="0" borderId="0" xfId="1" applyFont="1" applyAlignment="1" applyProtection="1">
      <alignment horizontal="center" vertical="center"/>
      <protection hidden="1"/>
    </xf>
    <xf numFmtId="0" fontId="130" fillId="0" borderId="0" xfId="1" applyFont="1" applyAlignment="1" applyProtection="1">
      <alignment horizontal="center" vertical="center"/>
      <protection hidden="1"/>
    </xf>
    <xf numFmtId="0" fontId="129" fillId="31" borderId="10" xfId="1" applyNumberFormat="1" applyFont="1" applyFill="1" applyBorder="1" applyAlignment="1" applyProtection="1">
      <alignment horizontal="center"/>
      <protection hidden="1"/>
    </xf>
    <xf numFmtId="0" fontId="31" fillId="0" borderId="10" xfId="1" applyFont="1" applyBorder="1" applyAlignment="1" applyProtection="1">
      <alignment horizontal="right"/>
      <protection locked="0"/>
    </xf>
    <xf numFmtId="0" fontId="2" fillId="32" borderId="0" xfId="1" applyFill="1" applyProtection="1">
      <protection locked="0"/>
    </xf>
    <xf numFmtId="0" fontId="32" fillId="0" borderId="10" xfId="1" applyFont="1" applyBorder="1" applyProtection="1">
      <protection hidden="1"/>
    </xf>
    <xf numFmtId="0" fontId="132" fillId="0" borderId="10" xfId="64" applyFont="1" applyBorder="1" applyAlignment="1" applyProtection="1">
      <alignment horizontal="center" vertical="center"/>
      <protection hidden="1"/>
    </xf>
    <xf numFmtId="0" fontId="61" fillId="0" borderId="10" xfId="64" applyFont="1" applyBorder="1" applyAlignment="1" applyProtection="1">
      <alignment horizontal="center" vertical="center"/>
      <protection hidden="1"/>
    </xf>
    <xf numFmtId="0" fontId="133" fillId="0" borderId="10" xfId="64" applyFont="1" applyBorder="1" applyAlignment="1" applyProtection="1">
      <alignment horizontal="center" vertical="center"/>
      <protection hidden="1"/>
    </xf>
    <xf numFmtId="0" fontId="134" fillId="0" borderId="10" xfId="64" applyFont="1" applyBorder="1" applyAlignment="1" applyProtection="1">
      <alignment horizontal="center" vertical="center"/>
      <protection hidden="1"/>
    </xf>
    <xf numFmtId="0" fontId="135" fillId="27" borderId="10" xfId="64" applyFont="1" applyFill="1" applyBorder="1" applyAlignment="1" applyProtection="1">
      <alignment horizontal="center" vertical="center"/>
      <protection hidden="1"/>
    </xf>
    <xf numFmtId="0" fontId="136" fillId="27" borderId="10" xfId="64" applyFont="1" applyFill="1" applyBorder="1" applyAlignment="1" applyProtection="1">
      <alignment horizontal="center" vertical="center"/>
      <protection hidden="1"/>
    </xf>
    <xf numFmtId="0" fontId="28" fillId="0" borderId="0" xfId="64" applyFont="1" applyAlignment="1" applyProtection="1">
      <alignment horizontal="center"/>
      <protection locked="0"/>
    </xf>
    <xf numFmtId="0" fontId="28" fillId="0" borderId="0" xfId="64" applyFont="1" applyAlignment="1" applyProtection="1">
      <alignment horizontal="center" vertical="center"/>
      <protection hidden="1"/>
    </xf>
    <xf numFmtId="0" fontId="92" fillId="0" borderId="0" xfId="64" applyFont="1" applyAlignment="1" applyProtection="1">
      <alignment horizontal="center" vertical="center"/>
      <protection hidden="1"/>
    </xf>
    <xf numFmtId="0" fontId="75" fillId="0" borderId="0" xfId="66" applyFont="1" applyFill="1" applyProtection="1">
      <protection locked="0"/>
    </xf>
    <xf numFmtId="0" fontId="137" fillId="0" borderId="0" xfId="66" applyFont="1" applyFill="1" applyProtection="1">
      <protection locked="0"/>
    </xf>
    <xf numFmtId="0" fontId="12" fillId="0" borderId="0" xfId="66" applyFill="1" applyProtection="1">
      <protection locked="0"/>
    </xf>
    <xf numFmtId="0" fontId="137" fillId="0" borderId="0" xfId="66" applyFont="1" applyFill="1" applyProtection="1">
      <protection hidden="1"/>
    </xf>
    <xf numFmtId="0" fontId="28" fillId="0" borderId="0" xfId="66" applyFont="1" applyFill="1" applyAlignment="1" applyProtection="1">
      <alignment vertical="center"/>
      <protection locked="0"/>
    </xf>
    <xf numFmtId="0" fontId="27" fillId="0" borderId="0" xfId="66" applyFont="1" applyFill="1" applyAlignment="1" applyProtection="1">
      <alignment vertical="center"/>
      <protection locked="0"/>
    </xf>
    <xf numFmtId="0" fontId="137" fillId="0" borderId="0" xfId="66" applyFont="1" applyFill="1" applyAlignment="1" applyProtection="1">
      <alignment vertical="center"/>
      <protection locked="0"/>
    </xf>
    <xf numFmtId="0" fontId="12" fillId="0" borderId="0" xfId="66" applyFill="1" applyAlignment="1" applyProtection="1">
      <alignment vertical="center"/>
      <protection locked="0"/>
    </xf>
    <xf numFmtId="0" fontId="52" fillId="0" borderId="0" xfId="66" applyFont="1" applyFill="1" applyAlignment="1" applyProtection="1">
      <alignment vertical="center"/>
      <protection locked="0"/>
    </xf>
    <xf numFmtId="0" fontId="28" fillId="0" borderId="0" xfId="66" applyFont="1" applyFill="1" applyAlignment="1" applyProtection="1">
      <alignment horizontal="left" vertical="center"/>
      <protection locked="0"/>
    </xf>
    <xf numFmtId="0" fontId="28" fillId="0" borderId="0" xfId="66" applyFont="1" applyFill="1" applyAlignment="1" applyProtection="1">
      <alignment horizontal="center" vertical="center"/>
      <protection locked="0"/>
    </xf>
    <xf numFmtId="0" fontId="51" fillId="0" borderId="46" xfId="63" applyFont="1" applyFill="1" applyBorder="1" applyAlignment="1" applyProtection="1">
      <alignment vertical="center"/>
      <protection locked="0"/>
    </xf>
    <xf numFmtId="0" fontId="28" fillId="0" borderId="29" xfId="66" applyFont="1" applyFill="1" applyBorder="1" applyAlignment="1" applyProtection="1">
      <alignment horizontal="center" vertical="center"/>
      <protection locked="0"/>
    </xf>
    <xf numFmtId="0" fontId="125" fillId="0" borderId="29" xfId="66" applyFont="1" applyFill="1" applyBorder="1" applyAlignment="1" applyProtection="1">
      <alignment horizontal="center" vertical="center" wrapText="1"/>
      <protection locked="0"/>
    </xf>
    <xf numFmtId="0" fontId="27" fillId="0" borderId="29" xfId="66" applyFont="1" applyFill="1" applyBorder="1" applyAlignment="1" applyProtection="1">
      <alignment horizontal="center" vertical="center"/>
      <protection locked="0"/>
    </xf>
    <xf numFmtId="0" fontId="48" fillId="0" borderId="29" xfId="66" applyFont="1" applyFill="1" applyBorder="1" applyAlignment="1" applyProtection="1">
      <alignment horizontal="center" vertical="center"/>
      <protection locked="0"/>
    </xf>
    <xf numFmtId="0" fontId="48" fillId="0" borderId="29" xfId="66" applyFont="1" applyFill="1" applyBorder="1" applyAlignment="1" applyProtection="1">
      <alignment horizontal="center" vertical="center"/>
      <protection hidden="1"/>
    </xf>
    <xf numFmtId="0" fontId="138" fillId="0" borderId="29" xfId="66" applyFont="1" applyFill="1" applyBorder="1" applyAlignment="1" applyProtection="1">
      <alignment horizontal="center" vertical="center"/>
      <protection hidden="1"/>
    </xf>
    <xf numFmtId="0" fontId="139" fillId="0" borderId="10" xfId="64" applyFont="1" applyBorder="1" applyAlignment="1" applyProtection="1">
      <alignment horizontal="center" vertical="center"/>
      <protection hidden="1"/>
    </xf>
    <xf numFmtId="0" fontId="137" fillId="0" borderId="0" xfId="52" applyFont="1" applyFill="1" applyProtection="1">
      <protection hidden="1"/>
    </xf>
    <xf numFmtId="0" fontId="27" fillId="33" borderId="29" xfId="66" applyFont="1" applyFill="1" applyBorder="1" applyAlignment="1" applyProtection="1">
      <alignment horizontal="center" vertical="center"/>
      <protection locked="0"/>
    </xf>
    <xf numFmtId="0" fontId="35" fillId="0" borderId="29" xfId="66" applyFont="1" applyFill="1" applyBorder="1" applyAlignment="1" applyProtection="1">
      <alignment horizontal="center" vertical="center"/>
      <protection hidden="1"/>
    </xf>
    <xf numFmtId="0" fontId="28" fillId="0" borderId="0" xfId="66" applyFont="1" applyFill="1" applyBorder="1" applyAlignment="1" applyProtection="1">
      <alignment horizontal="center" vertical="center"/>
      <protection locked="0"/>
    </xf>
    <xf numFmtId="0" fontId="48" fillId="0" borderId="0" xfId="66" applyFont="1" applyFill="1" applyProtection="1">
      <protection locked="0"/>
    </xf>
    <xf numFmtId="0" fontId="141" fillId="0" borderId="0" xfId="66" applyFont="1" applyFill="1" applyAlignment="1" applyProtection="1">
      <alignment vertical="center"/>
      <protection locked="0"/>
    </xf>
    <xf numFmtId="0" fontId="75" fillId="0" borderId="0" xfId="66" applyFont="1" applyFill="1" applyAlignment="1" applyProtection="1">
      <alignment vertical="center"/>
      <protection locked="0"/>
    </xf>
    <xf numFmtId="0" fontId="75" fillId="0" borderId="46" xfId="66" applyFont="1" applyFill="1" applyBorder="1" applyAlignment="1" applyProtection="1">
      <alignment vertical="center"/>
      <protection locked="0"/>
    </xf>
    <xf numFmtId="0" fontId="83" fillId="0" borderId="0" xfId="66" applyFont="1" applyFill="1" applyAlignment="1" applyProtection="1">
      <alignment vertical="center"/>
      <protection locked="0"/>
    </xf>
    <xf numFmtId="0" fontId="87" fillId="0" borderId="33" xfId="66" applyFont="1" applyFill="1" applyBorder="1" applyAlignment="1" applyProtection="1">
      <alignment horizontal="center" vertical="center" wrapText="1"/>
      <protection locked="0"/>
    </xf>
    <xf numFmtId="0" fontId="5" fillId="0" borderId="29" xfId="66" applyFont="1" applyFill="1" applyBorder="1" applyProtection="1">
      <protection locked="0"/>
    </xf>
    <xf numFmtId="0" fontId="5" fillId="0" borderId="29" xfId="66" applyFont="1" applyFill="1" applyBorder="1" applyAlignment="1" applyProtection="1">
      <alignment horizontal="center" vertical="center" wrapText="1"/>
      <protection hidden="1"/>
    </xf>
    <xf numFmtId="167" fontId="27" fillId="0" borderId="29" xfId="66" applyNumberFormat="1" applyFont="1" applyFill="1" applyBorder="1" applyAlignment="1" applyProtection="1">
      <alignment horizontal="center" vertical="center"/>
      <protection hidden="1"/>
    </xf>
    <xf numFmtId="0" fontId="5" fillId="33" borderId="29" xfId="66" applyFont="1" applyFill="1" applyBorder="1" applyProtection="1">
      <protection locked="0"/>
    </xf>
    <xf numFmtId="0" fontId="5" fillId="33" borderId="29" xfId="66" applyFont="1" applyFill="1" applyBorder="1" applyAlignment="1" applyProtection="1">
      <alignment vertical="center" wrapText="1"/>
      <protection locked="0"/>
    </xf>
    <xf numFmtId="0" fontId="5" fillId="33" borderId="29" xfId="66" applyFont="1" applyFill="1" applyBorder="1" applyAlignment="1" applyProtection="1">
      <alignment horizontal="center" vertical="center"/>
      <protection locked="0"/>
    </xf>
    <xf numFmtId="167" fontId="5" fillId="33" borderId="29" xfId="66" applyNumberFormat="1" applyFont="1" applyFill="1" applyBorder="1" applyAlignment="1" applyProtection="1">
      <alignment horizontal="center" vertical="center"/>
      <protection hidden="1"/>
    </xf>
    <xf numFmtId="0" fontId="39" fillId="0" borderId="29" xfId="66" applyFont="1" applyFill="1" applyBorder="1" applyProtection="1">
      <protection locked="0"/>
    </xf>
    <xf numFmtId="0" fontId="28" fillId="0" borderId="29" xfId="66" applyFont="1" applyFill="1" applyBorder="1" applyAlignment="1" applyProtection="1">
      <alignment vertical="center"/>
      <protection locked="0"/>
    </xf>
    <xf numFmtId="0" fontId="28" fillId="0" borderId="29" xfId="66" applyFont="1" applyFill="1" applyBorder="1" applyAlignment="1" applyProtection="1">
      <alignment horizontal="center" vertical="center"/>
      <protection hidden="1"/>
    </xf>
    <xf numFmtId="167" fontId="28" fillId="0" borderId="29" xfId="66" applyNumberFormat="1" applyFont="1" applyFill="1" applyBorder="1" applyAlignment="1" applyProtection="1">
      <alignment horizontal="center" vertical="center"/>
      <protection hidden="1"/>
    </xf>
    <xf numFmtId="0" fontId="53" fillId="0" borderId="0" xfId="66" applyFont="1" applyFill="1" applyAlignment="1" applyProtection="1">
      <protection locked="0"/>
    </xf>
    <xf numFmtId="0" fontId="143" fillId="0" borderId="0" xfId="1" applyFont="1" applyAlignment="1" applyProtection="1">
      <protection locked="0"/>
    </xf>
    <xf numFmtId="0" fontId="28" fillId="0" borderId="0" xfId="66" applyFont="1" applyFill="1" applyAlignment="1" applyProtection="1">
      <protection locked="0"/>
    </xf>
    <xf numFmtId="0" fontId="83" fillId="0" borderId="46" xfId="66" applyFont="1" applyFill="1" applyBorder="1" applyAlignment="1" applyProtection="1">
      <alignment vertical="center"/>
      <protection locked="0"/>
    </xf>
    <xf numFmtId="0" fontId="39" fillId="0" borderId="46" xfId="66" applyFont="1" applyFill="1" applyBorder="1" applyAlignment="1" applyProtection="1">
      <alignment vertical="center"/>
      <protection locked="0"/>
    </xf>
    <xf numFmtId="0" fontId="145" fillId="0" borderId="0" xfId="66" applyFont="1" applyFill="1" applyAlignment="1" applyProtection="1">
      <alignment horizontal="center" vertical="center"/>
      <protection hidden="1"/>
    </xf>
    <xf numFmtId="0" fontId="53" fillId="0" borderId="0" xfId="66" applyFont="1" applyFill="1" applyAlignment="1" applyProtection="1">
      <alignment horizontal="center"/>
      <protection hidden="1"/>
    </xf>
    <xf numFmtId="0" fontId="145" fillId="0" borderId="46" xfId="66" applyFont="1" applyFill="1" applyBorder="1" applyAlignment="1" applyProtection="1">
      <alignment horizontal="right" vertical="center"/>
      <protection hidden="1"/>
    </xf>
    <xf numFmtId="0" fontId="97" fillId="0" borderId="0" xfId="1" applyFont="1" applyFill="1" applyAlignment="1" applyProtection="1">
      <protection locked="0"/>
    </xf>
    <xf numFmtId="0" fontId="28" fillId="0" borderId="0" xfId="1" applyFont="1" applyAlignment="1" applyProtection="1">
      <alignment horizontal="center" shrinkToFit="1"/>
      <protection locked="0"/>
    </xf>
    <xf numFmtId="164" fontId="124" fillId="0" borderId="0" xfId="1" applyNumberFormat="1" applyFont="1" applyAlignment="1" applyProtection="1">
      <alignment horizontal="center" vertical="center"/>
      <protection hidden="1"/>
    </xf>
    <xf numFmtId="49" fontId="144" fillId="0" borderId="0" xfId="1" applyNumberFormat="1" applyFont="1" applyProtection="1">
      <protection locked="0"/>
    </xf>
    <xf numFmtId="0" fontId="144" fillId="0" borderId="0" xfId="1" applyNumberFormat="1" applyFont="1" applyProtection="1">
      <protection hidden="1"/>
    </xf>
    <xf numFmtId="0" fontId="146" fillId="0" borderId="0" xfId="52" applyFont="1" applyFill="1" applyAlignment="1" applyProtection="1">
      <alignment horizontal="right" vertical="center"/>
      <protection hidden="1"/>
    </xf>
    <xf numFmtId="0" fontId="147" fillId="0" borderId="0" xfId="45" applyFont="1" applyFill="1" applyAlignment="1" applyProtection="1">
      <alignment horizontal="right" vertical="center"/>
      <protection hidden="1"/>
    </xf>
    <xf numFmtId="0" fontId="147" fillId="0" borderId="0" xfId="63" applyNumberFormat="1" applyFont="1" applyFill="1" applyAlignment="1" applyProtection="1">
      <alignment horizontal="right" vertical="center"/>
      <protection hidden="1"/>
    </xf>
    <xf numFmtId="0" fontId="28" fillId="0" borderId="0" xfId="64" applyFont="1" applyAlignment="1" applyProtection="1">
      <alignment horizontal="center"/>
      <protection hidden="1"/>
    </xf>
    <xf numFmtId="0" fontId="45" fillId="0" borderId="0" xfId="0" applyFont="1" applyProtection="1">
      <protection hidden="1"/>
    </xf>
    <xf numFmtId="0" fontId="148" fillId="0" borderId="0" xfId="0" quotePrefix="1" applyNumberFormat="1" applyFont="1" applyProtection="1">
      <protection locked="0"/>
    </xf>
    <xf numFmtId="0" fontId="28" fillId="0" borderId="29" xfId="66" applyFont="1" applyFill="1" applyBorder="1" applyAlignment="1" applyProtection="1">
      <alignment horizontal="center" vertical="center" wrapText="1"/>
      <protection hidden="1"/>
    </xf>
    <xf numFmtId="0" fontId="128" fillId="0" borderId="10" xfId="53" applyNumberFormat="1" applyFont="1" applyFill="1" applyBorder="1" applyAlignment="1" applyProtection="1">
      <alignment horizontal="center" vertical="center"/>
      <protection hidden="1"/>
    </xf>
    <xf numFmtId="0" fontId="36" fillId="24" borderId="21" xfId="1" applyFont="1" applyFill="1" applyBorder="1" applyAlignment="1" applyProtection="1">
      <alignment horizontal="center" vertical="center" shrinkToFit="1"/>
      <protection locked="0"/>
    </xf>
    <xf numFmtId="49" fontId="98" fillId="24" borderId="21" xfId="1" applyNumberFormat="1" applyFont="1" applyFill="1" applyBorder="1" applyAlignment="1" applyProtection="1">
      <alignment horizontal="center" vertical="center" wrapText="1"/>
      <protection locked="0"/>
    </xf>
    <xf numFmtId="49" fontId="98" fillId="24" borderId="10" xfId="1" applyNumberFormat="1" applyFont="1" applyFill="1" applyBorder="1" applyAlignment="1" applyProtection="1">
      <alignment horizontal="center" vertical="center" wrapText="1"/>
      <protection locked="0"/>
    </xf>
    <xf numFmtId="0" fontId="98" fillId="24" borderId="10" xfId="1" applyFont="1" applyFill="1" applyBorder="1" applyAlignment="1" applyProtection="1">
      <alignment horizontal="center" vertical="center" wrapText="1"/>
      <protection locked="0"/>
    </xf>
    <xf numFmtId="0" fontId="91" fillId="0" borderId="29" xfId="52" applyFont="1" applyFill="1" applyBorder="1" applyAlignment="1" applyProtection="1">
      <alignment horizontal="center" vertical="center"/>
      <protection locked="0"/>
    </xf>
    <xf numFmtId="0" fontId="112" fillId="0" borderId="29" xfId="52" applyFont="1" applyFill="1" applyBorder="1" applyAlignment="1" applyProtection="1">
      <alignment horizontal="center" vertical="center" wrapText="1"/>
      <protection locked="0"/>
    </xf>
    <xf numFmtId="0" fontId="112" fillId="0" borderId="33" xfId="52" applyFont="1" applyFill="1" applyBorder="1" applyAlignment="1" applyProtection="1">
      <alignment horizontal="center" vertical="center" wrapText="1"/>
      <protection locked="0"/>
    </xf>
    <xf numFmtId="0" fontId="87" fillId="0" borderId="29" xfId="52" applyFont="1" applyFill="1" applyBorder="1" applyAlignment="1" applyProtection="1">
      <alignment horizontal="center" vertical="center" wrapText="1"/>
      <protection locked="0"/>
    </xf>
    <xf numFmtId="0" fontId="2" fillId="0" borderId="0" xfId="1" applyFont="1" applyAlignment="1" applyProtection="1">
      <alignment horizontal="left" vertical="center"/>
      <protection locked="0"/>
    </xf>
    <xf numFmtId="49" fontId="31" fillId="0" borderId="0" xfId="0" applyNumberFormat="1" applyFont="1" applyProtection="1">
      <protection locked="0"/>
    </xf>
    <xf numFmtId="0" fontId="153" fillId="0" borderId="0" xfId="1" applyNumberFormat="1" applyFont="1" applyAlignment="1" applyProtection="1">
      <alignment horizontal="left"/>
      <protection hidden="1"/>
    </xf>
    <xf numFmtId="0" fontId="154" fillId="0" borderId="0" xfId="62" applyNumberFormat="1" applyFont="1" applyAlignment="1" applyProtection="1">
      <alignment vertical="center"/>
      <protection hidden="1"/>
    </xf>
    <xf numFmtId="0" fontId="155" fillId="0" borderId="0" xfId="53" applyNumberFormat="1" applyFont="1" applyFill="1" applyAlignment="1" applyProtection="1">
      <alignment vertical="center"/>
      <protection hidden="1"/>
    </xf>
    <xf numFmtId="167" fontId="105" fillId="0" borderId="29" xfId="52" applyNumberFormat="1" applyFont="1" applyFill="1" applyBorder="1" applyAlignment="1" applyProtection="1">
      <alignment horizontal="center" vertical="center"/>
      <protection locked="0"/>
    </xf>
    <xf numFmtId="49" fontId="1" fillId="0" borderId="0" xfId="1" applyNumberFormat="1" applyFont="1" applyAlignment="1" applyProtection="1">
      <alignment horizont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horizontal="center" vertical="center" shrinkToFit="1"/>
      <protection locked="0"/>
    </xf>
    <xf numFmtId="0" fontId="156" fillId="0" borderId="0" xfId="0" applyFont="1" applyProtection="1">
      <protection locked="0"/>
    </xf>
    <xf numFmtId="0" fontId="156" fillId="0" borderId="0" xfId="0" applyFont="1" applyProtection="1">
      <protection hidden="1"/>
    </xf>
    <xf numFmtId="0" fontId="40" fillId="0" borderId="0" xfId="1" applyNumberFormat="1" applyFont="1" applyAlignment="1" applyProtection="1">
      <alignment horizontal="left"/>
      <protection hidden="1"/>
    </xf>
    <xf numFmtId="0" fontId="31" fillId="35" borderId="0" xfId="0" applyFont="1" applyFill="1" applyProtection="1">
      <protection locked="0"/>
    </xf>
    <xf numFmtId="0" fontId="93" fillId="35" borderId="0" xfId="0" applyNumberFormat="1" applyFont="1" applyFill="1" applyAlignment="1" applyProtection="1">
      <alignment horizontal="left"/>
      <protection hidden="1"/>
    </xf>
    <xf numFmtId="0" fontId="0" fillId="35" borderId="0" xfId="0" applyNumberFormat="1" applyFill="1" applyProtection="1">
      <protection locked="0"/>
    </xf>
    <xf numFmtId="0" fontId="52" fillId="35" borderId="0" xfId="0" applyNumberFormat="1" applyFont="1" applyFill="1" applyAlignment="1" applyProtection="1">
      <alignment horizontal="center"/>
      <protection locked="0"/>
    </xf>
    <xf numFmtId="0" fontId="28" fillId="35" borderId="0" xfId="0" applyNumberFormat="1" applyFont="1" applyFill="1" applyAlignment="1" applyProtection="1">
      <alignment horizontal="center"/>
      <protection locked="0"/>
    </xf>
    <xf numFmtId="0" fontId="92" fillId="35" borderId="0" xfId="0" applyNumberFormat="1" applyFont="1" applyFill="1" applyAlignment="1" applyProtection="1">
      <alignment horizontal="center"/>
      <protection locked="0"/>
    </xf>
    <xf numFmtId="0" fontId="0" fillId="35" borderId="0" xfId="0" applyNumberFormat="1" applyFont="1" applyFill="1" applyProtection="1">
      <protection locked="0"/>
    </xf>
    <xf numFmtId="0" fontId="130" fillId="0" borderId="0" xfId="0" applyFont="1" applyProtection="1">
      <protection locked="0"/>
    </xf>
    <xf numFmtId="0" fontId="1" fillId="0" borderId="0" xfId="1" applyFont="1"/>
    <xf numFmtId="0" fontId="143" fillId="0" borderId="0" xfId="1" applyFont="1"/>
    <xf numFmtId="0" fontId="31" fillId="0" borderId="0" xfId="0" applyFont="1"/>
    <xf numFmtId="0" fontId="157" fillId="0" borderId="0" xfId="1" applyFont="1"/>
    <xf numFmtId="0" fontId="5" fillId="0" borderId="15" xfId="0" applyNumberFormat="1" applyFont="1" applyFill="1" applyBorder="1" applyAlignment="1" applyProtection="1">
      <alignment horizontal="left" vertical="center" shrinkToFit="1"/>
      <protection locked="0"/>
    </xf>
    <xf numFmtId="0" fontId="143" fillId="0" borderId="0" xfId="1" applyFont="1" applyFill="1"/>
    <xf numFmtId="0" fontId="32" fillId="0" borderId="0" xfId="0" applyFont="1" applyProtection="1">
      <protection locked="0"/>
    </xf>
    <xf numFmtId="0" fontId="40" fillId="0" borderId="0" xfId="63" applyFont="1" applyFill="1" applyAlignment="1" applyProtection="1">
      <alignment horizontal="center"/>
      <protection locked="0"/>
    </xf>
    <xf numFmtId="0" fontId="26" fillId="0" borderId="10" xfId="51" applyFont="1" applyBorder="1" applyAlignment="1" applyProtection="1">
      <alignment horizontal="center" vertical="center" wrapText="1"/>
      <protection locked="0"/>
    </xf>
    <xf numFmtId="0" fontId="47" fillId="0" borderId="10" xfId="62" applyFont="1" applyBorder="1" applyAlignment="1" applyProtection="1">
      <alignment horizontal="center" vertical="center" wrapText="1"/>
      <protection locked="0"/>
    </xf>
    <xf numFmtId="0" fontId="40" fillId="0" borderId="0" xfId="65" applyFont="1" applyFill="1" applyAlignment="1" applyProtection="1">
      <alignment horizontal="center"/>
      <protection locked="0"/>
    </xf>
    <xf numFmtId="0" fontId="97" fillId="24" borderId="10" xfId="1" applyNumberFormat="1" applyFont="1" applyFill="1" applyBorder="1" applyAlignment="1" applyProtection="1">
      <alignment horizontal="center" vertical="center" shrinkToFit="1"/>
      <protection locked="0"/>
    </xf>
    <xf numFmtId="0" fontId="47" fillId="0" borderId="10" xfId="62" applyFont="1" applyBorder="1" applyAlignment="1" applyProtection="1">
      <alignment horizontal="center" vertical="center" wrapText="1"/>
      <protection locked="0"/>
    </xf>
    <xf numFmtId="0" fontId="40" fillId="0" borderId="0" xfId="65" applyFont="1" applyFill="1" applyAlignment="1" applyProtection="1">
      <alignment horizontal="center"/>
      <protection locked="0"/>
    </xf>
    <xf numFmtId="0" fontId="157" fillId="32" borderId="0" xfId="1" applyFont="1" applyFill="1"/>
    <xf numFmtId="0" fontId="5" fillId="0" borderId="18" xfId="0" applyNumberFormat="1" applyFont="1" applyFill="1" applyBorder="1" applyAlignment="1" applyProtection="1">
      <alignment horizontal="left" vertical="center" shrinkToFit="1"/>
      <protection hidden="1"/>
    </xf>
    <xf numFmtId="0" fontId="5" fillId="0" borderId="23" xfId="1" applyNumberFormat="1" applyFont="1" applyFill="1" applyBorder="1" applyAlignment="1" applyProtection="1">
      <alignment horizontal="left" vertical="center" shrinkToFit="1"/>
      <protection hidden="1"/>
    </xf>
    <xf numFmtId="0" fontId="53" fillId="0" borderId="0" xfId="65" applyFont="1" applyFill="1" applyAlignment="1" applyProtection="1">
      <alignment horizontal="center"/>
      <protection locked="0"/>
    </xf>
    <xf numFmtId="0" fontId="128" fillId="0" borderId="0" xfId="0" applyFont="1" applyProtection="1">
      <protection locked="0"/>
    </xf>
    <xf numFmtId="0" fontId="145" fillId="0" borderId="0" xfId="0" applyFont="1" applyProtection="1">
      <protection locked="0"/>
    </xf>
    <xf numFmtId="0" fontId="128" fillId="0" borderId="0" xfId="0" applyFont="1" applyAlignment="1" applyProtection="1">
      <alignment horizontal="left"/>
      <protection locked="0"/>
    </xf>
    <xf numFmtId="0" fontId="145" fillId="0" borderId="0" xfId="0" applyFont="1" applyAlignment="1" applyProtection="1">
      <alignment horizontal="left"/>
      <protection locked="0"/>
    </xf>
    <xf numFmtId="0" fontId="90" fillId="24" borderId="10" xfId="53" applyNumberFormat="1" applyFont="1" applyFill="1" applyBorder="1" applyAlignment="1" applyProtection="1">
      <alignment horizontal="center" vertical="center" wrapText="1"/>
      <protection locked="0"/>
    </xf>
    <xf numFmtId="0" fontId="5" fillId="0" borderId="22" xfId="1" applyNumberFormat="1" applyFont="1" applyFill="1" applyBorder="1" applyAlignment="1" applyProtection="1">
      <alignment horizontal="left" vertical="center" shrinkToFit="1"/>
      <protection hidden="1"/>
    </xf>
    <xf numFmtId="49" fontId="5" fillId="0" borderId="23" xfId="1" applyNumberFormat="1" applyFont="1" applyFill="1" applyBorder="1" applyAlignment="1" applyProtection="1">
      <alignment horizontal="left" vertical="center" shrinkToFit="1"/>
      <protection hidden="1"/>
    </xf>
    <xf numFmtId="49" fontId="5" fillId="0" borderId="43" xfId="1" applyNumberFormat="1" applyFont="1" applyFill="1" applyBorder="1" applyAlignment="1" applyProtection="1">
      <alignment horizontal="left" vertical="center" shrinkToFit="1"/>
      <protection hidden="1"/>
    </xf>
    <xf numFmtId="0" fontId="27" fillId="0" borderId="30" xfId="52" applyFont="1" applyFill="1" applyBorder="1" applyAlignment="1" applyProtection="1">
      <alignment horizontal="center" vertical="center"/>
      <protection hidden="1"/>
    </xf>
    <xf numFmtId="0" fontId="5" fillId="0" borderId="23" xfId="1" applyFont="1" applyFill="1" applyBorder="1" applyAlignment="1" applyProtection="1">
      <alignment horizontal="center" vertical="center" shrinkToFit="1"/>
      <protection locked="0"/>
    </xf>
    <xf numFmtId="0" fontId="2" fillId="0" borderId="0" xfId="1" applyFont="1" applyAlignment="1" applyProtection="1">
      <alignment horizontal="center" vertical="center" shrinkToFit="1"/>
      <protection locked="0"/>
    </xf>
    <xf numFmtId="0" fontId="2" fillId="0" borderId="0" xfId="1" applyNumberFormat="1" applyFont="1" applyAlignment="1" applyProtection="1">
      <alignment vertical="center"/>
      <protection locked="0"/>
    </xf>
    <xf numFmtId="0" fontId="2" fillId="0" borderId="0" xfId="1" applyNumberFormat="1" applyAlignment="1" applyProtection="1">
      <alignment vertical="center"/>
      <protection locked="0"/>
    </xf>
    <xf numFmtId="0" fontId="2" fillId="0" borderId="0" xfId="1" applyNumberFormat="1" applyAlignment="1" applyProtection="1">
      <alignment horizontal="center" vertical="center"/>
      <protection locked="0"/>
    </xf>
    <xf numFmtId="0" fontId="2" fillId="0" borderId="0" xfId="1" applyNumberFormat="1" applyFont="1" applyAlignment="1" applyProtection="1">
      <alignment vertical="center" shrinkToFit="1"/>
      <protection locked="0"/>
    </xf>
    <xf numFmtId="0" fontId="31" fillId="0" borderId="0" xfId="0" applyFont="1" applyAlignment="1" applyProtection="1">
      <alignment vertical="center"/>
      <protection locked="0"/>
    </xf>
    <xf numFmtId="0" fontId="31" fillId="0" borderId="0" xfId="0" applyFont="1" applyAlignment="1" applyProtection="1">
      <alignment vertical="center" shrinkToFit="1"/>
      <protection locked="0"/>
    </xf>
    <xf numFmtId="0" fontId="125" fillId="26" borderId="33" xfId="66" applyFont="1" applyFill="1" applyBorder="1" applyAlignment="1" applyProtection="1">
      <alignment horizontal="center" vertical="center" wrapText="1"/>
      <protection locked="0"/>
    </xf>
    <xf numFmtId="0" fontId="125" fillId="26" borderId="38" xfId="66" applyFont="1" applyFill="1" applyBorder="1" applyAlignment="1" applyProtection="1">
      <alignment horizontal="center" vertical="center" wrapText="1"/>
      <protection locked="0"/>
    </xf>
    <xf numFmtId="0" fontId="5" fillId="0" borderId="23" xfId="0" applyNumberFormat="1" applyFont="1" applyFill="1" applyBorder="1" applyAlignment="1" applyProtection="1">
      <alignment horizontal="left" vertical="center" shrinkToFit="1"/>
      <protection hidden="1"/>
    </xf>
    <xf numFmtId="0" fontId="5" fillId="0" borderId="43" xfId="0" applyNumberFormat="1" applyFont="1" applyFill="1" applyBorder="1" applyAlignment="1" applyProtection="1">
      <alignment horizontal="left" vertical="center" shrinkToFit="1"/>
      <protection hidden="1"/>
    </xf>
    <xf numFmtId="0" fontId="140" fillId="33" borderId="29" xfId="66" applyFont="1" applyFill="1" applyBorder="1" applyAlignment="1" applyProtection="1">
      <alignment horizontal="center" vertical="center"/>
      <protection locked="0"/>
    </xf>
    <xf numFmtId="0" fontId="36" fillId="24" borderId="14" xfId="0" applyFont="1" applyFill="1" applyBorder="1" applyAlignment="1" applyProtection="1">
      <alignment horizontal="center" vertical="center" wrapText="1"/>
      <protection locked="0"/>
    </xf>
    <xf numFmtId="0" fontId="36" fillId="24" borderId="10" xfId="0" applyFont="1" applyFill="1" applyBorder="1" applyAlignment="1" applyProtection="1">
      <alignment horizontal="center" vertical="center" wrapText="1"/>
      <protection locked="0"/>
    </xf>
    <xf numFmtId="0" fontId="157" fillId="0" borderId="0" xfId="1" applyFont="1" applyFill="1"/>
    <xf numFmtId="0" fontId="28" fillId="0" borderId="0" xfId="1" applyNumberFormat="1" applyFont="1" applyAlignment="1" applyProtection="1">
      <alignment horizontal="center"/>
      <protection locked="0"/>
    </xf>
    <xf numFmtId="0" fontId="28" fillId="0" borderId="25" xfId="1" applyFont="1" applyBorder="1" applyAlignment="1" applyProtection="1">
      <alignment horizontal="center"/>
      <protection locked="0"/>
    </xf>
    <xf numFmtId="0" fontId="59" fillId="30" borderId="10" xfId="64" applyFont="1" applyFill="1" applyBorder="1" applyAlignment="1" applyProtection="1">
      <alignment horizontal="center" vertical="center" wrapText="1"/>
      <protection locked="0"/>
    </xf>
    <xf numFmtId="0" fontId="75" fillId="0" borderId="10" xfId="53" applyNumberFormat="1" applyFont="1" applyFill="1" applyBorder="1" applyAlignment="1" applyProtection="1">
      <alignment horizontal="center" vertical="center" wrapText="1"/>
      <protection locked="0"/>
    </xf>
    <xf numFmtId="0" fontId="75" fillId="0" borderId="33" xfId="45" applyFont="1" applyFill="1" applyBorder="1" applyAlignment="1" applyProtection="1">
      <alignment horizontal="center" vertical="center" wrapText="1"/>
      <protection locked="0"/>
    </xf>
    <xf numFmtId="0" fontId="75" fillId="0" borderId="37" xfId="45" applyFont="1" applyFill="1" applyBorder="1" applyAlignment="1" applyProtection="1">
      <alignment horizontal="center" vertical="center" wrapText="1"/>
      <protection locked="0"/>
    </xf>
    <xf numFmtId="0" fontId="75" fillId="0" borderId="29" xfId="45" applyFont="1" applyFill="1" applyBorder="1" applyAlignment="1" applyProtection="1">
      <alignment horizontal="center" vertical="center" wrapText="1"/>
      <protection locked="0"/>
    </xf>
    <xf numFmtId="0" fontId="112" fillId="0" borderId="29" xfId="52" applyFont="1" applyFill="1" applyBorder="1" applyAlignment="1" applyProtection="1">
      <alignment horizontal="center" vertical="center" textRotation="90" wrapText="1"/>
      <protection locked="0"/>
    </xf>
    <xf numFmtId="0" fontId="112" fillId="0" borderId="29" xfId="52" applyFont="1" applyFill="1" applyBorder="1" applyAlignment="1" applyProtection="1">
      <alignment horizontal="center" vertical="center" wrapText="1"/>
      <protection locked="0"/>
    </xf>
    <xf numFmtId="0" fontId="28" fillId="0" borderId="0" xfId="52" applyFont="1" applyFill="1" applyAlignment="1" applyProtection="1">
      <alignment horizontal="center" vertical="center"/>
      <protection hidden="1"/>
    </xf>
    <xf numFmtId="0" fontId="91" fillId="0" borderId="0" xfId="52" applyFont="1" applyFill="1" applyAlignment="1" applyProtection="1">
      <alignment horizontal="right" vertical="center"/>
      <protection locked="0"/>
    </xf>
    <xf numFmtId="0" fontId="87" fillId="0" borderId="29" xfId="52" applyFont="1" applyFill="1" applyBorder="1" applyAlignment="1" applyProtection="1">
      <alignment horizontal="center" vertical="center" wrapText="1"/>
      <protection locked="0"/>
    </xf>
    <xf numFmtId="0" fontId="32" fillId="0" borderId="25" xfId="1" applyFont="1" applyBorder="1" applyAlignment="1" applyProtection="1">
      <alignment horizontal="center"/>
      <protection locked="0"/>
    </xf>
    <xf numFmtId="0" fontId="75" fillId="0" borderId="37" xfId="66" applyFont="1" applyFill="1" applyBorder="1" applyAlignment="1" applyProtection="1">
      <alignment horizontal="center" vertical="center" textRotation="90" wrapText="1"/>
      <protection locked="0"/>
    </xf>
    <xf numFmtId="0" fontId="75" fillId="0" borderId="29" xfId="66" applyFont="1" applyFill="1" applyBorder="1" applyAlignment="1" applyProtection="1">
      <alignment horizontal="center" vertical="center" textRotation="90" wrapText="1"/>
      <protection locked="0"/>
    </xf>
    <xf numFmtId="0" fontId="75" fillId="0" borderId="47" xfId="66" applyFont="1" applyFill="1" applyBorder="1" applyAlignment="1" applyProtection="1">
      <alignment horizontal="center" vertical="center" textRotation="90" wrapText="1"/>
      <protection locked="0"/>
    </xf>
    <xf numFmtId="0" fontId="35" fillId="0" borderId="29" xfId="66" applyFont="1" applyFill="1" applyBorder="1" applyAlignment="1" applyProtection="1">
      <alignment horizontal="center" vertical="center"/>
      <protection locked="0"/>
    </xf>
    <xf numFmtId="0" fontId="27" fillId="0" borderId="0" xfId="66" applyFont="1" applyFill="1" applyProtection="1">
      <protection locked="0"/>
    </xf>
    <xf numFmtId="0" fontId="28" fillId="0" borderId="0" xfId="66" applyFont="1" applyFill="1" applyAlignment="1" applyProtection="1">
      <alignment horizontal="center"/>
      <protection locked="0"/>
    </xf>
    <xf numFmtId="0" fontId="52" fillId="0" borderId="0" xfId="66" applyFont="1" applyFill="1" applyAlignment="1" applyProtection="1">
      <alignment horizontal="center" vertical="center"/>
      <protection locked="0"/>
    </xf>
    <xf numFmtId="0" fontId="5" fillId="0" borderId="10" xfId="66" applyFont="1" applyFill="1" applyBorder="1" applyAlignment="1" applyProtection="1">
      <alignment horizontal="center" vertical="center"/>
      <protection locked="0"/>
    </xf>
    <xf numFmtId="0" fontId="83" fillId="0" borderId="0" xfId="66" applyFont="1" applyFill="1" applyAlignment="1" applyProtection="1">
      <alignment horizontal="center" vertical="center"/>
      <protection hidden="1"/>
    </xf>
    <xf numFmtId="0" fontId="159" fillId="24" borderId="10" xfId="1" applyNumberFormat="1" applyFont="1" applyFill="1" applyBorder="1" applyAlignment="1" applyProtection="1">
      <alignment horizontal="center" vertical="center" shrinkToFit="1"/>
      <protection locked="0"/>
    </xf>
    <xf numFmtId="0" fontId="5" fillId="36" borderId="0" xfId="1" applyFont="1" applyFill="1"/>
    <xf numFmtId="0" fontId="149" fillId="0" borderId="0" xfId="1" applyFont="1"/>
    <xf numFmtId="0" fontId="158" fillId="0" borderId="0" xfId="64" applyFont="1" applyProtection="1">
      <protection locked="0"/>
    </xf>
    <xf numFmtId="0" fontId="128" fillId="0" borderId="0" xfId="0" applyFont="1" applyAlignment="1" applyProtection="1">
      <alignment horizontal="center"/>
      <protection locked="0"/>
    </xf>
    <xf numFmtId="0" fontId="28" fillId="0" borderId="0" xfId="1"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35" borderId="0" xfId="0" applyNumberFormat="1" applyFont="1" applyFill="1" applyBorder="1" applyAlignment="1" applyProtection="1">
      <alignment horizontal="center" vertical="center"/>
      <protection hidden="1"/>
    </xf>
    <xf numFmtId="0" fontId="41" fillId="35" borderId="0" xfId="0" applyNumberFormat="1" applyFont="1" applyFill="1" applyBorder="1" applyAlignment="1" applyProtection="1">
      <alignment horizontal="center" vertical="center"/>
      <protection hidden="1"/>
    </xf>
    <xf numFmtId="0" fontId="41" fillId="35" borderId="0" xfId="0" applyNumberFormat="1" applyFont="1" applyFill="1" applyBorder="1" applyAlignment="1" applyProtection="1">
      <alignment vertical="center"/>
      <protection hidden="1"/>
    </xf>
    <xf numFmtId="0" fontId="127" fillId="35" borderId="0" xfId="0" applyNumberFormat="1" applyFont="1" applyFill="1" applyBorder="1" applyAlignment="1" applyProtection="1">
      <alignment vertical="center" wrapText="1"/>
      <protection hidden="1"/>
    </xf>
    <xf numFmtId="0" fontId="36" fillId="24" borderId="14" xfId="0" applyFont="1" applyFill="1" applyBorder="1" applyAlignment="1" applyProtection="1">
      <alignment horizontal="center" vertical="center" wrapText="1"/>
      <protection locked="0"/>
    </xf>
    <xf numFmtId="0" fontId="36" fillId="24" borderId="21" xfId="0" applyFont="1" applyFill="1" applyBorder="1" applyAlignment="1" applyProtection="1">
      <alignment horizontal="center" vertical="center" wrapText="1"/>
      <protection locked="0"/>
    </xf>
    <xf numFmtId="0" fontId="42" fillId="24" borderId="10" xfId="0" applyFont="1" applyFill="1" applyBorder="1" applyAlignment="1" applyProtection="1">
      <alignment horizontal="center" vertical="center" wrapText="1"/>
      <protection locked="0"/>
    </xf>
    <xf numFmtId="0" fontId="36" fillId="24" borderId="10" xfId="0" applyFont="1" applyFill="1" applyBorder="1" applyAlignment="1" applyProtection="1">
      <alignment horizontal="center" vertical="center" wrapText="1"/>
      <protection locked="0"/>
    </xf>
    <xf numFmtId="49" fontId="36" fillId="24" borderId="10" xfId="0" applyNumberFormat="1" applyFont="1" applyFill="1" applyBorder="1" applyAlignment="1" applyProtection="1">
      <alignment horizontal="center" vertical="center" wrapText="1"/>
      <protection locked="0"/>
    </xf>
    <xf numFmtId="49" fontId="37" fillId="24" borderId="11" xfId="0" applyNumberFormat="1" applyFont="1" applyFill="1" applyBorder="1" applyAlignment="1" applyProtection="1">
      <alignment horizontal="center" vertical="center" wrapText="1"/>
      <protection locked="0"/>
    </xf>
    <xf numFmtId="49" fontId="37" fillId="24" borderId="13" xfId="0" applyNumberFormat="1" applyFont="1" applyFill="1" applyBorder="1" applyAlignment="1" applyProtection="1">
      <alignment horizontal="center" vertical="center" wrapText="1"/>
      <protection locked="0"/>
    </xf>
    <xf numFmtId="49" fontId="37" fillId="24" borderId="12" xfId="0" applyNumberFormat="1" applyFont="1" applyFill="1" applyBorder="1" applyAlignment="1" applyProtection="1">
      <alignment horizontal="center" vertical="center" wrapText="1"/>
      <protection locked="0"/>
    </xf>
    <xf numFmtId="0" fontId="36" fillId="24" borderId="11" xfId="0" applyFont="1" applyFill="1" applyBorder="1" applyAlignment="1" applyProtection="1">
      <alignment horizontal="center" vertical="center" shrinkToFit="1"/>
      <protection locked="0"/>
    </xf>
    <xf numFmtId="0" fontId="36" fillId="24" borderId="13" xfId="0" applyFont="1" applyFill="1" applyBorder="1" applyAlignment="1" applyProtection="1">
      <alignment horizontal="center" vertical="center" shrinkToFit="1"/>
      <protection locked="0"/>
    </xf>
    <xf numFmtId="0" fontId="36" fillId="24" borderId="12" xfId="0" applyFont="1" applyFill="1" applyBorder="1" applyAlignment="1" applyProtection="1">
      <alignment horizontal="center" vertical="center" shrinkToFit="1"/>
      <protection locked="0"/>
    </xf>
    <xf numFmtId="0" fontId="41" fillId="0" borderId="0" xfId="0" applyFont="1" applyAlignment="1" applyProtection="1">
      <alignment horizontal="center" vertical="center"/>
      <protection hidden="1"/>
    </xf>
    <xf numFmtId="0" fontId="98" fillId="24" borderId="10" xfId="0" applyFont="1" applyFill="1" applyBorder="1" applyAlignment="1" applyProtection="1">
      <alignment horizontal="center" vertical="center" wrapText="1"/>
      <protection locked="0"/>
    </xf>
    <xf numFmtId="0" fontId="31" fillId="0" borderId="0" xfId="0" applyFont="1" applyAlignment="1" applyProtection="1">
      <alignment horizontal="center" shrinkToFit="1"/>
      <protection hidden="1"/>
    </xf>
    <xf numFmtId="0" fontId="32" fillId="0" borderId="0" xfId="0" applyFont="1" applyAlignment="1" applyProtection="1">
      <alignment horizontal="center" shrinkToFit="1"/>
      <protection hidden="1"/>
    </xf>
    <xf numFmtId="0" fontId="36" fillId="24" borderId="10" xfId="0" applyNumberFormat="1" applyFont="1" applyFill="1" applyBorder="1" applyAlignment="1" applyProtection="1">
      <alignment horizontal="center" vertical="center" wrapText="1"/>
      <protection locked="0"/>
    </xf>
    <xf numFmtId="49" fontId="46" fillId="24" borderId="14" xfId="0" applyNumberFormat="1" applyFont="1" applyFill="1" applyBorder="1" applyAlignment="1" applyProtection="1">
      <alignment horizontal="center" vertical="center" textRotation="90" wrapText="1"/>
      <protection locked="0"/>
    </xf>
    <xf numFmtId="49" fontId="46" fillId="24" borderId="21" xfId="0" applyNumberFormat="1" applyFont="1" applyFill="1" applyBorder="1" applyAlignment="1" applyProtection="1">
      <alignment horizontal="center" vertical="center" textRotation="90" wrapText="1"/>
      <protection locked="0"/>
    </xf>
    <xf numFmtId="0" fontId="36" fillId="24" borderId="48" xfId="0" applyFont="1" applyFill="1" applyBorder="1" applyAlignment="1" applyProtection="1">
      <alignment horizontal="center" vertical="center" shrinkToFit="1"/>
      <protection locked="0"/>
    </xf>
    <xf numFmtId="0" fontId="36" fillId="24" borderId="26" xfId="0" applyFont="1" applyFill="1" applyBorder="1" applyAlignment="1" applyProtection="1">
      <alignment horizontal="center" vertical="center" shrinkToFit="1"/>
      <protection locked="0"/>
    </xf>
    <xf numFmtId="0" fontId="36" fillId="24" borderId="39" xfId="0" applyFont="1" applyFill="1" applyBorder="1" applyAlignment="1" applyProtection="1">
      <alignment horizontal="center" vertical="center" wrapText="1"/>
      <protection locked="0"/>
    </xf>
    <xf numFmtId="0" fontId="36" fillId="24" borderId="27" xfId="0" applyFont="1" applyFill="1" applyBorder="1" applyAlignment="1" applyProtection="1">
      <alignment horizontal="center" vertical="center" wrapText="1"/>
      <protection locked="0"/>
    </xf>
    <xf numFmtId="0" fontId="28" fillId="0" borderId="14" xfId="1" applyFont="1" applyBorder="1" applyAlignment="1" applyProtection="1">
      <alignment horizontal="center" vertical="center" wrapText="1"/>
      <protection locked="0"/>
    </xf>
    <xf numFmtId="0" fontId="28" fillId="0" borderId="28" xfId="1" applyFont="1" applyBorder="1" applyAlignment="1" applyProtection="1">
      <alignment horizontal="center" vertical="center"/>
      <protection locked="0"/>
    </xf>
    <xf numFmtId="0" fontId="49" fillId="0" borderId="26" xfId="1" applyFont="1" applyBorder="1" applyAlignment="1" applyProtection="1">
      <alignment horizontal="center" vertical="center"/>
      <protection locked="0"/>
    </xf>
    <xf numFmtId="0" fontId="49" fillId="0" borderId="27" xfId="1" applyFont="1" applyBorder="1" applyAlignment="1" applyProtection="1">
      <alignment horizontal="center" vertical="center"/>
      <protection locked="0"/>
    </xf>
    <xf numFmtId="0" fontId="28" fillId="0" borderId="0" xfId="1" applyFont="1" applyAlignment="1" applyProtection="1">
      <alignment horizontal="center" shrinkToFit="1"/>
      <protection hidden="1"/>
    </xf>
    <xf numFmtId="0" fontId="27" fillId="0" borderId="0" xfId="1" applyFont="1" applyAlignment="1" applyProtection="1">
      <alignment horizontal="left"/>
      <protection hidden="1"/>
    </xf>
    <xf numFmtId="0" fontId="28" fillId="29" borderId="10" xfId="1" applyFont="1" applyFill="1" applyBorder="1" applyAlignment="1" applyProtection="1">
      <alignment horizontal="center" vertical="center" wrapText="1"/>
      <protection locked="0"/>
    </xf>
    <xf numFmtId="0" fontId="28" fillId="0" borderId="25" xfId="1" applyFont="1" applyBorder="1" applyAlignment="1" applyProtection="1">
      <alignment horizontal="center"/>
      <protection locked="0"/>
    </xf>
    <xf numFmtId="0" fontId="59" fillId="30" borderId="10" xfId="64" applyFont="1" applyFill="1" applyBorder="1" applyAlignment="1" applyProtection="1">
      <alignment horizontal="center" vertical="center" wrapText="1"/>
      <protection locked="0"/>
    </xf>
    <xf numFmtId="0" fontId="56" fillId="0" borderId="0" xfId="64" applyFont="1" applyAlignment="1" applyProtection="1">
      <alignment horizontal="center"/>
      <protection hidden="1"/>
    </xf>
    <xf numFmtId="0" fontId="28" fillId="0" borderId="0" xfId="64" applyFont="1" applyFill="1" applyAlignment="1" applyProtection="1">
      <alignment horizontal="center" shrinkToFit="1"/>
      <protection hidden="1"/>
    </xf>
    <xf numFmtId="0" fontId="58" fillId="0" borderId="25" xfId="64" applyFont="1" applyBorder="1" applyAlignment="1" applyProtection="1">
      <alignment horizontal="center" vertical="center"/>
      <protection hidden="1"/>
    </xf>
    <xf numFmtId="0" fontId="75" fillId="0" borderId="14" xfId="63" applyFont="1" applyFill="1" applyBorder="1" applyAlignment="1" applyProtection="1">
      <alignment horizontal="center" vertical="center" wrapText="1"/>
      <protection locked="0"/>
    </xf>
    <xf numFmtId="0" fontId="75" fillId="0" borderId="21" xfId="63" applyFont="1" applyFill="1" applyBorder="1" applyAlignment="1" applyProtection="1">
      <alignment horizontal="center" vertical="center" wrapText="1"/>
      <protection locked="0"/>
    </xf>
    <xf numFmtId="0" fontId="26" fillId="0" borderId="10" xfId="51" applyFont="1" applyBorder="1" applyAlignment="1" applyProtection="1">
      <alignment horizontal="center" vertical="center" wrapText="1"/>
      <protection locked="0"/>
    </xf>
    <xf numFmtId="49" fontId="26" fillId="0" borderId="10" xfId="51" applyNumberFormat="1" applyFont="1" applyBorder="1" applyAlignment="1" applyProtection="1">
      <alignment horizontal="center" vertical="center" wrapText="1"/>
      <protection locked="0"/>
    </xf>
    <xf numFmtId="0" fontId="35" fillId="0" borderId="0" xfId="63" applyFont="1" applyFill="1" applyAlignment="1" applyProtection="1">
      <alignment horizontal="center"/>
      <protection hidden="1"/>
    </xf>
    <xf numFmtId="0" fontId="40" fillId="0" borderId="0" xfId="63" applyFont="1" applyFill="1" applyAlignment="1" applyProtection="1">
      <alignment horizontal="center"/>
      <protection locked="0"/>
    </xf>
    <xf numFmtId="0" fontId="37" fillId="0" borderId="0" xfId="51" applyFont="1" applyBorder="1" applyAlignment="1" applyProtection="1">
      <alignment horizontal="center"/>
      <protection hidden="1"/>
    </xf>
    <xf numFmtId="0" fontId="47" fillId="0" borderId="10" xfId="51" applyFont="1" applyBorder="1" applyAlignment="1" applyProtection="1">
      <alignment horizontal="center" vertical="center" wrapText="1"/>
      <protection locked="0"/>
    </xf>
    <xf numFmtId="0" fontId="21" fillId="0" borderId="10" xfId="51" applyFont="1" applyBorder="1" applyAlignment="1" applyProtection="1">
      <alignment horizontal="center" vertical="center" wrapText="1"/>
      <protection locked="0"/>
    </xf>
    <xf numFmtId="0" fontId="27" fillId="0" borderId="0" xfId="63" applyNumberFormat="1" applyFont="1" applyFill="1" applyAlignment="1" applyProtection="1">
      <alignment horizontal="left" vertical="center"/>
      <protection locked="0"/>
    </xf>
    <xf numFmtId="0" fontId="28" fillId="0" borderId="0" xfId="53" applyNumberFormat="1" applyFont="1" applyFill="1" applyAlignment="1" applyProtection="1">
      <alignment horizontal="center"/>
      <protection locked="0"/>
    </xf>
    <xf numFmtId="0" fontId="85" fillId="0" borderId="0" xfId="63" applyNumberFormat="1" applyFont="1" applyFill="1" applyAlignment="1" applyProtection="1">
      <alignment horizontal="center"/>
      <protection hidden="1"/>
    </xf>
    <xf numFmtId="0" fontId="28" fillId="0" borderId="10" xfId="53" applyNumberFormat="1" applyFont="1" applyFill="1" applyBorder="1" applyAlignment="1" applyProtection="1">
      <alignment horizontal="center" vertical="center"/>
      <protection locked="0"/>
    </xf>
    <xf numFmtId="0" fontId="75" fillId="0" borderId="10" xfId="53" applyNumberFormat="1" applyFont="1" applyFill="1" applyBorder="1" applyAlignment="1" applyProtection="1">
      <alignment horizontal="center" vertical="center" wrapText="1"/>
      <protection locked="0"/>
    </xf>
    <xf numFmtId="0" fontId="83" fillId="0" borderId="10" xfId="53" applyNumberFormat="1" applyFont="1" applyFill="1" applyBorder="1" applyAlignment="1" applyProtection="1">
      <alignment horizontal="center" vertical="center" wrapText="1"/>
      <protection locked="0"/>
    </xf>
    <xf numFmtId="0" fontId="53" fillId="0" borderId="0" xfId="63" applyNumberFormat="1" applyFont="1" applyFill="1" applyAlignment="1" applyProtection="1">
      <alignment horizontal="left"/>
      <protection locked="0"/>
    </xf>
    <xf numFmtId="0" fontId="5" fillId="0" borderId="30" xfId="45" applyFont="1" applyFill="1" applyBorder="1" applyAlignment="1" applyProtection="1">
      <alignment horizontal="center" vertical="center" wrapText="1"/>
      <protection locked="0"/>
    </xf>
    <xf numFmtId="0" fontId="5" fillId="0" borderId="31" xfId="45" applyFont="1" applyFill="1" applyBorder="1" applyAlignment="1" applyProtection="1">
      <alignment horizontal="center" vertical="center" wrapText="1"/>
      <protection locked="0"/>
    </xf>
    <xf numFmtId="0" fontId="5" fillId="0" borderId="32" xfId="45" applyFont="1" applyFill="1" applyBorder="1" applyAlignment="1" applyProtection="1">
      <alignment horizontal="center" vertical="center" wrapText="1"/>
      <protection locked="0"/>
    </xf>
    <xf numFmtId="0" fontId="75" fillId="0" borderId="30" xfId="45" applyFont="1" applyFill="1" applyBorder="1" applyAlignment="1" applyProtection="1">
      <alignment horizontal="center" vertical="center" wrapText="1"/>
      <protection locked="0"/>
    </xf>
    <xf numFmtId="0" fontId="75" fillId="0" borderId="32" xfId="45" applyFont="1" applyFill="1" applyBorder="1" applyAlignment="1" applyProtection="1">
      <alignment horizontal="center" vertical="center" wrapText="1"/>
      <protection locked="0"/>
    </xf>
    <xf numFmtId="0" fontId="75" fillId="0" borderId="33" xfId="45" applyFont="1" applyFill="1" applyBorder="1" applyAlignment="1" applyProtection="1">
      <alignment horizontal="center" vertical="center" wrapText="1"/>
      <protection locked="0"/>
    </xf>
    <xf numFmtId="0" fontId="75" fillId="0" borderId="37" xfId="45" applyFont="1" applyFill="1" applyBorder="1" applyAlignment="1" applyProtection="1">
      <alignment horizontal="center" vertical="center" wrapText="1"/>
      <protection locked="0"/>
    </xf>
    <xf numFmtId="0" fontId="27" fillId="0" borderId="0" xfId="63" applyFont="1" applyFill="1" applyAlignment="1" applyProtection="1">
      <alignment horizontal="left" vertical="center"/>
      <protection locked="0"/>
    </xf>
    <xf numFmtId="0" fontId="35" fillId="0" borderId="0" xfId="45" applyFont="1" applyFill="1" applyAlignment="1" applyProtection="1">
      <alignment horizontal="center"/>
      <protection locked="0"/>
    </xf>
    <xf numFmtId="0" fontId="77" fillId="0" borderId="0" xfId="63" applyFont="1" applyFill="1" applyAlignment="1" applyProtection="1">
      <alignment horizontal="center"/>
      <protection hidden="1"/>
    </xf>
    <xf numFmtId="0" fontId="49" fillId="0" borderId="30" xfId="45" applyFont="1" applyFill="1" applyBorder="1" applyAlignment="1" applyProtection="1">
      <alignment horizontal="center" vertical="center"/>
      <protection locked="0"/>
    </xf>
    <xf numFmtId="0" fontId="49" fillId="0" borderId="32" xfId="45" applyFont="1" applyFill="1" applyBorder="1" applyAlignment="1" applyProtection="1">
      <alignment horizontal="center" vertical="center"/>
      <protection locked="0"/>
    </xf>
    <xf numFmtId="0" fontId="28" fillId="0" borderId="0" xfId="63" applyFont="1" applyFill="1" applyAlignment="1" applyProtection="1">
      <alignment horizontal="center"/>
      <protection locked="0"/>
    </xf>
    <xf numFmtId="0" fontId="75" fillId="0" borderId="38" xfId="45" applyFont="1" applyFill="1" applyBorder="1" applyAlignment="1" applyProtection="1">
      <alignment horizontal="center" vertical="center" wrapText="1"/>
      <protection locked="0"/>
    </xf>
    <xf numFmtId="0" fontId="27" fillId="0" borderId="34" xfId="45" applyFont="1" applyFill="1" applyBorder="1" applyAlignment="1" applyProtection="1">
      <alignment horizontal="center" vertical="center" wrapText="1"/>
      <protection locked="0"/>
    </xf>
    <xf numFmtId="0" fontId="27" fillId="0" borderId="35" xfId="45" applyFont="1" applyFill="1" applyBorder="1" applyAlignment="1" applyProtection="1">
      <alignment horizontal="center" vertical="center" wrapText="1"/>
      <protection locked="0"/>
    </xf>
    <xf numFmtId="0" fontId="27" fillId="0" borderId="36" xfId="45" applyFont="1" applyFill="1" applyBorder="1" applyAlignment="1" applyProtection="1">
      <alignment horizontal="center" vertical="center" wrapText="1"/>
      <protection locked="0"/>
    </xf>
    <xf numFmtId="0" fontId="75" fillId="0" borderId="29" xfId="45" applyFont="1" applyFill="1" applyBorder="1" applyAlignment="1" applyProtection="1">
      <alignment horizontal="center" vertical="center" wrapText="1"/>
      <protection locked="0"/>
    </xf>
    <xf numFmtId="0" fontId="97" fillId="0" borderId="0" xfId="1" applyFont="1" applyAlignment="1" applyProtection="1">
      <alignment horizontal="center"/>
      <protection hidden="1"/>
    </xf>
    <xf numFmtId="0" fontId="98" fillId="24" borderId="10" xfId="1" applyFont="1" applyFill="1" applyBorder="1" applyAlignment="1" applyProtection="1">
      <alignment horizontal="center" vertical="center" wrapText="1"/>
      <protection locked="0"/>
    </xf>
    <xf numFmtId="49" fontId="98" fillId="24" borderId="14" xfId="1" applyNumberFormat="1" applyFont="1" applyFill="1" applyBorder="1" applyAlignment="1" applyProtection="1">
      <alignment horizontal="center" vertical="center" textRotation="90" shrinkToFit="1"/>
      <protection locked="0"/>
    </xf>
    <xf numFmtId="49" fontId="98" fillId="24" borderId="21" xfId="1" applyNumberFormat="1" applyFont="1" applyFill="1" applyBorder="1" applyAlignment="1" applyProtection="1">
      <alignment horizontal="center" vertical="center" textRotation="90" shrinkToFit="1"/>
      <protection locked="0"/>
    </xf>
    <xf numFmtId="49" fontId="98" fillId="24" borderId="10" xfId="1" applyNumberFormat="1" applyFont="1" applyFill="1" applyBorder="1" applyAlignment="1" applyProtection="1">
      <alignment horizontal="center" vertical="center" wrapText="1"/>
      <protection locked="0"/>
    </xf>
    <xf numFmtId="0" fontId="98" fillId="24" borderId="11" xfId="1" applyFont="1" applyFill="1" applyBorder="1" applyAlignment="1" applyProtection="1">
      <alignment horizontal="center" vertical="center" shrinkToFit="1"/>
      <protection locked="0"/>
    </xf>
    <xf numFmtId="0" fontId="98" fillId="24" borderId="39" xfId="1" applyFont="1" applyFill="1" applyBorder="1" applyAlignment="1" applyProtection="1">
      <alignment horizontal="center" vertical="center" wrapText="1"/>
      <protection locked="0"/>
    </xf>
    <xf numFmtId="0" fontId="98" fillId="24" borderId="27" xfId="1" applyFont="1" applyFill="1" applyBorder="1" applyAlignment="1" applyProtection="1">
      <alignment horizontal="center" vertical="center" wrapText="1"/>
      <protection locked="0"/>
    </xf>
    <xf numFmtId="49" fontId="99" fillId="24" borderId="11" xfId="1" applyNumberFormat="1" applyFont="1" applyFill="1" applyBorder="1" applyAlignment="1" applyProtection="1">
      <alignment horizontal="center" vertical="center" wrapText="1"/>
      <protection locked="0"/>
    </xf>
    <xf numFmtId="49" fontId="99" fillId="24" borderId="13" xfId="1" applyNumberFormat="1" applyFont="1" applyFill="1" applyBorder="1" applyAlignment="1" applyProtection="1">
      <alignment horizontal="center" vertical="center" wrapText="1"/>
      <protection locked="0"/>
    </xf>
    <xf numFmtId="49" fontId="99" fillId="24" borderId="12" xfId="1" applyNumberFormat="1" applyFont="1" applyFill="1" applyBorder="1" applyAlignment="1" applyProtection="1">
      <alignment horizontal="center" vertical="center" wrapText="1"/>
      <protection locked="0"/>
    </xf>
    <xf numFmtId="0" fontId="100" fillId="24" borderId="10" xfId="1" applyFont="1" applyFill="1" applyBorder="1" applyAlignment="1" applyProtection="1">
      <alignment horizontal="center" vertical="center" wrapText="1"/>
      <protection locked="0"/>
    </xf>
    <xf numFmtId="0" fontId="97" fillId="24" borderId="11" xfId="1" applyFont="1" applyFill="1" applyBorder="1" applyAlignment="1" applyProtection="1">
      <alignment horizontal="center" vertical="center" shrinkToFit="1"/>
      <protection locked="0"/>
    </xf>
    <xf numFmtId="0" fontId="97" fillId="24" borderId="13" xfId="1" applyFont="1" applyFill="1" applyBorder="1" applyAlignment="1" applyProtection="1">
      <alignment horizontal="center" vertical="center" shrinkToFit="1"/>
      <protection locked="0"/>
    </xf>
    <xf numFmtId="0" fontId="97" fillId="24" borderId="12" xfId="1" applyFont="1" applyFill="1" applyBorder="1" applyAlignment="1" applyProtection="1">
      <alignment horizontal="center" vertical="center" shrinkToFit="1"/>
      <protection locked="0"/>
    </xf>
    <xf numFmtId="0" fontId="98" fillId="24" borderId="10" xfId="1" applyFont="1" applyFill="1" applyBorder="1" applyAlignment="1" applyProtection="1">
      <alignment horizontal="center" vertical="center" shrinkToFit="1"/>
      <protection locked="0"/>
    </xf>
    <xf numFmtId="0" fontId="36" fillId="24" borderId="10" xfId="1" applyFont="1" applyFill="1" applyBorder="1" applyAlignment="1" applyProtection="1">
      <alignment horizontal="center" vertical="center" shrinkToFit="1"/>
      <protection locked="0"/>
    </xf>
    <xf numFmtId="0" fontId="36" fillId="24" borderId="21" xfId="1" applyFont="1" applyFill="1" applyBorder="1" applyAlignment="1" applyProtection="1">
      <alignment horizontal="center" vertical="center" shrinkToFit="1"/>
      <protection locked="0"/>
    </xf>
    <xf numFmtId="49" fontId="98" fillId="24" borderId="14" xfId="1" applyNumberFormat="1" applyFont="1" applyFill="1" applyBorder="1" applyAlignment="1" applyProtection="1">
      <alignment horizontal="center" vertical="center" wrapText="1"/>
      <protection locked="0"/>
    </xf>
    <xf numFmtId="49" fontId="98" fillId="24" borderId="21" xfId="1" applyNumberFormat="1" applyFont="1" applyFill="1" applyBorder="1" applyAlignment="1" applyProtection="1">
      <alignment horizontal="center" vertical="center" wrapText="1"/>
      <protection locked="0"/>
    </xf>
    <xf numFmtId="0" fontId="28" fillId="0" borderId="0" xfId="1" applyFont="1" applyAlignment="1" applyProtection="1">
      <alignment horizontal="left"/>
      <protection hidden="1"/>
    </xf>
    <xf numFmtId="0" fontId="103" fillId="0" borderId="0" xfId="64" applyFont="1" applyAlignment="1" applyProtection="1">
      <alignment horizontal="center"/>
      <protection hidden="1"/>
    </xf>
    <xf numFmtId="0" fontId="104" fillId="0" borderId="0" xfId="64" applyFont="1" applyFill="1" applyAlignment="1" applyProtection="1">
      <alignment horizontal="center" shrinkToFit="1"/>
      <protection hidden="1"/>
    </xf>
    <xf numFmtId="0" fontId="57" fillId="0" borderId="0" xfId="64" applyFont="1" applyAlignment="1" applyProtection="1">
      <alignment horizontal="center"/>
      <protection locked="0"/>
    </xf>
    <xf numFmtId="0" fontId="47" fillId="0" borderId="10" xfId="62" applyFont="1" applyBorder="1" applyAlignment="1" applyProtection="1">
      <alignment horizontal="center" vertical="center" wrapText="1"/>
      <protection locked="0"/>
    </xf>
    <xf numFmtId="0" fontId="36" fillId="0" borderId="10" xfId="62" applyFont="1" applyBorder="1" applyAlignment="1" applyProtection="1">
      <alignment horizontal="center" vertical="center" wrapText="1"/>
      <protection locked="0"/>
    </xf>
    <xf numFmtId="49" fontId="47" fillId="0" borderId="10" xfId="62" applyNumberFormat="1" applyFont="1" applyBorder="1" applyAlignment="1" applyProtection="1">
      <alignment horizontal="center" vertical="center" wrapText="1"/>
      <protection locked="0"/>
    </xf>
    <xf numFmtId="0" fontId="40" fillId="0" borderId="0" xfId="65" applyFont="1" applyFill="1" applyAlignment="1" applyProtection="1">
      <alignment horizontal="center"/>
      <protection hidden="1"/>
    </xf>
    <xf numFmtId="0" fontId="40" fillId="0" borderId="0" xfId="65" applyFont="1" applyFill="1" applyAlignment="1" applyProtection="1">
      <alignment horizontal="center"/>
      <protection locked="0"/>
    </xf>
    <xf numFmtId="0" fontId="37" fillId="0" borderId="0" xfId="62" applyFont="1" applyBorder="1" applyAlignment="1" applyProtection="1">
      <alignment horizontal="center"/>
      <protection hidden="1"/>
    </xf>
    <xf numFmtId="0" fontId="5" fillId="0" borderId="10" xfId="65" applyFont="1" applyFill="1" applyBorder="1" applyAlignment="1" applyProtection="1">
      <alignment horizontal="center" vertical="center" wrapText="1"/>
      <protection locked="0"/>
    </xf>
    <xf numFmtId="0" fontId="12" fillId="0" borderId="0" xfId="65" applyFont="1" applyFill="1" applyAlignment="1" applyProtection="1">
      <alignment horizontal="left" vertical="center"/>
      <protection locked="0"/>
    </xf>
    <xf numFmtId="0" fontId="28" fillId="0" borderId="0" xfId="52" applyFont="1" applyFill="1" applyAlignment="1" applyProtection="1">
      <alignment horizontal="center" vertical="center"/>
      <protection hidden="1"/>
    </xf>
    <xf numFmtId="0" fontId="52" fillId="0" borderId="0" xfId="52" applyFont="1" applyFill="1" applyAlignment="1" applyProtection="1">
      <alignment horizontal="center" vertical="center"/>
      <protection locked="0"/>
    </xf>
    <xf numFmtId="0" fontId="112" fillId="0" borderId="29" xfId="52" applyFont="1" applyFill="1" applyBorder="1" applyAlignment="1" applyProtection="1">
      <alignment horizontal="center" vertical="center" wrapText="1"/>
      <protection locked="0"/>
    </xf>
    <xf numFmtId="0" fontId="91" fillId="0" borderId="29" xfId="52" applyFont="1" applyFill="1" applyBorder="1" applyAlignment="1" applyProtection="1">
      <alignment horizontal="center" vertical="center"/>
      <protection locked="0"/>
    </xf>
    <xf numFmtId="0" fontId="113" fillId="0" borderId="29" xfId="52" applyFont="1" applyFill="1" applyBorder="1" applyAlignment="1" applyProtection="1">
      <alignment horizontal="center" vertical="center" wrapText="1"/>
      <protection locked="0"/>
    </xf>
    <xf numFmtId="0" fontId="91" fillId="0" borderId="30" xfId="52" applyFont="1" applyFill="1" applyBorder="1" applyAlignment="1" applyProtection="1">
      <alignment horizontal="center" vertical="center"/>
      <protection locked="0"/>
    </xf>
    <xf numFmtId="0" fontId="112" fillId="0" borderId="29" xfId="52" applyFont="1" applyFill="1" applyBorder="1" applyAlignment="1" applyProtection="1">
      <alignment horizontal="center" vertical="center" textRotation="90" wrapText="1"/>
      <protection locked="0"/>
    </xf>
    <xf numFmtId="0" fontId="112" fillId="0" borderId="37" xfId="52" applyFont="1" applyFill="1" applyBorder="1" applyAlignment="1" applyProtection="1">
      <alignment horizontal="center" vertical="center" textRotation="90" wrapText="1"/>
      <protection locked="0"/>
    </xf>
    <xf numFmtId="0" fontId="113" fillId="0" borderId="10" xfId="52" applyFont="1" applyFill="1" applyBorder="1" applyAlignment="1" applyProtection="1">
      <alignment horizontal="center" vertical="center" wrapText="1"/>
      <protection locked="0"/>
    </xf>
    <xf numFmtId="0" fontId="53" fillId="0" borderId="0" xfId="65" applyFont="1" applyFill="1" applyAlignment="1" applyProtection="1">
      <alignment horizontal="center"/>
      <protection hidden="1"/>
    </xf>
    <xf numFmtId="0" fontId="27" fillId="0" borderId="29" xfId="52" applyFont="1" applyFill="1" applyBorder="1" applyAlignment="1" applyProtection="1">
      <alignment vertical="center"/>
      <protection locked="0"/>
    </xf>
    <xf numFmtId="2" fontId="27" fillId="0" borderId="10" xfId="52" applyNumberFormat="1" applyFont="1" applyFill="1" applyBorder="1" applyAlignment="1" applyProtection="1">
      <alignment horizontal="center" vertical="center"/>
      <protection hidden="1"/>
    </xf>
    <xf numFmtId="0" fontId="28" fillId="0" borderId="10" xfId="52" applyFont="1" applyFill="1" applyBorder="1" applyAlignment="1" applyProtection="1">
      <alignment horizontal="center" vertical="center"/>
      <protection locked="0"/>
    </xf>
    <xf numFmtId="0" fontId="89" fillId="0" borderId="29" xfId="52" applyFont="1" applyFill="1" applyBorder="1" applyAlignment="1" applyProtection="1">
      <alignment horizontal="center" vertical="center" wrapText="1"/>
      <protection locked="0"/>
    </xf>
    <xf numFmtId="0" fontId="91" fillId="0" borderId="0" xfId="52" applyFont="1" applyFill="1" applyAlignment="1" applyProtection="1">
      <alignment horizontal="right" vertical="center"/>
      <protection locked="0"/>
    </xf>
    <xf numFmtId="0" fontId="77" fillId="0" borderId="46" xfId="63" applyFont="1" applyFill="1" applyBorder="1" applyAlignment="1" applyProtection="1">
      <alignment horizontal="center" vertical="center"/>
      <protection hidden="1"/>
    </xf>
    <xf numFmtId="0" fontId="87" fillId="0" borderId="29" xfId="52" applyFont="1" applyFill="1" applyBorder="1" applyAlignment="1" applyProtection="1">
      <alignment horizontal="center" vertical="center" wrapText="1"/>
      <protection locked="0"/>
    </xf>
    <xf numFmtId="0" fontId="87" fillId="0" borderId="33" xfId="52" applyFont="1" applyFill="1" applyBorder="1" applyAlignment="1" applyProtection="1">
      <alignment horizontal="center" vertical="center" wrapText="1"/>
      <protection locked="0"/>
    </xf>
    <xf numFmtId="0" fontId="105" fillId="0" borderId="29" xfId="52" applyFont="1" applyFill="1" applyBorder="1" applyAlignment="1" applyProtection="1">
      <alignment horizontal="center" vertical="center" wrapText="1"/>
      <protection locked="0"/>
    </xf>
    <xf numFmtId="0" fontId="105" fillId="0" borderId="33" xfId="52" applyFont="1" applyFill="1" applyBorder="1" applyAlignment="1" applyProtection="1">
      <alignment horizontal="center" vertical="center" wrapText="1"/>
      <protection locked="0"/>
    </xf>
    <xf numFmtId="0" fontId="118" fillId="0" borderId="29" xfId="52" applyFont="1" applyFill="1" applyBorder="1" applyAlignment="1" applyProtection="1">
      <alignment horizontal="center" vertical="center" wrapText="1"/>
      <protection locked="0"/>
    </xf>
    <xf numFmtId="0" fontId="118" fillId="0" borderId="30" xfId="52" applyFont="1" applyFill="1" applyBorder="1" applyAlignment="1" applyProtection="1">
      <alignment horizontal="center" vertical="center" wrapText="1"/>
      <protection locked="0"/>
    </xf>
    <xf numFmtId="0" fontId="118" fillId="0" borderId="31" xfId="52" applyFont="1" applyFill="1" applyBorder="1" applyAlignment="1" applyProtection="1">
      <alignment horizontal="center" vertical="center" wrapText="1"/>
      <protection locked="0"/>
    </xf>
    <xf numFmtId="0" fontId="118" fillId="0" borderId="32" xfId="52" applyFont="1" applyFill="1" applyBorder="1" applyAlignment="1" applyProtection="1">
      <alignment horizontal="center" vertical="center" wrapText="1"/>
      <protection locked="0"/>
    </xf>
    <xf numFmtId="0" fontId="112" fillId="0" borderId="33" xfId="52" applyFont="1" applyFill="1" applyBorder="1" applyAlignment="1" applyProtection="1">
      <alignment horizontal="center" vertical="center" wrapText="1"/>
      <protection locked="0"/>
    </xf>
    <xf numFmtId="0" fontId="87" fillId="0" borderId="33" xfId="52" applyFont="1" applyFill="1" applyBorder="1" applyAlignment="1" applyProtection="1">
      <alignment horizontal="center" vertical="center" textRotation="90" wrapText="1"/>
      <protection locked="0"/>
    </xf>
    <xf numFmtId="0" fontId="87" fillId="0" borderId="38" xfId="52" applyFont="1" applyFill="1" applyBorder="1" applyAlignment="1" applyProtection="1">
      <alignment horizontal="center" vertical="center" textRotation="90" wrapText="1"/>
      <protection locked="0"/>
    </xf>
    <xf numFmtId="0" fontId="87" fillId="0" borderId="37" xfId="52" applyFont="1" applyFill="1" applyBorder="1" applyAlignment="1" applyProtection="1">
      <alignment horizontal="center" vertical="center" textRotation="90" wrapText="1"/>
      <protection locked="0"/>
    </xf>
    <xf numFmtId="0" fontId="112" fillId="0" borderId="29" xfId="52" applyFont="1" applyFill="1" applyBorder="1" applyAlignment="1" applyProtection="1">
      <alignment horizontal="center" vertical="center"/>
      <protection locked="0"/>
    </xf>
    <xf numFmtId="0" fontId="31" fillId="0" borderId="0" xfId="1" applyFont="1" applyAlignment="1" applyProtection="1">
      <alignment horizontal="left"/>
      <protection hidden="1"/>
    </xf>
    <xf numFmtId="0" fontId="32" fillId="31" borderId="10" xfId="1" applyFont="1" applyFill="1" applyBorder="1" applyAlignment="1" applyProtection="1">
      <alignment horizontal="center" vertical="center" wrapText="1"/>
      <protection locked="0"/>
    </xf>
    <xf numFmtId="0" fontId="32" fillId="0" borderId="14" xfId="1" applyFont="1" applyBorder="1" applyAlignment="1" applyProtection="1">
      <alignment horizontal="center" vertical="center"/>
      <protection locked="0"/>
    </xf>
    <xf numFmtId="0" fontId="32" fillId="0" borderId="28" xfId="1" applyFont="1" applyBorder="1" applyAlignment="1" applyProtection="1">
      <alignment horizontal="center" vertical="center"/>
      <protection locked="0"/>
    </xf>
    <xf numFmtId="0" fontId="137" fillId="0" borderId="0" xfId="65" applyFont="1" applyFill="1" applyAlignment="1" applyProtection="1">
      <alignment horizontal="center" vertical="center" wrapText="1"/>
      <protection locked="0"/>
    </xf>
    <xf numFmtId="0" fontId="149" fillId="0" borderId="10" xfId="65" applyFont="1" applyFill="1" applyBorder="1" applyAlignment="1" applyProtection="1">
      <alignment horizontal="center" vertical="center" wrapText="1"/>
      <protection locked="0"/>
    </xf>
    <xf numFmtId="0" fontId="28" fillId="0" borderId="0" xfId="66" applyFont="1" applyFill="1" applyAlignment="1" applyProtection="1">
      <alignment horizontal="center"/>
      <protection locked="0"/>
    </xf>
    <xf numFmtId="0" fontId="35" fillId="0" borderId="0" xfId="66" applyFont="1" applyFill="1" applyAlignment="1" applyProtection="1">
      <alignment horizontal="center"/>
      <protection hidden="1"/>
    </xf>
    <xf numFmtId="2" fontId="27" fillId="0" borderId="11" xfId="52" applyNumberFormat="1" applyFont="1" applyFill="1" applyBorder="1" applyAlignment="1" applyProtection="1">
      <alignment horizontal="center" vertical="center"/>
      <protection hidden="1"/>
    </xf>
    <xf numFmtId="2" fontId="27" fillId="0" borderId="12" xfId="52" applyNumberFormat="1" applyFont="1" applyFill="1" applyBorder="1" applyAlignment="1" applyProtection="1">
      <alignment horizontal="center" vertical="center"/>
      <protection hidden="1"/>
    </xf>
    <xf numFmtId="0" fontId="53" fillId="0" borderId="0" xfId="66" applyFont="1" applyFill="1" applyAlignment="1" applyProtection="1">
      <alignment horizontal="left"/>
      <protection hidden="1"/>
    </xf>
    <xf numFmtId="0" fontId="28" fillId="0" borderId="0" xfId="66" applyFont="1" applyFill="1" applyProtection="1">
      <protection locked="0"/>
    </xf>
    <xf numFmtId="0" fontId="27" fillId="0" borderId="0" xfId="66" applyFont="1" applyFill="1" applyProtection="1">
      <protection locked="0"/>
    </xf>
    <xf numFmtId="0" fontId="75" fillId="0" borderId="30" xfId="66" applyFont="1" applyFill="1" applyBorder="1" applyAlignment="1" applyProtection="1">
      <alignment horizontal="center" vertical="center" wrapText="1"/>
      <protection locked="0"/>
    </xf>
    <xf numFmtId="0" fontId="75" fillId="0" borderId="31" xfId="66" applyFont="1" applyFill="1" applyBorder="1" applyAlignment="1" applyProtection="1">
      <alignment horizontal="center" vertical="center" wrapText="1"/>
      <protection locked="0"/>
    </xf>
    <xf numFmtId="0" fontId="75" fillId="0" borderId="32" xfId="66" applyFont="1" applyFill="1" applyBorder="1" applyAlignment="1" applyProtection="1">
      <alignment horizontal="center" vertical="center" wrapText="1"/>
      <protection locked="0"/>
    </xf>
    <xf numFmtId="0" fontId="75" fillId="0" borderId="34" xfId="66" applyFont="1" applyFill="1" applyBorder="1" applyAlignment="1" applyProtection="1">
      <alignment horizontal="center" vertical="center" textRotation="90" wrapText="1"/>
      <protection locked="0"/>
    </xf>
    <xf numFmtId="0" fontId="75" fillId="0" borderId="47" xfId="66" applyFont="1" applyFill="1" applyBorder="1" applyAlignment="1" applyProtection="1">
      <alignment horizontal="center" vertical="center" textRotation="90" wrapText="1"/>
      <protection locked="0"/>
    </xf>
    <xf numFmtId="0" fontId="75" fillId="0" borderId="33" xfId="66" applyFont="1" applyFill="1" applyBorder="1" applyAlignment="1" applyProtection="1">
      <alignment horizontal="center" vertical="center" textRotation="90" wrapText="1"/>
      <protection locked="0"/>
    </xf>
    <xf numFmtId="0" fontId="75" fillId="0" borderId="37" xfId="66" applyFont="1" applyFill="1" applyBorder="1" applyAlignment="1" applyProtection="1">
      <alignment horizontal="center" vertical="center" textRotation="90" wrapText="1"/>
      <protection locked="0"/>
    </xf>
    <xf numFmtId="0" fontId="75" fillId="0" borderId="38" xfId="66" applyFont="1" applyFill="1" applyBorder="1" applyAlignment="1" applyProtection="1">
      <alignment horizontal="center" vertical="center" textRotation="90" wrapText="1"/>
      <protection locked="0"/>
    </xf>
    <xf numFmtId="0" fontId="27" fillId="0" borderId="30" xfId="66" applyFont="1" applyFill="1" applyBorder="1" applyAlignment="1" applyProtection="1">
      <alignment horizontal="center" vertical="center" wrapText="1"/>
      <protection locked="0"/>
    </xf>
    <xf numFmtId="0" fontId="27" fillId="0" borderId="31" xfId="66" applyFont="1" applyFill="1" applyBorder="1" applyAlignment="1" applyProtection="1">
      <alignment horizontal="center" vertical="center" wrapText="1"/>
      <protection locked="0"/>
    </xf>
    <xf numFmtId="0" fontId="27" fillId="0" borderId="32" xfId="66" applyFont="1" applyFill="1" applyBorder="1" applyAlignment="1" applyProtection="1">
      <alignment horizontal="center" vertical="center" wrapText="1"/>
      <protection locked="0"/>
    </xf>
    <xf numFmtId="0" fontId="75" fillId="0" borderId="29" xfId="66" applyFont="1" applyFill="1" applyBorder="1" applyAlignment="1" applyProtection="1">
      <alignment horizontal="center" vertical="center" textRotation="90" wrapText="1"/>
      <protection locked="0"/>
    </xf>
    <xf numFmtId="0" fontId="35" fillId="0" borderId="29" xfId="66" applyFont="1" applyFill="1" applyBorder="1" applyAlignment="1" applyProtection="1">
      <alignment horizontal="center" vertical="center"/>
      <protection locked="0"/>
    </xf>
    <xf numFmtId="0" fontId="75" fillId="0" borderId="35" xfId="66" applyFont="1" applyFill="1" applyBorder="1" applyAlignment="1" applyProtection="1">
      <alignment horizontal="center" vertical="center" textRotation="90" wrapText="1"/>
      <protection locked="0"/>
    </xf>
    <xf numFmtId="0" fontId="75" fillId="0" borderId="36" xfId="66" applyFont="1" applyFill="1" applyBorder="1" applyAlignment="1" applyProtection="1">
      <alignment horizontal="center" vertical="center" textRotation="90" wrapText="1"/>
      <protection locked="0"/>
    </xf>
    <xf numFmtId="0" fontId="75" fillId="0" borderId="34" xfId="66" applyFont="1" applyFill="1" applyBorder="1" applyAlignment="1" applyProtection="1">
      <alignment horizontal="center" textRotation="90" wrapText="1"/>
      <protection locked="0"/>
    </xf>
    <xf numFmtId="0" fontId="75" fillId="0" borderId="47" xfId="66" applyFont="1" applyFill="1" applyBorder="1" applyAlignment="1" applyProtection="1">
      <alignment horizontal="center" textRotation="90" wrapText="1"/>
      <protection locked="0"/>
    </xf>
    <xf numFmtId="0" fontId="27" fillId="0" borderId="33" xfId="66" applyFont="1" applyFill="1" applyBorder="1" applyAlignment="1" applyProtection="1">
      <alignment horizontal="center" vertical="center" wrapText="1"/>
      <protection locked="0"/>
    </xf>
    <xf numFmtId="0" fontId="27" fillId="0" borderId="38" xfId="66" applyFont="1" applyFill="1" applyBorder="1" applyAlignment="1" applyProtection="1">
      <alignment horizontal="center" vertical="center" wrapText="1"/>
      <protection locked="0"/>
    </xf>
    <xf numFmtId="0" fontId="27" fillId="0" borderId="37" xfId="66" applyFont="1" applyFill="1" applyBorder="1" applyAlignment="1" applyProtection="1">
      <alignment horizontal="center" vertical="center" wrapText="1"/>
      <protection locked="0"/>
    </xf>
    <xf numFmtId="0" fontId="28" fillId="0" borderId="29" xfId="66" applyFont="1" applyFill="1" applyBorder="1" applyAlignment="1" applyProtection="1">
      <alignment horizontal="center" vertical="center" wrapText="1"/>
      <protection locked="0"/>
    </xf>
    <xf numFmtId="0" fontId="27" fillId="0" borderId="0" xfId="66" applyFont="1" applyFill="1" applyAlignment="1" applyProtection="1">
      <alignment horizontal="left" vertical="center"/>
      <protection locked="0"/>
    </xf>
    <xf numFmtId="0" fontId="28" fillId="0" borderId="0" xfId="66" applyFont="1" applyFill="1" applyAlignment="1" applyProtection="1">
      <alignment horizontal="center" vertical="center"/>
      <protection hidden="1"/>
    </xf>
    <xf numFmtId="0" fontId="51" fillId="0" borderId="46" xfId="63" applyFont="1" applyFill="1" applyBorder="1" applyAlignment="1" applyProtection="1">
      <alignment horizontal="center" vertical="center"/>
      <protection hidden="1"/>
    </xf>
    <xf numFmtId="0" fontId="28" fillId="0" borderId="30" xfId="66" applyFont="1" applyFill="1" applyBorder="1" applyAlignment="1" applyProtection="1">
      <alignment horizontal="center" vertical="center" wrapText="1"/>
      <protection locked="0"/>
    </xf>
    <xf numFmtId="0" fontId="28" fillId="0" borderId="31" xfId="66" applyFont="1" applyFill="1" applyBorder="1" applyAlignment="1" applyProtection="1">
      <alignment horizontal="center" vertical="center" wrapText="1"/>
      <protection locked="0"/>
    </xf>
    <xf numFmtId="0" fontId="28" fillId="0" borderId="32" xfId="66" applyFont="1" applyFill="1" applyBorder="1" applyAlignment="1" applyProtection="1">
      <alignment horizontal="center" vertical="center" wrapText="1"/>
      <protection locked="0"/>
    </xf>
    <xf numFmtId="0" fontId="28" fillId="0" borderId="30" xfId="66" applyFont="1" applyFill="1" applyBorder="1" applyAlignment="1" applyProtection="1">
      <alignment horizontal="center" vertical="center"/>
      <protection locked="0"/>
    </xf>
    <xf numFmtId="0" fontId="28" fillId="0" borderId="31" xfId="66" applyFont="1" applyFill="1" applyBorder="1" applyAlignment="1" applyProtection="1">
      <alignment horizontal="center" vertical="center"/>
      <protection locked="0"/>
    </xf>
    <xf numFmtId="0" fontId="28" fillId="0" borderId="32" xfId="66" applyFont="1" applyFill="1" applyBorder="1" applyAlignment="1" applyProtection="1">
      <alignment horizontal="center" vertical="center"/>
      <protection locked="0"/>
    </xf>
    <xf numFmtId="0" fontId="27" fillId="0" borderId="29" xfId="66" applyFont="1" applyFill="1" applyBorder="1" applyAlignment="1" applyProtection="1">
      <alignment horizontal="center" vertical="center" wrapText="1"/>
      <protection locked="0"/>
    </xf>
    <xf numFmtId="0" fontId="83" fillId="0" borderId="0" xfId="66" applyFont="1" applyFill="1" applyAlignment="1" applyProtection="1">
      <alignment horizontal="center" vertical="center"/>
      <protection hidden="1"/>
    </xf>
    <xf numFmtId="0" fontId="5" fillId="0" borderId="10" xfId="66" applyFont="1" applyFill="1" applyBorder="1" applyAlignment="1" applyProtection="1">
      <alignment horizontal="center" vertical="center"/>
      <protection locked="0"/>
    </xf>
    <xf numFmtId="0" fontId="5" fillId="0" borderId="10" xfId="66" applyFont="1" applyFill="1" applyBorder="1" applyAlignment="1" applyProtection="1">
      <alignment horizontal="center" vertical="center" wrapText="1"/>
      <protection locked="0"/>
    </xf>
    <xf numFmtId="0" fontId="5" fillId="0" borderId="33" xfId="66" applyFont="1" applyFill="1" applyBorder="1" applyAlignment="1" applyProtection="1">
      <alignment horizontal="center" vertical="center" textRotation="90" wrapText="1"/>
      <protection locked="0"/>
    </xf>
    <xf numFmtId="0" fontId="5" fillId="0" borderId="37" xfId="66" applyFont="1" applyFill="1" applyBorder="1" applyAlignment="1" applyProtection="1">
      <alignment horizontal="center" vertical="center" textRotation="90" wrapText="1"/>
      <protection locked="0"/>
    </xf>
    <xf numFmtId="0" fontId="39" fillId="0" borderId="34" xfId="66" applyFont="1" applyFill="1" applyBorder="1" applyAlignment="1" applyProtection="1">
      <alignment horizontal="center" vertical="center" wrapText="1"/>
      <protection locked="0"/>
    </xf>
    <xf numFmtId="0" fontId="39" fillId="0" borderId="35" xfId="66" applyFont="1" applyFill="1" applyBorder="1" applyAlignment="1" applyProtection="1">
      <alignment horizontal="center" vertical="center" wrapText="1"/>
      <protection locked="0"/>
    </xf>
    <xf numFmtId="0" fontId="39" fillId="0" borderId="36" xfId="66" applyFont="1" applyFill="1" applyBorder="1" applyAlignment="1" applyProtection="1">
      <alignment horizontal="center" vertical="center" wrapText="1"/>
      <protection locked="0"/>
    </xf>
    <xf numFmtId="0" fontId="39" fillId="0" borderId="33" xfId="66" applyFont="1" applyFill="1" applyBorder="1" applyAlignment="1" applyProtection="1">
      <alignment horizontal="center" vertical="center" wrapText="1"/>
      <protection locked="0"/>
    </xf>
    <xf numFmtId="0" fontId="39" fillId="0" borderId="31" xfId="66" applyFont="1" applyFill="1" applyBorder="1" applyAlignment="1" applyProtection="1">
      <alignment horizontal="center" vertical="center" wrapText="1"/>
      <protection locked="0"/>
    </xf>
    <xf numFmtId="0" fontId="5" fillId="34" borderId="33" xfId="66" applyFont="1" applyFill="1" applyBorder="1" applyAlignment="1" applyProtection="1">
      <alignment horizontal="center" vertical="center" textRotation="90" wrapText="1"/>
      <protection locked="0"/>
    </xf>
    <xf numFmtId="0" fontId="5" fillId="34" borderId="37" xfId="66" applyFont="1" applyFill="1" applyBorder="1" applyAlignment="1" applyProtection="1">
      <alignment horizontal="center" vertical="center" textRotation="90" wrapText="1"/>
      <protection locked="0"/>
    </xf>
    <xf numFmtId="0" fontId="5" fillId="34" borderId="34" xfId="66" applyFont="1" applyFill="1" applyBorder="1" applyAlignment="1" applyProtection="1">
      <alignment horizontal="center" vertical="center" textRotation="90" wrapText="1"/>
      <protection locked="0"/>
    </xf>
    <xf numFmtId="0" fontId="5" fillId="34" borderId="47" xfId="66" applyFont="1" applyFill="1" applyBorder="1" applyAlignment="1" applyProtection="1">
      <alignment horizontal="center" vertical="center" textRotation="90" wrapText="1"/>
      <protection locked="0"/>
    </xf>
    <xf numFmtId="0" fontId="5" fillId="34" borderId="10" xfId="66" applyFont="1" applyFill="1" applyBorder="1" applyAlignment="1" applyProtection="1">
      <alignment horizontal="center" vertical="center" wrapText="1"/>
      <protection locked="0"/>
    </xf>
    <xf numFmtId="0" fontId="5" fillId="0" borderId="29" xfId="66" applyFont="1" applyFill="1" applyBorder="1" applyAlignment="1" applyProtection="1">
      <alignment horizontal="center" vertical="center" wrapText="1"/>
      <protection locked="0"/>
    </xf>
    <xf numFmtId="0" fontId="5" fillId="0" borderId="38" xfId="66" applyFont="1" applyFill="1" applyBorder="1" applyAlignment="1" applyProtection="1">
      <alignment horizontal="center" vertical="center" textRotation="90" wrapText="1"/>
      <protection locked="0"/>
    </xf>
    <xf numFmtId="0" fontId="39" fillId="0" borderId="29" xfId="66" applyFont="1" applyFill="1" applyBorder="1" applyAlignment="1" applyProtection="1">
      <alignment horizontal="center" vertical="center" wrapText="1"/>
      <protection locked="0"/>
    </xf>
    <xf numFmtId="0" fontId="142" fillId="0" borderId="25" xfId="64" applyFont="1" applyBorder="1" applyAlignment="1" applyProtection="1">
      <alignment horizontal="center" vertical="center"/>
      <protection hidden="1"/>
    </xf>
    <xf numFmtId="0" fontId="5" fillId="0" borderId="0" xfId="66" applyFont="1" applyFill="1" applyAlignment="1" applyProtection="1">
      <alignment horizontal="left" vertical="center"/>
      <protection locked="0"/>
    </xf>
    <xf numFmtId="0" fontId="83" fillId="0" borderId="0" xfId="66" applyFont="1" applyFill="1" applyAlignment="1" applyProtection="1">
      <alignment horizontal="right" vertical="center"/>
      <protection locked="0"/>
    </xf>
    <xf numFmtId="0" fontId="52" fillId="0" borderId="0" xfId="66" applyFont="1" applyFill="1" applyAlignment="1" applyProtection="1">
      <alignment horizontal="center" vertical="center"/>
      <protection locked="0"/>
    </xf>
    <xf numFmtId="49" fontId="99" fillId="24" borderId="11" xfId="1" applyNumberFormat="1" applyFont="1" applyFill="1" applyBorder="1" applyAlignment="1" applyProtection="1">
      <alignment horizontal="center" vertical="center" shrinkToFit="1"/>
      <protection locked="0"/>
    </xf>
    <xf numFmtId="49" fontId="99" fillId="24" borderId="13" xfId="1" applyNumberFormat="1" applyFont="1" applyFill="1" applyBorder="1" applyAlignment="1" applyProtection="1">
      <alignment horizontal="center" vertical="center" shrinkToFit="1"/>
      <protection locked="0"/>
    </xf>
    <xf numFmtId="49" fontId="99" fillId="24" borderId="12" xfId="1" applyNumberFormat="1" applyFont="1" applyFill="1" applyBorder="1" applyAlignment="1" applyProtection="1">
      <alignment horizontal="center" vertical="center" shrinkToFit="1"/>
      <protection locked="0"/>
    </xf>
    <xf numFmtId="0" fontId="28" fillId="32" borderId="10" xfId="1" applyFont="1" applyFill="1" applyBorder="1" applyAlignment="1" applyProtection="1">
      <alignment horizontal="center"/>
      <protection hidden="1"/>
    </xf>
    <xf numFmtId="0" fontId="28" fillId="0" borderId="0" xfId="1" applyFont="1" applyBorder="1" applyAlignment="1" applyProtection="1">
      <alignment horizontal="center"/>
      <protection locked="0"/>
    </xf>
    <xf numFmtId="0" fontId="27" fillId="37" borderId="10" xfId="1" applyFont="1" applyFill="1" applyBorder="1" applyAlignment="1" applyProtection="1">
      <alignment horizontal="center"/>
      <protection hidden="1"/>
    </xf>
    <xf numFmtId="0" fontId="27" fillId="38" borderId="10" xfId="1" applyFont="1" applyFill="1" applyBorder="1" applyAlignment="1" applyProtection="1">
      <alignment horizontal="center"/>
      <protection hidden="1"/>
    </xf>
    <xf numFmtId="0" fontId="27" fillId="38" borderId="10" xfId="1" applyFont="1" applyFill="1" applyBorder="1" applyProtection="1">
      <protection locked="0"/>
    </xf>
    <xf numFmtId="0" fontId="28" fillId="38" borderId="10" xfId="1" applyFont="1" applyFill="1" applyBorder="1" applyAlignment="1" applyProtection="1">
      <alignment horizontal="center"/>
      <protection hidden="1"/>
    </xf>
    <xf numFmtId="0" fontId="27" fillId="37" borderId="10" xfId="1" applyFont="1" applyFill="1" applyBorder="1" applyProtection="1">
      <protection locked="0"/>
    </xf>
    <xf numFmtId="0" fontId="28" fillId="37" borderId="10" xfId="1" applyFont="1" applyFill="1" applyBorder="1" applyAlignment="1" applyProtection="1">
      <alignment horizontal="center"/>
      <protection hidden="1"/>
    </xf>
    <xf numFmtId="0" fontId="102" fillId="38" borderId="10" xfId="1" applyFont="1" applyFill="1" applyBorder="1" applyProtection="1">
      <protection locked="0"/>
    </xf>
    <xf numFmtId="0" fontId="145" fillId="38" borderId="10" xfId="1" applyFont="1" applyFill="1" applyBorder="1" applyAlignment="1" applyProtection="1">
      <alignment horizontal="center"/>
      <protection hidden="1"/>
    </xf>
    <xf numFmtId="0" fontId="102" fillId="37" borderId="10" xfId="1" applyFont="1" applyFill="1" applyBorder="1" applyProtection="1">
      <protection locked="0"/>
    </xf>
    <xf numFmtId="0" fontId="145" fillId="37" borderId="10" xfId="1" applyFont="1" applyFill="1" applyBorder="1" applyAlignment="1" applyProtection="1">
      <alignment horizontal="center"/>
      <protection hidden="1"/>
    </xf>
    <xf numFmtId="0" fontId="27" fillId="31" borderId="10" xfId="1" applyFont="1" applyFill="1" applyBorder="1" applyProtection="1">
      <protection locked="0"/>
    </xf>
    <xf numFmtId="0" fontId="27" fillId="31" borderId="10" xfId="1" applyFont="1" applyFill="1" applyBorder="1" applyAlignment="1" applyProtection="1">
      <alignment horizontal="center"/>
      <protection hidden="1"/>
    </xf>
    <xf numFmtId="0" fontId="28" fillId="31" borderId="10" xfId="1" applyFont="1" applyFill="1" applyBorder="1" applyAlignment="1" applyProtection="1">
      <alignment horizontal="center"/>
      <protection hidden="1"/>
    </xf>
    <xf numFmtId="0" fontId="102" fillId="31" borderId="10" xfId="1" applyFont="1" applyFill="1" applyBorder="1" applyProtection="1">
      <protection locked="0"/>
    </xf>
    <xf numFmtId="0" fontId="145" fillId="31" borderId="10" xfId="1" applyFont="1" applyFill="1" applyBorder="1" applyAlignment="1" applyProtection="1">
      <alignment horizontal="center"/>
      <protection hidden="1"/>
    </xf>
    <xf numFmtId="0" fontId="28" fillId="0" borderId="0" xfId="1" applyFont="1" applyBorder="1" applyAlignment="1" applyProtection="1">
      <alignment horizontal="center" shrinkToFit="1"/>
      <protection locked="0"/>
    </xf>
    <xf numFmtId="0" fontId="145" fillId="0" borderId="0" xfId="1" applyFont="1" applyAlignment="1" applyProtection="1">
      <alignment horizontal="center" shrinkToFit="1"/>
      <protection hidden="1"/>
    </xf>
    <xf numFmtId="0" fontId="145" fillId="0" borderId="0" xfId="64" applyFont="1" applyAlignment="1" applyProtection="1">
      <alignment horizontal="center" shrinkToFit="1"/>
      <protection hidden="1"/>
    </xf>
    <xf numFmtId="0" fontId="160" fillId="0" borderId="0" xfId="63" applyFont="1" applyFill="1" applyAlignment="1" applyProtection="1">
      <alignment horizontal="center"/>
      <protection hidden="1"/>
    </xf>
    <xf numFmtId="0" fontId="147" fillId="0" borderId="0" xfId="65" applyFont="1" applyFill="1" applyAlignment="1" applyProtection="1">
      <alignment horizontal="center"/>
      <protection hidden="1"/>
    </xf>
    <xf numFmtId="0" fontId="145" fillId="0" borderId="0" xfId="1" applyFont="1" applyProtection="1">
      <protection hidden="1"/>
    </xf>
    <xf numFmtId="0" fontId="161" fillId="0" borderId="22" xfId="1" applyNumberFormat="1" applyFont="1" applyFill="1" applyBorder="1" applyAlignment="1" applyProtection="1">
      <alignment horizontal="left" vertical="center" shrinkToFit="1"/>
      <protection hidden="1"/>
    </xf>
    <xf numFmtId="49" fontId="161" fillId="0" borderId="23" xfId="1" applyNumberFormat="1" applyFont="1" applyFill="1" applyBorder="1" applyAlignment="1" applyProtection="1">
      <alignment horizontal="left" vertical="center" shrinkToFit="1"/>
      <protection hidden="1"/>
    </xf>
    <xf numFmtId="0" fontId="161" fillId="0" borderId="23" xfId="1" applyFont="1" applyFill="1" applyBorder="1" applyAlignment="1" applyProtection="1">
      <alignment horizontal="left" shrinkToFit="1"/>
      <protection hidden="1"/>
    </xf>
    <xf numFmtId="49" fontId="161" fillId="0" borderId="43" xfId="1" applyNumberFormat="1" applyFont="1" applyFill="1" applyBorder="1" applyAlignment="1" applyProtection="1">
      <alignment horizontal="left" vertical="center" shrinkToFit="1"/>
      <protection hidden="1"/>
    </xf>
    <xf numFmtId="0" fontId="31" fillId="38" borderId="10" xfId="1" applyFont="1" applyFill="1" applyBorder="1" applyProtection="1">
      <protection locked="0"/>
    </xf>
    <xf numFmtId="0" fontId="31" fillId="38" borderId="10" xfId="1" applyFont="1" applyFill="1" applyBorder="1" applyAlignment="1" applyProtection="1">
      <alignment horizontal="center"/>
      <protection hidden="1"/>
    </xf>
    <xf numFmtId="0" fontId="32" fillId="38" borderId="10" xfId="1" applyFont="1" applyFill="1" applyBorder="1" applyAlignment="1" applyProtection="1">
      <alignment horizontal="center"/>
      <protection hidden="1"/>
    </xf>
    <xf numFmtId="0" fontId="145" fillId="38" borderId="10" xfId="1" applyFont="1" applyFill="1" applyBorder="1" applyProtection="1">
      <protection locked="0"/>
    </xf>
    <xf numFmtId="0" fontId="32" fillId="0" borderId="0" xfId="1" applyFont="1" applyBorder="1" applyAlignment="1" applyProtection="1">
      <alignment horizontal="center"/>
      <protection locked="0"/>
    </xf>
    <xf numFmtId="0" fontId="32" fillId="32" borderId="10" xfId="1" applyFont="1" applyFill="1" applyBorder="1" applyAlignment="1" applyProtection="1">
      <alignment horizontal="center"/>
      <protection hidden="1"/>
    </xf>
    <xf numFmtId="0" fontId="31" fillId="31" borderId="10" xfId="1" applyFont="1" applyFill="1" applyBorder="1" applyProtection="1">
      <protection locked="0"/>
    </xf>
    <xf numFmtId="0" fontId="145" fillId="31" borderId="10" xfId="1" applyFont="1" applyFill="1" applyBorder="1" applyProtection="1">
      <protection locked="0"/>
    </xf>
    <xf numFmtId="0" fontId="32" fillId="0" borderId="0" xfId="1" applyFont="1" applyBorder="1" applyAlignment="1" applyProtection="1">
      <alignment horizontal="center"/>
      <protection locked="0"/>
    </xf>
    <xf numFmtId="10" fontId="31" fillId="0" borderId="10" xfId="1" applyNumberFormat="1" applyFont="1" applyBorder="1" applyAlignment="1" applyProtection="1">
      <alignment horizontal="center" vertical="center"/>
      <protection locked="0"/>
    </xf>
    <xf numFmtId="10" fontId="31" fillId="0" borderId="10" xfId="1" applyNumberFormat="1" applyFont="1" applyBorder="1" applyProtection="1">
      <protection locked="0"/>
    </xf>
    <xf numFmtId="0" fontId="162" fillId="0" borderId="22" xfId="1" applyNumberFormat="1" applyFont="1" applyFill="1" applyBorder="1" applyAlignment="1" applyProtection="1">
      <alignment horizontal="left" vertical="center" shrinkToFit="1"/>
      <protection hidden="1"/>
    </xf>
    <xf numFmtId="49" fontId="162" fillId="0" borderId="23" xfId="1" applyNumberFormat="1" applyFont="1" applyFill="1" applyBorder="1" applyAlignment="1" applyProtection="1">
      <alignment horizontal="left" vertical="center" shrinkToFit="1"/>
      <protection hidden="1"/>
    </xf>
    <xf numFmtId="49" fontId="162" fillId="0" borderId="43" xfId="1" applyNumberFormat="1" applyFont="1" applyFill="1" applyBorder="1" applyAlignment="1" applyProtection="1">
      <alignment horizontal="left" vertical="center" shrinkToFit="1"/>
      <protection hidden="1"/>
    </xf>
    <xf numFmtId="166" fontId="27" fillId="0" borderId="0" xfId="1" applyNumberFormat="1" applyFont="1" applyBorder="1" applyAlignment="1" applyProtection="1">
      <alignment horizontal="right"/>
      <protection locked="0"/>
    </xf>
    <xf numFmtId="0" fontId="27" fillId="0" borderId="0" xfId="1" applyFont="1" applyBorder="1" applyAlignment="1" applyProtection="1">
      <alignment horizontal="center" vertical="center"/>
      <protection locked="0"/>
    </xf>
    <xf numFmtId="10" fontId="27" fillId="0" borderId="10" xfId="1" applyNumberFormat="1" applyFont="1" applyBorder="1" applyProtection="1">
      <protection locked="0"/>
    </xf>
    <xf numFmtId="2" fontId="27" fillId="0" borderId="10" xfId="53" applyNumberFormat="1" applyFont="1" applyFill="1" applyBorder="1" applyAlignment="1" applyProtection="1">
      <alignment horizontal="center" vertical="center"/>
      <protection hidden="1"/>
    </xf>
    <xf numFmtId="0" fontId="162" fillId="0" borderId="24" xfId="0" applyNumberFormat="1" applyFont="1" applyFill="1" applyBorder="1" applyAlignment="1" applyProtection="1">
      <alignment horizontal="left" vertical="center" shrinkToFit="1"/>
      <protection hidden="1"/>
    </xf>
    <xf numFmtId="0" fontId="145" fillId="0" borderId="0" xfId="1" applyNumberFormat="1" applyFont="1" applyAlignment="1" applyProtection="1">
      <alignment horizontal="center"/>
      <protection hidden="1"/>
    </xf>
    <xf numFmtId="0" fontId="165" fillId="32" borderId="0" xfId="0" applyFont="1" applyFill="1" applyProtection="1">
      <protection hidden="1"/>
    </xf>
    <xf numFmtId="0" fontId="164" fillId="32" borderId="0" xfId="0" applyNumberFormat="1" applyFont="1" applyFill="1" applyProtection="1">
      <protection locked="0"/>
    </xf>
    <xf numFmtId="0" fontId="31" fillId="32" borderId="0" xfId="0" applyFont="1" applyFill="1" applyProtection="1">
      <protection locked="0"/>
    </xf>
  </cellXfs>
  <cellStyles count="67">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10" xfId="38"/>
    <cellStyle name="Normal 11" xfId="39"/>
    <cellStyle name="Normal 12" xfId="40"/>
    <cellStyle name="Normal 13" xfId="1"/>
    <cellStyle name="Normal 15" xfId="41"/>
    <cellStyle name="Normal 17" xfId="42"/>
    <cellStyle name="Normal 2" xfId="43"/>
    <cellStyle name="Normal 2 2" xfId="44"/>
    <cellStyle name="Normal 2 3" xfId="45"/>
    <cellStyle name="Normal 2_Mau 2_MAMNON_QUANLY" xfId="46"/>
    <cellStyle name="Normal 20" xfId="47"/>
    <cellStyle name="Normal 22" xfId="48"/>
    <cellStyle name="Normal 3" xfId="49"/>
    <cellStyle name="Normal 3 2" xfId="50"/>
    <cellStyle name="Normal 4" xfId="51"/>
    <cellStyle name="Normal 4_Mau 2_TIEUHOC_QUANLY" xfId="62"/>
    <cellStyle name="Normal 5" xfId="52"/>
    <cellStyle name="Normal 6" xfId="53"/>
    <cellStyle name="Normal 7" xfId="54"/>
    <cellStyle name="Normal 8" xfId="55"/>
    <cellStyle name="Normal 9" xfId="56"/>
    <cellStyle name="Normal_Mau 2_MAMNON_QUANLY" xfId="63"/>
    <cellStyle name="Normal_Mau 2_THCS_QUANLY" xfId="66"/>
    <cellStyle name="Normal_Mau 2_TIEUHOC_QUANLY" xfId="65"/>
    <cellStyle name="Normal_Mau so lieu" xfId="64"/>
    <cellStyle name="Note 2" xfId="57"/>
    <cellStyle name="Output 2" xfId="58"/>
    <cellStyle name="Title 2" xfId="59"/>
    <cellStyle name="Total 2" xfId="60"/>
    <cellStyle name="Warning Text 2" xfId="61"/>
  </cellStyles>
  <dxfs count="143">
    <dxf>
      <font>
        <color rgb="FF9C0006"/>
      </font>
      <fill>
        <patternFill>
          <bgColor rgb="FFFFC7CE"/>
        </patternFill>
      </fill>
    </dxf>
    <dxf>
      <font>
        <b/>
        <i/>
        <condense val="0"/>
        <extend val="0"/>
        <color indexed="8"/>
      </font>
      <fill>
        <patternFill>
          <bgColor indexed="13"/>
        </patternFill>
      </fill>
    </dxf>
    <dxf>
      <font>
        <b/>
        <i/>
        <condense val="0"/>
        <extend val="0"/>
        <color indexed="12"/>
      </font>
    </dxf>
    <dxf>
      <font>
        <b/>
        <i/>
        <condense val="0"/>
        <extend val="0"/>
        <color indexed="10"/>
      </font>
    </dxf>
    <dxf>
      <fill>
        <patternFill>
          <bgColor indexed="27"/>
        </patternFill>
      </fill>
    </dxf>
    <dxf>
      <font>
        <condense val="0"/>
        <extend val="0"/>
        <color indexed="9"/>
      </font>
    </dxf>
    <dxf>
      <font>
        <b/>
        <i/>
        <condense val="0"/>
        <extend val="0"/>
        <color indexed="10"/>
      </font>
    </dxf>
    <dxf>
      <font>
        <b/>
        <i/>
        <condense val="0"/>
        <extend val="0"/>
      </font>
      <fill>
        <patternFill>
          <bgColor indexed="13"/>
        </patternFill>
      </fill>
    </dxf>
    <dxf>
      <font>
        <b/>
        <i/>
        <condense val="0"/>
        <extend val="0"/>
        <color indexed="10"/>
      </font>
    </dxf>
    <dxf>
      <font>
        <b/>
        <i/>
        <condense val="0"/>
        <extend val="0"/>
        <color indexed="8"/>
      </font>
      <fill>
        <patternFill>
          <bgColor indexed="13"/>
        </patternFill>
      </fill>
    </dxf>
    <dxf>
      <font>
        <b/>
        <i/>
        <condense val="0"/>
        <extend val="0"/>
        <color indexed="12"/>
      </font>
      <fill>
        <patternFill patternType="none">
          <bgColor indexed="65"/>
        </patternFill>
      </fill>
    </dxf>
    <dxf>
      <font>
        <b/>
        <i/>
        <condense val="0"/>
        <extend val="0"/>
        <color indexed="12"/>
      </font>
      <fill>
        <patternFill patternType="none">
          <bgColor indexed="65"/>
        </patternFill>
      </fill>
    </dxf>
    <dxf>
      <font>
        <color indexed="22"/>
      </font>
      <fill>
        <patternFill>
          <bgColor indexed="43"/>
        </patternFill>
      </fill>
    </dxf>
    <dxf>
      <font>
        <b/>
        <i/>
        <condense val="0"/>
        <extend val="0"/>
        <color indexed="8"/>
      </font>
      <fill>
        <patternFill>
          <bgColor indexed="13"/>
        </patternFill>
      </fill>
    </dxf>
    <dxf>
      <font>
        <b/>
        <i/>
        <condense val="0"/>
        <extend val="0"/>
        <color indexed="10"/>
      </font>
    </dxf>
    <dxf>
      <font>
        <color indexed="22"/>
      </font>
      <fill>
        <patternFill>
          <bgColor indexed="43"/>
        </patternFill>
      </fill>
    </dxf>
    <dxf>
      <font>
        <color indexed="22"/>
      </font>
      <fill>
        <patternFill>
          <bgColor indexed="43"/>
        </patternFill>
      </fill>
    </dxf>
    <dxf>
      <fill>
        <patternFill>
          <bgColor rgb="FFFFCC66"/>
        </patternFill>
      </fill>
    </dxf>
    <dxf>
      <font>
        <b/>
        <i/>
        <condense val="0"/>
        <extend val="0"/>
        <color indexed="10"/>
      </font>
    </dxf>
    <dxf>
      <font>
        <b/>
        <i/>
        <condense val="0"/>
        <extend val="0"/>
      </font>
      <fill>
        <patternFill>
          <bgColor indexed="13"/>
        </patternFill>
      </fill>
    </dxf>
    <dxf>
      <font>
        <color indexed="22"/>
      </font>
      <fill>
        <patternFill>
          <bgColor indexed="43"/>
        </patternFill>
      </fill>
    </dxf>
    <dxf>
      <font>
        <condense val="0"/>
        <extend val="0"/>
        <color auto="1"/>
      </font>
      <fill>
        <patternFill>
          <bgColor indexed="27"/>
        </patternFill>
      </fill>
    </dxf>
    <dxf>
      <font>
        <color indexed="22"/>
      </font>
    </dxf>
    <dxf>
      <fill>
        <patternFill>
          <bgColor rgb="FFFFFFCC"/>
        </patternFill>
      </fill>
    </dxf>
    <dxf>
      <font>
        <color theme="0"/>
      </font>
      <fill>
        <patternFill patternType="none">
          <bgColor indexed="6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val="0"/>
        <i/>
        <color rgb="FFFF0000"/>
      </font>
    </dxf>
    <dxf>
      <font>
        <b val="0"/>
        <i/>
        <color rgb="FF0000CC"/>
      </font>
      <fill>
        <patternFill patternType="none">
          <bgColor indexed="65"/>
        </patternFill>
      </fill>
    </dxf>
    <dxf>
      <font>
        <b/>
        <i val="0"/>
        <color auto="1"/>
      </font>
      <fill>
        <patternFill>
          <bgColor rgb="FFFFFF00"/>
        </patternFill>
      </fill>
    </dxf>
    <dxf>
      <fill>
        <patternFill>
          <bgColor rgb="FFFFFFCC"/>
        </patternFill>
      </fill>
    </dxf>
    <dxf>
      <font>
        <color theme="0"/>
      </font>
      <fill>
        <patternFill patternType="none">
          <bgColor indexed="65"/>
        </patternFill>
      </fill>
    </dxf>
    <dxf>
      <font>
        <color theme="0"/>
      </font>
      <fill>
        <patternFill patternType="none">
          <bgColor indexed="65"/>
        </patternFill>
      </fill>
    </dxf>
    <dxf>
      <font>
        <color rgb="FF0000CC"/>
      </font>
    </dxf>
    <dxf>
      <font>
        <color rgb="FFFF0000"/>
      </font>
    </dxf>
    <dxf>
      <font>
        <color rgb="FF9C0006"/>
      </font>
      <fill>
        <patternFill>
          <bgColor rgb="FFFFC7CE"/>
        </patternFill>
      </fill>
    </dxf>
    <dxf>
      <font>
        <b/>
        <i/>
        <condense val="0"/>
        <extend val="0"/>
        <color indexed="8"/>
      </font>
      <fill>
        <patternFill>
          <bgColor indexed="13"/>
        </patternFill>
      </fill>
    </dxf>
    <dxf>
      <font>
        <b/>
        <i/>
        <condense val="0"/>
        <extend val="0"/>
        <color indexed="12"/>
      </font>
    </dxf>
    <dxf>
      <font>
        <b/>
        <i/>
        <condense val="0"/>
        <extend val="0"/>
        <color indexed="10"/>
      </font>
    </dxf>
    <dxf>
      <fill>
        <patternFill>
          <bgColor indexed="27"/>
        </patternFill>
      </fill>
    </dxf>
    <dxf>
      <font>
        <condense val="0"/>
        <extend val="0"/>
        <color indexed="9"/>
      </font>
    </dxf>
    <dxf>
      <font>
        <color rgb="FF9C0006"/>
      </font>
      <fill>
        <patternFill>
          <bgColor rgb="FFFFC7CE"/>
        </patternFill>
      </fill>
    </dxf>
    <dxf>
      <font>
        <b/>
        <i/>
        <condense val="0"/>
        <extend val="0"/>
        <color indexed="8"/>
      </font>
      <fill>
        <patternFill>
          <bgColor indexed="13"/>
        </patternFill>
      </fill>
    </dxf>
    <dxf>
      <font>
        <b/>
        <i/>
        <condense val="0"/>
        <extend val="0"/>
        <color indexed="12"/>
      </font>
    </dxf>
    <dxf>
      <font>
        <b/>
        <i/>
        <condense val="0"/>
        <extend val="0"/>
        <color indexed="10"/>
      </font>
    </dxf>
    <dxf>
      <fill>
        <patternFill>
          <bgColor indexed="27"/>
        </patternFill>
      </fill>
    </dxf>
    <dxf>
      <font>
        <condense val="0"/>
        <extend val="0"/>
        <color indexed="9"/>
      </font>
    </dxf>
    <dxf>
      <font>
        <b/>
        <i/>
        <condense val="0"/>
        <extend val="0"/>
        <color indexed="8"/>
      </font>
      <fill>
        <patternFill>
          <bgColor indexed="13"/>
        </patternFill>
      </fill>
    </dxf>
    <dxf>
      <font>
        <b/>
        <i/>
        <condense val="0"/>
        <extend val="0"/>
        <color indexed="10"/>
      </font>
    </dxf>
    <dxf>
      <font>
        <condense val="0"/>
        <extend val="0"/>
        <color indexed="9"/>
      </font>
    </dxf>
    <dxf>
      <font>
        <b/>
        <i/>
        <condense val="0"/>
        <extend val="0"/>
        <color indexed="10"/>
      </font>
    </dxf>
    <dxf>
      <font>
        <b/>
        <i/>
        <condense val="0"/>
        <extend val="0"/>
        <color indexed="12"/>
      </font>
      <fill>
        <patternFill patternType="none">
          <bgColor indexed="65"/>
        </patternFill>
      </fill>
    </dxf>
    <dxf>
      <font>
        <condense val="0"/>
        <extend val="0"/>
        <color indexed="9"/>
      </font>
    </dxf>
    <dxf>
      <font>
        <b/>
        <i/>
        <condense val="0"/>
        <extend val="0"/>
        <color indexed="8"/>
      </font>
      <fill>
        <patternFill>
          <bgColor indexed="13"/>
        </patternFill>
      </fill>
    </dxf>
    <dxf>
      <font>
        <b/>
        <i/>
        <condense val="0"/>
        <extend val="0"/>
        <color indexed="10"/>
      </font>
    </dxf>
    <dxf>
      <fill>
        <patternFill>
          <bgColor rgb="FFFFC000"/>
        </patternFill>
      </fill>
    </dxf>
    <dxf>
      <fill>
        <patternFill>
          <bgColor rgb="FFFFC000"/>
        </patternFill>
      </fill>
    </dxf>
    <dxf>
      <font>
        <color indexed="22"/>
      </font>
      <fill>
        <patternFill>
          <bgColor indexed="43"/>
        </patternFill>
      </fill>
    </dxf>
    <dxf>
      <font>
        <b/>
        <i/>
        <condense val="0"/>
        <extend val="0"/>
        <color indexed="10"/>
      </font>
    </dxf>
    <dxf>
      <font>
        <b/>
        <i/>
        <condense val="0"/>
        <extend val="0"/>
      </font>
      <fill>
        <patternFill>
          <bgColor indexed="13"/>
        </patternFill>
      </fill>
    </dxf>
    <dxf>
      <font>
        <color indexed="22"/>
      </font>
      <fill>
        <patternFill>
          <bgColor indexed="43"/>
        </patternFill>
      </fill>
    </dxf>
    <dxf>
      <fill>
        <patternFill>
          <bgColor rgb="FFFFCC66"/>
        </patternFill>
      </fill>
    </dxf>
    <dxf>
      <font>
        <condense val="0"/>
        <extend val="0"/>
        <color auto="1"/>
      </font>
      <fill>
        <patternFill>
          <bgColor indexed="27"/>
        </patternFill>
      </fill>
    </dxf>
    <dxf>
      <font>
        <color indexed="22"/>
      </font>
    </dxf>
    <dxf>
      <font>
        <b val="0"/>
        <i/>
        <color rgb="FFFF0000"/>
      </font>
    </dxf>
    <dxf>
      <font>
        <b val="0"/>
        <i/>
        <color rgb="FF0000CC"/>
      </font>
      <fill>
        <patternFill patternType="none">
          <bgColor indexed="65"/>
        </patternFill>
      </fill>
    </dxf>
    <dxf>
      <font>
        <b/>
        <i val="0"/>
        <color auto="1"/>
      </font>
      <fill>
        <patternFill>
          <bgColor rgb="FFFFFF00"/>
        </patternFill>
      </fill>
    </dxf>
    <dxf>
      <fill>
        <patternFill>
          <bgColor rgb="FFFFFFCC"/>
        </patternFill>
      </fill>
    </dxf>
    <dxf>
      <font>
        <color theme="0"/>
      </font>
      <fill>
        <patternFill patternType="none">
          <bgColor indexed="65"/>
        </patternFill>
      </fill>
    </dxf>
    <dxf>
      <font>
        <color theme="0"/>
      </font>
      <fill>
        <patternFill patternType="none">
          <bgColor indexed="65"/>
        </patternFill>
      </fill>
    </dxf>
    <dxf>
      <font>
        <color rgb="FFFF0000"/>
      </font>
    </dxf>
    <dxf>
      <font>
        <color rgb="FF0000CC"/>
      </font>
    </dxf>
    <dxf>
      <font>
        <color rgb="FF0000CC"/>
      </font>
      <fill>
        <patternFill patternType="none">
          <bgColor auto="1"/>
        </patternFill>
      </fill>
    </dxf>
    <dxf>
      <font>
        <color rgb="FFFF0000"/>
      </font>
    </dxf>
    <dxf>
      <font>
        <color rgb="FF9C0006"/>
      </font>
      <fill>
        <patternFill>
          <bgColor rgb="FFFFC7CE"/>
        </patternFill>
      </fill>
    </dxf>
    <dxf>
      <font>
        <b/>
        <i/>
        <condense val="0"/>
        <extend val="0"/>
        <color indexed="8"/>
      </font>
      <fill>
        <patternFill>
          <bgColor indexed="13"/>
        </patternFill>
      </fill>
    </dxf>
    <dxf>
      <font>
        <b/>
        <i/>
        <condense val="0"/>
        <extend val="0"/>
        <color indexed="12"/>
      </font>
    </dxf>
    <dxf>
      <font>
        <b/>
        <i/>
        <condense val="0"/>
        <extend val="0"/>
        <color indexed="10"/>
      </font>
    </dxf>
    <dxf>
      <fill>
        <patternFill>
          <bgColor indexed="27"/>
        </patternFill>
      </fill>
    </dxf>
    <dxf>
      <font>
        <condense val="0"/>
        <extend val="0"/>
        <color indexed="9"/>
      </font>
    </dxf>
    <dxf>
      <font>
        <color theme="0"/>
      </font>
    </dxf>
    <dxf>
      <font>
        <b/>
        <i/>
        <condense val="0"/>
        <extend val="0"/>
        <color indexed="8"/>
      </font>
      <fill>
        <patternFill>
          <bgColor indexed="13"/>
        </patternFill>
      </fill>
    </dxf>
    <dxf>
      <font>
        <b/>
        <i/>
        <condense val="0"/>
        <extend val="0"/>
        <color indexed="10"/>
      </font>
    </dxf>
    <dxf>
      <fill>
        <patternFill>
          <bgColor indexed="47"/>
        </patternFill>
      </fill>
    </dxf>
    <dxf>
      <font>
        <condense val="0"/>
        <extend val="0"/>
        <color indexed="9"/>
      </font>
    </dxf>
    <dxf>
      <fill>
        <patternFill>
          <bgColor rgb="FFFFFF99"/>
        </patternFill>
      </fill>
    </dxf>
    <dxf>
      <font>
        <color theme="0"/>
      </font>
      <fill>
        <patternFill patternType="none">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FF99"/>
        </patternFill>
      </fill>
    </dxf>
    <dxf>
      <fill>
        <patternFill>
          <bgColor theme="9" tint="0.79998168889431442"/>
        </patternFill>
      </fill>
    </dxf>
    <dxf>
      <font>
        <color theme="0"/>
      </font>
      <fill>
        <patternFill patternType="none">
          <bgColor indexed="65"/>
        </patternFill>
      </fill>
    </dxf>
    <dxf>
      <font>
        <b/>
        <i/>
        <condense val="0"/>
        <extend val="0"/>
        <color indexed="10"/>
      </font>
    </dxf>
    <dxf>
      <font>
        <b/>
        <i/>
        <condense val="0"/>
        <extend val="0"/>
        <color indexed="8"/>
      </font>
      <fill>
        <patternFill>
          <bgColor indexed="13"/>
        </patternFill>
      </fill>
    </dxf>
    <dxf>
      <font>
        <b/>
        <i/>
        <condense val="0"/>
        <extend val="0"/>
        <color indexed="10"/>
      </font>
    </dxf>
    <dxf>
      <font>
        <condense val="0"/>
        <extend val="0"/>
        <color indexed="9"/>
      </font>
    </dxf>
    <dxf>
      <fill>
        <patternFill>
          <bgColor rgb="FFFFC000"/>
        </patternFill>
      </fill>
    </dxf>
    <dxf>
      <font>
        <b/>
        <i/>
        <color rgb="FFFF0000"/>
      </font>
    </dxf>
    <dxf>
      <font>
        <b/>
        <i val="0"/>
        <color rgb="FF000099"/>
      </font>
    </dxf>
    <dxf>
      <fill>
        <patternFill>
          <bgColor theme="9" tint="0.39994506668294322"/>
        </patternFill>
      </fill>
    </dxf>
    <dxf>
      <font>
        <b/>
        <i/>
        <condense val="0"/>
        <extend val="0"/>
        <color indexed="16"/>
      </font>
    </dxf>
    <dxf>
      <fill>
        <patternFill>
          <bgColor indexed="13"/>
        </patternFill>
      </fill>
    </dxf>
    <dxf>
      <fill>
        <patternFill>
          <bgColor theme="9" tint="0.39994506668294322"/>
        </patternFill>
      </fill>
    </dxf>
    <dxf>
      <fill>
        <patternFill>
          <bgColor theme="9" tint="0.59996337778862885"/>
        </patternFill>
      </fill>
    </dxf>
    <dxf>
      <font>
        <condense val="0"/>
        <extend val="0"/>
        <color rgb="FF006100"/>
      </font>
      <fill>
        <patternFill>
          <bgColor rgb="FFC6EFCE"/>
        </patternFill>
      </fill>
    </dxf>
    <dxf>
      <font>
        <condense val="0"/>
        <extend val="0"/>
        <color rgb="FF006100"/>
      </font>
      <fill>
        <patternFill>
          <bgColor rgb="FFC6EFCE"/>
        </patternFill>
      </fill>
    </dxf>
    <dxf>
      <font>
        <b/>
        <i/>
        <condense val="0"/>
        <extend val="0"/>
        <color indexed="8"/>
      </font>
      <fill>
        <patternFill>
          <bgColor indexed="13"/>
        </patternFill>
      </fill>
    </dxf>
    <dxf>
      <font>
        <b/>
        <i/>
        <condense val="0"/>
        <extend val="0"/>
        <color indexed="10"/>
      </font>
    </dxf>
    <dxf>
      <font>
        <condense val="0"/>
        <extend val="0"/>
        <color indexed="9"/>
      </font>
    </dxf>
    <dxf>
      <font>
        <color indexed="22"/>
      </font>
      <fill>
        <patternFill>
          <bgColor indexed="43"/>
        </patternFill>
      </fill>
    </dxf>
    <dxf>
      <fill>
        <patternFill>
          <bgColor rgb="FFFFCC66"/>
        </patternFill>
      </fill>
    </dxf>
    <dxf>
      <font>
        <b/>
        <i/>
        <condense val="0"/>
        <extend val="0"/>
        <color indexed="10"/>
      </font>
    </dxf>
    <dxf>
      <font>
        <b/>
        <i/>
        <condense val="0"/>
        <extend val="0"/>
      </font>
      <fill>
        <patternFill>
          <bgColor indexed="13"/>
        </patternFill>
      </fill>
    </dxf>
    <dxf>
      <font>
        <condense val="0"/>
        <extend val="0"/>
        <color auto="1"/>
      </font>
      <fill>
        <patternFill>
          <bgColor indexed="27"/>
        </patternFill>
      </fill>
    </dxf>
    <dxf>
      <font>
        <color indexed="22"/>
      </font>
      <fill>
        <patternFill>
          <bgColor indexed="43"/>
        </patternFill>
      </fill>
    </dxf>
    <dxf>
      <font>
        <color indexed="22"/>
      </font>
    </dxf>
    <dxf>
      <font>
        <color theme="0"/>
      </font>
      <fill>
        <patternFill patternType="none">
          <bgColor indexed="65"/>
        </patternFill>
      </fill>
    </dxf>
    <dxf>
      <font>
        <color theme="0"/>
      </font>
    </dxf>
    <dxf>
      <font>
        <color rgb="FFFFFFCC"/>
      </font>
    </dxf>
    <dxf>
      <font>
        <b/>
        <i/>
        <color rgb="FFFF0000"/>
        <name val="Cambria"/>
        <scheme val="none"/>
      </font>
    </dxf>
    <dxf>
      <font>
        <b/>
        <i/>
        <color rgb="FF0000CC"/>
        <name val="Cambria"/>
        <scheme val="none"/>
      </font>
      <fill>
        <patternFill patternType="none">
          <bgColor indexed="65"/>
        </patternFill>
      </fill>
    </dxf>
    <dxf>
      <font>
        <b/>
        <i/>
      </font>
      <fill>
        <patternFill>
          <bgColor rgb="FFFFFF00"/>
        </patternFill>
      </fill>
    </dxf>
    <dxf>
      <font>
        <b/>
        <i/>
        <color rgb="FFFF0000"/>
      </font>
      <fill>
        <patternFill>
          <bgColor rgb="FFFFFF00"/>
        </patternFill>
      </fill>
    </dxf>
    <dxf>
      <font>
        <b/>
        <i val="0"/>
        <color auto="1"/>
      </font>
      <fill>
        <patternFill>
          <bgColor rgb="FFFFFF00"/>
        </patternFill>
      </fill>
    </dxf>
    <dxf>
      <fill>
        <patternFill>
          <bgColor rgb="FFFFFFCC"/>
        </patternFill>
      </fill>
    </dxf>
    <dxf>
      <font>
        <color theme="0"/>
      </font>
      <fill>
        <patternFill patternType="none">
          <bgColor indexed="65"/>
        </patternFill>
      </fill>
    </dxf>
    <dxf>
      <font>
        <color theme="0"/>
      </font>
      <fill>
        <patternFill patternType="none">
          <bgColor indexed="65"/>
        </patternFill>
      </fill>
    </dxf>
    <dxf>
      <font>
        <color rgb="FF0000CC"/>
      </font>
    </dxf>
    <dxf>
      <font>
        <color rgb="FFFF0000"/>
      </font>
    </dxf>
    <dxf>
      <fill>
        <patternFill>
          <bgColor indexed="27"/>
        </patternFill>
      </fill>
    </dxf>
    <dxf>
      <font>
        <b/>
        <i/>
        <condense val="0"/>
        <extend val="0"/>
        <color indexed="8"/>
      </font>
      <fill>
        <patternFill>
          <bgColor indexed="13"/>
        </patternFill>
      </fill>
    </dxf>
    <dxf>
      <font>
        <b/>
        <i/>
        <condense val="0"/>
        <extend val="0"/>
        <color indexed="12"/>
      </font>
    </dxf>
    <dxf>
      <font>
        <b/>
        <i/>
        <condense val="0"/>
        <extend val="0"/>
        <color indexed="10"/>
      </font>
    </dxf>
  </dxfs>
  <tableStyles count="0" defaultTableStyle="TableStyleMedium2" defaultPivotStyle="PivotStyleMedium9"/>
  <colors>
    <mruColors>
      <color rgb="FF0000CC"/>
      <color rgb="FF660033"/>
      <color rgb="FF000099"/>
      <color rgb="FFFFFFCC"/>
      <color rgb="FFFFCC66"/>
      <color rgb="FFCCFFFF"/>
      <color rgb="FF66FFFF"/>
      <color rgb="FF99FFCC"/>
      <color rgb="FFCC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Chinh!A1"/></Relationships>
</file>

<file path=xl/drawings/_rels/drawing10.xml.rels><?xml version="1.0" encoding="UTF-8" standalone="yes"?>
<Relationships xmlns="http://schemas.openxmlformats.org/package/2006/relationships"><Relationship Id="rId1" Type="http://schemas.openxmlformats.org/officeDocument/2006/relationships/hyperlink" Target="#Chinh!A1"/></Relationships>
</file>

<file path=xl/drawings/_rels/drawing11.xml.rels><?xml version="1.0" encoding="UTF-8" standalone="yes"?>
<Relationships xmlns="http://schemas.openxmlformats.org/package/2006/relationships"><Relationship Id="rId1" Type="http://schemas.openxmlformats.org/officeDocument/2006/relationships/hyperlink" Target="#Chinh!A1"/></Relationships>
</file>

<file path=xl/drawings/_rels/drawing12.xml.rels><?xml version="1.0" encoding="UTF-8" standalone="yes"?>
<Relationships xmlns="http://schemas.openxmlformats.org/package/2006/relationships"><Relationship Id="rId1" Type="http://schemas.openxmlformats.org/officeDocument/2006/relationships/hyperlink" Target="#Chinh!A1"/></Relationships>
</file>

<file path=xl/drawings/_rels/drawing13.xml.rels><?xml version="1.0" encoding="UTF-8" standalone="yes"?>
<Relationships xmlns="http://schemas.openxmlformats.org/package/2006/relationships"><Relationship Id="rId1" Type="http://schemas.openxmlformats.org/officeDocument/2006/relationships/hyperlink" Target="#Chinh!A1"/></Relationships>
</file>

<file path=xl/drawings/_rels/drawing14.xml.rels><?xml version="1.0" encoding="UTF-8" standalone="yes"?>
<Relationships xmlns="http://schemas.openxmlformats.org/package/2006/relationships"><Relationship Id="rId1" Type="http://schemas.openxmlformats.org/officeDocument/2006/relationships/hyperlink" Target="#Chinh!A1"/></Relationships>
</file>

<file path=xl/drawings/_rels/drawing15.xml.rels><?xml version="1.0" encoding="UTF-8" standalone="yes"?>
<Relationships xmlns="http://schemas.openxmlformats.org/package/2006/relationships"><Relationship Id="rId1" Type="http://schemas.openxmlformats.org/officeDocument/2006/relationships/hyperlink" Target="#Chinh!A1"/></Relationships>
</file>

<file path=xl/drawings/_rels/drawing16.xml.rels><?xml version="1.0" encoding="UTF-8" standalone="yes"?>
<Relationships xmlns="http://schemas.openxmlformats.org/package/2006/relationships"><Relationship Id="rId1" Type="http://schemas.openxmlformats.org/officeDocument/2006/relationships/hyperlink" Target="#Chinh!A1"/></Relationships>
</file>

<file path=xl/drawings/_rels/drawing17.xml.rels><?xml version="1.0" encoding="UTF-8" standalone="yes"?>
<Relationships xmlns="http://schemas.openxmlformats.org/package/2006/relationships"><Relationship Id="rId1" Type="http://schemas.openxmlformats.org/officeDocument/2006/relationships/hyperlink" Target="#Chinh!A1"/></Relationships>
</file>

<file path=xl/drawings/_rels/drawing18.xml.rels><?xml version="1.0" encoding="UTF-8" standalone="yes"?>
<Relationships xmlns="http://schemas.openxmlformats.org/package/2006/relationships"><Relationship Id="rId1" Type="http://schemas.openxmlformats.org/officeDocument/2006/relationships/hyperlink" Target="#Chinh!A1"/></Relationships>
</file>

<file path=xl/drawings/_rels/drawing19.xml.rels><?xml version="1.0" encoding="UTF-8" standalone="yes"?>
<Relationships xmlns="http://schemas.openxmlformats.org/package/2006/relationships"><Relationship Id="rId1" Type="http://schemas.openxmlformats.org/officeDocument/2006/relationships/hyperlink" Target="#Chinh!A1"/></Relationships>
</file>

<file path=xl/drawings/_rels/drawing2.xml.rels><?xml version="1.0" encoding="UTF-8" standalone="yes"?>
<Relationships xmlns="http://schemas.openxmlformats.org/package/2006/relationships"><Relationship Id="rId1" Type="http://schemas.openxmlformats.org/officeDocument/2006/relationships/hyperlink" Target="#Chinh!A1"/></Relationships>
</file>

<file path=xl/drawings/_rels/drawing20.xml.rels><?xml version="1.0" encoding="UTF-8" standalone="yes"?>
<Relationships xmlns="http://schemas.openxmlformats.org/package/2006/relationships"><Relationship Id="rId1" Type="http://schemas.openxmlformats.org/officeDocument/2006/relationships/hyperlink" Target="#Chinh!A1"/></Relationships>
</file>

<file path=xl/drawings/_rels/drawing21.xml.rels><?xml version="1.0" encoding="UTF-8" standalone="yes"?>
<Relationships xmlns="http://schemas.openxmlformats.org/package/2006/relationships"><Relationship Id="rId1" Type="http://schemas.openxmlformats.org/officeDocument/2006/relationships/hyperlink" Target="#Chinh!A1"/></Relationships>
</file>

<file path=xl/drawings/_rels/drawing3.xml.rels><?xml version="1.0" encoding="UTF-8" standalone="yes"?>
<Relationships xmlns="http://schemas.openxmlformats.org/package/2006/relationships"><Relationship Id="rId1" Type="http://schemas.openxmlformats.org/officeDocument/2006/relationships/hyperlink" Target="#Chinh!A1"/></Relationships>
</file>

<file path=xl/drawings/_rels/drawing4.xml.rels><?xml version="1.0" encoding="UTF-8" standalone="yes"?>
<Relationships xmlns="http://schemas.openxmlformats.org/package/2006/relationships"><Relationship Id="rId1" Type="http://schemas.openxmlformats.org/officeDocument/2006/relationships/hyperlink" Target="#Chinh!A1"/></Relationships>
</file>

<file path=xl/drawings/_rels/drawing5.xml.rels><?xml version="1.0" encoding="UTF-8" standalone="yes"?>
<Relationships xmlns="http://schemas.openxmlformats.org/package/2006/relationships"><Relationship Id="rId8" Type="http://schemas.openxmlformats.org/officeDocument/2006/relationships/hyperlink" Target="#'TKe-CBGVNV-TH'!A1"/><Relationship Id="rId13" Type="http://schemas.openxmlformats.org/officeDocument/2006/relationships/hyperlink" Target="#'TKe-CBGVNV-THCS'!A1"/><Relationship Id="rId18" Type="http://schemas.openxmlformats.org/officeDocument/2006/relationships/hyperlink" Target="#'TKe-CBGVNV-MN'!A1"/><Relationship Id="rId3" Type="http://schemas.openxmlformats.org/officeDocument/2006/relationships/hyperlink" Target="#'TKe HSMN'!A1"/><Relationship Id="rId7" Type="http://schemas.openxmlformats.org/officeDocument/2006/relationships/hyperlink" Target="#'TKe HSTH'!A1"/><Relationship Id="rId12" Type="http://schemas.openxmlformats.org/officeDocument/2006/relationships/hyperlink" Target="#'TKe HSTHCS'!A1"/><Relationship Id="rId17" Type="http://schemas.openxmlformats.org/officeDocument/2006/relationships/hyperlink" Target="#TuoiMN!A1"/><Relationship Id="rId2" Type="http://schemas.openxmlformats.org/officeDocument/2006/relationships/hyperlink" Target="#'DS-CBGVNV-MN'!A1"/><Relationship Id="rId16" Type="http://schemas.openxmlformats.org/officeDocument/2006/relationships/hyperlink" Target="#TuoiTH!A1"/><Relationship Id="rId20" Type="http://schemas.openxmlformats.org/officeDocument/2006/relationships/hyperlink" Target="#'BH2'!A1"/><Relationship Id="rId1" Type="http://schemas.openxmlformats.org/officeDocument/2006/relationships/hyperlink" Target="#MN!A1"/><Relationship Id="rId6" Type="http://schemas.openxmlformats.org/officeDocument/2006/relationships/hyperlink" Target="#'DS-CBGVNV-TH'!A1"/><Relationship Id="rId11" Type="http://schemas.openxmlformats.org/officeDocument/2006/relationships/hyperlink" Target="#'DS-CBGVNV-THCS'!A1"/><Relationship Id="rId5" Type="http://schemas.openxmlformats.org/officeDocument/2006/relationships/hyperlink" Target="#TH!A1"/><Relationship Id="rId15" Type="http://schemas.openxmlformats.org/officeDocument/2006/relationships/hyperlink" Target="#TuoiTHCS!A1"/><Relationship Id="rId10" Type="http://schemas.openxmlformats.org/officeDocument/2006/relationships/hyperlink" Target="#THCS!A1"/><Relationship Id="rId19" Type="http://schemas.openxmlformats.org/officeDocument/2006/relationships/hyperlink" Target="#BH!A1"/><Relationship Id="rId4" Type="http://schemas.openxmlformats.org/officeDocument/2006/relationships/hyperlink" Target="#'TKe-CSVC-MN'!A1"/><Relationship Id="rId9" Type="http://schemas.openxmlformats.org/officeDocument/2006/relationships/hyperlink" Target="#'TKe-CSVC'!A1"/><Relationship Id="rId14" Type="http://schemas.openxmlformats.org/officeDocument/2006/relationships/hyperlink" Target="#'TKe-CSVC-THCS'!A1"/></Relationships>
</file>

<file path=xl/drawings/_rels/drawing6.xml.rels><?xml version="1.0" encoding="UTF-8" standalone="yes"?>
<Relationships xmlns="http://schemas.openxmlformats.org/package/2006/relationships"><Relationship Id="rId1" Type="http://schemas.openxmlformats.org/officeDocument/2006/relationships/hyperlink" Target="#Chinh!A1"/></Relationships>
</file>

<file path=xl/drawings/_rels/drawing7.xml.rels><?xml version="1.0" encoding="UTF-8" standalone="yes"?>
<Relationships xmlns="http://schemas.openxmlformats.org/package/2006/relationships"><Relationship Id="rId1" Type="http://schemas.openxmlformats.org/officeDocument/2006/relationships/hyperlink" Target="#Chinh!A1"/></Relationships>
</file>

<file path=xl/drawings/_rels/drawing8.xml.rels><?xml version="1.0" encoding="UTF-8" standalone="yes"?>
<Relationships xmlns="http://schemas.openxmlformats.org/package/2006/relationships"><Relationship Id="rId1" Type="http://schemas.openxmlformats.org/officeDocument/2006/relationships/hyperlink" Target="#Chinh!A1"/></Relationships>
</file>

<file path=xl/drawings/_rels/drawing9.xml.rels><?xml version="1.0" encoding="UTF-8" standalone="yes"?>
<Relationships xmlns="http://schemas.openxmlformats.org/package/2006/relationships"><Relationship Id="rId1" Type="http://schemas.openxmlformats.org/officeDocument/2006/relationships/hyperlink" Target="#Chinh!A1"/></Relationships>
</file>

<file path=xl/drawings/drawing1.xml><?xml version="1.0" encoding="utf-8"?>
<xdr:wsDr xmlns:xdr="http://schemas.openxmlformats.org/drawingml/2006/spreadsheetDrawing" xmlns:a="http://schemas.openxmlformats.org/drawingml/2006/main">
  <xdr:twoCellAnchor>
    <xdr:from>
      <xdr:col>1</xdr:col>
      <xdr:colOff>314325</xdr:colOff>
      <xdr:row>2</xdr:row>
      <xdr:rowOff>9525</xdr:rowOff>
    </xdr:from>
    <xdr:to>
      <xdr:col>3</xdr:col>
      <xdr:colOff>942975</xdr:colOff>
      <xdr:row>2</xdr:row>
      <xdr:rowOff>9525</xdr:rowOff>
    </xdr:to>
    <xdr:cxnSp macro="">
      <xdr:nvCxnSpPr>
        <xdr:cNvPr id="3" name="Straight Connector 2"/>
        <xdr:cNvCxnSpPr/>
      </xdr:nvCxnSpPr>
      <xdr:spPr>
        <a:xfrm>
          <a:off x="638175" y="447675"/>
          <a:ext cx="13239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238124</xdr:colOff>
      <xdr:row>0</xdr:row>
      <xdr:rowOff>57150</xdr:rowOff>
    </xdr:from>
    <xdr:to>
      <xdr:col>8</xdr:col>
      <xdr:colOff>57149</xdr:colOff>
      <xdr:row>1</xdr:row>
      <xdr:rowOff>66674</xdr:rowOff>
    </xdr:to>
    <xdr:sp macro="" textlink="">
      <xdr:nvSpPr>
        <xdr:cNvPr id="4" name="AutoShape 16">
          <a:hlinkClick xmlns:r="http://schemas.openxmlformats.org/officeDocument/2006/relationships" r:id="rId1"/>
        </xdr:cNvPr>
        <xdr:cNvSpPr>
          <a:spLocks noChangeArrowheads="1"/>
        </xdr:cNvSpPr>
      </xdr:nvSpPr>
      <xdr:spPr bwMode="auto">
        <a:xfrm>
          <a:off x="3381374" y="57150"/>
          <a:ext cx="390525" cy="247649"/>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endParaRPr lang="en-US" sz="800" b="1" i="0" u="none" strike="noStrike" baseline="0">
            <a:solidFill>
              <a:srgbClr val="000000"/>
            </a:solidFill>
            <a:latin typeface="Calibri"/>
            <a:cs typeface="Calibri"/>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274320</xdr:colOff>
      <xdr:row>0</xdr:row>
      <xdr:rowOff>125730</xdr:rowOff>
    </xdr:from>
    <xdr:to>
      <xdr:col>26</xdr:col>
      <xdr:colOff>453395</xdr:colOff>
      <xdr:row>2</xdr:row>
      <xdr:rowOff>238216</xdr:rowOff>
    </xdr:to>
    <xdr:sp macro="" textlink="">
      <xdr:nvSpPr>
        <xdr:cNvPr id="2" name="AutoShape 4">
          <a:hlinkClick xmlns:r="http://schemas.openxmlformats.org/officeDocument/2006/relationships" r:id="rId1"/>
        </xdr:cNvPr>
        <xdr:cNvSpPr>
          <a:spLocks noChangeArrowheads="1"/>
        </xdr:cNvSpPr>
      </xdr:nvSpPr>
      <xdr:spPr bwMode="auto">
        <a:xfrm>
          <a:off x="9818370" y="125730"/>
          <a:ext cx="817250" cy="503011"/>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1</xdr:col>
      <xdr:colOff>274320</xdr:colOff>
      <xdr:row>2</xdr:row>
      <xdr:rowOff>9525</xdr:rowOff>
    </xdr:from>
    <xdr:to>
      <xdr:col>4</xdr:col>
      <xdr:colOff>198120</xdr:colOff>
      <xdr:row>2</xdr:row>
      <xdr:rowOff>9525</xdr:rowOff>
    </xdr:to>
    <xdr:cxnSp macro="">
      <xdr:nvCxnSpPr>
        <xdr:cNvPr id="3" name="Straight Connector 2"/>
        <xdr:cNvCxnSpPr/>
      </xdr:nvCxnSpPr>
      <xdr:spPr>
        <a:xfrm>
          <a:off x="836295" y="400050"/>
          <a:ext cx="13049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2</xdr:row>
      <xdr:rowOff>161924</xdr:rowOff>
    </xdr:from>
    <xdr:to>
      <xdr:col>1</xdr:col>
      <xdr:colOff>219075</xdr:colOff>
      <xdr:row>3</xdr:row>
      <xdr:rowOff>211548</xdr:rowOff>
    </xdr:to>
    <xdr:sp macro="" textlink="">
      <xdr:nvSpPr>
        <xdr:cNvPr id="2" name="AutoShape 3">
          <a:hlinkClick xmlns:r="http://schemas.openxmlformats.org/officeDocument/2006/relationships" r:id="rId1"/>
        </xdr:cNvPr>
        <xdr:cNvSpPr>
          <a:spLocks noChangeArrowheads="1"/>
        </xdr:cNvSpPr>
      </xdr:nvSpPr>
      <xdr:spPr bwMode="auto">
        <a:xfrm>
          <a:off x="57150" y="609599"/>
          <a:ext cx="438150" cy="287749"/>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endParaRPr lang="en-US" sz="800" b="1" i="0" u="none" strike="noStrike" baseline="0">
            <a:solidFill>
              <a:srgbClr val="000000"/>
            </a:solidFill>
            <a:latin typeface="Calibri"/>
            <a:cs typeface="Calibri"/>
          </a:endParaRPr>
        </a:p>
      </xdr:txBody>
    </xdr:sp>
    <xdr:clientData/>
  </xdr:twoCellAnchor>
  <xdr:twoCellAnchor>
    <xdr:from>
      <xdr:col>1</xdr:col>
      <xdr:colOff>918210</xdr:colOff>
      <xdr:row>1</xdr:row>
      <xdr:rowOff>232410</xdr:rowOff>
    </xdr:from>
    <xdr:to>
      <xdr:col>2</xdr:col>
      <xdr:colOff>586743</xdr:colOff>
      <xdr:row>1</xdr:row>
      <xdr:rowOff>232410</xdr:rowOff>
    </xdr:to>
    <xdr:cxnSp macro="">
      <xdr:nvCxnSpPr>
        <xdr:cNvPr id="3" name="Straight Connector 2"/>
        <xdr:cNvCxnSpPr/>
      </xdr:nvCxnSpPr>
      <xdr:spPr>
        <a:xfrm>
          <a:off x="1194435" y="470535"/>
          <a:ext cx="141160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236220</xdr:colOff>
      <xdr:row>0</xdr:row>
      <xdr:rowOff>152400</xdr:rowOff>
    </xdr:from>
    <xdr:to>
      <xdr:col>34</xdr:col>
      <xdr:colOff>342959</xdr:colOff>
      <xdr:row>2</xdr:row>
      <xdr:rowOff>152400</xdr:rowOff>
    </xdr:to>
    <xdr:sp macro="" textlink="">
      <xdr:nvSpPr>
        <xdr:cNvPr id="2" name="AutoShape 1">
          <a:hlinkClick xmlns:r="http://schemas.openxmlformats.org/officeDocument/2006/relationships" r:id="rId1"/>
        </xdr:cNvPr>
        <xdr:cNvSpPr>
          <a:spLocks noChangeArrowheads="1"/>
        </xdr:cNvSpPr>
      </xdr:nvSpPr>
      <xdr:spPr bwMode="auto">
        <a:xfrm>
          <a:off x="10437495" y="152400"/>
          <a:ext cx="792539" cy="466725"/>
        </a:xfrm>
        <a:prstGeom prst="leftArrow">
          <a:avLst>
            <a:gd name="adj1" fmla="val 41176"/>
            <a:gd name="adj2" fmla="val 46668"/>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276225</xdr:colOff>
      <xdr:row>0</xdr:row>
      <xdr:rowOff>201930</xdr:rowOff>
    </xdr:from>
    <xdr:to>
      <xdr:col>28</xdr:col>
      <xdr:colOff>302918</xdr:colOff>
      <xdr:row>2</xdr:row>
      <xdr:rowOff>190500</xdr:rowOff>
    </xdr:to>
    <xdr:sp macro="" textlink="">
      <xdr:nvSpPr>
        <xdr:cNvPr id="2" name="AutoShape 1">
          <a:hlinkClick xmlns:r="http://schemas.openxmlformats.org/officeDocument/2006/relationships" r:id="rId1"/>
        </xdr:cNvPr>
        <xdr:cNvSpPr>
          <a:spLocks noChangeArrowheads="1"/>
        </xdr:cNvSpPr>
      </xdr:nvSpPr>
      <xdr:spPr bwMode="auto">
        <a:xfrm>
          <a:off x="9344025" y="201930"/>
          <a:ext cx="788693" cy="436245"/>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xdr:colOff>
      <xdr:row>2</xdr:row>
      <xdr:rowOff>19050</xdr:rowOff>
    </xdr:from>
    <xdr:to>
      <xdr:col>4</xdr:col>
      <xdr:colOff>209550</xdr:colOff>
      <xdr:row>2</xdr:row>
      <xdr:rowOff>19050</xdr:rowOff>
    </xdr:to>
    <xdr:cxnSp macro="">
      <xdr:nvCxnSpPr>
        <xdr:cNvPr id="3" name="Straight Connector 2"/>
        <xdr:cNvCxnSpPr/>
      </xdr:nvCxnSpPr>
      <xdr:spPr>
        <a:xfrm>
          <a:off x="619125" y="457200"/>
          <a:ext cx="1514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xdr:row>
      <xdr:rowOff>95250</xdr:rowOff>
    </xdr:from>
    <xdr:to>
      <xdr:col>1</xdr:col>
      <xdr:colOff>247651</xdr:colOff>
      <xdr:row>3</xdr:row>
      <xdr:rowOff>142875</xdr:rowOff>
    </xdr:to>
    <xdr:sp macro="" textlink="">
      <xdr:nvSpPr>
        <xdr:cNvPr id="4" name="AutoShape 1">
          <a:hlinkClick xmlns:r="http://schemas.openxmlformats.org/officeDocument/2006/relationships" r:id="rId1"/>
        </xdr:cNvPr>
        <xdr:cNvSpPr>
          <a:spLocks noChangeArrowheads="1"/>
        </xdr:cNvSpPr>
      </xdr:nvSpPr>
      <xdr:spPr bwMode="auto">
        <a:xfrm>
          <a:off x="104775" y="533400"/>
          <a:ext cx="428626" cy="247650"/>
        </a:xfrm>
        <a:prstGeom prst="leftArrow">
          <a:avLst>
            <a:gd name="adj1" fmla="val 41176"/>
            <a:gd name="adj2" fmla="val 58335"/>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endParaRPr lang="en-US" sz="800" b="1" i="0" u="none" strike="noStrike" baseline="0">
            <a:solidFill>
              <a:srgbClr val="000000"/>
            </a:solidFill>
            <a:latin typeface="Calibri"/>
            <a:cs typeface="Calibri"/>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85726</xdr:colOff>
      <xdr:row>2</xdr:row>
      <xdr:rowOff>28576</xdr:rowOff>
    </xdr:from>
    <xdr:to>
      <xdr:col>1</xdr:col>
      <xdr:colOff>47773</xdr:colOff>
      <xdr:row>2</xdr:row>
      <xdr:rowOff>247650</xdr:rowOff>
    </xdr:to>
    <xdr:sp macro="" textlink="">
      <xdr:nvSpPr>
        <xdr:cNvPr id="2" name="AutoShape 9">
          <a:hlinkClick xmlns:r="http://schemas.openxmlformats.org/officeDocument/2006/relationships" r:id="rId1"/>
        </xdr:cNvPr>
        <xdr:cNvSpPr>
          <a:spLocks noChangeArrowheads="1"/>
        </xdr:cNvSpPr>
      </xdr:nvSpPr>
      <xdr:spPr bwMode="auto">
        <a:xfrm>
          <a:off x="85726" y="466726"/>
          <a:ext cx="352572" cy="219074"/>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endParaRPr lang="en-US" sz="800" b="1" i="0" u="none" strike="noStrike" baseline="0">
            <a:solidFill>
              <a:srgbClr val="000000"/>
            </a:solidFill>
            <a:latin typeface="Calibri"/>
            <a:cs typeface="Calibri"/>
          </a:endParaRPr>
        </a:p>
      </xdr:txBody>
    </xdr:sp>
    <xdr:clientData/>
  </xdr:twoCellAnchor>
  <xdr:twoCellAnchor>
    <xdr:from>
      <xdr:col>2</xdr:col>
      <xdr:colOff>60536</xdr:colOff>
      <xdr:row>2</xdr:row>
      <xdr:rowOff>0</xdr:rowOff>
    </xdr:from>
    <xdr:to>
      <xdr:col>3</xdr:col>
      <xdr:colOff>1134494</xdr:colOff>
      <xdr:row>2</xdr:row>
      <xdr:rowOff>0</xdr:rowOff>
    </xdr:to>
    <xdr:cxnSp macro="">
      <xdr:nvCxnSpPr>
        <xdr:cNvPr id="3" name="Straight Connector 2"/>
        <xdr:cNvCxnSpPr/>
      </xdr:nvCxnSpPr>
      <xdr:spPr>
        <a:xfrm>
          <a:off x="727286" y="438150"/>
          <a:ext cx="13882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321945</xdr:colOff>
      <xdr:row>0</xdr:row>
      <xdr:rowOff>0</xdr:rowOff>
    </xdr:from>
    <xdr:to>
      <xdr:col>9</xdr:col>
      <xdr:colOff>605844</xdr:colOff>
      <xdr:row>2</xdr:row>
      <xdr:rowOff>0</xdr:rowOff>
    </xdr:to>
    <xdr:sp macro="" textlink="">
      <xdr:nvSpPr>
        <xdr:cNvPr id="2" name="AutoShape 6">
          <a:hlinkClick xmlns:r="http://schemas.openxmlformats.org/officeDocument/2006/relationships" r:id="rId1"/>
        </xdr:cNvPr>
        <xdr:cNvSpPr>
          <a:spLocks noChangeArrowheads="1"/>
        </xdr:cNvSpPr>
      </xdr:nvSpPr>
      <xdr:spPr bwMode="auto">
        <a:xfrm>
          <a:off x="5503545" y="0"/>
          <a:ext cx="855399" cy="400050"/>
        </a:xfrm>
        <a:prstGeom prst="leftArrow">
          <a:avLst>
            <a:gd name="adj1" fmla="val 41176"/>
            <a:gd name="adj2" fmla="val 61426"/>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0</xdr:col>
      <xdr:colOff>219075</xdr:colOff>
      <xdr:row>1</xdr:row>
      <xdr:rowOff>180975</xdr:rowOff>
    </xdr:from>
    <xdr:to>
      <xdr:col>2</xdr:col>
      <xdr:colOff>190500</xdr:colOff>
      <xdr:row>1</xdr:row>
      <xdr:rowOff>180975</xdr:rowOff>
    </xdr:to>
    <xdr:sp macro="" textlink="">
      <xdr:nvSpPr>
        <xdr:cNvPr id="3" name="Line 38"/>
        <xdr:cNvSpPr>
          <a:spLocks noChangeShapeType="1"/>
        </xdr:cNvSpPr>
      </xdr:nvSpPr>
      <xdr:spPr bwMode="auto">
        <a:xfrm>
          <a:off x="219075" y="381000"/>
          <a:ext cx="1724025" cy="0"/>
        </a:xfrm>
        <a:prstGeom prst="line">
          <a:avLst/>
        </a:prstGeom>
        <a:no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219075</xdr:colOff>
      <xdr:row>0</xdr:row>
      <xdr:rowOff>114300</xdr:rowOff>
    </xdr:from>
    <xdr:to>
      <xdr:col>26</xdr:col>
      <xdr:colOff>398035</xdr:colOff>
      <xdr:row>2</xdr:row>
      <xdr:rowOff>209550</xdr:rowOff>
    </xdr:to>
    <xdr:sp macro="" textlink="">
      <xdr:nvSpPr>
        <xdr:cNvPr id="2" name="AutoShape 4">
          <a:hlinkClick xmlns:r="http://schemas.openxmlformats.org/officeDocument/2006/relationships" r:id="rId1"/>
        </xdr:cNvPr>
        <xdr:cNvSpPr>
          <a:spLocks noChangeArrowheads="1"/>
        </xdr:cNvSpPr>
      </xdr:nvSpPr>
      <xdr:spPr bwMode="auto">
        <a:xfrm>
          <a:off x="9763125" y="114300"/>
          <a:ext cx="788560" cy="485775"/>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1</xdr:col>
      <xdr:colOff>398145</xdr:colOff>
      <xdr:row>2</xdr:row>
      <xdr:rowOff>0</xdr:rowOff>
    </xdr:from>
    <xdr:to>
      <xdr:col>4</xdr:col>
      <xdr:colOff>38091</xdr:colOff>
      <xdr:row>2</xdr:row>
      <xdr:rowOff>0</xdr:rowOff>
    </xdr:to>
    <xdr:cxnSp macro="">
      <xdr:nvCxnSpPr>
        <xdr:cNvPr id="3" name="Straight Connector 2"/>
        <xdr:cNvCxnSpPr/>
      </xdr:nvCxnSpPr>
      <xdr:spPr>
        <a:xfrm>
          <a:off x="960120" y="390525"/>
          <a:ext cx="1021071" cy="0"/>
        </a:xfrm>
        <a:prstGeom prst="line">
          <a:avLst/>
        </a:prstGeom>
        <a:ln>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xdr:colOff>
      <xdr:row>0</xdr:row>
      <xdr:rowOff>47625</xdr:rowOff>
    </xdr:from>
    <xdr:to>
      <xdr:col>19</xdr:col>
      <xdr:colOff>247650</xdr:colOff>
      <xdr:row>2</xdr:row>
      <xdr:rowOff>49624</xdr:rowOff>
    </xdr:to>
    <xdr:sp macro="" textlink="">
      <xdr:nvSpPr>
        <xdr:cNvPr id="2" name="AutoShape 3">
          <a:hlinkClick xmlns:r="http://schemas.openxmlformats.org/officeDocument/2006/relationships" r:id="rId1"/>
        </xdr:cNvPr>
        <xdr:cNvSpPr>
          <a:spLocks noChangeArrowheads="1"/>
        </xdr:cNvSpPr>
      </xdr:nvSpPr>
      <xdr:spPr bwMode="auto">
        <a:xfrm>
          <a:off x="10877550" y="47625"/>
          <a:ext cx="790575" cy="449674"/>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1</xdr:col>
      <xdr:colOff>918210</xdr:colOff>
      <xdr:row>1</xdr:row>
      <xdr:rowOff>232410</xdr:rowOff>
    </xdr:from>
    <xdr:to>
      <xdr:col>2</xdr:col>
      <xdr:colOff>586743</xdr:colOff>
      <xdr:row>1</xdr:row>
      <xdr:rowOff>232410</xdr:rowOff>
    </xdr:to>
    <xdr:cxnSp macro="">
      <xdr:nvCxnSpPr>
        <xdr:cNvPr id="3" name="Straight Connector 2"/>
        <xdr:cNvCxnSpPr/>
      </xdr:nvCxnSpPr>
      <xdr:spPr>
        <a:xfrm>
          <a:off x="1194435" y="441960"/>
          <a:ext cx="141160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36</xdr:col>
      <xdr:colOff>188595</xdr:colOff>
      <xdr:row>1</xdr:row>
      <xdr:rowOff>66675</xdr:rowOff>
    </xdr:from>
    <xdr:to>
      <xdr:col>39</xdr:col>
      <xdr:colOff>207645</xdr:colOff>
      <xdr:row>3</xdr:row>
      <xdr:rowOff>49559</xdr:rowOff>
    </xdr:to>
    <xdr:sp macro="" textlink="">
      <xdr:nvSpPr>
        <xdr:cNvPr id="2" name="AutoShape 1">
          <a:hlinkClick xmlns:r="http://schemas.openxmlformats.org/officeDocument/2006/relationships" r:id="rId1"/>
        </xdr:cNvPr>
        <xdr:cNvSpPr>
          <a:spLocks noChangeArrowheads="1"/>
        </xdr:cNvSpPr>
      </xdr:nvSpPr>
      <xdr:spPr bwMode="auto">
        <a:xfrm>
          <a:off x="10599420" y="314325"/>
          <a:ext cx="790575" cy="478184"/>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266699</xdr:colOff>
      <xdr:row>0</xdr:row>
      <xdr:rowOff>19050</xdr:rowOff>
    </xdr:from>
    <xdr:to>
      <xdr:col>8</xdr:col>
      <xdr:colOff>438149</xdr:colOff>
      <xdr:row>2</xdr:row>
      <xdr:rowOff>0</xdr:rowOff>
    </xdr:to>
    <xdr:sp macro="" textlink="">
      <xdr:nvSpPr>
        <xdr:cNvPr id="2" name="AutoShape 6">
          <a:hlinkClick xmlns:r="http://schemas.openxmlformats.org/officeDocument/2006/relationships" r:id="rId1"/>
        </xdr:cNvPr>
        <xdr:cNvSpPr>
          <a:spLocks noChangeArrowheads="1"/>
        </xdr:cNvSpPr>
      </xdr:nvSpPr>
      <xdr:spPr bwMode="auto">
        <a:xfrm>
          <a:off x="5505449" y="19050"/>
          <a:ext cx="847725" cy="381000"/>
        </a:xfrm>
        <a:prstGeom prst="leftArrow">
          <a:avLst>
            <a:gd name="adj1" fmla="val 41176"/>
            <a:gd name="adj2" fmla="val 61426"/>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0</xdr:col>
      <xdr:colOff>561975</xdr:colOff>
      <xdr:row>2</xdr:row>
      <xdr:rowOff>9525</xdr:rowOff>
    </xdr:from>
    <xdr:to>
      <xdr:col>2</xdr:col>
      <xdr:colOff>533400</xdr:colOff>
      <xdr:row>2</xdr:row>
      <xdr:rowOff>9525</xdr:rowOff>
    </xdr:to>
    <xdr:sp macro="" textlink="">
      <xdr:nvSpPr>
        <xdr:cNvPr id="3" name="Line 38"/>
        <xdr:cNvSpPr>
          <a:spLocks noChangeShapeType="1"/>
        </xdr:cNvSpPr>
      </xdr:nvSpPr>
      <xdr:spPr bwMode="auto">
        <a:xfrm>
          <a:off x="561975" y="419100"/>
          <a:ext cx="182880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37</xdr:col>
      <xdr:colOff>114300</xdr:colOff>
      <xdr:row>0</xdr:row>
      <xdr:rowOff>87630</xdr:rowOff>
    </xdr:from>
    <xdr:to>
      <xdr:col>38</xdr:col>
      <xdr:colOff>293375</xdr:colOff>
      <xdr:row>2</xdr:row>
      <xdr:rowOff>95250</xdr:rowOff>
    </xdr:to>
    <xdr:sp macro="" textlink="">
      <xdr:nvSpPr>
        <xdr:cNvPr id="2" name="AutoShape 1">
          <a:hlinkClick xmlns:r="http://schemas.openxmlformats.org/officeDocument/2006/relationships" r:id="rId1"/>
        </xdr:cNvPr>
        <xdr:cNvSpPr>
          <a:spLocks noChangeArrowheads="1"/>
        </xdr:cNvSpPr>
      </xdr:nvSpPr>
      <xdr:spPr bwMode="auto">
        <a:xfrm>
          <a:off x="10991850" y="87630"/>
          <a:ext cx="788675" cy="407670"/>
        </a:xfrm>
        <a:prstGeom prst="leftArrow">
          <a:avLst>
            <a:gd name="adj1" fmla="val 41176"/>
            <a:gd name="adj2" fmla="val 58335"/>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133350</xdr:colOff>
      <xdr:row>2</xdr:row>
      <xdr:rowOff>19050</xdr:rowOff>
    </xdr:from>
    <xdr:to>
      <xdr:col>4</xdr:col>
      <xdr:colOff>409575</xdr:colOff>
      <xdr:row>2</xdr:row>
      <xdr:rowOff>19050</xdr:rowOff>
    </xdr:to>
    <xdr:cxnSp macro="">
      <xdr:nvCxnSpPr>
        <xdr:cNvPr id="3" name="Straight Connector 2"/>
        <xdr:cNvCxnSpPr/>
      </xdr:nvCxnSpPr>
      <xdr:spPr>
        <a:xfrm>
          <a:off x="419100" y="457200"/>
          <a:ext cx="19145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xdr:colOff>
      <xdr:row>0</xdr:row>
      <xdr:rowOff>47625</xdr:rowOff>
    </xdr:from>
    <xdr:to>
      <xdr:col>17</xdr:col>
      <xdr:colOff>874400</xdr:colOff>
      <xdr:row>2</xdr:row>
      <xdr:rowOff>17145</xdr:rowOff>
    </xdr:to>
    <xdr:sp macro="" textlink="">
      <xdr:nvSpPr>
        <xdr:cNvPr id="4" name="AutoShape 1">
          <a:hlinkClick xmlns:r="http://schemas.openxmlformats.org/officeDocument/2006/relationships" r:id="rId1"/>
        </xdr:cNvPr>
        <xdr:cNvSpPr>
          <a:spLocks noChangeArrowheads="1"/>
        </xdr:cNvSpPr>
      </xdr:nvSpPr>
      <xdr:spPr bwMode="auto">
        <a:xfrm>
          <a:off x="11372850" y="47625"/>
          <a:ext cx="864875" cy="407670"/>
        </a:xfrm>
        <a:prstGeom prst="leftArrow">
          <a:avLst>
            <a:gd name="adj1" fmla="val 41176"/>
            <a:gd name="adj2" fmla="val 58335"/>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171451</xdr:colOff>
      <xdr:row>1</xdr:row>
      <xdr:rowOff>142875</xdr:rowOff>
    </xdr:from>
    <xdr:to>
      <xdr:col>25</xdr:col>
      <xdr:colOff>285751</xdr:colOff>
      <xdr:row>3</xdr:row>
      <xdr:rowOff>0</xdr:rowOff>
    </xdr:to>
    <xdr:sp macro="" textlink="">
      <xdr:nvSpPr>
        <xdr:cNvPr id="2" name="AutoShape 4">
          <a:hlinkClick xmlns:r="http://schemas.openxmlformats.org/officeDocument/2006/relationships" r:id="rId1"/>
        </xdr:cNvPr>
        <xdr:cNvSpPr>
          <a:spLocks noChangeArrowheads="1"/>
        </xdr:cNvSpPr>
      </xdr:nvSpPr>
      <xdr:spPr bwMode="auto">
        <a:xfrm>
          <a:off x="9944101" y="361950"/>
          <a:ext cx="800100" cy="381000"/>
        </a:xfrm>
        <a:prstGeom prst="leftArrow">
          <a:avLst>
            <a:gd name="adj1" fmla="val 41176"/>
            <a:gd name="adj2" fmla="val 43078"/>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1</xdr:col>
      <xdr:colOff>133350</xdr:colOff>
      <xdr:row>2</xdr:row>
      <xdr:rowOff>0</xdr:rowOff>
    </xdr:from>
    <xdr:to>
      <xdr:col>5</xdr:col>
      <xdr:colOff>66675</xdr:colOff>
      <xdr:row>2</xdr:row>
      <xdr:rowOff>0</xdr:rowOff>
    </xdr:to>
    <xdr:cxnSp macro="">
      <xdr:nvCxnSpPr>
        <xdr:cNvPr id="3" name="Straight Connector 2"/>
        <xdr:cNvCxnSpPr/>
      </xdr:nvCxnSpPr>
      <xdr:spPr>
        <a:xfrm>
          <a:off x="1009650" y="419100"/>
          <a:ext cx="15906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19050</xdr:colOff>
      <xdr:row>0</xdr:row>
      <xdr:rowOff>190500</xdr:rowOff>
    </xdr:from>
    <xdr:to>
      <xdr:col>15</xdr:col>
      <xdr:colOff>266700</xdr:colOff>
      <xdr:row>2</xdr:row>
      <xdr:rowOff>200025</xdr:rowOff>
    </xdr:to>
    <xdr:sp macro="" textlink="">
      <xdr:nvSpPr>
        <xdr:cNvPr id="2" name="AutoShape 5">
          <a:hlinkClick xmlns:r="http://schemas.openxmlformats.org/officeDocument/2006/relationships" r:id="rId1"/>
        </xdr:cNvPr>
        <xdr:cNvSpPr>
          <a:spLocks noChangeArrowheads="1"/>
        </xdr:cNvSpPr>
      </xdr:nvSpPr>
      <xdr:spPr bwMode="auto">
        <a:xfrm>
          <a:off x="10429875" y="190500"/>
          <a:ext cx="952500" cy="485775"/>
        </a:xfrm>
        <a:prstGeom prst="leftArrow">
          <a:avLst>
            <a:gd name="adj1" fmla="val 41176"/>
            <a:gd name="adj2" fmla="val 66149"/>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1</xdr:col>
      <xdr:colOff>1019175</xdr:colOff>
      <xdr:row>2</xdr:row>
      <xdr:rowOff>0</xdr:rowOff>
    </xdr:from>
    <xdr:to>
      <xdr:col>2</xdr:col>
      <xdr:colOff>685800</xdr:colOff>
      <xdr:row>2</xdr:row>
      <xdr:rowOff>0</xdr:rowOff>
    </xdr:to>
    <xdr:cxnSp macro="">
      <xdr:nvCxnSpPr>
        <xdr:cNvPr id="3" name="Straight Connector 2"/>
        <xdr:cNvCxnSpPr/>
      </xdr:nvCxnSpPr>
      <xdr:spPr>
        <a:xfrm>
          <a:off x="1295400" y="476250"/>
          <a:ext cx="13906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504825</xdr:colOff>
      <xdr:row>2</xdr:row>
      <xdr:rowOff>0</xdr:rowOff>
    </xdr:from>
    <xdr:to>
      <xdr:col>4</xdr:col>
      <xdr:colOff>180975</xdr:colOff>
      <xdr:row>2</xdr:row>
      <xdr:rowOff>0</xdr:rowOff>
    </xdr:to>
    <xdr:cxnSp macro="">
      <xdr:nvCxnSpPr>
        <xdr:cNvPr id="3" name="Straight Connector 2"/>
        <xdr:cNvCxnSpPr/>
      </xdr:nvCxnSpPr>
      <xdr:spPr>
        <a:xfrm>
          <a:off x="1123950" y="409575"/>
          <a:ext cx="20097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142875</xdr:colOff>
      <xdr:row>2</xdr:row>
      <xdr:rowOff>9525</xdr:rowOff>
    </xdr:from>
    <xdr:to>
      <xdr:col>11</xdr:col>
      <xdr:colOff>504825</xdr:colOff>
      <xdr:row>2</xdr:row>
      <xdr:rowOff>9525</xdr:rowOff>
    </xdr:to>
    <xdr:cxnSp macro="">
      <xdr:nvCxnSpPr>
        <xdr:cNvPr id="4" name="Straight Connector 3"/>
        <xdr:cNvCxnSpPr/>
      </xdr:nvCxnSpPr>
      <xdr:spPr>
        <a:xfrm>
          <a:off x="6505575" y="419100"/>
          <a:ext cx="16002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8</xdr:row>
      <xdr:rowOff>9525</xdr:rowOff>
    </xdr:from>
    <xdr:to>
      <xdr:col>2</xdr:col>
      <xdr:colOff>685800</xdr:colOff>
      <xdr:row>10</xdr:row>
      <xdr:rowOff>19050</xdr:rowOff>
    </xdr:to>
    <xdr:sp macro="" textlink="">
      <xdr:nvSpPr>
        <xdr:cNvPr id="8" name="AutoShape 1"/>
        <xdr:cNvSpPr>
          <a:spLocks noChangeArrowheads="1"/>
        </xdr:cNvSpPr>
      </xdr:nvSpPr>
      <xdr:spPr bwMode="auto">
        <a:xfrm>
          <a:off x="114300" y="1657350"/>
          <a:ext cx="1809750" cy="409575"/>
        </a:xfrm>
        <a:prstGeom prst="roundRect">
          <a:avLst>
            <a:gd name="adj" fmla="val 16667"/>
          </a:avLst>
        </a:prstGeom>
        <a:gradFill rotWithShape="1">
          <a:gsLst>
            <a:gs pos="0">
              <a:srgbClr val="0000FF"/>
            </a:gs>
            <a:gs pos="50000">
              <a:srgbClr val="FFFF00"/>
            </a:gs>
            <a:gs pos="100000">
              <a:srgbClr val="0000FF"/>
            </a:gs>
          </a:gsLst>
          <a:lin ang="5400000" scaled="1"/>
        </a:gradFill>
        <a:ln w="9525">
          <a:solidFill>
            <a:srgbClr val="000000"/>
          </a:solidFill>
          <a:round/>
          <a:headEnd/>
          <a:tailEnd/>
        </a:ln>
      </xdr:spPr>
      <xdr:txBody>
        <a:bodyPr vertOverflow="clip" wrap="square" lIns="36576" tIns="32004" rIns="36576" bIns="32004" anchor="ctr" upright="1"/>
        <a:lstStyle/>
        <a:p>
          <a:pPr algn="ctr" rtl="0">
            <a:defRPr sz="1000"/>
          </a:pPr>
          <a:r>
            <a:rPr lang="en-US" sz="1300" b="1" i="0" u="none" strike="noStrike" baseline="0">
              <a:solidFill>
                <a:srgbClr val="FF0000"/>
              </a:solidFill>
              <a:latin typeface="Calibri"/>
              <a:cs typeface="Calibri"/>
            </a:rPr>
            <a:t>MẦM NON</a:t>
          </a:r>
        </a:p>
      </xdr:txBody>
    </xdr:sp>
    <xdr:clientData/>
  </xdr:twoCellAnchor>
  <xdr:twoCellAnchor>
    <xdr:from>
      <xdr:col>4</xdr:col>
      <xdr:colOff>609600</xdr:colOff>
      <xdr:row>8</xdr:row>
      <xdr:rowOff>0</xdr:rowOff>
    </xdr:from>
    <xdr:to>
      <xdr:col>7</xdr:col>
      <xdr:colOff>561975</xdr:colOff>
      <xdr:row>10</xdr:row>
      <xdr:rowOff>9525</xdr:rowOff>
    </xdr:to>
    <xdr:sp macro="" textlink="">
      <xdr:nvSpPr>
        <xdr:cNvPr id="9" name="AutoShape 9"/>
        <xdr:cNvSpPr>
          <a:spLocks noChangeArrowheads="1"/>
        </xdr:cNvSpPr>
      </xdr:nvSpPr>
      <xdr:spPr bwMode="auto">
        <a:xfrm>
          <a:off x="3562350" y="1647825"/>
          <a:ext cx="1809750" cy="409575"/>
        </a:xfrm>
        <a:prstGeom prst="roundRect">
          <a:avLst>
            <a:gd name="adj" fmla="val 16667"/>
          </a:avLst>
        </a:prstGeom>
        <a:gradFill rotWithShape="1">
          <a:gsLst>
            <a:gs pos="0">
              <a:srgbClr val="0000FF"/>
            </a:gs>
            <a:gs pos="50000">
              <a:srgbClr val="FFFF00"/>
            </a:gs>
            <a:gs pos="100000">
              <a:srgbClr val="0000FF"/>
            </a:gs>
          </a:gsLst>
          <a:lin ang="5400000" scaled="1"/>
        </a:gradFill>
        <a:ln w="9525">
          <a:solidFill>
            <a:srgbClr val="000000"/>
          </a:solidFill>
          <a:round/>
          <a:headEnd/>
          <a:tailEnd/>
        </a:ln>
      </xdr:spPr>
      <xdr:txBody>
        <a:bodyPr vertOverflow="clip" wrap="square" lIns="36576" tIns="32004" rIns="36576" bIns="32004" anchor="ctr" upright="1"/>
        <a:lstStyle/>
        <a:p>
          <a:pPr algn="ctr" rtl="0">
            <a:defRPr sz="1000"/>
          </a:pPr>
          <a:r>
            <a:rPr lang="en-US" sz="1300" b="1" i="0" u="none" strike="noStrike" baseline="0">
              <a:solidFill>
                <a:srgbClr val="FF0000"/>
              </a:solidFill>
              <a:latin typeface="Calibri"/>
              <a:cs typeface="Calibri"/>
            </a:rPr>
            <a:t>TIỂU HỌC</a:t>
          </a:r>
        </a:p>
      </xdr:txBody>
    </xdr:sp>
    <xdr:clientData/>
  </xdr:twoCellAnchor>
  <xdr:twoCellAnchor>
    <xdr:from>
      <xdr:col>10</xdr:col>
      <xdr:colOff>9525</xdr:colOff>
      <xdr:row>8</xdr:row>
      <xdr:rowOff>0</xdr:rowOff>
    </xdr:from>
    <xdr:to>
      <xdr:col>12</xdr:col>
      <xdr:colOff>581025</xdr:colOff>
      <xdr:row>10</xdr:row>
      <xdr:rowOff>9525</xdr:rowOff>
    </xdr:to>
    <xdr:sp macro="" textlink="">
      <xdr:nvSpPr>
        <xdr:cNvPr id="10" name="AutoShape 15"/>
        <xdr:cNvSpPr>
          <a:spLocks noChangeArrowheads="1"/>
        </xdr:cNvSpPr>
      </xdr:nvSpPr>
      <xdr:spPr bwMode="auto">
        <a:xfrm>
          <a:off x="6991350" y="1647825"/>
          <a:ext cx="1809750" cy="409575"/>
        </a:xfrm>
        <a:prstGeom prst="roundRect">
          <a:avLst>
            <a:gd name="adj" fmla="val 16667"/>
          </a:avLst>
        </a:prstGeom>
        <a:gradFill rotWithShape="1">
          <a:gsLst>
            <a:gs pos="0">
              <a:srgbClr val="0000FF"/>
            </a:gs>
            <a:gs pos="50000">
              <a:srgbClr val="FFFF00"/>
            </a:gs>
            <a:gs pos="100000">
              <a:srgbClr val="0000FF"/>
            </a:gs>
          </a:gsLst>
          <a:lin ang="5400000" scaled="1"/>
        </a:gradFill>
        <a:ln w="9525">
          <a:solidFill>
            <a:srgbClr val="000000"/>
          </a:solidFill>
          <a:round/>
          <a:headEnd/>
          <a:tailEnd/>
        </a:ln>
      </xdr:spPr>
      <xdr:txBody>
        <a:bodyPr vertOverflow="clip" wrap="square" lIns="36576" tIns="32004" rIns="36576" bIns="32004" anchor="ctr" upright="1"/>
        <a:lstStyle/>
        <a:p>
          <a:pPr algn="ctr" rtl="0">
            <a:defRPr sz="1000"/>
          </a:pPr>
          <a:r>
            <a:rPr lang="en-US" sz="1300" b="1" i="0" u="none" strike="noStrike" baseline="0">
              <a:solidFill>
                <a:srgbClr val="FF0000"/>
              </a:solidFill>
              <a:latin typeface="Calibri"/>
              <a:cs typeface="Calibri"/>
            </a:rPr>
            <a:t>TRUNG HỌC CƠ SỞ</a:t>
          </a:r>
        </a:p>
      </xdr:txBody>
    </xdr:sp>
    <xdr:clientData/>
  </xdr:twoCellAnchor>
  <xdr:twoCellAnchor>
    <xdr:from>
      <xdr:col>0</xdr:col>
      <xdr:colOff>123824</xdr:colOff>
      <xdr:row>11</xdr:row>
      <xdr:rowOff>9525</xdr:rowOff>
    </xdr:from>
    <xdr:to>
      <xdr:col>2</xdr:col>
      <xdr:colOff>704849</xdr:colOff>
      <xdr:row>12</xdr:row>
      <xdr:rowOff>180975</xdr:rowOff>
    </xdr:to>
    <xdr:sp macro="" textlink="">
      <xdr:nvSpPr>
        <xdr:cNvPr id="11" name="AutoShape 4">
          <a:hlinkClick xmlns:r="http://schemas.openxmlformats.org/officeDocument/2006/relationships" r:id="rId1"/>
        </xdr:cNvPr>
        <xdr:cNvSpPr>
          <a:spLocks noChangeArrowheads="1"/>
        </xdr:cNvSpPr>
      </xdr:nvSpPr>
      <xdr:spPr bwMode="auto">
        <a:xfrm>
          <a:off x="123824" y="2257425"/>
          <a:ext cx="1819275" cy="37147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Danh sách học sinh</a:t>
          </a:r>
        </a:p>
      </xdr:txBody>
    </xdr:sp>
    <xdr:clientData/>
  </xdr:twoCellAnchor>
  <xdr:twoCellAnchor>
    <xdr:from>
      <xdr:col>0</xdr:col>
      <xdr:colOff>123824</xdr:colOff>
      <xdr:row>14</xdr:row>
      <xdr:rowOff>9525</xdr:rowOff>
    </xdr:from>
    <xdr:to>
      <xdr:col>2</xdr:col>
      <xdr:colOff>704849</xdr:colOff>
      <xdr:row>15</xdr:row>
      <xdr:rowOff>161925</xdr:rowOff>
    </xdr:to>
    <xdr:sp macro="" textlink="">
      <xdr:nvSpPr>
        <xdr:cNvPr id="12" name="AutoShape 5">
          <a:hlinkClick xmlns:r="http://schemas.openxmlformats.org/officeDocument/2006/relationships" r:id="rId2"/>
        </xdr:cNvPr>
        <xdr:cNvSpPr>
          <a:spLocks noChangeArrowheads="1"/>
        </xdr:cNvSpPr>
      </xdr:nvSpPr>
      <xdr:spPr bwMode="auto">
        <a:xfrm>
          <a:off x="123824" y="2781300"/>
          <a:ext cx="1819275"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Danh sách CBGVNV</a:t>
          </a:r>
        </a:p>
      </xdr:txBody>
    </xdr:sp>
    <xdr:clientData/>
  </xdr:twoCellAnchor>
  <xdr:twoCellAnchor>
    <xdr:from>
      <xdr:col>0</xdr:col>
      <xdr:colOff>123824</xdr:colOff>
      <xdr:row>20</xdr:row>
      <xdr:rowOff>19050</xdr:rowOff>
    </xdr:from>
    <xdr:to>
      <xdr:col>2</xdr:col>
      <xdr:colOff>704849</xdr:colOff>
      <xdr:row>21</xdr:row>
      <xdr:rowOff>171450</xdr:rowOff>
    </xdr:to>
    <xdr:sp macro="" textlink="">
      <xdr:nvSpPr>
        <xdr:cNvPr id="13" name="AutoShape 6">
          <a:hlinkClick xmlns:r="http://schemas.openxmlformats.org/officeDocument/2006/relationships" r:id="rId3"/>
        </xdr:cNvPr>
        <xdr:cNvSpPr>
          <a:spLocks noChangeArrowheads="1"/>
        </xdr:cNvSpPr>
      </xdr:nvSpPr>
      <xdr:spPr bwMode="auto">
        <a:xfrm>
          <a:off x="123824" y="3876675"/>
          <a:ext cx="1819275"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Học sinh</a:t>
          </a:r>
        </a:p>
      </xdr:txBody>
    </xdr:sp>
    <xdr:clientData/>
  </xdr:twoCellAnchor>
  <xdr:twoCellAnchor>
    <xdr:from>
      <xdr:col>0</xdr:col>
      <xdr:colOff>123824</xdr:colOff>
      <xdr:row>17</xdr:row>
      <xdr:rowOff>19050</xdr:rowOff>
    </xdr:from>
    <xdr:to>
      <xdr:col>2</xdr:col>
      <xdr:colOff>704849</xdr:colOff>
      <xdr:row>18</xdr:row>
      <xdr:rowOff>171450</xdr:rowOff>
    </xdr:to>
    <xdr:sp macro="" textlink="">
      <xdr:nvSpPr>
        <xdr:cNvPr id="14" name="AutoShape 8">
          <a:hlinkClick xmlns:r="http://schemas.openxmlformats.org/officeDocument/2006/relationships" r:id="rId4"/>
        </xdr:cNvPr>
        <xdr:cNvSpPr>
          <a:spLocks noChangeArrowheads="1"/>
        </xdr:cNvSpPr>
      </xdr:nvSpPr>
      <xdr:spPr bwMode="auto">
        <a:xfrm>
          <a:off x="123824" y="3333750"/>
          <a:ext cx="1819275"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Cơ sở vật chất</a:t>
          </a:r>
        </a:p>
      </xdr:txBody>
    </xdr:sp>
    <xdr:clientData/>
  </xdr:twoCellAnchor>
  <xdr:twoCellAnchor>
    <xdr:from>
      <xdr:col>4</xdr:col>
      <xdr:colOff>609600</xdr:colOff>
      <xdr:row>11</xdr:row>
      <xdr:rowOff>0</xdr:rowOff>
    </xdr:from>
    <xdr:to>
      <xdr:col>7</xdr:col>
      <xdr:colOff>561975</xdr:colOff>
      <xdr:row>12</xdr:row>
      <xdr:rowOff>171450</xdr:rowOff>
    </xdr:to>
    <xdr:sp macro="" textlink="">
      <xdr:nvSpPr>
        <xdr:cNvPr id="15" name="AutoShape 10">
          <a:hlinkClick xmlns:r="http://schemas.openxmlformats.org/officeDocument/2006/relationships" r:id="rId5"/>
        </xdr:cNvPr>
        <xdr:cNvSpPr>
          <a:spLocks noChangeArrowheads="1"/>
        </xdr:cNvSpPr>
      </xdr:nvSpPr>
      <xdr:spPr bwMode="auto">
        <a:xfrm>
          <a:off x="3562350" y="2247900"/>
          <a:ext cx="1809750" cy="37147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Danh sách học sinh</a:t>
          </a:r>
        </a:p>
      </xdr:txBody>
    </xdr:sp>
    <xdr:clientData/>
  </xdr:twoCellAnchor>
  <xdr:twoCellAnchor>
    <xdr:from>
      <xdr:col>4</xdr:col>
      <xdr:colOff>609600</xdr:colOff>
      <xdr:row>14</xdr:row>
      <xdr:rowOff>19050</xdr:rowOff>
    </xdr:from>
    <xdr:to>
      <xdr:col>7</xdr:col>
      <xdr:colOff>561975</xdr:colOff>
      <xdr:row>15</xdr:row>
      <xdr:rowOff>171450</xdr:rowOff>
    </xdr:to>
    <xdr:sp macro="" textlink="">
      <xdr:nvSpPr>
        <xdr:cNvPr id="16" name="AutoShape 11">
          <a:hlinkClick xmlns:r="http://schemas.openxmlformats.org/officeDocument/2006/relationships" r:id="rId6"/>
        </xdr:cNvPr>
        <xdr:cNvSpPr>
          <a:spLocks noChangeArrowheads="1"/>
        </xdr:cNvSpPr>
      </xdr:nvSpPr>
      <xdr:spPr bwMode="auto">
        <a:xfrm>
          <a:off x="3562350" y="2790825"/>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Danh sách CBGVNV</a:t>
          </a:r>
        </a:p>
      </xdr:txBody>
    </xdr:sp>
    <xdr:clientData/>
  </xdr:twoCellAnchor>
  <xdr:twoCellAnchor>
    <xdr:from>
      <xdr:col>4</xdr:col>
      <xdr:colOff>609600</xdr:colOff>
      <xdr:row>20</xdr:row>
      <xdr:rowOff>19050</xdr:rowOff>
    </xdr:from>
    <xdr:to>
      <xdr:col>7</xdr:col>
      <xdr:colOff>561975</xdr:colOff>
      <xdr:row>21</xdr:row>
      <xdr:rowOff>171450</xdr:rowOff>
    </xdr:to>
    <xdr:sp macro="" textlink="">
      <xdr:nvSpPr>
        <xdr:cNvPr id="17" name="AutoShape 12">
          <a:hlinkClick xmlns:r="http://schemas.openxmlformats.org/officeDocument/2006/relationships" r:id="rId7"/>
        </xdr:cNvPr>
        <xdr:cNvSpPr>
          <a:spLocks noChangeArrowheads="1"/>
        </xdr:cNvSpPr>
      </xdr:nvSpPr>
      <xdr:spPr bwMode="auto">
        <a:xfrm>
          <a:off x="3562350" y="3876675"/>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Học sinh</a:t>
          </a:r>
        </a:p>
      </xdr:txBody>
    </xdr:sp>
    <xdr:clientData/>
  </xdr:twoCellAnchor>
  <xdr:twoCellAnchor>
    <xdr:from>
      <xdr:col>5</xdr:col>
      <xdr:colOff>0</xdr:colOff>
      <xdr:row>23</xdr:row>
      <xdr:rowOff>28575</xdr:rowOff>
    </xdr:from>
    <xdr:to>
      <xdr:col>7</xdr:col>
      <xdr:colOff>571500</xdr:colOff>
      <xdr:row>24</xdr:row>
      <xdr:rowOff>180975</xdr:rowOff>
    </xdr:to>
    <xdr:sp macro="" textlink="">
      <xdr:nvSpPr>
        <xdr:cNvPr id="18" name="AutoShape 13">
          <a:hlinkClick xmlns:r="http://schemas.openxmlformats.org/officeDocument/2006/relationships" r:id="rId8"/>
        </xdr:cNvPr>
        <xdr:cNvSpPr>
          <a:spLocks noChangeArrowheads="1"/>
        </xdr:cNvSpPr>
      </xdr:nvSpPr>
      <xdr:spPr bwMode="auto">
        <a:xfrm>
          <a:off x="3571875" y="4419600"/>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CBGVNV</a:t>
          </a:r>
        </a:p>
      </xdr:txBody>
    </xdr:sp>
    <xdr:clientData/>
  </xdr:twoCellAnchor>
  <xdr:twoCellAnchor>
    <xdr:from>
      <xdr:col>5</xdr:col>
      <xdr:colOff>0</xdr:colOff>
      <xdr:row>17</xdr:row>
      <xdr:rowOff>28575</xdr:rowOff>
    </xdr:from>
    <xdr:to>
      <xdr:col>7</xdr:col>
      <xdr:colOff>571500</xdr:colOff>
      <xdr:row>18</xdr:row>
      <xdr:rowOff>180975</xdr:rowOff>
    </xdr:to>
    <xdr:sp macro="" textlink="">
      <xdr:nvSpPr>
        <xdr:cNvPr id="19" name="AutoShape 14">
          <a:hlinkClick xmlns:r="http://schemas.openxmlformats.org/officeDocument/2006/relationships" r:id="rId9"/>
        </xdr:cNvPr>
        <xdr:cNvSpPr>
          <a:spLocks noChangeArrowheads="1"/>
        </xdr:cNvSpPr>
      </xdr:nvSpPr>
      <xdr:spPr bwMode="auto">
        <a:xfrm>
          <a:off x="3571875" y="3343275"/>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Cơ sở vật chất</a:t>
          </a:r>
        </a:p>
      </xdr:txBody>
    </xdr:sp>
    <xdr:clientData/>
  </xdr:twoCellAnchor>
  <xdr:twoCellAnchor>
    <xdr:from>
      <xdr:col>10</xdr:col>
      <xdr:colOff>9525</xdr:colOff>
      <xdr:row>11</xdr:row>
      <xdr:rowOff>0</xdr:rowOff>
    </xdr:from>
    <xdr:to>
      <xdr:col>12</xdr:col>
      <xdr:colOff>581025</xdr:colOff>
      <xdr:row>12</xdr:row>
      <xdr:rowOff>171450</xdr:rowOff>
    </xdr:to>
    <xdr:sp macro="" textlink="">
      <xdr:nvSpPr>
        <xdr:cNvPr id="20" name="AutoShape 16">
          <a:hlinkClick xmlns:r="http://schemas.openxmlformats.org/officeDocument/2006/relationships" r:id="rId10"/>
        </xdr:cNvPr>
        <xdr:cNvSpPr>
          <a:spLocks noChangeArrowheads="1"/>
        </xdr:cNvSpPr>
      </xdr:nvSpPr>
      <xdr:spPr bwMode="auto">
        <a:xfrm>
          <a:off x="6991350" y="2247900"/>
          <a:ext cx="1809750" cy="37147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Danh sách học sinh</a:t>
          </a:r>
        </a:p>
      </xdr:txBody>
    </xdr:sp>
    <xdr:clientData/>
  </xdr:twoCellAnchor>
  <xdr:twoCellAnchor>
    <xdr:from>
      <xdr:col>10</xdr:col>
      <xdr:colOff>0</xdr:colOff>
      <xdr:row>14</xdr:row>
      <xdr:rowOff>19050</xdr:rowOff>
    </xdr:from>
    <xdr:to>
      <xdr:col>12</xdr:col>
      <xdr:colOff>571500</xdr:colOff>
      <xdr:row>15</xdr:row>
      <xdr:rowOff>171450</xdr:rowOff>
    </xdr:to>
    <xdr:sp macro="" textlink="">
      <xdr:nvSpPr>
        <xdr:cNvPr id="21" name="AutoShape 17">
          <a:hlinkClick xmlns:r="http://schemas.openxmlformats.org/officeDocument/2006/relationships" r:id="rId11"/>
        </xdr:cNvPr>
        <xdr:cNvSpPr>
          <a:spLocks noChangeArrowheads="1"/>
        </xdr:cNvSpPr>
      </xdr:nvSpPr>
      <xdr:spPr bwMode="auto">
        <a:xfrm>
          <a:off x="6981825" y="2790825"/>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Danh sách CBGVNV</a:t>
          </a:r>
        </a:p>
      </xdr:txBody>
    </xdr:sp>
    <xdr:clientData/>
  </xdr:twoCellAnchor>
  <xdr:twoCellAnchor>
    <xdr:from>
      <xdr:col>10</xdr:col>
      <xdr:colOff>0</xdr:colOff>
      <xdr:row>20</xdr:row>
      <xdr:rowOff>9525</xdr:rowOff>
    </xdr:from>
    <xdr:to>
      <xdr:col>12</xdr:col>
      <xdr:colOff>571500</xdr:colOff>
      <xdr:row>21</xdr:row>
      <xdr:rowOff>161925</xdr:rowOff>
    </xdr:to>
    <xdr:sp macro="" textlink="">
      <xdr:nvSpPr>
        <xdr:cNvPr id="22" name="AutoShape 18">
          <a:hlinkClick xmlns:r="http://schemas.openxmlformats.org/officeDocument/2006/relationships" r:id="rId12"/>
        </xdr:cNvPr>
        <xdr:cNvSpPr>
          <a:spLocks noChangeArrowheads="1"/>
        </xdr:cNvSpPr>
      </xdr:nvSpPr>
      <xdr:spPr bwMode="auto">
        <a:xfrm>
          <a:off x="6981825" y="3867150"/>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Học sinh</a:t>
          </a:r>
        </a:p>
      </xdr:txBody>
    </xdr:sp>
    <xdr:clientData/>
  </xdr:twoCellAnchor>
  <xdr:twoCellAnchor>
    <xdr:from>
      <xdr:col>10</xdr:col>
      <xdr:colOff>0</xdr:colOff>
      <xdr:row>23</xdr:row>
      <xdr:rowOff>19050</xdr:rowOff>
    </xdr:from>
    <xdr:to>
      <xdr:col>12</xdr:col>
      <xdr:colOff>571500</xdr:colOff>
      <xdr:row>24</xdr:row>
      <xdr:rowOff>171450</xdr:rowOff>
    </xdr:to>
    <xdr:sp macro="" textlink="">
      <xdr:nvSpPr>
        <xdr:cNvPr id="23" name="AutoShape 19">
          <a:hlinkClick xmlns:r="http://schemas.openxmlformats.org/officeDocument/2006/relationships" r:id="rId13"/>
        </xdr:cNvPr>
        <xdr:cNvSpPr>
          <a:spLocks noChangeArrowheads="1"/>
        </xdr:cNvSpPr>
      </xdr:nvSpPr>
      <xdr:spPr bwMode="auto">
        <a:xfrm>
          <a:off x="6981825" y="4410075"/>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CBGVNV</a:t>
          </a:r>
        </a:p>
      </xdr:txBody>
    </xdr:sp>
    <xdr:clientData/>
  </xdr:twoCellAnchor>
  <xdr:twoCellAnchor>
    <xdr:from>
      <xdr:col>10</xdr:col>
      <xdr:colOff>9525</xdr:colOff>
      <xdr:row>17</xdr:row>
      <xdr:rowOff>28575</xdr:rowOff>
    </xdr:from>
    <xdr:to>
      <xdr:col>12</xdr:col>
      <xdr:colOff>581025</xdr:colOff>
      <xdr:row>18</xdr:row>
      <xdr:rowOff>180975</xdr:rowOff>
    </xdr:to>
    <xdr:sp macro="" textlink="">
      <xdr:nvSpPr>
        <xdr:cNvPr id="24" name="AutoShape 20">
          <a:hlinkClick xmlns:r="http://schemas.openxmlformats.org/officeDocument/2006/relationships" r:id="rId14"/>
        </xdr:cNvPr>
        <xdr:cNvSpPr>
          <a:spLocks noChangeArrowheads="1"/>
        </xdr:cNvSpPr>
      </xdr:nvSpPr>
      <xdr:spPr bwMode="auto">
        <a:xfrm>
          <a:off x="6991350" y="3343275"/>
          <a:ext cx="1809750"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Cơ sở vật chất</a:t>
          </a:r>
        </a:p>
      </xdr:txBody>
    </xdr:sp>
    <xdr:clientData/>
  </xdr:twoCellAnchor>
  <xdr:twoCellAnchor>
    <xdr:from>
      <xdr:col>10</xdr:col>
      <xdr:colOff>0</xdr:colOff>
      <xdr:row>26</xdr:row>
      <xdr:rowOff>9525</xdr:rowOff>
    </xdr:from>
    <xdr:to>
      <xdr:col>12</xdr:col>
      <xdr:colOff>571500</xdr:colOff>
      <xdr:row>28</xdr:row>
      <xdr:rowOff>133350</xdr:rowOff>
    </xdr:to>
    <xdr:sp macro="" textlink="">
      <xdr:nvSpPr>
        <xdr:cNvPr id="25" name="AutoShape 13">
          <a:hlinkClick xmlns:r="http://schemas.openxmlformats.org/officeDocument/2006/relationships" r:id="rId15"/>
        </xdr:cNvPr>
        <xdr:cNvSpPr>
          <a:spLocks noChangeArrowheads="1"/>
        </xdr:cNvSpPr>
      </xdr:nvSpPr>
      <xdr:spPr bwMode="auto">
        <a:xfrm>
          <a:off x="6981825" y="4933950"/>
          <a:ext cx="1809750" cy="52387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a:t>
          </a:r>
          <a:r>
            <a:rPr lang="vi-VN" sz="1300" b="1" i="0" u="none" strike="noStrike" baseline="0">
              <a:solidFill>
                <a:srgbClr val="0000FF"/>
              </a:solidFill>
              <a:latin typeface="Calibri"/>
              <a:cs typeface="Calibri"/>
            </a:rPr>
            <a:t> Tuổi</a:t>
          </a:r>
        </a:p>
        <a:p>
          <a:pPr algn="ctr" rtl="0">
            <a:defRPr sz="1000"/>
          </a:pPr>
          <a:r>
            <a:rPr lang="vi-VN" sz="1300" b="1" i="0" u="none" strike="noStrike" baseline="0">
              <a:solidFill>
                <a:srgbClr val="0000FF"/>
              </a:solidFill>
              <a:latin typeface="Calibri"/>
              <a:cs typeface="Calibri"/>
            </a:rPr>
            <a:t>và TNTCS năm qua</a:t>
          </a:r>
          <a:endParaRPr lang="en-US" sz="1300" b="1" i="0" u="none" strike="noStrike" baseline="0">
            <a:solidFill>
              <a:srgbClr val="0000FF"/>
            </a:solidFill>
            <a:latin typeface="Calibri"/>
            <a:cs typeface="Calibri"/>
          </a:endParaRPr>
        </a:p>
      </xdr:txBody>
    </xdr:sp>
    <xdr:clientData/>
  </xdr:twoCellAnchor>
  <xdr:twoCellAnchor>
    <xdr:from>
      <xdr:col>4</xdr:col>
      <xdr:colOff>609600</xdr:colOff>
      <xdr:row>26</xdr:row>
      <xdr:rowOff>19050</xdr:rowOff>
    </xdr:from>
    <xdr:to>
      <xdr:col>7</xdr:col>
      <xdr:colOff>561975</xdr:colOff>
      <xdr:row>28</xdr:row>
      <xdr:rowOff>142875</xdr:rowOff>
    </xdr:to>
    <xdr:sp macro="" textlink="">
      <xdr:nvSpPr>
        <xdr:cNvPr id="26" name="AutoShape 13">
          <a:hlinkClick xmlns:r="http://schemas.openxmlformats.org/officeDocument/2006/relationships" r:id="rId16"/>
        </xdr:cNvPr>
        <xdr:cNvSpPr>
          <a:spLocks noChangeArrowheads="1"/>
        </xdr:cNvSpPr>
      </xdr:nvSpPr>
      <xdr:spPr bwMode="auto">
        <a:xfrm>
          <a:off x="3562350" y="4943475"/>
          <a:ext cx="1809750" cy="52387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a:t>
          </a:r>
          <a:r>
            <a:rPr lang="vi-VN" sz="1300" b="1" i="0" u="none" strike="noStrike" baseline="0">
              <a:solidFill>
                <a:srgbClr val="0000FF"/>
              </a:solidFill>
              <a:latin typeface="Calibri"/>
              <a:cs typeface="Calibri"/>
            </a:rPr>
            <a:t> Tuổi</a:t>
          </a:r>
        </a:p>
        <a:p>
          <a:pPr algn="ctr" rtl="0">
            <a:defRPr sz="1000"/>
          </a:pPr>
          <a:r>
            <a:rPr lang="vi-VN" sz="1300" b="1" i="0" u="none" strike="noStrike" baseline="0">
              <a:solidFill>
                <a:srgbClr val="0000FF"/>
              </a:solidFill>
              <a:latin typeface="Calibri"/>
              <a:cs typeface="Calibri"/>
            </a:rPr>
            <a:t>và HTCTTH năm qua</a:t>
          </a:r>
          <a:endParaRPr lang="en-US" sz="1300" b="1" i="0" u="none" strike="noStrike" baseline="0">
            <a:solidFill>
              <a:srgbClr val="0000FF"/>
            </a:solidFill>
            <a:latin typeface="Calibri"/>
            <a:cs typeface="Calibri"/>
          </a:endParaRPr>
        </a:p>
      </xdr:txBody>
    </xdr:sp>
    <xdr:clientData/>
  </xdr:twoCellAnchor>
  <xdr:twoCellAnchor>
    <xdr:from>
      <xdr:col>0</xdr:col>
      <xdr:colOff>123824</xdr:colOff>
      <xdr:row>26</xdr:row>
      <xdr:rowOff>19050</xdr:rowOff>
    </xdr:from>
    <xdr:to>
      <xdr:col>2</xdr:col>
      <xdr:colOff>704849</xdr:colOff>
      <xdr:row>28</xdr:row>
      <xdr:rowOff>142875</xdr:rowOff>
    </xdr:to>
    <xdr:sp macro="" textlink="">
      <xdr:nvSpPr>
        <xdr:cNvPr id="27" name="AutoShape 13">
          <a:hlinkClick xmlns:r="http://schemas.openxmlformats.org/officeDocument/2006/relationships" r:id="rId17"/>
        </xdr:cNvPr>
        <xdr:cNvSpPr>
          <a:spLocks noChangeArrowheads="1"/>
        </xdr:cNvSpPr>
      </xdr:nvSpPr>
      <xdr:spPr bwMode="auto">
        <a:xfrm>
          <a:off x="123824" y="4943475"/>
          <a:ext cx="1819275" cy="52387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a:t>
          </a:r>
          <a:r>
            <a:rPr lang="vi-VN" sz="1300" b="1" i="0" u="none" strike="noStrike" baseline="0">
              <a:solidFill>
                <a:srgbClr val="0000FF"/>
              </a:solidFill>
              <a:latin typeface="Calibri"/>
              <a:cs typeface="Calibri"/>
            </a:rPr>
            <a:t> độ Tuổi</a:t>
          </a:r>
        </a:p>
        <a:p>
          <a:pPr algn="ctr" rtl="0">
            <a:defRPr sz="1000"/>
          </a:pPr>
          <a:r>
            <a:rPr lang="vi-VN" sz="1300" b="1" i="0" u="none" strike="noStrike" baseline="0">
              <a:solidFill>
                <a:srgbClr val="0000FF"/>
              </a:solidFill>
              <a:latin typeface="Calibri"/>
              <a:cs typeface="Calibri"/>
            </a:rPr>
            <a:t>vào Mầm non</a:t>
          </a:r>
          <a:endParaRPr lang="en-US" sz="1300" b="1" i="0" u="none" strike="noStrike" baseline="0">
            <a:solidFill>
              <a:srgbClr val="0000FF"/>
            </a:solidFill>
            <a:latin typeface="Calibri"/>
            <a:cs typeface="Calibri"/>
          </a:endParaRPr>
        </a:p>
      </xdr:txBody>
    </xdr:sp>
    <xdr:clientData/>
  </xdr:twoCellAnchor>
  <xdr:twoCellAnchor>
    <xdr:from>
      <xdr:col>0</xdr:col>
      <xdr:colOff>123824</xdr:colOff>
      <xdr:row>23</xdr:row>
      <xdr:rowOff>19050</xdr:rowOff>
    </xdr:from>
    <xdr:to>
      <xdr:col>2</xdr:col>
      <xdr:colOff>704849</xdr:colOff>
      <xdr:row>24</xdr:row>
      <xdr:rowOff>171450</xdr:rowOff>
    </xdr:to>
    <xdr:sp macro="" textlink="">
      <xdr:nvSpPr>
        <xdr:cNvPr id="28" name="AutoShape 13">
          <a:hlinkClick xmlns:r="http://schemas.openxmlformats.org/officeDocument/2006/relationships" r:id="rId18"/>
        </xdr:cNvPr>
        <xdr:cNvSpPr>
          <a:spLocks noChangeArrowheads="1"/>
        </xdr:cNvSpPr>
      </xdr:nvSpPr>
      <xdr:spPr bwMode="auto">
        <a:xfrm>
          <a:off x="123824" y="4410075"/>
          <a:ext cx="1819275" cy="352425"/>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300" b="1" i="0" u="none" strike="noStrike" baseline="0">
              <a:solidFill>
                <a:srgbClr val="0000FF"/>
              </a:solidFill>
              <a:latin typeface="Calibri"/>
              <a:cs typeface="Calibri"/>
            </a:rPr>
            <a:t>Thống kê CBGVNV</a:t>
          </a:r>
        </a:p>
      </xdr:txBody>
    </xdr:sp>
    <xdr:clientData/>
  </xdr:twoCellAnchor>
  <xdr:twoCellAnchor>
    <xdr:from>
      <xdr:col>15</xdr:col>
      <xdr:colOff>228600</xdr:colOff>
      <xdr:row>0</xdr:row>
      <xdr:rowOff>0</xdr:rowOff>
    </xdr:from>
    <xdr:to>
      <xdr:col>18</xdr:col>
      <xdr:colOff>19050</xdr:colOff>
      <xdr:row>3</xdr:row>
      <xdr:rowOff>47625</xdr:rowOff>
    </xdr:to>
    <xdr:sp macro="" textlink="">
      <xdr:nvSpPr>
        <xdr:cNvPr id="29" name="TextBox 28"/>
        <xdr:cNvSpPr txBox="1"/>
      </xdr:nvSpPr>
      <xdr:spPr>
        <a:xfrm>
          <a:off x="10039350" y="0"/>
          <a:ext cx="1419225" cy="638175"/>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5</xdr:col>
      <xdr:colOff>0</xdr:colOff>
      <xdr:row>29</xdr:row>
      <xdr:rowOff>95251</xdr:rowOff>
    </xdr:from>
    <xdr:to>
      <xdr:col>7</xdr:col>
      <xdr:colOff>571500</xdr:colOff>
      <xdr:row>32</xdr:row>
      <xdr:rowOff>19050</xdr:rowOff>
    </xdr:to>
    <xdr:sp macro="" textlink="">
      <xdr:nvSpPr>
        <xdr:cNvPr id="31" name="AutoShape 13">
          <a:hlinkClick xmlns:r="http://schemas.openxmlformats.org/officeDocument/2006/relationships" r:id="rId19"/>
        </xdr:cNvPr>
        <xdr:cNvSpPr>
          <a:spLocks noChangeArrowheads="1"/>
        </xdr:cNvSpPr>
      </xdr:nvSpPr>
      <xdr:spPr bwMode="auto">
        <a:xfrm>
          <a:off x="3571875" y="5762626"/>
          <a:ext cx="1809750" cy="457199"/>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r>
            <a:rPr lang="en-US" sz="1100" b="1" i="0" baseline="0">
              <a:solidFill>
                <a:srgbClr val="0000CC"/>
              </a:solidFill>
              <a:latin typeface="+mn-lt"/>
              <a:ea typeface="+mn-ea"/>
              <a:cs typeface="+mn-cs"/>
            </a:rPr>
            <a:t>Danh sách HS chuyển đi (hoặc Bỏ học) năm trước</a:t>
          </a:r>
          <a:endParaRPr lang="en-US">
            <a:solidFill>
              <a:srgbClr val="0000CC"/>
            </a:solidFill>
          </a:endParaRPr>
        </a:p>
      </xdr:txBody>
    </xdr:sp>
    <xdr:clientData/>
  </xdr:twoCellAnchor>
  <xdr:twoCellAnchor>
    <xdr:from>
      <xdr:col>0</xdr:col>
      <xdr:colOff>28575</xdr:colOff>
      <xdr:row>7</xdr:row>
      <xdr:rowOff>28575</xdr:rowOff>
    </xdr:from>
    <xdr:to>
      <xdr:col>14</xdr:col>
      <xdr:colOff>0</xdr:colOff>
      <xdr:row>37</xdr:row>
      <xdr:rowOff>9524</xdr:rowOff>
    </xdr:to>
    <xdr:sp macro="" textlink="">
      <xdr:nvSpPr>
        <xdr:cNvPr id="33" name="Rectangle 32"/>
        <xdr:cNvSpPr/>
      </xdr:nvSpPr>
      <xdr:spPr>
        <a:xfrm>
          <a:off x="28575" y="1409700"/>
          <a:ext cx="9744075" cy="5791199"/>
        </a:xfrm>
        <a:prstGeom prst="rect">
          <a:avLst/>
        </a:prstGeom>
        <a:noFill/>
        <a:ln w="28575"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10</xdr:col>
      <xdr:colOff>9525</xdr:colOff>
      <xdr:row>29</xdr:row>
      <xdr:rowOff>114301</xdr:rowOff>
    </xdr:from>
    <xdr:to>
      <xdr:col>12</xdr:col>
      <xdr:colOff>561975</xdr:colOff>
      <xdr:row>32</xdr:row>
      <xdr:rowOff>38100</xdr:rowOff>
    </xdr:to>
    <xdr:sp macro="" textlink="">
      <xdr:nvSpPr>
        <xdr:cNvPr id="32" name="AutoShape 13">
          <a:hlinkClick xmlns:r="http://schemas.openxmlformats.org/officeDocument/2006/relationships" r:id="rId20"/>
        </xdr:cNvPr>
        <xdr:cNvSpPr>
          <a:spLocks noChangeArrowheads="1"/>
        </xdr:cNvSpPr>
      </xdr:nvSpPr>
      <xdr:spPr bwMode="auto">
        <a:xfrm>
          <a:off x="6991350" y="5781676"/>
          <a:ext cx="1790700" cy="457199"/>
        </a:xfrm>
        <a:prstGeom prst="roundRect">
          <a:avLst>
            <a:gd name="adj" fmla="val 16667"/>
          </a:avLst>
        </a:prstGeom>
        <a:noFill/>
        <a:ln w="9525">
          <a:solidFill>
            <a:srgbClr val="000000"/>
          </a:solidFill>
          <a:round/>
          <a:headEnd/>
          <a:tailEnd/>
        </a:ln>
        <a:extLst/>
      </xdr:spPr>
      <xdr:txBody>
        <a:bodyPr vertOverflow="clip" wrap="square" lIns="36576" tIns="32004" rIns="36576" bIns="32004" anchor="ctr" upright="1"/>
        <a:lstStyle/>
        <a:p>
          <a:pPr algn="ctr" rtl="0">
            <a:defRPr sz="1000"/>
          </a:pPr>
          <a:r>
            <a:rPr lang="en-US" sz="1100" b="1" i="0" u="none" strike="noStrike" baseline="0">
              <a:solidFill>
                <a:srgbClr val="0000FF"/>
              </a:solidFill>
              <a:latin typeface="Calibri"/>
              <a:cs typeface="Calibri"/>
            </a:rPr>
            <a:t>Danh sách HS chuyển đi (hoặc Bỏ học) năm trước</a:t>
          </a:r>
        </a:p>
      </xdr:txBody>
    </xdr:sp>
    <xdr:clientData/>
  </xdr:twoCellAnchor>
  <xdr:twoCellAnchor>
    <xdr:from>
      <xdr:col>14</xdr:col>
      <xdr:colOff>161924</xdr:colOff>
      <xdr:row>15</xdr:row>
      <xdr:rowOff>57150</xdr:rowOff>
    </xdr:from>
    <xdr:to>
      <xdr:col>19</xdr:col>
      <xdr:colOff>76200</xdr:colOff>
      <xdr:row>22</xdr:row>
      <xdr:rowOff>95250</xdr:rowOff>
    </xdr:to>
    <xdr:sp macro="" textlink="">
      <xdr:nvSpPr>
        <xdr:cNvPr id="2" name="TextBox 1"/>
        <xdr:cNvSpPr txBox="1"/>
      </xdr:nvSpPr>
      <xdr:spPr>
        <a:xfrm>
          <a:off x="9658349" y="3009900"/>
          <a:ext cx="2476501" cy="138112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u="sng"/>
            <a:t>* Lưu</a:t>
          </a:r>
          <a:r>
            <a:rPr lang="en-US" sz="1100" b="1" u="sng" baseline="0"/>
            <a:t> ý: </a:t>
          </a:r>
          <a:r>
            <a:rPr lang="en-US" sz="1100" b="1" baseline="0"/>
            <a:t>Khi nhập ô (cột) Tổ/Thôn DP</a:t>
          </a:r>
        </a:p>
        <a:p>
          <a:pPr algn="just"/>
          <a:r>
            <a:rPr lang="en-US" sz="1100" b="1" baseline="0">
              <a:solidFill>
                <a:srgbClr val="FF0000"/>
              </a:solidFill>
            </a:rPr>
            <a:t>- Hòa Bình*: Phường Cam Nghĩa</a:t>
          </a:r>
        </a:p>
        <a:p>
          <a:pPr algn="just"/>
          <a:r>
            <a:rPr lang="en-US" sz="1100" b="1" baseline="0">
              <a:solidFill>
                <a:srgbClr val="0000CC"/>
              </a:solidFill>
            </a:rPr>
            <a:t>- Hòa Bình : xã Cam Phước Đông</a:t>
          </a:r>
          <a:endParaRPr lang="en-US" sz="1100" b="0" baseline="0">
            <a:solidFill>
              <a:srgbClr val="0000CC"/>
            </a:solidFill>
          </a:endParaRPr>
        </a:p>
        <a:p>
          <a:pPr algn="just"/>
          <a:r>
            <a:rPr lang="en-US" sz="1100" b="0" baseline="0">
              <a:solidFill>
                <a:schemeClr val="tx1"/>
              </a:solidFill>
            </a:rPr>
            <a:t>- Khánh Sơn, Cam Lâm, Khánh Vĩnh, Diên Khánh, Nha Trang, Ninh Hòa, Vạn Ninh</a:t>
          </a:r>
          <a:r>
            <a:rPr lang="en-US" sz="1100" b="1" baseline="0">
              <a:solidFill>
                <a:srgbClr val="0000CC"/>
              </a:solidFill>
            </a:rPr>
            <a:t>: Huyện khác (Ngoài 5 xã/phường)</a:t>
          </a:r>
        </a:p>
        <a:p>
          <a:pPr algn="just"/>
          <a:r>
            <a:rPr lang="en-US" sz="1100" b="0" baseline="0">
              <a:solidFill>
                <a:schemeClr val="tx1"/>
              </a:solidFill>
            </a:rPr>
            <a:t>- (/ ) hoặc (* )</a:t>
          </a:r>
          <a:r>
            <a:rPr lang="en-US" sz="1100" b="0" baseline="0">
              <a:solidFill>
                <a:srgbClr val="0000CC"/>
              </a:solidFill>
            </a:rPr>
            <a:t>: </a:t>
          </a:r>
          <a:r>
            <a:rPr lang="en-US" sz="1100" b="1" baseline="0">
              <a:solidFill>
                <a:srgbClr val="FF0000"/>
              </a:solidFill>
            </a:rPr>
            <a:t>Tỉnh khác</a:t>
          </a:r>
          <a:endParaRPr lang="en-US" sz="11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47625</xdr:colOff>
      <xdr:row>1</xdr:row>
      <xdr:rowOff>123825</xdr:rowOff>
    </xdr:from>
    <xdr:to>
      <xdr:col>20</xdr:col>
      <xdr:colOff>428625</xdr:colOff>
      <xdr:row>3</xdr:row>
      <xdr:rowOff>76200</xdr:rowOff>
    </xdr:to>
    <xdr:sp macro="" textlink="">
      <xdr:nvSpPr>
        <xdr:cNvPr id="2" name="AutoShape 2">
          <a:hlinkClick xmlns:r="http://schemas.openxmlformats.org/officeDocument/2006/relationships" r:id="rId1"/>
        </xdr:cNvPr>
        <xdr:cNvSpPr>
          <a:spLocks noChangeArrowheads="1"/>
        </xdr:cNvSpPr>
      </xdr:nvSpPr>
      <xdr:spPr bwMode="auto">
        <a:xfrm>
          <a:off x="10248900" y="409575"/>
          <a:ext cx="790575" cy="409575"/>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323850</xdr:colOff>
      <xdr:row>0</xdr:row>
      <xdr:rowOff>190501</xdr:rowOff>
    </xdr:from>
    <xdr:to>
      <xdr:col>25</xdr:col>
      <xdr:colOff>504825</xdr:colOff>
      <xdr:row>2</xdr:row>
      <xdr:rowOff>180976</xdr:rowOff>
    </xdr:to>
    <xdr:sp macro="" textlink="">
      <xdr:nvSpPr>
        <xdr:cNvPr id="2" name="AutoShape 2">
          <a:hlinkClick xmlns:r="http://schemas.openxmlformats.org/officeDocument/2006/relationships" r:id="rId1"/>
        </xdr:cNvPr>
        <xdr:cNvSpPr>
          <a:spLocks noChangeArrowheads="1"/>
        </xdr:cNvSpPr>
      </xdr:nvSpPr>
      <xdr:spPr bwMode="auto">
        <a:xfrm>
          <a:off x="10096500" y="190501"/>
          <a:ext cx="866775" cy="476250"/>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55245</xdr:colOff>
      <xdr:row>2</xdr:row>
      <xdr:rowOff>9525</xdr:rowOff>
    </xdr:from>
    <xdr:to>
      <xdr:col>1</xdr:col>
      <xdr:colOff>47625</xdr:colOff>
      <xdr:row>2</xdr:row>
      <xdr:rowOff>257175</xdr:rowOff>
    </xdr:to>
    <xdr:sp macro="" textlink="">
      <xdr:nvSpPr>
        <xdr:cNvPr id="2" name="AutoShape 9">
          <a:hlinkClick xmlns:r="http://schemas.openxmlformats.org/officeDocument/2006/relationships" r:id="rId1"/>
        </xdr:cNvPr>
        <xdr:cNvSpPr>
          <a:spLocks noChangeArrowheads="1"/>
        </xdr:cNvSpPr>
      </xdr:nvSpPr>
      <xdr:spPr bwMode="auto">
        <a:xfrm>
          <a:off x="55245" y="447675"/>
          <a:ext cx="382905" cy="247650"/>
        </a:xfrm>
        <a:prstGeom prst="leftArrow">
          <a:avLst>
            <a:gd name="adj1" fmla="val 41176"/>
            <a:gd name="adj2" fmla="val 54904"/>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endParaRPr lang="en-US" sz="800" b="1" i="0" u="none" strike="noStrike" baseline="0">
            <a:solidFill>
              <a:srgbClr val="000000"/>
            </a:solidFill>
            <a:latin typeface="Calibri"/>
            <a:cs typeface="Calibri"/>
          </a:endParaRPr>
        </a:p>
      </xdr:txBody>
    </xdr:sp>
    <xdr:clientData/>
  </xdr:twoCellAnchor>
  <xdr:twoCellAnchor>
    <xdr:from>
      <xdr:col>2</xdr:col>
      <xdr:colOff>60536</xdr:colOff>
      <xdr:row>2</xdr:row>
      <xdr:rowOff>0</xdr:rowOff>
    </xdr:from>
    <xdr:to>
      <xdr:col>3</xdr:col>
      <xdr:colOff>1134494</xdr:colOff>
      <xdr:row>2</xdr:row>
      <xdr:rowOff>0</xdr:rowOff>
    </xdr:to>
    <xdr:cxnSp macro="">
      <xdr:nvCxnSpPr>
        <xdr:cNvPr id="3" name="Straight Connector 2"/>
        <xdr:cNvCxnSpPr/>
      </xdr:nvCxnSpPr>
      <xdr:spPr>
        <a:xfrm>
          <a:off x="727286" y="438150"/>
          <a:ext cx="13882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217170</xdr:colOff>
      <xdr:row>0</xdr:row>
      <xdr:rowOff>9525</xdr:rowOff>
    </xdr:from>
    <xdr:to>
      <xdr:col>10</xdr:col>
      <xdr:colOff>550478</xdr:colOff>
      <xdr:row>2</xdr:row>
      <xdr:rowOff>9525</xdr:rowOff>
    </xdr:to>
    <xdr:sp macro="" textlink="">
      <xdr:nvSpPr>
        <xdr:cNvPr id="2" name="AutoShape 6">
          <a:hlinkClick xmlns:r="http://schemas.openxmlformats.org/officeDocument/2006/relationships" r:id="rId1"/>
        </xdr:cNvPr>
        <xdr:cNvSpPr>
          <a:spLocks noChangeArrowheads="1"/>
        </xdr:cNvSpPr>
      </xdr:nvSpPr>
      <xdr:spPr bwMode="auto">
        <a:xfrm>
          <a:off x="5589270" y="9525"/>
          <a:ext cx="857183" cy="400050"/>
        </a:xfrm>
        <a:prstGeom prst="leftArrow">
          <a:avLst>
            <a:gd name="adj1" fmla="val 41176"/>
            <a:gd name="adj2" fmla="val 61426"/>
          </a:avLst>
        </a:prstGeom>
        <a:solidFill>
          <a:srgbClr val="FFFF99"/>
        </a:solidFill>
        <a:ln w="9525">
          <a:solidFill>
            <a:srgbClr val="000000"/>
          </a:solidFill>
          <a:miter lim="800000"/>
          <a:headEnd/>
          <a:tailEnd/>
        </a:ln>
      </xdr:spPr>
      <xdr:txBody>
        <a:bodyPr vertOverflow="clip" wrap="square" lIns="27432" tIns="22860" rIns="0" bIns="22860" anchor="ctr" upright="1"/>
        <a:lstStyle/>
        <a:p>
          <a:pPr algn="l" rtl="0">
            <a:defRPr sz="1000"/>
          </a:pPr>
          <a:r>
            <a:rPr lang="en-US" sz="800" b="1" i="0" u="none" strike="noStrike" baseline="0">
              <a:solidFill>
                <a:srgbClr val="000000"/>
              </a:solidFill>
              <a:latin typeface="Calibri"/>
              <a:cs typeface="Calibri"/>
            </a:rPr>
            <a:t>Về trang chính</a:t>
          </a:r>
        </a:p>
      </xdr:txBody>
    </xdr:sp>
    <xdr:clientData/>
  </xdr:twoCellAnchor>
  <xdr:twoCellAnchor>
    <xdr:from>
      <xdr:col>0</xdr:col>
      <xdr:colOff>533400</xdr:colOff>
      <xdr:row>2</xdr:row>
      <xdr:rowOff>0</xdr:rowOff>
    </xdr:from>
    <xdr:to>
      <xdr:col>2</xdr:col>
      <xdr:colOff>504825</xdr:colOff>
      <xdr:row>2</xdr:row>
      <xdr:rowOff>0</xdr:rowOff>
    </xdr:to>
    <xdr:sp macro="" textlink="">
      <xdr:nvSpPr>
        <xdr:cNvPr id="3" name="Line 38"/>
        <xdr:cNvSpPr>
          <a:spLocks noChangeShapeType="1"/>
        </xdr:cNvSpPr>
      </xdr:nvSpPr>
      <xdr:spPr bwMode="auto">
        <a:xfrm>
          <a:off x="533400" y="400050"/>
          <a:ext cx="167640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S_NgoaiDiaBan_CamLoc201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MRANH%20COMPUTER\Desktop\CL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MRANH%20COMPUTER\Desktop\NKhuy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RANH%20COMPUTER\Desktop\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ongDan"/>
      <sheetName val="DanhSach_NgoaiDiaBan"/>
      <sheetName val="DuLieu"/>
      <sheetName val="TK_DiaBanTheoKhoiLop"/>
      <sheetName val="TK_DiaBanTheoTuoi"/>
    </sheetNames>
    <sheetDataSet>
      <sheetData sheetId="0"/>
      <sheetData sheetId="1"/>
      <sheetData sheetId="2" refreshError="1">
        <row r="2">
          <cell r="B2" t="str">
            <v>Tịnh độ cư sĩ Phật hội Việt Nam</v>
          </cell>
          <cell r="C2" t="str">
            <v>Kinh</v>
          </cell>
          <cell r="D2" t="str">
            <v>Thường trú</v>
          </cell>
          <cell r="E2" t="str">
            <v>Vắng</v>
          </cell>
          <cell r="F2" t="str">
            <v>Con liệt sĩ</v>
          </cell>
          <cell r="G2" t="str">
            <v>3-12 tháng</v>
          </cell>
          <cell r="H2" t="str">
            <v>X</v>
          </cell>
          <cell r="I2" t="str">
            <v>Chuyển đi</v>
          </cell>
          <cell r="J2" t="str">
            <v>MN</v>
          </cell>
          <cell r="M2">
            <v>1</v>
          </cell>
          <cell r="N2">
            <v>3</v>
          </cell>
          <cell r="U2">
            <v>2013</v>
          </cell>
        </row>
        <row r="3">
          <cell r="B3" t="str">
            <v>Đạo Bửu Sơn Kỳ Hương</v>
          </cell>
          <cell r="C3" t="str">
            <v>Tày</v>
          </cell>
          <cell r="D3" t="str">
            <v>Tạm trú</v>
          </cell>
          <cell r="E3" t="str">
            <v>Lưu Trú</v>
          </cell>
          <cell r="F3" t="str">
            <v>Con thương binh nặng 1/4</v>
          </cell>
          <cell r="G3" t="str">
            <v>13-24 tháng</v>
          </cell>
          <cell r="I3" t="str">
            <v>Chuyển đến</v>
          </cell>
          <cell r="J3" t="str">
            <v>TH</v>
          </cell>
          <cell r="M3">
            <v>2</v>
          </cell>
          <cell r="N3">
            <v>5</v>
          </cell>
          <cell r="U3">
            <v>2014</v>
          </cell>
        </row>
        <row r="4">
          <cell r="B4" t="str">
            <v>Bà-la-môn</v>
          </cell>
          <cell r="C4" t="str">
            <v>Thái</v>
          </cell>
          <cell r="F4" t="str">
            <v>Con thương binh 2/4</v>
          </cell>
          <cell r="G4" t="str">
            <v>25-36 tháng</v>
          </cell>
          <cell r="I4" t="str">
            <v>Chết</v>
          </cell>
          <cell r="J4" t="str">
            <v>THCS</v>
          </cell>
          <cell r="U4">
            <v>2015</v>
          </cell>
        </row>
        <row r="5">
          <cell r="B5" t="str">
            <v>Baha'i</v>
          </cell>
          <cell r="C5" t="str">
            <v>Hoa</v>
          </cell>
          <cell r="F5" t="str">
            <v>Con thương binh 3/4</v>
          </cell>
          <cell r="G5" t="str">
            <v>3-4 tuổi</v>
          </cell>
          <cell r="J5" t="str">
            <v>THPT</v>
          </cell>
          <cell r="U5">
            <v>2016</v>
          </cell>
        </row>
        <row r="6">
          <cell r="B6" t="str">
            <v>Cao Đài</v>
          </cell>
          <cell r="C6" t="str">
            <v>Khơ-me</v>
          </cell>
          <cell r="F6" t="str">
            <v>Con thương binh 4/4</v>
          </cell>
          <cell r="G6" t="str">
            <v>4-5 tuổi</v>
          </cell>
          <cell r="U6">
            <v>2017</v>
          </cell>
        </row>
        <row r="7">
          <cell r="B7" t="str">
            <v>Công Giáo</v>
          </cell>
          <cell r="C7" t="str">
            <v>Mường</v>
          </cell>
          <cell r="F7" t="str">
            <v>Mồ côi cha mẹ</v>
          </cell>
          <cell r="G7" t="str">
            <v>5-6 tuổi</v>
          </cell>
          <cell r="U7">
            <v>2018</v>
          </cell>
        </row>
        <row r="8">
          <cell r="B8" t="str">
            <v>Hồi Giáo</v>
          </cell>
          <cell r="C8" t="str">
            <v>Nùng</v>
          </cell>
          <cell r="F8" t="str">
            <v>Hộ nghèo</v>
          </cell>
          <cell r="G8" t="str">
            <v>1</v>
          </cell>
        </row>
        <row r="9">
          <cell r="B9" t="str">
            <v>Minh Lý Đạo</v>
          </cell>
          <cell r="C9" t="str">
            <v>Hmông</v>
          </cell>
          <cell r="F9" t="str">
            <v>Hộ cận nghèo</v>
          </cell>
          <cell r="G9" t="str">
            <v>2</v>
          </cell>
        </row>
        <row r="10">
          <cell r="B10" t="str">
            <v>Minh Sư Đạo</v>
          </cell>
          <cell r="C10" t="str">
            <v>Dao</v>
          </cell>
          <cell r="F10" t="str">
            <v>Kinh vùng cao</v>
          </cell>
          <cell r="G10" t="str">
            <v>3</v>
          </cell>
        </row>
        <row r="11">
          <cell r="B11" t="str">
            <v>Phật Giáo</v>
          </cell>
          <cell r="C11" t="str">
            <v>Gia-Rai</v>
          </cell>
          <cell r="F11" t="str">
            <v>Con dân tộc vùng cao</v>
          </cell>
          <cell r="G11" t="str">
            <v>4</v>
          </cell>
        </row>
        <row r="12">
          <cell r="B12" t="str">
            <v>Phật Giáo Hòa Hảo</v>
          </cell>
          <cell r="C12" t="str">
            <v>Ngái</v>
          </cell>
          <cell r="F12" t="str">
            <v>Con dân tộc vùng thấp</v>
          </cell>
          <cell r="G12" t="str">
            <v>5</v>
          </cell>
        </row>
        <row r="13">
          <cell r="B13" t="str">
            <v>Tin Lành</v>
          </cell>
          <cell r="C13" t="str">
            <v>Ê-đê</v>
          </cell>
          <cell r="F13" t="str">
            <v>Bị chất độc da cam</v>
          </cell>
          <cell r="G13" t="str">
            <v>6</v>
          </cell>
        </row>
        <row r="14">
          <cell r="B14" t="str">
            <v>Đạo Tứ Ân Hiếu Nghĩa</v>
          </cell>
          <cell r="C14" t="str">
            <v>Ba-Na</v>
          </cell>
          <cell r="F14" t="str">
            <v>Con bệnh binh 1/4</v>
          </cell>
          <cell r="G14" t="str">
            <v>7</v>
          </cell>
          <cell r="K14" t="str">
            <v>TDN</v>
          </cell>
        </row>
        <row r="15">
          <cell r="B15" t="str">
            <v>Không</v>
          </cell>
          <cell r="C15" t="str">
            <v>Xơ-Ðăng</v>
          </cell>
          <cell r="F15" t="str">
            <v>Con bệnh binh 2/4</v>
          </cell>
          <cell r="G15" t="str">
            <v>8</v>
          </cell>
          <cell r="K15" t="str">
            <v>THCN</v>
          </cell>
        </row>
        <row r="16">
          <cell r="C16" t="str">
            <v>Sán Chay</v>
          </cell>
          <cell r="F16" t="str">
            <v>Con bệnh binh 3/4</v>
          </cell>
          <cell r="G16" t="str">
            <v>9</v>
          </cell>
          <cell r="K16" t="str">
            <v>Cao Đẳng</v>
          </cell>
        </row>
        <row r="17">
          <cell r="C17" t="str">
            <v>Cơ-Ho</v>
          </cell>
          <cell r="F17" t="str">
            <v>Con bệnh binh 4/4</v>
          </cell>
          <cell r="G17" t="str">
            <v>10</v>
          </cell>
          <cell r="K17" t="str">
            <v>Đại Học</v>
          </cell>
        </row>
        <row r="18">
          <cell r="C18" t="str">
            <v>Chăm</v>
          </cell>
          <cell r="F18" t="str">
            <v>Bộ đội xuất ngũ</v>
          </cell>
          <cell r="G18" t="str">
            <v>11</v>
          </cell>
          <cell r="K18" t="str">
            <v>Thạc Sĩ</v>
          </cell>
        </row>
        <row r="19">
          <cell r="C19" t="str">
            <v>Sán Dìu</v>
          </cell>
          <cell r="G19" t="str">
            <v>12</v>
          </cell>
          <cell r="K19" t="str">
            <v>Tiến Sĩ</v>
          </cell>
        </row>
        <row r="20">
          <cell r="C20" t="str">
            <v>Hrê</v>
          </cell>
          <cell r="G20" t="str">
            <v>TDN1</v>
          </cell>
        </row>
        <row r="21">
          <cell r="C21" t="str">
            <v>Mnông</v>
          </cell>
          <cell r="G21" t="str">
            <v>TDN2</v>
          </cell>
        </row>
        <row r="22">
          <cell r="C22" t="str">
            <v>Ra-Glai</v>
          </cell>
          <cell r="G22" t="str">
            <v>TDN3</v>
          </cell>
        </row>
        <row r="23">
          <cell r="C23" t="str">
            <v>Xtiêng</v>
          </cell>
          <cell r="G23" t="str">
            <v>TDN3.5</v>
          </cell>
        </row>
        <row r="24">
          <cell r="C24" t="str">
            <v>Bru-Vân Kiều</v>
          </cell>
          <cell r="G24" t="str">
            <v>TDN4</v>
          </cell>
        </row>
        <row r="25">
          <cell r="C25" t="str">
            <v>Thổ</v>
          </cell>
          <cell r="G25" t="str">
            <v>THCN1</v>
          </cell>
        </row>
        <row r="26">
          <cell r="C26" t="str">
            <v>Giáy</v>
          </cell>
          <cell r="G26" t="str">
            <v>THCN2</v>
          </cell>
        </row>
        <row r="27">
          <cell r="C27" t="str">
            <v>Cơ-Tu</v>
          </cell>
          <cell r="G27" t="str">
            <v>THCN3</v>
          </cell>
        </row>
        <row r="28">
          <cell r="C28" t="str">
            <v>Gié-Triêng</v>
          </cell>
          <cell r="G28" t="str">
            <v>THCN3.5</v>
          </cell>
        </row>
        <row r="29">
          <cell r="C29" t="str">
            <v>Mạ</v>
          </cell>
          <cell r="G29" t="str">
            <v>THCN4</v>
          </cell>
        </row>
        <row r="30">
          <cell r="C30" t="str">
            <v>Khơ-mú</v>
          </cell>
          <cell r="G30" t="str">
            <v>SV1</v>
          </cell>
        </row>
        <row r="31">
          <cell r="C31" t="str">
            <v>Co</v>
          </cell>
          <cell r="G31" t="str">
            <v>SV2</v>
          </cell>
        </row>
        <row r="32">
          <cell r="C32" t="str">
            <v>Ta-ôi</v>
          </cell>
          <cell r="G32" t="str">
            <v>SV3</v>
          </cell>
        </row>
        <row r="33">
          <cell r="C33" t="str">
            <v>Chơ-Ro</v>
          </cell>
          <cell r="G33" t="str">
            <v>SV4</v>
          </cell>
        </row>
        <row r="34">
          <cell r="C34" t="str">
            <v>Kháng</v>
          </cell>
          <cell r="G34" t="str">
            <v>SV5</v>
          </cell>
        </row>
        <row r="35">
          <cell r="C35" t="str">
            <v>Xinh-Mun</v>
          </cell>
          <cell r="G35" t="str">
            <v>SV6</v>
          </cell>
        </row>
        <row r="36">
          <cell r="C36" t="str">
            <v>Hà Nhì</v>
          </cell>
          <cell r="G36" t="str">
            <v>SV7</v>
          </cell>
        </row>
        <row r="37">
          <cell r="C37" t="str">
            <v>Chu-ru</v>
          </cell>
        </row>
        <row r="38">
          <cell r="C38" t="str">
            <v xml:space="preserve">Lào </v>
          </cell>
        </row>
        <row r="39">
          <cell r="C39" t="str">
            <v>La Chi</v>
          </cell>
        </row>
        <row r="40">
          <cell r="C40" t="str">
            <v>La Ha</v>
          </cell>
        </row>
        <row r="41">
          <cell r="C41" t="str">
            <v>Phù Lá</v>
          </cell>
        </row>
        <row r="42">
          <cell r="C42" t="str">
            <v>La Hủ</v>
          </cell>
        </row>
        <row r="43">
          <cell r="C43" t="str">
            <v>Lự</v>
          </cell>
        </row>
        <row r="44">
          <cell r="C44" t="str">
            <v>Lô Lô</v>
          </cell>
        </row>
        <row r="45">
          <cell r="C45" t="str">
            <v>Chứt</v>
          </cell>
        </row>
        <row r="46">
          <cell r="C46" t="str">
            <v>Mảng</v>
          </cell>
        </row>
        <row r="47">
          <cell r="C47" t="str">
            <v>Pà Thẻn</v>
          </cell>
        </row>
        <row r="48">
          <cell r="C48" t="str">
            <v>Cơ Lao</v>
          </cell>
        </row>
        <row r="49">
          <cell r="C49" t="str">
            <v>Cống</v>
          </cell>
        </row>
        <row r="50">
          <cell r="C50" t="str">
            <v>Bố Y</v>
          </cell>
        </row>
        <row r="51">
          <cell r="C51" t="str">
            <v>Si La</v>
          </cell>
        </row>
        <row r="52">
          <cell r="C52" t="str">
            <v xml:space="preserve">Pu Péo </v>
          </cell>
        </row>
        <row r="53">
          <cell r="C53" t="str">
            <v>Brâu</v>
          </cell>
        </row>
        <row r="54">
          <cell r="C54" t="str">
            <v>Ơ Ðu</v>
          </cell>
        </row>
        <row r="55">
          <cell r="C55" t="str">
            <v>Rơ-măm</v>
          </cell>
        </row>
        <row r="56">
          <cell r="C56" t="str">
            <v>Cao Lan</v>
          </cell>
        </row>
        <row r="57">
          <cell r="C57" t="str">
            <v>Sán Chỉ</v>
          </cell>
        </row>
        <row r="58">
          <cell r="C58" t="str">
            <v>Ngạn</v>
          </cell>
        </row>
        <row r="59">
          <cell r="C59" t="str">
            <v>Người nước ngoài</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nh"/>
      <sheetName val="THCS"/>
      <sheetName val="TuoiTHCS"/>
      <sheetName val="TKe HSTHCS"/>
      <sheetName val="DS-CBGVNV-THCS"/>
      <sheetName val="TKe-CBGVNV-THCS"/>
      <sheetName val="TKe-CSVC-THCS"/>
      <sheetName val="MN"/>
      <sheetName val="TuoiMN"/>
      <sheetName val="TKe HSMN"/>
      <sheetName val="DS-CBGVNV-MN"/>
      <sheetName val="TKe-CBGVNV-MN"/>
      <sheetName val="TKe-CSVC-MN"/>
      <sheetName val="TH_"/>
      <sheetName val="TuoiTH"/>
      <sheetName val="TKe HSTH"/>
      <sheetName val="DS-CBGVNV-TH"/>
      <sheetName val="TKe-CBGVNV-TH"/>
      <sheetName val="TKe-CSVC"/>
      <sheetName val="phu"/>
      <sheetName val="Sheet1"/>
    </sheetNames>
    <sheetDataSet>
      <sheetData sheetId="0" refreshError="1">
        <row r="5">
          <cell r="H5" t="str">
            <v>2021-2022</v>
          </cell>
        </row>
        <row r="9">
          <cell r="I9" t="str">
            <v>Báo cáo!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C1" t="str">
            <v>Cam Thành Nam</v>
          </cell>
          <cell r="E1" t="str">
            <v>Quản lý</v>
          </cell>
          <cell r="F1" t="str">
            <v>PHÒNG GIÁO DỤC VÀ ĐÀO TẠO</v>
          </cell>
        </row>
        <row r="2">
          <cell r="C2" t="str">
            <v>Cam Nghĩa</v>
          </cell>
          <cell r="E2" t="str">
            <v>Toán</v>
          </cell>
          <cell r="F2" t="str">
            <v>TRƯỜNG MẦM NON CAM THÀNH NAM</v>
          </cell>
        </row>
        <row r="3">
          <cell r="C3" t="str">
            <v>Cam Phúc Bắc</v>
          </cell>
          <cell r="E3" t="str">
            <v>Ngữ văn</v>
          </cell>
          <cell r="F3" t="str">
            <v>TRƯỜNG MẦM NON CAM NGHĨA</v>
          </cell>
          <cell r="K3" t="str">
            <v>Hòa Do</v>
          </cell>
        </row>
        <row r="4">
          <cell r="C4" t="str">
            <v>Cam Phúc Nam</v>
          </cell>
          <cell r="E4" t="str">
            <v>Vật lý</v>
          </cell>
          <cell r="F4" t="str">
            <v>TRƯỜNG MẦM NON TRƯỜNG SA</v>
          </cell>
          <cell r="K4" t="str">
            <v>Quảng Hòa</v>
          </cell>
        </row>
        <row r="5">
          <cell r="C5" t="str">
            <v>Cam Lộc</v>
          </cell>
          <cell r="E5" t="str">
            <v>Hóa học</v>
          </cell>
          <cell r="F5" t="str">
            <v>TRƯỜNG MẦM NON CĂN CỨ CAM RANH</v>
          </cell>
          <cell r="K5" t="str">
            <v>Quảng Phúc</v>
          </cell>
        </row>
        <row r="6">
          <cell r="C6" t="str">
            <v>Cam Phú</v>
          </cell>
          <cell r="E6" t="str">
            <v>Sinh vật</v>
          </cell>
          <cell r="F6" t="str">
            <v>TRƯỜNG MẦM NON CAM PHÚC BẮC</v>
          </cell>
          <cell r="K6" t="str">
            <v>Nghĩa Phú</v>
          </cell>
        </row>
        <row r="7">
          <cell r="C7" t="str">
            <v>Cam Linh</v>
          </cell>
          <cell r="E7" t="str">
            <v>Lịch sử</v>
          </cell>
          <cell r="F7" t="str">
            <v>TRƯỜNG MẦM NON CAM PHÚC NAM</v>
          </cell>
          <cell r="K7" t="str">
            <v>Nghĩa Quý</v>
          </cell>
        </row>
        <row r="8">
          <cell r="C8" t="str">
            <v>Cam Thuận</v>
          </cell>
          <cell r="E8" t="str">
            <v>Địa lý</v>
          </cell>
          <cell r="F8" t="str">
            <v>TRƯỜNG MẦM NON CAM PHÚ</v>
          </cell>
          <cell r="K8" t="str">
            <v>Mỹ Ca</v>
          </cell>
        </row>
        <row r="9">
          <cell r="C9" t="str">
            <v>Cam Lợi</v>
          </cell>
          <cell r="E9" t="str">
            <v>Âm Nhạc</v>
          </cell>
          <cell r="F9" t="str">
            <v>TRƯỜNG MẦM NON CAM LINH</v>
          </cell>
          <cell r="K9" t="str">
            <v>Hòa Bình</v>
          </cell>
        </row>
        <row r="10">
          <cell r="C10" t="str">
            <v>Ba Ngòi</v>
          </cell>
          <cell r="E10" t="str">
            <v>Mỹ thuật</v>
          </cell>
          <cell r="F10" t="str">
            <v>TRƯỜNG MẦM NON CAM THUẬN</v>
          </cell>
          <cell r="K10" t="str">
            <v>Hòa Phước</v>
          </cell>
        </row>
        <row r="11">
          <cell r="C11" t="str">
            <v>Cam Phước Đông</v>
          </cell>
          <cell r="E11" t="str">
            <v>Thể dục</v>
          </cell>
          <cell r="F11" t="str">
            <v>TRƯỜNG MẦM NON CAM LỢI</v>
          </cell>
          <cell r="K11" t="str">
            <v>Nghĩa An</v>
          </cell>
        </row>
        <row r="12">
          <cell r="C12" t="str">
            <v>Cam Thịnh Đông</v>
          </cell>
          <cell r="E12" t="str">
            <v>GD Công dân</v>
          </cell>
          <cell r="F12" t="str">
            <v>TRƯỜNG MẦM NON BA NGÒI</v>
          </cell>
          <cell r="K12" t="str">
            <v>Nghĩa Lộc</v>
          </cell>
        </row>
        <row r="13">
          <cell r="C13" t="str">
            <v>Cam Thịnh Tây</v>
          </cell>
          <cell r="E13" t="str">
            <v>Công nghệ</v>
          </cell>
          <cell r="F13" t="str">
            <v>TRƯỜNG MẦM NON CAM LỘC</v>
          </cell>
          <cell r="K13" t="str">
            <v>Nghĩa Cam</v>
          </cell>
        </row>
        <row r="14">
          <cell r="C14" t="str">
            <v>Cam Lập</v>
          </cell>
          <cell r="E14" t="str">
            <v>Tin học</v>
          </cell>
          <cell r="F14" t="str">
            <v>TRƯỜNG MẦM NON HOA MAI</v>
          </cell>
          <cell r="K14" t="str">
            <v>Nghĩa Bình</v>
          </cell>
        </row>
        <row r="15">
          <cell r="C15" t="str">
            <v>Cam Bình</v>
          </cell>
          <cell r="E15" t="str">
            <v>Tiếng Anh</v>
          </cell>
          <cell r="F15" t="str">
            <v>TRƯỜNG MẦM NON 2/4</v>
          </cell>
          <cell r="K15" t="str">
            <v>Hòa Tiến</v>
          </cell>
        </row>
        <row r="16">
          <cell r="C16" t="str">
            <v>Huyện khác</v>
          </cell>
          <cell r="E16" t="str">
            <v>Tiếng Nga</v>
          </cell>
          <cell r="F16" t="str">
            <v>TRƯỜNG MẦM NON CAM PHƯỚC ĐÔNG</v>
          </cell>
          <cell r="K16" t="str">
            <v>Hòa Thuận</v>
          </cell>
        </row>
        <row r="17">
          <cell r="C17" t="str">
            <v>Tỉnh khác</v>
          </cell>
          <cell r="E17" t="str">
            <v>Tiếng Pháp</v>
          </cell>
          <cell r="F17" t="str">
            <v>TRƯỜNG MẦM NON CAM THỊNH ĐÔNG</v>
          </cell>
          <cell r="K17" t="str">
            <v>Hòa Do 1a</v>
          </cell>
        </row>
        <row r="18">
          <cell r="E18" t="str">
            <v>N.Ngữ khác</v>
          </cell>
          <cell r="F18" t="str">
            <v>TRƯỜNG MẦM NON CAM THỊNH TÂY</v>
          </cell>
          <cell r="K18" t="str">
            <v>Hòa Do 1b</v>
          </cell>
        </row>
        <row r="19">
          <cell r="E19" t="str">
            <v>TPT.Đội</v>
          </cell>
          <cell r="F19" t="str">
            <v>TRƯỜNG MẦM NON CAM LẬP</v>
          </cell>
          <cell r="K19" t="str">
            <v>Hòa Do 2</v>
          </cell>
        </row>
        <row r="20">
          <cell r="E20" t="str">
            <v>Thư viện</v>
          </cell>
          <cell r="F20" t="str">
            <v>TRƯỜNG MẦM NON CAM BÌNH</v>
          </cell>
          <cell r="K20" t="str">
            <v>Hòa Do 3</v>
          </cell>
        </row>
        <row r="21">
          <cell r="E21" t="str">
            <v>T.Bị-T.nghiệm</v>
          </cell>
          <cell r="F21" t="str">
            <v>TRƯỜNG TH CAM THÀNH NAM</v>
          </cell>
          <cell r="K21" t="str">
            <v>Hòa Do 4</v>
          </cell>
        </row>
        <row r="22">
          <cell r="E22" t="str">
            <v>Văn phòng</v>
          </cell>
          <cell r="F22" t="str">
            <v>TRƯỜNG TH CAM NGHĨA 1</v>
          </cell>
          <cell r="K22" t="str">
            <v>Hòa Do 5a</v>
          </cell>
        </row>
        <row r="23">
          <cell r="E23" t="str">
            <v>Y tế</v>
          </cell>
          <cell r="F23" t="str">
            <v>TRƯỜNG TH CAM NGHĨA 2</v>
          </cell>
          <cell r="K23" t="str">
            <v>Hòa Do 5b</v>
          </cell>
        </row>
        <row r="24">
          <cell r="E24" t="str">
            <v>Khác</v>
          </cell>
          <cell r="F24" t="str">
            <v>TRƯỜNG TH CAM PHÚC BẮC 1</v>
          </cell>
          <cell r="K24" t="str">
            <v>Hòa Do 6a</v>
          </cell>
        </row>
        <row r="25">
          <cell r="F25" t="str">
            <v>TRƯỜNG TH CAM PHÚC BẮC 2</v>
          </cell>
          <cell r="K25" t="str">
            <v>Hòa Do 6b</v>
          </cell>
        </row>
        <row r="26">
          <cell r="F26" t="str">
            <v>TRƯỜNG TH CAM PHÚC NAM</v>
          </cell>
          <cell r="K26" t="str">
            <v>Hải Thủy</v>
          </cell>
        </row>
        <row r="27">
          <cell r="F27" t="str">
            <v>TRƯỜNG TH CAM PHÚ</v>
          </cell>
          <cell r="K27" t="str">
            <v>Ninh Xuân</v>
          </cell>
        </row>
        <row r="28">
          <cell r="F28" t="str">
            <v>TRƯỜNG TH CAM LINH</v>
          </cell>
          <cell r="K28" t="str">
            <v>Phúc Sơn</v>
          </cell>
        </row>
        <row r="29">
          <cell r="F29" t="str">
            <v>TRƯỜNG TH CAM THUẬN</v>
          </cell>
          <cell r="K29" t="str">
            <v>Xuân Ninh</v>
          </cell>
        </row>
        <row r="30">
          <cell r="F30" t="str">
            <v>TRƯỜNG TH CAM LỢI</v>
          </cell>
          <cell r="K30" t="str">
            <v>Thuận Thành</v>
          </cell>
        </row>
        <row r="31">
          <cell r="F31" t="str">
            <v>TRƯỜNG TH BA NGÒI</v>
          </cell>
          <cell r="K31" t="str">
            <v>Thuận Phát</v>
          </cell>
        </row>
        <row r="32">
          <cell r="F32" t="str">
            <v>TRƯỜNG TH CAM LỘC 1</v>
          </cell>
          <cell r="K32" t="str">
            <v>Thuận Lợi</v>
          </cell>
        </row>
        <row r="33">
          <cell r="F33" t="str">
            <v>TRƯỜNG TH CAM LỘC 2</v>
          </cell>
          <cell r="K33" t="str">
            <v>Thuận Lộc</v>
          </cell>
        </row>
        <row r="34">
          <cell r="F34" t="str">
            <v>TRƯỜNG TH CAM PHƯỚC ĐÔNG 1</v>
          </cell>
          <cell r="K34" t="str">
            <v>Thuận Hiệp</v>
          </cell>
        </row>
        <row r="35">
          <cell r="F35" t="str">
            <v>TRƯỜNG TH CAM PHƯỚC ĐÔNG 2</v>
          </cell>
          <cell r="K35" t="str">
            <v>Thuận Hòa</v>
          </cell>
        </row>
        <row r="36">
          <cell r="F36" t="str">
            <v>TRƯỜNG TH CAM THỊNH ĐÔNG</v>
          </cell>
          <cell r="K36" t="str">
            <v>Thuận Hưng</v>
          </cell>
        </row>
        <row r="37">
          <cell r="F37" t="str">
            <v>TRƯỜNG TH CAM THỊNH 1</v>
          </cell>
          <cell r="K37" t="str">
            <v>Thuận Hải</v>
          </cell>
        </row>
        <row r="38">
          <cell r="F38" t="str">
            <v>TRƯỜNG TH CAM THỊNH TÂY</v>
          </cell>
          <cell r="K38" t="str">
            <v>Đá Bạc</v>
          </cell>
        </row>
        <row r="39">
          <cell r="F39" t="str">
            <v>TRƯỜNG TH&amp;THCS CĂN CỨ CAM RANH</v>
          </cell>
          <cell r="K39" t="str">
            <v>Linh Hòa</v>
          </cell>
        </row>
        <row r="40">
          <cell r="F40" t="str">
            <v>TRƯỜNG TH&amp;THCS CAM LẬP</v>
          </cell>
          <cell r="K40" t="str">
            <v>Linh Phú</v>
          </cell>
        </row>
        <row r="41">
          <cell r="F41" t="str">
            <v>TRƯỜNG TH&amp;THCS BÌNH HƯNG</v>
          </cell>
          <cell r="K41" t="str">
            <v>Linh Tân</v>
          </cell>
        </row>
        <row r="42">
          <cell r="F42" t="str">
            <v>TRƯỜNG TH&amp;THCS BÌNH BA</v>
          </cell>
          <cell r="K42" t="str">
            <v>Linh Vân</v>
          </cell>
        </row>
        <row r="43">
          <cell r="F43" t="str">
            <v>TRƯỜNG THCS PHAN CHU TRINH</v>
          </cell>
          <cell r="K43" t="str">
            <v>Linh Xuân</v>
          </cell>
        </row>
        <row r="44">
          <cell r="F44" t="str">
            <v>TRƯỜNG THCS NGUYỄN VĂN TRỖI</v>
          </cell>
          <cell r="K44" t="str">
            <v>Linh Thương</v>
          </cell>
        </row>
        <row r="45">
          <cell r="F45" t="str">
            <v>TRƯỜNG THCS NGUYỄN THỊ MINH KHAI</v>
          </cell>
          <cell r="K45" t="str">
            <v>Linh Trung</v>
          </cell>
        </row>
        <row r="46">
          <cell r="F46" t="str">
            <v>TRƯỜNG THCS CHU VĂN AN</v>
          </cell>
          <cell r="K46" t="str">
            <v>Xóm Cồn</v>
          </cell>
        </row>
        <row r="47">
          <cell r="F47" t="str">
            <v>TRƯỜNG THCS LÊ HỒNG PHONG</v>
          </cell>
          <cell r="K47" t="str">
            <v>Lợi Phú</v>
          </cell>
        </row>
        <row r="48">
          <cell r="F48" t="str">
            <v>TRƯỜNG THCS NGUYỄN TRỌNG KỶ</v>
          </cell>
          <cell r="K48" t="str">
            <v>Lợi Thủy</v>
          </cell>
        </row>
        <row r="49">
          <cell r="F49" t="str">
            <v>TRƯỜNG THCS TRẦN PHÚ</v>
          </cell>
          <cell r="K49" t="str">
            <v>Lợi Hải</v>
          </cell>
        </row>
        <row r="50">
          <cell r="F50" t="str">
            <v>TRƯỜNG THCS NGUYỄN DU</v>
          </cell>
          <cell r="K50" t="str">
            <v>Lợi Hưng</v>
          </cell>
        </row>
        <row r="51">
          <cell r="F51" t="str">
            <v>TRƯỜNG THCS NGUYỄN KHUYẾN</v>
          </cell>
          <cell r="K51" t="str">
            <v>Lợi Thịnh</v>
          </cell>
        </row>
        <row r="52">
          <cell r="F52" t="str">
            <v>TRƯỜNG THCS CAM THỊNH TÂY</v>
          </cell>
          <cell r="K52" t="str">
            <v>Lợi Phúc</v>
          </cell>
        </row>
        <row r="53">
          <cell r="F53" t="str">
            <v>TRƯỜNG PTDT NỘI TRÚ CAM RANH</v>
          </cell>
          <cell r="K53" t="str">
            <v>Lợi Thọ</v>
          </cell>
        </row>
        <row r="54">
          <cell r="K54" t="str">
            <v>Lợi Hòa</v>
          </cell>
        </row>
        <row r="55">
          <cell r="K55" t="str">
            <v>Lợi Hiệp</v>
          </cell>
        </row>
        <row r="56">
          <cell r="K56" t="str">
            <v>Lộc An</v>
          </cell>
        </row>
        <row r="57">
          <cell r="K57" t="str">
            <v>Lộc Hải</v>
          </cell>
        </row>
        <row r="58">
          <cell r="K58" t="str">
            <v>Lộc Phúc</v>
          </cell>
        </row>
        <row r="59">
          <cell r="K59" t="str">
            <v>Lộc Sơn</v>
          </cell>
        </row>
        <row r="60">
          <cell r="K60" t="str">
            <v>Lộc Thành</v>
          </cell>
        </row>
        <row r="61">
          <cell r="K61" t="str">
            <v>Lộc Thịnh</v>
          </cell>
        </row>
        <row r="62">
          <cell r="K62" t="str">
            <v>Trà Long 1</v>
          </cell>
        </row>
        <row r="63">
          <cell r="K63" t="str">
            <v>Trà Long 2</v>
          </cell>
        </row>
        <row r="64">
          <cell r="K64" t="str">
            <v>Khánh Cam 1</v>
          </cell>
        </row>
        <row r="65">
          <cell r="K65" t="str">
            <v>Khánh Cam 2</v>
          </cell>
        </row>
        <row r="66">
          <cell r="K66" t="str">
            <v>Lam Sơn</v>
          </cell>
        </row>
        <row r="67">
          <cell r="K67" t="str">
            <v>Sông Tiên</v>
          </cell>
        </row>
        <row r="68">
          <cell r="K68" t="str">
            <v>Sơn Long</v>
          </cell>
        </row>
        <row r="69">
          <cell r="K69" t="str">
            <v>Hương Long</v>
          </cell>
        </row>
        <row r="70">
          <cell r="K70" t="str">
            <v>Tây Sơn</v>
          </cell>
        </row>
        <row r="71">
          <cell r="K71" t="str">
            <v>Ngô Mây</v>
          </cell>
        </row>
        <row r="72">
          <cell r="K72" t="str">
            <v>Giải Phóng</v>
          </cell>
        </row>
        <row r="73">
          <cell r="K73" t="str">
            <v>Thống Nhất</v>
          </cell>
        </row>
        <row r="74">
          <cell r="K74" t="str">
            <v>Suối Môn</v>
          </cell>
        </row>
        <row r="75">
          <cell r="K75" t="str">
            <v>Tân Hiệp</v>
          </cell>
        </row>
        <row r="76">
          <cell r="K76" t="str">
            <v>Hòa Bình</v>
          </cell>
        </row>
        <row r="77">
          <cell r="K77" t="str">
            <v>Hòa An</v>
          </cell>
        </row>
        <row r="78">
          <cell r="K78" t="str">
            <v>Trà Sơn</v>
          </cell>
        </row>
        <row r="79">
          <cell r="K79" t="str">
            <v>Hòn Qui</v>
          </cell>
        </row>
        <row r="80">
          <cell r="K80" t="str">
            <v>Hòa Diêm</v>
          </cell>
        </row>
        <row r="81">
          <cell r="K81" t="str">
            <v>Hòa Sơn</v>
          </cell>
        </row>
        <row r="82">
          <cell r="K82" t="str">
            <v>Hiệp Thanh</v>
          </cell>
        </row>
        <row r="83">
          <cell r="K83" t="str">
            <v>Hiệp Mỹ</v>
          </cell>
        </row>
        <row r="84">
          <cell r="K84" t="str">
            <v>Mỹ Thanh</v>
          </cell>
        </row>
        <row r="85">
          <cell r="K85" t="str">
            <v>Sông Cạn Đông</v>
          </cell>
        </row>
        <row r="86">
          <cell r="K86" t="str">
            <v>Sông Cạn Trung</v>
          </cell>
        </row>
        <row r="87">
          <cell r="K87" t="str">
            <v>Thịnh Sơn</v>
          </cell>
        </row>
        <row r="88">
          <cell r="K88" t="str">
            <v>Suối Rua</v>
          </cell>
        </row>
        <row r="89">
          <cell r="K89" t="str">
            <v>Bình An</v>
          </cell>
        </row>
        <row r="90">
          <cell r="K90" t="str">
            <v>Bình Ba Đông</v>
          </cell>
        </row>
        <row r="91">
          <cell r="K91" t="str">
            <v>Bình Ba Tây</v>
          </cell>
        </row>
        <row r="92">
          <cell r="K92" t="str">
            <v>Bình Hưng</v>
          </cell>
        </row>
        <row r="93">
          <cell r="K93" t="str">
            <v>Nước Ngọt</v>
          </cell>
        </row>
        <row r="94">
          <cell r="K94" t="str">
            <v>Bình Lập</v>
          </cell>
        </row>
        <row r="95">
          <cell r="K95" t="str">
            <v>Phú Hải</v>
          </cell>
        </row>
        <row r="96">
          <cell r="K96" t="str">
            <v>Phú Bình</v>
          </cell>
        </row>
        <row r="97">
          <cell r="K97" t="str">
            <v>Phú Lộc</v>
          </cell>
        </row>
        <row r="98">
          <cell r="K98" t="str">
            <v>Phú Hòa</v>
          </cell>
        </row>
        <row r="99">
          <cell r="K99" t="str">
            <v>Phú Trung</v>
          </cell>
        </row>
        <row r="100">
          <cell r="K100" t="str">
            <v>Phú Sơn</v>
          </cell>
        </row>
        <row r="101">
          <cell r="K101" t="str">
            <v>Phú Thịnh</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nh"/>
      <sheetName val="THCS"/>
      <sheetName val="TuoiTHCS"/>
      <sheetName val="TKe HSTHCS"/>
      <sheetName val="DS-CBGVNV-THCS"/>
      <sheetName val="TKe-CBGVNV-THCS"/>
      <sheetName val="TKe-CSVC-THCS"/>
      <sheetName val="MN"/>
      <sheetName val="TuoiMN"/>
      <sheetName val="TKe HSMN"/>
      <sheetName val="DS-CBGVNV-MN"/>
      <sheetName val="TKe-CBGVNV-MN"/>
      <sheetName val="TKe-CSVC-MN"/>
      <sheetName val="TH_"/>
      <sheetName val="TuoiTH"/>
      <sheetName val="TKe HSTH"/>
      <sheetName val="DS-CBGVNV-TH"/>
      <sheetName val="TKe-CBGVNV-TH"/>
      <sheetName val="TKe-CSVC"/>
      <sheetName val="phu"/>
    </sheetNames>
    <sheetDataSet>
      <sheetData sheetId="0" refreshError="1">
        <row r="5">
          <cell r="H5" t="str">
            <v>2021-2022</v>
          </cell>
        </row>
        <row r="31">
          <cell r="L31" t="str">
            <v>HIỆU TRƯỞNG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C1" t="str">
            <v>Cam Thành Nam</v>
          </cell>
          <cell r="E1" t="str">
            <v>Quản lý</v>
          </cell>
          <cell r="F1" t="str">
            <v>PHÒNG GIÁO DỤC VÀ ĐÀO TẠO</v>
          </cell>
        </row>
        <row r="2">
          <cell r="C2" t="str">
            <v>Cam Nghĩa</v>
          </cell>
          <cell r="E2" t="str">
            <v>Toán</v>
          </cell>
          <cell r="F2" t="str">
            <v>TRƯỜNG MẦM NON CAM THÀNH NAM</v>
          </cell>
        </row>
        <row r="3">
          <cell r="C3" t="str">
            <v>Cam Phúc Bắc</v>
          </cell>
          <cell r="E3" t="str">
            <v>Ngữ văn</v>
          </cell>
          <cell r="F3" t="str">
            <v>TRƯỜNG MẦM NON CAM NGHĨA</v>
          </cell>
          <cell r="K3" t="str">
            <v>Hòa Do</v>
          </cell>
        </row>
        <row r="4">
          <cell r="C4" t="str">
            <v>Cam Phúc Nam</v>
          </cell>
          <cell r="E4" t="str">
            <v>Vật lý</v>
          </cell>
          <cell r="F4" t="str">
            <v>TRƯỜNG MẦM NON TRƯỜNG SA</v>
          </cell>
          <cell r="K4" t="str">
            <v>Quảng Hòa</v>
          </cell>
        </row>
        <row r="5">
          <cell r="C5" t="str">
            <v>Cam Lộc</v>
          </cell>
          <cell r="E5" t="str">
            <v>Hóa học</v>
          </cell>
          <cell r="F5" t="str">
            <v>TRƯỜNG MẦM NON CĂN CỨ CAM RANH</v>
          </cell>
          <cell r="K5" t="str">
            <v>Quảng Phúc</v>
          </cell>
        </row>
        <row r="6">
          <cell r="C6" t="str">
            <v>Cam Phú</v>
          </cell>
          <cell r="E6" t="str">
            <v>Sinh vật</v>
          </cell>
          <cell r="F6" t="str">
            <v>TRƯỜNG MẦM NON CAM PHÚC BẮC</v>
          </cell>
          <cell r="K6" t="str">
            <v>Nghĩa Phú</v>
          </cell>
        </row>
        <row r="7">
          <cell r="C7" t="str">
            <v>Cam Linh</v>
          </cell>
          <cell r="E7" t="str">
            <v>Lịch sử</v>
          </cell>
          <cell r="F7" t="str">
            <v>TRƯỜNG MẦM NON CAM PHÚC NAM</v>
          </cell>
          <cell r="K7" t="str">
            <v>Nghĩa Quý</v>
          </cell>
        </row>
        <row r="8">
          <cell r="C8" t="str">
            <v>Cam Thuận</v>
          </cell>
          <cell r="E8" t="str">
            <v>Địa lý</v>
          </cell>
          <cell r="F8" t="str">
            <v>TRƯỜNG MẦM NON CAM PHÚ</v>
          </cell>
          <cell r="K8" t="str">
            <v>Mỹ Ca</v>
          </cell>
        </row>
        <row r="9">
          <cell r="C9" t="str">
            <v>Cam Lợi</v>
          </cell>
          <cell r="E9" t="str">
            <v>Âm Nhạc</v>
          </cell>
          <cell r="F9" t="str">
            <v>TRƯỜNG MẦM NON CAM LINH</v>
          </cell>
          <cell r="K9" t="str">
            <v>Hòa Bình</v>
          </cell>
        </row>
        <row r="10">
          <cell r="C10" t="str">
            <v>Ba Ngòi</v>
          </cell>
          <cell r="E10" t="str">
            <v>Mỹ thuật</v>
          </cell>
          <cell r="F10" t="str">
            <v>TRƯỜNG MẦM NON CAM THUẬN</v>
          </cell>
          <cell r="K10" t="str">
            <v>Hòa Phước</v>
          </cell>
        </row>
        <row r="11">
          <cell r="C11" t="str">
            <v>Cam Phước Đông</v>
          </cell>
          <cell r="E11" t="str">
            <v>Thể dục</v>
          </cell>
          <cell r="F11" t="str">
            <v>TRƯỜNG MẦM NON CAM LỢI</v>
          </cell>
          <cell r="K11" t="str">
            <v>Nghĩa An</v>
          </cell>
        </row>
        <row r="12">
          <cell r="C12" t="str">
            <v>Cam Thịnh Đông</v>
          </cell>
          <cell r="E12" t="str">
            <v>GD Công dân</v>
          </cell>
          <cell r="F12" t="str">
            <v>TRƯỜNG MẦM NON BA NGÒI</v>
          </cell>
          <cell r="K12" t="str">
            <v>Nghĩa Lộc</v>
          </cell>
        </row>
        <row r="13">
          <cell r="C13" t="str">
            <v>Cam Thịnh Tây</v>
          </cell>
          <cell r="E13" t="str">
            <v>Công nghệ</v>
          </cell>
          <cell r="F13" t="str">
            <v>TRƯỜNG MẦM NON CAM LỘC</v>
          </cell>
          <cell r="K13" t="str">
            <v>Nghĩa Cam</v>
          </cell>
        </row>
        <row r="14">
          <cell r="C14" t="str">
            <v>Cam Lập</v>
          </cell>
          <cell r="E14" t="str">
            <v>Tin học</v>
          </cell>
          <cell r="F14" t="str">
            <v>TRƯỜNG MẦM NON HOA MAI</v>
          </cell>
          <cell r="K14" t="str">
            <v>Nghĩa Bình</v>
          </cell>
        </row>
        <row r="15">
          <cell r="C15" t="str">
            <v>Cam Bình</v>
          </cell>
          <cell r="E15" t="str">
            <v>Tiếng Anh</v>
          </cell>
          <cell r="F15" t="str">
            <v>TRƯỜNG MẦM NON 2/4</v>
          </cell>
          <cell r="K15" t="str">
            <v>Hòa Tiến</v>
          </cell>
        </row>
        <row r="16">
          <cell r="C16" t="str">
            <v>Huyện khác</v>
          </cell>
          <cell r="E16" t="str">
            <v>Tiếng Nga</v>
          </cell>
          <cell r="F16" t="str">
            <v>TRƯỜNG MẦM NON CAM PHƯỚC ĐÔNG</v>
          </cell>
          <cell r="K16" t="str">
            <v>Hòa Thuận</v>
          </cell>
        </row>
        <row r="17">
          <cell r="C17" t="str">
            <v>Tỉnh khác</v>
          </cell>
          <cell r="E17" t="str">
            <v>Tiếng Pháp</v>
          </cell>
          <cell r="F17" t="str">
            <v>TRƯỜNG MẦM NON CAM THỊNH ĐÔNG</v>
          </cell>
          <cell r="K17" t="str">
            <v>Hòa Do 1a</v>
          </cell>
        </row>
        <row r="18">
          <cell r="E18" t="str">
            <v>N.Ngữ khác</v>
          </cell>
          <cell r="F18" t="str">
            <v>TRƯỜNG MẦM NON CAM THỊNH TÂY</v>
          </cell>
          <cell r="K18" t="str">
            <v>Hòa Do 1b</v>
          </cell>
        </row>
        <row r="19">
          <cell r="E19" t="str">
            <v>TPT.Đội</v>
          </cell>
          <cell r="F19" t="str">
            <v>TRƯỜNG MẦM NON CAM LẬP</v>
          </cell>
          <cell r="K19" t="str">
            <v>Hòa Do 2</v>
          </cell>
        </row>
        <row r="20">
          <cell r="E20" t="str">
            <v>Thư viện</v>
          </cell>
          <cell r="F20" t="str">
            <v>TRƯỜNG MẦM NON CAM BÌNH</v>
          </cell>
          <cell r="K20" t="str">
            <v>Hòa Do 3</v>
          </cell>
        </row>
        <row r="21">
          <cell r="E21" t="str">
            <v>T.Bị-T.nghiệm</v>
          </cell>
          <cell r="F21" t="str">
            <v>TRƯỜNG TH CAM THÀNH NAM</v>
          </cell>
          <cell r="K21" t="str">
            <v>Hòa Do 4</v>
          </cell>
        </row>
        <row r="22">
          <cell r="E22" t="str">
            <v>Văn phòng</v>
          </cell>
          <cell r="F22" t="str">
            <v>TRƯỜNG TH CAM NGHĨA 1</v>
          </cell>
          <cell r="K22" t="str">
            <v>Hòa Do 5a</v>
          </cell>
        </row>
        <row r="23">
          <cell r="E23" t="str">
            <v>Y tế</v>
          </cell>
          <cell r="F23" t="str">
            <v>TRƯỜNG TH CAM NGHĨA 2</v>
          </cell>
          <cell r="K23" t="str">
            <v>Hòa Do 5b</v>
          </cell>
        </row>
        <row r="24">
          <cell r="E24" t="str">
            <v>Khác</v>
          </cell>
          <cell r="F24" t="str">
            <v>TRƯỜNG TH CAM PHÚC BẮC 1</v>
          </cell>
          <cell r="K24" t="str">
            <v>Hòa Do 6a</v>
          </cell>
        </row>
        <row r="25">
          <cell r="F25" t="str">
            <v>TRƯỜNG TH CAM PHÚC BẮC 2</v>
          </cell>
          <cell r="K25" t="str">
            <v>Hòa Do 6b</v>
          </cell>
        </row>
        <row r="26">
          <cell r="F26" t="str">
            <v>TRƯỜNG TH CAM PHÚC NAM</v>
          </cell>
          <cell r="K26" t="str">
            <v>Hải Thủy</v>
          </cell>
        </row>
        <row r="27">
          <cell r="F27" t="str">
            <v>TRƯỜNG TH CAM PHÚ</v>
          </cell>
          <cell r="K27" t="str">
            <v>Ninh Xuân</v>
          </cell>
        </row>
        <row r="28">
          <cell r="F28" t="str">
            <v>TRƯỜNG TH CAM LINH</v>
          </cell>
          <cell r="K28" t="str">
            <v>Phúc Sơn</v>
          </cell>
        </row>
        <row r="29">
          <cell r="F29" t="str">
            <v>TRƯỜNG TH CAM THUẬN</v>
          </cell>
          <cell r="K29" t="str">
            <v>Xuân Ninh</v>
          </cell>
        </row>
        <row r="30">
          <cell r="F30" t="str">
            <v>TRƯỜNG TH CAM LỢI</v>
          </cell>
          <cell r="K30" t="str">
            <v>Thuận Thành</v>
          </cell>
        </row>
        <row r="31">
          <cell r="F31" t="str">
            <v>TRƯỜNG TH BA NGÒI</v>
          </cell>
          <cell r="K31" t="str">
            <v>Thuận Phát</v>
          </cell>
        </row>
        <row r="32">
          <cell r="F32" t="str">
            <v>TRƯỜNG TH CAM LỘC 1</v>
          </cell>
          <cell r="K32" t="str">
            <v>Thuận Lợi</v>
          </cell>
        </row>
        <row r="33">
          <cell r="F33" t="str">
            <v>TRƯỜNG TH CAM LỘC 2</v>
          </cell>
          <cell r="K33" t="str">
            <v>Thuận Lộc</v>
          </cell>
        </row>
        <row r="34">
          <cell r="F34" t="str">
            <v>TRƯỜNG TH CAM PHƯỚC ĐÔNG 1</v>
          </cell>
          <cell r="K34" t="str">
            <v>Thuận Hiệp</v>
          </cell>
        </row>
        <row r="35">
          <cell r="F35" t="str">
            <v>TRƯỜNG TH CAM PHƯỚC ĐÔNG 2</v>
          </cell>
          <cell r="K35" t="str">
            <v>Thuận Hòa</v>
          </cell>
        </row>
        <row r="36">
          <cell r="F36" t="str">
            <v>TRƯỜNG TH CAM THỊNH ĐÔNG</v>
          </cell>
          <cell r="K36" t="str">
            <v>Thuận Hưng</v>
          </cell>
        </row>
        <row r="37">
          <cell r="F37" t="str">
            <v>TRƯỜNG TH CAM THỊNH 1</v>
          </cell>
          <cell r="K37" t="str">
            <v>Thuận Hải</v>
          </cell>
        </row>
        <row r="38">
          <cell r="F38" t="str">
            <v>TRƯỜNG TH CAM THỊNH TÂY</v>
          </cell>
          <cell r="K38" t="str">
            <v>Đá Bạc</v>
          </cell>
        </row>
        <row r="39">
          <cell r="F39" t="str">
            <v>TRƯỜNG TH&amp;THCS CĂN CỨ CAM RANH</v>
          </cell>
          <cell r="K39" t="str">
            <v>Linh Hòa</v>
          </cell>
        </row>
        <row r="40">
          <cell r="F40" t="str">
            <v>TRƯỜNG TH&amp;THCS CAM LẬP</v>
          </cell>
          <cell r="K40" t="str">
            <v>Linh Phú</v>
          </cell>
        </row>
        <row r="41">
          <cell r="F41" t="str">
            <v>TRƯỜNG TH&amp;THCS BÌNH HƯNG</v>
          </cell>
          <cell r="K41" t="str">
            <v>Linh Tân</v>
          </cell>
        </row>
        <row r="42">
          <cell r="F42" t="str">
            <v>TRƯỜNG TH&amp;THCS BÌNH BA</v>
          </cell>
          <cell r="K42" t="str">
            <v>Linh Vân</v>
          </cell>
        </row>
        <row r="43">
          <cell r="F43" t="str">
            <v>TRƯỜNG THCS PHAN CHU TRINH</v>
          </cell>
          <cell r="K43" t="str">
            <v>Linh Xuân</v>
          </cell>
        </row>
        <row r="44">
          <cell r="F44" t="str">
            <v>TRƯỜNG THCS NGUYỄN VĂN TRỖI</v>
          </cell>
          <cell r="K44" t="str">
            <v>Linh Thương</v>
          </cell>
        </row>
        <row r="45">
          <cell r="F45" t="str">
            <v>TRƯỜNG THCS NGUYỄN THỊ MINH KHAI</v>
          </cell>
          <cell r="K45" t="str">
            <v>Linh Trung</v>
          </cell>
        </row>
        <row r="46">
          <cell r="F46" t="str">
            <v>TRƯỜNG THCS CHU VĂN AN</v>
          </cell>
          <cell r="K46" t="str">
            <v>Xóm Cồn</v>
          </cell>
        </row>
        <row r="47">
          <cell r="F47" t="str">
            <v>TRƯỜNG THCS LÊ HỒNG PHONG</v>
          </cell>
          <cell r="K47" t="str">
            <v>Lợi Phú</v>
          </cell>
        </row>
        <row r="48">
          <cell r="F48" t="str">
            <v>TRƯỜNG THCS NGUYỄN TRỌNG KỶ</v>
          </cell>
          <cell r="K48" t="str">
            <v>Lợi Thủy</v>
          </cell>
        </row>
        <row r="49">
          <cell r="F49" t="str">
            <v>TRƯỜNG THCS TRẦN PHÚ</v>
          </cell>
          <cell r="K49" t="str">
            <v>Lợi Hải</v>
          </cell>
        </row>
        <row r="50">
          <cell r="F50" t="str">
            <v>TRƯỜNG THCS NGUYỄN DU</v>
          </cell>
          <cell r="K50" t="str">
            <v>Lợi Hưng</v>
          </cell>
        </row>
        <row r="51">
          <cell r="F51" t="str">
            <v>TRƯỜNG THCS NGUYỄN KHUYẾN</v>
          </cell>
          <cell r="K51" t="str">
            <v>Lợi Thịnh</v>
          </cell>
        </row>
        <row r="52">
          <cell r="F52" t="str">
            <v>TRƯỜNG THCS CAM THỊNH TÂY</v>
          </cell>
          <cell r="K52" t="str">
            <v>Lợi Phúc</v>
          </cell>
        </row>
        <row r="53">
          <cell r="F53" t="str">
            <v>TRƯỜNG PTDT NỘI TRÚ CAM RANH</v>
          </cell>
          <cell r="K53" t="str">
            <v>Lợi Thọ</v>
          </cell>
        </row>
        <row r="54">
          <cell r="K54" t="str">
            <v>Lợi Hòa</v>
          </cell>
        </row>
        <row r="55">
          <cell r="K55" t="str">
            <v>Lợi Hiệp</v>
          </cell>
        </row>
        <row r="56">
          <cell r="K56" t="str">
            <v>Lộc An</v>
          </cell>
        </row>
        <row r="57">
          <cell r="K57" t="str">
            <v>Lộc Hải</v>
          </cell>
        </row>
        <row r="58">
          <cell r="K58" t="str">
            <v>Lộc Phúc</v>
          </cell>
        </row>
        <row r="59">
          <cell r="K59" t="str">
            <v>Lộc Sơn</v>
          </cell>
        </row>
        <row r="60">
          <cell r="K60" t="str">
            <v>Lộc Thành</v>
          </cell>
        </row>
        <row r="61">
          <cell r="K61" t="str">
            <v>Lộc Thịnh</v>
          </cell>
        </row>
        <row r="62">
          <cell r="K62" t="str">
            <v>Trà Long 1</v>
          </cell>
        </row>
        <row r="63">
          <cell r="K63" t="str">
            <v>Trà Long 2</v>
          </cell>
        </row>
        <row r="64">
          <cell r="K64" t="str">
            <v>Khánh Cam 1</v>
          </cell>
        </row>
        <row r="65">
          <cell r="K65" t="str">
            <v>Khánh Cam 2</v>
          </cell>
        </row>
        <row r="66">
          <cell r="K66" t="str">
            <v>Lam Sơn</v>
          </cell>
        </row>
        <row r="67">
          <cell r="K67" t="str">
            <v>Sông Tiên</v>
          </cell>
        </row>
        <row r="68">
          <cell r="K68" t="str">
            <v>Sơn Long</v>
          </cell>
        </row>
        <row r="69">
          <cell r="K69" t="str">
            <v>Hương Long</v>
          </cell>
        </row>
        <row r="70">
          <cell r="K70" t="str">
            <v>Tây Sơn</v>
          </cell>
        </row>
        <row r="71">
          <cell r="K71" t="str">
            <v>Ngô Mây</v>
          </cell>
        </row>
        <row r="72">
          <cell r="K72" t="str">
            <v>Giải Phóng</v>
          </cell>
        </row>
        <row r="73">
          <cell r="K73" t="str">
            <v>Thống Nhất</v>
          </cell>
        </row>
        <row r="74">
          <cell r="K74" t="str">
            <v>Suối Môn</v>
          </cell>
        </row>
        <row r="75">
          <cell r="K75" t="str">
            <v>Tân Hiệp</v>
          </cell>
        </row>
        <row r="76">
          <cell r="K76" t="str">
            <v>Hòa Bình</v>
          </cell>
        </row>
        <row r="77">
          <cell r="K77" t="str">
            <v>Hòa An</v>
          </cell>
        </row>
        <row r="78">
          <cell r="K78" t="str">
            <v>Trà Sơn</v>
          </cell>
        </row>
        <row r="79">
          <cell r="K79" t="str">
            <v>Hòn Qui</v>
          </cell>
        </row>
        <row r="80">
          <cell r="K80" t="str">
            <v>Hòa Diêm</v>
          </cell>
        </row>
        <row r="81">
          <cell r="K81" t="str">
            <v>Hòa Sơn</v>
          </cell>
        </row>
        <row r="82">
          <cell r="K82" t="str">
            <v>Hiệp Thanh</v>
          </cell>
        </row>
        <row r="83">
          <cell r="K83" t="str">
            <v>Hiệp Mỹ</v>
          </cell>
        </row>
        <row r="84">
          <cell r="K84" t="str">
            <v>Mỹ Thanh</v>
          </cell>
        </row>
        <row r="85">
          <cell r="K85" t="str">
            <v>Sông Cạn Đông</v>
          </cell>
        </row>
        <row r="86">
          <cell r="K86" t="str">
            <v>Sông Cạn Trung</v>
          </cell>
        </row>
        <row r="87">
          <cell r="K87" t="str">
            <v>Thịnh Sơn</v>
          </cell>
        </row>
        <row r="88">
          <cell r="K88" t="str">
            <v>Suối Rua</v>
          </cell>
        </row>
        <row r="89">
          <cell r="K89" t="str">
            <v>Bình An</v>
          </cell>
        </row>
        <row r="90">
          <cell r="K90" t="str">
            <v>Bình Ba Đông</v>
          </cell>
        </row>
        <row r="91">
          <cell r="K91" t="str">
            <v>Bình Ba Tây</v>
          </cell>
        </row>
        <row r="92">
          <cell r="K92" t="str">
            <v>Bình Hưng</v>
          </cell>
        </row>
        <row r="93">
          <cell r="K93" t="str">
            <v>Nước Ngọt</v>
          </cell>
        </row>
        <row r="94">
          <cell r="K94" t="str">
            <v>Bình Lập</v>
          </cell>
        </row>
        <row r="95">
          <cell r="K95" t="str">
            <v>Phú Hải</v>
          </cell>
        </row>
        <row r="96">
          <cell r="K96" t="str">
            <v>Phú Bình</v>
          </cell>
        </row>
        <row r="97">
          <cell r="K97" t="str">
            <v>Phú Lộc</v>
          </cell>
        </row>
        <row r="98">
          <cell r="K98" t="str">
            <v>Phú Hòa</v>
          </cell>
        </row>
        <row r="99">
          <cell r="K99" t="str">
            <v>Phú Trung</v>
          </cell>
        </row>
        <row r="100">
          <cell r="K100" t="str">
            <v>Phú Sơn</v>
          </cell>
        </row>
        <row r="101">
          <cell r="K101" t="str">
            <v>Phú Thịnh</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nh"/>
      <sheetName val="THCS"/>
      <sheetName val="TuoiTHCS"/>
      <sheetName val="TKe HSTHCS"/>
      <sheetName val="DS-CBGVNV-THCS"/>
      <sheetName val="TKe-CBGVNV-THCS"/>
      <sheetName val="TKe-CSVC-THCS"/>
      <sheetName val="MN"/>
      <sheetName val="TuoiMN"/>
      <sheetName val="TKe HSMN"/>
      <sheetName val="DS-CBGVNV-MN"/>
      <sheetName val="TKe-CBGVNV-MN"/>
      <sheetName val="TKe-CSVC-MN"/>
      <sheetName val="TH_"/>
      <sheetName val="TuoiTH"/>
      <sheetName val="TKe HSTH"/>
      <sheetName val="DS-CBGVNV-TH"/>
      <sheetName val="TKe-CBGVNV-TH"/>
      <sheetName val="TKe-CSVC"/>
      <sheetName val="phu"/>
    </sheetNames>
    <sheetDataSet>
      <sheetData sheetId="0"/>
      <sheetData sheetId="1"/>
      <sheetData sheetId="2"/>
      <sheetData sheetId="3"/>
      <sheetData sheetId="4"/>
      <sheetData sheetId="5"/>
      <sheetData sheetId="6"/>
      <sheetData sheetId="7">
        <row r="6">
          <cell r="B6" t="str">
            <v>5-6 tuổi</v>
          </cell>
        </row>
      </sheetData>
      <sheetData sheetId="8"/>
      <sheetData sheetId="9"/>
      <sheetData sheetId="10"/>
      <sheetData sheetId="11"/>
      <sheetData sheetId="12"/>
      <sheetData sheetId="13">
        <row r="6">
          <cell r="B6">
            <v>5</v>
          </cell>
        </row>
      </sheetData>
      <sheetData sheetId="14"/>
      <sheetData sheetId="15"/>
      <sheetData sheetId="16"/>
      <sheetData sheetId="17"/>
      <sheetData sheetId="18"/>
      <sheetData sheetId="19">
        <row r="1">
          <cell r="C1" t="str">
            <v>Cam Thành Nam</v>
          </cell>
          <cell r="E1" t="str">
            <v>Quản lý</v>
          </cell>
          <cell r="F1" t="str">
            <v>PHÒNG GIÁO DỤC VÀ ĐÀO TẠO</v>
          </cell>
        </row>
        <row r="2">
          <cell r="C2" t="str">
            <v>Cam Nghĩa</v>
          </cell>
          <cell r="E2" t="str">
            <v>Toán</v>
          </cell>
          <cell r="F2" t="str">
            <v>TRƯỜNG MẦM NON CAM THÀNH NAM</v>
          </cell>
        </row>
        <row r="3">
          <cell r="C3" t="str">
            <v>Cam Phúc Bắc</v>
          </cell>
          <cell r="E3" t="str">
            <v>Ngữ văn</v>
          </cell>
          <cell r="F3" t="str">
            <v>TRƯỜNG MẦM NON CAM NGHĨA</v>
          </cell>
          <cell r="K3" t="str">
            <v>Hòa Do</v>
          </cell>
        </row>
        <row r="4">
          <cell r="C4" t="str">
            <v>Cam Phúc Nam</v>
          </cell>
          <cell r="E4" t="str">
            <v>Vật lý</v>
          </cell>
          <cell r="F4" t="str">
            <v>TRƯỜNG MẦM NON TRƯỜNG SA</v>
          </cell>
          <cell r="K4" t="str">
            <v>Quảng Hòa</v>
          </cell>
        </row>
        <row r="5">
          <cell r="C5" t="str">
            <v>Cam Lộc</v>
          </cell>
          <cell r="E5" t="str">
            <v>Hóa học</v>
          </cell>
          <cell r="F5" t="str">
            <v>TRƯỜNG MẦM NON CĂN CỨ CAM RANH</v>
          </cell>
          <cell r="K5" t="str">
            <v>Quảng Phúc</v>
          </cell>
        </row>
        <row r="6">
          <cell r="C6" t="str">
            <v>Cam Phú</v>
          </cell>
          <cell r="E6" t="str">
            <v>Sinh vật</v>
          </cell>
          <cell r="F6" t="str">
            <v>TRƯỜNG MẦM NON CAM PHÚC BẮC</v>
          </cell>
          <cell r="K6" t="str">
            <v>Nghĩa Phú</v>
          </cell>
        </row>
        <row r="7">
          <cell r="C7" t="str">
            <v>Cam Linh</v>
          </cell>
          <cell r="E7" t="str">
            <v>Lịch sử</v>
          </cell>
          <cell r="F7" t="str">
            <v>TRƯỜNG MẦM NON CAM PHÚC NAM</v>
          </cell>
          <cell r="K7" t="str">
            <v>Nghĩa Quý</v>
          </cell>
        </row>
        <row r="8">
          <cell r="C8" t="str">
            <v>Cam Thuận</v>
          </cell>
          <cell r="E8" t="str">
            <v>Địa lý</v>
          </cell>
          <cell r="F8" t="str">
            <v>TRƯỜNG MẦM NON CAM PHÚ</v>
          </cell>
          <cell r="K8" t="str">
            <v>Mỹ Ca</v>
          </cell>
        </row>
        <row r="9">
          <cell r="C9" t="str">
            <v>Cam Lợi</v>
          </cell>
          <cell r="E9" t="str">
            <v>Âm Nhạc</v>
          </cell>
          <cell r="F9" t="str">
            <v>TRƯỜNG MẦM NON CAM LINH</v>
          </cell>
          <cell r="K9" t="str">
            <v>Hòa Bình</v>
          </cell>
        </row>
        <row r="10">
          <cell r="C10" t="str">
            <v>Ba Ngòi</v>
          </cell>
          <cell r="E10" t="str">
            <v>Mỹ thuật</v>
          </cell>
          <cell r="F10" t="str">
            <v>TRƯỜNG MẦM NON CAM THUẬN</v>
          </cell>
          <cell r="K10" t="str">
            <v>Hòa Phước</v>
          </cell>
        </row>
        <row r="11">
          <cell r="C11" t="str">
            <v>Cam Phước Đông</v>
          </cell>
          <cell r="E11" t="str">
            <v>Thể dục</v>
          </cell>
          <cell r="F11" t="str">
            <v>TRƯỜNG MẦM NON CAM LỢI</v>
          </cell>
          <cell r="K11" t="str">
            <v>Nghĩa An</v>
          </cell>
        </row>
        <row r="12">
          <cell r="C12" t="str">
            <v>Cam Thịnh Đông</v>
          </cell>
          <cell r="E12" t="str">
            <v>GD Công dân</v>
          </cell>
          <cell r="F12" t="str">
            <v>TRƯỜNG MẦM NON BA NGÒI</v>
          </cell>
          <cell r="K12" t="str">
            <v>Nghĩa Lộc</v>
          </cell>
        </row>
        <row r="13">
          <cell r="C13" t="str">
            <v>Cam Thịnh Tây</v>
          </cell>
          <cell r="E13" t="str">
            <v>Công nghệ</v>
          </cell>
          <cell r="F13" t="str">
            <v>TRƯỜNG MẦM NON CAM LỘC</v>
          </cell>
          <cell r="K13" t="str">
            <v>Nghĩa Cam</v>
          </cell>
        </row>
        <row r="14">
          <cell r="C14" t="str">
            <v>Cam Lập</v>
          </cell>
          <cell r="E14" t="str">
            <v>Tin học</v>
          </cell>
          <cell r="F14" t="str">
            <v>TRƯỜNG MẦM NON HOA MAI</v>
          </cell>
          <cell r="K14" t="str">
            <v>Nghĩa Bình</v>
          </cell>
        </row>
        <row r="15">
          <cell r="C15" t="str">
            <v>Cam Bình</v>
          </cell>
          <cell r="E15" t="str">
            <v>Tiếng Anh</v>
          </cell>
          <cell r="F15" t="str">
            <v>TRƯỜNG MẦM NON 2/4</v>
          </cell>
          <cell r="K15" t="str">
            <v>Hòa Tiến</v>
          </cell>
        </row>
        <row r="16">
          <cell r="C16" t="str">
            <v>Huyện khác</v>
          </cell>
          <cell r="E16" t="str">
            <v>Tiếng Nga</v>
          </cell>
          <cell r="F16" t="str">
            <v>TRƯỜNG MẦM NON CAM PHƯỚC ĐÔNG</v>
          </cell>
          <cell r="K16" t="str">
            <v>Hòa Thuận</v>
          </cell>
        </row>
        <row r="17">
          <cell r="C17" t="str">
            <v>Tỉnh khác</v>
          </cell>
          <cell r="E17" t="str">
            <v>Tiếng Pháp</v>
          </cell>
          <cell r="F17" t="str">
            <v>TRƯỜNG MẦM NON CAM THỊNH ĐÔNG</v>
          </cell>
          <cell r="K17" t="str">
            <v>Hòa Do 1a</v>
          </cell>
        </row>
        <row r="18">
          <cell r="E18" t="str">
            <v>N.Ngữ khác</v>
          </cell>
          <cell r="F18" t="str">
            <v>TRƯỜNG MẦM NON CAM THỊNH TÂY</v>
          </cell>
          <cell r="K18" t="str">
            <v>Hòa Do 1b</v>
          </cell>
        </row>
        <row r="19">
          <cell r="E19" t="str">
            <v>TPT.Đội</v>
          </cell>
          <cell r="F19" t="str">
            <v>TRƯỜNG MẦM NON CAM LẬP</v>
          </cell>
          <cell r="K19" t="str">
            <v>Hòa Do 2</v>
          </cell>
        </row>
        <row r="20">
          <cell r="E20" t="str">
            <v>Thư viện</v>
          </cell>
          <cell r="F20" t="str">
            <v>TRƯỜNG MẦM NON CAM BÌNH</v>
          </cell>
          <cell r="K20" t="str">
            <v>Hòa Do 3</v>
          </cell>
        </row>
        <row r="21">
          <cell r="E21" t="str">
            <v>T.Bị-T.nghiệm</v>
          </cell>
          <cell r="F21" t="str">
            <v>TRƯỜNG TH CAM THÀNH NAM</v>
          </cell>
          <cell r="K21" t="str">
            <v>Hòa Do 4</v>
          </cell>
        </row>
        <row r="22">
          <cell r="E22" t="str">
            <v>Văn phòng</v>
          </cell>
          <cell r="F22" t="str">
            <v>TRƯỜNG TH CAM NGHĨA 1</v>
          </cell>
          <cell r="K22" t="str">
            <v>Hòa Do 5a</v>
          </cell>
        </row>
        <row r="23">
          <cell r="E23" t="str">
            <v>Y tế</v>
          </cell>
          <cell r="F23" t="str">
            <v>TRƯỜNG TH CAM NGHĨA 2</v>
          </cell>
          <cell r="K23" t="str">
            <v>Hòa Do 5b</v>
          </cell>
        </row>
        <row r="24">
          <cell r="E24" t="str">
            <v>Khác</v>
          </cell>
          <cell r="F24" t="str">
            <v>TRƯỜNG TH CAM PHÚC BẮC 1</v>
          </cell>
          <cell r="K24" t="str">
            <v>Hòa Do 6a</v>
          </cell>
        </row>
        <row r="25">
          <cell r="F25" t="str">
            <v>TRƯỜNG TH CAM PHÚC BẮC 2</v>
          </cell>
          <cell r="K25" t="str">
            <v>Hòa Do 6b</v>
          </cell>
        </row>
        <row r="26">
          <cell r="F26" t="str">
            <v>TRƯỜNG TH CAM PHÚC NAM</v>
          </cell>
          <cell r="K26" t="str">
            <v>Hải Thủy</v>
          </cell>
        </row>
        <row r="27">
          <cell r="F27" t="str">
            <v>TRƯỜNG TH CAM PHÚ</v>
          </cell>
          <cell r="K27" t="str">
            <v>Ninh Xuân</v>
          </cell>
        </row>
        <row r="28">
          <cell r="F28" t="str">
            <v>TRƯỜNG TH CAM LINH</v>
          </cell>
          <cell r="K28" t="str">
            <v>Phúc Sơn</v>
          </cell>
        </row>
        <row r="29">
          <cell r="F29" t="str">
            <v>TRƯỜNG TH CAM THUẬN</v>
          </cell>
          <cell r="K29" t="str">
            <v>Xuân Ninh</v>
          </cell>
        </row>
        <row r="30">
          <cell r="F30" t="str">
            <v>TRƯỜNG TH CAM LỢI</v>
          </cell>
          <cell r="K30" t="str">
            <v>Thuận Thành</v>
          </cell>
        </row>
        <row r="31">
          <cell r="F31" t="str">
            <v>TRƯỜNG TH BA NGÒI</v>
          </cell>
          <cell r="K31" t="str">
            <v>Thuận Phát</v>
          </cell>
        </row>
        <row r="32">
          <cell r="F32" t="str">
            <v>TRƯỜNG TH CAM LỘC 1</v>
          </cell>
          <cell r="K32" t="str">
            <v>Thuận Lợi</v>
          </cell>
        </row>
        <row r="33">
          <cell r="F33" t="str">
            <v>TRƯỜNG TH CAM LỘC 2</v>
          </cell>
          <cell r="K33" t="str">
            <v>Thuận Lộc</v>
          </cell>
        </row>
        <row r="34">
          <cell r="F34" t="str">
            <v>TRƯỜNG TH CAM PHƯỚC ĐÔNG 1</v>
          </cell>
          <cell r="K34" t="str">
            <v>Thuận Hiệp</v>
          </cell>
        </row>
        <row r="35">
          <cell r="F35" t="str">
            <v>TRƯỜNG TH CAM PHƯỚC ĐÔNG 2</v>
          </cell>
          <cell r="K35" t="str">
            <v>Thuận Hòa</v>
          </cell>
        </row>
        <row r="36">
          <cell r="F36" t="str">
            <v>TRƯỜNG TH CAM THỊNH ĐÔNG</v>
          </cell>
          <cell r="K36" t="str">
            <v>Thuận Hưng</v>
          </cell>
        </row>
        <row r="37">
          <cell r="F37" t="str">
            <v>TRƯỜNG TH CAM THỊNH 1</v>
          </cell>
          <cell r="K37" t="str">
            <v>Thuận Hải</v>
          </cell>
        </row>
        <row r="38">
          <cell r="F38" t="str">
            <v>TRƯỜNG TH CAM THỊNH TÂY</v>
          </cell>
          <cell r="K38" t="str">
            <v>Đá Bạc</v>
          </cell>
        </row>
        <row r="39">
          <cell r="F39" t="str">
            <v>TRƯỜNG TH&amp;THCS CĂN CỨ CAM RANH</v>
          </cell>
          <cell r="K39" t="str">
            <v>Linh Hòa</v>
          </cell>
        </row>
        <row r="40">
          <cell r="F40" t="str">
            <v>TRƯỜNG TH&amp;THCS CAM LẬP</v>
          </cell>
          <cell r="K40" t="str">
            <v>Linh Phú</v>
          </cell>
        </row>
        <row r="41">
          <cell r="F41" t="str">
            <v>TRƯỜNG TH&amp;THCS BÌNH HƯNG</v>
          </cell>
          <cell r="K41" t="str">
            <v>Linh Tân</v>
          </cell>
        </row>
        <row r="42">
          <cell r="F42" t="str">
            <v>TRƯỜNG TH&amp;THCS BÌNH BA</v>
          </cell>
          <cell r="K42" t="str">
            <v>Linh Vân</v>
          </cell>
        </row>
        <row r="43">
          <cell r="F43" t="str">
            <v>TRƯỜNG THCS PHAN CHU TRINH</v>
          </cell>
          <cell r="K43" t="str">
            <v>Linh Xuân</v>
          </cell>
        </row>
        <row r="44">
          <cell r="F44" t="str">
            <v>TRƯỜNG THCS NGUYỄN VĂN TRỖI</v>
          </cell>
          <cell r="K44" t="str">
            <v>Linh Thương</v>
          </cell>
        </row>
        <row r="45">
          <cell r="F45" t="str">
            <v>TRƯỜNG THCS NGUYỄN THỊ MINH KHAI</v>
          </cell>
          <cell r="K45" t="str">
            <v>Linh Trung</v>
          </cell>
        </row>
        <row r="46">
          <cell r="F46" t="str">
            <v>TRƯỜNG THCS CHU VĂN AN</v>
          </cell>
          <cell r="K46" t="str">
            <v>Xóm Cồn</v>
          </cell>
        </row>
        <row r="47">
          <cell r="F47" t="str">
            <v>TRƯỜNG THCS LÊ HỒNG PHONG</v>
          </cell>
          <cell r="K47" t="str">
            <v>Lợi Phú</v>
          </cell>
        </row>
        <row r="48">
          <cell r="F48" t="str">
            <v>TRƯỜNG THCS NGUYỄN TRỌNG KỶ</v>
          </cell>
          <cell r="K48" t="str">
            <v>Lợi Thủy</v>
          </cell>
        </row>
        <row r="49">
          <cell r="F49" t="str">
            <v>TRƯỜNG THCS TRẦN PHÚ</v>
          </cell>
          <cell r="K49" t="str">
            <v>Lợi Hải</v>
          </cell>
        </row>
        <row r="50">
          <cell r="F50" t="str">
            <v>TRƯỜNG THCS NGUYỄN DU</v>
          </cell>
          <cell r="K50" t="str">
            <v>Lợi Hưng</v>
          </cell>
        </row>
        <row r="51">
          <cell r="F51" t="str">
            <v>TRƯỜNG THCS NGUYỄN KHUYẾN</v>
          </cell>
          <cell r="K51" t="str">
            <v>Lợi Thịnh</v>
          </cell>
        </row>
        <row r="52">
          <cell r="F52" t="str">
            <v>TRƯỜNG THCS CAM THỊNH TÂY</v>
          </cell>
          <cell r="K52" t="str">
            <v>Lợi Phúc</v>
          </cell>
        </row>
        <row r="53">
          <cell r="F53" t="str">
            <v>TRƯỜNG PTDT NỘI TRÚ CAM RANH</v>
          </cell>
          <cell r="K53" t="str">
            <v>Lợi Thọ</v>
          </cell>
        </row>
        <row r="54">
          <cell r="K54" t="str">
            <v>Lợi Hòa</v>
          </cell>
        </row>
        <row r="55">
          <cell r="K55" t="str">
            <v>Lợi Hiệp</v>
          </cell>
        </row>
        <row r="56">
          <cell r="K56" t="str">
            <v>Lộc An</v>
          </cell>
        </row>
        <row r="57">
          <cell r="K57" t="str">
            <v>Lộc Hải</v>
          </cell>
        </row>
        <row r="58">
          <cell r="K58" t="str">
            <v>Lộc Phúc</v>
          </cell>
        </row>
        <row r="59">
          <cell r="K59" t="str">
            <v>Lộc Sơn</v>
          </cell>
        </row>
        <row r="60">
          <cell r="K60" t="str">
            <v>Lộc Thành</v>
          </cell>
        </row>
        <row r="61">
          <cell r="K61" t="str">
            <v>Lộc Thịnh</v>
          </cell>
        </row>
        <row r="62">
          <cell r="K62" t="str">
            <v>Trà Long 1</v>
          </cell>
        </row>
        <row r="63">
          <cell r="K63" t="str">
            <v>Trà Long 2</v>
          </cell>
        </row>
        <row r="64">
          <cell r="K64" t="str">
            <v>Khánh Cam 1</v>
          </cell>
        </row>
        <row r="65">
          <cell r="K65" t="str">
            <v>Khánh Cam 2</v>
          </cell>
        </row>
        <row r="66">
          <cell r="K66" t="str">
            <v>Lam Sơn</v>
          </cell>
        </row>
        <row r="67">
          <cell r="K67" t="str">
            <v>Sông Tiên</v>
          </cell>
        </row>
        <row r="68">
          <cell r="K68" t="str">
            <v>Sơn Long</v>
          </cell>
        </row>
        <row r="69">
          <cell r="K69" t="str">
            <v>Hương Long</v>
          </cell>
        </row>
        <row r="70">
          <cell r="K70" t="str">
            <v>Tây Sơn</v>
          </cell>
        </row>
        <row r="71">
          <cell r="K71" t="str">
            <v>Ngô Mây</v>
          </cell>
        </row>
        <row r="72">
          <cell r="K72" t="str">
            <v>Giải Phóng</v>
          </cell>
        </row>
        <row r="73">
          <cell r="K73" t="str">
            <v>Thống Nhất</v>
          </cell>
        </row>
        <row r="74">
          <cell r="K74" t="str">
            <v>Suối Môn</v>
          </cell>
        </row>
        <row r="75">
          <cell r="K75" t="str">
            <v>Tân Hiệp</v>
          </cell>
        </row>
        <row r="76">
          <cell r="K76" t="str">
            <v>Hòa Bình</v>
          </cell>
        </row>
        <row r="77">
          <cell r="K77" t="str">
            <v>Hòa An</v>
          </cell>
        </row>
        <row r="78">
          <cell r="K78" t="str">
            <v>Trà Sơn</v>
          </cell>
        </row>
        <row r="79">
          <cell r="K79" t="str">
            <v>Hòn Qui</v>
          </cell>
        </row>
        <row r="80">
          <cell r="K80" t="str">
            <v>Hòa Diêm</v>
          </cell>
        </row>
        <row r="81">
          <cell r="K81" t="str">
            <v>Hòa Sơn</v>
          </cell>
        </row>
        <row r="82">
          <cell r="K82" t="str">
            <v>Hiệp Thanh</v>
          </cell>
        </row>
        <row r="83">
          <cell r="K83" t="str">
            <v>Hiệp Mỹ</v>
          </cell>
        </row>
        <row r="84">
          <cell r="K84" t="str">
            <v>Mỹ Thanh</v>
          </cell>
        </row>
        <row r="85">
          <cell r="K85" t="str">
            <v>Sông Cạn Đông</v>
          </cell>
        </row>
        <row r="86">
          <cell r="K86" t="str">
            <v>Sông Cạn Trung</v>
          </cell>
        </row>
        <row r="87">
          <cell r="K87" t="str">
            <v>Thịnh Sơn</v>
          </cell>
        </row>
        <row r="88">
          <cell r="K88" t="str">
            <v>Suối Rua</v>
          </cell>
        </row>
        <row r="89">
          <cell r="K89" t="str">
            <v>Bình An</v>
          </cell>
        </row>
        <row r="90">
          <cell r="K90" t="str">
            <v>Bình Ba Đông</v>
          </cell>
        </row>
        <row r="91">
          <cell r="K91" t="str">
            <v>Bình Ba Tây</v>
          </cell>
        </row>
        <row r="92">
          <cell r="K92" t="str">
            <v>Bình Hưng</v>
          </cell>
        </row>
        <row r="93">
          <cell r="K93" t="str">
            <v>Nước Ngọt</v>
          </cell>
        </row>
        <row r="94">
          <cell r="K94" t="str">
            <v>Bình Lập</v>
          </cell>
        </row>
        <row r="95">
          <cell r="K95" t="str">
            <v>Phú Hải</v>
          </cell>
        </row>
        <row r="96">
          <cell r="K96" t="str">
            <v>Phú Bình</v>
          </cell>
        </row>
        <row r="97">
          <cell r="K97" t="str">
            <v>Phú Lộc</v>
          </cell>
        </row>
        <row r="98">
          <cell r="K98" t="str">
            <v>Phú Hòa</v>
          </cell>
        </row>
        <row r="99">
          <cell r="K99" t="str">
            <v>Phú Trung</v>
          </cell>
        </row>
        <row r="100">
          <cell r="K100" t="str">
            <v>Phú Sơn</v>
          </cell>
        </row>
        <row r="101">
          <cell r="K101" t="str">
            <v>Phú Thịnh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C3399"/>
  </sheetPr>
  <dimension ref="A1:X2380"/>
  <sheetViews>
    <sheetView showGridLines="0" workbookViewId="0">
      <pane xSplit="3" ySplit="5" topLeftCell="D6" activePane="bottomRight" state="frozen"/>
      <selection pane="topRight" activeCell="D1" sqref="D1"/>
      <selection pane="bottomLeft" activeCell="A6" sqref="A6"/>
      <selection pane="bottomRight" activeCell="D8" sqref="D8"/>
    </sheetView>
  </sheetViews>
  <sheetFormatPr defaultRowHeight="15.75" x14ac:dyDescent="0.25"/>
  <cols>
    <col min="1" max="1" width="4.25" style="63" customWidth="1"/>
    <col min="2" max="2" width="7.25" style="63" customWidth="1"/>
    <col min="3" max="3" width="3" style="63" customWidth="1"/>
    <col min="4" max="4" width="15" style="63" customWidth="1"/>
    <col min="5" max="5" width="6.625" style="63" customWidth="1"/>
    <col min="6" max="7" width="3.125" style="63" bestFit="1" customWidth="1"/>
    <col min="8" max="8" width="7.5" style="63" bestFit="1" customWidth="1"/>
    <col min="9" max="9" width="3.875" style="63" customWidth="1"/>
    <col min="10" max="10" width="6.125" style="63" customWidth="1"/>
    <col min="11" max="11" width="3" style="503" bestFit="1" customWidth="1"/>
    <col min="12" max="12" width="9.125" style="503" customWidth="1"/>
    <col min="13" max="13" width="14.125" style="549" customWidth="1"/>
    <col min="14" max="14" width="13.5" style="549" customWidth="1"/>
    <col min="15" max="17" width="13.5" style="63" customWidth="1"/>
    <col min="18" max="18" width="13.375" style="63" customWidth="1"/>
    <col min="19" max="19" width="7.25" style="63" customWidth="1"/>
    <col min="20" max="20" width="5.75" style="63" customWidth="1"/>
    <col min="21" max="21" width="12.125" style="497" customWidth="1"/>
    <col min="22" max="22" width="11.25" style="63" customWidth="1"/>
    <col min="23" max="23" width="5.125" style="63" hidden="1" customWidth="1"/>
    <col min="24" max="24" width="3.5" style="505" customWidth="1"/>
    <col min="25" max="16384" width="9" style="63"/>
  </cols>
  <sheetData>
    <row r="1" spans="1:24" ht="18.75" x14ac:dyDescent="0.3">
      <c r="A1" s="605" t="str">
        <f>Chinh!A1</f>
        <v>UBND PHƯỜNG CAM LINH</v>
      </c>
      <c r="B1" s="605"/>
      <c r="C1" s="605"/>
      <c r="D1" s="605"/>
      <c r="E1" s="605"/>
      <c r="O1" s="6" t="str">
        <f>"DANH SÁCH TRẺ MẦM NON TOÀN TRƯỜNG  NĂM HỌC "&amp;Chinh!H5</f>
        <v>DANH SÁCH TRẺ MẦM NON TOÀN TRƯỜNG  NĂM HỌC 2025-2026</v>
      </c>
    </row>
    <row r="2" spans="1:24" x14ac:dyDescent="0.25">
      <c r="A2" s="606" t="str">
        <f>IF(Chinh!$D$9="","",Chinh!A2)</f>
        <v/>
      </c>
      <c r="B2" s="606"/>
      <c r="C2" s="606"/>
      <c r="D2" s="606"/>
      <c r="E2" s="606"/>
      <c r="L2" s="603" t="str">
        <f>IF(COUNTIF(X6:$X$15000,"er")&gt;0,"Còn lỗi! Kiểm tra lại!",IF(AND(COUNTA($E$6:$E$15000)&gt;0,COUNTIF(X6:$X$15000,"er")=0,Chinh!D9&lt;&gt;""),"Hoàn thành!","Nhập danh sách trẻ!"))</f>
        <v>Nhập danh sách trẻ!</v>
      </c>
      <c r="M2" s="603"/>
      <c r="N2" s="603"/>
      <c r="O2" s="603"/>
      <c r="P2" s="67">
        <f>IF(Chinh!$H$5="","",VALUE(LEFT(Chinh!$H$5,4)))</f>
        <v>2025</v>
      </c>
    </row>
    <row r="3" spans="1:24" ht="21" customHeight="1" x14ac:dyDescent="0.25">
      <c r="H3" s="498" t="str">
        <f>IF(L2="Hoàn thành!","Tổng số: "&amp;" "&amp;COUNTA($E$6:$E$15000)&amp;" "&amp;"trẻ","")</f>
        <v/>
      </c>
    </row>
    <row r="4" spans="1:24" ht="18.75" customHeight="1" x14ac:dyDescent="0.25">
      <c r="A4" s="595" t="s">
        <v>214</v>
      </c>
      <c r="B4" s="607" t="s">
        <v>215</v>
      </c>
      <c r="C4" s="608" t="s">
        <v>216</v>
      </c>
      <c r="D4" s="610" t="s">
        <v>217</v>
      </c>
      <c r="E4" s="612" t="s">
        <v>218</v>
      </c>
      <c r="F4" s="597" t="s">
        <v>233</v>
      </c>
      <c r="G4" s="598"/>
      <c r="H4" s="599"/>
      <c r="I4" s="592" t="s">
        <v>219</v>
      </c>
      <c r="J4" s="592" t="s">
        <v>551</v>
      </c>
      <c r="K4" s="604" t="s">
        <v>378</v>
      </c>
      <c r="L4" s="600" t="s">
        <v>221</v>
      </c>
      <c r="M4" s="601"/>
      <c r="N4" s="601"/>
      <c r="O4" s="602"/>
      <c r="P4" s="592" t="s">
        <v>222</v>
      </c>
      <c r="Q4" s="592" t="s">
        <v>223</v>
      </c>
      <c r="R4" s="592" t="s">
        <v>559</v>
      </c>
      <c r="S4" s="594" t="s">
        <v>553</v>
      </c>
      <c r="T4" s="595" t="s">
        <v>224</v>
      </c>
      <c r="U4" s="596" t="s">
        <v>547</v>
      </c>
      <c r="V4" s="595" t="s">
        <v>232</v>
      </c>
    </row>
    <row r="5" spans="1:24" ht="44.25" customHeight="1" x14ac:dyDescent="0.25">
      <c r="A5" s="595"/>
      <c r="B5" s="607"/>
      <c r="C5" s="609"/>
      <c r="D5" s="611"/>
      <c r="E5" s="613"/>
      <c r="F5" s="8" t="s">
        <v>225</v>
      </c>
      <c r="G5" s="8" t="s">
        <v>226</v>
      </c>
      <c r="H5" s="8" t="s">
        <v>227</v>
      </c>
      <c r="I5" s="593"/>
      <c r="J5" s="593"/>
      <c r="K5" s="604"/>
      <c r="L5" s="557" t="s">
        <v>230</v>
      </c>
      <c r="M5" s="557" t="s">
        <v>861</v>
      </c>
      <c r="N5" s="581" t="s">
        <v>862</v>
      </c>
      <c r="O5" s="556" t="s">
        <v>229</v>
      </c>
      <c r="P5" s="593"/>
      <c r="Q5" s="593"/>
      <c r="R5" s="593"/>
      <c r="S5" s="594"/>
      <c r="T5" s="595"/>
      <c r="U5" s="596"/>
      <c r="V5" s="595"/>
    </row>
    <row r="6" spans="1:24" x14ac:dyDescent="0.25">
      <c r="A6" s="65">
        <f>IF(AND(E6&lt;&gt;"",H6&lt;&gt;0),1,"")</f>
        <v>1</v>
      </c>
      <c r="B6" s="22" t="str">
        <f t="shared" ref="B6:B69" si="0">IF(W6=5,"5-6 tuổi",IF(W6=4,"4-5 tuổi",IF(W6=3,"3-4 tuổi",IF(AND(W6&lt;3,W6&gt;1),"25-36 tháng",IF(AND(W6=1,W6&gt;0),"13-24 tháng",IF(AND(W6=0,E6&lt;&gt;""),"Dưới 13 tháng",""))))))</f>
        <v>5-6 tuổi</v>
      </c>
      <c r="C6" s="9" t="s">
        <v>649</v>
      </c>
      <c r="D6" s="10" t="s">
        <v>650</v>
      </c>
      <c r="E6" s="11" t="s">
        <v>651</v>
      </c>
      <c r="F6" s="12">
        <v>1</v>
      </c>
      <c r="G6" s="12">
        <v>1</v>
      </c>
      <c r="H6" s="13">
        <v>2020</v>
      </c>
      <c r="I6" s="9" t="s">
        <v>652</v>
      </c>
      <c r="J6" s="14" t="s">
        <v>653</v>
      </c>
      <c r="K6" s="9" t="s">
        <v>652</v>
      </c>
      <c r="L6" s="9" t="s">
        <v>742</v>
      </c>
      <c r="M6" s="531" t="str">
        <f>CONCATENATE(IF(OR(L6=phu!$I$1,L6=phu!$I$2,L6=phu!$I$3),"Cam Thành Nam",""),IF(OR(L6=phu!$I$4,L6=phu!$I$5,L6=phu!$I$6,L6=phu!$I$7,L6=phu!$I$8,L6=phu!$I$9,L6=phu!$I$10,L6=phu!$I$11,L6=phu!$I$12,L6=phu!$I$13,L6=phu!$I$14),"Cam Nghĩa",""),IF(OR(L6=phu!$I$15,L6=phu!$I$16,L6=phu!$I$17,L6=phu!$I$18,L6=phu!$I$19,L6=phu!$I$20,L6=phu!$I$21),"Cam Phúc Bắc",""),IF(OR(L6=phu!$I$22,L6=phu!$I$23,L6=phu!$I$24,L6=phu!$I$25),"Cam Phúc Nam",""),IF(OR(L6=phu!$I$26,L6=phu!$I$27,L6=phu!$I$28,L6=phu!$I$29,L6=phu!$I$30,L6=phu!$I$31),"Cam Phú",""),IF(OR(L6=phu!$I$32,L6=phu!$I$33,L6=phu!$I$34,L6=phu!$I$35,L6=phu!$I$36,L6=phu!$I$37),"Cam Lộc",""),IF(OR(L6=phu!$I$38,L6=phu!$I$39,L6=phu!$I$40,L6=phu!$I$41,L6=phu!$I$42,L6=phu!$I$43,L6=phu!$I$44),"Cam Thuận",""),IF(OR(L6=phu!$I$45,L6=phu!$I$46,L6=phu!$I$47,L6=phu!$I$48,L6=phu!$I$49,L6=phu!$I$50,L6=phu!$I$51,L6=phu!$I$52,L6=phu!$I$53),"Cam Linh",""),IF(OR(L6=phu!$I$54,L6=phu!$I$55,L6=phu!$I$56,L6=phu!$I$57,L6=phu!$I$58,L6=phu!$I$59,L6=phu!$I$60,L6=phu!$I$61,L6=phu!$I$62),"Cam Lợi",""),IF(OR(L6=phu!$I$63,L6=phu!$I$64,L6=phu!$I$65,L6=phu!$I$66,L6=phu!$I$67,L6=phu!$I$68,L6=phu!$I$69,L6=phu!$I$70,L6=phu!$I$71),"Ba Ngòi",""),IF(OR(L6=phu!$I$72,L6=phu!$I$73,L6=phu!$I$74,L6=phu!$I$75,L6=phu!$I$76,L6=phu!$I$77,L6=phu!$I$78),"Cam Phước Đông",""),IF(OR(L6=phu!$I$79,L6=phu!$I$80,L6=phu!$I$81,L6=phu!$I$82,L6=phu!$I$83,L6=phu!$I$84),"Cam Thịnh Đông",""),IF(OR(L6=phu!$I$85,L6=phu!$I$86,L6=phu!$I$87,L6=phu!$I$88),"Cam Thịnh Tây",""),IF(OR(L6=phu!$I$89,L6=phu!$I$90),"Cam Lập",""),IF(OR(L6=phu!$I$91,L6=phu!$I$92,L6=phu!$I$93),"Cam Bình",""),IF(OR(L6=phu!$I$94,L6=phu!$I$95,L6=phu!$I$96,L6=phu!$I$97,L6=phu!$I$98,L6=phu!$I$99,L6=phu!$I$100),"Huyện khác",""),IF(OR(L6=phu!$I$101,L6=phu!$I$102),"Tỉnh khác",""))</f>
        <v>Cam Nghĩa</v>
      </c>
      <c r="N6" s="835" t="str">
        <f>CONCATENATE(IF(OR(M6="Cam Thành Nam",M6="Cam Nghĩa",M6="Cam Phúc Bắc"),"Bắc Cam Ranh",""),IF(OR(M6="Cam Phúc Nam",M6="Cam Phú",M6="Cam Lộc"),"Cam Ranh",""),IF(OR(M6="Cam Thuận",M6="Cam Linh",M6="Cam Lợi"),"Cam Linh",""),IF(OR(M6="Ba Ngòi",M6="Cam Phước Đông"),"Ba Ngòi",""),IF(OR(M6="Cam Thịnh Đông",M6="Cam Thịnh Tây",M6="Cam Lập",M6="Cam Bình"),"Nam Cam Ranh",""),IF(M6="Huyện khác","Huyện khác",""),IF(M6="Tỉnh khác","Tỉnh khác",""))</f>
        <v>Bắc Cam Ranh</v>
      </c>
      <c r="O6" s="520" t="s">
        <v>743</v>
      </c>
      <c r="P6" s="14" t="s">
        <v>743</v>
      </c>
      <c r="Q6" s="20" t="s">
        <v>744</v>
      </c>
      <c r="R6" s="14"/>
      <c r="S6" s="14" t="s">
        <v>748</v>
      </c>
      <c r="T6" s="5" t="s">
        <v>745</v>
      </c>
      <c r="U6" s="5" t="s">
        <v>746</v>
      </c>
      <c r="V6" s="5" t="s">
        <v>747</v>
      </c>
      <c r="W6" s="7">
        <f t="shared" ref="W6:W69" si="1">IF(OR($P$2="",H6=""),"",$P$2-H6)</f>
        <v>5</v>
      </c>
      <c r="X6" s="506" t="str">
        <f t="shared" ref="X6:X69" si="2">IF(OR(AND(C6="",D6="",E6="",F6="",G6="",H6="",J6="",L6="",M6="",O6="",P6="",Q6=""),AND(C6&lt;&gt;"",D6&lt;&gt;"",E6&lt;&gt;"",F6&lt;&gt;"",G6&lt;&gt;"",H6&lt;&gt;"",J6&lt;&gt;"",L6&lt;&gt;"",M6&lt;&gt;"",O6&lt;&gt;"",OR(AND(P6&lt;&gt;"",Q6=""),AND(P6="",Q6&lt;&gt;""),AND(P6&lt;&gt;"",Q6&lt;&gt;"")),OR(AND(K6="X",S6&lt;&gt;""),AND(K6="",S6="")))),"","er")</f>
        <v/>
      </c>
    </row>
    <row r="7" spans="1:24" x14ac:dyDescent="0.25">
      <c r="A7" s="66">
        <f>IF(AND(A6&lt;&gt;"",E7&lt;&gt;""),A6+1,"")</f>
        <v>2</v>
      </c>
      <c r="B7" s="23" t="str">
        <f t="shared" si="0"/>
        <v>4-5 tuổi</v>
      </c>
      <c r="C7" s="15" t="s">
        <v>749</v>
      </c>
      <c r="D7" s="16" t="s">
        <v>750</v>
      </c>
      <c r="E7" s="17" t="s">
        <v>751</v>
      </c>
      <c r="F7" s="18">
        <v>2</v>
      </c>
      <c r="G7" s="18">
        <v>12</v>
      </c>
      <c r="H7" s="19">
        <v>2021</v>
      </c>
      <c r="I7" s="15"/>
      <c r="J7" s="20" t="s">
        <v>752</v>
      </c>
      <c r="K7" s="15"/>
      <c r="L7" s="15" t="s">
        <v>660</v>
      </c>
      <c r="M7" s="531" t="str">
        <f>CONCATENATE(IF(OR(L7=phu!$I$1,L7=phu!$I$2,L7=phu!$I$3),"Cam Thành Nam",""),IF(OR(L7=phu!$I$4,L7=phu!$I$5,L7=phu!$I$6,L7=phu!$I$7,L7=phu!$I$8,L7=phu!$I$9,L7=phu!$I$10,L7=phu!$I$11,L7=phu!$I$12,L7=phu!$I$13,L7=phu!$I$14),"Cam Nghĩa",""),IF(OR(L7=phu!$I$15,L7=phu!$I$16,L7=phu!$I$17,L7=phu!$I$18,L7=phu!$I$19,L7=phu!$I$20,L7=phu!$I$21),"Cam Phúc Bắc",""),IF(OR(L7=phu!$I$22,L7=phu!$I$23,L7=phu!$I$24,L7=phu!$I$25),"Cam Phúc Nam",""),IF(OR(L7=phu!$I$26,L7=phu!$I$27,L7=phu!$I$28,L7=phu!$I$29,L7=phu!$I$30,L7=phu!$I$31),"Cam Phú",""),IF(OR(L7=phu!$I$32,L7=phu!$I$33,L7=phu!$I$34,L7=phu!$I$35,L7=phu!$I$36,L7=phu!$I$37),"Cam Lộc",""),IF(OR(L7=phu!$I$38,L7=phu!$I$39,L7=phu!$I$40,L7=phu!$I$41,L7=phu!$I$42,L7=phu!$I$43,L7=phu!$I$44),"Cam Thuận",""),IF(OR(L7=phu!$I$45,L7=phu!$I$46,L7=phu!$I$47,L7=phu!$I$48,L7=phu!$I$49,L7=phu!$I$50,L7=phu!$I$51,L7=phu!$I$52,L7=phu!$I$53),"Cam Linh",""),IF(OR(L7=phu!$I$54,L7=phu!$I$55,L7=phu!$I$56,L7=phu!$I$57,L7=phu!$I$58,L7=phu!$I$59,L7=phu!$I$60,L7=phu!$I$61,L7=phu!$I$62),"Cam Lợi",""),IF(OR(L7=phu!$I$63,L7=phu!$I$64,L7=phu!$I$65,L7=phu!$I$66,L7=phu!$I$67,L7=phu!$I$68,L7=phu!$I$69,L7=phu!$I$70,L7=phu!$I$71),"Ba Ngòi",""),IF(OR(L7=phu!$I$72,L7=phu!$I$73,L7=phu!$I$74,L7=phu!$I$75,L7=phu!$I$76,L7=phu!$I$77,L7=phu!$I$78),"Cam Phước Đông",""),IF(OR(L7=phu!$I$79,L7=phu!$I$80,L7=phu!$I$81,L7=phu!$I$82,L7=phu!$I$83,L7=phu!$I$84),"Cam Thịnh Đông",""),IF(OR(L7=phu!$I$85,L7=phu!$I$86,L7=phu!$I$87,L7=phu!$I$88),"Cam Thịnh Tây",""),IF(OR(L7=phu!$I$89,L7=phu!$I$90),"Cam Lập",""),IF(OR(L7=phu!$I$91,L7=phu!$I$92,L7=phu!$I$93),"Cam Bình",""),IF(OR(L7=phu!$I$94,L7=phu!$I$95,L7=phu!$I$96,L7=phu!$I$97,L7=phu!$I$98,L7=phu!$I$99,L7=phu!$I$100),"Huyện khác",""),IF(OR(L7=phu!$I$101,L7=phu!$I$102),"Tỉnh khác",""))</f>
        <v>Cam Phước Đông</v>
      </c>
      <c r="N7" s="835" t="str">
        <f t="shared" ref="N7:N70" si="3">CONCATENATE(IF(OR(M7="Cam Thành Nam",M7="Cam Nghĩa",M7="Cam Phúc Bắc"),"Bắc Cam Ranh",""),IF(OR(M7="Cam Phúc Nam",M7="Cam Phú",M7="Cam Lộc"),"Cam Ranh",""),IF(OR(M7="Cam Thuận",M7="Cam Linh",M7="Cam Lợi"),"Cam Linh",""),IF(OR(M7="Ba Ngòi",M7="Cam Phước Đông"),"Ba Ngòi",""),IF(OR(M7="Cam Thịnh Đông",M7="Cam Thịnh Tây",M7="Cam Lập",M7="Cam Bình"),"Nam Cam Ranh",""),IF(M7="Huyện khác","Huyện khác",""),IF(M7="Tỉnh khác","Tỉnh khác",""))</f>
        <v>Ba Ngòi</v>
      </c>
      <c r="O7" s="20" t="s">
        <v>753</v>
      </c>
      <c r="P7" s="20" t="s">
        <v>753</v>
      </c>
      <c r="Q7" s="20" t="s">
        <v>754</v>
      </c>
      <c r="R7" s="20"/>
      <c r="S7" s="20"/>
      <c r="T7" s="21" t="s">
        <v>755</v>
      </c>
      <c r="U7" s="21" t="s">
        <v>756</v>
      </c>
      <c r="V7" s="21" t="s">
        <v>757</v>
      </c>
      <c r="W7" s="7">
        <f t="shared" si="1"/>
        <v>4</v>
      </c>
      <c r="X7" s="506" t="str">
        <f t="shared" si="2"/>
        <v/>
      </c>
    </row>
    <row r="8" spans="1:24" x14ac:dyDescent="0.25">
      <c r="A8" s="66">
        <f t="shared" ref="A8:A71" si="4">IF(AND(A7&lt;&gt;"",E8&lt;&gt;""),A7+1,"")</f>
        <v>3</v>
      </c>
      <c r="B8" s="23" t="str">
        <f t="shared" si="0"/>
        <v>3-4 tuổi</v>
      </c>
      <c r="C8" s="15" t="s">
        <v>649</v>
      </c>
      <c r="D8" s="16" t="s">
        <v>750</v>
      </c>
      <c r="E8" s="17" t="s">
        <v>751</v>
      </c>
      <c r="F8" s="18">
        <v>2</v>
      </c>
      <c r="G8" s="18">
        <v>12</v>
      </c>
      <c r="H8" s="19">
        <v>2022</v>
      </c>
      <c r="I8" s="15"/>
      <c r="J8" s="20" t="s">
        <v>772</v>
      </c>
      <c r="K8" s="15"/>
      <c r="L8" s="15" t="s">
        <v>737</v>
      </c>
      <c r="M8" s="531" t="str">
        <f>CONCATENATE(IF(OR(L8=phu!$I$1,L8=phu!$I$2,L8=phu!$I$3),"Cam Thành Nam",""),IF(OR(L8=phu!$I$4,L8=phu!$I$5,L8=phu!$I$6,L8=phu!$I$7,L8=phu!$I$8,L8=phu!$I$9,L8=phu!$I$10,L8=phu!$I$11,L8=phu!$I$12,L8=phu!$I$13,L8=phu!$I$14),"Cam Nghĩa",""),IF(OR(L8=phu!$I$15,L8=phu!$I$16,L8=phu!$I$17,L8=phu!$I$18,L8=phu!$I$19,L8=phu!$I$20,L8=phu!$I$21),"Cam Phúc Bắc",""),IF(OR(L8=phu!$I$22,L8=phu!$I$23,L8=phu!$I$24,L8=phu!$I$25),"Cam Phúc Nam",""),IF(OR(L8=phu!$I$26,L8=phu!$I$27,L8=phu!$I$28,L8=phu!$I$29,L8=phu!$I$30,L8=phu!$I$31),"Cam Phú",""),IF(OR(L8=phu!$I$32,L8=phu!$I$33,L8=phu!$I$34,L8=phu!$I$35,L8=phu!$I$36,L8=phu!$I$37),"Cam Lộc",""),IF(OR(L8=phu!$I$38,L8=phu!$I$39,L8=phu!$I$40,L8=phu!$I$41,L8=phu!$I$42,L8=phu!$I$43,L8=phu!$I$44),"Cam Thuận",""),IF(OR(L8=phu!$I$45,L8=phu!$I$46,L8=phu!$I$47,L8=phu!$I$48,L8=phu!$I$49,L8=phu!$I$50,L8=phu!$I$51,L8=phu!$I$52,L8=phu!$I$53),"Cam Linh",""),IF(OR(L8=phu!$I$54,L8=phu!$I$55,L8=phu!$I$56,L8=phu!$I$57,L8=phu!$I$58,L8=phu!$I$59,L8=phu!$I$60,L8=phu!$I$61,L8=phu!$I$62),"Cam Lợi",""),IF(OR(L8=phu!$I$63,L8=phu!$I$64,L8=phu!$I$65,L8=phu!$I$66,L8=phu!$I$67,L8=phu!$I$68,L8=phu!$I$69,L8=phu!$I$70,L8=phu!$I$71),"Ba Ngòi",""),IF(OR(L8=phu!$I$72,L8=phu!$I$73,L8=phu!$I$74,L8=phu!$I$75,L8=phu!$I$76,L8=phu!$I$77,L8=phu!$I$78),"Cam Phước Đông",""),IF(OR(L8=phu!$I$79,L8=phu!$I$80,L8=phu!$I$81,L8=phu!$I$82,L8=phu!$I$83,L8=phu!$I$84),"Cam Thịnh Đông",""),IF(OR(L8=phu!$I$85,L8=phu!$I$86,L8=phu!$I$87,L8=phu!$I$88),"Cam Thịnh Tây",""),IF(OR(L8=phu!$I$89,L8=phu!$I$90),"Cam Lập",""),IF(OR(L8=phu!$I$91,L8=phu!$I$92,L8=phu!$I$93),"Cam Bình",""),IF(OR(L8=phu!$I$94,L8=phu!$I$95,L8=phu!$I$96,L8=phu!$I$97,L8=phu!$I$98,L8=phu!$I$99,L8=phu!$I$100),"Huyện khác",""),IF(OR(L8=phu!$I$101,L8=phu!$I$102),"Tỉnh khác",""))</f>
        <v>Huyện khác</v>
      </c>
      <c r="N8" s="835" t="str">
        <f t="shared" si="3"/>
        <v>Huyện khác</v>
      </c>
      <c r="O8" s="20" t="s">
        <v>753</v>
      </c>
      <c r="P8" s="20" t="s">
        <v>753</v>
      </c>
      <c r="Q8" s="20" t="s">
        <v>754</v>
      </c>
      <c r="R8" s="20"/>
      <c r="S8" s="20"/>
      <c r="T8" s="21" t="s">
        <v>813</v>
      </c>
      <c r="U8" s="21" t="s">
        <v>756</v>
      </c>
      <c r="V8" s="21" t="s">
        <v>814</v>
      </c>
      <c r="W8" s="7">
        <f t="shared" si="1"/>
        <v>3</v>
      </c>
      <c r="X8" s="506" t="str">
        <f t="shared" si="2"/>
        <v/>
      </c>
    </row>
    <row r="9" spans="1:24" x14ac:dyDescent="0.25">
      <c r="A9" s="66">
        <f t="shared" si="4"/>
        <v>4</v>
      </c>
      <c r="B9" s="23" t="str">
        <f t="shared" si="0"/>
        <v>25-36 tháng</v>
      </c>
      <c r="C9" s="15" t="s">
        <v>649</v>
      </c>
      <c r="D9" s="16" t="s">
        <v>750</v>
      </c>
      <c r="E9" s="17" t="s">
        <v>751</v>
      </c>
      <c r="F9" s="18">
        <v>2</v>
      </c>
      <c r="G9" s="18">
        <v>12</v>
      </c>
      <c r="H9" s="19">
        <v>2023</v>
      </c>
      <c r="I9" s="15"/>
      <c r="J9" s="20" t="s">
        <v>772</v>
      </c>
      <c r="K9" s="15"/>
      <c r="L9" s="15" t="s">
        <v>658</v>
      </c>
      <c r="M9" s="531" t="str">
        <f>CONCATENATE(IF(OR(L9=phu!$I$1,L9=phu!$I$2,L9=phu!$I$3),"Cam Thành Nam",""),IF(OR(L9=phu!$I$4,L9=phu!$I$5,L9=phu!$I$6,L9=phu!$I$7,L9=phu!$I$8,L9=phu!$I$9,L9=phu!$I$10,L9=phu!$I$11,L9=phu!$I$12,L9=phu!$I$13,L9=phu!$I$14),"Cam Nghĩa",""),IF(OR(L9=phu!$I$15,L9=phu!$I$16,L9=phu!$I$17,L9=phu!$I$18,L9=phu!$I$19,L9=phu!$I$20,L9=phu!$I$21),"Cam Phúc Bắc",""),IF(OR(L9=phu!$I$22,L9=phu!$I$23,L9=phu!$I$24,L9=phu!$I$25),"Cam Phúc Nam",""),IF(OR(L9=phu!$I$26,L9=phu!$I$27,L9=phu!$I$28,L9=phu!$I$29,L9=phu!$I$30,L9=phu!$I$31),"Cam Phú",""),IF(OR(L9=phu!$I$32,L9=phu!$I$33,L9=phu!$I$34,L9=phu!$I$35,L9=phu!$I$36,L9=phu!$I$37),"Cam Lộc",""),IF(OR(L9=phu!$I$38,L9=phu!$I$39,L9=phu!$I$40,L9=phu!$I$41,L9=phu!$I$42,L9=phu!$I$43,L9=phu!$I$44),"Cam Thuận",""),IF(OR(L9=phu!$I$45,L9=phu!$I$46,L9=phu!$I$47,L9=phu!$I$48,L9=phu!$I$49,L9=phu!$I$50,L9=phu!$I$51,L9=phu!$I$52,L9=phu!$I$53),"Cam Linh",""),IF(OR(L9=phu!$I$54,L9=phu!$I$55,L9=phu!$I$56,L9=phu!$I$57,L9=phu!$I$58,L9=phu!$I$59,L9=phu!$I$60,L9=phu!$I$61,L9=phu!$I$62),"Cam Lợi",""),IF(OR(L9=phu!$I$63,L9=phu!$I$64,L9=phu!$I$65,L9=phu!$I$66,L9=phu!$I$67,L9=phu!$I$68,L9=phu!$I$69,L9=phu!$I$70,L9=phu!$I$71),"Ba Ngòi",""),IF(OR(L9=phu!$I$72,L9=phu!$I$73,L9=phu!$I$74,L9=phu!$I$75,L9=phu!$I$76,L9=phu!$I$77,L9=phu!$I$78),"Cam Phước Đông",""),IF(OR(L9=phu!$I$79,L9=phu!$I$80,L9=phu!$I$81,L9=phu!$I$82,L9=phu!$I$83,L9=phu!$I$84),"Cam Thịnh Đông",""),IF(OR(L9=phu!$I$85,L9=phu!$I$86,L9=phu!$I$87,L9=phu!$I$88),"Cam Thịnh Tây",""),IF(OR(L9=phu!$I$89,L9=phu!$I$90),"Cam Lập",""),IF(OR(L9=phu!$I$91,L9=phu!$I$92,L9=phu!$I$93),"Cam Bình",""),IF(OR(L9=phu!$I$94,L9=phu!$I$95,L9=phu!$I$96,L9=phu!$I$97,L9=phu!$I$98,L9=phu!$I$99,L9=phu!$I$100),"Huyện khác",""),IF(OR(L9=phu!$I$101,L9=phu!$I$102),"Tỉnh khác",""))</f>
        <v>Cam Nghĩa</v>
      </c>
      <c r="N9" s="835" t="str">
        <f t="shared" si="3"/>
        <v>Bắc Cam Ranh</v>
      </c>
      <c r="O9" s="20" t="s">
        <v>753</v>
      </c>
      <c r="P9" s="20" t="s">
        <v>753</v>
      </c>
      <c r="Q9" s="20" t="s">
        <v>754</v>
      </c>
      <c r="R9" s="20"/>
      <c r="S9" s="20"/>
      <c r="T9" s="21" t="s">
        <v>815</v>
      </c>
      <c r="U9" s="21" t="s">
        <v>756</v>
      </c>
      <c r="V9" s="21" t="s">
        <v>816</v>
      </c>
      <c r="W9" s="7">
        <f t="shared" si="1"/>
        <v>2</v>
      </c>
      <c r="X9" s="506" t="str">
        <f t="shared" si="2"/>
        <v/>
      </c>
    </row>
    <row r="10" spans="1:24" x14ac:dyDescent="0.25">
      <c r="A10" s="66">
        <f t="shared" si="4"/>
        <v>5</v>
      </c>
      <c r="B10" s="23" t="str">
        <f t="shared" si="0"/>
        <v>5-6 tuổi</v>
      </c>
      <c r="C10" s="15" t="s">
        <v>649</v>
      </c>
      <c r="D10" s="16" t="s">
        <v>750</v>
      </c>
      <c r="E10" s="17" t="s">
        <v>751</v>
      </c>
      <c r="F10" s="18">
        <v>2</v>
      </c>
      <c r="G10" s="18">
        <v>12</v>
      </c>
      <c r="H10" s="19">
        <v>2020</v>
      </c>
      <c r="I10" s="15"/>
      <c r="J10" s="20" t="s">
        <v>772</v>
      </c>
      <c r="K10" s="15"/>
      <c r="L10" s="15" t="s">
        <v>741</v>
      </c>
      <c r="M10" s="531" t="str">
        <f>CONCATENATE(IF(OR(L10=phu!$I$1,L10=phu!$I$2,L10=phu!$I$3),"Cam Thành Nam",""),IF(OR(L10=phu!$I$4,L10=phu!$I$5,L10=phu!$I$6,L10=phu!$I$7,L10=phu!$I$8,L10=phu!$I$9,L10=phu!$I$10,L10=phu!$I$11,L10=phu!$I$12,L10=phu!$I$13,L10=phu!$I$14),"Cam Nghĩa",""),IF(OR(L10=phu!$I$15,L10=phu!$I$16,L10=phu!$I$17,L10=phu!$I$18,L10=phu!$I$19,L10=phu!$I$20,L10=phu!$I$21),"Cam Phúc Bắc",""),IF(OR(L10=phu!$I$22,L10=phu!$I$23,L10=phu!$I$24,L10=phu!$I$25),"Cam Phúc Nam",""),IF(OR(L10=phu!$I$26,L10=phu!$I$27,L10=phu!$I$28,L10=phu!$I$29,L10=phu!$I$30,L10=phu!$I$31),"Cam Phú",""),IF(OR(L10=phu!$I$32,L10=phu!$I$33,L10=phu!$I$34,L10=phu!$I$35,L10=phu!$I$36,L10=phu!$I$37),"Cam Lộc",""),IF(OR(L10=phu!$I$38,L10=phu!$I$39,L10=phu!$I$40,L10=phu!$I$41,L10=phu!$I$42,L10=phu!$I$43,L10=phu!$I$44),"Cam Thuận",""),IF(OR(L10=phu!$I$45,L10=phu!$I$46,L10=phu!$I$47,L10=phu!$I$48,L10=phu!$I$49,L10=phu!$I$50,L10=phu!$I$51,L10=phu!$I$52,L10=phu!$I$53),"Cam Linh",""),IF(OR(L10=phu!$I$54,L10=phu!$I$55,L10=phu!$I$56,L10=phu!$I$57,L10=phu!$I$58,L10=phu!$I$59,L10=phu!$I$60,L10=phu!$I$61,L10=phu!$I$62),"Cam Lợi",""),IF(OR(L10=phu!$I$63,L10=phu!$I$64,L10=phu!$I$65,L10=phu!$I$66,L10=phu!$I$67,L10=phu!$I$68,L10=phu!$I$69,L10=phu!$I$70,L10=phu!$I$71),"Ba Ngòi",""),IF(OR(L10=phu!$I$72,L10=phu!$I$73,L10=phu!$I$74,L10=phu!$I$75,L10=phu!$I$76,L10=phu!$I$77,L10=phu!$I$78),"Cam Phước Đông",""),IF(OR(L10=phu!$I$79,L10=phu!$I$80,L10=phu!$I$81,L10=phu!$I$82,L10=phu!$I$83,L10=phu!$I$84),"Cam Thịnh Đông",""),IF(OR(L10=phu!$I$85,L10=phu!$I$86,L10=phu!$I$87,L10=phu!$I$88),"Cam Thịnh Tây",""),IF(OR(L10=phu!$I$89,L10=phu!$I$90),"Cam Lập",""),IF(OR(L10=phu!$I$91,L10=phu!$I$92,L10=phu!$I$93),"Cam Bình",""),IF(OR(L10=phu!$I$94,L10=phu!$I$95,L10=phu!$I$96,L10=phu!$I$97,L10=phu!$I$98,L10=phu!$I$99,L10=phu!$I$100),"Huyện khác",""),IF(OR(L10=phu!$I$101,L10=phu!$I$102),"Tỉnh khác",""))</f>
        <v>Tỉnh khác</v>
      </c>
      <c r="N10" s="835" t="str">
        <f t="shared" si="3"/>
        <v>Tỉnh khác</v>
      </c>
      <c r="O10" s="20" t="s">
        <v>753</v>
      </c>
      <c r="P10" s="20" t="s">
        <v>753</v>
      </c>
      <c r="Q10" s="20" t="s">
        <v>754</v>
      </c>
      <c r="R10" s="20"/>
      <c r="S10" s="20"/>
      <c r="T10" s="21" t="s">
        <v>855</v>
      </c>
      <c r="U10" s="21" t="s">
        <v>756</v>
      </c>
      <c r="V10" s="21" t="s">
        <v>856</v>
      </c>
      <c r="W10" s="7">
        <f t="shared" si="1"/>
        <v>5</v>
      </c>
      <c r="X10" s="506" t="str">
        <f t="shared" si="2"/>
        <v/>
      </c>
    </row>
    <row r="11" spans="1:24" x14ac:dyDescent="0.25">
      <c r="A11" s="66" t="str">
        <f t="shared" si="4"/>
        <v/>
      </c>
      <c r="B11" s="23" t="str">
        <f t="shared" si="0"/>
        <v/>
      </c>
      <c r="C11" s="15"/>
      <c r="D11" s="16"/>
      <c r="E11" s="17"/>
      <c r="F11" s="18"/>
      <c r="G11" s="18"/>
      <c r="H11" s="19"/>
      <c r="I11" s="15"/>
      <c r="J11" s="20"/>
      <c r="K11" s="15"/>
      <c r="L11" s="15"/>
      <c r="M11" s="531" t="str">
        <f>CONCATENATE(IF(OR(L11=phu!$I$1,L11=phu!$I$2,L11=phu!$I$3),"Cam Thành Nam",""),IF(OR(L11=phu!$I$4,L11=phu!$I$5,L11=phu!$I$6,L11=phu!$I$7,L11=phu!$I$8,L11=phu!$I$9,L11=phu!$I$10,L11=phu!$I$11,L11=phu!$I$12,L11=phu!$I$13,L11=phu!$I$14),"Cam Nghĩa",""),IF(OR(L11=phu!$I$15,L11=phu!$I$16,L11=phu!$I$17,L11=phu!$I$18,L11=phu!$I$19,L11=phu!$I$20,L11=phu!$I$21),"Cam Phúc Bắc",""),IF(OR(L11=phu!$I$22,L11=phu!$I$23,L11=phu!$I$24,L11=phu!$I$25),"Cam Phúc Nam",""),IF(OR(L11=phu!$I$26,L11=phu!$I$27,L11=phu!$I$28,L11=phu!$I$29,L11=phu!$I$30,L11=phu!$I$31),"Cam Phú",""),IF(OR(L11=phu!$I$32,L11=phu!$I$33,L11=phu!$I$34,L11=phu!$I$35,L11=phu!$I$36,L11=phu!$I$37),"Cam Lộc",""),IF(OR(L11=phu!$I$38,L11=phu!$I$39,L11=phu!$I$40,L11=phu!$I$41,L11=phu!$I$42,L11=phu!$I$43,L11=phu!$I$44),"Cam Thuận",""),IF(OR(L11=phu!$I$45,L11=phu!$I$46,L11=phu!$I$47,L11=phu!$I$48,L11=phu!$I$49,L11=phu!$I$50,L11=phu!$I$51,L11=phu!$I$52,L11=phu!$I$53),"Cam Linh",""),IF(OR(L11=phu!$I$54,L11=phu!$I$55,L11=phu!$I$56,L11=phu!$I$57,L11=phu!$I$58,L11=phu!$I$59,L11=phu!$I$60,L11=phu!$I$61,L11=phu!$I$62),"Cam Lợi",""),IF(OR(L11=phu!$I$63,L11=phu!$I$64,L11=phu!$I$65,L11=phu!$I$66,L11=phu!$I$67,L11=phu!$I$68,L11=phu!$I$69,L11=phu!$I$70,L11=phu!$I$71),"Ba Ngòi",""),IF(OR(L11=phu!$I$72,L11=phu!$I$73,L11=phu!$I$74,L11=phu!$I$75,L11=phu!$I$76,L11=phu!$I$77,L11=phu!$I$78),"Cam Phước Đông",""),IF(OR(L11=phu!$I$79,L11=phu!$I$80,L11=phu!$I$81,L11=phu!$I$82,L11=phu!$I$83,L11=phu!$I$84),"Cam Thịnh Đông",""),IF(OR(L11=phu!$I$85,L11=phu!$I$86,L11=phu!$I$87,L11=phu!$I$88),"Cam Thịnh Tây",""),IF(OR(L11=phu!$I$89,L11=phu!$I$90),"Cam Lập",""),IF(OR(L11=phu!$I$91,L11=phu!$I$92,L11=phu!$I$93),"Cam Bình",""),IF(OR(L11=phu!$I$94,L11=phu!$I$95,L11=phu!$I$96,L11=phu!$I$97,L11=phu!$I$98,L11=phu!$I$99,L11=phu!$I$100),"Huyện khác",""),IF(OR(L11=phu!$I$101,L11=phu!$I$102),"Tỉnh khác",""))</f>
        <v/>
      </c>
      <c r="N11" s="835" t="str">
        <f t="shared" si="3"/>
        <v/>
      </c>
      <c r="O11" s="20"/>
      <c r="P11" s="20"/>
      <c r="Q11" s="20"/>
      <c r="R11" s="20"/>
      <c r="S11" s="20"/>
      <c r="T11" s="21"/>
      <c r="U11" s="21"/>
      <c r="V11" s="21"/>
      <c r="W11" s="7" t="str">
        <f t="shared" si="1"/>
        <v/>
      </c>
      <c r="X11" s="506" t="str">
        <f t="shared" si="2"/>
        <v/>
      </c>
    </row>
    <row r="12" spans="1:24" x14ac:dyDescent="0.25">
      <c r="A12" s="66" t="str">
        <f t="shared" si="4"/>
        <v/>
      </c>
      <c r="B12" s="23" t="str">
        <f t="shared" si="0"/>
        <v/>
      </c>
      <c r="C12" s="15"/>
      <c r="D12" s="16"/>
      <c r="E12" s="17"/>
      <c r="F12" s="18"/>
      <c r="G12" s="18"/>
      <c r="H12" s="19"/>
      <c r="I12" s="15"/>
      <c r="J12" s="20"/>
      <c r="K12" s="15"/>
      <c r="L12" s="15"/>
      <c r="M12" s="531" t="str">
        <f>CONCATENATE(IF(OR(L12=phu!$I$1,L12=phu!$I$2,L12=phu!$I$3),"Cam Thành Nam",""),IF(OR(L12=phu!$I$4,L12=phu!$I$5,L12=phu!$I$6,L12=phu!$I$7,L12=phu!$I$8,L12=phu!$I$9,L12=phu!$I$10,L12=phu!$I$11,L12=phu!$I$12,L12=phu!$I$13,L12=phu!$I$14),"Cam Nghĩa",""),IF(OR(L12=phu!$I$15,L12=phu!$I$16,L12=phu!$I$17,L12=phu!$I$18,L12=phu!$I$19,L12=phu!$I$20,L12=phu!$I$21),"Cam Phúc Bắc",""),IF(OR(L12=phu!$I$22,L12=phu!$I$23,L12=phu!$I$24,L12=phu!$I$25),"Cam Phúc Nam",""),IF(OR(L12=phu!$I$26,L12=phu!$I$27,L12=phu!$I$28,L12=phu!$I$29,L12=phu!$I$30,L12=phu!$I$31),"Cam Phú",""),IF(OR(L12=phu!$I$32,L12=phu!$I$33,L12=phu!$I$34,L12=phu!$I$35,L12=phu!$I$36,L12=phu!$I$37),"Cam Lộc",""),IF(OR(L12=phu!$I$38,L12=phu!$I$39,L12=phu!$I$40,L12=phu!$I$41,L12=phu!$I$42,L12=phu!$I$43,L12=phu!$I$44),"Cam Thuận",""),IF(OR(L12=phu!$I$45,L12=phu!$I$46,L12=phu!$I$47,L12=phu!$I$48,L12=phu!$I$49,L12=phu!$I$50,L12=phu!$I$51,L12=phu!$I$52,L12=phu!$I$53),"Cam Linh",""),IF(OR(L12=phu!$I$54,L12=phu!$I$55,L12=phu!$I$56,L12=phu!$I$57,L12=phu!$I$58,L12=phu!$I$59,L12=phu!$I$60,L12=phu!$I$61,L12=phu!$I$62),"Cam Lợi",""),IF(OR(L12=phu!$I$63,L12=phu!$I$64,L12=phu!$I$65,L12=phu!$I$66,L12=phu!$I$67,L12=phu!$I$68,L12=phu!$I$69,L12=phu!$I$70,L12=phu!$I$71),"Ba Ngòi",""),IF(OR(L12=phu!$I$72,L12=phu!$I$73,L12=phu!$I$74,L12=phu!$I$75,L12=phu!$I$76,L12=phu!$I$77,L12=phu!$I$78),"Cam Phước Đông",""),IF(OR(L12=phu!$I$79,L12=phu!$I$80,L12=phu!$I$81,L12=phu!$I$82,L12=phu!$I$83,L12=phu!$I$84),"Cam Thịnh Đông",""),IF(OR(L12=phu!$I$85,L12=phu!$I$86,L12=phu!$I$87,L12=phu!$I$88),"Cam Thịnh Tây",""),IF(OR(L12=phu!$I$89,L12=phu!$I$90),"Cam Lập",""),IF(OR(L12=phu!$I$91,L12=phu!$I$92,L12=phu!$I$93),"Cam Bình",""),IF(OR(L12=phu!$I$94,L12=phu!$I$95,L12=phu!$I$96,L12=phu!$I$97,L12=phu!$I$98,L12=phu!$I$99,L12=phu!$I$100),"Huyện khác",""),IF(OR(L12=phu!$I$101,L12=phu!$I$102),"Tỉnh khác",""))</f>
        <v/>
      </c>
      <c r="N12" s="835" t="str">
        <f t="shared" si="3"/>
        <v/>
      </c>
      <c r="O12" s="20"/>
      <c r="P12" s="20"/>
      <c r="Q12" s="20"/>
      <c r="R12" s="20"/>
      <c r="S12" s="20"/>
      <c r="T12" s="21"/>
      <c r="U12" s="21"/>
      <c r="V12" s="21"/>
      <c r="W12" s="7" t="str">
        <f t="shared" si="1"/>
        <v/>
      </c>
      <c r="X12" s="506" t="str">
        <f t="shared" si="2"/>
        <v/>
      </c>
    </row>
    <row r="13" spans="1:24" x14ac:dyDescent="0.25">
      <c r="A13" s="66" t="str">
        <f t="shared" si="4"/>
        <v/>
      </c>
      <c r="B13" s="23" t="str">
        <f t="shared" si="0"/>
        <v/>
      </c>
      <c r="C13" s="15"/>
      <c r="D13" s="16"/>
      <c r="E13" s="17"/>
      <c r="F13" s="18"/>
      <c r="G13" s="18"/>
      <c r="H13" s="19"/>
      <c r="I13" s="15"/>
      <c r="J13" s="20"/>
      <c r="K13" s="15"/>
      <c r="L13" s="15"/>
      <c r="M13" s="531" t="str">
        <f>CONCATENATE(IF(OR(L13=phu!$I$1,L13=phu!$I$2,L13=phu!$I$3),"Cam Thành Nam",""),IF(OR(L13=phu!$I$4,L13=phu!$I$5,L13=phu!$I$6,L13=phu!$I$7,L13=phu!$I$8,L13=phu!$I$9,L13=phu!$I$10,L13=phu!$I$11,L13=phu!$I$12,L13=phu!$I$13,L13=phu!$I$14),"Cam Nghĩa",""),IF(OR(L13=phu!$I$15,L13=phu!$I$16,L13=phu!$I$17,L13=phu!$I$18,L13=phu!$I$19,L13=phu!$I$20,L13=phu!$I$21),"Cam Phúc Bắc",""),IF(OR(L13=phu!$I$22,L13=phu!$I$23,L13=phu!$I$24,L13=phu!$I$25),"Cam Phúc Nam",""),IF(OR(L13=phu!$I$26,L13=phu!$I$27,L13=phu!$I$28,L13=phu!$I$29,L13=phu!$I$30,L13=phu!$I$31),"Cam Phú",""),IF(OR(L13=phu!$I$32,L13=phu!$I$33,L13=phu!$I$34,L13=phu!$I$35,L13=phu!$I$36,L13=phu!$I$37),"Cam Lộc",""),IF(OR(L13=phu!$I$38,L13=phu!$I$39,L13=phu!$I$40,L13=phu!$I$41,L13=phu!$I$42,L13=phu!$I$43,L13=phu!$I$44),"Cam Thuận",""),IF(OR(L13=phu!$I$45,L13=phu!$I$46,L13=phu!$I$47,L13=phu!$I$48,L13=phu!$I$49,L13=phu!$I$50,L13=phu!$I$51,L13=phu!$I$52,L13=phu!$I$53),"Cam Linh",""),IF(OR(L13=phu!$I$54,L13=phu!$I$55,L13=phu!$I$56,L13=phu!$I$57,L13=phu!$I$58,L13=phu!$I$59,L13=phu!$I$60,L13=phu!$I$61,L13=phu!$I$62),"Cam Lợi",""),IF(OR(L13=phu!$I$63,L13=phu!$I$64,L13=phu!$I$65,L13=phu!$I$66,L13=phu!$I$67,L13=phu!$I$68,L13=phu!$I$69,L13=phu!$I$70,L13=phu!$I$71),"Ba Ngòi",""),IF(OR(L13=phu!$I$72,L13=phu!$I$73,L13=phu!$I$74,L13=phu!$I$75,L13=phu!$I$76,L13=phu!$I$77,L13=phu!$I$78),"Cam Phước Đông",""),IF(OR(L13=phu!$I$79,L13=phu!$I$80,L13=phu!$I$81,L13=phu!$I$82,L13=phu!$I$83,L13=phu!$I$84),"Cam Thịnh Đông",""),IF(OR(L13=phu!$I$85,L13=phu!$I$86,L13=phu!$I$87,L13=phu!$I$88),"Cam Thịnh Tây",""),IF(OR(L13=phu!$I$89,L13=phu!$I$90),"Cam Lập",""),IF(OR(L13=phu!$I$91,L13=phu!$I$92,L13=phu!$I$93),"Cam Bình",""),IF(OR(L13=phu!$I$94,L13=phu!$I$95,L13=phu!$I$96,L13=phu!$I$97,L13=phu!$I$98,L13=phu!$I$99,L13=phu!$I$100),"Huyện khác",""),IF(OR(L13=phu!$I$101,L13=phu!$I$102),"Tỉnh khác",""))</f>
        <v/>
      </c>
      <c r="N13" s="835" t="str">
        <f t="shared" si="3"/>
        <v/>
      </c>
      <c r="O13" s="20"/>
      <c r="P13" s="20"/>
      <c r="Q13" s="20"/>
      <c r="R13" s="20"/>
      <c r="S13" s="20"/>
      <c r="T13" s="21"/>
      <c r="U13" s="21"/>
      <c r="V13" s="21"/>
      <c r="W13" s="7" t="str">
        <f t="shared" si="1"/>
        <v/>
      </c>
      <c r="X13" s="506" t="str">
        <f t="shared" si="2"/>
        <v/>
      </c>
    </row>
    <row r="14" spans="1:24" x14ac:dyDescent="0.25">
      <c r="A14" s="66" t="str">
        <f t="shared" si="4"/>
        <v/>
      </c>
      <c r="B14" s="23" t="str">
        <f t="shared" si="0"/>
        <v/>
      </c>
      <c r="C14" s="15"/>
      <c r="D14" s="16"/>
      <c r="E14" s="17"/>
      <c r="F14" s="18"/>
      <c r="G14" s="18"/>
      <c r="H14" s="19"/>
      <c r="I14" s="15"/>
      <c r="J14" s="20"/>
      <c r="K14" s="15"/>
      <c r="L14" s="15"/>
      <c r="M14" s="531" t="str">
        <f>CONCATENATE(IF(OR(L14=phu!$I$1,L14=phu!$I$2,L14=phu!$I$3),"Cam Thành Nam",""),IF(OR(L14=phu!$I$4,L14=phu!$I$5,L14=phu!$I$6,L14=phu!$I$7,L14=phu!$I$8,L14=phu!$I$9,L14=phu!$I$10,L14=phu!$I$11,L14=phu!$I$12,L14=phu!$I$13,L14=phu!$I$14),"Cam Nghĩa",""),IF(OR(L14=phu!$I$15,L14=phu!$I$16,L14=phu!$I$17,L14=phu!$I$18,L14=phu!$I$19,L14=phu!$I$20,L14=phu!$I$21),"Cam Phúc Bắc",""),IF(OR(L14=phu!$I$22,L14=phu!$I$23,L14=phu!$I$24,L14=phu!$I$25),"Cam Phúc Nam",""),IF(OR(L14=phu!$I$26,L14=phu!$I$27,L14=phu!$I$28,L14=phu!$I$29,L14=phu!$I$30,L14=phu!$I$31),"Cam Phú",""),IF(OR(L14=phu!$I$32,L14=phu!$I$33,L14=phu!$I$34,L14=phu!$I$35,L14=phu!$I$36,L14=phu!$I$37),"Cam Lộc",""),IF(OR(L14=phu!$I$38,L14=phu!$I$39,L14=phu!$I$40,L14=phu!$I$41,L14=phu!$I$42,L14=phu!$I$43,L14=phu!$I$44),"Cam Thuận",""),IF(OR(L14=phu!$I$45,L14=phu!$I$46,L14=phu!$I$47,L14=phu!$I$48,L14=phu!$I$49,L14=phu!$I$50,L14=phu!$I$51,L14=phu!$I$52,L14=phu!$I$53),"Cam Linh",""),IF(OR(L14=phu!$I$54,L14=phu!$I$55,L14=phu!$I$56,L14=phu!$I$57,L14=phu!$I$58,L14=phu!$I$59,L14=phu!$I$60,L14=phu!$I$61,L14=phu!$I$62),"Cam Lợi",""),IF(OR(L14=phu!$I$63,L14=phu!$I$64,L14=phu!$I$65,L14=phu!$I$66,L14=phu!$I$67,L14=phu!$I$68,L14=phu!$I$69,L14=phu!$I$70,L14=phu!$I$71),"Ba Ngòi",""),IF(OR(L14=phu!$I$72,L14=phu!$I$73,L14=phu!$I$74,L14=phu!$I$75,L14=phu!$I$76,L14=phu!$I$77,L14=phu!$I$78),"Cam Phước Đông",""),IF(OR(L14=phu!$I$79,L14=phu!$I$80,L14=phu!$I$81,L14=phu!$I$82,L14=phu!$I$83,L14=phu!$I$84),"Cam Thịnh Đông",""),IF(OR(L14=phu!$I$85,L14=phu!$I$86,L14=phu!$I$87,L14=phu!$I$88),"Cam Thịnh Tây",""),IF(OR(L14=phu!$I$89,L14=phu!$I$90),"Cam Lập",""),IF(OR(L14=phu!$I$91,L14=phu!$I$92,L14=phu!$I$93),"Cam Bình",""),IF(OR(L14=phu!$I$94,L14=phu!$I$95,L14=phu!$I$96,L14=phu!$I$97,L14=phu!$I$98,L14=phu!$I$99,L14=phu!$I$100),"Huyện khác",""),IF(OR(L14=phu!$I$101,L14=phu!$I$102),"Tỉnh khác",""))</f>
        <v/>
      </c>
      <c r="N14" s="835" t="str">
        <f t="shared" si="3"/>
        <v/>
      </c>
      <c r="O14" s="20"/>
      <c r="P14" s="20"/>
      <c r="Q14" s="20"/>
      <c r="R14" s="20"/>
      <c r="S14" s="20"/>
      <c r="T14" s="21"/>
      <c r="U14" s="21"/>
      <c r="V14" s="21"/>
      <c r="W14" s="7" t="str">
        <f t="shared" si="1"/>
        <v/>
      </c>
      <c r="X14" s="506" t="str">
        <f t="shared" si="2"/>
        <v/>
      </c>
    </row>
    <row r="15" spans="1:24" x14ac:dyDescent="0.25">
      <c r="A15" s="66" t="str">
        <f t="shared" si="4"/>
        <v/>
      </c>
      <c r="B15" s="23" t="str">
        <f t="shared" si="0"/>
        <v/>
      </c>
      <c r="C15" s="15"/>
      <c r="D15" s="16"/>
      <c r="E15" s="17"/>
      <c r="F15" s="18"/>
      <c r="G15" s="18"/>
      <c r="H15" s="19"/>
      <c r="I15" s="15"/>
      <c r="J15" s="20"/>
      <c r="K15" s="15"/>
      <c r="L15" s="15"/>
      <c r="M15" s="531" t="str">
        <f>CONCATENATE(IF(OR(L15=phu!$I$1,L15=phu!$I$2,L15=phu!$I$3),"Cam Thành Nam",""),IF(OR(L15=phu!$I$4,L15=phu!$I$5,L15=phu!$I$6,L15=phu!$I$7,L15=phu!$I$8,L15=phu!$I$9,L15=phu!$I$10,L15=phu!$I$11,L15=phu!$I$12,L15=phu!$I$13,L15=phu!$I$14),"Cam Nghĩa",""),IF(OR(L15=phu!$I$15,L15=phu!$I$16,L15=phu!$I$17,L15=phu!$I$18,L15=phu!$I$19,L15=phu!$I$20,L15=phu!$I$21),"Cam Phúc Bắc",""),IF(OR(L15=phu!$I$22,L15=phu!$I$23,L15=phu!$I$24,L15=phu!$I$25),"Cam Phúc Nam",""),IF(OR(L15=phu!$I$26,L15=phu!$I$27,L15=phu!$I$28,L15=phu!$I$29,L15=phu!$I$30,L15=phu!$I$31),"Cam Phú",""),IF(OR(L15=phu!$I$32,L15=phu!$I$33,L15=phu!$I$34,L15=phu!$I$35,L15=phu!$I$36,L15=phu!$I$37),"Cam Lộc",""),IF(OR(L15=phu!$I$38,L15=phu!$I$39,L15=phu!$I$40,L15=phu!$I$41,L15=phu!$I$42,L15=phu!$I$43,L15=phu!$I$44),"Cam Thuận",""),IF(OR(L15=phu!$I$45,L15=phu!$I$46,L15=phu!$I$47,L15=phu!$I$48,L15=phu!$I$49,L15=phu!$I$50,L15=phu!$I$51,L15=phu!$I$52,L15=phu!$I$53),"Cam Linh",""),IF(OR(L15=phu!$I$54,L15=phu!$I$55,L15=phu!$I$56,L15=phu!$I$57,L15=phu!$I$58,L15=phu!$I$59,L15=phu!$I$60,L15=phu!$I$61,L15=phu!$I$62),"Cam Lợi",""),IF(OR(L15=phu!$I$63,L15=phu!$I$64,L15=phu!$I$65,L15=phu!$I$66,L15=phu!$I$67,L15=phu!$I$68,L15=phu!$I$69,L15=phu!$I$70,L15=phu!$I$71),"Ba Ngòi",""),IF(OR(L15=phu!$I$72,L15=phu!$I$73,L15=phu!$I$74,L15=phu!$I$75,L15=phu!$I$76,L15=phu!$I$77,L15=phu!$I$78),"Cam Phước Đông",""),IF(OR(L15=phu!$I$79,L15=phu!$I$80,L15=phu!$I$81,L15=phu!$I$82,L15=phu!$I$83,L15=phu!$I$84),"Cam Thịnh Đông",""),IF(OR(L15=phu!$I$85,L15=phu!$I$86,L15=phu!$I$87,L15=phu!$I$88),"Cam Thịnh Tây",""),IF(OR(L15=phu!$I$89,L15=phu!$I$90),"Cam Lập",""),IF(OR(L15=phu!$I$91,L15=phu!$I$92,L15=phu!$I$93),"Cam Bình",""),IF(OR(L15=phu!$I$94,L15=phu!$I$95,L15=phu!$I$96,L15=phu!$I$97,L15=phu!$I$98,L15=phu!$I$99,L15=phu!$I$100),"Huyện khác",""),IF(OR(L15=phu!$I$101,L15=phu!$I$102),"Tỉnh khác",""))</f>
        <v/>
      </c>
      <c r="N15" s="835" t="str">
        <f t="shared" si="3"/>
        <v/>
      </c>
      <c r="O15" s="20"/>
      <c r="P15" s="20"/>
      <c r="Q15" s="20"/>
      <c r="R15" s="20"/>
      <c r="S15" s="20"/>
      <c r="T15" s="21"/>
      <c r="U15" s="21"/>
      <c r="V15" s="21"/>
      <c r="W15" s="7" t="str">
        <f t="shared" si="1"/>
        <v/>
      </c>
      <c r="X15" s="506" t="str">
        <f t="shared" si="2"/>
        <v/>
      </c>
    </row>
    <row r="16" spans="1:24" x14ac:dyDescent="0.25">
      <c r="A16" s="66" t="str">
        <f t="shared" si="4"/>
        <v/>
      </c>
      <c r="B16" s="23" t="str">
        <f t="shared" si="0"/>
        <v/>
      </c>
      <c r="C16" s="15"/>
      <c r="D16" s="16"/>
      <c r="E16" s="17"/>
      <c r="F16" s="18"/>
      <c r="G16" s="18"/>
      <c r="H16" s="19"/>
      <c r="I16" s="15"/>
      <c r="J16" s="20"/>
      <c r="K16" s="15"/>
      <c r="L16" s="15"/>
      <c r="M16" s="531" t="str">
        <f>CONCATENATE(IF(OR(L16=phu!$I$1,L16=phu!$I$2,L16=phu!$I$3),"Cam Thành Nam",""),IF(OR(L16=phu!$I$4,L16=phu!$I$5,L16=phu!$I$6,L16=phu!$I$7,L16=phu!$I$8,L16=phu!$I$9,L16=phu!$I$10,L16=phu!$I$11,L16=phu!$I$12,L16=phu!$I$13,L16=phu!$I$14),"Cam Nghĩa",""),IF(OR(L16=phu!$I$15,L16=phu!$I$16,L16=phu!$I$17,L16=phu!$I$18,L16=phu!$I$19,L16=phu!$I$20,L16=phu!$I$21),"Cam Phúc Bắc",""),IF(OR(L16=phu!$I$22,L16=phu!$I$23,L16=phu!$I$24,L16=phu!$I$25),"Cam Phúc Nam",""),IF(OR(L16=phu!$I$26,L16=phu!$I$27,L16=phu!$I$28,L16=phu!$I$29,L16=phu!$I$30,L16=phu!$I$31),"Cam Phú",""),IF(OR(L16=phu!$I$32,L16=phu!$I$33,L16=phu!$I$34,L16=phu!$I$35,L16=phu!$I$36,L16=phu!$I$37),"Cam Lộc",""),IF(OR(L16=phu!$I$38,L16=phu!$I$39,L16=phu!$I$40,L16=phu!$I$41,L16=phu!$I$42,L16=phu!$I$43,L16=phu!$I$44),"Cam Thuận",""),IF(OR(L16=phu!$I$45,L16=phu!$I$46,L16=phu!$I$47,L16=phu!$I$48,L16=phu!$I$49,L16=phu!$I$50,L16=phu!$I$51,L16=phu!$I$52,L16=phu!$I$53),"Cam Linh",""),IF(OR(L16=phu!$I$54,L16=phu!$I$55,L16=phu!$I$56,L16=phu!$I$57,L16=phu!$I$58,L16=phu!$I$59,L16=phu!$I$60,L16=phu!$I$61,L16=phu!$I$62),"Cam Lợi",""),IF(OR(L16=phu!$I$63,L16=phu!$I$64,L16=phu!$I$65,L16=phu!$I$66,L16=phu!$I$67,L16=phu!$I$68,L16=phu!$I$69,L16=phu!$I$70,L16=phu!$I$71),"Ba Ngòi",""),IF(OR(L16=phu!$I$72,L16=phu!$I$73,L16=phu!$I$74,L16=phu!$I$75,L16=phu!$I$76,L16=phu!$I$77,L16=phu!$I$78),"Cam Phước Đông",""),IF(OR(L16=phu!$I$79,L16=phu!$I$80,L16=phu!$I$81,L16=phu!$I$82,L16=phu!$I$83,L16=phu!$I$84),"Cam Thịnh Đông",""),IF(OR(L16=phu!$I$85,L16=phu!$I$86,L16=phu!$I$87,L16=phu!$I$88),"Cam Thịnh Tây",""),IF(OR(L16=phu!$I$89,L16=phu!$I$90),"Cam Lập",""),IF(OR(L16=phu!$I$91,L16=phu!$I$92,L16=phu!$I$93),"Cam Bình",""),IF(OR(L16=phu!$I$94,L16=phu!$I$95,L16=phu!$I$96,L16=phu!$I$97,L16=phu!$I$98,L16=phu!$I$99,L16=phu!$I$100),"Huyện khác",""),IF(OR(L16=phu!$I$101,L16=phu!$I$102),"Tỉnh khác",""))</f>
        <v/>
      </c>
      <c r="N16" s="835" t="str">
        <f t="shared" si="3"/>
        <v/>
      </c>
      <c r="O16" s="20"/>
      <c r="P16" s="20"/>
      <c r="Q16" s="20"/>
      <c r="R16" s="20"/>
      <c r="S16" s="20"/>
      <c r="T16" s="21"/>
      <c r="U16" s="21"/>
      <c r="V16" s="21"/>
      <c r="W16" s="7" t="str">
        <f t="shared" si="1"/>
        <v/>
      </c>
      <c r="X16" s="506" t="str">
        <f t="shared" si="2"/>
        <v/>
      </c>
    </row>
    <row r="17" spans="1:24" x14ac:dyDescent="0.25">
      <c r="A17" s="66" t="str">
        <f t="shared" si="4"/>
        <v/>
      </c>
      <c r="B17" s="23" t="str">
        <f t="shared" si="0"/>
        <v/>
      </c>
      <c r="C17" s="15"/>
      <c r="D17" s="16"/>
      <c r="E17" s="17"/>
      <c r="F17" s="18"/>
      <c r="G17" s="18"/>
      <c r="H17" s="19"/>
      <c r="I17" s="15"/>
      <c r="J17" s="20"/>
      <c r="K17" s="15"/>
      <c r="L17" s="15"/>
      <c r="M17" s="531" t="str">
        <f>CONCATENATE(IF(OR(L17=phu!$I$1,L17=phu!$I$2,L17=phu!$I$3),"Cam Thành Nam",""),IF(OR(L17=phu!$I$4,L17=phu!$I$5,L17=phu!$I$6,L17=phu!$I$7,L17=phu!$I$8,L17=phu!$I$9,L17=phu!$I$10,L17=phu!$I$11,L17=phu!$I$12,L17=phu!$I$13,L17=phu!$I$14),"Cam Nghĩa",""),IF(OR(L17=phu!$I$15,L17=phu!$I$16,L17=phu!$I$17,L17=phu!$I$18,L17=phu!$I$19,L17=phu!$I$20,L17=phu!$I$21),"Cam Phúc Bắc",""),IF(OR(L17=phu!$I$22,L17=phu!$I$23,L17=phu!$I$24,L17=phu!$I$25),"Cam Phúc Nam",""),IF(OR(L17=phu!$I$26,L17=phu!$I$27,L17=phu!$I$28,L17=phu!$I$29,L17=phu!$I$30,L17=phu!$I$31),"Cam Phú",""),IF(OR(L17=phu!$I$32,L17=phu!$I$33,L17=phu!$I$34,L17=phu!$I$35,L17=phu!$I$36,L17=phu!$I$37),"Cam Lộc",""),IF(OR(L17=phu!$I$38,L17=phu!$I$39,L17=phu!$I$40,L17=phu!$I$41,L17=phu!$I$42,L17=phu!$I$43,L17=phu!$I$44),"Cam Thuận",""),IF(OR(L17=phu!$I$45,L17=phu!$I$46,L17=phu!$I$47,L17=phu!$I$48,L17=phu!$I$49,L17=phu!$I$50,L17=phu!$I$51,L17=phu!$I$52,L17=phu!$I$53),"Cam Linh",""),IF(OR(L17=phu!$I$54,L17=phu!$I$55,L17=phu!$I$56,L17=phu!$I$57,L17=phu!$I$58,L17=phu!$I$59,L17=phu!$I$60,L17=phu!$I$61,L17=phu!$I$62),"Cam Lợi",""),IF(OR(L17=phu!$I$63,L17=phu!$I$64,L17=phu!$I$65,L17=phu!$I$66,L17=phu!$I$67,L17=phu!$I$68,L17=phu!$I$69,L17=phu!$I$70,L17=phu!$I$71),"Ba Ngòi",""),IF(OR(L17=phu!$I$72,L17=phu!$I$73,L17=phu!$I$74,L17=phu!$I$75,L17=phu!$I$76,L17=phu!$I$77,L17=phu!$I$78),"Cam Phước Đông",""),IF(OR(L17=phu!$I$79,L17=phu!$I$80,L17=phu!$I$81,L17=phu!$I$82,L17=phu!$I$83,L17=phu!$I$84),"Cam Thịnh Đông",""),IF(OR(L17=phu!$I$85,L17=phu!$I$86,L17=phu!$I$87,L17=phu!$I$88),"Cam Thịnh Tây",""),IF(OR(L17=phu!$I$89,L17=phu!$I$90),"Cam Lập",""),IF(OR(L17=phu!$I$91,L17=phu!$I$92,L17=phu!$I$93),"Cam Bình",""),IF(OR(L17=phu!$I$94,L17=phu!$I$95,L17=phu!$I$96,L17=phu!$I$97,L17=phu!$I$98,L17=phu!$I$99,L17=phu!$I$100),"Huyện khác",""),IF(OR(L17=phu!$I$101,L17=phu!$I$102),"Tỉnh khác",""))</f>
        <v/>
      </c>
      <c r="N17" s="835" t="str">
        <f t="shared" si="3"/>
        <v/>
      </c>
      <c r="O17" s="20"/>
      <c r="P17" s="20"/>
      <c r="Q17" s="20"/>
      <c r="R17" s="20"/>
      <c r="S17" s="20"/>
      <c r="T17" s="21"/>
      <c r="U17" s="21"/>
      <c r="V17" s="21"/>
      <c r="W17" s="7" t="str">
        <f t="shared" si="1"/>
        <v/>
      </c>
      <c r="X17" s="506" t="str">
        <f t="shared" si="2"/>
        <v/>
      </c>
    </row>
    <row r="18" spans="1:24" x14ac:dyDescent="0.25">
      <c r="A18" s="66" t="str">
        <f t="shared" si="4"/>
        <v/>
      </c>
      <c r="B18" s="23" t="str">
        <f t="shared" si="0"/>
        <v/>
      </c>
      <c r="C18" s="15"/>
      <c r="D18" s="16"/>
      <c r="E18" s="17"/>
      <c r="F18" s="18"/>
      <c r="G18" s="18"/>
      <c r="H18" s="19"/>
      <c r="I18" s="25"/>
      <c r="J18" s="20"/>
      <c r="K18" s="15"/>
      <c r="L18" s="15"/>
      <c r="M18" s="531" t="str">
        <f>CONCATENATE(IF(OR(L18=phu!$I$1,L18=phu!$I$2,L18=phu!$I$3),"Cam Thành Nam",""),IF(OR(L18=phu!$I$4,L18=phu!$I$5,L18=phu!$I$6,L18=phu!$I$7,L18=phu!$I$8,L18=phu!$I$9,L18=phu!$I$10,L18=phu!$I$11,L18=phu!$I$12,L18=phu!$I$13,L18=phu!$I$14),"Cam Nghĩa",""),IF(OR(L18=phu!$I$15,L18=phu!$I$16,L18=phu!$I$17,L18=phu!$I$18,L18=phu!$I$19,L18=phu!$I$20,L18=phu!$I$21),"Cam Phúc Bắc",""),IF(OR(L18=phu!$I$22,L18=phu!$I$23,L18=phu!$I$24,L18=phu!$I$25),"Cam Phúc Nam",""),IF(OR(L18=phu!$I$26,L18=phu!$I$27,L18=phu!$I$28,L18=phu!$I$29,L18=phu!$I$30,L18=phu!$I$31),"Cam Phú",""),IF(OR(L18=phu!$I$32,L18=phu!$I$33,L18=phu!$I$34,L18=phu!$I$35,L18=phu!$I$36,L18=phu!$I$37),"Cam Lộc",""),IF(OR(L18=phu!$I$38,L18=phu!$I$39,L18=phu!$I$40,L18=phu!$I$41,L18=phu!$I$42,L18=phu!$I$43,L18=phu!$I$44),"Cam Thuận",""),IF(OR(L18=phu!$I$45,L18=phu!$I$46,L18=phu!$I$47,L18=phu!$I$48,L18=phu!$I$49,L18=phu!$I$50,L18=phu!$I$51,L18=phu!$I$52,L18=phu!$I$53),"Cam Linh",""),IF(OR(L18=phu!$I$54,L18=phu!$I$55,L18=phu!$I$56,L18=phu!$I$57,L18=phu!$I$58,L18=phu!$I$59,L18=phu!$I$60,L18=phu!$I$61,L18=phu!$I$62),"Cam Lợi",""),IF(OR(L18=phu!$I$63,L18=phu!$I$64,L18=phu!$I$65,L18=phu!$I$66,L18=phu!$I$67,L18=phu!$I$68,L18=phu!$I$69,L18=phu!$I$70,L18=phu!$I$71),"Ba Ngòi",""),IF(OR(L18=phu!$I$72,L18=phu!$I$73,L18=phu!$I$74,L18=phu!$I$75,L18=phu!$I$76,L18=phu!$I$77,L18=phu!$I$78),"Cam Phước Đông",""),IF(OR(L18=phu!$I$79,L18=phu!$I$80,L18=phu!$I$81,L18=phu!$I$82,L18=phu!$I$83,L18=phu!$I$84),"Cam Thịnh Đông",""),IF(OR(L18=phu!$I$85,L18=phu!$I$86,L18=phu!$I$87,L18=phu!$I$88),"Cam Thịnh Tây",""),IF(OR(L18=phu!$I$89,L18=phu!$I$90),"Cam Lập",""),IF(OR(L18=phu!$I$91,L18=phu!$I$92,L18=phu!$I$93),"Cam Bình",""),IF(OR(L18=phu!$I$94,L18=phu!$I$95,L18=phu!$I$96,L18=phu!$I$97,L18=phu!$I$98,L18=phu!$I$99,L18=phu!$I$100),"Huyện khác",""),IF(OR(L18=phu!$I$101,L18=phu!$I$102),"Tỉnh khác",""))</f>
        <v/>
      </c>
      <c r="N18" s="835" t="str">
        <f t="shared" si="3"/>
        <v/>
      </c>
      <c r="O18" s="20"/>
      <c r="P18" s="20"/>
      <c r="Q18" s="20"/>
      <c r="R18" s="20"/>
      <c r="S18" s="20"/>
      <c r="T18" s="21"/>
      <c r="U18" s="21"/>
      <c r="V18" s="21"/>
      <c r="W18" s="7" t="str">
        <f t="shared" si="1"/>
        <v/>
      </c>
      <c r="X18" s="506" t="str">
        <f t="shared" si="2"/>
        <v/>
      </c>
    </row>
    <row r="19" spans="1:24" x14ac:dyDescent="0.25">
      <c r="A19" s="66" t="str">
        <f t="shared" si="4"/>
        <v/>
      </c>
      <c r="B19" s="23" t="str">
        <f t="shared" si="0"/>
        <v/>
      </c>
      <c r="C19" s="15"/>
      <c r="D19" s="16"/>
      <c r="E19" s="17"/>
      <c r="F19" s="18"/>
      <c r="G19" s="18"/>
      <c r="H19" s="19"/>
      <c r="I19" s="15"/>
      <c r="J19" s="20"/>
      <c r="K19" s="15"/>
      <c r="L19" s="15"/>
      <c r="M19" s="531" t="str">
        <f>CONCATENATE(IF(OR(L19=phu!$I$1,L19=phu!$I$2,L19=phu!$I$3),"Cam Thành Nam",""),IF(OR(L19=phu!$I$4,L19=phu!$I$5,L19=phu!$I$6,L19=phu!$I$7,L19=phu!$I$8,L19=phu!$I$9,L19=phu!$I$10,L19=phu!$I$11,L19=phu!$I$12,L19=phu!$I$13,L19=phu!$I$14),"Cam Nghĩa",""),IF(OR(L19=phu!$I$15,L19=phu!$I$16,L19=phu!$I$17,L19=phu!$I$18,L19=phu!$I$19,L19=phu!$I$20,L19=phu!$I$21),"Cam Phúc Bắc",""),IF(OR(L19=phu!$I$22,L19=phu!$I$23,L19=phu!$I$24,L19=phu!$I$25),"Cam Phúc Nam",""),IF(OR(L19=phu!$I$26,L19=phu!$I$27,L19=phu!$I$28,L19=phu!$I$29,L19=phu!$I$30,L19=phu!$I$31),"Cam Phú",""),IF(OR(L19=phu!$I$32,L19=phu!$I$33,L19=phu!$I$34,L19=phu!$I$35,L19=phu!$I$36,L19=phu!$I$37),"Cam Lộc",""),IF(OR(L19=phu!$I$38,L19=phu!$I$39,L19=phu!$I$40,L19=phu!$I$41,L19=phu!$I$42,L19=phu!$I$43,L19=phu!$I$44),"Cam Thuận",""),IF(OR(L19=phu!$I$45,L19=phu!$I$46,L19=phu!$I$47,L19=phu!$I$48,L19=phu!$I$49,L19=phu!$I$50,L19=phu!$I$51,L19=phu!$I$52,L19=phu!$I$53),"Cam Linh",""),IF(OR(L19=phu!$I$54,L19=phu!$I$55,L19=phu!$I$56,L19=phu!$I$57,L19=phu!$I$58,L19=phu!$I$59,L19=phu!$I$60,L19=phu!$I$61,L19=phu!$I$62),"Cam Lợi",""),IF(OR(L19=phu!$I$63,L19=phu!$I$64,L19=phu!$I$65,L19=phu!$I$66,L19=phu!$I$67,L19=phu!$I$68,L19=phu!$I$69,L19=phu!$I$70,L19=phu!$I$71),"Ba Ngòi",""),IF(OR(L19=phu!$I$72,L19=phu!$I$73,L19=phu!$I$74,L19=phu!$I$75,L19=phu!$I$76,L19=phu!$I$77,L19=phu!$I$78),"Cam Phước Đông",""),IF(OR(L19=phu!$I$79,L19=phu!$I$80,L19=phu!$I$81,L19=phu!$I$82,L19=phu!$I$83,L19=phu!$I$84),"Cam Thịnh Đông",""),IF(OR(L19=phu!$I$85,L19=phu!$I$86,L19=phu!$I$87,L19=phu!$I$88),"Cam Thịnh Tây",""),IF(OR(L19=phu!$I$89,L19=phu!$I$90),"Cam Lập",""),IF(OR(L19=phu!$I$91,L19=phu!$I$92,L19=phu!$I$93),"Cam Bình",""),IF(OR(L19=phu!$I$94,L19=phu!$I$95,L19=phu!$I$96,L19=phu!$I$97,L19=phu!$I$98,L19=phu!$I$99,L19=phu!$I$100),"Huyện khác",""),IF(OR(L19=phu!$I$101,L19=phu!$I$102),"Tỉnh khác",""))</f>
        <v/>
      </c>
      <c r="N19" s="835" t="str">
        <f t="shared" si="3"/>
        <v/>
      </c>
      <c r="O19" s="20"/>
      <c r="P19" s="20"/>
      <c r="Q19" s="20"/>
      <c r="R19" s="20"/>
      <c r="S19" s="20"/>
      <c r="T19" s="21"/>
      <c r="U19" s="21"/>
      <c r="V19" s="21"/>
      <c r="W19" s="7" t="str">
        <f t="shared" si="1"/>
        <v/>
      </c>
      <c r="X19" s="506" t="str">
        <f t="shared" si="2"/>
        <v/>
      </c>
    </row>
    <row r="20" spans="1:24" x14ac:dyDescent="0.25">
      <c r="A20" s="66" t="str">
        <f t="shared" si="4"/>
        <v/>
      </c>
      <c r="B20" s="23" t="str">
        <f t="shared" si="0"/>
        <v/>
      </c>
      <c r="C20" s="15"/>
      <c r="D20" s="16"/>
      <c r="E20" s="17"/>
      <c r="F20" s="18"/>
      <c r="G20" s="18"/>
      <c r="H20" s="19"/>
      <c r="I20" s="15"/>
      <c r="J20" s="20"/>
      <c r="K20" s="15"/>
      <c r="L20" s="15"/>
      <c r="M20" s="531" t="str">
        <f>CONCATENATE(IF(OR(L20=phu!$I$1,L20=phu!$I$2,L20=phu!$I$3),"Cam Thành Nam",""),IF(OR(L20=phu!$I$4,L20=phu!$I$5,L20=phu!$I$6,L20=phu!$I$7,L20=phu!$I$8,L20=phu!$I$9,L20=phu!$I$10,L20=phu!$I$11,L20=phu!$I$12,L20=phu!$I$13,L20=phu!$I$14),"Cam Nghĩa",""),IF(OR(L20=phu!$I$15,L20=phu!$I$16,L20=phu!$I$17,L20=phu!$I$18,L20=phu!$I$19,L20=phu!$I$20,L20=phu!$I$21),"Cam Phúc Bắc",""),IF(OR(L20=phu!$I$22,L20=phu!$I$23,L20=phu!$I$24,L20=phu!$I$25),"Cam Phúc Nam",""),IF(OR(L20=phu!$I$26,L20=phu!$I$27,L20=phu!$I$28,L20=phu!$I$29,L20=phu!$I$30,L20=phu!$I$31),"Cam Phú",""),IF(OR(L20=phu!$I$32,L20=phu!$I$33,L20=phu!$I$34,L20=phu!$I$35,L20=phu!$I$36,L20=phu!$I$37),"Cam Lộc",""),IF(OR(L20=phu!$I$38,L20=phu!$I$39,L20=phu!$I$40,L20=phu!$I$41,L20=phu!$I$42,L20=phu!$I$43,L20=phu!$I$44),"Cam Thuận",""),IF(OR(L20=phu!$I$45,L20=phu!$I$46,L20=phu!$I$47,L20=phu!$I$48,L20=phu!$I$49,L20=phu!$I$50,L20=phu!$I$51,L20=phu!$I$52,L20=phu!$I$53),"Cam Linh",""),IF(OR(L20=phu!$I$54,L20=phu!$I$55,L20=phu!$I$56,L20=phu!$I$57,L20=phu!$I$58,L20=phu!$I$59,L20=phu!$I$60,L20=phu!$I$61,L20=phu!$I$62),"Cam Lợi",""),IF(OR(L20=phu!$I$63,L20=phu!$I$64,L20=phu!$I$65,L20=phu!$I$66,L20=phu!$I$67,L20=phu!$I$68,L20=phu!$I$69,L20=phu!$I$70,L20=phu!$I$71),"Ba Ngòi",""),IF(OR(L20=phu!$I$72,L20=phu!$I$73,L20=phu!$I$74,L20=phu!$I$75,L20=phu!$I$76,L20=phu!$I$77,L20=phu!$I$78),"Cam Phước Đông",""),IF(OR(L20=phu!$I$79,L20=phu!$I$80,L20=phu!$I$81,L20=phu!$I$82,L20=phu!$I$83,L20=phu!$I$84),"Cam Thịnh Đông",""),IF(OR(L20=phu!$I$85,L20=phu!$I$86,L20=phu!$I$87,L20=phu!$I$88),"Cam Thịnh Tây",""),IF(OR(L20=phu!$I$89,L20=phu!$I$90),"Cam Lập",""),IF(OR(L20=phu!$I$91,L20=phu!$I$92,L20=phu!$I$93),"Cam Bình",""),IF(OR(L20=phu!$I$94,L20=phu!$I$95,L20=phu!$I$96,L20=phu!$I$97,L20=phu!$I$98,L20=phu!$I$99,L20=phu!$I$100),"Huyện khác",""),IF(OR(L20=phu!$I$101,L20=phu!$I$102),"Tỉnh khác",""))</f>
        <v/>
      </c>
      <c r="N20" s="835" t="str">
        <f t="shared" si="3"/>
        <v/>
      </c>
      <c r="O20" s="20"/>
      <c r="P20" s="20"/>
      <c r="Q20" s="20"/>
      <c r="R20" s="20"/>
      <c r="S20" s="20"/>
      <c r="T20" s="21"/>
      <c r="U20" s="21"/>
      <c r="V20" s="21"/>
      <c r="W20" s="7" t="str">
        <f t="shared" si="1"/>
        <v/>
      </c>
      <c r="X20" s="506" t="str">
        <f t="shared" si="2"/>
        <v/>
      </c>
    </row>
    <row r="21" spans="1:24" x14ac:dyDescent="0.25">
      <c r="A21" s="66" t="str">
        <f t="shared" si="4"/>
        <v/>
      </c>
      <c r="B21" s="23" t="str">
        <f t="shared" si="0"/>
        <v/>
      </c>
      <c r="C21" s="15"/>
      <c r="D21" s="16"/>
      <c r="E21" s="17"/>
      <c r="F21" s="18"/>
      <c r="G21" s="18"/>
      <c r="H21" s="19"/>
      <c r="I21" s="15"/>
      <c r="J21" s="20"/>
      <c r="K21" s="15"/>
      <c r="L21" s="15"/>
      <c r="M21" s="531" t="str">
        <f>CONCATENATE(IF(OR(L21=phu!$I$1,L21=phu!$I$2,L21=phu!$I$3),"Cam Thành Nam",""),IF(OR(L21=phu!$I$4,L21=phu!$I$5,L21=phu!$I$6,L21=phu!$I$7,L21=phu!$I$8,L21=phu!$I$9,L21=phu!$I$10,L21=phu!$I$11,L21=phu!$I$12,L21=phu!$I$13,L21=phu!$I$14),"Cam Nghĩa",""),IF(OR(L21=phu!$I$15,L21=phu!$I$16,L21=phu!$I$17,L21=phu!$I$18,L21=phu!$I$19,L21=phu!$I$20,L21=phu!$I$21),"Cam Phúc Bắc",""),IF(OR(L21=phu!$I$22,L21=phu!$I$23,L21=phu!$I$24,L21=phu!$I$25),"Cam Phúc Nam",""),IF(OR(L21=phu!$I$26,L21=phu!$I$27,L21=phu!$I$28,L21=phu!$I$29,L21=phu!$I$30,L21=phu!$I$31),"Cam Phú",""),IF(OR(L21=phu!$I$32,L21=phu!$I$33,L21=phu!$I$34,L21=phu!$I$35,L21=phu!$I$36,L21=phu!$I$37),"Cam Lộc",""),IF(OR(L21=phu!$I$38,L21=phu!$I$39,L21=phu!$I$40,L21=phu!$I$41,L21=phu!$I$42,L21=phu!$I$43,L21=phu!$I$44),"Cam Thuận",""),IF(OR(L21=phu!$I$45,L21=phu!$I$46,L21=phu!$I$47,L21=phu!$I$48,L21=phu!$I$49,L21=phu!$I$50,L21=phu!$I$51,L21=phu!$I$52,L21=phu!$I$53),"Cam Linh",""),IF(OR(L21=phu!$I$54,L21=phu!$I$55,L21=phu!$I$56,L21=phu!$I$57,L21=phu!$I$58,L21=phu!$I$59,L21=phu!$I$60,L21=phu!$I$61,L21=phu!$I$62),"Cam Lợi",""),IF(OR(L21=phu!$I$63,L21=phu!$I$64,L21=phu!$I$65,L21=phu!$I$66,L21=phu!$I$67,L21=phu!$I$68,L21=phu!$I$69,L21=phu!$I$70,L21=phu!$I$71),"Ba Ngòi",""),IF(OR(L21=phu!$I$72,L21=phu!$I$73,L21=phu!$I$74,L21=phu!$I$75,L21=phu!$I$76,L21=phu!$I$77,L21=phu!$I$78),"Cam Phước Đông",""),IF(OR(L21=phu!$I$79,L21=phu!$I$80,L21=phu!$I$81,L21=phu!$I$82,L21=phu!$I$83,L21=phu!$I$84),"Cam Thịnh Đông",""),IF(OR(L21=phu!$I$85,L21=phu!$I$86,L21=phu!$I$87,L21=phu!$I$88),"Cam Thịnh Tây",""),IF(OR(L21=phu!$I$89,L21=phu!$I$90),"Cam Lập",""),IF(OR(L21=phu!$I$91,L21=phu!$I$92,L21=phu!$I$93),"Cam Bình",""),IF(OR(L21=phu!$I$94,L21=phu!$I$95,L21=phu!$I$96,L21=phu!$I$97,L21=phu!$I$98,L21=phu!$I$99,L21=phu!$I$100),"Huyện khác",""),IF(OR(L21=phu!$I$101,L21=phu!$I$102),"Tỉnh khác",""))</f>
        <v/>
      </c>
      <c r="N21" s="835" t="str">
        <f t="shared" si="3"/>
        <v/>
      </c>
      <c r="O21" s="20"/>
      <c r="P21" s="20"/>
      <c r="Q21" s="20"/>
      <c r="R21" s="20"/>
      <c r="S21" s="20"/>
      <c r="T21" s="21"/>
      <c r="U21" s="21"/>
      <c r="V21" s="21"/>
      <c r="W21" s="7" t="str">
        <f t="shared" si="1"/>
        <v/>
      </c>
      <c r="X21" s="506" t="str">
        <f t="shared" si="2"/>
        <v/>
      </c>
    </row>
    <row r="22" spans="1:24" x14ac:dyDescent="0.25">
      <c r="A22" s="66" t="str">
        <f t="shared" si="4"/>
        <v/>
      </c>
      <c r="B22" s="23" t="str">
        <f t="shared" si="0"/>
        <v/>
      </c>
      <c r="C22" s="15"/>
      <c r="D22" s="16"/>
      <c r="E22" s="17"/>
      <c r="F22" s="18"/>
      <c r="G22" s="18"/>
      <c r="H22" s="19"/>
      <c r="I22" s="15"/>
      <c r="J22" s="20"/>
      <c r="K22" s="15"/>
      <c r="L22" s="15"/>
      <c r="M22" s="531" t="str">
        <f>CONCATENATE(IF(OR(L22=phu!$I$1,L22=phu!$I$2,L22=phu!$I$3),"Cam Thành Nam",""),IF(OR(L22=phu!$I$4,L22=phu!$I$5,L22=phu!$I$6,L22=phu!$I$7,L22=phu!$I$8,L22=phu!$I$9,L22=phu!$I$10,L22=phu!$I$11,L22=phu!$I$12,L22=phu!$I$13,L22=phu!$I$14),"Cam Nghĩa",""),IF(OR(L22=phu!$I$15,L22=phu!$I$16,L22=phu!$I$17,L22=phu!$I$18,L22=phu!$I$19,L22=phu!$I$20,L22=phu!$I$21),"Cam Phúc Bắc",""),IF(OR(L22=phu!$I$22,L22=phu!$I$23,L22=phu!$I$24,L22=phu!$I$25),"Cam Phúc Nam",""),IF(OR(L22=phu!$I$26,L22=phu!$I$27,L22=phu!$I$28,L22=phu!$I$29,L22=phu!$I$30,L22=phu!$I$31),"Cam Phú",""),IF(OR(L22=phu!$I$32,L22=phu!$I$33,L22=phu!$I$34,L22=phu!$I$35,L22=phu!$I$36,L22=phu!$I$37),"Cam Lộc",""),IF(OR(L22=phu!$I$38,L22=phu!$I$39,L22=phu!$I$40,L22=phu!$I$41,L22=phu!$I$42,L22=phu!$I$43,L22=phu!$I$44),"Cam Thuận",""),IF(OR(L22=phu!$I$45,L22=phu!$I$46,L22=phu!$I$47,L22=phu!$I$48,L22=phu!$I$49,L22=phu!$I$50,L22=phu!$I$51,L22=phu!$I$52,L22=phu!$I$53),"Cam Linh",""),IF(OR(L22=phu!$I$54,L22=phu!$I$55,L22=phu!$I$56,L22=phu!$I$57,L22=phu!$I$58,L22=phu!$I$59,L22=phu!$I$60,L22=phu!$I$61,L22=phu!$I$62),"Cam Lợi",""),IF(OR(L22=phu!$I$63,L22=phu!$I$64,L22=phu!$I$65,L22=phu!$I$66,L22=phu!$I$67,L22=phu!$I$68,L22=phu!$I$69,L22=phu!$I$70,L22=phu!$I$71),"Ba Ngòi",""),IF(OR(L22=phu!$I$72,L22=phu!$I$73,L22=phu!$I$74,L22=phu!$I$75,L22=phu!$I$76,L22=phu!$I$77,L22=phu!$I$78),"Cam Phước Đông",""),IF(OR(L22=phu!$I$79,L22=phu!$I$80,L22=phu!$I$81,L22=phu!$I$82,L22=phu!$I$83,L22=phu!$I$84),"Cam Thịnh Đông",""),IF(OR(L22=phu!$I$85,L22=phu!$I$86,L22=phu!$I$87,L22=phu!$I$88),"Cam Thịnh Tây",""),IF(OR(L22=phu!$I$89,L22=phu!$I$90),"Cam Lập",""),IF(OR(L22=phu!$I$91,L22=phu!$I$92,L22=phu!$I$93),"Cam Bình",""),IF(OR(L22=phu!$I$94,L22=phu!$I$95,L22=phu!$I$96,L22=phu!$I$97,L22=phu!$I$98,L22=phu!$I$99,L22=phu!$I$100),"Huyện khác",""),IF(OR(L22=phu!$I$101,L22=phu!$I$102),"Tỉnh khác",""))</f>
        <v/>
      </c>
      <c r="N22" s="835" t="str">
        <f t="shared" si="3"/>
        <v/>
      </c>
      <c r="O22" s="20"/>
      <c r="P22" s="20"/>
      <c r="Q22" s="20"/>
      <c r="R22" s="20"/>
      <c r="S22" s="20"/>
      <c r="T22" s="21"/>
      <c r="U22" s="21"/>
      <c r="V22" s="21"/>
      <c r="W22" s="7" t="str">
        <f t="shared" si="1"/>
        <v/>
      </c>
      <c r="X22" s="506" t="str">
        <f t="shared" si="2"/>
        <v/>
      </c>
    </row>
    <row r="23" spans="1:24" x14ac:dyDescent="0.25">
      <c r="A23" s="66" t="str">
        <f t="shared" si="4"/>
        <v/>
      </c>
      <c r="B23" s="23" t="str">
        <f t="shared" si="0"/>
        <v/>
      </c>
      <c r="C23" s="15"/>
      <c r="D23" s="16"/>
      <c r="E23" s="17"/>
      <c r="F23" s="18"/>
      <c r="G23" s="18"/>
      <c r="H23" s="19"/>
      <c r="I23" s="15"/>
      <c r="J23" s="20"/>
      <c r="K23" s="15"/>
      <c r="L23" s="15"/>
      <c r="M23" s="531" t="str">
        <f>CONCATENATE(IF(OR(L23=phu!$I$1,L23=phu!$I$2,L23=phu!$I$3),"Cam Thành Nam",""),IF(OR(L23=phu!$I$4,L23=phu!$I$5,L23=phu!$I$6,L23=phu!$I$7,L23=phu!$I$8,L23=phu!$I$9,L23=phu!$I$10,L23=phu!$I$11,L23=phu!$I$12,L23=phu!$I$13,L23=phu!$I$14),"Cam Nghĩa",""),IF(OR(L23=phu!$I$15,L23=phu!$I$16,L23=phu!$I$17,L23=phu!$I$18,L23=phu!$I$19,L23=phu!$I$20,L23=phu!$I$21),"Cam Phúc Bắc",""),IF(OR(L23=phu!$I$22,L23=phu!$I$23,L23=phu!$I$24,L23=phu!$I$25),"Cam Phúc Nam",""),IF(OR(L23=phu!$I$26,L23=phu!$I$27,L23=phu!$I$28,L23=phu!$I$29,L23=phu!$I$30,L23=phu!$I$31),"Cam Phú",""),IF(OR(L23=phu!$I$32,L23=phu!$I$33,L23=phu!$I$34,L23=phu!$I$35,L23=phu!$I$36,L23=phu!$I$37),"Cam Lộc",""),IF(OR(L23=phu!$I$38,L23=phu!$I$39,L23=phu!$I$40,L23=phu!$I$41,L23=phu!$I$42,L23=phu!$I$43,L23=phu!$I$44),"Cam Thuận",""),IF(OR(L23=phu!$I$45,L23=phu!$I$46,L23=phu!$I$47,L23=phu!$I$48,L23=phu!$I$49,L23=phu!$I$50,L23=phu!$I$51,L23=phu!$I$52,L23=phu!$I$53),"Cam Linh",""),IF(OR(L23=phu!$I$54,L23=phu!$I$55,L23=phu!$I$56,L23=phu!$I$57,L23=phu!$I$58,L23=phu!$I$59,L23=phu!$I$60,L23=phu!$I$61,L23=phu!$I$62),"Cam Lợi",""),IF(OR(L23=phu!$I$63,L23=phu!$I$64,L23=phu!$I$65,L23=phu!$I$66,L23=phu!$I$67,L23=phu!$I$68,L23=phu!$I$69,L23=phu!$I$70,L23=phu!$I$71),"Ba Ngòi",""),IF(OR(L23=phu!$I$72,L23=phu!$I$73,L23=phu!$I$74,L23=phu!$I$75,L23=phu!$I$76,L23=phu!$I$77,L23=phu!$I$78),"Cam Phước Đông",""),IF(OR(L23=phu!$I$79,L23=phu!$I$80,L23=phu!$I$81,L23=phu!$I$82,L23=phu!$I$83,L23=phu!$I$84),"Cam Thịnh Đông",""),IF(OR(L23=phu!$I$85,L23=phu!$I$86,L23=phu!$I$87,L23=phu!$I$88),"Cam Thịnh Tây",""),IF(OR(L23=phu!$I$89,L23=phu!$I$90),"Cam Lập",""),IF(OR(L23=phu!$I$91,L23=phu!$I$92,L23=phu!$I$93),"Cam Bình",""),IF(OR(L23=phu!$I$94,L23=phu!$I$95,L23=phu!$I$96,L23=phu!$I$97,L23=phu!$I$98,L23=phu!$I$99,L23=phu!$I$100),"Huyện khác",""),IF(OR(L23=phu!$I$101,L23=phu!$I$102),"Tỉnh khác",""))</f>
        <v/>
      </c>
      <c r="N23" s="835" t="str">
        <f t="shared" si="3"/>
        <v/>
      </c>
      <c r="O23" s="20"/>
      <c r="P23" s="20"/>
      <c r="Q23" s="20"/>
      <c r="R23" s="20"/>
      <c r="S23" s="20"/>
      <c r="T23" s="21"/>
      <c r="U23" s="21"/>
      <c r="V23" s="21"/>
      <c r="W23" s="7" t="str">
        <f t="shared" si="1"/>
        <v/>
      </c>
      <c r="X23" s="506" t="str">
        <f t="shared" si="2"/>
        <v/>
      </c>
    </row>
    <row r="24" spans="1:24" x14ac:dyDescent="0.25">
      <c r="A24" s="66" t="str">
        <f t="shared" si="4"/>
        <v/>
      </c>
      <c r="B24" s="23" t="str">
        <f t="shared" si="0"/>
        <v/>
      </c>
      <c r="C24" s="15"/>
      <c r="D24" s="16"/>
      <c r="E24" s="17"/>
      <c r="F24" s="18"/>
      <c r="G24" s="18"/>
      <c r="H24" s="19"/>
      <c r="I24" s="15"/>
      <c r="J24" s="20"/>
      <c r="K24" s="15"/>
      <c r="L24" s="15"/>
      <c r="M24" s="531" t="str">
        <f>CONCATENATE(IF(OR(L24=phu!$I$1,L24=phu!$I$2,L24=phu!$I$3),"Cam Thành Nam",""),IF(OR(L24=phu!$I$4,L24=phu!$I$5,L24=phu!$I$6,L24=phu!$I$7,L24=phu!$I$8,L24=phu!$I$9,L24=phu!$I$10,L24=phu!$I$11,L24=phu!$I$12,L24=phu!$I$13,L24=phu!$I$14),"Cam Nghĩa",""),IF(OR(L24=phu!$I$15,L24=phu!$I$16,L24=phu!$I$17,L24=phu!$I$18,L24=phu!$I$19,L24=phu!$I$20,L24=phu!$I$21),"Cam Phúc Bắc",""),IF(OR(L24=phu!$I$22,L24=phu!$I$23,L24=phu!$I$24,L24=phu!$I$25),"Cam Phúc Nam",""),IF(OR(L24=phu!$I$26,L24=phu!$I$27,L24=phu!$I$28,L24=phu!$I$29,L24=phu!$I$30,L24=phu!$I$31),"Cam Phú",""),IF(OR(L24=phu!$I$32,L24=phu!$I$33,L24=phu!$I$34,L24=phu!$I$35,L24=phu!$I$36,L24=phu!$I$37),"Cam Lộc",""),IF(OR(L24=phu!$I$38,L24=phu!$I$39,L24=phu!$I$40,L24=phu!$I$41,L24=phu!$I$42,L24=phu!$I$43,L24=phu!$I$44),"Cam Thuận",""),IF(OR(L24=phu!$I$45,L24=phu!$I$46,L24=phu!$I$47,L24=phu!$I$48,L24=phu!$I$49,L24=phu!$I$50,L24=phu!$I$51,L24=phu!$I$52,L24=phu!$I$53),"Cam Linh",""),IF(OR(L24=phu!$I$54,L24=phu!$I$55,L24=phu!$I$56,L24=phu!$I$57,L24=phu!$I$58,L24=phu!$I$59,L24=phu!$I$60,L24=phu!$I$61,L24=phu!$I$62),"Cam Lợi",""),IF(OR(L24=phu!$I$63,L24=phu!$I$64,L24=phu!$I$65,L24=phu!$I$66,L24=phu!$I$67,L24=phu!$I$68,L24=phu!$I$69,L24=phu!$I$70,L24=phu!$I$71),"Ba Ngòi",""),IF(OR(L24=phu!$I$72,L24=phu!$I$73,L24=phu!$I$74,L24=phu!$I$75,L24=phu!$I$76,L24=phu!$I$77,L24=phu!$I$78),"Cam Phước Đông",""),IF(OR(L24=phu!$I$79,L24=phu!$I$80,L24=phu!$I$81,L24=phu!$I$82,L24=phu!$I$83,L24=phu!$I$84),"Cam Thịnh Đông",""),IF(OR(L24=phu!$I$85,L24=phu!$I$86,L24=phu!$I$87,L24=phu!$I$88),"Cam Thịnh Tây",""),IF(OR(L24=phu!$I$89,L24=phu!$I$90),"Cam Lập",""),IF(OR(L24=phu!$I$91,L24=phu!$I$92,L24=phu!$I$93),"Cam Bình",""),IF(OR(L24=phu!$I$94,L24=phu!$I$95,L24=phu!$I$96,L24=phu!$I$97,L24=phu!$I$98,L24=phu!$I$99,L24=phu!$I$100),"Huyện khác",""),IF(OR(L24=phu!$I$101,L24=phu!$I$102),"Tỉnh khác",""))</f>
        <v/>
      </c>
      <c r="N24" s="835" t="str">
        <f t="shared" si="3"/>
        <v/>
      </c>
      <c r="O24" s="20"/>
      <c r="P24" s="20"/>
      <c r="Q24" s="20"/>
      <c r="R24" s="20"/>
      <c r="S24" s="20"/>
      <c r="T24" s="21"/>
      <c r="U24" s="21"/>
      <c r="V24" s="21"/>
      <c r="W24" s="7" t="str">
        <f t="shared" si="1"/>
        <v/>
      </c>
      <c r="X24" s="506" t="str">
        <f t="shared" si="2"/>
        <v/>
      </c>
    </row>
    <row r="25" spans="1:24" x14ac:dyDescent="0.25">
      <c r="A25" s="66" t="str">
        <f t="shared" si="4"/>
        <v/>
      </c>
      <c r="B25" s="23" t="str">
        <f t="shared" si="0"/>
        <v/>
      </c>
      <c r="C25" s="15"/>
      <c r="D25" s="16"/>
      <c r="E25" s="17"/>
      <c r="F25" s="18"/>
      <c r="G25" s="18"/>
      <c r="H25" s="19"/>
      <c r="I25" s="15"/>
      <c r="J25" s="20"/>
      <c r="K25" s="15"/>
      <c r="L25" s="15"/>
      <c r="M25" s="531" t="str">
        <f>CONCATENATE(IF(OR(L25=phu!$I$1,L25=phu!$I$2,L25=phu!$I$3),"Cam Thành Nam",""),IF(OR(L25=phu!$I$4,L25=phu!$I$5,L25=phu!$I$6,L25=phu!$I$7,L25=phu!$I$8,L25=phu!$I$9,L25=phu!$I$10,L25=phu!$I$11,L25=phu!$I$12,L25=phu!$I$13,L25=phu!$I$14),"Cam Nghĩa",""),IF(OR(L25=phu!$I$15,L25=phu!$I$16,L25=phu!$I$17,L25=phu!$I$18,L25=phu!$I$19,L25=phu!$I$20,L25=phu!$I$21),"Cam Phúc Bắc",""),IF(OR(L25=phu!$I$22,L25=phu!$I$23,L25=phu!$I$24,L25=phu!$I$25),"Cam Phúc Nam",""),IF(OR(L25=phu!$I$26,L25=phu!$I$27,L25=phu!$I$28,L25=phu!$I$29,L25=phu!$I$30,L25=phu!$I$31),"Cam Phú",""),IF(OR(L25=phu!$I$32,L25=phu!$I$33,L25=phu!$I$34,L25=phu!$I$35,L25=phu!$I$36,L25=phu!$I$37),"Cam Lộc",""),IF(OR(L25=phu!$I$38,L25=phu!$I$39,L25=phu!$I$40,L25=phu!$I$41,L25=phu!$I$42,L25=phu!$I$43,L25=phu!$I$44),"Cam Thuận",""),IF(OR(L25=phu!$I$45,L25=phu!$I$46,L25=phu!$I$47,L25=phu!$I$48,L25=phu!$I$49,L25=phu!$I$50,L25=phu!$I$51,L25=phu!$I$52,L25=phu!$I$53),"Cam Linh",""),IF(OR(L25=phu!$I$54,L25=phu!$I$55,L25=phu!$I$56,L25=phu!$I$57,L25=phu!$I$58,L25=phu!$I$59,L25=phu!$I$60,L25=phu!$I$61,L25=phu!$I$62),"Cam Lợi",""),IF(OR(L25=phu!$I$63,L25=phu!$I$64,L25=phu!$I$65,L25=phu!$I$66,L25=phu!$I$67,L25=phu!$I$68,L25=phu!$I$69,L25=phu!$I$70,L25=phu!$I$71),"Ba Ngòi",""),IF(OR(L25=phu!$I$72,L25=phu!$I$73,L25=phu!$I$74,L25=phu!$I$75,L25=phu!$I$76,L25=phu!$I$77,L25=phu!$I$78),"Cam Phước Đông",""),IF(OR(L25=phu!$I$79,L25=phu!$I$80,L25=phu!$I$81,L25=phu!$I$82,L25=phu!$I$83,L25=phu!$I$84),"Cam Thịnh Đông",""),IF(OR(L25=phu!$I$85,L25=phu!$I$86,L25=phu!$I$87,L25=phu!$I$88),"Cam Thịnh Tây",""),IF(OR(L25=phu!$I$89,L25=phu!$I$90),"Cam Lập",""),IF(OR(L25=phu!$I$91,L25=phu!$I$92,L25=phu!$I$93),"Cam Bình",""),IF(OR(L25=phu!$I$94,L25=phu!$I$95,L25=phu!$I$96,L25=phu!$I$97,L25=phu!$I$98,L25=phu!$I$99,L25=phu!$I$100),"Huyện khác",""),IF(OR(L25=phu!$I$101,L25=phu!$I$102),"Tỉnh khác",""))</f>
        <v/>
      </c>
      <c r="N25" s="835" t="str">
        <f t="shared" si="3"/>
        <v/>
      </c>
      <c r="O25" s="20"/>
      <c r="P25" s="20"/>
      <c r="Q25" s="20"/>
      <c r="R25" s="20"/>
      <c r="S25" s="20"/>
      <c r="T25" s="21"/>
      <c r="U25" s="21"/>
      <c r="V25" s="21"/>
      <c r="W25" s="7" t="str">
        <f t="shared" si="1"/>
        <v/>
      </c>
      <c r="X25" s="506" t="str">
        <f t="shared" si="2"/>
        <v/>
      </c>
    </row>
    <row r="26" spans="1:24" x14ac:dyDescent="0.25">
      <c r="A26" s="66" t="str">
        <f t="shared" si="4"/>
        <v/>
      </c>
      <c r="B26" s="23" t="str">
        <f t="shared" si="0"/>
        <v/>
      </c>
      <c r="C26" s="15"/>
      <c r="D26" s="16"/>
      <c r="E26" s="17"/>
      <c r="F26" s="18"/>
      <c r="G26" s="18"/>
      <c r="H26" s="19"/>
      <c r="I26" s="15"/>
      <c r="J26" s="20"/>
      <c r="K26" s="15"/>
      <c r="L26" s="15"/>
      <c r="M26" s="531" t="str">
        <f>CONCATENATE(IF(OR(L26=phu!$I$1,L26=phu!$I$2,L26=phu!$I$3),"Cam Thành Nam",""),IF(OR(L26=phu!$I$4,L26=phu!$I$5,L26=phu!$I$6,L26=phu!$I$7,L26=phu!$I$8,L26=phu!$I$9,L26=phu!$I$10,L26=phu!$I$11,L26=phu!$I$12,L26=phu!$I$13,L26=phu!$I$14),"Cam Nghĩa",""),IF(OR(L26=phu!$I$15,L26=phu!$I$16,L26=phu!$I$17,L26=phu!$I$18,L26=phu!$I$19,L26=phu!$I$20,L26=phu!$I$21),"Cam Phúc Bắc",""),IF(OR(L26=phu!$I$22,L26=phu!$I$23,L26=phu!$I$24,L26=phu!$I$25),"Cam Phúc Nam",""),IF(OR(L26=phu!$I$26,L26=phu!$I$27,L26=phu!$I$28,L26=phu!$I$29,L26=phu!$I$30,L26=phu!$I$31),"Cam Phú",""),IF(OR(L26=phu!$I$32,L26=phu!$I$33,L26=phu!$I$34,L26=phu!$I$35,L26=phu!$I$36,L26=phu!$I$37),"Cam Lộc",""),IF(OR(L26=phu!$I$38,L26=phu!$I$39,L26=phu!$I$40,L26=phu!$I$41,L26=phu!$I$42,L26=phu!$I$43,L26=phu!$I$44),"Cam Thuận",""),IF(OR(L26=phu!$I$45,L26=phu!$I$46,L26=phu!$I$47,L26=phu!$I$48,L26=phu!$I$49,L26=phu!$I$50,L26=phu!$I$51,L26=phu!$I$52,L26=phu!$I$53),"Cam Linh",""),IF(OR(L26=phu!$I$54,L26=phu!$I$55,L26=phu!$I$56,L26=phu!$I$57,L26=phu!$I$58,L26=phu!$I$59,L26=phu!$I$60,L26=phu!$I$61,L26=phu!$I$62),"Cam Lợi",""),IF(OR(L26=phu!$I$63,L26=phu!$I$64,L26=phu!$I$65,L26=phu!$I$66,L26=phu!$I$67,L26=phu!$I$68,L26=phu!$I$69,L26=phu!$I$70,L26=phu!$I$71),"Ba Ngòi",""),IF(OR(L26=phu!$I$72,L26=phu!$I$73,L26=phu!$I$74,L26=phu!$I$75,L26=phu!$I$76,L26=phu!$I$77,L26=phu!$I$78),"Cam Phước Đông",""),IF(OR(L26=phu!$I$79,L26=phu!$I$80,L26=phu!$I$81,L26=phu!$I$82,L26=phu!$I$83,L26=phu!$I$84),"Cam Thịnh Đông",""),IF(OR(L26=phu!$I$85,L26=phu!$I$86,L26=phu!$I$87,L26=phu!$I$88),"Cam Thịnh Tây",""),IF(OR(L26=phu!$I$89,L26=phu!$I$90),"Cam Lập",""),IF(OR(L26=phu!$I$91,L26=phu!$I$92,L26=phu!$I$93),"Cam Bình",""),IF(OR(L26=phu!$I$94,L26=phu!$I$95,L26=phu!$I$96,L26=phu!$I$97,L26=phu!$I$98,L26=phu!$I$99,L26=phu!$I$100),"Huyện khác",""),IF(OR(L26=phu!$I$101,L26=phu!$I$102),"Tỉnh khác",""))</f>
        <v/>
      </c>
      <c r="N26" s="835" t="str">
        <f t="shared" si="3"/>
        <v/>
      </c>
      <c r="O26" s="20"/>
      <c r="P26" s="20"/>
      <c r="Q26" s="20"/>
      <c r="R26" s="20"/>
      <c r="S26" s="20"/>
      <c r="T26" s="21"/>
      <c r="U26" s="21"/>
      <c r="V26" s="21"/>
      <c r="W26" s="7" t="str">
        <f t="shared" si="1"/>
        <v/>
      </c>
      <c r="X26" s="506" t="str">
        <f t="shared" si="2"/>
        <v/>
      </c>
    </row>
    <row r="27" spans="1:24" x14ac:dyDescent="0.25">
      <c r="A27" s="66" t="str">
        <f t="shared" si="4"/>
        <v/>
      </c>
      <c r="B27" s="23" t="str">
        <f t="shared" si="0"/>
        <v/>
      </c>
      <c r="C27" s="15"/>
      <c r="D27" s="16"/>
      <c r="E27" s="17"/>
      <c r="F27" s="18"/>
      <c r="G27" s="18"/>
      <c r="H27" s="19"/>
      <c r="I27" s="15"/>
      <c r="J27" s="20"/>
      <c r="K27" s="15"/>
      <c r="L27" s="15"/>
      <c r="M27" s="531" t="str">
        <f>CONCATENATE(IF(OR(L27=phu!$I$1,L27=phu!$I$2,L27=phu!$I$3),"Cam Thành Nam",""),IF(OR(L27=phu!$I$4,L27=phu!$I$5,L27=phu!$I$6,L27=phu!$I$7,L27=phu!$I$8,L27=phu!$I$9,L27=phu!$I$10,L27=phu!$I$11,L27=phu!$I$12,L27=phu!$I$13,L27=phu!$I$14),"Cam Nghĩa",""),IF(OR(L27=phu!$I$15,L27=phu!$I$16,L27=phu!$I$17,L27=phu!$I$18,L27=phu!$I$19,L27=phu!$I$20,L27=phu!$I$21),"Cam Phúc Bắc",""),IF(OR(L27=phu!$I$22,L27=phu!$I$23,L27=phu!$I$24,L27=phu!$I$25),"Cam Phúc Nam",""),IF(OR(L27=phu!$I$26,L27=phu!$I$27,L27=phu!$I$28,L27=phu!$I$29,L27=phu!$I$30,L27=phu!$I$31),"Cam Phú",""),IF(OR(L27=phu!$I$32,L27=phu!$I$33,L27=phu!$I$34,L27=phu!$I$35,L27=phu!$I$36,L27=phu!$I$37),"Cam Lộc",""),IF(OR(L27=phu!$I$38,L27=phu!$I$39,L27=phu!$I$40,L27=phu!$I$41,L27=phu!$I$42,L27=phu!$I$43,L27=phu!$I$44),"Cam Thuận",""),IF(OR(L27=phu!$I$45,L27=phu!$I$46,L27=phu!$I$47,L27=phu!$I$48,L27=phu!$I$49,L27=phu!$I$50,L27=phu!$I$51,L27=phu!$I$52,L27=phu!$I$53),"Cam Linh",""),IF(OR(L27=phu!$I$54,L27=phu!$I$55,L27=phu!$I$56,L27=phu!$I$57,L27=phu!$I$58,L27=phu!$I$59,L27=phu!$I$60,L27=phu!$I$61,L27=phu!$I$62),"Cam Lợi",""),IF(OR(L27=phu!$I$63,L27=phu!$I$64,L27=phu!$I$65,L27=phu!$I$66,L27=phu!$I$67,L27=phu!$I$68,L27=phu!$I$69,L27=phu!$I$70,L27=phu!$I$71),"Ba Ngòi",""),IF(OR(L27=phu!$I$72,L27=phu!$I$73,L27=phu!$I$74,L27=phu!$I$75,L27=phu!$I$76,L27=phu!$I$77,L27=phu!$I$78),"Cam Phước Đông",""),IF(OR(L27=phu!$I$79,L27=phu!$I$80,L27=phu!$I$81,L27=phu!$I$82,L27=phu!$I$83,L27=phu!$I$84),"Cam Thịnh Đông",""),IF(OR(L27=phu!$I$85,L27=phu!$I$86,L27=phu!$I$87,L27=phu!$I$88),"Cam Thịnh Tây",""),IF(OR(L27=phu!$I$89,L27=phu!$I$90),"Cam Lập",""),IF(OR(L27=phu!$I$91,L27=phu!$I$92,L27=phu!$I$93),"Cam Bình",""),IF(OR(L27=phu!$I$94,L27=phu!$I$95,L27=phu!$I$96,L27=phu!$I$97,L27=phu!$I$98,L27=phu!$I$99,L27=phu!$I$100),"Huyện khác",""),IF(OR(L27=phu!$I$101,L27=phu!$I$102),"Tỉnh khác",""))</f>
        <v/>
      </c>
      <c r="N27" s="835" t="str">
        <f t="shared" si="3"/>
        <v/>
      </c>
      <c r="O27" s="20"/>
      <c r="P27" s="20"/>
      <c r="Q27" s="20"/>
      <c r="R27" s="20"/>
      <c r="S27" s="20"/>
      <c r="T27" s="21"/>
      <c r="U27" s="21"/>
      <c r="V27" s="21"/>
      <c r="W27" s="7" t="str">
        <f t="shared" si="1"/>
        <v/>
      </c>
      <c r="X27" s="506" t="str">
        <f t="shared" si="2"/>
        <v/>
      </c>
    </row>
    <row r="28" spans="1:24" x14ac:dyDescent="0.25">
      <c r="A28" s="66" t="str">
        <f t="shared" si="4"/>
        <v/>
      </c>
      <c r="B28" s="23" t="str">
        <f t="shared" si="0"/>
        <v/>
      </c>
      <c r="C28" s="15"/>
      <c r="D28" s="16"/>
      <c r="E28" s="17"/>
      <c r="F28" s="18"/>
      <c r="G28" s="18"/>
      <c r="H28" s="19"/>
      <c r="I28" s="15"/>
      <c r="J28" s="20"/>
      <c r="K28" s="15"/>
      <c r="L28" s="15"/>
      <c r="M28" s="531" t="str">
        <f>CONCATENATE(IF(OR(L28=phu!$I$1,L28=phu!$I$2,L28=phu!$I$3),"Cam Thành Nam",""),IF(OR(L28=phu!$I$4,L28=phu!$I$5,L28=phu!$I$6,L28=phu!$I$7,L28=phu!$I$8,L28=phu!$I$9,L28=phu!$I$10,L28=phu!$I$11,L28=phu!$I$12,L28=phu!$I$13,L28=phu!$I$14),"Cam Nghĩa",""),IF(OR(L28=phu!$I$15,L28=phu!$I$16,L28=phu!$I$17,L28=phu!$I$18,L28=phu!$I$19,L28=phu!$I$20,L28=phu!$I$21),"Cam Phúc Bắc",""),IF(OR(L28=phu!$I$22,L28=phu!$I$23,L28=phu!$I$24,L28=phu!$I$25),"Cam Phúc Nam",""),IF(OR(L28=phu!$I$26,L28=phu!$I$27,L28=phu!$I$28,L28=phu!$I$29,L28=phu!$I$30,L28=phu!$I$31),"Cam Phú",""),IF(OR(L28=phu!$I$32,L28=phu!$I$33,L28=phu!$I$34,L28=phu!$I$35,L28=phu!$I$36,L28=phu!$I$37),"Cam Lộc",""),IF(OR(L28=phu!$I$38,L28=phu!$I$39,L28=phu!$I$40,L28=phu!$I$41,L28=phu!$I$42,L28=phu!$I$43,L28=phu!$I$44),"Cam Thuận",""),IF(OR(L28=phu!$I$45,L28=phu!$I$46,L28=phu!$I$47,L28=phu!$I$48,L28=phu!$I$49,L28=phu!$I$50,L28=phu!$I$51,L28=phu!$I$52,L28=phu!$I$53),"Cam Linh",""),IF(OR(L28=phu!$I$54,L28=phu!$I$55,L28=phu!$I$56,L28=phu!$I$57,L28=phu!$I$58,L28=phu!$I$59,L28=phu!$I$60,L28=phu!$I$61,L28=phu!$I$62),"Cam Lợi",""),IF(OR(L28=phu!$I$63,L28=phu!$I$64,L28=phu!$I$65,L28=phu!$I$66,L28=phu!$I$67,L28=phu!$I$68,L28=phu!$I$69,L28=phu!$I$70,L28=phu!$I$71),"Ba Ngòi",""),IF(OR(L28=phu!$I$72,L28=phu!$I$73,L28=phu!$I$74,L28=phu!$I$75,L28=phu!$I$76,L28=phu!$I$77,L28=phu!$I$78),"Cam Phước Đông",""),IF(OR(L28=phu!$I$79,L28=phu!$I$80,L28=phu!$I$81,L28=phu!$I$82,L28=phu!$I$83,L28=phu!$I$84),"Cam Thịnh Đông",""),IF(OR(L28=phu!$I$85,L28=phu!$I$86,L28=phu!$I$87,L28=phu!$I$88),"Cam Thịnh Tây",""),IF(OR(L28=phu!$I$89,L28=phu!$I$90),"Cam Lập",""),IF(OR(L28=phu!$I$91,L28=phu!$I$92,L28=phu!$I$93),"Cam Bình",""),IF(OR(L28=phu!$I$94,L28=phu!$I$95,L28=phu!$I$96,L28=phu!$I$97,L28=phu!$I$98,L28=phu!$I$99,L28=phu!$I$100),"Huyện khác",""),IF(OR(L28=phu!$I$101,L28=phu!$I$102),"Tỉnh khác",""))</f>
        <v/>
      </c>
      <c r="N28" s="835" t="str">
        <f t="shared" si="3"/>
        <v/>
      </c>
      <c r="O28" s="20"/>
      <c r="P28" s="20"/>
      <c r="Q28" s="20"/>
      <c r="R28" s="20"/>
      <c r="S28" s="20"/>
      <c r="T28" s="21"/>
      <c r="U28" s="21"/>
      <c r="V28" s="21"/>
      <c r="W28" s="7" t="str">
        <f t="shared" si="1"/>
        <v/>
      </c>
      <c r="X28" s="506" t="str">
        <f t="shared" si="2"/>
        <v/>
      </c>
    </row>
    <row r="29" spans="1:24" x14ac:dyDescent="0.25">
      <c r="A29" s="66" t="str">
        <f t="shared" si="4"/>
        <v/>
      </c>
      <c r="B29" s="23" t="str">
        <f t="shared" si="0"/>
        <v/>
      </c>
      <c r="C29" s="15"/>
      <c r="D29" s="16"/>
      <c r="E29" s="17"/>
      <c r="F29" s="18"/>
      <c r="G29" s="18"/>
      <c r="H29" s="19"/>
      <c r="I29" s="15"/>
      <c r="J29" s="20"/>
      <c r="K29" s="15"/>
      <c r="L29" s="15"/>
      <c r="M29" s="531" t="str">
        <f>CONCATENATE(IF(OR(L29=phu!$I$1,L29=phu!$I$2,L29=phu!$I$3),"Cam Thành Nam",""),IF(OR(L29=phu!$I$4,L29=phu!$I$5,L29=phu!$I$6,L29=phu!$I$7,L29=phu!$I$8,L29=phu!$I$9,L29=phu!$I$10,L29=phu!$I$11,L29=phu!$I$12,L29=phu!$I$13,L29=phu!$I$14),"Cam Nghĩa",""),IF(OR(L29=phu!$I$15,L29=phu!$I$16,L29=phu!$I$17,L29=phu!$I$18,L29=phu!$I$19,L29=phu!$I$20,L29=phu!$I$21),"Cam Phúc Bắc",""),IF(OR(L29=phu!$I$22,L29=phu!$I$23,L29=phu!$I$24,L29=phu!$I$25),"Cam Phúc Nam",""),IF(OR(L29=phu!$I$26,L29=phu!$I$27,L29=phu!$I$28,L29=phu!$I$29,L29=phu!$I$30,L29=phu!$I$31),"Cam Phú",""),IF(OR(L29=phu!$I$32,L29=phu!$I$33,L29=phu!$I$34,L29=phu!$I$35,L29=phu!$I$36,L29=phu!$I$37),"Cam Lộc",""),IF(OR(L29=phu!$I$38,L29=phu!$I$39,L29=phu!$I$40,L29=phu!$I$41,L29=phu!$I$42,L29=phu!$I$43,L29=phu!$I$44),"Cam Thuận",""),IF(OR(L29=phu!$I$45,L29=phu!$I$46,L29=phu!$I$47,L29=phu!$I$48,L29=phu!$I$49,L29=phu!$I$50,L29=phu!$I$51,L29=phu!$I$52,L29=phu!$I$53),"Cam Linh",""),IF(OR(L29=phu!$I$54,L29=phu!$I$55,L29=phu!$I$56,L29=phu!$I$57,L29=phu!$I$58,L29=phu!$I$59,L29=phu!$I$60,L29=phu!$I$61,L29=phu!$I$62),"Cam Lợi",""),IF(OR(L29=phu!$I$63,L29=phu!$I$64,L29=phu!$I$65,L29=phu!$I$66,L29=phu!$I$67,L29=phu!$I$68,L29=phu!$I$69,L29=phu!$I$70,L29=phu!$I$71),"Ba Ngòi",""),IF(OR(L29=phu!$I$72,L29=phu!$I$73,L29=phu!$I$74,L29=phu!$I$75,L29=phu!$I$76,L29=phu!$I$77,L29=phu!$I$78),"Cam Phước Đông",""),IF(OR(L29=phu!$I$79,L29=phu!$I$80,L29=phu!$I$81,L29=phu!$I$82,L29=phu!$I$83,L29=phu!$I$84),"Cam Thịnh Đông",""),IF(OR(L29=phu!$I$85,L29=phu!$I$86,L29=phu!$I$87,L29=phu!$I$88),"Cam Thịnh Tây",""),IF(OR(L29=phu!$I$89,L29=phu!$I$90),"Cam Lập",""),IF(OR(L29=phu!$I$91,L29=phu!$I$92,L29=phu!$I$93),"Cam Bình",""),IF(OR(L29=phu!$I$94,L29=phu!$I$95,L29=phu!$I$96,L29=phu!$I$97,L29=phu!$I$98,L29=phu!$I$99,L29=phu!$I$100),"Huyện khác",""),IF(OR(L29=phu!$I$101,L29=phu!$I$102),"Tỉnh khác",""))</f>
        <v/>
      </c>
      <c r="N29" s="835" t="str">
        <f t="shared" si="3"/>
        <v/>
      </c>
      <c r="O29" s="20"/>
      <c r="P29" s="20"/>
      <c r="Q29" s="20"/>
      <c r="R29" s="20"/>
      <c r="S29" s="20"/>
      <c r="T29" s="21"/>
      <c r="U29" s="21"/>
      <c r="V29" s="21"/>
      <c r="W29" s="7" t="str">
        <f t="shared" si="1"/>
        <v/>
      </c>
      <c r="X29" s="506" t="str">
        <f t="shared" si="2"/>
        <v/>
      </c>
    </row>
    <row r="30" spans="1:24" x14ac:dyDescent="0.25">
      <c r="A30" s="66" t="str">
        <f t="shared" si="4"/>
        <v/>
      </c>
      <c r="B30" s="23" t="str">
        <f t="shared" si="0"/>
        <v/>
      </c>
      <c r="C30" s="15"/>
      <c r="D30" s="16"/>
      <c r="E30" s="17"/>
      <c r="F30" s="18"/>
      <c r="G30" s="18"/>
      <c r="H30" s="19"/>
      <c r="I30" s="15"/>
      <c r="J30" s="20"/>
      <c r="K30" s="15"/>
      <c r="L30" s="15"/>
      <c r="M30" s="531" t="str">
        <f>CONCATENATE(IF(OR(L30=phu!$I$1,L30=phu!$I$2,L30=phu!$I$3),"Cam Thành Nam",""),IF(OR(L30=phu!$I$4,L30=phu!$I$5,L30=phu!$I$6,L30=phu!$I$7,L30=phu!$I$8,L30=phu!$I$9,L30=phu!$I$10,L30=phu!$I$11,L30=phu!$I$12,L30=phu!$I$13,L30=phu!$I$14),"Cam Nghĩa",""),IF(OR(L30=phu!$I$15,L30=phu!$I$16,L30=phu!$I$17,L30=phu!$I$18,L30=phu!$I$19,L30=phu!$I$20,L30=phu!$I$21),"Cam Phúc Bắc",""),IF(OR(L30=phu!$I$22,L30=phu!$I$23,L30=phu!$I$24,L30=phu!$I$25),"Cam Phúc Nam",""),IF(OR(L30=phu!$I$26,L30=phu!$I$27,L30=phu!$I$28,L30=phu!$I$29,L30=phu!$I$30,L30=phu!$I$31),"Cam Phú",""),IF(OR(L30=phu!$I$32,L30=phu!$I$33,L30=phu!$I$34,L30=phu!$I$35,L30=phu!$I$36,L30=phu!$I$37),"Cam Lộc",""),IF(OR(L30=phu!$I$38,L30=phu!$I$39,L30=phu!$I$40,L30=phu!$I$41,L30=phu!$I$42,L30=phu!$I$43,L30=phu!$I$44),"Cam Thuận",""),IF(OR(L30=phu!$I$45,L30=phu!$I$46,L30=phu!$I$47,L30=phu!$I$48,L30=phu!$I$49,L30=phu!$I$50,L30=phu!$I$51,L30=phu!$I$52,L30=phu!$I$53),"Cam Linh",""),IF(OR(L30=phu!$I$54,L30=phu!$I$55,L30=phu!$I$56,L30=phu!$I$57,L30=phu!$I$58,L30=phu!$I$59,L30=phu!$I$60,L30=phu!$I$61,L30=phu!$I$62),"Cam Lợi",""),IF(OR(L30=phu!$I$63,L30=phu!$I$64,L30=phu!$I$65,L30=phu!$I$66,L30=phu!$I$67,L30=phu!$I$68,L30=phu!$I$69,L30=phu!$I$70,L30=phu!$I$71),"Ba Ngòi",""),IF(OR(L30=phu!$I$72,L30=phu!$I$73,L30=phu!$I$74,L30=phu!$I$75,L30=phu!$I$76,L30=phu!$I$77,L30=phu!$I$78),"Cam Phước Đông",""),IF(OR(L30=phu!$I$79,L30=phu!$I$80,L30=phu!$I$81,L30=phu!$I$82,L30=phu!$I$83,L30=phu!$I$84),"Cam Thịnh Đông",""),IF(OR(L30=phu!$I$85,L30=phu!$I$86,L30=phu!$I$87,L30=phu!$I$88),"Cam Thịnh Tây",""),IF(OR(L30=phu!$I$89,L30=phu!$I$90),"Cam Lập",""),IF(OR(L30=phu!$I$91,L30=phu!$I$92,L30=phu!$I$93),"Cam Bình",""),IF(OR(L30=phu!$I$94,L30=phu!$I$95,L30=phu!$I$96,L30=phu!$I$97,L30=phu!$I$98,L30=phu!$I$99,L30=phu!$I$100),"Huyện khác",""),IF(OR(L30=phu!$I$101,L30=phu!$I$102),"Tỉnh khác",""))</f>
        <v/>
      </c>
      <c r="N30" s="835" t="str">
        <f t="shared" si="3"/>
        <v/>
      </c>
      <c r="O30" s="20"/>
      <c r="P30" s="20"/>
      <c r="Q30" s="20"/>
      <c r="R30" s="20"/>
      <c r="S30" s="20"/>
      <c r="T30" s="21"/>
      <c r="U30" s="21"/>
      <c r="V30" s="21"/>
      <c r="W30" s="7" t="str">
        <f t="shared" si="1"/>
        <v/>
      </c>
      <c r="X30" s="506" t="str">
        <f t="shared" si="2"/>
        <v/>
      </c>
    </row>
    <row r="31" spans="1:24" x14ac:dyDescent="0.25">
      <c r="A31" s="66" t="str">
        <f t="shared" si="4"/>
        <v/>
      </c>
      <c r="B31" s="23" t="str">
        <f t="shared" si="0"/>
        <v/>
      </c>
      <c r="C31" s="15"/>
      <c r="D31" s="16"/>
      <c r="E31" s="17"/>
      <c r="F31" s="18"/>
      <c r="G31" s="18"/>
      <c r="H31" s="19"/>
      <c r="I31" s="15"/>
      <c r="J31" s="20"/>
      <c r="K31" s="15"/>
      <c r="L31" s="15"/>
      <c r="M31" s="531" t="str">
        <f>CONCATENATE(IF(OR(L31=phu!$I$1,L31=phu!$I$2,L31=phu!$I$3),"Cam Thành Nam",""),IF(OR(L31=phu!$I$4,L31=phu!$I$5,L31=phu!$I$6,L31=phu!$I$7,L31=phu!$I$8,L31=phu!$I$9,L31=phu!$I$10,L31=phu!$I$11,L31=phu!$I$12,L31=phu!$I$13,L31=phu!$I$14),"Cam Nghĩa",""),IF(OR(L31=phu!$I$15,L31=phu!$I$16,L31=phu!$I$17,L31=phu!$I$18,L31=phu!$I$19,L31=phu!$I$20,L31=phu!$I$21),"Cam Phúc Bắc",""),IF(OR(L31=phu!$I$22,L31=phu!$I$23,L31=phu!$I$24,L31=phu!$I$25),"Cam Phúc Nam",""),IF(OR(L31=phu!$I$26,L31=phu!$I$27,L31=phu!$I$28,L31=phu!$I$29,L31=phu!$I$30,L31=phu!$I$31),"Cam Phú",""),IF(OR(L31=phu!$I$32,L31=phu!$I$33,L31=phu!$I$34,L31=phu!$I$35,L31=phu!$I$36,L31=phu!$I$37),"Cam Lộc",""),IF(OR(L31=phu!$I$38,L31=phu!$I$39,L31=phu!$I$40,L31=phu!$I$41,L31=phu!$I$42,L31=phu!$I$43,L31=phu!$I$44),"Cam Thuận",""),IF(OR(L31=phu!$I$45,L31=phu!$I$46,L31=phu!$I$47,L31=phu!$I$48,L31=phu!$I$49,L31=phu!$I$50,L31=phu!$I$51,L31=phu!$I$52,L31=phu!$I$53),"Cam Linh",""),IF(OR(L31=phu!$I$54,L31=phu!$I$55,L31=phu!$I$56,L31=phu!$I$57,L31=phu!$I$58,L31=phu!$I$59,L31=phu!$I$60,L31=phu!$I$61,L31=phu!$I$62),"Cam Lợi",""),IF(OR(L31=phu!$I$63,L31=phu!$I$64,L31=phu!$I$65,L31=phu!$I$66,L31=phu!$I$67,L31=phu!$I$68,L31=phu!$I$69,L31=phu!$I$70,L31=phu!$I$71),"Ba Ngòi",""),IF(OR(L31=phu!$I$72,L31=phu!$I$73,L31=phu!$I$74,L31=phu!$I$75,L31=phu!$I$76,L31=phu!$I$77,L31=phu!$I$78),"Cam Phước Đông",""),IF(OR(L31=phu!$I$79,L31=phu!$I$80,L31=phu!$I$81,L31=phu!$I$82,L31=phu!$I$83,L31=phu!$I$84),"Cam Thịnh Đông",""),IF(OR(L31=phu!$I$85,L31=phu!$I$86,L31=phu!$I$87,L31=phu!$I$88),"Cam Thịnh Tây",""),IF(OR(L31=phu!$I$89,L31=phu!$I$90),"Cam Lập",""),IF(OR(L31=phu!$I$91,L31=phu!$I$92,L31=phu!$I$93),"Cam Bình",""),IF(OR(L31=phu!$I$94,L31=phu!$I$95,L31=phu!$I$96,L31=phu!$I$97,L31=phu!$I$98,L31=phu!$I$99,L31=phu!$I$100),"Huyện khác",""),IF(OR(L31=phu!$I$101,L31=phu!$I$102),"Tỉnh khác",""))</f>
        <v/>
      </c>
      <c r="N31" s="835" t="str">
        <f t="shared" si="3"/>
        <v/>
      </c>
      <c r="O31" s="20"/>
      <c r="P31" s="20"/>
      <c r="Q31" s="20"/>
      <c r="R31" s="20"/>
      <c r="S31" s="20"/>
      <c r="T31" s="21"/>
      <c r="U31" s="21"/>
      <c r="V31" s="21"/>
      <c r="W31" s="7" t="str">
        <f t="shared" si="1"/>
        <v/>
      </c>
      <c r="X31" s="506" t="str">
        <f t="shared" si="2"/>
        <v/>
      </c>
    </row>
    <row r="32" spans="1:24" x14ac:dyDescent="0.25">
      <c r="A32" s="66" t="str">
        <f t="shared" si="4"/>
        <v/>
      </c>
      <c r="B32" s="23" t="str">
        <f t="shared" si="0"/>
        <v/>
      </c>
      <c r="C32" s="15"/>
      <c r="D32" s="16"/>
      <c r="E32" s="17"/>
      <c r="F32" s="18"/>
      <c r="G32" s="18"/>
      <c r="H32" s="19"/>
      <c r="I32" s="15"/>
      <c r="J32" s="20"/>
      <c r="K32" s="15"/>
      <c r="L32" s="15"/>
      <c r="M32" s="531" t="str">
        <f>CONCATENATE(IF(OR(L32=phu!$I$1,L32=phu!$I$2,L32=phu!$I$3),"Cam Thành Nam",""),IF(OR(L32=phu!$I$4,L32=phu!$I$5,L32=phu!$I$6,L32=phu!$I$7,L32=phu!$I$8,L32=phu!$I$9,L32=phu!$I$10,L32=phu!$I$11,L32=phu!$I$12,L32=phu!$I$13,L32=phu!$I$14),"Cam Nghĩa",""),IF(OR(L32=phu!$I$15,L32=phu!$I$16,L32=phu!$I$17,L32=phu!$I$18,L32=phu!$I$19,L32=phu!$I$20,L32=phu!$I$21),"Cam Phúc Bắc",""),IF(OR(L32=phu!$I$22,L32=phu!$I$23,L32=phu!$I$24,L32=phu!$I$25),"Cam Phúc Nam",""),IF(OR(L32=phu!$I$26,L32=phu!$I$27,L32=phu!$I$28,L32=phu!$I$29,L32=phu!$I$30,L32=phu!$I$31),"Cam Phú",""),IF(OR(L32=phu!$I$32,L32=phu!$I$33,L32=phu!$I$34,L32=phu!$I$35,L32=phu!$I$36,L32=phu!$I$37),"Cam Lộc",""),IF(OR(L32=phu!$I$38,L32=phu!$I$39,L32=phu!$I$40,L32=phu!$I$41,L32=phu!$I$42,L32=phu!$I$43,L32=phu!$I$44),"Cam Thuận",""),IF(OR(L32=phu!$I$45,L32=phu!$I$46,L32=phu!$I$47,L32=phu!$I$48,L32=phu!$I$49,L32=phu!$I$50,L32=phu!$I$51,L32=phu!$I$52,L32=phu!$I$53),"Cam Linh",""),IF(OR(L32=phu!$I$54,L32=phu!$I$55,L32=phu!$I$56,L32=phu!$I$57,L32=phu!$I$58,L32=phu!$I$59,L32=phu!$I$60,L32=phu!$I$61,L32=phu!$I$62),"Cam Lợi",""),IF(OR(L32=phu!$I$63,L32=phu!$I$64,L32=phu!$I$65,L32=phu!$I$66,L32=phu!$I$67,L32=phu!$I$68,L32=phu!$I$69,L32=phu!$I$70,L32=phu!$I$71),"Ba Ngòi",""),IF(OR(L32=phu!$I$72,L32=phu!$I$73,L32=phu!$I$74,L32=phu!$I$75,L32=phu!$I$76,L32=phu!$I$77,L32=phu!$I$78),"Cam Phước Đông",""),IF(OR(L32=phu!$I$79,L32=phu!$I$80,L32=phu!$I$81,L32=phu!$I$82,L32=phu!$I$83,L32=phu!$I$84),"Cam Thịnh Đông",""),IF(OR(L32=phu!$I$85,L32=phu!$I$86,L32=phu!$I$87,L32=phu!$I$88),"Cam Thịnh Tây",""),IF(OR(L32=phu!$I$89,L32=phu!$I$90),"Cam Lập",""),IF(OR(L32=phu!$I$91,L32=phu!$I$92,L32=phu!$I$93),"Cam Bình",""),IF(OR(L32=phu!$I$94,L32=phu!$I$95,L32=phu!$I$96,L32=phu!$I$97,L32=phu!$I$98,L32=phu!$I$99,L32=phu!$I$100),"Huyện khác",""),IF(OR(L32=phu!$I$101,L32=phu!$I$102),"Tỉnh khác",""))</f>
        <v/>
      </c>
      <c r="N32" s="835" t="str">
        <f t="shared" si="3"/>
        <v/>
      </c>
      <c r="O32" s="20"/>
      <c r="P32" s="20"/>
      <c r="Q32" s="20"/>
      <c r="R32" s="20"/>
      <c r="S32" s="20"/>
      <c r="T32" s="21"/>
      <c r="U32" s="21"/>
      <c r="V32" s="21"/>
      <c r="W32" s="7" t="str">
        <f t="shared" si="1"/>
        <v/>
      </c>
      <c r="X32" s="506" t="str">
        <f t="shared" si="2"/>
        <v/>
      </c>
    </row>
    <row r="33" spans="1:24" x14ac:dyDescent="0.25">
      <c r="A33" s="66" t="str">
        <f t="shared" si="4"/>
        <v/>
      </c>
      <c r="B33" s="23" t="str">
        <f t="shared" si="0"/>
        <v/>
      </c>
      <c r="C33" s="15"/>
      <c r="D33" s="16"/>
      <c r="E33" s="17"/>
      <c r="F33" s="18"/>
      <c r="G33" s="18"/>
      <c r="H33" s="19"/>
      <c r="I33" s="15"/>
      <c r="J33" s="20"/>
      <c r="K33" s="15"/>
      <c r="L33" s="15"/>
      <c r="M33" s="531" t="str">
        <f>CONCATENATE(IF(OR(L33=phu!$I$1,L33=phu!$I$2,L33=phu!$I$3),"Cam Thành Nam",""),IF(OR(L33=phu!$I$4,L33=phu!$I$5,L33=phu!$I$6,L33=phu!$I$7,L33=phu!$I$8,L33=phu!$I$9,L33=phu!$I$10,L33=phu!$I$11,L33=phu!$I$12,L33=phu!$I$13,L33=phu!$I$14),"Cam Nghĩa",""),IF(OR(L33=phu!$I$15,L33=phu!$I$16,L33=phu!$I$17,L33=phu!$I$18,L33=phu!$I$19,L33=phu!$I$20,L33=phu!$I$21),"Cam Phúc Bắc",""),IF(OR(L33=phu!$I$22,L33=phu!$I$23,L33=phu!$I$24,L33=phu!$I$25),"Cam Phúc Nam",""),IF(OR(L33=phu!$I$26,L33=phu!$I$27,L33=phu!$I$28,L33=phu!$I$29,L33=phu!$I$30,L33=phu!$I$31),"Cam Phú",""),IF(OR(L33=phu!$I$32,L33=phu!$I$33,L33=phu!$I$34,L33=phu!$I$35,L33=phu!$I$36,L33=phu!$I$37),"Cam Lộc",""),IF(OR(L33=phu!$I$38,L33=phu!$I$39,L33=phu!$I$40,L33=phu!$I$41,L33=phu!$I$42,L33=phu!$I$43,L33=phu!$I$44),"Cam Thuận",""),IF(OR(L33=phu!$I$45,L33=phu!$I$46,L33=phu!$I$47,L33=phu!$I$48,L33=phu!$I$49,L33=phu!$I$50,L33=phu!$I$51,L33=phu!$I$52,L33=phu!$I$53),"Cam Linh",""),IF(OR(L33=phu!$I$54,L33=phu!$I$55,L33=phu!$I$56,L33=phu!$I$57,L33=phu!$I$58,L33=phu!$I$59,L33=phu!$I$60,L33=phu!$I$61,L33=phu!$I$62),"Cam Lợi",""),IF(OR(L33=phu!$I$63,L33=phu!$I$64,L33=phu!$I$65,L33=phu!$I$66,L33=phu!$I$67,L33=phu!$I$68,L33=phu!$I$69,L33=phu!$I$70,L33=phu!$I$71),"Ba Ngòi",""),IF(OR(L33=phu!$I$72,L33=phu!$I$73,L33=phu!$I$74,L33=phu!$I$75,L33=phu!$I$76,L33=phu!$I$77,L33=phu!$I$78),"Cam Phước Đông",""),IF(OR(L33=phu!$I$79,L33=phu!$I$80,L33=phu!$I$81,L33=phu!$I$82,L33=phu!$I$83,L33=phu!$I$84),"Cam Thịnh Đông",""),IF(OR(L33=phu!$I$85,L33=phu!$I$86,L33=phu!$I$87,L33=phu!$I$88),"Cam Thịnh Tây",""),IF(OR(L33=phu!$I$89,L33=phu!$I$90),"Cam Lập",""),IF(OR(L33=phu!$I$91,L33=phu!$I$92,L33=phu!$I$93),"Cam Bình",""),IF(OR(L33=phu!$I$94,L33=phu!$I$95,L33=phu!$I$96,L33=phu!$I$97,L33=phu!$I$98,L33=phu!$I$99,L33=phu!$I$100),"Huyện khác",""),IF(OR(L33=phu!$I$101,L33=phu!$I$102),"Tỉnh khác",""))</f>
        <v/>
      </c>
      <c r="N33" s="835" t="str">
        <f t="shared" si="3"/>
        <v/>
      </c>
      <c r="O33" s="20"/>
      <c r="P33" s="20"/>
      <c r="Q33" s="20"/>
      <c r="R33" s="20"/>
      <c r="S33" s="20"/>
      <c r="T33" s="21"/>
      <c r="U33" s="21"/>
      <c r="V33" s="21"/>
      <c r="W33" s="7" t="str">
        <f t="shared" si="1"/>
        <v/>
      </c>
      <c r="X33" s="506" t="str">
        <f t="shared" si="2"/>
        <v/>
      </c>
    </row>
    <row r="34" spans="1:24" x14ac:dyDescent="0.25">
      <c r="A34" s="66" t="str">
        <f t="shared" si="4"/>
        <v/>
      </c>
      <c r="B34" s="23" t="str">
        <f t="shared" si="0"/>
        <v/>
      </c>
      <c r="C34" s="15"/>
      <c r="D34" s="16"/>
      <c r="E34" s="17"/>
      <c r="F34" s="18"/>
      <c r="G34" s="18"/>
      <c r="H34" s="19"/>
      <c r="I34" s="15"/>
      <c r="J34" s="20"/>
      <c r="K34" s="15"/>
      <c r="L34" s="15"/>
      <c r="M34" s="531" t="str">
        <f>CONCATENATE(IF(OR(L34=phu!$I$1,L34=phu!$I$2,L34=phu!$I$3),"Cam Thành Nam",""),IF(OR(L34=phu!$I$4,L34=phu!$I$5,L34=phu!$I$6,L34=phu!$I$7,L34=phu!$I$8,L34=phu!$I$9,L34=phu!$I$10,L34=phu!$I$11,L34=phu!$I$12,L34=phu!$I$13,L34=phu!$I$14),"Cam Nghĩa",""),IF(OR(L34=phu!$I$15,L34=phu!$I$16,L34=phu!$I$17,L34=phu!$I$18,L34=phu!$I$19,L34=phu!$I$20,L34=phu!$I$21),"Cam Phúc Bắc",""),IF(OR(L34=phu!$I$22,L34=phu!$I$23,L34=phu!$I$24,L34=phu!$I$25),"Cam Phúc Nam",""),IF(OR(L34=phu!$I$26,L34=phu!$I$27,L34=phu!$I$28,L34=phu!$I$29,L34=phu!$I$30,L34=phu!$I$31),"Cam Phú",""),IF(OR(L34=phu!$I$32,L34=phu!$I$33,L34=phu!$I$34,L34=phu!$I$35,L34=phu!$I$36,L34=phu!$I$37),"Cam Lộc",""),IF(OR(L34=phu!$I$38,L34=phu!$I$39,L34=phu!$I$40,L34=phu!$I$41,L34=phu!$I$42,L34=phu!$I$43,L34=phu!$I$44),"Cam Thuận",""),IF(OR(L34=phu!$I$45,L34=phu!$I$46,L34=phu!$I$47,L34=phu!$I$48,L34=phu!$I$49,L34=phu!$I$50,L34=phu!$I$51,L34=phu!$I$52,L34=phu!$I$53),"Cam Linh",""),IF(OR(L34=phu!$I$54,L34=phu!$I$55,L34=phu!$I$56,L34=phu!$I$57,L34=phu!$I$58,L34=phu!$I$59,L34=phu!$I$60,L34=phu!$I$61,L34=phu!$I$62),"Cam Lợi",""),IF(OR(L34=phu!$I$63,L34=phu!$I$64,L34=phu!$I$65,L34=phu!$I$66,L34=phu!$I$67,L34=phu!$I$68,L34=phu!$I$69,L34=phu!$I$70,L34=phu!$I$71),"Ba Ngòi",""),IF(OR(L34=phu!$I$72,L34=phu!$I$73,L34=phu!$I$74,L34=phu!$I$75,L34=phu!$I$76,L34=phu!$I$77,L34=phu!$I$78),"Cam Phước Đông",""),IF(OR(L34=phu!$I$79,L34=phu!$I$80,L34=phu!$I$81,L34=phu!$I$82,L34=phu!$I$83,L34=phu!$I$84),"Cam Thịnh Đông",""),IF(OR(L34=phu!$I$85,L34=phu!$I$86,L34=phu!$I$87,L34=phu!$I$88),"Cam Thịnh Tây",""),IF(OR(L34=phu!$I$89,L34=phu!$I$90),"Cam Lập",""),IF(OR(L34=phu!$I$91,L34=phu!$I$92,L34=phu!$I$93),"Cam Bình",""),IF(OR(L34=phu!$I$94,L34=phu!$I$95,L34=phu!$I$96,L34=phu!$I$97,L34=phu!$I$98,L34=phu!$I$99,L34=phu!$I$100),"Huyện khác",""),IF(OR(L34=phu!$I$101,L34=phu!$I$102),"Tỉnh khác",""))</f>
        <v/>
      </c>
      <c r="N34" s="835" t="str">
        <f t="shared" si="3"/>
        <v/>
      </c>
      <c r="O34" s="20"/>
      <c r="P34" s="20"/>
      <c r="Q34" s="20"/>
      <c r="R34" s="20"/>
      <c r="S34" s="20"/>
      <c r="T34" s="21"/>
      <c r="U34" s="21"/>
      <c r="V34" s="21"/>
      <c r="W34" s="7" t="str">
        <f t="shared" si="1"/>
        <v/>
      </c>
      <c r="X34" s="506" t="str">
        <f t="shared" si="2"/>
        <v/>
      </c>
    </row>
    <row r="35" spans="1:24" x14ac:dyDescent="0.25">
      <c r="A35" s="66" t="str">
        <f t="shared" si="4"/>
        <v/>
      </c>
      <c r="B35" s="23" t="str">
        <f t="shared" si="0"/>
        <v/>
      </c>
      <c r="C35" s="15"/>
      <c r="D35" s="16"/>
      <c r="E35" s="17"/>
      <c r="F35" s="18"/>
      <c r="G35" s="18"/>
      <c r="H35" s="19"/>
      <c r="I35" s="15"/>
      <c r="J35" s="20"/>
      <c r="K35" s="15"/>
      <c r="L35" s="15"/>
      <c r="M35" s="531" t="str">
        <f>CONCATENATE(IF(OR(L35=phu!$I$1,L35=phu!$I$2,L35=phu!$I$3),"Cam Thành Nam",""),IF(OR(L35=phu!$I$4,L35=phu!$I$5,L35=phu!$I$6,L35=phu!$I$7,L35=phu!$I$8,L35=phu!$I$9,L35=phu!$I$10,L35=phu!$I$11,L35=phu!$I$12,L35=phu!$I$13,L35=phu!$I$14),"Cam Nghĩa",""),IF(OR(L35=phu!$I$15,L35=phu!$I$16,L35=phu!$I$17,L35=phu!$I$18,L35=phu!$I$19,L35=phu!$I$20,L35=phu!$I$21),"Cam Phúc Bắc",""),IF(OR(L35=phu!$I$22,L35=phu!$I$23,L35=phu!$I$24,L35=phu!$I$25),"Cam Phúc Nam",""),IF(OR(L35=phu!$I$26,L35=phu!$I$27,L35=phu!$I$28,L35=phu!$I$29,L35=phu!$I$30,L35=phu!$I$31),"Cam Phú",""),IF(OR(L35=phu!$I$32,L35=phu!$I$33,L35=phu!$I$34,L35=phu!$I$35,L35=phu!$I$36,L35=phu!$I$37),"Cam Lộc",""),IF(OR(L35=phu!$I$38,L35=phu!$I$39,L35=phu!$I$40,L35=phu!$I$41,L35=phu!$I$42,L35=phu!$I$43,L35=phu!$I$44),"Cam Thuận",""),IF(OR(L35=phu!$I$45,L35=phu!$I$46,L35=phu!$I$47,L35=phu!$I$48,L35=phu!$I$49,L35=phu!$I$50,L35=phu!$I$51,L35=phu!$I$52,L35=phu!$I$53),"Cam Linh",""),IF(OR(L35=phu!$I$54,L35=phu!$I$55,L35=phu!$I$56,L35=phu!$I$57,L35=phu!$I$58,L35=phu!$I$59,L35=phu!$I$60,L35=phu!$I$61,L35=phu!$I$62),"Cam Lợi",""),IF(OR(L35=phu!$I$63,L35=phu!$I$64,L35=phu!$I$65,L35=phu!$I$66,L35=phu!$I$67,L35=phu!$I$68,L35=phu!$I$69,L35=phu!$I$70,L35=phu!$I$71),"Ba Ngòi",""),IF(OR(L35=phu!$I$72,L35=phu!$I$73,L35=phu!$I$74,L35=phu!$I$75,L35=phu!$I$76,L35=phu!$I$77,L35=phu!$I$78),"Cam Phước Đông",""),IF(OR(L35=phu!$I$79,L35=phu!$I$80,L35=phu!$I$81,L35=phu!$I$82,L35=phu!$I$83,L35=phu!$I$84),"Cam Thịnh Đông",""),IF(OR(L35=phu!$I$85,L35=phu!$I$86,L35=phu!$I$87,L35=phu!$I$88),"Cam Thịnh Tây",""),IF(OR(L35=phu!$I$89,L35=phu!$I$90),"Cam Lập",""),IF(OR(L35=phu!$I$91,L35=phu!$I$92,L35=phu!$I$93),"Cam Bình",""),IF(OR(L35=phu!$I$94,L35=phu!$I$95,L35=phu!$I$96,L35=phu!$I$97,L35=phu!$I$98,L35=phu!$I$99,L35=phu!$I$100),"Huyện khác",""),IF(OR(L35=phu!$I$101,L35=phu!$I$102),"Tỉnh khác",""))</f>
        <v/>
      </c>
      <c r="N35" s="835" t="str">
        <f t="shared" si="3"/>
        <v/>
      </c>
      <c r="O35" s="20"/>
      <c r="P35" s="20"/>
      <c r="Q35" s="20"/>
      <c r="R35" s="20"/>
      <c r="S35" s="20"/>
      <c r="T35" s="21"/>
      <c r="U35" s="21"/>
      <c r="V35" s="21"/>
      <c r="W35" s="7" t="str">
        <f t="shared" si="1"/>
        <v/>
      </c>
      <c r="X35" s="506" t="str">
        <f t="shared" si="2"/>
        <v/>
      </c>
    </row>
    <row r="36" spans="1:24" x14ac:dyDescent="0.25">
      <c r="A36" s="66" t="str">
        <f t="shared" si="4"/>
        <v/>
      </c>
      <c r="B36" s="23" t="str">
        <f t="shared" si="0"/>
        <v/>
      </c>
      <c r="C36" s="15"/>
      <c r="D36" s="16"/>
      <c r="E36" s="17"/>
      <c r="F36" s="18"/>
      <c r="G36" s="18"/>
      <c r="H36" s="19"/>
      <c r="I36" s="15"/>
      <c r="J36" s="20"/>
      <c r="K36" s="15"/>
      <c r="L36" s="15"/>
      <c r="M36" s="531" t="str">
        <f>CONCATENATE(IF(OR(L36=phu!$I$1,L36=phu!$I$2,L36=phu!$I$3),"Cam Thành Nam",""),IF(OR(L36=phu!$I$4,L36=phu!$I$5,L36=phu!$I$6,L36=phu!$I$7,L36=phu!$I$8,L36=phu!$I$9,L36=phu!$I$10,L36=phu!$I$11,L36=phu!$I$12,L36=phu!$I$13,L36=phu!$I$14),"Cam Nghĩa",""),IF(OR(L36=phu!$I$15,L36=phu!$I$16,L36=phu!$I$17,L36=phu!$I$18,L36=phu!$I$19,L36=phu!$I$20,L36=phu!$I$21),"Cam Phúc Bắc",""),IF(OR(L36=phu!$I$22,L36=phu!$I$23,L36=phu!$I$24,L36=phu!$I$25),"Cam Phúc Nam",""),IF(OR(L36=phu!$I$26,L36=phu!$I$27,L36=phu!$I$28,L36=phu!$I$29,L36=phu!$I$30,L36=phu!$I$31),"Cam Phú",""),IF(OR(L36=phu!$I$32,L36=phu!$I$33,L36=phu!$I$34,L36=phu!$I$35,L36=phu!$I$36,L36=phu!$I$37),"Cam Lộc",""),IF(OR(L36=phu!$I$38,L36=phu!$I$39,L36=phu!$I$40,L36=phu!$I$41,L36=phu!$I$42,L36=phu!$I$43,L36=phu!$I$44),"Cam Thuận",""),IF(OR(L36=phu!$I$45,L36=phu!$I$46,L36=phu!$I$47,L36=phu!$I$48,L36=phu!$I$49,L36=phu!$I$50,L36=phu!$I$51,L36=phu!$I$52,L36=phu!$I$53),"Cam Linh",""),IF(OR(L36=phu!$I$54,L36=phu!$I$55,L36=phu!$I$56,L36=phu!$I$57,L36=phu!$I$58,L36=phu!$I$59,L36=phu!$I$60,L36=phu!$I$61,L36=phu!$I$62),"Cam Lợi",""),IF(OR(L36=phu!$I$63,L36=phu!$I$64,L36=phu!$I$65,L36=phu!$I$66,L36=phu!$I$67,L36=phu!$I$68,L36=phu!$I$69,L36=phu!$I$70,L36=phu!$I$71),"Ba Ngòi",""),IF(OR(L36=phu!$I$72,L36=phu!$I$73,L36=phu!$I$74,L36=phu!$I$75,L36=phu!$I$76,L36=phu!$I$77,L36=phu!$I$78),"Cam Phước Đông",""),IF(OR(L36=phu!$I$79,L36=phu!$I$80,L36=phu!$I$81,L36=phu!$I$82,L36=phu!$I$83,L36=phu!$I$84),"Cam Thịnh Đông",""),IF(OR(L36=phu!$I$85,L36=phu!$I$86,L36=phu!$I$87,L36=phu!$I$88),"Cam Thịnh Tây",""),IF(OR(L36=phu!$I$89,L36=phu!$I$90),"Cam Lập",""),IF(OR(L36=phu!$I$91,L36=phu!$I$92,L36=phu!$I$93),"Cam Bình",""),IF(OR(L36=phu!$I$94,L36=phu!$I$95,L36=phu!$I$96,L36=phu!$I$97,L36=phu!$I$98,L36=phu!$I$99,L36=phu!$I$100),"Huyện khác",""),IF(OR(L36=phu!$I$101,L36=phu!$I$102),"Tỉnh khác",""))</f>
        <v/>
      </c>
      <c r="N36" s="835" t="str">
        <f t="shared" si="3"/>
        <v/>
      </c>
      <c r="O36" s="20"/>
      <c r="P36" s="20"/>
      <c r="Q36" s="20"/>
      <c r="R36" s="20"/>
      <c r="S36" s="20"/>
      <c r="T36" s="21"/>
      <c r="U36" s="21"/>
      <c r="V36" s="21"/>
      <c r="W36" s="7" t="str">
        <f t="shared" si="1"/>
        <v/>
      </c>
      <c r="X36" s="506" t="str">
        <f t="shared" si="2"/>
        <v/>
      </c>
    </row>
    <row r="37" spans="1:24" x14ac:dyDescent="0.25">
      <c r="A37" s="66" t="str">
        <f t="shared" si="4"/>
        <v/>
      </c>
      <c r="B37" s="23" t="str">
        <f t="shared" si="0"/>
        <v/>
      </c>
      <c r="C37" s="15"/>
      <c r="D37" s="16"/>
      <c r="E37" s="17"/>
      <c r="F37" s="18"/>
      <c r="G37" s="18"/>
      <c r="H37" s="19"/>
      <c r="I37" s="15"/>
      <c r="J37" s="20"/>
      <c r="K37" s="15"/>
      <c r="L37" s="15"/>
      <c r="M37" s="531" t="str">
        <f>CONCATENATE(IF(OR(L37=phu!$I$1,L37=phu!$I$2,L37=phu!$I$3),"Cam Thành Nam",""),IF(OR(L37=phu!$I$4,L37=phu!$I$5,L37=phu!$I$6,L37=phu!$I$7,L37=phu!$I$8,L37=phu!$I$9,L37=phu!$I$10,L37=phu!$I$11,L37=phu!$I$12,L37=phu!$I$13,L37=phu!$I$14),"Cam Nghĩa",""),IF(OR(L37=phu!$I$15,L37=phu!$I$16,L37=phu!$I$17,L37=phu!$I$18,L37=phu!$I$19,L37=phu!$I$20,L37=phu!$I$21),"Cam Phúc Bắc",""),IF(OR(L37=phu!$I$22,L37=phu!$I$23,L37=phu!$I$24,L37=phu!$I$25),"Cam Phúc Nam",""),IF(OR(L37=phu!$I$26,L37=phu!$I$27,L37=phu!$I$28,L37=phu!$I$29,L37=phu!$I$30,L37=phu!$I$31),"Cam Phú",""),IF(OR(L37=phu!$I$32,L37=phu!$I$33,L37=phu!$I$34,L37=phu!$I$35,L37=phu!$I$36,L37=phu!$I$37),"Cam Lộc",""),IF(OR(L37=phu!$I$38,L37=phu!$I$39,L37=phu!$I$40,L37=phu!$I$41,L37=phu!$I$42,L37=phu!$I$43,L37=phu!$I$44),"Cam Thuận",""),IF(OR(L37=phu!$I$45,L37=phu!$I$46,L37=phu!$I$47,L37=phu!$I$48,L37=phu!$I$49,L37=phu!$I$50,L37=phu!$I$51,L37=phu!$I$52,L37=phu!$I$53),"Cam Linh",""),IF(OR(L37=phu!$I$54,L37=phu!$I$55,L37=phu!$I$56,L37=phu!$I$57,L37=phu!$I$58,L37=phu!$I$59,L37=phu!$I$60,L37=phu!$I$61,L37=phu!$I$62),"Cam Lợi",""),IF(OR(L37=phu!$I$63,L37=phu!$I$64,L37=phu!$I$65,L37=phu!$I$66,L37=phu!$I$67,L37=phu!$I$68,L37=phu!$I$69,L37=phu!$I$70,L37=phu!$I$71),"Ba Ngòi",""),IF(OR(L37=phu!$I$72,L37=phu!$I$73,L37=phu!$I$74,L37=phu!$I$75,L37=phu!$I$76,L37=phu!$I$77,L37=phu!$I$78),"Cam Phước Đông",""),IF(OR(L37=phu!$I$79,L37=phu!$I$80,L37=phu!$I$81,L37=phu!$I$82,L37=phu!$I$83,L37=phu!$I$84),"Cam Thịnh Đông",""),IF(OR(L37=phu!$I$85,L37=phu!$I$86,L37=phu!$I$87,L37=phu!$I$88),"Cam Thịnh Tây",""),IF(OR(L37=phu!$I$89,L37=phu!$I$90),"Cam Lập",""),IF(OR(L37=phu!$I$91,L37=phu!$I$92,L37=phu!$I$93),"Cam Bình",""),IF(OR(L37=phu!$I$94,L37=phu!$I$95,L37=phu!$I$96,L37=phu!$I$97,L37=phu!$I$98,L37=phu!$I$99,L37=phu!$I$100),"Huyện khác",""),IF(OR(L37=phu!$I$101,L37=phu!$I$102),"Tỉnh khác",""))</f>
        <v/>
      </c>
      <c r="N37" s="835" t="str">
        <f t="shared" si="3"/>
        <v/>
      </c>
      <c r="O37" s="20"/>
      <c r="P37" s="20"/>
      <c r="Q37" s="20"/>
      <c r="R37" s="20"/>
      <c r="S37" s="20"/>
      <c r="T37" s="21"/>
      <c r="U37" s="21"/>
      <c r="V37" s="21"/>
      <c r="W37" s="7" t="str">
        <f t="shared" si="1"/>
        <v/>
      </c>
      <c r="X37" s="506" t="str">
        <f t="shared" si="2"/>
        <v/>
      </c>
    </row>
    <row r="38" spans="1:24" x14ac:dyDescent="0.25">
      <c r="A38" s="66" t="str">
        <f t="shared" si="4"/>
        <v/>
      </c>
      <c r="B38" s="23" t="str">
        <f t="shared" si="0"/>
        <v/>
      </c>
      <c r="C38" s="15"/>
      <c r="D38" s="16"/>
      <c r="E38" s="17"/>
      <c r="F38" s="18"/>
      <c r="G38" s="18"/>
      <c r="H38" s="19"/>
      <c r="I38" s="15"/>
      <c r="J38" s="20"/>
      <c r="K38" s="15"/>
      <c r="L38" s="15"/>
      <c r="M38" s="531" t="str">
        <f>CONCATENATE(IF(OR(L38=phu!$I$1,L38=phu!$I$2,L38=phu!$I$3),"Cam Thành Nam",""),IF(OR(L38=phu!$I$4,L38=phu!$I$5,L38=phu!$I$6,L38=phu!$I$7,L38=phu!$I$8,L38=phu!$I$9,L38=phu!$I$10,L38=phu!$I$11,L38=phu!$I$12,L38=phu!$I$13,L38=phu!$I$14),"Cam Nghĩa",""),IF(OR(L38=phu!$I$15,L38=phu!$I$16,L38=phu!$I$17,L38=phu!$I$18,L38=phu!$I$19,L38=phu!$I$20,L38=phu!$I$21),"Cam Phúc Bắc",""),IF(OR(L38=phu!$I$22,L38=phu!$I$23,L38=phu!$I$24,L38=phu!$I$25),"Cam Phúc Nam",""),IF(OR(L38=phu!$I$26,L38=phu!$I$27,L38=phu!$I$28,L38=phu!$I$29,L38=phu!$I$30,L38=phu!$I$31),"Cam Phú",""),IF(OR(L38=phu!$I$32,L38=phu!$I$33,L38=phu!$I$34,L38=phu!$I$35,L38=phu!$I$36,L38=phu!$I$37),"Cam Lộc",""),IF(OR(L38=phu!$I$38,L38=phu!$I$39,L38=phu!$I$40,L38=phu!$I$41,L38=phu!$I$42,L38=phu!$I$43,L38=phu!$I$44),"Cam Thuận",""),IF(OR(L38=phu!$I$45,L38=phu!$I$46,L38=phu!$I$47,L38=phu!$I$48,L38=phu!$I$49,L38=phu!$I$50,L38=phu!$I$51,L38=phu!$I$52,L38=phu!$I$53),"Cam Linh",""),IF(OR(L38=phu!$I$54,L38=phu!$I$55,L38=phu!$I$56,L38=phu!$I$57,L38=phu!$I$58,L38=phu!$I$59,L38=phu!$I$60,L38=phu!$I$61,L38=phu!$I$62),"Cam Lợi",""),IF(OR(L38=phu!$I$63,L38=phu!$I$64,L38=phu!$I$65,L38=phu!$I$66,L38=phu!$I$67,L38=phu!$I$68,L38=phu!$I$69,L38=phu!$I$70,L38=phu!$I$71),"Ba Ngòi",""),IF(OR(L38=phu!$I$72,L38=phu!$I$73,L38=phu!$I$74,L38=phu!$I$75,L38=phu!$I$76,L38=phu!$I$77,L38=phu!$I$78),"Cam Phước Đông",""),IF(OR(L38=phu!$I$79,L38=phu!$I$80,L38=phu!$I$81,L38=phu!$I$82,L38=phu!$I$83,L38=phu!$I$84),"Cam Thịnh Đông",""),IF(OR(L38=phu!$I$85,L38=phu!$I$86,L38=phu!$I$87,L38=phu!$I$88),"Cam Thịnh Tây",""),IF(OR(L38=phu!$I$89,L38=phu!$I$90),"Cam Lập",""),IF(OR(L38=phu!$I$91,L38=phu!$I$92,L38=phu!$I$93),"Cam Bình",""),IF(OR(L38=phu!$I$94,L38=phu!$I$95,L38=phu!$I$96,L38=phu!$I$97,L38=phu!$I$98,L38=phu!$I$99,L38=phu!$I$100),"Huyện khác",""),IF(OR(L38=phu!$I$101,L38=phu!$I$102),"Tỉnh khác",""))</f>
        <v/>
      </c>
      <c r="N38" s="835" t="str">
        <f t="shared" si="3"/>
        <v/>
      </c>
      <c r="O38" s="20"/>
      <c r="P38" s="20"/>
      <c r="Q38" s="20"/>
      <c r="R38" s="20"/>
      <c r="S38" s="20"/>
      <c r="T38" s="21"/>
      <c r="U38" s="21"/>
      <c r="V38" s="21"/>
      <c r="W38" s="7" t="str">
        <f t="shared" si="1"/>
        <v/>
      </c>
      <c r="X38" s="506" t="str">
        <f t="shared" si="2"/>
        <v/>
      </c>
    </row>
    <row r="39" spans="1:24" x14ac:dyDescent="0.25">
      <c r="A39" s="66" t="str">
        <f t="shared" si="4"/>
        <v/>
      </c>
      <c r="B39" s="23" t="str">
        <f t="shared" si="0"/>
        <v/>
      </c>
      <c r="C39" s="15"/>
      <c r="D39" s="16"/>
      <c r="E39" s="17"/>
      <c r="F39" s="18"/>
      <c r="G39" s="18"/>
      <c r="H39" s="19"/>
      <c r="I39" s="15"/>
      <c r="J39" s="20"/>
      <c r="K39" s="15"/>
      <c r="L39" s="15"/>
      <c r="M39" s="531" t="str">
        <f>CONCATENATE(IF(OR(L39=phu!$I$1,L39=phu!$I$2,L39=phu!$I$3),"Cam Thành Nam",""),IF(OR(L39=phu!$I$4,L39=phu!$I$5,L39=phu!$I$6,L39=phu!$I$7,L39=phu!$I$8,L39=phu!$I$9,L39=phu!$I$10,L39=phu!$I$11,L39=phu!$I$12,L39=phu!$I$13,L39=phu!$I$14),"Cam Nghĩa",""),IF(OR(L39=phu!$I$15,L39=phu!$I$16,L39=phu!$I$17,L39=phu!$I$18,L39=phu!$I$19,L39=phu!$I$20,L39=phu!$I$21),"Cam Phúc Bắc",""),IF(OR(L39=phu!$I$22,L39=phu!$I$23,L39=phu!$I$24,L39=phu!$I$25),"Cam Phúc Nam",""),IF(OR(L39=phu!$I$26,L39=phu!$I$27,L39=phu!$I$28,L39=phu!$I$29,L39=phu!$I$30,L39=phu!$I$31),"Cam Phú",""),IF(OR(L39=phu!$I$32,L39=phu!$I$33,L39=phu!$I$34,L39=phu!$I$35,L39=phu!$I$36,L39=phu!$I$37),"Cam Lộc",""),IF(OR(L39=phu!$I$38,L39=phu!$I$39,L39=phu!$I$40,L39=phu!$I$41,L39=phu!$I$42,L39=phu!$I$43,L39=phu!$I$44),"Cam Thuận",""),IF(OR(L39=phu!$I$45,L39=phu!$I$46,L39=phu!$I$47,L39=phu!$I$48,L39=phu!$I$49,L39=phu!$I$50,L39=phu!$I$51,L39=phu!$I$52,L39=phu!$I$53),"Cam Linh",""),IF(OR(L39=phu!$I$54,L39=phu!$I$55,L39=phu!$I$56,L39=phu!$I$57,L39=phu!$I$58,L39=phu!$I$59,L39=phu!$I$60,L39=phu!$I$61,L39=phu!$I$62),"Cam Lợi",""),IF(OR(L39=phu!$I$63,L39=phu!$I$64,L39=phu!$I$65,L39=phu!$I$66,L39=phu!$I$67,L39=phu!$I$68,L39=phu!$I$69,L39=phu!$I$70,L39=phu!$I$71),"Ba Ngòi",""),IF(OR(L39=phu!$I$72,L39=phu!$I$73,L39=phu!$I$74,L39=phu!$I$75,L39=phu!$I$76,L39=phu!$I$77,L39=phu!$I$78),"Cam Phước Đông",""),IF(OR(L39=phu!$I$79,L39=phu!$I$80,L39=phu!$I$81,L39=phu!$I$82,L39=phu!$I$83,L39=phu!$I$84),"Cam Thịnh Đông",""),IF(OR(L39=phu!$I$85,L39=phu!$I$86,L39=phu!$I$87,L39=phu!$I$88),"Cam Thịnh Tây",""),IF(OR(L39=phu!$I$89,L39=phu!$I$90),"Cam Lập",""),IF(OR(L39=phu!$I$91,L39=phu!$I$92,L39=phu!$I$93),"Cam Bình",""),IF(OR(L39=phu!$I$94,L39=phu!$I$95,L39=phu!$I$96,L39=phu!$I$97,L39=phu!$I$98,L39=phu!$I$99,L39=phu!$I$100),"Huyện khác",""),IF(OR(L39=phu!$I$101,L39=phu!$I$102),"Tỉnh khác",""))</f>
        <v/>
      </c>
      <c r="N39" s="835" t="str">
        <f t="shared" si="3"/>
        <v/>
      </c>
      <c r="O39" s="20"/>
      <c r="P39" s="20"/>
      <c r="Q39" s="20"/>
      <c r="R39" s="20"/>
      <c r="S39" s="20"/>
      <c r="T39" s="21"/>
      <c r="U39" s="21"/>
      <c r="V39" s="21"/>
      <c r="W39" s="7" t="str">
        <f t="shared" si="1"/>
        <v/>
      </c>
      <c r="X39" s="506" t="str">
        <f t="shared" si="2"/>
        <v/>
      </c>
    </row>
    <row r="40" spans="1:24" x14ac:dyDescent="0.25">
      <c r="A40" s="66" t="str">
        <f t="shared" si="4"/>
        <v/>
      </c>
      <c r="B40" s="23" t="str">
        <f t="shared" si="0"/>
        <v/>
      </c>
      <c r="C40" s="15"/>
      <c r="D40" s="16"/>
      <c r="E40" s="17"/>
      <c r="F40" s="18"/>
      <c r="G40" s="18"/>
      <c r="H40" s="19"/>
      <c r="I40" s="15"/>
      <c r="J40" s="20"/>
      <c r="K40" s="15"/>
      <c r="L40" s="15"/>
      <c r="M40" s="531" t="str">
        <f>CONCATENATE(IF(OR(L40=phu!$I$1,L40=phu!$I$2,L40=phu!$I$3),"Cam Thành Nam",""),IF(OR(L40=phu!$I$4,L40=phu!$I$5,L40=phu!$I$6,L40=phu!$I$7,L40=phu!$I$8,L40=phu!$I$9,L40=phu!$I$10,L40=phu!$I$11,L40=phu!$I$12,L40=phu!$I$13,L40=phu!$I$14),"Cam Nghĩa",""),IF(OR(L40=phu!$I$15,L40=phu!$I$16,L40=phu!$I$17,L40=phu!$I$18,L40=phu!$I$19,L40=phu!$I$20,L40=phu!$I$21),"Cam Phúc Bắc",""),IF(OR(L40=phu!$I$22,L40=phu!$I$23,L40=phu!$I$24,L40=phu!$I$25),"Cam Phúc Nam",""),IF(OR(L40=phu!$I$26,L40=phu!$I$27,L40=phu!$I$28,L40=phu!$I$29,L40=phu!$I$30,L40=phu!$I$31),"Cam Phú",""),IF(OR(L40=phu!$I$32,L40=phu!$I$33,L40=phu!$I$34,L40=phu!$I$35,L40=phu!$I$36,L40=phu!$I$37),"Cam Lộc",""),IF(OR(L40=phu!$I$38,L40=phu!$I$39,L40=phu!$I$40,L40=phu!$I$41,L40=phu!$I$42,L40=phu!$I$43,L40=phu!$I$44),"Cam Thuận",""),IF(OR(L40=phu!$I$45,L40=phu!$I$46,L40=phu!$I$47,L40=phu!$I$48,L40=phu!$I$49,L40=phu!$I$50,L40=phu!$I$51,L40=phu!$I$52,L40=phu!$I$53),"Cam Linh",""),IF(OR(L40=phu!$I$54,L40=phu!$I$55,L40=phu!$I$56,L40=phu!$I$57,L40=phu!$I$58,L40=phu!$I$59,L40=phu!$I$60,L40=phu!$I$61,L40=phu!$I$62),"Cam Lợi",""),IF(OR(L40=phu!$I$63,L40=phu!$I$64,L40=phu!$I$65,L40=phu!$I$66,L40=phu!$I$67,L40=phu!$I$68,L40=phu!$I$69,L40=phu!$I$70,L40=phu!$I$71),"Ba Ngòi",""),IF(OR(L40=phu!$I$72,L40=phu!$I$73,L40=phu!$I$74,L40=phu!$I$75,L40=phu!$I$76,L40=phu!$I$77,L40=phu!$I$78),"Cam Phước Đông",""),IF(OR(L40=phu!$I$79,L40=phu!$I$80,L40=phu!$I$81,L40=phu!$I$82,L40=phu!$I$83,L40=phu!$I$84),"Cam Thịnh Đông",""),IF(OR(L40=phu!$I$85,L40=phu!$I$86,L40=phu!$I$87,L40=phu!$I$88),"Cam Thịnh Tây",""),IF(OR(L40=phu!$I$89,L40=phu!$I$90),"Cam Lập",""),IF(OR(L40=phu!$I$91,L40=phu!$I$92,L40=phu!$I$93),"Cam Bình",""),IF(OR(L40=phu!$I$94,L40=phu!$I$95,L40=phu!$I$96,L40=phu!$I$97,L40=phu!$I$98,L40=phu!$I$99,L40=phu!$I$100),"Huyện khác",""),IF(OR(L40=phu!$I$101,L40=phu!$I$102),"Tỉnh khác",""))</f>
        <v/>
      </c>
      <c r="N40" s="835" t="str">
        <f t="shared" si="3"/>
        <v/>
      </c>
      <c r="O40" s="20"/>
      <c r="P40" s="20"/>
      <c r="Q40" s="20"/>
      <c r="R40" s="20"/>
      <c r="S40" s="20"/>
      <c r="T40" s="21"/>
      <c r="U40" s="21"/>
      <c r="V40" s="21"/>
      <c r="W40" s="7" t="str">
        <f t="shared" si="1"/>
        <v/>
      </c>
      <c r="X40" s="506" t="str">
        <f t="shared" si="2"/>
        <v/>
      </c>
    </row>
    <row r="41" spans="1:24" x14ac:dyDescent="0.25">
      <c r="A41" s="66" t="str">
        <f t="shared" si="4"/>
        <v/>
      </c>
      <c r="B41" s="23" t="str">
        <f t="shared" si="0"/>
        <v/>
      </c>
      <c r="C41" s="15"/>
      <c r="D41" s="16"/>
      <c r="E41" s="17"/>
      <c r="F41" s="18"/>
      <c r="G41" s="18"/>
      <c r="H41" s="19"/>
      <c r="I41" s="15"/>
      <c r="J41" s="20"/>
      <c r="K41" s="15"/>
      <c r="L41" s="15"/>
      <c r="M41" s="531" t="str">
        <f>CONCATENATE(IF(OR(L41=phu!$I$1,L41=phu!$I$2,L41=phu!$I$3),"Cam Thành Nam",""),IF(OR(L41=phu!$I$4,L41=phu!$I$5,L41=phu!$I$6,L41=phu!$I$7,L41=phu!$I$8,L41=phu!$I$9,L41=phu!$I$10,L41=phu!$I$11,L41=phu!$I$12,L41=phu!$I$13,L41=phu!$I$14),"Cam Nghĩa",""),IF(OR(L41=phu!$I$15,L41=phu!$I$16,L41=phu!$I$17,L41=phu!$I$18,L41=phu!$I$19,L41=phu!$I$20,L41=phu!$I$21),"Cam Phúc Bắc",""),IF(OR(L41=phu!$I$22,L41=phu!$I$23,L41=phu!$I$24,L41=phu!$I$25),"Cam Phúc Nam",""),IF(OR(L41=phu!$I$26,L41=phu!$I$27,L41=phu!$I$28,L41=phu!$I$29,L41=phu!$I$30,L41=phu!$I$31),"Cam Phú",""),IF(OR(L41=phu!$I$32,L41=phu!$I$33,L41=phu!$I$34,L41=phu!$I$35,L41=phu!$I$36,L41=phu!$I$37),"Cam Lộc",""),IF(OR(L41=phu!$I$38,L41=phu!$I$39,L41=phu!$I$40,L41=phu!$I$41,L41=phu!$I$42,L41=phu!$I$43,L41=phu!$I$44),"Cam Thuận",""),IF(OR(L41=phu!$I$45,L41=phu!$I$46,L41=phu!$I$47,L41=phu!$I$48,L41=phu!$I$49,L41=phu!$I$50,L41=phu!$I$51,L41=phu!$I$52,L41=phu!$I$53),"Cam Linh",""),IF(OR(L41=phu!$I$54,L41=phu!$I$55,L41=phu!$I$56,L41=phu!$I$57,L41=phu!$I$58,L41=phu!$I$59,L41=phu!$I$60,L41=phu!$I$61,L41=phu!$I$62),"Cam Lợi",""),IF(OR(L41=phu!$I$63,L41=phu!$I$64,L41=phu!$I$65,L41=phu!$I$66,L41=phu!$I$67,L41=phu!$I$68,L41=phu!$I$69,L41=phu!$I$70,L41=phu!$I$71),"Ba Ngòi",""),IF(OR(L41=phu!$I$72,L41=phu!$I$73,L41=phu!$I$74,L41=phu!$I$75,L41=phu!$I$76,L41=phu!$I$77,L41=phu!$I$78),"Cam Phước Đông",""),IF(OR(L41=phu!$I$79,L41=phu!$I$80,L41=phu!$I$81,L41=phu!$I$82,L41=phu!$I$83,L41=phu!$I$84),"Cam Thịnh Đông",""),IF(OR(L41=phu!$I$85,L41=phu!$I$86,L41=phu!$I$87,L41=phu!$I$88),"Cam Thịnh Tây",""),IF(OR(L41=phu!$I$89,L41=phu!$I$90),"Cam Lập",""),IF(OR(L41=phu!$I$91,L41=phu!$I$92,L41=phu!$I$93),"Cam Bình",""),IF(OR(L41=phu!$I$94,L41=phu!$I$95,L41=phu!$I$96,L41=phu!$I$97,L41=phu!$I$98,L41=phu!$I$99,L41=phu!$I$100),"Huyện khác",""),IF(OR(L41=phu!$I$101,L41=phu!$I$102),"Tỉnh khác",""))</f>
        <v/>
      </c>
      <c r="N41" s="835" t="str">
        <f t="shared" si="3"/>
        <v/>
      </c>
      <c r="O41" s="20"/>
      <c r="P41" s="20"/>
      <c r="Q41" s="20"/>
      <c r="R41" s="20"/>
      <c r="S41" s="20"/>
      <c r="T41" s="21"/>
      <c r="U41" s="21"/>
      <c r="V41" s="21"/>
      <c r="W41" s="7" t="str">
        <f t="shared" si="1"/>
        <v/>
      </c>
      <c r="X41" s="506" t="str">
        <f t="shared" si="2"/>
        <v/>
      </c>
    </row>
    <row r="42" spans="1:24" x14ac:dyDescent="0.25">
      <c r="A42" s="66" t="str">
        <f t="shared" si="4"/>
        <v/>
      </c>
      <c r="B42" s="23" t="str">
        <f t="shared" si="0"/>
        <v/>
      </c>
      <c r="C42" s="15"/>
      <c r="D42" s="16"/>
      <c r="E42" s="17"/>
      <c r="F42" s="18"/>
      <c r="G42" s="18"/>
      <c r="H42" s="19"/>
      <c r="I42" s="15"/>
      <c r="J42" s="20"/>
      <c r="K42" s="15"/>
      <c r="L42" s="15"/>
      <c r="M42" s="531" t="str">
        <f>CONCATENATE(IF(OR(L42=phu!$I$1,L42=phu!$I$2,L42=phu!$I$3),"Cam Thành Nam",""),IF(OR(L42=phu!$I$4,L42=phu!$I$5,L42=phu!$I$6,L42=phu!$I$7,L42=phu!$I$8,L42=phu!$I$9,L42=phu!$I$10,L42=phu!$I$11,L42=phu!$I$12,L42=phu!$I$13,L42=phu!$I$14),"Cam Nghĩa",""),IF(OR(L42=phu!$I$15,L42=phu!$I$16,L42=phu!$I$17,L42=phu!$I$18,L42=phu!$I$19,L42=phu!$I$20,L42=phu!$I$21),"Cam Phúc Bắc",""),IF(OR(L42=phu!$I$22,L42=phu!$I$23,L42=phu!$I$24,L42=phu!$I$25),"Cam Phúc Nam",""),IF(OR(L42=phu!$I$26,L42=phu!$I$27,L42=phu!$I$28,L42=phu!$I$29,L42=phu!$I$30,L42=phu!$I$31),"Cam Phú",""),IF(OR(L42=phu!$I$32,L42=phu!$I$33,L42=phu!$I$34,L42=phu!$I$35,L42=phu!$I$36,L42=phu!$I$37),"Cam Lộc",""),IF(OR(L42=phu!$I$38,L42=phu!$I$39,L42=phu!$I$40,L42=phu!$I$41,L42=phu!$I$42,L42=phu!$I$43,L42=phu!$I$44),"Cam Thuận",""),IF(OR(L42=phu!$I$45,L42=phu!$I$46,L42=phu!$I$47,L42=phu!$I$48,L42=phu!$I$49,L42=phu!$I$50,L42=phu!$I$51,L42=phu!$I$52,L42=phu!$I$53),"Cam Linh",""),IF(OR(L42=phu!$I$54,L42=phu!$I$55,L42=phu!$I$56,L42=phu!$I$57,L42=phu!$I$58,L42=phu!$I$59,L42=phu!$I$60,L42=phu!$I$61,L42=phu!$I$62),"Cam Lợi",""),IF(OR(L42=phu!$I$63,L42=phu!$I$64,L42=phu!$I$65,L42=phu!$I$66,L42=phu!$I$67,L42=phu!$I$68,L42=phu!$I$69,L42=phu!$I$70,L42=phu!$I$71),"Ba Ngòi",""),IF(OR(L42=phu!$I$72,L42=phu!$I$73,L42=phu!$I$74,L42=phu!$I$75,L42=phu!$I$76,L42=phu!$I$77,L42=phu!$I$78),"Cam Phước Đông",""),IF(OR(L42=phu!$I$79,L42=phu!$I$80,L42=phu!$I$81,L42=phu!$I$82,L42=phu!$I$83,L42=phu!$I$84),"Cam Thịnh Đông",""),IF(OR(L42=phu!$I$85,L42=phu!$I$86,L42=phu!$I$87,L42=phu!$I$88),"Cam Thịnh Tây",""),IF(OR(L42=phu!$I$89,L42=phu!$I$90),"Cam Lập",""),IF(OR(L42=phu!$I$91,L42=phu!$I$92,L42=phu!$I$93),"Cam Bình",""),IF(OR(L42=phu!$I$94,L42=phu!$I$95,L42=phu!$I$96,L42=phu!$I$97,L42=phu!$I$98,L42=phu!$I$99,L42=phu!$I$100),"Huyện khác",""),IF(OR(L42=phu!$I$101,L42=phu!$I$102),"Tỉnh khác",""))</f>
        <v/>
      </c>
      <c r="N42" s="835" t="str">
        <f t="shared" si="3"/>
        <v/>
      </c>
      <c r="O42" s="20"/>
      <c r="P42" s="20"/>
      <c r="Q42" s="20"/>
      <c r="R42" s="20"/>
      <c r="S42" s="20"/>
      <c r="T42" s="21"/>
      <c r="U42" s="21"/>
      <c r="V42" s="21"/>
      <c r="W42" s="7" t="str">
        <f t="shared" si="1"/>
        <v/>
      </c>
      <c r="X42" s="506" t="str">
        <f t="shared" si="2"/>
        <v/>
      </c>
    </row>
    <row r="43" spans="1:24" x14ac:dyDescent="0.25">
      <c r="A43" s="66" t="str">
        <f t="shared" si="4"/>
        <v/>
      </c>
      <c r="B43" s="23" t="str">
        <f t="shared" si="0"/>
        <v/>
      </c>
      <c r="C43" s="15"/>
      <c r="D43" s="16"/>
      <c r="E43" s="17"/>
      <c r="F43" s="18"/>
      <c r="G43" s="18"/>
      <c r="H43" s="19"/>
      <c r="I43" s="15"/>
      <c r="J43" s="20"/>
      <c r="K43" s="15"/>
      <c r="L43" s="15"/>
      <c r="M43" s="531" t="str">
        <f>CONCATENATE(IF(OR(L43=phu!$I$1,L43=phu!$I$2,L43=phu!$I$3),"Cam Thành Nam",""),IF(OR(L43=phu!$I$4,L43=phu!$I$5,L43=phu!$I$6,L43=phu!$I$7,L43=phu!$I$8,L43=phu!$I$9,L43=phu!$I$10,L43=phu!$I$11,L43=phu!$I$12,L43=phu!$I$13,L43=phu!$I$14),"Cam Nghĩa",""),IF(OR(L43=phu!$I$15,L43=phu!$I$16,L43=phu!$I$17,L43=phu!$I$18,L43=phu!$I$19,L43=phu!$I$20,L43=phu!$I$21),"Cam Phúc Bắc",""),IF(OR(L43=phu!$I$22,L43=phu!$I$23,L43=phu!$I$24,L43=phu!$I$25),"Cam Phúc Nam",""),IF(OR(L43=phu!$I$26,L43=phu!$I$27,L43=phu!$I$28,L43=phu!$I$29,L43=phu!$I$30,L43=phu!$I$31),"Cam Phú",""),IF(OR(L43=phu!$I$32,L43=phu!$I$33,L43=phu!$I$34,L43=phu!$I$35,L43=phu!$I$36,L43=phu!$I$37),"Cam Lộc",""),IF(OR(L43=phu!$I$38,L43=phu!$I$39,L43=phu!$I$40,L43=phu!$I$41,L43=phu!$I$42,L43=phu!$I$43,L43=phu!$I$44),"Cam Thuận",""),IF(OR(L43=phu!$I$45,L43=phu!$I$46,L43=phu!$I$47,L43=phu!$I$48,L43=phu!$I$49,L43=phu!$I$50,L43=phu!$I$51,L43=phu!$I$52,L43=phu!$I$53),"Cam Linh",""),IF(OR(L43=phu!$I$54,L43=phu!$I$55,L43=phu!$I$56,L43=phu!$I$57,L43=phu!$I$58,L43=phu!$I$59,L43=phu!$I$60,L43=phu!$I$61,L43=phu!$I$62),"Cam Lợi",""),IF(OR(L43=phu!$I$63,L43=phu!$I$64,L43=phu!$I$65,L43=phu!$I$66,L43=phu!$I$67,L43=phu!$I$68,L43=phu!$I$69,L43=phu!$I$70,L43=phu!$I$71),"Ba Ngòi",""),IF(OR(L43=phu!$I$72,L43=phu!$I$73,L43=phu!$I$74,L43=phu!$I$75,L43=phu!$I$76,L43=phu!$I$77,L43=phu!$I$78),"Cam Phước Đông",""),IF(OR(L43=phu!$I$79,L43=phu!$I$80,L43=phu!$I$81,L43=phu!$I$82,L43=phu!$I$83,L43=phu!$I$84),"Cam Thịnh Đông",""),IF(OR(L43=phu!$I$85,L43=phu!$I$86,L43=phu!$I$87,L43=phu!$I$88),"Cam Thịnh Tây",""),IF(OR(L43=phu!$I$89,L43=phu!$I$90),"Cam Lập",""),IF(OR(L43=phu!$I$91,L43=phu!$I$92,L43=phu!$I$93),"Cam Bình",""),IF(OR(L43=phu!$I$94,L43=phu!$I$95,L43=phu!$I$96,L43=phu!$I$97,L43=phu!$I$98,L43=phu!$I$99,L43=phu!$I$100),"Huyện khác",""),IF(OR(L43=phu!$I$101,L43=phu!$I$102),"Tỉnh khác",""))</f>
        <v/>
      </c>
      <c r="N43" s="835" t="str">
        <f t="shared" si="3"/>
        <v/>
      </c>
      <c r="O43" s="20"/>
      <c r="P43" s="20"/>
      <c r="Q43" s="20"/>
      <c r="R43" s="20"/>
      <c r="S43" s="20"/>
      <c r="T43" s="21"/>
      <c r="U43" s="21"/>
      <c r="V43" s="21"/>
      <c r="W43" s="7" t="str">
        <f t="shared" si="1"/>
        <v/>
      </c>
      <c r="X43" s="506" t="str">
        <f t="shared" si="2"/>
        <v/>
      </c>
    </row>
    <row r="44" spans="1:24" x14ac:dyDescent="0.25">
      <c r="A44" s="66" t="str">
        <f t="shared" si="4"/>
        <v/>
      </c>
      <c r="B44" s="23" t="str">
        <f t="shared" si="0"/>
        <v/>
      </c>
      <c r="C44" s="15"/>
      <c r="D44" s="16"/>
      <c r="E44" s="17"/>
      <c r="F44" s="18"/>
      <c r="G44" s="18"/>
      <c r="H44" s="19"/>
      <c r="I44" s="15"/>
      <c r="J44" s="20"/>
      <c r="K44" s="15"/>
      <c r="L44" s="15"/>
      <c r="M44" s="531" t="str">
        <f>CONCATENATE(IF(OR(L44=phu!$I$1,L44=phu!$I$2,L44=phu!$I$3),"Cam Thành Nam",""),IF(OR(L44=phu!$I$4,L44=phu!$I$5,L44=phu!$I$6,L44=phu!$I$7,L44=phu!$I$8,L44=phu!$I$9,L44=phu!$I$10,L44=phu!$I$11,L44=phu!$I$12,L44=phu!$I$13,L44=phu!$I$14),"Cam Nghĩa",""),IF(OR(L44=phu!$I$15,L44=phu!$I$16,L44=phu!$I$17,L44=phu!$I$18,L44=phu!$I$19,L44=phu!$I$20,L44=phu!$I$21),"Cam Phúc Bắc",""),IF(OR(L44=phu!$I$22,L44=phu!$I$23,L44=phu!$I$24,L44=phu!$I$25),"Cam Phúc Nam",""),IF(OR(L44=phu!$I$26,L44=phu!$I$27,L44=phu!$I$28,L44=phu!$I$29,L44=phu!$I$30,L44=phu!$I$31),"Cam Phú",""),IF(OR(L44=phu!$I$32,L44=phu!$I$33,L44=phu!$I$34,L44=phu!$I$35,L44=phu!$I$36,L44=phu!$I$37),"Cam Lộc",""),IF(OR(L44=phu!$I$38,L44=phu!$I$39,L44=phu!$I$40,L44=phu!$I$41,L44=phu!$I$42,L44=phu!$I$43,L44=phu!$I$44),"Cam Thuận",""),IF(OR(L44=phu!$I$45,L44=phu!$I$46,L44=phu!$I$47,L44=phu!$I$48,L44=phu!$I$49,L44=phu!$I$50,L44=phu!$I$51,L44=phu!$I$52,L44=phu!$I$53),"Cam Linh",""),IF(OR(L44=phu!$I$54,L44=phu!$I$55,L44=phu!$I$56,L44=phu!$I$57,L44=phu!$I$58,L44=phu!$I$59,L44=phu!$I$60,L44=phu!$I$61,L44=phu!$I$62),"Cam Lợi",""),IF(OR(L44=phu!$I$63,L44=phu!$I$64,L44=phu!$I$65,L44=phu!$I$66,L44=phu!$I$67,L44=phu!$I$68,L44=phu!$I$69,L44=phu!$I$70,L44=phu!$I$71),"Ba Ngòi",""),IF(OR(L44=phu!$I$72,L44=phu!$I$73,L44=phu!$I$74,L44=phu!$I$75,L44=phu!$I$76,L44=phu!$I$77,L44=phu!$I$78),"Cam Phước Đông",""),IF(OR(L44=phu!$I$79,L44=phu!$I$80,L44=phu!$I$81,L44=phu!$I$82,L44=phu!$I$83,L44=phu!$I$84),"Cam Thịnh Đông",""),IF(OR(L44=phu!$I$85,L44=phu!$I$86,L44=phu!$I$87,L44=phu!$I$88),"Cam Thịnh Tây",""),IF(OR(L44=phu!$I$89,L44=phu!$I$90),"Cam Lập",""),IF(OR(L44=phu!$I$91,L44=phu!$I$92,L44=phu!$I$93),"Cam Bình",""),IF(OR(L44=phu!$I$94,L44=phu!$I$95,L44=phu!$I$96,L44=phu!$I$97,L44=phu!$I$98,L44=phu!$I$99,L44=phu!$I$100),"Huyện khác",""),IF(OR(L44=phu!$I$101,L44=phu!$I$102),"Tỉnh khác",""))</f>
        <v/>
      </c>
      <c r="N44" s="835" t="str">
        <f t="shared" si="3"/>
        <v/>
      </c>
      <c r="O44" s="20"/>
      <c r="P44" s="20"/>
      <c r="Q44" s="20"/>
      <c r="R44" s="20"/>
      <c r="S44" s="20"/>
      <c r="T44" s="21"/>
      <c r="U44" s="21"/>
      <c r="V44" s="21"/>
      <c r="W44" s="7" t="str">
        <f t="shared" si="1"/>
        <v/>
      </c>
      <c r="X44" s="506" t="str">
        <f t="shared" si="2"/>
        <v/>
      </c>
    </row>
    <row r="45" spans="1:24" x14ac:dyDescent="0.25">
      <c r="A45" s="66" t="str">
        <f t="shared" si="4"/>
        <v/>
      </c>
      <c r="B45" s="23" t="str">
        <f t="shared" si="0"/>
        <v/>
      </c>
      <c r="C45" s="15"/>
      <c r="D45" s="16"/>
      <c r="E45" s="17"/>
      <c r="F45" s="18"/>
      <c r="G45" s="18"/>
      <c r="H45" s="19"/>
      <c r="I45" s="15"/>
      <c r="J45" s="20"/>
      <c r="K45" s="15"/>
      <c r="L45" s="15"/>
      <c r="M45" s="531" t="str">
        <f>CONCATENATE(IF(OR(L45=phu!$I$1,L45=phu!$I$2,L45=phu!$I$3),"Cam Thành Nam",""),IF(OR(L45=phu!$I$4,L45=phu!$I$5,L45=phu!$I$6,L45=phu!$I$7,L45=phu!$I$8,L45=phu!$I$9,L45=phu!$I$10,L45=phu!$I$11,L45=phu!$I$12,L45=phu!$I$13,L45=phu!$I$14),"Cam Nghĩa",""),IF(OR(L45=phu!$I$15,L45=phu!$I$16,L45=phu!$I$17,L45=phu!$I$18,L45=phu!$I$19,L45=phu!$I$20,L45=phu!$I$21),"Cam Phúc Bắc",""),IF(OR(L45=phu!$I$22,L45=phu!$I$23,L45=phu!$I$24,L45=phu!$I$25),"Cam Phúc Nam",""),IF(OR(L45=phu!$I$26,L45=phu!$I$27,L45=phu!$I$28,L45=phu!$I$29,L45=phu!$I$30,L45=phu!$I$31),"Cam Phú",""),IF(OR(L45=phu!$I$32,L45=phu!$I$33,L45=phu!$I$34,L45=phu!$I$35,L45=phu!$I$36,L45=phu!$I$37),"Cam Lộc",""),IF(OR(L45=phu!$I$38,L45=phu!$I$39,L45=phu!$I$40,L45=phu!$I$41,L45=phu!$I$42,L45=phu!$I$43,L45=phu!$I$44),"Cam Thuận",""),IF(OR(L45=phu!$I$45,L45=phu!$I$46,L45=phu!$I$47,L45=phu!$I$48,L45=phu!$I$49,L45=phu!$I$50,L45=phu!$I$51,L45=phu!$I$52,L45=phu!$I$53),"Cam Linh",""),IF(OR(L45=phu!$I$54,L45=phu!$I$55,L45=phu!$I$56,L45=phu!$I$57,L45=phu!$I$58,L45=phu!$I$59,L45=phu!$I$60,L45=phu!$I$61,L45=phu!$I$62),"Cam Lợi",""),IF(OR(L45=phu!$I$63,L45=phu!$I$64,L45=phu!$I$65,L45=phu!$I$66,L45=phu!$I$67,L45=phu!$I$68,L45=phu!$I$69,L45=phu!$I$70,L45=phu!$I$71),"Ba Ngòi",""),IF(OR(L45=phu!$I$72,L45=phu!$I$73,L45=phu!$I$74,L45=phu!$I$75,L45=phu!$I$76,L45=phu!$I$77,L45=phu!$I$78),"Cam Phước Đông",""),IF(OR(L45=phu!$I$79,L45=phu!$I$80,L45=phu!$I$81,L45=phu!$I$82,L45=phu!$I$83,L45=phu!$I$84),"Cam Thịnh Đông",""),IF(OR(L45=phu!$I$85,L45=phu!$I$86,L45=phu!$I$87,L45=phu!$I$88),"Cam Thịnh Tây",""),IF(OR(L45=phu!$I$89,L45=phu!$I$90),"Cam Lập",""),IF(OR(L45=phu!$I$91,L45=phu!$I$92,L45=phu!$I$93),"Cam Bình",""),IF(OR(L45=phu!$I$94,L45=phu!$I$95,L45=phu!$I$96,L45=phu!$I$97,L45=phu!$I$98,L45=phu!$I$99,L45=phu!$I$100),"Huyện khác",""),IF(OR(L45=phu!$I$101,L45=phu!$I$102),"Tỉnh khác",""))</f>
        <v/>
      </c>
      <c r="N45" s="835" t="str">
        <f t="shared" si="3"/>
        <v/>
      </c>
      <c r="O45" s="20"/>
      <c r="P45" s="20"/>
      <c r="Q45" s="20"/>
      <c r="R45" s="20"/>
      <c r="S45" s="20"/>
      <c r="T45" s="21"/>
      <c r="U45" s="21"/>
      <c r="V45" s="21"/>
      <c r="W45" s="7" t="str">
        <f t="shared" si="1"/>
        <v/>
      </c>
      <c r="X45" s="506" t="str">
        <f t="shared" si="2"/>
        <v/>
      </c>
    </row>
    <row r="46" spans="1:24" x14ac:dyDescent="0.25">
      <c r="A46" s="66" t="str">
        <f t="shared" si="4"/>
        <v/>
      </c>
      <c r="B46" s="23" t="str">
        <f t="shared" si="0"/>
        <v/>
      </c>
      <c r="C46" s="15"/>
      <c r="D46" s="16"/>
      <c r="E46" s="17"/>
      <c r="F46" s="18"/>
      <c r="G46" s="18"/>
      <c r="H46" s="19"/>
      <c r="I46" s="15"/>
      <c r="J46" s="20"/>
      <c r="K46" s="15"/>
      <c r="L46" s="15"/>
      <c r="M46" s="531" t="str">
        <f>CONCATENATE(IF(OR(L46=phu!$I$1,L46=phu!$I$2,L46=phu!$I$3),"Cam Thành Nam",""),IF(OR(L46=phu!$I$4,L46=phu!$I$5,L46=phu!$I$6,L46=phu!$I$7,L46=phu!$I$8,L46=phu!$I$9,L46=phu!$I$10,L46=phu!$I$11,L46=phu!$I$12,L46=phu!$I$13,L46=phu!$I$14),"Cam Nghĩa",""),IF(OR(L46=phu!$I$15,L46=phu!$I$16,L46=phu!$I$17,L46=phu!$I$18,L46=phu!$I$19,L46=phu!$I$20,L46=phu!$I$21),"Cam Phúc Bắc",""),IF(OR(L46=phu!$I$22,L46=phu!$I$23,L46=phu!$I$24,L46=phu!$I$25),"Cam Phúc Nam",""),IF(OR(L46=phu!$I$26,L46=phu!$I$27,L46=phu!$I$28,L46=phu!$I$29,L46=phu!$I$30,L46=phu!$I$31),"Cam Phú",""),IF(OR(L46=phu!$I$32,L46=phu!$I$33,L46=phu!$I$34,L46=phu!$I$35,L46=phu!$I$36,L46=phu!$I$37),"Cam Lộc",""),IF(OR(L46=phu!$I$38,L46=phu!$I$39,L46=phu!$I$40,L46=phu!$I$41,L46=phu!$I$42,L46=phu!$I$43,L46=phu!$I$44),"Cam Thuận",""),IF(OR(L46=phu!$I$45,L46=phu!$I$46,L46=phu!$I$47,L46=phu!$I$48,L46=phu!$I$49,L46=phu!$I$50,L46=phu!$I$51,L46=phu!$I$52,L46=phu!$I$53),"Cam Linh",""),IF(OR(L46=phu!$I$54,L46=phu!$I$55,L46=phu!$I$56,L46=phu!$I$57,L46=phu!$I$58,L46=phu!$I$59,L46=phu!$I$60,L46=phu!$I$61,L46=phu!$I$62),"Cam Lợi",""),IF(OR(L46=phu!$I$63,L46=phu!$I$64,L46=phu!$I$65,L46=phu!$I$66,L46=phu!$I$67,L46=phu!$I$68,L46=phu!$I$69,L46=phu!$I$70,L46=phu!$I$71),"Ba Ngòi",""),IF(OR(L46=phu!$I$72,L46=phu!$I$73,L46=phu!$I$74,L46=phu!$I$75,L46=phu!$I$76,L46=phu!$I$77,L46=phu!$I$78),"Cam Phước Đông",""),IF(OR(L46=phu!$I$79,L46=phu!$I$80,L46=phu!$I$81,L46=phu!$I$82,L46=phu!$I$83,L46=phu!$I$84),"Cam Thịnh Đông",""),IF(OR(L46=phu!$I$85,L46=phu!$I$86,L46=phu!$I$87,L46=phu!$I$88),"Cam Thịnh Tây",""),IF(OR(L46=phu!$I$89,L46=phu!$I$90),"Cam Lập",""),IF(OR(L46=phu!$I$91,L46=phu!$I$92,L46=phu!$I$93),"Cam Bình",""),IF(OR(L46=phu!$I$94,L46=phu!$I$95,L46=phu!$I$96,L46=phu!$I$97,L46=phu!$I$98,L46=phu!$I$99,L46=phu!$I$100),"Huyện khác",""),IF(OR(L46=phu!$I$101,L46=phu!$I$102),"Tỉnh khác",""))</f>
        <v/>
      </c>
      <c r="N46" s="835" t="str">
        <f t="shared" si="3"/>
        <v/>
      </c>
      <c r="O46" s="20"/>
      <c r="P46" s="20"/>
      <c r="Q46" s="20"/>
      <c r="R46" s="20"/>
      <c r="S46" s="20"/>
      <c r="T46" s="21"/>
      <c r="U46" s="21"/>
      <c r="V46" s="21"/>
      <c r="W46" s="7" t="str">
        <f t="shared" si="1"/>
        <v/>
      </c>
      <c r="X46" s="506" t="str">
        <f t="shared" si="2"/>
        <v/>
      </c>
    </row>
    <row r="47" spans="1:24" x14ac:dyDescent="0.25">
      <c r="A47" s="66" t="str">
        <f t="shared" si="4"/>
        <v/>
      </c>
      <c r="B47" s="23" t="str">
        <f t="shared" si="0"/>
        <v/>
      </c>
      <c r="C47" s="15"/>
      <c r="D47" s="16"/>
      <c r="E47" s="17"/>
      <c r="F47" s="18"/>
      <c r="G47" s="18"/>
      <c r="H47" s="19"/>
      <c r="I47" s="15"/>
      <c r="J47" s="20"/>
      <c r="K47" s="15"/>
      <c r="L47" s="15"/>
      <c r="M47" s="531" t="str">
        <f>CONCATENATE(IF(OR(L47=phu!$I$1,L47=phu!$I$2,L47=phu!$I$3),"Cam Thành Nam",""),IF(OR(L47=phu!$I$4,L47=phu!$I$5,L47=phu!$I$6,L47=phu!$I$7,L47=phu!$I$8,L47=phu!$I$9,L47=phu!$I$10,L47=phu!$I$11,L47=phu!$I$12,L47=phu!$I$13,L47=phu!$I$14),"Cam Nghĩa",""),IF(OR(L47=phu!$I$15,L47=phu!$I$16,L47=phu!$I$17,L47=phu!$I$18,L47=phu!$I$19,L47=phu!$I$20,L47=phu!$I$21),"Cam Phúc Bắc",""),IF(OR(L47=phu!$I$22,L47=phu!$I$23,L47=phu!$I$24,L47=phu!$I$25),"Cam Phúc Nam",""),IF(OR(L47=phu!$I$26,L47=phu!$I$27,L47=phu!$I$28,L47=phu!$I$29,L47=phu!$I$30,L47=phu!$I$31),"Cam Phú",""),IF(OR(L47=phu!$I$32,L47=phu!$I$33,L47=phu!$I$34,L47=phu!$I$35,L47=phu!$I$36,L47=phu!$I$37),"Cam Lộc",""),IF(OR(L47=phu!$I$38,L47=phu!$I$39,L47=phu!$I$40,L47=phu!$I$41,L47=phu!$I$42,L47=phu!$I$43,L47=phu!$I$44),"Cam Thuận",""),IF(OR(L47=phu!$I$45,L47=phu!$I$46,L47=phu!$I$47,L47=phu!$I$48,L47=phu!$I$49,L47=phu!$I$50,L47=phu!$I$51,L47=phu!$I$52,L47=phu!$I$53),"Cam Linh",""),IF(OR(L47=phu!$I$54,L47=phu!$I$55,L47=phu!$I$56,L47=phu!$I$57,L47=phu!$I$58,L47=phu!$I$59,L47=phu!$I$60,L47=phu!$I$61,L47=phu!$I$62),"Cam Lợi",""),IF(OR(L47=phu!$I$63,L47=phu!$I$64,L47=phu!$I$65,L47=phu!$I$66,L47=phu!$I$67,L47=phu!$I$68,L47=phu!$I$69,L47=phu!$I$70,L47=phu!$I$71),"Ba Ngòi",""),IF(OR(L47=phu!$I$72,L47=phu!$I$73,L47=phu!$I$74,L47=phu!$I$75,L47=phu!$I$76,L47=phu!$I$77,L47=phu!$I$78),"Cam Phước Đông",""),IF(OR(L47=phu!$I$79,L47=phu!$I$80,L47=phu!$I$81,L47=phu!$I$82,L47=phu!$I$83,L47=phu!$I$84),"Cam Thịnh Đông",""),IF(OR(L47=phu!$I$85,L47=phu!$I$86,L47=phu!$I$87,L47=phu!$I$88),"Cam Thịnh Tây",""),IF(OR(L47=phu!$I$89,L47=phu!$I$90),"Cam Lập",""),IF(OR(L47=phu!$I$91,L47=phu!$I$92,L47=phu!$I$93),"Cam Bình",""),IF(OR(L47=phu!$I$94,L47=phu!$I$95,L47=phu!$I$96,L47=phu!$I$97,L47=phu!$I$98,L47=phu!$I$99,L47=phu!$I$100),"Huyện khác",""),IF(OR(L47=phu!$I$101,L47=phu!$I$102),"Tỉnh khác",""))</f>
        <v/>
      </c>
      <c r="N47" s="835" t="str">
        <f t="shared" si="3"/>
        <v/>
      </c>
      <c r="O47" s="20"/>
      <c r="P47" s="20"/>
      <c r="Q47" s="20"/>
      <c r="R47" s="20"/>
      <c r="S47" s="20"/>
      <c r="T47" s="21"/>
      <c r="U47" s="21"/>
      <c r="V47" s="21"/>
      <c r="W47" s="7" t="str">
        <f t="shared" si="1"/>
        <v/>
      </c>
      <c r="X47" s="506" t="str">
        <f t="shared" si="2"/>
        <v/>
      </c>
    </row>
    <row r="48" spans="1:24" x14ac:dyDescent="0.25">
      <c r="A48" s="66" t="str">
        <f t="shared" si="4"/>
        <v/>
      </c>
      <c r="B48" s="23" t="str">
        <f t="shared" si="0"/>
        <v/>
      </c>
      <c r="C48" s="15"/>
      <c r="D48" s="16"/>
      <c r="E48" s="17"/>
      <c r="F48" s="18"/>
      <c r="G48" s="18"/>
      <c r="H48" s="19"/>
      <c r="I48" s="15"/>
      <c r="J48" s="20"/>
      <c r="K48" s="15"/>
      <c r="L48" s="15"/>
      <c r="M48" s="531" t="str">
        <f>CONCATENATE(IF(OR(L48=phu!$I$1,L48=phu!$I$2,L48=phu!$I$3),"Cam Thành Nam",""),IF(OR(L48=phu!$I$4,L48=phu!$I$5,L48=phu!$I$6,L48=phu!$I$7,L48=phu!$I$8,L48=phu!$I$9,L48=phu!$I$10,L48=phu!$I$11,L48=phu!$I$12,L48=phu!$I$13,L48=phu!$I$14),"Cam Nghĩa",""),IF(OR(L48=phu!$I$15,L48=phu!$I$16,L48=phu!$I$17,L48=phu!$I$18,L48=phu!$I$19,L48=phu!$I$20,L48=phu!$I$21),"Cam Phúc Bắc",""),IF(OR(L48=phu!$I$22,L48=phu!$I$23,L48=phu!$I$24,L48=phu!$I$25),"Cam Phúc Nam",""),IF(OR(L48=phu!$I$26,L48=phu!$I$27,L48=phu!$I$28,L48=phu!$I$29,L48=phu!$I$30,L48=phu!$I$31),"Cam Phú",""),IF(OR(L48=phu!$I$32,L48=phu!$I$33,L48=phu!$I$34,L48=phu!$I$35,L48=phu!$I$36,L48=phu!$I$37),"Cam Lộc",""),IF(OR(L48=phu!$I$38,L48=phu!$I$39,L48=phu!$I$40,L48=phu!$I$41,L48=phu!$I$42,L48=phu!$I$43,L48=phu!$I$44),"Cam Thuận",""),IF(OR(L48=phu!$I$45,L48=phu!$I$46,L48=phu!$I$47,L48=phu!$I$48,L48=phu!$I$49,L48=phu!$I$50,L48=phu!$I$51,L48=phu!$I$52,L48=phu!$I$53),"Cam Linh",""),IF(OR(L48=phu!$I$54,L48=phu!$I$55,L48=phu!$I$56,L48=phu!$I$57,L48=phu!$I$58,L48=phu!$I$59,L48=phu!$I$60,L48=phu!$I$61,L48=phu!$I$62),"Cam Lợi",""),IF(OR(L48=phu!$I$63,L48=phu!$I$64,L48=phu!$I$65,L48=phu!$I$66,L48=phu!$I$67,L48=phu!$I$68,L48=phu!$I$69,L48=phu!$I$70,L48=phu!$I$71),"Ba Ngòi",""),IF(OR(L48=phu!$I$72,L48=phu!$I$73,L48=phu!$I$74,L48=phu!$I$75,L48=phu!$I$76,L48=phu!$I$77,L48=phu!$I$78),"Cam Phước Đông",""),IF(OR(L48=phu!$I$79,L48=phu!$I$80,L48=phu!$I$81,L48=phu!$I$82,L48=phu!$I$83,L48=phu!$I$84),"Cam Thịnh Đông",""),IF(OR(L48=phu!$I$85,L48=phu!$I$86,L48=phu!$I$87,L48=phu!$I$88),"Cam Thịnh Tây",""),IF(OR(L48=phu!$I$89,L48=phu!$I$90),"Cam Lập",""),IF(OR(L48=phu!$I$91,L48=phu!$I$92,L48=phu!$I$93),"Cam Bình",""),IF(OR(L48=phu!$I$94,L48=phu!$I$95,L48=phu!$I$96,L48=phu!$I$97,L48=phu!$I$98,L48=phu!$I$99,L48=phu!$I$100),"Huyện khác",""),IF(OR(L48=phu!$I$101,L48=phu!$I$102),"Tỉnh khác",""))</f>
        <v/>
      </c>
      <c r="N48" s="835" t="str">
        <f t="shared" si="3"/>
        <v/>
      </c>
      <c r="O48" s="20"/>
      <c r="P48" s="20"/>
      <c r="Q48" s="20"/>
      <c r="R48" s="20"/>
      <c r="S48" s="20"/>
      <c r="T48" s="21"/>
      <c r="U48" s="21"/>
      <c r="V48" s="21"/>
      <c r="W48" s="7" t="str">
        <f t="shared" si="1"/>
        <v/>
      </c>
      <c r="X48" s="506" t="str">
        <f t="shared" si="2"/>
        <v/>
      </c>
    </row>
    <row r="49" spans="1:24" x14ac:dyDescent="0.25">
      <c r="A49" s="66" t="str">
        <f t="shared" si="4"/>
        <v/>
      </c>
      <c r="B49" s="23" t="str">
        <f t="shared" si="0"/>
        <v/>
      </c>
      <c r="C49" s="15"/>
      <c r="D49" s="16"/>
      <c r="E49" s="17"/>
      <c r="F49" s="18"/>
      <c r="G49" s="18"/>
      <c r="H49" s="19"/>
      <c r="I49" s="15"/>
      <c r="J49" s="20"/>
      <c r="K49" s="15"/>
      <c r="L49" s="15"/>
      <c r="M49" s="531" t="str">
        <f>CONCATENATE(IF(OR(L49=phu!$I$1,L49=phu!$I$2,L49=phu!$I$3),"Cam Thành Nam",""),IF(OR(L49=phu!$I$4,L49=phu!$I$5,L49=phu!$I$6,L49=phu!$I$7,L49=phu!$I$8,L49=phu!$I$9,L49=phu!$I$10,L49=phu!$I$11,L49=phu!$I$12,L49=phu!$I$13,L49=phu!$I$14),"Cam Nghĩa",""),IF(OR(L49=phu!$I$15,L49=phu!$I$16,L49=phu!$I$17,L49=phu!$I$18,L49=phu!$I$19,L49=phu!$I$20,L49=phu!$I$21),"Cam Phúc Bắc",""),IF(OR(L49=phu!$I$22,L49=phu!$I$23,L49=phu!$I$24,L49=phu!$I$25),"Cam Phúc Nam",""),IF(OR(L49=phu!$I$26,L49=phu!$I$27,L49=phu!$I$28,L49=phu!$I$29,L49=phu!$I$30,L49=phu!$I$31),"Cam Phú",""),IF(OR(L49=phu!$I$32,L49=phu!$I$33,L49=phu!$I$34,L49=phu!$I$35,L49=phu!$I$36,L49=phu!$I$37),"Cam Lộc",""),IF(OR(L49=phu!$I$38,L49=phu!$I$39,L49=phu!$I$40,L49=phu!$I$41,L49=phu!$I$42,L49=phu!$I$43,L49=phu!$I$44),"Cam Thuận",""),IF(OR(L49=phu!$I$45,L49=phu!$I$46,L49=phu!$I$47,L49=phu!$I$48,L49=phu!$I$49,L49=phu!$I$50,L49=phu!$I$51,L49=phu!$I$52,L49=phu!$I$53),"Cam Linh",""),IF(OR(L49=phu!$I$54,L49=phu!$I$55,L49=phu!$I$56,L49=phu!$I$57,L49=phu!$I$58,L49=phu!$I$59,L49=phu!$I$60,L49=phu!$I$61,L49=phu!$I$62),"Cam Lợi",""),IF(OR(L49=phu!$I$63,L49=phu!$I$64,L49=phu!$I$65,L49=phu!$I$66,L49=phu!$I$67,L49=phu!$I$68,L49=phu!$I$69,L49=phu!$I$70,L49=phu!$I$71),"Ba Ngòi",""),IF(OR(L49=phu!$I$72,L49=phu!$I$73,L49=phu!$I$74,L49=phu!$I$75,L49=phu!$I$76,L49=phu!$I$77,L49=phu!$I$78),"Cam Phước Đông",""),IF(OR(L49=phu!$I$79,L49=phu!$I$80,L49=phu!$I$81,L49=phu!$I$82,L49=phu!$I$83,L49=phu!$I$84),"Cam Thịnh Đông",""),IF(OR(L49=phu!$I$85,L49=phu!$I$86,L49=phu!$I$87,L49=phu!$I$88),"Cam Thịnh Tây",""),IF(OR(L49=phu!$I$89,L49=phu!$I$90),"Cam Lập",""),IF(OR(L49=phu!$I$91,L49=phu!$I$92,L49=phu!$I$93),"Cam Bình",""),IF(OR(L49=phu!$I$94,L49=phu!$I$95,L49=phu!$I$96,L49=phu!$I$97,L49=phu!$I$98,L49=phu!$I$99,L49=phu!$I$100),"Huyện khác",""),IF(OR(L49=phu!$I$101,L49=phu!$I$102),"Tỉnh khác",""))</f>
        <v/>
      </c>
      <c r="N49" s="835" t="str">
        <f t="shared" si="3"/>
        <v/>
      </c>
      <c r="O49" s="20"/>
      <c r="P49" s="20"/>
      <c r="Q49" s="20"/>
      <c r="R49" s="20"/>
      <c r="S49" s="20"/>
      <c r="T49" s="21"/>
      <c r="U49" s="21"/>
      <c r="V49" s="21"/>
      <c r="W49" s="7" t="str">
        <f t="shared" si="1"/>
        <v/>
      </c>
      <c r="X49" s="506" t="str">
        <f t="shared" si="2"/>
        <v/>
      </c>
    </row>
    <row r="50" spans="1:24" x14ac:dyDescent="0.25">
      <c r="A50" s="66" t="str">
        <f t="shared" si="4"/>
        <v/>
      </c>
      <c r="B50" s="23" t="str">
        <f t="shared" si="0"/>
        <v/>
      </c>
      <c r="C50" s="15"/>
      <c r="D50" s="16"/>
      <c r="E50" s="17"/>
      <c r="F50" s="18"/>
      <c r="G50" s="18"/>
      <c r="H50" s="19"/>
      <c r="I50" s="15"/>
      <c r="J50" s="20"/>
      <c r="K50" s="15"/>
      <c r="L50" s="15"/>
      <c r="M50" s="531" t="str">
        <f>CONCATENATE(IF(OR(L50=phu!$I$1,L50=phu!$I$2,L50=phu!$I$3),"Cam Thành Nam",""),IF(OR(L50=phu!$I$4,L50=phu!$I$5,L50=phu!$I$6,L50=phu!$I$7,L50=phu!$I$8,L50=phu!$I$9,L50=phu!$I$10,L50=phu!$I$11,L50=phu!$I$12,L50=phu!$I$13,L50=phu!$I$14),"Cam Nghĩa",""),IF(OR(L50=phu!$I$15,L50=phu!$I$16,L50=phu!$I$17,L50=phu!$I$18,L50=phu!$I$19,L50=phu!$I$20,L50=phu!$I$21),"Cam Phúc Bắc",""),IF(OR(L50=phu!$I$22,L50=phu!$I$23,L50=phu!$I$24,L50=phu!$I$25),"Cam Phúc Nam",""),IF(OR(L50=phu!$I$26,L50=phu!$I$27,L50=phu!$I$28,L50=phu!$I$29,L50=phu!$I$30,L50=phu!$I$31),"Cam Phú",""),IF(OR(L50=phu!$I$32,L50=phu!$I$33,L50=phu!$I$34,L50=phu!$I$35,L50=phu!$I$36,L50=phu!$I$37),"Cam Lộc",""),IF(OR(L50=phu!$I$38,L50=phu!$I$39,L50=phu!$I$40,L50=phu!$I$41,L50=phu!$I$42,L50=phu!$I$43,L50=phu!$I$44),"Cam Thuận",""),IF(OR(L50=phu!$I$45,L50=phu!$I$46,L50=phu!$I$47,L50=phu!$I$48,L50=phu!$I$49,L50=phu!$I$50,L50=phu!$I$51,L50=phu!$I$52,L50=phu!$I$53),"Cam Linh",""),IF(OR(L50=phu!$I$54,L50=phu!$I$55,L50=phu!$I$56,L50=phu!$I$57,L50=phu!$I$58,L50=phu!$I$59,L50=phu!$I$60,L50=phu!$I$61,L50=phu!$I$62),"Cam Lợi",""),IF(OR(L50=phu!$I$63,L50=phu!$I$64,L50=phu!$I$65,L50=phu!$I$66,L50=phu!$I$67,L50=phu!$I$68,L50=phu!$I$69,L50=phu!$I$70,L50=phu!$I$71),"Ba Ngòi",""),IF(OR(L50=phu!$I$72,L50=phu!$I$73,L50=phu!$I$74,L50=phu!$I$75,L50=phu!$I$76,L50=phu!$I$77,L50=phu!$I$78),"Cam Phước Đông",""),IF(OR(L50=phu!$I$79,L50=phu!$I$80,L50=phu!$I$81,L50=phu!$I$82,L50=phu!$I$83,L50=phu!$I$84),"Cam Thịnh Đông",""),IF(OR(L50=phu!$I$85,L50=phu!$I$86,L50=phu!$I$87,L50=phu!$I$88),"Cam Thịnh Tây",""),IF(OR(L50=phu!$I$89,L50=phu!$I$90),"Cam Lập",""),IF(OR(L50=phu!$I$91,L50=phu!$I$92,L50=phu!$I$93),"Cam Bình",""),IF(OR(L50=phu!$I$94,L50=phu!$I$95,L50=phu!$I$96,L50=phu!$I$97,L50=phu!$I$98,L50=phu!$I$99,L50=phu!$I$100),"Huyện khác",""),IF(OR(L50=phu!$I$101,L50=phu!$I$102),"Tỉnh khác",""))</f>
        <v/>
      </c>
      <c r="N50" s="835" t="str">
        <f t="shared" si="3"/>
        <v/>
      </c>
      <c r="O50" s="20"/>
      <c r="P50" s="20"/>
      <c r="Q50" s="20"/>
      <c r="R50" s="20"/>
      <c r="S50" s="20"/>
      <c r="T50" s="21"/>
      <c r="U50" s="21"/>
      <c r="V50" s="21"/>
      <c r="W50" s="7" t="str">
        <f t="shared" si="1"/>
        <v/>
      </c>
      <c r="X50" s="506" t="str">
        <f t="shared" si="2"/>
        <v/>
      </c>
    </row>
    <row r="51" spans="1:24" x14ac:dyDescent="0.25">
      <c r="A51" s="66" t="str">
        <f t="shared" si="4"/>
        <v/>
      </c>
      <c r="B51" s="23" t="str">
        <f t="shared" si="0"/>
        <v/>
      </c>
      <c r="C51" s="15"/>
      <c r="D51" s="16"/>
      <c r="E51" s="17"/>
      <c r="F51" s="18"/>
      <c r="G51" s="18"/>
      <c r="H51" s="19"/>
      <c r="I51" s="15"/>
      <c r="J51" s="20"/>
      <c r="K51" s="15"/>
      <c r="L51" s="15"/>
      <c r="M51" s="531" t="str">
        <f>CONCATENATE(IF(OR(L51=phu!$I$1,L51=phu!$I$2,L51=phu!$I$3),"Cam Thành Nam",""),IF(OR(L51=phu!$I$4,L51=phu!$I$5,L51=phu!$I$6,L51=phu!$I$7,L51=phu!$I$8,L51=phu!$I$9,L51=phu!$I$10,L51=phu!$I$11,L51=phu!$I$12,L51=phu!$I$13,L51=phu!$I$14),"Cam Nghĩa",""),IF(OR(L51=phu!$I$15,L51=phu!$I$16,L51=phu!$I$17,L51=phu!$I$18,L51=phu!$I$19,L51=phu!$I$20,L51=phu!$I$21),"Cam Phúc Bắc",""),IF(OR(L51=phu!$I$22,L51=phu!$I$23,L51=phu!$I$24,L51=phu!$I$25),"Cam Phúc Nam",""),IF(OR(L51=phu!$I$26,L51=phu!$I$27,L51=phu!$I$28,L51=phu!$I$29,L51=phu!$I$30,L51=phu!$I$31),"Cam Phú",""),IF(OR(L51=phu!$I$32,L51=phu!$I$33,L51=phu!$I$34,L51=phu!$I$35,L51=phu!$I$36,L51=phu!$I$37),"Cam Lộc",""),IF(OR(L51=phu!$I$38,L51=phu!$I$39,L51=phu!$I$40,L51=phu!$I$41,L51=phu!$I$42,L51=phu!$I$43,L51=phu!$I$44),"Cam Thuận",""),IF(OR(L51=phu!$I$45,L51=phu!$I$46,L51=phu!$I$47,L51=phu!$I$48,L51=phu!$I$49,L51=phu!$I$50,L51=phu!$I$51,L51=phu!$I$52,L51=phu!$I$53),"Cam Linh",""),IF(OR(L51=phu!$I$54,L51=phu!$I$55,L51=phu!$I$56,L51=phu!$I$57,L51=phu!$I$58,L51=phu!$I$59,L51=phu!$I$60,L51=phu!$I$61,L51=phu!$I$62),"Cam Lợi",""),IF(OR(L51=phu!$I$63,L51=phu!$I$64,L51=phu!$I$65,L51=phu!$I$66,L51=phu!$I$67,L51=phu!$I$68,L51=phu!$I$69,L51=phu!$I$70,L51=phu!$I$71),"Ba Ngòi",""),IF(OR(L51=phu!$I$72,L51=phu!$I$73,L51=phu!$I$74,L51=phu!$I$75,L51=phu!$I$76,L51=phu!$I$77,L51=phu!$I$78),"Cam Phước Đông",""),IF(OR(L51=phu!$I$79,L51=phu!$I$80,L51=phu!$I$81,L51=phu!$I$82,L51=phu!$I$83,L51=phu!$I$84),"Cam Thịnh Đông",""),IF(OR(L51=phu!$I$85,L51=phu!$I$86,L51=phu!$I$87,L51=phu!$I$88),"Cam Thịnh Tây",""),IF(OR(L51=phu!$I$89,L51=phu!$I$90),"Cam Lập",""),IF(OR(L51=phu!$I$91,L51=phu!$I$92,L51=phu!$I$93),"Cam Bình",""),IF(OR(L51=phu!$I$94,L51=phu!$I$95,L51=phu!$I$96,L51=phu!$I$97,L51=phu!$I$98,L51=phu!$I$99,L51=phu!$I$100),"Huyện khác",""),IF(OR(L51=phu!$I$101,L51=phu!$I$102),"Tỉnh khác",""))</f>
        <v/>
      </c>
      <c r="N51" s="835" t="str">
        <f t="shared" si="3"/>
        <v/>
      </c>
      <c r="O51" s="20"/>
      <c r="P51" s="20"/>
      <c r="Q51" s="20"/>
      <c r="R51" s="20"/>
      <c r="S51" s="20"/>
      <c r="T51" s="21"/>
      <c r="U51" s="21"/>
      <c r="V51" s="21"/>
      <c r="W51" s="7" t="str">
        <f t="shared" si="1"/>
        <v/>
      </c>
      <c r="X51" s="506" t="str">
        <f t="shared" si="2"/>
        <v/>
      </c>
    </row>
    <row r="52" spans="1:24" x14ac:dyDescent="0.25">
      <c r="A52" s="66" t="str">
        <f t="shared" si="4"/>
        <v/>
      </c>
      <c r="B52" s="23" t="str">
        <f t="shared" si="0"/>
        <v/>
      </c>
      <c r="C52" s="15"/>
      <c r="D52" s="16"/>
      <c r="E52" s="17"/>
      <c r="F52" s="18"/>
      <c r="G52" s="18"/>
      <c r="H52" s="19"/>
      <c r="I52" s="15"/>
      <c r="J52" s="20"/>
      <c r="K52" s="15"/>
      <c r="L52" s="15"/>
      <c r="M52" s="531" t="str">
        <f>CONCATENATE(IF(OR(L52=phu!$I$1,L52=phu!$I$2,L52=phu!$I$3),"Cam Thành Nam",""),IF(OR(L52=phu!$I$4,L52=phu!$I$5,L52=phu!$I$6,L52=phu!$I$7,L52=phu!$I$8,L52=phu!$I$9,L52=phu!$I$10,L52=phu!$I$11,L52=phu!$I$12,L52=phu!$I$13,L52=phu!$I$14),"Cam Nghĩa",""),IF(OR(L52=phu!$I$15,L52=phu!$I$16,L52=phu!$I$17,L52=phu!$I$18,L52=phu!$I$19,L52=phu!$I$20,L52=phu!$I$21),"Cam Phúc Bắc",""),IF(OR(L52=phu!$I$22,L52=phu!$I$23,L52=phu!$I$24,L52=phu!$I$25),"Cam Phúc Nam",""),IF(OR(L52=phu!$I$26,L52=phu!$I$27,L52=phu!$I$28,L52=phu!$I$29,L52=phu!$I$30,L52=phu!$I$31),"Cam Phú",""),IF(OR(L52=phu!$I$32,L52=phu!$I$33,L52=phu!$I$34,L52=phu!$I$35,L52=phu!$I$36,L52=phu!$I$37),"Cam Lộc",""),IF(OR(L52=phu!$I$38,L52=phu!$I$39,L52=phu!$I$40,L52=phu!$I$41,L52=phu!$I$42,L52=phu!$I$43,L52=phu!$I$44),"Cam Thuận",""),IF(OR(L52=phu!$I$45,L52=phu!$I$46,L52=phu!$I$47,L52=phu!$I$48,L52=phu!$I$49,L52=phu!$I$50,L52=phu!$I$51,L52=phu!$I$52,L52=phu!$I$53),"Cam Linh",""),IF(OR(L52=phu!$I$54,L52=phu!$I$55,L52=phu!$I$56,L52=phu!$I$57,L52=phu!$I$58,L52=phu!$I$59,L52=phu!$I$60,L52=phu!$I$61,L52=phu!$I$62),"Cam Lợi",""),IF(OR(L52=phu!$I$63,L52=phu!$I$64,L52=phu!$I$65,L52=phu!$I$66,L52=phu!$I$67,L52=phu!$I$68,L52=phu!$I$69,L52=phu!$I$70,L52=phu!$I$71),"Ba Ngòi",""),IF(OR(L52=phu!$I$72,L52=phu!$I$73,L52=phu!$I$74,L52=phu!$I$75,L52=phu!$I$76,L52=phu!$I$77,L52=phu!$I$78),"Cam Phước Đông",""),IF(OR(L52=phu!$I$79,L52=phu!$I$80,L52=phu!$I$81,L52=phu!$I$82,L52=phu!$I$83,L52=phu!$I$84),"Cam Thịnh Đông",""),IF(OR(L52=phu!$I$85,L52=phu!$I$86,L52=phu!$I$87,L52=phu!$I$88),"Cam Thịnh Tây",""),IF(OR(L52=phu!$I$89,L52=phu!$I$90),"Cam Lập",""),IF(OR(L52=phu!$I$91,L52=phu!$I$92,L52=phu!$I$93),"Cam Bình",""),IF(OR(L52=phu!$I$94,L52=phu!$I$95,L52=phu!$I$96,L52=phu!$I$97,L52=phu!$I$98,L52=phu!$I$99,L52=phu!$I$100),"Huyện khác",""),IF(OR(L52=phu!$I$101,L52=phu!$I$102),"Tỉnh khác",""))</f>
        <v/>
      </c>
      <c r="N52" s="835" t="str">
        <f t="shared" si="3"/>
        <v/>
      </c>
      <c r="O52" s="20"/>
      <c r="P52" s="20"/>
      <c r="Q52" s="20"/>
      <c r="R52" s="20"/>
      <c r="S52" s="20"/>
      <c r="T52" s="21"/>
      <c r="U52" s="21"/>
      <c r="V52" s="21"/>
      <c r="W52" s="7" t="str">
        <f t="shared" si="1"/>
        <v/>
      </c>
      <c r="X52" s="506" t="str">
        <f t="shared" si="2"/>
        <v/>
      </c>
    </row>
    <row r="53" spans="1:24" x14ac:dyDescent="0.25">
      <c r="A53" s="66" t="str">
        <f t="shared" si="4"/>
        <v/>
      </c>
      <c r="B53" s="23" t="str">
        <f t="shared" si="0"/>
        <v/>
      </c>
      <c r="C53" s="15"/>
      <c r="D53" s="16"/>
      <c r="E53" s="17"/>
      <c r="F53" s="18"/>
      <c r="G53" s="18"/>
      <c r="H53" s="19"/>
      <c r="I53" s="15"/>
      <c r="J53" s="20"/>
      <c r="K53" s="15"/>
      <c r="L53" s="15"/>
      <c r="M53" s="531" t="str">
        <f>CONCATENATE(IF(OR(L53=phu!$I$1,L53=phu!$I$2,L53=phu!$I$3),"Cam Thành Nam",""),IF(OR(L53=phu!$I$4,L53=phu!$I$5,L53=phu!$I$6,L53=phu!$I$7,L53=phu!$I$8,L53=phu!$I$9,L53=phu!$I$10,L53=phu!$I$11,L53=phu!$I$12,L53=phu!$I$13,L53=phu!$I$14),"Cam Nghĩa",""),IF(OR(L53=phu!$I$15,L53=phu!$I$16,L53=phu!$I$17,L53=phu!$I$18,L53=phu!$I$19,L53=phu!$I$20,L53=phu!$I$21),"Cam Phúc Bắc",""),IF(OR(L53=phu!$I$22,L53=phu!$I$23,L53=phu!$I$24,L53=phu!$I$25),"Cam Phúc Nam",""),IF(OR(L53=phu!$I$26,L53=phu!$I$27,L53=phu!$I$28,L53=phu!$I$29,L53=phu!$I$30,L53=phu!$I$31),"Cam Phú",""),IF(OR(L53=phu!$I$32,L53=phu!$I$33,L53=phu!$I$34,L53=phu!$I$35,L53=phu!$I$36,L53=phu!$I$37),"Cam Lộc",""),IF(OR(L53=phu!$I$38,L53=phu!$I$39,L53=phu!$I$40,L53=phu!$I$41,L53=phu!$I$42,L53=phu!$I$43,L53=phu!$I$44),"Cam Thuận",""),IF(OR(L53=phu!$I$45,L53=phu!$I$46,L53=phu!$I$47,L53=phu!$I$48,L53=phu!$I$49,L53=phu!$I$50,L53=phu!$I$51,L53=phu!$I$52,L53=phu!$I$53),"Cam Linh",""),IF(OR(L53=phu!$I$54,L53=phu!$I$55,L53=phu!$I$56,L53=phu!$I$57,L53=phu!$I$58,L53=phu!$I$59,L53=phu!$I$60,L53=phu!$I$61,L53=phu!$I$62),"Cam Lợi",""),IF(OR(L53=phu!$I$63,L53=phu!$I$64,L53=phu!$I$65,L53=phu!$I$66,L53=phu!$I$67,L53=phu!$I$68,L53=phu!$I$69,L53=phu!$I$70,L53=phu!$I$71),"Ba Ngòi",""),IF(OR(L53=phu!$I$72,L53=phu!$I$73,L53=phu!$I$74,L53=phu!$I$75,L53=phu!$I$76,L53=phu!$I$77,L53=phu!$I$78),"Cam Phước Đông",""),IF(OR(L53=phu!$I$79,L53=phu!$I$80,L53=phu!$I$81,L53=phu!$I$82,L53=phu!$I$83,L53=phu!$I$84),"Cam Thịnh Đông",""),IF(OR(L53=phu!$I$85,L53=phu!$I$86,L53=phu!$I$87,L53=phu!$I$88),"Cam Thịnh Tây",""),IF(OR(L53=phu!$I$89,L53=phu!$I$90),"Cam Lập",""),IF(OR(L53=phu!$I$91,L53=phu!$I$92,L53=phu!$I$93),"Cam Bình",""),IF(OR(L53=phu!$I$94,L53=phu!$I$95,L53=phu!$I$96,L53=phu!$I$97,L53=phu!$I$98,L53=phu!$I$99,L53=phu!$I$100),"Huyện khác",""),IF(OR(L53=phu!$I$101,L53=phu!$I$102),"Tỉnh khác",""))</f>
        <v/>
      </c>
      <c r="N53" s="835" t="str">
        <f t="shared" si="3"/>
        <v/>
      </c>
      <c r="O53" s="20"/>
      <c r="P53" s="20"/>
      <c r="Q53" s="20"/>
      <c r="R53" s="20"/>
      <c r="S53" s="20"/>
      <c r="T53" s="21"/>
      <c r="U53" s="21"/>
      <c r="V53" s="21"/>
      <c r="W53" s="7" t="str">
        <f t="shared" si="1"/>
        <v/>
      </c>
      <c r="X53" s="506" t="str">
        <f t="shared" si="2"/>
        <v/>
      </c>
    </row>
    <row r="54" spans="1:24" x14ac:dyDescent="0.25">
      <c r="A54" s="66" t="str">
        <f t="shared" si="4"/>
        <v/>
      </c>
      <c r="B54" s="23" t="str">
        <f t="shared" si="0"/>
        <v/>
      </c>
      <c r="C54" s="15"/>
      <c r="D54" s="16"/>
      <c r="E54" s="17"/>
      <c r="F54" s="18"/>
      <c r="G54" s="18"/>
      <c r="H54" s="19"/>
      <c r="I54" s="15"/>
      <c r="J54" s="20"/>
      <c r="K54" s="15"/>
      <c r="L54" s="15"/>
      <c r="M54" s="531" t="str">
        <f>CONCATENATE(IF(OR(L54=phu!$I$1,L54=phu!$I$2,L54=phu!$I$3),"Cam Thành Nam",""),IF(OR(L54=phu!$I$4,L54=phu!$I$5,L54=phu!$I$6,L54=phu!$I$7,L54=phu!$I$8,L54=phu!$I$9,L54=phu!$I$10,L54=phu!$I$11,L54=phu!$I$12,L54=phu!$I$13,L54=phu!$I$14),"Cam Nghĩa",""),IF(OR(L54=phu!$I$15,L54=phu!$I$16,L54=phu!$I$17,L54=phu!$I$18,L54=phu!$I$19,L54=phu!$I$20,L54=phu!$I$21),"Cam Phúc Bắc",""),IF(OR(L54=phu!$I$22,L54=phu!$I$23,L54=phu!$I$24,L54=phu!$I$25),"Cam Phúc Nam",""),IF(OR(L54=phu!$I$26,L54=phu!$I$27,L54=phu!$I$28,L54=phu!$I$29,L54=phu!$I$30,L54=phu!$I$31),"Cam Phú",""),IF(OR(L54=phu!$I$32,L54=phu!$I$33,L54=phu!$I$34,L54=phu!$I$35,L54=phu!$I$36,L54=phu!$I$37),"Cam Lộc",""),IF(OR(L54=phu!$I$38,L54=phu!$I$39,L54=phu!$I$40,L54=phu!$I$41,L54=phu!$I$42,L54=phu!$I$43,L54=phu!$I$44),"Cam Thuận",""),IF(OR(L54=phu!$I$45,L54=phu!$I$46,L54=phu!$I$47,L54=phu!$I$48,L54=phu!$I$49,L54=phu!$I$50,L54=phu!$I$51,L54=phu!$I$52,L54=phu!$I$53),"Cam Linh",""),IF(OR(L54=phu!$I$54,L54=phu!$I$55,L54=phu!$I$56,L54=phu!$I$57,L54=phu!$I$58,L54=phu!$I$59,L54=phu!$I$60,L54=phu!$I$61,L54=phu!$I$62),"Cam Lợi",""),IF(OR(L54=phu!$I$63,L54=phu!$I$64,L54=phu!$I$65,L54=phu!$I$66,L54=phu!$I$67,L54=phu!$I$68,L54=phu!$I$69,L54=phu!$I$70,L54=phu!$I$71),"Ba Ngòi",""),IF(OR(L54=phu!$I$72,L54=phu!$I$73,L54=phu!$I$74,L54=phu!$I$75,L54=phu!$I$76,L54=phu!$I$77,L54=phu!$I$78),"Cam Phước Đông",""),IF(OR(L54=phu!$I$79,L54=phu!$I$80,L54=phu!$I$81,L54=phu!$I$82,L54=phu!$I$83,L54=phu!$I$84),"Cam Thịnh Đông",""),IF(OR(L54=phu!$I$85,L54=phu!$I$86,L54=phu!$I$87,L54=phu!$I$88),"Cam Thịnh Tây",""),IF(OR(L54=phu!$I$89,L54=phu!$I$90),"Cam Lập",""),IF(OR(L54=phu!$I$91,L54=phu!$I$92,L54=phu!$I$93),"Cam Bình",""),IF(OR(L54=phu!$I$94,L54=phu!$I$95,L54=phu!$I$96,L54=phu!$I$97,L54=phu!$I$98,L54=phu!$I$99,L54=phu!$I$100),"Huyện khác",""),IF(OR(L54=phu!$I$101,L54=phu!$I$102),"Tỉnh khác",""))</f>
        <v/>
      </c>
      <c r="N54" s="835" t="str">
        <f t="shared" si="3"/>
        <v/>
      </c>
      <c r="O54" s="20"/>
      <c r="P54" s="20"/>
      <c r="Q54" s="20"/>
      <c r="R54" s="20"/>
      <c r="S54" s="20"/>
      <c r="T54" s="21"/>
      <c r="U54" s="21"/>
      <c r="V54" s="21"/>
      <c r="W54" s="7" t="str">
        <f t="shared" si="1"/>
        <v/>
      </c>
      <c r="X54" s="506" t="str">
        <f t="shared" si="2"/>
        <v/>
      </c>
    </row>
    <row r="55" spans="1:24" x14ac:dyDescent="0.25">
      <c r="A55" s="66" t="str">
        <f t="shared" si="4"/>
        <v/>
      </c>
      <c r="B55" s="23" t="str">
        <f t="shared" si="0"/>
        <v/>
      </c>
      <c r="C55" s="15"/>
      <c r="D55" s="16"/>
      <c r="E55" s="17"/>
      <c r="F55" s="18"/>
      <c r="G55" s="18"/>
      <c r="H55" s="19"/>
      <c r="I55" s="15"/>
      <c r="J55" s="20"/>
      <c r="K55" s="15"/>
      <c r="L55" s="15"/>
      <c r="M55" s="531" t="str">
        <f>CONCATENATE(IF(OR(L55=phu!$I$1,L55=phu!$I$2,L55=phu!$I$3),"Cam Thành Nam",""),IF(OR(L55=phu!$I$4,L55=phu!$I$5,L55=phu!$I$6,L55=phu!$I$7,L55=phu!$I$8,L55=phu!$I$9,L55=phu!$I$10,L55=phu!$I$11,L55=phu!$I$12,L55=phu!$I$13,L55=phu!$I$14),"Cam Nghĩa",""),IF(OR(L55=phu!$I$15,L55=phu!$I$16,L55=phu!$I$17,L55=phu!$I$18,L55=phu!$I$19,L55=phu!$I$20,L55=phu!$I$21),"Cam Phúc Bắc",""),IF(OR(L55=phu!$I$22,L55=phu!$I$23,L55=phu!$I$24,L55=phu!$I$25),"Cam Phúc Nam",""),IF(OR(L55=phu!$I$26,L55=phu!$I$27,L55=phu!$I$28,L55=phu!$I$29,L55=phu!$I$30,L55=phu!$I$31),"Cam Phú",""),IF(OR(L55=phu!$I$32,L55=phu!$I$33,L55=phu!$I$34,L55=phu!$I$35,L55=phu!$I$36,L55=phu!$I$37),"Cam Lộc",""),IF(OR(L55=phu!$I$38,L55=phu!$I$39,L55=phu!$I$40,L55=phu!$I$41,L55=phu!$I$42,L55=phu!$I$43,L55=phu!$I$44),"Cam Thuận",""),IF(OR(L55=phu!$I$45,L55=phu!$I$46,L55=phu!$I$47,L55=phu!$I$48,L55=phu!$I$49,L55=phu!$I$50,L55=phu!$I$51,L55=phu!$I$52,L55=phu!$I$53),"Cam Linh",""),IF(OR(L55=phu!$I$54,L55=phu!$I$55,L55=phu!$I$56,L55=phu!$I$57,L55=phu!$I$58,L55=phu!$I$59,L55=phu!$I$60,L55=phu!$I$61,L55=phu!$I$62),"Cam Lợi",""),IF(OR(L55=phu!$I$63,L55=phu!$I$64,L55=phu!$I$65,L55=phu!$I$66,L55=phu!$I$67,L55=phu!$I$68,L55=phu!$I$69,L55=phu!$I$70,L55=phu!$I$71),"Ba Ngòi",""),IF(OR(L55=phu!$I$72,L55=phu!$I$73,L55=phu!$I$74,L55=phu!$I$75,L55=phu!$I$76,L55=phu!$I$77,L55=phu!$I$78),"Cam Phước Đông",""),IF(OR(L55=phu!$I$79,L55=phu!$I$80,L55=phu!$I$81,L55=phu!$I$82,L55=phu!$I$83,L55=phu!$I$84),"Cam Thịnh Đông",""),IF(OR(L55=phu!$I$85,L55=phu!$I$86,L55=phu!$I$87,L55=phu!$I$88),"Cam Thịnh Tây",""),IF(OR(L55=phu!$I$89,L55=phu!$I$90),"Cam Lập",""),IF(OR(L55=phu!$I$91,L55=phu!$I$92,L55=phu!$I$93),"Cam Bình",""),IF(OR(L55=phu!$I$94,L55=phu!$I$95,L55=phu!$I$96,L55=phu!$I$97,L55=phu!$I$98,L55=phu!$I$99,L55=phu!$I$100),"Huyện khác",""),IF(OR(L55=phu!$I$101,L55=phu!$I$102),"Tỉnh khác",""))</f>
        <v/>
      </c>
      <c r="N55" s="835" t="str">
        <f t="shared" si="3"/>
        <v/>
      </c>
      <c r="O55" s="20"/>
      <c r="P55" s="20"/>
      <c r="Q55" s="20"/>
      <c r="R55" s="20"/>
      <c r="S55" s="20"/>
      <c r="T55" s="21"/>
      <c r="U55" s="21"/>
      <c r="V55" s="21"/>
      <c r="W55" s="7" t="str">
        <f t="shared" si="1"/>
        <v/>
      </c>
      <c r="X55" s="506" t="str">
        <f t="shared" si="2"/>
        <v/>
      </c>
    </row>
    <row r="56" spans="1:24" x14ac:dyDescent="0.25">
      <c r="A56" s="66" t="str">
        <f t="shared" si="4"/>
        <v/>
      </c>
      <c r="B56" s="23" t="str">
        <f t="shared" si="0"/>
        <v/>
      </c>
      <c r="C56" s="15"/>
      <c r="D56" s="16"/>
      <c r="E56" s="17"/>
      <c r="F56" s="18"/>
      <c r="G56" s="18"/>
      <c r="H56" s="19"/>
      <c r="I56" s="15"/>
      <c r="J56" s="20"/>
      <c r="K56" s="15"/>
      <c r="L56" s="15"/>
      <c r="M56" s="531" t="str">
        <f>CONCATENATE(IF(OR(L56=phu!$I$1,L56=phu!$I$2,L56=phu!$I$3),"Cam Thành Nam",""),IF(OR(L56=phu!$I$4,L56=phu!$I$5,L56=phu!$I$6,L56=phu!$I$7,L56=phu!$I$8,L56=phu!$I$9,L56=phu!$I$10,L56=phu!$I$11,L56=phu!$I$12,L56=phu!$I$13,L56=phu!$I$14),"Cam Nghĩa",""),IF(OR(L56=phu!$I$15,L56=phu!$I$16,L56=phu!$I$17,L56=phu!$I$18,L56=phu!$I$19,L56=phu!$I$20,L56=phu!$I$21),"Cam Phúc Bắc",""),IF(OR(L56=phu!$I$22,L56=phu!$I$23,L56=phu!$I$24,L56=phu!$I$25),"Cam Phúc Nam",""),IF(OR(L56=phu!$I$26,L56=phu!$I$27,L56=phu!$I$28,L56=phu!$I$29,L56=phu!$I$30,L56=phu!$I$31),"Cam Phú",""),IF(OR(L56=phu!$I$32,L56=phu!$I$33,L56=phu!$I$34,L56=phu!$I$35,L56=phu!$I$36,L56=phu!$I$37),"Cam Lộc",""),IF(OR(L56=phu!$I$38,L56=phu!$I$39,L56=phu!$I$40,L56=phu!$I$41,L56=phu!$I$42,L56=phu!$I$43,L56=phu!$I$44),"Cam Thuận",""),IF(OR(L56=phu!$I$45,L56=phu!$I$46,L56=phu!$I$47,L56=phu!$I$48,L56=phu!$I$49,L56=phu!$I$50,L56=phu!$I$51,L56=phu!$I$52,L56=phu!$I$53),"Cam Linh",""),IF(OR(L56=phu!$I$54,L56=phu!$I$55,L56=phu!$I$56,L56=phu!$I$57,L56=phu!$I$58,L56=phu!$I$59,L56=phu!$I$60,L56=phu!$I$61,L56=phu!$I$62),"Cam Lợi",""),IF(OR(L56=phu!$I$63,L56=phu!$I$64,L56=phu!$I$65,L56=phu!$I$66,L56=phu!$I$67,L56=phu!$I$68,L56=phu!$I$69,L56=phu!$I$70,L56=phu!$I$71),"Ba Ngòi",""),IF(OR(L56=phu!$I$72,L56=phu!$I$73,L56=phu!$I$74,L56=phu!$I$75,L56=phu!$I$76,L56=phu!$I$77,L56=phu!$I$78),"Cam Phước Đông",""),IF(OR(L56=phu!$I$79,L56=phu!$I$80,L56=phu!$I$81,L56=phu!$I$82,L56=phu!$I$83,L56=phu!$I$84),"Cam Thịnh Đông",""),IF(OR(L56=phu!$I$85,L56=phu!$I$86,L56=phu!$I$87,L56=phu!$I$88),"Cam Thịnh Tây",""),IF(OR(L56=phu!$I$89,L56=phu!$I$90),"Cam Lập",""),IF(OR(L56=phu!$I$91,L56=phu!$I$92,L56=phu!$I$93),"Cam Bình",""),IF(OR(L56=phu!$I$94,L56=phu!$I$95,L56=phu!$I$96,L56=phu!$I$97,L56=phu!$I$98,L56=phu!$I$99,L56=phu!$I$100),"Huyện khác",""),IF(OR(L56=phu!$I$101,L56=phu!$I$102),"Tỉnh khác",""))</f>
        <v/>
      </c>
      <c r="N56" s="835" t="str">
        <f t="shared" si="3"/>
        <v/>
      </c>
      <c r="O56" s="20"/>
      <c r="P56" s="20"/>
      <c r="Q56" s="20"/>
      <c r="R56" s="20"/>
      <c r="S56" s="20"/>
      <c r="T56" s="21"/>
      <c r="U56" s="21"/>
      <c r="V56" s="21"/>
      <c r="W56" s="7" t="str">
        <f t="shared" si="1"/>
        <v/>
      </c>
      <c r="X56" s="506" t="str">
        <f t="shared" si="2"/>
        <v/>
      </c>
    </row>
    <row r="57" spans="1:24" x14ac:dyDescent="0.25">
      <c r="A57" s="66" t="str">
        <f t="shared" si="4"/>
        <v/>
      </c>
      <c r="B57" s="23" t="str">
        <f t="shared" si="0"/>
        <v/>
      </c>
      <c r="C57" s="15"/>
      <c r="D57" s="16"/>
      <c r="E57" s="17"/>
      <c r="F57" s="18"/>
      <c r="G57" s="18"/>
      <c r="H57" s="19"/>
      <c r="I57" s="15"/>
      <c r="J57" s="20"/>
      <c r="K57" s="15"/>
      <c r="L57" s="15"/>
      <c r="M57" s="531" t="str">
        <f>CONCATENATE(IF(OR(L57=phu!$I$1,L57=phu!$I$2,L57=phu!$I$3),"Cam Thành Nam",""),IF(OR(L57=phu!$I$4,L57=phu!$I$5,L57=phu!$I$6,L57=phu!$I$7,L57=phu!$I$8,L57=phu!$I$9,L57=phu!$I$10,L57=phu!$I$11,L57=phu!$I$12,L57=phu!$I$13,L57=phu!$I$14),"Cam Nghĩa",""),IF(OR(L57=phu!$I$15,L57=phu!$I$16,L57=phu!$I$17,L57=phu!$I$18,L57=phu!$I$19,L57=phu!$I$20,L57=phu!$I$21),"Cam Phúc Bắc",""),IF(OR(L57=phu!$I$22,L57=phu!$I$23,L57=phu!$I$24,L57=phu!$I$25),"Cam Phúc Nam",""),IF(OR(L57=phu!$I$26,L57=phu!$I$27,L57=phu!$I$28,L57=phu!$I$29,L57=phu!$I$30,L57=phu!$I$31),"Cam Phú",""),IF(OR(L57=phu!$I$32,L57=phu!$I$33,L57=phu!$I$34,L57=phu!$I$35,L57=phu!$I$36,L57=phu!$I$37),"Cam Lộc",""),IF(OR(L57=phu!$I$38,L57=phu!$I$39,L57=phu!$I$40,L57=phu!$I$41,L57=phu!$I$42,L57=phu!$I$43,L57=phu!$I$44),"Cam Thuận",""),IF(OR(L57=phu!$I$45,L57=phu!$I$46,L57=phu!$I$47,L57=phu!$I$48,L57=phu!$I$49,L57=phu!$I$50,L57=phu!$I$51,L57=phu!$I$52,L57=phu!$I$53),"Cam Linh",""),IF(OR(L57=phu!$I$54,L57=phu!$I$55,L57=phu!$I$56,L57=phu!$I$57,L57=phu!$I$58,L57=phu!$I$59,L57=phu!$I$60,L57=phu!$I$61,L57=phu!$I$62),"Cam Lợi",""),IF(OR(L57=phu!$I$63,L57=phu!$I$64,L57=phu!$I$65,L57=phu!$I$66,L57=phu!$I$67,L57=phu!$I$68,L57=phu!$I$69,L57=phu!$I$70,L57=phu!$I$71),"Ba Ngòi",""),IF(OR(L57=phu!$I$72,L57=phu!$I$73,L57=phu!$I$74,L57=phu!$I$75,L57=phu!$I$76,L57=phu!$I$77,L57=phu!$I$78),"Cam Phước Đông",""),IF(OR(L57=phu!$I$79,L57=phu!$I$80,L57=phu!$I$81,L57=phu!$I$82,L57=phu!$I$83,L57=phu!$I$84),"Cam Thịnh Đông",""),IF(OR(L57=phu!$I$85,L57=phu!$I$86,L57=phu!$I$87,L57=phu!$I$88),"Cam Thịnh Tây",""),IF(OR(L57=phu!$I$89,L57=phu!$I$90),"Cam Lập",""),IF(OR(L57=phu!$I$91,L57=phu!$I$92,L57=phu!$I$93),"Cam Bình",""),IF(OR(L57=phu!$I$94,L57=phu!$I$95,L57=phu!$I$96,L57=phu!$I$97,L57=phu!$I$98,L57=phu!$I$99,L57=phu!$I$100),"Huyện khác",""),IF(OR(L57=phu!$I$101,L57=phu!$I$102),"Tỉnh khác",""))</f>
        <v/>
      </c>
      <c r="N57" s="835" t="str">
        <f t="shared" si="3"/>
        <v/>
      </c>
      <c r="O57" s="20"/>
      <c r="P57" s="20"/>
      <c r="Q57" s="20"/>
      <c r="R57" s="20"/>
      <c r="S57" s="20"/>
      <c r="T57" s="21"/>
      <c r="U57" s="21"/>
      <c r="V57" s="21"/>
      <c r="W57" s="7" t="str">
        <f t="shared" si="1"/>
        <v/>
      </c>
      <c r="X57" s="506" t="str">
        <f t="shared" si="2"/>
        <v/>
      </c>
    </row>
    <row r="58" spans="1:24" x14ac:dyDescent="0.25">
      <c r="A58" s="66" t="str">
        <f t="shared" si="4"/>
        <v/>
      </c>
      <c r="B58" s="23" t="str">
        <f t="shared" si="0"/>
        <v/>
      </c>
      <c r="C58" s="15"/>
      <c r="D58" s="16"/>
      <c r="E58" s="17"/>
      <c r="F58" s="18"/>
      <c r="G58" s="18"/>
      <c r="H58" s="19"/>
      <c r="I58" s="15"/>
      <c r="J58" s="20"/>
      <c r="K58" s="15"/>
      <c r="L58" s="15"/>
      <c r="M58" s="531" t="str">
        <f>CONCATENATE(IF(OR(L58=phu!$I$1,L58=phu!$I$2,L58=phu!$I$3),"Cam Thành Nam",""),IF(OR(L58=phu!$I$4,L58=phu!$I$5,L58=phu!$I$6,L58=phu!$I$7,L58=phu!$I$8,L58=phu!$I$9,L58=phu!$I$10,L58=phu!$I$11,L58=phu!$I$12,L58=phu!$I$13,L58=phu!$I$14),"Cam Nghĩa",""),IF(OR(L58=phu!$I$15,L58=phu!$I$16,L58=phu!$I$17,L58=phu!$I$18,L58=phu!$I$19,L58=phu!$I$20,L58=phu!$I$21),"Cam Phúc Bắc",""),IF(OR(L58=phu!$I$22,L58=phu!$I$23,L58=phu!$I$24,L58=phu!$I$25),"Cam Phúc Nam",""),IF(OR(L58=phu!$I$26,L58=phu!$I$27,L58=phu!$I$28,L58=phu!$I$29,L58=phu!$I$30,L58=phu!$I$31),"Cam Phú",""),IF(OR(L58=phu!$I$32,L58=phu!$I$33,L58=phu!$I$34,L58=phu!$I$35,L58=phu!$I$36,L58=phu!$I$37),"Cam Lộc",""),IF(OR(L58=phu!$I$38,L58=phu!$I$39,L58=phu!$I$40,L58=phu!$I$41,L58=phu!$I$42,L58=phu!$I$43,L58=phu!$I$44),"Cam Thuận",""),IF(OR(L58=phu!$I$45,L58=phu!$I$46,L58=phu!$I$47,L58=phu!$I$48,L58=phu!$I$49,L58=phu!$I$50,L58=phu!$I$51,L58=phu!$I$52,L58=phu!$I$53),"Cam Linh",""),IF(OR(L58=phu!$I$54,L58=phu!$I$55,L58=phu!$I$56,L58=phu!$I$57,L58=phu!$I$58,L58=phu!$I$59,L58=phu!$I$60,L58=phu!$I$61,L58=phu!$I$62),"Cam Lợi",""),IF(OR(L58=phu!$I$63,L58=phu!$I$64,L58=phu!$I$65,L58=phu!$I$66,L58=phu!$I$67,L58=phu!$I$68,L58=phu!$I$69,L58=phu!$I$70,L58=phu!$I$71),"Ba Ngòi",""),IF(OR(L58=phu!$I$72,L58=phu!$I$73,L58=phu!$I$74,L58=phu!$I$75,L58=phu!$I$76,L58=phu!$I$77,L58=phu!$I$78),"Cam Phước Đông",""),IF(OR(L58=phu!$I$79,L58=phu!$I$80,L58=phu!$I$81,L58=phu!$I$82,L58=phu!$I$83,L58=phu!$I$84),"Cam Thịnh Đông",""),IF(OR(L58=phu!$I$85,L58=phu!$I$86,L58=phu!$I$87,L58=phu!$I$88),"Cam Thịnh Tây",""),IF(OR(L58=phu!$I$89,L58=phu!$I$90),"Cam Lập",""),IF(OR(L58=phu!$I$91,L58=phu!$I$92,L58=phu!$I$93),"Cam Bình",""),IF(OR(L58=phu!$I$94,L58=phu!$I$95,L58=phu!$I$96,L58=phu!$I$97,L58=phu!$I$98,L58=phu!$I$99,L58=phu!$I$100),"Huyện khác",""),IF(OR(L58=phu!$I$101,L58=phu!$I$102),"Tỉnh khác",""))</f>
        <v/>
      </c>
      <c r="N58" s="835" t="str">
        <f t="shared" si="3"/>
        <v/>
      </c>
      <c r="O58" s="20"/>
      <c r="P58" s="20"/>
      <c r="Q58" s="20"/>
      <c r="R58" s="20"/>
      <c r="S58" s="20"/>
      <c r="T58" s="21"/>
      <c r="U58" s="21"/>
      <c r="V58" s="21"/>
      <c r="W58" s="7" t="str">
        <f t="shared" si="1"/>
        <v/>
      </c>
      <c r="X58" s="506" t="str">
        <f t="shared" si="2"/>
        <v/>
      </c>
    </row>
    <row r="59" spans="1:24" x14ac:dyDescent="0.25">
      <c r="A59" s="66" t="str">
        <f t="shared" si="4"/>
        <v/>
      </c>
      <c r="B59" s="23" t="str">
        <f t="shared" si="0"/>
        <v/>
      </c>
      <c r="C59" s="15"/>
      <c r="D59" s="16"/>
      <c r="E59" s="17"/>
      <c r="F59" s="18"/>
      <c r="G59" s="18"/>
      <c r="H59" s="19"/>
      <c r="I59" s="15"/>
      <c r="J59" s="20"/>
      <c r="K59" s="15"/>
      <c r="L59" s="15"/>
      <c r="M59" s="531" t="str">
        <f>CONCATENATE(IF(OR(L59=phu!$I$1,L59=phu!$I$2,L59=phu!$I$3),"Cam Thành Nam",""),IF(OR(L59=phu!$I$4,L59=phu!$I$5,L59=phu!$I$6,L59=phu!$I$7,L59=phu!$I$8,L59=phu!$I$9,L59=phu!$I$10,L59=phu!$I$11,L59=phu!$I$12,L59=phu!$I$13,L59=phu!$I$14),"Cam Nghĩa",""),IF(OR(L59=phu!$I$15,L59=phu!$I$16,L59=phu!$I$17,L59=phu!$I$18,L59=phu!$I$19,L59=phu!$I$20,L59=phu!$I$21),"Cam Phúc Bắc",""),IF(OR(L59=phu!$I$22,L59=phu!$I$23,L59=phu!$I$24,L59=phu!$I$25),"Cam Phúc Nam",""),IF(OR(L59=phu!$I$26,L59=phu!$I$27,L59=phu!$I$28,L59=phu!$I$29,L59=phu!$I$30,L59=phu!$I$31),"Cam Phú",""),IF(OR(L59=phu!$I$32,L59=phu!$I$33,L59=phu!$I$34,L59=phu!$I$35,L59=phu!$I$36,L59=phu!$I$37),"Cam Lộc",""),IF(OR(L59=phu!$I$38,L59=phu!$I$39,L59=phu!$I$40,L59=phu!$I$41,L59=phu!$I$42,L59=phu!$I$43,L59=phu!$I$44),"Cam Thuận",""),IF(OR(L59=phu!$I$45,L59=phu!$I$46,L59=phu!$I$47,L59=phu!$I$48,L59=phu!$I$49,L59=phu!$I$50,L59=phu!$I$51,L59=phu!$I$52,L59=phu!$I$53),"Cam Linh",""),IF(OR(L59=phu!$I$54,L59=phu!$I$55,L59=phu!$I$56,L59=phu!$I$57,L59=phu!$I$58,L59=phu!$I$59,L59=phu!$I$60,L59=phu!$I$61,L59=phu!$I$62),"Cam Lợi",""),IF(OR(L59=phu!$I$63,L59=phu!$I$64,L59=phu!$I$65,L59=phu!$I$66,L59=phu!$I$67,L59=phu!$I$68,L59=phu!$I$69,L59=phu!$I$70,L59=phu!$I$71),"Ba Ngòi",""),IF(OR(L59=phu!$I$72,L59=phu!$I$73,L59=phu!$I$74,L59=phu!$I$75,L59=phu!$I$76,L59=phu!$I$77,L59=phu!$I$78),"Cam Phước Đông",""),IF(OR(L59=phu!$I$79,L59=phu!$I$80,L59=phu!$I$81,L59=phu!$I$82,L59=phu!$I$83,L59=phu!$I$84),"Cam Thịnh Đông",""),IF(OR(L59=phu!$I$85,L59=phu!$I$86,L59=phu!$I$87,L59=phu!$I$88),"Cam Thịnh Tây",""),IF(OR(L59=phu!$I$89,L59=phu!$I$90),"Cam Lập",""),IF(OR(L59=phu!$I$91,L59=phu!$I$92,L59=phu!$I$93),"Cam Bình",""),IF(OR(L59=phu!$I$94,L59=phu!$I$95,L59=phu!$I$96,L59=phu!$I$97,L59=phu!$I$98,L59=phu!$I$99,L59=phu!$I$100),"Huyện khác",""),IF(OR(L59=phu!$I$101,L59=phu!$I$102),"Tỉnh khác",""))</f>
        <v/>
      </c>
      <c r="N59" s="835" t="str">
        <f t="shared" si="3"/>
        <v/>
      </c>
      <c r="O59" s="20"/>
      <c r="P59" s="20"/>
      <c r="Q59" s="20"/>
      <c r="R59" s="20"/>
      <c r="S59" s="20"/>
      <c r="T59" s="21"/>
      <c r="U59" s="21"/>
      <c r="V59" s="21"/>
      <c r="W59" s="7" t="str">
        <f t="shared" si="1"/>
        <v/>
      </c>
      <c r="X59" s="506" t="str">
        <f t="shared" si="2"/>
        <v/>
      </c>
    </row>
    <row r="60" spans="1:24" x14ac:dyDescent="0.25">
      <c r="A60" s="66" t="str">
        <f t="shared" si="4"/>
        <v/>
      </c>
      <c r="B60" s="23" t="str">
        <f t="shared" si="0"/>
        <v/>
      </c>
      <c r="C60" s="15"/>
      <c r="D60" s="16"/>
      <c r="E60" s="17"/>
      <c r="F60" s="18"/>
      <c r="G60" s="18"/>
      <c r="H60" s="19"/>
      <c r="I60" s="15"/>
      <c r="J60" s="20"/>
      <c r="K60" s="15"/>
      <c r="L60" s="15"/>
      <c r="M60" s="531" t="str">
        <f>CONCATENATE(IF(OR(L60=phu!$I$1,L60=phu!$I$2,L60=phu!$I$3),"Cam Thành Nam",""),IF(OR(L60=phu!$I$4,L60=phu!$I$5,L60=phu!$I$6,L60=phu!$I$7,L60=phu!$I$8,L60=phu!$I$9,L60=phu!$I$10,L60=phu!$I$11,L60=phu!$I$12,L60=phu!$I$13,L60=phu!$I$14),"Cam Nghĩa",""),IF(OR(L60=phu!$I$15,L60=phu!$I$16,L60=phu!$I$17,L60=phu!$I$18,L60=phu!$I$19,L60=phu!$I$20,L60=phu!$I$21),"Cam Phúc Bắc",""),IF(OR(L60=phu!$I$22,L60=phu!$I$23,L60=phu!$I$24,L60=phu!$I$25),"Cam Phúc Nam",""),IF(OR(L60=phu!$I$26,L60=phu!$I$27,L60=phu!$I$28,L60=phu!$I$29,L60=phu!$I$30,L60=phu!$I$31),"Cam Phú",""),IF(OR(L60=phu!$I$32,L60=phu!$I$33,L60=phu!$I$34,L60=phu!$I$35,L60=phu!$I$36,L60=phu!$I$37),"Cam Lộc",""),IF(OR(L60=phu!$I$38,L60=phu!$I$39,L60=phu!$I$40,L60=phu!$I$41,L60=phu!$I$42,L60=phu!$I$43,L60=phu!$I$44),"Cam Thuận",""),IF(OR(L60=phu!$I$45,L60=phu!$I$46,L60=phu!$I$47,L60=phu!$I$48,L60=phu!$I$49,L60=phu!$I$50,L60=phu!$I$51,L60=phu!$I$52,L60=phu!$I$53),"Cam Linh",""),IF(OR(L60=phu!$I$54,L60=phu!$I$55,L60=phu!$I$56,L60=phu!$I$57,L60=phu!$I$58,L60=phu!$I$59,L60=phu!$I$60,L60=phu!$I$61,L60=phu!$I$62),"Cam Lợi",""),IF(OR(L60=phu!$I$63,L60=phu!$I$64,L60=phu!$I$65,L60=phu!$I$66,L60=phu!$I$67,L60=phu!$I$68,L60=phu!$I$69,L60=phu!$I$70,L60=phu!$I$71),"Ba Ngòi",""),IF(OR(L60=phu!$I$72,L60=phu!$I$73,L60=phu!$I$74,L60=phu!$I$75,L60=phu!$I$76,L60=phu!$I$77,L60=phu!$I$78),"Cam Phước Đông",""),IF(OR(L60=phu!$I$79,L60=phu!$I$80,L60=phu!$I$81,L60=phu!$I$82,L60=phu!$I$83,L60=phu!$I$84),"Cam Thịnh Đông",""),IF(OR(L60=phu!$I$85,L60=phu!$I$86,L60=phu!$I$87,L60=phu!$I$88),"Cam Thịnh Tây",""),IF(OR(L60=phu!$I$89,L60=phu!$I$90),"Cam Lập",""),IF(OR(L60=phu!$I$91,L60=phu!$I$92,L60=phu!$I$93),"Cam Bình",""),IF(OR(L60=phu!$I$94,L60=phu!$I$95,L60=phu!$I$96,L60=phu!$I$97,L60=phu!$I$98,L60=phu!$I$99,L60=phu!$I$100),"Huyện khác",""),IF(OR(L60=phu!$I$101,L60=phu!$I$102),"Tỉnh khác",""))</f>
        <v/>
      </c>
      <c r="N60" s="835" t="str">
        <f t="shared" si="3"/>
        <v/>
      </c>
      <c r="O60" s="20"/>
      <c r="P60" s="20"/>
      <c r="Q60" s="20"/>
      <c r="R60" s="20"/>
      <c r="S60" s="20"/>
      <c r="T60" s="21"/>
      <c r="U60" s="21"/>
      <c r="V60" s="21"/>
      <c r="W60" s="7" t="str">
        <f t="shared" si="1"/>
        <v/>
      </c>
      <c r="X60" s="506" t="str">
        <f t="shared" si="2"/>
        <v/>
      </c>
    </row>
    <row r="61" spans="1:24" x14ac:dyDescent="0.25">
      <c r="A61" s="66" t="str">
        <f t="shared" si="4"/>
        <v/>
      </c>
      <c r="B61" s="23" t="str">
        <f t="shared" si="0"/>
        <v/>
      </c>
      <c r="C61" s="15"/>
      <c r="D61" s="16"/>
      <c r="E61" s="17"/>
      <c r="F61" s="18"/>
      <c r="G61" s="18"/>
      <c r="H61" s="19"/>
      <c r="I61" s="15"/>
      <c r="J61" s="20"/>
      <c r="K61" s="15"/>
      <c r="L61" s="15"/>
      <c r="M61" s="531" t="str">
        <f>CONCATENATE(IF(OR(L61=phu!$I$1,L61=phu!$I$2,L61=phu!$I$3),"Cam Thành Nam",""),IF(OR(L61=phu!$I$4,L61=phu!$I$5,L61=phu!$I$6,L61=phu!$I$7,L61=phu!$I$8,L61=phu!$I$9,L61=phu!$I$10,L61=phu!$I$11,L61=phu!$I$12,L61=phu!$I$13,L61=phu!$I$14),"Cam Nghĩa",""),IF(OR(L61=phu!$I$15,L61=phu!$I$16,L61=phu!$I$17,L61=phu!$I$18,L61=phu!$I$19,L61=phu!$I$20,L61=phu!$I$21),"Cam Phúc Bắc",""),IF(OR(L61=phu!$I$22,L61=phu!$I$23,L61=phu!$I$24,L61=phu!$I$25),"Cam Phúc Nam",""),IF(OR(L61=phu!$I$26,L61=phu!$I$27,L61=phu!$I$28,L61=phu!$I$29,L61=phu!$I$30,L61=phu!$I$31),"Cam Phú",""),IF(OR(L61=phu!$I$32,L61=phu!$I$33,L61=phu!$I$34,L61=phu!$I$35,L61=phu!$I$36,L61=phu!$I$37),"Cam Lộc",""),IF(OR(L61=phu!$I$38,L61=phu!$I$39,L61=phu!$I$40,L61=phu!$I$41,L61=phu!$I$42,L61=phu!$I$43,L61=phu!$I$44),"Cam Thuận",""),IF(OR(L61=phu!$I$45,L61=phu!$I$46,L61=phu!$I$47,L61=phu!$I$48,L61=phu!$I$49,L61=phu!$I$50,L61=phu!$I$51,L61=phu!$I$52,L61=phu!$I$53),"Cam Linh",""),IF(OR(L61=phu!$I$54,L61=phu!$I$55,L61=phu!$I$56,L61=phu!$I$57,L61=phu!$I$58,L61=phu!$I$59,L61=phu!$I$60,L61=phu!$I$61,L61=phu!$I$62),"Cam Lợi",""),IF(OR(L61=phu!$I$63,L61=phu!$I$64,L61=phu!$I$65,L61=phu!$I$66,L61=phu!$I$67,L61=phu!$I$68,L61=phu!$I$69,L61=phu!$I$70,L61=phu!$I$71),"Ba Ngòi",""),IF(OR(L61=phu!$I$72,L61=phu!$I$73,L61=phu!$I$74,L61=phu!$I$75,L61=phu!$I$76,L61=phu!$I$77,L61=phu!$I$78),"Cam Phước Đông",""),IF(OR(L61=phu!$I$79,L61=phu!$I$80,L61=phu!$I$81,L61=phu!$I$82,L61=phu!$I$83,L61=phu!$I$84),"Cam Thịnh Đông",""),IF(OR(L61=phu!$I$85,L61=phu!$I$86,L61=phu!$I$87,L61=phu!$I$88),"Cam Thịnh Tây",""),IF(OR(L61=phu!$I$89,L61=phu!$I$90),"Cam Lập",""),IF(OR(L61=phu!$I$91,L61=phu!$I$92,L61=phu!$I$93),"Cam Bình",""),IF(OR(L61=phu!$I$94,L61=phu!$I$95,L61=phu!$I$96,L61=phu!$I$97,L61=phu!$I$98,L61=phu!$I$99,L61=phu!$I$100),"Huyện khác",""),IF(OR(L61=phu!$I$101,L61=phu!$I$102),"Tỉnh khác",""))</f>
        <v/>
      </c>
      <c r="N61" s="835" t="str">
        <f t="shared" si="3"/>
        <v/>
      </c>
      <c r="O61" s="20"/>
      <c r="P61" s="20"/>
      <c r="Q61" s="20"/>
      <c r="R61" s="20"/>
      <c r="S61" s="20"/>
      <c r="T61" s="21"/>
      <c r="U61" s="21"/>
      <c r="V61" s="21"/>
      <c r="W61" s="7" t="str">
        <f t="shared" si="1"/>
        <v/>
      </c>
      <c r="X61" s="506" t="str">
        <f t="shared" si="2"/>
        <v/>
      </c>
    </row>
    <row r="62" spans="1:24" x14ac:dyDescent="0.25">
      <c r="A62" s="66" t="str">
        <f t="shared" si="4"/>
        <v/>
      </c>
      <c r="B62" s="23" t="str">
        <f t="shared" si="0"/>
        <v/>
      </c>
      <c r="C62" s="15"/>
      <c r="D62" s="16"/>
      <c r="E62" s="17"/>
      <c r="F62" s="18"/>
      <c r="G62" s="18"/>
      <c r="H62" s="19"/>
      <c r="I62" s="15"/>
      <c r="J62" s="20"/>
      <c r="K62" s="15"/>
      <c r="L62" s="15"/>
      <c r="M62" s="531" t="str">
        <f>CONCATENATE(IF(OR(L62=phu!$I$1,L62=phu!$I$2,L62=phu!$I$3),"Cam Thành Nam",""),IF(OR(L62=phu!$I$4,L62=phu!$I$5,L62=phu!$I$6,L62=phu!$I$7,L62=phu!$I$8,L62=phu!$I$9,L62=phu!$I$10,L62=phu!$I$11,L62=phu!$I$12,L62=phu!$I$13,L62=phu!$I$14),"Cam Nghĩa",""),IF(OR(L62=phu!$I$15,L62=phu!$I$16,L62=phu!$I$17,L62=phu!$I$18,L62=phu!$I$19,L62=phu!$I$20,L62=phu!$I$21),"Cam Phúc Bắc",""),IF(OR(L62=phu!$I$22,L62=phu!$I$23,L62=phu!$I$24,L62=phu!$I$25),"Cam Phúc Nam",""),IF(OR(L62=phu!$I$26,L62=phu!$I$27,L62=phu!$I$28,L62=phu!$I$29,L62=phu!$I$30,L62=phu!$I$31),"Cam Phú",""),IF(OR(L62=phu!$I$32,L62=phu!$I$33,L62=phu!$I$34,L62=phu!$I$35,L62=phu!$I$36,L62=phu!$I$37),"Cam Lộc",""),IF(OR(L62=phu!$I$38,L62=phu!$I$39,L62=phu!$I$40,L62=phu!$I$41,L62=phu!$I$42,L62=phu!$I$43,L62=phu!$I$44),"Cam Thuận",""),IF(OR(L62=phu!$I$45,L62=phu!$I$46,L62=phu!$I$47,L62=phu!$I$48,L62=phu!$I$49,L62=phu!$I$50,L62=phu!$I$51,L62=phu!$I$52,L62=phu!$I$53),"Cam Linh",""),IF(OR(L62=phu!$I$54,L62=phu!$I$55,L62=phu!$I$56,L62=phu!$I$57,L62=phu!$I$58,L62=phu!$I$59,L62=phu!$I$60,L62=phu!$I$61,L62=phu!$I$62),"Cam Lợi",""),IF(OR(L62=phu!$I$63,L62=phu!$I$64,L62=phu!$I$65,L62=phu!$I$66,L62=phu!$I$67,L62=phu!$I$68,L62=phu!$I$69,L62=phu!$I$70,L62=phu!$I$71),"Ba Ngòi",""),IF(OR(L62=phu!$I$72,L62=phu!$I$73,L62=phu!$I$74,L62=phu!$I$75,L62=phu!$I$76,L62=phu!$I$77,L62=phu!$I$78),"Cam Phước Đông",""),IF(OR(L62=phu!$I$79,L62=phu!$I$80,L62=phu!$I$81,L62=phu!$I$82,L62=phu!$I$83,L62=phu!$I$84),"Cam Thịnh Đông",""),IF(OR(L62=phu!$I$85,L62=phu!$I$86,L62=phu!$I$87,L62=phu!$I$88),"Cam Thịnh Tây",""),IF(OR(L62=phu!$I$89,L62=phu!$I$90),"Cam Lập",""),IF(OR(L62=phu!$I$91,L62=phu!$I$92,L62=phu!$I$93),"Cam Bình",""),IF(OR(L62=phu!$I$94,L62=phu!$I$95,L62=phu!$I$96,L62=phu!$I$97,L62=phu!$I$98,L62=phu!$I$99,L62=phu!$I$100),"Huyện khác",""),IF(OR(L62=phu!$I$101,L62=phu!$I$102),"Tỉnh khác",""))</f>
        <v/>
      </c>
      <c r="N62" s="835" t="str">
        <f t="shared" si="3"/>
        <v/>
      </c>
      <c r="O62" s="20"/>
      <c r="P62" s="20"/>
      <c r="Q62" s="20"/>
      <c r="R62" s="20"/>
      <c r="S62" s="20"/>
      <c r="T62" s="21"/>
      <c r="U62" s="21"/>
      <c r="V62" s="21"/>
      <c r="W62" s="7" t="str">
        <f t="shared" si="1"/>
        <v/>
      </c>
      <c r="X62" s="506" t="str">
        <f t="shared" si="2"/>
        <v/>
      </c>
    </row>
    <row r="63" spans="1:24" x14ac:dyDescent="0.25">
      <c r="A63" s="66" t="str">
        <f t="shared" si="4"/>
        <v/>
      </c>
      <c r="B63" s="23" t="str">
        <f t="shared" si="0"/>
        <v/>
      </c>
      <c r="C63" s="15"/>
      <c r="D63" s="16"/>
      <c r="E63" s="17"/>
      <c r="F63" s="18"/>
      <c r="G63" s="18"/>
      <c r="H63" s="19"/>
      <c r="I63" s="15"/>
      <c r="J63" s="20"/>
      <c r="K63" s="15"/>
      <c r="L63" s="15"/>
      <c r="M63" s="531" t="str">
        <f>CONCATENATE(IF(OR(L63=phu!$I$1,L63=phu!$I$2,L63=phu!$I$3),"Cam Thành Nam",""),IF(OR(L63=phu!$I$4,L63=phu!$I$5,L63=phu!$I$6,L63=phu!$I$7,L63=phu!$I$8,L63=phu!$I$9,L63=phu!$I$10,L63=phu!$I$11,L63=phu!$I$12,L63=phu!$I$13,L63=phu!$I$14),"Cam Nghĩa",""),IF(OR(L63=phu!$I$15,L63=phu!$I$16,L63=phu!$I$17,L63=phu!$I$18,L63=phu!$I$19,L63=phu!$I$20,L63=phu!$I$21),"Cam Phúc Bắc",""),IF(OR(L63=phu!$I$22,L63=phu!$I$23,L63=phu!$I$24,L63=phu!$I$25),"Cam Phúc Nam",""),IF(OR(L63=phu!$I$26,L63=phu!$I$27,L63=phu!$I$28,L63=phu!$I$29,L63=phu!$I$30,L63=phu!$I$31),"Cam Phú",""),IF(OR(L63=phu!$I$32,L63=phu!$I$33,L63=phu!$I$34,L63=phu!$I$35,L63=phu!$I$36,L63=phu!$I$37),"Cam Lộc",""),IF(OR(L63=phu!$I$38,L63=phu!$I$39,L63=phu!$I$40,L63=phu!$I$41,L63=phu!$I$42,L63=phu!$I$43,L63=phu!$I$44),"Cam Thuận",""),IF(OR(L63=phu!$I$45,L63=phu!$I$46,L63=phu!$I$47,L63=phu!$I$48,L63=phu!$I$49,L63=phu!$I$50,L63=phu!$I$51,L63=phu!$I$52,L63=phu!$I$53),"Cam Linh",""),IF(OR(L63=phu!$I$54,L63=phu!$I$55,L63=phu!$I$56,L63=phu!$I$57,L63=phu!$I$58,L63=phu!$I$59,L63=phu!$I$60,L63=phu!$I$61,L63=phu!$I$62),"Cam Lợi",""),IF(OR(L63=phu!$I$63,L63=phu!$I$64,L63=phu!$I$65,L63=phu!$I$66,L63=phu!$I$67,L63=phu!$I$68,L63=phu!$I$69,L63=phu!$I$70,L63=phu!$I$71),"Ba Ngòi",""),IF(OR(L63=phu!$I$72,L63=phu!$I$73,L63=phu!$I$74,L63=phu!$I$75,L63=phu!$I$76,L63=phu!$I$77,L63=phu!$I$78),"Cam Phước Đông",""),IF(OR(L63=phu!$I$79,L63=phu!$I$80,L63=phu!$I$81,L63=phu!$I$82,L63=phu!$I$83,L63=phu!$I$84),"Cam Thịnh Đông",""),IF(OR(L63=phu!$I$85,L63=phu!$I$86,L63=phu!$I$87,L63=phu!$I$88),"Cam Thịnh Tây",""),IF(OR(L63=phu!$I$89,L63=phu!$I$90),"Cam Lập",""),IF(OR(L63=phu!$I$91,L63=phu!$I$92,L63=phu!$I$93),"Cam Bình",""),IF(OR(L63=phu!$I$94,L63=phu!$I$95,L63=phu!$I$96,L63=phu!$I$97,L63=phu!$I$98,L63=phu!$I$99,L63=phu!$I$100),"Huyện khác",""),IF(OR(L63=phu!$I$101,L63=phu!$I$102),"Tỉnh khác",""))</f>
        <v/>
      </c>
      <c r="N63" s="835" t="str">
        <f t="shared" si="3"/>
        <v/>
      </c>
      <c r="O63" s="20"/>
      <c r="P63" s="20"/>
      <c r="Q63" s="20"/>
      <c r="R63" s="20"/>
      <c r="S63" s="20"/>
      <c r="T63" s="21"/>
      <c r="U63" s="21"/>
      <c r="V63" s="21"/>
      <c r="W63" s="7" t="str">
        <f t="shared" si="1"/>
        <v/>
      </c>
      <c r="X63" s="506" t="str">
        <f t="shared" si="2"/>
        <v/>
      </c>
    </row>
    <row r="64" spans="1:24" x14ac:dyDescent="0.25">
      <c r="A64" s="66" t="str">
        <f t="shared" si="4"/>
        <v/>
      </c>
      <c r="B64" s="23" t="str">
        <f t="shared" si="0"/>
        <v/>
      </c>
      <c r="C64" s="15"/>
      <c r="D64" s="16"/>
      <c r="E64" s="17"/>
      <c r="F64" s="18"/>
      <c r="G64" s="18"/>
      <c r="H64" s="19"/>
      <c r="I64" s="15"/>
      <c r="J64" s="20"/>
      <c r="K64" s="15"/>
      <c r="L64" s="15"/>
      <c r="M64" s="531" t="str">
        <f>CONCATENATE(IF(OR(L64=phu!$I$1,L64=phu!$I$2,L64=phu!$I$3),"Cam Thành Nam",""),IF(OR(L64=phu!$I$4,L64=phu!$I$5,L64=phu!$I$6,L64=phu!$I$7,L64=phu!$I$8,L64=phu!$I$9,L64=phu!$I$10,L64=phu!$I$11,L64=phu!$I$12,L64=phu!$I$13,L64=phu!$I$14),"Cam Nghĩa",""),IF(OR(L64=phu!$I$15,L64=phu!$I$16,L64=phu!$I$17,L64=phu!$I$18,L64=phu!$I$19,L64=phu!$I$20,L64=phu!$I$21),"Cam Phúc Bắc",""),IF(OR(L64=phu!$I$22,L64=phu!$I$23,L64=phu!$I$24,L64=phu!$I$25),"Cam Phúc Nam",""),IF(OR(L64=phu!$I$26,L64=phu!$I$27,L64=phu!$I$28,L64=phu!$I$29,L64=phu!$I$30,L64=phu!$I$31),"Cam Phú",""),IF(OR(L64=phu!$I$32,L64=phu!$I$33,L64=phu!$I$34,L64=phu!$I$35,L64=phu!$I$36,L64=phu!$I$37),"Cam Lộc",""),IF(OR(L64=phu!$I$38,L64=phu!$I$39,L64=phu!$I$40,L64=phu!$I$41,L64=phu!$I$42,L64=phu!$I$43,L64=phu!$I$44),"Cam Thuận",""),IF(OR(L64=phu!$I$45,L64=phu!$I$46,L64=phu!$I$47,L64=phu!$I$48,L64=phu!$I$49,L64=phu!$I$50,L64=phu!$I$51,L64=phu!$I$52,L64=phu!$I$53),"Cam Linh",""),IF(OR(L64=phu!$I$54,L64=phu!$I$55,L64=phu!$I$56,L64=phu!$I$57,L64=phu!$I$58,L64=phu!$I$59,L64=phu!$I$60,L64=phu!$I$61,L64=phu!$I$62),"Cam Lợi",""),IF(OR(L64=phu!$I$63,L64=phu!$I$64,L64=phu!$I$65,L64=phu!$I$66,L64=phu!$I$67,L64=phu!$I$68,L64=phu!$I$69,L64=phu!$I$70,L64=phu!$I$71),"Ba Ngòi",""),IF(OR(L64=phu!$I$72,L64=phu!$I$73,L64=phu!$I$74,L64=phu!$I$75,L64=phu!$I$76,L64=phu!$I$77,L64=phu!$I$78),"Cam Phước Đông",""),IF(OR(L64=phu!$I$79,L64=phu!$I$80,L64=phu!$I$81,L64=phu!$I$82,L64=phu!$I$83,L64=phu!$I$84),"Cam Thịnh Đông",""),IF(OR(L64=phu!$I$85,L64=phu!$I$86,L64=phu!$I$87,L64=phu!$I$88),"Cam Thịnh Tây",""),IF(OR(L64=phu!$I$89,L64=phu!$I$90),"Cam Lập",""),IF(OR(L64=phu!$I$91,L64=phu!$I$92,L64=phu!$I$93),"Cam Bình",""),IF(OR(L64=phu!$I$94,L64=phu!$I$95,L64=phu!$I$96,L64=phu!$I$97,L64=phu!$I$98,L64=phu!$I$99,L64=phu!$I$100),"Huyện khác",""),IF(OR(L64=phu!$I$101,L64=phu!$I$102),"Tỉnh khác",""))</f>
        <v/>
      </c>
      <c r="N64" s="835" t="str">
        <f t="shared" si="3"/>
        <v/>
      </c>
      <c r="O64" s="20"/>
      <c r="P64" s="20"/>
      <c r="Q64" s="20"/>
      <c r="R64" s="20"/>
      <c r="S64" s="20"/>
      <c r="T64" s="21"/>
      <c r="U64" s="21"/>
      <c r="V64" s="21"/>
      <c r="W64" s="7" t="str">
        <f t="shared" si="1"/>
        <v/>
      </c>
      <c r="X64" s="506" t="str">
        <f t="shared" si="2"/>
        <v/>
      </c>
    </row>
    <row r="65" spans="1:24" x14ac:dyDescent="0.25">
      <c r="A65" s="66" t="str">
        <f t="shared" si="4"/>
        <v/>
      </c>
      <c r="B65" s="23" t="str">
        <f t="shared" si="0"/>
        <v/>
      </c>
      <c r="C65" s="15"/>
      <c r="D65" s="16"/>
      <c r="E65" s="17"/>
      <c r="F65" s="18"/>
      <c r="G65" s="18"/>
      <c r="H65" s="19"/>
      <c r="I65" s="15"/>
      <c r="J65" s="20"/>
      <c r="K65" s="15"/>
      <c r="L65" s="15"/>
      <c r="M65" s="531" t="str">
        <f>CONCATENATE(IF(OR(L65=phu!$I$1,L65=phu!$I$2,L65=phu!$I$3),"Cam Thành Nam",""),IF(OR(L65=phu!$I$4,L65=phu!$I$5,L65=phu!$I$6,L65=phu!$I$7,L65=phu!$I$8,L65=phu!$I$9,L65=phu!$I$10,L65=phu!$I$11,L65=phu!$I$12,L65=phu!$I$13,L65=phu!$I$14),"Cam Nghĩa",""),IF(OR(L65=phu!$I$15,L65=phu!$I$16,L65=phu!$I$17,L65=phu!$I$18,L65=phu!$I$19,L65=phu!$I$20,L65=phu!$I$21),"Cam Phúc Bắc",""),IF(OR(L65=phu!$I$22,L65=phu!$I$23,L65=phu!$I$24,L65=phu!$I$25),"Cam Phúc Nam",""),IF(OR(L65=phu!$I$26,L65=phu!$I$27,L65=phu!$I$28,L65=phu!$I$29,L65=phu!$I$30,L65=phu!$I$31),"Cam Phú",""),IF(OR(L65=phu!$I$32,L65=phu!$I$33,L65=phu!$I$34,L65=phu!$I$35,L65=phu!$I$36,L65=phu!$I$37),"Cam Lộc",""),IF(OR(L65=phu!$I$38,L65=phu!$I$39,L65=phu!$I$40,L65=phu!$I$41,L65=phu!$I$42,L65=phu!$I$43,L65=phu!$I$44),"Cam Thuận",""),IF(OR(L65=phu!$I$45,L65=phu!$I$46,L65=phu!$I$47,L65=phu!$I$48,L65=phu!$I$49,L65=phu!$I$50,L65=phu!$I$51,L65=phu!$I$52,L65=phu!$I$53),"Cam Linh",""),IF(OR(L65=phu!$I$54,L65=phu!$I$55,L65=phu!$I$56,L65=phu!$I$57,L65=phu!$I$58,L65=phu!$I$59,L65=phu!$I$60,L65=phu!$I$61,L65=phu!$I$62),"Cam Lợi",""),IF(OR(L65=phu!$I$63,L65=phu!$I$64,L65=phu!$I$65,L65=phu!$I$66,L65=phu!$I$67,L65=phu!$I$68,L65=phu!$I$69,L65=phu!$I$70,L65=phu!$I$71),"Ba Ngòi",""),IF(OR(L65=phu!$I$72,L65=phu!$I$73,L65=phu!$I$74,L65=phu!$I$75,L65=phu!$I$76,L65=phu!$I$77,L65=phu!$I$78),"Cam Phước Đông",""),IF(OR(L65=phu!$I$79,L65=phu!$I$80,L65=phu!$I$81,L65=phu!$I$82,L65=phu!$I$83,L65=phu!$I$84),"Cam Thịnh Đông",""),IF(OR(L65=phu!$I$85,L65=phu!$I$86,L65=phu!$I$87,L65=phu!$I$88),"Cam Thịnh Tây",""),IF(OR(L65=phu!$I$89,L65=phu!$I$90),"Cam Lập",""),IF(OR(L65=phu!$I$91,L65=phu!$I$92,L65=phu!$I$93),"Cam Bình",""),IF(OR(L65=phu!$I$94,L65=phu!$I$95,L65=phu!$I$96,L65=phu!$I$97,L65=phu!$I$98,L65=phu!$I$99,L65=phu!$I$100),"Huyện khác",""),IF(OR(L65=phu!$I$101,L65=phu!$I$102),"Tỉnh khác",""))</f>
        <v/>
      </c>
      <c r="N65" s="835" t="str">
        <f t="shared" si="3"/>
        <v/>
      </c>
      <c r="O65" s="20"/>
      <c r="P65" s="20"/>
      <c r="Q65" s="20"/>
      <c r="R65" s="20"/>
      <c r="S65" s="20"/>
      <c r="T65" s="21"/>
      <c r="U65" s="21"/>
      <c r="V65" s="21"/>
      <c r="W65" s="7" t="str">
        <f t="shared" si="1"/>
        <v/>
      </c>
      <c r="X65" s="506" t="str">
        <f t="shared" si="2"/>
        <v/>
      </c>
    </row>
    <row r="66" spans="1:24" x14ac:dyDescent="0.25">
      <c r="A66" s="66" t="str">
        <f t="shared" si="4"/>
        <v/>
      </c>
      <c r="B66" s="23" t="str">
        <f t="shared" si="0"/>
        <v/>
      </c>
      <c r="C66" s="15"/>
      <c r="D66" s="16"/>
      <c r="E66" s="17"/>
      <c r="F66" s="18"/>
      <c r="G66" s="18"/>
      <c r="H66" s="19"/>
      <c r="I66" s="15"/>
      <c r="J66" s="20"/>
      <c r="K66" s="15"/>
      <c r="L66" s="15"/>
      <c r="M66" s="531" t="str">
        <f>CONCATENATE(IF(OR(L66=phu!$I$1,L66=phu!$I$2,L66=phu!$I$3),"Cam Thành Nam",""),IF(OR(L66=phu!$I$4,L66=phu!$I$5,L66=phu!$I$6,L66=phu!$I$7,L66=phu!$I$8,L66=phu!$I$9,L66=phu!$I$10,L66=phu!$I$11,L66=phu!$I$12,L66=phu!$I$13,L66=phu!$I$14),"Cam Nghĩa",""),IF(OR(L66=phu!$I$15,L66=phu!$I$16,L66=phu!$I$17,L66=phu!$I$18,L66=phu!$I$19,L66=phu!$I$20,L66=phu!$I$21),"Cam Phúc Bắc",""),IF(OR(L66=phu!$I$22,L66=phu!$I$23,L66=phu!$I$24,L66=phu!$I$25),"Cam Phúc Nam",""),IF(OR(L66=phu!$I$26,L66=phu!$I$27,L66=phu!$I$28,L66=phu!$I$29,L66=phu!$I$30,L66=phu!$I$31),"Cam Phú",""),IF(OR(L66=phu!$I$32,L66=phu!$I$33,L66=phu!$I$34,L66=phu!$I$35,L66=phu!$I$36,L66=phu!$I$37),"Cam Lộc",""),IF(OR(L66=phu!$I$38,L66=phu!$I$39,L66=phu!$I$40,L66=phu!$I$41,L66=phu!$I$42,L66=phu!$I$43,L66=phu!$I$44),"Cam Thuận",""),IF(OR(L66=phu!$I$45,L66=phu!$I$46,L66=phu!$I$47,L66=phu!$I$48,L66=phu!$I$49,L66=phu!$I$50,L66=phu!$I$51,L66=phu!$I$52,L66=phu!$I$53),"Cam Linh",""),IF(OR(L66=phu!$I$54,L66=phu!$I$55,L66=phu!$I$56,L66=phu!$I$57,L66=phu!$I$58,L66=phu!$I$59,L66=phu!$I$60,L66=phu!$I$61,L66=phu!$I$62),"Cam Lợi",""),IF(OR(L66=phu!$I$63,L66=phu!$I$64,L66=phu!$I$65,L66=phu!$I$66,L66=phu!$I$67,L66=phu!$I$68,L66=phu!$I$69,L66=phu!$I$70,L66=phu!$I$71),"Ba Ngòi",""),IF(OR(L66=phu!$I$72,L66=phu!$I$73,L66=phu!$I$74,L66=phu!$I$75,L66=phu!$I$76,L66=phu!$I$77,L66=phu!$I$78),"Cam Phước Đông",""),IF(OR(L66=phu!$I$79,L66=phu!$I$80,L66=phu!$I$81,L66=phu!$I$82,L66=phu!$I$83,L66=phu!$I$84),"Cam Thịnh Đông",""),IF(OR(L66=phu!$I$85,L66=phu!$I$86,L66=phu!$I$87,L66=phu!$I$88),"Cam Thịnh Tây",""),IF(OR(L66=phu!$I$89,L66=phu!$I$90),"Cam Lập",""),IF(OR(L66=phu!$I$91,L66=phu!$I$92,L66=phu!$I$93),"Cam Bình",""),IF(OR(L66=phu!$I$94,L66=phu!$I$95,L66=phu!$I$96,L66=phu!$I$97,L66=phu!$I$98,L66=phu!$I$99,L66=phu!$I$100),"Huyện khác",""),IF(OR(L66=phu!$I$101,L66=phu!$I$102),"Tỉnh khác",""))</f>
        <v/>
      </c>
      <c r="N66" s="835" t="str">
        <f t="shared" si="3"/>
        <v/>
      </c>
      <c r="O66" s="20"/>
      <c r="P66" s="20"/>
      <c r="Q66" s="20"/>
      <c r="R66" s="20"/>
      <c r="S66" s="20"/>
      <c r="T66" s="21"/>
      <c r="U66" s="21"/>
      <c r="V66" s="21"/>
      <c r="W66" s="7" t="str">
        <f t="shared" si="1"/>
        <v/>
      </c>
      <c r="X66" s="506" t="str">
        <f t="shared" si="2"/>
        <v/>
      </c>
    </row>
    <row r="67" spans="1:24" x14ac:dyDescent="0.25">
      <c r="A67" s="66" t="str">
        <f t="shared" si="4"/>
        <v/>
      </c>
      <c r="B67" s="23" t="str">
        <f t="shared" si="0"/>
        <v/>
      </c>
      <c r="C67" s="15"/>
      <c r="D67" s="16"/>
      <c r="E67" s="17"/>
      <c r="F67" s="18"/>
      <c r="G67" s="18"/>
      <c r="H67" s="19"/>
      <c r="I67" s="15"/>
      <c r="J67" s="20"/>
      <c r="K67" s="15"/>
      <c r="L67" s="15"/>
      <c r="M67" s="531" t="str">
        <f>CONCATENATE(IF(OR(L67=phu!$I$1,L67=phu!$I$2,L67=phu!$I$3),"Cam Thành Nam",""),IF(OR(L67=phu!$I$4,L67=phu!$I$5,L67=phu!$I$6,L67=phu!$I$7,L67=phu!$I$8,L67=phu!$I$9,L67=phu!$I$10,L67=phu!$I$11,L67=phu!$I$12,L67=phu!$I$13,L67=phu!$I$14),"Cam Nghĩa",""),IF(OR(L67=phu!$I$15,L67=phu!$I$16,L67=phu!$I$17,L67=phu!$I$18,L67=phu!$I$19,L67=phu!$I$20,L67=phu!$I$21),"Cam Phúc Bắc",""),IF(OR(L67=phu!$I$22,L67=phu!$I$23,L67=phu!$I$24,L67=phu!$I$25),"Cam Phúc Nam",""),IF(OR(L67=phu!$I$26,L67=phu!$I$27,L67=phu!$I$28,L67=phu!$I$29,L67=phu!$I$30,L67=phu!$I$31),"Cam Phú",""),IF(OR(L67=phu!$I$32,L67=phu!$I$33,L67=phu!$I$34,L67=phu!$I$35,L67=phu!$I$36,L67=phu!$I$37),"Cam Lộc",""),IF(OR(L67=phu!$I$38,L67=phu!$I$39,L67=phu!$I$40,L67=phu!$I$41,L67=phu!$I$42,L67=phu!$I$43,L67=phu!$I$44),"Cam Thuận",""),IF(OR(L67=phu!$I$45,L67=phu!$I$46,L67=phu!$I$47,L67=phu!$I$48,L67=phu!$I$49,L67=phu!$I$50,L67=phu!$I$51,L67=phu!$I$52,L67=phu!$I$53),"Cam Linh",""),IF(OR(L67=phu!$I$54,L67=phu!$I$55,L67=phu!$I$56,L67=phu!$I$57,L67=phu!$I$58,L67=phu!$I$59,L67=phu!$I$60,L67=phu!$I$61,L67=phu!$I$62),"Cam Lợi",""),IF(OR(L67=phu!$I$63,L67=phu!$I$64,L67=phu!$I$65,L67=phu!$I$66,L67=phu!$I$67,L67=phu!$I$68,L67=phu!$I$69,L67=phu!$I$70,L67=phu!$I$71),"Ba Ngòi",""),IF(OR(L67=phu!$I$72,L67=phu!$I$73,L67=phu!$I$74,L67=phu!$I$75,L67=phu!$I$76,L67=phu!$I$77,L67=phu!$I$78),"Cam Phước Đông",""),IF(OR(L67=phu!$I$79,L67=phu!$I$80,L67=phu!$I$81,L67=phu!$I$82,L67=phu!$I$83,L67=phu!$I$84),"Cam Thịnh Đông",""),IF(OR(L67=phu!$I$85,L67=phu!$I$86,L67=phu!$I$87,L67=phu!$I$88),"Cam Thịnh Tây",""),IF(OR(L67=phu!$I$89,L67=phu!$I$90),"Cam Lập",""),IF(OR(L67=phu!$I$91,L67=phu!$I$92,L67=phu!$I$93),"Cam Bình",""),IF(OR(L67=phu!$I$94,L67=phu!$I$95,L67=phu!$I$96,L67=phu!$I$97,L67=phu!$I$98,L67=phu!$I$99,L67=phu!$I$100),"Huyện khác",""),IF(OR(L67=phu!$I$101,L67=phu!$I$102),"Tỉnh khác",""))</f>
        <v/>
      </c>
      <c r="N67" s="835" t="str">
        <f t="shared" si="3"/>
        <v/>
      </c>
      <c r="O67" s="20"/>
      <c r="P67" s="20"/>
      <c r="Q67" s="20"/>
      <c r="R67" s="20"/>
      <c r="S67" s="20"/>
      <c r="T67" s="21"/>
      <c r="U67" s="21"/>
      <c r="V67" s="21"/>
      <c r="W67" s="7" t="str">
        <f t="shared" si="1"/>
        <v/>
      </c>
      <c r="X67" s="506" t="str">
        <f t="shared" si="2"/>
        <v/>
      </c>
    </row>
    <row r="68" spans="1:24" x14ac:dyDescent="0.25">
      <c r="A68" s="66" t="str">
        <f t="shared" si="4"/>
        <v/>
      </c>
      <c r="B68" s="23" t="str">
        <f t="shared" si="0"/>
        <v/>
      </c>
      <c r="C68" s="15"/>
      <c r="D68" s="16"/>
      <c r="E68" s="17"/>
      <c r="F68" s="18"/>
      <c r="G68" s="18"/>
      <c r="H68" s="19"/>
      <c r="I68" s="15"/>
      <c r="J68" s="20"/>
      <c r="K68" s="15"/>
      <c r="L68" s="15"/>
      <c r="M68" s="531" t="str">
        <f>CONCATENATE(IF(OR(L68=phu!$I$1,L68=phu!$I$2,L68=phu!$I$3),"Cam Thành Nam",""),IF(OR(L68=phu!$I$4,L68=phu!$I$5,L68=phu!$I$6,L68=phu!$I$7,L68=phu!$I$8,L68=phu!$I$9,L68=phu!$I$10,L68=phu!$I$11,L68=phu!$I$12,L68=phu!$I$13,L68=phu!$I$14),"Cam Nghĩa",""),IF(OR(L68=phu!$I$15,L68=phu!$I$16,L68=phu!$I$17,L68=phu!$I$18,L68=phu!$I$19,L68=phu!$I$20,L68=phu!$I$21),"Cam Phúc Bắc",""),IF(OR(L68=phu!$I$22,L68=phu!$I$23,L68=phu!$I$24,L68=phu!$I$25),"Cam Phúc Nam",""),IF(OR(L68=phu!$I$26,L68=phu!$I$27,L68=phu!$I$28,L68=phu!$I$29,L68=phu!$I$30,L68=phu!$I$31),"Cam Phú",""),IF(OR(L68=phu!$I$32,L68=phu!$I$33,L68=phu!$I$34,L68=phu!$I$35,L68=phu!$I$36,L68=phu!$I$37),"Cam Lộc",""),IF(OR(L68=phu!$I$38,L68=phu!$I$39,L68=phu!$I$40,L68=phu!$I$41,L68=phu!$I$42,L68=phu!$I$43,L68=phu!$I$44),"Cam Thuận",""),IF(OR(L68=phu!$I$45,L68=phu!$I$46,L68=phu!$I$47,L68=phu!$I$48,L68=phu!$I$49,L68=phu!$I$50,L68=phu!$I$51,L68=phu!$I$52,L68=phu!$I$53),"Cam Linh",""),IF(OR(L68=phu!$I$54,L68=phu!$I$55,L68=phu!$I$56,L68=phu!$I$57,L68=phu!$I$58,L68=phu!$I$59,L68=phu!$I$60,L68=phu!$I$61,L68=phu!$I$62),"Cam Lợi",""),IF(OR(L68=phu!$I$63,L68=phu!$I$64,L68=phu!$I$65,L68=phu!$I$66,L68=phu!$I$67,L68=phu!$I$68,L68=phu!$I$69,L68=phu!$I$70,L68=phu!$I$71),"Ba Ngòi",""),IF(OR(L68=phu!$I$72,L68=phu!$I$73,L68=phu!$I$74,L68=phu!$I$75,L68=phu!$I$76,L68=phu!$I$77,L68=phu!$I$78),"Cam Phước Đông",""),IF(OR(L68=phu!$I$79,L68=phu!$I$80,L68=phu!$I$81,L68=phu!$I$82,L68=phu!$I$83,L68=phu!$I$84),"Cam Thịnh Đông",""),IF(OR(L68=phu!$I$85,L68=phu!$I$86,L68=phu!$I$87,L68=phu!$I$88),"Cam Thịnh Tây",""),IF(OR(L68=phu!$I$89,L68=phu!$I$90),"Cam Lập",""),IF(OR(L68=phu!$I$91,L68=phu!$I$92,L68=phu!$I$93),"Cam Bình",""),IF(OR(L68=phu!$I$94,L68=phu!$I$95,L68=phu!$I$96,L68=phu!$I$97,L68=phu!$I$98,L68=phu!$I$99,L68=phu!$I$100),"Huyện khác",""),IF(OR(L68=phu!$I$101,L68=phu!$I$102),"Tỉnh khác",""))</f>
        <v/>
      </c>
      <c r="N68" s="835" t="str">
        <f t="shared" si="3"/>
        <v/>
      </c>
      <c r="O68" s="20"/>
      <c r="P68" s="20"/>
      <c r="Q68" s="20"/>
      <c r="R68" s="20"/>
      <c r="S68" s="20"/>
      <c r="T68" s="21"/>
      <c r="U68" s="21"/>
      <c r="V68" s="21"/>
      <c r="W68" s="7" t="str">
        <f t="shared" si="1"/>
        <v/>
      </c>
      <c r="X68" s="506" t="str">
        <f t="shared" si="2"/>
        <v/>
      </c>
    </row>
    <row r="69" spans="1:24" x14ac:dyDescent="0.25">
      <c r="A69" s="66" t="str">
        <f t="shared" si="4"/>
        <v/>
      </c>
      <c r="B69" s="23" t="str">
        <f t="shared" si="0"/>
        <v/>
      </c>
      <c r="C69" s="15"/>
      <c r="D69" s="16"/>
      <c r="E69" s="17"/>
      <c r="F69" s="18"/>
      <c r="G69" s="18"/>
      <c r="H69" s="19"/>
      <c r="I69" s="15"/>
      <c r="J69" s="20"/>
      <c r="K69" s="15"/>
      <c r="L69" s="15"/>
      <c r="M69" s="531" t="str">
        <f>CONCATENATE(IF(OR(L69=phu!$I$1,L69=phu!$I$2,L69=phu!$I$3),"Cam Thành Nam",""),IF(OR(L69=phu!$I$4,L69=phu!$I$5,L69=phu!$I$6,L69=phu!$I$7,L69=phu!$I$8,L69=phu!$I$9,L69=phu!$I$10,L69=phu!$I$11,L69=phu!$I$12,L69=phu!$I$13,L69=phu!$I$14),"Cam Nghĩa",""),IF(OR(L69=phu!$I$15,L69=phu!$I$16,L69=phu!$I$17,L69=phu!$I$18,L69=phu!$I$19,L69=phu!$I$20,L69=phu!$I$21),"Cam Phúc Bắc",""),IF(OR(L69=phu!$I$22,L69=phu!$I$23,L69=phu!$I$24,L69=phu!$I$25),"Cam Phúc Nam",""),IF(OR(L69=phu!$I$26,L69=phu!$I$27,L69=phu!$I$28,L69=phu!$I$29,L69=phu!$I$30,L69=phu!$I$31),"Cam Phú",""),IF(OR(L69=phu!$I$32,L69=phu!$I$33,L69=phu!$I$34,L69=phu!$I$35,L69=phu!$I$36,L69=phu!$I$37),"Cam Lộc",""),IF(OR(L69=phu!$I$38,L69=phu!$I$39,L69=phu!$I$40,L69=phu!$I$41,L69=phu!$I$42,L69=phu!$I$43,L69=phu!$I$44),"Cam Thuận",""),IF(OR(L69=phu!$I$45,L69=phu!$I$46,L69=phu!$I$47,L69=phu!$I$48,L69=phu!$I$49,L69=phu!$I$50,L69=phu!$I$51,L69=phu!$I$52,L69=phu!$I$53),"Cam Linh",""),IF(OR(L69=phu!$I$54,L69=phu!$I$55,L69=phu!$I$56,L69=phu!$I$57,L69=phu!$I$58,L69=phu!$I$59,L69=phu!$I$60,L69=phu!$I$61,L69=phu!$I$62),"Cam Lợi",""),IF(OR(L69=phu!$I$63,L69=phu!$I$64,L69=phu!$I$65,L69=phu!$I$66,L69=phu!$I$67,L69=phu!$I$68,L69=phu!$I$69,L69=phu!$I$70,L69=phu!$I$71),"Ba Ngòi",""),IF(OR(L69=phu!$I$72,L69=phu!$I$73,L69=phu!$I$74,L69=phu!$I$75,L69=phu!$I$76,L69=phu!$I$77,L69=phu!$I$78),"Cam Phước Đông",""),IF(OR(L69=phu!$I$79,L69=phu!$I$80,L69=phu!$I$81,L69=phu!$I$82,L69=phu!$I$83,L69=phu!$I$84),"Cam Thịnh Đông",""),IF(OR(L69=phu!$I$85,L69=phu!$I$86,L69=phu!$I$87,L69=phu!$I$88),"Cam Thịnh Tây",""),IF(OR(L69=phu!$I$89,L69=phu!$I$90),"Cam Lập",""),IF(OR(L69=phu!$I$91,L69=phu!$I$92,L69=phu!$I$93),"Cam Bình",""),IF(OR(L69=phu!$I$94,L69=phu!$I$95,L69=phu!$I$96,L69=phu!$I$97,L69=phu!$I$98,L69=phu!$I$99,L69=phu!$I$100),"Huyện khác",""),IF(OR(L69=phu!$I$101,L69=phu!$I$102),"Tỉnh khác",""))</f>
        <v/>
      </c>
      <c r="N69" s="835" t="str">
        <f t="shared" si="3"/>
        <v/>
      </c>
      <c r="O69" s="20"/>
      <c r="P69" s="20"/>
      <c r="Q69" s="20"/>
      <c r="R69" s="20"/>
      <c r="S69" s="20"/>
      <c r="T69" s="21"/>
      <c r="U69" s="21"/>
      <c r="V69" s="21"/>
      <c r="W69" s="7" t="str">
        <f t="shared" si="1"/>
        <v/>
      </c>
      <c r="X69" s="506" t="str">
        <f t="shared" si="2"/>
        <v/>
      </c>
    </row>
    <row r="70" spans="1:24" x14ac:dyDescent="0.25">
      <c r="A70" s="66" t="str">
        <f t="shared" si="4"/>
        <v/>
      </c>
      <c r="B70" s="23" t="str">
        <f t="shared" ref="B70:B133" si="5">IF(W70=5,"5-6 tuổi",IF(W70=4,"4-5 tuổi",IF(W70=3,"3-4 tuổi",IF(AND(W70&lt;3,W70&gt;1),"25-36 tháng",IF(AND(W70=1,W70&gt;0),"13-24 tháng",IF(AND(W70=0,E70&lt;&gt;""),"Dưới 13 tháng",""))))))</f>
        <v/>
      </c>
      <c r="C70" s="15"/>
      <c r="D70" s="16"/>
      <c r="E70" s="17"/>
      <c r="F70" s="18"/>
      <c r="G70" s="18"/>
      <c r="H70" s="19"/>
      <c r="I70" s="15"/>
      <c r="J70" s="20"/>
      <c r="K70" s="15"/>
      <c r="L70" s="15"/>
      <c r="M70" s="531" t="str">
        <f>CONCATENATE(IF(OR(L70=phu!$I$1,L70=phu!$I$2,L70=phu!$I$3),"Cam Thành Nam",""),IF(OR(L70=phu!$I$4,L70=phu!$I$5,L70=phu!$I$6,L70=phu!$I$7,L70=phu!$I$8,L70=phu!$I$9,L70=phu!$I$10,L70=phu!$I$11,L70=phu!$I$12,L70=phu!$I$13,L70=phu!$I$14),"Cam Nghĩa",""),IF(OR(L70=phu!$I$15,L70=phu!$I$16,L70=phu!$I$17,L70=phu!$I$18,L70=phu!$I$19,L70=phu!$I$20,L70=phu!$I$21),"Cam Phúc Bắc",""),IF(OR(L70=phu!$I$22,L70=phu!$I$23,L70=phu!$I$24,L70=phu!$I$25),"Cam Phúc Nam",""),IF(OR(L70=phu!$I$26,L70=phu!$I$27,L70=phu!$I$28,L70=phu!$I$29,L70=phu!$I$30,L70=phu!$I$31),"Cam Phú",""),IF(OR(L70=phu!$I$32,L70=phu!$I$33,L70=phu!$I$34,L70=phu!$I$35,L70=phu!$I$36,L70=phu!$I$37),"Cam Lộc",""),IF(OR(L70=phu!$I$38,L70=phu!$I$39,L70=phu!$I$40,L70=phu!$I$41,L70=phu!$I$42,L70=phu!$I$43,L70=phu!$I$44),"Cam Thuận",""),IF(OR(L70=phu!$I$45,L70=phu!$I$46,L70=phu!$I$47,L70=phu!$I$48,L70=phu!$I$49,L70=phu!$I$50,L70=phu!$I$51,L70=phu!$I$52,L70=phu!$I$53),"Cam Linh",""),IF(OR(L70=phu!$I$54,L70=phu!$I$55,L70=phu!$I$56,L70=phu!$I$57,L70=phu!$I$58,L70=phu!$I$59,L70=phu!$I$60,L70=phu!$I$61,L70=phu!$I$62),"Cam Lợi",""),IF(OR(L70=phu!$I$63,L70=phu!$I$64,L70=phu!$I$65,L70=phu!$I$66,L70=phu!$I$67,L70=phu!$I$68,L70=phu!$I$69,L70=phu!$I$70,L70=phu!$I$71),"Ba Ngòi",""),IF(OR(L70=phu!$I$72,L70=phu!$I$73,L70=phu!$I$74,L70=phu!$I$75,L70=phu!$I$76,L70=phu!$I$77,L70=phu!$I$78),"Cam Phước Đông",""),IF(OR(L70=phu!$I$79,L70=phu!$I$80,L70=phu!$I$81,L70=phu!$I$82,L70=phu!$I$83,L70=phu!$I$84),"Cam Thịnh Đông",""),IF(OR(L70=phu!$I$85,L70=phu!$I$86,L70=phu!$I$87,L70=phu!$I$88),"Cam Thịnh Tây",""),IF(OR(L70=phu!$I$89,L70=phu!$I$90),"Cam Lập",""),IF(OR(L70=phu!$I$91,L70=phu!$I$92,L70=phu!$I$93),"Cam Bình",""),IF(OR(L70=phu!$I$94,L70=phu!$I$95,L70=phu!$I$96,L70=phu!$I$97,L70=phu!$I$98,L70=phu!$I$99,L70=phu!$I$100),"Huyện khác",""),IF(OR(L70=phu!$I$101,L70=phu!$I$102),"Tỉnh khác",""))</f>
        <v/>
      </c>
      <c r="N70" s="835" t="str">
        <f t="shared" si="3"/>
        <v/>
      </c>
      <c r="O70" s="20"/>
      <c r="P70" s="20"/>
      <c r="Q70" s="20"/>
      <c r="R70" s="20"/>
      <c r="S70" s="20"/>
      <c r="T70" s="21"/>
      <c r="U70" s="21"/>
      <c r="V70" s="21"/>
      <c r="W70" s="7" t="str">
        <f t="shared" ref="W70:W133" si="6">IF(OR($P$2="",H70=""),"",$P$2-H70)</f>
        <v/>
      </c>
      <c r="X70" s="506" t="str">
        <f t="shared" ref="X70:X133" si="7">IF(OR(AND(C70="",D70="",E70="",F70="",G70="",H70="",J70="",L70="",M70="",O70="",P70="",Q70=""),AND(C70&lt;&gt;"",D70&lt;&gt;"",E70&lt;&gt;"",F70&lt;&gt;"",G70&lt;&gt;"",H70&lt;&gt;"",J70&lt;&gt;"",L70&lt;&gt;"",M70&lt;&gt;"",O70&lt;&gt;"",OR(AND(P70&lt;&gt;"",Q70=""),AND(P70="",Q70&lt;&gt;""),AND(P70&lt;&gt;"",Q70&lt;&gt;"")),OR(AND(K70="X",S70&lt;&gt;""),AND(K70="",S70="")))),"","er")</f>
        <v/>
      </c>
    </row>
    <row r="71" spans="1:24" x14ac:dyDescent="0.25">
      <c r="A71" s="66" t="str">
        <f t="shared" si="4"/>
        <v/>
      </c>
      <c r="B71" s="23" t="str">
        <f t="shared" si="5"/>
        <v/>
      </c>
      <c r="C71" s="15"/>
      <c r="D71" s="16"/>
      <c r="E71" s="17"/>
      <c r="F71" s="18"/>
      <c r="G71" s="18"/>
      <c r="H71" s="19"/>
      <c r="I71" s="15"/>
      <c r="J71" s="20"/>
      <c r="K71" s="15"/>
      <c r="L71" s="15"/>
      <c r="M71" s="531" t="str">
        <f>CONCATENATE(IF(OR(L71=phu!$I$1,L71=phu!$I$2,L71=phu!$I$3),"Cam Thành Nam",""),IF(OR(L71=phu!$I$4,L71=phu!$I$5,L71=phu!$I$6,L71=phu!$I$7,L71=phu!$I$8,L71=phu!$I$9,L71=phu!$I$10,L71=phu!$I$11,L71=phu!$I$12,L71=phu!$I$13,L71=phu!$I$14),"Cam Nghĩa",""),IF(OR(L71=phu!$I$15,L71=phu!$I$16,L71=phu!$I$17,L71=phu!$I$18,L71=phu!$I$19,L71=phu!$I$20,L71=phu!$I$21),"Cam Phúc Bắc",""),IF(OR(L71=phu!$I$22,L71=phu!$I$23,L71=phu!$I$24,L71=phu!$I$25),"Cam Phúc Nam",""),IF(OR(L71=phu!$I$26,L71=phu!$I$27,L71=phu!$I$28,L71=phu!$I$29,L71=phu!$I$30,L71=phu!$I$31),"Cam Phú",""),IF(OR(L71=phu!$I$32,L71=phu!$I$33,L71=phu!$I$34,L71=phu!$I$35,L71=phu!$I$36,L71=phu!$I$37),"Cam Lộc",""),IF(OR(L71=phu!$I$38,L71=phu!$I$39,L71=phu!$I$40,L71=phu!$I$41,L71=phu!$I$42,L71=phu!$I$43,L71=phu!$I$44),"Cam Thuận",""),IF(OR(L71=phu!$I$45,L71=phu!$I$46,L71=phu!$I$47,L71=phu!$I$48,L71=phu!$I$49,L71=phu!$I$50,L71=phu!$I$51,L71=phu!$I$52,L71=phu!$I$53),"Cam Linh",""),IF(OR(L71=phu!$I$54,L71=phu!$I$55,L71=phu!$I$56,L71=phu!$I$57,L71=phu!$I$58,L71=phu!$I$59,L71=phu!$I$60,L71=phu!$I$61,L71=phu!$I$62),"Cam Lợi",""),IF(OR(L71=phu!$I$63,L71=phu!$I$64,L71=phu!$I$65,L71=phu!$I$66,L71=phu!$I$67,L71=phu!$I$68,L71=phu!$I$69,L71=phu!$I$70,L71=phu!$I$71),"Ba Ngòi",""),IF(OR(L71=phu!$I$72,L71=phu!$I$73,L71=phu!$I$74,L71=phu!$I$75,L71=phu!$I$76,L71=phu!$I$77,L71=phu!$I$78),"Cam Phước Đông",""),IF(OR(L71=phu!$I$79,L71=phu!$I$80,L71=phu!$I$81,L71=phu!$I$82,L71=phu!$I$83,L71=phu!$I$84),"Cam Thịnh Đông",""),IF(OR(L71=phu!$I$85,L71=phu!$I$86,L71=phu!$I$87,L71=phu!$I$88),"Cam Thịnh Tây",""),IF(OR(L71=phu!$I$89,L71=phu!$I$90),"Cam Lập",""),IF(OR(L71=phu!$I$91,L71=phu!$I$92,L71=phu!$I$93),"Cam Bình",""),IF(OR(L71=phu!$I$94,L71=phu!$I$95,L71=phu!$I$96,L71=phu!$I$97,L71=phu!$I$98,L71=phu!$I$99,L71=phu!$I$100),"Huyện khác",""),IF(OR(L71=phu!$I$101,L71=phu!$I$102),"Tỉnh khác",""))</f>
        <v/>
      </c>
      <c r="N71" s="835" t="str">
        <f t="shared" ref="N71:N134" si="8">CONCATENATE(IF(OR(M71="Cam Thành Nam",M71="Cam Nghĩa",M71="Cam Phúc Bắc"),"Bắc Cam Ranh",""),IF(OR(M71="Cam Phúc Nam",M71="Cam Phú",M71="Cam Lộc"),"Cam Ranh",""),IF(OR(M71="Cam Thuận",M71="Cam Linh",M71="Cam Lợi"),"Cam Linh",""),IF(OR(M71="Ba Ngòi",M71="Cam Phước Đông"),"Ba Ngòi",""),IF(OR(M71="Cam Thịnh Đông",M71="Cam Thịnh Tây",M71="Cam Lập",M71="Cam Bình"),"Nam Cam Ranh",""),IF(M71="Huyện khác","Huyện khác",""),IF(M71="Tỉnh khác","Tỉnh khác",""))</f>
        <v/>
      </c>
      <c r="O71" s="20"/>
      <c r="P71" s="20"/>
      <c r="Q71" s="20"/>
      <c r="R71" s="20"/>
      <c r="S71" s="20"/>
      <c r="T71" s="21"/>
      <c r="U71" s="21"/>
      <c r="V71" s="21"/>
      <c r="W71" s="7" t="str">
        <f t="shared" si="6"/>
        <v/>
      </c>
      <c r="X71" s="506" t="str">
        <f t="shared" si="7"/>
        <v/>
      </c>
    </row>
    <row r="72" spans="1:24" x14ac:dyDescent="0.25">
      <c r="A72" s="66" t="str">
        <f t="shared" ref="A72:A135" si="9">IF(AND(A71&lt;&gt;"",E72&lt;&gt;""),A71+1,"")</f>
        <v/>
      </c>
      <c r="B72" s="23" t="str">
        <f t="shared" si="5"/>
        <v/>
      </c>
      <c r="C72" s="15"/>
      <c r="D72" s="16"/>
      <c r="E72" s="17"/>
      <c r="F72" s="18"/>
      <c r="G72" s="18"/>
      <c r="H72" s="19"/>
      <c r="I72" s="15"/>
      <c r="J72" s="20"/>
      <c r="K72" s="15"/>
      <c r="L72" s="15"/>
      <c r="M72" s="531" t="str">
        <f>CONCATENATE(IF(OR(L72=phu!$I$1,L72=phu!$I$2,L72=phu!$I$3),"Cam Thành Nam",""),IF(OR(L72=phu!$I$4,L72=phu!$I$5,L72=phu!$I$6,L72=phu!$I$7,L72=phu!$I$8,L72=phu!$I$9,L72=phu!$I$10,L72=phu!$I$11,L72=phu!$I$12,L72=phu!$I$13,L72=phu!$I$14),"Cam Nghĩa",""),IF(OR(L72=phu!$I$15,L72=phu!$I$16,L72=phu!$I$17,L72=phu!$I$18,L72=phu!$I$19,L72=phu!$I$20,L72=phu!$I$21),"Cam Phúc Bắc",""),IF(OR(L72=phu!$I$22,L72=phu!$I$23,L72=phu!$I$24,L72=phu!$I$25),"Cam Phúc Nam",""),IF(OR(L72=phu!$I$26,L72=phu!$I$27,L72=phu!$I$28,L72=phu!$I$29,L72=phu!$I$30,L72=phu!$I$31),"Cam Phú",""),IF(OR(L72=phu!$I$32,L72=phu!$I$33,L72=phu!$I$34,L72=phu!$I$35,L72=phu!$I$36,L72=phu!$I$37),"Cam Lộc",""),IF(OR(L72=phu!$I$38,L72=phu!$I$39,L72=phu!$I$40,L72=phu!$I$41,L72=phu!$I$42,L72=phu!$I$43,L72=phu!$I$44),"Cam Thuận",""),IF(OR(L72=phu!$I$45,L72=phu!$I$46,L72=phu!$I$47,L72=phu!$I$48,L72=phu!$I$49,L72=phu!$I$50,L72=phu!$I$51,L72=phu!$I$52,L72=phu!$I$53),"Cam Linh",""),IF(OR(L72=phu!$I$54,L72=phu!$I$55,L72=phu!$I$56,L72=phu!$I$57,L72=phu!$I$58,L72=phu!$I$59,L72=phu!$I$60,L72=phu!$I$61,L72=phu!$I$62),"Cam Lợi",""),IF(OR(L72=phu!$I$63,L72=phu!$I$64,L72=phu!$I$65,L72=phu!$I$66,L72=phu!$I$67,L72=phu!$I$68,L72=phu!$I$69,L72=phu!$I$70,L72=phu!$I$71),"Ba Ngòi",""),IF(OR(L72=phu!$I$72,L72=phu!$I$73,L72=phu!$I$74,L72=phu!$I$75,L72=phu!$I$76,L72=phu!$I$77,L72=phu!$I$78),"Cam Phước Đông",""),IF(OR(L72=phu!$I$79,L72=phu!$I$80,L72=phu!$I$81,L72=phu!$I$82,L72=phu!$I$83,L72=phu!$I$84),"Cam Thịnh Đông",""),IF(OR(L72=phu!$I$85,L72=phu!$I$86,L72=phu!$I$87,L72=phu!$I$88),"Cam Thịnh Tây",""),IF(OR(L72=phu!$I$89,L72=phu!$I$90),"Cam Lập",""),IF(OR(L72=phu!$I$91,L72=phu!$I$92,L72=phu!$I$93),"Cam Bình",""),IF(OR(L72=phu!$I$94,L72=phu!$I$95,L72=phu!$I$96,L72=phu!$I$97,L72=phu!$I$98,L72=phu!$I$99,L72=phu!$I$100),"Huyện khác",""),IF(OR(L72=phu!$I$101,L72=phu!$I$102),"Tỉnh khác",""))</f>
        <v/>
      </c>
      <c r="N72" s="835" t="str">
        <f t="shared" si="8"/>
        <v/>
      </c>
      <c r="O72" s="20"/>
      <c r="P72" s="20"/>
      <c r="Q72" s="20"/>
      <c r="R72" s="20"/>
      <c r="S72" s="20"/>
      <c r="T72" s="21"/>
      <c r="U72" s="21"/>
      <c r="V72" s="21"/>
      <c r="W72" s="7" t="str">
        <f t="shared" si="6"/>
        <v/>
      </c>
      <c r="X72" s="506" t="str">
        <f t="shared" si="7"/>
        <v/>
      </c>
    </row>
    <row r="73" spans="1:24" x14ac:dyDescent="0.25">
      <c r="A73" s="66" t="str">
        <f t="shared" si="9"/>
        <v/>
      </c>
      <c r="B73" s="23" t="str">
        <f t="shared" si="5"/>
        <v/>
      </c>
      <c r="C73" s="15"/>
      <c r="D73" s="16"/>
      <c r="E73" s="17"/>
      <c r="F73" s="18"/>
      <c r="G73" s="18"/>
      <c r="H73" s="19"/>
      <c r="I73" s="15"/>
      <c r="J73" s="20"/>
      <c r="K73" s="15"/>
      <c r="L73" s="15"/>
      <c r="M73" s="531" t="str">
        <f>CONCATENATE(IF(OR(L73=phu!$I$1,L73=phu!$I$2,L73=phu!$I$3),"Cam Thành Nam",""),IF(OR(L73=phu!$I$4,L73=phu!$I$5,L73=phu!$I$6,L73=phu!$I$7,L73=phu!$I$8,L73=phu!$I$9,L73=phu!$I$10,L73=phu!$I$11,L73=phu!$I$12,L73=phu!$I$13,L73=phu!$I$14),"Cam Nghĩa",""),IF(OR(L73=phu!$I$15,L73=phu!$I$16,L73=phu!$I$17,L73=phu!$I$18,L73=phu!$I$19,L73=phu!$I$20,L73=phu!$I$21),"Cam Phúc Bắc",""),IF(OR(L73=phu!$I$22,L73=phu!$I$23,L73=phu!$I$24,L73=phu!$I$25),"Cam Phúc Nam",""),IF(OR(L73=phu!$I$26,L73=phu!$I$27,L73=phu!$I$28,L73=phu!$I$29,L73=phu!$I$30,L73=phu!$I$31),"Cam Phú",""),IF(OR(L73=phu!$I$32,L73=phu!$I$33,L73=phu!$I$34,L73=phu!$I$35,L73=phu!$I$36,L73=phu!$I$37),"Cam Lộc",""),IF(OR(L73=phu!$I$38,L73=phu!$I$39,L73=phu!$I$40,L73=phu!$I$41,L73=phu!$I$42,L73=phu!$I$43,L73=phu!$I$44),"Cam Thuận",""),IF(OR(L73=phu!$I$45,L73=phu!$I$46,L73=phu!$I$47,L73=phu!$I$48,L73=phu!$I$49,L73=phu!$I$50,L73=phu!$I$51,L73=phu!$I$52,L73=phu!$I$53),"Cam Linh",""),IF(OR(L73=phu!$I$54,L73=phu!$I$55,L73=phu!$I$56,L73=phu!$I$57,L73=phu!$I$58,L73=phu!$I$59,L73=phu!$I$60,L73=phu!$I$61,L73=phu!$I$62),"Cam Lợi",""),IF(OR(L73=phu!$I$63,L73=phu!$I$64,L73=phu!$I$65,L73=phu!$I$66,L73=phu!$I$67,L73=phu!$I$68,L73=phu!$I$69,L73=phu!$I$70,L73=phu!$I$71),"Ba Ngòi",""),IF(OR(L73=phu!$I$72,L73=phu!$I$73,L73=phu!$I$74,L73=phu!$I$75,L73=phu!$I$76,L73=phu!$I$77,L73=phu!$I$78),"Cam Phước Đông",""),IF(OR(L73=phu!$I$79,L73=phu!$I$80,L73=phu!$I$81,L73=phu!$I$82,L73=phu!$I$83,L73=phu!$I$84),"Cam Thịnh Đông",""),IF(OR(L73=phu!$I$85,L73=phu!$I$86,L73=phu!$I$87,L73=phu!$I$88),"Cam Thịnh Tây",""),IF(OR(L73=phu!$I$89,L73=phu!$I$90),"Cam Lập",""),IF(OR(L73=phu!$I$91,L73=phu!$I$92,L73=phu!$I$93),"Cam Bình",""),IF(OR(L73=phu!$I$94,L73=phu!$I$95,L73=phu!$I$96,L73=phu!$I$97,L73=phu!$I$98,L73=phu!$I$99,L73=phu!$I$100),"Huyện khác",""),IF(OR(L73=phu!$I$101,L73=phu!$I$102),"Tỉnh khác",""))</f>
        <v/>
      </c>
      <c r="N73" s="835" t="str">
        <f t="shared" si="8"/>
        <v/>
      </c>
      <c r="O73" s="20"/>
      <c r="P73" s="20"/>
      <c r="Q73" s="20"/>
      <c r="R73" s="20"/>
      <c r="S73" s="20"/>
      <c r="T73" s="21"/>
      <c r="U73" s="21"/>
      <c r="V73" s="21"/>
      <c r="W73" s="7" t="str">
        <f t="shared" si="6"/>
        <v/>
      </c>
      <c r="X73" s="506" t="str">
        <f t="shared" si="7"/>
        <v/>
      </c>
    </row>
    <row r="74" spans="1:24" x14ac:dyDescent="0.25">
      <c r="A74" s="66" t="str">
        <f t="shared" si="9"/>
        <v/>
      </c>
      <c r="B74" s="23" t="str">
        <f t="shared" si="5"/>
        <v/>
      </c>
      <c r="C74" s="15"/>
      <c r="D74" s="16"/>
      <c r="E74" s="17"/>
      <c r="F74" s="18"/>
      <c r="G74" s="18"/>
      <c r="H74" s="19"/>
      <c r="I74" s="15"/>
      <c r="J74" s="20"/>
      <c r="K74" s="15"/>
      <c r="L74" s="15"/>
      <c r="M74" s="531" t="str">
        <f>CONCATENATE(IF(OR(L74=phu!$I$1,L74=phu!$I$2,L74=phu!$I$3),"Cam Thành Nam",""),IF(OR(L74=phu!$I$4,L74=phu!$I$5,L74=phu!$I$6,L74=phu!$I$7,L74=phu!$I$8,L74=phu!$I$9,L74=phu!$I$10,L74=phu!$I$11,L74=phu!$I$12,L74=phu!$I$13,L74=phu!$I$14),"Cam Nghĩa",""),IF(OR(L74=phu!$I$15,L74=phu!$I$16,L74=phu!$I$17,L74=phu!$I$18,L74=phu!$I$19,L74=phu!$I$20,L74=phu!$I$21),"Cam Phúc Bắc",""),IF(OR(L74=phu!$I$22,L74=phu!$I$23,L74=phu!$I$24,L74=phu!$I$25),"Cam Phúc Nam",""),IF(OR(L74=phu!$I$26,L74=phu!$I$27,L74=phu!$I$28,L74=phu!$I$29,L74=phu!$I$30,L74=phu!$I$31),"Cam Phú",""),IF(OR(L74=phu!$I$32,L74=phu!$I$33,L74=phu!$I$34,L74=phu!$I$35,L74=phu!$I$36,L74=phu!$I$37),"Cam Lộc",""),IF(OR(L74=phu!$I$38,L74=phu!$I$39,L74=phu!$I$40,L74=phu!$I$41,L74=phu!$I$42,L74=phu!$I$43,L74=phu!$I$44),"Cam Thuận",""),IF(OR(L74=phu!$I$45,L74=phu!$I$46,L74=phu!$I$47,L74=phu!$I$48,L74=phu!$I$49,L74=phu!$I$50,L74=phu!$I$51,L74=phu!$I$52,L74=phu!$I$53),"Cam Linh",""),IF(OR(L74=phu!$I$54,L74=phu!$I$55,L74=phu!$I$56,L74=phu!$I$57,L74=phu!$I$58,L74=phu!$I$59,L74=phu!$I$60,L74=phu!$I$61,L74=phu!$I$62),"Cam Lợi",""),IF(OR(L74=phu!$I$63,L74=phu!$I$64,L74=phu!$I$65,L74=phu!$I$66,L74=phu!$I$67,L74=phu!$I$68,L74=phu!$I$69,L74=phu!$I$70,L74=phu!$I$71),"Ba Ngòi",""),IF(OR(L74=phu!$I$72,L74=phu!$I$73,L74=phu!$I$74,L74=phu!$I$75,L74=phu!$I$76,L74=phu!$I$77,L74=phu!$I$78),"Cam Phước Đông",""),IF(OR(L74=phu!$I$79,L74=phu!$I$80,L74=phu!$I$81,L74=phu!$I$82,L74=phu!$I$83,L74=phu!$I$84),"Cam Thịnh Đông",""),IF(OR(L74=phu!$I$85,L74=phu!$I$86,L74=phu!$I$87,L74=phu!$I$88),"Cam Thịnh Tây",""),IF(OR(L74=phu!$I$89,L74=phu!$I$90),"Cam Lập",""),IF(OR(L74=phu!$I$91,L74=phu!$I$92,L74=phu!$I$93),"Cam Bình",""),IF(OR(L74=phu!$I$94,L74=phu!$I$95,L74=phu!$I$96,L74=phu!$I$97,L74=phu!$I$98,L74=phu!$I$99,L74=phu!$I$100),"Huyện khác",""),IF(OR(L74=phu!$I$101,L74=phu!$I$102),"Tỉnh khác",""))</f>
        <v/>
      </c>
      <c r="N74" s="835" t="str">
        <f t="shared" si="8"/>
        <v/>
      </c>
      <c r="O74" s="20"/>
      <c r="P74" s="20"/>
      <c r="Q74" s="20"/>
      <c r="R74" s="20"/>
      <c r="S74" s="20"/>
      <c r="T74" s="21"/>
      <c r="U74" s="21"/>
      <c r="V74" s="21"/>
      <c r="W74" s="7" t="str">
        <f t="shared" si="6"/>
        <v/>
      </c>
      <c r="X74" s="506" t="str">
        <f t="shared" si="7"/>
        <v/>
      </c>
    </row>
    <row r="75" spans="1:24" x14ac:dyDescent="0.25">
      <c r="A75" s="66" t="str">
        <f t="shared" si="9"/>
        <v/>
      </c>
      <c r="B75" s="23" t="str">
        <f t="shared" si="5"/>
        <v/>
      </c>
      <c r="C75" s="15"/>
      <c r="D75" s="16"/>
      <c r="E75" s="17"/>
      <c r="F75" s="18"/>
      <c r="G75" s="18"/>
      <c r="H75" s="19"/>
      <c r="I75" s="15"/>
      <c r="J75" s="20"/>
      <c r="K75" s="15"/>
      <c r="L75" s="15"/>
      <c r="M75" s="531" t="str">
        <f>CONCATENATE(IF(OR(L75=phu!$I$1,L75=phu!$I$2,L75=phu!$I$3),"Cam Thành Nam",""),IF(OR(L75=phu!$I$4,L75=phu!$I$5,L75=phu!$I$6,L75=phu!$I$7,L75=phu!$I$8,L75=phu!$I$9,L75=phu!$I$10,L75=phu!$I$11,L75=phu!$I$12,L75=phu!$I$13,L75=phu!$I$14),"Cam Nghĩa",""),IF(OR(L75=phu!$I$15,L75=phu!$I$16,L75=phu!$I$17,L75=phu!$I$18,L75=phu!$I$19,L75=phu!$I$20,L75=phu!$I$21),"Cam Phúc Bắc",""),IF(OR(L75=phu!$I$22,L75=phu!$I$23,L75=phu!$I$24,L75=phu!$I$25),"Cam Phúc Nam",""),IF(OR(L75=phu!$I$26,L75=phu!$I$27,L75=phu!$I$28,L75=phu!$I$29,L75=phu!$I$30,L75=phu!$I$31),"Cam Phú",""),IF(OR(L75=phu!$I$32,L75=phu!$I$33,L75=phu!$I$34,L75=phu!$I$35,L75=phu!$I$36,L75=phu!$I$37),"Cam Lộc",""),IF(OR(L75=phu!$I$38,L75=phu!$I$39,L75=phu!$I$40,L75=phu!$I$41,L75=phu!$I$42,L75=phu!$I$43,L75=phu!$I$44),"Cam Thuận",""),IF(OR(L75=phu!$I$45,L75=phu!$I$46,L75=phu!$I$47,L75=phu!$I$48,L75=phu!$I$49,L75=phu!$I$50,L75=phu!$I$51,L75=phu!$I$52,L75=phu!$I$53),"Cam Linh",""),IF(OR(L75=phu!$I$54,L75=phu!$I$55,L75=phu!$I$56,L75=phu!$I$57,L75=phu!$I$58,L75=phu!$I$59,L75=phu!$I$60,L75=phu!$I$61,L75=phu!$I$62),"Cam Lợi",""),IF(OR(L75=phu!$I$63,L75=phu!$I$64,L75=phu!$I$65,L75=phu!$I$66,L75=phu!$I$67,L75=phu!$I$68,L75=phu!$I$69,L75=phu!$I$70,L75=phu!$I$71),"Ba Ngòi",""),IF(OR(L75=phu!$I$72,L75=phu!$I$73,L75=phu!$I$74,L75=phu!$I$75,L75=phu!$I$76,L75=phu!$I$77,L75=phu!$I$78),"Cam Phước Đông",""),IF(OR(L75=phu!$I$79,L75=phu!$I$80,L75=phu!$I$81,L75=phu!$I$82,L75=phu!$I$83,L75=phu!$I$84),"Cam Thịnh Đông",""),IF(OR(L75=phu!$I$85,L75=phu!$I$86,L75=phu!$I$87,L75=phu!$I$88),"Cam Thịnh Tây",""),IF(OR(L75=phu!$I$89,L75=phu!$I$90),"Cam Lập",""),IF(OR(L75=phu!$I$91,L75=phu!$I$92,L75=phu!$I$93),"Cam Bình",""),IF(OR(L75=phu!$I$94,L75=phu!$I$95,L75=phu!$I$96,L75=phu!$I$97,L75=phu!$I$98,L75=phu!$I$99,L75=phu!$I$100),"Huyện khác",""),IF(OR(L75=phu!$I$101,L75=phu!$I$102),"Tỉnh khác",""))</f>
        <v/>
      </c>
      <c r="N75" s="835" t="str">
        <f t="shared" si="8"/>
        <v/>
      </c>
      <c r="O75" s="20"/>
      <c r="P75" s="20"/>
      <c r="Q75" s="20"/>
      <c r="R75" s="20"/>
      <c r="S75" s="20"/>
      <c r="T75" s="21"/>
      <c r="U75" s="21"/>
      <c r="V75" s="21"/>
      <c r="W75" s="7" t="str">
        <f t="shared" si="6"/>
        <v/>
      </c>
      <c r="X75" s="506" t="str">
        <f t="shared" si="7"/>
        <v/>
      </c>
    </row>
    <row r="76" spans="1:24" x14ac:dyDescent="0.25">
      <c r="A76" s="66" t="str">
        <f t="shared" si="9"/>
        <v/>
      </c>
      <c r="B76" s="23" t="str">
        <f t="shared" si="5"/>
        <v/>
      </c>
      <c r="C76" s="15"/>
      <c r="D76" s="16"/>
      <c r="E76" s="17"/>
      <c r="F76" s="18"/>
      <c r="G76" s="18"/>
      <c r="H76" s="19"/>
      <c r="I76" s="15"/>
      <c r="J76" s="20"/>
      <c r="K76" s="15"/>
      <c r="L76" s="15"/>
      <c r="M76" s="531" t="str">
        <f>CONCATENATE(IF(OR(L76=phu!$I$1,L76=phu!$I$2,L76=phu!$I$3),"Cam Thành Nam",""),IF(OR(L76=phu!$I$4,L76=phu!$I$5,L76=phu!$I$6,L76=phu!$I$7,L76=phu!$I$8,L76=phu!$I$9,L76=phu!$I$10,L76=phu!$I$11,L76=phu!$I$12,L76=phu!$I$13,L76=phu!$I$14),"Cam Nghĩa",""),IF(OR(L76=phu!$I$15,L76=phu!$I$16,L76=phu!$I$17,L76=phu!$I$18,L76=phu!$I$19,L76=phu!$I$20,L76=phu!$I$21),"Cam Phúc Bắc",""),IF(OR(L76=phu!$I$22,L76=phu!$I$23,L76=phu!$I$24,L76=phu!$I$25),"Cam Phúc Nam",""),IF(OR(L76=phu!$I$26,L76=phu!$I$27,L76=phu!$I$28,L76=phu!$I$29,L76=phu!$I$30,L76=phu!$I$31),"Cam Phú",""),IF(OR(L76=phu!$I$32,L76=phu!$I$33,L76=phu!$I$34,L76=phu!$I$35,L76=phu!$I$36,L76=phu!$I$37),"Cam Lộc",""),IF(OR(L76=phu!$I$38,L76=phu!$I$39,L76=phu!$I$40,L76=phu!$I$41,L76=phu!$I$42,L76=phu!$I$43,L76=phu!$I$44),"Cam Thuận",""),IF(OR(L76=phu!$I$45,L76=phu!$I$46,L76=phu!$I$47,L76=phu!$I$48,L76=phu!$I$49,L76=phu!$I$50,L76=phu!$I$51,L76=phu!$I$52,L76=phu!$I$53),"Cam Linh",""),IF(OR(L76=phu!$I$54,L76=phu!$I$55,L76=phu!$I$56,L76=phu!$I$57,L76=phu!$I$58,L76=phu!$I$59,L76=phu!$I$60,L76=phu!$I$61,L76=phu!$I$62),"Cam Lợi",""),IF(OR(L76=phu!$I$63,L76=phu!$I$64,L76=phu!$I$65,L76=phu!$I$66,L76=phu!$I$67,L76=phu!$I$68,L76=phu!$I$69,L76=phu!$I$70,L76=phu!$I$71),"Ba Ngòi",""),IF(OR(L76=phu!$I$72,L76=phu!$I$73,L76=phu!$I$74,L76=phu!$I$75,L76=phu!$I$76,L76=phu!$I$77,L76=phu!$I$78),"Cam Phước Đông",""),IF(OR(L76=phu!$I$79,L76=phu!$I$80,L76=phu!$I$81,L76=phu!$I$82,L76=phu!$I$83,L76=phu!$I$84),"Cam Thịnh Đông",""),IF(OR(L76=phu!$I$85,L76=phu!$I$86,L76=phu!$I$87,L76=phu!$I$88),"Cam Thịnh Tây",""),IF(OR(L76=phu!$I$89,L76=phu!$I$90),"Cam Lập",""),IF(OR(L76=phu!$I$91,L76=phu!$I$92,L76=phu!$I$93),"Cam Bình",""),IF(OR(L76=phu!$I$94,L76=phu!$I$95,L76=phu!$I$96,L76=phu!$I$97,L76=phu!$I$98,L76=phu!$I$99,L76=phu!$I$100),"Huyện khác",""),IF(OR(L76=phu!$I$101,L76=phu!$I$102),"Tỉnh khác",""))</f>
        <v/>
      </c>
      <c r="N76" s="835" t="str">
        <f t="shared" si="8"/>
        <v/>
      </c>
      <c r="O76" s="20"/>
      <c r="P76" s="20"/>
      <c r="Q76" s="20"/>
      <c r="R76" s="20"/>
      <c r="S76" s="20"/>
      <c r="T76" s="21"/>
      <c r="U76" s="21"/>
      <c r="V76" s="21"/>
      <c r="W76" s="7" t="str">
        <f t="shared" si="6"/>
        <v/>
      </c>
      <c r="X76" s="506" t="str">
        <f t="shared" si="7"/>
        <v/>
      </c>
    </row>
    <row r="77" spans="1:24" x14ac:dyDescent="0.25">
      <c r="A77" s="66" t="str">
        <f t="shared" si="9"/>
        <v/>
      </c>
      <c r="B77" s="23" t="str">
        <f t="shared" si="5"/>
        <v/>
      </c>
      <c r="C77" s="15"/>
      <c r="D77" s="16"/>
      <c r="E77" s="17"/>
      <c r="F77" s="18"/>
      <c r="G77" s="18"/>
      <c r="H77" s="19"/>
      <c r="I77" s="15"/>
      <c r="J77" s="20"/>
      <c r="K77" s="15"/>
      <c r="L77" s="15"/>
      <c r="M77" s="531" t="str">
        <f>CONCATENATE(IF(OR(L77=phu!$I$1,L77=phu!$I$2,L77=phu!$I$3),"Cam Thành Nam",""),IF(OR(L77=phu!$I$4,L77=phu!$I$5,L77=phu!$I$6,L77=phu!$I$7,L77=phu!$I$8,L77=phu!$I$9,L77=phu!$I$10,L77=phu!$I$11,L77=phu!$I$12,L77=phu!$I$13,L77=phu!$I$14),"Cam Nghĩa",""),IF(OR(L77=phu!$I$15,L77=phu!$I$16,L77=phu!$I$17,L77=phu!$I$18,L77=phu!$I$19,L77=phu!$I$20,L77=phu!$I$21),"Cam Phúc Bắc",""),IF(OR(L77=phu!$I$22,L77=phu!$I$23,L77=phu!$I$24,L77=phu!$I$25),"Cam Phúc Nam",""),IF(OR(L77=phu!$I$26,L77=phu!$I$27,L77=phu!$I$28,L77=phu!$I$29,L77=phu!$I$30,L77=phu!$I$31),"Cam Phú",""),IF(OR(L77=phu!$I$32,L77=phu!$I$33,L77=phu!$I$34,L77=phu!$I$35,L77=phu!$I$36,L77=phu!$I$37),"Cam Lộc",""),IF(OR(L77=phu!$I$38,L77=phu!$I$39,L77=phu!$I$40,L77=phu!$I$41,L77=phu!$I$42,L77=phu!$I$43,L77=phu!$I$44),"Cam Thuận",""),IF(OR(L77=phu!$I$45,L77=phu!$I$46,L77=phu!$I$47,L77=phu!$I$48,L77=phu!$I$49,L77=phu!$I$50,L77=phu!$I$51,L77=phu!$I$52,L77=phu!$I$53),"Cam Linh",""),IF(OR(L77=phu!$I$54,L77=phu!$I$55,L77=phu!$I$56,L77=phu!$I$57,L77=phu!$I$58,L77=phu!$I$59,L77=phu!$I$60,L77=phu!$I$61,L77=phu!$I$62),"Cam Lợi",""),IF(OR(L77=phu!$I$63,L77=phu!$I$64,L77=phu!$I$65,L77=phu!$I$66,L77=phu!$I$67,L77=phu!$I$68,L77=phu!$I$69,L77=phu!$I$70,L77=phu!$I$71),"Ba Ngòi",""),IF(OR(L77=phu!$I$72,L77=phu!$I$73,L77=phu!$I$74,L77=phu!$I$75,L77=phu!$I$76,L77=phu!$I$77,L77=phu!$I$78),"Cam Phước Đông",""),IF(OR(L77=phu!$I$79,L77=phu!$I$80,L77=phu!$I$81,L77=phu!$I$82,L77=phu!$I$83,L77=phu!$I$84),"Cam Thịnh Đông",""),IF(OR(L77=phu!$I$85,L77=phu!$I$86,L77=phu!$I$87,L77=phu!$I$88),"Cam Thịnh Tây",""),IF(OR(L77=phu!$I$89,L77=phu!$I$90),"Cam Lập",""),IF(OR(L77=phu!$I$91,L77=phu!$I$92,L77=phu!$I$93),"Cam Bình",""),IF(OR(L77=phu!$I$94,L77=phu!$I$95,L77=phu!$I$96,L77=phu!$I$97,L77=phu!$I$98,L77=phu!$I$99,L77=phu!$I$100),"Huyện khác",""),IF(OR(L77=phu!$I$101,L77=phu!$I$102),"Tỉnh khác",""))</f>
        <v/>
      </c>
      <c r="N77" s="835" t="str">
        <f t="shared" si="8"/>
        <v/>
      </c>
      <c r="O77" s="20"/>
      <c r="P77" s="20"/>
      <c r="Q77" s="20"/>
      <c r="R77" s="20"/>
      <c r="S77" s="20"/>
      <c r="T77" s="21"/>
      <c r="U77" s="21"/>
      <c r="V77" s="21"/>
      <c r="W77" s="7" t="str">
        <f t="shared" si="6"/>
        <v/>
      </c>
      <c r="X77" s="506" t="str">
        <f t="shared" si="7"/>
        <v/>
      </c>
    </row>
    <row r="78" spans="1:24" x14ac:dyDescent="0.25">
      <c r="A78" s="66" t="str">
        <f t="shared" si="9"/>
        <v/>
      </c>
      <c r="B78" s="23" t="str">
        <f t="shared" si="5"/>
        <v/>
      </c>
      <c r="C78" s="15"/>
      <c r="D78" s="16"/>
      <c r="E78" s="17"/>
      <c r="F78" s="18"/>
      <c r="G78" s="18"/>
      <c r="H78" s="19"/>
      <c r="I78" s="15"/>
      <c r="J78" s="20"/>
      <c r="K78" s="15"/>
      <c r="L78" s="15"/>
      <c r="M78" s="531" t="str">
        <f>CONCATENATE(IF(OR(L78=phu!$I$1,L78=phu!$I$2,L78=phu!$I$3),"Cam Thành Nam",""),IF(OR(L78=phu!$I$4,L78=phu!$I$5,L78=phu!$I$6,L78=phu!$I$7,L78=phu!$I$8,L78=phu!$I$9,L78=phu!$I$10,L78=phu!$I$11,L78=phu!$I$12,L78=phu!$I$13,L78=phu!$I$14),"Cam Nghĩa",""),IF(OR(L78=phu!$I$15,L78=phu!$I$16,L78=phu!$I$17,L78=phu!$I$18,L78=phu!$I$19,L78=phu!$I$20,L78=phu!$I$21),"Cam Phúc Bắc",""),IF(OR(L78=phu!$I$22,L78=phu!$I$23,L78=phu!$I$24,L78=phu!$I$25),"Cam Phúc Nam",""),IF(OR(L78=phu!$I$26,L78=phu!$I$27,L78=phu!$I$28,L78=phu!$I$29,L78=phu!$I$30,L78=phu!$I$31),"Cam Phú",""),IF(OR(L78=phu!$I$32,L78=phu!$I$33,L78=phu!$I$34,L78=phu!$I$35,L78=phu!$I$36,L78=phu!$I$37),"Cam Lộc",""),IF(OR(L78=phu!$I$38,L78=phu!$I$39,L78=phu!$I$40,L78=phu!$I$41,L78=phu!$I$42,L78=phu!$I$43,L78=phu!$I$44),"Cam Thuận",""),IF(OR(L78=phu!$I$45,L78=phu!$I$46,L78=phu!$I$47,L78=phu!$I$48,L78=phu!$I$49,L78=phu!$I$50,L78=phu!$I$51,L78=phu!$I$52,L78=phu!$I$53),"Cam Linh",""),IF(OR(L78=phu!$I$54,L78=phu!$I$55,L78=phu!$I$56,L78=phu!$I$57,L78=phu!$I$58,L78=phu!$I$59,L78=phu!$I$60,L78=phu!$I$61,L78=phu!$I$62),"Cam Lợi",""),IF(OR(L78=phu!$I$63,L78=phu!$I$64,L78=phu!$I$65,L78=phu!$I$66,L78=phu!$I$67,L78=phu!$I$68,L78=phu!$I$69,L78=phu!$I$70,L78=phu!$I$71),"Ba Ngòi",""),IF(OR(L78=phu!$I$72,L78=phu!$I$73,L78=phu!$I$74,L78=phu!$I$75,L78=phu!$I$76,L78=phu!$I$77,L78=phu!$I$78),"Cam Phước Đông",""),IF(OR(L78=phu!$I$79,L78=phu!$I$80,L78=phu!$I$81,L78=phu!$I$82,L78=phu!$I$83,L78=phu!$I$84),"Cam Thịnh Đông",""),IF(OR(L78=phu!$I$85,L78=phu!$I$86,L78=phu!$I$87,L78=phu!$I$88),"Cam Thịnh Tây",""),IF(OR(L78=phu!$I$89,L78=phu!$I$90),"Cam Lập",""),IF(OR(L78=phu!$I$91,L78=phu!$I$92,L78=phu!$I$93),"Cam Bình",""),IF(OR(L78=phu!$I$94,L78=phu!$I$95,L78=phu!$I$96,L78=phu!$I$97,L78=phu!$I$98,L78=phu!$I$99,L78=phu!$I$100),"Huyện khác",""),IF(OR(L78=phu!$I$101,L78=phu!$I$102),"Tỉnh khác",""))</f>
        <v/>
      </c>
      <c r="N78" s="835" t="str">
        <f t="shared" si="8"/>
        <v/>
      </c>
      <c r="O78" s="20"/>
      <c r="P78" s="20"/>
      <c r="Q78" s="20"/>
      <c r="R78" s="20"/>
      <c r="S78" s="20"/>
      <c r="T78" s="21"/>
      <c r="U78" s="21"/>
      <c r="V78" s="21"/>
      <c r="W78" s="7" t="str">
        <f t="shared" si="6"/>
        <v/>
      </c>
      <c r="X78" s="506" t="str">
        <f t="shared" si="7"/>
        <v/>
      </c>
    </row>
    <row r="79" spans="1:24" x14ac:dyDescent="0.25">
      <c r="A79" s="66" t="str">
        <f t="shared" si="9"/>
        <v/>
      </c>
      <c r="B79" s="23" t="str">
        <f t="shared" si="5"/>
        <v/>
      </c>
      <c r="C79" s="15"/>
      <c r="D79" s="16"/>
      <c r="E79" s="17"/>
      <c r="F79" s="18"/>
      <c r="G79" s="18"/>
      <c r="H79" s="19"/>
      <c r="I79" s="15"/>
      <c r="J79" s="20"/>
      <c r="K79" s="15"/>
      <c r="L79" s="15"/>
      <c r="M79" s="531" t="str">
        <f>CONCATENATE(IF(OR(L79=phu!$I$1,L79=phu!$I$2,L79=phu!$I$3),"Cam Thành Nam",""),IF(OR(L79=phu!$I$4,L79=phu!$I$5,L79=phu!$I$6,L79=phu!$I$7,L79=phu!$I$8,L79=phu!$I$9,L79=phu!$I$10,L79=phu!$I$11,L79=phu!$I$12,L79=phu!$I$13,L79=phu!$I$14),"Cam Nghĩa",""),IF(OR(L79=phu!$I$15,L79=phu!$I$16,L79=phu!$I$17,L79=phu!$I$18,L79=phu!$I$19,L79=phu!$I$20,L79=phu!$I$21),"Cam Phúc Bắc",""),IF(OR(L79=phu!$I$22,L79=phu!$I$23,L79=phu!$I$24,L79=phu!$I$25),"Cam Phúc Nam",""),IF(OR(L79=phu!$I$26,L79=phu!$I$27,L79=phu!$I$28,L79=phu!$I$29,L79=phu!$I$30,L79=phu!$I$31),"Cam Phú",""),IF(OR(L79=phu!$I$32,L79=phu!$I$33,L79=phu!$I$34,L79=phu!$I$35,L79=phu!$I$36,L79=phu!$I$37),"Cam Lộc",""),IF(OR(L79=phu!$I$38,L79=phu!$I$39,L79=phu!$I$40,L79=phu!$I$41,L79=phu!$I$42,L79=phu!$I$43,L79=phu!$I$44),"Cam Thuận",""),IF(OR(L79=phu!$I$45,L79=phu!$I$46,L79=phu!$I$47,L79=phu!$I$48,L79=phu!$I$49,L79=phu!$I$50,L79=phu!$I$51,L79=phu!$I$52,L79=phu!$I$53),"Cam Linh",""),IF(OR(L79=phu!$I$54,L79=phu!$I$55,L79=phu!$I$56,L79=phu!$I$57,L79=phu!$I$58,L79=phu!$I$59,L79=phu!$I$60,L79=phu!$I$61,L79=phu!$I$62),"Cam Lợi",""),IF(OR(L79=phu!$I$63,L79=phu!$I$64,L79=phu!$I$65,L79=phu!$I$66,L79=phu!$I$67,L79=phu!$I$68,L79=phu!$I$69,L79=phu!$I$70,L79=phu!$I$71),"Ba Ngòi",""),IF(OR(L79=phu!$I$72,L79=phu!$I$73,L79=phu!$I$74,L79=phu!$I$75,L79=phu!$I$76,L79=phu!$I$77,L79=phu!$I$78),"Cam Phước Đông",""),IF(OR(L79=phu!$I$79,L79=phu!$I$80,L79=phu!$I$81,L79=phu!$I$82,L79=phu!$I$83,L79=phu!$I$84),"Cam Thịnh Đông",""),IF(OR(L79=phu!$I$85,L79=phu!$I$86,L79=phu!$I$87,L79=phu!$I$88),"Cam Thịnh Tây",""),IF(OR(L79=phu!$I$89,L79=phu!$I$90),"Cam Lập",""),IF(OR(L79=phu!$I$91,L79=phu!$I$92,L79=phu!$I$93),"Cam Bình",""),IF(OR(L79=phu!$I$94,L79=phu!$I$95,L79=phu!$I$96,L79=phu!$I$97,L79=phu!$I$98,L79=phu!$I$99,L79=phu!$I$100),"Huyện khác",""),IF(OR(L79=phu!$I$101,L79=phu!$I$102),"Tỉnh khác",""))</f>
        <v/>
      </c>
      <c r="N79" s="835" t="str">
        <f t="shared" si="8"/>
        <v/>
      </c>
      <c r="O79" s="20"/>
      <c r="P79" s="20"/>
      <c r="Q79" s="20"/>
      <c r="R79" s="20"/>
      <c r="S79" s="20"/>
      <c r="T79" s="21"/>
      <c r="U79" s="21"/>
      <c r="V79" s="21"/>
      <c r="W79" s="7" t="str">
        <f t="shared" si="6"/>
        <v/>
      </c>
      <c r="X79" s="506" t="str">
        <f t="shared" si="7"/>
        <v/>
      </c>
    </row>
    <row r="80" spans="1:24" x14ac:dyDescent="0.25">
      <c r="A80" s="66" t="str">
        <f t="shared" si="9"/>
        <v/>
      </c>
      <c r="B80" s="23" t="str">
        <f t="shared" si="5"/>
        <v/>
      </c>
      <c r="C80" s="15"/>
      <c r="D80" s="16"/>
      <c r="E80" s="17"/>
      <c r="F80" s="18"/>
      <c r="G80" s="18"/>
      <c r="H80" s="19"/>
      <c r="I80" s="15"/>
      <c r="J80" s="20"/>
      <c r="K80" s="15"/>
      <c r="L80" s="15"/>
      <c r="M80" s="531" t="str">
        <f>CONCATENATE(IF(OR(L80=phu!$I$1,L80=phu!$I$2,L80=phu!$I$3),"Cam Thành Nam",""),IF(OR(L80=phu!$I$4,L80=phu!$I$5,L80=phu!$I$6,L80=phu!$I$7,L80=phu!$I$8,L80=phu!$I$9,L80=phu!$I$10,L80=phu!$I$11,L80=phu!$I$12,L80=phu!$I$13,L80=phu!$I$14),"Cam Nghĩa",""),IF(OR(L80=phu!$I$15,L80=phu!$I$16,L80=phu!$I$17,L80=phu!$I$18,L80=phu!$I$19,L80=phu!$I$20,L80=phu!$I$21),"Cam Phúc Bắc",""),IF(OR(L80=phu!$I$22,L80=phu!$I$23,L80=phu!$I$24,L80=phu!$I$25),"Cam Phúc Nam",""),IF(OR(L80=phu!$I$26,L80=phu!$I$27,L80=phu!$I$28,L80=phu!$I$29,L80=phu!$I$30,L80=phu!$I$31),"Cam Phú",""),IF(OR(L80=phu!$I$32,L80=phu!$I$33,L80=phu!$I$34,L80=phu!$I$35,L80=phu!$I$36,L80=phu!$I$37),"Cam Lộc",""),IF(OR(L80=phu!$I$38,L80=phu!$I$39,L80=phu!$I$40,L80=phu!$I$41,L80=phu!$I$42,L80=phu!$I$43,L80=phu!$I$44),"Cam Thuận",""),IF(OR(L80=phu!$I$45,L80=phu!$I$46,L80=phu!$I$47,L80=phu!$I$48,L80=phu!$I$49,L80=phu!$I$50,L80=phu!$I$51,L80=phu!$I$52,L80=phu!$I$53),"Cam Linh",""),IF(OR(L80=phu!$I$54,L80=phu!$I$55,L80=phu!$I$56,L80=phu!$I$57,L80=phu!$I$58,L80=phu!$I$59,L80=phu!$I$60,L80=phu!$I$61,L80=phu!$I$62),"Cam Lợi",""),IF(OR(L80=phu!$I$63,L80=phu!$I$64,L80=phu!$I$65,L80=phu!$I$66,L80=phu!$I$67,L80=phu!$I$68,L80=phu!$I$69,L80=phu!$I$70,L80=phu!$I$71),"Ba Ngòi",""),IF(OR(L80=phu!$I$72,L80=phu!$I$73,L80=phu!$I$74,L80=phu!$I$75,L80=phu!$I$76,L80=phu!$I$77,L80=phu!$I$78),"Cam Phước Đông",""),IF(OR(L80=phu!$I$79,L80=phu!$I$80,L80=phu!$I$81,L80=phu!$I$82,L80=phu!$I$83,L80=phu!$I$84),"Cam Thịnh Đông",""),IF(OR(L80=phu!$I$85,L80=phu!$I$86,L80=phu!$I$87,L80=phu!$I$88),"Cam Thịnh Tây",""),IF(OR(L80=phu!$I$89,L80=phu!$I$90),"Cam Lập",""),IF(OR(L80=phu!$I$91,L80=phu!$I$92,L80=phu!$I$93),"Cam Bình",""),IF(OR(L80=phu!$I$94,L80=phu!$I$95,L80=phu!$I$96,L80=phu!$I$97,L80=phu!$I$98,L80=phu!$I$99,L80=phu!$I$100),"Huyện khác",""),IF(OR(L80=phu!$I$101,L80=phu!$I$102),"Tỉnh khác",""))</f>
        <v/>
      </c>
      <c r="N80" s="835" t="str">
        <f t="shared" si="8"/>
        <v/>
      </c>
      <c r="O80" s="20"/>
      <c r="P80" s="20"/>
      <c r="Q80" s="20"/>
      <c r="R80" s="20"/>
      <c r="S80" s="20"/>
      <c r="T80" s="21"/>
      <c r="U80" s="21"/>
      <c r="V80" s="21"/>
      <c r="W80" s="7" t="str">
        <f t="shared" si="6"/>
        <v/>
      </c>
      <c r="X80" s="506" t="str">
        <f t="shared" si="7"/>
        <v/>
      </c>
    </row>
    <row r="81" spans="1:24" x14ac:dyDescent="0.25">
      <c r="A81" s="66" t="str">
        <f t="shared" si="9"/>
        <v/>
      </c>
      <c r="B81" s="23" t="str">
        <f t="shared" si="5"/>
        <v/>
      </c>
      <c r="C81" s="15"/>
      <c r="D81" s="16"/>
      <c r="E81" s="17"/>
      <c r="F81" s="18"/>
      <c r="G81" s="18"/>
      <c r="H81" s="19"/>
      <c r="I81" s="15"/>
      <c r="J81" s="20"/>
      <c r="K81" s="15"/>
      <c r="L81" s="15"/>
      <c r="M81" s="531" t="str">
        <f>CONCATENATE(IF(OR(L81=phu!$I$1,L81=phu!$I$2,L81=phu!$I$3),"Cam Thành Nam",""),IF(OR(L81=phu!$I$4,L81=phu!$I$5,L81=phu!$I$6,L81=phu!$I$7,L81=phu!$I$8,L81=phu!$I$9,L81=phu!$I$10,L81=phu!$I$11,L81=phu!$I$12,L81=phu!$I$13,L81=phu!$I$14),"Cam Nghĩa",""),IF(OR(L81=phu!$I$15,L81=phu!$I$16,L81=phu!$I$17,L81=phu!$I$18,L81=phu!$I$19,L81=phu!$I$20,L81=phu!$I$21),"Cam Phúc Bắc",""),IF(OR(L81=phu!$I$22,L81=phu!$I$23,L81=phu!$I$24,L81=phu!$I$25),"Cam Phúc Nam",""),IF(OR(L81=phu!$I$26,L81=phu!$I$27,L81=phu!$I$28,L81=phu!$I$29,L81=phu!$I$30,L81=phu!$I$31),"Cam Phú",""),IF(OR(L81=phu!$I$32,L81=phu!$I$33,L81=phu!$I$34,L81=phu!$I$35,L81=phu!$I$36,L81=phu!$I$37),"Cam Lộc",""),IF(OR(L81=phu!$I$38,L81=phu!$I$39,L81=phu!$I$40,L81=phu!$I$41,L81=phu!$I$42,L81=phu!$I$43,L81=phu!$I$44),"Cam Thuận",""),IF(OR(L81=phu!$I$45,L81=phu!$I$46,L81=phu!$I$47,L81=phu!$I$48,L81=phu!$I$49,L81=phu!$I$50,L81=phu!$I$51,L81=phu!$I$52,L81=phu!$I$53),"Cam Linh",""),IF(OR(L81=phu!$I$54,L81=phu!$I$55,L81=phu!$I$56,L81=phu!$I$57,L81=phu!$I$58,L81=phu!$I$59,L81=phu!$I$60,L81=phu!$I$61,L81=phu!$I$62),"Cam Lợi",""),IF(OR(L81=phu!$I$63,L81=phu!$I$64,L81=phu!$I$65,L81=phu!$I$66,L81=phu!$I$67,L81=phu!$I$68,L81=phu!$I$69,L81=phu!$I$70,L81=phu!$I$71),"Ba Ngòi",""),IF(OR(L81=phu!$I$72,L81=phu!$I$73,L81=phu!$I$74,L81=phu!$I$75,L81=phu!$I$76,L81=phu!$I$77,L81=phu!$I$78),"Cam Phước Đông",""),IF(OR(L81=phu!$I$79,L81=phu!$I$80,L81=phu!$I$81,L81=phu!$I$82,L81=phu!$I$83,L81=phu!$I$84),"Cam Thịnh Đông",""),IF(OR(L81=phu!$I$85,L81=phu!$I$86,L81=phu!$I$87,L81=phu!$I$88),"Cam Thịnh Tây",""),IF(OR(L81=phu!$I$89,L81=phu!$I$90),"Cam Lập",""),IF(OR(L81=phu!$I$91,L81=phu!$I$92,L81=phu!$I$93),"Cam Bình",""),IF(OR(L81=phu!$I$94,L81=phu!$I$95,L81=phu!$I$96,L81=phu!$I$97,L81=phu!$I$98,L81=phu!$I$99,L81=phu!$I$100),"Huyện khác",""),IF(OR(L81=phu!$I$101,L81=phu!$I$102),"Tỉnh khác",""))</f>
        <v/>
      </c>
      <c r="N81" s="835" t="str">
        <f t="shared" si="8"/>
        <v/>
      </c>
      <c r="O81" s="20"/>
      <c r="P81" s="20"/>
      <c r="Q81" s="20"/>
      <c r="R81" s="20"/>
      <c r="S81" s="20"/>
      <c r="T81" s="21"/>
      <c r="U81" s="21"/>
      <c r="V81" s="21"/>
      <c r="W81" s="7" t="str">
        <f t="shared" si="6"/>
        <v/>
      </c>
      <c r="X81" s="506" t="str">
        <f t="shared" si="7"/>
        <v/>
      </c>
    </row>
    <row r="82" spans="1:24" x14ac:dyDescent="0.25">
      <c r="A82" s="66" t="str">
        <f t="shared" si="9"/>
        <v/>
      </c>
      <c r="B82" s="23" t="str">
        <f t="shared" si="5"/>
        <v/>
      </c>
      <c r="C82" s="15"/>
      <c r="D82" s="16"/>
      <c r="E82" s="17"/>
      <c r="F82" s="18"/>
      <c r="G82" s="18"/>
      <c r="H82" s="19"/>
      <c r="I82" s="15"/>
      <c r="J82" s="20"/>
      <c r="K82" s="15"/>
      <c r="L82" s="15"/>
      <c r="M82" s="531" t="str">
        <f>CONCATENATE(IF(OR(L82=phu!$I$1,L82=phu!$I$2,L82=phu!$I$3),"Cam Thành Nam",""),IF(OR(L82=phu!$I$4,L82=phu!$I$5,L82=phu!$I$6,L82=phu!$I$7,L82=phu!$I$8,L82=phu!$I$9,L82=phu!$I$10,L82=phu!$I$11,L82=phu!$I$12,L82=phu!$I$13,L82=phu!$I$14),"Cam Nghĩa",""),IF(OR(L82=phu!$I$15,L82=phu!$I$16,L82=phu!$I$17,L82=phu!$I$18,L82=phu!$I$19,L82=phu!$I$20,L82=phu!$I$21),"Cam Phúc Bắc",""),IF(OR(L82=phu!$I$22,L82=phu!$I$23,L82=phu!$I$24,L82=phu!$I$25),"Cam Phúc Nam",""),IF(OR(L82=phu!$I$26,L82=phu!$I$27,L82=phu!$I$28,L82=phu!$I$29,L82=phu!$I$30,L82=phu!$I$31),"Cam Phú",""),IF(OR(L82=phu!$I$32,L82=phu!$I$33,L82=phu!$I$34,L82=phu!$I$35,L82=phu!$I$36,L82=phu!$I$37),"Cam Lộc",""),IF(OR(L82=phu!$I$38,L82=phu!$I$39,L82=phu!$I$40,L82=phu!$I$41,L82=phu!$I$42,L82=phu!$I$43,L82=phu!$I$44),"Cam Thuận",""),IF(OR(L82=phu!$I$45,L82=phu!$I$46,L82=phu!$I$47,L82=phu!$I$48,L82=phu!$I$49,L82=phu!$I$50,L82=phu!$I$51,L82=phu!$I$52,L82=phu!$I$53),"Cam Linh",""),IF(OR(L82=phu!$I$54,L82=phu!$I$55,L82=phu!$I$56,L82=phu!$I$57,L82=phu!$I$58,L82=phu!$I$59,L82=phu!$I$60,L82=phu!$I$61,L82=phu!$I$62),"Cam Lợi",""),IF(OR(L82=phu!$I$63,L82=phu!$I$64,L82=phu!$I$65,L82=phu!$I$66,L82=phu!$I$67,L82=phu!$I$68,L82=phu!$I$69,L82=phu!$I$70,L82=phu!$I$71),"Ba Ngòi",""),IF(OR(L82=phu!$I$72,L82=phu!$I$73,L82=phu!$I$74,L82=phu!$I$75,L82=phu!$I$76,L82=phu!$I$77,L82=phu!$I$78),"Cam Phước Đông",""),IF(OR(L82=phu!$I$79,L82=phu!$I$80,L82=phu!$I$81,L82=phu!$I$82,L82=phu!$I$83,L82=phu!$I$84),"Cam Thịnh Đông",""),IF(OR(L82=phu!$I$85,L82=phu!$I$86,L82=phu!$I$87,L82=phu!$I$88),"Cam Thịnh Tây",""),IF(OR(L82=phu!$I$89,L82=phu!$I$90),"Cam Lập",""),IF(OR(L82=phu!$I$91,L82=phu!$I$92,L82=phu!$I$93),"Cam Bình",""),IF(OR(L82=phu!$I$94,L82=phu!$I$95,L82=phu!$I$96,L82=phu!$I$97,L82=phu!$I$98,L82=phu!$I$99,L82=phu!$I$100),"Huyện khác",""),IF(OR(L82=phu!$I$101,L82=phu!$I$102),"Tỉnh khác",""))</f>
        <v/>
      </c>
      <c r="N82" s="835" t="str">
        <f t="shared" si="8"/>
        <v/>
      </c>
      <c r="O82" s="20"/>
      <c r="P82" s="20"/>
      <c r="Q82" s="20"/>
      <c r="R82" s="20"/>
      <c r="S82" s="20"/>
      <c r="T82" s="21"/>
      <c r="U82" s="21"/>
      <c r="V82" s="21"/>
      <c r="W82" s="7" t="str">
        <f t="shared" si="6"/>
        <v/>
      </c>
      <c r="X82" s="506" t="str">
        <f t="shared" si="7"/>
        <v/>
      </c>
    </row>
    <row r="83" spans="1:24" x14ac:dyDescent="0.25">
      <c r="A83" s="66" t="str">
        <f t="shared" si="9"/>
        <v/>
      </c>
      <c r="B83" s="23" t="str">
        <f t="shared" si="5"/>
        <v/>
      </c>
      <c r="C83" s="15"/>
      <c r="D83" s="16"/>
      <c r="E83" s="17"/>
      <c r="F83" s="18"/>
      <c r="G83" s="18"/>
      <c r="H83" s="19"/>
      <c r="I83" s="15"/>
      <c r="J83" s="20"/>
      <c r="K83" s="15"/>
      <c r="L83" s="15"/>
      <c r="M83" s="531" t="str">
        <f>CONCATENATE(IF(OR(L83=phu!$I$1,L83=phu!$I$2,L83=phu!$I$3),"Cam Thành Nam",""),IF(OR(L83=phu!$I$4,L83=phu!$I$5,L83=phu!$I$6,L83=phu!$I$7,L83=phu!$I$8,L83=phu!$I$9,L83=phu!$I$10,L83=phu!$I$11,L83=phu!$I$12,L83=phu!$I$13,L83=phu!$I$14),"Cam Nghĩa",""),IF(OR(L83=phu!$I$15,L83=phu!$I$16,L83=phu!$I$17,L83=phu!$I$18,L83=phu!$I$19,L83=phu!$I$20,L83=phu!$I$21),"Cam Phúc Bắc",""),IF(OR(L83=phu!$I$22,L83=phu!$I$23,L83=phu!$I$24,L83=phu!$I$25),"Cam Phúc Nam",""),IF(OR(L83=phu!$I$26,L83=phu!$I$27,L83=phu!$I$28,L83=phu!$I$29,L83=phu!$I$30,L83=phu!$I$31),"Cam Phú",""),IF(OR(L83=phu!$I$32,L83=phu!$I$33,L83=phu!$I$34,L83=phu!$I$35,L83=phu!$I$36,L83=phu!$I$37),"Cam Lộc",""),IF(OR(L83=phu!$I$38,L83=phu!$I$39,L83=phu!$I$40,L83=phu!$I$41,L83=phu!$I$42,L83=phu!$I$43,L83=phu!$I$44),"Cam Thuận",""),IF(OR(L83=phu!$I$45,L83=phu!$I$46,L83=phu!$I$47,L83=phu!$I$48,L83=phu!$I$49,L83=phu!$I$50,L83=phu!$I$51,L83=phu!$I$52,L83=phu!$I$53),"Cam Linh",""),IF(OR(L83=phu!$I$54,L83=phu!$I$55,L83=phu!$I$56,L83=phu!$I$57,L83=phu!$I$58,L83=phu!$I$59,L83=phu!$I$60,L83=phu!$I$61,L83=phu!$I$62),"Cam Lợi",""),IF(OR(L83=phu!$I$63,L83=phu!$I$64,L83=phu!$I$65,L83=phu!$I$66,L83=phu!$I$67,L83=phu!$I$68,L83=phu!$I$69,L83=phu!$I$70,L83=phu!$I$71),"Ba Ngòi",""),IF(OR(L83=phu!$I$72,L83=phu!$I$73,L83=phu!$I$74,L83=phu!$I$75,L83=phu!$I$76,L83=phu!$I$77,L83=phu!$I$78),"Cam Phước Đông",""),IF(OR(L83=phu!$I$79,L83=phu!$I$80,L83=phu!$I$81,L83=phu!$I$82,L83=phu!$I$83,L83=phu!$I$84),"Cam Thịnh Đông",""),IF(OR(L83=phu!$I$85,L83=phu!$I$86,L83=phu!$I$87,L83=phu!$I$88),"Cam Thịnh Tây",""),IF(OR(L83=phu!$I$89,L83=phu!$I$90),"Cam Lập",""),IF(OR(L83=phu!$I$91,L83=phu!$I$92,L83=phu!$I$93),"Cam Bình",""),IF(OR(L83=phu!$I$94,L83=phu!$I$95,L83=phu!$I$96,L83=phu!$I$97,L83=phu!$I$98,L83=phu!$I$99,L83=phu!$I$100),"Huyện khác",""),IF(OR(L83=phu!$I$101,L83=phu!$I$102),"Tỉnh khác",""))</f>
        <v/>
      </c>
      <c r="N83" s="835" t="str">
        <f t="shared" si="8"/>
        <v/>
      </c>
      <c r="O83" s="20"/>
      <c r="P83" s="20"/>
      <c r="Q83" s="20"/>
      <c r="R83" s="20"/>
      <c r="S83" s="20"/>
      <c r="T83" s="21"/>
      <c r="U83" s="21"/>
      <c r="V83" s="21"/>
      <c r="W83" s="7" t="str">
        <f t="shared" si="6"/>
        <v/>
      </c>
      <c r="X83" s="506" t="str">
        <f t="shared" si="7"/>
        <v/>
      </c>
    </row>
    <row r="84" spans="1:24" x14ac:dyDescent="0.25">
      <c r="A84" s="66" t="str">
        <f t="shared" si="9"/>
        <v/>
      </c>
      <c r="B84" s="23" t="str">
        <f t="shared" si="5"/>
        <v/>
      </c>
      <c r="C84" s="15"/>
      <c r="D84" s="16"/>
      <c r="E84" s="17"/>
      <c r="F84" s="18"/>
      <c r="G84" s="18"/>
      <c r="H84" s="19"/>
      <c r="I84" s="15"/>
      <c r="J84" s="20"/>
      <c r="K84" s="15"/>
      <c r="L84" s="15"/>
      <c r="M84" s="531" t="str">
        <f>CONCATENATE(IF(OR(L84=phu!$I$1,L84=phu!$I$2,L84=phu!$I$3),"Cam Thành Nam",""),IF(OR(L84=phu!$I$4,L84=phu!$I$5,L84=phu!$I$6,L84=phu!$I$7,L84=phu!$I$8,L84=phu!$I$9,L84=phu!$I$10,L84=phu!$I$11,L84=phu!$I$12,L84=phu!$I$13,L84=phu!$I$14),"Cam Nghĩa",""),IF(OR(L84=phu!$I$15,L84=phu!$I$16,L84=phu!$I$17,L84=phu!$I$18,L84=phu!$I$19,L84=phu!$I$20,L84=phu!$I$21),"Cam Phúc Bắc",""),IF(OR(L84=phu!$I$22,L84=phu!$I$23,L84=phu!$I$24,L84=phu!$I$25),"Cam Phúc Nam",""),IF(OR(L84=phu!$I$26,L84=phu!$I$27,L84=phu!$I$28,L84=phu!$I$29,L84=phu!$I$30,L84=phu!$I$31),"Cam Phú",""),IF(OR(L84=phu!$I$32,L84=phu!$I$33,L84=phu!$I$34,L84=phu!$I$35,L84=phu!$I$36,L84=phu!$I$37),"Cam Lộc",""),IF(OR(L84=phu!$I$38,L84=phu!$I$39,L84=phu!$I$40,L84=phu!$I$41,L84=phu!$I$42,L84=phu!$I$43,L84=phu!$I$44),"Cam Thuận",""),IF(OR(L84=phu!$I$45,L84=phu!$I$46,L84=phu!$I$47,L84=phu!$I$48,L84=phu!$I$49,L84=phu!$I$50,L84=phu!$I$51,L84=phu!$I$52,L84=phu!$I$53),"Cam Linh",""),IF(OR(L84=phu!$I$54,L84=phu!$I$55,L84=phu!$I$56,L84=phu!$I$57,L84=phu!$I$58,L84=phu!$I$59,L84=phu!$I$60,L84=phu!$I$61,L84=phu!$I$62),"Cam Lợi",""),IF(OR(L84=phu!$I$63,L84=phu!$I$64,L84=phu!$I$65,L84=phu!$I$66,L84=phu!$I$67,L84=phu!$I$68,L84=phu!$I$69,L84=phu!$I$70,L84=phu!$I$71),"Ba Ngòi",""),IF(OR(L84=phu!$I$72,L84=phu!$I$73,L84=phu!$I$74,L84=phu!$I$75,L84=phu!$I$76,L84=phu!$I$77,L84=phu!$I$78),"Cam Phước Đông",""),IF(OR(L84=phu!$I$79,L84=phu!$I$80,L84=phu!$I$81,L84=phu!$I$82,L84=phu!$I$83,L84=phu!$I$84),"Cam Thịnh Đông",""),IF(OR(L84=phu!$I$85,L84=phu!$I$86,L84=phu!$I$87,L84=phu!$I$88),"Cam Thịnh Tây",""),IF(OR(L84=phu!$I$89,L84=phu!$I$90),"Cam Lập",""),IF(OR(L84=phu!$I$91,L84=phu!$I$92,L84=phu!$I$93),"Cam Bình",""),IF(OR(L84=phu!$I$94,L84=phu!$I$95,L84=phu!$I$96,L84=phu!$I$97,L84=phu!$I$98,L84=phu!$I$99,L84=phu!$I$100),"Huyện khác",""),IF(OR(L84=phu!$I$101,L84=phu!$I$102),"Tỉnh khác",""))</f>
        <v/>
      </c>
      <c r="N84" s="835" t="str">
        <f t="shared" si="8"/>
        <v/>
      </c>
      <c r="O84" s="20"/>
      <c r="P84" s="20"/>
      <c r="Q84" s="20"/>
      <c r="R84" s="20"/>
      <c r="S84" s="20"/>
      <c r="T84" s="21"/>
      <c r="U84" s="21"/>
      <c r="V84" s="21"/>
      <c r="W84" s="7" t="str">
        <f t="shared" si="6"/>
        <v/>
      </c>
      <c r="X84" s="506" t="str">
        <f t="shared" si="7"/>
        <v/>
      </c>
    </row>
    <row r="85" spans="1:24" x14ac:dyDescent="0.25">
      <c r="A85" s="66" t="str">
        <f t="shared" si="9"/>
        <v/>
      </c>
      <c r="B85" s="23" t="str">
        <f t="shared" si="5"/>
        <v/>
      </c>
      <c r="C85" s="15"/>
      <c r="D85" s="16"/>
      <c r="E85" s="17"/>
      <c r="F85" s="18"/>
      <c r="G85" s="18"/>
      <c r="H85" s="19"/>
      <c r="I85" s="15"/>
      <c r="J85" s="20"/>
      <c r="K85" s="15"/>
      <c r="L85" s="15"/>
      <c r="M85" s="531" t="str">
        <f>CONCATENATE(IF(OR(L85=phu!$I$1,L85=phu!$I$2,L85=phu!$I$3),"Cam Thành Nam",""),IF(OR(L85=phu!$I$4,L85=phu!$I$5,L85=phu!$I$6,L85=phu!$I$7,L85=phu!$I$8,L85=phu!$I$9,L85=phu!$I$10,L85=phu!$I$11,L85=phu!$I$12,L85=phu!$I$13,L85=phu!$I$14),"Cam Nghĩa",""),IF(OR(L85=phu!$I$15,L85=phu!$I$16,L85=phu!$I$17,L85=phu!$I$18,L85=phu!$I$19,L85=phu!$I$20,L85=phu!$I$21),"Cam Phúc Bắc",""),IF(OR(L85=phu!$I$22,L85=phu!$I$23,L85=phu!$I$24,L85=phu!$I$25),"Cam Phúc Nam",""),IF(OR(L85=phu!$I$26,L85=phu!$I$27,L85=phu!$I$28,L85=phu!$I$29,L85=phu!$I$30,L85=phu!$I$31),"Cam Phú",""),IF(OR(L85=phu!$I$32,L85=phu!$I$33,L85=phu!$I$34,L85=phu!$I$35,L85=phu!$I$36,L85=phu!$I$37),"Cam Lộc",""),IF(OR(L85=phu!$I$38,L85=phu!$I$39,L85=phu!$I$40,L85=phu!$I$41,L85=phu!$I$42,L85=phu!$I$43,L85=phu!$I$44),"Cam Thuận",""),IF(OR(L85=phu!$I$45,L85=phu!$I$46,L85=phu!$I$47,L85=phu!$I$48,L85=phu!$I$49,L85=phu!$I$50,L85=phu!$I$51,L85=phu!$I$52,L85=phu!$I$53),"Cam Linh",""),IF(OR(L85=phu!$I$54,L85=phu!$I$55,L85=phu!$I$56,L85=phu!$I$57,L85=phu!$I$58,L85=phu!$I$59,L85=phu!$I$60,L85=phu!$I$61,L85=phu!$I$62),"Cam Lợi",""),IF(OR(L85=phu!$I$63,L85=phu!$I$64,L85=phu!$I$65,L85=phu!$I$66,L85=phu!$I$67,L85=phu!$I$68,L85=phu!$I$69,L85=phu!$I$70,L85=phu!$I$71),"Ba Ngòi",""),IF(OR(L85=phu!$I$72,L85=phu!$I$73,L85=phu!$I$74,L85=phu!$I$75,L85=phu!$I$76,L85=phu!$I$77,L85=phu!$I$78),"Cam Phước Đông",""),IF(OR(L85=phu!$I$79,L85=phu!$I$80,L85=phu!$I$81,L85=phu!$I$82,L85=phu!$I$83,L85=phu!$I$84),"Cam Thịnh Đông",""),IF(OR(L85=phu!$I$85,L85=phu!$I$86,L85=phu!$I$87,L85=phu!$I$88),"Cam Thịnh Tây",""),IF(OR(L85=phu!$I$89,L85=phu!$I$90),"Cam Lập",""),IF(OR(L85=phu!$I$91,L85=phu!$I$92,L85=phu!$I$93),"Cam Bình",""),IF(OR(L85=phu!$I$94,L85=phu!$I$95,L85=phu!$I$96,L85=phu!$I$97,L85=phu!$I$98,L85=phu!$I$99,L85=phu!$I$100),"Huyện khác",""),IF(OR(L85=phu!$I$101,L85=phu!$I$102),"Tỉnh khác",""))</f>
        <v/>
      </c>
      <c r="N85" s="835" t="str">
        <f t="shared" si="8"/>
        <v/>
      </c>
      <c r="O85" s="20"/>
      <c r="P85" s="20"/>
      <c r="Q85" s="20"/>
      <c r="R85" s="20"/>
      <c r="S85" s="20"/>
      <c r="T85" s="21"/>
      <c r="U85" s="21"/>
      <c r="V85" s="21"/>
      <c r="W85" s="7" t="str">
        <f t="shared" si="6"/>
        <v/>
      </c>
      <c r="X85" s="506" t="str">
        <f t="shared" si="7"/>
        <v/>
      </c>
    </row>
    <row r="86" spans="1:24" x14ac:dyDescent="0.25">
      <c r="A86" s="66" t="str">
        <f t="shared" si="9"/>
        <v/>
      </c>
      <c r="B86" s="23" t="str">
        <f t="shared" si="5"/>
        <v/>
      </c>
      <c r="C86" s="15"/>
      <c r="D86" s="16"/>
      <c r="E86" s="17"/>
      <c r="F86" s="18"/>
      <c r="G86" s="18"/>
      <c r="H86" s="19"/>
      <c r="I86" s="15"/>
      <c r="J86" s="20"/>
      <c r="K86" s="15"/>
      <c r="L86" s="15"/>
      <c r="M86" s="531" t="str">
        <f>CONCATENATE(IF(OR(L86=phu!$I$1,L86=phu!$I$2,L86=phu!$I$3),"Cam Thành Nam",""),IF(OR(L86=phu!$I$4,L86=phu!$I$5,L86=phu!$I$6,L86=phu!$I$7,L86=phu!$I$8,L86=phu!$I$9,L86=phu!$I$10,L86=phu!$I$11,L86=phu!$I$12,L86=phu!$I$13,L86=phu!$I$14),"Cam Nghĩa",""),IF(OR(L86=phu!$I$15,L86=phu!$I$16,L86=phu!$I$17,L86=phu!$I$18,L86=phu!$I$19,L86=phu!$I$20,L86=phu!$I$21),"Cam Phúc Bắc",""),IF(OR(L86=phu!$I$22,L86=phu!$I$23,L86=phu!$I$24,L86=phu!$I$25),"Cam Phúc Nam",""),IF(OR(L86=phu!$I$26,L86=phu!$I$27,L86=phu!$I$28,L86=phu!$I$29,L86=phu!$I$30,L86=phu!$I$31),"Cam Phú",""),IF(OR(L86=phu!$I$32,L86=phu!$I$33,L86=phu!$I$34,L86=phu!$I$35,L86=phu!$I$36,L86=phu!$I$37),"Cam Lộc",""),IF(OR(L86=phu!$I$38,L86=phu!$I$39,L86=phu!$I$40,L86=phu!$I$41,L86=phu!$I$42,L86=phu!$I$43,L86=phu!$I$44),"Cam Thuận",""),IF(OR(L86=phu!$I$45,L86=phu!$I$46,L86=phu!$I$47,L86=phu!$I$48,L86=phu!$I$49,L86=phu!$I$50,L86=phu!$I$51,L86=phu!$I$52,L86=phu!$I$53),"Cam Linh",""),IF(OR(L86=phu!$I$54,L86=phu!$I$55,L86=phu!$I$56,L86=phu!$I$57,L86=phu!$I$58,L86=phu!$I$59,L86=phu!$I$60,L86=phu!$I$61,L86=phu!$I$62),"Cam Lợi",""),IF(OR(L86=phu!$I$63,L86=phu!$I$64,L86=phu!$I$65,L86=phu!$I$66,L86=phu!$I$67,L86=phu!$I$68,L86=phu!$I$69,L86=phu!$I$70,L86=phu!$I$71),"Ba Ngòi",""),IF(OR(L86=phu!$I$72,L86=phu!$I$73,L86=phu!$I$74,L86=phu!$I$75,L86=phu!$I$76,L86=phu!$I$77,L86=phu!$I$78),"Cam Phước Đông",""),IF(OR(L86=phu!$I$79,L86=phu!$I$80,L86=phu!$I$81,L86=phu!$I$82,L86=phu!$I$83,L86=phu!$I$84),"Cam Thịnh Đông",""),IF(OR(L86=phu!$I$85,L86=phu!$I$86,L86=phu!$I$87,L86=phu!$I$88),"Cam Thịnh Tây",""),IF(OR(L86=phu!$I$89,L86=phu!$I$90),"Cam Lập",""),IF(OR(L86=phu!$I$91,L86=phu!$I$92,L86=phu!$I$93),"Cam Bình",""),IF(OR(L86=phu!$I$94,L86=phu!$I$95,L86=phu!$I$96,L86=phu!$I$97,L86=phu!$I$98,L86=phu!$I$99,L86=phu!$I$100),"Huyện khác",""),IF(OR(L86=phu!$I$101,L86=phu!$I$102),"Tỉnh khác",""))</f>
        <v/>
      </c>
      <c r="N86" s="835" t="str">
        <f t="shared" si="8"/>
        <v/>
      </c>
      <c r="O86" s="20"/>
      <c r="P86" s="20"/>
      <c r="Q86" s="20"/>
      <c r="R86" s="20"/>
      <c r="S86" s="20"/>
      <c r="T86" s="21"/>
      <c r="U86" s="21"/>
      <c r="V86" s="21"/>
      <c r="W86" s="7" t="str">
        <f t="shared" si="6"/>
        <v/>
      </c>
      <c r="X86" s="506" t="str">
        <f t="shared" si="7"/>
        <v/>
      </c>
    </row>
    <row r="87" spans="1:24" x14ac:dyDescent="0.25">
      <c r="A87" s="66" t="str">
        <f t="shared" si="9"/>
        <v/>
      </c>
      <c r="B87" s="23" t="str">
        <f t="shared" si="5"/>
        <v/>
      </c>
      <c r="C87" s="15"/>
      <c r="D87" s="16"/>
      <c r="E87" s="17"/>
      <c r="F87" s="18"/>
      <c r="G87" s="18"/>
      <c r="H87" s="19"/>
      <c r="I87" s="15"/>
      <c r="J87" s="20"/>
      <c r="K87" s="15"/>
      <c r="L87" s="15"/>
      <c r="M87" s="531" t="str">
        <f>CONCATENATE(IF(OR(L87=phu!$I$1,L87=phu!$I$2,L87=phu!$I$3),"Cam Thành Nam",""),IF(OR(L87=phu!$I$4,L87=phu!$I$5,L87=phu!$I$6,L87=phu!$I$7,L87=phu!$I$8,L87=phu!$I$9,L87=phu!$I$10,L87=phu!$I$11,L87=phu!$I$12,L87=phu!$I$13,L87=phu!$I$14),"Cam Nghĩa",""),IF(OR(L87=phu!$I$15,L87=phu!$I$16,L87=phu!$I$17,L87=phu!$I$18,L87=phu!$I$19,L87=phu!$I$20,L87=phu!$I$21),"Cam Phúc Bắc",""),IF(OR(L87=phu!$I$22,L87=phu!$I$23,L87=phu!$I$24,L87=phu!$I$25),"Cam Phúc Nam",""),IF(OR(L87=phu!$I$26,L87=phu!$I$27,L87=phu!$I$28,L87=phu!$I$29,L87=phu!$I$30,L87=phu!$I$31),"Cam Phú",""),IF(OR(L87=phu!$I$32,L87=phu!$I$33,L87=phu!$I$34,L87=phu!$I$35,L87=phu!$I$36,L87=phu!$I$37),"Cam Lộc",""),IF(OR(L87=phu!$I$38,L87=phu!$I$39,L87=phu!$I$40,L87=phu!$I$41,L87=phu!$I$42,L87=phu!$I$43,L87=phu!$I$44),"Cam Thuận",""),IF(OR(L87=phu!$I$45,L87=phu!$I$46,L87=phu!$I$47,L87=phu!$I$48,L87=phu!$I$49,L87=phu!$I$50,L87=phu!$I$51,L87=phu!$I$52,L87=phu!$I$53),"Cam Linh",""),IF(OR(L87=phu!$I$54,L87=phu!$I$55,L87=phu!$I$56,L87=phu!$I$57,L87=phu!$I$58,L87=phu!$I$59,L87=phu!$I$60,L87=phu!$I$61,L87=phu!$I$62),"Cam Lợi",""),IF(OR(L87=phu!$I$63,L87=phu!$I$64,L87=phu!$I$65,L87=phu!$I$66,L87=phu!$I$67,L87=phu!$I$68,L87=phu!$I$69,L87=phu!$I$70,L87=phu!$I$71),"Ba Ngòi",""),IF(OR(L87=phu!$I$72,L87=phu!$I$73,L87=phu!$I$74,L87=phu!$I$75,L87=phu!$I$76,L87=phu!$I$77,L87=phu!$I$78),"Cam Phước Đông",""),IF(OR(L87=phu!$I$79,L87=phu!$I$80,L87=phu!$I$81,L87=phu!$I$82,L87=phu!$I$83,L87=phu!$I$84),"Cam Thịnh Đông",""),IF(OR(L87=phu!$I$85,L87=phu!$I$86,L87=phu!$I$87,L87=phu!$I$88),"Cam Thịnh Tây",""),IF(OR(L87=phu!$I$89,L87=phu!$I$90),"Cam Lập",""),IF(OR(L87=phu!$I$91,L87=phu!$I$92,L87=phu!$I$93),"Cam Bình",""),IF(OR(L87=phu!$I$94,L87=phu!$I$95,L87=phu!$I$96,L87=phu!$I$97,L87=phu!$I$98,L87=phu!$I$99,L87=phu!$I$100),"Huyện khác",""),IF(OR(L87=phu!$I$101,L87=phu!$I$102),"Tỉnh khác",""))</f>
        <v/>
      </c>
      <c r="N87" s="835" t="str">
        <f t="shared" si="8"/>
        <v/>
      </c>
      <c r="O87" s="20"/>
      <c r="P87" s="20"/>
      <c r="Q87" s="20"/>
      <c r="R87" s="20"/>
      <c r="S87" s="20"/>
      <c r="T87" s="21"/>
      <c r="U87" s="21"/>
      <c r="V87" s="21"/>
      <c r="W87" s="7" t="str">
        <f t="shared" si="6"/>
        <v/>
      </c>
      <c r="X87" s="506" t="str">
        <f t="shared" si="7"/>
        <v/>
      </c>
    </row>
    <row r="88" spans="1:24" x14ac:dyDescent="0.25">
      <c r="A88" s="66" t="str">
        <f t="shared" si="9"/>
        <v/>
      </c>
      <c r="B88" s="23" t="str">
        <f t="shared" si="5"/>
        <v/>
      </c>
      <c r="C88" s="15"/>
      <c r="D88" s="16"/>
      <c r="E88" s="17"/>
      <c r="F88" s="18"/>
      <c r="G88" s="18"/>
      <c r="H88" s="19"/>
      <c r="I88" s="26"/>
      <c r="J88" s="20"/>
      <c r="K88" s="15"/>
      <c r="L88" s="15"/>
      <c r="M88" s="531" t="str">
        <f>CONCATENATE(IF(OR(L88=phu!$I$1,L88=phu!$I$2,L88=phu!$I$3),"Cam Thành Nam",""),IF(OR(L88=phu!$I$4,L88=phu!$I$5,L88=phu!$I$6,L88=phu!$I$7,L88=phu!$I$8,L88=phu!$I$9,L88=phu!$I$10,L88=phu!$I$11,L88=phu!$I$12,L88=phu!$I$13,L88=phu!$I$14),"Cam Nghĩa",""),IF(OR(L88=phu!$I$15,L88=phu!$I$16,L88=phu!$I$17,L88=phu!$I$18,L88=phu!$I$19,L88=phu!$I$20,L88=phu!$I$21),"Cam Phúc Bắc",""),IF(OR(L88=phu!$I$22,L88=phu!$I$23,L88=phu!$I$24,L88=phu!$I$25),"Cam Phúc Nam",""),IF(OR(L88=phu!$I$26,L88=phu!$I$27,L88=phu!$I$28,L88=phu!$I$29,L88=phu!$I$30,L88=phu!$I$31),"Cam Phú",""),IF(OR(L88=phu!$I$32,L88=phu!$I$33,L88=phu!$I$34,L88=phu!$I$35,L88=phu!$I$36,L88=phu!$I$37),"Cam Lộc",""),IF(OR(L88=phu!$I$38,L88=phu!$I$39,L88=phu!$I$40,L88=phu!$I$41,L88=phu!$I$42,L88=phu!$I$43,L88=phu!$I$44),"Cam Thuận",""),IF(OR(L88=phu!$I$45,L88=phu!$I$46,L88=phu!$I$47,L88=phu!$I$48,L88=phu!$I$49,L88=phu!$I$50,L88=phu!$I$51,L88=phu!$I$52,L88=phu!$I$53),"Cam Linh",""),IF(OR(L88=phu!$I$54,L88=phu!$I$55,L88=phu!$I$56,L88=phu!$I$57,L88=phu!$I$58,L88=phu!$I$59,L88=phu!$I$60,L88=phu!$I$61,L88=phu!$I$62),"Cam Lợi",""),IF(OR(L88=phu!$I$63,L88=phu!$I$64,L88=phu!$I$65,L88=phu!$I$66,L88=phu!$I$67,L88=phu!$I$68,L88=phu!$I$69,L88=phu!$I$70,L88=phu!$I$71),"Ba Ngòi",""),IF(OR(L88=phu!$I$72,L88=phu!$I$73,L88=phu!$I$74,L88=phu!$I$75,L88=phu!$I$76,L88=phu!$I$77,L88=phu!$I$78),"Cam Phước Đông",""),IF(OR(L88=phu!$I$79,L88=phu!$I$80,L88=phu!$I$81,L88=phu!$I$82,L88=phu!$I$83,L88=phu!$I$84),"Cam Thịnh Đông",""),IF(OR(L88=phu!$I$85,L88=phu!$I$86,L88=phu!$I$87,L88=phu!$I$88),"Cam Thịnh Tây",""),IF(OR(L88=phu!$I$89,L88=phu!$I$90),"Cam Lập",""),IF(OR(L88=phu!$I$91,L88=phu!$I$92,L88=phu!$I$93),"Cam Bình",""),IF(OR(L88=phu!$I$94,L88=phu!$I$95,L88=phu!$I$96,L88=phu!$I$97,L88=phu!$I$98,L88=phu!$I$99,L88=phu!$I$100),"Huyện khác",""),IF(OR(L88=phu!$I$101,L88=phu!$I$102),"Tỉnh khác",""))</f>
        <v/>
      </c>
      <c r="N88" s="835" t="str">
        <f t="shared" si="8"/>
        <v/>
      </c>
      <c r="O88" s="20"/>
      <c r="P88" s="20"/>
      <c r="Q88" s="20"/>
      <c r="R88" s="20"/>
      <c r="S88" s="20"/>
      <c r="T88" s="21"/>
      <c r="U88" s="21"/>
      <c r="V88" s="21"/>
      <c r="W88" s="7" t="str">
        <f t="shared" si="6"/>
        <v/>
      </c>
      <c r="X88" s="506" t="str">
        <f t="shared" si="7"/>
        <v/>
      </c>
    </row>
    <row r="89" spans="1:24" x14ac:dyDescent="0.25">
      <c r="A89" s="66" t="str">
        <f t="shared" si="9"/>
        <v/>
      </c>
      <c r="B89" s="23" t="str">
        <f t="shared" si="5"/>
        <v/>
      </c>
      <c r="C89" s="15"/>
      <c r="D89" s="16"/>
      <c r="E89" s="17"/>
      <c r="F89" s="18"/>
      <c r="G89" s="18"/>
      <c r="H89" s="19"/>
      <c r="I89" s="15"/>
      <c r="J89" s="20"/>
      <c r="K89" s="15"/>
      <c r="L89" s="15"/>
      <c r="M89" s="531" t="str">
        <f>CONCATENATE(IF(OR(L89=phu!$I$1,L89=phu!$I$2,L89=phu!$I$3),"Cam Thành Nam",""),IF(OR(L89=phu!$I$4,L89=phu!$I$5,L89=phu!$I$6,L89=phu!$I$7,L89=phu!$I$8,L89=phu!$I$9,L89=phu!$I$10,L89=phu!$I$11,L89=phu!$I$12,L89=phu!$I$13,L89=phu!$I$14),"Cam Nghĩa",""),IF(OR(L89=phu!$I$15,L89=phu!$I$16,L89=phu!$I$17,L89=phu!$I$18,L89=phu!$I$19,L89=phu!$I$20,L89=phu!$I$21),"Cam Phúc Bắc",""),IF(OR(L89=phu!$I$22,L89=phu!$I$23,L89=phu!$I$24,L89=phu!$I$25),"Cam Phúc Nam",""),IF(OR(L89=phu!$I$26,L89=phu!$I$27,L89=phu!$I$28,L89=phu!$I$29,L89=phu!$I$30,L89=phu!$I$31),"Cam Phú",""),IF(OR(L89=phu!$I$32,L89=phu!$I$33,L89=phu!$I$34,L89=phu!$I$35,L89=phu!$I$36,L89=phu!$I$37),"Cam Lộc",""),IF(OR(L89=phu!$I$38,L89=phu!$I$39,L89=phu!$I$40,L89=phu!$I$41,L89=phu!$I$42,L89=phu!$I$43,L89=phu!$I$44),"Cam Thuận",""),IF(OR(L89=phu!$I$45,L89=phu!$I$46,L89=phu!$I$47,L89=phu!$I$48,L89=phu!$I$49,L89=phu!$I$50,L89=phu!$I$51,L89=phu!$I$52,L89=phu!$I$53),"Cam Linh",""),IF(OR(L89=phu!$I$54,L89=phu!$I$55,L89=phu!$I$56,L89=phu!$I$57,L89=phu!$I$58,L89=phu!$I$59,L89=phu!$I$60,L89=phu!$I$61,L89=phu!$I$62),"Cam Lợi",""),IF(OR(L89=phu!$I$63,L89=phu!$I$64,L89=phu!$I$65,L89=phu!$I$66,L89=phu!$I$67,L89=phu!$I$68,L89=phu!$I$69,L89=phu!$I$70,L89=phu!$I$71),"Ba Ngòi",""),IF(OR(L89=phu!$I$72,L89=phu!$I$73,L89=phu!$I$74,L89=phu!$I$75,L89=phu!$I$76,L89=phu!$I$77,L89=phu!$I$78),"Cam Phước Đông",""),IF(OR(L89=phu!$I$79,L89=phu!$I$80,L89=phu!$I$81,L89=phu!$I$82,L89=phu!$I$83,L89=phu!$I$84),"Cam Thịnh Đông",""),IF(OR(L89=phu!$I$85,L89=phu!$I$86,L89=phu!$I$87,L89=phu!$I$88),"Cam Thịnh Tây",""),IF(OR(L89=phu!$I$89,L89=phu!$I$90),"Cam Lập",""),IF(OR(L89=phu!$I$91,L89=phu!$I$92,L89=phu!$I$93),"Cam Bình",""),IF(OR(L89=phu!$I$94,L89=phu!$I$95,L89=phu!$I$96,L89=phu!$I$97,L89=phu!$I$98,L89=phu!$I$99,L89=phu!$I$100),"Huyện khác",""),IF(OR(L89=phu!$I$101,L89=phu!$I$102),"Tỉnh khác",""))</f>
        <v/>
      </c>
      <c r="N89" s="835" t="str">
        <f t="shared" si="8"/>
        <v/>
      </c>
      <c r="O89" s="20"/>
      <c r="P89" s="20"/>
      <c r="Q89" s="20"/>
      <c r="R89" s="20"/>
      <c r="S89" s="20"/>
      <c r="T89" s="21"/>
      <c r="U89" s="21"/>
      <c r="V89" s="21"/>
      <c r="W89" s="7" t="str">
        <f t="shared" si="6"/>
        <v/>
      </c>
      <c r="X89" s="506" t="str">
        <f t="shared" si="7"/>
        <v/>
      </c>
    </row>
    <row r="90" spans="1:24" x14ac:dyDescent="0.25">
      <c r="A90" s="66" t="str">
        <f t="shared" si="9"/>
        <v/>
      </c>
      <c r="B90" s="23" t="str">
        <f t="shared" si="5"/>
        <v/>
      </c>
      <c r="C90" s="15"/>
      <c r="D90" s="16"/>
      <c r="E90" s="17"/>
      <c r="F90" s="18"/>
      <c r="G90" s="18"/>
      <c r="H90" s="19"/>
      <c r="I90" s="15"/>
      <c r="J90" s="20"/>
      <c r="K90" s="15"/>
      <c r="L90" s="15"/>
      <c r="M90" s="531" t="str">
        <f>CONCATENATE(IF(OR(L90=phu!$I$1,L90=phu!$I$2,L90=phu!$I$3),"Cam Thành Nam",""),IF(OR(L90=phu!$I$4,L90=phu!$I$5,L90=phu!$I$6,L90=phu!$I$7,L90=phu!$I$8,L90=phu!$I$9,L90=phu!$I$10,L90=phu!$I$11,L90=phu!$I$12,L90=phu!$I$13,L90=phu!$I$14),"Cam Nghĩa",""),IF(OR(L90=phu!$I$15,L90=phu!$I$16,L90=phu!$I$17,L90=phu!$I$18,L90=phu!$I$19,L90=phu!$I$20,L90=phu!$I$21),"Cam Phúc Bắc",""),IF(OR(L90=phu!$I$22,L90=phu!$I$23,L90=phu!$I$24,L90=phu!$I$25),"Cam Phúc Nam",""),IF(OR(L90=phu!$I$26,L90=phu!$I$27,L90=phu!$I$28,L90=phu!$I$29,L90=phu!$I$30,L90=phu!$I$31),"Cam Phú",""),IF(OR(L90=phu!$I$32,L90=phu!$I$33,L90=phu!$I$34,L90=phu!$I$35,L90=phu!$I$36,L90=phu!$I$37),"Cam Lộc",""),IF(OR(L90=phu!$I$38,L90=phu!$I$39,L90=phu!$I$40,L90=phu!$I$41,L90=phu!$I$42,L90=phu!$I$43,L90=phu!$I$44),"Cam Thuận",""),IF(OR(L90=phu!$I$45,L90=phu!$I$46,L90=phu!$I$47,L90=phu!$I$48,L90=phu!$I$49,L90=phu!$I$50,L90=phu!$I$51,L90=phu!$I$52,L90=phu!$I$53),"Cam Linh",""),IF(OR(L90=phu!$I$54,L90=phu!$I$55,L90=phu!$I$56,L90=phu!$I$57,L90=phu!$I$58,L90=phu!$I$59,L90=phu!$I$60,L90=phu!$I$61,L90=phu!$I$62),"Cam Lợi",""),IF(OR(L90=phu!$I$63,L90=phu!$I$64,L90=phu!$I$65,L90=phu!$I$66,L90=phu!$I$67,L90=phu!$I$68,L90=phu!$I$69,L90=phu!$I$70,L90=phu!$I$71),"Ba Ngòi",""),IF(OR(L90=phu!$I$72,L90=phu!$I$73,L90=phu!$I$74,L90=phu!$I$75,L90=phu!$I$76,L90=phu!$I$77,L90=phu!$I$78),"Cam Phước Đông",""),IF(OR(L90=phu!$I$79,L90=phu!$I$80,L90=phu!$I$81,L90=phu!$I$82,L90=phu!$I$83,L90=phu!$I$84),"Cam Thịnh Đông",""),IF(OR(L90=phu!$I$85,L90=phu!$I$86,L90=phu!$I$87,L90=phu!$I$88),"Cam Thịnh Tây",""),IF(OR(L90=phu!$I$89,L90=phu!$I$90),"Cam Lập",""),IF(OR(L90=phu!$I$91,L90=phu!$I$92,L90=phu!$I$93),"Cam Bình",""),IF(OR(L90=phu!$I$94,L90=phu!$I$95,L90=phu!$I$96,L90=phu!$I$97,L90=phu!$I$98,L90=phu!$I$99,L90=phu!$I$100),"Huyện khác",""),IF(OR(L90=phu!$I$101,L90=phu!$I$102),"Tỉnh khác",""))</f>
        <v/>
      </c>
      <c r="N90" s="835" t="str">
        <f t="shared" si="8"/>
        <v/>
      </c>
      <c r="O90" s="20"/>
      <c r="P90" s="20"/>
      <c r="Q90" s="20"/>
      <c r="R90" s="20"/>
      <c r="S90" s="20"/>
      <c r="T90" s="21"/>
      <c r="U90" s="21"/>
      <c r="V90" s="21"/>
      <c r="W90" s="7" t="str">
        <f t="shared" si="6"/>
        <v/>
      </c>
      <c r="X90" s="506" t="str">
        <f t="shared" si="7"/>
        <v/>
      </c>
    </row>
    <row r="91" spans="1:24" x14ac:dyDescent="0.25">
      <c r="A91" s="66" t="str">
        <f t="shared" si="9"/>
        <v/>
      </c>
      <c r="B91" s="23" t="str">
        <f t="shared" si="5"/>
        <v/>
      </c>
      <c r="C91" s="15"/>
      <c r="D91" s="16"/>
      <c r="E91" s="17"/>
      <c r="F91" s="18"/>
      <c r="G91" s="18"/>
      <c r="H91" s="19"/>
      <c r="I91" s="15"/>
      <c r="J91" s="20"/>
      <c r="K91" s="15"/>
      <c r="L91" s="15"/>
      <c r="M91" s="531" t="str">
        <f>CONCATENATE(IF(OR(L91=phu!$I$1,L91=phu!$I$2,L91=phu!$I$3),"Cam Thành Nam",""),IF(OR(L91=phu!$I$4,L91=phu!$I$5,L91=phu!$I$6,L91=phu!$I$7,L91=phu!$I$8,L91=phu!$I$9,L91=phu!$I$10,L91=phu!$I$11,L91=phu!$I$12,L91=phu!$I$13,L91=phu!$I$14),"Cam Nghĩa",""),IF(OR(L91=phu!$I$15,L91=phu!$I$16,L91=phu!$I$17,L91=phu!$I$18,L91=phu!$I$19,L91=phu!$I$20,L91=phu!$I$21),"Cam Phúc Bắc",""),IF(OR(L91=phu!$I$22,L91=phu!$I$23,L91=phu!$I$24,L91=phu!$I$25),"Cam Phúc Nam",""),IF(OR(L91=phu!$I$26,L91=phu!$I$27,L91=phu!$I$28,L91=phu!$I$29,L91=phu!$I$30,L91=phu!$I$31),"Cam Phú",""),IF(OR(L91=phu!$I$32,L91=phu!$I$33,L91=phu!$I$34,L91=phu!$I$35,L91=phu!$I$36,L91=phu!$I$37),"Cam Lộc",""),IF(OR(L91=phu!$I$38,L91=phu!$I$39,L91=phu!$I$40,L91=phu!$I$41,L91=phu!$I$42,L91=phu!$I$43,L91=phu!$I$44),"Cam Thuận",""),IF(OR(L91=phu!$I$45,L91=phu!$I$46,L91=phu!$I$47,L91=phu!$I$48,L91=phu!$I$49,L91=phu!$I$50,L91=phu!$I$51,L91=phu!$I$52,L91=phu!$I$53),"Cam Linh",""),IF(OR(L91=phu!$I$54,L91=phu!$I$55,L91=phu!$I$56,L91=phu!$I$57,L91=phu!$I$58,L91=phu!$I$59,L91=phu!$I$60,L91=phu!$I$61,L91=phu!$I$62),"Cam Lợi",""),IF(OR(L91=phu!$I$63,L91=phu!$I$64,L91=phu!$I$65,L91=phu!$I$66,L91=phu!$I$67,L91=phu!$I$68,L91=phu!$I$69,L91=phu!$I$70,L91=phu!$I$71),"Ba Ngòi",""),IF(OR(L91=phu!$I$72,L91=phu!$I$73,L91=phu!$I$74,L91=phu!$I$75,L91=phu!$I$76,L91=phu!$I$77,L91=phu!$I$78),"Cam Phước Đông",""),IF(OR(L91=phu!$I$79,L91=phu!$I$80,L91=phu!$I$81,L91=phu!$I$82,L91=phu!$I$83,L91=phu!$I$84),"Cam Thịnh Đông",""),IF(OR(L91=phu!$I$85,L91=phu!$I$86,L91=phu!$I$87,L91=phu!$I$88),"Cam Thịnh Tây",""),IF(OR(L91=phu!$I$89,L91=phu!$I$90),"Cam Lập",""),IF(OR(L91=phu!$I$91,L91=phu!$I$92,L91=phu!$I$93),"Cam Bình",""),IF(OR(L91=phu!$I$94,L91=phu!$I$95,L91=phu!$I$96,L91=phu!$I$97,L91=phu!$I$98,L91=phu!$I$99,L91=phu!$I$100),"Huyện khác",""),IF(OR(L91=phu!$I$101,L91=phu!$I$102),"Tỉnh khác",""))</f>
        <v/>
      </c>
      <c r="N91" s="835" t="str">
        <f t="shared" si="8"/>
        <v/>
      </c>
      <c r="O91" s="20"/>
      <c r="P91" s="20"/>
      <c r="Q91" s="20"/>
      <c r="R91" s="20"/>
      <c r="S91" s="20"/>
      <c r="T91" s="21"/>
      <c r="U91" s="21"/>
      <c r="V91" s="21"/>
      <c r="W91" s="7" t="str">
        <f t="shared" si="6"/>
        <v/>
      </c>
      <c r="X91" s="506" t="str">
        <f t="shared" si="7"/>
        <v/>
      </c>
    </row>
    <row r="92" spans="1:24" x14ac:dyDescent="0.25">
      <c r="A92" s="66" t="str">
        <f t="shared" si="9"/>
        <v/>
      </c>
      <c r="B92" s="23" t="str">
        <f t="shared" si="5"/>
        <v/>
      </c>
      <c r="C92" s="15"/>
      <c r="D92" s="16"/>
      <c r="E92" s="17"/>
      <c r="F92" s="18"/>
      <c r="G92" s="18"/>
      <c r="H92" s="19"/>
      <c r="I92" s="15"/>
      <c r="J92" s="20"/>
      <c r="K92" s="15"/>
      <c r="L92" s="15"/>
      <c r="M92" s="531" t="str">
        <f>CONCATENATE(IF(OR(L92=phu!$I$1,L92=phu!$I$2,L92=phu!$I$3),"Cam Thành Nam",""),IF(OR(L92=phu!$I$4,L92=phu!$I$5,L92=phu!$I$6,L92=phu!$I$7,L92=phu!$I$8,L92=phu!$I$9,L92=phu!$I$10,L92=phu!$I$11,L92=phu!$I$12,L92=phu!$I$13,L92=phu!$I$14),"Cam Nghĩa",""),IF(OR(L92=phu!$I$15,L92=phu!$I$16,L92=phu!$I$17,L92=phu!$I$18,L92=phu!$I$19,L92=phu!$I$20,L92=phu!$I$21),"Cam Phúc Bắc",""),IF(OR(L92=phu!$I$22,L92=phu!$I$23,L92=phu!$I$24,L92=phu!$I$25),"Cam Phúc Nam",""),IF(OR(L92=phu!$I$26,L92=phu!$I$27,L92=phu!$I$28,L92=phu!$I$29,L92=phu!$I$30,L92=phu!$I$31),"Cam Phú",""),IF(OR(L92=phu!$I$32,L92=phu!$I$33,L92=phu!$I$34,L92=phu!$I$35,L92=phu!$I$36,L92=phu!$I$37),"Cam Lộc",""),IF(OR(L92=phu!$I$38,L92=phu!$I$39,L92=phu!$I$40,L92=phu!$I$41,L92=phu!$I$42,L92=phu!$I$43,L92=phu!$I$44),"Cam Thuận",""),IF(OR(L92=phu!$I$45,L92=phu!$I$46,L92=phu!$I$47,L92=phu!$I$48,L92=phu!$I$49,L92=phu!$I$50,L92=phu!$I$51,L92=phu!$I$52,L92=phu!$I$53),"Cam Linh",""),IF(OR(L92=phu!$I$54,L92=phu!$I$55,L92=phu!$I$56,L92=phu!$I$57,L92=phu!$I$58,L92=phu!$I$59,L92=phu!$I$60,L92=phu!$I$61,L92=phu!$I$62),"Cam Lợi",""),IF(OR(L92=phu!$I$63,L92=phu!$I$64,L92=phu!$I$65,L92=phu!$I$66,L92=phu!$I$67,L92=phu!$I$68,L92=phu!$I$69,L92=phu!$I$70,L92=phu!$I$71),"Ba Ngòi",""),IF(OR(L92=phu!$I$72,L92=phu!$I$73,L92=phu!$I$74,L92=phu!$I$75,L92=phu!$I$76,L92=phu!$I$77,L92=phu!$I$78),"Cam Phước Đông",""),IF(OR(L92=phu!$I$79,L92=phu!$I$80,L92=phu!$I$81,L92=phu!$I$82,L92=phu!$I$83,L92=phu!$I$84),"Cam Thịnh Đông",""),IF(OR(L92=phu!$I$85,L92=phu!$I$86,L92=phu!$I$87,L92=phu!$I$88),"Cam Thịnh Tây",""),IF(OR(L92=phu!$I$89,L92=phu!$I$90),"Cam Lập",""),IF(OR(L92=phu!$I$91,L92=phu!$I$92,L92=phu!$I$93),"Cam Bình",""),IF(OR(L92=phu!$I$94,L92=phu!$I$95,L92=phu!$I$96,L92=phu!$I$97,L92=phu!$I$98,L92=phu!$I$99,L92=phu!$I$100),"Huyện khác",""),IF(OR(L92=phu!$I$101,L92=phu!$I$102),"Tỉnh khác",""))</f>
        <v/>
      </c>
      <c r="N92" s="835" t="str">
        <f t="shared" si="8"/>
        <v/>
      </c>
      <c r="O92" s="20"/>
      <c r="P92" s="20"/>
      <c r="Q92" s="20"/>
      <c r="R92" s="20"/>
      <c r="S92" s="20"/>
      <c r="T92" s="21"/>
      <c r="U92" s="21"/>
      <c r="V92" s="21"/>
      <c r="W92" s="7" t="str">
        <f t="shared" si="6"/>
        <v/>
      </c>
      <c r="X92" s="506" t="str">
        <f t="shared" si="7"/>
        <v/>
      </c>
    </row>
    <row r="93" spans="1:24" x14ac:dyDescent="0.25">
      <c r="A93" s="66" t="str">
        <f t="shared" si="9"/>
        <v/>
      </c>
      <c r="B93" s="23" t="str">
        <f t="shared" si="5"/>
        <v/>
      </c>
      <c r="C93" s="15"/>
      <c r="D93" s="16"/>
      <c r="E93" s="17"/>
      <c r="F93" s="18"/>
      <c r="G93" s="18"/>
      <c r="H93" s="19"/>
      <c r="I93" s="15"/>
      <c r="J93" s="20"/>
      <c r="K93" s="15"/>
      <c r="L93" s="15"/>
      <c r="M93" s="531" t="str">
        <f>CONCATENATE(IF(OR(L93=phu!$I$1,L93=phu!$I$2,L93=phu!$I$3),"Cam Thành Nam",""),IF(OR(L93=phu!$I$4,L93=phu!$I$5,L93=phu!$I$6,L93=phu!$I$7,L93=phu!$I$8,L93=phu!$I$9,L93=phu!$I$10,L93=phu!$I$11,L93=phu!$I$12,L93=phu!$I$13,L93=phu!$I$14),"Cam Nghĩa",""),IF(OR(L93=phu!$I$15,L93=phu!$I$16,L93=phu!$I$17,L93=phu!$I$18,L93=phu!$I$19,L93=phu!$I$20,L93=phu!$I$21),"Cam Phúc Bắc",""),IF(OR(L93=phu!$I$22,L93=phu!$I$23,L93=phu!$I$24,L93=phu!$I$25),"Cam Phúc Nam",""),IF(OR(L93=phu!$I$26,L93=phu!$I$27,L93=phu!$I$28,L93=phu!$I$29,L93=phu!$I$30,L93=phu!$I$31),"Cam Phú",""),IF(OR(L93=phu!$I$32,L93=phu!$I$33,L93=phu!$I$34,L93=phu!$I$35,L93=phu!$I$36,L93=phu!$I$37),"Cam Lộc",""),IF(OR(L93=phu!$I$38,L93=phu!$I$39,L93=phu!$I$40,L93=phu!$I$41,L93=phu!$I$42,L93=phu!$I$43,L93=phu!$I$44),"Cam Thuận",""),IF(OR(L93=phu!$I$45,L93=phu!$I$46,L93=phu!$I$47,L93=phu!$I$48,L93=phu!$I$49,L93=phu!$I$50,L93=phu!$I$51,L93=phu!$I$52,L93=phu!$I$53),"Cam Linh",""),IF(OR(L93=phu!$I$54,L93=phu!$I$55,L93=phu!$I$56,L93=phu!$I$57,L93=phu!$I$58,L93=phu!$I$59,L93=phu!$I$60,L93=phu!$I$61,L93=phu!$I$62),"Cam Lợi",""),IF(OR(L93=phu!$I$63,L93=phu!$I$64,L93=phu!$I$65,L93=phu!$I$66,L93=phu!$I$67,L93=phu!$I$68,L93=phu!$I$69,L93=phu!$I$70,L93=phu!$I$71),"Ba Ngòi",""),IF(OR(L93=phu!$I$72,L93=phu!$I$73,L93=phu!$I$74,L93=phu!$I$75,L93=phu!$I$76,L93=phu!$I$77,L93=phu!$I$78),"Cam Phước Đông",""),IF(OR(L93=phu!$I$79,L93=phu!$I$80,L93=phu!$I$81,L93=phu!$I$82,L93=phu!$I$83,L93=phu!$I$84),"Cam Thịnh Đông",""),IF(OR(L93=phu!$I$85,L93=phu!$I$86,L93=phu!$I$87,L93=phu!$I$88),"Cam Thịnh Tây",""),IF(OR(L93=phu!$I$89,L93=phu!$I$90),"Cam Lập",""),IF(OR(L93=phu!$I$91,L93=phu!$I$92,L93=phu!$I$93),"Cam Bình",""),IF(OR(L93=phu!$I$94,L93=phu!$I$95,L93=phu!$I$96,L93=phu!$I$97,L93=phu!$I$98,L93=phu!$I$99,L93=phu!$I$100),"Huyện khác",""),IF(OR(L93=phu!$I$101,L93=phu!$I$102),"Tỉnh khác",""))</f>
        <v/>
      </c>
      <c r="N93" s="835" t="str">
        <f t="shared" si="8"/>
        <v/>
      </c>
      <c r="O93" s="20"/>
      <c r="P93" s="20"/>
      <c r="Q93" s="20"/>
      <c r="R93" s="20"/>
      <c r="S93" s="20"/>
      <c r="T93" s="21"/>
      <c r="U93" s="21"/>
      <c r="V93" s="21"/>
      <c r="W93" s="7" t="str">
        <f t="shared" si="6"/>
        <v/>
      </c>
      <c r="X93" s="506" t="str">
        <f t="shared" si="7"/>
        <v/>
      </c>
    </row>
    <row r="94" spans="1:24" x14ac:dyDescent="0.25">
      <c r="A94" s="66" t="str">
        <f t="shared" si="9"/>
        <v/>
      </c>
      <c r="B94" s="23" t="str">
        <f t="shared" si="5"/>
        <v/>
      </c>
      <c r="C94" s="15"/>
      <c r="D94" s="16"/>
      <c r="E94" s="17"/>
      <c r="F94" s="18"/>
      <c r="G94" s="18"/>
      <c r="H94" s="19"/>
      <c r="I94" s="15"/>
      <c r="J94" s="20"/>
      <c r="K94" s="15"/>
      <c r="L94" s="15"/>
      <c r="M94" s="531" t="str">
        <f>CONCATENATE(IF(OR(L94=phu!$I$1,L94=phu!$I$2,L94=phu!$I$3),"Cam Thành Nam",""),IF(OR(L94=phu!$I$4,L94=phu!$I$5,L94=phu!$I$6,L94=phu!$I$7,L94=phu!$I$8,L94=phu!$I$9,L94=phu!$I$10,L94=phu!$I$11,L94=phu!$I$12,L94=phu!$I$13,L94=phu!$I$14),"Cam Nghĩa",""),IF(OR(L94=phu!$I$15,L94=phu!$I$16,L94=phu!$I$17,L94=phu!$I$18,L94=phu!$I$19,L94=phu!$I$20,L94=phu!$I$21),"Cam Phúc Bắc",""),IF(OR(L94=phu!$I$22,L94=phu!$I$23,L94=phu!$I$24,L94=phu!$I$25),"Cam Phúc Nam",""),IF(OR(L94=phu!$I$26,L94=phu!$I$27,L94=phu!$I$28,L94=phu!$I$29,L94=phu!$I$30,L94=phu!$I$31),"Cam Phú",""),IF(OR(L94=phu!$I$32,L94=phu!$I$33,L94=phu!$I$34,L94=phu!$I$35,L94=phu!$I$36,L94=phu!$I$37),"Cam Lộc",""),IF(OR(L94=phu!$I$38,L94=phu!$I$39,L94=phu!$I$40,L94=phu!$I$41,L94=phu!$I$42,L94=phu!$I$43,L94=phu!$I$44),"Cam Thuận",""),IF(OR(L94=phu!$I$45,L94=phu!$I$46,L94=phu!$I$47,L94=phu!$I$48,L94=phu!$I$49,L94=phu!$I$50,L94=phu!$I$51,L94=phu!$I$52,L94=phu!$I$53),"Cam Linh",""),IF(OR(L94=phu!$I$54,L94=phu!$I$55,L94=phu!$I$56,L94=phu!$I$57,L94=phu!$I$58,L94=phu!$I$59,L94=phu!$I$60,L94=phu!$I$61,L94=phu!$I$62),"Cam Lợi",""),IF(OR(L94=phu!$I$63,L94=phu!$I$64,L94=phu!$I$65,L94=phu!$I$66,L94=phu!$I$67,L94=phu!$I$68,L94=phu!$I$69,L94=phu!$I$70,L94=phu!$I$71),"Ba Ngòi",""),IF(OR(L94=phu!$I$72,L94=phu!$I$73,L94=phu!$I$74,L94=phu!$I$75,L94=phu!$I$76,L94=phu!$I$77,L94=phu!$I$78),"Cam Phước Đông",""),IF(OR(L94=phu!$I$79,L94=phu!$I$80,L94=phu!$I$81,L94=phu!$I$82,L94=phu!$I$83,L94=phu!$I$84),"Cam Thịnh Đông",""),IF(OR(L94=phu!$I$85,L94=phu!$I$86,L94=phu!$I$87,L94=phu!$I$88),"Cam Thịnh Tây",""),IF(OR(L94=phu!$I$89,L94=phu!$I$90),"Cam Lập",""),IF(OR(L94=phu!$I$91,L94=phu!$I$92,L94=phu!$I$93),"Cam Bình",""),IF(OR(L94=phu!$I$94,L94=phu!$I$95,L94=phu!$I$96,L94=phu!$I$97,L94=phu!$I$98,L94=phu!$I$99,L94=phu!$I$100),"Huyện khác",""),IF(OR(L94=phu!$I$101,L94=phu!$I$102),"Tỉnh khác",""))</f>
        <v/>
      </c>
      <c r="N94" s="835" t="str">
        <f t="shared" si="8"/>
        <v/>
      </c>
      <c r="O94" s="20"/>
      <c r="P94" s="20"/>
      <c r="Q94" s="20"/>
      <c r="R94" s="20"/>
      <c r="S94" s="20"/>
      <c r="T94" s="21"/>
      <c r="U94" s="21"/>
      <c r="V94" s="21"/>
      <c r="W94" s="7" t="str">
        <f t="shared" si="6"/>
        <v/>
      </c>
      <c r="X94" s="506" t="str">
        <f t="shared" si="7"/>
        <v/>
      </c>
    </row>
    <row r="95" spans="1:24" x14ac:dyDescent="0.25">
      <c r="A95" s="66" t="str">
        <f t="shared" si="9"/>
        <v/>
      </c>
      <c r="B95" s="23" t="str">
        <f t="shared" si="5"/>
        <v/>
      </c>
      <c r="C95" s="15"/>
      <c r="D95" s="16"/>
      <c r="E95" s="17"/>
      <c r="F95" s="18"/>
      <c r="G95" s="18"/>
      <c r="H95" s="19"/>
      <c r="I95" s="15"/>
      <c r="J95" s="20"/>
      <c r="K95" s="15"/>
      <c r="L95" s="15"/>
      <c r="M95" s="531" t="str">
        <f>CONCATENATE(IF(OR(L95=phu!$I$1,L95=phu!$I$2,L95=phu!$I$3),"Cam Thành Nam",""),IF(OR(L95=phu!$I$4,L95=phu!$I$5,L95=phu!$I$6,L95=phu!$I$7,L95=phu!$I$8,L95=phu!$I$9,L95=phu!$I$10,L95=phu!$I$11,L95=phu!$I$12,L95=phu!$I$13,L95=phu!$I$14),"Cam Nghĩa",""),IF(OR(L95=phu!$I$15,L95=phu!$I$16,L95=phu!$I$17,L95=phu!$I$18,L95=phu!$I$19,L95=phu!$I$20,L95=phu!$I$21),"Cam Phúc Bắc",""),IF(OR(L95=phu!$I$22,L95=phu!$I$23,L95=phu!$I$24,L95=phu!$I$25),"Cam Phúc Nam",""),IF(OR(L95=phu!$I$26,L95=phu!$I$27,L95=phu!$I$28,L95=phu!$I$29,L95=phu!$I$30,L95=phu!$I$31),"Cam Phú",""),IF(OR(L95=phu!$I$32,L95=phu!$I$33,L95=phu!$I$34,L95=phu!$I$35,L95=phu!$I$36,L95=phu!$I$37),"Cam Lộc",""),IF(OR(L95=phu!$I$38,L95=phu!$I$39,L95=phu!$I$40,L95=phu!$I$41,L95=phu!$I$42,L95=phu!$I$43,L95=phu!$I$44),"Cam Thuận",""),IF(OR(L95=phu!$I$45,L95=phu!$I$46,L95=phu!$I$47,L95=phu!$I$48,L95=phu!$I$49,L95=phu!$I$50,L95=phu!$I$51,L95=phu!$I$52,L95=phu!$I$53),"Cam Linh",""),IF(OR(L95=phu!$I$54,L95=phu!$I$55,L95=phu!$I$56,L95=phu!$I$57,L95=phu!$I$58,L95=phu!$I$59,L95=phu!$I$60,L95=phu!$I$61,L95=phu!$I$62),"Cam Lợi",""),IF(OR(L95=phu!$I$63,L95=phu!$I$64,L95=phu!$I$65,L95=phu!$I$66,L95=phu!$I$67,L95=phu!$I$68,L95=phu!$I$69,L95=phu!$I$70,L95=phu!$I$71),"Ba Ngòi",""),IF(OR(L95=phu!$I$72,L95=phu!$I$73,L95=phu!$I$74,L95=phu!$I$75,L95=phu!$I$76,L95=phu!$I$77,L95=phu!$I$78),"Cam Phước Đông",""),IF(OR(L95=phu!$I$79,L95=phu!$I$80,L95=phu!$I$81,L95=phu!$I$82,L95=phu!$I$83,L95=phu!$I$84),"Cam Thịnh Đông",""),IF(OR(L95=phu!$I$85,L95=phu!$I$86,L95=phu!$I$87,L95=phu!$I$88),"Cam Thịnh Tây",""),IF(OR(L95=phu!$I$89,L95=phu!$I$90),"Cam Lập",""),IF(OR(L95=phu!$I$91,L95=phu!$I$92,L95=phu!$I$93),"Cam Bình",""),IF(OR(L95=phu!$I$94,L95=phu!$I$95,L95=phu!$I$96,L95=phu!$I$97,L95=phu!$I$98,L95=phu!$I$99,L95=phu!$I$100),"Huyện khác",""),IF(OR(L95=phu!$I$101,L95=phu!$I$102),"Tỉnh khác",""))</f>
        <v/>
      </c>
      <c r="N95" s="835" t="str">
        <f t="shared" si="8"/>
        <v/>
      </c>
      <c r="O95" s="20"/>
      <c r="P95" s="20"/>
      <c r="Q95" s="20"/>
      <c r="R95" s="20"/>
      <c r="S95" s="20"/>
      <c r="T95" s="21"/>
      <c r="U95" s="21"/>
      <c r="V95" s="21"/>
      <c r="W95" s="7" t="str">
        <f t="shared" si="6"/>
        <v/>
      </c>
      <c r="X95" s="506" t="str">
        <f t="shared" si="7"/>
        <v/>
      </c>
    </row>
    <row r="96" spans="1:24" x14ac:dyDescent="0.25">
      <c r="A96" s="66" t="str">
        <f t="shared" si="9"/>
        <v/>
      </c>
      <c r="B96" s="23" t="str">
        <f t="shared" si="5"/>
        <v/>
      </c>
      <c r="C96" s="15"/>
      <c r="D96" s="16"/>
      <c r="E96" s="17"/>
      <c r="F96" s="18"/>
      <c r="G96" s="18"/>
      <c r="H96" s="19"/>
      <c r="I96" s="15"/>
      <c r="J96" s="20"/>
      <c r="K96" s="15"/>
      <c r="L96" s="15"/>
      <c r="M96" s="531" t="str">
        <f>CONCATENATE(IF(OR(L96=phu!$I$1,L96=phu!$I$2,L96=phu!$I$3),"Cam Thành Nam",""),IF(OR(L96=phu!$I$4,L96=phu!$I$5,L96=phu!$I$6,L96=phu!$I$7,L96=phu!$I$8,L96=phu!$I$9,L96=phu!$I$10,L96=phu!$I$11,L96=phu!$I$12,L96=phu!$I$13,L96=phu!$I$14),"Cam Nghĩa",""),IF(OR(L96=phu!$I$15,L96=phu!$I$16,L96=phu!$I$17,L96=phu!$I$18,L96=phu!$I$19,L96=phu!$I$20,L96=phu!$I$21),"Cam Phúc Bắc",""),IF(OR(L96=phu!$I$22,L96=phu!$I$23,L96=phu!$I$24,L96=phu!$I$25),"Cam Phúc Nam",""),IF(OR(L96=phu!$I$26,L96=phu!$I$27,L96=phu!$I$28,L96=phu!$I$29,L96=phu!$I$30,L96=phu!$I$31),"Cam Phú",""),IF(OR(L96=phu!$I$32,L96=phu!$I$33,L96=phu!$I$34,L96=phu!$I$35,L96=phu!$I$36,L96=phu!$I$37),"Cam Lộc",""),IF(OR(L96=phu!$I$38,L96=phu!$I$39,L96=phu!$I$40,L96=phu!$I$41,L96=phu!$I$42,L96=phu!$I$43,L96=phu!$I$44),"Cam Thuận",""),IF(OR(L96=phu!$I$45,L96=phu!$I$46,L96=phu!$I$47,L96=phu!$I$48,L96=phu!$I$49,L96=phu!$I$50,L96=phu!$I$51,L96=phu!$I$52,L96=phu!$I$53),"Cam Linh",""),IF(OR(L96=phu!$I$54,L96=phu!$I$55,L96=phu!$I$56,L96=phu!$I$57,L96=phu!$I$58,L96=phu!$I$59,L96=phu!$I$60,L96=phu!$I$61,L96=phu!$I$62),"Cam Lợi",""),IF(OR(L96=phu!$I$63,L96=phu!$I$64,L96=phu!$I$65,L96=phu!$I$66,L96=phu!$I$67,L96=phu!$I$68,L96=phu!$I$69,L96=phu!$I$70,L96=phu!$I$71),"Ba Ngòi",""),IF(OR(L96=phu!$I$72,L96=phu!$I$73,L96=phu!$I$74,L96=phu!$I$75,L96=phu!$I$76,L96=phu!$I$77,L96=phu!$I$78),"Cam Phước Đông",""),IF(OR(L96=phu!$I$79,L96=phu!$I$80,L96=phu!$I$81,L96=phu!$I$82,L96=phu!$I$83,L96=phu!$I$84),"Cam Thịnh Đông",""),IF(OR(L96=phu!$I$85,L96=phu!$I$86,L96=phu!$I$87,L96=phu!$I$88),"Cam Thịnh Tây",""),IF(OR(L96=phu!$I$89,L96=phu!$I$90),"Cam Lập",""),IF(OR(L96=phu!$I$91,L96=phu!$I$92,L96=phu!$I$93),"Cam Bình",""),IF(OR(L96=phu!$I$94,L96=phu!$I$95,L96=phu!$I$96,L96=phu!$I$97,L96=phu!$I$98,L96=phu!$I$99,L96=phu!$I$100),"Huyện khác",""),IF(OR(L96=phu!$I$101,L96=phu!$I$102),"Tỉnh khác",""))</f>
        <v/>
      </c>
      <c r="N96" s="835" t="str">
        <f t="shared" si="8"/>
        <v/>
      </c>
      <c r="O96" s="20"/>
      <c r="P96" s="20"/>
      <c r="Q96" s="20"/>
      <c r="R96" s="20"/>
      <c r="S96" s="20"/>
      <c r="T96" s="21"/>
      <c r="U96" s="21"/>
      <c r="V96" s="21"/>
      <c r="W96" s="7" t="str">
        <f t="shared" si="6"/>
        <v/>
      </c>
      <c r="X96" s="506" t="str">
        <f t="shared" si="7"/>
        <v/>
      </c>
    </row>
    <row r="97" spans="1:24" x14ac:dyDescent="0.25">
      <c r="A97" s="66" t="str">
        <f t="shared" si="9"/>
        <v/>
      </c>
      <c r="B97" s="23" t="str">
        <f t="shared" si="5"/>
        <v/>
      </c>
      <c r="C97" s="15"/>
      <c r="D97" s="16"/>
      <c r="E97" s="17"/>
      <c r="F97" s="18"/>
      <c r="G97" s="18"/>
      <c r="H97" s="19"/>
      <c r="I97" s="15"/>
      <c r="J97" s="20"/>
      <c r="K97" s="15"/>
      <c r="L97" s="15"/>
      <c r="M97" s="531" t="str">
        <f>CONCATENATE(IF(OR(L97=phu!$I$1,L97=phu!$I$2,L97=phu!$I$3),"Cam Thành Nam",""),IF(OR(L97=phu!$I$4,L97=phu!$I$5,L97=phu!$I$6,L97=phu!$I$7,L97=phu!$I$8,L97=phu!$I$9,L97=phu!$I$10,L97=phu!$I$11,L97=phu!$I$12,L97=phu!$I$13,L97=phu!$I$14),"Cam Nghĩa",""),IF(OR(L97=phu!$I$15,L97=phu!$I$16,L97=phu!$I$17,L97=phu!$I$18,L97=phu!$I$19,L97=phu!$I$20,L97=phu!$I$21),"Cam Phúc Bắc",""),IF(OR(L97=phu!$I$22,L97=phu!$I$23,L97=phu!$I$24,L97=phu!$I$25),"Cam Phúc Nam",""),IF(OR(L97=phu!$I$26,L97=phu!$I$27,L97=phu!$I$28,L97=phu!$I$29,L97=phu!$I$30,L97=phu!$I$31),"Cam Phú",""),IF(OR(L97=phu!$I$32,L97=phu!$I$33,L97=phu!$I$34,L97=phu!$I$35,L97=phu!$I$36,L97=phu!$I$37),"Cam Lộc",""),IF(OR(L97=phu!$I$38,L97=phu!$I$39,L97=phu!$I$40,L97=phu!$I$41,L97=phu!$I$42,L97=phu!$I$43,L97=phu!$I$44),"Cam Thuận",""),IF(OR(L97=phu!$I$45,L97=phu!$I$46,L97=phu!$I$47,L97=phu!$I$48,L97=phu!$I$49,L97=phu!$I$50,L97=phu!$I$51,L97=phu!$I$52,L97=phu!$I$53),"Cam Linh",""),IF(OR(L97=phu!$I$54,L97=phu!$I$55,L97=phu!$I$56,L97=phu!$I$57,L97=phu!$I$58,L97=phu!$I$59,L97=phu!$I$60,L97=phu!$I$61,L97=phu!$I$62),"Cam Lợi",""),IF(OR(L97=phu!$I$63,L97=phu!$I$64,L97=phu!$I$65,L97=phu!$I$66,L97=phu!$I$67,L97=phu!$I$68,L97=phu!$I$69,L97=phu!$I$70,L97=phu!$I$71),"Ba Ngòi",""),IF(OR(L97=phu!$I$72,L97=phu!$I$73,L97=phu!$I$74,L97=phu!$I$75,L97=phu!$I$76,L97=phu!$I$77,L97=phu!$I$78),"Cam Phước Đông",""),IF(OR(L97=phu!$I$79,L97=phu!$I$80,L97=phu!$I$81,L97=phu!$I$82,L97=phu!$I$83,L97=phu!$I$84),"Cam Thịnh Đông",""),IF(OR(L97=phu!$I$85,L97=phu!$I$86,L97=phu!$I$87,L97=phu!$I$88),"Cam Thịnh Tây",""),IF(OR(L97=phu!$I$89,L97=phu!$I$90),"Cam Lập",""),IF(OR(L97=phu!$I$91,L97=phu!$I$92,L97=phu!$I$93),"Cam Bình",""),IF(OR(L97=phu!$I$94,L97=phu!$I$95,L97=phu!$I$96,L97=phu!$I$97,L97=phu!$I$98,L97=phu!$I$99,L97=phu!$I$100),"Huyện khác",""),IF(OR(L97=phu!$I$101,L97=phu!$I$102),"Tỉnh khác",""))</f>
        <v/>
      </c>
      <c r="N97" s="835" t="str">
        <f t="shared" si="8"/>
        <v/>
      </c>
      <c r="O97" s="20"/>
      <c r="P97" s="20"/>
      <c r="Q97" s="20"/>
      <c r="R97" s="20"/>
      <c r="S97" s="20"/>
      <c r="T97" s="21"/>
      <c r="U97" s="21"/>
      <c r="V97" s="21"/>
      <c r="W97" s="7" t="str">
        <f t="shared" si="6"/>
        <v/>
      </c>
      <c r="X97" s="506" t="str">
        <f t="shared" si="7"/>
        <v/>
      </c>
    </row>
    <row r="98" spans="1:24" x14ac:dyDescent="0.25">
      <c r="A98" s="66" t="str">
        <f t="shared" si="9"/>
        <v/>
      </c>
      <c r="B98" s="23" t="str">
        <f t="shared" si="5"/>
        <v/>
      </c>
      <c r="C98" s="15"/>
      <c r="D98" s="16"/>
      <c r="E98" s="17"/>
      <c r="F98" s="18"/>
      <c r="G98" s="18"/>
      <c r="H98" s="19"/>
      <c r="I98" s="15"/>
      <c r="J98" s="20"/>
      <c r="K98" s="15"/>
      <c r="L98" s="15"/>
      <c r="M98" s="531" t="str">
        <f>CONCATENATE(IF(OR(L98=phu!$I$1,L98=phu!$I$2,L98=phu!$I$3),"Cam Thành Nam",""),IF(OR(L98=phu!$I$4,L98=phu!$I$5,L98=phu!$I$6,L98=phu!$I$7,L98=phu!$I$8,L98=phu!$I$9,L98=phu!$I$10,L98=phu!$I$11,L98=phu!$I$12,L98=phu!$I$13,L98=phu!$I$14),"Cam Nghĩa",""),IF(OR(L98=phu!$I$15,L98=phu!$I$16,L98=phu!$I$17,L98=phu!$I$18,L98=phu!$I$19,L98=phu!$I$20,L98=phu!$I$21),"Cam Phúc Bắc",""),IF(OR(L98=phu!$I$22,L98=phu!$I$23,L98=phu!$I$24,L98=phu!$I$25),"Cam Phúc Nam",""),IF(OR(L98=phu!$I$26,L98=phu!$I$27,L98=phu!$I$28,L98=phu!$I$29,L98=phu!$I$30,L98=phu!$I$31),"Cam Phú",""),IF(OR(L98=phu!$I$32,L98=phu!$I$33,L98=phu!$I$34,L98=phu!$I$35,L98=phu!$I$36,L98=phu!$I$37),"Cam Lộc",""),IF(OR(L98=phu!$I$38,L98=phu!$I$39,L98=phu!$I$40,L98=phu!$I$41,L98=phu!$I$42,L98=phu!$I$43,L98=phu!$I$44),"Cam Thuận",""),IF(OR(L98=phu!$I$45,L98=phu!$I$46,L98=phu!$I$47,L98=phu!$I$48,L98=phu!$I$49,L98=phu!$I$50,L98=phu!$I$51,L98=phu!$I$52,L98=phu!$I$53),"Cam Linh",""),IF(OR(L98=phu!$I$54,L98=phu!$I$55,L98=phu!$I$56,L98=phu!$I$57,L98=phu!$I$58,L98=phu!$I$59,L98=phu!$I$60,L98=phu!$I$61,L98=phu!$I$62),"Cam Lợi",""),IF(OR(L98=phu!$I$63,L98=phu!$I$64,L98=phu!$I$65,L98=phu!$I$66,L98=phu!$I$67,L98=phu!$I$68,L98=phu!$I$69,L98=phu!$I$70,L98=phu!$I$71),"Ba Ngòi",""),IF(OR(L98=phu!$I$72,L98=phu!$I$73,L98=phu!$I$74,L98=phu!$I$75,L98=phu!$I$76,L98=phu!$I$77,L98=phu!$I$78),"Cam Phước Đông",""),IF(OR(L98=phu!$I$79,L98=phu!$I$80,L98=phu!$I$81,L98=phu!$I$82,L98=phu!$I$83,L98=phu!$I$84),"Cam Thịnh Đông",""),IF(OR(L98=phu!$I$85,L98=phu!$I$86,L98=phu!$I$87,L98=phu!$I$88),"Cam Thịnh Tây",""),IF(OR(L98=phu!$I$89,L98=phu!$I$90),"Cam Lập",""),IF(OR(L98=phu!$I$91,L98=phu!$I$92,L98=phu!$I$93),"Cam Bình",""),IF(OR(L98=phu!$I$94,L98=phu!$I$95,L98=phu!$I$96,L98=phu!$I$97,L98=phu!$I$98,L98=phu!$I$99,L98=phu!$I$100),"Huyện khác",""),IF(OR(L98=phu!$I$101,L98=phu!$I$102),"Tỉnh khác",""))</f>
        <v/>
      </c>
      <c r="N98" s="835" t="str">
        <f t="shared" si="8"/>
        <v/>
      </c>
      <c r="O98" s="20"/>
      <c r="P98" s="20"/>
      <c r="Q98" s="20"/>
      <c r="R98" s="20"/>
      <c r="S98" s="20"/>
      <c r="T98" s="21"/>
      <c r="U98" s="21"/>
      <c r="V98" s="21"/>
      <c r="W98" s="7" t="str">
        <f t="shared" si="6"/>
        <v/>
      </c>
      <c r="X98" s="506" t="str">
        <f t="shared" si="7"/>
        <v/>
      </c>
    </row>
    <row r="99" spans="1:24" x14ac:dyDescent="0.25">
      <c r="A99" s="66" t="str">
        <f t="shared" si="9"/>
        <v/>
      </c>
      <c r="B99" s="23" t="str">
        <f t="shared" si="5"/>
        <v/>
      </c>
      <c r="C99" s="15"/>
      <c r="D99" s="16"/>
      <c r="E99" s="17"/>
      <c r="F99" s="18"/>
      <c r="G99" s="18"/>
      <c r="H99" s="19"/>
      <c r="I99" s="15"/>
      <c r="J99" s="20"/>
      <c r="K99" s="15"/>
      <c r="L99" s="15"/>
      <c r="M99" s="531" t="str">
        <f>CONCATENATE(IF(OR(L99=phu!$I$1,L99=phu!$I$2,L99=phu!$I$3),"Cam Thành Nam",""),IF(OR(L99=phu!$I$4,L99=phu!$I$5,L99=phu!$I$6,L99=phu!$I$7,L99=phu!$I$8,L99=phu!$I$9,L99=phu!$I$10,L99=phu!$I$11,L99=phu!$I$12,L99=phu!$I$13,L99=phu!$I$14),"Cam Nghĩa",""),IF(OR(L99=phu!$I$15,L99=phu!$I$16,L99=phu!$I$17,L99=phu!$I$18,L99=phu!$I$19,L99=phu!$I$20,L99=phu!$I$21),"Cam Phúc Bắc",""),IF(OR(L99=phu!$I$22,L99=phu!$I$23,L99=phu!$I$24,L99=phu!$I$25),"Cam Phúc Nam",""),IF(OR(L99=phu!$I$26,L99=phu!$I$27,L99=phu!$I$28,L99=phu!$I$29,L99=phu!$I$30,L99=phu!$I$31),"Cam Phú",""),IF(OR(L99=phu!$I$32,L99=phu!$I$33,L99=phu!$I$34,L99=phu!$I$35,L99=phu!$I$36,L99=phu!$I$37),"Cam Lộc",""),IF(OR(L99=phu!$I$38,L99=phu!$I$39,L99=phu!$I$40,L99=phu!$I$41,L99=phu!$I$42,L99=phu!$I$43,L99=phu!$I$44),"Cam Thuận",""),IF(OR(L99=phu!$I$45,L99=phu!$I$46,L99=phu!$I$47,L99=phu!$I$48,L99=phu!$I$49,L99=phu!$I$50,L99=phu!$I$51,L99=phu!$I$52,L99=phu!$I$53),"Cam Linh",""),IF(OR(L99=phu!$I$54,L99=phu!$I$55,L99=phu!$I$56,L99=phu!$I$57,L99=phu!$I$58,L99=phu!$I$59,L99=phu!$I$60,L99=phu!$I$61,L99=phu!$I$62),"Cam Lợi",""),IF(OR(L99=phu!$I$63,L99=phu!$I$64,L99=phu!$I$65,L99=phu!$I$66,L99=phu!$I$67,L99=phu!$I$68,L99=phu!$I$69,L99=phu!$I$70,L99=phu!$I$71),"Ba Ngòi",""),IF(OR(L99=phu!$I$72,L99=phu!$I$73,L99=phu!$I$74,L99=phu!$I$75,L99=phu!$I$76,L99=phu!$I$77,L99=phu!$I$78),"Cam Phước Đông",""),IF(OR(L99=phu!$I$79,L99=phu!$I$80,L99=phu!$I$81,L99=phu!$I$82,L99=phu!$I$83,L99=phu!$I$84),"Cam Thịnh Đông",""),IF(OR(L99=phu!$I$85,L99=phu!$I$86,L99=phu!$I$87,L99=phu!$I$88),"Cam Thịnh Tây",""),IF(OR(L99=phu!$I$89,L99=phu!$I$90),"Cam Lập",""),IF(OR(L99=phu!$I$91,L99=phu!$I$92,L99=phu!$I$93),"Cam Bình",""),IF(OR(L99=phu!$I$94,L99=phu!$I$95,L99=phu!$I$96,L99=phu!$I$97,L99=phu!$I$98,L99=phu!$I$99,L99=phu!$I$100),"Huyện khác",""),IF(OR(L99=phu!$I$101,L99=phu!$I$102),"Tỉnh khác",""))</f>
        <v/>
      </c>
      <c r="N99" s="835" t="str">
        <f t="shared" si="8"/>
        <v/>
      </c>
      <c r="O99" s="20"/>
      <c r="P99" s="20"/>
      <c r="Q99" s="20"/>
      <c r="R99" s="20"/>
      <c r="S99" s="20"/>
      <c r="T99" s="21"/>
      <c r="U99" s="21"/>
      <c r="V99" s="21"/>
      <c r="W99" s="7" t="str">
        <f t="shared" si="6"/>
        <v/>
      </c>
      <c r="X99" s="506" t="str">
        <f t="shared" si="7"/>
        <v/>
      </c>
    </row>
    <row r="100" spans="1:24" x14ac:dyDescent="0.25">
      <c r="A100" s="66" t="str">
        <f t="shared" si="9"/>
        <v/>
      </c>
      <c r="B100" s="23" t="str">
        <f t="shared" si="5"/>
        <v/>
      </c>
      <c r="C100" s="15"/>
      <c r="D100" s="16"/>
      <c r="E100" s="17"/>
      <c r="F100" s="18"/>
      <c r="G100" s="18"/>
      <c r="H100" s="19"/>
      <c r="I100" s="15"/>
      <c r="J100" s="20"/>
      <c r="K100" s="15"/>
      <c r="L100" s="15"/>
      <c r="M100" s="531" t="str">
        <f>CONCATENATE(IF(OR(L100=phu!$I$1,L100=phu!$I$2,L100=phu!$I$3),"Cam Thành Nam",""),IF(OR(L100=phu!$I$4,L100=phu!$I$5,L100=phu!$I$6,L100=phu!$I$7,L100=phu!$I$8,L100=phu!$I$9,L100=phu!$I$10,L100=phu!$I$11,L100=phu!$I$12,L100=phu!$I$13,L100=phu!$I$14),"Cam Nghĩa",""),IF(OR(L100=phu!$I$15,L100=phu!$I$16,L100=phu!$I$17,L100=phu!$I$18,L100=phu!$I$19,L100=phu!$I$20,L100=phu!$I$21),"Cam Phúc Bắc",""),IF(OR(L100=phu!$I$22,L100=phu!$I$23,L100=phu!$I$24,L100=phu!$I$25),"Cam Phúc Nam",""),IF(OR(L100=phu!$I$26,L100=phu!$I$27,L100=phu!$I$28,L100=phu!$I$29,L100=phu!$I$30,L100=phu!$I$31),"Cam Phú",""),IF(OR(L100=phu!$I$32,L100=phu!$I$33,L100=phu!$I$34,L100=phu!$I$35,L100=phu!$I$36,L100=phu!$I$37),"Cam Lộc",""),IF(OR(L100=phu!$I$38,L100=phu!$I$39,L100=phu!$I$40,L100=phu!$I$41,L100=phu!$I$42,L100=phu!$I$43,L100=phu!$I$44),"Cam Thuận",""),IF(OR(L100=phu!$I$45,L100=phu!$I$46,L100=phu!$I$47,L100=phu!$I$48,L100=phu!$I$49,L100=phu!$I$50,L100=phu!$I$51,L100=phu!$I$52,L100=phu!$I$53),"Cam Linh",""),IF(OR(L100=phu!$I$54,L100=phu!$I$55,L100=phu!$I$56,L100=phu!$I$57,L100=phu!$I$58,L100=phu!$I$59,L100=phu!$I$60,L100=phu!$I$61,L100=phu!$I$62),"Cam Lợi",""),IF(OR(L100=phu!$I$63,L100=phu!$I$64,L100=phu!$I$65,L100=phu!$I$66,L100=phu!$I$67,L100=phu!$I$68,L100=phu!$I$69,L100=phu!$I$70,L100=phu!$I$71),"Ba Ngòi",""),IF(OR(L100=phu!$I$72,L100=phu!$I$73,L100=phu!$I$74,L100=phu!$I$75,L100=phu!$I$76,L100=phu!$I$77,L100=phu!$I$78),"Cam Phước Đông",""),IF(OR(L100=phu!$I$79,L100=phu!$I$80,L100=phu!$I$81,L100=phu!$I$82,L100=phu!$I$83,L100=phu!$I$84),"Cam Thịnh Đông",""),IF(OR(L100=phu!$I$85,L100=phu!$I$86,L100=phu!$I$87,L100=phu!$I$88),"Cam Thịnh Tây",""),IF(OR(L100=phu!$I$89,L100=phu!$I$90),"Cam Lập",""),IF(OR(L100=phu!$I$91,L100=phu!$I$92,L100=phu!$I$93),"Cam Bình",""),IF(OR(L100=phu!$I$94,L100=phu!$I$95,L100=phu!$I$96,L100=phu!$I$97,L100=phu!$I$98,L100=phu!$I$99,L100=phu!$I$100),"Huyện khác",""),IF(OR(L100=phu!$I$101,L100=phu!$I$102),"Tỉnh khác",""))</f>
        <v/>
      </c>
      <c r="N100" s="835" t="str">
        <f t="shared" si="8"/>
        <v/>
      </c>
      <c r="O100" s="20"/>
      <c r="P100" s="20"/>
      <c r="Q100" s="20"/>
      <c r="R100" s="20"/>
      <c r="S100" s="20"/>
      <c r="T100" s="21"/>
      <c r="U100" s="21"/>
      <c r="V100" s="21"/>
      <c r="W100" s="7" t="str">
        <f t="shared" si="6"/>
        <v/>
      </c>
      <c r="X100" s="506" t="str">
        <f t="shared" si="7"/>
        <v/>
      </c>
    </row>
    <row r="101" spans="1:24" x14ac:dyDescent="0.25">
      <c r="A101" s="66" t="str">
        <f t="shared" si="9"/>
        <v/>
      </c>
      <c r="B101" s="23" t="str">
        <f t="shared" si="5"/>
        <v/>
      </c>
      <c r="C101" s="15"/>
      <c r="D101" s="16"/>
      <c r="E101" s="17"/>
      <c r="F101" s="18"/>
      <c r="G101" s="18"/>
      <c r="H101" s="19"/>
      <c r="I101" s="15"/>
      <c r="J101" s="20"/>
      <c r="K101" s="15"/>
      <c r="L101" s="15"/>
      <c r="M101" s="531" t="str">
        <f>CONCATENATE(IF(OR(L101=phu!$I$1,L101=phu!$I$2,L101=phu!$I$3),"Cam Thành Nam",""),IF(OR(L101=phu!$I$4,L101=phu!$I$5,L101=phu!$I$6,L101=phu!$I$7,L101=phu!$I$8,L101=phu!$I$9,L101=phu!$I$10,L101=phu!$I$11,L101=phu!$I$12,L101=phu!$I$13,L101=phu!$I$14),"Cam Nghĩa",""),IF(OR(L101=phu!$I$15,L101=phu!$I$16,L101=phu!$I$17,L101=phu!$I$18,L101=phu!$I$19,L101=phu!$I$20,L101=phu!$I$21),"Cam Phúc Bắc",""),IF(OR(L101=phu!$I$22,L101=phu!$I$23,L101=phu!$I$24,L101=phu!$I$25),"Cam Phúc Nam",""),IF(OR(L101=phu!$I$26,L101=phu!$I$27,L101=phu!$I$28,L101=phu!$I$29,L101=phu!$I$30,L101=phu!$I$31),"Cam Phú",""),IF(OR(L101=phu!$I$32,L101=phu!$I$33,L101=phu!$I$34,L101=phu!$I$35,L101=phu!$I$36,L101=phu!$I$37),"Cam Lộc",""),IF(OR(L101=phu!$I$38,L101=phu!$I$39,L101=phu!$I$40,L101=phu!$I$41,L101=phu!$I$42,L101=phu!$I$43,L101=phu!$I$44),"Cam Thuận",""),IF(OR(L101=phu!$I$45,L101=phu!$I$46,L101=phu!$I$47,L101=phu!$I$48,L101=phu!$I$49,L101=phu!$I$50,L101=phu!$I$51,L101=phu!$I$52,L101=phu!$I$53),"Cam Linh",""),IF(OR(L101=phu!$I$54,L101=phu!$I$55,L101=phu!$I$56,L101=phu!$I$57,L101=phu!$I$58,L101=phu!$I$59,L101=phu!$I$60,L101=phu!$I$61,L101=phu!$I$62),"Cam Lợi",""),IF(OR(L101=phu!$I$63,L101=phu!$I$64,L101=phu!$I$65,L101=phu!$I$66,L101=phu!$I$67,L101=phu!$I$68,L101=phu!$I$69,L101=phu!$I$70,L101=phu!$I$71),"Ba Ngòi",""),IF(OR(L101=phu!$I$72,L101=phu!$I$73,L101=phu!$I$74,L101=phu!$I$75,L101=phu!$I$76,L101=phu!$I$77,L101=phu!$I$78),"Cam Phước Đông",""),IF(OR(L101=phu!$I$79,L101=phu!$I$80,L101=phu!$I$81,L101=phu!$I$82,L101=phu!$I$83,L101=phu!$I$84),"Cam Thịnh Đông",""),IF(OR(L101=phu!$I$85,L101=phu!$I$86,L101=phu!$I$87,L101=phu!$I$88),"Cam Thịnh Tây",""),IF(OR(L101=phu!$I$89,L101=phu!$I$90),"Cam Lập",""),IF(OR(L101=phu!$I$91,L101=phu!$I$92,L101=phu!$I$93),"Cam Bình",""),IF(OR(L101=phu!$I$94,L101=phu!$I$95,L101=phu!$I$96,L101=phu!$I$97,L101=phu!$I$98,L101=phu!$I$99,L101=phu!$I$100),"Huyện khác",""),IF(OR(L101=phu!$I$101,L101=phu!$I$102),"Tỉnh khác",""))</f>
        <v/>
      </c>
      <c r="N101" s="835" t="str">
        <f t="shared" si="8"/>
        <v/>
      </c>
      <c r="O101" s="20"/>
      <c r="P101" s="20"/>
      <c r="Q101" s="20"/>
      <c r="R101" s="20"/>
      <c r="S101" s="20"/>
      <c r="T101" s="21"/>
      <c r="U101" s="21"/>
      <c r="V101" s="21"/>
      <c r="W101" s="7" t="str">
        <f t="shared" si="6"/>
        <v/>
      </c>
      <c r="X101" s="506" t="str">
        <f t="shared" si="7"/>
        <v/>
      </c>
    </row>
    <row r="102" spans="1:24" x14ac:dyDescent="0.25">
      <c r="A102" s="66" t="str">
        <f t="shared" si="9"/>
        <v/>
      </c>
      <c r="B102" s="23" t="str">
        <f t="shared" si="5"/>
        <v/>
      </c>
      <c r="C102" s="15"/>
      <c r="D102" s="16"/>
      <c r="E102" s="17"/>
      <c r="F102" s="18"/>
      <c r="G102" s="18"/>
      <c r="H102" s="19"/>
      <c r="I102" s="15"/>
      <c r="J102" s="20"/>
      <c r="K102" s="15"/>
      <c r="L102" s="15"/>
      <c r="M102" s="531" t="str">
        <f>CONCATENATE(IF(OR(L102=phu!$I$1,L102=phu!$I$2,L102=phu!$I$3),"Cam Thành Nam",""),IF(OR(L102=phu!$I$4,L102=phu!$I$5,L102=phu!$I$6,L102=phu!$I$7,L102=phu!$I$8,L102=phu!$I$9,L102=phu!$I$10,L102=phu!$I$11,L102=phu!$I$12,L102=phu!$I$13,L102=phu!$I$14),"Cam Nghĩa",""),IF(OR(L102=phu!$I$15,L102=phu!$I$16,L102=phu!$I$17,L102=phu!$I$18,L102=phu!$I$19,L102=phu!$I$20,L102=phu!$I$21),"Cam Phúc Bắc",""),IF(OR(L102=phu!$I$22,L102=phu!$I$23,L102=phu!$I$24,L102=phu!$I$25),"Cam Phúc Nam",""),IF(OR(L102=phu!$I$26,L102=phu!$I$27,L102=phu!$I$28,L102=phu!$I$29,L102=phu!$I$30,L102=phu!$I$31),"Cam Phú",""),IF(OR(L102=phu!$I$32,L102=phu!$I$33,L102=phu!$I$34,L102=phu!$I$35,L102=phu!$I$36,L102=phu!$I$37),"Cam Lộc",""),IF(OR(L102=phu!$I$38,L102=phu!$I$39,L102=phu!$I$40,L102=phu!$I$41,L102=phu!$I$42,L102=phu!$I$43,L102=phu!$I$44),"Cam Thuận",""),IF(OR(L102=phu!$I$45,L102=phu!$I$46,L102=phu!$I$47,L102=phu!$I$48,L102=phu!$I$49,L102=phu!$I$50,L102=phu!$I$51,L102=phu!$I$52,L102=phu!$I$53),"Cam Linh",""),IF(OR(L102=phu!$I$54,L102=phu!$I$55,L102=phu!$I$56,L102=phu!$I$57,L102=phu!$I$58,L102=phu!$I$59,L102=phu!$I$60,L102=phu!$I$61,L102=phu!$I$62),"Cam Lợi",""),IF(OR(L102=phu!$I$63,L102=phu!$I$64,L102=phu!$I$65,L102=phu!$I$66,L102=phu!$I$67,L102=phu!$I$68,L102=phu!$I$69,L102=phu!$I$70,L102=phu!$I$71),"Ba Ngòi",""),IF(OR(L102=phu!$I$72,L102=phu!$I$73,L102=phu!$I$74,L102=phu!$I$75,L102=phu!$I$76,L102=phu!$I$77,L102=phu!$I$78),"Cam Phước Đông",""),IF(OR(L102=phu!$I$79,L102=phu!$I$80,L102=phu!$I$81,L102=phu!$I$82,L102=phu!$I$83,L102=phu!$I$84),"Cam Thịnh Đông",""),IF(OR(L102=phu!$I$85,L102=phu!$I$86,L102=phu!$I$87,L102=phu!$I$88),"Cam Thịnh Tây",""),IF(OR(L102=phu!$I$89,L102=phu!$I$90),"Cam Lập",""),IF(OR(L102=phu!$I$91,L102=phu!$I$92,L102=phu!$I$93),"Cam Bình",""),IF(OR(L102=phu!$I$94,L102=phu!$I$95,L102=phu!$I$96,L102=phu!$I$97,L102=phu!$I$98,L102=phu!$I$99,L102=phu!$I$100),"Huyện khác",""),IF(OR(L102=phu!$I$101,L102=phu!$I$102),"Tỉnh khác",""))</f>
        <v/>
      </c>
      <c r="N102" s="835" t="str">
        <f t="shared" si="8"/>
        <v/>
      </c>
      <c r="O102" s="20"/>
      <c r="P102" s="20"/>
      <c r="Q102" s="20"/>
      <c r="R102" s="20"/>
      <c r="S102" s="20"/>
      <c r="T102" s="21"/>
      <c r="U102" s="21"/>
      <c r="V102" s="21"/>
      <c r="W102" s="7" t="str">
        <f t="shared" si="6"/>
        <v/>
      </c>
      <c r="X102" s="506" t="str">
        <f t="shared" si="7"/>
        <v/>
      </c>
    </row>
    <row r="103" spans="1:24" x14ac:dyDescent="0.25">
      <c r="A103" s="66" t="str">
        <f t="shared" si="9"/>
        <v/>
      </c>
      <c r="B103" s="23" t="str">
        <f t="shared" si="5"/>
        <v/>
      </c>
      <c r="C103" s="15"/>
      <c r="D103" s="16"/>
      <c r="E103" s="17"/>
      <c r="F103" s="18"/>
      <c r="G103" s="18"/>
      <c r="H103" s="19"/>
      <c r="I103" s="15"/>
      <c r="J103" s="20"/>
      <c r="K103" s="15"/>
      <c r="L103" s="15"/>
      <c r="M103" s="531" t="str">
        <f>CONCATENATE(IF(OR(L103=phu!$I$1,L103=phu!$I$2,L103=phu!$I$3),"Cam Thành Nam",""),IF(OR(L103=phu!$I$4,L103=phu!$I$5,L103=phu!$I$6,L103=phu!$I$7,L103=phu!$I$8,L103=phu!$I$9,L103=phu!$I$10,L103=phu!$I$11,L103=phu!$I$12,L103=phu!$I$13,L103=phu!$I$14),"Cam Nghĩa",""),IF(OR(L103=phu!$I$15,L103=phu!$I$16,L103=phu!$I$17,L103=phu!$I$18,L103=phu!$I$19,L103=phu!$I$20,L103=phu!$I$21),"Cam Phúc Bắc",""),IF(OR(L103=phu!$I$22,L103=phu!$I$23,L103=phu!$I$24,L103=phu!$I$25),"Cam Phúc Nam",""),IF(OR(L103=phu!$I$26,L103=phu!$I$27,L103=phu!$I$28,L103=phu!$I$29,L103=phu!$I$30,L103=phu!$I$31),"Cam Phú",""),IF(OR(L103=phu!$I$32,L103=phu!$I$33,L103=phu!$I$34,L103=phu!$I$35,L103=phu!$I$36,L103=phu!$I$37),"Cam Lộc",""),IF(OR(L103=phu!$I$38,L103=phu!$I$39,L103=phu!$I$40,L103=phu!$I$41,L103=phu!$I$42,L103=phu!$I$43,L103=phu!$I$44),"Cam Thuận",""),IF(OR(L103=phu!$I$45,L103=phu!$I$46,L103=phu!$I$47,L103=phu!$I$48,L103=phu!$I$49,L103=phu!$I$50,L103=phu!$I$51,L103=phu!$I$52,L103=phu!$I$53),"Cam Linh",""),IF(OR(L103=phu!$I$54,L103=phu!$I$55,L103=phu!$I$56,L103=phu!$I$57,L103=phu!$I$58,L103=phu!$I$59,L103=phu!$I$60,L103=phu!$I$61,L103=phu!$I$62),"Cam Lợi",""),IF(OR(L103=phu!$I$63,L103=phu!$I$64,L103=phu!$I$65,L103=phu!$I$66,L103=phu!$I$67,L103=phu!$I$68,L103=phu!$I$69,L103=phu!$I$70,L103=phu!$I$71),"Ba Ngòi",""),IF(OR(L103=phu!$I$72,L103=phu!$I$73,L103=phu!$I$74,L103=phu!$I$75,L103=phu!$I$76,L103=phu!$I$77,L103=phu!$I$78),"Cam Phước Đông",""),IF(OR(L103=phu!$I$79,L103=phu!$I$80,L103=phu!$I$81,L103=phu!$I$82,L103=phu!$I$83,L103=phu!$I$84),"Cam Thịnh Đông",""),IF(OR(L103=phu!$I$85,L103=phu!$I$86,L103=phu!$I$87,L103=phu!$I$88),"Cam Thịnh Tây",""),IF(OR(L103=phu!$I$89,L103=phu!$I$90),"Cam Lập",""),IF(OR(L103=phu!$I$91,L103=phu!$I$92,L103=phu!$I$93),"Cam Bình",""),IF(OR(L103=phu!$I$94,L103=phu!$I$95,L103=phu!$I$96,L103=phu!$I$97,L103=phu!$I$98,L103=phu!$I$99,L103=phu!$I$100),"Huyện khác",""),IF(OR(L103=phu!$I$101,L103=phu!$I$102),"Tỉnh khác",""))</f>
        <v/>
      </c>
      <c r="N103" s="835" t="str">
        <f t="shared" si="8"/>
        <v/>
      </c>
      <c r="O103" s="20"/>
      <c r="P103" s="20"/>
      <c r="Q103" s="20"/>
      <c r="R103" s="20"/>
      <c r="S103" s="20"/>
      <c r="T103" s="21"/>
      <c r="U103" s="21"/>
      <c r="V103" s="21"/>
      <c r="W103" s="7" t="str">
        <f t="shared" si="6"/>
        <v/>
      </c>
      <c r="X103" s="506" t="str">
        <f t="shared" si="7"/>
        <v/>
      </c>
    </row>
    <row r="104" spans="1:24" x14ac:dyDescent="0.25">
      <c r="A104" s="66" t="str">
        <f t="shared" si="9"/>
        <v/>
      </c>
      <c r="B104" s="23" t="str">
        <f t="shared" si="5"/>
        <v/>
      </c>
      <c r="C104" s="15"/>
      <c r="D104" s="16"/>
      <c r="E104" s="17"/>
      <c r="F104" s="18"/>
      <c r="G104" s="18"/>
      <c r="H104" s="19"/>
      <c r="I104" s="15"/>
      <c r="J104" s="20"/>
      <c r="K104" s="15"/>
      <c r="L104" s="15"/>
      <c r="M104" s="531" t="str">
        <f>CONCATENATE(IF(OR(L104=phu!$I$1,L104=phu!$I$2,L104=phu!$I$3),"Cam Thành Nam",""),IF(OR(L104=phu!$I$4,L104=phu!$I$5,L104=phu!$I$6,L104=phu!$I$7,L104=phu!$I$8,L104=phu!$I$9,L104=phu!$I$10,L104=phu!$I$11,L104=phu!$I$12,L104=phu!$I$13,L104=phu!$I$14),"Cam Nghĩa",""),IF(OR(L104=phu!$I$15,L104=phu!$I$16,L104=phu!$I$17,L104=phu!$I$18,L104=phu!$I$19,L104=phu!$I$20,L104=phu!$I$21),"Cam Phúc Bắc",""),IF(OR(L104=phu!$I$22,L104=phu!$I$23,L104=phu!$I$24,L104=phu!$I$25),"Cam Phúc Nam",""),IF(OR(L104=phu!$I$26,L104=phu!$I$27,L104=phu!$I$28,L104=phu!$I$29,L104=phu!$I$30,L104=phu!$I$31),"Cam Phú",""),IF(OR(L104=phu!$I$32,L104=phu!$I$33,L104=phu!$I$34,L104=phu!$I$35,L104=phu!$I$36,L104=phu!$I$37),"Cam Lộc",""),IF(OR(L104=phu!$I$38,L104=phu!$I$39,L104=phu!$I$40,L104=phu!$I$41,L104=phu!$I$42,L104=phu!$I$43,L104=phu!$I$44),"Cam Thuận",""),IF(OR(L104=phu!$I$45,L104=phu!$I$46,L104=phu!$I$47,L104=phu!$I$48,L104=phu!$I$49,L104=phu!$I$50,L104=phu!$I$51,L104=phu!$I$52,L104=phu!$I$53),"Cam Linh",""),IF(OR(L104=phu!$I$54,L104=phu!$I$55,L104=phu!$I$56,L104=phu!$I$57,L104=phu!$I$58,L104=phu!$I$59,L104=phu!$I$60,L104=phu!$I$61,L104=phu!$I$62),"Cam Lợi",""),IF(OR(L104=phu!$I$63,L104=phu!$I$64,L104=phu!$I$65,L104=phu!$I$66,L104=phu!$I$67,L104=phu!$I$68,L104=phu!$I$69,L104=phu!$I$70,L104=phu!$I$71),"Ba Ngòi",""),IF(OR(L104=phu!$I$72,L104=phu!$I$73,L104=phu!$I$74,L104=phu!$I$75,L104=phu!$I$76,L104=phu!$I$77,L104=phu!$I$78),"Cam Phước Đông",""),IF(OR(L104=phu!$I$79,L104=phu!$I$80,L104=phu!$I$81,L104=phu!$I$82,L104=phu!$I$83,L104=phu!$I$84),"Cam Thịnh Đông",""),IF(OR(L104=phu!$I$85,L104=phu!$I$86,L104=phu!$I$87,L104=phu!$I$88),"Cam Thịnh Tây",""),IF(OR(L104=phu!$I$89,L104=phu!$I$90),"Cam Lập",""),IF(OR(L104=phu!$I$91,L104=phu!$I$92,L104=phu!$I$93),"Cam Bình",""),IF(OR(L104=phu!$I$94,L104=phu!$I$95,L104=phu!$I$96,L104=phu!$I$97,L104=phu!$I$98,L104=phu!$I$99,L104=phu!$I$100),"Huyện khác",""),IF(OR(L104=phu!$I$101,L104=phu!$I$102),"Tỉnh khác",""))</f>
        <v/>
      </c>
      <c r="N104" s="835" t="str">
        <f t="shared" si="8"/>
        <v/>
      </c>
      <c r="O104" s="20"/>
      <c r="P104" s="20"/>
      <c r="Q104" s="20"/>
      <c r="R104" s="20"/>
      <c r="S104" s="20"/>
      <c r="T104" s="21"/>
      <c r="U104" s="21"/>
      <c r="V104" s="21"/>
      <c r="W104" s="7" t="str">
        <f t="shared" si="6"/>
        <v/>
      </c>
      <c r="X104" s="506" t="str">
        <f t="shared" si="7"/>
        <v/>
      </c>
    </row>
    <row r="105" spans="1:24" x14ac:dyDescent="0.25">
      <c r="A105" s="66" t="str">
        <f t="shared" si="9"/>
        <v/>
      </c>
      <c r="B105" s="23" t="str">
        <f t="shared" si="5"/>
        <v/>
      </c>
      <c r="C105" s="15"/>
      <c r="D105" s="16"/>
      <c r="E105" s="17"/>
      <c r="F105" s="18"/>
      <c r="G105" s="18"/>
      <c r="H105" s="19"/>
      <c r="I105" s="15"/>
      <c r="J105" s="20"/>
      <c r="K105" s="15"/>
      <c r="L105" s="15"/>
      <c r="M105" s="531" t="str">
        <f>CONCATENATE(IF(OR(L105=phu!$I$1,L105=phu!$I$2,L105=phu!$I$3),"Cam Thành Nam",""),IF(OR(L105=phu!$I$4,L105=phu!$I$5,L105=phu!$I$6,L105=phu!$I$7,L105=phu!$I$8,L105=phu!$I$9,L105=phu!$I$10,L105=phu!$I$11,L105=phu!$I$12,L105=phu!$I$13,L105=phu!$I$14),"Cam Nghĩa",""),IF(OR(L105=phu!$I$15,L105=phu!$I$16,L105=phu!$I$17,L105=phu!$I$18,L105=phu!$I$19,L105=phu!$I$20,L105=phu!$I$21),"Cam Phúc Bắc",""),IF(OR(L105=phu!$I$22,L105=phu!$I$23,L105=phu!$I$24,L105=phu!$I$25),"Cam Phúc Nam",""),IF(OR(L105=phu!$I$26,L105=phu!$I$27,L105=phu!$I$28,L105=phu!$I$29,L105=phu!$I$30,L105=phu!$I$31),"Cam Phú",""),IF(OR(L105=phu!$I$32,L105=phu!$I$33,L105=phu!$I$34,L105=phu!$I$35,L105=phu!$I$36,L105=phu!$I$37),"Cam Lộc",""),IF(OR(L105=phu!$I$38,L105=phu!$I$39,L105=phu!$I$40,L105=phu!$I$41,L105=phu!$I$42,L105=phu!$I$43,L105=phu!$I$44),"Cam Thuận",""),IF(OR(L105=phu!$I$45,L105=phu!$I$46,L105=phu!$I$47,L105=phu!$I$48,L105=phu!$I$49,L105=phu!$I$50,L105=phu!$I$51,L105=phu!$I$52,L105=phu!$I$53),"Cam Linh",""),IF(OR(L105=phu!$I$54,L105=phu!$I$55,L105=phu!$I$56,L105=phu!$I$57,L105=phu!$I$58,L105=phu!$I$59,L105=phu!$I$60,L105=phu!$I$61,L105=phu!$I$62),"Cam Lợi",""),IF(OR(L105=phu!$I$63,L105=phu!$I$64,L105=phu!$I$65,L105=phu!$I$66,L105=phu!$I$67,L105=phu!$I$68,L105=phu!$I$69,L105=phu!$I$70,L105=phu!$I$71),"Ba Ngòi",""),IF(OR(L105=phu!$I$72,L105=phu!$I$73,L105=phu!$I$74,L105=phu!$I$75,L105=phu!$I$76,L105=phu!$I$77,L105=phu!$I$78),"Cam Phước Đông",""),IF(OR(L105=phu!$I$79,L105=phu!$I$80,L105=phu!$I$81,L105=phu!$I$82,L105=phu!$I$83,L105=phu!$I$84),"Cam Thịnh Đông",""),IF(OR(L105=phu!$I$85,L105=phu!$I$86,L105=phu!$I$87,L105=phu!$I$88),"Cam Thịnh Tây",""),IF(OR(L105=phu!$I$89,L105=phu!$I$90),"Cam Lập",""),IF(OR(L105=phu!$I$91,L105=phu!$I$92,L105=phu!$I$93),"Cam Bình",""),IF(OR(L105=phu!$I$94,L105=phu!$I$95,L105=phu!$I$96,L105=phu!$I$97,L105=phu!$I$98,L105=phu!$I$99,L105=phu!$I$100),"Huyện khác",""),IF(OR(L105=phu!$I$101,L105=phu!$I$102),"Tỉnh khác",""))</f>
        <v/>
      </c>
      <c r="N105" s="835" t="str">
        <f t="shared" si="8"/>
        <v/>
      </c>
      <c r="O105" s="20"/>
      <c r="P105" s="20"/>
      <c r="Q105" s="20"/>
      <c r="R105" s="20"/>
      <c r="S105" s="20"/>
      <c r="T105" s="21"/>
      <c r="U105" s="21"/>
      <c r="V105" s="21"/>
      <c r="W105" s="7" t="str">
        <f t="shared" si="6"/>
        <v/>
      </c>
      <c r="X105" s="506" t="str">
        <f t="shared" si="7"/>
        <v/>
      </c>
    </row>
    <row r="106" spans="1:24" x14ac:dyDescent="0.25">
      <c r="A106" s="66" t="str">
        <f t="shared" si="9"/>
        <v/>
      </c>
      <c r="B106" s="23" t="str">
        <f t="shared" si="5"/>
        <v/>
      </c>
      <c r="C106" s="15"/>
      <c r="D106" s="16"/>
      <c r="E106" s="17"/>
      <c r="F106" s="18"/>
      <c r="G106" s="18"/>
      <c r="H106" s="19"/>
      <c r="I106" s="15"/>
      <c r="J106" s="20"/>
      <c r="K106" s="15"/>
      <c r="L106" s="15"/>
      <c r="M106" s="531" t="str">
        <f>CONCATENATE(IF(OR(L106=phu!$I$1,L106=phu!$I$2,L106=phu!$I$3),"Cam Thành Nam",""),IF(OR(L106=phu!$I$4,L106=phu!$I$5,L106=phu!$I$6,L106=phu!$I$7,L106=phu!$I$8,L106=phu!$I$9,L106=phu!$I$10,L106=phu!$I$11,L106=phu!$I$12,L106=phu!$I$13,L106=phu!$I$14),"Cam Nghĩa",""),IF(OR(L106=phu!$I$15,L106=phu!$I$16,L106=phu!$I$17,L106=phu!$I$18,L106=phu!$I$19,L106=phu!$I$20,L106=phu!$I$21),"Cam Phúc Bắc",""),IF(OR(L106=phu!$I$22,L106=phu!$I$23,L106=phu!$I$24,L106=phu!$I$25),"Cam Phúc Nam",""),IF(OR(L106=phu!$I$26,L106=phu!$I$27,L106=phu!$I$28,L106=phu!$I$29,L106=phu!$I$30,L106=phu!$I$31),"Cam Phú",""),IF(OR(L106=phu!$I$32,L106=phu!$I$33,L106=phu!$I$34,L106=phu!$I$35,L106=phu!$I$36,L106=phu!$I$37),"Cam Lộc",""),IF(OR(L106=phu!$I$38,L106=phu!$I$39,L106=phu!$I$40,L106=phu!$I$41,L106=phu!$I$42,L106=phu!$I$43,L106=phu!$I$44),"Cam Thuận",""),IF(OR(L106=phu!$I$45,L106=phu!$I$46,L106=phu!$I$47,L106=phu!$I$48,L106=phu!$I$49,L106=phu!$I$50,L106=phu!$I$51,L106=phu!$I$52,L106=phu!$I$53),"Cam Linh",""),IF(OR(L106=phu!$I$54,L106=phu!$I$55,L106=phu!$I$56,L106=phu!$I$57,L106=phu!$I$58,L106=phu!$I$59,L106=phu!$I$60,L106=phu!$I$61,L106=phu!$I$62),"Cam Lợi",""),IF(OR(L106=phu!$I$63,L106=phu!$I$64,L106=phu!$I$65,L106=phu!$I$66,L106=phu!$I$67,L106=phu!$I$68,L106=phu!$I$69,L106=phu!$I$70,L106=phu!$I$71),"Ba Ngòi",""),IF(OR(L106=phu!$I$72,L106=phu!$I$73,L106=phu!$I$74,L106=phu!$I$75,L106=phu!$I$76,L106=phu!$I$77,L106=phu!$I$78),"Cam Phước Đông",""),IF(OR(L106=phu!$I$79,L106=phu!$I$80,L106=phu!$I$81,L106=phu!$I$82,L106=phu!$I$83,L106=phu!$I$84),"Cam Thịnh Đông",""),IF(OR(L106=phu!$I$85,L106=phu!$I$86,L106=phu!$I$87,L106=phu!$I$88),"Cam Thịnh Tây",""),IF(OR(L106=phu!$I$89,L106=phu!$I$90),"Cam Lập",""),IF(OR(L106=phu!$I$91,L106=phu!$I$92,L106=phu!$I$93),"Cam Bình",""),IF(OR(L106=phu!$I$94,L106=phu!$I$95,L106=phu!$I$96,L106=phu!$I$97,L106=phu!$I$98,L106=phu!$I$99,L106=phu!$I$100),"Huyện khác",""),IF(OR(L106=phu!$I$101,L106=phu!$I$102),"Tỉnh khác",""))</f>
        <v/>
      </c>
      <c r="N106" s="835" t="str">
        <f t="shared" si="8"/>
        <v/>
      </c>
      <c r="O106" s="20"/>
      <c r="P106" s="20"/>
      <c r="Q106" s="20"/>
      <c r="R106" s="20"/>
      <c r="S106" s="20"/>
      <c r="T106" s="21"/>
      <c r="U106" s="21"/>
      <c r="V106" s="21"/>
      <c r="W106" s="7" t="str">
        <f t="shared" si="6"/>
        <v/>
      </c>
      <c r="X106" s="506" t="str">
        <f t="shared" si="7"/>
        <v/>
      </c>
    </row>
    <row r="107" spans="1:24" x14ac:dyDescent="0.25">
      <c r="A107" s="66" t="str">
        <f t="shared" si="9"/>
        <v/>
      </c>
      <c r="B107" s="23" t="str">
        <f t="shared" si="5"/>
        <v/>
      </c>
      <c r="C107" s="15"/>
      <c r="D107" s="16"/>
      <c r="E107" s="17"/>
      <c r="F107" s="18"/>
      <c r="G107" s="18"/>
      <c r="H107" s="19"/>
      <c r="I107" s="15"/>
      <c r="J107" s="20"/>
      <c r="K107" s="15"/>
      <c r="L107" s="15"/>
      <c r="M107" s="531" t="str">
        <f>CONCATENATE(IF(OR(L107=phu!$I$1,L107=phu!$I$2,L107=phu!$I$3),"Cam Thành Nam",""),IF(OR(L107=phu!$I$4,L107=phu!$I$5,L107=phu!$I$6,L107=phu!$I$7,L107=phu!$I$8,L107=phu!$I$9,L107=phu!$I$10,L107=phu!$I$11,L107=phu!$I$12,L107=phu!$I$13,L107=phu!$I$14),"Cam Nghĩa",""),IF(OR(L107=phu!$I$15,L107=phu!$I$16,L107=phu!$I$17,L107=phu!$I$18,L107=phu!$I$19,L107=phu!$I$20,L107=phu!$I$21),"Cam Phúc Bắc",""),IF(OR(L107=phu!$I$22,L107=phu!$I$23,L107=phu!$I$24,L107=phu!$I$25),"Cam Phúc Nam",""),IF(OR(L107=phu!$I$26,L107=phu!$I$27,L107=phu!$I$28,L107=phu!$I$29,L107=phu!$I$30,L107=phu!$I$31),"Cam Phú",""),IF(OR(L107=phu!$I$32,L107=phu!$I$33,L107=phu!$I$34,L107=phu!$I$35,L107=phu!$I$36,L107=phu!$I$37),"Cam Lộc",""),IF(OR(L107=phu!$I$38,L107=phu!$I$39,L107=phu!$I$40,L107=phu!$I$41,L107=phu!$I$42,L107=phu!$I$43,L107=phu!$I$44),"Cam Thuận",""),IF(OR(L107=phu!$I$45,L107=phu!$I$46,L107=phu!$I$47,L107=phu!$I$48,L107=phu!$I$49,L107=phu!$I$50,L107=phu!$I$51,L107=phu!$I$52,L107=phu!$I$53),"Cam Linh",""),IF(OR(L107=phu!$I$54,L107=phu!$I$55,L107=phu!$I$56,L107=phu!$I$57,L107=phu!$I$58,L107=phu!$I$59,L107=phu!$I$60,L107=phu!$I$61,L107=phu!$I$62),"Cam Lợi",""),IF(OR(L107=phu!$I$63,L107=phu!$I$64,L107=phu!$I$65,L107=phu!$I$66,L107=phu!$I$67,L107=phu!$I$68,L107=phu!$I$69,L107=phu!$I$70,L107=phu!$I$71),"Ba Ngòi",""),IF(OR(L107=phu!$I$72,L107=phu!$I$73,L107=phu!$I$74,L107=phu!$I$75,L107=phu!$I$76,L107=phu!$I$77,L107=phu!$I$78),"Cam Phước Đông",""),IF(OR(L107=phu!$I$79,L107=phu!$I$80,L107=phu!$I$81,L107=phu!$I$82,L107=phu!$I$83,L107=phu!$I$84),"Cam Thịnh Đông",""),IF(OR(L107=phu!$I$85,L107=phu!$I$86,L107=phu!$I$87,L107=phu!$I$88),"Cam Thịnh Tây",""),IF(OR(L107=phu!$I$89,L107=phu!$I$90),"Cam Lập",""),IF(OR(L107=phu!$I$91,L107=phu!$I$92,L107=phu!$I$93),"Cam Bình",""),IF(OR(L107=phu!$I$94,L107=phu!$I$95,L107=phu!$I$96,L107=phu!$I$97,L107=phu!$I$98,L107=phu!$I$99,L107=phu!$I$100),"Huyện khác",""),IF(OR(L107=phu!$I$101,L107=phu!$I$102),"Tỉnh khác",""))</f>
        <v/>
      </c>
      <c r="N107" s="835" t="str">
        <f t="shared" si="8"/>
        <v/>
      </c>
      <c r="O107" s="20"/>
      <c r="P107" s="20"/>
      <c r="Q107" s="20"/>
      <c r="R107" s="20"/>
      <c r="S107" s="20"/>
      <c r="T107" s="21"/>
      <c r="U107" s="21"/>
      <c r="V107" s="21"/>
      <c r="W107" s="7" t="str">
        <f t="shared" si="6"/>
        <v/>
      </c>
      <c r="X107" s="506" t="str">
        <f t="shared" si="7"/>
        <v/>
      </c>
    </row>
    <row r="108" spans="1:24" x14ac:dyDescent="0.25">
      <c r="A108" s="66" t="str">
        <f t="shared" si="9"/>
        <v/>
      </c>
      <c r="B108" s="23" t="str">
        <f t="shared" si="5"/>
        <v/>
      </c>
      <c r="C108" s="15"/>
      <c r="D108" s="16"/>
      <c r="E108" s="17"/>
      <c r="F108" s="18"/>
      <c r="G108" s="18"/>
      <c r="H108" s="19"/>
      <c r="I108" s="15"/>
      <c r="J108" s="20"/>
      <c r="K108" s="15"/>
      <c r="L108" s="15"/>
      <c r="M108" s="531" t="str">
        <f>CONCATENATE(IF(OR(L108=phu!$I$1,L108=phu!$I$2,L108=phu!$I$3),"Cam Thành Nam",""),IF(OR(L108=phu!$I$4,L108=phu!$I$5,L108=phu!$I$6,L108=phu!$I$7,L108=phu!$I$8,L108=phu!$I$9,L108=phu!$I$10,L108=phu!$I$11,L108=phu!$I$12,L108=phu!$I$13,L108=phu!$I$14),"Cam Nghĩa",""),IF(OR(L108=phu!$I$15,L108=phu!$I$16,L108=phu!$I$17,L108=phu!$I$18,L108=phu!$I$19,L108=phu!$I$20,L108=phu!$I$21),"Cam Phúc Bắc",""),IF(OR(L108=phu!$I$22,L108=phu!$I$23,L108=phu!$I$24,L108=phu!$I$25),"Cam Phúc Nam",""),IF(OR(L108=phu!$I$26,L108=phu!$I$27,L108=phu!$I$28,L108=phu!$I$29,L108=phu!$I$30,L108=phu!$I$31),"Cam Phú",""),IF(OR(L108=phu!$I$32,L108=phu!$I$33,L108=phu!$I$34,L108=phu!$I$35,L108=phu!$I$36,L108=phu!$I$37),"Cam Lộc",""),IF(OR(L108=phu!$I$38,L108=phu!$I$39,L108=phu!$I$40,L108=phu!$I$41,L108=phu!$I$42,L108=phu!$I$43,L108=phu!$I$44),"Cam Thuận",""),IF(OR(L108=phu!$I$45,L108=phu!$I$46,L108=phu!$I$47,L108=phu!$I$48,L108=phu!$I$49,L108=phu!$I$50,L108=phu!$I$51,L108=phu!$I$52,L108=phu!$I$53),"Cam Linh",""),IF(OR(L108=phu!$I$54,L108=phu!$I$55,L108=phu!$I$56,L108=phu!$I$57,L108=phu!$I$58,L108=phu!$I$59,L108=phu!$I$60,L108=phu!$I$61,L108=phu!$I$62),"Cam Lợi",""),IF(OR(L108=phu!$I$63,L108=phu!$I$64,L108=phu!$I$65,L108=phu!$I$66,L108=phu!$I$67,L108=phu!$I$68,L108=phu!$I$69,L108=phu!$I$70,L108=phu!$I$71),"Ba Ngòi",""),IF(OR(L108=phu!$I$72,L108=phu!$I$73,L108=phu!$I$74,L108=phu!$I$75,L108=phu!$I$76,L108=phu!$I$77,L108=phu!$I$78),"Cam Phước Đông",""),IF(OR(L108=phu!$I$79,L108=phu!$I$80,L108=phu!$I$81,L108=phu!$I$82,L108=phu!$I$83,L108=phu!$I$84),"Cam Thịnh Đông",""),IF(OR(L108=phu!$I$85,L108=phu!$I$86,L108=phu!$I$87,L108=phu!$I$88),"Cam Thịnh Tây",""),IF(OR(L108=phu!$I$89,L108=phu!$I$90),"Cam Lập",""),IF(OR(L108=phu!$I$91,L108=phu!$I$92,L108=phu!$I$93),"Cam Bình",""),IF(OR(L108=phu!$I$94,L108=phu!$I$95,L108=phu!$I$96,L108=phu!$I$97,L108=phu!$I$98,L108=phu!$I$99,L108=phu!$I$100),"Huyện khác",""),IF(OR(L108=phu!$I$101,L108=phu!$I$102),"Tỉnh khác",""))</f>
        <v/>
      </c>
      <c r="N108" s="835" t="str">
        <f t="shared" si="8"/>
        <v/>
      </c>
      <c r="O108" s="20"/>
      <c r="P108" s="20"/>
      <c r="Q108" s="20"/>
      <c r="R108" s="20"/>
      <c r="S108" s="20"/>
      <c r="T108" s="21"/>
      <c r="U108" s="21"/>
      <c r="V108" s="21"/>
      <c r="W108" s="7" t="str">
        <f t="shared" si="6"/>
        <v/>
      </c>
      <c r="X108" s="506" t="str">
        <f t="shared" si="7"/>
        <v/>
      </c>
    </row>
    <row r="109" spans="1:24" x14ac:dyDescent="0.25">
      <c r="A109" s="66" t="str">
        <f t="shared" si="9"/>
        <v/>
      </c>
      <c r="B109" s="23" t="str">
        <f t="shared" si="5"/>
        <v/>
      </c>
      <c r="C109" s="15"/>
      <c r="D109" s="16"/>
      <c r="E109" s="17"/>
      <c r="F109" s="18"/>
      <c r="G109" s="18"/>
      <c r="H109" s="19"/>
      <c r="I109" s="15"/>
      <c r="J109" s="20"/>
      <c r="K109" s="15"/>
      <c r="L109" s="15"/>
      <c r="M109" s="531" t="str">
        <f>CONCATENATE(IF(OR(L109=phu!$I$1,L109=phu!$I$2,L109=phu!$I$3),"Cam Thành Nam",""),IF(OR(L109=phu!$I$4,L109=phu!$I$5,L109=phu!$I$6,L109=phu!$I$7,L109=phu!$I$8,L109=phu!$I$9,L109=phu!$I$10,L109=phu!$I$11,L109=phu!$I$12,L109=phu!$I$13,L109=phu!$I$14),"Cam Nghĩa",""),IF(OR(L109=phu!$I$15,L109=phu!$I$16,L109=phu!$I$17,L109=phu!$I$18,L109=phu!$I$19,L109=phu!$I$20,L109=phu!$I$21),"Cam Phúc Bắc",""),IF(OR(L109=phu!$I$22,L109=phu!$I$23,L109=phu!$I$24,L109=phu!$I$25),"Cam Phúc Nam",""),IF(OR(L109=phu!$I$26,L109=phu!$I$27,L109=phu!$I$28,L109=phu!$I$29,L109=phu!$I$30,L109=phu!$I$31),"Cam Phú",""),IF(OR(L109=phu!$I$32,L109=phu!$I$33,L109=phu!$I$34,L109=phu!$I$35,L109=phu!$I$36,L109=phu!$I$37),"Cam Lộc",""),IF(OR(L109=phu!$I$38,L109=phu!$I$39,L109=phu!$I$40,L109=phu!$I$41,L109=phu!$I$42,L109=phu!$I$43,L109=phu!$I$44),"Cam Thuận",""),IF(OR(L109=phu!$I$45,L109=phu!$I$46,L109=phu!$I$47,L109=phu!$I$48,L109=phu!$I$49,L109=phu!$I$50,L109=phu!$I$51,L109=phu!$I$52,L109=phu!$I$53),"Cam Linh",""),IF(OR(L109=phu!$I$54,L109=phu!$I$55,L109=phu!$I$56,L109=phu!$I$57,L109=phu!$I$58,L109=phu!$I$59,L109=phu!$I$60,L109=phu!$I$61,L109=phu!$I$62),"Cam Lợi",""),IF(OR(L109=phu!$I$63,L109=phu!$I$64,L109=phu!$I$65,L109=phu!$I$66,L109=phu!$I$67,L109=phu!$I$68,L109=phu!$I$69,L109=phu!$I$70,L109=phu!$I$71),"Ba Ngòi",""),IF(OR(L109=phu!$I$72,L109=phu!$I$73,L109=phu!$I$74,L109=phu!$I$75,L109=phu!$I$76,L109=phu!$I$77,L109=phu!$I$78),"Cam Phước Đông",""),IF(OR(L109=phu!$I$79,L109=phu!$I$80,L109=phu!$I$81,L109=phu!$I$82,L109=phu!$I$83,L109=phu!$I$84),"Cam Thịnh Đông",""),IF(OR(L109=phu!$I$85,L109=phu!$I$86,L109=phu!$I$87,L109=phu!$I$88),"Cam Thịnh Tây",""),IF(OR(L109=phu!$I$89,L109=phu!$I$90),"Cam Lập",""),IF(OR(L109=phu!$I$91,L109=phu!$I$92,L109=phu!$I$93),"Cam Bình",""),IF(OR(L109=phu!$I$94,L109=phu!$I$95,L109=phu!$I$96,L109=phu!$I$97,L109=phu!$I$98,L109=phu!$I$99,L109=phu!$I$100),"Huyện khác",""),IF(OR(L109=phu!$I$101,L109=phu!$I$102),"Tỉnh khác",""))</f>
        <v/>
      </c>
      <c r="N109" s="835" t="str">
        <f t="shared" si="8"/>
        <v/>
      </c>
      <c r="O109" s="20"/>
      <c r="P109" s="20"/>
      <c r="Q109" s="20"/>
      <c r="R109" s="20"/>
      <c r="S109" s="20"/>
      <c r="T109" s="21"/>
      <c r="U109" s="21"/>
      <c r="V109" s="21"/>
      <c r="W109" s="7" t="str">
        <f t="shared" si="6"/>
        <v/>
      </c>
      <c r="X109" s="506" t="str">
        <f t="shared" si="7"/>
        <v/>
      </c>
    </row>
    <row r="110" spans="1:24" x14ac:dyDescent="0.25">
      <c r="A110" s="66" t="str">
        <f t="shared" si="9"/>
        <v/>
      </c>
      <c r="B110" s="23" t="str">
        <f t="shared" si="5"/>
        <v/>
      </c>
      <c r="C110" s="15"/>
      <c r="D110" s="16"/>
      <c r="E110" s="17"/>
      <c r="F110" s="18"/>
      <c r="G110" s="18"/>
      <c r="H110" s="19"/>
      <c r="I110" s="15"/>
      <c r="J110" s="20"/>
      <c r="K110" s="15"/>
      <c r="L110" s="15"/>
      <c r="M110" s="531" t="str">
        <f>CONCATENATE(IF(OR(L110=phu!$I$1,L110=phu!$I$2,L110=phu!$I$3),"Cam Thành Nam",""),IF(OR(L110=phu!$I$4,L110=phu!$I$5,L110=phu!$I$6,L110=phu!$I$7,L110=phu!$I$8,L110=phu!$I$9,L110=phu!$I$10,L110=phu!$I$11,L110=phu!$I$12,L110=phu!$I$13,L110=phu!$I$14),"Cam Nghĩa",""),IF(OR(L110=phu!$I$15,L110=phu!$I$16,L110=phu!$I$17,L110=phu!$I$18,L110=phu!$I$19,L110=phu!$I$20,L110=phu!$I$21),"Cam Phúc Bắc",""),IF(OR(L110=phu!$I$22,L110=phu!$I$23,L110=phu!$I$24,L110=phu!$I$25),"Cam Phúc Nam",""),IF(OR(L110=phu!$I$26,L110=phu!$I$27,L110=phu!$I$28,L110=phu!$I$29,L110=phu!$I$30,L110=phu!$I$31),"Cam Phú",""),IF(OR(L110=phu!$I$32,L110=phu!$I$33,L110=phu!$I$34,L110=phu!$I$35,L110=phu!$I$36,L110=phu!$I$37),"Cam Lộc",""),IF(OR(L110=phu!$I$38,L110=phu!$I$39,L110=phu!$I$40,L110=phu!$I$41,L110=phu!$I$42,L110=phu!$I$43,L110=phu!$I$44),"Cam Thuận",""),IF(OR(L110=phu!$I$45,L110=phu!$I$46,L110=phu!$I$47,L110=phu!$I$48,L110=phu!$I$49,L110=phu!$I$50,L110=phu!$I$51,L110=phu!$I$52,L110=phu!$I$53),"Cam Linh",""),IF(OR(L110=phu!$I$54,L110=phu!$I$55,L110=phu!$I$56,L110=phu!$I$57,L110=phu!$I$58,L110=phu!$I$59,L110=phu!$I$60,L110=phu!$I$61,L110=phu!$I$62),"Cam Lợi",""),IF(OR(L110=phu!$I$63,L110=phu!$I$64,L110=phu!$I$65,L110=phu!$I$66,L110=phu!$I$67,L110=phu!$I$68,L110=phu!$I$69,L110=phu!$I$70,L110=phu!$I$71),"Ba Ngòi",""),IF(OR(L110=phu!$I$72,L110=phu!$I$73,L110=phu!$I$74,L110=phu!$I$75,L110=phu!$I$76,L110=phu!$I$77,L110=phu!$I$78),"Cam Phước Đông",""),IF(OR(L110=phu!$I$79,L110=phu!$I$80,L110=phu!$I$81,L110=phu!$I$82,L110=phu!$I$83,L110=phu!$I$84),"Cam Thịnh Đông",""),IF(OR(L110=phu!$I$85,L110=phu!$I$86,L110=phu!$I$87,L110=phu!$I$88),"Cam Thịnh Tây",""),IF(OR(L110=phu!$I$89,L110=phu!$I$90),"Cam Lập",""),IF(OR(L110=phu!$I$91,L110=phu!$I$92,L110=phu!$I$93),"Cam Bình",""),IF(OR(L110=phu!$I$94,L110=phu!$I$95,L110=phu!$I$96,L110=phu!$I$97,L110=phu!$I$98,L110=phu!$I$99,L110=phu!$I$100),"Huyện khác",""),IF(OR(L110=phu!$I$101,L110=phu!$I$102),"Tỉnh khác",""))</f>
        <v/>
      </c>
      <c r="N110" s="835" t="str">
        <f t="shared" si="8"/>
        <v/>
      </c>
      <c r="O110" s="20"/>
      <c r="P110" s="20"/>
      <c r="Q110" s="20"/>
      <c r="R110" s="20"/>
      <c r="S110" s="20"/>
      <c r="T110" s="21"/>
      <c r="U110" s="21"/>
      <c r="V110" s="21"/>
      <c r="W110" s="7" t="str">
        <f t="shared" si="6"/>
        <v/>
      </c>
      <c r="X110" s="506" t="str">
        <f t="shared" si="7"/>
        <v/>
      </c>
    </row>
    <row r="111" spans="1:24" x14ac:dyDescent="0.25">
      <c r="A111" s="66" t="str">
        <f t="shared" si="9"/>
        <v/>
      </c>
      <c r="B111" s="23" t="str">
        <f t="shared" si="5"/>
        <v/>
      </c>
      <c r="C111" s="15"/>
      <c r="D111" s="16"/>
      <c r="E111" s="17"/>
      <c r="F111" s="18"/>
      <c r="G111" s="18"/>
      <c r="H111" s="19"/>
      <c r="I111" s="15"/>
      <c r="J111" s="20"/>
      <c r="K111" s="15"/>
      <c r="L111" s="15"/>
      <c r="M111" s="531" t="str">
        <f>CONCATENATE(IF(OR(L111=phu!$I$1,L111=phu!$I$2,L111=phu!$I$3),"Cam Thành Nam",""),IF(OR(L111=phu!$I$4,L111=phu!$I$5,L111=phu!$I$6,L111=phu!$I$7,L111=phu!$I$8,L111=phu!$I$9,L111=phu!$I$10,L111=phu!$I$11,L111=phu!$I$12,L111=phu!$I$13,L111=phu!$I$14),"Cam Nghĩa",""),IF(OR(L111=phu!$I$15,L111=phu!$I$16,L111=phu!$I$17,L111=phu!$I$18,L111=phu!$I$19,L111=phu!$I$20,L111=phu!$I$21),"Cam Phúc Bắc",""),IF(OR(L111=phu!$I$22,L111=phu!$I$23,L111=phu!$I$24,L111=phu!$I$25),"Cam Phúc Nam",""),IF(OR(L111=phu!$I$26,L111=phu!$I$27,L111=phu!$I$28,L111=phu!$I$29,L111=phu!$I$30,L111=phu!$I$31),"Cam Phú",""),IF(OR(L111=phu!$I$32,L111=phu!$I$33,L111=phu!$I$34,L111=phu!$I$35,L111=phu!$I$36,L111=phu!$I$37),"Cam Lộc",""),IF(OR(L111=phu!$I$38,L111=phu!$I$39,L111=phu!$I$40,L111=phu!$I$41,L111=phu!$I$42,L111=phu!$I$43,L111=phu!$I$44),"Cam Thuận",""),IF(OR(L111=phu!$I$45,L111=phu!$I$46,L111=phu!$I$47,L111=phu!$I$48,L111=phu!$I$49,L111=phu!$I$50,L111=phu!$I$51,L111=phu!$I$52,L111=phu!$I$53),"Cam Linh",""),IF(OR(L111=phu!$I$54,L111=phu!$I$55,L111=phu!$I$56,L111=phu!$I$57,L111=phu!$I$58,L111=phu!$I$59,L111=phu!$I$60,L111=phu!$I$61,L111=phu!$I$62),"Cam Lợi",""),IF(OR(L111=phu!$I$63,L111=phu!$I$64,L111=phu!$I$65,L111=phu!$I$66,L111=phu!$I$67,L111=phu!$I$68,L111=phu!$I$69,L111=phu!$I$70,L111=phu!$I$71),"Ba Ngòi",""),IF(OR(L111=phu!$I$72,L111=phu!$I$73,L111=phu!$I$74,L111=phu!$I$75,L111=phu!$I$76,L111=phu!$I$77,L111=phu!$I$78),"Cam Phước Đông",""),IF(OR(L111=phu!$I$79,L111=phu!$I$80,L111=phu!$I$81,L111=phu!$I$82,L111=phu!$I$83,L111=phu!$I$84),"Cam Thịnh Đông",""),IF(OR(L111=phu!$I$85,L111=phu!$I$86,L111=phu!$I$87,L111=phu!$I$88),"Cam Thịnh Tây",""),IF(OR(L111=phu!$I$89,L111=phu!$I$90),"Cam Lập",""),IF(OR(L111=phu!$I$91,L111=phu!$I$92,L111=phu!$I$93),"Cam Bình",""),IF(OR(L111=phu!$I$94,L111=phu!$I$95,L111=phu!$I$96,L111=phu!$I$97,L111=phu!$I$98,L111=phu!$I$99,L111=phu!$I$100),"Huyện khác",""),IF(OR(L111=phu!$I$101,L111=phu!$I$102),"Tỉnh khác",""))</f>
        <v/>
      </c>
      <c r="N111" s="835" t="str">
        <f t="shared" si="8"/>
        <v/>
      </c>
      <c r="O111" s="20"/>
      <c r="P111" s="20"/>
      <c r="Q111" s="20"/>
      <c r="R111" s="20"/>
      <c r="S111" s="20"/>
      <c r="T111" s="21"/>
      <c r="U111" s="21"/>
      <c r="V111" s="21"/>
      <c r="W111" s="7" t="str">
        <f t="shared" si="6"/>
        <v/>
      </c>
      <c r="X111" s="506" t="str">
        <f t="shared" si="7"/>
        <v/>
      </c>
    </row>
    <row r="112" spans="1:24" x14ac:dyDescent="0.25">
      <c r="A112" s="66" t="str">
        <f t="shared" si="9"/>
        <v/>
      </c>
      <c r="B112" s="23" t="str">
        <f t="shared" si="5"/>
        <v/>
      </c>
      <c r="C112" s="15"/>
      <c r="D112" s="16"/>
      <c r="E112" s="17"/>
      <c r="F112" s="18"/>
      <c r="G112" s="18"/>
      <c r="H112" s="19"/>
      <c r="I112" s="15"/>
      <c r="J112" s="20"/>
      <c r="K112" s="15"/>
      <c r="L112" s="15"/>
      <c r="M112" s="531" t="str">
        <f>CONCATENATE(IF(OR(L112=phu!$I$1,L112=phu!$I$2,L112=phu!$I$3),"Cam Thành Nam",""),IF(OR(L112=phu!$I$4,L112=phu!$I$5,L112=phu!$I$6,L112=phu!$I$7,L112=phu!$I$8,L112=phu!$I$9,L112=phu!$I$10,L112=phu!$I$11,L112=phu!$I$12,L112=phu!$I$13,L112=phu!$I$14),"Cam Nghĩa",""),IF(OR(L112=phu!$I$15,L112=phu!$I$16,L112=phu!$I$17,L112=phu!$I$18,L112=phu!$I$19,L112=phu!$I$20,L112=phu!$I$21),"Cam Phúc Bắc",""),IF(OR(L112=phu!$I$22,L112=phu!$I$23,L112=phu!$I$24,L112=phu!$I$25),"Cam Phúc Nam",""),IF(OR(L112=phu!$I$26,L112=phu!$I$27,L112=phu!$I$28,L112=phu!$I$29,L112=phu!$I$30,L112=phu!$I$31),"Cam Phú",""),IF(OR(L112=phu!$I$32,L112=phu!$I$33,L112=phu!$I$34,L112=phu!$I$35,L112=phu!$I$36,L112=phu!$I$37),"Cam Lộc",""),IF(OR(L112=phu!$I$38,L112=phu!$I$39,L112=phu!$I$40,L112=phu!$I$41,L112=phu!$I$42,L112=phu!$I$43,L112=phu!$I$44),"Cam Thuận",""),IF(OR(L112=phu!$I$45,L112=phu!$I$46,L112=phu!$I$47,L112=phu!$I$48,L112=phu!$I$49,L112=phu!$I$50,L112=phu!$I$51,L112=phu!$I$52,L112=phu!$I$53),"Cam Linh",""),IF(OR(L112=phu!$I$54,L112=phu!$I$55,L112=phu!$I$56,L112=phu!$I$57,L112=phu!$I$58,L112=phu!$I$59,L112=phu!$I$60,L112=phu!$I$61,L112=phu!$I$62),"Cam Lợi",""),IF(OR(L112=phu!$I$63,L112=phu!$I$64,L112=phu!$I$65,L112=phu!$I$66,L112=phu!$I$67,L112=phu!$I$68,L112=phu!$I$69,L112=phu!$I$70,L112=phu!$I$71),"Ba Ngòi",""),IF(OR(L112=phu!$I$72,L112=phu!$I$73,L112=phu!$I$74,L112=phu!$I$75,L112=phu!$I$76,L112=phu!$I$77,L112=phu!$I$78),"Cam Phước Đông",""),IF(OR(L112=phu!$I$79,L112=phu!$I$80,L112=phu!$I$81,L112=phu!$I$82,L112=phu!$I$83,L112=phu!$I$84),"Cam Thịnh Đông",""),IF(OR(L112=phu!$I$85,L112=phu!$I$86,L112=phu!$I$87,L112=phu!$I$88),"Cam Thịnh Tây",""),IF(OR(L112=phu!$I$89,L112=phu!$I$90),"Cam Lập",""),IF(OR(L112=phu!$I$91,L112=phu!$I$92,L112=phu!$I$93),"Cam Bình",""),IF(OR(L112=phu!$I$94,L112=phu!$I$95,L112=phu!$I$96,L112=phu!$I$97,L112=phu!$I$98,L112=phu!$I$99,L112=phu!$I$100),"Huyện khác",""),IF(OR(L112=phu!$I$101,L112=phu!$I$102),"Tỉnh khác",""))</f>
        <v/>
      </c>
      <c r="N112" s="835" t="str">
        <f t="shared" si="8"/>
        <v/>
      </c>
      <c r="O112" s="20"/>
      <c r="P112" s="20"/>
      <c r="Q112" s="20"/>
      <c r="R112" s="20"/>
      <c r="S112" s="20"/>
      <c r="T112" s="21"/>
      <c r="U112" s="21"/>
      <c r="V112" s="21"/>
      <c r="W112" s="7" t="str">
        <f t="shared" si="6"/>
        <v/>
      </c>
      <c r="X112" s="506" t="str">
        <f t="shared" si="7"/>
        <v/>
      </c>
    </row>
    <row r="113" spans="1:24" x14ac:dyDescent="0.25">
      <c r="A113" s="66" t="str">
        <f t="shared" si="9"/>
        <v/>
      </c>
      <c r="B113" s="23" t="str">
        <f t="shared" si="5"/>
        <v/>
      </c>
      <c r="C113" s="15"/>
      <c r="D113" s="16"/>
      <c r="E113" s="17"/>
      <c r="F113" s="18"/>
      <c r="G113" s="18"/>
      <c r="H113" s="19"/>
      <c r="I113" s="15"/>
      <c r="J113" s="20"/>
      <c r="K113" s="15"/>
      <c r="L113" s="15"/>
      <c r="M113" s="531" t="str">
        <f>CONCATENATE(IF(OR(L113=phu!$I$1,L113=phu!$I$2,L113=phu!$I$3),"Cam Thành Nam",""),IF(OR(L113=phu!$I$4,L113=phu!$I$5,L113=phu!$I$6,L113=phu!$I$7,L113=phu!$I$8,L113=phu!$I$9,L113=phu!$I$10,L113=phu!$I$11,L113=phu!$I$12,L113=phu!$I$13,L113=phu!$I$14),"Cam Nghĩa",""),IF(OR(L113=phu!$I$15,L113=phu!$I$16,L113=phu!$I$17,L113=phu!$I$18,L113=phu!$I$19,L113=phu!$I$20,L113=phu!$I$21),"Cam Phúc Bắc",""),IF(OR(L113=phu!$I$22,L113=phu!$I$23,L113=phu!$I$24,L113=phu!$I$25),"Cam Phúc Nam",""),IF(OR(L113=phu!$I$26,L113=phu!$I$27,L113=phu!$I$28,L113=phu!$I$29,L113=phu!$I$30,L113=phu!$I$31),"Cam Phú",""),IF(OR(L113=phu!$I$32,L113=phu!$I$33,L113=phu!$I$34,L113=phu!$I$35,L113=phu!$I$36,L113=phu!$I$37),"Cam Lộc",""),IF(OR(L113=phu!$I$38,L113=phu!$I$39,L113=phu!$I$40,L113=phu!$I$41,L113=phu!$I$42,L113=phu!$I$43,L113=phu!$I$44),"Cam Thuận",""),IF(OR(L113=phu!$I$45,L113=phu!$I$46,L113=phu!$I$47,L113=phu!$I$48,L113=phu!$I$49,L113=phu!$I$50,L113=phu!$I$51,L113=phu!$I$52,L113=phu!$I$53),"Cam Linh",""),IF(OR(L113=phu!$I$54,L113=phu!$I$55,L113=phu!$I$56,L113=phu!$I$57,L113=phu!$I$58,L113=phu!$I$59,L113=phu!$I$60,L113=phu!$I$61,L113=phu!$I$62),"Cam Lợi",""),IF(OR(L113=phu!$I$63,L113=phu!$I$64,L113=phu!$I$65,L113=phu!$I$66,L113=phu!$I$67,L113=phu!$I$68,L113=phu!$I$69,L113=phu!$I$70,L113=phu!$I$71),"Ba Ngòi",""),IF(OR(L113=phu!$I$72,L113=phu!$I$73,L113=phu!$I$74,L113=phu!$I$75,L113=phu!$I$76,L113=phu!$I$77,L113=phu!$I$78),"Cam Phước Đông",""),IF(OR(L113=phu!$I$79,L113=phu!$I$80,L113=phu!$I$81,L113=phu!$I$82,L113=phu!$I$83,L113=phu!$I$84),"Cam Thịnh Đông",""),IF(OR(L113=phu!$I$85,L113=phu!$I$86,L113=phu!$I$87,L113=phu!$I$88),"Cam Thịnh Tây",""),IF(OR(L113=phu!$I$89,L113=phu!$I$90),"Cam Lập",""),IF(OR(L113=phu!$I$91,L113=phu!$I$92,L113=phu!$I$93),"Cam Bình",""),IF(OR(L113=phu!$I$94,L113=phu!$I$95,L113=phu!$I$96,L113=phu!$I$97,L113=phu!$I$98,L113=phu!$I$99,L113=phu!$I$100),"Huyện khác",""),IF(OR(L113=phu!$I$101,L113=phu!$I$102),"Tỉnh khác",""))</f>
        <v/>
      </c>
      <c r="N113" s="835" t="str">
        <f t="shared" si="8"/>
        <v/>
      </c>
      <c r="O113" s="20"/>
      <c r="P113" s="20"/>
      <c r="Q113" s="20"/>
      <c r="R113" s="20"/>
      <c r="S113" s="20"/>
      <c r="T113" s="21"/>
      <c r="U113" s="21"/>
      <c r="V113" s="21"/>
      <c r="W113" s="7" t="str">
        <f t="shared" si="6"/>
        <v/>
      </c>
      <c r="X113" s="506" t="str">
        <f t="shared" si="7"/>
        <v/>
      </c>
    </row>
    <row r="114" spans="1:24" x14ac:dyDescent="0.25">
      <c r="A114" s="66" t="str">
        <f t="shared" si="9"/>
        <v/>
      </c>
      <c r="B114" s="23" t="str">
        <f t="shared" si="5"/>
        <v/>
      </c>
      <c r="C114" s="15"/>
      <c r="D114" s="16"/>
      <c r="E114" s="17"/>
      <c r="F114" s="18"/>
      <c r="G114" s="18"/>
      <c r="H114" s="19"/>
      <c r="I114" s="15"/>
      <c r="J114" s="20"/>
      <c r="K114" s="15"/>
      <c r="L114" s="15"/>
      <c r="M114" s="531" t="str">
        <f>CONCATENATE(IF(OR(L114=phu!$I$1,L114=phu!$I$2,L114=phu!$I$3),"Cam Thành Nam",""),IF(OR(L114=phu!$I$4,L114=phu!$I$5,L114=phu!$I$6,L114=phu!$I$7,L114=phu!$I$8,L114=phu!$I$9,L114=phu!$I$10,L114=phu!$I$11,L114=phu!$I$12,L114=phu!$I$13,L114=phu!$I$14),"Cam Nghĩa",""),IF(OR(L114=phu!$I$15,L114=phu!$I$16,L114=phu!$I$17,L114=phu!$I$18,L114=phu!$I$19,L114=phu!$I$20,L114=phu!$I$21),"Cam Phúc Bắc",""),IF(OR(L114=phu!$I$22,L114=phu!$I$23,L114=phu!$I$24,L114=phu!$I$25),"Cam Phúc Nam",""),IF(OR(L114=phu!$I$26,L114=phu!$I$27,L114=phu!$I$28,L114=phu!$I$29,L114=phu!$I$30,L114=phu!$I$31),"Cam Phú",""),IF(OR(L114=phu!$I$32,L114=phu!$I$33,L114=phu!$I$34,L114=phu!$I$35,L114=phu!$I$36,L114=phu!$I$37),"Cam Lộc",""),IF(OR(L114=phu!$I$38,L114=phu!$I$39,L114=phu!$I$40,L114=phu!$I$41,L114=phu!$I$42,L114=phu!$I$43,L114=phu!$I$44),"Cam Thuận",""),IF(OR(L114=phu!$I$45,L114=phu!$I$46,L114=phu!$I$47,L114=phu!$I$48,L114=phu!$I$49,L114=phu!$I$50,L114=phu!$I$51,L114=phu!$I$52,L114=phu!$I$53),"Cam Linh",""),IF(OR(L114=phu!$I$54,L114=phu!$I$55,L114=phu!$I$56,L114=phu!$I$57,L114=phu!$I$58,L114=phu!$I$59,L114=phu!$I$60,L114=phu!$I$61,L114=phu!$I$62),"Cam Lợi",""),IF(OR(L114=phu!$I$63,L114=phu!$I$64,L114=phu!$I$65,L114=phu!$I$66,L114=phu!$I$67,L114=phu!$I$68,L114=phu!$I$69,L114=phu!$I$70,L114=phu!$I$71),"Ba Ngòi",""),IF(OR(L114=phu!$I$72,L114=phu!$I$73,L114=phu!$I$74,L114=phu!$I$75,L114=phu!$I$76,L114=phu!$I$77,L114=phu!$I$78),"Cam Phước Đông",""),IF(OR(L114=phu!$I$79,L114=phu!$I$80,L114=phu!$I$81,L114=phu!$I$82,L114=phu!$I$83,L114=phu!$I$84),"Cam Thịnh Đông",""),IF(OR(L114=phu!$I$85,L114=phu!$I$86,L114=phu!$I$87,L114=phu!$I$88),"Cam Thịnh Tây",""),IF(OR(L114=phu!$I$89,L114=phu!$I$90),"Cam Lập",""),IF(OR(L114=phu!$I$91,L114=phu!$I$92,L114=phu!$I$93),"Cam Bình",""),IF(OR(L114=phu!$I$94,L114=phu!$I$95,L114=phu!$I$96,L114=phu!$I$97,L114=phu!$I$98,L114=phu!$I$99,L114=phu!$I$100),"Huyện khác",""),IF(OR(L114=phu!$I$101,L114=phu!$I$102),"Tỉnh khác",""))</f>
        <v/>
      </c>
      <c r="N114" s="835" t="str">
        <f t="shared" si="8"/>
        <v/>
      </c>
      <c r="O114" s="20"/>
      <c r="P114" s="20"/>
      <c r="Q114" s="20"/>
      <c r="R114" s="20"/>
      <c r="S114" s="20"/>
      <c r="T114" s="21"/>
      <c r="U114" s="21"/>
      <c r="V114" s="21"/>
      <c r="W114" s="7" t="str">
        <f t="shared" si="6"/>
        <v/>
      </c>
      <c r="X114" s="506" t="str">
        <f t="shared" si="7"/>
        <v/>
      </c>
    </row>
    <row r="115" spans="1:24" x14ac:dyDescent="0.25">
      <c r="A115" s="66" t="str">
        <f t="shared" si="9"/>
        <v/>
      </c>
      <c r="B115" s="23" t="str">
        <f t="shared" si="5"/>
        <v/>
      </c>
      <c r="C115" s="15"/>
      <c r="D115" s="16"/>
      <c r="E115" s="17"/>
      <c r="F115" s="18"/>
      <c r="G115" s="18"/>
      <c r="H115" s="19"/>
      <c r="I115" s="15"/>
      <c r="J115" s="20"/>
      <c r="K115" s="15"/>
      <c r="L115" s="15"/>
      <c r="M115" s="531" t="str">
        <f>CONCATENATE(IF(OR(L115=phu!$I$1,L115=phu!$I$2,L115=phu!$I$3),"Cam Thành Nam",""),IF(OR(L115=phu!$I$4,L115=phu!$I$5,L115=phu!$I$6,L115=phu!$I$7,L115=phu!$I$8,L115=phu!$I$9,L115=phu!$I$10,L115=phu!$I$11,L115=phu!$I$12,L115=phu!$I$13,L115=phu!$I$14),"Cam Nghĩa",""),IF(OR(L115=phu!$I$15,L115=phu!$I$16,L115=phu!$I$17,L115=phu!$I$18,L115=phu!$I$19,L115=phu!$I$20,L115=phu!$I$21),"Cam Phúc Bắc",""),IF(OR(L115=phu!$I$22,L115=phu!$I$23,L115=phu!$I$24,L115=phu!$I$25),"Cam Phúc Nam",""),IF(OR(L115=phu!$I$26,L115=phu!$I$27,L115=phu!$I$28,L115=phu!$I$29,L115=phu!$I$30,L115=phu!$I$31),"Cam Phú",""),IF(OR(L115=phu!$I$32,L115=phu!$I$33,L115=phu!$I$34,L115=phu!$I$35,L115=phu!$I$36,L115=phu!$I$37),"Cam Lộc",""),IF(OR(L115=phu!$I$38,L115=phu!$I$39,L115=phu!$I$40,L115=phu!$I$41,L115=phu!$I$42,L115=phu!$I$43,L115=phu!$I$44),"Cam Thuận",""),IF(OR(L115=phu!$I$45,L115=phu!$I$46,L115=phu!$I$47,L115=phu!$I$48,L115=phu!$I$49,L115=phu!$I$50,L115=phu!$I$51,L115=phu!$I$52,L115=phu!$I$53),"Cam Linh",""),IF(OR(L115=phu!$I$54,L115=phu!$I$55,L115=phu!$I$56,L115=phu!$I$57,L115=phu!$I$58,L115=phu!$I$59,L115=phu!$I$60,L115=phu!$I$61,L115=phu!$I$62),"Cam Lợi",""),IF(OR(L115=phu!$I$63,L115=phu!$I$64,L115=phu!$I$65,L115=phu!$I$66,L115=phu!$I$67,L115=phu!$I$68,L115=phu!$I$69,L115=phu!$I$70,L115=phu!$I$71),"Ba Ngòi",""),IF(OR(L115=phu!$I$72,L115=phu!$I$73,L115=phu!$I$74,L115=phu!$I$75,L115=phu!$I$76,L115=phu!$I$77,L115=phu!$I$78),"Cam Phước Đông",""),IF(OR(L115=phu!$I$79,L115=phu!$I$80,L115=phu!$I$81,L115=phu!$I$82,L115=phu!$I$83,L115=phu!$I$84),"Cam Thịnh Đông",""),IF(OR(L115=phu!$I$85,L115=phu!$I$86,L115=phu!$I$87,L115=phu!$I$88),"Cam Thịnh Tây",""),IF(OR(L115=phu!$I$89,L115=phu!$I$90),"Cam Lập",""),IF(OR(L115=phu!$I$91,L115=phu!$I$92,L115=phu!$I$93),"Cam Bình",""),IF(OR(L115=phu!$I$94,L115=phu!$I$95,L115=phu!$I$96,L115=phu!$I$97,L115=phu!$I$98,L115=phu!$I$99,L115=phu!$I$100),"Huyện khác",""),IF(OR(L115=phu!$I$101,L115=phu!$I$102),"Tỉnh khác",""))</f>
        <v/>
      </c>
      <c r="N115" s="835" t="str">
        <f t="shared" si="8"/>
        <v/>
      </c>
      <c r="O115" s="20"/>
      <c r="P115" s="20"/>
      <c r="Q115" s="20"/>
      <c r="R115" s="20"/>
      <c r="S115" s="20"/>
      <c r="T115" s="21"/>
      <c r="U115" s="21"/>
      <c r="V115" s="21"/>
      <c r="W115" s="7" t="str">
        <f t="shared" si="6"/>
        <v/>
      </c>
      <c r="X115" s="506" t="str">
        <f t="shared" si="7"/>
        <v/>
      </c>
    </row>
    <row r="116" spans="1:24" x14ac:dyDescent="0.25">
      <c r="A116" s="66" t="str">
        <f t="shared" si="9"/>
        <v/>
      </c>
      <c r="B116" s="23" t="str">
        <f t="shared" si="5"/>
        <v/>
      </c>
      <c r="C116" s="15"/>
      <c r="D116" s="16"/>
      <c r="E116" s="17"/>
      <c r="F116" s="18"/>
      <c r="G116" s="18"/>
      <c r="H116" s="19"/>
      <c r="I116" s="15"/>
      <c r="J116" s="20"/>
      <c r="K116" s="15"/>
      <c r="L116" s="15"/>
      <c r="M116" s="531" t="str">
        <f>CONCATENATE(IF(OR(L116=phu!$I$1,L116=phu!$I$2,L116=phu!$I$3),"Cam Thành Nam",""),IF(OR(L116=phu!$I$4,L116=phu!$I$5,L116=phu!$I$6,L116=phu!$I$7,L116=phu!$I$8,L116=phu!$I$9,L116=phu!$I$10,L116=phu!$I$11,L116=phu!$I$12,L116=phu!$I$13,L116=phu!$I$14),"Cam Nghĩa",""),IF(OR(L116=phu!$I$15,L116=phu!$I$16,L116=phu!$I$17,L116=phu!$I$18,L116=phu!$I$19,L116=phu!$I$20,L116=phu!$I$21),"Cam Phúc Bắc",""),IF(OR(L116=phu!$I$22,L116=phu!$I$23,L116=phu!$I$24,L116=phu!$I$25),"Cam Phúc Nam",""),IF(OR(L116=phu!$I$26,L116=phu!$I$27,L116=phu!$I$28,L116=phu!$I$29,L116=phu!$I$30,L116=phu!$I$31),"Cam Phú",""),IF(OR(L116=phu!$I$32,L116=phu!$I$33,L116=phu!$I$34,L116=phu!$I$35,L116=phu!$I$36,L116=phu!$I$37),"Cam Lộc",""),IF(OR(L116=phu!$I$38,L116=phu!$I$39,L116=phu!$I$40,L116=phu!$I$41,L116=phu!$I$42,L116=phu!$I$43,L116=phu!$I$44),"Cam Thuận",""),IF(OR(L116=phu!$I$45,L116=phu!$I$46,L116=phu!$I$47,L116=phu!$I$48,L116=phu!$I$49,L116=phu!$I$50,L116=phu!$I$51,L116=phu!$I$52,L116=phu!$I$53),"Cam Linh",""),IF(OR(L116=phu!$I$54,L116=phu!$I$55,L116=phu!$I$56,L116=phu!$I$57,L116=phu!$I$58,L116=phu!$I$59,L116=phu!$I$60,L116=phu!$I$61,L116=phu!$I$62),"Cam Lợi",""),IF(OR(L116=phu!$I$63,L116=phu!$I$64,L116=phu!$I$65,L116=phu!$I$66,L116=phu!$I$67,L116=phu!$I$68,L116=phu!$I$69,L116=phu!$I$70,L116=phu!$I$71),"Ba Ngòi",""),IF(OR(L116=phu!$I$72,L116=phu!$I$73,L116=phu!$I$74,L116=phu!$I$75,L116=phu!$I$76,L116=phu!$I$77,L116=phu!$I$78),"Cam Phước Đông",""),IF(OR(L116=phu!$I$79,L116=phu!$I$80,L116=phu!$I$81,L116=phu!$I$82,L116=phu!$I$83,L116=phu!$I$84),"Cam Thịnh Đông",""),IF(OR(L116=phu!$I$85,L116=phu!$I$86,L116=phu!$I$87,L116=phu!$I$88),"Cam Thịnh Tây",""),IF(OR(L116=phu!$I$89,L116=phu!$I$90),"Cam Lập",""),IF(OR(L116=phu!$I$91,L116=phu!$I$92,L116=phu!$I$93),"Cam Bình",""),IF(OR(L116=phu!$I$94,L116=phu!$I$95,L116=phu!$I$96,L116=phu!$I$97,L116=phu!$I$98,L116=phu!$I$99,L116=phu!$I$100),"Huyện khác",""),IF(OR(L116=phu!$I$101,L116=phu!$I$102),"Tỉnh khác",""))</f>
        <v/>
      </c>
      <c r="N116" s="835" t="str">
        <f t="shared" si="8"/>
        <v/>
      </c>
      <c r="O116" s="20"/>
      <c r="P116" s="20"/>
      <c r="Q116" s="20"/>
      <c r="R116" s="20"/>
      <c r="S116" s="20"/>
      <c r="T116" s="21"/>
      <c r="U116" s="21"/>
      <c r="V116" s="21"/>
      <c r="W116" s="7" t="str">
        <f t="shared" si="6"/>
        <v/>
      </c>
      <c r="X116" s="506" t="str">
        <f t="shared" si="7"/>
        <v/>
      </c>
    </row>
    <row r="117" spans="1:24" x14ac:dyDescent="0.25">
      <c r="A117" s="66" t="str">
        <f t="shared" si="9"/>
        <v/>
      </c>
      <c r="B117" s="23" t="str">
        <f t="shared" si="5"/>
        <v/>
      </c>
      <c r="C117" s="15"/>
      <c r="D117" s="16"/>
      <c r="E117" s="17"/>
      <c r="F117" s="18"/>
      <c r="G117" s="18"/>
      <c r="H117" s="19"/>
      <c r="I117" s="15"/>
      <c r="J117" s="20"/>
      <c r="K117" s="15"/>
      <c r="L117" s="15"/>
      <c r="M117" s="531" t="str">
        <f>CONCATENATE(IF(OR(L117=phu!$I$1,L117=phu!$I$2,L117=phu!$I$3),"Cam Thành Nam",""),IF(OR(L117=phu!$I$4,L117=phu!$I$5,L117=phu!$I$6,L117=phu!$I$7,L117=phu!$I$8,L117=phu!$I$9,L117=phu!$I$10,L117=phu!$I$11,L117=phu!$I$12,L117=phu!$I$13,L117=phu!$I$14),"Cam Nghĩa",""),IF(OR(L117=phu!$I$15,L117=phu!$I$16,L117=phu!$I$17,L117=phu!$I$18,L117=phu!$I$19,L117=phu!$I$20,L117=phu!$I$21),"Cam Phúc Bắc",""),IF(OR(L117=phu!$I$22,L117=phu!$I$23,L117=phu!$I$24,L117=phu!$I$25),"Cam Phúc Nam",""),IF(OR(L117=phu!$I$26,L117=phu!$I$27,L117=phu!$I$28,L117=phu!$I$29,L117=phu!$I$30,L117=phu!$I$31),"Cam Phú",""),IF(OR(L117=phu!$I$32,L117=phu!$I$33,L117=phu!$I$34,L117=phu!$I$35,L117=phu!$I$36,L117=phu!$I$37),"Cam Lộc",""),IF(OR(L117=phu!$I$38,L117=phu!$I$39,L117=phu!$I$40,L117=phu!$I$41,L117=phu!$I$42,L117=phu!$I$43,L117=phu!$I$44),"Cam Thuận",""),IF(OR(L117=phu!$I$45,L117=phu!$I$46,L117=phu!$I$47,L117=phu!$I$48,L117=phu!$I$49,L117=phu!$I$50,L117=phu!$I$51,L117=phu!$I$52,L117=phu!$I$53),"Cam Linh",""),IF(OR(L117=phu!$I$54,L117=phu!$I$55,L117=phu!$I$56,L117=phu!$I$57,L117=phu!$I$58,L117=phu!$I$59,L117=phu!$I$60,L117=phu!$I$61,L117=phu!$I$62),"Cam Lợi",""),IF(OR(L117=phu!$I$63,L117=phu!$I$64,L117=phu!$I$65,L117=phu!$I$66,L117=phu!$I$67,L117=phu!$I$68,L117=phu!$I$69,L117=phu!$I$70,L117=phu!$I$71),"Ba Ngòi",""),IF(OR(L117=phu!$I$72,L117=phu!$I$73,L117=phu!$I$74,L117=phu!$I$75,L117=phu!$I$76,L117=phu!$I$77,L117=phu!$I$78),"Cam Phước Đông",""),IF(OR(L117=phu!$I$79,L117=phu!$I$80,L117=phu!$I$81,L117=phu!$I$82,L117=phu!$I$83,L117=phu!$I$84),"Cam Thịnh Đông",""),IF(OR(L117=phu!$I$85,L117=phu!$I$86,L117=phu!$I$87,L117=phu!$I$88),"Cam Thịnh Tây",""),IF(OR(L117=phu!$I$89,L117=phu!$I$90),"Cam Lập",""),IF(OR(L117=phu!$I$91,L117=phu!$I$92,L117=phu!$I$93),"Cam Bình",""),IF(OR(L117=phu!$I$94,L117=phu!$I$95,L117=phu!$I$96,L117=phu!$I$97,L117=phu!$I$98,L117=phu!$I$99,L117=phu!$I$100),"Huyện khác",""),IF(OR(L117=phu!$I$101,L117=phu!$I$102),"Tỉnh khác",""))</f>
        <v/>
      </c>
      <c r="N117" s="835" t="str">
        <f t="shared" si="8"/>
        <v/>
      </c>
      <c r="O117" s="20"/>
      <c r="P117" s="20"/>
      <c r="Q117" s="20"/>
      <c r="R117" s="20"/>
      <c r="S117" s="20"/>
      <c r="T117" s="21"/>
      <c r="U117" s="21"/>
      <c r="V117" s="21"/>
      <c r="W117" s="7" t="str">
        <f t="shared" si="6"/>
        <v/>
      </c>
      <c r="X117" s="506" t="str">
        <f t="shared" si="7"/>
        <v/>
      </c>
    </row>
    <row r="118" spans="1:24" x14ac:dyDescent="0.25">
      <c r="A118" s="66" t="str">
        <f t="shared" si="9"/>
        <v/>
      </c>
      <c r="B118" s="23" t="str">
        <f t="shared" si="5"/>
        <v/>
      </c>
      <c r="C118" s="15"/>
      <c r="D118" s="16"/>
      <c r="E118" s="17"/>
      <c r="F118" s="18"/>
      <c r="G118" s="18"/>
      <c r="H118" s="19"/>
      <c r="I118" s="15"/>
      <c r="J118" s="20"/>
      <c r="K118" s="15"/>
      <c r="L118" s="15"/>
      <c r="M118" s="531" t="str">
        <f>CONCATENATE(IF(OR(L118=phu!$I$1,L118=phu!$I$2,L118=phu!$I$3),"Cam Thành Nam",""),IF(OR(L118=phu!$I$4,L118=phu!$I$5,L118=phu!$I$6,L118=phu!$I$7,L118=phu!$I$8,L118=phu!$I$9,L118=phu!$I$10,L118=phu!$I$11,L118=phu!$I$12,L118=phu!$I$13,L118=phu!$I$14),"Cam Nghĩa",""),IF(OR(L118=phu!$I$15,L118=phu!$I$16,L118=phu!$I$17,L118=phu!$I$18,L118=phu!$I$19,L118=phu!$I$20,L118=phu!$I$21),"Cam Phúc Bắc",""),IF(OR(L118=phu!$I$22,L118=phu!$I$23,L118=phu!$I$24,L118=phu!$I$25),"Cam Phúc Nam",""),IF(OR(L118=phu!$I$26,L118=phu!$I$27,L118=phu!$I$28,L118=phu!$I$29,L118=phu!$I$30,L118=phu!$I$31),"Cam Phú",""),IF(OR(L118=phu!$I$32,L118=phu!$I$33,L118=phu!$I$34,L118=phu!$I$35,L118=phu!$I$36,L118=phu!$I$37),"Cam Lộc",""),IF(OR(L118=phu!$I$38,L118=phu!$I$39,L118=phu!$I$40,L118=phu!$I$41,L118=phu!$I$42,L118=phu!$I$43,L118=phu!$I$44),"Cam Thuận",""),IF(OR(L118=phu!$I$45,L118=phu!$I$46,L118=phu!$I$47,L118=phu!$I$48,L118=phu!$I$49,L118=phu!$I$50,L118=phu!$I$51,L118=phu!$I$52,L118=phu!$I$53),"Cam Linh",""),IF(OR(L118=phu!$I$54,L118=phu!$I$55,L118=phu!$I$56,L118=phu!$I$57,L118=phu!$I$58,L118=phu!$I$59,L118=phu!$I$60,L118=phu!$I$61,L118=phu!$I$62),"Cam Lợi",""),IF(OR(L118=phu!$I$63,L118=phu!$I$64,L118=phu!$I$65,L118=phu!$I$66,L118=phu!$I$67,L118=phu!$I$68,L118=phu!$I$69,L118=phu!$I$70,L118=phu!$I$71),"Ba Ngòi",""),IF(OR(L118=phu!$I$72,L118=phu!$I$73,L118=phu!$I$74,L118=phu!$I$75,L118=phu!$I$76,L118=phu!$I$77,L118=phu!$I$78),"Cam Phước Đông",""),IF(OR(L118=phu!$I$79,L118=phu!$I$80,L118=phu!$I$81,L118=phu!$I$82,L118=phu!$I$83,L118=phu!$I$84),"Cam Thịnh Đông",""),IF(OR(L118=phu!$I$85,L118=phu!$I$86,L118=phu!$I$87,L118=phu!$I$88),"Cam Thịnh Tây",""),IF(OR(L118=phu!$I$89,L118=phu!$I$90),"Cam Lập",""),IF(OR(L118=phu!$I$91,L118=phu!$I$92,L118=phu!$I$93),"Cam Bình",""),IF(OR(L118=phu!$I$94,L118=phu!$I$95,L118=phu!$I$96,L118=phu!$I$97,L118=phu!$I$98,L118=phu!$I$99,L118=phu!$I$100),"Huyện khác",""),IF(OR(L118=phu!$I$101,L118=phu!$I$102),"Tỉnh khác",""))</f>
        <v/>
      </c>
      <c r="N118" s="835" t="str">
        <f t="shared" si="8"/>
        <v/>
      </c>
      <c r="O118" s="20"/>
      <c r="P118" s="20"/>
      <c r="Q118" s="20"/>
      <c r="R118" s="20"/>
      <c r="S118" s="20"/>
      <c r="T118" s="21"/>
      <c r="U118" s="21"/>
      <c r="V118" s="21"/>
      <c r="W118" s="7" t="str">
        <f t="shared" si="6"/>
        <v/>
      </c>
      <c r="X118" s="506" t="str">
        <f t="shared" si="7"/>
        <v/>
      </c>
    </row>
    <row r="119" spans="1:24" x14ac:dyDescent="0.25">
      <c r="A119" s="66" t="str">
        <f t="shared" si="9"/>
        <v/>
      </c>
      <c r="B119" s="23" t="str">
        <f t="shared" si="5"/>
        <v/>
      </c>
      <c r="C119" s="15"/>
      <c r="D119" s="16"/>
      <c r="E119" s="17"/>
      <c r="F119" s="18"/>
      <c r="G119" s="18"/>
      <c r="H119" s="19"/>
      <c r="I119" s="15"/>
      <c r="J119" s="20"/>
      <c r="K119" s="15"/>
      <c r="L119" s="15"/>
      <c r="M119" s="531" t="str">
        <f>CONCATENATE(IF(OR(L119=phu!$I$1,L119=phu!$I$2,L119=phu!$I$3),"Cam Thành Nam",""),IF(OR(L119=phu!$I$4,L119=phu!$I$5,L119=phu!$I$6,L119=phu!$I$7,L119=phu!$I$8,L119=phu!$I$9,L119=phu!$I$10,L119=phu!$I$11,L119=phu!$I$12,L119=phu!$I$13,L119=phu!$I$14),"Cam Nghĩa",""),IF(OR(L119=phu!$I$15,L119=phu!$I$16,L119=phu!$I$17,L119=phu!$I$18,L119=phu!$I$19,L119=phu!$I$20,L119=phu!$I$21),"Cam Phúc Bắc",""),IF(OR(L119=phu!$I$22,L119=phu!$I$23,L119=phu!$I$24,L119=phu!$I$25),"Cam Phúc Nam",""),IF(OR(L119=phu!$I$26,L119=phu!$I$27,L119=phu!$I$28,L119=phu!$I$29,L119=phu!$I$30,L119=phu!$I$31),"Cam Phú",""),IF(OR(L119=phu!$I$32,L119=phu!$I$33,L119=phu!$I$34,L119=phu!$I$35,L119=phu!$I$36,L119=phu!$I$37),"Cam Lộc",""),IF(OR(L119=phu!$I$38,L119=phu!$I$39,L119=phu!$I$40,L119=phu!$I$41,L119=phu!$I$42,L119=phu!$I$43,L119=phu!$I$44),"Cam Thuận",""),IF(OR(L119=phu!$I$45,L119=phu!$I$46,L119=phu!$I$47,L119=phu!$I$48,L119=phu!$I$49,L119=phu!$I$50,L119=phu!$I$51,L119=phu!$I$52,L119=phu!$I$53),"Cam Linh",""),IF(OR(L119=phu!$I$54,L119=phu!$I$55,L119=phu!$I$56,L119=phu!$I$57,L119=phu!$I$58,L119=phu!$I$59,L119=phu!$I$60,L119=phu!$I$61,L119=phu!$I$62),"Cam Lợi",""),IF(OR(L119=phu!$I$63,L119=phu!$I$64,L119=phu!$I$65,L119=phu!$I$66,L119=phu!$I$67,L119=phu!$I$68,L119=phu!$I$69,L119=phu!$I$70,L119=phu!$I$71),"Ba Ngòi",""),IF(OR(L119=phu!$I$72,L119=phu!$I$73,L119=phu!$I$74,L119=phu!$I$75,L119=phu!$I$76,L119=phu!$I$77,L119=phu!$I$78),"Cam Phước Đông",""),IF(OR(L119=phu!$I$79,L119=phu!$I$80,L119=phu!$I$81,L119=phu!$I$82,L119=phu!$I$83,L119=phu!$I$84),"Cam Thịnh Đông",""),IF(OR(L119=phu!$I$85,L119=phu!$I$86,L119=phu!$I$87,L119=phu!$I$88),"Cam Thịnh Tây",""),IF(OR(L119=phu!$I$89,L119=phu!$I$90),"Cam Lập",""),IF(OR(L119=phu!$I$91,L119=phu!$I$92,L119=phu!$I$93),"Cam Bình",""),IF(OR(L119=phu!$I$94,L119=phu!$I$95,L119=phu!$I$96,L119=phu!$I$97,L119=phu!$I$98,L119=phu!$I$99,L119=phu!$I$100),"Huyện khác",""),IF(OR(L119=phu!$I$101,L119=phu!$I$102),"Tỉnh khác",""))</f>
        <v/>
      </c>
      <c r="N119" s="835" t="str">
        <f t="shared" si="8"/>
        <v/>
      </c>
      <c r="O119" s="20"/>
      <c r="P119" s="20"/>
      <c r="Q119" s="20"/>
      <c r="R119" s="20"/>
      <c r="S119" s="20"/>
      <c r="T119" s="21"/>
      <c r="U119" s="21"/>
      <c r="V119" s="21"/>
      <c r="W119" s="7" t="str">
        <f t="shared" si="6"/>
        <v/>
      </c>
      <c r="X119" s="506" t="str">
        <f t="shared" si="7"/>
        <v/>
      </c>
    </row>
    <row r="120" spans="1:24" x14ac:dyDescent="0.25">
      <c r="A120" s="66" t="str">
        <f t="shared" si="9"/>
        <v/>
      </c>
      <c r="B120" s="23" t="str">
        <f t="shared" si="5"/>
        <v/>
      </c>
      <c r="C120" s="15"/>
      <c r="D120" s="16"/>
      <c r="E120" s="17"/>
      <c r="F120" s="18"/>
      <c r="G120" s="18"/>
      <c r="H120" s="19"/>
      <c r="I120" s="15"/>
      <c r="J120" s="20"/>
      <c r="K120" s="15"/>
      <c r="L120" s="15"/>
      <c r="M120" s="531" t="str">
        <f>CONCATENATE(IF(OR(L120=phu!$I$1,L120=phu!$I$2,L120=phu!$I$3),"Cam Thành Nam",""),IF(OR(L120=phu!$I$4,L120=phu!$I$5,L120=phu!$I$6,L120=phu!$I$7,L120=phu!$I$8,L120=phu!$I$9,L120=phu!$I$10,L120=phu!$I$11,L120=phu!$I$12,L120=phu!$I$13,L120=phu!$I$14),"Cam Nghĩa",""),IF(OR(L120=phu!$I$15,L120=phu!$I$16,L120=phu!$I$17,L120=phu!$I$18,L120=phu!$I$19,L120=phu!$I$20,L120=phu!$I$21),"Cam Phúc Bắc",""),IF(OR(L120=phu!$I$22,L120=phu!$I$23,L120=phu!$I$24,L120=phu!$I$25),"Cam Phúc Nam",""),IF(OR(L120=phu!$I$26,L120=phu!$I$27,L120=phu!$I$28,L120=phu!$I$29,L120=phu!$I$30,L120=phu!$I$31),"Cam Phú",""),IF(OR(L120=phu!$I$32,L120=phu!$I$33,L120=phu!$I$34,L120=phu!$I$35,L120=phu!$I$36,L120=phu!$I$37),"Cam Lộc",""),IF(OR(L120=phu!$I$38,L120=phu!$I$39,L120=phu!$I$40,L120=phu!$I$41,L120=phu!$I$42,L120=phu!$I$43,L120=phu!$I$44),"Cam Thuận",""),IF(OR(L120=phu!$I$45,L120=phu!$I$46,L120=phu!$I$47,L120=phu!$I$48,L120=phu!$I$49,L120=phu!$I$50,L120=phu!$I$51,L120=phu!$I$52,L120=phu!$I$53),"Cam Linh",""),IF(OR(L120=phu!$I$54,L120=phu!$I$55,L120=phu!$I$56,L120=phu!$I$57,L120=phu!$I$58,L120=phu!$I$59,L120=phu!$I$60,L120=phu!$I$61,L120=phu!$I$62),"Cam Lợi",""),IF(OR(L120=phu!$I$63,L120=phu!$I$64,L120=phu!$I$65,L120=phu!$I$66,L120=phu!$I$67,L120=phu!$I$68,L120=phu!$I$69,L120=phu!$I$70,L120=phu!$I$71),"Ba Ngòi",""),IF(OR(L120=phu!$I$72,L120=phu!$I$73,L120=phu!$I$74,L120=phu!$I$75,L120=phu!$I$76,L120=phu!$I$77,L120=phu!$I$78),"Cam Phước Đông",""),IF(OR(L120=phu!$I$79,L120=phu!$I$80,L120=phu!$I$81,L120=phu!$I$82,L120=phu!$I$83,L120=phu!$I$84),"Cam Thịnh Đông",""),IF(OR(L120=phu!$I$85,L120=phu!$I$86,L120=phu!$I$87,L120=phu!$I$88),"Cam Thịnh Tây",""),IF(OR(L120=phu!$I$89,L120=phu!$I$90),"Cam Lập",""),IF(OR(L120=phu!$I$91,L120=phu!$I$92,L120=phu!$I$93),"Cam Bình",""),IF(OR(L120=phu!$I$94,L120=phu!$I$95,L120=phu!$I$96,L120=phu!$I$97,L120=phu!$I$98,L120=phu!$I$99,L120=phu!$I$100),"Huyện khác",""),IF(OR(L120=phu!$I$101,L120=phu!$I$102),"Tỉnh khác",""))</f>
        <v/>
      </c>
      <c r="N120" s="835" t="str">
        <f t="shared" si="8"/>
        <v/>
      </c>
      <c r="O120" s="20"/>
      <c r="P120" s="20"/>
      <c r="Q120" s="20"/>
      <c r="R120" s="20"/>
      <c r="S120" s="20"/>
      <c r="T120" s="21"/>
      <c r="U120" s="21"/>
      <c r="V120" s="21"/>
      <c r="W120" s="7" t="str">
        <f t="shared" si="6"/>
        <v/>
      </c>
      <c r="X120" s="506" t="str">
        <f t="shared" si="7"/>
        <v/>
      </c>
    </row>
    <row r="121" spans="1:24" x14ac:dyDescent="0.25">
      <c r="A121" s="66" t="str">
        <f t="shared" si="9"/>
        <v/>
      </c>
      <c r="B121" s="23" t="str">
        <f t="shared" si="5"/>
        <v/>
      </c>
      <c r="C121" s="15"/>
      <c r="D121" s="16"/>
      <c r="E121" s="17"/>
      <c r="F121" s="18"/>
      <c r="G121" s="18"/>
      <c r="H121" s="19"/>
      <c r="I121" s="25"/>
      <c r="J121" s="20"/>
      <c r="K121" s="15"/>
      <c r="L121" s="15"/>
      <c r="M121" s="531" t="str">
        <f>CONCATENATE(IF(OR(L121=phu!$I$1,L121=phu!$I$2,L121=phu!$I$3),"Cam Thành Nam",""),IF(OR(L121=phu!$I$4,L121=phu!$I$5,L121=phu!$I$6,L121=phu!$I$7,L121=phu!$I$8,L121=phu!$I$9,L121=phu!$I$10,L121=phu!$I$11,L121=phu!$I$12,L121=phu!$I$13,L121=phu!$I$14),"Cam Nghĩa",""),IF(OR(L121=phu!$I$15,L121=phu!$I$16,L121=phu!$I$17,L121=phu!$I$18,L121=phu!$I$19,L121=phu!$I$20,L121=phu!$I$21),"Cam Phúc Bắc",""),IF(OR(L121=phu!$I$22,L121=phu!$I$23,L121=phu!$I$24,L121=phu!$I$25),"Cam Phúc Nam",""),IF(OR(L121=phu!$I$26,L121=phu!$I$27,L121=phu!$I$28,L121=phu!$I$29,L121=phu!$I$30,L121=phu!$I$31),"Cam Phú",""),IF(OR(L121=phu!$I$32,L121=phu!$I$33,L121=phu!$I$34,L121=phu!$I$35,L121=phu!$I$36,L121=phu!$I$37),"Cam Lộc",""),IF(OR(L121=phu!$I$38,L121=phu!$I$39,L121=phu!$I$40,L121=phu!$I$41,L121=phu!$I$42,L121=phu!$I$43,L121=phu!$I$44),"Cam Thuận",""),IF(OR(L121=phu!$I$45,L121=phu!$I$46,L121=phu!$I$47,L121=phu!$I$48,L121=phu!$I$49,L121=phu!$I$50,L121=phu!$I$51,L121=phu!$I$52,L121=phu!$I$53),"Cam Linh",""),IF(OR(L121=phu!$I$54,L121=phu!$I$55,L121=phu!$I$56,L121=phu!$I$57,L121=phu!$I$58,L121=phu!$I$59,L121=phu!$I$60,L121=phu!$I$61,L121=phu!$I$62),"Cam Lợi",""),IF(OR(L121=phu!$I$63,L121=phu!$I$64,L121=phu!$I$65,L121=phu!$I$66,L121=phu!$I$67,L121=phu!$I$68,L121=phu!$I$69,L121=phu!$I$70,L121=phu!$I$71),"Ba Ngòi",""),IF(OR(L121=phu!$I$72,L121=phu!$I$73,L121=phu!$I$74,L121=phu!$I$75,L121=phu!$I$76,L121=phu!$I$77,L121=phu!$I$78),"Cam Phước Đông",""),IF(OR(L121=phu!$I$79,L121=phu!$I$80,L121=phu!$I$81,L121=phu!$I$82,L121=phu!$I$83,L121=phu!$I$84),"Cam Thịnh Đông",""),IF(OR(L121=phu!$I$85,L121=phu!$I$86,L121=phu!$I$87,L121=phu!$I$88),"Cam Thịnh Tây",""),IF(OR(L121=phu!$I$89,L121=phu!$I$90),"Cam Lập",""),IF(OR(L121=phu!$I$91,L121=phu!$I$92,L121=phu!$I$93),"Cam Bình",""),IF(OR(L121=phu!$I$94,L121=phu!$I$95,L121=phu!$I$96,L121=phu!$I$97,L121=phu!$I$98,L121=phu!$I$99,L121=phu!$I$100),"Huyện khác",""),IF(OR(L121=phu!$I$101,L121=phu!$I$102),"Tỉnh khác",""))</f>
        <v/>
      </c>
      <c r="N121" s="835" t="str">
        <f t="shared" si="8"/>
        <v/>
      </c>
      <c r="O121" s="20"/>
      <c r="P121" s="20"/>
      <c r="Q121" s="20"/>
      <c r="R121" s="20"/>
      <c r="S121" s="20"/>
      <c r="T121" s="21"/>
      <c r="U121" s="21"/>
      <c r="V121" s="21"/>
      <c r="W121" s="7" t="str">
        <f t="shared" si="6"/>
        <v/>
      </c>
      <c r="X121" s="506" t="str">
        <f t="shared" si="7"/>
        <v/>
      </c>
    </row>
    <row r="122" spans="1:24" x14ac:dyDescent="0.25">
      <c r="A122" s="66" t="str">
        <f t="shared" si="9"/>
        <v/>
      </c>
      <c r="B122" s="23" t="str">
        <f t="shared" si="5"/>
        <v/>
      </c>
      <c r="C122" s="15"/>
      <c r="D122" s="16"/>
      <c r="E122" s="17"/>
      <c r="F122" s="18"/>
      <c r="G122" s="18"/>
      <c r="H122" s="19"/>
      <c r="I122" s="15"/>
      <c r="J122" s="20"/>
      <c r="K122" s="15"/>
      <c r="L122" s="15"/>
      <c r="M122" s="531" t="str">
        <f>CONCATENATE(IF(OR(L122=phu!$I$1,L122=phu!$I$2,L122=phu!$I$3),"Cam Thành Nam",""),IF(OR(L122=phu!$I$4,L122=phu!$I$5,L122=phu!$I$6,L122=phu!$I$7,L122=phu!$I$8,L122=phu!$I$9,L122=phu!$I$10,L122=phu!$I$11,L122=phu!$I$12,L122=phu!$I$13,L122=phu!$I$14),"Cam Nghĩa",""),IF(OR(L122=phu!$I$15,L122=phu!$I$16,L122=phu!$I$17,L122=phu!$I$18,L122=phu!$I$19,L122=phu!$I$20,L122=phu!$I$21),"Cam Phúc Bắc",""),IF(OR(L122=phu!$I$22,L122=phu!$I$23,L122=phu!$I$24,L122=phu!$I$25),"Cam Phúc Nam",""),IF(OR(L122=phu!$I$26,L122=phu!$I$27,L122=phu!$I$28,L122=phu!$I$29,L122=phu!$I$30,L122=phu!$I$31),"Cam Phú",""),IF(OR(L122=phu!$I$32,L122=phu!$I$33,L122=phu!$I$34,L122=phu!$I$35,L122=phu!$I$36,L122=phu!$I$37),"Cam Lộc",""),IF(OR(L122=phu!$I$38,L122=phu!$I$39,L122=phu!$I$40,L122=phu!$I$41,L122=phu!$I$42,L122=phu!$I$43,L122=phu!$I$44),"Cam Thuận",""),IF(OR(L122=phu!$I$45,L122=phu!$I$46,L122=phu!$I$47,L122=phu!$I$48,L122=phu!$I$49,L122=phu!$I$50,L122=phu!$I$51,L122=phu!$I$52,L122=phu!$I$53),"Cam Linh",""),IF(OR(L122=phu!$I$54,L122=phu!$I$55,L122=phu!$I$56,L122=phu!$I$57,L122=phu!$I$58,L122=phu!$I$59,L122=phu!$I$60,L122=phu!$I$61,L122=phu!$I$62),"Cam Lợi",""),IF(OR(L122=phu!$I$63,L122=phu!$I$64,L122=phu!$I$65,L122=phu!$I$66,L122=phu!$I$67,L122=phu!$I$68,L122=phu!$I$69,L122=phu!$I$70,L122=phu!$I$71),"Ba Ngòi",""),IF(OR(L122=phu!$I$72,L122=phu!$I$73,L122=phu!$I$74,L122=phu!$I$75,L122=phu!$I$76,L122=phu!$I$77,L122=phu!$I$78),"Cam Phước Đông",""),IF(OR(L122=phu!$I$79,L122=phu!$I$80,L122=phu!$I$81,L122=phu!$I$82,L122=phu!$I$83,L122=phu!$I$84),"Cam Thịnh Đông",""),IF(OR(L122=phu!$I$85,L122=phu!$I$86,L122=phu!$I$87,L122=phu!$I$88),"Cam Thịnh Tây",""),IF(OR(L122=phu!$I$89,L122=phu!$I$90),"Cam Lập",""),IF(OR(L122=phu!$I$91,L122=phu!$I$92,L122=phu!$I$93),"Cam Bình",""),IF(OR(L122=phu!$I$94,L122=phu!$I$95,L122=phu!$I$96,L122=phu!$I$97,L122=phu!$I$98,L122=phu!$I$99,L122=phu!$I$100),"Huyện khác",""),IF(OR(L122=phu!$I$101,L122=phu!$I$102),"Tỉnh khác",""))</f>
        <v/>
      </c>
      <c r="N122" s="835" t="str">
        <f t="shared" si="8"/>
        <v/>
      </c>
      <c r="O122" s="20"/>
      <c r="P122" s="20"/>
      <c r="Q122" s="20"/>
      <c r="R122" s="20"/>
      <c r="S122" s="20"/>
      <c r="T122" s="21"/>
      <c r="U122" s="21"/>
      <c r="V122" s="21"/>
      <c r="W122" s="7" t="str">
        <f t="shared" si="6"/>
        <v/>
      </c>
      <c r="X122" s="506" t="str">
        <f t="shared" si="7"/>
        <v/>
      </c>
    </row>
    <row r="123" spans="1:24" x14ac:dyDescent="0.25">
      <c r="A123" s="66" t="str">
        <f t="shared" si="9"/>
        <v/>
      </c>
      <c r="B123" s="23" t="str">
        <f t="shared" si="5"/>
        <v/>
      </c>
      <c r="C123" s="15"/>
      <c r="D123" s="16"/>
      <c r="E123" s="17"/>
      <c r="F123" s="18"/>
      <c r="G123" s="18"/>
      <c r="H123" s="19"/>
      <c r="I123" s="15"/>
      <c r="J123" s="20"/>
      <c r="K123" s="15"/>
      <c r="L123" s="15"/>
      <c r="M123" s="531" t="str">
        <f>CONCATENATE(IF(OR(L123=phu!$I$1,L123=phu!$I$2,L123=phu!$I$3),"Cam Thành Nam",""),IF(OR(L123=phu!$I$4,L123=phu!$I$5,L123=phu!$I$6,L123=phu!$I$7,L123=phu!$I$8,L123=phu!$I$9,L123=phu!$I$10,L123=phu!$I$11,L123=phu!$I$12,L123=phu!$I$13,L123=phu!$I$14),"Cam Nghĩa",""),IF(OR(L123=phu!$I$15,L123=phu!$I$16,L123=phu!$I$17,L123=phu!$I$18,L123=phu!$I$19,L123=phu!$I$20,L123=phu!$I$21),"Cam Phúc Bắc",""),IF(OR(L123=phu!$I$22,L123=phu!$I$23,L123=phu!$I$24,L123=phu!$I$25),"Cam Phúc Nam",""),IF(OR(L123=phu!$I$26,L123=phu!$I$27,L123=phu!$I$28,L123=phu!$I$29,L123=phu!$I$30,L123=phu!$I$31),"Cam Phú",""),IF(OR(L123=phu!$I$32,L123=phu!$I$33,L123=phu!$I$34,L123=phu!$I$35,L123=phu!$I$36,L123=phu!$I$37),"Cam Lộc",""),IF(OR(L123=phu!$I$38,L123=phu!$I$39,L123=phu!$I$40,L123=phu!$I$41,L123=phu!$I$42,L123=phu!$I$43,L123=phu!$I$44),"Cam Thuận",""),IF(OR(L123=phu!$I$45,L123=phu!$I$46,L123=phu!$I$47,L123=phu!$I$48,L123=phu!$I$49,L123=phu!$I$50,L123=phu!$I$51,L123=phu!$I$52,L123=phu!$I$53),"Cam Linh",""),IF(OR(L123=phu!$I$54,L123=phu!$I$55,L123=phu!$I$56,L123=phu!$I$57,L123=phu!$I$58,L123=phu!$I$59,L123=phu!$I$60,L123=phu!$I$61,L123=phu!$I$62),"Cam Lợi",""),IF(OR(L123=phu!$I$63,L123=phu!$I$64,L123=phu!$I$65,L123=phu!$I$66,L123=phu!$I$67,L123=phu!$I$68,L123=phu!$I$69,L123=phu!$I$70,L123=phu!$I$71),"Ba Ngòi",""),IF(OR(L123=phu!$I$72,L123=phu!$I$73,L123=phu!$I$74,L123=phu!$I$75,L123=phu!$I$76,L123=phu!$I$77,L123=phu!$I$78),"Cam Phước Đông",""),IF(OR(L123=phu!$I$79,L123=phu!$I$80,L123=phu!$I$81,L123=phu!$I$82,L123=phu!$I$83,L123=phu!$I$84),"Cam Thịnh Đông",""),IF(OR(L123=phu!$I$85,L123=phu!$I$86,L123=phu!$I$87,L123=phu!$I$88),"Cam Thịnh Tây",""),IF(OR(L123=phu!$I$89,L123=phu!$I$90),"Cam Lập",""),IF(OR(L123=phu!$I$91,L123=phu!$I$92,L123=phu!$I$93),"Cam Bình",""),IF(OR(L123=phu!$I$94,L123=phu!$I$95,L123=phu!$I$96,L123=phu!$I$97,L123=phu!$I$98,L123=phu!$I$99,L123=phu!$I$100),"Huyện khác",""),IF(OR(L123=phu!$I$101,L123=phu!$I$102),"Tỉnh khác",""))</f>
        <v/>
      </c>
      <c r="N123" s="835" t="str">
        <f t="shared" si="8"/>
        <v/>
      </c>
      <c r="O123" s="20"/>
      <c r="P123" s="20"/>
      <c r="Q123" s="20"/>
      <c r="R123" s="20"/>
      <c r="S123" s="20"/>
      <c r="T123" s="21"/>
      <c r="U123" s="21"/>
      <c r="V123" s="21"/>
      <c r="W123" s="7" t="str">
        <f t="shared" si="6"/>
        <v/>
      </c>
      <c r="X123" s="506" t="str">
        <f t="shared" si="7"/>
        <v/>
      </c>
    </row>
    <row r="124" spans="1:24" x14ac:dyDescent="0.25">
      <c r="A124" s="66" t="str">
        <f t="shared" si="9"/>
        <v/>
      </c>
      <c r="B124" s="23" t="str">
        <f t="shared" si="5"/>
        <v/>
      </c>
      <c r="C124" s="15"/>
      <c r="D124" s="16"/>
      <c r="E124" s="17"/>
      <c r="F124" s="18"/>
      <c r="G124" s="18"/>
      <c r="H124" s="19"/>
      <c r="I124" s="15"/>
      <c r="J124" s="20"/>
      <c r="K124" s="15"/>
      <c r="L124" s="15"/>
      <c r="M124" s="531" t="str">
        <f>CONCATENATE(IF(OR(L124=phu!$I$1,L124=phu!$I$2,L124=phu!$I$3),"Cam Thành Nam",""),IF(OR(L124=phu!$I$4,L124=phu!$I$5,L124=phu!$I$6,L124=phu!$I$7,L124=phu!$I$8,L124=phu!$I$9,L124=phu!$I$10,L124=phu!$I$11,L124=phu!$I$12,L124=phu!$I$13,L124=phu!$I$14),"Cam Nghĩa",""),IF(OR(L124=phu!$I$15,L124=phu!$I$16,L124=phu!$I$17,L124=phu!$I$18,L124=phu!$I$19,L124=phu!$I$20,L124=phu!$I$21),"Cam Phúc Bắc",""),IF(OR(L124=phu!$I$22,L124=phu!$I$23,L124=phu!$I$24,L124=phu!$I$25),"Cam Phúc Nam",""),IF(OR(L124=phu!$I$26,L124=phu!$I$27,L124=phu!$I$28,L124=phu!$I$29,L124=phu!$I$30,L124=phu!$I$31),"Cam Phú",""),IF(OR(L124=phu!$I$32,L124=phu!$I$33,L124=phu!$I$34,L124=phu!$I$35,L124=phu!$I$36,L124=phu!$I$37),"Cam Lộc",""),IF(OR(L124=phu!$I$38,L124=phu!$I$39,L124=phu!$I$40,L124=phu!$I$41,L124=phu!$I$42,L124=phu!$I$43,L124=phu!$I$44),"Cam Thuận",""),IF(OR(L124=phu!$I$45,L124=phu!$I$46,L124=phu!$I$47,L124=phu!$I$48,L124=phu!$I$49,L124=phu!$I$50,L124=phu!$I$51,L124=phu!$I$52,L124=phu!$I$53),"Cam Linh",""),IF(OR(L124=phu!$I$54,L124=phu!$I$55,L124=phu!$I$56,L124=phu!$I$57,L124=phu!$I$58,L124=phu!$I$59,L124=phu!$I$60,L124=phu!$I$61,L124=phu!$I$62),"Cam Lợi",""),IF(OR(L124=phu!$I$63,L124=phu!$I$64,L124=phu!$I$65,L124=phu!$I$66,L124=phu!$I$67,L124=phu!$I$68,L124=phu!$I$69,L124=phu!$I$70,L124=phu!$I$71),"Ba Ngòi",""),IF(OR(L124=phu!$I$72,L124=phu!$I$73,L124=phu!$I$74,L124=phu!$I$75,L124=phu!$I$76,L124=phu!$I$77,L124=phu!$I$78),"Cam Phước Đông",""),IF(OR(L124=phu!$I$79,L124=phu!$I$80,L124=phu!$I$81,L124=phu!$I$82,L124=phu!$I$83,L124=phu!$I$84),"Cam Thịnh Đông",""),IF(OR(L124=phu!$I$85,L124=phu!$I$86,L124=phu!$I$87,L124=phu!$I$88),"Cam Thịnh Tây",""),IF(OR(L124=phu!$I$89,L124=phu!$I$90),"Cam Lập",""),IF(OR(L124=phu!$I$91,L124=phu!$I$92,L124=phu!$I$93),"Cam Bình",""),IF(OR(L124=phu!$I$94,L124=phu!$I$95,L124=phu!$I$96,L124=phu!$I$97,L124=phu!$I$98,L124=phu!$I$99,L124=phu!$I$100),"Huyện khác",""),IF(OR(L124=phu!$I$101,L124=phu!$I$102),"Tỉnh khác",""))</f>
        <v/>
      </c>
      <c r="N124" s="835" t="str">
        <f t="shared" si="8"/>
        <v/>
      </c>
      <c r="O124" s="20"/>
      <c r="P124" s="20"/>
      <c r="Q124" s="20"/>
      <c r="R124" s="20"/>
      <c r="S124" s="20"/>
      <c r="T124" s="21"/>
      <c r="U124" s="21"/>
      <c r="V124" s="21"/>
      <c r="W124" s="7" t="str">
        <f t="shared" si="6"/>
        <v/>
      </c>
      <c r="X124" s="506" t="str">
        <f t="shared" si="7"/>
        <v/>
      </c>
    </row>
    <row r="125" spans="1:24" x14ac:dyDescent="0.25">
      <c r="A125" s="66" t="str">
        <f t="shared" si="9"/>
        <v/>
      </c>
      <c r="B125" s="23" t="str">
        <f t="shared" si="5"/>
        <v/>
      </c>
      <c r="C125" s="15"/>
      <c r="D125" s="16"/>
      <c r="E125" s="17"/>
      <c r="F125" s="18"/>
      <c r="G125" s="18"/>
      <c r="H125" s="19"/>
      <c r="I125" s="27"/>
      <c r="J125" s="20"/>
      <c r="K125" s="15"/>
      <c r="L125" s="15"/>
      <c r="M125" s="531" t="str">
        <f>CONCATENATE(IF(OR(L125=phu!$I$1,L125=phu!$I$2,L125=phu!$I$3),"Cam Thành Nam",""),IF(OR(L125=phu!$I$4,L125=phu!$I$5,L125=phu!$I$6,L125=phu!$I$7,L125=phu!$I$8,L125=phu!$I$9,L125=phu!$I$10,L125=phu!$I$11,L125=phu!$I$12,L125=phu!$I$13,L125=phu!$I$14),"Cam Nghĩa",""),IF(OR(L125=phu!$I$15,L125=phu!$I$16,L125=phu!$I$17,L125=phu!$I$18,L125=phu!$I$19,L125=phu!$I$20,L125=phu!$I$21),"Cam Phúc Bắc",""),IF(OR(L125=phu!$I$22,L125=phu!$I$23,L125=phu!$I$24,L125=phu!$I$25),"Cam Phúc Nam",""),IF(OR(L125=phu!$I$26,L125=phu!$I$27,L125=phu!$I$28,L125=phu!$I$29,L125=phu!$I$30,L125=phu!$I$31),"Cam Phú",""),IF(OR(L125=phu!$I$32,L125=phu!$I$33,L125=phu!$I$34,L125=phu!$I$35,L125=phu!$I$36,L125=phu!$I$37),"Cam Lộc",""),IF(OR(L125=phu!$I$38,L125=phu!$I$39,L125=phu!$I$40,L125=phu!$I$41,L125=phu!$I$42,L125=phu!$I$43,L125=phu!$I$44),"Cam Thuận",""),IF(OR(L125=phu!$I$45,L125=phu!$I$46,L125=phu!$I$47,L125=phu!$I$48,L125=phu!$I$49,L125=phu!$I$50,L125=phu!$I$51,L125=phu!$I$52,L125=phu!$I$53),"Cam Linh",""),IF(OR(L125=phu!$I$54,L125=phu!$I$55,L125=phu!$I$56,L125=phu!$I$57,L125=phu!$I$58,L125=phu!$I$59,L125=phu!$I$60,L125=phu!$I$61,L125=phu!$I$62),"Cam Lợi",""),IF(OR(L125=phu!$I$63,L125=phu!$I$64,L125=phu!$I$65,L125=phu!$I$66,L125=phu!$I$67,L125=phu!$I$68,L125=phu!$I$69,L125=phu!$I$70,L125=phu!$I$71),"Ba Ngòi",""),IF(OR(L125=phu!$I$72,L125=phu!$I$73,L125=phu!$I$74,L125=phu!$I$75,L125=phu!$I$76,L125=phu!$I$77,L125=phu!$I$78),"Cam Phước Đông",""),IF(OR(L125=phu!$I$79,L125=phu!$I$80,L125=phu!$I$81,L125=phu!$I$82,L125=phu!$I$83,L125=phu!$I$84),"Cam Thịnh Đông",""),IF(OR(L125=phu!$I$85,L125=phu!$I$86,L125=phu!$I$87,L125=phu!$I$88),"Cam Thịnh Tây",""),IF(OR(L125=phu!$I$89,L125=phu!$I$90),"Cam Lập",""),IF(OR(L125=phu!$I$91,L125=phu!$I$92,L125=phu!$I$93),"Cam Bình",""),IF(OR(L125=phu!$I$94,L125=phu!$I$95,L125=phu!$I$96,L125=phu!$I$97,L125=phu!$I$98,L125=phu!$I$99,L125=phu!$I$100),"Huyện khác",""),IF(OR(L125=phu!$I$101,L125=phu!$I$102),"Tỉnh khác",""))</f>
        <v/>
      </c>
      <c r="N125" s="835" t="str">
        <f t="shared" si="8"/>
        <v/>
      </c>
      <c r="O125" s="20"/>
      <c r="P125" s="20"/>
      <c r="Q125" s="20"/>
      <c r="R125" s="20"/>
      <c r="S125" s="20"/>
      <c r="T125" s="21"/>
      <c r="U125" s="21"/>
      <c r="V125" s="21"/>
      <c r="W125" s="7" t="str">
        <f t="shared" si="6"/>
        <v/>
      </c>
      <c r="X125" s="506" t="str">
        <f t="shared" si="7"/>
        <v/>
      </c>
    </row>
    <row r="126" spans="1:24" x14ac:dyDescent="0.25">
      <c r="A126" s="66" t="str">
        <f t="shared" si="9"/>
        <v/>
      </c>
      <c r="B126" s="23" t="str">
        <f t="shared" si="5"/>
        <v/>
      </c>
      <c r="C126" s="15"/>
      <c r="D126" s="16"/>
      <c r="E126" s="17"/>
      <c r="F126" s="18"/>
      <c r="G126" s="18"/>
      <c r="H126" s="19"/>
      <c r="I126" s="25"/>
      <c r="J126" s="20"/>
      <c r="K126" s="15"/>
      <c r="L126" s="15"/>
      <c r="M126" s="531" t="str">
        <f>CONCATENATE(IF(OR(L126=phu!$I$1,L126=phu!$I$2,L126=phu!$I$3),"Cam Thành Nam",""),IF(OR(L126=phu!$I$4,L126=phu!$I$5,L126=phu!$I$6,L126=phu!$I$7,L126=phu!$I$8,L126=phu!$I$9,L126=phu!$I$10,L126=phu!$I$11,L126=phu!$I$12,L126=phu!$I$13,L126=phu!$I$14),"Cam Nghĩa",""),IF(OR(L126=phu!$I$15,L126=phu!$I$16,L126=phu!$I$17,L126=phu!$I$18,L126=phu!$I$19,L126=phu!$I$20,L126=phu!$I$21),"Cam Phúc Bắc",""),IF(OR(L126=phu!$I$22,L126=phu!$I$23,L126=phu!$I$24,L126=phu!$I$25),"Cam Phúc Nam",""),IF(OR(L126=phu!$I$26,L126=phu!$I$27,L126=phu!$I$28,L126=phu!$I$29,L126=phu!$I$30,L126=phu!$I$31),"Cam Phú",""),IF(OR(L126=phu!$I$32,L126=phu!$I$33,L126=phu!$I$34,L126=phu!$I$35,L126=phu!$I$36,L126=phu!$I$37),"Cam Lộc",""),IF(OR(L126=phu!$I$38,L126=phu!$I$39,L126=phu!$I$40,L126=phu!$I$41,L126=phu!$I$42,L126=phu!$I$43,L126=phu!$I$44),"Cam Thuận",""),IF(OR(L126=phu!$I$45,L126=phu!$I$46,L126=phu!$I$47,L126=phu!$I$48,L126=phu!$I$49,L126=phu!$I$50,L126=phu!$I$51,L126=phu!$I$52,L126=phu!$I$53),"Cam Linh",""),IF(OR(L126=phu!$I$54,L126=phu!$I$55,L126=phu!$I$56,L126=phu!$I$57,L126=phu!$I$58,L126=phu!$I$59,L126=phu!$I$60,L126=phu!$I$61,L126=phu!$I$62),"Cam Lợi",""),IF(OR(L126=phu!$I$63,L126=phu!$I$64,L126=phu!$I$65,L126=phu!$I$66,L126=phu!$I$67,L126=phu!$I$68,L126=phu!$I$69,L126=phu!$I$70,L126=phu!$I$71),"Ba Ngòi",""),IF(OR(L126=phu!$I$72,L126=phu!$I$73,L126=phu!$I$74,L126=phu!$I$75,L126=phu!$I$76,L126=phu!$I$77,L126=phu!$I$78),"Cam Phước Đông",""),IF(OR(L126=phu!$I$79,L126=phu!$I$80,L126=phu!$I$81,L126=phu!$I$82,L126=phu!$I$83,L126=phu!$I$84),"Cam Thịnh Đông",""),IF(OR(L126=phu!$I$85,L126=phu!$I$86,L126=phu!$I$87,L126=phu!$I$88),"Cam Thịnh Tây",""),IF(OR(L126=phu!$I$89,L126=phu!$I$90),"Cam Lập",""),IF(OR(L126=phu!$I$91,L126=phu!$I$92,L126=phu!$I$93),"Cam Bình",""),IF(OR(L126=phu!$I$94,L126=phu!$I$95,L126=phu!$I$96,L126=phu!$I$97,L126=phu!$I$98,L126=phu!$I$99,L126=phu!$I$100),"Huyện khác",""),IF(OR(L126=phu!$I$101,L126=phu!$I$102),"Tỉnh khác",""))</f>
        <v/>
      </c>
      <c r="N126" s="835" t="str">
        <f t="shared" si="8"/>
        <v/>
      </c>
      <c r="O126" s="20"/>
      <c r="P126" s="20"/>
      <c r="Q126" s="20"/>
      <c r="R126" s="20"/>
      <c r="S126" s="20"/>
      <c r="T126" s="21"/>
      <c r="U126" s="21"/>
      <c r="V126" s="21"/>
      <c r="W126" s="7" t="str">
        <f t="shared" si="6"/>
        <v/>
      </c>
      <c r="X126" s="506" t="str">
        <f t="shared" si="7"/>
        <v/>
      </c>
    </row>
    <row r="127" spans="1:24" x14ac:dyDescent="0.25">
      <c r="A127" s="66" t="str">
        <f t="shared" si="9"/>
        <v/>
      </c>
      <c r="B127" s="23" t="str">
        <f t="shared" si="5"/>
        <v/>
      </c>
      <c r="C127" s="15"/>
      <c r="D127" s="16"/>
      <c r="E127" s="17"/>
      <c r="F127" s="18"/>
      <c r="G127" s="18"/>
      <c r="H127" s="19"/>
      <c r="I127" s="15"/>
      <c r="J127" s="20"/>
      <c r="K127" s="15"/>
      <c r="L127" s="15"/>
      <c r="M127" s="531" t="str">
        <f>CONCATENATE(IF(OR(L127=phu!$I$1,L127=phu!$I$2,L127=phu!$I$3),"Cam Thành Nam",""),IF(OR(L127=phu!$I$4,L127=phu!$I$5,L127=phu!$I$6,L127=phu!$I$7,L127=phu!$I$8,L127=phu!$I$9,L127=phu!$I$10,L127=phu!$I$11,L127=phu!$I$12,L127=phu!$I$13,L127=phu!$I$14),"Cam Nghĩa",""),IF(OR(L127=phu!$I$15,L127=phu!$I$16,L127=phu!$I$17,L127=phu!$I$18,L127=phu!$I$19,L127=phu!$I$20,L127=phu!$I$21),"Cam Phúc Bắc",""),IF(OR(L127=phu!$I$22,L127=phu!$I$23,L127=phu!$I$24,L127=phu!$I$25),"Cam Phúc Nam",""),IF(OR(L127=phu!$I$26,L127=phu!$I$27,L127=phu!$I$28,L127=phu!$I$29,L127=phu!$I$30,L127=phu!$I$31),"Cam Phú",""),IF(OR(L127=phu!$I$32,L127=phu!$I$33,L127=phu!$I$34,L127=phu!$I$35,L127=phu!$I$36,L127=phu!$I$37),"Cam Lộc",""),IF(OR(L127=phu!$I$38,L127=phu!$I$39,L127=phu!$I$40,L127=phu!$I$41,L127=phu!$I$42,L127=phu!$I$43,L127=phu!$I$44),"Cam Thuận",""),IF(OR(L127=phu!$I$45,L127=phu!$I$46,L127=phu!$I$47,L127=phu!$I$48,L127=phu!$I$49,L127=phu!$I$50,L127=phu!$I$51,L127=phu!$I$52,L127=phu!$I$53),"Cam Linh",""),IF(OR(L127=phu!$I$54,L127=phu!$I$55,L127=phu!$I$56,L127=phu!$I$57,L127=phu!$I$58,L127=phu!$I$59,L127=phu!$I$60,L127=phu!$I$61,L127=phu!$I$62),"Cam Lợi",""),IF(OR(L127=phu!$I$63,L127=phu!$I$64,L127=phu!$I$65,L127=phu!$I$66,L127=phu!$I$67,L127=phu!$I$68,L127=phu!$I$69,L127=phu!$I$70,L127=phu!$I$71),"Ba Ngòi",""),IF(OR(L127=phu!$I$72,L127=phu!$I$73,L127=phu!$I$74,L127=phu!$I$75,L127=phu!$I$76,L127=phu!$I$77,L127=phu!$I$78),"Cam Phước Đông",""),IF(OR(L127=phu!$I$79,L127=phu!$I$80,L127=phu!$I$81,L127=phu!$I$82,L127=phu!$I$83,L127=phu!$I$84),"Cam Thịnh Đông",""),IF(OR(L127=phu!$I$85,L127=phu!$I$86,L127=phu!$I$87,L127=phu!$I$88),"Cam Thịnh Tây",""),IF(OR(L127=phu!$I$89,L127=phu!$I$90),"Cam Lập",""),IF(OR(L127=phu!$I$91,L127=phu!$I$92,L127=phu!$I$93),"Cam Bình",""),IF(OR(L127=phu!$I$94,L127=phu!$I$95,L127=phu!$I$96,L127=phu!$I$97,L127=phu!$I$98,L127=phu!$I$99,L127=phu!$I$100),"Huyện khác",""),IF(OR(L127=phu!$I$101,L127=phu!$I$102),"Tỉnh khác",""))</f>
        <v/>
      </c>
      <c r="N127" s="835" t="str">
        <f t="shared" si="8"/>
        <v/>
      </c>
      <c r="O127" s="20"/>
      <c r="P127" s="20"/>
      <c r="Q127" s="20"/>
      <c r="R127" s="20"/>
      <c r="S127" s="20"/>
      <c r="T127" s="21"/>
      <c r="U127" s="21"/>
      <c r="V127" s="21"/>
      <c r="W127" s="7" t="str">
        <f t="shared" si="6"/>
        <v/>
      </c>
      <c r="X127" s="506" t="str">
        <f t="shared" si="7"/>
        <v/>
      </c>
    </row>
    <row r="128" spans="1:24" x14ac:dyDescent="0.25">
      <c r="A128" s="66" t="str">
        <f t="shared" si="9"/>
        <v/>
      </c>
      <c r="B128" s="23" t="str">
        <f t="shared" si="5"/>
        <v/>
      </c>
      <c r="C128" s="15"/>
      <c r="D128" s="16"/>
      <c r="E128" s="17"/>
      <c r="F128" s="18"/>
      <c r="G128" s="18"/>
      <c r="H128" s="19"/>
      <c r="I128" s="15"/>
      <c r="J128" s="20"/>
      <c r="K128" s="15"/>
      <c r="L128" s="15"/>
      <c r="M128" s="531" t="str">
        <f>CONCATENATE(IF(OR(L128=phu!$I$1,L128=phu!$I$2,L128=phu!$I$3),"Cam Thành Nam",""),IF(OR(L128=phu!$I$4,L128=phu!$I$5,L128=phu!$I$6,L128=phu!$I$7,L128=phu!$I$8,L128=phu!$I$9,L128=phu!$I$10,L128=phu!$I$11,L128=phu!$I$12,L128=phu!$I$13,L128=phu!$I$14),"Cam Nghĩa",""),IF(OR(L128=phu!$I$15,L128=phu!$I$16,L128=phu!$I$17,L128=phu!$I$18,L128=phu!$I$19,L128=phu!$I$20,L128=phu!$I$21),"Cam Phúc Bắc",""),IF(OR(L128=phu!$I$22,L128=phu!$I$23,L128=phu!$I$24,L128=phu!$I$25),"Cam Phúc Nam",""),IF(OR(L128=phu!$I$26,L128=phu!$I$27,L128=phu!$I$28,L128=phu!$I$29,L128=phu!$I$30,L128=phu!$I$31),"Cam Phú",""),IF(OR(L128=phu!$I$32,L128=phu!$I$33,L128=phu!$I$34,L128=phu!$I$35,L128=phu!$I$36,L128=phu!$I$37),"Cam Lộc",""),IF(OR(L128=phu!$I$38,L128=phu!$I$39,L128=phu!$I$40,L128=phu!$I$41,L128=phu!$I$42,L128=phu!$I$43,L128=phu!$I$44),"Cam Thuận",""),IF(OR(L128=phu!$I$45,L128=phu!$I$46,L128=phu!$I$47,L128=phu!$I$48,L128=phu!$I$49,L128=phu!$I$50,L128=phu!$I$51,L128=phu!$I$52,L128=phu!$I$53),"Cam Linh",""),IF(OR(L128=phu!$I$54,L128=phu!$I$55,L128=phu!$I$56,L128=phu!$I$57,L128=phu!$I$58,L128=phu!$I$59,L128=phu!$I$60,L128=phu!$I$61,L128=phu!$I$62),"Cam Lợi",""),IF(OR(L128=phu!$I$63,L128=phu!$I$64,L128=phu!$I$65,L128=phu!$I$66,L128=phu!$I$67,L128=phu!$I$68,L128=phu!$I$69,L128=phu!$I$70,L128=phu!$I$71),"Ba Ngòi",""),IF(OR(L128=phu!$I$72,L128=phu!$I$73,L128=phu!$I$74,L128=phu!$I$75,L128=phu!$I$76,L128=phu!$I$77,L128=phu!$I$78),"Cam Phước Đông",""),IF(OR(L128=phu!$I$79,L128=phu!$I$80,L128=phu!$I$81,L128=phu!$I$82,L128=phu!$I$83,L128=phu!$I$84),"Cam Thịnh Đông",""),IF(OR(L128=phu!$I$85,L128=phu!$I$86,L128=phu!$I$87,L128=phu!$I$88),"Cam Thịnh Tây",""),IF(OR(L128=phu!$I$89,L128=phu!$I$90),"Cam Lập",""),IF(OR(L128=phu!$I$91,L128=phu!$I$92,L128=phu!$I$93),"Cam Bình",""),IF(OR(L128=phu!$I$94,L128=phu!$I$95,L128=phu!$I$96,L128=phu!$I$97,L128=phu!$I$98,L128=phu!$I$99,L128=phu!$I$100),"Huyện khác",""),IF(OR(L128=phu!$I$101,L128=phu!$I$102),"Tỉnh khác",""))</f>
        <v/>
      </c>
      <c r="N128" s="835" t="str">
        <f t="shared" si="8"/>
        <v/>
      </c>
      <c r="O128" s="20"/>
      <c r="P128" s="20"/>
      <c r="Q128" s="20"/>
      <c r="R128" s="20"/>
      <c r="S128" s="20"/>
      <c r="T128" s="21"/>
      <c r="U128" s="21"/>
      <c r="V128" s="21"/>
      <c r="W128" s="7" t="str">
        <f t="shared" si="6"/>
        <v/>
      </c>
      <c r="X128" s="506" t="str">
        <f t="shared" si="7"/>
        <v/>
      </c>
    </row>
    <row r="129" spans="1:24" x14ac:dyDescent="0.25">
      <c r="A129" s="66" t="str">
        <f t="shared" si="9"/>
        <v/>
      </c>
      <c r="B129" s="23" t="str">
        <f t="shared" si="5"/>
        <v/>
      </c>
      <c r="C129" s="15"/>
      <c r="D129" s="16"/>
      <c r="E129" s="17"/>
      <c r="F129" s="18"/>
      <c r="G129" s="18"/>
      <c r="H129" s="19"/>
      <c r="I129" s="15"/>
      <c r="J129" s="20"/>
      <c r="K129" s="15"/>
      <c r="L129" s="15"/>
      <c r="M129" s="531" t="str">
        <f>CONCATENATE(IF(OR(L129=phu!$I$1,L129=phu!$I$2,L129=phu!$I$3),"Cam Thành Nam",""),IF(OR(L129=phu!$I$4,L129=phu!$I$5,L129=phu!$I$6,L129=phu!$I$7,L129=phu!$I$8,L129=phu!$I$9,L129=phu!$I$10,L129=phu!$I$11,L129=phu!$I$12,L129=phu!$I$13,L129=phu!$I$14),"Cam Nghĩa",""),IF(OR(L129=phu!$I$15,L129=phu!$I$16,L129=phu!$I$17,L129=phu!$I$18,L129=phu!$I$19,L129=phu!$I$20,L129=phu!$I$21),"Cam Phúc Bắc",""),IF(OR(L129=phu!$I$22,L129=phu!$I$23,L129=phu!$I$24,L129=phu!$I$25),"Cam Phúc Nam",""),IF(OR(L129=phu!$I$26,L129=phu!$I$27,L129=phu!$I$28,L129=phu!$I$29,L129=phu!$I$30,L129=phu!$I$31),"Cam Phú",""),IF(OR(L129=phu!$I$32,L129=phu!$I$33,L129=phu!$I$34,L129=phu!$I$35,L129=phu!$I$36,L129=phu!$I$37),"Cam Lộc",""),IF(OR(L129=phu!$I$38,L129=phu!$I$39,L129=phu!$I$40,L129=phu!$I$41,L129=phu!$I$42,L129=phu!$I$43,L129=phu!$I$44),"Cam Thuận",""),IF(OR(L129=phu!$I$45,L129=phu!$I$46,L129=phu!$I$47,L129=phu!$I$48,L129=phu!$I$49,L129=phu!$I$50,L129=phu!$I$51,L129=phu!$I$52,L129=phu!$I$53),"Cam Linh",""),IF(OR(L129=phu!$I$54,L129=phu!$I$55,L129=phu!$I$56,L129=phu!$I$57,L129=phu!$I$58,L129=phu!$I$59,L129=phu!$I$60,L129=phu!$I$61,L129=phu!$I$62),"Cam Lợi",""),IF(OR(L129=phu!$I$63,L129=phu!$I$64,L129=phu!$I$65,L129=phu!$I$66,L129=phu!$I$67,L129=phu!$I$68,L129=phu!$I$69,L129=phu!$I$70,L129=phu!$I$71),"Ba Ngòi",""),IF(OR(L129=phu!$I$72,L129=phu!$I$73,L129=phu!$I$74,L129=phu!$I$75,L129=phu!$I$76,L129=phu!$I$77,L129=phu!$I$78),"Cam Phước Đông",""),IF(OR(L129=phu!$I$79,L129=phu!$I$80,L129=phu!$I$81,L129=phu!$I$82,L129=phu!$I$83,L129=phu!$I$84),"Cam Thịnh Đông",""),IF(OR(L129=phu!$I$85,L129=phu!$I$86,L129=phu!$I$87,L129=phu!$I$88),"Cam Thịnh Tây",""),IF(OR(L129=phu!$I$89,L129=phu!$I$90),"Cam Lập",""),IF(OR(L129=phu!$I$91,L129=phu!$I$92,L129=phu!$I$93),"Cam Bình",""),IF(OR(L129=phu!$I$94,L129=phu!$I$95,L129=phu!$I$96,L129=phu!$I$97,L129=phu!$I$98,L129=phu!$I$99,L129=phu!$I$100),"Huyện khác",""),IF(OR(L129=phu!$I$101,L129=phu!$I$102),"Tỉnh khác",""))</f>
        <v/>
      </c>
      <c r="N129" s="835" t="str">
        <f t="shared" si="8"/>
        <v/>
      </c>
      <c r="O129" s="20"/>
      <c r="P129" s="20"/>
      <c r="Q129" s="20"/>
      <c r="R129" s="20"/>
      <c r="S129" s="20"/>
      <c r="T129" s="21"/>
      <c r="U129" s="21"/>
      <c r="V129" s="21"/>
      <c r="W129" s="7" t="str">
        <f t="shared" si="6"/>
        <v/>
      </c>
      <c r="X129" s="506" t="str">
        <f t="shared" si="7"/>
        <v/>
      </c>
    </row>
    <row r="130" spans="1:24" x14ac:dyDescent="0.25">
      <c r="A130" s="66" t="str">
        <f t="shared" si="9"/>
        <v/>
      </c>
      <c r="B130" s="23" t="str">
        <f t="shared" si="5"/>
        <v/>
      </c>
      <c r="C130" s="15"/>
      <c r="D130" s="16"/>
      <c r="E130" s="17"/>
      <c r="F130" s="18"/>
      <c r="G130" s="18"/>
      <c r="H130" s="19"/>
      <c r="I130" s="15"/>
      <c r="J130" s="20"/>
      <c r="K130" s="15"/>
      <c r="L130" s="15"/>
      <c r="M130" s="531" t="str">
        <f>CONCATENATE(IF(OR(L130=phu!$I$1,L130=phu!$I$2,L130=phu!$I$3),"Cam Thành Nam",""),IF(OR(L130=phu!$I$4,L130=phu!$I$5,L130=phu!$I$6,L130=phu!$I$7,L130=phu!$I$8,L130=phu!$I$9,L130=phu!$I$10,L130=phu!$I$11,L130=phu!$I$12,L130=phu!$I$13,L130=phu!$I$14),"Cam Nghĩa",""),IF(OR(L130=phu!$I$15,L130=phu!$I$16,L130=phu!$I$17,L130=phu!$I$18,L130=phu!$I$19,L130=phu!$I$20,L130=phu!$I$21),"Cam Phúc Bắc",""),IF(OR(L130=phu!$I$22,L130=phu!$I$23,L130=phu!$I$24,L130=phu!$I$25),"Cam Phúc Nam",""),IF(OR(L130=phu!$I$26,L130=phu!$I$27,L130=phu!$I$28,L130=phu!$I$29,L130=phu!$I$30,L130=phu!$I$31),"Cam Phú",""),IF(OR(L130=phu!$I$32,L130=phu!$I$33,L130=phu!$I$34,L130=phu!$I$35,L130=phu!$I$36,L130=phu!$I$37),"Cam Lộc",""),IF(OR(L130=phu!$I$38,L130=phu!$I$39,L130=phu!$I$40,L130=phu!$I$41,L130=phu!$I$42,L130=phu!$I$43,L130=phu!$I$44),"Cam Thuận",""),IF(OR(L130=phu!$I$45,L130=phu!$I$46,L130=phu!$I$47,L130=phu!$I$48,L130=phu!$I$49,L130=phu!$I$50,L130=phu!$I$51,L130=phu!$I$52,L130=phu!$I$53),"Cam Linh",""),IF(OR(L130=phu!$I$54,L130=phu!$I$55,L130=phu!$I$56,L130=phu!$I$57,L130=phu!$I$58,L130=phu!$I$59,L130=phu!$I$60,L130=phu!$I$61,L130=phu!$I$62),"Cam Lợi",""),IF(OR(L130=phu!$I$63,L130=phu!$I$64,L130=phu!$I$65,L130=phu!$I$66,L130=phu!$I$67,L130=phu!$I$68,L130=phu!$I$69,L130=phu!$I$70,L130=phu!$I$71),"Ba Ngòi",""),IF(OR(L130=phu!$I$72,L130=phu!$I$73,L130=phu!$I$74,L130=phu!$I$75,L130=phu!$I$76,L130=phu!$I$77,L130=phu!$I$78),"Cam Phước Đông",""),IF(OR(L130=phu!$I$79,L130=phu!$I$80,L130=phu!$I$81,L130=phu!$I$82,L130=phu!$I$83,L130=phu!$I$84),"Cam Thịnh Đông",""),IF(OR(L130=phu!$I$85,L130=phu!$I$86,L130=phu!$I$87,L130=phu!$I$88),"Cam Thịnh Tây",""),IF(OR(L130=phu!$I$89,L130=phu!$I$90),"Cam Lập",""),IF(OR(L130=phu!$I$91,L130=phu!$I$92,L130=phu!$I$93),"Cam Bình",""),IF(OR(L130=phu!$I$94,L130=phu!$I$95,L130=phu!$I$96,L130=phu!$I$97,L130=phu!$I$98,L130=phu!$I$99,L130=phu!$I$100),"Huyện khác",""),IF(OR(L130=phu!$I$101,L130=phu!$I$102),"Tỉnh khác",""))</f>
        <v/>
      </c>
      <c r="N130" s="835" t="str">
        <f t="shared" si="8"/>
        <v/>
      </c>
      <c r="O130" s="20"/>
      <c r="P130" s="20"/>
      <c r="Q130" s="20"/>
      <c r="R130" s="20"/>
      <c r="S130" s="20"/>
      <c r="T130" s="21"/>
      <c r="U130" s="21"/>
      <c r="V130" s="21"/>
      <c r="W130" s="7" t="str">
        <f t="shared" si="6"/>
        <v/>
      </c>
      <c r="X130" s="506" t="str">
        <f t="shared" si="7"/>
        <v/>
      </c>
    </row>
    <row r="131" spans="1:24" x14ac:dyDescent="0.25">
      <c r="A131" s="66" t="str">
        <f t="shared" si="9"/>
        <v/>
      </c>
      <c r="B131" s="23" t="str">
        <f t="shared" si="5"/>
        <v/>
      </c>
      <c r="C131" s="15"/>
      <c r="D131" s="16"/>
      <c r="E131" s="17"/>
      <c r="F131" s="18"/>
      <c r="G131" s="18"/>
      <c r="H131" s="19"/>
      <c r="I131" s="15"/>
      <c r="J131" s="20"/>
      <c r="K131" s="15"/>
      <c r="L131" s="15"/>
      <c r="M131" s="531" t="str">
        <f>CONCATENATE(IF(OR(L131=phu!$I$1,L131=phu!$I$2,L131=phu!$I$3),"Cam Thành Nam",""),IF(OR(L131=phu!$I$4,L131=phu!$I$5,L131=phu!$I$6,L131=phu!$I$7,L131=phu!$I$8,L131=phu!$I$9,L131=phu!$I$10,L131=phu!$I$11,L131=phu!$I$12,L131=phu!$I$13,L131=phu!$I$14),"Cam Nghĩa",""),IF(OR(L131=phu!$I$15,L131=phu!$I$16,L131=phu!$I$17,L131=phu!$I$18,L131=phu!$I$19,L131=phu!$I$20,L131=phu!$I$21),"Cam Phúc Bắc",""),IF(OR(L131=phu!$I$22,L131=phu!$I$23,L131=phu!$I$24,L131=phu!$I$25),"Cam Phúc Nam",""),IF(OR(L131=phu!$I$26,L131=phu!$I$27,L131=phu!$I$28,L131=phu!$I$29,L131=phu!$I$30,L131=phu!$I$31),"Cam Phú",""),IF(OR(L131=phu!$I$32,L131=phu!$I$33,L131=phu!$I$34,L131=phu!$I$35,L131=phu!$I$36,L131=phu!$I$37),"Cam Lộc",""),IF(OR(L131=phu!$I$38,L131=phu!$I$39,L131=phu!$I$40,L131=phu!$I$41,L131=phu!$I$42,L131=phu!$I$43,L131=phu!$I$44),"Cam Thuận",""),IF(OR(L131=phu!$I$45,L131=phu!$I$46,L131=phu!$I$47,L131=phu!$I$48,L131=phu!$I$49,L131=phu!$I$50,L131=phu!$I$51,L131=phu!$I$52,L131=phu!$I$53),"Cam Linh",""),IF(OR(L131=phu!$I$54,L131=phu!$I$55,L131=phu!$I$56,L131=phu!$I$57,L131=phu!$I$58,L131=phu!$I$59,L131=phu!$I$60,L131=phu!$I$61,L131=phu!$I$62),"Cam Lợi",""),IF(OR(L131=phu!$I$63,L131=phu!$I$64,L131=phu!$I$65,L131=phu!$I$66,L131=phu!$I$67,L131=phu!$I$68,L131=phu!$I$69,L131=phu!$I$70,L131=phu!$I$71),"Ba Ngòi",""),IF(OR(L131=phu!$I$72,L131=phu!$I$73,L131=phu!$I$74,L131=phu!$I$75,L131=phu!$I$76,L131=phu!$I$77,L131=phu!$I$78),"Cam Phước Đông",""),IF(OR(L131=phu!$I$79,L131=phu!$I$80,L131=phu!$I$81,L131=phu!$I$82,L131=phu!$I$83,L131=phu!$I$84),"Cam Thịnh Đông",""),IF(OR(L131=phu!$I$85,L131=phu!$I$86,L131=phu!$I$87,L131=phu!$I$88),"Cam Thịnh Tây",""),IF(OR(L131=phu!$I$89,L131=phu!$I$90),"Cam Lập",""),IF(OR(L131=phu!$I$91,L131=phu!$I$92,L131=phu!$I$93),"Cam Bình",""),IF(OR(L131=phu!$I$94,L131=phu!$I$95,L131=phu!$I$96,L131=phu!$I$97,L131=phu!$I$98,L131=phu!$I$99,L131=phu!$I$100),"Huyện khác",""),IF(OR(L131=phu!$I$101,L131=phu!$I$102),"Tỉnh khác",""))</f>
        <v/>
      </c>
      <c r="N131" s="835" t="str">
        <f t="shared" si="8"/>
        <v/>
      </c>
      <c r="O131" s="20"/>
      <c r="P131" s="20"/>
      <c r="Q131" s="20"/>
      <c r="R131" s="20"/>
      <c r="S131" s="20"/>
      <c r="T131" s="21"/>
      <c r="U131" s="21"/>
      <c r="V131" s="21"/>
      <c r="W131" s="7" t="str">
        <f t="shared" si="6"/>
        <v/>
      </c>
      <c r="X131" s="506" t="str">
        <f t="shared" si="7"/>
        <v/>
      </c>
    </row>
    <row r="132" spans="1:24" x14ac:dyDescent="0.25">
      <c r="A132" s="66" t="str">
        <f t="shared" si="9"/>
        <v/>
      </c>
      <c r="B132" s="23" t="str">
        <f t="shared" si="5"/>
        <v/>
      </c>
      <c r="C132" s="15"/>
      <c r="D132" s="16"/>
      <c r="E132" s="17"/>
      <c r="F132" s="18"/>
      <c r="G132" s="18"/>
      <c r="H132" s="19"/>
      <c r="I132" s="15"/>
      <c r="J132" s="20"/>
      <c r="K132" s="15"/>
      <c r="L132" s="15"/>
      <c r="M132" s="531" t="str">
        <f>CONCATENATE(IF(OR(L132=phu!$I$1,L132=phu!$I$2,L132=phu!$I$3),"Cam Thành Nam",""),IF(OR(L132=phu!$I$4,L132=phu!$I$5,L132=phu!$I$6,L132=phu!$I$7,L132=phu!$I$8,L132=phu!$I$9,L132=phu!$I$10,L132=phu!$I$11,L132=phu!$I$12,L132=phu!$I$13,L132=phu!$I$14),"Cam Nghĩa",""),IF(OR(L132=phu!$I$15,L132=phu!$I$16,L132=phu!$I$17,L132=phu!$I$18,L132=phu!$I$19,L132=phu!$I$20,L132=phu!$I$21),"Cam Phúc Bắc",""),IF(OR(L132=phu!$I$22,L132=phu!$I$23,L132=phu!$I$24,L132=phu!$I$25),"Cam Phúc Nam",""),IF(OR(L132=phu!$I$26,L132=phu!$I$27,L132=phu!$I$28,L132=phu!$I$29,L132=phu!$I$30,L132=phu!$I$31),"Cam Phú",""),IF(OR(L132=phu!$I$32,L132=phu!$I$33,L132=phu!$I$34,L132=phu!$I$35,L132=phu!$I$36,L132=phu!$I$37),"Cam Lộc",""),IF(OR(L132=phu!$I$38,L132=phu!$I$39,L132=phu!$I$40,L132=phu!$I$41,L132=phu!$I$42,L132=phu!$I$43,L132=phu!$I$44),"Cam Thuận",""),IF(OR(L132=phu!$I$45,L132=phu!$I$46,L132=phu!$I$47,L132=phu!$I$48,L132=phu!$I$49,L132=phu!$I$50,L132=phu!$I$51,L132=phu!$I$52,L132=phu!$I$53),"Cam Linh",""),IF(OR(L132=phu!$I$54,L132=phu!$I$55,L132=phu!$I$56,L132=phu!$I$57,L132=phu!$I$58,L132=phu!$I$59,L132=phu!$I$60,L132=phu!$I$61,L132=phu!$I$62),"Cam Lợi",""),IF(OR(L132=phu!$I$63,L132=phu!$I$64,L132=phu!$I$65,L132=phu!$I$66,L132=phu!$I$67,L132=phu!$I$68,L132=phu!$I$69,L132=phu!$I$70,L132=phu!$I$71),"Ba Ngòi",""),IF(OR(L132=phu!$I$72,L132=phu!$I$73,L132=phu!$I$74,L132=phu!$I$75,L132=phu!$I$76,L132=phu!$I$77,L132=phu!$I$78),"Cam Phước Đông",""),IF(OR(L132=phu!$I$79,L132=phu!$I$80,L132=phu!$I$81,L132=phu!$I$82,L132=phu!$I$83,L132=phu!$I$84),"Cam Thịnh Đông",""),IF(OR(L132=phu!$I$85,L132=phu!$I$86,L132=phu!$I$87,L132=phu!$I$88),"Cam Thịnh Tây",""),IF(OR(L132=phu!$I$89,L132=phu!$I$90),"Cam Lập",""),IF(OR(L132=phu!$I$91,L132=phu!$I$92,L132=phu!$I$93),"Cam Bình",""),IF(OR(L132=phu!$I$94,L132=phu!$I$95,L132=phu!$I$96,L132=phu!$I$97,L132=phu!$I$98,L132=phu!$I$99,L132=phu!$I$100),"Huyện khác",""),IF(OR(L132=phu!$I$101,L132=phu!$I$102),"Tỉnh khác",""))</f>
        <v/>
      </c>
      <c r="N132" s="835" t="str">
        <f t="shared" si="8"/>
        <v/>
      </c>
      <c r="O132" s="20"/>
      <c r="P132" s="20"/>
      <c r="Q132" s="20"/>
      <c r="R132" s="20"/>
      <c r="S132" s="20"/>
      <c r="T132" s="21"/>
      <c r="U132" s="21"/>
      <c r="V132" s="21"/>
      <c r="W132" s="7" t="str">
        <f t="shared" si="6"/>
        <v/>
      </c>
      <c r="X132" s="506" t="str">
        <f t="shared" si="7"/>
        <v/>
      </c>
    </row>
    <row r="133" spans="1:24" x14ac:dyDescent="0.25">
      <c r="A133" s="66" t="str">
        <f t="shared" si="9"/>
        <v/>
      </c>
      <c r="B133" s="23" t="str">
        <f t="shared" si="5"/>
        <v/>
      </c>
      <c r="C133" s="15"/>
      <c r="D133" s="16"/>
      <c r="E133" s="17"/>
      <c r="F133" s="18"/>
      <c r="G133" s="18"/>
      <c r="H133" s="19"/>
      <c r="I133" s="15"/>
      <c r="J133" s="20"/>
      <c r="K133" s="15"/>
      <c r="L133" s="15"/>
      <c r="M133" s="531" t="str">
        <f>CONCATENATE(IF(OR(L133=phu!$I$1,L133=phu!$I$2,L133=phu!$I$3),"Cam Thành Nam",""),IF(OR(L133=phu!$I$4,L133=phu!$I$5,L133=phu!$I$6,L133=phu!$I$7,L133=phu!$I$8,L133=phu!$I$9,L133=phu!$I$10,L133=phu!$I$11,L133=phu!$I$12,L133=phu!$I$13,L133=phu!$I$14),"Cam Nghĩa",""),IF(OR(L133=phu!$I$15,L133=phu!$I$16,L133=phu!$I$17,L133=phu!$I$18,L133=phu!$I$19,L133=phu!$I$20,L133=phu!$I$21),"Cam Phúc Bắc",""),IF(OR(L133=phu!$I$22,L133=phu!$I$23,L133=phu!$I$24,L133=phu!$I$25),"Cam Phúc Nam",""),IF(OR(L133=phu!$I$26,L133=phu!$I$27,L133=phu!$I$28,L133=phu!$I$29,L133=phu!$I$30,L133=phu!$I$31),"Cam Phú",""),IF(OR(L133=phu!$I$32,L133=phu!$I$33,L133=phu!$I$34,L133=phu!$I$35,L133=phu!$I$36,L133=phu!$I$37),"Cam Lộc",""),IF(OR(L133=phu!$I$38,L133=phu!$I$39,L133=phu!$I$40,L133=phu!$I$41,L133=phu!$I$42,L133=phu!$I$43,L133=phu!$I$44),"Cam Thuận",""),IF(OR(L133=phu!$I$45,L133=phu!$I$46,L133=phu!$I$47,L133=phu!$I$48,L133=phu!$I$49,L133=phu!$I$50,L133=phu!$I$51,L133=phu!$I$52,L133=phu!$I$53),"Cam Linh",""),IF(OR(L133=phu!$I$54,L133=phu!$I$55,L133=phu!$I$56,L133=phu!$I$57,L133=phu!$I$58,L133=phu!$I$59,L133=phu!$I$60,L133=phu!$I$61,L133=phu!$I$62),"Cam Lợi",""),IF(OR(L133=phu!$I$63,L133=phu!$I$64,L133=phu!$I$65,L133=phu!$I$66,L133=phu!$I$67,L133=phu!$I$68,L133=phu!$I$69,L133=phu!$I$70,L133=phu!$I$71),"Ba Ngòi",""),IF(OR(L133=phu!$I$72,L133=phu!$I$73,L133=phu!$I$74,L133=phu!$I$75,L133=phu!$I$76,L133=phu!$I$77,L133=phu!$I$78),"Cam Phước Đông",""),IF(OR(L133=phu!$I$79,L133=phu!$I$80,L133=phu!$I$81,L133=phu!$I$82,L133=phu!$I$83,L133=phu!$I$84),"Cam Thịnh Đông",""),IF(OR(L133=phu!$I$85,L133=phu!$I$86,L133=phu!$I$87,L133=phu!$I$88),"Cam Thịnh Tây",""),IF(OR(L133=phu!$I$89,L133=phu!$I$90),"Cam Lập",""),IF(OR(L133=phu!$I$91,L133=phu!$I$92,L133=phu!$I$93),"Cam Bình",""),IF(OR(L133=phu!$I$94,L133=phu!$I$95,L133=phu!$I$96,L133=phu!$I$97,L133=phu!$I$98,L133=phu!$I$99,L133=phu!$I$100),"Huyện khác",""),IF(OR(L133=phu!$I$101,L133=phu!$I$102),"Tỉnh khác",""))</f>
        <v/>
      </c>
      <c r="N133" s="835" t="str">
        <f t="shared" si="8"/>
        <v/>
      </c>
      <c r="O133" s="20"/>
      <c r="P133" s="20"/>
      <c r="Q133" s="20"/>
      <c r="R133" s="20"/>
      <c r="S133" s="20"/>
      <c r="T133" s="21"/>
      <c r="U133" s="21"/>
      <c r="V133" s="21"/>
      <c r="W133" s="7" t="str">
        <f t="shared" si="6"/>
        <v/>
      </c>
      <c r="X133" s="506" t="str">
        <f t="shared" si="7"/>
        <v/>
      </c>
    </row>
    <row r="134" spans="1:24" x14ac:dyDescent="0.25">
      <c r="A134" s="66" t="str">
        <f t="shared" si="9"/>
        <v/>
      </c>
      <c r="B134" s="23" t="str">
        <f t="shared" ref="B134:B197" si="10">IF(W134=5,"5-6 tuổi",IF(W134=4,"4-5 tuổi",IF(W134=3,"3-4 tuổi",IF(AND(W134&lt;3,W134&gt;1),"25-36 tháng",IF(AND(W134=1,W134&gt;0),"13-24 tháng",IF(AND(W134=0,E134&lt;&gt;""),"Dưới 13 tháng",""))))))</f>
        <v/>
      </c>
      <c r="C134" s="15"/>
      <c r="D134" s="16"/>
      <c r="E134" s="17"/>
      <c r="F134" s="18"/>
      <c r="G134" s="18"/>
      <c r="H134" s="19"/>
      <c r="I134" s="15"/>
      <c r="J134" s="20"/>
      <c r="K134" s="15"/>
      <c r="L134" s="15"/>
      <c r="M134" s="531" t="str">
        <f>CONCATENATE(IF(OR(L134=phu!$I$1,L134=phu!$I$2,L134=phu!$I$3),"Cam Thành Nam",""),IF(OR(L134=phu!$I$4,L134=phu!$I$5,L134=phu!$I$6,L134=phu!$I$7,L134=phu!$I$8,L134=phu!$I$9,L134=phu!$I$10,L134=phu!$I$11,L134=phu!$I$12,L134=phu!$I$13,L134=phu!$I$14),"Cam Nghĩa",""),IF(OR(L134=phu!$I$15,L134=phu!$I$16,L134=phu!$I$17,L134=phu!$I$18,L134=phu!$I$19,L134=phu!$I$20,L134=phu!$I$21),"Cam Phúc Bắc",""),IF(OR(L134=phu!$I$22,L134=phu!$I$23,L134=phu!$I$24,L134=phu!$I$25),"Cam Phúc Nam",""),IF(OR(L134=phu!$I$26,L134=phu!$I$27,L134=phu!$I$28,L134=phu!$I$29,L134=phu!$I$30,L134=phu!$I$31),"Cam Phú",""),IF(OR(L134=phu!$I$32,L134=phu!$I$33,L134=phu!$I$34,L134=phu!$I$35,L134=phu!$I$36,L134=phu!$I$37),"Cam Lộc",""),IF(OR(L134=phu!$I$38,L134=phu!$I$39,L134=phu!$I$40,L134=phu!$I$41,L134=phu!$I$42,L134=phu!$I$43,L134=phu!$I$44),"Cam Thuận",""),IF(OR(L134=phu!$I$45,L134=phu!$I$46,L134=phu!$I$47,L134=phu!$I$48,L134=phu!$I$49,L134=phu!$I$50,L134=phu!$I$51,L134=phu!$I$52,L134=phu!$I$53),"Cam Linh",""),IF(OR(L134=phu!$I$54,L134=phu!$I$55,L134=phu!$I$56,L134=phu!$I$57,L134=phu!$I$58,L134=phu!$I$59,L134=phu!$I$60,L134=phu!$I$61,L134=phu!$I$62),"Cam Lợi",""),IF(OR(L134=phu!$I$63,L134=phu!$I$64,L134=phu!$I$65,L134=phu!$I$66,L134=phu!$I$67,L134=phu!$I$68,L134=phu!$I$69,L134=phu!$I$70,L134=phu!$I$71),"Ba Ngòi",""),IF(OR(L134=phu!$I$72,L134=phu!$I$73,L134=phu!$I$74,L134=phu!$I$75,L134=phu!$I$76,L134=phu!$I$77,L134=phu!$I$78),"Cam Phước Đông",""),IF(OR(L134=phu!$I$79,L134=phu!$I$80,L134=phu!$I$81,L134=phu!$I$82,L134=phu!$I$83,L134=phu!$I$84),"Cam Thịnh Đông",""),IF(OR(L134=phu!$I$85,L134=phu!$I$86,L134=phu!$I$87,L134=phu!$I$88),"Cam Thịnh Tây",""),IF(OR(L134=phu!$I$89,L134=phu!$I$90),"Cam Lập",""),IF(OR(L134=phu!$I$91,L134=phu!$I$92,L134=phu!$I$93),"Cam Bình",""),IF(OR(L134=phu!$I$94,L134=phu!$I$95,L134=phu!$I$96,L134=phu!$I$97,L134=phu!$I$98,L134=phu!$I$99,L134=phu!$I$100),"Huyện khác",""),IF(OR(L134=phu!$I$101,L134=phu!$I$102),"Tỉnh khác",""))</f>
        <v/>
      </c>
      <c r="N134" s="835" t="str">
        <f t="shared" si="8"/>
        <v/>
      </c>
      <c r="O134" s="20"/>
      <c r="P134" s="20"/>
      <c r="Q134" s="20"/>
      <c r="R134" s="20"/>
      <c r="S134" s="20"/>
      <c r="T134" s="21"/>
      <c r="U134" s="21"/>
      <c r="V134" s="21"/>
      <c r="W134" s="7" t="str">
        <f t="shared" ref="W134:W197" si="11">IF(OR($P$2="",H134=""),"",$P$2-H134)</f>
        <v/>
      </c>
      <c r="X134" s="506" t="str">
        <f t="shared" ref="X134:X197" si="12">IF(OR(AND(C134="",D134="",E134="",F134="",G134="",H134="",J134="",L134="",M134="",O134="",P134="",Q134=""),AND(C134&lt;&gt;"",D134&lt;&gt;"",E134&lt;&gt;"",F134&lt;&gt;"",G134&lt;&gt;"",H134&lt;&gt;"",J134&lt;&gt;"",L134&lt;&gt;"",M134&lt;&gt;"",O134&lt;&gt;"",OR(AND(P134&lt;&gt;"",Q134=""),AND(P134="",Q134&lt;&gt;""),AND(P134&lt;&gt;"",Q134&lt;&gt;"")),OR(AND(K134="X",S134&lt;&gt;""),AND(K134="",S134="")))),"","er")</f>
        <v/>
      </c>
    </row>
    <row r="135" spans="1:24" x14ac:dyDescent="0.25">
      <c r="A135" s="66" t="str">
        <f t="shared" si="9"/>
        <v/>
      </c>
      <c r="B135" s="23" t="str">
        <f t="shared" si="10"/>
        <v/>
      </c>
      <c r="C135" s="15"/>
      <c r="D135" s="16"/>
      <c r="E135" s="17"/>
      <c r="F135" s="18"/>
      <c r="G135" s="18"/>
      <c r="H135" s="19"/>
      <c r="I135" s="15"/>
      <c r="J135" s="20"/>
      <c r="K135" s="15"/>
      <c r="L135" s="15"/>
      <c r="M135" s="531" t="str">
        <f>CONCATENATE(IF(OR(L135=phu!$I$1,L135=phu!$I$2,L135=phu!$I$3),"Cam Thành Nam",""),IF(OR(L135=phu!$I$4,L135=phu!$I$5,L135=phu!$I$6,L135=phu!$I$7,L135=phu!$I$8,L135=phu!$I$9,L135=phu!$I$10,L135=phu!$I$11,L135=phu!$I$12,L135=phu!$I$13,L135=phu!$I$14),"Cam Nghĩa",""),IF(OR(L135=phu!$I$15,L135=phu!$I$16,L135=phu!$I$17,L135=phu!$I$18,L135=phu!$I$19,L135=phu!$I$20,L135=phu!$I$21),"Cam Phúc Bắc",""),IF(OR(L135=phu!$I$22,L135=phu!$I$23,L135=phu!$I$24,L135=phu!$I$25),"Cam Phúc Nam",""),IF(OR(L135=phu!$I$26,L135=phu!$I$27,L135=phu!$I$28,L135=phu!$I$29,L135=phu!$I$30,L135=phu!$I$31),"Cam Phú",""),IF(OR(L135=phu!$I$32,L135=phu!$I$33,L135=phu!$I$34,L135=phu!$I$35,L135=phu!$I$36,L135=phu!$I$37),"Cam Lộc",""),IF(OR(L135=phu!$I$38,L135=phu!$I$39,L135=phu!$I$40,L135=phu!$I$41,L135=phu!$I$42,L135=phu!$I$43,L135=phu!$I$44),"Cam Thuận",""),IF(OR(L135=phu!$I$45,L135=phu!$I$46,L135=phu!$I$47,L135=phu!$I$48,L135=phu!$I$49,L135=phu!$I$50,L135=phu!$I$51,L135=phu!$I$52,L135=phu!$I$53),"Cam Linh",""),IF(OR(L135=phu!$I$54,L135=phu!$I$55,L135=phu!$I$56,L135=phu!$I$57,L135=phu!$I$58,L135=phu!$I$59,L135=phu!$I$60,L135=phu!$I$61,L135=phu!$I$62),"Cam Lợi",""),IF(OR(L135=phu!$I$63,L135=phu!$I$64,L135=phu!$I$65,L135=phu!$I$66,L135=phu!$I$67,L135=phu!$I$68,L135=phu!$I$69,L135=phu!$I$70,L135=phu!$I$71),"Ba Ngòi",""),IF(OR(L135=phu!$I$72,L135=phu!$I$73,L135=phu!$I$74,L135=phu!$I$75,L135=phu!$I$76,L135=phu!$I$77,L135=phu!$I$78),"Cam Phước Đông",""),IF(OR(L135=phu!$I$79,L135=phu!$I$80,L135=phu!$I$81,L135=phu!$I$82,L135=phu!$I$83,L135=phu!$I$84),"Cam Thịnh Đông",""),IF(OR(L135=phu!$I$85,L135=phu!$I$86,L135=phu!$I$87,L135=phu!$I$88),"Cam Thịnh Tây",""),IF(OR(L135=phu!$I$89,L135=phu!$I$90),"Cam Lập",""),IF(OR(L135=phu!$I$91,L135=phu!$I$92,L135=phu!$I$93),"Cam Bình",""),IF(OR(L135=phu!$I$94,L135=phu!$I$95,L135=phu!$I$96,L135=phu!$I$97,L135=phu!$I$98,L135=phu!$I$99,L135=phu!$I$100),"Huyện khác",""),IF(OR(L135=phu!$I$101,L135=phu!$I$102),"Tỉnh khác",""))</f>
        <v/>
      </c>
      <c r="N135" s="835" t="str">
        <f t="shared" ref="N135:N198" si="13">CONCATENATE(IF(OR(M135="Cam Thành Nam",M135="Cam Nghĩa",M135="Cam Phúc Bắc"),"Bắc Cam Ranh",""),IF(OR(M135="Cam Phúc Nam",M135="Cam Phú",M135="Cam Lộc"),"Cam Ranh",""),IF(OR(M135="Cam Thuận",M135="Cam Linh",M135="Cam Lợi"),"Cam Linh",""),IF(OR(M135="Ba Ngòi",M135="Cam Phước Đông"),"Ba Ngòi",""),IF(OR(M135="Cam Thịnh Đông",M135="Cam Thịnh Tây",M135="Cam Lập",M135="Cam Bình"),"Nam Cam Ranh",""),IF(M135="Huyện khác","Huyện khác",""),IF(M135="Tỉnh khác","Tỉnh khác",""))</f>
        <v/>
      </c>
      <c r="O135" s="20"/>
      <c r="P135" s="20"/>
      <c r="Q135" s="20"/>
      <c r="R135" s="20"/>
      <c r="S135" s="20"/>
      <c r="T135" s="21"/>
      <c r="U135" s="21"/>
      <c r="V135" s="21"/>
      <c r="W135" s="7" t="str">
        <f t="shared" si="11"/>
        <v/>
      </c>
      <c r="X135" s="506" t="str">
        <f t="shared" si="12"/>
        <v/>
      </c>
    </row>
    <row r="136" spans="1:24" x14ac:dyDescent="0.25">
      <c r="A136" s="66" t="str">
        <f t="shared" ref="A136:A199" si="14">IF(AND(A135&lt;&gt;"",E136&lt;&gt;""),A135+1,"")</f>
        <v/>
      </c>
      <c r="B136" s="23" t="str">
        <f t="shared" si="10"/>
        <v/>
      </c>
      <c r="C136" s="15"/>
      <c r="D136" s="16"/>
      <c r="E136" s="17"/>
      <c r="F136" s="18"/>
      <c r="G136" s="18"/>
      <c r="H136" s="19"/>
      <c r="I136" s="15"/>
      <c r="J136" s="20"/>
      <c r="K136" s="15"/>
      <c r="L136" s="15"/>
      <c r="M136" s="531" t="str">
        <f>CONCATENATE(IF(OR(L136=phu!$I$1,L136=phu!$I$2,L136=phu!$I$3),"Cam Thành Nam",""),IF(OR(L136=phu!$I$4,L136=phu!$I$5,L136=phu!$I$6,L136=phu!$I$7,L136=phu!$I$8,L136=phu!$I$9,L136=phu!$I$10,L136=phu!$I$11,L136=phu!$I$12,L136=phu!$I$13,L136=phu!$I$14),"Cam Nghĩa",""),IF(OR(L136=phu!$I$15,L136=phu!$I$16,L136=phu!$I$17,L136=phu!$I$18,L136=phu!$I$19,L136=phu!$I$20,L136=phu!$I$21),"Cam Phúc Bắc",""),IF(OR(L136=phu!$I$22,L136=phu!$I$23,L136=phu!$I$24,L136=phu!$I$25),"Cam Phúc Nam",""),IF(OR(L136=phu!$I$26,L136=phu!$I$27,L136=phu!$I$28,L136=phu!$I$29,L136=phu!$I$30,L136=phu!$I$31),"Cam Phú",""),IF(OR(L136=phu!$I$32,L136=phu!$I$33,L136=phu!$I$34,L136=phu!$I$35,L136=phu!$I$36,L136=phu!$I$37),"Cam Lộc",""),IF(OR(L136=phu!$I$38,L136=phu!$I$39,L136=phu!$I$40,L136=phu!$I$41,L136=phu!$I$42,L136=phu!$I$43,L136=phu!$I$44),"Cam Thuận",""),IF(OR(L136=phu!$I$45,L136=phu!$I$46,L136=phu!$I$47,L136=phu!$I$48,L136=phu!$I$49,L136=phu!$I$50,L136=phu!$I$51,L136=phu!$I$52,L136=phu!$I$53),"Cam Linh",""),IF(OR(L136=phu!$I$54,L136=phu!$I$55,L136=phu!$I$56,L136=phu!$I$57,L136=phu!$I$58,L136=phu!$I$59,L136=phu!$I$60,L136=phu!$I$61,L136=phu!$I$62),"Cam Lợi",""),IF(OR(L136=phu!$I$63,L136=phu!$I$64,L136=phu!$I$65,L136=phu!$I$66,L136=phu!$I$67,L136=phu!$I$68,L136=phu!$I$69,L136=phu!$I$70,L136=phu!$I$71),"Ba Ngòi",""),IF(OR(L136=phu!$I$72,L136=phu!$I$73,L136=phu!$I$74,L136=phu!$I$75,L136=phu!$I$76,L136=phu!$I$77,L136=phu!$I$78),"Cam Phước Đông",""),IF(OR(L136=phu!$I$79,L136=phu!$I$80,L136=phu!$I$81,L136=phu!$I$82,L136=phu!$I$83,L136=phu!$I$84),"Cam Thịnh Đông",""),IF(OR(L136=phu!$I$85,L136=phu!$I$86,L136=phu!$I$87,L136=phu!$I$88),"Cam Thịnh Tây",""),IF(OR(L136=phu!$I$89,L136=phu!$I$90),"Cam Lập",""),IF(OR(L136=phu!$I$91,L136=phu!$I$92,L136=phu!$I$93),"Cam Bình",""),IF(OR(L136=phu!$I$94,L136=phu!$I$95,L136=phu!$I$96,L136=phu!$I$97,L136=phu!$I$98,L136=phu!$I$99,L136=phu!$I$100),"Huyện khác",""),IF(OR(L136=phu!$I$101,L136=phu!$I$102),"Tỉnh khác",""))</f>
        <v/>
      </c>
      <c r="N136" s="835" t="str">
        <f t="shared" si="13"/>
        <v/>
      </c>
      <c r="O136" s="20"/>
      <c r="P136" s="20"/>
      <c r="Q136" s="20"/>
      <c r="R136" s="20"/>
      <c r="S136" s="20"/>
      <c r="T136" s="21"/>
      <c r="U136" s="21"/>
      <c r="V136" s="21"/>
      <c r="W136" s="7" t="str">
        <f t="shared" si="11"/>
        <v/>
      </c>
      <c r="X136" s="506" t="str">
        <f t="shared" si="12"/>
        <v/>
      </c>
    </row>
    <row r="137" spans="1:24" x14ac:dyDescent="0.25">
      <c r="A137" s="66" t="str">
        <f t="shared" si="14"/>
        <v/>
      </c>
      <c r="B137" s="23" t="str">
        <f t="shared" si="10"/>
        <v/>
      </c>
      <c r="C137" s="15"/>
      <c r="D137" s="16"/>
      <c r="E137" s="17"/>
      <c r="F137" s="18"/>
      <c r="G137" s="18"/>
      <c r="H137" s="19"/>
      <c r="I137" s="15"/>
      <c r="J137" s="20"/>
      <c r="K137" s="15"/>
      <c r="L137" s="15"/>
      <c r="M137" s="531" t="str">
        <f>CONCATENATE(IF(OR(L137=phu!$I$1,L137=phu!$I$2,L137=phu!$I$3),"Cam Thành Nam",""),IF(OR(L137=phu!$I$4,L137=phu!$I$5,L137=phu!$I$6,L137=phu!$I$7,L137=phu!$I$8,L137=phu!$I$9,L137=phu!$I$10,L137=phu!$I$11,L137=phu!$I$12,L137=phu!$I$13,L137=phu!$I$14),"Cam Nghĩa",""),IF(OR(L137=phu!$I$15,L137=phu!$I$16,L137=phu!$I$17,L137=phu!$I$18,L137=phu!$I$19,L137=phu!$I$20,L137=phu!$I$21),"Cam Phúc Bắc",""),IF(OR(L137=phu!$I$22,L137=phu!$I$23,L137=phu!$I$24,L137=phu!$I$25),"Cam Phúc Nam",""),IF(OR(L137=phu!$I$26,L137=phu!$I$27,L137=phu!$I$28,L137=phu!$I$29,L137=phu!$I$30,L137=phu!$I$31),"Cam Phú",""),IF(OR(L137=phu!$I$32,L137=phu!$I$33,L137=phu!$I$34,L137=phu!$I$35,L137=phu!$I$36,L137=phu!$I$37),"Cam Lộc",""),IF(OR(L137=phu!$I$38,L137=phu!$I$39,L137=phu!$I$40,L137=phu!$I$41,L137=phu!$I$42,L137=phu!$I$43,L137=phu!$I$44),"Cam Thuận",""),IF(OR(L137=phu!$I$45,L137=phu!$I$46,L137=phu!$I$47,L137=phu!$I$48,L137=phu!$I$49,L137=phu!$I$50,L137=phu!$I$51,L137=phu!$I$52,L137=phu!$I$53),"Cam Linh",""),IF(OR(L137=phu!$I$54,L137=phu!$I$55,L137=phu!$I$56,L137=phu!$I$57,L137=phu!$I$58,L137=phu!$I$59,L137=phu!$I$60,L137=phu!$I$61,L137=phu!$I$62),"Cam Lợi",""),IF(OR(L137=phu!$I$63,L137=phu!$I$64,L137=phu!$I$65,L137=phu!$I$66,L137=phu!$I$67,L137=phu!$I$68,L137=phu!$I$69,L137=phu!$I$70,L137=phu!$I$71),"Ba Ngòi",""),IF(OR(L137=phu!$I$72,L137=phu!$I$73,L137=phu!$I$74,L137=phu!$I$75,L137=phu!$I$76,L137=phu!$I$77,L137=phu!$I$78),"Cam Phước Đông",""),IF(OR(L137=phu!$I$79,L137=phu!$I$80,L137=phu!$I$81,L137=phu!$I$82,L137=phu!$I$83,L137=phu!$I$84),"Cam Thịnh Đông",""),IF(OR(L137=phu!$I$85,L137=phu!$I$86,L137=phu!$I$87,L137=phu!$I$88),"Cam Thịnh Tây",""),IF(OR(L137=phu!$I$89,L137=phu!$I$90),"Cam Lập",""),IF(OR(L137=phu!$I$91,L137=phu!$I$92,L137=phu!$I$93),"Cam Bình",""),IF(OR(L137=phu!$I$94,L137=phu!$I$95,L137=phu!$I$96,L137=phu!$I$97,L137=phu!$I$98,L137=phu!$I$99,L137=phu!$I$100),"Huyện khác",""),IF(OR(L137=phu!$I$101,L137=phu!$I$102),"Tỉnh khác",""))</f>
        <v/>
      </c>
      <c r="N137" s="835" t="str">
        <f t="shared" si="13"/>
        <v/>
      </c>
      <c r="O137" s="20"/>
      <c r="P137" s="20"/>
      <c r="Q137" s="20"/>
      <c r="R137" s="20"/>
      <c r="S137" s="20"/>
      <c r="T137" s="21"/>
      <c r="U137" s="21"/>
      <c r="V137" s="21"/>
      <c r="W137" s="7" t="str">
        <f t="shared" si="11"/>
        <v/>
      </c>
      <c r="X137" s="506" t="str">
        <f t="shared" si="12"/>
        <v/>
      </c>
    </row>
    <row r="138" spans="1:24" x14ac:dyDescent="0.25">
      <c r="A138" s="66" t="str">
        <f t="shared" si="14"/>
        <v/>
      </c>
      <c r="B138" s="23" t="str">
        <f t="shared" si="10"/>
        <v/>
      </c>
      <c r="C138" s="15"/>
      <c r="D138" s="16"/>
      <c r="E138" s="17"/>
      <c r="F138" s="18"/>
      <c r="G138" s="18"/>
      <c r="H138" s="19"/>
      <c r="I138" s="15"/>
      <c r="J138" s="20"/>
      <c r="K138" s="15"/>
      <c r="L138" s="15"/>
      <c r="M138" s="531" t="str">
        <f>CONCATENATE(IF(OR(L138=phu!$I$1,L138=phu!$I$2,L138=phu!$I$3),"Cam Thành Nam",""),IF(OR(L138=phu!$I$4,L138=phu!$I$5,L138=phu!$I$6,L138=phu!$I$7,L138=phu!$I$8,L138=phu!$I$9,L138=phu!$I$10,L138=phu!$I$11,L138=phu!$I$12,L138=phu!$I$13,L138=phu!$I$14),"Cam Nghĩa",""),IF(OR(L138=phu!$I$15,L138=phu!$I$16,L138=phu!$I$17,L138=phu!$I$18,L138=phu!$I$19,L138=phu!$I$20,L138=phu!$I$21),"Cam Phúc Bắc",""),IF(OR(L138=phu!$I$22,L138=phu!$I$23,L138=phu!$I$24,L138=phu!$I$25),"Cam Phúc Nam",""),IF(OR(L138=phu!$I$26,L138=phu!$I$27,L138=phu!$I$28,L138=phu!$I$29,L138=phu!$I$30,L138=phu!$I$31),"Cam Phú",""),IF(OR(L138=phu!$I$32,L138=phu!$I$33,L138=phu!$I$34,L138=phu!$I$35,L138=phu!$I$36,L138=phu!$I$37),"Cam Lộc",""),IF(OR(L138=phu!$I$38,L138=phu!$I$39,L138=phu!$I$40,L138=phu!$I$41,L138=phu!$I$42,L138=phu!$I$43,L138=phu!$I$44),"Cam Thuận",""),IF(OR(L138=phu!$I$45,L138=phu!$I$46,L138=phu!$I$47,L138=phu!$I$48,L138=phu!$I$49,L138=phu!$I$50,L138=phu!$I$51,L138=phu!$I$52,L138=phu!$I$53),"Cam Linh",""),IF(OR(L138=phu!$I$54,L138=phu!$I$55,L138=phu!$I$56,L138=phu!$I$57,L138=phu!$I$58,L138=phu!$I$59,L138=phu!$I$60,L138=phu!$I$61,L138=phu!$I$62),"Cam Lợi",""),IF(OR(L138=phu!$I$63,L138=phu!$I$64,L138=phu!$I$65,L138=phu!$I$66,L138=phu!$I$67,L138=phu!$I$68,L138=phu!$I$69,L138=phu!$I$70,L138=phu!$I$71),"Ba Ngòi",""),IF(OR(L138=phu!$I$72,L138=phu!$I$73,L138=phu!$I$74,L138=phu!$I$75,L138=phu!$I$76,L138=phu!$I$77,L138=phu!$I$78),"Cam Phước Đông",""),IF(OR(L138=phu!$I$79,L138=phu!$I$80,L138=phu!$I$81,L138=phu!$I$82,L138=phu!$I$83,L138=phu!$I$84),"Cam Thịnh Đông",""),IF(OR(L138=phu!$I$85,L138=phu!$I$86,L138=phu!$I$87,L138=phu!$I$88),"Cam Thịnh Tây",""),IF(OR(L138=phu!$I$89,L138=phu!$I$90),"Cam Lập",""),IF(OR(L138=phu!$I$91,L138=phu!$I$92,L138=phu!$I$93),"Cam Bình",""),IF(OR(L138=phu!$I$94,L138=phu!$I$95,L138=phu!$I$96,L138=phu!$I$97,L138=phu!$I$98,L138=phu!$I$99,L138=phu!$I$100),"Huyện khác",""),IF(OR(L138=phu!$I$101,L138=phu!$I$102),"Tỉnh khác",""))</f>
        <v/>
      </c>
      <c r="N138" s="835" t="str">
        <f t="shared" si="13"/>
        <v/>
      </c>
      <c r="O138" s="20"/>
      <c r="P138" s="20"/>
      <c r="Q138" s="20"/>
      <c r="R138" s="20"/>
      <c r="S138" s="20"/>
      <c r="T138" s="21"/>
      <c r="U138" s="21"/>
      <c r="V138" s="21"/>
      <c r="W138" s="7" t="str">
        <f t="shared" si="11"/>
        <v/>
      </c>
      <c r="X138" s="506" t="str">
        <f t="shared" si="12"/>
        <v/>
      </c>
    </row>
    <row r="139" spans="1:24" x14ac:dyDescent="0.25">
      <c r="A139" s="66" t="str">
        <f t="shared" si="14"/>
        <v/>
      </c>
      <c r="B139" s="23" t="str">
        <f t="shared" si="10"/>
        <v/>
      </c>
      <c r="C139" s="15"/>
      <c r="D139" s="16"/>
      <c r="E139" s="17"/>
      <c r="F139" s="18"/>
      <c r="G139" s="18"/>
      <c r="H139" s="19"/>
      <c r="I139" s="15"/>
      <c r="J139" s="20"/>
      <c r="K139" s="15"/>
      <c r="L139" s="15"/>
      <c r="M139" s="531" t="str">
        <f>CONCATENATE(IF(OR(L139=phu!$I$1,L139=phu!$I$2,L139=phu!$I$3),"Cam Thành Nam",""),IF(OR(L139=phu!$I$4,L139=phu!$I$5,L139=phu!$I$6,L139=phu!$I$7,L139=phu!$I$8,L139=phu!$I$9,L139=phu!$I$10,L139=phu!$I$11,L139=phu!$I$12,L139=phu!$I$13,L139=phu!$I$14),"Cam Nghĩa",""),IF(OR(L139=phu!$I$15,L139=phu!$I$16,L139=phu!$I$17,L139=phu!$I$18,L139=phu!$I$19,L139=phu!$I$20,L139=phu!$I$21),"Cam Phúc Bắc",""),IF(OR(L139=phu!$I$22,L139=phu!$I$23,L139=phu!$I$24,L139=phu!$I$25),"Cam Phúc Nam",""),IF(OR(L139=phu!$I$26,L139=phu!$I$27,L139=phu!$I$28,L139=phu!$I$29,L139=phu!$I$30,L139=phu!$I$31),"Cam Phú",""),IF(OR(L139=phu!$I$32,L139=phu!$I$33,L139=phu!$I$34,L139=phu!$I$35,L139=phu!$I$36,L139=phu!$I$37),"Cam Lộc",""),IF(OR(L139=phu!$I$38,L139=phu!$I$39,L139=phu!$I$40,L139=phu!$I$41,L139=phu!$I$42,L139=phu!$I$43,L139=phu!$I$44),"Cam Thuận",""),IF(OR(L139=phu!$I$45,L139=phu!$I$46,L139=phu!$I$47,L139=phu!$I$48,L139=phu!$I$49,L139=phu!$I$50,L139=phu!$I$51,L139=phu!$I$52,L139=phu!$I$53),"Cam Linh",""),IF(OR(L139=phu!$I$54,L139=phu!$I$55,L139=phu!$I$56,L139=phu!$I$57,L139=phu!$I$58,L139=phu!$I$59,L139=phu!$I$60,L139=phu!$I$61,L139=phu!$I$62),"Cam Lợi",""),IF(OR(L139=phu!$I$63,L139=phu!$I$64,L139=phu!$I$65,L139=phu!$I$66,L139=phu!$I$67,L139=phu!$I$68,L139=phu!$I$69,L139=phu!$I$70,L139=phu!$I$71),"Ba Ngòi",""),IF(OR(L139=phu!$I$72,L139=phu!$I$73,L139=phu!$I$74,L139=phu!$I$75,L139=phu!$I$76,L139=phu!$I$77,L139=phu!$I$78),"Cam Phước Đông",""),IF(OR(L139=phu!$I$79,L139=phu!$I$80,L139=phu!$I$81,L139=phu!$I$82,L139=phu!$I$83,L139=phu!$I$84),"Cam Thịnh Đông",""),IF(OR(L139=phu!$I$85,L139=phu!$I$86,L139=phu!$I$87,L139=phu!$I$88),"Cam Thịnh Tây",""),IF(OR(L139=phu!$I$89,L139=phu!$I$90),"Cam Lập",""),IF(OR(L139=phu!$I$91,L139=phu!$I$92,L139=phu!$I$93),"Cam Bình",""),IF(OR(L139=phu!$I$94,L139=phu!$I$95,L139=phu!$I$96,L139=phu!$I$97,L139=phu!$I$98,L139=phu!$I$99,L139=phu!$I$100),"Huyện khác",""),IF(OR(L139=phu!$I$101,L139=phu!$I$102),"Tỉnh khác",""))</f>
        <v/>
      </c>
      <c r="N139" s="835" t="str">
        <f t="shared" si="13"/>
        <v/>
      </c>
      <c r="O139" s="20"/>
      <c r="P139" s="20"/>
      <c r="Q139" s="20"/>
      <c r="R139" s="20"/>
      <c r="S139" s="20"/>
      <c r="T139" s="21"/>
      <c r="U139" s="21"/>
      <c r="V139" s="21"/>
      <c r="W139" s="7" t="str">
        <f t="shared" si="11"/>
        <v/>
      </c>
      <c r="X139" s="506" t="str">
        <f t="shared" si="12"/>
        <v/>
      </c>
    </row>
    <row r="140" spans="1:24" x14ac:dyDescent="0.25">
      <c r="A140" s="66" t="str">
        <f t="shared" si="14"/>
        <v/>
      </c>
      <c r="B140" s="23" t="str">
        <f t="shared" si="10"/>
        <v/>
      </c>
      <c r="C140" s="15"/>
      <c r="D140" s="16"/>
      <c r="E140" s="17"/>
      <c r="F140" s="18"/>
      <c r="G140" s="18"/>
      <c r="H140" s="19"/>
      <c r="I140" s="15"/>
      <c r="J140" s="20"/>
      <c r="K140" s="15"/>
      <c r="L140" s="15"/>
      <c r="M140" s="531" t="str">
        <f>CONCATENATE(IF(OR(L140=phu!$I$1,L140=phu!$I$2,L140=phu!$I$3),"Cam Thành Nam",""),IF(OR(L140=phu!$I$4,L140=phu!$I$5,L140=phu!$I$6,L140=phu!$I$7,L140=phu!$I$8,L140=phu!$I$9,L140=phu!$I$10,L140=phu!$I$11,L140=phu!$I$12,L140=phu!$I$13,L140=phu!$I$14),"Cam Nghĩa",""),IF(OR(L140=phu!$I$15,L140=phu!$I$16,L140=phu!$I$17,L140=phu!$I$18,L140=phu!$I$19,L140=phu!$I$20,L140=phu!$I$21),"Cam Phúc Bắc",""),IF(OR(L140=phu!$I$22,L140=phu!$I$23,L140=phu!$I$24,L140=phu!$I$25),"Cam Phúc Nam",""),IF(OR(L140=phu!$I$26,L140=phu!$I$27,L140=phu!$I$28,L140=phu!$I$29,L140=phu!$I$30,L140=phu!$I$31),"Cam Phú",""),IF(OR(L140=phu!$I$32,L140=phu!$I$33,L140=phu!$I$34,L140=phu!$I$35,L140=phu!$I$36,L140=phu!$I$37),"Cam Lộc",""),IF(OR(L140=phu!$I$38,L140=phu!$I$39,L140=phu!$I$40,L140=phu!$I$41,L140=phu!$I$42,L140=phu!$I$43,L140=phu!$I$44),"Cam Thuận",""),IF(OR(L140=phu!$I$45,L140=phu!$I$46,L140=phu!$I$47,L140=phu!$I$48,L140=phu!$I$49,L140=phu!$I$50,L140=phu!$I$51,L140=phu!$I$52,L140=phu!$I$53),"Cam Linh",""),IF(OR(L140=phu!$I$54,L140=phu!$I$55,L140=phu!$I$56,L140=phu!$I$57,L140=phu!$I$58,L140=phu!$I$59,L140=phu!$I$60,L140=phu!$I$61,L140=phu!$I$62),"Cam Lợi",""),IF(OR(L140=phu!$I$63,L140=phu!$I$64,L140=phu!$I$65,L140=phu!$I$66,L140=phu!$I$67,L140=phu!$I$68,L140=phu!$I$69,L140=phu!$I$70,L140=phu!$I$71),"Ba Ngòi",""),IF(OR(L140=phu!$I$72,L140=phu!$I$73,L140=phu!$I$74,L140=phu!$I$75,L140=phu!$I$76,L140=phu!$I$77,L140=phu!$I$78),"Cam Phước Đông",""),IF(OR(L140=phu!$I$79,L140=phu!$I$80,L140=phu!$I$81,L140=phu!$I$82,L140=phu!$I$83,L140=phu!$I$84),"Cam Thịnh Đông",""),IF(OR(L140=phu!$I$85,L140=phu!$I$86,L140=phu!$I$87,L140=phu!$I$88),"Cam Thịnh Tây",""),IF(OR(L140=phu!$I$89,L140=phu!$I$90),"Cam Lập",""),IF(OR(L140=phu!$I$91,L140=phu!$I$92,L140=phu!$I$93),"Cam Bình",""),IF(OR(L140=phu!$I$94,L140=phu!$I$95,L140=phu!$I$96,L140=phu!$I$97,L140=phu!$I$98,L140=phu!$I$99,L140=phu!$I$100),"Huyện khác",""),IF(OR(L140=phu!$I$101,L140=phu!$I$102),"Tỉnh khác",""))</f>
        <v/>
      </c>
      <c r="N140" s="835" t="str">
        <f t="shared" si="13"/>
        <v/>
      </c>
      <c r="O140" s="20"/>
      <c r="P140" s="20"/>
      <c r="Q140" s="20"/>
      <c r="R140" s="20"/>
      <c r="S140" s="20"/>
      <c r="T140" s="21"/>
      <c r="U140" s="21"/>
      <c r="V140" s="21"/>
      <c r="W140" s="7" t="str">
        <f t="shared" si="11"/>
        <v/>
      </c>
      <c r="X140" s="506" t="str">
        <f t="shared" si="12"/>
        <v/>
      </c>
    </row>
    <row r="141" spans="1:24" x14ac:dyDescent="0.25">
      <c r="A141" s="66" t="str">
        <f t="shared" si="14"/>
        <v/>
      </c>
      <c r="B141" s="23" t="str">
        <f t="shared" si="10"/>
        <v/>
      </c>
      <c r="C141" s="15"/>
      <c r="D141" s="16"/>
      <c r="E141" s="17"/>
      <c r="F141" s="18"/>
      <c r="G141" s="18"/>
      <c r="H141" s="19"/>
      <c r="I141" s="15"/>
      <c r="J141" s="20"/>
      <c r="K141" s="15"/>
      <c r="L141" s="15"/>
      <c r="M141" s="531" t="str">
        <f>CONCATENATE(IF(OR(L141=phu!$I$1,L141=phu!$I$2,L141=phu!$I$3),"Cam Thành Nam",""),IF(OR(L141=phu!$I$4,L141=phu!$I$5,L141=phu!$I$6,L141=phu!$I$7,L141=phu!$I$8,L141=phu!$I$9,L141=phu!$I$10,L141=phu!$I$11,L141=phu!$I$12,L141=phu!$I$13,L141=phu!$I$14),"Cam Nghĩa",""),IF(OR(L141=phu!$I$15,L141=phu!$I$16,L141=phu!$I$17,L141=phu!$I$18,L141=phu!$I$19,L141=phu!$I$20,L141=phu!$I$21),"Cam Phúc Bắc",""),IF(OR(L141=phu!$I$22,L141=phu!$I$23,L141=phu!$I$24,L141=phu!$I$25),"Cam Phúc Nam",""),IF(OR(L141=phu!$I$26,L141=phu!$I$27,L141=phu!$I$28,L141=phu!$I$29,L141=phu!$I$30,L141=phu!$I$31),"Cam Phú",""),IF(OR(L141=phu!$I$32,L141=phu!$I$33,L141=phu!$I$34,L141=phu!$I$35,L141=phu!$I$36,L141=phu!$I$37),"Cam Lộc",""),IF(OR(L141=phu!$I$38,L141=phu!$I$39,L141=phu!$I$40,L141=phu!$I$41,L141=phu!$I$42,L141=phu!$I$43,L141=phu!$I$44),"Cam Thuận",""),IF(OR(L141=phu!$I$45,L141=phu!$I$46,L141=phu!$I$47,L141=phu!$I$48,L141=phu!$I$49,L141=phu!$I$50,L141=phu!$I$51,L141=phu!$I$52,L141=phu!$I$53),"Cam Linh",""),IF(OR(L141=phu!$I$54,L141=phu!$I$55,L141=phu!$I$56,L141=phu!$I$57,L141=phu!$I$58,L141=phu!$I$59,L141=phu!$I$60,L141=phu!$I$61,L141=phu!$I$62),"Cam Lợi",""),IF(OR(L141=phu!$I$63,L141=phu!$I$64,L141=phu!$I$65,L141=phu!$I$66,L141=phu!$I$67,L141=phu!$I$68,L141=phu!$I$69,L141=phu!$I$70,L141=phu!$I$71),"Ba Ngòi",""),IF(OR(L141=phu!$I$72,L141=phu!$I$73,L141=phu!$I$74,L141=phu!$I$75,L141=phu!$I$76,L141=phu!$I$77,L141=phu!$I$78),"Cam Phước Đông",""),IF(OR(L141=phu!$I$79,L141=phu!$I$80,L141=phu!$I$81,L141=phu!$I$82,L141=phu!$I$83,L141=phu!$I$84),"Cam Thịnh Đông",""),IF(OR(L141=phu!$I$85,L141=phu!$I$86,L141=phu!$I$87,L141=phu!$I$88),"Cam Thịnh Tây",""),IF(OR(L141=phu!$I$89,L141=phu!$I$90),"Cam Lập",""),IF(OR(L141=phu!$I$91,L141=phu!$I$92,L141=phu!$I$93),"Cam Bình",""),IF(OR(L141=phu!$I$94,L141=phu!$I$95,L141=phu!$I$96,L141=phu!$I$97,L141=phu!$I$98,L141=phu!$I$99,L141=phu!$I$100),"Huyện khác",""),IF(OR(L141=phu!$I$101,L141=phu!$I$102),"Tỉnh khác",""))</f>
        <v/>
      </c>
      <c r="N141" s="835" t="str">
        <f t="shared" si="13"/>
        <v/>
      </c>
      <c r="O141" s="20"/>
      <c r="P141" s="20"/>
      <c r="Q141" s="20"/>
      <c r="R141" s="20"/>
      <c r="S141" s="20"/>
      <c r="T141" s="21"/>
      <c r="U141" s="21"/>
      <c r="V141" s="21"/>
      <c r="W141" s="7" t="str">
        <f t="shared" si="11"/>
        <v/>
      </c>
      <c r="X141" s="506" t="str">
        <f t="shared" si="12"/>
        <v/>
      </c>
    </row>
    <row r="142" spans="1:24" x14ac:dyDescent="0.25">
      <c r="A142" s="66" t="str">
        <f t="shared" si="14"/>
        <v/>
      </c>
      <c r="B142" s="23" t="str">
        <f t="shared" si="10"/>
        <v/>
      </c>
      <c r="C142" s="15"/>
      <c r="D142" s="16"/>
      <c r="E142" s="17"/>
      <c r="F142" s="18"/>
      <c r="G142" s="18"/>
      <c r="H142" s="19"/>
      <c r="I142" s="15"/>
      <c r="J142" s="20"/>
      <c r="K142" s="15"/>
      <c r="L142" s="15"/>
      <c r="M142" s="531" t="str">
        <f>CONCATENATE(IF(OR(L142=phu!$I$1,L142=phu!$I$2,L142=phu!$I$3),"Cam Thành Nam",""),IF(OR(L142=phu!$I$4,L142=phu!$I$5,L142=phu!$I$6,L142=phu!$I$7,L142=phu!$I$8,L142=phu!$I$9,L142=phu!$I$10,L142=phu!$I$11,L142=phu!$I$12,L142=phu!$I$13,L142=phu!$I$14),"Cam Nghĩa",""),IF(OR(L142=phu!$I$15,L142=phu!$I$16,L142=phu!$I$17,L142=phu!$I$18,L142=phu!$I$19,L142=phu!$I$20,L142=phu!$I$21),"Cam Phúc Bắc",""),IF(OR(L142=phu!$I$22,L142=phu!$I$23,L142=phu!$I$24,L142=phu!$I$25),"Cam Phúc Nam",""),IF(OR(L142=phu!$I$26,L142=phu!$I$27,L142=phu!$I$28,L142=phu!$I$29,L142=phu!$I$30,L142=phu!$I$31),"Cam Phú",""),IF(OR(L142=phu!$I$32,L142=phu!$I$33,L142=phu!$I$34,L142=phu!$I$35,L142=phu!$I$36,L142=phu!$I$37),"Cam Lộc",""),IF(OR(L142=phu!$I$38,L142=phu!$I$39,L142=phu!$I$40,L142=phu!$I$41,L142=phu!$I$42,L142=phu!$I$43,L142=phu!$I$44),"Cam Thuận",""),IF(OR(L142=phu!$I$45,L142=phu!$I$46,L142=phu!$I$47,L142=phu!$I$48,L142=phu!$I$49,L142=phu!$I$50,L142=phu!$I$51,L142=phu!$I$52,L142=phu!$I$53),"Cam Linh",""),IF(OR(L142=phu!$I$54,L142=phu!$I$55,L142=phu!$I$56,L142=phu!$I$57,L142=phu!$I$58,L142=phu!$I$59,L142=phu!$I$60,L142=phu!$I$61,L142=phu!$I$62),"Cam Lợi",""),IF(OR(L142=phu!$I$63,L142=phu!$I$64,L142=phu!$I$65,L142=phu!$I$66,L142=phu!$I$67,L142=phu!$I$68,L142=phu!$I$69,L142=phu!$I$70,L142=phu!$I$71),"Ba Ngòi",""),IF(OR(L142=phu!$I$72,L142=phu!$I$73,L142=phu!$I$74,L142=phu!$I$75,L142=phu!$I$76,L142=phu!$I$77,L142=phu!$I$78),"Cam Phước Đông",""),IF(OR(L142=phu!$I$79,L142=phu!$I$80,L142=phu!$I$81,L142=phu!$I$82,L142=phu!$I$83,L142=phu!$I$84),"Cam Thịnh Đông",""),IF(OR(L142=phu!$I$85,L142=phu!$I$86,L142=phu!$I$87,L142=phu!$I$88),"Cam Thịnh Tây",""),IF(OR(L142=phu!$I$89,L142=phu!$I$90),"Cam Lập",""),IF(OR(L142=phu!$I$91,L142=phu!$I$92,L142=phu!$I$93),"Cam Bình",""),IF(OR(L142=phu!$I$94,L142=phu!$I$95,L142=phu!$I$96,L142=phu!$I$97,L142=phu!$I$98,L142=phu!$I$99,L142=phu!$I$100),"Huyện khác",""),IF(OR(L142=phu!$I$101,L142=phu!$I$102),"Tỉnh khác",""))</f>
        <v/>
      </c>
      <c r="N142" s="835" t="str">
        <f t="shared" si="13"/>
        <v/>
      </c>
      <c r="O142" s="20"/>
      <c r="P142" s="20"/>
      <c r="Q142" s="20"/>
      <c r="R142" s="20"/>
      <c r="S142" s="20"/>
      <c r="T142" s="21"/>
      <c r="U142" s="21"/>
      <c r="V142" s="21"/>
      <c r="W142" s="7" t="str">
        <f t="shared" si="11"/>
        <v/>
      </c>
      <c r="X142" s="506" t="str">
        <f t="shared" si="12"/>
        <v/>
      </c>
    </row>
    <row r="143" spans="1:24" x14ac:dyDescent="0.25">
      <c r="A143" s="66" t="str">
        <f t="shared" si="14"/>
        <v/>
      </c>
      <c r="B143" s="23" t="str">
        <f t="shared" si="10"/>
        <v/>
      </c>
      <c r="C143" s="15"/>
      <c r="D143" s="16"/>
      <c r="E143" s="17"/>
      <c r="F143" s="18"/>
      <c r="G143" s="18"/>
      <c r="H143" s="19"/>
      <c r="I143" s="15"/>
      <c r="J143" s="20"/>
      <c r="K143" s="15"/>
      <c r="L143" s="15"/>
      <c r="M143" s="531" t="str">
        <f>CONCATENATE(IF(OR(L143=phu!$I$1,L143=phu!$I$2,L143=phu!$I$3),"Cam Thành Nam",""),IF(OR(L143=phu!$I$4,L143=phu!$I$5,L143=phu!$I$6,L143=phu!$I$7,L143=phu!$I$8,L143=phu!$I$9,L143=phu!$I$10,L143=phu!$I$11,L143=phu!$I$12,L143=phu!$I$13,L143=phu!$I$14),"Cam Nghĩa",""),IF(OR(L143=phu!$I$15,L143=phu!$I$16,L143=phu!$I$17,L143=phu!$I$18,L143=phu!$I$19,L143=phu!$I$20,L143=phu!$I$21),"Cam Phúc Bắc",""),IF(OR(L143=phu!$I$22,L143=phu!$I$23,L143=phu!$I$24,L143=phu!$I$25),"Cam Phúc Nam",""),IF(OR(L143=phu!$I$26,L143=phu!$I$27,L143=phu!$I$28,L143=phu!$I$29,L143=phu!$I$30,L143=phu!$I$31),"Cam Phú",""),IF(OR(L143=phu!$I$32,L143=phu!$I$33,L143=phu!$I$34,L143=phu!$I$35,L143=phu!$I$36,L143=phu!$I$37),"Cam Lộc",""),IF(OR(L143=phu!$I$38,L143=phu!$I$39,L143=phu!$I$40,L143=phu!$I$41,L143=phu!$I$42,L143=phu!$I$43,L143=phu!$I$44),"Cam Thuận",""),IF(OR(L143=phu!$I$45,L143=phu!$I$46,L143=phu!$I$47,L143=phu!$I$48,L143=phu!$I$49,L143=phu!$I$50,L143=phu!$I$51,L143=phu!$I$52,L143=phu!$I$53),"Cam Linh",""),IF(OR(L143=phu!$I$54,L143=phu!$I$55,L143=phu!$I$56,L143=phu!$I$57,L143=phu!$I$58,L143=phu!$I$59,L143=phu!$I$60,L143=phu!$I$61,L143=phu!$I$62),"Cam Lợi",""),IF(OR(L143=phu!$I$63,L143=phu!$I$64,L143=phu!$I$65,L143=phu!$I$66,L143=phu!$I$67,L143=phu!$I$68,L143=phu!$I$69,L143=phu!$I$70,L143=phu!$I$71),"Ba Ngòi",""),IF(OR(L143=phu!$I$72,L143=phu!$I$73,L143=phu!$I$74,L143=phu!$I$75,L143=phu!$I$76,L143=phu!$I$77,L143=phu!$I$78),"Cam Phước Đông",""),IF(OR(L143=phu!$I$79,L143=phu!$I$80,L143=phu!$I$81,L143=phu!$I$82,L143=phu!$I$83,L143=phu!$I$84),"Cam Thịnh Đông",""),IF(OR(L143=phu!$I$85,L143=phu!$I$86,L143=phu!$I$87,L143=phu!$I$88),"Cam Thịnh Tây",""),IF(OR(L143=phu!$I$89,L143=phu!$I$90),"Cam Lập",""),IF(OR(L143=phu!$I$91,L143=phu!$I$92,L143=phu!$I$93),"Cam Bình",""),IF(OR(L143=phu!$I$94,L143=phu!$I$95,L143=phu!$I$96,L143=phu!$I$97,L143=phu!$I$98,L143=phu!$I$99,L143=phu!$I$100),"Huyện khác",""),IF(OR(L143=phu!$I$101,L143=phu!$I$102),"Tỉnh khác",""))</f>
        <v/>
      </c>
      <c r="N143" s="835" t="str">
        <f t="shared" si="13"/>
        <v/>
      </c>
      <c r="O143" s="20"/>
      <c r="P143" s="20"/>
      <c r="Q143" s="20"/>
      <c r="R143" s="20"/>
      <c r="S143" s="20"/>
      <c r="T143" s="21"/>
      <c r="U143" s="21"/>
      <c r="V143" s="21"/>
      <c r="W143" s="7" t="str">
        <f t="shared" si="11"/>
        <v/>
      </c>
      <c r="X143" s="506" t="str">
        <f t="shared" si="12"/>
        <v/>
      </c>
    </row>
    <row r="144" spans="1:24" x14ac:dyDescent="0.25">
      <c r="A144" s="66" t="str">
        <f t="shared" si="14"/>
        <v/>
      </c>
      <c r="B144" s="23" t="str">
        <f t="shared" si="10"/>
        <v/>
      </c>
      <c r="C144" s="15"/>
      <c r="D144" s="16"/>
      <c r="E144" s="17"/>
      <c r="F144" s="18"/>
      <c r="G144" s="18"/>
      <c r="H144" s="19"/>
      <c r="I144" s="15"/>
      <c r="J144" s="20"/>
      <c r="K144" s="15"/>
      <c r="L144" s="15"/>
      <c r="M144" s="531" t="str">
        <f>CONCATENATE(IF(OR(L144=phu!$I$1,L144=phu!$I$2,L144=phu!$I$3),"Cam Thành Nam",""),IF(OR(L144=phu!$I$4,L144=phu!$I$5,L144=phu!$I$6,L144=phu!$I$7,L144=phu!$I$8,L144=phu!$I$9,L144=phu!$I$10,L144=phu!$I$11,L144=phu!$I$12,L144=phu!$I$13,L144=phu!$I$14),"Cam Nghĩa",""),IF(OR(L144=phu!$I$15,L144=phu!$I$16,L144=phu!$I$17,L144=phu!$I$18,L144=phu!$I$19,L144=phu!$I$20,L144=phu!$I$21),"Cam Phúc Bắc",""),IF(OR(L144=phu!$I$22,L144=phu!$I$23,L144=phu!$I$24,L144=phu!$I$25),"Cam Phúc Nam",""),IF(OR(L144=phu!$I$26,L144=phu!$I$27,L144=phu!$I$28,L144=phu!$I$29,L144=phu!$I$30,L144=phu!$I$31),"Cam Phú",""),IF(OR(L144=phu!$I$32,L144=phu!$I$33,L144=phu!$I$34,L144=phu!$I$35,L144=phu!$I$36,L144=phu!$I$37),"Cam Lộc",""),IF(OR(L144=phu!$I$38,L144=phu!$I$39,L144=phu!$I$40,L144=phu!$I$41,L144=phu!$I$42,L144=phu!$I$43,L144=phu!$I$44),"Cam Thuận",""),IF(OR(L144=phu!$I$45,L144=phu!$I$46,L144=phu!$I$47,L144=phu!$I$48,L144=phu!$I$49,L144=phu!$I$50,L144=phu!$I$51,L144=phu!$I$52,L144=phu!$I$53),"Cam Linh",""),IF(OR(L144=phu!$I$54,L144=phu!$I$55,L144=phu!$I$56,L144=phu!$I$57,L144=phu!$I$58,L144=phu!$I$59,L144=phu!$I$60,L144=phu!$I$61,L144=phu!$I$62),"Cam Lợi",""),IF(OR(L144=phu!$I$63,L144=phu!$I$64,L144=phu!$I$65,L144=phu!$I$66,L144=phu!$I$67,L144=phu!$I$68,L144=phu!$I$69,L144=phu!$I$70,L144=phu!$I$71),"Ba Ngòi",""),IF(OR(L144=phu!$I$72,L144=phu!$I$73,L144=phu!$I$74,L144=phu!$I$75,L144=phu!$I$76,L144=phu!$I$77,L144=phu!$I$78),"Cam Phước Đông",""),IF(OR(L144=phu!$I$79,L144=phu!$I$80,L144=phu!$I$81,L144=phu!$I$82,L144=phu!$I$83,L144=phu!$I$84),"Cam Thịnh Đông",""),IF(OR(L144=phu!$I$85,L144=phu!$I$86,L144=phu!$I$87,L144=phu!$I$88),"Cam Thịnh Tây",""),IF(OR(L144=phu!$I$89,L144=phu!$I$90),"Cam Lập",""),IF(OR(L144=phu!$I$91,L144=phu!$I$92,L144=phu!$I$93),"Cam Bình",""),IF(OR(L144=phu!$I$94,L144=phu!$I$95,L144=phu!$I$96,L144=phu!$I$97,L144=phu!$I$98,L144=phu!$I$99,L144=phu!$I$100),"Huyện khác",""),IF(OR(L144=phu!$I$101,L144=phu!$I$102),"Tỉnh khác",""))</f>
        <v/>
      </c>
      <c r="N144" s="835" t="str">
        <f t="shared" si="13"/>
        <v/>
      </c>
      <c r="O144" s="20"/>
      <c r="P144" s="20"/>
      <c r="Q144" s="20"/>
      <c r="R144" s="20"/>
      <c r="S144" s="20"/>
      <c r="T144" s="21"/>
      <c r="U144" s="21"/>
      <c r="V144" s="21"/>
      <c r="W144" s="7" t="str">
        <f t="shared" si="11"/>
        <v/>
      </c>
      <c r="X144" s="506" t="str">
        <f t="shared" si="12"/>
        <v/>
      </c>
    </row>
    <row r="145" spans="1:24" x14ac:dyDescent="0.25">
      <c r="A145" s="66" t="str">
        <f t="shared" si="14"/>
        <v/>
      </c>
      <c r="B145" s="23" t="str">
        <f t="shared" si="10"/>
        <v/>
      </c>
      <c r="C145" s="15"/>
      <c r="D145" s="16"/>
      <c r="E145" s="17"/>
      <c r="F145" s="18"/>
      <c r="G145" s="18"/>
      <c r="H145" s="19"/>
      <c r="I145" s="15"/>
      <c r="J145" s="20"/>
      <c r="K145" s="15"/>
      <c r="L145" s="15"/>
      <c r="M145" s="531" t="str">
        <f>CONCATENATE(IF(OR(L145=phu!$I$1,L145=phu!$I$2,L145=phu!$I$3),"Cam Thành Nam",""),IF(OR(L145=phu!$I$4,L145=phu!$I$5,L145=phu!$I$6,L145=phu!$I$7,L145=phu!$I$8,L145=phu!$I$9,L145=phu!$I$10,L145=phu!$I$11,L145=phu!$I$12,L145=phu!$I$13,L145=phu!$I$14),"Cam Nghĩa",""),IF(OR(L145=phu!$I$15,L145=phu!$I$16,L145=phu!$I$17,L145=phu!$I$18,L145=phu!$I$19,L145=phu!$I$20,L145=phu!$I$21),"Cam Phúc Bắc",""),IF(OR(L145=phu!$I$22,L145=phu!$I$23,L145=phu!$I$24,L145=phu!$I$25),"Cam Phúc Nam",""),IF(OR(L145=phu!$I$26,L145=phu!$I$27,L145=phu!$I$28,L145=phu!$I$29,L145=phu!$I$30,L145=phu!$I$31),"Cam Phú",""),IF(OR(L145=phu!$I$32,L145=phu!$I$33,L145=phu!$I$34,L145=phu!$I$35,L145=phu!$I$36,L145=phu!$I$37),"Cam Lộc",""),IF(OR(L145=phu!$I$38,L145=phu!$I$39,L145=phu!$I$40,L145=phu!$I$41,L145=phu!$I$42,L145=phu!$I$43,L145=phu!$I$44),"Cam Thuận",""),IF(OR(L145=phu!$I$45,L145=phu!$I$46,L145=phu!$I$47,L145=phu!$I$48,L145=phu!$I$49,L145=phu!$I$50,L145=phu!$I$51,L145=phu!$I$52,L145=phu!$I$53),"Cam Linh",""),IF(OR(L145=phu!$I$54,L145=phu!$I$55,L145=phu!$I$56,L145=phu!$I$57,L145=phu!$I$58,L145=phu!$I$59,L145=phu!$I$60,L145=phu!$I$61,L145=phu!$I$62),"Cam Lợi",""),IF(OR(L145=phu!$I$63,L145=phu!$I$64,L145=phu!$I$65,L145=phu!$I$66,L145=phu!$I$67,L145=phu!$I$68,L145=phu!$I$69,L145=phu!$I$70,L145=phu!$I$71),"Ba Ngòi",""),IF(OR(L145=phu!$I$72,L145=phu!$I$73,L145=phu!$I$74,L145=phu!$I$75,L145=phu!$I$76,L145=phu!$I$77,L145=phu!$I$78),"Cam Phước Đông",""),IF(OR(L145=phu!$I$79,L145=phu!$I$80,L145=phu!$I$81,L145=phu!$I$82,L145=phu!$I$83,L145=phu!$I$84),"Cam Thịnh Đông",""),IF(OR(L145=phu!$I$85,L145=phu!$I$86,L145=phu!$I$87,L145=phu!$I$88),"Cam Thịnh Tây",""),IF(OR(L145=phu!$I$89,L145=phu!$I$90),"Cam Lập",""),IF(OR(L145=phu!$I$91,L145=phu!$I$92,L145=phu!$I$93),"Cam Bình",""),IF(OR(L145=phu!$I$94,L145=phu!$I$95,L145=phu!$I$96,L145=phu!$I$97,L145=phu!$I$98,L145=phu!$I$99,L145=phu!$I$100),"Huyện khác",""),IF(OR(L145=phu!$I$101,L145=phu!$I$102),"Tỉnh khác",""))</f>
        <v/>
      </c>
      <c r="N145" s="835" t="str">
        <f t="shared" si="13"/>
        <v/>
      </c>
      <c r="O145" s="20"/>
      <c r="P145" s="20"/>
      <c r="Q145" s="20"/>
      <c r="R145" s="20"/>
      <c r="S145" s="20"/>
      <c r="T145" s="21"/>
      <c r="U145" s="21"/>
      <c r="V145" s="21"/>
      <c r="W145" s="7" t="str">
        <f t="shared" si="11"/>
        <v/>
      </c>
      <c r="X145" s="506" t="str">
        <f t="shared" si="12"/>
        <v/>
      </c>
    </row>
    <row r="146" spans="1:24" x14ac:dyDescent="0.25">
      <c r="A146" s="66" t="str">
        <f t="shared" si="14"/>
        <v/>
      </c>
      <c r="B146" s="23" t="str">
        <f t="shared" si="10"/>
        <v/>
      </c>
      <c r="C146" s="15"/>
      <c r="D146" s="16"/>
      <c r="E146" s="17"/>
      <c r="F146" s="18"/>
      <c r="G146" s="18"/>
      <c r="H146" s="19"/>
      <c r="I146" s="15"/>
      <c r="J146" s="20"/>
      <c r="K146" s="15"/>
      <c r="L146" s="15"/>
      <c r="M146" s="531" t="str">
        <f>CONCATENATE(IF(OR(L146=phu!$I$1,L146=phu!$I$2,L146=phu!$I$3),"Cam Thành Nam",""),IF(OR(L146=phu!$I$4,L146=phu!$I$5,L146=phu!$I$6,L146=phu!$I$7,L146=phu!$I$8,L146=phu!$I$9,L146=phu!$I$10,L146=phu!$I$11,L146=phu!$I$12,L146=phu!$I$13,L146=phu!$I$14),"Cam Nghĩa",""),IF(OR(L146=phu!$I$15,L146=phu!$I$16,L146=phu!$I$17,L146=phu!$I$18,L146=phu!$I$19,L146=phu!$I$20,L146=phu!$I$21),"Cam Phúc Bắc",""),IF(OR(L146=phu!$I$22,L146=phu!$I$23,L146=phu!$I$24,L146=phu!$I$25),"Cam Phúc Nam",""),IF(OR(L146=phu!$I$26,L146=phu!$I$27,L146=phu!$I$28,L146=phu!$I$29,L146=phu!$I$30,L146=phu!$I$31),"Cam Phú",""),IF(OR(L146=phu!$I$32,L146=phu!$I$33,L146=phu!$I$34,L146=phu!$I$35,L146=phu!$I$36,L146=phu!$I$37),"Cam Lộc",""),IF(OR(L146=phu!$I$38,L146=phu!$I$39,L146=phu!$I$40,L146=phu!$I$41,L146=phu!$I$42,L146=phu!$I$43,L146=phu!$I$44),"Cam Thuận",""),IF(OR(L146=phu!$I$45,L146=phu!$I$46,L146=phu!$I$47,L146=phu!$I$48,L146=phu!$I$49,L146=phu!$I$50,L146=phu!$I$51,L146=phu!$I$52,L146=phu!$I$53),"Cam Linh",""),IF(OR(L146=phu!$I$54,L146=phu!$I$55,L146=phu!$I$56,L146=phu!$I$57,L146=phu!$I$58,L146=phu!$I$59,L146=phu!$I$60,L146=phu!$I$61,L146=phu!$I$62),"Cam Lợi",""),IF(OR(L146=phu!$I$63,L146=phu!$I$64,L146=phu!$I$65,L146=phu!$I$66,L146=phu!$I$67,L146=phu!$I$68,L146=phu!$I$69,L146=phu!$I$70,L146=phu!$I$71),"Ba Ngòi",""),IF(OR(L146=phu!$I$72,L146=phu!$I$73,L146=phu!$I$74,L146=phu!$I$75,L146=phu!$I$76,L146=phu!$I$77,L146=phu!$I$78),"Cam Phước Đông",""),IF(OR(L146=phu!$I$79,L146=phu!$I$80,L146=phu!$I$81,L146=phu!$I$82,L146=phu!$I$83,L146=phu!$I$84),"Cam Thịnh Đông",""),IF(OR(L146=phu!$I$85,L146=phu!$I$86,L146=phu!$I$87,L146=phu!$I$88),"Cam Thịnh Tây",""),IF(OR(L146=phu!$I$89,L146=phu!$I$90),"Cam Lập",""),IF(OR(L146=phu!$I$91,L146=phu!$I$92,L146=phu!$I$93),"Cam Bình",""),IF(OR(L146=phu!$I$94,L146=phu!$I$95,L146=phu!$I$96,L146=phu!$I$97,L146=phu!$I$98,L146=phu!$I$99,L146=phu!$I$100),"Huyện khác",""),IF(OR(L146=phu!$I$101,L146=phu!$I$102),"Tỉnh khác",""))</f>
        <v/>
      </c>
      <c r="N146" s="835" t="str">
        <f t="shared" si="13"/>
        <v/>
      </c>
      <c r="O146" s="20"/>
      <c r="P146" s="20"/>
      <c r="Q146" s="20"/>
      <c r="R146" s="20"/>
      <c r="S146" s="20"/>
      <c r="T146" s="21"/>
      <c r="U146" s="21"/>
      <c r="V146" s="21"/>
      <c r="W146" s="7" t="str">
        <f t="shared" si="11"/>
        <v/>
      </c>
      <c r="X146" s="506" t="str">
        <f t="shared" si="12"/>
        <v/>
      </c>
    </row>
    <row r="147" spans="1:24" x14ac:dyDescent="0.25">
      <c r="A147" s="66" t="str">
        <f t="shared" si="14"/>
        <v/>
      </c>
      <c r="B147" s="23" t="str">
        <f t="shared" si="10"/>
        <v/>
      </c>
      <c r="C147" s="15"/>
      <c r="D147" s="16"/>
      <c r="E147" s="17"/>
      <c r="F147" s="18"/>
      <c r="G147" s="18"/>
      <c r="H147" s="19"/>
      <c r="I147" s="15"/>
      <c r="J147" s="20"/>
      <c r="K147" s="15"/>
      <c r="L147" s="15"/>
      <c r="M147" s="531" t="str">
        <f>CONCATENATE(IF(OR(L147=phu!$I$1,L147=phu!$I$2,L147=phu!$I$3),"Cam Thành Nam",""),IF(OR(L147=phu!$I$4,L147=phu!$I$5,L147=phu!$I$6,L147=phu!$I$7,L147=phu!$I$8,L147=phu!$I$9,L147=phu!$I$10,L147=phu!$I$11,L147=phu!$I$12,L147=phu!$I$13,L147=phu!$I$14),"Cam Nghĩa",""),IF(OR(L147=phu!$I$15,L147=phu!$I$16,L147=phu!$I$17,L147=phu!$I$18,L147=phu!$I$19,L147=phu!$I$20,L147=phu!$I$21),"Cam Phúc Bắc",""),IF(OR(L147=phu!$I$22,L147=phu!$I$23,L147=phu!$I$24,L147=phu!$I$25),"Cam Phúc Nam",""),IF(OR(L147=phu!$I$26,L147=phu!$I$27,L147=phu!$I$28,L147=phu!$I$29,L147=phu!$I$30,L147=phu!$I$31),"Cam Phú",""),IF(OR(L147=phu!$I$32,L147=phu!$I$33,L147=phu!$I$34,L147=phu!$I$35,L147=phu!$I$36,L147=phu!$I$37),"Cam Lộc",""),IF(OR(L147=phu!$I$38,L147=phu!$I$39,L147=phu!$I$40,L147=phu!$I$41,L147=phu!$I$42,L147=phu!$I$43,L147=phu!$I$44),"Cam Thuận",""),IF(OR(L147=phu!$I$45,L147=phu!$I$46,L147=phu!$I$47,L147=phu!$I$48,L147=phu!$I$49,L147=phu!$I$50,L147=phu!$I$51,L147=phu!$I$52,L147=phu!$I$53),"Cam Linh",""),IF(OR(L147=phu!$I$54,L147=phu!$I$55,L147=phu!$I$56,L147=phu!$I$57,L147=phu!$I$58,L147=phu!$I$59,L147=phu!$I$60,L147=phu!$I$61,L147=phu!$I$62),"Cam Lợi",""),IF(OR(L147=phu!$I$63,L147=phu!$I$64,L147=phu!$I$65,L147=phu!$I$66,L147=phu!$I$67,L147=phu!$I$68,L147=phu!$I$69,L147=phu!$I$70,L147=phu!$I$71),"Ba Ngòi",""),IF(OR(L147=phu!$I$72,L147=phu!$I$73,L147=phu!$I$74,L147=phu!$I$75,L147=phu!$I$76,L147=phu!$I$77,L147=phu!$I$78),"Cam Phước Đông",""),IF(OR(L147=phu!$I$79,L147=phu!$I$80,L147=phu!$I$81,L147=phu!$I$82,L147=phu!$I$83,L147=phu!$I$84),"Cam Thịnh Đông",""),IF(OR(L147=phu!$I$85,L147=phu!$I$86,L147=phu!$I$87,L147=phu!$I$88),"Cam Thịnh Tây",""),IF(OR(L147=phu!$I$89,L147=phu!$I$90),"Cam Lập",""),IF(OR(L147=phu!$I$91,L147=phu!$I$92,L147=phu!$I$93),"Cam Bình",""),IF(OR(L147=phu!$I$94,L147=phu!$I$95,L147=phu!$I$96,L147=phu!$I$97,L147=phu!$I$98,L147=phu!$I$99,L147=phu!$I$100),"Huyện khác",""),IF(OR(L147=phu!$I$101,L147=phu!$I$102),"Tỉnh khác",""))</f>
        <v/>
      </c>
      <c r="N147" s="835" t="str">
        <f t="shared" si="13"/>
        <v/>
      </c>
      <c r="O147" s="20"/>
      <c r="P147" s="20"/>
      <c r="Q147" s="20"/>
      <c r="R147" s="20"/>
      <c r="S147" s="20"/>
      <c r="T147" s="21"/>
      <c r="U147" s="21"/>
      <c r="V147" s="21"/>
      <c r="W147" s="7" t="str">
        <f t="shared" si="11"/>
        <v/>
      </c>
      <c r="X147" s="506" t="str">
        <f t="shared" si="12"/>
        <v/>
      </c>
    </row>
    <row r="148" spans="1:24" x14ac:dyDescent="0.25">
      <c r="A148" s="66" t="str">
        <f t="shared" si="14"/>
        <v/>
      </c>
      <c r="B148" s="23" t="str">
        <f t="shared" si="10"/>
        <v/>
      </c>
      <c r="C148" s="15"/>
      <c r="D148" s="16"/>
      <c r="E148" s="17"/>
      <c r="F148" s="18"/>
      <c r="G148" s="18"/>
      <c r="H148" s="19"/>
      <c r="I148" s="15"/>
      <c r="J148" s="20"/>
      <c r="K148" s="15"/>
      <c r="L148" s="15"/>
      <c r="M148" s="531" t="str">
        <f>CONCATENATE(IF(OR(L148=phu!$I$1,L148=phu!$I$2,L148=phu!$I$3),"Cam Thành Nam",""),IF(OR(L148=phu!$I$4,L148=phu!$I$5,L148=phu!$I$6,L148=phu!$I$7,L148=phu!$I$8,L148=phu!$I$9,L148=phu!$I$10,L148=phu!$I$11,L148=phu!$I$12,L148=phu!$I$13,L148=phu!$I$14),"Cam Nghĩa",""),IF(OR(L148=phu!$I$15,L148=phu!$I$16,L148=phu!$I$17,L148=phu!$I$18,L148=phu!$I$19,L148=phu!$I$20,L148=phu!$I$21),"Cam Phúc Bắc",""),IF(OR(L148=phu!$I$22,L148=phu!$I$23,L148=phu!$I$24,L148=phu!$I$25),"Cam Phúc Nam",""),IF(OR(L148=phu!$I$26,L148=phu!$I$27,L148=phu!$I$28,L148=phu!$I$29,L148=phu!$I$30,L148=phu!$I$31),"Cam Phú",""),IF(OR(L148=phu!$I$32,L148=phu!$I$33,L148=phu!$I$34,L148=phu!$I$35,L148=phu!$I$36,L148=phu!$I$37),"Cam Lộc",""),IF(OR(L148=phu!$I$38,L148=phu!$I$39,L148=phu!$I$40,L148=phu!$I$41,L148=phu!$I$42,L148=phu!$I$43,L148=phu!$I$44),"Cam Thuận",""),IF(OR(L148=phu!$I$45,L148=phu!$I$46,L148=phu!$I$47,L148=phu!$I$48,L148=phu!$I$49,L148=phu!$I$50,L148=phu!$I$51,L148=phu!$I$52,L148=phu!$I$53),"Cam Linh",""),IF(OR(L148=phu!$I$54,L148=phu!$I$55,L148=phu!$I$56,L148=phu!$I$57,L148=phu!$I$58,L148=phu!$I$59,L148=phu!$I$60,L148=phu!$I$61,L148=phu!$I$62),"Cam Lợi",""),IF(OR(L148=phu!$I$63,L148=phu!$I$64,L148=phu!$I$65,L148=phu!$I$66,L148=phu!$I$67,L148=phu!$I$68,L148=phu!$I$69,L148=phu!$I$70,L148=phu!$I$71),"Ba Ngòi",""),IF(OR(L148=phu!$I$72,L148=phu!$I$73,L148=phu!$I$74,L148=phu!$I$75,L148=phu!$I$76,L148=phu!$I$77,L148=phu!$I$78),"Cam Phước Đông",""),IF(OR(L148=phu!$I$79,L148=phu!$I$80,L148=phu!$I$81,L148=phu!$I$82,L148=phu!$I$83,L148=phu!$I$84),"Cam Thịnh Đông",""),IF(OR(L148=phu!$I$85,L148=phu!$I$86,L148=phu!$I$87,L148=phu!$I$88),"Cam Thịnh Tây",""),IF(OR(L148=phu!$I$89,L148=phu!$I$90),"Cam Lập",""),IF(OR(L148=phu!$I$91,L148=phu!$I$92,L148=phu!$I$93),"Cam Bình",""),IF(OR(L148=phu!$I$94,L148=phu!$I$95,L148=phu!$I$96,L148=phu!$I$97,L148=phu!$I$98,L148=phu!$I$99,L148=phu!$I$100),"Huyện khác",""),IF(OR(L148=phu!$I$101,L148=phu!$I$102),"Tỉnh khác",""))</f>
        <v/>
      </c>
      <c r="N148" s="835" t="str">
        <f t="shared" si="13"/>
        <v/>
      </c>
      <c r="O148" s="20"/>
      <c r="P148" s="20"/>
      <c r="Q148" s="20"/>
      <c r="R148" s="20"/>
      <c r="S148" s="20"/>
      <c r="T148" s="21"/>
      <c r="U148" s="21"/>
      <c r="V148" s="21"/>
      <c r="W148" s="7" t="str">
        <f t="shared" si="11"/>
        <v/>
      </c>
      <c r="X148" s="506" t="str">
        <f t="shared" si="12"/>
        <v/>
      </c>
    </row>
    <row r="149" spans="1:24" x14ac:dyDescent="0.25">
      <c r="A149" s="66" t="str">
        <f t="shared" si="14"/>
        <v/>
      </c>
      <c r="B149" s="23" t="str">
        <f t="shared" si="10"/>
        <v/>
      </c>
      <c r="C149" s="15"/>
      <c r="D149" s="16"/>
      <c r="E149" s="17"/>
      <c r="F149" s="18"/>
      <c r="G149" s="18"/>
      <c r="H149" s="19"/>
      <c r="I149" s="15"/>
      <c r="J149" s="20"/>
      <c r="K149" s="15"/>
      <c r="L149" s="15"/>
      <c r="M149" s="531" t="str">
        <f>CONCATENATE(IF(OR(L149=phu!$I$1,L149=phu!$I$2,L149=phu!$I$3),"Cam Thành Nam",""),IF(OR(L149=phu!$I$4,L149=phu!$I$5,L149=phu!$I$6,L149=phu!$I$7,L149=phu!$I$8,L149=phu!$I$9,L149=phu!$I$10,L149=phu!$I$11,L149=phu!$I$12,L149=phu!$I$13,L149=phu!$I$14),"Cam Nghĩa",""),IF(OR(L149=phu!$I$15,L149=phu!$I$16,L149=phu!$I$17,L149=phu!$I$18,L149=phu!$I$19,L149=phu!$I$20,L149=phu!$I$21),"Cam Phúc Bắc",""),IF(OR(L149=phu!$I$22,L149=phu!$I$23,L149=phu!$I$24,L149=phu!$I$25),"Cam Phúc Nam",""),IF(OR(L149=phu!$I$26,L149=phu!$I$27,L149=phu!$I$28,L149=phu!$I$29,L149=phu!$I$30,L149=phu!$I$31),"Cam Phú",""),IF(OR(L149=phu!$I$32,L149=phu!$I$33,L149=phu!$I$34,L149=phu!$I$35,L149=phu!$I$36,L149=phu!$I$37),"Cam Lộc",""),IF(OR(L149=phu!$I$38,L149=phu!$I$39,L149=phu!$I$40,L149=phu!$I$41,L149=phu!$I$42,L149=phu!$I$43,L149=phu!$I$44),"Cam Thuận",""),IF(OR(L149=phu!$I$45,L149=phu!$I$46,L149=phu!$I$47,L149=phu!$I$48,L149=phu!$I$49,L149=phu!$I$50,L149=phu!$I$51,L149=phu!$I$52,L149=phu!$I$53),"Cam Linh",""),IF(OR(L149=phu!$I$54,L149=phu!$I$55,L149=phu!$I$56,L149=phu!$I$57,L149=phu!$I$58,L149=phu!$I$59,L149=phu!$I$60,L149=phu!$I$61,L149=phu!$I$62),"Cam Lợi",""),IF(OR(L149=phu!$I$63,L149=phu!$I$64,L149=phu!$I$65,L149=phu!$I$66,L149=phu!$I$67,L149=phu!$I$68,L149=phu!$I$69,L149=phu!$I$70,L149=phu!$I$71),"Ba Ngòi",""),IF(OR(L149=phu!$I$72,L149=phu!$I$73,L149=phu!$I$74,L149=phu!$I$75,L149=phu!$I$76,L149=phu!$I$77,L149=phu!$I$78),"Cam Phước Đông",""),IF(OR(L149=phu!$I$79,L149=phu!$I$80,L149=phu!$I$81,L149=phu!$I$82,L149=phu!$I$83,L149=phu!$I$84),"Cam Thịnh Đông",""),IF(OR(L149=phu!$I$85,L149=phu!$I$86,L149=phu!$I$87,L149=phu!$I$88),"Cam Thịnh Tây",""),IF(OR(L149=phu!$I$89,L149=phu!$I$90),"Cam Lập",""),IF(OR(L149=phu!$I$91,L149=phu!$I$92,L149=phu!$I$93),"Cam Bình",""),IF(OR(L149=phu!$I$94,L149=phu!$I$95,L149=phu!$I$96,L149=phu!$I$97,L149=phu!$I$98,L149=phu!$I$99,L149=phu!$I$100),"Huyện khác",""),IF(OR(L149=phu!$I$101,L149=phu!$I$102),"Tỉnh khác",""))</f>
        <v/>
      </c>
      <c r="N149" s="835" t="str">
        <f t="shared" si="13"/>
        <v/>
      </c>
      <c r="O149" s="20"/>
      <c r="P149" s="20"/>
      <c r="Q149" s="20"/>
      <c r="R149" s="20"/>
      <c r="S149" s="20"/>
      <c r="T149" s="21"/>
      <c r="U149" s="21"/>
      <c r="V149" s="21"/>
      <c r="W149" s="7" t="str">
        <f t="shared" si="11"/>
        <v/>
      </c>
      <c r="X149" s="506" t="str">
        <f t="shared" si="12"/>
        <v/>
      </c>
    </row>
    <row r="150" spans="1:24" x14ac:dyDescent="0.25">
      <c r="A150" s="66" t="str">
        <f t="shared" si="14"/>
        <v/>
      </c>
      <c r="B150" s="23" t="str">
        <f t="shared" si="10"/>
        <v/>
      </c>
      <c r="C150" s="15"/>
      <c r="D150" s="16"/>
      <c r="E150" s="17"/>
      <c r="F150" s="18"/>
      <c r="G150" s="18"/>
      <c r="H150" s="19"/>
      <c r="I150" s="25"/>
      <c r="J150" s="20"/>
      <c r="K150" s="15"/>
      <c r="L150" s="15"/>
      <c r="M150" s="531" t="str">
        <f>CONCATENATE(IF(OR(L150=phu!$I$1,L150=phu!$I$2,L150=phu!$I$3),"Cam Thành Nam",""),IF(OR(L150=phu!$I$4,L150=phu!$I$5,L150=phu!$I$6,L150=phu!$I$7,L150=phu!$I$8,L150=phu!$I$9,L150=phu!$I$10,L150=phu!$I$11,L150=phu!$I$12,L150=phu!$I$13,L150=phu!$I$14),"Cam Nghĩa",""),IF(OR(L150=phu!$I$15,L150=phu!$I$16,L150=phu!$I$17,L150=phu!$I$18,L150=phu!$I$19,L150=phu!$I$20,L150=phu!$I$21),"Cam Phúc Bắc",""),IF(OR(L150=phu!$I$22,L150=phu!$I$23,L150=phu!$I$24,L150=phu!$I$25),"Cam Phúc Nam",""),IF(OR(L150=phu!$I$26,L150=phu!$I$27,L150=phu!$I$28,L150=phu!$I$29,L150=phu!$I$30,L150=phu!$I$31),"Cam Phú",""),IF(OR(L150=phu!$I$32,L150=phu!$I$33,L150=phu!$I$34,L150=phu!$I$35,L150=phu!$I$36,L150=phu!$I$37),"Cam Lộc",""),IF(OR(L150=phu!$I$38,L150=phu!$I$39,L150=phu!$I$40,L150=phu!$I$41,L150=phu!$I$42,L150=phu!$I$43,L150=phu!$I$44),"Cam Thuận",""),IF(OR(L150=phu!$I$45,L150=phu!$I$46,L150=phu!$I$47,L150=phu!$I$48,L150=phu!$I$49,L150=phu!$I$50,L150=phu!$I$51,L150=phu!$I$52,L150=phu!$I$53),"Cam Linh",""),IF(OR(L150=phu!$I$54,L150=phu!$I$55,L150=phu!$I$56,L150=phu!$I$57,L150=phu!$I$58,L150=phu!$I$59,L150=phu!$I$60,L150=phu!$I$61,L150=phu!$I$62),"Cam Lợi",""),IF(OR(L150=phu!$I$63,L150=phu!$I$64,L150=phu!$I$65,L150=phu!$I$66,L150=phu!$I$67,L150=phu!$I$68,L150=phu!$I$69,L150=phu!$I$70,L150=phu!$I$71),"Ba Ngòi",""),IF(OR(L150=phu!$I$72,L150=phu!$I$73,L150=phu!$I$74,L150=phu!$I$75,L150=phu!$I$76,L150=phu!$I$77,L150=phu!$I$78),"Cam Phước Đông",""),IF(OR(L150=phu!$I$79,L150=phu!$I$80,L150=phu!$I$81,L150=phu!$I$82,L150=phu!$I$83,L150=phu!$I$84),"Cam Thịnh Đông",""),IF(OR(L150=phu!$I$85,L150=phu!$I$86,L150=phu!$I$87,L150=phu!$I$88),"Cam Thịnh Tây",""),IF(OR(L150=phu!$I$89,L150=phu!$I$90),"Cam Lập",""),IF(OR(L150=phu!$I$91,L150=phu!$I$92,L150=phu!$I$93),"Cam Bình",""),IF(OR(L150=phu!$I$94,L150=phu!$I$95,L150=phu!$I$96,L150=phu!$I$97,L150=phu!$I$98,L150=phu!$I$99,L150=phu!$I$100),"Huyện khác",""),IF(OR(L150=phu!$I$101,L150=phu!$I$102),"Tỉnh khác",""))</f>
        <v/>
      </c>
      <c r="N150" s="835" t="str">
        <f t="shared" si="13"/>
        <v/>
      </c>
      <c r="O150" s="20"/>
      <c r="P150" s="20"/>
      <c r="Q150" s="20"/>
      <c r="R150" s="20"/>
      <c r="S150" s="20"/>
      <c r="T150" s="21"/>
      <c r="U150" s="21"/>
      <c r="V150" s="21"/>
      <c r="W150" s="7" t="str">
        <f t="shared" si="11"/>
        <v/>
      </c>
      <c r="X150" s="506" t="str">
        <f t="shared" si="12"/>
        <v/>
      </c>
    </row>
    <row r="151" spans="1:24" x14ac:dyDescent="0.25">
      <c r="A151" s="66" t="str">
        <f t="shared" si="14"/>
        <v/>
      </c>
      <c r="B151" s="23" t="str">
        <f t="shared" si="10"/>
        <v/>
      </c>
      <c r="C151" s="15"/>
      <c r="D151" s="16"/>
      <c r="E151" s="17"/>
      <c r="F151" s="18"/>
      <c r="G151" s="18"/>
      <c r="H151" s="19"/>
      <c r="I151" s="15"/>
      <c r="J151" s="20"/>
      <c r="K151" s="15"/>
      <c r="L151" s="15"/>
      <c r="M151" s="531" t="str">
        <f>CONCATENATE(IF(OR(L151=phu!$I$1,L151=phu!$I$2,L151=phu!$I$3),"Cam Thành Nam",""),IF(OR(L151=phu!$I$4,L151=phu!$I$5,L151=phu!$I$6,L151=phu!$I$7,L151=phu!$I$8,L151=phu!$I$9,L151=phu!$I$10,L151=phu!$I$11,L151=phu!$I$12,L151=phu!$I$13,L151=phu!$I$14),"Cam Nghĩa",""),IF(OR(L151=phu!$I$15,L151=phu!$I$16,L151=phu!$I$17,L151=phu!$I$18,L151=phu!$I$19,L151=phu!$I$20,L151=phu!$I$21),"Cam Phúc Bắc",""),IF(OR(L151=phu!$I$22,L151=phu!$I$23,L151=phu!$I$24,L151=phu!$I$25),"Cam Phúc Nam",""),IF(OR(L151=phu!$I$26,L151=phu!$I$27,L151=phu!$I$28,L151=phu!$I$29,L151=phu!$I$30,L151=phu!$I$31),"Cam Phú",""),IF(OR(L151=phu!$I$32,L151=phu!$I$33,L151=phu!$I$34,L151=phu!$I$35,L151=phu!$I$36,L151=phu!$I$37),"Cam Lộc",""),IF(OR(L151=phu!$I$38,L151=phu!$I$39,L151=phu!$I$40,L151=phu!$I$41,L151=phu!$I$42,L151=phu!$I$43,L151=phu!$I$44),"Cam Thuận",""),IF(OR(L151=phu!$I$45,L151=phu!$I$46,L151=phu!$I$47,L151=phu!$I$48,L151=phu!$I$49,L151=phu!$I$50,L151=phu!$I$51,L151=phu!$I$52,L151=phu!$I$53),"Cam Linh",""),IF(OR(L151=phu!$I$54,L151=phu!$I$55,L151=phu!$I$56,L151=phu!$I$57,L151=phu!$I$58,L151=phu!$I$59,L151=phu!$I$60,L151=phu!$I$61,L151=phu!$I$62),"Cam Lợi",""),IF(OR(L151=phu!$I$63,L151=phu!$I$64,L151=phu!$I$65,L151=phu!$I$66,L151=phu!$I$67,L151=phu!$I$68,L151=phu!$I$69,L151=phu!$I$70,L151=phu!$I$71),"Ba Ngòi",""),IF(OR(L151=phu!$I$72,L151=phu!$I$73,L151=phu!$I$74,L151=phu!$I$75,L151=phu!$I$76,L151=phu!$I$77,L151=phu!$I$78),"Cam Phước Đông",""),IF(OR(L151=phu!$I$79,L151=phu!$I$80,L151=phu!$I$81,L151=phu!$I$82,L151=phu!$I$83,L151=phu!$I$84),"Cam Thịnh Đông",""),IF(OR(L151=phu!$I$85,L151=phu!$I$86,L151=phu!$I$87,L151=phu!$I$88),"Cam Thịnh Tây",""),IF(OR(L151=phu!$I$89,L151=phu!$I$90),"Cam Lập",""),IF(OR(L151=phu!$I$91,L151=phu!$I$92,L151=phu!$I$93),"Cam Bình",""),IF(OR(L151=phu!$I$94,L151=phu!$I$95,L151=phu!$I$96,L151=phu!$I$97,L151=phu!$I$98,L151=phu!$I$99,L151=phu!$I$100),"Huyện khác",""),IF(OR(L151=phu!$I$101,L151=phu!$I$102),"Tỉnh khác",""))</f>
        <v/>
      </c>
      <c r="N151" s="835" t="str">
        <f t="shared" si="13"/>
        <v/>
      </c>
      <c r="O151" s="20"/>
      <c r="P151" s="20"/>
      <c r="Q151" s="20"/>
      <c r="R151" s="20"/>
      <c r="S151" s="20"/>
      <c r="T151" s="21"/>
      <c r="U151" s="21"/>
      <c r="V151" s="21"/>
      <c r="W151" s="7" t="str">
        <f t="shared" si="11"/>
        <v/>
      </c>
      <c r="X151" s="506" t="str">
        <f t="shared" si="12"/>
        <v/>
      </c>
    </row>
    <row r="152" spans="1:24" x14ac:dyDescent="0.25">
      <c r="A152" s="66" t="str">
        <f t="shared" si="14"/>
        <v/>
      </c>
      <c r="B152" s="23" t="str">
        <f t="shared" si="10"/>
        <v/>
      </c>
      <c r="C152" s="15"/>
      <c r="D152" s="16"/>
      <c r="E152" s="17"/>
      <c r="F152" s="18"/>
      <c r="G152" s="18"/>
      <c r="H152" s="19"/>
      <c r="I152" s="15"/>
      <c r="J152" s="20"/>
      <c r="K152" s="15"/>
      <c r="L152" s="15"/>
      <c r="M152" s="531" t="str">
        <f>CONCATENATE(IF(OR(L152=phu!$I$1,L152=phu!$I$2,L152=phu!$I$3),"Cam Thành Nam",""),IF(OR(L152=phu!$I$4,L152=phu!$I$5,L152=phu!$I$6,L152=phu!$I$7,L152=phu!$I$8,L152=phu!$I$9,L152=phu!$I$10,L152=phu!$I$11,L152=phu!$I$12,L152=phu!$I$13,L152=phu!$I$14),"Cam Nghĩa",""),IF(OR(L152=phu!$I$15,L152=phu!$I$16,L152=phu!$I$17,L152=phu!$I$18,L152=phu!$I$19,L152=phu!$I$20,L152=phu!$I$21),"Cam Phúc Bắc",""),IF(OR(L152=phu!$I$22,L152=phu!$I$23,L152=phu!$I$24,L152=phu!$I$25),"Cam Phúc Nam",""),IF(OR(L152=phu!$I$26,L152=phu!$I$27,L152=phu!$I$28,L152=phu!$I$29,L152=phu!$I$30,L152=phu!$I$31),"Cam Phú",""),IF(OR(L152=phu!$I$32,L152=phu!$I$33,L152=phu!$I$34,L152=phu!$I$35,L152=phu!$I$36,L152=phu!$I$37),"Cam Lộc",""),IF(OR(L152=phu!$I$38,L152=phu!$I$39,L152=phu!$I$40,L152=phu!$I$41,L152=phu!$I$42,L152=phu!$I$43,L152=phu!$I$44),"Cam Thuận",""),IF(OR(L152=phu!$I$45,L152=phu!$I$46,L152=phu!$I$47,L152=phu!$I$48,L152=phu!$I$49,L152=phu!$I$50,L152=phu!$I$51,L152=phu!$I$52,L152=phu!$I$53),"Cam Linh",""),IF(OR(L152=phu!$I$54,L152=phu!$I$55,L152=phu!$I$56,L152=phu!$I$57,L152=phu!$I$58,L152=phu!$I$59,L152=phu!$I$60,L152=phu!$I$61,L152=phu!$I$62),"Cam Lợi",""),IF(OR(L152=phu!$I$63,L152=phu!$I$64,L152=phu!$I$65,L152=phu!$I$66,L152=phu!$I$67,L152=phu!$I$68,L152=phu!$I$69,L152=phu!$I$70,L152=phu!$I$71),"Ba Ngòi",""),IF(OR(L152=phu!$I$72,L152=phu!$I$73,L152=phu!$I$74,L152=phu!$I$75,L152=phu!$I$76,L152=phu!$I$77,L152=phu!$I$78),"Cam Phước Đông",""),IF(OR(L152=phu!$I$79,L152=phu!$I$80,L152=phu!$I$81,L152=phu!$I$82,L152=phu!$I$83,L152=phu!$I$84),"Cam Thịnh Đông",""),IF(OR(L152=phu!$I$85,L152=phu!$I$86,L152=phu!$I$87,L152=phu!$I$88),"Cam Thịnh Tây",""),IF(OR(L152=phu!$I$89,L152=phu!$I$90),"Cam Lập",""),IF(OR(L152=phu!$I$91,L152=phu!$I$92,L152=phu!$I$93),"Cam Bình",""),IF(OR(L152=phu!$I$94,L152=phu!$I$95,L152=phu!$I$96,L152=phu!$I$97,L152=phu!$I$98,L152=phu!$I$99,L152=phu!$I$100),"Huyện khác",""),IF(OR(L152=phu!$I$101,L152=phu!$I$102),"Tỉnh khác",""))</f>
        <v/>
      </c>
      <c r="N152" s="835" t="str">
        <f t="shared" si="13"/>
        <v/>
      </c>
      <c r="O152" s="20"/>
      <c r="P152" s="20"/>
      <c r="Q152" s="20"/>
      <c r="R152" s="20"/>
      <c r="S152" s="20"/>
      <c r="T152" s="21"/>
      <c r="U152" s="21"/>
      <c r="V152" s="21"/>
      <c r="W152" s="7" t="str">
        <f t="shared" si="11"/>
        <v/>
      </c>
      <c r="X152" s="506" t="str">
        <f t="shared" si="12"/>
        <v/>
      </c>
    </row>
    <row r="153" spans="1:24" x14ac:dyDescent="0.25">
      <c r="A153" s="66" t="str">
        <f t="shared" si="14"/>
        <v/>
      </c>
      <c r="B153" s="23" t="str">
        <f t="shared" si="10"/>
        <v/>
      </c>
      <c r="C153" s="15"/>
      <c r="D153" s="16"/>
      <c r="E153" s="17"/>
      <c r="F153" s="18"/>
      <c r="G153" s="18"/>
      <c r="H153" s="19"/>
      <c r="I153" s="15"/>
      <c r="J153" s="20"/>
      <c r="K153" s="15"/>
      <c r="L153" s="15"/>
      <c r="M153" s="531" t="str">
        <f>CONCATENATE(IF(OR(L153=phu!$I$1,L153=phu!$I$2,L153=phu!$I$3),"Cam Thành Nam",""),IF(OR(L153=phu!$I$4,L153=phu!$I$5,L153=phu!$I$6,L153=phu!$I$7,L153=phu!$I$8,L153=phu!$I$9,L153=phu!$I$10,L153=phu!$I$11,L153=phu!$I$12,L153=phu!$I$13,L153=phu!$I$14),"Cam Nghĩa",""),IF(OR(L153=phu!$I$15,L153=phu!$I$16,L153=phu!$I$17,L153=phu!$I$18,L153=phu!$I$19,L153=phu!$I$20,L153=phu!$I$21),"Cam Phúc Bắc",""),IF(OR(L153=phu!$I$22,L153=phu!$I$23,L153=phu!$I$24,L153=phu!$I$25),"Cam Phúc Nam",""),IF(OR(L153=phu!$I$26,L153=phu!$I$27,L153=phu!$I$28,L153=phu!$I$29,L153=phu!$I$30,L153=phu!$I$31),"Cam Phú",""),IF(OR(L153=phu!$I$32,L153=phu!$I$33,L153=phu!$I$34,L153=phu!$I$35,L153=phu!$I$36,L153=phu!$I$37),"Cam Lộc",""),IF(OR(L153=phu!$I$38,L153=phu!$I$39,L153=phu!$I$40,L153=phu!$I$41,L153=phu!$I$42,L153=phu!$I$43,L153=phu!$I$44),"Cam Thuận",""),IF(OR(L153=phu!$I$45,L153=phu!$I$46,L153=phu!$I$47,L153=phu!$I$48,L153=phu!$I$49,L153=phu!$I$50,L153=phu!$I$51,L153=phu!$I$52,L153=phu!$I$53),"Cam Linh",""),IF(OR(L153=phu!$I$54,L153=phu!$I$55,L153=phu!$I$56,L153=phu!$I$57,L153=phu!$I$58,L153=phu!$I$59,L153=phu!$I$60,L153=phu!$I$61,L153=phu!$I$62),"Cam Lợi",""),IF(OR(L153=phu!$I$63,L153=phu!$I$64,L153=phu!$I$65,L153=phu!$I$66,L153=phu!$I$67,L153=phu!$I$68,L153=phu!$I$69,L153=phu!$I$70,L153=phu!$I$71),"Ba Ngòi",""),IF(OR(L153=phu!$I$72,L153=phu!$I$73,L153=phu!$I$74,L153=phu!$I$75,L153=phu!$I$76,L153=phu!$I$77,L153=phu!$I$78),"Cam Phước Đông",""),IF(OR(L153=phu!$I$79,L153=phu!$I$80,L153=phu!$I$81,L153=phu!$I$82,L153=phu!$I$83,L153=phu!$I$84),"Cam Thịnh Đông",""),IF(OR(L153=phu!$I$85,L153=phu!$I$86,L153=phu!$I$87,L153=phu!$I$88),"Cam Thịnh Tây",""),IF(OR(L153=phu!$I$89,L153=phu!$I$90),"Cam Lập",""),IF(OR(L153=phu!$I$91,L153=phu!$I$92,L153=phu!$I$93),"Cam Bình",""),IF(OR(L153=phu!$I$94,L153=phu!$I$95,L153=phu!$I$96,L153=phu!$I$97,L153=phu!$I$98,L153=phu!$I$99,L153=phu!$I$100),"Huyện khác",""),IF(OR(L153=phu!$I$101,L153=phu!$I$102),"Tỉnh khác",""))</f>
        <v/>
      </c>
      <c r="N153" s="835" t="str">
        <f t="shared" si="13"/>
        <v/>
      </c>
      <c r="O153" s="20"/>
      <c r="P153" s="20"/>
      <c r="Q153" s="20"/>
      <c r="R153" s="20"/>
      <c r="S153" s="20"/>
      <c r="T153" s="21"/>
      <c r="U153" s="21"/>
      <c r="V153" s="21"/>
      <c r="W153" s="7" t="str">
        <f t="shared" si="11"/>
        <v/>
      </c>
      <c r="X153" s="506" t="str">
        <f t="shared" si="12"/>
        <v/>
      </c>
    </row>
    <row r="154" spans="1:24" x14ac:dyDescent="0.25">
      <c r="A154" s="66" t="str">
        <f t="shared" si="14"/>
        <v/>
      </c>
      <c r="B154" s="23" t="str">
        <f t="shared" si="10"/>
        <v/>
      </c>
      <c r="C154" s="15"/>
      <c r="D154" s="16"/>
      <c r="E154" s="17"/>
      <c r="F154" s="18"/>
      <c r="G154" s="18"/>
      <c r="H154" s="19"/>
      <c r="I154" s="15"/>
      <c r="J154" s="20"/>
      <c r="K154" s="15"/>
      <c r="L154" s="15"/>
      <c r="M154" s="531" t="str">
        <f>CONCATENATE(IF(OR(L154=phu!$I$1,L154=phu!$I$2,L154=phu!$I$3),"Cam Thành Nam",""),IF(OR(L154=phu!$I$4,L154=phu!$I$5,L154=phu!$I$6,L154=phu!$I$7,L154=phu!$I$8,L154=phu!$I$9,L154=phu!$I$10,L154=phu!$I$11,L154=phu!$I$12,L154=phu!$I$13,L154=phu!$I$14),"Cam Nghĩa",""),IF(OR(L154=phu!$I$15,L154=phu!$I$16,L154=phu!$I$17,L154=phu!$I$18,L154=phu!$I$19,L154=phu!$I$20,L154=phu!$I$21),"Cam Phúc Bắc",""),IF(OR(L154=phu!$I$22,L154=phu!$I$23,L154=phu!$I$24,L154=phu!$I$25),"Cam Phúc Nam",""),IF(OR(L154=phu!$I$26,L154=phu!$I$27,L154=phu!$I$28,L154=phu!$I$29,L154=phu!$I$30,L154=phu!$I$31),"Cam Phú",""),IF(OR(L154=phu!$I$32,L154=phu!$I$33,L154=phu!$I$34,L154=phu!$I$35,L154=phu!$I$36,L154=phu!$I$37),"Cam Lộc",""),IF(OR(L154=phu!$I$38,L154=phu!$I$39,L154=phu!$I$40,L154=phu!$I$41,L154=phu!$I$42,L154=phu!$I$43,L154=phu!$I$44),"Cam Thuận",""),IF(OR(L154=phu!$I$45,L154=phu!$I$46,L154=phu!$I$47,L154=phu!$I$48,L154=phu!$I$49,L154=phu!$I$50,L154=phu!$I$51,L154=phu!$I$52,L154=phu!$I$53),"Cam Linh",""),IF(OR(L154=phu!$I$54,L154=phu!$I$55,L154=phu!$I$56,L154=phu!$I$57,L154=phu!$I$58,L154=phu!$I$59,L154=phu!$I$60,L154=phu!$I$61,L154=phu!$I$62),"Cam Lợi",""),IF(OR(L154=phu!$I$63,L154=phu!$I$64,L154=phu!$I$65,L154=phu!$I$66,L154=phu!$I$67,L154=phu!$I$68,L154=phu!$I$69,L154=phu!$I$70,L154=phu!$I$71),"Ba Ngòi",""),IF(OR(L154=phu!$I$72,L154=phu!$I$73,L154=phu!$I$74,L154=phu!$I$75,L154=phu!$I$76,L154=phu!$I$77,L154=phu!$I$78),"Cam Phước Đông",""),IF(OR(L154=phu!$I$79,L154=phu!$I$80,L154=phu!$I$81,L154=phu!$I$82,L154=phu!$I$83,L154=phu!$I$84),"Cam Thịnh Đông",""),IF(OR(L154=phu!$I$85,L154=phu!$I$86,L154=phu!$I$87,L154=phu!$I$88),"Cam Thịnh Tây",""),IF(OR(L154=phu!$I$89,L154=phu!$I$90),"Cam Lập",""),IF(OR(L154=phu!$I$91,L154=phu!$I$92,L154=phu!$I$93),"Cam Bình",""),IF(OR(L154=phu!$I$94,L154=phu!$I$95,L154=phu!$I$96,L154=phu!$I$97,L154=phu!$I$98,L154=phu!$I$99,L154=phu!$I$100),"Huyện khác",""),IF(OR(L154=phu!$I$101,L154=phu!$I$102),"Tỉnh khác",""))</f>
        <v/>
      </c>
      <c r="N154" s="835" t="str">
        <f t="shared" si="13"/>
        <v/>
      </c>
      <c r="O154" s="20"/>
      <c r="P154" s="20"/>
      <c r="Q154" s="20"/>
      <c r="R154" s="20"/>
      <c r="S154" s="20"/>
      <c r="T154" s="21"/>
      <c r="U154" s="21"/>
      <c r="V154" s="21"/>
      <c r="W154" s="7" t="str">
        <f t="shared" si="11"/>
        <v/>
      </c>
      <c r="X154" s="506" t="str">
        <f t="shared" si="12"/>
        <v/>
      </c>
    </row>
    <row r="155" spans="1:24" x14ac:dyDescent="0.25">
      <c r="A155" s="66" t="str">
        <f t="shared" si="14"/>
        <v/>
      </c>
      <c r="B155" s="23" t="str">
        <f t="shared" si="10"/>
        <v/>
      </c>
      <c r="C155" s="15"/>
      <c r="D155" s="16"/>
      <c r="E155" s="17"/>
      <c r="F155" s="18"/>
      <c r="G155" s="18"/>
      <c r="H155" s="19"/>
      <c r="I155" s="15"/>
      <c r="J155" s="20"/>
      <c r="K155" s="15"/>
      <c r="L155" s="15"/>
      <c r="M155" s="531" t="str">
        <f>CONCATENATE(IF(OR(L155=phu!$I$1,L155=phu!$I$2,L155=phu!$I$3),"Cam Thành Nam",""),IF(OR(L155=phu!$I$4,L155=phu!$I$5,L155=phu!$I$6,L155=phu!$I$7,L155=phu!$I$8,L155=phu!$I$9,L155=phu!$I$10,L155=phu!$I$11,L155=phu!$I$12,L155=phu!$I$13,L155=phu!$I$14),"Cam Nghĩa",""),IF(OR(L155=phu!$I$15,L155=phu!$I$16,L155=phu!$I$17,L155=phu!$I$18,L155=phu!$I$19,L155=phu!$I$20,L155=phu!$I$21),"Cam Phúc Bắc",""),IF(OR(L155=phu!$I$22,L155=phu!$I$23,L155=phu!$I$24,L155=phu!$I$25),"Cam Phúc Nam",""),IF(OR(L155=phu!$I$26,L155=phu!$I$27,L155=phu!$I$28,L155=phu!$I$29,L155=phu!$I$30,L155=phu!$I$31),"Cam Phú",""),IF(OR(L155=phu!$I$32,L155=phu!$I$33,L155=phu!$I$34,L155=phu!$I$35,L155=phu!$I$36,L155=phu!$I$37),"Cam Lộc",""),IF(OR(L155=phu!$I$38,L155=phu!$I$39,L155=phu!$I$40,L155=phu!$I$41,L155=phu!$I$42,L155=phu!$I$43,L155=phu!$I$44),"Cam Thuận",""),IF(OR(L155=phu!$I$45,L155=phu!$I$46,L155=phu!$I$47,L155=phu!$I$48,L155=phu!$I$49,L155=phu!$I$50,L155=phu!$I$51,L155=phu!$I$52,L155=phu!$I$53),"Cam Linh",""),IF(OR(L155=phu!$I$54,L155=phu!$I$55,L155=phu!$I$56,L155=phu!$I$57,L155=phu!$I$58,L155=phu!$I$59,L155=phu!$I$60,L155=phu!$I$61,L155=phu!$I$62),"Cam Lợi",""),IF(OR(L155=phu!$I$63,L155=phu!$I$64,L155=phu!$I$65,L155=phu!$I$66,L155=phu!$I$67,L155=phu!$I$68,L155=phu!$I$69,L155=phu!$I$70,L155=phu!$I$71),"Ba Ngòi",""),IF(OR(L155=phu!$I$72,L155=phu!$I$73,L155=phu!$I$74,L155=phu!$I$75,L155=phu!$I$76,L155=phu!$I$77,L155=phu!$I$78),"Cam Phước Đông",""),IF(OR(L155=phu!$I$79,L155=phu!$I$80,L155=phu!$I$81,L155=phu!$I$82,L155=phu!$I$83,L155=phu!$I$84),"Cam Thịnh Đông",""),IF(OR(L155=phu!$I$85,L155=phu!$I$86,L155=phu!$I$87,L155=phu!$I$88),"Cam Thịnh Tây",""),IF(OR(L155=phu!$I$89,L155=phu!$I$90),"Cam Lập",""),IF(OR(L155=phu!$I$91,L155=phu!$I$92,L155=phu!$I$93),"Cam Bình",""),IF(OR(L155=phu!$I$94,L155=phu!$I$95,L155=phu!$I$96,L155=phu!$I$97,L155=phu!$I$98,L155=phu!$I$99,L155=phu!$I$100),"Huyện khác",""),IF(OR(L155=phu!$I$101,L155=phu!$I$102),"Tỉnh khác",""))</f>
        <v/>
      </c>
      <c r="N155" s="835" t="str">
        <f t="shared" si="13"/>
        <v/>
      </c>
      <c r="O155" s="20"/>
      <c r="P155" s="20"/>
      <c r="Q155" s="20"/>
      <c r="R155" s="20"/>
      <c r="S155" s="20"/>
      <c r="T155" s="21"/>
      <c r="U155" s="21"/>
      <c r="V155" s="21"/>
      <c r="W155" s="7" t="str">
        <f t="shared" si="11"/>
        <v/>
      </c>
      <c r="X155" s="506" t="str">
        <f t="shared" si="12"/>
        <v/>
      </c>
    </row>
    <row r="156" spans="1:24" x14ac:dyDescent="0.25">
      <c r="A156" s="66" t="str">
        <f t="shared" si="14"/>
        <v/>
      </c>
      <c r="B156" s="23" t="str">
        <f t="shared" si="10"/>
        <v/>
      </c>
      <c r="C156" s="15"/>
      <c r="D156" s="16"/>
      <c r="E156" s="17"/>
      <c r="F156" s="18"/>
      <c r="G156" s="18"/>
      <c r="H156" s="19"/>
      <c r="I156" s="15"/>
      <c r="J156" s="20"/>
      <c r="K156" s="15"/>
      <c r="L156" s="15"/>
      <c r="M156" s="531" t="str">
        <f>CONCATENATE(IF(OR(L156=phu!$I$1,L156=phu!$I$2,L156=phu!$I$3),"Cam Thành Nam",""),IF(OR(L156=phu!$I$4,L156=phu!$I$5,L156=phu!$I$6,L156=phu!$I$7,L156=phu!$I$8,L156=phu!$I$9,L156=phu!$I$10,L156=phu!$I$11,L156=phu!$I$12,L156=phu!$I$13,L156=phu!$I$14),"Cam Nghĩa",""),IF(OR(L156=phu!$I$15,L156=phu!$I$16,L156=phu!$I$17,L156=phu!$I$18,L156=phu!$I$19,L156=phu!$I$20,L156=phu!$I$21),"Cam Phúc Bắc",""),IF(OR(L156=phu!$I$22,L156=phu!$I$23,L156=phu!$I$24,L156=phu!$I$25),"Cam Phúc Nam",""),IF(OR(L156=phu!$I$26,L156=phu!$I$27,L156=phu!$I$28,L156=phu!$I$29,L156=phu!$I$30,L156=phu!$I$31),"Cam Phú",""),IF(OR(L156=phu!$I$32,L156=phu!$I$33,L156=phu!$I$34,L156=phu!$I$35,L156=phu!$I$36,L156=phu!$I$37),"Cam Lộc",""),IF(OR(L156=phu!$I$38,L156=phu!$I$39,L156=phu!$I$40,L156=phu!$I$41,L156=phu!$I$42,L156=phu!$I$43,L156=phu!$I$44),"Cam Thuận",""),IF(OR(L156=phu!$I$45,L156=phu!$I$46,L156=phu!$I$47,L156=phu!$I$48,L156=phu!$I$49,L156=phu!$I$50,L156=phu!$I$51,L156=phu!$I$52,L156=phu!$I$53),"Cam Linh",""),IF(OR(L156=phu!$I$54,L156=phu!$I$55,L156=phu!$I$56,L156=phu!$I$57,L156=phu!$I$58,L156=phu!$I$59,L156=phu!$I$60,L156=phu!$I$61,L156=phu!$I$62),"Cam Lợi",""),IF(OR(L156=phu!$I$63,L156=phu!$I$64,L156=phu!$I$65,L156=phu!$I$66,L156=phu!$I$67,L156=phu!$I$68,L156=phu!$I$69,L156=phu!$I$70,L156=phu!$I$71),"Ba Ngòi",""),IF(OR(L156=phu!$I$72,L156=phu!$I$73,L156=phu!$I$74,L156=phu!$I$75,L156=phu!$I$76,L156=phu!$I$77,L156=phu!$I$78),"Cam Phước Đông",""),IF(OR(L156=phu!$I$79,L156=phu!$I$80,L156=phu!$I$81,L156=phu!$I$82,L156=phu!$I$83,L156=phu!$I$84),"Cam Thịnh Đông",""),IF(OR(L156=phu!$I$85,L156=phu!$I$86,L156=phu!$I$87,L156=phu!$I$88),"Cam Thịnh Tây",""),IF(OR(L156=phu!$I$89,L156=phu!$I$90),"Cam Lập",""),IF(OR(L156=phu!$I$91,L156=phu!$I$92,L156=phu!$I$93),"Cam Bình",""),IF(OR(L156=phu!$I$94,L156=phu!$I$95,L156=phu!$I$96,L156=phu!$I$97,L156=phu!$I$98,L156=phu!$I$99,L156=phu!$I$100),"Huyện khác",""),IF(OR(L156=phu!$I$101,L156=phu!$I$102),"Tỉnh khác",""))</f>
        <v/>
      </c>
      <c r="N156" s="835" t="str">
        <f t="shared" si="13"/>
        <v/>
      </c>
      <c r="O156" s="20"/>
      <c r="P156" s="20"/>
      <c r="Q156" s="20"/>
      <c r="R156" s="20"/>
      <c r="S156" s="20"/>
      <c r="T156" s="21"/>
      <c r="U156" s="21"/>
      <c r="V156" s="21"/>
      <c r="W156" s="7" t="str">
        <f t="shared" si="11"/>
        <v/>
      </c>
      <c r="X156" s="506" t="str">
        <f t="shared" si="12"/>
        <v/>
      </c>
    </row>
    <row r="157" spans="1:24" x14ac:dyDescent="0.25">
      <c r="A157" s="66" t="str">
        <f t="shared" si="14"/>
        <v/>
      </c>
      <c r="B157" s="23" t="str">
        <f t="shared" si="10"/>
        <v/>
      </c>
      <c r="C157" s="15"/>
      <c r="D157" s="16"/>
      <c r="E157" s="17"/>
      <c r="F157" s="18"/>
      <c r="G157" s="18"/>
      <c r="H157" s="19"/>
      <c r="I157" s="15"/>
      <c r="J157" s="20"/>
      <c r="K157" s="15"/>
      <c r="L157" s="15"/>
      <c r="M157" s="531" t="str">
        <f>CONCATENATE(IF(OR(L157=phu!$I$1,L157=phu!$I$2,L157=phu!$I$3),"Cam Thành Nam",""),IF(OR(L157=phu!$I$4,L157=phu!$I$5,L157=phu!$I$6,L157=phu!$I$7,L157=phu!$I$8,L157=phu!$I$9,L157=phu!$I$10,L157=phu!$I$11,L157=phu!$I$12,L157=phu!$I$13,L157=phu!$I$14),"Cam Nghĩa",""),IF(OR(L157=phu!$I$15,L157=phu!$I$16,L157=phu!$I$17,L157=phu!$I$18,L157=phu!$I$19,L157=phu!$I$20,L157=phu!$I$21),"Cam Phúc Bắc",""),IF(OR(L157=phu!$I$22,L157=phu!$I$23,L157=phu!$I$24,L157=phu!$I$25),"Cam Phúc Nam",""),IF(OR(L157=phu!$I$26,L157=phu!$I$27,L157=phu!$I$28,L157=phu!$I$29,L157=phu!$I$30,L157=phu!$I$31),"Cam Phú",""),IF(OR(L157=phu!$I$32,L157=phu!$I$33,L157=phu!$I$34,L157=phu!$I$35,L157=phu!$I$36,L157=phu!$I$37),"Cam Lộc",""),IF(OR(L157=phu!$I$38,L157=phu!$I$39,L157=phu!$I$40,L157=phu!$I$41,L157=phu!$I$42,L157=phu!$I$43,L157=phu!$I$44),"Cam Thuận",""),IF(OR(L157=phu!$I$45,L157=phu!$I$46,L157=phu!$I$47,L157=phu!$I$48,L157=phu!$I$49,L157=phu!$I$50,L157=phu!$I$51,L157=phu!$I$52,L157=phu!$I$53),"Cam Linh",""),IF(OR(L157=phu!$I$54,L157=phu!$I$55,L157=phu!$I$56,L157=phu!$I$57,L157=phu!$I$58,L157=phu!$I$59,L157=phu!$I$60,L157=phu!$I$61,L157=phu!$I$62),"Cam Lợi",""),IF(OR(L157=phu!$I$63,L157=phu!$I$64,L157=phu!$I$65,L157=phu!$I$66,L157=phu!$I$67,L157=phu!$I$68,L157=phu!$I$69,L157=phu!$I$70,L157=phu!$I$71),"Ba Ngòi",""),IF(OR(L157=phu!$I$72,L157=phu!$I$73,L157=phu!$I$74,L157=phu!$I$75,L157=phu!$I$76,L157=phu!$I$77,L157=phu!$I$78),"Cam Phước Đông",""),IF(OR(L157=phu!$I$79,L157=phu!$I$80,L157=phu!$I$81,L157=phu!$I$82,L157=phu!$I$83,L157=phu!$I$84),"Cam Thịnh Đông",""),IF(OR(L157=phu!$I$85,L157=phu!$I$86,L157=phu!$I$87,L157=phu!$I$88),"Cam Thịnh Tây",""),IF(OR(L157=phu!$I$89,L157=phu!$I$90),"Cam Lập",""),IF(OR(L157=phu!$I$91,L157=phu!$I$92,L157=phu!$I$93),"Cam Bình",""),IF(OR(L157=phu!$I$94,L157=phu!$I$95,L157=phu!$I$96,L157=phu!$I$97,L157=phu!$I$98,L157=phu!$I$99,L157=phu!$I$100),"Huyện khác",""),IF(OR(L157=phu!$I$101,L157=phu!$I$102),"Tỉnh khác",""))</f>
        <v/>
      </c>
      <c r="N157" s="835" t="str">
        <f t="shared" si="13"/>
        <v/>
      </c>
      <c r="O157" s="20"/>
      <c r="P157" s="20"/>
      <c r="Q157" s="20"/>
      <c r="R157" s="20"/>
      <c r="S157" s="20"/>
      <c r="T157" s="21"/>
      <c r="U157" s="21"/>
      <c r="V157" s="21"/>
      <c r="W157" s="7" t="str">
        <f t="shared" si="11"/>
        <v/>
      </c>
      <c r="X157" s="506" t="str">
        <f t="shared" si="12"/>
        <v/>
      </c>
    </row>
    <row r="158" spans="1:24" x14ac:dyDescent="0.25">
      <c r="A158" s="66" t="str">
        <f t="shared" si="14"/>
        <v/>
      </c>
      <c r="B158" s="23" t="str">
        <f t="shared" si="10"/>
        <v/>
      </c>
      <c r="C158" s="15"/>
      <c r="D158" s="16"/>
      <c r="E158" s="17"/>
      <c r="F158" s="18"/>
      <c r="G158" s="18"/>
      <c r="H158" s="19"/>
      <c r="I158" s="15"/>
      <c r="J158" s="20"/>
      <c r="K158" s="15"/>
      <c r="L158" s="15"/>
      <c r="M158" s="531" t="str">
        <f>CONCATENATE(IF(OR(L158=phu!$I$1,L158=phu!$I$2,L158=phu!$I$3),"Cam Thành Nam",""),IF(OR(L158=phu!$I$4,L158=phu!$I$5,L158=phu!$I$6,L158=phu!$I$7,L158=phu!$I$8,L158=phu!$I$9,L158=phu!$I$10,L158=phu!$I$11,L158=phu!$I$12,L158=phu!$I$13,L158=phu!$I$14),"Cam Nghĩa",""),IF(OR(L158=phu!$I$15,L158=phu!$I$16,L158=phu!$I$17,L158=phu!$I$18,L158=phu!$I$19,L158=phu!$I$20,L158=phu!$I$21),"Cam Phúc Bắc",""),IF(OR(L158=phu!$I$22,L158=phu!$I$23,L158=phu!$I$24,L158=phu!$I$25),"Cam Phúc Nam",""),IF(OR(L158=phu!$I$26,L158=phu!$I$27,L158=phu!$I$28,L158=phu!$I$29,L158=phu!$I$30,L158=phu!$I$31),"Cam Phú",""),IF(OR(L158=phu!$I$32,L158=phu!$I$33,L158=phu!$I$34,L158=phu!$I$35,L158=phu!$I$36,L158=phu!$I$37),"Cam Lộc",""),IF(OR(L158=phu!$I$38,L158=phu!$I$39,L158=phu!$I$40,L158=phu!$I$41,L158=phu!$I$42,L158=phu!$I$43,L158=phu!$I$44),"Cam Thuận",""),IF(OR(L158=phu!$I$45,L158=phu!$I$46,L158=phu!$I$47,L158=phu!$I$48,L158=phu!$I$49,L158=phu!$I$50,L158=phu!$I$51,L158=phu!$I$52,L158=phu!$I$53),"Cam Linh",""),IF(OR(L158=phu!$I$54,L158=phu!$I$55,L158=phu!$I$56,L158=phu!$I$57,L158=phu!$I$58,L158=phu!$I$59,L158=phu!$I$60,L158=phu!$I$61,L158=phu!$I$62),"Cam Lợi",""),IF(OR(L158=phu!$I$63,L158=phu!$I$64,L158=phu!$I$65,L158=phu!$I$66,L158=phu!$I$67,L158=phu!$I$68,L158=phu!$I$69,L158=phu!$I$70,L158=phu!$I$71),"Ba Ngòi",""),IF(OR(L158=phu!$I$72,L158=phu!$I$73,L158=phu!$I$74,L158=phu!$I$75,L158=phu!$I$76,L158=phu!$I$77,L158=phu!$I$78),"Cam Phước Đông",""),IF(OR(L158=phu!$I$79,L158=phu!$I$80,L158=phu!$I$81,L158=phu!$I$82,L158=phu!$I$83,L158=phu!$I$84),"Cam Thịnh Đông",""),IF(OR(L158=phu!$I$85,L158=phu!$I$86,L158=phu!$I$87,L158=phu!$I$88),"Cam Thịnh Tây",""),IF(OR(L158=phu!$I$89,L158=phu!$I$90),"Cam Lập",""),IF(OR(L158=phu!$I$91,L158=phu!$I$92,L158=phu!$I$93),"Cam Bình",""),IF(OR(L158=phu!$I$94,L158=phu!$I$95,L158=phu!$I$96,L158=phu!$I$97,L158=phu!$I$98,L158=phu!$I$99,L158=phu!$I$100),"Huyện khác",""),IF(OR(L158=phu!$I$101,L158=phu!$I$102),"Tỉnh khác",""))</f>
        <v/>
      </c>
      <c r="N158" s="835" t="str">
        <f t="shared" si="13"/>
        <v/>
      </c>
      <c r="O158" s="20"/>
      <c r="P158" s="20"/>
      <c r="Q158" s="20"/>
      <c r="R158" s="20"/>
      <c r="S158" s="20"/>
      <c r="T158" s="21"/>
      <c r="U158" s="21"/>
      <c r="V158" s="21"/>
      <c r="W158" s="7" t="str">
        <f t="shared" si="11"/>
        <v/>
      </c>
      <c r="X158" s="506" t="str">
        <f t="shared" si="12"/>
        <v/>
      </c>
    </row>
    <row r="159" spans="1:24" x14ac:dyDescent="0.25">
      <c r="A159" s="66" t="str">
        <f t="shared" si="14"/>
        <v/>
      </c>
      <c r="B159" s="23" t="str">
        <f t="shared" si="10"/>
        <v/>
      </c>
      <c r="C159" s="15"/>
      <c r="D159" s="16"/>
      <c r="E159" s="17"/>
      <c r="F159" s="18"/>
      <c r="G159" s="18"/>
      <c r="H159" s="19"/>
      <c r="I159" s="15"/>
      <c r="J159" s="20"/>
      <c r="K159" s="15"/>
      <c r="L159" s="15"/>
      <c r="M159" s="531" t="str">
        <f>CONCATENATE(IF(OR(L159=phu!$I$1,L159=phu!$I$2,L159=phu!$I$3),"Cam Thành Nam",""),IF(OR(L159=phu!$I$4,L159=phu!$I$5,L159=phu!$I$6,L159=phu!$I$7,L159=phu!$I$8,L159=phu!$I$9,L159=phu!$I$10,L159=phu!$I$11,L159=phu!$I$12,L159=phu!$I$13,L159=phu!$I$14),"Cam Nghĩa",""),IF(OR(L159=phu!$I$15,L159=phu!$I$16,L159=phu!$I$17,L159=phu!$I$18,L159=phu!$I$19,L159=phu!$I$20,L159=phu!$I$21),"Cam Phúc Bắc",""),IF(OR(L159=phu!$I$22,L159=phu!$I$23,L159=phu!$I$24,L159=phu!$I$25),"Cam Phúc Nam",""),IF(OR(L159=phu!$I$26,L159=phu!$I$27,L159=phu!$I$28,L159=phu!$I$29,L159=phu!$I$30,L159=phu!$I$31),"Cam Phú",""),IF(OR(L159=phu!$I$32,L159=phu!$I$33,L159=phu!$I$34,L159=phu!$I$35,L159=phu!$I$36,L159=phu!$I$37),"Cam Lộc",""),IF(OR(L159=phu!$I$38,L159=phu!$I$39,L159=phu!$I$40,L159=phu!$I$41,L159=phu!$I$42,L159=phu!$I$43,L159=phu!$I$44),"Cam Thuận",""),IF(OR(L159=phu!$I$45,L159=phu!$I$46,L159=phu!$I$47,L159=phu!$I$48,L159=phu!$I$49,L159=phu!$I$50,L159=phu!$I$51,L159=phu!$I$52,L159=phu!$I$53),"Cam Linh",""),IF(OR(L159=phu!$I$54,L159=phu!$I$55,L159=phu!$I$56,L159=phu!$I$57,L159=phu!$I$58,L159=phu!$I$59,L159=phu!$I$60,L159=phu!$I$61,L159=phu!$I$62),"Cam Lợi",""),IF(OR(L159=phu!$I$63,L159=phu!$I$64,L159=phu!$I$65,L159=phu!$I$66,L159=phu!$I$67,L159=phu!$I$68,L159=phu!$I$69,L159=phu!$I$70,L159=phu!$I$71),"Ba Ngòi",""),IF(OR(L159=phu!$I$72,L159=phu!$I$73,L159=phu!$I$74,L159=phu!$I$75,L159=phu!$I$76,L159=phu!$I$77,L159=phu!$I$78),"Cam Phước Đông",""),IF(OR(L159=phu!$I$79,L159=phu!$I$80,L159=phu!$I$81,L159=phu!$I$82,L159=phu!$I$83,L159=phu!$I$84),"Cam Thịnh Đông",""),IF(OR(L159=phu!$I$85,L159=phu!$I$86,L159=phu!$I$87,L159=phu!$I$88),"Cam Thịnh Tây",""),IF(OR(L159=phu!$I$89,L159=phu!$I$90),"Cam Lập",""),IF(OR(L159=phu!$I$91,L159=phu!$I$92,L159=phu!$I$93),"Cam Bình",""),IF(OR(L159=phu!$I$94,L159=phu!$I$95,L159=phu!$I$96,L159=phu!$I$97,L159=phu!$I$98,L159=phu!$I$99,L159=phu!$I$100),"Huyện khác",""),IF(OR(L159=phu!$I$101,L159=phu!$I$102),"Tỉnh khác",""))</f>
        <v/>
      </c>
      <c r="N159" s="835" t="str">
        <f t="shared" si="13"/>
        <v/>
      </c>
      <c r="O159" s="20"/>
      <c r="P159" s="20"/>
      <c r="Q159" s="20"/>
      <c r="R159" s="20"/>
      <c r="S159" s="20"/>
      <c r="T159" s="21"/>
      <c r="U159" s="21"/>
      <c r="V159" s="21"/>
      <c r="W159" s="7" t="str">
        <f t="shared" si="11"/>
        <v/>
      </c>
      <c r="X159" s="506" t="str">
        <f t="shared" si="12"/>
        <v/>
      </c>
    </row>
    <row r="160" spans="1:24" x14ac:dyDescent="0.25">
      <c r="A160" s="66" t="str">
        <f t="shared" si="14"/>
        <v/>
      </c>
      <c r="B160" s="23" t="str">
        <f t="shared" si="10"/>
        <v/>
      </c>
      <c r="C160" s="15"/>
      <c r="D160" s="16"/>
      <c r="E160" s="17"/>
      <c r="F160" s="18"/>
      <c r="G160" s="18"/>
      <c r="H160" s="19"/>
      <c r="I160" s="15"/>
      <c r="J160" s="20"/>
      <c r="K160" s="15"/>
      <c r="L160" s="15"/>
      <c r="M160" s="531" t="str">
        <f>CONCATENATE(IF(OR(L160=phu!$I$1,L160=phu!$I$2,L160=phu!$I$3),"Cam Thành Nam",""),IF(OR(L160=phu!$I$4,L160=phu!$I$5,L160=phu!$I$6,L160=phu!$I$7,L160=phu!$I$8,L160=phu!$I$9,L160=phu!$I$10,L160=phu!$I$11,L160=phu!$I$12,L160=phu!$I$13,L160=phu!$I$14),"Cam Nghĩa",""),IF(OR(L160=phu!$I$15,L160=phu!$I$16,L160=phu!$I$17,L160=phu!$I$18,L160=phu!$I$19,L160=phu!$I$20,L160=phu!$I$21),"Cam Phúc Bắc",""),IF(OR(L160=phu!$I$22,L160=phu!$I$23,L160=phu!$I$24,L160=phu!$I$25),"Cam Phúc Nam",""),IF(OR(L160=phu!$I$26,L160=phu!$I$27,L160=phu!$I$28,L160=phu!$I$29,L160=phu!$I$30,L160=phu!$I$31),"Cam Phú",""),IF(OR(L160=phu!$I$32,L160=phu!$I$33,L160=phu!$I$34,L160=phu!$I$35,L160=phu!$I$36,L160=phu!$I$37),"Cam Lộc",""),IF(OR(L160=phu!$I$38,L160=phu!$I$39,L160=phu!$I$40,L160=phu!$I$41,L160=phu!$I$42,L160=phu!$I$43,L160=phu!$I$44),"Cam Thuận",""),IF(OR(L160=phu!$I$45,L160=phu!$I$46,L160=phu!$I$47,L160=phu!$I$48,L160=phu!$I$49,L160=phu!$I$50,L160=phu!$I$51,L160=phu!$I$52,L160=phu!$I$53),"Cam Linh",""),IF(OR(L160=phu!$I$54,L160=phu!$I$55,L160=phu!$I$56,L160=phu!$I$57,L160=phu!$I$58,L160=phu!$I$59,L160=phu!$I$60,L160=phu!$I$61,L160=phu!$I$62),"Cam Lợi",""),IF(OR(L160=phu!$I$63,L160=phu!$I$64,L160=phu!$I$65,L160=phu!$I$66,L160=phu!$I$67,L160=phu!$I$68,L160=phu!$I$69,L160=phu!$I$70,L160=phu!$I$71),"Ba Ngòi",""),IF(OR(L160=phu!$I$72,L160=phu!$I$73,L160=phu!$I$74,L160=phu!$I$75,L160=phu!$I$76,L160=phu!$I$77,L160=phu!$I$78),"Cam Phước Đông",""),IF(OR(L160=phu!$I$79,L160=phu!$I$80,L160=phu!$I$81,L160=phu!$I$82,L160=phu!$I$83,L160=phu!$I$84),"Cam Thịnh Đông",""),IF(OR(L160=phu!$I$85,L160=phu!$I$86,L160=phu!$I$87,L160=phu!$I$88),"Cam Thịnh Tây",""),IF(OR(L160=phu!$I$89,L160=phu!$I$90),"Cam Lập",""),IF(OR(L160=phu!$I$91,L160=phu!$I$92,L160=phu!$I$93),"Cam Bình",""),IF(OR(L160=phu!$I$94,L160=phu!$I$95,L160=phu!$I$96,L160=phu!$I$97,L160=phu!$I$98,L160=phu!$I$99,L160=phu!$I$100),"Huyện khác",""),IF(OR(L160=phu!$I$101,L160=phu!$I$102),"Tỉnh khác",""))</f>
        <v/>
      </c>
      <c r="N160" s="835" t="str">
        <f t="shared" si="13"/>
        <v/>
      </c>
      <c r="O160" s="20"/>
      <c r="P160" s="20"/>
      <c r="Q160" s="20"/>
      <c r="R160" s="20"/>
      <c r="S160" s="20"/>
      <c r="T160" s="21"/>
      <c r="U160" s="21"/>
      <c r="V160" s="21"/>
      <c r="W160" s="7" t="str">
        <f t="shared" si="11"/>
        <v/>
      </c>
      <c r="X160" s="506" t="str">
        <f t="shared" si="12"/>
        <v/>
      </c>
    </row>
    <row r="161" spans="1:24" x14ac:dyDescent="0.25">
      <c r="A161" s="66" t="str">
        <f t="shared" si="14"/>
        <v/>
      </c>
      <c r="B161" s="23" t="str">
        <f t="shared" si="10"/>
        <v/>
      </c>
      <c r="C161" s="15"/>
      <c r="D161" s="16"/>
      <c r="E161" s="17"/>
      <c r="F161" s="18"/>
      <c r="G161" s="18"/>
      <c r="H161" s="19"/>
      <c r="I161" s="15"/>
      <c r="J161" s="20"/>
      <c r="K161" s="15"/>
      <c r="L161" s="15"/>
      <c r="M161" s="531" t="str">
        <f>CONCATENATE(IF(OR(L161=phu!$I$1,L161=phu!$I$2,L161=phu!$I$3),"Cam Thành Nam",""),IF(OR(L161=phu!$I$4,L161=phu!$I$5,L161=phu!$I$6,L161=phu!$I$7,L161=phu!$I$8,L161=phu!$I$9,L161=phu!$I$10,L161=phu!$I$11,L161=phu!$I$12,L161=phu!$I$13,L161=phu!$I$14),"Cam Nghĩa",""),IF(OR(L161=phu!$I$15,L161=phu!$I$16,L161=phu!$I$17,L161=phu!$I$18,L161=phu!$I$19,L161=phu!$I$20,L161=phu!$I$21),"Cam Phúc Bắc",""),IF(OR(L161=phu!$I$22,L161=phu!$I$23,L161=phu!$I$24,L161=phu!$I$25),"Cam Phúc Nam",""),IF(OR(L161=phu!$I$26,L161=phu!$I$27,L161=phu!$I$28,L161=phu!$I$29,L161=phu!$I$30,L161=phu!$I$31),"Cam Phú",""),IF(OR(L161=phu!$I$32,L161=phu!$I$33,L161=phu!$I$34,L161=phu!$I$35,L161=phu!$I$36,L161=phu!$I$37),"Cam Lộc",""),IF(OR(L161=phu!$I$38,L161=phu!$I$39,L161=phu!$I$40,L161=phu!$I$41,L161=phu!$I$42,L161=phu!$I$43,L161=phu!$I$44),"Cam Thuận",""),IF(OR(L161=phu!$I$45,L161=phu!$I$46,L161=phu!$I$47,L161=phu!$I$48,L161=phu!$I$49,L161=phu!$I$50,L161=phu!$I$51,L161=phu!$I$52,L161=phu!$I$53),"Cam Linh",""),IF(OR(L161=phu!$I$54,L161=phu!$I$55,L161=phu!$I$56,L161=phu!$I$57,L161=phu!$I$58,L161=phu!$I$59,L161=phu!$I$60,L161=phu!$I$61,L161=phu!$I$62),"Cam Lợi",""),IF(OR(L161=phu!$I$63,L161=phu!$I$64,L161=phu!$I$65,L161=phu!$I$66,L161=phu!$I$67,L161=phu!$I$68,L161=phu!$I$69,L161=phu!$I$70,L161=phu!$I$71),"Ba Ngòi",""),IF(OR(L161=phu!$I$72,L161=phu!$I$73,L161=phu!$I$74,L161=phu!$I$75,L161=phu!$I$76,L161=phu!$I$77,L161=phu!$I$78),"Cam Phước Đông",""),IF(OR(L161=phu!$I$79,L161=phu!$I$80,L161=phu!$I$81,L161=phu!$I$82,L161=phu!$I$83,L161=phu!$I$84),"Cam Thịnh Đông",""),IF(OR(L161=phu!$I$85,L161=phu!$I$86,L161=phu!$I$87,L161=phu!$I$88),"Cam Thịnh Tây",""),IF(OR(L161=phu!$I$89,L161=phu!$I$90),"Cam Lập",""),IF(OR(L161=phu!$I$91,L161=phu!$I$92,L161=phu!$I$93),"Cam Bình",""),IF(OR(L161=phu!$I$94,L161=phu!$I$95,L161=phu!$I$96,L161=phu!$I$97,L161=phu!$I$98,L161=phu!$I$99,L161=phu!$I$100),"Huyện khác",""),IF(OR(L161=phu!$I$101,L161=phu!$I$102),"Tỉnh khác",""))</f>
        <v/>
      </c>
      <c r="N161" s="835" t="str">
        <f t="shared" si="13"/>
        <v/>
      </c>
      <c r="O161" s="20"/>
      <c r="P161" s="20"/>
      <c r="Q161" s="20"/>
      <c r="R161" s="20"/>
      <c r="S161" s="20"/>
      <c r="T161" s="21"/>
      <c r="U161" s="21"/>
      <c r="V161" s="21"/>
      <c r="W161" s="7" t="str">
        <f t="shared" si="11"/>
        <v/>
      </c>
      <c r="X161" s="506" t="str">
        <f t="shared" si="12"/>
        <v/>
      </c>
    </row>
    <row r="162" spans="1:24" x14ac:dyDescent="0.25">
      <c r="A162" s="66" t="str">
        <f t="shared" si="14"/>
        <v/>
      </c>
      <c r="B162" s="23" t="str">
        <f t="shared" si="10"/>
        <v/>
      </c>
      <c r="C162" s="15"/>
      <c r="D162" s="16"/>
      <c r="E162" s="17"/>
      <c r="F162" s="18"/>
      <c r="G162" s="18"/>
      <c r="H162" s="19"/>
      <c r="I162" s="15"/>
      <c r="J162" s="20"/>
      <c r="K162" s="15"/>
      <c r="L162" s="15"/>
      <c r="M162" s="531" t="str">
        <f>CONCATENATE(IF(OR(L162=phu!$I$1,L162=phu!$I$2,L162=phu!$I$3),"Cam Thành Nam",""),IF(OR(L162=phu!$I$4,L162=phu!$I$5,L162=phu!$I$6,L162=phu!$I$7,L162=phu!$I$8,L162=phu!$I$9,L162=phu!$I$10,L162=phu!$I$11,L162=phu!$I$12,L162=phu!$I$13,L162=phu!$I$14),"Cam Nghĩa",""),IF(OR(L162=phu!$I$15,L162=phu!$I$16,L162=phu!$I$17,L162=phu!$I$18,L162=phu!$I$19,L162=phu!$I$20,L162=phu!$I$21),"Cam Phúc Bắc",""),IF(OR(L162=phu!$I$22,L162=phu!$I$23,L162=phu!$I$24,L162=phu!$I$25),"Cam Phúc Nam",""),IF(OR(L162=phu!$I$26,L162=phu!$I$27,L162=phu!$I$28,L162=phu!$I$29,L162=phu!$I$30,L162=phu!$I$31),"Cam Phú",""),IF(OR(L162=phu!$I$32,L162=phu!$I$33,L162=phu!$I$34,L162=phu!$I$35,L162=phu!$I$36,L162=phu!$I$37),"Cam Lộc",""),IF(OR(L162=phu!$I$38,L162=phu!$I$39,L162=phu!$I$40,L162=phu!$I$41,L162=phu!$I$42,L162=phu!$I$43,L162=phu!$I$44),"Cam Thuận",""),IF(OR(L162=phu!$I$45,L162=phu!$I$46,L162=phu!$I$47,L162=phu!$I$48,L162=phu!$I$49,L162=phu!$I$50,L162=phu!$I$51,L162=phu!$I$52,L162=phu!$I$53),"Cam Linh",""),IF(OR(L162=phu!$I$54,L162=phu!$I$55,L162=phu!$I$56,L162=phu!$I$57,L162=phu!$I$58,L162=phu!$I$59,L162=phu!$I$60,L162=phu!$I$61,L162=phu!$I$62),"Cam Lợi",""),IF(OR(L162=phu!$I$63,L162=phu!$I$64,L162=phu!$I$65,L162=phu!$I$66,L162=phu!$I$67,L162=phu!$I$68,L162=phu!$I$69,L162=phu!$I$70,L162=phu!$I$71),"Ba Ngòi",""),IF(OR(L162=phu!$I$72,L162=phu!$I$73,L162=phu!$I$74,L162=phu!$I$75,L162=phu!$I$76,L162=phu!$I$77,L162=phu!$I$78),"Cam Phước Đông",""),IF(OR(L162=phu!$I$79,L162=phu!$I$80,L162=phu!$I$81,L162=phu!$I$82,L162=phu!$I$83,L162=phu!$I$84),"Cam Thịnh Đông",""),IF(OR(L162=phu!$I$85,L162=phu!$I$86,L162=phu!$I$87,L162=phu!$I$88),"Cam Thịnh Tây",""),IF(OR(L162=phu!$I$89,L162=phu!$I$90),"Cam Lập",""),IF(OR(L162=phu!$I$91,L162=phu!$I$92,L162=phu!$I$93),"Cam Bình",""),IF(OR(L162=phu!$I$94,L162=phu!$I$95,L162=phu!$I$96,L162=phu!$I$97,L162=phu!$I$98,L162=phu!$I$99,L162=phu!$I$100),"Huyện khác",""),IF(OR(L162=phu!$I$101,L162=phu!$I$102),"Tỉnh khác",""))</f>
        <v/>
      </c>
      <c r="N162" s="835" t="str">
        <f t="shared" si="13"/>
        <v/>
      </c>
      <c r="O162" s="20"/>
      <c r="P162" s="20"/>
      <c r="Q162" s="20"/>
      <c r="R162" s="20"/>
      <c r="S162" s="20"/>
      <c r="T162" s="21"/>
      <c r="U162" s="21"/>
      <c r="V162" s="21"/>
      <c r="W162" s="7" t="str">
        <f t="shared" si="11"/>
        <v/>
      </c>
      <c r="X162" s="506" t="str">
        <f t="shared" si="12"/>
        <v/>
      </c>
    </row>
    <row r="163" spans="1:24" x14ac:dyDescent="0.25">
      <c r="A163" s="66" t="str">
        <f t="shared" si="14"/>
        <v/>
      </c>
      <c r="B163" s="23" t="str">
        <f t="shared" si="10"/>
        <v/>
      </c>
      <c r="C163" s="15"/>
      <c r="D163" s="16"/>
      <c r="E163" s="17"/>
      <c r="F163" s="18"/>
      <c r="G163" s="18"/>
      <c r="H163" s="19"/>
      <c r="I163" s="15"/>
      <c r="J163" s="20"/>
      <c r="K163" s="15"/>
      <c r="L163" s="15"/>
      <c r="M163" s="531" t="str">
        <f>CONCATENATE(IF(OR(L163=phu!$I$1,L163=phu!$I$2,L163=phu!$I$3),"Cam Thành Nam",""),IF(OR(L163=phu!$I$4,L163=phu!$I$5,L163=phu!$I$6,L163=phu!$I$7,L163=phu!$I$8,L163=phu!$I$9,L163=phu!$I$10,L163=phu!$I$11,L163=phu!$I$12,L163=phu!$I$13,L163=phu!$I$14),"Cam Nghĩa",""),IF(OR(L163=phu!$I$15,L163=phu!$I$16,L163=phu!$I$17,L163=phu!$I$18,L163=phu!$I$19,L163=phu!$I$20,L163=phu!$I$21),"Cam Phúc Bắc",""),IF(OR(L163=phu!$I$22,L163=phu!$I$23,L163=phu!$I$24,L163=phu!$I$25),"Cam Phúc Nam",""),IF(OR(L163=phu!$I$26,L163=phu!$I$27,L163=phu!$I$28,L163=phu!$I$29,L163=phu!$I$30,L163=phu!$I$31),"Cam Phú",""),IF(OR(L163=phu!$I$32,L163=phu!$I$33,L163=phu!$I$34,L163=phu!$I$35,L163=phu!$I$36,L163=phu!$I$37),"Cam Lộc",""),IF(OR(L163=phu!$I$38,L163=phu!$I$39,L163=phu!$I$40,L163=phu!$I$41,L163=phu!$I$42,L163=phu!$I$43,L163=phu!$I$44),"Cam Thuận",""),IF(OR(L163=phu!$I$45,L163=phu!$I$46,L163=phu!$I$47,L163=phu!$I$48,L163=phu!$I$49,L163=phu!$I$50,L163=phu!$I$51,L163=phu!$I$52,L163=phu!$I$53),"Cam Linh",""),IF(OR(L163=phu!$I$54,L163=phu!$I$55,L163=phu!$I$56,L163=phu!$I$57,L163=phu!$I$58,L163=phu!$I$59,L163=phu!$I$60,L163=phu!$I$61,L163=phu!$I$62),"Cam Lợi",""),IF(OR(L163=phu!$I$63,L163=phu!$I$64,L163=phu!$I$65,L163=phu!$I$66,L163=phu!$I$67,L163=phu!$I$68,L163=phu!$I$69,L163=phu!$I$70,L163=phu!$I$71),"Ba Ngòi",""),IF(OR(L163=phu!$I$72,L163=phu!$I$73,L163=phu!$I$74,L163=phu!$I$75,L163=phu!$I$76,L163=phu!$I$77,L163=phu!$I$78),"Cam Phước Đông",""),IF(OR(L163=phu!$I$79,L163=phu!$I$80,L163=phu!$I$81,L163=phu!$I$82,L163=phu!$I$83,L163=phu!$I$84),"Cam Thịnh Đông",""),IF(OR(L163=phu!$I$85,L163=phu!$I$86,L163=phu!$I$87,L163=phu!$I$88),"Cam Thịnh Tây",""),IF(OR(L163=phu!$I$89,L163=phu!$I$90),"Cam Lập",""),IF(OR(L163=phu!$I$91,L163=phu!$I$92,L163=phu!$I$93),"Cam Bình",""),IF(OR(L163=phu!$I$94,L163=phu!$I$95,L163=phu!$I$96,L163=phu!$I$97,L163=phu!$I$98,L163=phu!$I$99,L163=phu!$I$100),"Huyện khác",""),IF(OR(L163=phu!$I$101,L163=phu!$I$102),"Tỉnh khác",""))</f>
        <v/>
      </c>
      <c r="N163" s="835" t="str">
        <f t="shared" si="13"/>
        <v/>
      </c>
      <c r="O163" s="20"/>
      <c r="P163" s="20"/>
      <c r="Q163" s="20"/>
      <c r="R163" s="20"/>
      <c r="S163" s="20"/>
      <c r="T163" s="21"/>
      <c r="U163" s="21"/>
      <c r="V163" s="21"/>
      <c r="W163" s="7" t="str">
        <f t="shared" si="11"/>
        <v/>
      </c>
      <c r="X163" s="506" t="str">
        <f t="shared" si="12"/>
        <v/>
      </c>
    </row>
    <row r="164" spans="1:24" x14ac:dyDescent="0.25">
      <c r="A164" s="66" t="str">
        <f t="shared" si="14"/>
        <v/>
      </c>
      <c r="B164" s="23" t="str">
        <f t="shared" si="10"/>
        <v/>
      </c>
      <c r="C164" s="15"/>
      <c r="D164" s="16"/>
      <c r="E164" s="17"/>
      <c r="F164" s="18"/>
      <c r="G164" s="18"/>
      <c r="H164" s="19"/>
      <c r="I164" s="15"/>
      <c r="J164" s="20"/>
      <c r="K164" s="15"/>
      <c r="L164" s="15"/>
      <c r="M164" s="531" t="str">
        <f>CONCATENATE(IF(OR(L164=phu!$I$1,L164=phu!$I$2,L164=phu!$I$3),"Cam Thành Nam",""),IF(OR(L164=phu!$I$4,L164=phu!$I$5,L164=phu!$I$6,L164=phu!$I$7,L164=phu!$I$8,L164=phu!$I$9,L164=phu!$I$10,L164=phu!$I$11,L164=phu!$I$12,L164=phu!$I$13,L164=phu!$I$14),"Cam Nghĩa",""),IF(OR(L164=phu!$I$15,L164=phu!$I$16,L164=phu!$I$17,L164=phu!$I$18,L164=phu!$I$19,L164=phu!$I$20,L164=phu!$I$21),"Cam Phúc Bắc",""),IF(OR(L164=phu!$I$22,L164=phu!$I$23,L164=phu!$I$24,L164=phu!$I$25),"Cam Phúc Nam",""),IF(OR(L164=phu!$I$26,L164=phu!$I$27,L164=phu!$I$28,L164=phu!$I$29,L164=phu!$I$30,L164=phu!$I$31),"Cam Phú",""),IF(OR(L164=phu!$I$32,L164=phu!$I$33,L164=phu!$I$34,L164=phu!$I$35,L164=phu!$I$36,L164=phu!$I$37),"Cam Lộc",""),IF(OR(L164=phu!$I$38,L164=phu!$I$39,L164=phu!$I$40,L164=phu!$I$41,L164=phu!$I$42,L164=phu!$I$43,L164=phu!$I$44),"Cam Thuận",""),IF(OR(L164=phu!$I$45,L164=phu!$I$46,L164=phu!$I$47,L164=phu!$I$48,L164=phu!$I$49,L164=phu!$I$50,L164=phu!$I$51,L164=phu!$I$52,L164=phu!$I$53),"Cam Linh",""),IF(OR(L164=phu!$I$54,L164=phu!$I$55,L164=phu!$I$56,L164=phu!$I$57,L164=phu!$I$58,L164=phu!$I$59,L164=phu!$I$60,L164=phu!$I$61,L164=phu!$I$62),"Cam Lợi",""),IF(OR(L164=phu!$I$63,L164=phu!$I$64,L164=phu!$I$65,L164=phu!$I$66,L164=phu!$I$67,L164=phu!$I$68,L164=phu!$I$69,L164=phu!$I$70,L164=phu!$I$71),"Ba Ngòi",""),IF(OR(L164=phu!$I$72,L164=phu!$I$73,L164=phu!$I$74,L164=phu!$I$75,L164=phu!$I$76,L164=phu!$I$77,L164=phu!$I$78),"Cam Phước Đông",""),IF(OR(L164=phu!$I$79,L164=phu!$I$80,L164=phu!$I$81,L164=phu!$I$82,L164=phu!$I$83,L164=phu!$I$84),"Cam Thịnh Đông",""),IF(OR(L164=phu!$I$85,L164=phu!$I$86,L164=phu!$I$87,L164=phu!$I$88),"Cam Thịnh Tây",""),IF(OR(L164=phu!$I$89,L164=phu!$I$90),"Cam Lập",""),IF(OR(L164=phu!$I$91,L164=phu!$I$92,L164=phu!$I$93),"Cam Bình",""),IF(OR(L164=phu!$I$94,L164=phu!$I$95,L164=phu!$I$96,L164=phu!$I$97,L164=phu!$I$98,L164=phu!$I$99,L164=phu!$I$100),"Huyện khác",""),IF(OR(L164=phu!$I$101,L164=phu!$I$102),"Tỉnh khác",""))</f>
        <v/>
      </c>
      <c r="N164" s="835" t="str">
        <f t="shared" si="13"/>
        <v/>
      </c>
      <c r="O164" s="20"/>
      <c r="P164" s="20"/>
      <c r="Q164" s="20"/>
      <c r="R164" s="20"/>
      <c r="S164" s="20"/>
      <c r="T164" s="21"/>
      <c r="U164" s="21"/>
      <c r="V164" s="21"/>
      <c r="W164" s="7" t="str">
        <f t="shared" si="11"/>
        <v/>
      </c>
      <c r="X164" s="506" t="str">
        <f t="shared" si="12"/>
        <v/>
      </c>
    </row>
    <row r="165" spans="1:24" x14ac:dyDescent="0.25">
      <c r="A165" s="66" t="str">
        <f t="shared" si="14"/>
        <v/>
      </c>
      <c r="B165" s="23" t="str">
        <f t="shared" si="10"/>
        <v/>
      </c>
      <c r="C165" s="15"/>
      <c r="D165" s="16"/>
      <c r="E165" s="17"/>
      <c r="F165" s="18"/>
      <c r="G165" s="18"/>
      <c r="H165" s="19"/>
      <c r="I165" s="15"/>
      <c r="J165" s="20"/>
      <c r="K165" s="15"/>
      <c r="L165" s="15"/>
      <c r="M165" s="531" t="str">
        <f>CONCATENATE(IF(OR(L165=phu!$I$1,L165=phu!$I$2,L165=phu!$I$3),"Cam Thành Nam",""),IF(OR(L165=phu!$I$4,L165=phu!$I$5,L165=phu!$I$6,L165=phu!$I$7,L165=phu!$I$8,L165=phu!$I$9,L165=phu!$I$10,L165=phu!$I$11,L165=phu!$I$12,L165=phu!$I$13,L165=phu!$I$14),"Cam Nghĩa",""),IF(OR(L165=phu!$I$15,L165=phu!$I$16,L165=phu!$I$17,L165=phu!$I$18,L165=phu!$I$19,L165=phu!$I$20,L165=phu!$I$21),"Cam Phúc Bắc",""),IF(OR(L165=phu!$I$22,L165=phu!$I$23,L165=phu!$I$24,L165=phu!$I$25),"Cam Phúc Nam",""),IF(OR(L165=phu!$I$26,L165=phu!$I$27,L165=phu!$I$28,L165=phu!$I$29,L165=phu!$I$30,L165=phu!$I$31),"Cam Phú",""),IF(OR(L165=phu!$I$32,L165=phu!$I$33,L165=phu!$I$34,L165=phu!$I$35,L165=phu!$I$36,L165=phu!$I$37),"Cam Lộc",""),IF(OR(L165=phu!$I$38,L165=phu!$I$39,L165=phu!$I$40,L165=phu!$I$41,L165=phu!$I$42,L165=phu!$I$43,L165=phu!$I$44),"Cam Thuận",""),IF(OR(L165=phu!$I$45,L165=phu!$I$46,L165=phu!$I$47,L165=phu!$I$48,L165=phu!$I$49,L165=phu!$I$50,L165=phu!$I$51,L165=phu!$I$52,L165=phu!$I$53),"Cam Linh",""),IF(OR(L165=phu!$I$54,L165=phu!$I$55,L165=phu!$I$56,L165=phu!$I$57,L165=phu!$I$58,L165=phu!$I$59,L165=phu!$I$60,L165=phu!$I$61,L165=phu!$I$62),"Cam Lợi",""),IF(OR(L165=phu!$I$63,L165=phu!$I$64,L165=phu!$I$65,L165=phu!$I$66,L165=phu!$I$67,L165=phu!$I$68,L165=phu!$I$69,L165=phu!$I$70,L165=phu!$I$71),"Ba Ngòi",""),IF(OR(L165=phu!$I$72,L165=phu!$I$73,L165=phu!$I$74,L165=phu!$I$75,L165=phu!$I$76,L165=phu!$I$77,L165=phu!$I$78),"Cam Phước Đông",""),IF(OR(L165=phu!$I$79,L165=phu!$I$80,L165=phu!$I$81,L165=phu!$I$82,L165=phu!$I$83,L165=phu!$I$84),"Cam Thịnh Đông",""),IF(OR(L165=phu!$I$85,L165=phu!$I$86,L165=phu!$I$87,L165=phu!$I$88),"Cam Thịnh Tây",""),IF(OR(L165=phu!$I$89,L165=phu!$I$90),"Cam Lập",""),IF(OR(L165=phu!$I$91,L165=phu!$I$92,L165=phu!$I$93),"Cam Bình",""),IF(OR(L165=phu!$I$94,L165=phu!$I$95,L165=phu!$I$96,L165=phu!$I$97,L165=phu!$I$98,L165=phu!$I$99,L165=phu!$I$100),"Huyện khác",""),IF(OR(L165=phu!$I$101,L165=phu!$I$102),"Tỉnh khác",""))</f>
        <v/>
      </c>
      <c r="N165" s="835" t="str">
        <f t="shared" si="13"/>
        <v/>
      </c>
      <c r="O165" s="20"/>
      <c r="P165" s="20"/>
      <c r="Q165" s="20"/>
      <c r="R165" s="20"/>
      <c r="S165" s="20"/>
      <c r="T165" s="21"/>
      <c r="U165" s="21"/>
      <c r="V165" s="21"/>
      <c r="W165" s="7" t="str">
        <f t="shared" si="11"/>
        <v/>
      </c>
      <c r="X165" s="506" t="str">
        <f t="shared" si="12"/>
        <v/>
      </c>
    </row>
    <row r="166" spans="1:24" x14ac:dyDescent="0.25">
      <c r="A166" s="66" t="str">
        <f t="shared" si="14"/>
        <v/>
      </c>
      <c r="B166" s="23" t="str">
        <f t="shared" si="10"/>
        <v/>
      </c>
      <c r="C166" s="15"/>
      <c r="D166" s="16"/>
      <c r="E166" s="17"/>
      <c r="F166" s="18"/>
      <c r="G166" s="18"/>
      <c r="H166" s="19"/>
      <c r="I166" s="15"/>
      <c r="J166" s="20"/>
      <c r="K166" s="15"/>
      <c r="L166" s="15"/>
      <c r="M166" s="531" t="str">
        <f>CONCATENATE(IF(OR(L166=phu!$I$1,L166=phu!$I$2,L166=phu!$I$3),"Cam Thành Nam",""),IF(OR(L166=phu!$I$4,L166=phu!$I$5,L166=phu!$I$6,L166=phu!$I$7,L166=phu!$I$8,L166=phu!$I$9,L166=phu!$I$10,L166=phu!$I$11,L166=phu!$I$12,L166=phu!$I$13,L166=phu!$I$14),"Cam Nghĩa",""),IF(OR(L166=phu!$I$15,L166=phu!$I$16,L166=phu!$I$17,L166=phu!$I$18,L166=phu!$I$19,L166=phu!$I$20,L166=phu!$I$21),"Cam Phúc Bắc",""),IF(OR(L166=phu!$I$22,L166=phu!$I$23,L166=phu!$I$24,L166=phu!$I$25),"Cam Phúc Nam",""),IF(OR(L166=phu!$I$26,L166=phu!$I$27,L166=phu!$I$28,L166=phu!$I$29,L166=phu!$I$30,L166=phu!$I$31),"Cam Phú",""),IF(OR(L166=phu!$I$32,L166=phu!$I$33,L166=phu!$I$34,L166=phu!$I$35,L166=phu!$I$36,L166=phu!$I$37),"Cam Lộc",""),IF(OR(L166=phu!$I$38,L166=phu!$I$39,L166=phu!$I$40,L166=phu!$I$41,L166=phu!$I$42,L166=phu!$I$43,L166=phu!$I$44),"Cam Thuận",""),IF(OR(L166=phu!$I$45,L166=phu!$I$46,L166=phu!$I$47,L166=phu!$I$48,L166=phu!$I$49,L166=phu!$I$50,L166=phu!$I$51,L166=phu!$I$52,L166=phu!$I$53),"Cam Linh",""),IF(OR(L166=phu!$I$54,L166=phu!$I$55,L166=phu!$I$56,L166=phu!$I$57,L166=phu!$I$58,L166=phu!$I$59,L166=phu!$I$60,L166=phu!$I$61,L166=phu!$I$62),"Cam Lợi",""),IF(OR(L166=phu!$I$63,L166=phu!$I$64,L166=phu!$I$65,L166=phu!$I$66,L166=phu!$I$67,L166=phu!$I$68,L166=phu!$I$69,L166=phu!$I$70,L166=phu!$I$71),"Ba Ngòi",""),IF(OR(L166=phu!$I$72,L166=phu!$I$73,L166=phu!$I$74,L166=phu!$I$75,L166=phu!$I$76,L166=phu!$I$77,L166=phu!$I$78),"Cam Phước Đông",""),IF(OR(L166=phu!$I$79,L166=phu!$I$80,L166=phu!$I$81,L166=phu!$I$82,L166=phu!$I$83,L166=phu!$I$84),"Cam Thịnh Đông",""),IF(OR(L166=phu!$I$85,L166=phu!$I$86,L166=phu!$I$87,L166=phu!$I$88),"Cam Thịnh Tây",""),IF(OR(L166=phu!$I$89,L166=phu!$I$90),"Cam Lập",""),IF(OR(L166=phu!$I$91,L166=phu!$I$92,L166=phu!$I$93),"Cam Bình",""),IF(OR(L166=phu!$I$94,L166=phu!$I$95,L166=phu!$I$96,L166=phu!$I$97,L166=phu!$I$98,L166=phu!$I$99,L166=phu!$I$100),"Huyện khác",""),IF(OR(L166=phu!$I$101,L166=phu!$I$102),"Tỉnh khác",""))</f>
        <v/>
      </c>
      <c r="N166" s="835" t="str">
        <f t="shared" si="13"/>
        <v/>
      </c>
      <c r="O166" s="20"/>
      <c r="P166" s="20"/>
      <c r="Q166" s="20"/>
      <c r="R166" s="20"/>
      <c r="S166" s="20"/>
      <c r="T166" s="21"/>
      <c r="U166" s="21"/>
      <c r="V166" s="21"/>
      <c r="W166" s="7" t="str">
        <f t="shared" si="11"/>
        <v/>
      </c>
      <c r="X166" s="506" t="str">
        <f t="shared" si="12"/>
        <v/>
      </c>
    </row>
    <row r="167" spans="1:24" x14ac:dyDescent="0.25">
      <c r="A167" s="66" t="str">
        <f t="shared" si="14"/>
        <v/>
      </c>
      <c r="B167" s="23" t="str">
        <f t="shared" si="10"/>
        <v/>
      </c>
      <c r="C167" s="15"/>
      <c r="D167" s="16"/>
      <c r="E167" s="17"/>
      <c r="F167" s="18"/>
      <c r="G167" s="18"/>
      <c r="H167" s="19"/>
      <c r="I167" s="15"/>
      <c r="J167" s="20"/>
      <c r="K167" s="15"/>
      <c r="L167" s="15"/>
      <c r="M167" s="531" t="str">
        <f>CONCATENATE(IF(OR(L167=phu!$I$1,L167=phu!$I$2,L167=phu!$I$3),"Cam Thành Nam",""),IF(OR(L167=phu!$I$4,L167=phu!$I$5,L167=phu!$I$6,L167=phu!$I$7,L167=phu!$I$8,L167=phu!$I$9,L167=phu!$I$10,L167=phu!$I$11,L167=phu!$I$12,L167=phu!$I$13,L167=phu!$I$14),"Cam Nghĩa",""),IF(OR(L167=phu!$I$15,L167=phu!$I$16,L167=phu!$I$17,L167=phu!$I$18,L167=phu!$I$19,L167=phu!$I$20,L167=phu!$I$21),"Cam Phúc Bắc",""),IF(OR(L167=phu!$I$22,L167=phu!$I$23,L167=phu!$I$24,L167=phu!$I$25),"Cam Phúc Nam",""),IF(OR(L167=phu!$I$26,L167=phu!$I$27,L167=phu!$I$28,L167=phu!$I$29,L167=phu!$I$30,L167=phu!$I$31),"Cam Phú",""),IF(OR(L167=phu!$I$32,L167=phu!$I$33,L167=phu!$I$34,L167=phu!$I$35,L167=phu!$I$36,L167=phu!$I$37),"Cam Lộc",""),IF(OR(L167=phu!$I$38,L167=phu!$I$39,L167=phu!$I$40,L167=phu!$I$41,L167=phu!$I$42,L167=phu!$I$43,L167=phu!$I$44),"Cam Thuận",""),IF(OR(L167=phu!$I$45,L167=phu!$I$46,L167=phu!$I$47,L167=phu!$I$48,L167=phu!$I$49,L167=phu!$I$50,L167=phu!$I$51,L167=phu!$I$52,L167=phu!$I$53),"Cam Linh",""),IF(OR(L167=phu!$I$54,L167=phu!$I$55,L167=phu!$I$56,L167=phu!$I$57,L167=phu!$I$58,L167=phu!$I$59,L167=phu!$I$60,L167=phu!$I$61,L167=phu!$I$62),"Cam Lợi",""),IF(OR(L167=phu!$I$63,L167=phu!$I$64,L167=phu!$I$65,L167=phu!$I$66,L167=phu!$I$67,L167=phu!$I$68,L167=phu!$I$69,L167=phu!$I$70,L167=phu!$I$71),"Ba Ngòi",""),IF(OR(L167=phu!$I$72,L167=phu!$I$73,L167=phu!$I$74,L167=phu!$I$75,L167=phu!$I$76,L167=phu!$I$77,L167=phu!$I$78),"Cam Phước Đông",""),IF(OR(L167=phu!$I$79,L167=phu!$I$80,L167=phu!$I$81,L167=phu!$I$82,L167=phu!$I$83,L167=phu!$I$84),"Cam Thịnh Đông",""),IF(OR(L167=phu!$I$85,L167=phu!$I$86,L167=phu!$I$87,L167=phu!$I$88),"Cam Thịnh Tây",""),IF(OR(L167=phu!$I$89,L167=phu!$I$90),"Cam Lập",""),IF(OR(L167=phu!$I$91,L167=phu!$I$92,L167=phu!$I$93),"Cam Bình",""),IF(OR(L167=phu!$I$94,L167=phu!$I$95,L167=phu!$I$96,L167=phu!$I$97,L167=phu!$I$98,L167=phu!$I$99,L167=phu!$I$100),"Huyện khác",""),IF(OR(L167=phu!$I$101,L167=phu!$I$102),"Tỉnh khác",""))</f>
        <v/>
      </c>
      <c r="N167" s="835" t="str">
        <f t="shared" si="13"/>
        <v/>
      </c>
      <c r="O167" s="20"/>
      <c r="P167" s="20"/>
      <c r="Q167" s="20"/>
      <c r="R167" s="20"/>
      <c r="S167" s="20"/>
      <c r="T167" s="21"/>
      <c r="U167" s="21"/>
      <c r="V167" s="21"/>
      <c r="W167" s="7" t="str">
        <f t="shared" si="11"/>
        <v/>
      </c>
      <c r="X167" s="506" t="str">
        <f t="shared" si="12"/>
        <v/>
      </c>
    </row>
    <row r="168" spans="1:24" x14ac:dyDescent="0.25">
      <c r="A168" s="66" t="str">
        <f t="shared" si="14"/>
        <v/>
      </c>
      <c r="B168" s="23" t="str">
        <f t="shared" si="10"/>
        <v/>
      </c>
      <c r="C168" s="15"/>
      <c r="D168" s="16"/>
      <c r="E168" s="17"/>
      <c r="F168" s="18"/>
      <c r="G168" s="18"/>
      <c r="H168" s="19"/>
      <c r="I168" s="15"/>
      <c r="J168" s="20"/>
      <c r="K168" s="15"/>
      <c r="L168" s="15"/>
      <c r="M168" s="531" t="str">
        <f>CONCATENATE(IF(OR(L168=phu!$I$1,L168=phu!$I$2,L168=phu!$I$3),"Cam Thành Nam",""),IF(OR(L168=phu!$I$4,L168=phu!$I$5,L168=phu!$I$6,L168=phu!$I$7,L168=phu!$I$8,L168=phu!$I$9,L168=phu!$I$10,L168=phu!$I$11,L168=phu!$I$12,L168=phu!$I$13,L168=phu!$I$14),"Cam Nghĩa",""),IF(OR(L168=phu!$I$15,L168=phu!$I$16,L168=phu!$I$17,L168=phu!$I$18,L168=phu!$I$19,L168=phu!$I$20,L168=phu!$I$21),"Cam Phúc Bắc",""),IF(OR(L168=phu!$I$22,L168=phu!$I$23,L168=phu!$I$24,L168=phu!$I$25),"Cam Phúc Nam",""),IF(OR(L168=phu!$I$26,L168=phu!$I$27,L168=phu!$I$28,L168=phu!$I$29,L168=phu!$I$30,L168=phu!$I$31),"Cam Phú",""),IF(OR(L168=phu!$I$32,L168=phu!$I$33,L168=phu!$I$34,L168=phu!$I$35,L168=phu!$I$36,L168=phu!$I$37),"Cam Lộc",""),IF(OR(L168=phu!$I$38,L168=phu!$I$39,L168=phu!$I$40,L168=phu!$I$41,L168=phu!$I$42,L168=phu!$I$43,L168=phu!$I$44),"Cam Thuận",""),IF(OR(L168=phu!$I$45,L168=phu!$I$46,L168=phu!$I$47,L168=phu!$I$48,L168=phu!$I$49,L168=phu!$I$50,L168=phu!$I$51,L168=phu!$I$52,L168=phu!$I$53),"Cam Linh",""),IF(OR(L168=phu!$I$54,L168=phu!$I$55,L168=phu!$I$56,L168=phu!$I$57,L168=phu!$I$58,L168=phu!$I$59,L168=phu!$I$60,L168=phu!$I$61,L168=phu!$I$62),"Cam Lợi",""),IF(OR(L168=phu!$I$63,L168=phu!$I$64,L168=phu!$I$65,L168=phu!$I$66,L168=phu!$I$67,L168=phu!$I$68,L168=phu!$I$69,L168=phu!$I$70,L168=phu!$I$71),"Ba Ngòi",""),IF(OR(L168=phu!$I$72,L168=phu!$I$73,L168=phu!$I$74,L168=phu!$I$75,L168=phu!$I$76,L168=phu!$I$77,L168=phu!$I$78),"Cam Phước Đông",""),IF(OR(L168=phu!$I$79,L168=phu!$I$80,L168=phu!$I$81,L168=phu!$I$82,L168=phu!$I$83,L168=phu!$I$84),"Cam Thịnh Đông",""),IF(OR(L168=phu!$I$85,L168=phu!$I$86,L168=phu!$I$87,L168=phu!$I$88),"Cam Thịnh Tây",""),IF(OR(L168=phu!$I$89,L168=phu!$I$90),"Cam Lập",""),IF(OR(L168=phu!$I$91,L168=phu!$I$92,L168=phu!$I$93),"Cam Bình",""),IF(OR(L168=phu!$I$94,L168=phu!$I$95,L168=phu!$I$96,L168=phu!$I$97,L168=phu!$I$98,L168=phu!$I$99,L168=phu!$I$100),"Huyện khác",""),IF(OR(L168=phu!$I$101,L168=phu!$I$102),"Tỉnh khác",""))</f>
        <v/>
      </c>
      <c r="N168" s="835" t="str">
        <f t="shared" si="13"/>
        <v/>
      </c>
      <c r="O168" s="20"/>
      <c r="P168" s="20"/>
      <c r="Q168" s="20"/>
      <c r="R168" s="20"/>
      <c r="S168" s="20"/>
      <c r="T168" s="21"/>
      <c r="U168" s="21"/>
      <c r="V168" s="21"/>
      <c r="W168" s="7" t="str">
        <f t="shared" si="11"/>
        <v/>
      </c>
      <c r="X168" s="506" t="str">
        <f t="shared" si="12"/>
        <v/>
      </c>
    </row>
    <row r="169" spans="1:24" x14ac:dyDescent="0.25">
      <c r="A169" s="66" t="str">
        <f t="shared" si="14"/>
        <v/>
      </c>
      <c r="B169" s="23" t="str">
        <f t="shared" si="10"/>
        <v/>
      </c>
      <c r="C169" s="15"/>
      <c r="D169" s="16"/>
      <c r="E169" s="17"/>
      <c r="F169" s="18"/>
      <c r="G169" s="18"/>
      <c r="H169" s="19"/>
      <c r="I169" s="15"/>
      <c r="J169" s="20"/>
      <c r="K169" s="15"/>
      <c r="L169" s="15"/>
      <c r="M169" s="531" t="str">
        <f>CONCATENATE(IF(OR(L169=phu!$I$1,L169=phu!$I$2,L169=phu!$I$3),"Cam Thành Nam",""),IF(OR(L169=phu!$I$4,L169=phu!$I$5,L169=phu!$I$6,L169=phu!$I$7,L169=phu!$I$8,L169=phu!$I$9,L169=phu!$I$10,L169=phu!$I$11,L169=phu!$I$12,L169=phu!$I$13,L169=phu!$I$14),"Cam Nghĩa",""),IF(OR(L169=phu!$I$15,L169=phu!$I$16,L169=phu!$I$17,L169=phu!$I$18,L169=phu!$I$19,L169=phu!$I$20,L169=phu!$I$21),"Cam Phúc Bắc",""),IF(OR(L169=phu!$I$22,L169=phu!$I$23,L169=phu!$I$24,L169=phu!$I$25),"Cam Phúc Nam",""),IF(OR(L169=phu!$I$26,L169=phu!$I$27,L169=phu!$I$28,L169=phu!$I$29,L169=phu!$I$30,L169=phu!$I$31),"Cam Phú",""),IF(OR(L169=phu!$I$32,L169=phu!$I$33,L169=phu!$I$34,L169=phu!$I$35,L169=phu!$I$36,L169=phu!$I$37),"Cam Lộc",""),IF(OR(L169=phu!$I$38,L169=phu!$I$39,L169=phu!$I$40,L169=phu!$I$41,L169=phu!$I$42,L169=phu!$I$43,L169=phu!$I$44),"Cam Thuận",""),IF(OR(L169=phu!$I$45,L169=phu!$I$46,L169=phu!$I$47,L169=phu!$I$48,L169=phu!$I$49,L169=phu!$I$50,L169=phu!$I$51,L169=phu!$I$52,L169=phu!$I$53),"Cam Linh",""),IF(OR(L169=phu!$I$54,L169=phu!$I$55,L169=phu!$I$56,L169=phu!$I$57,L169=phu!$I$58,L169=phu!$I$59,L169=phu!$I$60,L169=phu!$I$61,L169=phu!$I$62),"Cam Lợi",""),IF(OR(L169=phu!$I$63,L169=phu!$I$64,L169=phu!$I$65,L169=phu!$I$66,L169=phu!$I$67,L169=phu!$I$68,L169=phu!$I$69,L169=phu!$I$70,L169=phu!$I$71),"Ba Ngòi",""),IF(OR(L169=phu!$I$72,L169=phu!$I$73,L169=phu!$I$74,L169=phu!$I$75,L169=phu!$I$76,L169=phu!$I$77,L169=phu!$I$78),"Cam Phước Đông",""),IF(OR(L169=phu!$I$79,L169=phu!$I$80,L169=phu!$I$81,L169=phu!$I$82,L169=phu!$I$83,L169=phu!$I$84),"Cam Thịnh Đông",""),IF(OR(L169=phu!$I$85,L169=phu!$I$86,L169=phu!$I$87,L169=phu!$I$88),"Cam Thịnh Tây",""),IF(OR(L169=phu!$I$89,L169=phu!$I$90),"Cam Lập",""),IF(OR(L169=phu!$I$91,L169=phu!$I$92,L169=phu!$I$93),"Cam Bình",""),IF(OR(L169=phu!$I$94,L169=phu!$I$95,L169=phu!$I$96,L169=phu!$I$97,L169=phu!$I$98,L169=phu!$I$99,L169=phu!$I$100),"Huyện khác",""),IF(OR(L169=phu!$I$101,L169=phu!$I$102),"Tỉnh khác",""))</f>
        <v/>
      </c>
      <c r="N169" s="835" t="str">
        <f t="shared" si="13"/>
        <v/>
      </c>
      <c r="O169" s="20"/>
      <c r="P169" s="20"/>
      <c r="Q169" s="20"/>
      <c r="R169" s="20"/>
      <c r="S169" s="20"/>
      <c r="T169" s="21"/>
      <c r="U169" s="21"/>
      <c r="V169" s="21"/>
      <c r="W169" s="7" t="str">
        <f t="shared" si="11"/>
        <v/>
      </c>
      <c r="X169" s="506" t="str">
        <f t="shared" si="12"/>
        <v/>
      </c>
    </row>
    <row r="170" spans="1:24" x14ac:dyDescent="0.25">
      <c r="A170" s="66" t="str">
        <f t="shared" si="14"/>
        <v/>
      </c>
      <c r="B170" s="23" t="str">
        <f t="shared" si="10"/>
        <v/>
      </c>
      <c r="C170" s="15"/>
      <c r="D170" s="16"/>
      <c r="E170" s="17"/>
      <c r="F170" s="18"/>
      <c r="G170" s="18"/>
      <c r="H170" s="19"/>
      <c r="I170" s="15"/>
      <c r="J170" s="20"/>
      <c r="K170" s="15"/>
      <c r="L170" s="15"/>
      <c r="M170" s="531" t="str">
        <f>CONCATENATE(IF(OR(L170=phu!$I$1,L170=phu!$I$2,L170=phu!$I$3),"Cam Thành Nam",""),IF(OR(L170=phu!$I$4,L170=phu!$I$5,L170=phu!$I$6,L170=phu!$I$7,L170=phu!$I$8,L170=phu!$I$9,L170=phu!$I$10,L170=phu!$I$11,L170=phu!$I$12,L170=phu!$I$13,L170=phu!$I$14),"Cam Nghĩa",""),IF(OR(L170=phu!$I$15,L170=phu!$I$16,L170=phu!$I$17,L170=phu!$I$18,L170=phu!$I$19,L170=phu!$I$20,L170=phu!$I$21),"Cam Phúc Bắc",""),IF(OR(L170=phu!$I$22,L170=phu!$I$23,L170=phu!$I$24,L170=phu!$I$25),"Cam Phúc Nam",""),IF(OR(L170=phu!$I$26,L170=phu!$I$27,L170=phu!$I$28,L170=phu!$I$29,L170=phu!$I$30,L170=phu!$I$31),"Cam Phú",""),IF(OR(L170=phu!$I$32,L170=phu!$I$33,L170=phu!$I$34,L170=phu!$I$35,L170=phu!$I$36,L170=phu!$I$37),"Cam Lộc",""),IF(OR(L170=phu!$I$38,L170=phu!$I$39,L170=phu!$I$40,L170=phu!$I$41,L170=phu!$I$42,L170=phu!$I$43,L170=phu!$I$44),"Cam Thuận",""),IF(OR(L170=phu!$I$45,L170=phu!$I$46,L170=phu!$I$47,L170=phu!$I$48,L170=phu!$I$49,L170=phu!$I$50,L170=phu!$I$51,L170=phu!$I$52,L170=phu!$I$53),"Cam Linh",""),IF(OR(L170=phu!$I$54,L170=phu!$I$55,L170=phu!$I$56,L170=phu!$I$57,L170=phu!$I$58,L170=phu!$I$59,L170=phu!$I$60,L170=phu!$I$61,L170=phu!$I$62),"Cam Lợi",""),IF(OR(L170=phu!$I$63,L170=phu!$I$64,L170=phu!$I$65,L170=phu!$I$66,L170=phu!$I$67,L170=phu!$I$68,L170=phu!$I$69,L170=phu!$I$70,L170=phu!$I$71),"Ba Ngòi",""),IF(OR(L170=phu!$I$72,L170=phu!$I$73,L170=phu!$I$74,L170=phu!$I$75,L170=phu!$I$76,L170=phu!$I$77,L170=phu!$I$78),"Cam Phước Đông",""),IF(OR(L170=phu!$I$79,L170=phu!$I$80,L170=phu!$I$81,L170=phu!$I$82,L170=phu!$I$83,L170=phu!$I$84),"Cam Thịnh Đông",""),IF(OR(L170=phu!$I$85,L170=phu!$I$86,L170=phu!$I$87,L170=phu!$I$88),"Cam Thịnh Tây",""),IF(OR(L170=phu!$I$89,L170=phu!$I$90),"Cam Lập",""),IF(OR(L170=phu!$I$91,L170=phu!$I$92,L170=phu!$I$93),"Cam Bình",""),IF(OR(L170=phu!$I$94,L170=phu!$I$95,L170=phu!$I$96,L170=phu!$I$97,L170=phu!$I$98,L170=phu!$I$99,L170=phu!$I$100),"Huyện khác",""),IF(OR(L170=phu!$I$101,L170=phu!$I$102),"Tỉnh khác",""))</f>
        <v/>
      </c>
      <c r="N170" s="835" t="str">
        <f t="shared" si="13"/>
        <v/>
      </c>
      <c r="O170" s="20"/>
      <c r="P170" s="20"/>
      <c r="Q170" s="20"/>
      <c r="R170" s="20"/>
      <c r="S170" s="20"/>
      <c r="T170" s="21"/>
      <c r="U170" s="21"/>
      <c r="V170" s="21"/>
      <c r="W170" s="7" t="str">
        <f t="shared" si="11"/>
        <v/>
      </c>
      <c r="X170" s="506" t="str">
        <f t="shared" si="12"/>
        <v/>
      </c>
    </row>
    <row r="171" spans="1:24" x14ac:dyDescent="0.25">
      <c r="A171" s="66" t="str">
        <f t="shared" si="14"/>
        <v/>
      </c>
      <c r="B171" s="23" t="str">
        <f t="shared" si="10"/>
        <v/>
      </c>
      <c r="C171" s="15"/>
      <c r="D171" s="16"/>
      <c r="E171" s="17"/>
      <c r="F171" s="18"/>
      <c r="G171" s="18"/>
      <c r="H171" s="19"/>
      <c r="I171" s="15"/>
      <c r="J171" s="20"/>
      <c r="K171" s="15"/>
      <c r="L171" s="15"/>
      <c r="M171" s="531" t="str">
        <f>CONCATENATE(IF(OR(L171=phu!$I$1,L171=phu!$I$2,L171=phu!$I$3),"Cam Thành Nam",""),IF(OR(L171=phu!$I$4,L171=phu!$I$5,L171=phu!$I$6,L171=phu!$I$7,L171=phu!$I$8,L171=phu!$I$9,L171=phu!$I$10,L171=phu!$I$11,L171=phu!$I$12,L171=phu!$I$13,L171=phu!$I$14),"Cam Nghĩa",""),IF(OR(L171=phu!$I$15,L171=phu!$I$16,L171=phu!$I$17,L171=phu!$I$18,L171=phu!$I$19,L171=phu!$I$20,L171=phu!$I$21),"Cam Phúc Bắc",""),IF(OR(L171=phu!$I$22,L171=phu!$I$23,L171=phu!$I$24,L171=phu!$I$25),"Cam Phúc Nam",""),IF(OR(L171=phu!$I$26,L171=phu!$I$27,L171=phu!$I$28,L171=phu!$I$29,L171=phu!$I$30,L171=phu!$I$31),"Cam Phú",""),IF(OR(L171=phu!$I$32,L171=phu!$I$33,L171=phu!$I$34,L171=phu!$I$35,L171=phu!$I$36,L171=phu!$I$37),"Cam Lộc",""),IF(OR(L171=phu!$I$38,L171=phu!$I$39,L171=phu!$I$40,L171=phu!$I$41,L171=phu!$I$42,L171=phu!$I$43,L171=phu!$I$44),"Cam Thuận",""),IF(OR(L171=phu!$I$45,L171=phu!$I$46,L171=phu!$I$47,L171=phu!$I$48,L171=phu!$I$49,L171=phu!$I$50,L171=phu!$I$51,L171=phu!$I$52,L171=phu!$I$53),"Cam Linh",""),IF(OR(L171=phu!$I$54,L171=phu!$I$55,L171=phu!$I$56,L171=phu!$I$57,L171=phu!$I$58,L171=phu!$I$59,L171=phu!$I$60,L171=phu!$I$61,L171=phu!$I$62),"Cam Lợi",""),IF(OR(L171=phu!$I$63,L171=phu!$I$64,L171=phu!$I$65,L171=phu!$I$66,L171=phu!$I$67,L171=phu!$I$68,L171=phu!$I$69,L171=phu!$I$70,L171=phu!$I$71),"Ba Ngòi",""),IF(OR(L171=phu!$I$72,L171=phu!$I$73,L171=phu!$I$74,L171=phu!$I$75,L171=phu!$I$76,L171=phu!$I$77,L171=phu!$I$78),"Cam Phước Đông",""),IF(OR(L171=phu!$I$79,L171=phu!$I$80,L171=phu!$I$81,L171=phu!$I$82,L171=phu!$I$83,L171=phu!$I$84),"Cam Thịnh Đông",""),IF(OR(L171=phu!$I$85,L171=phu!$I$86,L171=phu!$I$87,L171=phu!$I$88),"Cam Thịnh Tây",""),IF(OR(L171=phu!$I$89,L171=phu!$I$90),"Cam Lập",""),IF(OR(L171=phu!$I$91,L171=phu!$I$92,L171=phu!$I$93),"Cam Bình",""),IF(OR(L171=phu!$I$94,L171=phu!$I$95,L171=phu!$I$96,L171=phu!$I$97,L171=phu!$I$98,L171=phu!$I$99,L171=phu!$I$100),"Huyện khác",""),IF(OR(L171=phu!$I$101,L171=phu!$I$102),"Tỉnh khác",""))</f>
        <v/>
      </c>
      <c r="N171" s="835" t="str">
        <f t="shared" si="13"/>
        <v/>
      </c>
      <c r="O171" s="20"/>
      <c r="P171" s="20"/>
      <c r="Q171" s="20"/>
      <c r="R171" s="20"/>
      <c r="S171" s="20"/>
      <c r="T171" s="21"/>
      <c r="U171" s="21"/>
      <c r="V171" s="21"/>
      <c r="W171" s="7" t="str">
        <f t="shared" si="11"/>
        <v/>
      </c>
      <c r="X171" s="506" t="str">
        <f t="shared" si="12"/>
        <v/>
      </c>
    </row>
    <row r="172" spans="1:24" x14ac:dyDescent="0.25">
      <c r="A172" s="66" t="str">
        <f t="shared" si="14"/>
        <v/>
      </c>
      <c r="B172" s="23" t="str">
        <f t="shared" si="10"/>
        <v/>
      </c>
      <c r="C172" s="15"/>
      <c r="D172" s="16"/>
      <c r="E172" s="17"/>
      <c r="F172" s="18"/>
      <c r="G172" s="18"/>
      <c r="H172" s="19"/>
      <c r="I172" s="15"/>
      <c r="J172" s="20"/>
      <c r="K172" s="15"/>
      <c r="L172" s="15"/>
      <c r="M172" s="531" t="str">
        <f>CONCATENATE(IF(OR(L172=phu!$I$1,L172=phu!$I$2,L172=phu!$I$3),"Cam Thành Nam",""),IF(OR(L172=phu!$I$4,L172=phu!$I$5,L172=phu!$I$6,L172=phu!$I$7,L172=phu!$I$8,L172=phu!$I$9,L172=phu!$I$10,L172=phu!$I$11,L172=phu!$I$12,L172=phu!$I$13,L172=phu!$I$14),"Cam Nghĩa",""),IF(OR(L172=phu!$I$15,L172=phu!$I$16,L172=phu!$I$17,L172=phu!$I$18,L172=phu!$I$19,L172=phu!$I$20,L172=phu!$I$21),"Cam Phúc Bắc",""),IF(OR(L172=phu!$I$22,L172=phu!$I$23,L172=phu!$I$24,L172=phu!$I$25),"Cam Phúc Nam",""),IF(OR(L172=phu!$I$26,L172=phu!$I$27,L172=phu!$I$28,L172=phu!$I$29,L172=phu!$I$30,L172=phu!$I$31),"Cam Phú",""),IF(OR(L172=phu!$I$32,L172=phu!$I$33,L172=phu!$I$34,L172=phu!$I$35,L172=phu!$I$36,L172=phu!$I$37),"Cam Lộc",""),IF(OR(L172=phu!$I$38,L172=phu!$I$39,L172=phu!$I$40,L172=phu!$I$41,L172=phu!$I$42,L172=phu!$I$43,L172=phu!$I$44),"Cam Thuận",""),IF(OR(L172=phu!$I$45,L172=phu!$I$46,L172=phu!$I$47,L172=phu!$I$48,L172=phu!$I$49,L172=phu!$I$50,L172=phu!$I$51,L172=phu!$I$52,L172=phu!$I$53),"Cam Linh",""),IF(OR(L172=phu!$I$54,L172=phu!$I$55,L172=phu!$I$56,L172=phu!$I$57,L172=phu!$I$58,L172=phu!$I$59,L172=phu!$I$60,L172=phu!$I$61,L172=phu!$I$62),"Cam Lợi",""),IF(OR(L172=phu!$I$63,L172=phu!$I$64,L172=phu!$I$65,L172=phu!$I$66,L172=phu!$I$67,L172=phu!$I$68,L172=phu!$I$69,L172=phu!$I$70,L172=phu!$I$71),"Ba Ngòi",""),IF(OR(L172=phu!$I$72,L172=phu!$I$73,L172=phu!$I$74,L172=phu!$I$75,L172=phu!$I$76,L172=phu!$I$77,L172=phu!$I$78),"Cam Phước Đông",""),IF(OR(L172=phu!$I$79,L172=phu!$I$80,L172=phu!$I$81,L172=phu!$I$82,L172=phu!$I$83,L172=phu!$I$84),"Cam Thịnh Đông",""),IF(OR(L172=phu!$I$85,L172=phu!$I$86,L172=phu!$I$87,L172=phu!$I$88),"Cam Thịnh Tây",""),IF(OR(L172=phu!$I$89,L172=phu!$I$90),"Cam Lập",""),IF(OR(L172=phu!$I$91,L172=phu!$I$92,L172=phu!$I$93),"Cam Bình",""),IF(OR(L172=phu!$I$94,L172=phu!$I$95,L172=phu!$I$96,L172=phu!$I$97,L172=phu!$I$98,L172=phu!$I$99,L172=phu!$I$100),"Huyện khác",""),IF(OR(L172=phu!$I$101,L172=phu!$I$102),"Tỉnh khác",""))</f>
        <v/>
      </c>
      <c r="N172" s="835" t="str">
        <f t="shared" si="13"/>
        <v/>
      </c>
      <c r="O172" s="20"/>
      <c r="P172" s="20"/>
      <c r="Q172" s="20"/>
      <c r="R172" s="20"/>
      <c r="S172" s="20"/>
      <c r="T172" s="21"/>
      <c r="U172" s="21"/>
      <c r="V172" s="21"/>
      <c r="W172" s="7" t="str">
        <f t="shared" si="11"/>
        <v/>
      </c>
      <c r="X172" s="506" t="str">
        <f t="shared" si="12"/>
        <v/>
      </c>
    </row>
    <row r="173" spans="1:24" x14ac:dyDescent="0.25">
      <c r="A173" s="66" t="str">
        <f t="shared" si="14"/>
        <v/>
      </c>
      <c r="B173" s="23" t="str">
        <f t="shared" si="10"/>
        <v/>
      </c>
      <c r="C173" s="15"/>
      <c r="D173" s="16"/>
      <c r="E173" s="17"/>
      <c r="F173" s="18"/>
      <c r="G173" s="18"/>
      <c r="H173" s="19"/>
      <c r="I173" s="15"/>
      <c r="J173" s="20"/>
      <c r="K173" s="15"/>
      <c r="L173" s="15"/>
      <c r="M173" s="531" t="str">
        <f>CONCATENATE(IF(OR(L173=phu!$I$1,L173=phu!$I$2,L173=phu!$I$3),"Cam Thành Nam",""),IF(OR(L173=phu!$I$4,L173=phu!$I$5,L173=phu!$I$6,L173=phu!$I$7,L173=phu!$I$8,L173=phu!$I$9,L173=phu!$I$10,L173=phu!$I$11,L173=phu!$I$12,L173=phu!$I$13,L173=phu!$I$14),"Cam Nghĩa",""),IF(OR(L173=phu!$I$15,L173=phu!$I$16,L173=phu!$I$17,L173=phu!$I$18,L173=phu!$I$19,L173=phu!$I$20,L173=phu!$I$21),"Cam Phúc Bắc",""),IF(OR(L173=phu!$I$22,L173=phu!$I$23,L173=phu!$I$24,L173=phu!$I$25),"Cam Phúc Nam",""),IF(OR(L173=phu!$I$26,L173=phu!$I$27,L173=phu!$I$28,L173=phu!$I$29,L173=phu!$I$30,L173=phu!$I$31),"Cam Phú",""),IF(OR(L173=phu!$I$32,L173=phu!$I$33,L173=phu!$I$34,L173=phu!$I$35,L173=phu!$I$36,L173=phu!$I$37),"Cam Lộc",""),IF(OR(L173=phu!$I$38,L173=phu!$I$39,L173=phu!$I$40,L173=phu!$I$41,L173=phu!$I$42,L173=phu!$I$43,L173=phu!$I$44),"Cam Thuận",""),IF(OR(L173=phu!$I$45,L173=phu!$I$46,L173=phu!$I$47,L173=phu!$I$48,L173=phu!$I$49,L173=phu!$I$50,L173=phu!$I$51,L173=phu!$I$52,L173=phu!$I$53),"Cam Linh",""),IF(OR(L173=phu!$I$54,L173=phu!$I$55,L173=phu!$I$56,L173=phu!$I$57,L173=phu!$I$58,L173=phu!$I$59,L173=phu!$I$60,L173=phu!$I$61,L173=phu!$I$62),"Cam Lợi",""),IF(OR(L173=phu!$I$63,L173=phu!$I$64,L173=phu!$I$65,L173=phu!$I$66,L173=phu!$I$67,L173=phu!$I$68,L173=phu!$I$69,L173=phu!$I$70,L173=phu!$I$71),"Ba Ngòi",""),IF(OR(L173=phu!$I$72,L173=phu!$I$73,L173=phu!$I$74,L173=phu!$I$75,L173=phu!$I$76,L173=phu!$I$77,L173=phu!$I$78),"Cam Phước Đông",""),IF(OR(L173=phu!$I$79,L173=phu!$I$80,L173=phu!$I$81,L173=phu!$I$82,L173=phu!$I$83,L173=phu!$I$84),"Cam Thịnh Đông",""),IF(OR(L173=phu!$I$85,L173=phu!$I$86,L173=phu!$I$87,L173=phu!$I$88),"Cam Thịnh Tây",""),IF(OR(L173=phu!$I$89,L173=phu!$I$90),"Cam Lập",""),IF(OR(L173=phu!$I$91,L173=phu!$I$92,L173=phu!$I$93),"Cam Bình",""),IF(OR(L173=phu!$I$94,L173=phu!$I$95,L173=phu!$I$96,L173=phu!$I$97,L173=phu!$I$98,L173=phu!$I$99,L173=phu!$I$100),"Huyện khác",""),IF(OR(L173=phu!$I$101,L173=phu!$I$102),"Tỉnh khác",""))</f>
        <v/>
      </c>
      <c r="N173" s="835" t="str">
        <f t="shared" si="13"/>
        <v/>
      </c>
      <c r="O173" s="20"/>
      <c r="P173" s="20"/>
      <c r="Q173" s="20"/>
      <c r="R173" s="20"/>
      <c r="S173" s="20"/>
      <c r="T173" s="21"/>
      <c r="U173" s="21"/>
      <c r="V173" s="21"/>
      <c r="W173" s="7" t="str">
        <f t="shared" si="11"/>
        <v/>
      </c>
      <c r="X173" s="506" t="str">
        <f t="shared" si="12"/>
        <v/>
      </c>
    </row>
    <row r="174" spans="1:24" x14ac:dyDescent="0.25">
      <c r="A174" s="66" t="str">
        <f t="shared" si="14"/>
        <v/>
      </c>
      <c r="B174" s="23" t="str">
        <f t="shared" si="10"/>
        <v/>
      </c>
      <c r="C174" s="15"/>
      <c r="D174" s="16"/>
      <c r="E174" s="17"/>
      <c r="F174" s="18"/>
      <c r="G174" s="18"/>
      <c r="H174" s="19"/>
      <c r="I174" s="15"/>
      <c r="J174" s="20"/>
      <c r="K174" s="15"/>
      <c r="L174" s="15"/>
      <c r="M174" s="531" t="str">
        <f>CONCATENATE(IF(OR(L174=phu!$I$1,L174=phu!$I$2,L174=phu!$I$3),"Cam Thành Nam",""),IF(OR(L174=phu!$I$4,L174=phu!$I$5,L174=phu!$I$6,L174=phu!$I$7,L174=phu!$I$8,L174=phu!$I$9,L174=phu!$I$10,L174=phu!$I$11,L174=phu!$I$12,L174=phu!$I$13,L174=phu!$I$14),"Cam Nghĩa",""),IF(OR(L174=phu!$I$15,L174=phu!$I$16,L174=phu!$I$17,L174=phu!$I$18,L174=phu!$I$19,L174=phu!$I$20,L174=phu!$I$21),"Cam Phúc Bắc",""),IF(OR(L174=phu!$I$22,L174=phu!$I$23,L174=phu!$I$24,L174=phu!$I$25),"Cam Phúc Nam",""),IF(OR(L174=phu!$I$26,L174=phu!$I$27,L174=phu!$I$28,L174=phu!$I$29,L174=phu!$I$30,L174=phu!$I$31),"Cam Phú",""),IF(OR(L174=phu!$I$32,L174=phu!$I$33,L174=phu!$I$34,L174=phu!$I$35,L174=phu!$I$36,L174=phu!$I$37),"Cam Lộc",""),IF(OR(L174=phu!$I$38,L174=phu!$I$39,L174=phu!$I$40,L174=phu!$I$41,L174=phu!$I$42,L174=phu!$I$43,L174=phu!$I$44),"Cam Thuận",""),IF(OR(L174=phu!$I$45,L174=phu!$I$46,L174=phu!$I$47,L174=phu!$I$48,L174=phu!$I$49,L174=phu!$I$50,L174=phu!$I$51,L174=phu!$I$52,L174=phu!$I$53),"Cam Linh",""),IF(OR(L174=phu!$I$54,L174=phu!$I$55,L174=phu!$I$56,L174=phu!$I$57,L174=phu!$I$58,L174=phu!$I$59,L174=phu!$I$60,L174=phu!$I$61,L174=phu!$I$62),"Cam Lợi",""),IF(OR(L174=phu!$I$63,L174=phu!$I$64,L174=phu!$I$65,L174=phu!$I$66,L174=phu!$I$67,L174=phu!$I$68,L174=phu!$I$69,L174=phu!$I$70,L174=phu!$I$71),"Ba Ngòi",""),IF(OR(L174=phu!$I$72,L174=phu!$I$73,L174=phu!$I$74,L174=phu!$I$75,L174=phu!$I$76,L174=phu!$I$77,L174=phu!$I$78),"Cam Phước Đông",""),IF(OR(L174=phu!$I$79,L174=phu!$I$80,L174=phu!$I$81,L174=phu!$I$82,L174=phu!$I$83,L174=phu!$I$84),"Cam Thịnh Đông",""),IF(OR(L174=phu!$I$85,L174=phu!$I$86,L174=phu!$I$87,L174=phu!$I$88),"Cam Thịnh Tây",""),IF(OR(L174=phu!$I$89,L174=phu!$I$90),"Cam Lập",""),IF(OR(L174=phu!$I$91,L174=phu!$I$92,L174=phu!$I$93),"Cam Bình",""),IF(OR(L174=phu!$I$94,L174=phu!$I$95,L174=phu!$I$96,L174=phu!$I$97,L174=phu!$I$98,L174=phu!$I$99,L174=phu!$I$100),"Huyện khác",""),IF(OR(L174=phu!$I$101,L174=phu!$I$102),"Tỉnh khác",""))</f>
        <v/>
      </c>
      <c r="N174" s="835" t="str">
        <f t="shared" si="13"/>
        <v/>
      </c>
      <c r="O174" s="20"/>
      <c r="P174" s="20"/>
      <c r="Q174" s="20"/>
      <c r="R174" s="20"/>
      <c r="S174" s="20"/>
      <c r="T174" s="21"/>
      <c r="U174" s="21"/>
      <c r="V174" s="21"/>
      <c r="W174" s="7" t="str">
        <f t="shared" si="11"/>
        <v/>
      </c>
      <c r="X174" s="506" t="str">
        <f t="shared" si="12"/>
        <v/>
      </c>
    </row>
    <row r="175" spans="1:24" x14ac:dyDescent="0.25">
      <c r="A175" s="66" t="str">
        <f t="shared" si="14"/>
        <v/>
      </c>
      <c r="B175" s="23" t="str">
        <f t="shared" si="10"/>
        <v/>
      </c>
      <c r="C175" s="15"/>
      <c r="D175" s="16"/>
      <c r="E175" s="17"/>
      <c r="F175" s="18"/>
      <c r="G175" s="18"/>
      <c r="H175" s="19"/>
      <c r="I175" s="15"/>
      <c r="J175" s="20"/>
      <c r="K175" s="15"/>
      <c r="L175" s="15"/>
      <c r="M175" s="531" t="str">
        <f>CONCATENATE(IF(OR(L175=phu!$I$1,L175=phu!$I$2,L175=phu!$I$3),"Cam Thành Nam",""),IF(OR(L175=phu!$I$4,L175=phu!$I$5,L175=phu!$I$6,L175=phu!$I$7,L175=phu!$I$8,L175=phu!$I$9,L175=phu!$I$10,L175=phu!$I$11,L175=phu!$I$12,L175=phu!$I$13,L175=phu!$I$14),"Cam Nghĩa",""),IF(OR(L175=phu!$I$15,L175=phu!$I$16,L175=phu!$I$17,L175=phu!$I$18,L175=phu!$I$19,L175=phu!$I$20,L175=phu!$I$21),"Cam Phúc Bắc",""),IF(OR(L175=phu!$I$22,L175=phu!$I$23,L175=phu!$I$24,L175=phu!$I$25),"Cam Phúc Nam",""),IF(OR(L175=phu!$I$26,L175=phu!$I$27,L175=phu!$I$28,L175=phu!$I$29,L175=phu!$I$30,L175=phu!$I$31),"Cam Phú",""),IF(OR(L175=phu!$I$32,L175=phu!$I$33,L175=phu!$I$34,L175=phu!$I$35,L175=phu!$I$36,L175=phu!$I$37),"Cam Lộc",""),IF(OR(L175=phu!$I$38,L175=phu!$I$39,L175=phu!$I$40,L175=phu!$I$41,L175=phu!$I$42,L175=phu!$I$43,L175=phu!$I$44),"Cam Thuận",""),IF(OR(L175=phu!$I$45,L175=phu!$I$46,L175=phu!$I$47,L175=phu!$I$48,L175=phu!$I$49,L175=phu!$I$50,L175=phu!$I$51,L175=phu!$I$52,L175=phu!$I$53),"Cam Linh",""),IF(OR(L175=phu!$I$54,L175=phu!$I$55,L175=phu!$I$56,L175=phu!$I$57,L175=phu!$I$58,L175=phu!$I$59,L175=phu!$I$60,L175=phu!$I$61,L175=phu!$I$62),"Cam Lợi",""),IF(OR(L175=phu!$I$63,L175=phu!$I$64,L175=phu!$I$65,L175=phu!$I$66,L175=phu!$I$67,L175=phu!$I$68,L175=phu!$I$69,L175=phu!$I$70,L175=phu!$I$71),"Ba Ngòi",""),IF(OR(L175=phu!$I$72,L175=phu!$I$73,L175=phu!$I$74,L175=phu!$I$75,L175=phu!$I$76,L175=phu!$I$77,L175=phu!$I$78),"Cam Phước Đông",""),IF(OR(L175=phu!$I$79,L175=phu!$I$80,L175=phu!$I$81,L175=phu!$I$82,L175=phu!$I$83,L175=phu!$I$84),"Cam Thịnh Đông",""),IF(OR(L175=phu!$I$85,L175=phu!$I$86,L175=phu!$I$87,L175=phu!$I$88),"Cam Thịnh Tây",""),IF(OR(L175=phu!$I$89,L175=phu!$I$90),"Cam Lập",""),IF(OR(L175=phu!$I$91,L175=phu!$I$92,L175=phu!$I$93),"Cam Bình",""),IF(OR(L175=phu!$I$94,L175=phu!$I$95,L175=phu!$I$96,L175=phu!$I$97,L175=phu!$I$98,L175=phu!$I$99,L175=phu!$I$100),"Huyện khác",""),IF(OR(L175=phu!$I$101,L175=phu!$I$102),"Tỉnh khác",""))</f>
        <v/>
      </c>
      <c r="N175" s="835" t="str">
        <f t="shared" si="13"/>
        <v/>
      </c>
      <c r="O175" s="20"/>
      <c r="P175" s="20"/>
      <c r="Q175" s="20"/>
      <c r="R175" s="20"/>
      <c r="S175" s="20"/>
      <c r="T175" s="21"/>
      <c r="U175" s="21"/>
      <c r="V175" s="21"/>
      <c r="W175" s="7" t="str">
        <f t="shared" si="11"/>
        <v/>
      </c>
      <c r="X175" s="506" t="str">
        <f t="shared" si="12"/>
        <v/>
      </c>
    </row>
    <row r="176" spans="1:24" x14ac:dyDescent="0.25">
      <c r="A176" s="66" t="str">
        <f t="shared" si="14"/>
        <v/>
      </c>
      <c r="B176" s="23" t="str">
        <f t="shared" si="10"/>
        <v/>
      </c>
      <c r="C176" s="15"/>
      <c r="D176" s="16"/>
      <c r="E176" s="17"/>
      <c r="F176" s="18"/>
      <c r="G176" s="18"/>
      <c r="H176" s="19"/>
      <c r="I176" s="15"/>
      <c r="J176" s="20"/>
      <c r="K176" s="15"/>
      <c r="L176" s="15"/>
      <c r="M176" s="531" t="str">
        <f>CONCATENATE(IF(OR(L176=phu!$I$1,L176=phu!$I$2,L176=phu!$I$3),"Cam Thành Nam",""),IF(OR(L176=phu!$I$4,L176=phu!$I$5,L176=phu!$I$6,L176=phu!$I$7,L176=phu!$I$8,L176=phu!$I$9,L176=phu!$I$10,L176=phu!$I$11,L176=phu!$I$12,L176=phu!$I$13,L176=phu!$I$14),"Cam Nghĩa",""),IF(OR(L176=phu!$I$15,L176=phu!$I$16,L176=phu!$I$17,L176=phu!$I$18,L176=phu!$I$19,L176=phu!$I$20,L176=phu!$I$21),"Cam Phúc Bắc",""),IF(OR(L176=phu!$I$22,L176=phu!$I$23,L176=phu!$I$24,L176=phu!$I$25),"Cam Phúc Nam",""),IF(OR(L176=phu!$I$26,L176=phu!$I$27,L176=phu!$I$28,L176=phu!$I$29,L176=phu!$I$30,L176=phu!$I$31),"Cam Phú",""),IF(OR(L176=phu!$I$32,L176=phu!$I$33,L176=phu!$I$34,L176=phu!$I$35,L176=phu!$I$36,L176=phu!$I$37),"Cam Lộc",""),IF(OR(L176=phu!$I$38,L176=phu!$I$39,L176=phu!$I$40,L176=phu!$I$41,L176=phu!$I$42,L176=phu!$I$43,L176=phu!$I$44),"Cam Thuận",""),IF(OR(L176=phu!$I$45,L176=phu!$I$46,L176=phu!$I$47,L176=phu!$I$48,L176=phu!$I$49,L176=phu!$I$50,L176=phu!$I$51,L176=phu!$I$52,L176=phu!$I$53),"Cam Linh",""),IF(OR(L176=phu!$I$54,L176=phu!$I$55,L176=phu!$I$56,L176=phu!$I$57,L176=phu!$I$58,L176=phu!$I$59,L176=phu!$I$60,L176=phu!$I$61,L176=phu!$I$62),"Cam Lợi",""),IF(OR(L176=phu!$I$63,L176=phu!$I$64,L176=phu!$I$65,L176=phu!$I$66,L176=phu!$I$67,L176=phu!$I$68,L176=phu!$I$69,L176=phu!$I$70,L176=phu!$I$71),"Ba Ngòi",""),IF(OR(L176=phu!$I$72,L176=phu!$I$73,L176=phu!$I$74,L176=phu!$I$75,L176=phu!$I$76,L176=phu!$I$77,L176=phu!$I$78),"Cam Phước Đông",""),IF(OR(L176=phu!$I$79,L176=phu!$I$80,L176=phu!$I$81,L176=phu!$I$82,L176=phu!$I$83,L176=phu!$I$84),"Cam Thịnh Đông",""),IF(OR(L176=phu!$I$85,L176=phu!$I$86,L176=phu!$I$87,L176=phu!$I$88),"Cam Thịnh Tây",""),IF(OR(L176=phu!$I$89,L176=phu!$I$90),"Cam Lập",""),IF(OR(L176=phu!$I$91,L176=phu!$I$92,L176=phu!$I$93),"Cam Bình",""),IF(OR(L176=phu!$I$94,L176=phu!$I$95,L176=phu!$I$96,L176=phu!$I$97,L176=phu!$I$98,L176=phu!$I$99,L176=phu!$I$100),"Huyện khác",""),IF(OR(L176=phu!$I$101,L176=phu!$I$102),"Tỉnh khác",""))</f>
        <v/>
      </c>
      <c r="N176" s="835" t="str">
        <f t="shared" si="13"/>
        <v/>
      </c>
      <c r="O176" s="20"/>
      <c r="P176" s="20"/>
      <c r="Q176" s="20"/>
      <c r="R176" s="20"/>
      <c r="S176" s="20"/>
      <c r="T176" s="21"/>
      <c r="U176" s="21"/>
      <c r="V176" s="21"/>
      <c r="W176" s="7" t="str">
        <f t="shared" si="11"/>
        <v/>
      </c>
      <c r="X176" s="506" t="str">
        <f t="shared" si="12"/>
        <v/>
      </c>
    </row>
    <row r="177" spans="1:24" x14ac:dyDescent="0.25">
      <c r="A177" s="66" t="str">
        <f t="shared" si="14"/>
        <v/>
      </c>
      <c r="B177" s="23" t="str">
        <f t="shared" si="10"/>
        <v/>
      </c>
      <c r="C177" s="15"/>
      <c r="D177" s="16"/>
      <c r="E177" s="17"/>
      <c r="F177" s="18"/>
      <c r="G177" s="18"/>
      <c r="H177" s="19"/>
      <c r="I177" s="15"/>
      <c r="J177" s="20"/>
      <c r="K177" s="15"/>
      <c r="L177" s="15"/>
      <c r="M177" s="531" t="str">
        <f>CONCATENATE(IF(OR(L177=phu!$I$1,L177=phu!$I$2,L177=phu!$I$3),"Cam Thành Nam",""),IF(OR(L177=phu!$I$4,L177=phu!$I$5,L177=phu!$I$6,L177=phu!$I$7,L177=phu!$I$8,L177=phu!$I$9,L177=phu!$I$10,L177=phu!$I$11,L177=phu!$I$12,L177=phu!$I$13,L177=phu!$I$14),"Cam Nghĩa",""),IF(OR(L177=phu!$I$15,L177=phu!$I$16,L177=phu!$I$17,L177=phu!$I$18,L177=phu!$I$19,L177=phu!$I$20,L177=phu!$I$21),"Cam Phúc Bắc",""),IF(OR(L177=phu!$I$22,L177=phu!$I$23,L177=phu!$I$24,L177=phu!$I$25),"Cam Phúc Nam",""),IF(OR(L177=phu!$I$26,L177=phu!$I$27,L177=phu!$I$28,L177=phu!$I$29,L177=phu!$I$30,L177=phu!$I$31),"Cam Phú",""),IF(OR(L177=phu!$I$32,L177=phu!$I$33,L177=phu!$I$34,L177=phu!$I$35,L177=phu!$I$36,L177=phu!$I$37),"Cam Lộc",""),IF(OR(L177=phu!$I$38,L177=phu!$I$39,L177=phu!$I$40,L177=phu!$I$41,L177=phu!$I$42,L177=phu!$I$43,L177=phu!$I$44),"Cam Thuận",""),IF(OR(L177=phu!$I$45,L177=phu!$I$46,L177=phu!$I$47,L177=phu!$I$48,L177=phu!$I$49,L177=phu!$I$50,L177=phu!$I$51,L177=phu!$I$52,L177=phu!$I$53),"Cam Linh",""),IF(OR(L177=phu!$I$54,L177=phu!$I$55,L177=phu!$I$56,L177=phu!$I$57,L177=phu!$I$58,L177=phu!$I$59,L177=phu!$I$60,L177=phu!$I$61,L177=phu!$I$62),"Cam Lợi",""),IF(OR(L177=phu!$I$63,L177=phu!$I$64,L177=phu!$I$65,L177=phu!$I$66,L177=phu!$I$67,L177=phu!$I$68,L177=phu!$I$69,L177=phu!$I$70,L177=phu!$I$71),"Ba Ngòi",""),IF(OR(L177=phu!$I$72,L177=phu!$I$73,L177=phu!$I$74,L177=phu!$I$75,L177=phu!$I$76,L177=phu!$I$77,L177=phu!$I$78),"Cam Phước Đông",""),IF(OR(L177=phu!$I$79,L177=phu!$I$80,L177=phu!$I$81,L177=phu!$I$82,L177=phu!$I$83,L177=phu!$I$84),"Cam Thịnh Đông",""),IF(OR(L177=phu!$I$85,L177=phu!$I$86,L177=phu!$I$87,L177=phu!$I$88),"Cam Thịnh Tây",""),IF(OR(L177=phu!$I$89,L177=phu!$I$90),"Cam Lập",""),IF(OR(L177=phu!$I$91,L177=phu!$I$92,L177=phu!$I$93),"Cam Bình",""),IF(OR(L177=phu!$I$94,L177=phu!$I$95,L177=phu!$I$96,L177=phu!$I$97,L177=phu!$I$98,L177=phu!$I$99,L177=phu!$I$100),"Huyện khác",""),IF(OR(L177=phu!$I$101,L177=phu!$I$102),"Tỉnh khác",""))</f>
        <v/>
      </c>
      <c r="N177" s="835" t="str">
        <f t="shared" si="13"/>
        <v/>
      </c>
      <c r="O177" s="20"/>
      <c r="P177" s="20"/>
      <c r="Q177" s="20"/>
      <c r="R177" s="20"/>
      <c r="S177" s="20"/>
      <c r="T177" s="21"/>
      <c r="U177" s="21"/>
      <c r="V177" s="21"/>
      <c r="W177" s="7" t="str">
        <f t="shared" si="11"/>
        <v/>
      </c>
      <c r="X177" s="506" t="str">
        <f t="shared" si="12"/>
        <v/>
      </c>
    </row>
    <row r="178" spans="1:24" x14ac:dyDescent="0.25">
      <c r="A178" s="66" t="str">
        <f t="shared" si="14"/>
        <v/>
      </c>
      <c r="B178" s="23" t="str">
        <f t="shared" si="10"/>
        <v/>
      </c>
      <c r="C178" s="15"/>
      <c r="D178" s="16"/>
      <c r="E178" s="17"/>
      <c r="F178" s="18"/>
      <c r="G178" s="18"/>
      <c r="H178" s="19"/>
      <c r="I178" s="15"/>
      <c r="J178" s="20"/>
      <c r="K178" s="15"/>
      <c r="L178" s="15"/>
      <c r="M178" s="531" t="str">
        <f>CONCATENATE(IF(OR(L178=phu!$I$1,L178=phu!$I$2,L178=phu!$I$3),"Cam Thành Nam",""),IF(OR(L178=phu!$I$4,L178=phu!$I$5,L178=phu!$I$6,L178=phu!$I$7,L178=phu!$I$8,L178=phu!$I$9,L178=phu!$I$10,L178=phu!$I$11,L178=phu!$I$12,L178=phu!$I$13,L178=phu!$I$14),"Cam Nghĩa",""),IF(OR(L178=phu!$I$15,L178=phu!$I$16,L178=phu!$I$17,L178=phu!$I$18,L178=phu!$I$19,L178=phu!$I$20,L178=phu!$I$21),"Cam Phúc Bắc",""),IF(OR(L178=phu!$I$22,L178=phu!$I$23,L178=phu!$I$24,L178=phu!$I$25),"Cam Phúc Nam",""),IF(OR(L178=phu!$I$26,L178=phu!$I$27,L178=phu!$I$28,L178=phu!$I$29,L178=phu!$I$30,L178=phu!$I$31),"Cam Phú",""),IF(OR(L178=phu!$I$32,L178=phu!$I$33,L178=phu!$I$34,L178=phu!$I$35,L178=phu!$I$36,L178=phu!$I$37),"Cam Lộc",""),IF(OR(L178=phu!$I$38,L178=phu!$I$39,L178=phu!$I$40,L178=phu!$I$41,L178=phu!$I$42,L178=phu!$I$43,L178=phu!$I$44),"Cam Thuận",""),IF(OR(L178=phu!$I$45,L178=phu!$I$46,L178=phu!$I$47,L178=phu!$I$48,L178=phu!$I$49,L178=phu!$I$50,L178=phu!$I$51,L178=phu!$I$52,L178=phu!$I$53),"Cam Linh",""),IF(OR(L178=phu!$I$54,L178=phu!$I$55,L178=phu!$I$56,L178=phu!$I$57,L178=phu!$I$58,L178=phu!$I$59,L178=phu!$I$60,L178=phu!$I$61,L178=phu!$I$62),"Cam Lợi",""),IF(OR(L178=phu!$I$63,L178=phu!$I$64,L178=phu!$I$65,L178=phu!$I$66,L178=phu!$I$67,L178=phu!$I$68,L178=phu!$I$69,L178=phu!$I$70,L178=phu!$I$71),"Ba Ngòi",""),IF(OR(L178=phu!$I$72,L178=phu!$I$73,L178=phu!$I$74,L178=phu!$I$75,L178=phu!$I$76,L178=phu!$I$77,L178=phu!$I$78),"Cam Phước Đông",""),IF(OR(L178=phu!$I$79,L178=phu!$I$80,L178=phu!$I$81,L178=phu!$I$82,L178=phu!$I$83,L178=phu!$I$84),"Cam Thịnh Đông",""),IF(OR(L178=phu!$I$85,L178=phu!$I$86,L178=phu!$I$87,L178=phu!$I$88),"Cam Thịnh Tây",""),IF(OR(L178=phu!$I$89,L178=phu!$I$90),"Cam Lập",""),IF(OR(L178=phu!$I$91,L178=phu!$I$92,L178=phu!$I$93),"Cam Bình",""),IF(OR(L178=phu!$I$94,L178=phu!$I$95,L178=phu!$I$96,L178=phu!$I$97,L178=phu!$I$98,L178=phu!$I$99,L178=phu!$I$100),"Huyện khác",""),IF(OR(L178=phu!$I$101,L178=phu!$I$102),"Tỉnh khác",""))</f>
        <v/>
      </c>
      <c r="N178" s="835" t="str">
        <f t="shared" si="13"/>
        <v/>
      </c>
      <c r="O178" s="20"/>
      <c r="P178" s="20"/>
      <c r="Q178" s="20"/>
      <c r="R178" s="20"/>
      <c r="S178" s="20"/>
      <c r="T178" s="21"/>
      <c r="U178" s="21"/>
      <c r="V178" s="21"/>
      <c r="W178" s="7" t="str">
        <f t="shared" si="11"/>
        <v/>
      </c>
      <c r="X178" s="506" t="str">
        <f t="shared" si="12"/>
        <v/>
      </c>
    </row>
    <row r="179" spans="1:24" x14ac:dyDescent="0.25">
      <c r="A179" s="66" t="str">
        <f t="shared" si="14"/>
        <v/>
      </c>
      <c r="B179" s="23" t="str">
        <f t="shared" si="10"/>
        <v/>
      </c>
      <c r="C179" s="15"/>
      <c r="D179" s="16"/>
      <c r="E179" s="17"/>
      <c r="F179" s="18"/>
      <c r="G179" s="18"/>
      <c r="H179" s="19"/>
      <c r="I179" s="15"/>
      <c r="J179" s="20"/>
      <c r="K179" s="15"/>
      <c r="L179" s="15"/>
      <c r="M179" s="531" t="str">
        <f>CONCATENATE(IF(OR(L179=phu!$I$1,L179=phu!$I$2,L179=phu!$I$3),"Cam Thành Nam",""),IF(OR(L179=phu!$I$4,L179=phu!$I$5,L179=phu!$I$6,L179=phu!$I$7,L179=phu!$I$8,L179=phu!$I$9,L179=phu!$I$10,L179=phu!$I$11,L179=phu!$I$12,L179=phu!$I$13,L179=phu!$I$14),"Cam Nghĩa",""),IF(OR(L179=phu!$I$15,L179=phu!$I$16,L179=phu!$I$17,L179=phu!$I$18,L179=phu!$I$19,L179=phu!$I$20,L179=phu!$I$21),"Cam Phúc Bắc",""),IF(OR(L179=phu!$I$22,L179=phu!$I$23,L179=phu!$I$24,L179=phu!$I$25),"Cam Phúc Nam",""),IF(OR(L179=phu!$I$26,L179=phu!$I$27,L179=phu!$I$28,L179=phu!$I$29,L179=phu!$I$30,L179=phu!$I$31),"Cam Phú",""),IF(OR(L179=phu!$I$32,L179=phu!$I$33,L179=phu!$I$34,L179=phu!$I$35,L179=phu!$I$36,L179=phu!$I$37),"Cam Lộc",""),IF(OR(L179=phu!$I$38,L179=phu!$I$39,L179=phu!$I$40,L179=phu!$I$41,L179=phu!$I$42,L179=phu!$I$43,L179=phu!$I$44),"Cam Thuận",""),IF(OR(L179=phu!$I$45,L179=phu!$I$46,L179=phu!$I$47,L179=phu!$I$48,L179=phu!$I$49,L179=phu!$I$50,L179=phu!$I$51,L179=phu!$I$52,L179=phu!$I$53),"Cam Linh",""),IF(OR(L179=phu!$I$54,L179=phu!$I$55,L179=phu!$I$56,L179=phu!$I$57,L179=phu!$I$58,L179=phu!$I$59,L179=phu!$I$60,L179=phu!$I$61,L179=phu!$I$62),"Cam Lợi",""),IF(OR(L179=phu!$I$63,L179=phu!$I$64,L179=phu!$I$65,L179=phu!$I$66,L179=phu!$I$67,L179=phu!$I$68,L179=phu!$I$69,L179=phu!$I$70,L179=phu!$I$71),"Ba Ngòi",""),IF(OR(L179=phu!$I$72,L179=phu!$I$73,L179=phu!$I$74,L179=phu!$I$75,L179=phu!$I$76,L179=phu!$I$77,L179=phu!$I$78),"Cam Phước Đông",""),IF(OR(L179=phu!$I$79,L179=phu!$I$80,L179=phu!$I$81,L179=phu!$I$82,L179=phu!$I$83,L179=phu!$I$84),"Cam Thịnh Đông",""),IF(OR(L179=phu!$I$85,L179=phu!$I$86,L179=phu!$I$87,L179=phu!$I$88),"Cam Thịnh Tây",""),IF(OR(L179=phu!$I$89,L179=phu!$I$90),"Cam Lập",""),IF(OR(L179=phu!$I$91,L179=phu!$I$92,L179=phu!$I$93),"Cam Bình",""),IF(OR(L179=phu!$I$94,L179=phu!$I$95,L179=phu!$I$96,L179=phu!$I$97,L179=phu!$I$98,L179=phu!$I$99,L179=phu!$I$100),"Huyện khác",""),IF(OR(L179=phu!$I$101,L179=phu!$I$102),"Tỉnh khác",""))</f>
        <v/>
      </c>
      <c r="N179" s="835" t="str">
        <f t="shared" si="13"/>
        <v/>
      </c>
      <c r="O179" s="20"/>
      <c r="P179" s="20"/>
      <c r="Q179" s="20"/>
      <c r="R179" s="20"/>
      <c r="S179" s="20"/>
      <c r="T179" s="21"/>
      <c r="U179" s="21"/>
      <c r="V179" s="21"/>
      <c r="W179" s="7" t="str">
        <f t="shared" si="11"/>
        <v/>
      </c>
      <c r="X179" s="506" t="str">
        <f t="shared" si="12"/>
        <v/>
      </c>
    </row>
    <row r="180" spans="1:24" x14ac:dyDescent="0.25">
      <c r="A180" s="66" t="str">
        <f t="shared" si="14"/>
        <v/>
      </c>
      <c r="B180" s="23" t="str">
        <f t="shared" si="10"/>
        <v/>
      </c>
      <c r="C180" s="15"/>
      <c r="D180" s="16"/>
      <c r="E180" s="17"/>
      <c r="F180" s="18"/>
      <c r="G180" s="18"/>
      <c r="H180" s="19"/>
      <c r="I180" s="15"/>
      <c r="J180" s="20"/>
      <c r="K180" s="15"/>
      <c r="L180" s="15"/>
      <c r="M180" s="531" t="str">
        <f>CONCATENATE(IF(OR(L180=phu!$I$1,L180=phu!$I$2,L180=phu!$I$3),"Cam Thành Nam",""),IF(OR(L180=phu!$I$4,L180=phu!$I$5,L180=phu!$I$6,L180=phu!$I$7,L180=phu!$I$8,L180=phu!$I$9,L180=phu!$I$10,L180=phu!$I$11,L180=phu!$I$12,L180=phu!$I$13,L180=phu!$I$14),"Cam Nghĩa",""),IF(OR(L180=phu!$I$15,L180=phu!$I$16,L180=phu!$I$17,L180=phu!$I$18,L180=phu!$I$19,L180=phu!$I$20,L180=phu!$I$21),"Cam Phúc Bắc",""),IF(OR(L180=phu!$I$22,L180=phu!$I$23,L180=phu!$I$24,L180=phu!$I$25),"Cam Phúc Nam",""),IF(OR(L180=phu!$I$26,L180=phu!$I$27,L180=phu!$I$28,L180=phu!$I$29,L180=phu!$I$30,L180=phu!$I$31),"Cam Phú",""),IF(OR(L180=phu!$I$32,L180=phu!$I$33,L180=phu!$I$34,L180=phu!$I$35,L180=phu!$I$36,L180=phu!$I$37),"Cam Lộc",""),IF(OR(L180=phu!$I$38,L180=phu!$I$39,L180=phu!$I$40,L180=phu!$I$41,L180=phu!$I$42,L180=phu!$I$43,L180=phu!$I$44),"Cam Thuận",""),IF(OR(L180=phu!$I$45,L180=phu!$I$46,L180=phu!$I$47,L180=phu!$I$48,L180=phu!$I$49,L180=phu!$I$50,L180=phu!$I$51,L180=phu!$I$52,L180=phu!$I$53),"Cam Linh",""),IF(OR(L180=phu!$I$54,L180=phu!$I$55,L180=phu!$I$56,L180=phu!$I$57,L180=phu!$I$58,L180=phu!$I$59,L180=phu!$I$60,L180=phu!$I$61,L180=phu!$I$62),"Cam Lợi",""),IF(OR(L180=phu!$I$63,L180=phu!$I$64,L180=phu!$I$65,L180=phu!$I$66,L180=phu!$I$67,L180=phu!$I$68,L180=phu!$I$69,L180=phu!$I$70,L180=phu!$I$71),"Ba Ngòi",""),IF(OR(L180=phu!$I$72,L180=phu!$I$73,L180=phu!$I$74,L180=phu!$I$75,L180=phu!$I$76,L180=phu!$I$77,L180=phu!$I$78),"Cam Phước Đông",""),IF(OR(L180=phu!$I$79,L180=phu!$I$80,L180=phu!$I$81,L180=phu!$I$82,L180=phu!$I$83,L180=phu!$I$84),"Cam Thịnh Đông",""),IF(OR(L180=phu!$I$85,L180=phu!$I$86,L180=phu!$I$87,L180=phu!$I$88),"Cam Thịnh Tây",""),IF(OR(L180=phu!$I$89,L180=phu!$I$90),"Cam Lập",""),IF(OR(L180=phu!$I$91,L180=phu!$I$92,L180=phu!$I$93),"Cam Bình",""),IF(OR(L180=phu!$I$94,L180=phu!$I$95,L180=phu!$I$96,L180=phu!$I$97,L180=phu!$I$98,L180=phu!$I$99,L180=phu!$I$100),"Huyện khác",""),IF(OR(L180=phu!$I$101,L180=phu!$I$102),"Tỉnh khác",""))</f>
        <v/>
      </c>
      <c r="N180" s="835" t="str">
        <f t="shared" si="13"/>
        <v/>
      </c>
      <c r="O180" s="20"/>
      <c r="P180" s="20"/>
      <c r="Q180" s="20"/>
      <c r="R180" s="20"/>
      <c r="S180" s="20"/>
      <c r="T180" s="21"/>
      <c r="U180" s="21"/>
      <c r="V180" s="21"/>
      <c r="W180" s="7" t="str">
        <f t="shared" si="11"/>
        <v/>
      </c>
      <c r="X180" s="506" t="str">
        <f t="shared" si="12"/>
        <v/>
      </c>
    </row>
    <row r="181" spans="1:24" x14ac:dyDescent="0.25">
      <c r="A181" s="66" t="str">
        <f t="shared" si="14"/>
        <v/>
      </c>
      <c r="B181" s="23" t="str">
        <f t="shared" si="10"/>
        <v/>
      </c>
      <c r="C181" s="15"/>
      <c r="D181" s="16"/>
      <c r="E181" s="17"/>
      <c r="F181" s="18"/>
      <c r="G181" s="18"/>
      <c r="H181" s="19"/>
      <c r="I181" s="15"/>
      <c r="J181" s="20"/>
      <c r="K181" s="15"/>
      <c r="L181" s="15"/>
      <c r="M181" s="531" t="str">
        <f>CONCATENATE(IF(OR(L181=phu!$I$1,L181=phu!$I$2,L181=phu!$I$3),"Cam Thành Nam",""),IF(OR(L181=phu!$I$4,L181=phu!$I$5,L181=phu!$I$6,L181=phu!$I$7,L181=phu!$I$8,L181=phu!$I$9,L181=phu!$I$10,L181=phu!$I$11,L181=phu!$I$12,L181=phu!$I$13,L181=phu!$I$14),"Cam Nghĩa",""),IF(OR(L181=phu!$I$15,L181=phu!$I$16,L181=phu!$I$17,L181=phu!$I$18,L181=phu!$I$19,L181=phu!$I$20,L181=phu!$I$21),"Cam Phúc Bắc",""),IF(OR(L181=phu!$I$22,L181=phu!$I$23,L181=phu!$I$24,L181=phu!$I$25),"Cam Phúc Nam",""),IF(OR(L181=phu!$I$26,L181=phu!$I$27,L181=phu!$I$28,L181=phu!$I$29,L181=phu!$I$30,L181=phu!$I$31),"Cam Phú",""),IF(OR(L181=phu!$I$32,L181=phu!$I$33,L181=phu!$I$34,L181=phu!$I$35,L181=phu!$I$36,L181=phu!$I$37),"Cam Lộc",""),IF(OR(L181=phu!$I$38,L181=phu!$I$39,L181=phu!$I$40,L181=phu!$I$41,L181=phu!$I$42,L181=phu!$I$43,L181=phu!$I$44),"Cam Thuận",""),IF(OR(L181=phu!$I$45,L181=phu!$I$46,L181=phu!$I$47,L181=phu!$I$48,L181=phu!$I$49,L181=phu!$I$50,L181=phu!$I$51,L181=phu!$I$52,L181=phu!$I$53),"Cam Linh",""),IF(OR(L181=phu!$I$54,L181=phu!$I$55,L181=phu!$I$56,L181=phu!$I$57,L181=phu!$I$58,L181=phu!$I$59,L181=phu!$I$60,L181=phu!$I$61,L181=phu!$I$62),"Cam Lợi",""),IF(OR(L181=phu!$I$63,L181=phu!$I$64,L181=phu!$I$65,L181=phu!$I$66,L181=phu!$I$67,L181=phu!$I$68,L181=phu!$I$69,L181=phu!$I$70,L181=phu!$I$71),"Ba Ngòi",""),IF(OR(L181=phu!$I$72,L181=phu!$I$73,L181=phu!$I$74,L181=phu!$I$75,L181=phu!$I$76,L181=phu!$I$77,L181=phu!$I$78),"Cam Phước Đông",""),IF(OR(L181=phu!$I$79,L181=phu!$I$80,L181=phu!$I$81,L181=phu!$I$82,L181=phu!$I$83,L181=phu!$I$84),"Cam Thịnh Đông",""),IF(OR(L181=phu!$I$85,L181=phu!$I$86,L181=phu!$I$87,L181=phu!$I$88),"Cam Thịnh Tây",""),IF(OR(L181=phu!$I$89,L181=phu!$I$90),"Cam Lập",""),IF(OR(L181=phu!$I$91,L181=phu!$I$92,L181=phu!$I$93),"Cam Bình",""),IF(OR(L181=phu!$I$94,L181=phu!$I$95,L181=phu!$I$96,L181=phu!$I$97,L181=phu!$I$98,L181=phu!$I$99,L181=phu!$I$100),"Huyện khác",""),IF(OR(L181=phu!$I$101,L181=phu!$I$102),"Tỉnh khác",""))</f>
        <v/>
      </c>
      <c r="N181" s="835" t="str">
        <f t="shared" si="13"/>
        <v/>
      </c>
      <c r="O181" s="20"/>
      <c r="P181" s="20"/>
      <c r="Q181" s="20"/>
      <c r="R181" s="20"/>
      <c r="S181" s="20"/>
      <c r="T181" s="21"/>
      <c r="U181" s="21"/>
      <c r="V181" s="21"/>
      <c r="W181" s="7" t="str">
        <f t="shared" si="11"/>
        <v/>
      </c>
      <c r="X181" s="506" t="str">
        <f t="shared" si="12"/>
        <v/>
      </c>
    </row>
    <row r="182" spans="1:24" x14ac:dyDescent="0.25">
      <c r="A182" s="66" t="str">
        <f t="shared" si="14"/>
        <v/>
      </c>
      <c r="B182" s="23" t="str">
        <f t="shared" si="10"/>
        <v/>
      </c>
      <c r="C182" s="15"/>
      <c r="D182" s="16"/>
      <c r="E182" s="17"/>
      <c r="F182" s="18"/>
      <c r="G182" s="18"/>
      <c r="H182" s="19"/>
      <c r="I182" s="15"/>
      <c r="J182" s="20"/>
      <c r="K182" s="15"/>
      <c r="L182" s="15"/>
      <c r="M182" s="531" t="str">
        <f>CONCATENATE(IF(OR(L182=phu!$I$1,L182=phu!$I$2,L182=phu!$I$3),"Cam Thành Nam",""),IF(OR(L182=phu!$I$4,L182=phu!$I$5,L182=phu!$I$6,L182=phu!$I$7,L182=phu!$I$8,L182=phu!$I$9,L182=phu!$I$10,L182=phu!$I$11,L182=phu!$I$12,L182=phu!$I$13,L182=phu!$I$14),"Cam Nghĩa",""),IF(OR(L182=phu!$I$15,L182=phu!$I$16,L182=phu!$I$17,L182=phu!$I$18,L182=phu!$I$19,L182=phu!$I$20,L182=phu!$I$21),"Cam Phúc Bắc",""),IF(OR(L182=phu!$I$22,L182=phu!$I$23,L182=phu!$I$24,L182=phu!$I$25),"Cam Phúc Nam",""),IF(OR(L182=phu!$I$26,L182=phu!$I$27,L182=phu!$I$28,L182=phu!$I$29,L182=phu!$I$30,L182=phu!$I$31),"Cam Phú",""),IF(OR(L182=phu!$I$32,L182=phu!$I$33,L182=phu!$I$34,L182=phu!$I$35,L182=phu!$I$36,L182=phu!$I$37),"Cam Lộc",""),IF(OR(L182=phu!$I$38,L182=phu!$I$39,L182=phu!$I$40,L182=phu!$I$41,L182=phu!$I$42,L182=phu!$I$43,L182=phu!$I$44),"Cam Thuận",""),IF(OR(L182=phu!$I$45,L182=phu!$I$46,L182=phu!$I$47,L182=phu!$I$48,L182=phu!$I$49,L182=phu!$I$50,L182=phu!$I$51,L182=phu!$I$52,L182=phu!$I$53),"Cam Linh",""),IF(OR(L182=phu!$I$54,L182=phu!$I$55,L182=phu!$I$56,L182=phu!$I$57,L182=phu!$I$58,L182=phu!$I$59,L182=phu!$I$60,L182=phu!$I$61,L182=phu!$I$62),"Cam Lợi",""),IF(OR(L182=phu!$I$63,L182=phu!$I$64,L182=phu!$I$65,L182=phu!$I$66,L182=phu!$I$67,L182=phu!$I$68,L182=phu!$I$69,L182=phu!$I$70,L182=phu!$I$71),"Ba Ngòi",""),IF(OR(L182=phu!$I$72,L182=phu!$I$73,L182=phu!$I$74,L182=phu!$I$75,L182=phu!$I$76,L182=phu!$I$77,L182=phu!$I$78),"Cam Phước Đông",""),IF(OR(L182=phu!$I$79,L182=phu!$I$80,L182=phu!$I$81,L182=phu!$I$82,L182=phu!$I$83,L182=phu!$I$84),"Cam Thịnh Đông",""),IF(OR(L182=phu!$I$85,L182=phu!$I$86,L182=phu!$I$87,L182=phu!$I$88),"Cam Thịnh Tây",""),IF(OR(L182=phu!$I$89,L182=phu!$I$90),"Cam Lập",""),IF(OR(L182=phu!$I$91,L182=phu!$I$92,L182=phu!$I$93),"Cam Bình",""),IF(OR(L182=phu!$I$94,L182=phu!$I$95,L182=phu!$I$96,L182=phu!$I$97,L182=phu!$I$98,L182=phu!$I$99,L182=phu!$I$100),"Huyện khác",""),IF(OR(L182=phu!$I$101,L182=phu!$I$102),"Tỉnh khác",""))</f>
        <v/>
      </c>
      <c r="N182" s="835" t="str">
        <f t="shared" si="13"/>
        <v/>
      </c>
      <c r="O182" s="20"/>
      <c r="P182" s="20"/>
      <c r="Q182" s="20"/>
      <c r="R182" s="20"/>
      <c r="S182" s="20"/>
      <c r="T182" s="21"/>
      <c r="U182" s="21"/>
      <c r="V182" s="21"/>
      <c r="W182" s="7" t="str">
        <f t="shared" si="11"/>
        <v/>
      </c>
      <c r="X182" s="506" t="str">
        <f t="shared" si="12"/>
        <v/>
      </c>
    </row>
    <row r="183" spans="1:24" x14ac:dyDescent="0.25">
      <c r="A183" s="66" t="str">
        <f t="shared" si="14"/>
        <v/>
      </c>
      <c r="B183" s="23" t="str">
        <f t="shared" si="10"/>
        <v/>
      </c>
      <c r="C183" s="15"/>
      <c r="D183" s="16"/>
      <c r="E183" s="17"/>
      <c r="F183" s="18"/>
      <c r="G183" s="18"/>
      <c r="H183" s="19"/>
      <c r="I183" s="15"/>
      <c r="J183" s="20"/>
      <c r="K183" s="15"/>
      <c r="L183" s="15"/>
      <c r="M183" s="531" t="str">
        <f>CONCATENATE(IF(OR(L183=phu!$I$1,L183=phu!$I$2,L183=phu!$I$3),"Cam Thành Nam",""),IF(OR(L183=phu!$I$4,L183=phu!$I$5,L183=phu!$I$6,L183=phu!$I$7,L183=phu!$I$8,L183=phu!$I$9,L183=phu!$I$10,L183=phu!$I$11,L183=phu!$I$12,L183=phu!$I$13,L183=phu!$I$14),"Cam Nghĩa",""),IF(OR(L183=phu!$I$15,L183=phu!$I$16,L183=phu!$I$17,L183=phu!$I$18,L183=phu!$I$19,L183=phu!$I$20,L183=phu!$I$21),"Cam Phúc Bắc",""),IF(OR(L183=phu!$I$22,L183=phu!$I$23,L183=phu!$I$24,L183=phu!$I$25),"Cam Phúc Nam",""),IF(OR(L183=phu!$I$26,L183=phu!$I$27,L183=phu!$I$28,L183=phu!$I$29,L183=phu!$I$30,L183=phu!$I$31),"Cam Phú",""),IF(OR(L183=phu!$I$32,L183=phu!$I$33,L183=phu!$I$34,L183=phu!$I$35,L183=phu!$I$36,L183=phu!$I$37),"Cam Lộc",""),IF(OR(L183=phu!$I$38,L183=phu!$I$39,L183=phu!$I$40,L183=phu!$I$41,L183=phu!$I$42,L183=phu!$I$43,L183=phu!$I$44),"Cam Thuận",""),IF(OR(L183=phu!$I$45,L183=phu!$I$46,L183=phu!$I$47,L183=phu!$I$48,L183=phu!$I$49,L183=phu!$I$50,L183=phu!$I$51,L183=phu!$I$52,L183=phu!$I$53),"Cam Linh",""),IF(OR(L183=phu!$I$54,L183=phu!$I$55,L183=phu!$I$56,L183=phu!$I$57,L183=phu!$I$58,L183=phu!$I$59,L183=phu!$I$60,L183=phu!$I$61,L183=phu!$I$62),"Cam Lợi",""),IF(OR(L183=phu!$I$63,L183=phu!$I$64,L183=phu!$I$65,L183=phu!$I$66,L183=phu!$I$67,L183=phu!$I$68,L183=phu!$I$69,L183=phu!$I$70,L183=phu!$I$71),"Ba Ngòi",""),IF(OR(L183=phu!$I$72,L183=phu!$I$73,L183=phu!$I$74,L183=phu!$I$75,L183=phu!$I$76,L183=phu!$I$77,L183=phu!$I$78),"Cam Phước Đông",""),IF(OR(L183=phu!$I$79,L183=phu!$I$80,L183=phu!$I$81,L183=phu!$I$82,L183=phu!$I$83,L183=phu!$I$84),"Cam Thịnh Đông",""),IF(OR(L183=phu!$I$85,L183=phu!$I$86,L183=phu!$I$87,L183=phu!$I$88),"Cam Thịnh Tây",""),IF(OR(L183=phu!$I$89,L183=phu!$I$90),"Cam Lập",""),IF(OR(L183=phu!$I$91,L183=phu!$I$92,L183=phu!$I$93),"Cam Bình",""),IF(OR(L183=phu!$I$94,L183=phu!$I$95,L183=phu!$I$96,L183=phu!$I$97,L183=phu!$I$98,L183=phu!$I$99,L183=phu!$I$100),"Huyện khác",""),IF(OR(L183=phu!$I$101,L183=phu!$I$102),"Tỉnh khác",""))</f>
        <v/>
      </c>
      <c r="N183" s="835" t="str">
        <f t="shared" si="13"/>
        <v/>
      </c>
      <c r="O183" s="20"/>
      <c r="P183" s="20"/>
      <c r="Q183" s="20"/>
      <c r="R183" s="20"/>
      <c r="S183" s="20"/>
      <c r="T183" s="21"/>
      <c r="U183" s="21"/>
      <c r="V183" s="21"/>
      <c r="W183" s="7" t="str">
        <f t="shared" si="11"/>
        <v/>
      </c>
      <c r="X183" s="506" t="str">
        <f t="shared" si="12"/>
        <v/>
      </c>
    </row>
    <row r="184" spans="1:24" x14ac:dyDescent="0.25">
      <c r="A184" s="66" t="str">
        <f t="shared" si="14"/>
        <v/>
      </c>
      <c r="B184" s="23" t="str">
        <f t="shared" si="10"/>
        <v/>
      </c>
      <c r="C184" s="15"/>
      <c r="D184" s="16"/>
      <c r="E184" s="17"/>
      <c r="F184" s="18"/>
      <c r="G184" s="18"/>
      <c r="H184" s="19"/>
      <c r="I184" s="15"/>
      <c r="J184" s="20"/>
      <c r="K184" s="15"/>
      <c r="L184" s="15"/>
      <c r="M184" s="531" t="str">
        <f>CONCATENATE(IF(OR(L184=phu!$I$1,L184=phu!$I$2,L184=phu!$I$3),"Cam Thành Nam",""),IF(OR(L184=phu!$I$4,L184=phu!$I$5,L184=phu!$I$6,L184=phu!$I$7,L184=phu!$I$8,L184=phu!$I$9,L184=phu!$I$10,L184=phu!$I$11,L184=phu!$I$12,L184=phu!$I$13,L184=phu!$I$14),"Cam Nghĩa",""),IF(OR(L184=phu!$I$15,L184=phu!$I$16,L184=phu!$I$17,L184=phu!$I$18,L184=phu!$I$19,L184=phu!$I$20,L184=phu!$I$21),"Cam Phúc Bắc",""),IF(OR(L184=phu!$I$22,L184=phu!$I$23,L184=phu!$I$24,L184=phu!$I$25),"Cam Phúc Nam",""),IF(OR(L184=phu!$I$26,L184=phu!$I$27,L184=phu!$I$28,L184=phu!$I$29,L184=phu!$I$30,L184=phu!$I$31),"Cam Phú",""),IF(OR(L184=phu!$I$32,L184=phu!$I$33,L184=phu!$I$34,L184=phu!$I$35,L184=phu!$I$36,L184=phu!$I$37),"Cam Lộc",""),IF(OR(L184=phu!$I$38,L184=phu!$I$39,L184=phu!$I$40,L184=phu!$I$41,L184=phu!$I$42,L184=phu!$I$43,L184=phu!$I$44),"Cam Thuận",""),IF(OR(L184=phu!$I$45,L184=phu!$I$46,L184=phu!$I$47,L184=phu!$I$48,L184=phu!$I$49,L184=phu!$I$50,L184=phu!$I$51,L184=phu!$I$52,L184=phu!$I$53),"Cam Linh",""),IF(OR(L184=phu!$I$54,L184=phu!$I$55,L184=phu!$I$56,L184=phu!$I$57,L184=phu!$I$58,L184=phu!$I$59,L184=phu!$I$60,L184=phu!$I$61,L184=phu!$I$62),"Cam Lợi",""),IF(OR(L184=phu!$I$63,L184=phu!$I$64,L184=phu!$I$65,L184=phu!$I$66,L184=phu!$I$67,L184=phu!$I$68,L184=phu!$I$69,L184=phu!$I$70,L184=phu!$I$71),"Ba Ngòi",""),IF(OR(L184=phu!$I$72,L184=phu!$I$73,L184=phu!$I$74,L184=phu!$I$75,L184=phu!$I$76,L184=phu!$I$77,L184=phu!$I$78),"Cam Phước Đông",""),IF(OR(L184=phu!$I$79,L184=phu!$I$80,L184=phu!$I$81,L184=phu!$I$82,L184=phu!$I$83,L184=phu!$I$84),"Cam Thịnh Đông",""),IF(OR(L184=phu!$I$85,L184=phu!$I$86,L184=phu!$I$87,L184=phu!$I$88),"Cam Thịnh Tây",""),IF(OR(L184=phu!$I$89,L184=phu!$I$90),"Cam Lập",""),IF(OR(L184=phu!$I$91,L184=phu!$I$92,L184=phu!$I$93),"Cam Bình",""),IF(OR(L184=phu!$I$94,L184=phu!$I$95,L184=phu!$I$96,L184=phu!$I$97,L184=phu!$I$98,L184=phu!$I$99,L184=phu!$I$100),"Huyện khác",""),IF(OR(L184=phu!$I$101,L184=phu!$I$102),"Tỉnh khác",""))</f>
        <v/>
      </c>
      <c r="N184" s="835" t="str">
        <f t="shared" si="13"/>
        <v/>
      </c>
      <c r="O184" s="20"/>
      <c r="P184" s="20"/>
      <c r="Q184" s="20"/>
      <c r="R184" s="20"/>
      <c r="S184" s="20"/>
      <c r="T184" s="21"/>
      <c r="U184" s="21"/>
      <c r="V184" s="21"/>
      <c r="W184" s="7" t="str">
        <f t="shared" si="11"/>
        <v/>
      </c>
      <c r="X184" s="506" t="str">
        <f t="shared" si="12"/>
        <v/>
      </c>
    </row>
    <row r="185" spans="1:24" x14ac:dyDescent="0.25">
      <c r="A185" s="66" t="str">
        <f t="shared" si="14"/>
        <v/>
      </c>
      <c r="B185" s="23" t="str">
        <f t="shared" si="10"/>
        <v/>
      </c>
      <c r="C185" s="15"/>
      <c r="D185" s="16"/>
      <c r="E185" s="17"/>
      <c r="F185" s="18"/>
      <c r="G185" s="18"/>
      <c r="H185" s="19"/>
      <c r="I185" s="25"/>
      <c r="J185" s="20"/>
      <c r="K185" s="15"/>
      <c r="L185" s="15"/>
      <c r="M185" s="531" t="str">
        <f>CONCATENATE(IF(OR(L185=phu!$I$1,L185=phu!$I$2,L185=phu!$I$3),"Cam Thành Nam",""),IF(OR(L185=phu!$I$4,L185=phu!$I$5,L185=phu!$I$6,L185=phu!$I$7,L185=phu!$I$8,L185=phu!$I$9,L185=phu!$I$10,L185=phu!$I$11,L185=phu!$I$12,L185=phu!$I$13,L185=phu!$I$14),"Cam Nghĩa",""),IF(OR(L185=phu!$I$15,L185=phu!$I$16,L185=phu!$I$17,L185=phu!$I$18,L185=phu!$I$19,L185=phu!$I$20,L185=phu!$I$21),"Cam Phúc Bắc",""),IF(OR(L185=phu!$I$22,L185=phu!$I$23,L185=phu!$I$24,L185=phu!$I$25),"Cam Phúc Nam",""),IF(OR(L185=phu!$I$26,L185=phu!$I$27,L185=phu!$I$28,L185=phu!$I$29,L185=phu!$I$30,L185=phu!$I$31),"Cam Phú",""),IF(OR(L185=phu!$I$32,L185=phu!$I$33,L185=phu!$I$34,L185=phu!$I$35,L185=phu!$I$36,L185=phu!$I$37),"Cam Lộc",""),IF(OR(L185=phu!$I$38,L185=phu!$I$39,L185=phu!$I$40,L185=phu!$I$41,L185=phu!$I$42,L185=phu!$I$43,L185=phu!$I$44),"Cam Thuận",""),IF(OR(L185=phu!$I$45,L185=phu!$I$46,L185=phu!$I$47,L185=phu!$I$48,L185=phu!$I$49,L185=phu!$I$50,L185=phu!$I$51,L185=phu!$I$52,L185=phu!$I$53),"Cam Linh",""),IF(OR(L185=phu!$I$54,L185=phu!$I$55,L185=phu!$I$56,L185=phu!$I$57,L185=phu!$I$58,L185=phu!$I$59,L185=phu!$I$60,L185=phu!$I$61,L185=phu!$I$62),"Cam Lợi",""),IF(OR(L185=phu!$I$63,L185=phu!$I$64,L185=phu!$I$65,L185=phu!$I$66,L185=phu!$I$67,L185=phu!$I$68,L185=phu!$I$69,L185=phu!$I$70,L185=phu!$I$71),"Ba Ngòi",""),IF(OR(L185=phu!$I$72,L185=phu!$I$73,L185=phu!$I$74,L185=phu!$I$75,L185=phu!$I$76,L185=phu!$I$77,L185=phu!$I$78),"Cam Phước Đông",""),IF(OR(L185=phu!$I$79,L185=phu!$I$80,L185=phu!$I$81,L185=phu!$I$82,L185=phu!$I$83,L185=phu!$I$84),"Cam Thịnh Đông",""),IF(OR(L185=phu!$I$85,L185=phu!$I$86,L185=phu!$I$87,L185=phu!$I$88),"Cam Thịnh Tây",""),IF(OR(L185=phu!$I$89,L185=phu!$I$90),"Cam Lập",""),IF(OR(L185=phu!$I$91,L185=phu!$I$92,L185=phu!$I$93),"Cam Bình",""),IF(OR(L185=phu!$I$94,L185=phu!$I$95,L185=phu!$I$96,L185=phu!$I$97,L185=phu!$I$98,L185=phu!$I$99,L185=phu!$I$100),"Huyện khác",""),IF(OR(L185=phu!$I$101,L185=phu!$I$102),"Tỉnh khác",""))</f>
        <v/>
      </c>
      <c r="N185" s="835" t="str">
        <f t="shared" si="13"/>
        <v/>
      </c>
      <c r="O185" s="20"/>
      <c r="P185" s="20"/>
      <c r="Q185" s="20"/>
      <c r="R185" s="20"/>
      <c r="S185" s="20"/>
      <c r="T185" s="21"/>
      <c r="U185" s="21"/>
      <c r="V185" s="21"/>
      <c r="W185" s="7" t="str">
        <f t="shared" si="11"/>
        <v/>
      </c>
      <c r="X185" s="506" t="str">
        <f t="shared" si="12"/>
        <v/>
      </c>
    </row>
    <row r="186" spans="1:24" x14ac:dyDescent="0.25">
      <c r="A186" s="66" t="str">
        <f t="shared" si="14"/>
        <v/>
      </c>
      <c r="B186" s="23" t="str">
        <f t="shared" si="10"/>
        <v/>
      </c>
      <c r="C186" s="15"/>
      <c r="D186" s="16"/>
      <c r="E186" s="17"/>
      <c r="F186" s="18"/>
      <c r="G186" s="18"/>
      <c r="H186" s="19"/>
      <c r="I186" s="15"/>
      <c r="J186" s="20"/>
      <c r="K186" s="15"/>
      <c r="L186" s="15"/>
      <c r="M186" s="531" t="str">
        <f>CONCATENATE(IF(OR(L186=phu!$I$1,L186=phu!$I$2,L186=phu!$I$3),"Cam Thành Nam",""),IF(OR(L186=phu!$I$4,L186=phu!$I$5,L186=phu!$I$6,L186=phu!$I$7,L186=phu!$I$8,L186=phu!$I$9,L186=phu!$I$10,L186=phu!$I$11,L186=phu!$I$12,L186=phu!$I$13,L186=phu!$I$14),"Cam Nghĩa",""),IF(OR(L186=phu!$I$15,L186=phu!$I$16,L186=phu!$I$17,L186=phu!$I$18,L186=phu!$I$19,L186=phu!$I$20,L186=phu!$I$21),"Cam Phúc Bắc",""),IF(OR(L186=phu!$I$22,L186=phu!$I$23,L186=phu!$I$24,L186=phu!$I$25),"Cam Phúc Nam",""),IF(OR(L186=phu!$I$26,L186=phu!$I$27,L186=phu!$I$28,L186=phu!$I$29,L186=phu!$I$30,L186=phu!$I$31),"Cam Phú",""),IF(OR(L186=phu!$I$32,L186=phu!$I$33,L186=phu!$I$34,L186=phu!$I$35,L186=phu!$I$36,L186=phu!$I$37),"Cam Lộc",""),IF(OR(L186=phu!$I$38,L186=phu!$I$39,L186=phu!$I$40,L186=phu!$I$41,L186=phu!$I$42,L186=phu!$I$43,L186=phu!$I$44),"Cam Thuận",""),IF(OR(L186=phu!$I$45,L186=phu!$I$46,L186=phu!$I$47,L186=phu!$I$48,L186=phu!$I$49,L186=phu!$I$50,L186=phu!$I$51,L186=phu!$I$52,L186=phu!$I$53),"Cam Linh",""),IF(OR(L186=phu!$I$54,L186=phu!$I$55,L186=phu!$I$56,L186=phu!$I$57,L186=phu!$I$58,L186=phu!$I$59,L186=phu!$I$60,L186=phu!$I$61,L186=phu!$I$62),"Cam Lợi",""),IF(OR(L186=phu!$I$63,L186=phu!$I$64,L186=phu!$I$65,L186=phu!$I$66,L186=phu!$I$67,L186=phu!$I$68,L186=phu!$I$69,L186=phu!$I$70,L186=phu!$I$71),"Ba Ngòi",""),IF(OR(L186=phu!$I$72,L186=phu!$I$73,L186=phu!$I$74,L186=phu!$I$75,L186=phu!$I$76,L186=phu!$I$77,L186=phu!$I$78),"Cam Phước Đông",""),IF(OR(L186=phu!$I$79,L186=phu!$I$80,L186=phu!$I$81,L186=phu!$I$82,L186=phu!$I$83,L186=phu!$I$84),"Cam Thịnh Đông",""),IF(OR(L186=phu!$I$85,L186=phu!$I$86,L186=phu!$I$87,L186=phu!$I$88),"Cam Thịnh Tây",""),IF(OR(L186=phu!$I$89,L186=phu!$I$90),"Cam Lập",""),IF(OR(L186=phu!$I$91,L186=phu!$I$92,L186=phu!$I$93),"Cam Bình",""),IF(OR(L186=phu!$I$94,L186=phu!$I$95,L186=phu!$I$96,L186=phu!$I$97,L186=phu!$I$98,L186=phu!$I$99,L186=phu!$I$100),"Huyện khác",""),IF(OR(L186=phu!$I$101,L186=phu!$I$102),"Tỉnh khác",""))</f>
        <v/>
      </c>
      <c r="N186" s="835" t="str">
        <f t="shared" si="13"/>
        <v/>
      </c>
      <c r="O186" s="20"/>
      <c r="P186" s="20"/>
      <c r="Q186" s="20"/>
      <c r="R186" s="20"/>
      <c r="S186" s="20"/>
      <c r="T186" s="21"/>
      <c r="U186" s="21"/>
      <c r="V186" s="21"/>
      <c r="W186" s="7" t="str">
        <f t="shared" si="11"/>
        <v/>
      </c>
      <c r="X186" s="506" t="str">
        <f t="shared" si="12"/>
        <v/>
      </c>
    </row>
    <row r="187" spans="1:24" x14ac:dyDescent="0.25">
      <c r="A187" s="66" t="str">
        <f t="shared" si="14"/>
        <v/>
      </c>
      <c r="B187" s="23" t="str">
        <f t="shared" si="10"/>
        <v/>
      </c>
      <c r="C187" s="15"/>
      <c r="D187" s="16"/>
      <c r="E187" s="17"/>
      <c r="F187" s="18"/>
      <c r="G187" s="18"/>
      <c r="H187" s="19"/>
      <c r="I187" s="15"/>
      <c r="J187" s="20"/>
      <c r="K187" s="15"/>
      <c r="L187" s="15"/>
      <c r="M187" s="531" t="str">
        <f>CONCATENATE(IF(OR(L187=phu!$I$1,L187=phu!$I$2,L187=phu!$I$3),"Cam Thành Nam",""),IF(OR(L187=phu!$I$4,L187=phu!$I$5,L187=phu!$I$6,L187=phu!$I$7,L187=phu!$I$8,L187=phu!$I$9,L187=phu!$I$10,L187=phu!$I$11,L187=phu!$I$12,L187=phu!$I$13,L187=phu!$I$14),"Cam Nghĩa",""),IF(OR(L187=phu!$I$15,L187=phu!$I$16,L187=phu!$I$17,L187=phu!$I$18,L187=phu!$I$19,L187=phu!$I$20,L187=phu!$I$21),"Cam Phúc Bắc",""),IF(OR(L187=phu!$I$22,L187=phu!$I$23,L187=phu!$I$24,L187=phu!$I$25),"Cam Phúc Nam",""),IF(OR(L187=phu!$I$26,L187=phu!$I$27,L187=phu!$I$28,L187=phu!$I$29,L187=phu!$I$30,L187=phu!$I$31),"Cam Phú",""),IF(OR(L187=phu!$I$32,L187=phu!$I$33,L187=phu!$I$34,L187=phu!$I$35,L187=phu!$I$36,L187=phu!$I$37),"Cam Lộc",""),IF(OR(L187=phu!$I$38,L187=phu!$I$39,L187=phu!$I$40,L187=phu!$I$41,L187=phu!$I$42,L187=phu!$I$43,L187=phu!$I$44),"Cam Thuận",""),IF(OR(L187=phu!$I$45,L187=phu!$I$46,L187=phu!$I$47,L187=phu!$I$48,L187=phu!$I$49,L187=phu!$I$50,L187=phu!$I$51,L187=phu!$I$52,L187=phu!$I$53),"Cam Linh",""),IF(OR(L187=phu!$I$54,L187=phu!$I$55,L187=phu!$I$56,L187=phu!$I$57,L187=phu!$I$58,L187=phu!$I$59,L187=phu!$I$60,L187=phu!$I$61,L187=phu!$I$62),"Cam Lợi",""),IF(OR(L187=phu!$I$63,L187=phu!$I$64,L187=phu!$I$65,L187=phu!$I$66,L187=phu!$I$67,L187=phu!$I$68,L187=phu!$I$69,L187=phu!$I$70,L187=phu!$I$71),"Ba Ngòi",""),IF(OR(L187=phu!$I$72,L187=phu!$I$73,L187=phu!$I$74,L187=phu!$I$75,L187=phu!$I$76,L187=phu!$I$77,L187=phu!$I$78),"Cam Phước Đông",""),IF(OR(L187=phu!$I$79,L187=phu!$I$80,L187=phu!$I$81,L187=phu!$I$82,L187=phu!$I$83,L187=phu!$I$84),"Cam Thịnh Đông",""),IF(OR(L187=phu!$I$85,L187=phu!$I$86,L187=phu!$I$87,L187=phu!$I$88),"Cam Thịnh Tây",""),IF(OR(L187=phu!$I$89,L187=phu!$I$90),"Cam Lập",""),IF(OR(L187=phu!$I$91,L187=phu!$I$92,L187=phu!$I$93),"Cam Bình",""),IF(OR(L187=phu!$I$94,L187=phu!$I$95,L187=phu!$I$96,L187=phu!$I$97,L187=phu!$I$98,L187=phu!$I$99,L187=phu!$I$100),"Huyện khác",""),IF(OR(L187=phu!$I$101,L187=phu!$I$102),"Tỉnh khác",""))</f>
        <v/>
      </c>
      <c r="N187" s="835" t="str">
        <f t="shared" si="13"/>
        <v/>
      </c>
      <c r="O187" s="20"/>
      <c r="P187" s="20"/>
      <c r="Q187" s="20"/>
      <c r="R187" s="20"/>
      <c r="S187" s="20"/>
      <c r="T187" s="21"/>
      <c r="U187" s="21"/>
      <c r="V187" s="21"/>
      <c r="W187" s="7" t="str">
        <f t="shared" si="11"/>
        <v/>
      </c>
      <c r="X187" s="506" t="str">
        <f t="shared" si="12"/>
        <v/>
      </c>
    </row>
    <row r="188" spans="1:24" x14ac:dyDescent="0.25">
      <c r="A188" s="66" t="str">
        <f t="shared" si="14"/>
        <v/>
      </c>
      <c r="B188" s="23" t="str">
        <f t="shared" si="10"/>
        <v/>
      </c>
      <c r="C188" s="15"/>
      <c r="D188" s="16"/>
      <c r="E188" s="17"/>
      <c r="F188" s="18"/>
      <c r="G188" s="18"/>
      <c r="H188" s="19"/>
      <c r="I188" s="15"/>
      <c r="J188" s="20"/>
      <c r="K188" s="15"/>
      <c r="L188" s="15"/>
      <c r="M188" s="531" t="str">
        <f>CONCATENATE(IF(OR(L188=phu!$I$1,L188=phu!$I$2,L188=phu!$I$3),"Cam Thành Nam",""),IF(OR(L188=phu!$I$4,L188=phu!$I$5,L188=phu!$I$6,L188=phu!$I$7,L188=phu!$I$8,L188=phu!$I$9,L188=phu!$I$10,L188=phu!$I$11,L188=phu!$I$12,L188=phu!$I$13,L188=phu!$I$14),"Cam Nghĩa",""),IF(OR(L188=phu!$I$15,L188=phu!$I$16,L188=phu!$I$17,L188=phu!$I$18,L188=phu!$I$19,L188=phu!$I$20,L188=phu!$I$21),"Cam Phúc Bắc",""),IF(OR(L188=phu!$I$22,L188=phu!$I$23,L188=phu!$I$24,L188=phu!$I$25),"Cam Phúc Nam",""),IF(OR(L188=phu!$I$26,L188=phu!$I$27,L188=phu!$I$28,L188=phu!$I$29,L188=phu!$I$30,L188=phu!$I$31),"Cam Phú",""),IF(OR(L188=phu!$I$32,L188=phu!$I$33,L188=phu!$I$34,L188=phu!$I$35,L188=phu!$I$36,L188=phu!$I$37),"Cam Lộc",""),IF(OR(L188=phu!$I$38,L188=phu!$I$39,L188=phu!$I$40,L188=phu!$I$41,L188=phu!$I$42,L188=phu!$I$43,L188=phu!$I$44),"Cam Thuận",""),IF(OR(L188=phu!$I$45,L188=phu!$I$46,L188=phu!$I$47,L188=phu!$I$48,L188=phu!$I$49,L188=phu!$I$50,L188=phu!$I$51,L188=phu!$I$52,L188=phu!$I$53),"Cam Linh",""),IF(OR(L188=phu!$I$54,L188=phu!$I$55,L188=phu!$I$56,L188=phu!$I$57,L188=phu!$I$58,L188=phu!$I$59,L188=phu!$I$60,L188=phu!$I$61,L188=phu!$I$62),"Cam Lợi",""),IF(OR(L188=phu!$I$63,L188=phu!$I$64,L188=phu!$I$65,L188=phu!$I$66,L188=phu!$I$67,L188=phu!$I$68,L188=phu!$I$69,L188=phu!$I$70,L188=phu!$I$71),"Ba Ngòi",""),IF(OR(L188=phu!$I$72,L188=phu!$I$73,L188=phu!$I$74,L188=phu!$I$75,L188=phu!$I$76,L188=phu!$I$77,L188=phu!$I$78),"Cam Phước Đông",""),IF(OR(L188=phu!$I$79,L188=phu!$I$80,L188=phu!$I$81,L188=phu!$I$82,L188=phu!$I$83,L188=phu!$I$84),"Cam Thịnh Đông",""),IF(OR(L188=phu!$I$85,L188=phu!$I$86,L188=phu!$I$87,L188=phu!$I$88),"Cam Thịnh Tây",""),IF(OR(L188=phu!$I$89,L188=phu!$I$90),"Cam Lập",""),IF(OR(L188=phu!$I$91,L188=phu!$I$92,L188=phu!$I$93),"Cam Bình",""),IF(OR(L188=phu!$I$94,L188=phu!$I$95,L188=phu!$I$96,L188=phu!$I$97,L188=phu!$I$98,L188=phu!$I$99,L188=phu!$I$100),"Huyện khác",""),IF(OR(L188=phu!$I$101,L188=phu!$I$102),"Tỉnh khác",""))</f>
        <v/>
      </c>
      <c r="N188" s="835" t="str">
        <f t="shared" si="13"/>
        <v/>
      </c>
      <c r="O188" s="20"/>
      <c r="P188" s="20"/>
      <c r="Q188" s="20"/>
      <c r="R188" s="20"/>
      <c r="S188" s="20"/>
      <c r="T188" s="21"/>
      <c r="U188" s="21"/>
      <c r="V188" s="21"/>
      <c r="W188" s="7" t="str">
        <f t="shared" si="11"/>
        <v/>
      </c>
      <c r="X188" s="506" t="str">
        <f t="shared" si="12"/>
        <v/>
      </c>
    </row>
    <row r="189" spans="1:24" x14ac:dyDescent="0.25">
      <c r="A189" s="66" t="str">
        <f t="shared" si="14"/>
        <v/>
      </c>
      <c r="B189" s="23" t="str">
        <f t="shared" si="10"/>
        <v/>
      </c>
      <c r="C189" s="15"/>
      <c r="D189" s="16"/>
      <c r="E189" s="17"/>
      <c r="F189" s="18"/>
      <c r="G189" s="18"/>
      <c r="H189" s="19"/>
      <c r="I189" s="15"/>
      <c r="J189" s="20"/>
      <c r="K189" s="15"/>
      <c r="L189" s="15"/>
      <c r="M189" s="531" t="str">
        <f>CONCATENATE(IF(OR(L189=phu!$I$1,L189=phu!$I$2,L189=phu!$I$3),"Cam Thành Nam",""),IF(OR(L189=phu!$I$4,L189=phu!$I$5,L189=phu!$I$6,L189=phu!$I$7,L189=phu!$I$8,L189=phu!$I$9,L189=phu!$I$10,L189=phu!$I$11,L189=phu!$I$12,L189=phu!$I$13,L189=phu!$I$14),"Cam Nghĩa",""),IF(OR(L189=phu!$I$15,L189=phu!$I$16,L189=phu!$I$17,L189=phu!$I$18,L189=phu!$I$19,L189=phu!$I$20,L189=phu!$I$21),"Cam Phúc Bắc",""),IF(OR(L189=phu!$I$22,L189=phu!$I$23,L189=phu!$I$24,L189=phu!$I$25),"Cam Phúc Nam",""),IF(OR(L189=phu!$I$26,L189=phu!$I$27,L189=phu!$I$28,L189=phu!$I$29,L189=phu!$I$30,L189=phu!$I$31),"Cam Phú",""),IF(OR(L189=phu!$I$32,L189=phu!$I$33,L189=phu!$I$34,L189=phu!$I$35,L189=phu!$I$36,L189=phu!$I$37),"Cam Lộc",""),IF(OR(L189=phu!$I$38,L189=phu!$I$39,L189=phu!$I$40,L189=phu!$I$41,L189=phu!$I$42,L189=phu!$I$43,L189=phu!$I$44),"Cam Thuận",""),IF(OR(L189=phu!$I$45,L189=phu!$I$46,L189=phu!$I$47,L189=phu!$I$48,L189=phu!$I$49,L189=phu!$I$50,L189=phu!$I$51,L189=phu!$I$52,L189=phu!$I$53),"Cam Linh",""),IF(OR(L189=phu!$I$54,L189=phu!$I$55,L189=phu!$I$56,L189=phu!$I$57,L189=phu!$I$58,L189=phu!$I$59,L189=phu!$I$60,L189=phu!$I$61,L189=phu!$I$62),"Cam Lợi",""),IF(OR(L189=phu!$I$63,L189=phu!$I$64,L189=phu!$I$65,L189=phu!$I$66,L189=phu!$I$67,L189=phu!$I$68,L189=phu!$I$69,L189=phu!$I$70,L189=phu!$I$71),"Ba Ngòi",""),IF(OR(L189=phu!$I$72,L189=phu!$I$73,L189=phu!$I$74,L189=phu!$I$75,L189=phu!$I$76,L189=phu!$I$77,L189=phu!$I$78),"Cam Phước Đông",""),IF(OR(L189=phu!$I$79,L189=phu!$I$80,L189=phu!$I$81,L189=phu!$I$82,L189=phu!$I$83,L189=phu!$I$84),"Cam Thịnh Đông",""),IF(OR(L189=phu!$I$85,L189=phu!$I$86,L189=phu!$I$87,L189=phu!$I$88),"Cam Thịnh Tây",""),IF(OR(L189=phu!$I$89,L189=phu!$I$90),"Cam Lập",""),IF(OR(L189=phu!$I$91,L189=phu!$I$92,L189=phu!$I$93),"Cam Bình",""),IF(OR(L189=phu!$I$94,L189=phu!$I$95,L189=phu!$I$96,L189=phu!$I$97,L189=phu!$I$98,L189=phu!$I$99,L189=phu!$I$100),"Huyện khác",""),IF(OR(L189=phu!$I$101,L189=phu!$I$102),"Tỉnh khác",""))</f>
        <v/>
      </c>
      <c r="N189" s="835" t="str">
        <f t="shared" si="13"/>
        <v/>
      </c>
      <c r="O189" s="20"/>
      <c r="P189" s="20"/>
      <c r="Q189" s="20"/>
      <c r="R189" s="20"/>
      <c r="S189" s="20"/>
      <c r="T189" s="21"/>
      <c r="U189" s="21"/>
      <c r="V189" s="21"/>
      <c r="W189" s="7" t="str">
        <f t="shared" si="11"/>
        <v/>
      </c>
      <c r="X189" s="506" t="str">
        <f t="shared" si="12"/>
        <v/>
      </c>
    </row>
    <row r="190" spans="1:24" x14ac:dyDescent="0.25">
      <c r="A190" s="66" t="str">
        <f t="shared" si="14"/>
        <v/>
      </c>
      <c r="B190" s="23" t="str">
        <f t="shared" si="10"/>
        <v/>
      </c>
      <c r="C190" s="15"/>
      <c r="D190" s="16"/>
      <c r="E190" s="17"/>
      <c r="F190" s="18"/>
      <c r="G190" s="18"/>
      <c r="H190" s="19"/>
      <c r="I190" s="15"/>
      <c r="J190" s="20"/>
      <c r="K190" s="15"/>
      <c r="L190" s="15"/>
      <c r="M190" s="531" t="str">
        <f>CONCATENATE(IF(OR(L190=phu!$I$1,L190=phu!$I$2,L190=phu!$I$3),"Cam Thành Nam",""),IF(OR(L190=phu!$I$4,L190=phu!$I$5,L190=phu!$I$6,L190=phu!$I$7,L190=phu!$I$8,L190=phu!$I$9,L190=phu!$I$10,L190=phu!$I$11,L190=phu!$I$12,L190=phu!$I$13,L190=phu!$I$14),"Cam Nghĩa",""),IF(OR(L190=phu!$I$15,L190=phu!$I$16,L190=phu!$I$17,L190=phu!$I$18,L190=phu!$I$19,L190=phu!$I$20,L190=phu!$I$21),"Cam Phúc Bắc",""),IF(OR(L190=phu!$I$22,L190=phu!$I$23,L190=phu!$I$24,L190=phu!$I$25),"Cam Phúc Nam",""),IF(OR(L190=phu!$I$26,L190=phu!$I$27,L190=phu!$I$28,L190=phu!$I$29,L190=phu!$I$30,L190=phu!$I$31),"Cam Phú",""),IF(OR(L190=phu!$I$32,L190=phu!$I$33,L190=phu!$I$34,L190=phu!$I$35,L190=phu!$I$36,L190=phu!$I$37),"Cam Lộc",""),IF(OR(L190=phu!$I$38,L190=phu!$I$39,L190=phu!$I$40,L190=phu!$I$41,L190=phu!$I$42,L190=phu!$I$43,L190=phu!$I$44),"Cam Thuận",""),IF(OR(L190=phu!$I$45,L190=phu!$I$46,L190=phu!$I$47,L190=phu!$I$48,L190=phu!$I$49,L190=phu!$I$50,L190=phu!$I$51,L190=phu!$I$52,L190=phu!$I$53),"Cam Linh",""),IF(OR(L190=phu!$I$54,L190=phu!$I$55,L190=phu!$I$56,L190=phu!$I$57,L190=phu!$I$58,L190=phu!$I$59,L190=phu!$I$60,L190=phu!$I$61,L190=phu!$I$62),"Cam Lợi",""),IF(OR(L190=phu!$I$63,L190=phu!$I$64,L190=phu!$I$65,L190=phu!$I$66,L190=phu!$I$67,L190=phu!$I$68,L190=phu!$I$69,L190=phu!$I$70,L190=phu!$I$71),"Ba Ngòi",""),IF(OR(L190=phu!$I$72,L190=phu!$I$73,L190=phu!$I$74,L190=phu!$I$75,L190=phu!$I$76,L190=phu!$I$77,L190=phu!$I$78),"Cam Phước Đông",""),IF(OR(L190=phu!$I$79,L190=phu!$I$80,L190=phu!$I$81,L190=phu!$I$82,L190=phu!$I$83,L190=phu!$I$84),"Cam Thịnh Đông",""),IF(OR(L190=phu!$I$85,L190=phu!$I$86,L190=phu!$I$87,L190=phu!$I$88),"Cam Thịnh Tây",""),IF(OR(L190=phu!$I$89,L190=phu!$I$90),"Cam Lập",""),IF(OR(L190=phu!$I$91,L190=phu!$I$92,L190=phu!$I$93),"Cam Bình",""),IF(OR(L190=phu!$I$94,L190=phu!$I$95,L190=phu!$I$96,L190=phu!$I$97,L190=phu!$I$98,L190=phu!$I$99,L190=phu!$I$100),"Huyện khác",""),IF(OR(L190=phu!$I$101,L190=phu!$I$102),"Tỉnh khác",""))</f>
        <v/>
      </c>
      <c r="N190" s="835" t="str">
        <f t="shared" si="13"/>
        <v/>
      </c>
      <c r="O190" s="20"/>
      <c r="P190" s="20"/>
      <c r="Q190" s="20"/>
      <c r="R190" s="20"/>
      <c r="S190" s="20"/>
      <c r="T190" s="21"/>
      <c r="U190" s="21"/>
      <c r="V190" s="21"/>
      <c r="W190" s="7" t="str">
        <f t="shared" si="11"/>
        <v/>
      </c>
      <c r="X190" s="506" t="str">
        <f t="shared" si="12"/>
        <v/>
      </c>
    </row>
    <row r="191" spans="1:24" x14ac:dyDescent="0.25">
      <c r="A191" s="66" t="str">
        <f t="shared" si="14"/>
        <v/>
      </c>
      <c r="B191" s="23" t="str">
        <f t="shared" si="10"/>
        <v/>
      </c>
      <c r="C191" s="15"/>
      <c r="D191" s="16"/>
      <c r="E191" s="17"/>
      <c r="F191" s="18"/>
      <c r="G191" s="18"/>
      <c r="H191" s="19"/>
      <c r="I191" s="15"/>
      <c r="J191" s="20"/>
      <c r="K191" s="15"/>
      <c r="L191" s="15"/>
      <c r="M191" s="531" t="str">
        <f>CONCATENATE(IF(OR(L191=phu!$I$1,L191=phu!$I$2,L191=phu!$I$3),"Cam Thành Nam",""),IF(OR(L191=phu!$I$4,L191=phu!$I$5,L191=phu!$I$6,L191=phu!$I$7,L191=phu!$I$8,L191=phu!$I$9,L191=phu!$I$10,L191=phu!$I$11,L191=phu!$I$12,L191=phu!$I$13,L191=phu!$I$14),"Cam Nghĩa",""),IF(OR(L191=phu!$I$15,L191=phu!$I$16,L191=phu!$I$17,L191=phu!$I$18,L191=phu!$I$19,L191=phu!$I$20,L191=phu!$I$21),"Cam Phúc Bắc",""),IF(OR(L191=phu!$I$22,L191=phu!$I$23,L191=phu!$I$24,L191=phu!$I$25),"Cam Phúc Nam",""),IF(OR(L191=phu!$I$26,L191=phu!$I$27,L191=phu!$I$28,L191=phu!$I$29,L191=phu!$I$30,L191=phu!$I$31),"Cam Phú",""),IF(OR(L191=phu!$I$32,L191=phu!$I$33,L191=phu!$I$34,L191=phu!$I$35,L191=phu!$I$36,L191=phu!$I$37),"Cam Lộc",""),IF(OR(L191=phu!$I$38,L191=phu!$I$39,L191=phu!$I$40,L191=phu!$I$41,L191=phu!$I$42,L191=phu!$I$43,L191=phu!$I$44),"Cam Thuận",""),IF(OR(L191=phu!$I$45,L191=phu!$I$46,L191=phu!$I$47,L191=phu!$I$48,L191=phu!$I$49,L191=phu!$I$50,L191=phu!$I$51,L191=phu!$I$52,L191=phu!$I$53),"Cam Linh",""),IF(OR(L191=phu!$I$54,L191=phu!$I$55,L191=phu!$I$56,L191=phu!$I$57,L191=phu!$I$58,L191=phu!$I$59,L191=phu!$I$60,L191=phu!$I$61,L191=phu!$I$62),"Cam Lợi",""),IF(OR(L191=phu!$I$63,L191=phu!$I$64,L191=phu!$I$65,L191=phu!$I$66,L191=phu!$I$67,L191=phu!$I$68,L191=phu!$I$69,L191=phu!$I$70,L191=phu!$I$71),"Ba Ngòi",""),IF(OR(L191=phu!$I$72,L191=phu!$I$73,L191=phu!$I$74,L191=phu!$I$75,L191=phu!$I$76,L191=phu!$I$77,L191=phu!$I$78),"Cam Phước Đông",""),IF(OR(L191=phu!$I$79,L191=phu!$I$80,L191=phu!$I$81,L191=phu!$I$82,L191=phu!$I$83,L191=phu!$I$84),"Cam Thịnh Đông",""),IF(OR(L191=phu!$I$85,L191=phu!$I$86,L191=phu!$I$87,L191=phu!$I$88),"Cam Thịnh Tây",""),IF(OR(L191=phu!$I$89,L191=phu!$I$90),"Cam Lập",""),IF(OR(L191=phu!$I$91,L191=phu!$I$92,L191=phu!$I$93),"Cam Bình",""),IF(OR(L191=phu!$I$94,L191=phu!$I$95,L191=phu!$I$96,L191=phu!$I$97,L191=phu!$I$98,L191=phu!$I$99,L191=phu!$I$100),"Huyện khác",""),IF(OR(L191=phu!$I$101,L191=phu!$I$102),"Tỉnh khác",""))</f>
        <v/>
      </c>
      <c r="N191" s="835" t="str">
        <f t="shared" si="13"/>
        <v/>
      </c>
      <c r="O191" s="20"/>
      <c r="P191" s="20"/>
      <c r="Q191" s="20"/>
      <c r="R191" s="20"/>
      <c r="S191" s="20"/>
      <c r="T191" s="21"/>
      <c r="U191" s="21"/>
      <c r="V191" s="21"/>
      <c r="W191" s="7" t="str">
        <f t="shared" si="11"/>
        <v/>
      </c>
      <c r="X191" s="506" t="str">
        <f t="shared" si="12"/>
        <v/>
      </c>
    </row>
    <row r="192" spans="1:24" x14ac:dyDescent="0.25">
      <c r="A192" s="66" t="str">
        <f t="shared" si="14"/>
        <v/>
      </c>
      <c r="B192" s="23" t="str">
        <f t="shared" si="10"/>
        <v/>
      </c>
      <c r="C192" s="15"/>
      <c r="D192" s="16"/>
      <c r="E192" s="17"/>
      <c r="F192" s="18"/>
      <c r="G192" s="18"/>
      <c r="H192" s="19"/>
      <c r="I192" s="15"/>
      <c r="J192" s="20"/>
      <c r="K192" s="15"/>
      <c r="L192" s="15"/>
      <c r="M192" s="531" t="str">
        <f>CONCATENATE(IF(OR(L192=phu!$I$1,L192=phu!$I$2,L192=phu!$I$3),"Cam Thành Nam",""),IF(OR(L192=phu!$I$4,L192=phu!$I$5,L192=phu!$I$6,L192=phu!$I$7,L192=phu!$I$8,L192=phu!$I$9,L192=phu!$I$10,L192=phu!$I$11,L192=phu!$I$12,L192=phu!$I$13,L192=phu!$I$14),"Cam Nghĩa",""),IF(OR(L192=phu!$I$15,L192=phu!$I$16,L192=phu!$I$17,L192=phu!$I$18,L192=phu!$I$19,L192=phu!$I$20,L192=phu!$I$21),"Cam Phúc Bắc",""),IF(OR(L192=phu!$I$22,L192=phu!$I$23,L192=phu!$I$24,L192=phu!$I$25),"Cam Phúc Nam",""),IF(OR(L192=phu!$I$26,L192=phu!$I$27,L192=phu!$I$28,L192=phu!$I$29,L192=phu!$I$30,L192=phu!$I$31),"Cam Phú",""),IF(OR(L192=phu!$I$32,L192=phu!$I$33,L192=phu!$I$34,L192=phu!$I$35,L192=phu!$I$36,L192=phu!$I$37),"Cam Lộc",""),IF(OR(L192=phu!$I$38,L192=phu!$I$39,L192=phu!$I$40,L192=phu!$I$41,L192=phu!$I$42,L192=phu!$I$43,L192=phu!$I$44),"Cam Thuận",""),IF(OR(L192=phu!$I$45,L192=phu!$I$46,L192=phu!$I$47,L192=phu!$I$48,L192=phu!$I$49,L192=phu!$I$50,L192=phu!$I$51,L192=phu!$I$52,L192=phu!$I$53),"Cam Linh",""),IF(OR(L192=phu!$I$54,L192=phu!$I$55,L192=phu!$I$56,L192=phu!$I$57,L192=phu!$I$58,L192=phu!$I$59,L192=phu!$I$60,L192=phu!$I$61,L192=phu!$I$62),"Cam Lợi",""),IF(OR(L192=phu!$I$63,L192=phu!$I$64,L192=phu!$I$65,L192=phu!$I$66,L192=phu!$I$67,L192=phu!$I$68,L192=phu!$I$69,L192=phu!$I$70,L192=phu!$I$71),"Ba Ngòi",""),IF(OR(L192=phu!$I$72,L192=phu!$I$73,L192=phu!$I$74,L192=phu!$I$75,L192=phu!$I$76,L192=phu!$I$77,L192=phu!$I$78),"Cam Phước Đông",""),IF(OR(L192=phu!$I$79,L192=phu!$I$80,L192=phu!$I$81,L192=phu!$I$82,L192=phu!$I$83,L192=phu!$I$84),"Cam Thịnh Đông",""),IF(OR(L192=phu!$I$85,L192=phu!$I$86,L192=phu!$I$87,L192=phu!$I$88),"Cam Thịnh Tây",""),IF(OR(L192=phu!$I$89,L192=phu!$I$90),"Cam Lập",""),IF(OR(L192=phu!$I$91,L192=phu!$I$92,L192=phu!$I$93),"Cam Bình",""),IF(OR(L192=phu!$I$94,L192=phu!$I$95,L192=phu!$I$96,L192=phu!$I$97,L192=phu!$I$98,L192=phu!$I$99,L192=phu!$I$100),"Huyện khác",""),IF(OR(L192=phu!$I$101,L192=phu!$I$102),"Tỉnh khác",""))</f>
        <v/>
      </c>
      <c r="N192" s="835" t="str">
        <f t="shared" si="13"/>
        <v/>
      </c>
      <c r="O192" s="20"/>
      <c r="P192" s="20"/>
      <c r="Q192" s="20"/>
      <c r="R192" s="20"/>
      <c r="S192" s="20"/>
      <c r="T192" s="21"/>
      <c r="U192" s="21"/>
      <c r="V192" s="21"/>
      <c r="W192" s="7" t="str">
        <f t="shared" si="11"/>
        <v/>
      </c>
      <c r="X192" s="506" t="str">
        <f t="shared" si="12"/>
        <v/>
      </c>
    </row>
    <row r="193" spans="1:24" x14ac:dyDescent="0.25">
      <c r="A193" s="66" t="str">
        <f t="shared" si="14"/>
        <v/>
      </c>
      <c r="B193" s="23" t="str">
        <f t="shared" si="10"/>
        <v/>
      </c>
      <c r="C193" s="15"/>
      <c r="D193" s="16"/>
      <c r="E193" s="17"/>
      <c r="F193" s="18"/>
      <c r="G193" s="18"/>
      <c r="H193" s="19"/>
      <c r="I193" s="15"/>
      <c r="J193" s="20"/>
      <c r="K193" s="15"/>
      <c r="L193" s="15"/>
      <c r="M193" s="531" t="str">
        <f>CONCATENATE(IF(OR(L193=phu!$I$1,L193=phu!$I$2,L193=phu!$I$3),"Cam Thành Nam",""),IF(OR(L193=phu!$I$4,L193=phu!$I$5,L193=phu!$I$6,L193=phu!$I$7,L193=phu!$I$8,L193=phu!$I$9,L193=phu!$I$10,L193=phu!$I$11,L193=phu!$I$12,L193=phu!$I$13,L193=phu!$I$14),"Cam Nghĩa",""),IF(OR(L193=phu!$I$15,L193=phu!$I$16,L193=phu!$I$17,L193=phu!$I$18,L193=phu!$I$19,L193=phu!$I$20,L193=phu!$I$21),"Cam Phúc Bắc",""),IF(OR(L193=phu!$I$22,L193=phu!$I$23,L193=phu!$I$24,L193=phu!$I$25),"Cam Phúc Nam",""),IF(OR(L193=phu!$I$26,L193=phu!$I$27,L193=phu!$I$28,L193=phu!$I$29,L193=phu!$I$30,L193=phu!$I$31),"Cam Phú",""),IF(OR(L193=phu!$I$32,L193=phu!$I$33,L193=phu!$I$34,L193=phu!$I$35,L193=phu!$I$36,L193=phu!$I$37),"Cam Lộc",""),IF(OR(L193=phu!$I$38,L193=phu!$I$39,L193=phu!$I$40,L193=phu!$I$41,L193=phu!$I$42,L193=phu!$I$43,L193=phu!$I$44),"Cam Thuận",""),IF(OR(L193=phu!$I$45,L193=phu!$I$46,L193=phu!$I$47,L193=phu!$I$48,L193=phu!$I$49,L193=phu!$I$50,L193=phu!$I$51,L193=phu!$I$52,L193=phu!$I$53),"Cam Linh",""),IF(OR(L193=phu!$I$54,L193=phu!$I$55,L193=phu!$I$56,L193=phu!$I$57,L193=phu!$I$58,L193=phu!$I$59,L193=phu!$I$60,L193=phu!$I$61,L193=phu!$I$62),"Cam Lợi",""),IF(OR(L193=phu!$I$63,L193=phu!$I$64,L193=phu!$I$65,L193=phu!$I$66,L193=phu!$I$67,L193=phu!$I$68,L193=phu!$I$69,L193=phu!$I$70,L193=phu!$I$71),"Ba Ngòi",""),IF(OR(L193=phu!$I$72,L193=phu!$I$73,L193=phu!$I$74,L193=phu!$I$75,L193=phu!$I$76,L193=phu!$I$77,L193=phu!$I$78),"Cam Phước Đông",""),IF(OR(L193=phu!$I$79,L193=phu!$I$80,L193=phu!$I$81,L193=phu!$I$82,L193=phu!$I$83,L193=phu!$I$84),"Cam Thịnh Đông",""),IF(OR(L193=phu!$I$85,L193=phu!$I$86,L193=phu!$I$87,L193=phu!$I$88),"Cam Thịnh Tây",""),IF(OR(L193=phu!$I$89,L193=phu!$I$90),"Cam Lập",""),IF(OR(L193=phu!$I$91,L193=phu!$I$92,L193=phu!$I$93),"Cam Bình",""),IF(OR(L193=phu!$I$94,L193=phu!$I$95,L193=phu!$I$96,L193=phu!$I$97,L193=phu!$I$98,L193=phu!$I$99,L193=phu!$I$100),"Huyện khác",""),IF(OR(L193=phu!$I$101,L193=phu!$I$102),"Tỉnh khác",""))</f>
        <v/>
      </c>
      <c r="N193" s="835" t="str">
        <f t="shared" si="13"/>
        <v/>
      </c>
      <c r="O193" s="20"/>
      <c r="P193" s="20"/>
      <c r="Q193" s="20"/>
      <c r="R193" s="20"/>
      <c r="S193" s="20"/>
      <c r="T193" s="21"/>
      <c r="U193" s="21"/>
      <c r="V193" s="21"/>
      <c r="W193" s="7" t="str">
        <f t="shared" si="11"/>
        <v/>
      </c>
      <c r="X193" s="506" t="str">
        <f t="shared" si="12"/>
        <v/>
      </c>
    </row>
    <row r="194" spans="1:24" x14ac:dyDescent="0.25">
      <c r="A194" s="66" t="str">
        <f t="shared" si="14"/>
        <v/>
      </c>
      <c r="B194" s="23" t="str">
        <f t="shared" si="10"/>
        <v/>
      </c>
      <c r="C194" s="15"/>
      <c r="D194" s="16"/>
      <c r="E194" s="17"/>
      <c r="F194" s="18"/>
      <c r="G194" s="18"/>
      <c r="H194" s="19"/>
      <c r="I194" s="15"/>
      <c r="J194" s="20"/>
      <c r="K194" s="15"/>
      <c r="L194" s="15"/>
      <c r="M194" s="531" t="str">
        <f>CONCATENATE(IF(OR(L194=phu!$I$1,L194=phu!$I$2,L194=phu!$I$3),"Cam Thành Nam",""),IF(OR(L194=phu!$I$4,L194=phu!$I$5,L194=phu!$I$6,L194=phu!$I$7,L194=phu!$I$8,L194=phu!$I$9,L194=phu!$I$10,L194=phu!$I$11,L194=phu!$I$12,L194=phu!$I$13,L194=phu!$I$14),"Cam Nghĩa",""),IF(OR(L194=phu!$I$15,L194=phu!$I$16,L194=phu!$I$17,L194=phu!$I$18,L194=phu!$I$19,L194=phu!$I$20,L194=phu!$I$21),"Cam Phúc Bắc",""),IF(OR(L194=phu!$I$22,L194=phu!$I$23,L194=phu!$I$24,L194=phu!$I$25),"Cam Phúc Nam",""),IF(OR(L194=phu!$I$26,L194=phu!$I$27,L194=phu!$I$28,L194=phu!$I$29,L194=phu!$I$30,L194=phu!$I$31),"Cam Phú",""),IF(OR(L194=phu!$I$32,L194=phu!$I$33,L194=phu!$I$34,L194=phu!$I$35,L194=phu!$I$36,L194=phu!$I$37),"Cam Lộc",""),IF(OR(L194=phu!$I$38,L194=phu!$I$39,L194=phu!$I$40,L194=phu!$I$41,L194=phu!$I$42,L194=phu!$I$43,L194=phu!$I$44),"Cam Thuận",""),IF(OR(L194=phu!$I$45,L194=phu!$I$46,L194=phu!$I$47,L194=phu!$I$48,L194=phu!$I$49,L194=phu!$I$50,L194=phu!$I$51,L194=phu!$I$52,L194=phu!$I$53),"Cam Linh",""),IF(OR(L194=phu!$I$54,L194=phu!$I$55,L194=phu!$I$56,L194=phu!$I$57,L194=phu!$I$58,L194=phu!$I$59,L194=phu!$I$60,L194=phu!$I$61,L194=phu!$I$62),"Cam Lợi",""),IF(OR(L194=phu!$I$63,L194=phu!$I$64,L194=phu!$I$65,L194=phu!$I$66,L194=phu!$I$67,L194=phu!$I$68,L194=phu!$I$69,L194=phu!$I$70,L194=phu!$I$71),"Ba Ngòi",""),IF(OR(L194=phu!$I$72,L194=phu!$I$73,L194=phu!$I$74,L194=phu!$I$75,L194=phu!$I$76,L194=phu!$I$77,L194=phu!$I$78),"Cam Phước Đông",""),IF(OR(L194=phu!$I$79,L194=phu!$I$80,L194=phu!$I$81,L194=phu!$I$82,L194=phu!$I$83,L194=phu!$I$84),"Cam Thịnh Đông",""),IF(OR(L194=phu!$I$85,L194=phu!$I$86,L194=phu!$I$87,L194=phu!$I$88),"Cam Thịnh Tây",""),IF(OR(L194=phu!$I$89,L194=phu!$I$90),"Cam Lập",""),IF(OR(L194=phu!$I$91,L194=phu!$I$92,L194=phu!$I$93),"Cam Bình",""),IF(OR(L194=phu!$I$94,L194=phu!$I$95,L194=phu!$I$96,L194=phu!$I$97,L194=phu!$I$98,L194=phu!$I$99,L194=phu!$I$100),"Huyện khác",""),IF(OR(L194=phu!$I$101,L194=phu!$I$102),"Tỉnh khác",""))</f>
        <v/>
      </c>
      <c r="N194" s="835" t="str">
        <f t="shared" si="13"/>
        <v/>
      </c>
      <c r="O194" s="20"/>
      <c r="P194" s="20"/>
      <c r="Q194" s="20"/>
      <c r="R194" s="20"/>
      <c r="S194" s="20"/>
      <c r="T194" s="21"/>
      <c r="U194" s="21"/>
      <c r="V194" s="21"/>
      <c r="W194" s="7" t="str">
        <f t="shared" si="11"/>
        <v/>
      </c>
      <c r="X194" s="506" t="str">
        <f t="shared" si="12"/>
        <v/>
      </c>
    </row>
    <row r="195" spans="1:24" x14ac:dyDescent="0.25">
      <c r="A195" s="66" t="str">
        <f t="shared" si="14"/>
        <v/>
      </c>
      <c r="B195" s="23" t="str">
        <f t="shared" si="10"/>
        <v/>
      </c>
      <c r="C195" s="15"/>
      <c r="D195" s="16"/>
      <c r="E195" s="17"/>
      <c r="F195" s="18"/>
      <c r="G195" s="18"/>
      <c r="H195" s="19"/>
      <c r="I195" s="15"/>
      <c r="J195" s="20"/>
      <c r="K195" s="15"/>
      <c r="L195" s="15"/>
      <c r="M195" s="531" t="str">
        <f>CONCATENATE(IF(OR(L195=phu!$I$1,L195=phu!$I$2,L195=phu!$I$3),"Cam Thành Nam",""),IF(OR(L195=phu!$I$4,L195=phu!$I$5,L195=phu!$I$6,L195=phu!$I$7,L195=phu!$I$8,L195=phu!$I$9,L195=phu!$I$10,L195=phu!$I$11,L195=phu!$I$12,L195=phu!$I$13,L195=phu!$I$14),"Cam Nghĩa",""),IF(OR(L195=phu!$I$15,L195=phu!$I$16,L195=phu!$I$17,L195=phu!$I$18,L195=phu!$I$19,L195=phu!$I$20,L195=phu!$I$21),"Cam Phúc Bắc",""),IF(OR(L195=phu!$I$22,L195=phu!$I$23,L195=phu!$I$24,L195=phu!$I$25),"Cam Phúc Nam",""),IF(OR(L195=phu!$I$26,L195=phu!$I$27,L195=phu!$I$28,L195=phu!$I$29,L195=phu!$I$30,L195=phu!$I$31),"Cam Phú",""),IF(OR(L195=phu!$I$32,L195=phu!$I$33,L195=phu!$I$34,L195=phu!$I$35,L195=phu!$I$36,L195=phu!$I$37),"Cam Lộc",""),IF(OR(L195=phu!$I$38,L195=phu!$I$39,L195=phu!$I$40,L195=phu!$I$41,L195=phu!$I$42,L195=phu!$I$43,L195=phu!$I$44),"Cam Thuận",""),IF(OR(L195=phu!$I$45,L195=phu!$I$46,L195=phu!$I$47,L195=phu!$I$48,L195=phu!$I$49,L195=phu!$I$50,L195=phu!$I$51,L195=phu!$I$52,L195=phu!$I$53),"Cam Linh",""),IF(OR(L195=phu!$I$54,L195=phu!$I$55,L195=phu!$I$56,L195=phu!$I$57,L195=phu!$I$58,L195=phu!$I$59,L195=phu!$I$60,L195=phu!$I$61,L195=phu!$I$62),"Cam Lợi",""),IF(OR(L195=phu!$I$63,L195=phu!$I$64,L195=phu!$I$65,L195=phu!$I$66,L195=phu!$I$67,L195=phu!$I$68,L195=phu!$I$69,L195=phu!$I$70,L195=phu!$I$71),"Ba Ngòi",""),IF(OR(L195=phu!$I$72,L195=phu!$I$73,L195=phu!$I$74,L195=phu!$I$75,L195=phu!$I$76,L195=phu!$I$77,L195=phu!$I$78),"Cam Phước Đông",""),IF(OR(L195=phu!$I$79,L195=phu!$I$80,L195=phu!$I$81,L195=phu!$I$82,L195=phu!$I$83,L195=phu!$I$84),"Cam Thịnh Đông",""),IF(OR(L195=phu!$I$85,L195=phu!$I$86,L195=phu!$I$87,L195=phu!$I$88),"Cam Thịnh Tây",""),IF(OR(L195=phu!$I$89,L195=phu!$I$90),"Cam Lập",""),IF(OR(L195=phu!$I$91,L195=phu!$I$92,L195=phu!$I$93),"Cam Bình",""),IF(OR(L195=phu!$I$94,L195=phu!$I$95,L195=phu!$I$96,L195=phu!$I$97,L195=phu!$I$98,L195=phu!$I$99,L195=phu!$I$100),"Huyện khác",""),IF(OR(L195=phu!$I$101,L195=phu!$I$102),"Tỉnh khác",""))</f>
        <v/>
      </c>
      <c r="N195" s="835" t="str">
        <f t="shared" si="13"/>
        <v/>
      </c>
      <c r="O195" s="20"/>
      <c r="P195" s="20"/>
      <c r="Q195" s="20"/>
      <c r="R195" s="20"/>
      <c r="S195" s="20"/>
      <c r="T195" s="21"/>
      <c r="U195" s="21"/>
      <c r="V195" s="21"/>
      <c r="W195" s="7" t="str">
        <f t="shared" si="11"/>
        <v/>
      </c>
      <c r="X195" s="506" t="str">
        <f t="shared" si="12"/>
        <v/>
      </c>
    </row>
    <row r="196" spans="1:24" x14ac:dyDescent="0.25">
      <c r="A196" s="66" t="str">
        <f t="shared" si="14"/>
        <v/>
      </c>
      <c r="B196" s="23" t="str">
        <f t="shared" si="10"/>
        <v/>
      </c>
      <c r="C196" s="15"/>
      <c r="D196" s="16"/>
      <c r="E196" s="17"/>
      <c r="F196" s="18"/>
      <c r="G196" s="18"/>
      <c r="H196" s="19"/>
      <c r="I196" s="15"/>
      <c r="J196" s="20"/>
      <c r="K196" s="15"/>
      <c r="L196" s="15"/>
      <c r="M196" s="531" t="str">
        <f>CONCATENATE(IF(OR(L196=phu!$I$1,L196=phu!$I$2,L196=phu!$I$3),"Cam Thành Nam",""),IF(OR(L196=phu!$I$4,L196=phu!$I$5,L196=phu!$I$6,L196=phu!$I$7,L196=phu!$I$8,L196=phu!$I$9,L196=phu!$I$10,L196=phu!$I$11,L196=phu!$I$12,L196=phu!$I$13,L196=phu!$I$14),"Cam Nghĩa",""),IF(OR(L196=phu!$I$15,L196=phu!$I$16,L196=phu!$I$17,L196=phu!$I$18,L196=phu!$I$19,L196=phu!$I$20,L196=phu!$I$21),"Cam Phúc Bắc",""),IF(OR(L196=phu!$I$22,L196=phu!$I$23,L196=phu!$I$24,L196=phu!$I$25),"Cam Phúc Nam",""),IF(OR(L196=phu!$I$26,L196=phu!$I$27,L196=phu!$I$28,L196=phu!$I$29,L196=phu!$I$30,L196=phu!$I$31),"Cam Phú",""),IF(OR(L196=phu!$I$32,L196=phu!$I$33,L196=phu!$I$34,L196=phu!$I$35,L196=phu!$I$36,L196=phu!$I$37),"Cam Lộc",""),IF(OR(L196=phu!$I$38,L196=phu!$I$39,L196=phu!$I$40,L196=phu!$I$41,L196=phu!$I$42,L196=phu!$I$43,L196=phu!$I$44),"Cam Thuận",""),IF(OR(L196=phu!$I$45,L196=phu!$I$46,L196=phu!$I$47,L196=phu!$I$48,L196=phu!$I$49,L196=phu!$I$50,L196=phu!$I$51,L196=phu!$I$52,L196=phu!$I$53),"Cam Linh",""),IF(OR(L196=phu!$I$54,L196=phu!$I$55,L196=phu!$I$56,L196=phu!$I$57,L196=phu!$I$58,L196=phu!$I$59,L196=phu!$I$60,L196=phu!$I$61,L196=phu!$I$62),"Cam Lợi",""),IF(OR(L196=phu!$I$63,L196=phu!$I$64,L196=phu!$I$65,L196=phu!$I$66,L196=phu!$I$67,L196=phu!$I$68,L196=phu!$I$69,L196=phu!$I$70,L196=phu!$I$71),"Ba Ngòi",""),IF(OR(L196=phu!$I$72,L196=phu!$I$73,L196=phu!$I$74,L196=phu!$I$75,L196=phu!$I$76,L196=phu!$I$77,L196=phu!$I$78),"Cam Phước Đông",""),IF(OR(L196=phu!$I$79,L196=phu!$I$80,L196=phu!$I$81,L196=phu!$I$82,L196=phu!$I$83,L196=phu!$I$84),"Cam Thịnh Đông",""),IF(OR(L196=phu!$I$85,L196=phu!$I$86,L196=phu!$I$87,L196=phu!$I$88),"Cam Thịnh Tây",""),IF(OR(L196=phu!$I$89,L196=phu!$I$90),"Cam Lập",""),IF(OR(L196=phu!$I$91,L196=phu!$I$92,L196=phu!$I$93),"Cam Bình",""),IF(OR(L196=phu!$I$94,L196=phu!$I$95,L196=phu!$I$96,L196=phu!$I$97,L196=phu!$I$98,L196=phu!$I$99,L196=phu!$I$100),"Huyện khác",""),IF(OR(L196=phu!$I$101,L196=phu!$I$102),"Tỉnh khác",""))</f>
        <v/>
      </c>
      <c r="N196" s="835" t="str">
        <f t="shared" si="13"/>
        <v/>
      </c>
      <c r="O196" s="20"/>
      <c r="P196" s="20"/>
      <c r="Q196" s="20"/>
      <c r="R196" s="20"/>
      <c r="S196" s="20"/>
      <c r="T196" s="21"/>
      <c r="U196" s="21"/>
      <c r="V196" s="21"/>
      <c r="W196" s="7" t="str">
        <f t="shared" si="11"/>
        <v/>
      </c>
      <c r="X196" s="506" t="str">
        <f t="shared" si="12"/>
        <v/>
      </c>
    </row>
    <row r="197" spans="1:24" x14ac:dyDescent="0.25">
      <c r="A197" s="66" t="str">
        <f t="shared" si="14"/>
        <v/>
      </c>
      <c r="B197" s="23" t="str">
        <f t="shared" si="10"/>
        <v/>
      </c>
      <c r="C197" s="15"/>
      <c r="D197" s="16"/>
      <c r="E197" s="17"/>
      <c r="F197" s="18"/>
      <c r="G197" s="18"/>
      <c r="H197" s="19"/>
      <c r="I197" s="15"/>
      <c r="J197" s="20"/>
      <c r="K197" s="15"/>
      <c r="L197" s="15"/>
      <c r="M197" s="531" t="str">
        <f>CONCATENATE(IF(OR(L197=phu!$I$1,L197=phu!$I$2,L197=phu!$I$3),"Cam Thành Nam",""),IF(OR(L197=phu!$I$4,L197=phu!$I$5,L197=phu!$I$6,L197=phu!$I$7,L197=phu!$I$8,L197=phu!$I$9,L197=phu!$I$10,L197=phu!$I$11,L197=phu!$I$12,L197=phu!$I$13,L197=phu!$I$14),"Cam Nghĩa",""),IF(OR(L197=phu!$I$15,L197=phu!$I$16,L197=phu!$I$17,L197=phu!$I$18,L197=phu!$I$19,L197=phu!$I$20,L197=phu!$I$21),"Cam Phúc Bắc",""),IF(OR(L197=phu!$I$22,L197=phu!$I$23,L197=phu!$I$24,L197=phu!$I$25),"Cam Phúc Nam",""),IF(OR(L197=phu!$I$26,L197=phu!$I$27,L197=phu!$I$28,L197=phu!$I$29,L197=phu!$I$30,L197=phu!$I$31),"Cam Phú",""),IF(OR(L197=phu!$I$32,L197=phu!$I$33,L197=phu!$I$34,L197=phu!$I$35,L197=phu!$I$36,L197=phu!$I$37),"Cam Lộc",""),IF(OR(L197=phu!$I$38,L197=phu!$I$39,L197=phu!$I$40,L197=phu!$I$41,L197=phu!$I$42,L197=phu!$I$43,L197=phu!$I$44),"Cam Thuận",""),IF(OR(L197=phu!$I$45,L197=phu!$I$46,L197=phu!$I$47,L197=phu!$I$48,L197=phu!$I$49,L197=phu!$I$50,L197=phu!$I$51,L197=phu!$I$52,L197=phu!$I$53),"Cam Linh",""),IF(OR(L197=phu!$I$54,L197=phu!$I$55,L197=phu!$I$56,L197=phu!$I$57,L197=phu!$I$58,L197=phu!$I$59,L197=phu!$I$60,L197=phu!$I$61,L197=phu!$I$62),"Cam Lợi",""),IF(OR(L197=phu!$I$63,L197=phu!$I$64,L197=phu!$I$65,L197=phu!$I$66,L197=phu!$I$67,L197=phu!$I$68,L197=phu!$I$69,L197=phu!$I$70,L197=phu!$I$71),"Ba Ngòi",""),IF(OR(L197=phu!$I$72,L197=phu!$I$73,L197=phu!$I$74,L197=phu!$I$75,L197=phu!$I$76,L197=phu!$I$77,L197=phu!$I$78),"Cam Phước Đông",""),IF(OR(L197=phu!$I$79,L197=phu!$I$80,L197=phu!$I$81,L197=phu!$I$82,L197=phu!$I$83,L197=phu!$I$84),"Cam Thịnh Đông",""),IF(OR(L197=phu!$I$85,L197=phu!$I$86,L197=phu!$I$87,L197=phu!$I$88),"Cam Thịnh Tây",""),IF(OR(L197=phu!$I$89,L197=phu!$I$90),"Cam Lập",""),IF(OR(L197=phu!$I$91,L197=phu!$I$92,L197=phu!$I$93),"Cam Bình",""),IF(OR(L197=phu!$I$94,L197=phu!$I$95,L197=phu!$I$96,L197=phu!$I$97,L197=phu!$I$98,L197=phu!$I$99,L197=phu!$I$100),"Huyện khác",""),IF(OR(L197=phu!$I$101,L197=phu!$I$102),"Tỉnh khác",""))</f>
        <v/>
      </c>
      <c r="N197" s="835" t="str">
        <f t="shared" si="13"/>
        <v/>
      </c>
      <c r="O197" s="20"/>
      <c r="P197" s="20"/>
      <c r="Q197" s="20"/>
      <c r="R197" s="20"/>
      <c r="S197" s="20"/>
      <c r="T197" s="21"/>
      <c r="U197" s="21"/>
      <c r="V197" s="21"/>
      <c r="W197" s="7" t="str">
        <f t="shared" si="11"/>
        <v/>
      </c>
      <c r="X197" s="506" t="str">
        <f t="shared" si="12"/>
        <v/>
      </c>
    </row>
    <row r="198" spans="1:24" x14ac:dyDescent="0.25">
      <c r="A198" s="66" t="str">
        <f t="shared" si="14"/>
        <v/>
      </c>
      <c r="B198" s="23" t="str">
        <f t="shared" ref="B198:B261" si="15">IF(W198=5,"5-6 tuổi",IF(W198=4,"4-5 tuổi",IF(W198=3,"3-4 tuổi",IF(AND(W198&lt;3,W198&gt;1),"25-36 tháng",IF(AND(W198=1,W198&gt;0),"13-24 tháng",IF(AND(W198=0,E198&lt;&gt;""),"Dưới 13 tháng",""))))))</f>
        <v/>
      </c>
      <c r="C198" s="15"/>
      <c r="D198" s="16"/>
      <c r="E198" s="17"/>
      <c r="F198" s="18"/>
      <c r="G198" s="18"/>
      <c r="H198" s="19"/>
      <c r="I198" s="15"/>
      <c r="J198" s="20"/>
      <c r="K198" s="15"/>
      <c r="L198" s="15"/>
      <c r="M198" s="531" t="str">
        <f>CONCATENATE(IF(OR(L198=phu!$I$1,L198=phu!$I$2,L198=phu!$I$3),"Cam Thành Nam",""),IF(OR(L198=phu!$I$4,L198=phu!$I$5,L198=phu!$I$6,L198=phu!$I$7,L198=phu!$I$8,L198=phu!$I$9,L198=phu!$I$10,L198=phu!$I$11,L198=phu!$I$12,L198=phu!$I$13,L198=phu!$I$14),"Cam Nghĩa",""),IF(OR(L198=phu!$I$15,L198=phu!$I$16,L198=phu!$I$17,L198=phu!$I$18,L198=phu!$I$19,L198=phu!$I$20,L198=phu!$I$21),"Cam Phúc Bắc",""),IF(OR(L198=phu!$I$22,L198=phu!$I$23,L198=phu!$I$24,L198=phu!$I$25),"Cam Phúc Nam",""),IF(OR(L198=phu!$I$26,L198=phu!$I$27,L198=phu!$I$28,L198=phu!$I$29,L198=phu!$I$30,L198=phu!$I$31),"Cam Phú",""),IF(OR(L198=phu!$I$32,L198=phu!$I$33,L198=phu!$I$34,L198=phu!$I$35,L198=phu!$I$36,L198=phu!$I$37),"Cam Lộc",""),IF(OR(L198=phu!$I$38,L198=phu!$I$39,L198=phu!$I$40,L198=phu!$I$41,L198=phu!$I$42,L198=phu!$I$43,L198=phu!$I$44),"Cam Thuận",""),IF(OR(L198=phu!$I$45,L198=phu!$I$46,L198=phu!$I$47,L198=phu!$I$48,L198=phu!$I$49,L198=phu!$I$50,L198=phu!$I$51,L198=phu!$I$52,L198=phu!$I$53),"Cam Linh",""),IF(OR(L198=phu!$I$54,L198=phu!$I$55,L198=phu!$I$56,L198=phu!$I$57,L198=phu!$I$58,L198=phu!$I$59,L198=phu!$I$60,L198=phu!$I$61,L198=phu!$I$62),"Cam Lợi",""),IF(OR(L198=phu!$I$63,L198=phu!$I$64,L198=phu!$I$65,L198=phu!$I$66,L198=phu!$I$67,L198=phu!$I$68,L198=phu!$I$69,L198=phu!$I$70,L198=phu!$I$71),"Ba Ngòi",""),IF(OR(L198=phu!$I$72,L198=phu!$I$73,L198=phu!$I$74,L198=phu!$I$75,L198=phu!$I$76,L198=phu!$I$77,L198=phu!$I$78),"Cam Phước Đông",""),IF(OR(L198=phu!$I$79,L198=phu!$I$80,L198=phu!$I$81,L198=phu!$I$82,L198=phu!$I$83,L198=phu!$I$84),"Cam Thịnh Đông",""),IF(OR(L198=phu!$I$85,L198=phu!$I$86,L198=phu!$I$87,L198=phu!$I$88),"Cam Thịnh Tây",""),IF(OR(L198=phu!$I$89,L198=phu!$I$90),"Cam Lập",""),IF(OR(L198=phu!$I$91,L198=phu!$I$92,L198=phu!$I$93),"Cam Bình",""),IF(OR(L198=phu!$I$94,L198=phu!$I$95,L198=phu!$I$96,L198=phu!$I$97,L198=phu!$I$98,L198=phu!$I$99,L198=phu!$I$100),"Huyện khác",""),IF(OR(L198=phu!$I$101,L198=phu!$I$102),"Tỉnh khác",""))</f>
        <v/>
      </c>
      <c r="N198" s="835" t="str">
        <f t="shared" si="13"/>
        <v/>
      </c>
      <c r="O198" s="20"/>
      <c r="P198" s="20"/>
      <c r="Q198" s="20"/>
      <c r="R198" s="20"/>
      <c r="S198" s="20"/>
      <c r="T198" s="21"/>
      <c r="U198" s="21"/>
      <c r="V198" s="21"/>
      <c r="W198" s="7" t="str">
        <f t="shared" ref="W198:W261" si="16">IF(OR($P$2="",H198=""),"",$P$2-H198)</f>
        <v/>
      </c>
      <c r="X198" s="506" t="str">
        <f t="shared" ref="X198:X261" si="17">IF(OR(AND(C198="",D198="",E198="",F198="",G198="",H198="",J198="",L198="",M198="",O198="",P198="",Q198=""),AND(C198&lt;&gt;"",D198&lt;&gt;"",E198&lt;&gt;"",F198&lt;&gt;"",G198&lt;&gt;"",H198&lt;&gt;"",J198&lt;&gt;"",L198&lt;&gt;"",M198&lt;&gt;"",O198&lt;&gt;"",OR(AND(P198&lt;&gt;"",Q198=""),AND(P198="",Q198&lt;&gt;""),AND(P198&lt;&gt;"",Q198&lt;&gt;"")),OR(AND(K198="X",S198&lt;&gt;""),AND(K198="",S198="")))),"","er")</f>
        <v/>
      </c>
    </row>
    <row r="199" spans="1:24" x14ac:dyDescent="0.25">
      <c r="A199" s="66" t="str">
        <f t="shared" si="14"/>
        <v/>
      </c>
      <c r="B199" s="23" t="str">
        <f t="shared" si="15"/>
        <v/>
      </c>
      <c r="C199" s="15"/>
      <c r="D199" s="16"/>
      <c r="E199" s="17"/>
      <c r="F199" s="18"/>
      <c r="G199" s="18"/>
      <c r="H199" s="19"/>
      <c r="I199" s="15"/>
      <c r="J199" s="20"/>
      <c r="K199" s="15"/>
      <c r="L199" s="15"/>
      <c r="M199" s="531" t="str">
        <f>CONCATENATE(IF(OR(L199=phu!$I$1,L199=phu!$I$2,L199=phu!$I$3),"Cam Thành Nam",""),IF(OR(L199=phu!$I$4,L199=phu!$I$5,L199=phu!$I$6,L199=phu!$I$7,L199=phu!$I$8,L199=phu!$I$9,L199=phu!$I$10,L199=phu!$I$11,L199=phu!$I$12,L199=phu!$I$13,L199=phu!$I$14),"Cam Nghĩa",""),IF(OR(L199=phu!$I$15,L199=phu!$I$16,L199=phu!$I$17,L199=phu!$I$18,L199=phu!$I$19,L199=phu!$I$20,L199=phu!$I$21),"Cam Phúc Bắc",""),IF(OR(L199=phu!$I$22,L199=phu!$I$23,L199=phu!$I$24,L199=phu!$I$25),"Cam Phúc Nam",""),IF(OR(L199=phu!$I$26,L199=phu!$I$27,L199=phu!$I$28,L199=phu!$I$29,L199=phu!$I$30,L199=phu!$I$31),"Cam Phú",""),IF(OR(L199=phu!$I$32,L199=phu!$I$33,L199=phu!$I$34,L199=phu!$I$35,L199=phu!$I$36,L199=phu!$I$37),"Cam Lộc",""),IF(OR(L199=phu!$I$38,L199=phu!$I$39,L199=phu!$I$40,L199=phu!$I$41,L199=phu!$I$42,L199=phu!$I$43,L199=phu!$I$44),"Cam Thuận",""),IF(OR(L199=phu!$I$45,L199=phu!$I$46,L199=phu!$I$47,L199=phu!$I$48,L199=phu!$I$49,L199=phu!$I$50,L199=phu!$I$51,L199=phu!$I$52,L199=phu!$I$53),"Cam Linh",""),IF(OR(L199=phu!$I$54,L199=phu!$I$55,L199=phu!$I$56,L199=phu!$I$57,L199=phu!$I$58,L199=phu!$I$59,L199=phu!$I$60,L199=phu!$I$61,L199=phu!$I$62),"Cam Lợi",""),IF(OR(L199=phu!$I$63,L199=phu!$I$64,L199=phu!$I$65,L199=phu!$I$66,L199=phu!$I$67,L199=phu!$I$68,L199=phu!$I$69,L199=phu!$I$70,L199=phu!$I$71),"Ba Ngòi",""),IF(OR(L199=phu!$I$72,L199=phu!$I$73,L199=phu!$I$74,L199=phu!$I$75,L199=phu!$I$76,L199=phu!$I$77,L199=phu!$I$78),"Cam Phước Đông",""),IF(OR(L199=phu!$I$79,L199=phu!$I$80,L199=phu!$I$81,L199=phu!$I$82,L199=phu!$I$83,L199=phu!$I$84),"Cam Thịnh Đông",""),IF(OR(L199=phu!$I$85,L199=phu!$I$86,L199=phu!$I$87,L199=phu!$I$88),"Cam Thịnh Tây",""),IF(OR(L199=phu!$I$89,L199=phu!$I$90),"Cam Lập",""),IF(OR(L199=phu!$I$91,L199=phu!$I$92,L199=phu!$I$93),"Cam Bình",""),IF(OR(L199=phu!$I$94,L199=phu!$I$95,L199=phu!$I$96,L199=phu!$I$97,L199=phu!$I$98,L199=phu!$I$99,L199=phu!$I$100),"Huyện khác",""),IF(OR(L199=phu!$I$101,L199=phu!$I$102),"Tỉnh khác",""))</f>
        <v/>
      </c>
      <c r="N199" s="835" t="str">
        <f t="shared" ref="N199:N262" si="18">CONCATENATE(IF(OR(M199="Cam Thành Nam",M199="Cam Nghĩa",M199="Cam Phúc Bắc"),"Bắc Cam Ranh",""),IF(OR(M199="Cam Phúc Nam",M199="Cam Phú",M199="Cam Lộc"),"Cam Ranh",""),IF(OR(M199="Cam Thuận",M199="Cam Linh",M199="Cam Lợi"),"Cam Linh",""),IF(OR(M199="Ba Ngòi",M199="Cam Phước Đông"),"Ba Ngòi",""),IF(OR(M199="Cam Thịnh Đông",M199="Cam Thịnh Tây",M199="Cam Lập",M199="Cam Bình"),"Nam Cam Ranh",""),IF(M199="Huyện khác","Huyện khác",""),IF(M199="Tỉnh khác","Tỉnh khác",""))</f>
        <v/>
      </c>
      <c r="O199" s="20"/>
      <c r="P199" s="20"/>
      <c r="Q199" s="20"/>
      <c r="R199" s="20"/>
      <c r="S199" s="20"/>
      <c r="T199" s="21"/>
      <c r="U199" s="21"/>
      <c r="V199" s="21"/>
      <c r="W199" s="7" t="str">
        <f t="shared" si="16"/>
        <v/>
      </c>
      <c r="X199" s="506" t="str">
        <f t="shared" si="17"/>
        <v/>
      </c>
    </row>
    <row r="200" spans="1:24" x14ac:dyDescent="0.25">
      <c r="A200" s="66" t="str">
        <f t="shared" ref="A200:A263" si="19">IF(AND(A199&lt;&gt;"",E200&lt;&gt;""),A199+1,"")</f>
        <v/>
      </c>
      <c r="B200" s="23" t="str">
        <f t="shared" si="15"/>
        <v/>
      </c>
      <c r="C200" s="15"/>
      <c r="D200" s="16"/>
      <c r="E200" s="17"/>
      <c r="F200" s="18"/>
      <c r="G200" s="18"/>
      <c r="H200" s="19"/>
      <c r="I200" s="15"/>
      <c r="J200" s="20"/>
      <c r="K200" s="15"/>
      <c r="L200" s="15"/>
      <c r="M200" s="531" t="str">
        <f>CONCATENATE(IF(OR(L200=phu!$I$1,L200=phu!$I$2,L200=phu!$I$3),"Cam Thành Nam",""),IF(OR(L200=phu!$I$4,L200=phu!$I$5,L200=phu!$I$6,L200=phu!$I$7,L200=phu!$I$8,L200=phu!$I$9,L200=phu!$I$10,L200=phu!$I$11,L200=phu!$I$12,L200=phu!$I$13,L200=phu!$I$14),"Cam Nghĩa",""),IF(OR(L200=phu!$I$15,L200=phu!$I$16,L200=phu!$I$17,L200=phu!$I$18,L200=phu!$I$19,L200=phu!$I$20,L200=phu!$I$21),"Cam Phúc Bắc",""),IF(OR(L200=phu!$I$22,L200=phu!$I$23,L200=phu!$I$24,L200=phu!$I$25),"Cam Phúc Nam",""),IF(OR(L200=phu!$I$26,L200=phu!$I$27,L200=phu!$I$28,L200=phu!$I$29,L200=phu!$I$30,L200=phu!$I$31),"Cam Phú",""),IF(OR(L200=phu!$I$32,L200=phu!$I$33,L200=phu!$I$34,L200=phu!$I$35,L200=phu!$I$36,L200=phu!$I$37),"Cam Lộc",""),IF(OR(L200=phu!$I$38,L200=phu!$I$39,L200=phu!$I$40,L200=phu!$I$41,L200=phu!$I$42,L200=phu!$I$43,L200=phu!$I$44),"Cam Thuận",""),IF(OR(L200=phu!$I$45,L200=phu!$I$46,L200=phu!$I$47,L200=phu!$I$48,L200=phu!$I$49,L200=phu!$I$50,L200=phu!$I$51,L200=phu!$I$52,L200=phu!$I$53),"Cam Linh",""),IF(OR(L200=phu!$I$54,L200=phu!$I$55,L200=phu!$I$56,L200=phu!$I$57,L200=phu!$I$58,L200=phu!$I$59,L200=phu!$I$60,L200=phu!$I$61,L200=phu!$I$62),"Cam Lợi",""),IF(OR(L200=phu!$I$63,L200=phu!$I$64,L200=phu!$I$65,L200=phu!$I$66,L200=phu!$I$67,L200=phu!$I$68,L200=phu!$I$69,L200=phu!$I$70,L200=phu!$I$71),"Ba Ngòi",""),IF(OR(L200=phu!$I$72,L200=phu!$I$73,L200=phu!$I$74,L200=phu!$I$75,L200=phu!$I$76,L200=phu!$I$77,L200=phu!$I$78),"Cam Phước Đông",""),IF(OR(L200=phu!$I$79,L200=phu!$I$80,L200=phu!$I$81,L200=phu!$I$82,L200=phu!$I$83,L200=phu!$I$84),"Cam Thịnh Đông",""),IF(OR(L200=phu!$I$85,L200=phu!$I$86,L200=phu!$I$87,L200=phu!$I$88),"Cam Thịnh Tây",""),IF(OR(L200=phu!$I$89,L200=phu!$I$90),"Cam Lập",""),IF(OR(L200=phu!$I$91,L200=phu!$I$92,L200=phu!$I$93),"Cam Bình",""),IF(OR(L200=phu!$I$94,L200=phu!$I$95,L200=phu!$I$96,L200=phu!$I$97,L200=phu!$I$98,L200=phu!$I$99,L200=phu!$I$100),"Huyện khác",""),IF(OR(L200=phu!$I$101,L200=phu!$I$102),"Tỉnh khác",""))</f>
        <v/>
      </c>
      <c r="N200" s="835" t="str">
        <f t="shared" si="18"/>
        <v/>
      </c>
      <c r="O200" s="20"/>
      <c r="P200" s="20"/>
      <c r="Q200" s="20"/>
      <c r="R200" s="20"/>
      <c r="S200" s="20"/>
      <c r="T200" s="21"/>
      <c r="U200" s="21"/>
      <c r="V200" s="21"/>
      <c r="W200" s="7" t="str">
        <f t="shared" si="16"/>
        <v/>
      </c>
      <c r="X200" s="506" t="str">
        <f t="shared" si="17"/>
        <v/>
      </c>
    </row>
    <row r="201" spans="1:24" x14ac:dyDescent="0.25">
      <c r="A201" s="66" t="str">
        <f t="shared" si="19"/>
        <v/>
      </c>
      <c r="B201" s="23" t="str">
        <f t="shared" si="15"/>
        <v/>
      </c>
      <c r="C201" s="15"/>
      <c r="D201" s="16"/>
      <c r="E201" s="17"/>
      <c r="F201" s="18"/>
      <c r="G201" s="18"/>
      <c r="H201" s="19"/>
      <c r="I201" s="15"/>
      <c r="J201" s="20"/>
      <c r="K201" s="15"/>
      <c r="L201" s="15"/>
      <c r="M201" s="531" t="str">
        <f>CONCATENATE(IF(OR(L201=phu!$I$1,L201=phu!$I$2,L201=phu!$I$3),"Cam Thành Nam",""),IF(OR(L201=phu!$I$4,L201=phu!$I$5,L201=phu!$I$6,L201=phu!$I$7,L201=phu!$I$8,L201=phu!$I$9,L201=phu!$I$10,L201=phu!$I$11,L201=phu!$I$12,L201=phu!$I$13,L201=phu!$I$14),"Cam Nghĩa",""),IF(OR(L201=phu!$I$15,L201=phu!$I$16,L201=phu!$I$17,L201=phu!$I$18,L201=phu!$I$19,L201=phu!$I$20,L201=phu!$I$21),"Cam Phúc Bắc",""),IF(OR(L201=phu!$I$22,L201=phu!$I$23,L201=phu!$I$24,L201=phu!$I$25),"Cam Phúc Nam",""),IF(OR(L201=phu!$I$26,L201=phu!$I$27,L201=phu!$I$28,L201=phu!$I$29,L201=phu!$I$30,L201=phu!$I$31),"Cam Phú",""),IF(OR(L201=phu!$I$32,L201=phu!$I$33,L201=phu!$I$34,L201=phu!$I$35,L201=phu!$I$36,L201=phu!$I$37),"Cam Lộc",""),IF(OR(L201=phu!$I$38,L201=phu!$I$39,L201=phu!$I$40,L201=phu!$I$41,L201=phu!$I$42,L201=phu!$I$43,L201=phu!$I$44),"Cam Thuận",""),IF(OR(L201=phu!$I$45,L201=phu!$I$46,L201=phu!$I$47,L201=phu!$I$48,L201=phu!$I$49,L201=phu!$I$50,L201=phu!$I$51,L201=phu!$I$52,L201=phu!$I$53),"Cam Linh",""),IF(OR(L201=phu!$I$54,L201=phu!$I$55,L201=phu!$I$56,L201=phu!$I$57,L201=phu!$I$58,L201=phu!$I$59,L201=phu!$I$60,L201=phu!$I$61,L201=phu!$I$62),"Cam Lợi",""),IF(OR(L201=phu!$I$63,L201=phu!$I$64,L201=phu!$I$65,L201=phu!$I$66,L201=phu!$I$67,L201=phu!$I$68,L201=phu!$I$69,L201=phu!$I$70,L201=phu!$I$71),"Ba Ngòi",""),IF(OR(L201=phu!$I$72,L201=phu!$I$73,L201=phu!$I$74,L201=phu!$I$75,L201=phu!$I$76,L201=phu!$I$77,L201=phu!$I$78),"Cam Phước Đông",""),IF(OR(L201=phu!$I$79,L201=phu!$I$80,L201=phu!$I$81,L201=phu!$I$82,L201=phu!$I$83,L201=phu!$I$84),"Cam Thịnh Đông",""),IF(OR(L201=phu!$I$85,L201=phu!$I$86,L201=phu!$I$87,L201=phu!$I$88),"Cam Thịnh Tây",""),IF(OR(L201=phu!$I$89,L201=phu!$I$90),"Cam Lập",""),IF(OR(L201=phu!$I$91,L201=phu!$I$92,L201=phu!$I$93),"Cam Bình",""),IF(OR(L201=phu!$I$94,L201=phu!$I$95,L201=phu!$I$96,L201=phu!$I$97,L201=phu!$I$98,L201=phu!$I$99,L201=phu!$I$100),"Huyện khác",""),IF(OR(L201=phu!$I$101,L201=phu!$I$102),"Tỉnh khác",""))</f>
        <v/>
      </c>
      <c r="N201" s="835" t="str">
        <f t="shared" si="18"/>
        <v/>
      </c>
      <c r="O201" s="20"/>
      <c r="P201" s="20"/>
      <c r="Q201" s="20"/>
      <c r="R201" s="20"/>
      <c r="S201" s="20"/>
      <c r="T201" s="21"/>
      <c r="U201" s="21"/>
      <c r="V201" s="21"/>
      <c r="W201" s="7" t="str">
        <f t="shared" si="16"/>
        <v/>
      </c>
      <c r="X201" s="506" t="str">
        <f t="shared" si="17"/>
        <v/>
      </c>
    </row>
    <row r="202" spans="1:24" x14ac:dyDescent="0.25">
      <c r="A202" s="66" t="str">
        <f t="shared" si="19"/>
        <v/>
      </c>
      <c r="B202" s="23" t="str">
        <f t="shared" si="15"/>
        <v/>
      </c>
      <c r="C202" s="15"/>
      <c r="D202" s="16"/>
      <c r="E202" s="17"/>
      <c r="F202" s="18"/>
      <c r="G202" s="18"/>
      <c r="H202" s="19"/>
      <c r="I202" s="15"/>
      <c r="J202" s="20"/>
      <c r="K202" s="15"/>
      <c r="L202" s="15"/>
      <c r="M202" s="531" t="str">
        <f>CONCATENATE(IF(OR(L202=phu!$I$1,L202=phu!$I$2,L202=phu!$I$3),"Cam Thành Nam",""),IF(OR(L202=phu!$I$4,L202=phu!$I$5,L202=phu!$I$6,L202=phu!$I$7,L202=phu!$I$8,L202=phu!$I$9,L202=phu!$I$10,L202=phu!$I$11,L202=phu!$I$12,L202=phu!$I$13,L202=phu!$I$14),"Cam Nghĩa",""),IF(OR(L202=phu!$I$15,L202=phu!$I$16,L202=phu!$I$17,L202=phu!$I$18,L202=phu!$I$19,L202=phu!$I$20,L202=phu!$I$21),"Cam Phúc Bắc",""),IF(OR(L202=phu!$I$22,L202=phu!$I$23,L202=phu!$I$24,L202=phu!$I$25),"Cam Phúc Nam",""),IF(OR(L202=phu!$I$26,L202=phu!$I$27,L202=phu!$I$28,L202=phu!$I$29,L202=phu!$I$30,L202=phu!$I$31),"Cam Phú",""),IF(OR(L202=phu!$I$32,L202=phu!$I$33,L202=phu!$I$34,L202=phu!$I$35,L202=phu!$I$36,L202=phu!$I$37),"Cam Lộc",""),IF(OR(L202=phu!$I$38,L202=phu!$I$39,L202=phu!$I$40,L202=phu!$I$41,L202=phu!$I$42,L202=phu!$I$43,L202=phu!$I$44),"Cam Thuận",""),IF(OR(L202=phu!$I$45,L202=phu!$I$46,L202=phu!$I$47,L202=phu!$I$48,L202=phu!$I$49,L202=phu!$I$50,L202=phu!$I$51,L202=phu!$I$52,L202=phu!$I$53),"Cam Linh",""),IF(OR(L202=phu!$I$54,L202=phu!$I$55,L202=phu!$I$56,L202=phu!$I$57,L202=phu!$I$58,L202=phu!$I$59,L202=phu!$I$60,L202=phu!$I$61,L202=phu!$I$62),"Cam Lợi",""),IF(OR(L202=phu!$I$63,L202=phu!$I$64,L202=phu!$I$65,L202=phu!$I$66,L202=phu!$I$67,L202=phu!$I$68,L202=phu!$I$69,L202=phu!$I$70,L202=phu!$I$71),"Ba Ngòi",""),IF(OR(L202=phu!$I$72,L202=phu!$I$73,L202=phu!$I$74,L202=phu!$I$75,L202=phu!$I$76,L202=phu!$I$77,L202=phu!$I$78),"Cam Phước Đông",""),IF(OR(L202=phu!$I$79,L202=phu!$I$80,L202=phu!$I$81,L202=phu!$I$82,L202=phu!$I$83,L202=phu!$I$84),"Cam Thịnh Đông",""),IF(OR(L202=phu!$I$85,L202=phu!$I$86,L202=phu!$I$87,L202=phu!$I$88),"Cam Thịnh Tây",""),IF(OR(L202=phu!$I$89,L202=phu!$I$90),"Cam Lập",""),IF(OR(L202=phu!$I$91,L202=phu!$I$92,L202=phu!$I$93),"Cam Bình",""),IF(OR(L202=phu!$I$94,L202=phu!$I$95,L202=phu!$I$96,L202=phu!$I$97,L202=phu!$I$98,L202=phu!$I$99,L202=phu!$I$100),"Huyện khác",""),IF(OR(L202=phu!$I$101,L202=phu!$I$102),"Tỉnh khác",""))</f>
        <v/>
      </c>
      <c r="N202" s="835" t="str">
        <f t="shared" si="18"/>
        <v/>
      </c>
      <c r="O202" s="20"/>
      <c r="P202" s="20"/>
      <c r="Q202" s="20"/>
      <c r="R202" s="20"/>
      <c r="S202" s="20"/>
      <c r="T202" s="21"/>
      <c r="U202" s="21"/>
      <c r="V202" s="21"/>
      <c r="W202" s="7" t="str">
        <f t="shared" si="16"/>
        <v/>
      </c>
      <c r="X202" s="506" t="str">
        <f t="shared" si="17"/>
        <v/>
      </c>
    </row>
    <row r="203" spans="1:24" x14ac:dyDescent="0.25">
      <c r="A203" s="66" t="str">
        <f t="shared" si="19"/>
        <v/>
      </c>
      <c r="B203" s="23" t="str">
        <f t="shared" si="15"/>
        <v/>
      </c>
      <c r="C203" s="15"/>
      <c r="D203" s="16"/>
      <c r="E203" s="17"/>
      <c r="F203" s="18"/>
      <c r="G203" s="18"/>
      <c r="H203" s="19"/>
      <c r="I203" s="15"/>
      <c r="J203" s="20"/>
      <c r="K203" s="15"/>
      <c r="L203" s="15"/>
      <c r="M203" s="531" t="str">
        <f>CONCATENATE(IF(OR(L203=phu!$I$1,L203=phu!$I$2,L203=phu!$I$3),"Cam Thành Nam",""),IF(OR(L203=phu!$I$4,L203=phu!$I$5,L203=phu!$I$6,L203=phu!$I$7,L203=phu!$I$8,L203=phu!$I$9,L203=phu!$I$10,L203=phu!$I$11,L203=phu!$I$12,L203=phu!$I$13,L203=phu!$I$14),"Cam Nghĩa",""),IF(OR(L203=phu!$I$15,L203=phu!$I$16,L203=phu!$I$17,L203=phu!$I$18,L203=phu!$I$19,L203=phu!$I$20,L203=phu!$I$21),"Cam Phúc Bắc",""),IF(OR(L203=phu!$I$22,L203=phu!$I$23,L203=phu!$I$24,L203=phu!$I$25),"Cam Phúc Nam",""),IF(OR(L203=phu!$I$26,L203=phu!$I$27,L203=phu!$I$28,L203=phu!$I$29,L203=phu!$I$30,L203=phu!$I$31),"Cam Phú",""),IF(OR(L203=phu!$I$32,L203=phu!$I$33,L203=phu!$I$34,L203=phu!$I$35,L203=phu!$I$36,L203=phu!$I$37),"Cam Lộc",""),IF(OR(L203=phu!$I$38,L203=phu!$I$39,L203=phu!$I$40,L203=phu!$I$41,L203=phu!$I$42,L203=phu!$I$43,L203=phu!$I$44),"Cam Thuận",""),IF(OR(L203=phu!$I$45,L203=phu!$I$46,L203=phu!$I$47,L203=phu!$I$48,L203=phu!$I$49,L203=phu!$I$50,L203=phu!$I$51,L203=phu!$I$52,L203=phu!$I$53),"Cam Linh",""),IF(OR(L203=phu!$I$54,L203=phu!$I$55,L203=phu!$I$56,L203=phu!$I$57,L203=phu!$I$58,L203=phu!$I$59,L203=phu!$I$60,L203=phu!$I$61,L203=phu!$I$62),"Cam Lợi",""),IF(OR(L203=phu!$I$63,L203=phu!$I$64,L203=phu!$I$65,L203=phu!$I$66,L203=phu!$I$67,L203=phu!$I$68,L203=phu!$I$69,L203=phu!$I$70,L203=phu!$I$71),"Ba Ngòi",""),IF(OR(L203=phu!$I$72,L203=phu!$I$73,L203=phu!$I$74,L203=phu!$I$75,L203=phu!$I$76,L203=phu!$I$77,L203=phu!$I$78),"Cam Phước Đông",""),IF(OR(L203=phu!$I$79,L203=phu!$I$80,L203=phu!$I$81,L203=phu!$I$82,L203=phu!$I$83,L203=phu!$I$84),"Cam Thịnh Đông",""),IF(OR(L203=phu!$I$85,L203=phu!$I$86,L203=phu!$I$87,L203=phu!$I$88),"Cam Thịnh Tây",""),IF(OR(L203=phu!$I$89,L203=phu!$I$90),"Cam Lập",""),IF(OR(L203=phu!$I$91,L203=phu!$I$92,L203=phu!$I$93),"Cam Bình",""),IF(OR(L203=phu!$I$94,L203=phu!$I$95,L203=phu!$I$96,L203=phu!$I$97,L203=phu!$I$98,L203=phu!$I$99,L203=phu!$I$100),"Huyện khác",""),IF(OR(L203=phu!$I$101,L203=phu!$I$102),"Tỉnh khác",""))</f>
        <v/>
      </c>
      <c r="N203" s="835" t="str">
        <f t="shared" si="18"/>
        <v/>
      </c>
      <c r="O203" s="20"/>
      <c r="P203" s="20"/>
      <c r="Q203" s="20"/>
      <c r="R203" s="20"/>
      <c r="S203" s="20"/>
      <c r="T203" s="21"/>
      <c r="U203" s="21"/>
      <c r="V203" s="21"/>
      <c r="W203" s="7" t="str">
        <f t="shared" si="16"/>
        <v/>
      </c>
      <c r="X203" s="506" t="str">
        <f t="shared" si="17"/>
        <v/>
      </c>
    </row>
    <row r="204" spans="1:24" x14ac:dyDescent="0.25">
      <c r="A204" s="66" t="str">
        <f t="shared" si="19"/>
        <v/>
      </c>
      <c r="B204" s="23" t="str">
        <f t="shared" si="15"/>
        <v/>
      </c>
      <c r="C204" s="15"/>
      <c r="D204" s="16"/>
      <c r="E204" s="17"/>
      <c r="F204" s="18"/>
      <c r="G204" s="18"/>
      <c r="H204" s="19"/>
      <c r="I204" s="15"/>
      <c r="J204" s="20"/>
      <c r="K204" s="15"/>
      <c r="L204" s="15"/>
      <c r="M204" s="531" t="str">
        <f>CONCATENATE(IF(OR(L204=phu!$I$1,L204=phu!$I$2,L204=phu!$I$3),"Cam Thành Nam",""),IF(OR(L204=phu!$I$4,L204=phu!$I$5,L204=phu!$I$6,L204=phu!$I$7,L204=phu!$I$8,L204=phu!$I$9,L204=phu!$I$10,L204=phu!$I$11,L204=phu!$I$12,L204=phu!$I$13,L204=phu!$I$14),"Cam Nghĩa",""),IF(OR(L204=phu!$I$15,L204=phu!$I$16,L204=phu!$I$17,L204=phu!$I$18,L204=phu!$I$19,L204=phu!$I$20,L204=phu!$I$21),"Cam Phúc Bắc",""),IF(OR(L204=phu!$I$22,L204=phu!$I$23,L204=phu!$I$24,L204=phu!$I$25),"Cam Phúc Nam",""),IF(OR(L204=phu!$I$26,L204=phu!$I$27,L204=phu!$I$28,L204=phu!$I$29,L204=phu!$I$30,L204=phu!$I$31),"Cam Phú",""),IF(OR(L204=phu!$I$32,L204=phu!$I$33,L204=phu!$I$34,L204=phu!$I$35,L204=phu!$I$36,L204=phu!$I$37),"Cam Lộc",""),IF(OR(L204=phu!$I$38,L204=phu!$I$39,L204=phu!$I$40,L204=phu!$I$41,L204=phu!$I$42,L204=phu!$I$43,L204=phu!$I$44),"Cam Thuận",""),IF(OR(L204=phu!$I$45,L204=phu!$I$46,L204=phu!$I$47,L204=phu!$I$48,L204=phu!$I$49,L204=phu!$I$50,L204=phu!$I$51,L204=phu!$I$52,L204=phu!$I$53),"Cam Linh",""),IF(OR(L204=phu!$I$54,L204=phu!$I$55,L204=phu!$I$56,L204=phu!$I$57,L204=phu!$I$58,L204=phu!$I$59,L204=phu!$I$60,L204=phu!$I$61,L204=phu!$I$62),"Cam Lợi",""),IF(OR(L204=phu!$I$63,L204=phu!$I$64,L204=phu!$I$65,L204=phu!$I$66,L204=phu!$I$67,L204=phu!$I$68,L204=phu!$I$69,L204=phu!$I$70,L204=phu!$I$71),"Ba Ngòi",""),IF(OR(L204=phu!$I$72,L204=phu!$I$73,L204=phu!$I$74,L204=phu!$I$75,L204=phu!$I$76,L204=phu!$I$77,L204=phu!$I$78),"Cam Phước Đông",""),IF(OR(L204=phu!$I$79,L204=phu!$I$80,L204=phu!$I$81,L204=phu!$I$82,L204=phu!$I$83,L204=phu!$I$84),"Cam Thịnh Đông",""),IF(OR(L204=phu!$I$85,L204=phu!$I$86,L204=phu!$I$87,L204=phu!$I$88),"Cam Thịnh Tây",""),IF(OR(L204=phu!$I$89,L204=phu!$I$90),"Cam Lập",""),IF(OR(L204=phu!$I$91,L204=phu!$I$92,L204=phu!$I$93),"Cam Bình",""),IF(OR(L204=phu!$I$94,L204=phu!$I$95,L204=phu!$I$96,L204=phu!$I$97,L204=phu!$I$98,L204=phu!$I$99,L204=phu!$I$100),"Huyện khác",""),IF(OR(L204=phu!$I$101,L204=phu!$I$102),"Tỉnh khác",""))</f>
        <v/>
      </c>
      <c r="N204" s="835" t="str">
        <f t="shared" si="18"/>
        <v/>
      </c>
      <c r="O204" s="20"/>
      <c r="P204" s="20"/>
      <c r="Q204" s="20"/>
      <c r="R204" s="20"/>
      <c r="S204" s="20"/>
      <c r="T204" s="21"/>
      <c r="U204" s="21"/>
      <c r="V204" s="21"/>
      <c r="W204" s="7" t="str">
        <f t="shared" si="16"/>
        <v/>
      </c>
      <c r="X204" s="506" t="str">
        <f t="shared" si="17"/>
        <v/>
      </c>
    </row>
    <row r="205" spans="1:24" x14ac:dyDescent="0.25">
      <c r="A205" s="66" t="str">
        <f t="shared" si="19"/>
        <v/>
      </c>
      <c r="B205" s="23" t="str">
        <f t="shared" si="15"/>
        <v/>
      </c>
      <c r="C205" s="15"/>
      <c r="D205" s="16"/>
      <c r="E205" s="17"/>
      <c r="F205" s="18"/>
      <c r="G205" s="18"/>
      <c r="H205" s="19"/>
      <c r="I205" s="15"/>
      <c r="J205" s="20"/>
      <c r="K205" s="15"/>
      <c r="L205" s="15"/>
      <c r="M205" s="531" t="str">
        <f>CONCATENATE(IF(OR(L205=phu!$I$1,L205=phu!$I$2,L205=phu!$I$3),"Cam Thành Nam",""),IF(OR(L205=phu!$I$4,L205=phu!$I$5,L205=phu!$I$6,L205=phu!$I$7,L205=phu!$I$8,L205=phu!$I$9,L205=phu!$I$10,L205=phu!$I$11,L205=phu!$I$12,L205=phu!$I$13,L205=phu!$I$14),"Cam Nghĩa",""),IF(OR(L205=phu!$I$15,L205=phu!$I$16,L205=phu!$I$17,L205=phu!$I$18,L205=phu!$I$19,L205=phu!$I$20,L205=phu!$I$21),"Cam Phúc Bắc",""),IF(OR(L205=phu!$I$22,L205=phu!$I$23,L205=phu!$I$24,L205=phu!$I$25),"Cam Phúc Nam",""),IF(OR(L205=phu!$I$26,L205=phu!$I$27,L205=phu!$I$28,L205=phu!$I$29,L205=phu!$I$30,L205=phu!$I$31),"Cam Phú",""),IF(OR(L205=phu!$I$32,L205=phu!$I$33,L205=phu!$I$34,L205=phu!$I$35,L205=phu!$I$36,L205=phu!$I$37),"Cam Lộc",""),IF(OR(L205=phu!$I$38,L205=phu!$I$39,L205=phu!$I$40,L205=phu!$I$41,L205=phu!$I$42,L205=phu!$I$43,L205=phu!$I$44),"Cam Thuận",""),IF(OR(L205=phu!$I$45,L205=phu!$I$46,L205=phu!$I$47,L205=phu!$I$48,L205=phu!$I$49,L205=phu!$I$50,L205=phu!$I$51,L205=phu!$I$52,L205=phu!$I$53),"Cam Linh",""),IF(OR(L205=phu!$I$54,L205=phu!$I$55,L205=phu!$I$56,L205=phu!$I$57,L205=phu!$I$58,L205=phu!$I$59,L205=phu!$I$60,L205=phu!$I$61,L205=phu!$I$62),"Cam Lợi",""),IF(OR(L205=phu!$I$63,L205=phu!$I$64,L205=phu!$I$65,L205=phu!$I$66,L205=phu!$I$67,L205=phu!$I$68,L205=phu!$I$69,L205=phu!$I$70,L205=phu!$I$71),"Ba Ngòi",""),IF(OR(L205=phu!$I$72,L205=phu!$I$73,L205=phu!$I$74,L205=phu!$I$75,L205=phu!$I$76,L205=phu!$I$77,L205=phu!$I$78),"Cam Phước Đông",""),IF(OR(L205=phu!$I$79,L205=phu!$I$80,L205=phu!$I$81,L205=phu!$I$82,L205=phu!$I$83,L205=phu!$I$84),"Cam Thịnh Đông",""),IF(OR(L205=phu!$I$85,L205=phu!$I$86,L205=phu!$I$87,L205=phu!$I$88),"Cam Thịnh Tây",""),IF(OR(L205=phu!$I$89,L205=phu!$I$90),"Cam Lập",""),IF(OR(L205=phu!$I$91,L205=phu!$I$92,L205=phu!$I$93),"Cam Bình",""),IF(OR(L205=phu!$I$94,L205=phu!$I$95,L205=phu!$I$96,L205=phu!$I$97,L205=phu!$I$98,L205=phu!$I$99,L205=phu!$I$100),"Huyện khác",""),IF(OR(L205=phu!$I$101,L205=phu!$I$102),"Tỉnh khác",""))</f>
        <v/>
      </c>
      <c r="N205" s="835" t="str">
        <f t="shared" si="18"/>
        <v/>
      </c>
      <c r="O205" s="20"/>
      <c r="P205" s="20"/>
      <c r="Q205" s="20"/>
      <c r="R205" s="20"/>
      <c r="S205" s="20"/>
      <c r="T205" s="21"/>
      <c r="U205" s="21"/>
      <c r="V205" s="21"/>
      <c r="W205" s="7" t="str">
        <f t="shared" si="16"/>
        <v/>
      </c>
      <c r="X205" s="506" t="str">
        <f t="shared" si="17"/>
        <v/>
      </c>
    </row>
    <row r="206" spans="1:24" x14ac:dyDescent="0.25">
      <c r="A206" s="66" t="str">
        <f t="shared" si="19"/>
        <v/>
      </c>
      <c r="B206" s="23" t="str">
        <f t="shared" si="15"/>
        <v/>
      </c>
      <c r="C206" s="15"/>
      <c r="D206" s="16"/>
      <c r="E206" s="17"/>
      <c r="F206" s="18"/>
      <c r="G206" s="18"/>
      <c r="H206" s="19"/>
      <c r="I206" s="15"/>
      <c r="J206" s="20"/>
      <c r="K206" s="15"/>
      <c r="L206" s="15"/>
      <c r="M206" s="531" t="str">
        <f>CONCATENATE(IF(OR(L206=phu!$I$1,L206=phu!$I$2,L206=phu!$I$3),"Cam Thành Nam",""),IF(OR(L206=phu!$I$4,L206=phu!$I$5,L206=phu!$I$6,L206=phu!$I$7,L206=phu!$I$8,L206=phu!$I$9,L206=phu!$I$10,L206=phu!$I$11,L206=phu!$I$12,L206=phu!$I$13,L206=phu!$I$14),"Cam Nghĩa",""),IF(OR(L206=phu!$I$15,L206=phu!$I$16,L206=phu!$I$17,L206=phu!$I$18,L206=phu!$I$19,L206=phu!$I$20,L206=phu!$I$21),"Cam Phúc Bắc",""),IF(OR(L206=phu!$I$22,L206=phu!$I$23,L206=phu!$I$24,L206=phu!$I$25),"Cam Phúc Nam",""),IF(OR(L206=phu!$I$26,L206=phu!$I$27,L206=phu!$I$28,L206=phu!$I$29,L206=phu!$I$30,L206=phu!$I$31),"Cam Phú",""),IF(OR(L206=phu!$I$32,L206=phu!$I$33,L206=phu!$I$34,L206=phu!$I$35,L206=phu!$I$36,L206=phu!$I$37),"Cam Lộc",""),IF(OR(L206=phu!$I$38,L206=phu!$I$39,L206=phu!$I$40,L206=phu!$I$41,L206=phu!$I$42,L206=phu!$I$43,L206=phu!$I$44),"Cam Thuận",""),IF(OR(L206=phu!$I$45,L206=phu!$I$46,L206=phu!$I$47,L206=phu!$I$48,L206=phu!$I$49,L206=phu!$I$50,L206=phu!$I$51,L206=phu!$I$52,L206=phu!$I$53),"Cam Linh",""),IF(OR(L206=phu!$I$54,L206=phu!$I$55,L206=phu!$I$56,L206=phu!$I$57,L206=phu!$I$58,L206=phu!$I$59,L206=phu!$I$60,L206=phu!$I$61,L206=phu!$I$62),"Cam Lợi",""),IF(OR(L206=phu!$I$63,L206=phu!$I$64,L206=phu!$I$65,L206=phu!$I$66,L206=phu!$I$67,L206=phu!$I$68,L206=phu!$I$69,L206=phu!$I$70,L206=phu!$I$71),"Ba Ngòi",""),IF(OR(L206=phu!$I$72,L206=phu!$I$73,L206=phu!$I$74,L206=phu!$I$75,L206=phu!$I$76,L206=phu!$I$77,L206=phu!$I$78),"Cam Phước Đông",""),IF(OR(L206=phu!$I$79,L206=phu!$I$80,L206=phu!$I$81,L206=phu!$I$82,L206=phu!$I$83,L206=phu!$I$84),"Cam Thịnh Đông",""),IF(OR(L206=phu!$I$85,L206=phu!$I$86,L206=phu!$I$87,L206=phu!$I$88),"Cam Thịnh Tây",""),IF(OR(L206=phu!$I$89,L206=phu!$I$90),"Cam Lập",""),IF(OR(L206=phu!$I$91,L206=phu!$I$92,L206=phu!$I$93),"Cam Bình",""),IF(OR(L206=phu!$I$94,L206=phu!$I$95,L206=phu!$I$96,L206=phu!$I$97,L206=phu!$I$98,L206=phu!$I$99,L206=phu!$I$100),"Huyện khác",""),IF(OR(L206=phu!$I$101,L206=phu!$I$102),"Tỉnh khác",""))</f>
        <v/>
      </c>
      <c r="N206" s="835" t="str">
        <f t="shared" si="18"/>
        <v/>
      </c>
      <c r="O206" s="20"/>
      <c r="P206" s="20"/>
      <c r="Q206" s="20"/>
      <c r="R206" s="20"/>
      <c r="S206" s="20"/>
      <c r="T206" s="21"/>
      <c r="U206" s="21"/>
      <c r="V206" s="21"/>
      <c r="W206" s="7" t="str">
        <f t="shared" si="16"/>
        <v/>
      </c>
      <c r="X206" s="506" t="str">
        <f t="shared" si="17"/>
        <v/>
      </c>
    </row>
    <row r="207" spans="1:24" x14ac:dyDescent="0.25">
      <c r="A207" s="66" t="str">
        <f t="shared" si="19"/>
        <v/>
      </c>
      <c r="B207" s="23" t="str">
        <f t="shared" si="15"/>
        <v/>
      </c>
      <c r="C207" s="15"/>
      <c r="D207" s="16"/>
      <c r="E207" s="17"/>
      <c r="F207" s="18"/>
      <c r="G207" s="18"/>
      <c r="H207" s="19"/>
      <c r="I207" s="15"/>
      <c r="J207" s="20"/>
      <c r="K207" s="15"/>
      <c r="L207" s="15"/>
      <c r="M207" s="531" t="str">
        <f>CONCATENATE(IF(OR(L207=phu!$I$1,L207=phu!$I$2,L207=phu!$I$3),"Cam Thành Nam",""),IF(OR(L207=phu!$I$4,L207=phu!$I$5,L207=phu!$I$6,L207=phu!$I$7,L207=phu!$I$8,L207=phu!$I$9,L207=phu!$I$10,L207=phu!$I$11,L207=phu!$I$12,L207=phu!$I$13,L207=phu!$I$14),"Cam Nghĩa",""),IF(OR(L207=phu!$I$15,L207=phu!$I$16,L207=phu!$I$17,L207=phu!$I$18,L207=phu!$I$19,L207=phu!$I$20,L207=phu!$I$21),"Cam Phúc Bắc",""),IF(OR(L207=phu!$I$22,L207=phu!$I$23,L207=phu!$I$24,L207=phu!$I$25),"Cam Phúc Nam",""),IF(OR(L207=phu!$I$26,L207=phu!$I$27,L207=phu!$I$28,L207=phu!$I$29,L207=phu!$I$30,L207=phu!$I$31),"Cam Phú",""),IF(OR(L207=phu!$I$32,L207=phu!$I$33,L207=phu!$I$34,L207=phu!$I$35,L207=phu!$I$36,L207=phu!$I$37),"Cam Lộc",""),IF(OR(L207=phu!$I$38,L207=phu!$I$39,L207=phu!$I$40,L207=phu!$I$41,L207=phu!$I$42,L207=phu!$I$43,L207=phu!$I$44),"Cam Thuận",""),IF(OR(L207=phu!$I$45,L207=phu!$I$46,L207=phu!$I$47,L207=phu!$I$48,L207=phu!$I$49,L207=phu!$I$50,L207=phu!$I$51,L207=phu!$I$52,L207=phu!$I$53),"Cam Linh",""),IF(OR(L207=phu!$I$54,L207=phu!$I$55,L207=phu!$I$56,L207=phu!$I$57,L207=phu!$I$58,L207=phu!$I$59,L207=phu!$I$60,L207=phu!$I$61,L207=phu!$I$62),"Cam Lợi",""),IF(OR(L207=phu!$I$63,L207=phu!$I$64,L207=phu!$I$65,L207=phu!$I$66,L207=phu!$I$67,L207=phu!$I$68,L207=phu!$I$69,L207=phu!$I$70,L207=phu!$I$71),"Ba Ngòi",""),IF(OR(L207=phu!$I$72,L207=phu!$I$73,L207=phu!$I$74,L207=phu!$I$75,L207=phu!$I$76,L207=phu!$I$77,L207=phu!$I$78),"Cam Phước Đông",""),IF(OR(L207=phu!$I$79,L207=phu!$I$80,L207=phu!$I$81,L207=phu!$I$82,L207=phu!$I$83,L207=phu!$I$84),"Cam Thịnh Đông",""),IF(OR(L207=phu!$I$85,L207=phu!$I$86,L207=phu!$I$87,L207=phu!$I$88),"Cam Thịnh Tây",""),IF(OR(L207=phu!$I$89,L207=phu!$I$90),"Cam Lập",""),IF(OR(L207=phu!$I$91,L207=phu!$I$92,L207=phu!$I$93),"Cam Bình",""),IF(OR(L207=phu!$I$94,L207=phu!$I$95,L207=phu!$I$96,L207=phu!$I$97,L207=phu!$I$98,L207=phu!$I$99,L207=phu!$I$100),"Huyện khác",""),IF(OR(L207=phu!$I$101,L207=phu!$I$102),"Tỉnh khác",""))</f>
        <v/>
      </c>
      <c r="N207" s="835" t="str">
        <f t="shared" si="18"/>
        <v/>
      </c>
      <c r="O207" s="20"/>
      <c r="P207" s="20"/>
      <c r="Q207" s="20"/>
      <c r="R207" s="20"/>
      <c r="S207" s="20"/>
      <c r="T207" s="21"/>
      <c r="U207" s="21"/>
      <c r="V207" s="21"/>
      <c r="W207" s="7" t="str">
        <f t="shared" si="16"/>
        <v/>
      </c>
      <c r="X207" s="506" t="str">
        <f t="shared" si="17"/>
        <v/>
      </c>
    </row>
    <row r="208" spans="1:24" x14ac:dyDescent="0.25">
      <c r="A208" s="66" t="str">
        <f t="shared" si="19"/>
        <v/>
      </c>
      <c r="B208" s="23" t="str">
        <f t="shared" si="15"/>
        <v/>
      </c>
      <c r="C208" s="15"/>
      <c r="D208" s="16"/>
      <c r="E208" s="17"/>
      <c r="F208" s="18"/>
      <c r="G208" s="18"/>
      <c r="H208" s="19"/>
      <c r="I208" s="15"/>
      <c r="J208" s="20"/>
      <c r="K208" s="15"/>
      <c r="L208" s="15"/>
      <c r="M208" s="531" t="str">
        <f>CONCATENATE(IF(OR(L208=phu!$I$1,L208=phu!$I$2,L208=phu!$I$3),"Cam Thành Nam",""),IF(OR(L208=phu!$I$4,L208=phu!$I$5,L208=phu!$I$6,L208=phu!$I$7,L208=phu!$I$8,L208=phu!$I$9,L208=phu!$I$10,L208=phu!$I$11,L208=phu!$I$12,L208=phu!$I$13,L208=phu!$I$14),"Cam Nghĩa",""),IF(OR(L208=phu!$I$15,L208=phu!$I$16,L208=phu!$I$17,L208=phu!$I$18,L208=phu!$I$19,L208=phu!$I$20,L208=phu!$I$21),"Cam Phúc Bắc",""),IF(OR(L208=phu!$I$22,L208=phu!$I$23,L208=phu!$I$24,L208=phu!$I$25),"Cam Phúc Nam",""),IF(OR(L208=phu!$I$26,L208=phu!$I$27,L208=phu!$I$28,L208=phu!$I$29,L208=phu!$I$30,L208=phu!$I$31),"Cam Phú",""),IF(OR(L208=phu!$I$32,L208=phu!$I$33,L208=phu!$I$34,L208=phu!$I$35,L208=phu!$I$36,L208=phu!$I$37),"Cam Lộc",""),IF(OR(L208=phu!$I$38,L208=phu!$I$39,L208=phu!$I$40,L208=phu!$I$41,L208=phu!$I$42,L208=phu!$I$43,L208=phu!$I$44),"Cam Thuận",""),IF(OR(L208=phu!$I$45,L208=phu!$I$46,L208=phu!$I$47,L208=phu!$I$48,L208=phu!$I$49,L208=phu!$I$50,L208=phu!$I$51,L208=phu!$I$52,L208=phu!$I$53),"Cam Linh",""),IF(OR(L208=phu!$I$54,L208=phu!$I$55,L208=phu!$I$56,L208=phu!$I$57,L208=phu!$I$58,L208=phu!$I$59,L208=phu!$I$60,L208=phu!$I$61,L208=phu!$I$62),"Cam Lợi",""),IF(OR(L208=phu!$I$63,L208=phu!$I$64,L208=phu!$I$65,L208=phu!$I$66,L208=phu!$I$67,L208=phu!$I$68,L208=phu!$I$69,L208=phu!$I$70,L208=phu!$I$71),"Ba Ngòi",""),IF(OR(L208=phu!$I$72,L208=phu!$I$73,L208=phu!$I$74,L208=phu!$I$75,L208=phu!$I$76,L208=phu!$I$77,L208=phu!$I$78),"Cam Phước Đông",""),IF(OR(L208=phu!$I$79,L208=phu!$I$80,L208=phu!$I$81,L208=phu!$I$82,L208=phu!$I$83,L208=phu!$I$84),"Cam Thịnh Đông",""),IF(OR(L208=phu!$I$85,L208=phu!$I$86,L208=phu!$I$87,L208=phu!$I$88),"Cam Thịnh Tây",""),IF(OR(L208=phu!$I$89,L208=phu!$I$90),"Cam Lập",""),IF(OR(L208=phu!$I$91,L208=phu!$I$92,L208=phu!$I$93),"Cam Bình",""),IF(OR(L208=phu!$I$94,L208=phu!$I$95,L208=phu!$I$96,L208=phu!$I$97,L208=phu!$I$98,L208=phu!$I$99,L208=phu!$I$100),"Huyện khác",""),IF(OR(L208=phu!$I$101,L208=phu!$I$102),"Tỉnh khác",""))</f>
        <v/>
      </c>
      <c r="N208" s="835" t="str">
        <f t="shared" si="18"/>
        <v/>
      </c>
      <c r="O208" s="20"/>
      <c r="P208" s="20"/>
      <c r="Q208" s="20"/>
      <c r="R208" s="20"/>
      <c r="S208" s="20"/>
      <c r="T208" s="21"/>
      <c r="U208" s="21"/>
      <c r="V208" s="21"/>
      <c r="W208" s="7" t="str">
        <f t="shared" si="16"/>
        <v/>
      </c>
      <c r="X208" s="506" t="str">
        <f t="shared" si="17"/>
        <v/>
      </c>
    </row>
    <row r="209" spans="1:24" x14ac:dyDescent="0.25">
      <c r="A209" s="66" t="str">
        <f t="shared" si="19"/>
        <v/>
      </c>
      <c r="B209" s="23" t="str">
        <f t="shared" si="15"/>
        <v/>
      </c>
      <c r="C209" s="15"/>
      <c r="D209" s="16"/>
      <c r="E209" s="17"/>
      <c r="F209" s="18"/>
      <c r="G209" s="18"/>
      <c r="H209" s="19"/>
      <c r="I209" s="15"/>
      <c r="J209" s="20"/>
      <c r="K209" s="15"/>
      <c r="L209" s="15"/>
      <c r="M209" s="531" t="str">
        <f>CONCATENATE(IF(OR(L209=phu!$I$1,L209=phu!$I$2,L209=phu!$I$3),"Cam Thành Nam",""),IF(OR(L209=phu!$I$4,L209=phu!$I$5,L209=phu!$I$6,L209=phu!$I$7,L209=phu!$I$8,L209=phu!$I$9,L209=phu!$I$10,L209=phu!$I$11,L209=phu!$I$12,L209=phu!$I$13,L209=phu!$I$14),"Cam Nghĩa",""),IF(OR(L209=phu!$I$15,L209=phu!$I$16,L209=phu!$I$17,L209=phu!$I$18,L209=phu!$I$19,L209=phu!$I$20,L209=phu!$I$21),"Cam Phúc Bắc",""),IF(OR(L209=phu!$I$22,L209=phu!$I$23,L209=phu!$I$24,L209=phu!$I$25),"Cam Phúc Nam",""),IF(OR(L209=phu!$I$26,L209=phu!$I$27,L209=phu!$I$28,L209=phu!$I$29,L209=phu!$I$30,L209=phu!$I$31),"Cam Phú",""),IF(OR(L209=phu!$I$32,L209=phu!$I$33,L209=phu!$I$34,L209=phu!$I$35,L209=phu!$I$36,L209=phu!$I$37),"Cam Lộc",""),IF(OR(L209=phu!$I$38,L209=phu!$I$39,L209=phu!$I$40,L209=phu!$I$41,L209=phu!$I$42,L209=phu!$I$43,L209=phu!$I$44),"Cam Thuận",""),IF(OR(L209=phu!$I$45,L209=phu!$I$46,L209=phu!$I$47,L209=phu!$I$48,L209=phu!$I$49,L209=phu!$I$50,L209=phu!$I$51,L209=phu!$I$52,L209=phu!$I$53),"Cam Linh",""),IF(OR(L209=phu!$I$54,L209=phu!$I$55,L209=phu!$I$56,L209=phu!$I$57,L209=phu!$I$58,L209=phu!$I$59,L209=phu!$I$60,L209=phu!$I$61,L209=phu!$I$62),"Cam Lợi",""),IF(OR(L209=phu!$I$63,L209=phu!$I$64,L209=phu!$I$65,L209=phu!$I$66,L209=phu!$I$67,L209=phu!$I$68,L209=phu!$I$69,L209=phu!$I$70,L209=phu!$I$71),"Ba Ngòi",""),IF(OR(L209=phu!$I$72,L209=phu!$I$73,L209=phu!$I$74,L209=phu!$I$75,L209=phu!$I$76,L209=phu!$I$77,L209=phu!$I$78),"Cam Phước Đông",""),IF(OR(L209=phu!$I$79,L209=phu!$I$80,L209=phu!$I$81,L209=phu!$I$82,L209=phu!$I$83,L209=phu!$I$84),"Cam Thịnh Đông",""),IF(OR(L209=phu!$I$85,L209=phu!$I$86,L209=phu!$I$87,L209=phu!$I$88),"Cam Thịnh Tây",""),IF(OR(L209=phu!$I$89,L209=phu!$I$90),"Cam Lập",""),IF(OR(L209=phu!$I$91,L209=phu!$I$92,L209=phu!$I$93),"Cam Bình",""),IF(OR(L209=phu!$I$94,L209=phu!$I$95,L209=phu!$I$96,L209=phu!$I$97,L209=phu!$I$98,L209=phu!$I$99,L209=phu!$I$100),"Huyện khác",""),IF(OR(L209=phu!$I$101,L209=phu!$I$102),"Tỉnh khác",""))</f>
        <v/>
      </c>
      <c r="N209" s="835" t="str">
        <f t="shared" si="18"/>
        <v/>
      </c>
      <c r="O209" s="20"/>
      <c r="P209" s="20"/>
      <c r="Q209" s="20"/>
      <c r="R209" s="20"/>
      <c r="S209" s="20"/>
      <c r="T209" s="21"/>
      <c r="U209" s="21"/>
      <c r="V209" s="21"/>
      <c r="W209" s="7" t="str">
        <f t="shared" si="16"/>
        <v/>
      </c>
      <c r="X209" s="506" t="str">
        <f t="shared" si="17"/>
        <v/>
      </c>
    </row>
    <row r="210" spans="1:24" x14ac:dyDescent="0.25">
      <c r="A210" s="66" t="str">
        <f t="shared" si="19"/>
        <v/>
      </c>
      <c r="B210" s="23" t="str">
        <f t="shared" si="15"/>
        <v/>
      </c>
      <c r="C210" s="15"/>
      <c r="D210" s="16"/>
      <c r="E210" s="17"/>
      <c r="F210" s="18"/>
      <c r="G210" s="18"/>
      <c r="H210" s="19"/>
      <c r="I210" s="15"/>
      <c r="J210" s="20"/>
      <c r="K210" s="15"/>
      <c r="L210" s="15"/>
      <c r="M210" s="531" t="str">
        <f>CONCATENATE(IF(OR(L210=phu!$I$1,L210=phu!$I$2,L210=phu!$I$3),"Cam Thành Nam",""),IF(OR(L210=phu!$I$4,L210=phu!$I$5,L210=phu!$I$6,L210=phu!$I$7,L210=phu!$I$8,L210=phu!$I$9,L210=phu!$I$10,L210=phu!$I$11,L210=phu!$I$12,L210=phu!$I$13,L210=phu!$I$14),"Cam Nghĩa",""),IF(OR(L210=phu!$I$15,L210=phu!$I$16,L210=phu!$I$17,L210=phu!$I$18,L210=phu!$I$19,L210=phu!$I$20,L210=phu!$I$21),"Cam Phúc Bắc",""),IF(OR(L210=phu!$I$22,L210=phu!$I$23,L210=phu!$I$24,L210=phu!$I$25),"Cam Phúc Nam",""),IF(OR(L210=phu!$I$26,L210=phu!$I$27,L210=phu!$I$28,L210=phu!$I$29,L210=phu!$I$30,L210=phu!$I$31),"Cam Phú",""),IF(OR(L210=phu!$I$32,L210=phu!$I$33,L210=phu!$I$34,L210=phu!$I$35,L210=phu!$I$36,L210=phu!$I$37),"Cam Lộc",""),IF(OR(L210=phu!$I$38,L210=phu!$I$39,L210=phu!$I$40,L210=phu!$I$41,L210=phu!$I$42,L210=phu!$I$43,L210=phu!$I$44),"Cam Thuận",""),IF(OR(L210=phu!$I$45,L210=phu!$I$46,L210=phu!$I$47,L210=phu!$I$48,L210=phu!$I$49,L210=phu!$I$50,L210=phu!$I$51,L210=phu!$I$52,L210=phu!$I$53),"Cam Linh",""),IF(OR(L210=phu!$I$54,L210=phu!$I$55,L210=phu!$I$56,L210=phu!$I$57,L210=phu!$I$58,L210=phu!$I$59,L210=phu!$I$60,L210=phu!$I$61,L210=phu!$I$62),"Cam Lợi",""),IF(OR(L210=phu!$I$63,L210=phu!$I$64,L210=phu!$I$65,L210=phu!$I$66,L210=phu!$I$67,L210=phu!$I$68,L210=phu!$I$69,L210=phu!$I$70,L210=phu!$I$71),"Ba Ngòi",""),IF(OR(L210=phu!$I$72,L210=phu!$I$73,L210=phu!$I$74,L210=phu!$I$75,L210=phu!$I$76,L210=phu!$I$77,L210=phu!$I$78),"Cam Phước Đông",""),IF(OR(L210=phu!$I$79,L210=phu!$I$80,L210=phu!$I$81,L210=phu!$I$82,L210=phu!$I$83,L210=phu!$I$84),"Cam Thịnh Đông",""),IF(OR(L210=phu!$I$85,L210=phu!$I$86,L210=phu!$I$87,L210=phu!$I$88),"Cam Thịnh Tây",""),IF(OR(L210=phu!$I$89,L210=phu!$I$90),"Cam Lập",""),IF(OR(L210=phu!$I$91,L210=phu!$I$92,L210=phu!$I$93),"Cam Bình",""),IF(OR(L210=phu!$I$94,L210=phu!$I$95,L210=phu!$I$96,L210=phu!$I$97,L210=phu!$I$98,L210=phu!$I$99,L210=phu!$I$100),"Huyện khác",""),IF(OR(L210=phu!$I$101,L210=phu!$I$102),"Tỉnh khác",""))</f>
        <v/>
      </c>
      <c r="N210" s="835" t="str">
        <f t="shared" si="18"/>
        <v/>
      </c>
      <c r="O210" s="20"/>
      <c r="P210" s="20"/>
      <c r="Q210" s="20"/>
      <c r="R210" s="20"/>
      <c r="S210" s="20"/>
      <c r="T210" s="21"/>
      <c r="U210" s="21"/>
      <c r="V210" s="21"/>
      <c r="W210" s="7" t="str">
        <f t="shared" si="16"/>
        <v/>
      </c>
      <c r="X210" s="506" t="str">
        <f t="shared" si="17"/>
        <v/>
      </c>
    </row>
    <row r="211" spans="1:24" x14ac:dyDescent="0.25">
      <c r="A211" s="66" t="str">
        <f t="shared" si="19"/>
        <v/>
      </c>
      <c r="B211" s="23" t="str">
        <f t="shared" si="15"/>
        <v/>
      </c>
      <c r="C211" s="15"/>
      <c r="D211" s="16"/>
      <c r="E211" s="17"/>
      <c r="F211" s="18"/>
      <c r="G211" s="18"/>
      <c r="H211" s="19"/>
      <c r="I211" s="15"/>
      <c r="J211" s="20"/>
      <c r="K211" s="15"/>
      <c r="L211" s="15"/>
      <c r="M211" s="531" t="str">
        <f>CONCATENATE(IF(OR(L211=phu!$I$1,L211=phu!$I$2,L211=phu!$I$3),"Cam Thành Nam",""),IF(OR(L211=phu!$I$4,L211=phu!$I$5,L211=phu!$I$6,L211=phu!$I$7,L211=phu!$I$8,L211=phu!$I$9,L211=phu!$I$10,L211=phu!$I$11,L211=phu!$I$12,L211=phu!$I$13,L211=phu!$I$14),"Cam Nghĩa",""),IF(OR(L211=phu!$I$15,L211=phu!$I$16,L211=phu!$I$17,L211=phu!$I$18,L211=phu!$I$19,L211=phu!$I$20,L211=phu!$I$21),"Cam Phúc Bắc",""),IF(OR(L211=phu!$I$22,L211=phu!$I$23,L211=phu!$I$24,L211=phu!$I$25),"Cam Phúc Nam",""),IF(OR(L211=phu!$I$26,L211=phu!$I$27,L211=phu!$I$28,L211=phu!$I$29,L211=phu!$I$30,L211=phu!$I$31),"Cam Phú",""),IF(OR(L211=phu!$I$32,L211=phu!$I$33,L211=phu!$I$34,L211=phu!$I$35,L211=phu!$I$36,L211=phu!$I$37),"Cam Lộc",""),IF(OR(L211=phu!$I$38,L211=phu!$I$39,L211=phu!$I$40,L211=phu!$I$41,L211=phu!$I$42,L211=phu!$I$43,L211=phu!$I$44),"Cam Thuận",""),IF(OR(L211=phu!$I$45,L211=phu!$I$46,L211=phu!$I$47,L211=phu!$I$48,L211=phu!$I$49,L211=phu!$I$50,L211=phu!$I$51,L211=phu!$I$52,L211=phu!$I$53),"Cam Linh",""),IF(OR(L211=phu!$I$54,L211=phu!$I$55,L211=phu!$I$56,L211=phu!$I$57,L211=phu!$I$58,L211=phu!$I$59,L211=phu!$I$60,L211=phu!$I$61,L211=phu!$I$62),"Cam Lợi",""),IF(OR(L211=phu!$I$63,L211=phu!$I$64,L211=phu!$I$65,L211=phu!$I$66,L211=phu!$I$67,L211=phu!$I$68,L211=phu!$I$69,L211=phu!$I$70,L211=phu!$I$71),"Ba Ngòi",""),IF(OR(L211=phu!$I$72,L211=phu!$I$73,L211=phu!$I$74,L211=phu!$I$75,L211=phu!$I$76,L211=phu!$I$77,L211=phu!$I$78),"Cam Phước Đông",""),IF(OR(L211=phu!$I$79,L211=phu!$I$80,L211=phu!$I$81,L211=phu!$I$82,L211=phu!$I$83,L211=phu!$I$84),"Cam Thịnh Đông",""),IF(OR(L211=phu!$I$85,L211=phu!$I$86,L211=phu!$I$87,L211=phu!$I$88),"Cam Thịnh Tây",""),IF(OR(L211=phu!$I$89,L211=phu!$I$90),"Cam Lập",""),IF(OR(L211=phu!$I$91,L211=phu!$I$92,L211=phu!$I$93),"Cam Bình",""),IF(OR(L211=phu!$I$94,L211=phu!$I$95,L211=phu!$I$96,L211=phu!$I$97,L211=phu!$I$98,L211=phu!$I$99,L211=phu!$I$100),"Huyện khác",""),IF(OR(L211=phu!$I$101,L211=phu!$I$102),"Tỉnh khác",""))</f>
        <v/>
      </c>
      <c r="N211" s="835" t="str">
        <f t="shared" si="18"/>
        <v/>
      </c>
      <c r="O211" s="20"/>
      <c r="P211" s="20"/>
      <c r="Q211" s="20"/>
      <c r="R211" s="20"/>
      <c r="S211" s="20"/>
      <c r="T211" s="21"/>
      <c r="U211" s="21"/>
      <c r="V211" s="21"/>
      <c r="W211" s="7" t="str">
        <f t="shared" si="16"/>
        <v/>
      </c>
      <c r="X211" s="506" t="str">
        <f t="shared" si="17"/>
        <v/>
      </c>
    </row>
    <row r="212" spans="1:24" x14ac:dyDescent="0.25">
      <c r="A212" s="66" t="str">
        <f t="shared" si="19"/>
        <v/>
      </c>
      <c r="B212" s="23" t="str">
        <f t="shared" si="15"/>
        <v/>
      </c>
      <c r="C212" s="15"/>
      <c r="D212" s="16"/>
      <c r="E212" s="17"/>
      <c r="F212" s="18"/>
      <c r="G212" s="18"/>
      <c r="H212" s="19"/>
      <c r="I212" s="15"/>
      <c r="J212" s="20"/>
      <c r="K212" s="15"/>
      <c r="L212" s="15"/>
      <c r="M212" s="531" t="str">
        <f>CONCATENATE(IF(OR(L212=phu!$I$1,L212=phu!$I$2,L212=phu!$I$3),"Cam Thành Nam",""),IF(OR(L212=phu!$I$4,L212=phu!$I$5,L212=phu!$I$6,L212=phu!$I$7,L212=phu!$I$8,L212=phu!$I$9,L212=phu!$I$10,L212=phu!$I$11,L212=phu!$I$12,L212=phu!$I$13,L212=phu!$I$14),"Cam Nghĩa",""),IF(OR(L212=phu!$I$15,L212=phu!$I$16,L212=phu!$I$17,L212=phu!$I$18,L212=phu!$I$19,L212=phu!$I$20,L212=phu!$I$21),"Cam Phúc Bắc",""),IF(OR(L212=phu!$I$22,L212=phu!$I$23,L212=phu!$I$24,L212=phu!$I$25),"Cam Phúc Nam",""),IF(OR(L212=phu!$I$26,L212=phu!$I$27,L212=phu!$I$28,L212=phu!$I$29,L212=phu!$I$30,L212=phu!$I$31),"Cam Phú",""),IF(OR(L212=phu!$I$32,L212=phu!$I$33,L212=phu!$I$34,L212=phu!$I$35,L212=phu!$I$36,L212=phu!$I$37),"Cam Lộc",""),IF(OR(L212=phu!$I$38,L212=phu!$I$39,L212=phu!$I$40,L212=phu!$I$41,L212=phu!$I$42,L212=phu!$I$43,L212=phu!$I$44),"Cam Thuận",""),IF(OR(L212=phu!$I$45,L212=phu!$I$46,L212=phu!$I$47,L212=phu!$I$48,L212=phu!$I$49,L212=phu!$I$50,L212=phu!$I$51,L212=phu!$I$52,L212=phu!$I$53),"Cam Linh",""),IF(OR(L212=phu!$I$54,L212=phu!$I$55,L212=phu!$I$56,L212=phu!$I$57,L212=phu!$I$58,L212=phu!$I$59,L212=phu!$I$60,L212=phu!$I$61,L212=phu!$I$62),"Cam Lợi",""),IF(OR(L212=phu!$I$63,L212=phu!$I$64,L212=phu!$I$65,L212=phu!$I$66,L212=phu!$I$67,L212=phu!$I$68,L212=phu!$I$69,L212=phu!$I$70,L212=phu!$I$71),"Ba Ngòi",""),IF(OR(L212=phu!$I$72,L212=phu!$I$73,L212=phu!$I$74,L212=phu!$I$75,L212=phu!$I$76,L212=phu!$I$77,L212=phu!$I$78),"Cam Phước Đông",""),IF(OR(L212=phu!$I$79,L212=phu!$I$80,L212=phu!$I$81,L212=phu!$I$82,L212=phu!$I$83,L212=phu!$I$84),"Cam Thịnh Đông",""),IF(OR(L212=phu!$I$85,L212=phu!$I$86,L212=phu!$I$87,L212=phu!$I$88),"Cam Thịnh Tây",""),IF(OR(L212=phu!$I$89,L212=phu!$I$90),"Cam Lập",""),IF(OR(L212=phu!$I$91,L212=phu!$I$92,L212=phu!$I$93),"Cam Bình",""),IF(OR(L212=phu!$I$94,L212=phu!$I$95,L212=phu!$I$96,L212=phu!$I$97,L212=phu!$I$98,L212=phu!$I$99,L212=phu!$I$100),"Huyện khác",""),IF(OR(L212=phu!$I$101,L212=phu!$I$102),"Tỉnh khác",""))</f>
        <v/>
      </c>
      <c r="N212" s="835" t="str">
        <f t="shared" si="18"/>
        <v/>
      </c>
      <c r="O212" s="20"/>
      <c r="P212" s="20"/>
      <c r="Q212" s="20"/>
      <c r="R212" s="20"/>
      <c r="S212" s="20"/>
      <c r="T212" s="21"/>
      <c r="U212" s="21"/>
      <c r="V212" s="21"/>
      <c r="W212" s="7" t="str">
        <f t="shared" si="16"/>
        <v/>
      </c>
      <c r="X212" s="506" t="str">
        <f t="shared" si="17"/>
        <v/>
      </c>
    </row>
    <row r="213" spans="1:24" x14ac:dyDescent="0.25">
      <c r="A213" s="66" t="str">
        <f t="shared" si="19"/>
        <v/>
      </c>
      <c r="B213" s="23" t="str">
        <f t="shared" si="15"/>
        <v/>
      </c>
      <c r="C213" s="15"/>
      <c r="D213" s="16"/>
      <c r="E213" s="17"/>
      <c r="F213" s="18"/>
      <c r="G213" s="18"/>
      <c r="H213" s="19"/>
      <c r="I213" s="15"/>
      <c r="J213" s="20"/>
      <c r="K213" s="15"/>
      <c r="L213" s="15"/>
      <c r="M213" s="531" t="str">
        <f>CONCATENATE(IF(OR(L213=phu!$I$1,L213=phu!$I$2,L213=phu!$I$3),"Cam Thành Nam",""),IF(OR(L213=phu!$I$4,L213=phu!$I$5,L213=phu!$I$6,L213=phu!$I$7,L213=phu!$I$8,L213=phu!$I$9,L213=phu!$I$10,L213=phu!$I$11,L213=phu!$I$12,L213=phu!$I$13,L213=phu!$I$14),"Cam Nghĩa",""),IF(OR(L213=phu!$I$15,L213=phu!$I$16,L213=phu!$I$17,L213=phu!$I$18,L213=phu!$I$19,L213=phu!$I$20,L213=phu!$I$21),"Cam Phúc Bắc",""),IF(OR(L213=phu!$I$22,L213=phu!$I$23,L213=phu!$I$24,L213=phu!$I$25),"Cam Phúc Nam",""),IF(OR(L213=phu!$I$26,L213=phu!$I$27,L213=phu!$I$28,L213=phu!$I$29,L213=phu!$I$30,L213=phu!$I$31),"Cam Phú",""),IF(OR(L213=phu!$I$32,L213=phu!$I$33,L213=phu!$I$34,L213=phu!$I$35,L213=phu!$I$36,L213=phu!$I$37),"Cam Lộc",""),IF(OR(L213=phu!$I$38,L213=phu!$I$39,L213=phu!$I$40,L213=phu!$I$41,L213=phu!$I$42,L213=phu!$I$43,L213=phu!$I$44),"Cam Thuận",""),IF(OR(L213=phu!$I$45,L213=phu!$I$46,L213=phu!$I$47,L213=phu!$I$48,L213=phu!$I$49,L213=phu!$I$50,L213=phu!$I$51,L213=phu!$I$52,L213=phu!$I$53),"Cam Linh",""),IF(OR(L213=phu!$I$54,L213=phu!$I$55,L213=phu!$I$56,L213=phu!$I$57,L213=phu!$I$58,L213=phu!$I$59,L213=phu!$I$60,L213=phu!$I$61,L213=phu!$I$62),"Cam Lợi",""),IF(OR(L213=phu!$I$63,L213=phu!$I$64,L213=phu!$I$65,L213=phu!$I$66,L213=phu!$I$67,L213=phu!$I$68,L213=phu!$I$69,L213=phu!$I$70,L213=phu!$I$71),"Ba Ngòi",""),IF(OR(L213=phu!$I$72,L213=phu!$I$73,L213=phu!$I$74,L213=phu!$I$75,L213=phu!$I$76,L213=phu!$I$77,L213=phu!$I$78),"Cam Phước Đông",""),IF(OR(L213=phu!$I$79,L213=phu!$I$80,L213=phu!$I$81,L213=phu!$I$82,L213=phu!$I$83,L213=phu!$I$84),"Cam Thịnh Đông",""),IF(OR(L213=phu!$I$85,L213=phu!$I$86,L213=phu!$I$87,L213=phu!$I$88),"Cam Thịnh Tây",""),IF(OR(L213=phu!$I$89,L213=phu!$I$90),"Cam Lập",""),IF(OR(L213=phu!$I$91,L213=phu!$I$92,L213=phu!$I$93),"Cam Bình",""),IF(OR(L213=phu!$I$94,L213=phu!$I$95,L213=phu!$I$96,L213=phu!$I$97,L213=phu!$I$98,L213=phu!$I$99,L213=phu!$I$100),"Huyện khác",""),IF(OR(L213=phu!$I$101,L213=phu!$I$102),"Tỉnh khác",""))</f>
        <v/>
      </c>
      <c r="N213" s="835" t="str">
        <f t="shared" si="18"/>
        <v/>
      </c>
      <c r="O213" s="20"/>
      <c r="P213" s="20"/>
      <c r="Q213" s="20"/>
      <c r="R213" s="20"/>
      <c r="S213" s="20"/>
      <c r="T213" s="21"/>
      <c r="U213" s="21"/>
      <c r="V213" s="21"/>
      <c r="W213" s="7" t="str">
        <f t="shared" si="16"/>
        <v/>
      </c>
      <c r="X213" s="506" t="str">
        <f t="shared" si="17"/>
        <v/>
      </c>
    </row>
    <row r="214" spans="1:24" x14ac:dyDescent="0.25">
      <c r="A214" s="66" t="str">
        <f t="shared" si="19"/>
        <v/>
      </c>
      <c r="B214" s="23" t="str">
        <f t="shared" si="15"/>
        <v/>
      </c>
      <c r="C214" s="15"/>
      <c r="D214" s="16"/>
      <c r="E214" s="17"/>
      <c r="F214" s="18"/>
      <c r="G214" s="18"/>
      <c r="H214" s="19"/>
      <c r="I214" s="15"/>
      <c r="J214" s="20"/>
      <c r="K214" s="15"/>
      <c r="L214" s="15"/>
      <c r="M214" s="531" t="str">
        <f>CONCATENATE(IF(OR(L214=phu!$I$1,L214=phu!$I$2,L214=phu!$I$3),"Cam Thành Nam",""),IF(OR(L214=phu!$I$4,L214=phu!$I$5,L214=phu!$I$6,L214=phu!$I$7,L214=phu!$I$8,L214=phu!$I$9,L214=phu!$I$10,L214=phu!$I$11,L214=phu!$I$12,L214=phu!$I$13,L214=phu!$I$14),"Cam Nghĩa",""),IF(OR(L214=phu!$I$15,L214=phu!$I$16,L214=phu!$I$17,L214=phu!$I$18,L214=phu!$I$19,L214=phu!$I$20,L214=phu!$I$21),"Cam Phúc Bắc",""),IF(OR(L214=phu!$I$22,L214=phu!$I$23,L214=phu!$I$24,L214=phu!$I$25),"Cam Phúc Nam",""),IF(OR(L214=phu!$I$26,L214=phu!$I$27,L214=phu!$I$28,L214=phu!$I$29,L214=phu!$I$30,L214=phu!$I$31),"Cam Phú",""),IF(OR(L214=phu!$I$32,L214=phu!$I$33,L214=phu!$I$34,L214=phu!$I$35,L214=phu!$I$36,L214=phu!$I$37),"Cam Lộc",""),IF(OR(L214=phu!$I$38,L214=phu!$I$39,L214=phu!$I$40,L214=phu!$I$41,L214=phu!$I$42,L214=phu!$I$43,L214=phu!$I$44),"Cam Thuận",""),IF(OR(L214=phu!$I$45,L214=phu!$I$46,L214=phu!$I$47,L214=phu!$I$48,L214=phu!$I$49,L214=phu!$I$50,L214=phu!$I$51,L214=phu!$I$52,L214=phu!$I$53),"Cam Linh",""),IF(OR(L214=phu!$I$54,L214=phu!$I$55,L214=phu!$I$56,L214=phu!$I$57,L214=phu!$I$58,L214=phu!$I$59,L214=phu!$I$60,L214=phu!$I$61,L214=phu!$I$62),"Cam Lợi",""),IF(OR(L214=phu!$I$63,L214=phu!$I$64,L214=phu!$I$65,L214=phu!$I$66,L214=phu!$I$67,L214=phu!$I$68,L214=phu!$I$69,L214=phu!$I$70,L214=phu!$I$71),"Ba Ngòi",""),IF(OR(L214=phu!$I$72,L214=phu!$I$73,L214=phu!$I$74,L214=phu!$I$75,L214=phu!$I$76,L214=phu!$I$77,L214=phu!$I$78),"Cam Phước Đông",""),IF(OR(L214=phu!$I$79,L214=phu!$I$80,L214=phu!$I$81,L214=phu!$I$82,L214=phu!$I$83,L214=phu!$I$84),"Cam Thịnh Đông",""),IF(OR(L214=phu!$I$85,L214=phu!$I$86,L214=phu!$I$87,L214=phu!$I$88),"Cam Thịnh Tây",""),IF(OR(L214=phu!$I$89,L214=phu!$I$90),"Cam Lập",""),IF(OR(L214=phu!$I$91,L214=phu!$I$92,L214=phu!$I$93),"Cam Bình",""),IF(OR(L214=phu!$I$94,L214=phu!$I$95,L214=phu!$I$96,L214=phu!$I$97,L214=phu!$I$98,L214=phu!$I$99,L214=phu!$I$100),"Huyện khác",""),IF(OR(L214=phu!$I$101,L214=phu!$I$102),"Tỉnh khác",""))</f>
        <v/>
      </c>
      <c r="N214" s="835" t="str">
        <f t="shared" si="18"/>
        <v/>
      </c>
      <c r="O214" s="20"/>
      <c r="P214" s="20"/>
      <c r="Q214" s="20"/>
      <c r="R214" s="20"/>
      <c r="S214" s="20"/>
      <c r="T214" s="21"/>
      <c r="U214" s="21"/>
      <c r="V214" s="21"/>
      <c r="W214" s="7" t="str">
        <f t="shared" si="16"/>
        <v/>
      </c>
      <c r="X214" s="506" t="str">
        <f t="shared" si="17"/>
        <v/>
      </c>
    </row>
    <row r="215" spans="1:24" x14ac:dyDescent="0.25">
      <c r="A215" s="66" t="str">
        <f t="shared" si="19"/>
        <v/>
      </c>
      <c r="B215" s="23" t="str">
        <f t="shared" si="15"/>
        <v/>
      </c>
      <c r="C215" s="15"/>
      <c r="D215" s="16"/>
      <c r="E215" s="17"/>
      <c r="F215" s="18"/>
      <c r="G215" s="18"/>
      <c r="H215" s="19"/>
      <c r="I215" s="15"/>
      <c r="J215" s="20"/>
      <c r="K215" s="15"/>
      <c r="L215" s="15"/>
      <c r="M215" s="531" t="str">
        <f>CONCATENATE(IF(OR(L215=phu!$I$1,L215=phu!$I$2,L215=phu!$I$3),"Cam Thành Nam",""),IF(OR(L215=phu!$I$4,L215=phu!$I$5,L215=phu!$I$6,L215=phu!$I$7,L215=phu!$I$8,L215=phu!$I$9,L215=phu!$I$10,L215=phu!$I$11,L215=phu!$I$12,L215=phu!$I$13,L215=phu!$I$14),"Cam Nghĩa",""),IF(OR(L215=phu!$I$15,L215=phu!$I$16,L215=phu!$I$17,L215=phu!$I$18,L215=phu!$I$19,L215=phu!$I$20,L215=phu!$I$21),"Cam Phúc Bắc",""),IF(OR(L215=phu!$I$22,L215=phu!$I$23,L215=phu!$I$24,L215=phu!$I$25),"Cam Phúc Nam",""),IF(OR(L215=phu!$I$26,L215=phu!$I$27,L215=phu!$I$28,L215=phu!$I$29,L215=phu!$I$30,L215=phu!$I$31),"Cam Phú",""),IF(OR(L215=phu!$I$32,L215=phu!$I$33,L215=phu!$I$34,L215=phu!$I$35,L215=phu!$I$36,L215=phu!$I$37),"Cam Lộc",""),IF(OR(L215=phu!$I$38,L215=phu!$I$39,L215=phu!$I$40,L215=phu!$I$41,L215=phu!$I$42,L215=phu!$I$43,L215=phu!$I$44),"Cam Thuận",""),IF(OR(L215=phu!$I$45,L215=phu!$I$46,L215=phu!$I$47,L215=phu!$I$48,L215=phu!$I$49,L215=phu!$I$50,L215=phu!$I$51,L215=phu!$I$52,L215=phu!$I$53),"Cam Linh",""),IF(OR(L215=phu!$I$54,L215=phu!$I$55,L215=phu!$I$56,L215=phu!$I$57,L215=phu!$I$58,L215=phu!$I$59,L215=phu!$I$60,L215=phu!$I$61,L215=phu!$I$62),"Cam Lợi",""),IF(OR(L215=phu!$I$63,L215=phu!$I$64,L215=phu!$I$65,L215=phu!$I$66,L215=phu!$I$67,L215=phu!$I$68,L215=phu!$I$69,L215=phu!$I$70,L215=phu!$I$71),"Ba Ngòi",""),IF(OR(L215=phu!$I$72,L215=phu!$I$73,L215=phu!$I$74,L215=phu!$I$75,L215=phu!$I$76,L215=phu!$I$77,L215=phu!$I$78),"Cam Phước Đông",""),IF(OR(L215=phu!$I$79,L215=phu!$I$80,L215=phu!$I$81,L215=phu!$I$82,L215=phu!$I$83,L215=phu!$I$84),"Cam Thịnh Đông",""),IF(OR(L215=phu!$I$85,L215=phu!$I$86,L215=phu!$I$87,L215=phu!$I$88),"Cam Thịnh Tây",""),IF(OR(L215=phu!$I$89,L215=phu!$I$90),"Cam Lập",""),IF(OR(L215=phu!$I$91,L215=phu!$I$92,L215=phu!$I$93),"Cam Bình",""),IF(OR(L215=phu!$I$94,L215=phu!$I$95,L215=phu!$I$96,L215=phu!$I$97,L215=phu!$I$98,L215=phu!$I$99,L215=phu!$I$100),"Huyện khác",""),IF(OR(L215=phu!$I$101,L215=phu!$I$102),"Tỉnh khác",""))</f>
        <v/>
      </c>
      <c r="N215" s="835" t="str">
        <f t="shared" si="18"/>
        <v/>
      </c>
      <c r="O215" s="20"/>
      <c r="P215" s="20"/>
      <c r="Q215" s="20"/>
      <c r="R215" s="20"/>
      <c r="S215" s="20"/>
      <c r="T215" s="21"/>
      <c r="U215" s="21"/>
      <c r="V215" s="21"/>
      <c r="W215" s="7" t="str">
        <f t="shared" si="16"/>
        <v/>
      </c>
      <c r="X215" s="506" t="str">
        <f t="shared" si="17"/>
        <v/>
      </c>
    </row>
    <row r="216" spans="1:24" x14ac:dyDescent="0.25">
      <c r="A216" s="66" t="str">
        <f t="shared" si="19"/>
        <v/>
      </c>
      <c r="B216" s="23" t="str">
        <f t="shared" si="15"/>
        <v/>
      </c>
      <c r="C216" s="15"/>
      <c r="D216" s="16"/>
      <c r="E216" s="17"/>
      <c r="F216" s="18"/>
      <c r="G216" s="18"/>
      <c r="H216" s="19"/>
      <c r="I216" s="15"/>
      <c r="J216" s="20"/>
      <c r="K216" s="15"/>
      <c r="L216" s="15"/>
      <c r="M216" s="531" t="str">
        <f>CONCATENATE(IF(OR(L216=phu!$I$1,L216=phu!$I$2,L216=phu!$I$3),"Cam Thành Nam",""),IF(OR(L216=phu!$I$4,L216=phu!$I$5,L216=phu!$I$6,L216=phu!$I$7,L216=phu!$I$8,L216=phu!$I$9,L216=phu!$I$10,L216=phu!$I$11,L216=phu!$I$12,L216=phu!$I$13,L216=phu!$I$14),"Cam Nghĩa",""),IF(OR(L216=phu!$I$15,L216=phu!$I$16,L216=phu!$I$17,L216=phu!$I$18,L216=phu!$I$19,L216=phu!$I$20,L216=phu!$I$21),"Cam Phúc Bắc",""),IF(OR(L216=phu!$I$22,L216=phu!$I$23,L216=phu!$I$24,L216=phu!$I$25),"Cam Phúc Nam",""),IF(OR(L216=phu!$I$26,L216=phu!$I$27,L216=phu!$I$28,L216=phu!$I$29,L216=phu!$I$30,L216=phu!$I$31),"Cam Phú",""),IF(OR(L216=phu!$I$32,L216=phu!$I$33,L216=phu!$I$34,L216=phu!$I$35,L216=phu!$I$36,L216=phu!$I$37),"Cam Lộc",""),IF(OR(L216=phu!$I$38,L216=phu!$I$39,L216=phu!$I$40,L216=phu!$I$41,L216=phu!$I$42,L216=phu!$I$43,L216=phu!$I$44),"Cam Thuận",""),IF(OR(L216=phu!$I$45,L216=phu!$I$46,L216=phu!$I$47,L216=phu!$I$48,L216=phu!$I$49,L216=phu!$I$50,L216=phu!$I$51,L216=phu!$I$52,L216=phu!$I$53),"Cam Linh",""),IF(OR(L216=phu!$I$54,L216=phu!$I$55,L216=phu!$I$56,L216=phu!$I$57,L216=phu!$I$58,L216=phu!$I$59,L216=phu!$I$60,L216=phu!$I$61,L216=phu!$I$62),"Cam Lợi",""),IF(OR(L216=phu!$I$63,L216=phu!$I$64,L216=phu!$I$65,L216=phu!$I$66,L216=phu!$I$67,L216=phu!$I$68,L216=phu!$I$69,L216=phu!$I$70,L216=phu!$I$71),"Ba Ngòi",""),IF(OR(L216=phu!$I$72,L216=phu!$I$73,L216=phu!$I$74,L216=phu!$I$75,L216=phu!$I$76,L216=phu!$I$77,L216=phu!$I$78),"Cam Phước Đông",""),IF(OR(L216=phu!$I$79,L216=phu!$I$80,L216=phu!$I$81,L216=phu!$I$82,L216=phu!$I$83,L216=phu!$I$84),"Cam Thịnh Đông",""),IF(OR(L216=phu!$I$85,L216=phu!$I$86,L216=phu!$I$87,L216=phu!$I$88),"Cam Thịnh Tây",""),IF(OR(L216=phu!$I$89,L216=phu!$I$90),"Cam Lập",""),IF(OR(L216=phu!$I$91,L216=phu!$I$92,L216=phu!$I$93),"Cam Bình",""),IF(OR(L216=phu!$I$94,L216=phu!$I$95,L216=phu!$I$96,L216=phu!$I$97,L216=phu!$I$98,L216=phu!$I$99,L216=phu!$I$100),"Huyện khác",""),IF(OR(L216=phu!$I$101,L216=phu!$I$102),"Tỉnh khác",""))</f>
        <v/>
      </c>
      <c r="N216" s="835" t="str">
        <f t="shared" si="18"/>
        <v/>
      </c>
      <c r="O216" s="20"/>
      <c r="P216" s="20"/>
      <c r="Q216" s="20"/>
      <c r="R216" s="20"/>
      <c r="S216" s="20"/>
      <c r="T216" s="21"/>
      <c r="U216" s="21"/>
      <c r="V216" s="21"/>
      <c r="W216" s="7" t="str">
        <f t="shared" si="16"/>
        <v/>
      </c>
      <c r="X216" s="506" t="str">
        <f t="shared" si="17"/>
        <v/>
      </c>
    </row>
    <row r="217" spans="1:24" x14ac:dyDescent="0.25">
      <c r="A217" s="66" t="str">
        <f t="shared" si="19"/>
        <v/>
      </c>
      <c r="B217" s="23" t="str">
        <f t="shared" si="15"/>
        <v/>
      </c>
      <c r="C217" s="15"/>
      <c r="D217" s="16"/>
      <c r="E217" s="17"/>
      <c r="F217" s="18"/>
      <c r="G217" s="18"/>
      <c r="H217" s="19"/>
      <c r="I217" s="15"/>
      <c r="J217" s="20"/>
      <c r="K217" s="15"/>
      <c r="L217" s="15"/>
      <c r="M217" s="531" t="str">
        <f>CONCATENATE(IF(OR(L217=phu!$I$1,L217=phu!$I$2,L217=phu!$I$3),"Cam Thành Nam",""),IF(OR(L217=phu!$I$4,L217=phu!$I$5,L217=phu!$I$6,L217=phu!$I$7,L217=phu!$I$8,L217=phu!$I$9,L217=phu!$I$10,L217=phu!$I$11,L217=phu!$I$12,L217=phu!$I$13,L217=phu!$I$14),"Cam Nghĩa",""),IF(OR(L217=phu!$I$15,L217=phu!$I$16,L217=phu!$I$17,L217=phu!$I$18,L217=phu!$I$19,L217=phu!$I$20,L217=phu!$I$21),"Cam Phúc Bắc",""),IF(OR(L217=phu!$I$22,L217=phu!$I$23,L217=phu!$I$24,L217=phu!$I$25),"Cam Phúc Nam",""),IF(OR(L217=phu!$I$26,L217=phu!$I$27,L217=phu!$I$28,L217=phu!$I$29,L217=phu!$I$30,L217=phu!$I$31),"Cam Phú",""),IF(OR(L217=phu!$I$32,L217=phu!$I$33,L217=phu!$I$34,L217=phu!$I$35,L217=phu!$I$36,L217=phu!$I$37),"Cam Lộc",""),IF(OR(L217=phu!$I$38,L217=phu!$I$39,L217=phu!$I$40,L217=phu!$I$41,L217=phu!$I$42,L217=phu!$I$43,L217=phu!$I$44),"Cam Thuận",""),IF(OR(L217=phu!$I$45,L217=phu!$I$46,L217=phu!$I$47,L217=phu!$I$48,L217=phu!$I$49,L217=phu!$I$50,L217=phu!$I$51,L217=phu!$I$52,L217=phu!$I$53),"Cam Linh",""),IF(OR(L217=phu!$I$54,L217=phu!$I$55,L217=phu!$I$56,L217=phu!$I$57,L217=phu!$I$58,L217=phu!$I$59,L217=phu!$I$60,L217=phu!$I$61,L217=phu!$I$62),"Cam Lợi",""),IF(OR(L217=phu!$I$63,L217=phu!$I$64,L217=phu!$I$65,L217=phu!$I$66,L217=phu!$I$67,L217=phu!$I$68,L217=phu!$I$69,L217=phu!$I$70,L217=phu!$I$71),"Ba Ngòi",""),IF(OR(L217=phu!$I$72,L217=phu!$I$73,L217=phu!$I$74,L217=phu!$I$75,L217=phu!$I$76,L217=phu!$I$77,L217=phu!$I$78),"Cam Phước Đông",""),IF(OR(L217=phu!$I$79,L217=phu!$I$80,L217=phu!$I$81,L217=phu!$I$82,L217=phu!$I$83,L217=phu!$I$84),"Cam Thịnh Đông",""),IF(OR(L217=phu!$I$85,L217=phu!$I$86,L217=phu!$I$87,L217=phu!$I$88),"Cam Thịnh Tây",""),IF(OR(L217=phu!$I$89,L217=phu!$I$90),"Cam Lập",""),IF(OR(L217=phu!$I$91,L217=phu!$I$92,L217=phu!$I$93),"Cam Bình",""),IF(OR(L217=phu!$I$94,L217=phu!$I$95,L217=phu!$I$96,L217=phu!$I$97,L217=phu!$I$98,L217=phu!$I$99,L217=phu!$I$100),"Huyện khác",""),IF(OR(L217=phu!$I$101,L217=phu!$I$102),"Tỉnh khác",""))</f>
        <v/>
      </c>
      <c r="N217" s="835" t="str">
        <f t="shared" si="18"/>
        <v/>
      </c>
      <c r="O217" s="20"/>
      <c r="P217" s="20"/>
      <c r="Q217" s="20"/>
      <c r="R217" s="20"/>
      <c r="S217" s="20"/>
      <c r="T217" s="21"/>
      <c r="U217" s="21"/>
      <c r="V217" s="21"/>
      <c r="W217" s="7" t="str">
        <f t="shared" si="16"/>
        <v/>
      </c>
      <c r="X217" s="506" t="str">
        <f t="shared" si="17"/>
        <v/>
      </c>
    </row>
    <row r="218" spans="1:24" x14ac:dyDescent="0.25">
      <c r="A218" s="66" t="str">
        <f t="shared" si="19"/>
        <v/>
      </c>
      <c r="B218" s="23" t="str">
        <f t="shared" si="15"/>
        <v/>
      </c>
      <c r="C218" s="15"/>
      <c r="D218" s="16"/>
      <c r="E218" s="17"/>
      <c r="F218" s="18"/>
      <c r="G218" s="18"/>
      <c r="H218" s="19"/>
      <c r="I218" s="15"/>
      <c r="J218" s="20"/>
      <c r="K218" s="15"/>
      <c r="L218" s="15"/>
      <c r="M218" s="531" t="str">
        <f>CONCATENATE(IF(OR(L218=phu!$I$1,L218=phu!$I$2,L218=phu!$I$3),"Cam Thành Nam",""),IF(OR(L218=phu!$I$4,L218=phu!$I$5,L218=phu!$I$6,L218=phu!$I$7,L218=phu!$I$8,L218=phu!$I$9,L218=phu!$I$10,L218=phu!$I$11,L218=phu!$I$12,L218=phu!$I$13,L218=phu!$I$14),"Cam Nghĩa",""),IF(OR(L218=phu!$I$15,L218=phu!$I$16,L218=phu!$I$17,L218=phu!$I$18,L218=phu!$I$19,L218=phu!$I$20,L218=phu!$I$21),"Cam Phúc Bắc",""),IF(OR(L218=phu!$I$22,L218=phu!$I$23,L218=phu!$I$24,L218=phu!$I$25),"Cam Phúc Nam",""),IF(OR(L218=phu!$I$26,L218=phu!$I$27,L218=phu!$I$28,L218=phu!$I$29,L218=phu!$I$30,L218=phu!$I$31),"Cam Phú",""),IF(OR(L218=phu!$I$32,L218=phu!$I$33,L218=phu!$I$34,L218=phu!$I$35,L218=phu!$I$36,L218=phu!$I$37),"Cam Lộc",""),IF(OR(L218=phu!$I$38,L218=phu!$I$39,L218=phu!$I$40,L218=phu!$I$41,L218=phu!$I$42,L218=phu!$I$43,L218=phu!$I$44),"Cam Thuận",""),IF(OR(L218=phu!$I$45,L218=phu!$I$46,L218=phu!$I$47,L218=phu!$I$48,L218=phu!$I$49,L218=phu!$I$50,L218=phu!$I$51,L218=phu!$I$52,L218=phu!$I$53),"Cam Linh",""),IF(OR(L218=phu!$I$54,L218=phu!$I$55,L218=phu!$I$56,L218=phu!$I$57,L218=phu!$I$58,L218=phu!$I$59,L218=phu!$I$60,L218=phu!$I$61,L218=phu!$I$62),"Cam Lợi",""),IF(OR(L218=phu!$I$63,L218=phu!$I$64,L218=phu!$I$65,L218=phu!$I$66,L218=phu!$I$67,L218=phu!$I$68,L218=phu!$I$69,L218=phu!$I$70,L218=phu!$I$71),"Ba Ngòi",""),IF(OR(L218=phu!$I$72,L218=phu!$I$73,L218=phu!$I$74,L218=phu!$I$75,L218=phu!$I$76,L218=phu!$I$77,L218=phu!$I$78),"Cam Phước Đông",""),IF(OR(L218=phu!$I$79,L218=phu!$I$80,L218=phu!$I$81,L218=phu!$I$82,L218=phu!$I$83,L218=phu!$I$84),"Cam Thịnh Đông",""),IF(OR(L218=phu!$I$85,L218=phu!$I$86,L218=phu!$I$87,L218=phu!$I$88),"Cam Thịnh Tây",""),IF(OR(L218=phu!$I$89,L218=phu!$I$90),"Cam Lập",""),IF(OR(L218=phu!$I$91,L218=phu!$I$92,L218=phu!$I$93),"Cam Bình",""),IF(OR(L218=phu!$I$94,L218=phu!$I$95,L218=phu!$I$96,L218=phu!$I$97,L218=phu!$I$98,L218=phu!$I$99,L218=phu!$I$100),"Huyện khác",""),IF(OR(L218=phu!$I$101,L218=phu!$I$102),"Tỉnh khác",""))</f>
        <v/>
      </c>
      <c r="N218" s="835" t="str">
        <f t="shared" si="18"/>
        <v/>
      </c>
      <c r="O218" s="20"/>
      <c r="P218" s="20"/>
      <c r="Q218" s="20"/>
      <c r="R218" s="20"/>
      <c r="S218" s="20"/>
      <c r="T218" s="21"/>
      <c r="U218" s="21"/>
      <c r="V218" s="21"/>
      <c r="W218" s="7" t="str">
        <f t="shared" si="16"/>
        <v/>
      </c>
      <c r="X218" s="506" t="str">
        <f t="shared" si="17"/>
        <v/>
      </c>
    </row>
    <row r="219" spans="1:24" x14ac:dyDescent="0.25">
      <c r="A219" s="66" t="str">
        <f t="shared" si="19"/>
        <v/>
      </c>
      <c r="B219" s="23" t="str">
        <f t="shared" si="15"/>
        <v/>
      </c>
      <c r="C219" s="15"/>
      <c r="D219" s="16"/>
      <c r="E219" s="17"/>
      <c r="F219" s="18"/>
      <c r="G219" s="18"/>
      <c r="H219" s="19"/>
      <c r="I219" s="15"/>
      <c r="J219" s="20"/>
      <c r="K219" s="15"/>
      <c r="L219" s="15"/>
      <c r="M219" s="531" t="str">
        <f>CONCATENATE(IF(OR(L219=phu!$I$1,L219=phu!$I$2,L219=phu!$I$3),"Cam Thành Nam",""),IF(OR(L219=phu!$I$4,L219=phu!$I$5,L219=phu!$I$6,L219=phu!$I$7,L219=phu!$I$8,L219=phu!$I$9,L219=phu!$I$10,L219=phu!$I$11,L219=phu!$I$12,L219=phu!$I$13,L219=phu!$I$14),"Cam Nghĩa",""),IF(OR(L219=phu!$I$15,L219=phu!$I$16,L219=phu!$I$17,L219=phu!$I$18,L219=phu!$I$19,L219=phu!$I$20,L219=phu!$I$21),"Cam Phúc Bắc",""),IF(OR(L219=phu!$I$22,L219=phu!$I$23,L219=phu!$I$24,L219=phu!$I$25),"Cam Phúc Nam",""),IF(OR(L219=phu!$I$26,L219=phu!$I$27,L219=phu!$I$28,L219=phu!$I$29,L219=phu!$I$30,L219=phu!$I$31),"Cam Phú",""),IF(OR(L219=phu!$I$32,L219=phu!$I$33,L219=phu!$I$34,L219=phu!$I$35,L219=phu!$I$36,L219=phu!$I$37),"Cam Lộc",""),IF(OR(L219=phu!$I$38,L219=phu!$I$39,L219=phu!$I$40,L219=phu!$I$41,L219=phu!$I$42,L219=phu!$I$43,L219=phu!$I$44),"Cam Thuận",""),IF(OR(L219=phu!$I$45,L219=phu!$I$46,L219=phu!$I$47,L219=phu!$I$48,L219=phu!$I$49,L219=phu!$I$50,L219=phu!$I$51,L219=phu!$I$52,L219=phu!$I$53),"Cam Linh",""),IF(OR(L219=phu!$I$54,L219=phu!$I$55,L219=phu!$I$56,L219=phu!$I$57,L219=phu!$I$58,L219=phu!$I$59,L219=phu!$I$60,L219=phu!$I$61,L219=phu!$I$62),"Cam Lợi",""),IF(OR(L219=phu!$I$63,L219=phu!$I$64,L219=phu!$I$65,L219=phu!$I$66,L219=phu!$I$67,L219=phu!$I$68,L219=phu!$I$69,L219=phu!$I$70,L219=phu!$I$71),"Ba Ngòi",""),IF(OR(L219=phu!$I$72,L219=phu!$I$73,L219=phu!$I$74,L219=phu!$I$75,L219=phu!$I$76,L219=phu!$I$77,L219=phu!$I$78),"Cam Phước Đông",""),IF(OR(L219=phu!$I$79,L219=phu!$I$80,L219=phu!$I$81,L219=phu!$I$82,L219=phu!$I$83,L219=phu!$I$84),"Cam Thịnh Đông",""),IF(OR(L219=phu!$I$85,L219=phu!$I$86,L219=phu!$I$87,L219=phu!$I$88),"Cam Thịnh Tây",""),IF(OR(L219=phu!$I$89,L219=phu!$I$90),"Cam Lập",""),IF(OR(L219=phu!$I$91,L219=phu!$I$92,L219=phu!$I$93),"Cam Bình",""),IF(OR(L219=phu!$I$94,L219=phu!$I$95,L219=phu!$I$96,L219=phu!$I$97,L219=phu!$I$98,L219=phu!$I$99,L219=phu!$I$100),"Huyện khác",""),IF(OR(L219=phu!$I$101,L219=phu!$I$102),"Tỉnh khác",""))</f>
        <v/>
      </c>
      <c r="N219" s="835" t="str">
        <f t="shared" si="18"/>
        <v/>
      </c>
      <c r="O219" s="20"/>
      <c r="P219" s="20"/>
      <c r="Q219" s="20"/>
      <c r="R219" s="20"/>
      <c r="S219" s="20"/>
      <c r="T219" s="21"/>
      <c r="U219" s="21"/>
      <c r="V219" s="21"/>
      <c r="W219" s="7" t="str">
        <f t="shared" si="16"/>
        <v/>
      </c>
      <c r="X219" s="506" t="str">
        <f t="shared" si="17"/>
        <v/>
      </c>
    </row>
    <row r="220" spans="1:24" x14ac:dyDescent="0.25">
      <c r="A220" s="66" t="str">
        <f t="shared" si="19"/>
        <v/>
      </c>
      <c r="B220" s="23" t="str">
        <f t="shared" si="15"/>
        <v/>
      </c>
      <c r="C220" s="15"/>
      <c r="D220" s="16"/>
      <c r="E220" s="17"/>
      <c r="F220" s="18"/>
      <c r="G220" s="18"/>
      <c r="H220" s="19"/>
      <c r="I220" s="15"/>
      <c r="J220" s="20"/>
      <c r="K220" s="15"/>
      <c r="L220" s="15"/>
      <c r="M220" s="531" t="str">
        <f>CONCATENATE(IF(OR(L220=phu!$I$1,L220=phu!$I$2,L220=phu!$I$3),"Cam Thành Nam",""),IF(OR(L220=phu!$I$4,L220=phu!$I$5,L220=phu!$I$6,L220=phu!$I$7,L220=phu!$I$8,L220=phu!$I$9,L220=phu!$I$10,L220=phu!$I$11,L220=phu!$I$12,L220=phu!$I$13,L220=phu!$I$14),"Cam Nghĩa",""),IF(OR(L220=phu!$I$15,L220=phu!$I$16,L220=phu!$I$17,L220=phu!$I$18,L220=phu!$I$19,L220=phu!$I$20,L220=phu!$I$21),"Cam Phúc Bắc",""),IF(OR(L220=phu!$I$22,L220=phu!$I$23,L220=phu!$I$24,L220=phu!$I$25),"Cam Phúc Nam",""),IF(OR(L220=phu!$I$26,L220=phu!$I$27,L220=phu!$I$28,L220=phu!$I$29,L220=phu!$I$30,L220=phu!$I$31),"Cam Phú",""),IF(OR(L220=phu!$I$32,L220=phu!$I$33,L220=phu!$I$34,L220=phu!$I$35,L220=phu!$I$36,L220=phu!$I$37),"Cam Lộc",""),IF(OR(L220=phu!$I$38,L220=phu!$I$39,L220=phu!$I$40,L220=phu!$I$41,L220=phu!$I$42,L220=phu!$I$43,L220=phu!$I$44),"Cam Thuận",""),IF(OR(L220=phu!$I$45,L220=phu!$I$46,L220=phu!$I$47,L220=phu!$I$48,L220=phu!$I$49,L220=phu!$I$50,L220=phu!$I$51,L220=phu!$I$52,L220=phu!$I$53),"Cam Linh",""),IF(OR(L220=phu!$I$54,L220=phu!$I$55,L220=phu!$I$56,L220=phu!$I$57,L220=phu!$I$58,L220=phu!$I$59,L220=phu!$I$60,L220=phu!$I$61,L220=phu!$I$62),"Cam Lợi",""),IF(OR(L220=phu!$I$63,L220=phu!$I$64,L220=phu!$I$65,L220=phu!$I$66,L220=phu!$I$67,L220=phu!$I$68,L220=phu!$I$69,L220=phu!$I$70,L220=phu!$I$71),"Ba Ngòi",""),IF(OR(L220=phu!$I$72,L220=phu!$I$73,L220=phu!$I$74,L220=phu!$I$75,L220=phu!$I$76,L220=phu!$I$77,L220=phu!$I$78),"Cam Phước Đông",""),IF(OR(L220=phu!$I$79,L220=phu!$I$80,L220=phu!$I$81,L220=phu!$I$82,L220=phu!$I$83,L220=phu!$I$84),"Cam Thịnh Đông",""),IF(OR(L220=phu!$I$85,L220=phu!$I$86,L220=phu!$I$87,L220=phu!$I$88),"Cam Thịnh Tây",""),IF(OR(L220=phu!$I$89,L220=phu!$I$90),"Cam Lập",""),IF(OR(L220=phu!$I$91,L220=phu!$I$92,L220=phu!$I$93),"Cam Bình",""),IF(OR(L220=phu!$I$94,L220=phu!$I$95,L220=phu!$I$96,L220=phu!$I$97,L220=phu!$I$98,L220=phu!$I$99,L220=phu!$I$100),"Huyện khác",""),IF(OR(L220=phu!$I$101,L220=phu!$I$102),"Tỉnh khác",""))</f>
        <v/>
      </c>
      <c r="N220" s="835" t="str">
        <f t="shared" si="18"/>
        <v/>
      </c>
      <c r="O220" s="20"/>
      <c r="P220" s="20"/>
      <c r="Q220" s="20"/>
      <c r="R220" s="20"/>
      <c r="S220" s="20"/>
      <c r="T220" s="21"/>
      <c r="U220" s="21"/>
      <c r="V220" s="21"/>
      <c r="W220" s="7" t="str">
        <f t="shared" si="16"/>
        <v/>
      </c>
      <c r="X220" s="506" t="str">
        <f t="shared" si="17"/>
        <v/>
      </c>
    </row>
    <row r="221" spans="1:24" x14ac:dyDescent="0.25">
      <c r="A221" s="66" t="str">
        <f t="shared" si="19"/>
        <v/>
      </c>
      <c r="B221" s="23" t="str">
        <f t="shared" si="15"/>
        <v/>
      </c>
      <c r="C221" s="15"/>
      <c r="D221" s="16"/>
      <c r="E221" s="17"/>
      <c r="F221" s="18"/>
      <c r="G221" s="18"/>
      <c r="H221" s="19"/>
      <c r="I221" s="15"/>
      <c r="J221" s="20"/>
      <c r="K221" s="15"/>
      <c r="L221" s="15"/>
      <c r="M221" s="531" t="str">
        <f>CONCATENATE(IF(OR(L221=phu!$I$1,L221=phu!$I$2,L221=phu!$I$3),"Cam Thành Nam",""),IF(OR(L221=phu!$I$4,L221=phu!$I$5,L221=phu!$I$6,L221=phu!$I$7,L221=phu!$I$8,L221=phu!$I$9,L221=phu!$I$10,L221=phu!$I$11,L221=phu!$I$12,L221=phu!$I$13,L221=phu!$I$14),"Cam Nghĩa",""),IF(OR(L221=phu!$I$15,L221=phu!$I$16,L221=phu!$I$17,L221=phu!$I$18,L221=phu!$I$19,L221=phu!$I$20,L221=phu!$I$21),"Cam Phúc Bắc",""),IF(OR(L221=phu!$I$22,L221=phu!$I$23,L221=phu!$I$24,L221=phu!$I$25),"Cam Phúc Nam",""),IF(OR(L221=phu!$I$26,L221=phu!$I$27,L221=phu!$I$28,L221=phu!$I$29,L221=phu!$I$30,L221=phu!$I$31),"Cam Phú",""),IF(OR(L221=phu!$I$32,L221=phu!$I$33,L221=phu!$I$34,L221=phu!$I$35,L221=phu!$I$36,L221=phu!$I$37),"Cam Lộc",""),IF(OR(L221=phu!$I$38,L221=phu!$I$39,L221=phu!$I$40,L221=phu!$I$41,L221=phu!$I$42,L221=phu!$I$43,L221=phu!$I$44),"Cam Thuận",""),IF(OR(L221=phu!$I$45,L221=phu!$I$46,L221=phu!$I$47,L221=phu!$I$48,L221=phu!$I$49,L221=phu!$I$50,L221=phu!$I$51,L221=phu!$I$52,L221=phu!$I$53),"Cam Linh",""),IF(OR(L221=phu!$I$54,L221=phu!$I$55,L221=phu!$I$56,L221=phu!$I$57,L221=phu!$I$58,L221=phu!$I$59,L221=phu!$I$60,L221=phu!$I$61,L221=phu!$I$62),"Cam Lợi",""),IF(OR(L221=phu!$I$63,L221=phu!$I$64,L221=phu!$I$65,L221=phu!$I$66,L221=phu!$I$67,L221=phu!$I$68,L221=phu!$I$69,L221=phu!$I$70,L221=phu!$I$71),"Ba Ngòi",""),IF(OR(L221=phu!$I$72,L221=phu!$I$73,L221=phu!$I$74,L221=phu!$I$75,L221=phu!$I$76,L221=phu!$I$77,L221=phu!$I$78),"Cam Phước Đông",""),IF(OR(L221=phu!$I$79,L221=phu!$I$80,L221=phu!$I$81,L221=phu!$I$82,L221=phu!$I$83,L221=phu!$I$84),"Cam Thịnh Đông",""),IF(OR(L221=phu!$I$85,L221=phu!$I$86,L221=phu!$I$87,L221=phu!$I$88),"Cam Thịnh Tây",""),IF(OR(L221=phu!$I$89,L221=phu!$I$90),"Cam Lập",""),IF(OR(L221=phu!$I$91,L221=phu!$I$92,L221=phu!$I$93),"Cam Bình",""),IF(OR(L221=phu!$I$94,L221=phu!$I$95,L221=phu!$I$96,L221=phu!$I$97,L221=phu!$I$98,L221=phu!$I$99,L221=phu!$I$100),"Huyện khác",""),IF(OR(L221=phu!$I$101,L221=phu!$I$102),"Tỉnh khác",""))</f>
        <v/>
      </c>
      <c r="N221" s="835" t="str">
        <f t="shared" si="18"/>
        <v/>
      </c>
      <c r="O221" s="20"/>
      <c r="P221" s="20"/>
      <c r="Q221" s="20"/>
      <c r="R221" s="20"/>
      <c r="S221" s="20"/>
      <c r="T221" s="21"/>
      <c r="U221" s="21"/>
      <c r="V221" s="21"/>
      <c r="W221" s="7" t="str">
        <f t="shared" si="16"/>
        <v/>
      </c>
      <c r="X221" s="506" t="str">
        <f t="shared" si="17"/>
        <v/>
      </c>
    </row>
    <row r="222" spans="1:24" x14ac:dyDescent="0.25">
      <c r="A222" s="66" t="str">
        <f t="shared" si="19"/>
        <v/>
      </c>
      <c r="B222" s="23" t="str">
        <f t="shared" si="15"/>
        <v/>
      </c>
      <c r="C222" s="15"/>
      <c r="D222" s="16"/>
      <c r="E222" s="17"/>
      <c r="F222" s="18"/>
      <c r="G222" s="18"/>
      <c r="H222" s="19"/>
      <c r="I222" s="15"/>
      <c r="J222" s="20"/>
      <c r="K222" s="15"/>
      <c r="L222" s="15"/>
      <c r="M222" s="531" t="str">
        <f>CONCATENATE(IF(OR(L222=phu!$I$1,L222=phu!$I$2,L222=phu!$I$3),"Cam Thành Nam",""),IF(OR(L222=phu!$I$4,L222=phu!$I$5,L222=phu!$I$6,L222=phu!$I$7,L222=phu!$I$8,L222=phu!$I$9,L222=phu!$I$10,L222=phu!$I$11,L222=phu!$I$12,L222=phu!$I$13,L222=phu!$I$14),"Cam Nghĩa",""),IF(OR(L222=phu!$I$15,L222=phu!$I$16,L222=phu!$I$17,L222=phu!$I$18,L222=phu!$I$19,L222=phu!$I$20,L222=phu!$I$21),"Cam Phúc Bắc",""),IF(OR(L222=phu!$I$22,L222=phu!$I$23,L222=phu!$I$24,L222=phu!$I$25),"Cam Phúc Nam",""),IF(OR(L222=phu!$I$26,L222=phu!$I$27,L222=phu!$I$28,L222=phu!$I$29,L222=phu!$I$30,L222=phu!$I$31),"Cam Phú",""),IF(OR(L222=phu!$I$32,L222=phu!$I$33,L222=phu!$I$34,L222=phu!$I$35,L222=phu!$I$36,L222=phu!$I$37),"Cam Lộc",""),IF(OR(L222=phu!$I$38,L222=phu!$I$39,L222=phu!$I$40,L222=phu!$I$41,L222=phu!$I$42,L222=phu!$I$43,L222=phu!$I$44),"Cam Thuận",""),IF(OR(L222=phu!$I$45,L222=phu!$I$46,L222=phu!$I$47,L222=phu!$I$48,L222=phu!$I$49,L222=phu!$I$50,L222=phu!$I$51,L222=phu!$I$52,L222=phu!$I$53),"Cam Linh",""),IF(OR(L222=phu!$I$54,L222=phu!$I$55,L222=phu!$I$56,L222=phu!$I$57,L222=phu!$I$58,L222=phu!$I$59,L222=phu!$I$60,L222=phu!$I$61,L222=phu!$I$62),"Cam Lợi",""),IF(OR(L222=phu!$I$63,L222=phu!$I$64,L222=phu!$I$65,L222=phu!$I$66,L222=phu!$I$67,L222=phu!$I$68,L222=phu!$I$69,L222=phu!$I$70,L222=phu!$I$71),"Ba Ngòi",""),IF(OR(L222=phu!$I$72,L222=phu!$I$73,L222=phu!$I$74,L222=phu!$I$75,L222=phu!$I$76,L222=phu!$I$77,L222=phu!$I$78),"Cam Phước Đông",""),IF(OR(L222=phu!$I$79,L222=phu!$I$80,L222=phu!$I$81,L222=phu!$I$82,L222=phu!$I$83,L222=phu!$I$84),"Cam Thịnh Đông",""),IF(OR(L222=phu!$I$85,L222=phu!$I$86,L222=phu!$I$87,L222=phu!$I$88),"Cam Thịnh Tây",""),IF(OR(L222=phu!$I$89,L222=phu!$I$90),"Cam Lập",""),IF(OR(L222=phu!$I$91,L222=phu!$I$92,L222=phu!$I$93),"Cam Bình",""),IF(OR(L222=phu!$I$94,L222=phu!$I$95,L222=phu!$I$96,L222=phu!$I$97,L222=phu!$I$98,L222=phu!$I$99,L222=phu!$I$100),"Huyện khác",""),IF(OR(L222=phu!$I$101,L222=phu!$I$102),"Tỉnh khác",""))</f>
        <v/>
      </c>
      <c r="N222" s="835" t="str">
        <f t="shared" si="18"/>
        <v/>
      </c>
      <c r="O222" s="20"/>
      <c r="P222" s="20"/>
      <c r="Q222" s="20"/>
      <c r="R222" s="20"/>
      <c r="S222" s="20"/>
      <c r="T222" s="21"/>
      <c r="U222" s="21"/>
      <c r="V222" s="21"/>
      <c r="W222" s="7" t="str">
        <f t="shared" si="16"/>
        <v/>
      </c>
      <c r="X222" s="506" t="str">
        <f t="shared" si="17"/>
        <v/>
      </c>
    </row>
    <row r="223" spans="1:24" x14ac:dyDescent="0.25">
      <c r="A223" s="66" t="str">
        <f t="shared" si="19"/>
        <v/>
      </c>
      <c r="B223" s="23" t="str">
        <f t="shared" si="15"/>
        <v/>
      </c>
      <c r="C223" s="15"/>
      <c r="D223" s="16"/>
      <c r="E223" s="17"/>
      <c r="F223" s="18"/>
      <c r="G223" s="18"/>
      <c r="H223" s="19"/>
      <c r="I223" s="15"/>
      <c r="J223" s="20"/>
      <c r="K223" s="15"/>
      <c r="L223" s="15"/>
      <c r="M223" s="531" t="str">
        <f>CONCATENATE(IF(OR(L223=phu!$I$1,L223=phu!$I$2,L223=phu!$I$3),"Cam Thành Nam",""),IF(OR(L223=phu!$I$4,L223=phu!$I$5,L223=phu!$I$6,L223=phu!$I$7,L223=phu!$I$8,L223=phu!$I$9,L223=phu!$I$10,L223=phu!$I$11,L223=phu!$I$12,L223=phu!$I$13,L223=phu!$I$14),"Cam Nghĩa",""),IF(OR(L223=phu!$I$15,L223=phu!$I$16,L223=phu!$I$17,L223=phu!$I$18,L223=phu!$I$19,L223=phu!$I$20,L223=phu!$I$21),"Cam Phúc Bắc",""),IF(OR(L223=phu!$I$22,L223=phu!$I$23,L223=phu!$I$24,L223=phu!$I$25),"Cam Phúc Nam",""),IF(OR(L223=phu!$I$26,L223=phu!$I$27,L223=phu!$I$28,L223=phu!$I$29,L223=phu!$I$30,L223=phu!$I$31),"Cam Phú",""),IF(OR(L223=phu!$I$32,L223=phu!$I$33,L223=phu!$I$34,L223=phu!$I$35,L223=phu!$I$36,L223=phu!$I$37),"Cam Lộc",""),IF(OR(L223=phu!$I$38,L223=phu!$I$39,L223=phu!$I$40,L223=phu!$I$41,L223=phu!$I$42,L223=phu!$I$43,L223=phu!$I$44),"Cam Thuận",""),IF(OR(L223=phu!$I$45,L223=phu!$I$46,L223=phu!$I$47,L223=phu!$I$48,L223=phu!$I$49,L223=phu!$I$50,L223=phu!$I$51,L223=phu!$I$52,L223=phu!$I$53),"Cam Linh",""),IF(OR(L223=phu!$I$54,L223=phu!$I$55,L223=phu!$I$56,L223=phu!$I$57,L223=phu!$I$58,L223=phu!$I$59,L223=phu!$I$60,L223=phu!$I$61,L223=phu!$I$62),"Cam Lợi",""),IF(OR(L223=phu!$I$63,L223=phu!$I$64,L223=phu!$I$65,L223=phu!$I$66,L223=phu!$I$67,L223=phu!$I$68,L223=phu!$I$69,L223=phu!$I$70,L223=phu!$I$71),"Ba Ngòi",""),IF(OR(L223=phu!$I$72,L223=phu!$I$73,L223=phu!$I$74,L223=phu!$I$75,L223=phu!$I$76,L223=phu!$I$77,L223=phu!$I$78),"Cam Phước Đông",""),IF(OR(L223=phu!$I$79,L223=phu!$I$80,L223=phu!$I$81,L223=phu!$I$82,L223=phu!$I$83,L223=phu!$I$84),"Cam Thịnh Đông",""),IF(OR(L223=phu!$I$85,L223=phu!$I$86,L223=phu!$I$87,L223=phu!$I$88),"Cam Thịnh Tây",""),IF(OR(L223=phu!$I$89,L223=phu!$I$90),"Cam Lập",""),IF(OR(L223=phu!$I$91,L223=phu!$I$92,L223=phu!$I$93),"Cam Bình",""),IF(OR(L223=phu!$I$94,L223=phu!$I$95,L223=phu!$I$96,L223=phu!$I$97,L223=phu!$I$98,L223=phu!$I$99,L223=phu!$I$100),"Huyện khác",""),IF(OR(L223=phu!$I$101,L223=phu!$I$102),"Tỉnh khác",""))</f>
        <v/>
      </c>
      <c r="N223" s="835" t="str">
        <f t="shared" si="18"/>
        <v/>
      </c>
      <c r="O223" s="20"/>
      <c r="P223" s="20"/>
      <c r="Q223" s="20"/>
      <c r="R223" s="20"/>
      <c r="S223" s="20"/>
      <c r="T223" s="21"/>
      <c r="U223" s="21"/>
      <c r="V223" s="21"/>
      <c r="W223" s="7" t="str">
        <f t="shared" si="16"/>
        <v/>
      </c>
      <c r="X223" s="506" t="str">
        <f t="shared" si="17"/>
        <v/>
      </c>
    </row>
    <row r="224" spans="1:24" x14ac:dyDescent="0.25">
      <c r="A224" s="66" t="str">
        <f t="shared" si="19"/>
        <v/>
      </c>
      <c r="B224" s="23" t="str">
        <f t="shared" si="15"/>
        <v/>
      </c>
      <c r="C224" s="15"/>
      <c r="D224" s="16"/>
      <c r="E224" s="17"/>
      <c r="F224" s="18"/>
      <c r="G224" s="18"/>
      <c r="H224" s="19"/>
      <c r="I224" s="15"/>
      <c r="J224" s="20"/>
      <c r="K224" s="15"/>
      <c r="L224" s="15"/>
      <c r="M224" s="531" t="str">
        <f>CONCATENATE(IF(OR(L224=phu!$I$1,L224=phu!$I$2,L224=phu!$I$3),"Cam Thành Nam",""),IF(OR(L224=phu!$I$4,L224=phu!$I$5,L224=phu!$I$6,L224=phu!$I$7,L224=phu!$I$8,L224=phu!$I$9,L224=phu!$I$10,L224=phu!$I$11,L224=phu!$I$12,L224=phu!$I$13,L224=phu!$I$14),"Cam Nghĩa",""),IF(OR(L224=phu!$I$15,L224=phu!$I$16,L224=phu!$I$17,L224=phu!$I$18,L224=phu!$I$19,L224=phu!$I$20,L224=phu!$I$21),"Cam Phúc Bắc",""),IF(OR(L224=phu!$I$22,L224=phu!$I$23,L224=phu!$I$24,L224=phu!$I$25),"Cam Phúc Nam",""),IF(OR(L224=phu!$I$26,L224=phu!$I$27,L224=phu!$I$28,L224=phu!$I$29,L224=phu!$I$30,L224=phu!$I$31),"Cam Phú",""),IF(OR(L224=phu!$I$32,L224=phu!$I$33,L224=phu!$I$34,L224=phu!$I$35,L224=phu!$I$36,L224=phu!$I$37),"Cam Lộc",""),IF(OR(L224=phu!$I$38,L224=phu!$I$39,L224=phu!$I$40,L224=phu!$I$41,L224=phu!$I$42,L224=phu!$I$43,L224=phu!$I$44),"Cam Thuận",""),IF(OR(L224=phu!$I$45,L224=phu!$I$46,L224=phu!$I$47,L224=phu!$I$48,L224=phu!$I$49,L224=phu!$I$50,L224=phu!$I$51,L224=phu!$I$52,L224=phu!$I$53),"Cam Linh",""),IF(OR(L224=phu!$I$54,L224=phu!$I$55,L224=phu!$I$56,L224=phu!$I$57,L224=phu!$I$58,L224=phu!$I$59,L224=phu!$I$60,L224=phu!$I$61,L224=phu!$I$62),"Cam Lợi",""),IF(OR(L224=phu!$I$63,L224=phu!$I$64,L224=phu!$I$65,L224=phu!$I$66,L224=phu!$I$67,L224=phu!$I$68,L224=phu!$I$69,L224=phu!$I$70,L224=phu!$I$71),"Ba Ngòi",""),IF(OR(L224=phu!$I$72,L224=phu!$I$73,L224=phu!$I$74,L224=phu!$I$75,L224=phu!$I$76,L224=phu!$I$77,L224=phu!$I$78),"Cam Phước Đông",""),IF(OR(L224=phu!$I$79,L224=phu!$I$80,L224=phu!$I$81,L224=phu!$I$82,L224=phu!$I$83,L224=phu!$I$84),"Cam Thịnh Đông",""),IF(OR(L224=phu!$I$85,L224=phu!$I$86,L224=phu!$I$87,L224=phu!$I$88),"Cam Thịnh Tây",""),IF(OR(L224=phu!$I$89,L224=phu!$I$90),"Cam Lập",""),IF(OR(L224=phu!$I$91,L224=phu!$I$92,L224=phu!$I$93),"Cam Bình",""),IF(OR(L224=phu!$I$94,L224=phu!$I$95,L224=phu!$I$96,L224=phu!$I$97,L224=phu!$I$98,L224=phu!$I$99,L224=phu!$I$100),"Huyện khác",""),IF(OR(L224=phu!$I$101,L224=phu!$I$102),"Tỉnh khác",""))</f>
        <v/>
      </c>
      <c r="N224" s="835" t="str">
        <f t="shared" si="18"/>
        <v/>
      </c>
      <c r="O224" s="20"/>
      <c r="P224" s="20"/>
      <c r="Q224" s="20"/>
      <c r="R224" s="20"/>
      <c r="S224" s="20"/>
      <c r="T224" s="21"/>
      <c r="U224" s="21"/>
      <c r="V224" s="21"/>
      <c r="W224" s="7" t="str">
        <f t="shared" si="16"/>
        <v/>
      </c>
      <c r="X224" s="506" t="str">
        <f t="shared" si="17"/>
        <v/>
      </c>
    </row>
    <row r="225" spans="1:24" x14ac:dyDescent="0.25">
      <c r="A225" s="66" t="str">
        <f t="shared" si="19"/>
        <v/>
      </c>
      <c r="B225" s="23" t="str">
        <f t="shared" si="15"/>
        <v/>
      </c>
      <c r="C225" s="15"/>
      <c r="D225" s="16"/>
      <c r="E225" s="17"/>
      <c r="F225" s="18"/>
      <c r="G225" s="18"/>
      <c r="H225" s="19"/>
      <c r="I225" s="15"/>
      <c r="J225" s="20"/>
      <c r="K225" s="15"/>
      <c r="L225" s="15"/>
      <c r="M225" s="531" t="str">
        <f>CONCATENATE(IF(OR(L225=phu!$I$1,L225=phu!$I$2,L225=phu!$I$3),"Cam Thành Nam",""),IF(OR(L225=phu!$I$4,L225=phu!$I$5,L225=phu!$I$6,L225=phu!$I$7,L225=phu!$I$8,L225=phu!$I$9,L225=phu!$I$10,L225=phu!$I$11,L225=phu!$I$12,L225=phu!$I$13,L225=phu!$I$14),"Cam Nghĩa",""),IF(OR(L225=phu!$I$15,L225=phu!$I$16,L225=phu!$I$17,L225=phu!$I$18,L225=phu!$I$19,L225=phu!$I$20,L225=phu!$I$21),"Cam Phúc Bắc",""),IF(OR(L225=phu!$I$22,L225=phu!$I$23,L225=phu!$I$24,L225=phu!$I$25),"Cam Phúc Nam",""),IF(OR(L225=phu!$I$26,L225=phu!$I$27,L225=phu!$I$28,L225=phu!$I$29,L225=phu!$I$30,L225=phu!$I$31),"Cam Phú",""),IF(OR(L225=phu!$I$32,L225=phu!$I$33,L225=phu!$I$34,L225=phu!$I$35,L225=phu!$I$36,L225=phu!$I$37),"Cam Lộc",""),IF(OR(L225=phu!$I$38,L225=phu!$I$39,L225=phu!$I$40,L225=phu!$I$41,L225=phu!$I$42,L225=phu!$I$43,L225=phu!$I$44),"Cam Thuận",""),IF(OR(L225=phu!$I$45,L225=phu!$I$46,L225=phu!$I$47,L225=phu!$I$48,L225=phu!$I$49,L225=phu!$I$50,L225=phu!$I$51,L225=phu!$I$52,L225=phu!$I$53),"Cam Linh",""),IF(OR(L225=phu!$I$54,L225=phu!$I$55,L225=phu!$I$56,L225=phu!$I$57,L225=phu!$I$58,L225=phu!$I$59,L225=phu!$I$60,L225=phu!$I$61,L225=phu!$I$62),"Cam Lợi",""),IF(OR(L225=phu!$I$63,L225=phu!$I$64,L225=phu!$I$65,L225=phu!$I$66,L225=phu!$I$67,L225=phu!$I$68,L225=phu!$I$69,L225=phu!$I$70,L225=phu!$I$71),"Ba Ngòi",""),IF(OR(L225=phu!$I$72,L225=phu!$I$73,L225=phu!$I$74,L225=phu!$I$75,L225=phu!$I$76,L225=phu!$I$77,L225=phu!$I$78),"Cam Phước Đông",""),IF(OR(L225=phu!$I$79,L225=phu!$I$80,L225=phu!$I$81,L225=phu!$I$82,L225=phu!$I$83,L225=phu!$I$84),"Cam Thịnh Đông",""),IF(OR(L225=phu!$I$85,L225=phu!$I$86,L225=phu!$I$87,L225=phu!$I$88),"Cam Thịnh Tây",""),IF(OR(L225=phu!$I$89,L225=phu!$I$90),"Cam Lập",""),IF(OR(L225=phu!$I$91,L225=phu!$I$92,L225=phu!$I$93),"Cam Bình",""),IF(OR(L225=phu!$I$94,L225=phu!$I$95,L225=phu!$I$96,L225=phu!$I$97,L225=phu!$I$98,L225=phu!$I$99,L225=phu!$I$100),"Huyện khác",""),IF(OR(L225=phu!$I$101,L225=phu!$I$102),"Tỉnh khác",""))</f>
        <v/>
      </c>
      <c r="N225" s="835" t="str">
        <f t="shared" si="18"/>
        <v/>
      </c>
      <c r="O225" s="20"/>
      <c r="P225" s="20"/>
      <c r="Q225" s="20"/>
      <c r="R225" s="20"/>
      <c r="S225" s="20"/>
      <c r="T225" s="21"/>
      <c r="U225" s="21"/>
      <c r="V225" s="21"/>
      <c r="W225" s="7" t="str">
        <f t="shared" si="16"/>
        <v/>
      </c>
      <c r="X225" s="506" t="str">
        <f t="shared" si="17"/>
        <v/>
      </c>
    </row>
    <row r="226" spans="1:24" x14ac:dyDescent="0.25">
      <c r="A226" s="66" t="str">
        <f t="shared" si="19"/>
        <v/>
      </c>
      <c r="B226" s="23" t="str">
        <f t="shared" si="15"/>
        <v/>
      </c>
      <c r="C226" s="15"/>
      <c r="D226" s="16"/>
      <c r="E226" s="17"/>
      <c r="F226" s="18"/>
      <c r="G226" s="18"/>
      <c r="H226" s="19"/>
      <c r="I226" s="15"/>
      <c r="J226" s="20"/>
      <c r="K226" s="15"/>
      <c r="L226" s="15"/>
      <c r="M226" s="531" t="str">
        <f>CONCATENATE(IF(OR(L226=phu!$I$1,L226=phu!$I$2,L226=phu!$I$3),"Cam Thành Nam",""),IF(OR(L226=phu!$I$4,L226=phu!$I$5,L226=phu!$I$6,L226=phu!$I$7,L226=phu!$I$8,L226=phu!$I$9,L226=phu!$I$10,L226=phu!$I$11,L226=phu!$I$12,L226=phu!$I$13,L226=phu!$I$14),"Cam Nghĩa",""),IF(OR(L226=phu!$I$15,L226=phu!$I$16,L226=phu!$I$17,L226=phu!$I$18,L226=phu!$I$19,L226=phu!$I$20,L226=phu!$I$21),"Cam Phúc Bắc",""),IF(OR(L226=phu!$I$22,L226=phu!$I$23,L226=phu!$I$24,L226=phu!$I$25),"Cam Phúc Nam",""),IF(OR(L226=phu!$I$26,L226=phu!$I$27,L226=phu!$I$28,L226=phu!$I$29,L226=phu!$I$30,L226=phu!$I$31),"Cam Phú",""),IF(OR(L226=phu!$I$32,L226=phu!$I$33,L226=phu!$I$34,L226=phu!$I$35,L226=phu!$I$36,L226=phu!$I$37),"Cam Lộc",""),IF(OR(L226=phu!$I$38,L226=phu!$I$39,L226=phu!$I$40,L226=phu!$I$41,L226=phu!$I$42,L226=phu!$I$43,L226=phu!$I$44),"Cam Thuận",""),IF(OR(L226=phu!$I$45,L226=phu!$I$46,L226=phu!$I$47,L226=phu!$I$48,L226=phu!$I$49,L226=phu!$I$50,L226=phu!$I$51,L226=phu!$I$52,L226=phu!$I$53),"Cam Linh",""),IF(OR(L226=phu!$I$54,L226=phu!$I$55,L226=phu!$I$56,L226=phu!$I$57,L226=phu!$I$58,L226=phu!$I$59,L226=phu!$I$60,L226=phu!$I$61,L226=phu!$I$62),"Cam Lợi",""),IF(OR(L226=phu!$I$63,L226=phu!$I$64,L226=phu!$I$65,L226=phu!$I$66,L226=phu!$I$67,L226=phu!$I$68,L226=phu!$I$69,L226=phu!$I$70,L226=phu!$I$71),"Ba Ngòi",""),IF(OR(L226=phu!$I$72,L226=phu!$I$73,L226=phu!$I$74,L226=phu!$I$75,L226=phu!$I$76,L226=phu!$I$77,L226=phu!$I$78),"Cam Phước Đông",""),IF(OR(L226=phu!$I$79,L226=phu!$I$80,L226=phu!$I$81,L226=phu!$I$82,L226=phu!$I$83,L226=phu!$I$84),"Cam Thịnh Đông",""),IF(OR(L226=phu!$I$85,L226=phu!$I$86,L226=phu!$I$87,L226=phu!$I$88),"Cam Thịnh Tây",""),IF(OR(L226=phu!$I$89,L226=phu!$I$90),"Cam Lập",""),IF(OR(L226=phu!$I$91,L226=phu!$I$92,L226=phu!$I$93),"Cam Bình",""),IF(OR(L226=phu!$I$94,L226=phu!$I$95,L226=phu!$I$96,L226=phu!$I$97,L226=phu!$I$98,L226=phu!$I$99,L226=phu!$I$100),"Huyện khác",""),IF(OR(L226=phu!$I$101,L226=phu!$I$102),"Tỉnh khác",""))</f>
        <v/>
      </c>
      <c r="N226" s="835" t="str">
        <f t="shared" si="18"/>
        <v/>
      </c>
      <c r="O226" s="20"/>
      <c r="P226" s="20"/>
      <c r="Q226" s="20"/>
      <c r="R226" s="20"/>
      <c r="S226" s="20"/>
      <c r="T226" s="21"/>
      <c r="U226" s="21"/>
      <c r="V226" s="21"/>
      <c r="W226" s="7" t="str">
        <f t="shared" si="16"/>
        <v/>
      </c>
      <c r="X226" s="506" t="str">
        <f t="shared" si="17"/>
        <v/>
      </c>
    </row>
    <row r="227" spans="1:24" x14ac:dyDescent="0.25">
      <c r="A227" s="66" t="str">
        <f t="shared" si="19"/>
        <v/>
      </c>
      <c r="B227" s="23" t="str">
        <f t="shared" si="15"/>
        <v/>
      </c>
      <c r="C227" s="15"/>
      <c r="D227" s="16"/>
      <c r="E227" s="17"/>
      <c r="F227" s="18"/>
      <c r="G227" s="18"/>
      <c r="H227" s="19"/>
      <c r="I227" s="15"/>
      <c r="J227" s="20"/>
      <c r="K227" s="15"/>
      <c r="L227" s="15"/>
      <c r="M227" s="531" t="str">
        <f>CONCATENATE(IF(OR(L227=phu!$I$1,L227=phu!$I$2,L227=phu!$I$3),"Cam Thành Nam",""),IF(OR(L227=phu!$I$4,L227=phu!$I$5,L227=phu!$I$6,L227=phu!$I$7,L227=phu!$I$8,L227=phu!$I$9,L227=phu!$I$10,L227=phu!$I$11,L227=phu!$I$12,L227=phu!$I$13,L227=phu!$I$14),"Cam Nghĩa",""),IF(OR(L227=phu!$I$15,L227=phu!$I$16,L227=phu!$I$17,L227=phu!$I$18,L227=phu!$I$19,L227=phu!$I$20,L227=phu!$I$21),"Cam Phúc Bắc",""),IF(OR(L227=phu!$I$22,L227=phu!$I$23,L227=phu!$I$24,L227=phu!$I$25),"Cam Phúc Nam",""),IF(OR(L227=phu!$I$26,L227=phu!$I$27,L227=phu!$I$28,L227=phu!$I$29,L227=phu!$I$30,L227=phu!$I$31),"Cam Phú",""),IF(OR(L227=phu!$I$32,L227=phu!$I$33,L227=phu!$I$34,L227=phu!$I$35,L227=phu!$I$36,L227=phu!$I$37),"Cam Lộc",""),IF(OR(L227=phu!$I$38,L227=phu!$I$39,L227=phu!$I$40,L227=phu!$I$41,L227=phu!$I$42,L227=phu!$I$43,L227=phu!$I$44),"Cam Thuận",""),IF(OR(L227=phu!$I$45,L227=phu!$I$46,L227=phu!$I$47,L227=phu!$I$48,L227=phu!$I$49,L227=phu!$I$50,L227=phu!$I$51,L227=phu!$I$52,L227=phu!$I$53),"Cam Linh",""),IF(OR(L227=phu!$I$54,L227=phu!$I$55,L227=phu!$I$56,L227=phu!$I$57,L227=phu!$I$58,L227=phu!$I$59,L227=phu!$I$60,L227=phu!$I$61,L227=phu!$I$62),"Cam Lợi",""),IF(OR(L227=phu!$I$63,L227=phu!$I$64,L227=phu!$I$65,L227=phu!$I$66,L227=phu!$I$67,L227=phu!$I$68,L227=phu!$I$69,L227=phu!$I$70,L227=phu!$I$71),"Ba Ngòi",""),IF(OR(L227=phu!$I$72,L227=phu!$I$73,L227=phu!$I$74,L227=phu!$I$75,L227=phu!$I$76,L227=phu!$I$77,L227=phu!$I$78),"Cam Phước Đông",""),IF(OR(L227=phu!$I$79,L227=phu!$I$80,L227=phu!$I$81,L227=phu!$I$82,L227=phu!$I$83,L227=phu!$I$84),"Cam Thịnh Đông",""),IF(OR(L227=phu!$I$85,L227=phu!$I$86,L227=phu!$I$87,L227=phu!$I$88),"Cam Thịnh Tây",""),IF(OR(L227=phu!$I$89,L227=phu!$I$90),"Cam Lập",""),IF(OR(L227=phu!$I$91,L227=phu!$I$92,L227=phu!$I$93),"Cam Bình",""),IF(OR(L227=phu!$I$94,L227=phu!$I$95,L227=phu!$I$96,L227=phu!$I$97,L227=phu!$I$98,L227=phu!$I$99,L227=phu!$I$100),"Huyện khác",""),IF(OR(L227=phu!$I$101,L227=phu!$I$102),"Tỉnh khác",""))</f>
        <v/>
      </c>
      <c r="N227" s="835" t="str">
        <f t="shared" si="18"/>
        <v/>
      </c>
      <c r="O227" s="20"/>
      <c r="P227" s="20"/>
      <c r="Q227" s="20"/>
      <c r="R227" s="20"/>
      <c r="S227" s="20"/>
      <c r="T227" s="21"/>
      <c r="U227" s="21"/>
      <c r="V227" s="21"/>
      <c r="W227" s="7" t="str">
        <f t="shared" si="16"/>
        <v/>
      </c>
      <c r="X227" s="506" t="str">
        <f t="shared" si="17"/>
        <v/>
      </c>
    </row>
    <row r="228" spans="1:24" x14ac:dyDescent="0.25">
      <c r="A228" s="66" t="str">
        <f t="shared" si="19"/>
        <v/>
      </c>
      <c r="B228" s="23" t="str">
        <f t="shared" si="15"/>
        <v/>
      </c>
      <c r="C228" s="15"/>
      <c r="D228" s="16"/>
      <c r="E228" s="17"/>
      <c r="F228" s="18"/>
      <c r="G228" s="18"/>
      <c r="H228" s="19"/>
      <c r="I228" s="15"/>
      <c r="J228" s="20"/>
      <c r="K228" s="15"/>
      <c r="L228" s="15"/>
      <c r="M228" s="531" t="str">
        <f>CONCATENATE(IF(OR(L228=phu!$I$1,L228=phu!$I$2,L228=phu!$I$3),"Cam Thành Nam",""),IF(OR(L228=phu!$I$4,L228=phu!$I$5,L228=phu!$I$6,L228=phu!$I$7,L228=phu!$I$8,L228=phu!$I$9,L228=phu!$I$10,L228=phu!$I$11,L228=phu!$I$12,L228=phu!$I$13,L228=phu!$I$14),"Cam Nghĩa",""),IF(OR(L228=phu!$I$15,L228=phu!$I$16,L228=phu!$I$17,L228=phu!$I$18,L228=phu!$I$19,L228=phu!$I$20,L228=phu!$I$21),"Cam Phúc Bắc",""),IF(OR(L228=phu!$I$22,L228=phu!$I$23,L228=phu!$I$24,L228=phu!$I$25),"Cam Phúc Nam",""),IF(OR(L228=phu!$I$26,L228=phu!$I$27,L228=phu!$I$28,L228=phu!$I$29,L228=phu!$I$30,L228=phu!$I$31),"Cam Phú",""),IF(OR(L228=phu!$I$32,L228=phu!$I$33,L228=phu!$I$34,L228=phu!$I$35,L228=phu!$I$36,L228=phu!$I$37),"Cam Lộc",""),IF(OR(L228=phu!$I$38,L228=phu!$I$39,L228=phu!$I$40,L228=phu!$I$41,L228=phu!$I$42,L228=phu!$I$43,L228=phu!$I$44),"Cam Thuận",""),IF(OR(L228=phu!$I$45,L228=phu!$I$46,L228=phu!$I$47,L228=phu!$I$48,L228=phu!$I$49,L228=phu!$I$50,L228=phu!$I$51,L228=phu!$I$52,L228=phu!$I$53),"Cam Linh",""),IF(OR(L228=phu!$I$54,L228=phu!$I$55,L228=phu!$I$56,L228=phu!$I$57,L228=phu!$I$58,L228=phu!$I$59,L228=phu!$I$60,L228=phu!$I$61,L228=phu!$I$62),"Cam Lợi",""),IF(OR(L228=phu!$I$63,L228=phu!$I$64,L228=phu!$I$65,L228=phu!$I$66,L228=phu!$I$67,L228=phu!$I$68,L228=phu!$I$69,L228=phu!$I$70,L228=phu!$I$71),"Ba Ngòi",""),IF(OR(L228=phu!$I$72,L228=phu!$I$73,L228=phu!$I$74,L228=phu!$I$75,L228=phu!$I$76,L228=phu!$I$77,L228=phu!$I$78),"Cam Phước Đông",""),IF(OR(L228=phu!$I$79,L228=phu!$I$80,L228=phu!$I$81,L228=phu!$I$82,L228=phu!$I$83,L228=phu!$I$84),"Cam Thịnh Đông",""),IF(OR(L228=phu!$I$85,L228=phu!$I$86,L228=phu!$I$87,L228=phu!$I$88),"Cam Thịnh Tây",""),IF(OR(L228=phu!$I$89,L228=phu!$I$90),"Cam Lập",""),IF(OR(L228=phu!$I$91,L228=phu!$I$92,L228=phu!$I$93),"Cam Bình",""),IF(OR(L228=phu!$I$94,L228=phu!$I$95,L228=phu!$I$96,L228=phu!$I$97,L228=phu!$I$98,L228=phu!$I$99,L228=phu!$I$100),"Huyện khác",""),IF(OR(L228=phu!$I$101,L228=phu!$I$102),"Tỉnh khác",""))</f>
        <v/>
      </c>
      <c r="N228" s="835" t="str">
        <f t="shared" si="18"/>
        <v/>
      </c>
      <c r="O228" s="20"/>
      <c r="P228" s="20"/>
      <c r="Q228" s="20"/>
      <c r="R228" s="20"/>
      <c r="S228" s="20"/>
      <c r="T228" s="21"/>
      <c r="U228" s="21"/>
      <c r="V228" s="21"/>
      <c r="W228" s="7" t="str">
        <f t="shared" si="16"/>
        <v/>
      </c>
      <c r="X228" s="506" t="str">
        <f t="shared" si="17"/>
        <v/>
      </c>
    </row>
    <row r="229" spans="1:24" x14ac:dyDescent="0.25">
      <c r="A229" s="66" t="str">
        <f t="shared" si="19"/>
        <v/>
      </c>
      <c r="B229" s="23" t="str">
        <f t="shared" si="15"/>
        <v/>
      </c>
      <c r="C229" s="15"/>
      <c r="D229" s="16"/>
      <c r="E229" s="17"/>
      <c r="F229" s="18"/>
      <c r="G229" s="18"/>
      <c r="H229" s="19"/>
      <c r="I229" s="15"/>
      <c r="J229" s="20"/>
      <c r="K229" s="15"/>
      <c r="L229" s="15"/>
      <c r="M229" s="531" t="str">
        <f>CONCATENATE(IF(OR(L229=phu!$I$1,L229=phu!$I$2,L229=phu!$I$3),"Cam Thành Nam",""),IF(OR(L229=phu!$I$4,L229=phu!$I$5,L229=phu!$I$6,L229=phu!$I$7,L229=phu!$I$8,L229=phu!$I$9,L229=phu!$I$10,L229=phu!$I$11,L229=phu!$I$12,L229=phu!$I$13,L229=phu!$I$14),"Cam Nghĩa",""),IF(OR(L229=phu!$I$15,L229=phu!$I$16,L229=phu!$I$17,L229=phu!$I$18,L229=phu!$I$19,L229=phu!$I$20,L229=phu!$I$21),"Cam Phúc Bắc",""),IF(OR(L229=phu!$I$22,L229=phu!$I$23,L229=phu!$I$24,L229=phu!$I$25),"Cam Phúc Nam",""),IF(OR(L229=phu!$I$26,L229=phu!$I$27,L229=phu!$I$28,L229=phu!$I$29,L229=phu!$I$30,L229=phu!$I$31),"Cam Phú",""),IF(OR(L229=phu!$I$32,L229=phu!$I$33,L229=phu!$I$34,L229=phu!$I$35,L229=phu!$I$36,L229=phu!$I$37),"Cam Lộc",""),IF(OR(L229=phu!$I$38,L229=phu!$I$39,L229=phu!$I$40,L229=phu!$I$41,L229=phu!$I$42,L229=phu!$I$43,L229=phu!$I$44),"Cam Thuận",""),IF(OR(L229=phu!$I$45,L229=phu!$I$46,L229=phu!$I$47,L229=phu!$I$48,L229=phu!$I$49,L229=phu!$I$50,L229=phu!$I$51,L229=phu!$I$52,L229=phu!$I$53),"Cam Linh",""),IF(OR(L229=phu!$I$54,L229=phu!$I$55,L229=phu!$I$56,L229=phu!$I$57,L229=phu!$I$58,L229=phu!$I$59,L229=phu!$I$60,L229=phu!$I$61,L229=phu!$I$62),"Cam Lợi",""),IF(OR(L229=phu!$I$63,L229=phu!$I$64,L229=phu!$I$65,L229=phu!$I$66,L229=phu!$I$67,L229=phu!$I$68,L229=phu!$I$69,L229=phu!$I$70,L229=phu!$I$71),"Ba Ngòi",""),IF(OR(L229=phu!$I$72,L229=phu!$I$73,L229=phu!$I$74,L229=phu!$I$75,L229=phu!$I$76,L229=phu!$I$77,L229=phu!$I$78),"Cam Phước Đông",""),IF(OR(L229=phu!$I$79,L229=phu!$I$80,L229=phu!$I$81,L229=phu!$I$82,L229=phu!$I$83,L229=phu!$I$84),"Cam Thịnh Đông",""),IF(OR(L229=phu!$I$85,L229=phu!$I$86,L229=phu!$I$87,L229=phu!$I$88),"Cam Thịnh Tây",""),IF(OR(L229=phu!$I$89,L229=phu!$I$90),"Cam Lập",""),IF(OR(L229=phu!$I$91,L229=phu!$I$92,L229=phu!$I$93),"Cam Bình",""),IF(OR(L229=phu!$I$94,L229=phu!$I$95,L229=phu!$I$96,L229=phu!$I$97,L229=phu!$I$98,L229=phu!$I$99,L229=phu!$I$100),"Huyện khác",""),IF(OR(L229=phu!$I$101,L229=phu!$I$102),"Tỉnh khác",""))</f>
        <v/>
      </c>
      <c r="N229" s="835" t="str">
        <f t="shared" si="18"/>
        <v/>
      </c>
      <c r="O229" s="20"/>
      <c r="P229" s="20"/>
      <c r="Q229" s="20"/>
      <c r="R229" s="20"/>
      <c r="S229" s="20"/>
      <c r="T229" s="21"/>
      <c r="U229" s="21"/>
      <c r="V229" s="21"/>
      <c r="W229" s="7" t="str">
        <f t="shared" si="16"/>
        <v/>
      </c>
      <c r="X229" s="506" t="str">
        <f t="shared" si="17"/>
        <v/>
      </c>
    </row>
    <row r="230" spans="1:24" x14ac:dyDescent="0.25">
      <c r="A230" s="66" t="str">
        <f t="shared" si="19"/>
        <v/>
      </c>
      <c r="B230" s="23" t="str">
        <f t="shared" si="15"/>
        <v/>
      </c>
      <c r="C230" s="15"/>
      <c r="D230" s="16"/>
      <c r="E230" s="17"/>
      <c r="F230" s="18"/>
      <c r="G230" s="18"/>
      <c r="H230" s="19"/>
      <c r="I230" s="15"/>
      <c r="J230" s="20"/>
      <c r="K230" s="15"/>
      <c r="L230" s="15"/>
      <c r="M230" s="531" t="str">
        <f>CONCATENATE(IF(OR(L230=phu!$I$1,L230=phu!$I$2,L230=phu!$I$3),"Cam Thành Nam",""),IF(OR(L230=phu!$I$4,L230=phu!$I$5,L230=phu!$I$6,L230=phu!$I$7,L230=phu!$I$8,L230=phu!$I$9,L230=phu!$I$10,L230=phu!$I$11,L230=phu!$I$12,L230=phu!$I$13,L230=phu!$I$14),"Cam Nghĩa",""),IF(OR(L230=phu!$I$15,L230=phu!$I$16,L230=phu!$I$17,L230=phu!$I$18,L230=phu!$I$19,L230=phu!$I$20,L230=phu!$I$21),"Cam Phúc Bắc",""),IF(OR(L230=phu!$I$22,L230=phu!$I$23,L230=phu!$I$24,L230=phu!$I$25),"Cam Phúc Nam",""),IF(OR(L230=phu!$I$26,L230=phu!$I$27,L230=phu!$I$28,L230=phu!$I$29,L230=phu!$I$30,L230=phu!$I$31),"Cam Phú",""),IF(OR(L230=phu!$I$32,L230=phu!$I$33,L230=phu!$I$34,L230=phu!$I$35,L230=phu!$I$36,L230=phu!$I$37),"Cam Lộc",""),IF(OR(L230=phu!$I$38,L230=phu!$I$39,L230=phu!$I$40,L230=phu!$I$41,L230=phu!$I$42,L230=phu!$I$43,L230=phu!$I$44),"Cam Thuận",""),IF(OR(L230=phu!$I$45,L230=phu!$I$46,L230=phu!$I$47,L230=phu!$I$48,L230=phu!$I$49,L230=phu!$I$50,L230=phu!$I$51,L230=phu!$I$52,L230=phu!$I$53),"Cam Linh",""),IF(OR(L230=phu!$I$54,L230=phu!$I$55,L230=phu!$I$56,L230=phu!$I$57,L230=phu!$I$58,L230=phu!$I$59,L230=phu!$I$60,L230=phu!$I$61,L230=phu!$I$62),"Cam Lợi",""),IF(OR(L230=phu!$I$63,L230=phu!$I$64,L230=phu!$I$65,L230=phu!$I$66,L230=phu!$I$67,L230=phu!$I$68,L230=phu!$I$69,L230=phu!$I$70,L230=phu!$I$71),"Ba Ngòi",""),IF(OR(L230=phu!$I$72,L230=phu!$I$73,L230=phu!$I$74,L230=phu!$I$75,L230=phu!$I$76,L230=phu!$I$77,L230=phu!$I$78),"Cam Phước Đông",""),IF(OR(L230=phu!$I$79,L230=phu!$I$80,L230=phu!$I$81,L230=phu!$I$82,L230=phu!$I$83,L230=phu!$I$84),"Cam Thịnh Đông",""),IF(OR(L230=phu!$I$85,L230=phu!$I$86,L230=phu!$I$87,L230=phu!$I$88),"Cam Thịnh Tây",""),IF(OR(L230=phu!$I$89,L230=phu!$I$90),"Cam Lập",""),IF(OR(L230=phu!$I$91,L230=phu!$I$92,L230=phu!$I$93),"Cam Bình",""),IF(OR(L230=phu!$I$94,L230=phu!$I$95,L230=phu!$I$96,L230=phu!$I$97,L230=phu!$I$98,L230=phu!$I$99,L230=phu!$I$100),"Huyện khác",""),IF(OR(L230=phu!$I$101,L230=phu!$I$102),"Tỉnh khác",""))</f>
        <v/>
      </c>
      <c r="N230" s="835" t="str">
        <f t="shared" si="18"/>
        <v/>
      </c>
      <c r="O230" s="20"/>
      <c r="P230" s="20"/>
      <c r="Q230" s="20"/>
      <c r="R230" s="20"/>
      <c r="S230" s="20"/>
      <c r="T230" s="21"/>
      <c r="U230" s="21"/>
      <c r="V230" s="21"/>
      <c r="W230" s="7" t="str">
        <f t="shared" si="16"/>
        <v/>
      </c>
      <c r="X230" s="506" t="str">
        <f t="shared" si="17"/>
        <v/>
      </c>
    </row>
    <row r="231" spans="1:24" x14ac:dyDescent="0.25">
      <c r="A231" s="66" t="str">
        <f t="shared" si="19"/>
        <v/>
      </c>
      <c r="B231" s="23" t="str">
        <f t="shared" si="15"/>
        <v/>
      </c>
      <c r="C231" s="15"/>
      <c r="D231" s="16"/>
      <c r="E231" s="17"/>
      <c r="F231" s="18"/>
      <c r="G231" s="18"/>
      <c r="H231" s="19"/>
      <c r="I231" s="15"/>
      <c r="J231" s="20"/>
      <c r="K231" s="15"/>
      <c r="L231" s="15"/>
      <c r="M231" s="531" t="str">
        <f>CONCATENATE(IF(OR(L231=phu!$I$1,L231=phu!$I$2,L231=phu!$I$3),"Cam Thành Nam",""),IF(OR(L231=phu!$I$4,L231=phu!$I$5,L231=phu!$I$6,L231=phu!$I$7,L231=phu!$I$8,L231=phu!$I$9,L231=phu!$I$10,L231=phu!$I$11,L231=phu!$I$12,L231=phu!$I$13,L231=phu!$I$14),"Cam Nghĩa",""),IF(OR(L231=phu!$I$15,L231=phu!$I$16,L231=phu!$I$17,L231=phu!$I$18,L231=phu!$I$19,L231=phu!$I$20,L231=phu!$I$21),"Cam Phúc Bắc",""),IF(OR(L231=phu!$I$22,L231=phu!$I$23,L231=phu!$I$24,L231=phu!$I$25),"Cam Phúc Nam",""),IF(OR(L231=phu!$I$26,L231=phu!$I$27,L231=phu!$I$28,L231=phu!$I$29,L231=phu!$I$30,L231=phu!$I$31),"Cam Phú",""),IF(OR(L231=phu!$I$32,L231=phu!$I$33,L231=phu!$I$34,L231=phu!$I$35,L231=phu!$I$36,L231=phu!$I$37),"Cam Lộc",""),IF(OR(L231=phu!$I$38,L231=phu!$I$39,L231=phu!$I$40,L231=phu!$I$41,L231=phu!$I$42,L231=phu!$I$43,L231=phu!$I$44),"Cam Thuận",""),IF(OR(L231=phu!$I$45,L231=phu!$I$46,L231=phu!$I$47,L231=phu!$I$48,L231=phu!$I$49,L231=phu!$I$50,L231=phu!$I$51,L231=phu!$I$52,L231=phu!$I$53),"Cam Linh",""),IF(OR(L231=phu!$I$54,L231=phu!$I$55,L231=phu!$I$56,L231=phu!$I$57,L231=phu!$I$58,L231=phu!$I$59,L231=phu!$I$60,L231=phu!$I$61,L231=phu!$I$62),"Cam Lợi",""),IF(OR(L231=phu!$I$63,L231=phu!$I$64,L231=phu!$I$65,L231=phu!$I$66,L231=phu!$I$67,L231=phu!$I$68,L231=phu!$I$69,L231=phu!$I$70,L231=phu!$I$71),"Ba Ngòi",""),IF(OR(L231=phu!$I$72,L231=phu!$I$73,L231=phu!$I$74,L231=phu!$I$75,L231=phu!$I$76,L231=phu!$I$77,L231=phu!$I$78),"Cam Phước Đông",""),IF(OR(L231=phu!$I$79,L231=phu!$I$80,L231=phu!$I$81,L231=phu!$I$82,L231=phu!$I$83,L231=phu!$I$84),"Cam Thịnh Đông",""),IF(OR(L231=phu!$I$85,L231=phu!$I$86,L231=phu!$I$87,L231=phu!$I$88),"Cam Thịnh Tây",""),IF(OR(L231=phu!$I$89,L231=phu!$I$90),"Cam Lập",""),IF(OR(L231=phu!$I$91,L231=phu!$I$92,L231=phu!$I$93),"Cam Bình",""),IF(OR(L231=phu!$I$94,L231=phu!$I$95,L231=phu!$I$96,L231=phu!$I$97,L231=phu!$I$98,L231=phu!$I$99,L231=phu!$I$100),"Huyện khác",""),IF(OR(L231=phu!$I$101,L231=phu!$I$102),"Tỉnh khác",""))</f>
        <v/>
      </c>
      <c r="N231" s="835" t="str">
        <f t="shared" si="18"/>
        <v/>
      </c>
      <c r="O231" s="20"/>
      <c r="P231" s="20"/>
      <c r="Q231" s="20"/>
      <c r="R231" s="20"/>
      <c r="S231" s="20"/>
      <c r="T231" s="21"/>
      <c r="U231" s="21"/>
      <c r="V231" s="21"/>
      <c r="W231" s="7" t="str">
        <f t="shared" si="16"/>
        <v/>
      </c>
      <c r="X231" s="506" t="str">
        <f t="shared" si="17"/>
        <v/>
      </c>
    </row>
    <row r="232" spans="1:24" x14ac:dyDescent="0.25">
      <c r="A232" s="66" t="str">
        <f t="shared" si="19"/>
        <v/>
      </c>
      <c r="B232" s="23" t="str">
        <f t="shared" si="15"/>
        <v/>
      </c>
      <c r="C232" s="15"/>
      <c r="D232" s="16"/>
      <c r="E232" s="17"/>
      <c r="F232" s="18"/>
      <c r="G232" s="18"/>
      <c r="H232" s="19"/>
      <c r="I232" s="15"/>
      <c r="J232" s="20"/>
      <c r="K232" s="15"/>
      <c r="L232" s="15"/>
      <c r="M232" s="531" t="str">
        <f>CONCATENATE(IF(OR(L232=phu!$I$1,L232=phu!$I$2,L232=phu!$I$3),"Cam Thành Nam",""),IF(OR(L232=phu!$I$4,L232=phu!$I$5,L232=phu!$I$6,L232=phu!$I$7,L232=phu!$I$8,L232=phu!$I$9,L232=phu!$I$10,L232=phu!$I$11,L232=phu!$I$12,L232=phu!$I$13,L232=phu!$I$14),"Cam Nghĩa",""),IF(OR(L232=phu!$I$15,L232=phu!$I$16,L232=phu!$I$17,L232=phu!$I$18,L232=phu!$I$19,L232=phu!$I$20,L232=phu!$I$21),"Cam Phúc Bắc",""),IF(OR(L232=phu!$I$22,L232=phu!$I$23,L232=phu!$I$24,L232=phu!$I$25),"Cam Phúc Nam",""),IF(OR(L232=phu!$I$26,L232=phu!$I$27,L232=phu!$I$28,L232=phu!$I$29,L232=phu!$I$30,L232=phu!$I$31),"Cam Phú",""),IF(OR(L232=phu!$I$32,L232=phu!$I$33,L232=phu!$I$34,L232=phu!$I$35,L232=phu!$I$36,L232=phu!$I$37),"Cam Lộc",""),IF(OR(L232=phu!$I$38,L232=phu!$I$39,L232=phu!$I$40,L232=phu!$I$41,L232=phu!$I$42,L232=phu!$I$43,L232=phu!$I$44),"Cam Thuận",""),IF(OR(L232=phu!$I$45,L232=phu!$I$46,L232=phu!$I$47,L232=phu!$I$48,L232=phu!$I$49,L232=phu!$I$50,L232=phu!$I$51,L232=phu!$I$52,L232=phu!$I$53),"Cam Linh",""),IF(OR(L232=phu!$I$54,L232=phu!$I$55,L232=phu!$I$56,L232=phu!$I$57,L232=phu!$I$58,L232=phu!$I$59,L232=phu!$I$60,L232=phu!$I$61,L232=phu!$I$62),"Cam Lợi",""),IF(OR(L232=phu!$I$63,L232=phu!$I$64,L232=phu!$I$65,L232=phu!$I$66,L232=phu!$I$67,L232=phu!$I$68,L232=phu!$I$69,L232=phu!$I$70,L232=phu!$I$71),"Ba Ngòi",""),IF(OR(L232=phu!$I$72,L232=phu!$I$73,L232=phu!$I$74,L232=phu!$I$75,L232=phu!$I$76,L232=phu!$I$77,L232=phu!$I$78),"Cam Phước Đông",""),IF(OR(L232=phu!$I$79,L232=phu!$I$80,L232=phu!$I$81,L232=phu!$I$82,L232=phu!$I$83,L232=phu!$I$84),"Cam Thịnh Đông",""),IF(OR(L232=phu!$I$85,L232=phu!$I$86,L232=phu!$I$87,L232=phu!$I$88),"Cam Thịnh Tây",""),IF(OR(L232=phu!$I$89,L232=phu!$I$90),"Cam Lập",""),IF(OR(L232=phu!$I$91,L232=phu!$I$92,L232=phu!$I$93),"Cam Bình",""),IF(OR(L232=phu!$I$94,L232=phu!$I$95,L232=phu!$I$96,L232=phu!$I$97,L232=phu!$I$98,L232=phu!$I$99,L232=phu!$I$100),"Huyện khác",""),IF(OR(L232=phu!$I$101,L232=phu!$I$102),"Tỉnh khác",""))</f>
        <v/>
      </c>
      <c r="N232" s="835" t="str">
        <f t="shared" si="18"/>
        <v/>
      </c>
      <c r="O232" s="20"/>
      <c r="P232" s="20"/>
      <c r="Q232" s="20"/>
      <c r="R232" s="20"/>
      <c r="S232" s="20"/>
      <c r="T232" s="21"/>
      <c r="U232" s="21"/>
      <c r="V232" s="21"/>
      <c r="W232" s="7" t="str">
        <f t="shared" si="16"/>
        <v/>
      </c>
      <c r="X232" s="506" t="str">
        <f t="shared" si="17"/>
        <v/>
      </c>
    </row>
    <row r="233" spans="1:24" x14ac:dyDescent="0.25">
      <c r="A233" s="66" t="str">
        <f t="shared" si="19"/>
        <v/>
      </c>
      <c r="B233" s="23" t="str">
        <f t="shared" si="15"/>
        <v/>
      </c>
      <c r="C233" s="15"/>
      <c r="D233" s="16"/>
      <c r="E233" s="17"/>
      <c r="F233" s="18"/>
      <c r="G233" s="18"/>
      <c r="H233" s="19"/>
      <c r="I233" s="15"/>
      <c r="J233" s="20"/>
      <c r="K233" s="15"/>
      <c r="L233" s="15"/>
      <c r="M233" s="531" t="str">
        <f>CONCATENATE(IF(OR(L233=phu!$I$1,L233=phu!$I$2,L233=phu!$I$3),"Cam Thành Nam",""),IF(OR(L233=phu!$I$4,L233=phu!$I$5,L233=phu!$I$6,L233=phu!$I$7,L233=phu!$I$8,L233=phu!$I$9,L233=phu!$I$10,L233=phu!$I$11,L233=phu!$I$12,L233=phu!$I$13,L233=phu!$I$14),"Cam Nghĩa",""),IF(OR(L233=phu!$I$15,L233=phu!$I$16,L233=phu!$I$17,L233=phu!$I$18,L233=phu!$I$19,L233=phu!$I$20,L233=phu!$I$21),"Cam Phúc Bắc",""),IF(OR(L233=phu!$I$22,L233=phu!$I$23,L233=phu!$I$24,L233=phu!$I$25),"Cam Phúc Nam",""),IF(OR(L233=phu!$I$26,L233=phu!$I$27,L233=phu!$I$28,L233=phu!$I$29,L233=phu!$I$30,L233=phu!$I$31),"Cam Phú",""),IF(OR(L233=phu!$I$32,L233=phu!$I$33,L233=phu!$I$34,L233=phu!$I$35,L233=phu!$I$36,L233=phu!$I$37),"Cam Lộc",""),IF(OR(L233=phu!$I$38,L233=phu!$I$39,L233=phu!$I$40,L233=phu!$I$41,L233=phu!$I$42,L233=phu!$I$43,L233=phu!$I$44),"Cam Thuận",""),IF(OR(L233=phu!$I$45,L233=phu!$I$46,L233=phu!$I$47,L233=phu!$I$48,L233=phu!$I$49,L233=phu!$I$50,L233=phu!$I$51,L233=phu!$I$52,L233=phu!$I$53),"Cam Linh",""),IF(OR(L233=phu!$I$54,L233=phu!$I$55,L233=phu!$I$56,L233=phu!$I$57,L233=phu!$I$58,L233=phu!$I$59,L233=phu!$I$60,L233=phu!$I$61,L233=phu!$I$62),"Cam Lợi",""),IF(OR(L233=phu!$I$63,L233=phu!$I$64,L233=phu!$I$65,L233=phu!$I$66,L233=phu!$I$67,L233=phu!$I$68,L233=phu!$I$69,L233=phu!$I$70,L233=phu!$I$71),"Ba Ngòi",""),IF(OR(L233=phu!$I$72,L233=phu!$I$73,L233=phu!$I$74,L233=phu!$I$75,L233=phu!$I$76,L233=phu!$I$77,L233=phu!$I$78),"Cam Phước Đông",""),IF(OR(L233=phu!$I$79,L233=phu!$I$80,L233=phu!$I$81,L233=phu!$I$82,L233=phu!$I$83,L233=phu!$I$84),"Cam Thịnh Đông",""),IF(OR(L233=phu!$I$85,L233=phu!$I$86,L233=phu!$I$87,L233=phu!$I$88),"Cam Thịnh Tây",""),IF(OR(L233=phu!$I$89,L233=phu!$I$90),"Cam Lập",""),IF(OR(L233=phu!$I$91,L233=phu!$I$92,L233=phu!$I$93),"Cam Bình",""),IF(OR(L233=phu!$I$94,L233=phu!$I$95,L233=phu!$I$96,L233=phu!$I$97,L233=phu!$I$98,L233=phu!$I$99,L233=phu!$I$100),"Huyện khác",""),IF(OR(L233=phu!$I$101,L233=phu!$I$102),"Tỉnh khác",""))</f>
        <v/>
      </c>
      <c r="N233" s="835" t="str">
        <f t="shared" si="18"/>
        <v/>
      </c>
      <c r="O233" s="20"/>
      <c r="P233" s="20"/>
      <c r="Q233" s="20"/>
      <c r="R233" s="20"/>
      <c r="S233" s="20"/>
      <c r="T233" s="21"/>
      <c r="U233" s="21"/>
      <c r="V233" s="21"/>
      <c r="W233" s="7" t="str">
        <f t="shared" si="16"/>
        <v/>
      </c>
      <c r="X233" s="506" t="str">
        <f t="shared" si="17"/>
        <v/>
      </c>
    </row>
    <row r="234" spans="1:24" x14ac:dyDescent="0.25">
      <c r="A234" s="66" t="str">
        <f t="shared" si="19"/>
        <v/>
      </c>
      <c r="B234" s="23" t="str">
        <f t="shared" si="15"/>
        <v/>
      </c>
      <c r="C234" s="15"/>
      <c r="D234" s="16"/>
      <c r="E234" s="17"/>
      <c r="F234" s="18"/>
      <c r="G234" s="18"/>
      <c r="H234" s="19"/>
      <c r="I234" s="15"/>
      <c r="J234" s="20"/>
      <c r="K234" s="15"/>
      <c r="L234" s="15"/>
      <c r="M234" s="531" t="str">
        <f>CONCATENATE(IF(OR(L234=phu!$I$1,L234=phu!$I$2,L234=phu!$I$3),"Cam Thành Nam",""),IF(OR(L234=phu!$I$4,L234=phu!$I$5,L234=phu!$I$6,L234=phu!$I$7,L234=phu!$I$8,L234=phu!$I$9,L234=phu!$I$10,L234=phu!$I$11,L234=phu!$I$12,L234=phu!$I$13,L234=phu!$I$14),"Cam Nghĩa",""),IF(OR(L234=phu!$I$15,L234=phu!$I$16,L234=phu!$I$17,L234=phu!$I$18,L234=phu!$I$19,L234=phu!$I$20,L234=phu!$I$21),"Cam Phúc Bắc",""),IF(OR(L234=phu!$I$22,L234=phu!$I$23,L234=phu!$I$24,L234=phu!$I$25),"Cam Phúc Nam",""),IF(OR(L234=phu!$I$26,L234=phu!$I$27,L234=phu!$I$28,L234=phu!$I$29,L234=phu!$I$30,L234=phu!$I$31),"Cam Phú",""),IF(OR(L234=phu!$I$32,L234=phu!$I$33,L234=phu!$I$34,L234=phu!$I$35,L234=phu!$I$36,L234=phu!$I$37),"Cam Lộc",""),IF(OR(L234=phu!$I$38,L234=phu!$I$39,L234=phu!$I$40,L234=phu!$I$41,L234=phu!$I$42,L234=phu!$I$43,L234=phu!$I$44),"Cam Thuận",""),IF(OR(L234=phu!$I$45,L234=phu!$I$46,L234=phu!$I$47,L234=phu!$I$48,L234=phu!$I$49,L234=phu!$I$50,L234=phu!$I$51,L234=phu!$I$52,L234=phu!$I$53),"Cam Linh",""),IF(OR(L234=phu!$I$54,L234=phu!$I$55,L234=phu!$I$56,L234=phu!$I$57,L234=phu!$I$58,L234=phu!$I$59,L234=phu!$I$60,L234=phu!$I$61,L234=phu!$I$62),"Cam Lợi",""),IF(OR(L234=phu!$I$63,L234=phu!$I$64,L234=phu!$I$65,L234=phu!$I$66,L234=phu!$I$67,L234=phu!$I$68,L234=phu!$I$69,L234=phu!$I$70,L234=phu!$I$71),"Ba Ngòi",""),IF(OR(L234=phu!$I$72,L234=phu!$I$73,L234=phu!$I$74,L234=phu!$I$75,L234=phu!$I$76,L234=phu!$I$77,L234=phu!$I$78),"Cam Phước Đông",""),IF(OR(L234=phu!$I$79,L234=phu!$I$80,L234=phu!$I$81,L234=phu!$I$82,L234=phu!$I$83,L234=phu!$I$84),"Cam Thịnh Đông",""),IF(OR(L234=phu!$I$85,L234=phu!$I$86,L234=phu!$I$87,L234=phu!$I$88),"Cam Thịnh Tây",""),IF(OR(L234=phu!$I$89,L234=phu!$I$90),"Cam Lập",""),IF(OR(L234=phu!$I$91,L234=phu!$I$92,L234=phu!$I$93),"Cam Bình",""),IF(OR(L234=phu!$I$94,L234=phu!$I$95,L234=phu!$I$96,L234=phu!$I$97,L234=phu!$I$98,L234=phu!$I$99,L234=phu!$I$100),"Huyện khác",""),IF(OR(L234=phu!$I$101,L234=phu!$I$102),"Tỉnh khác",""))</f>
        <v/>
      </c>
      <c r="N234" s="835" t="str">
        <f t="shared" si="18"/>
        <v/>
      </c>
      <c r="O234" s="20"/>
      <c r="P234" s="20"/>
      <c r="Q234" s="20"/>
      <c r="R234" s="20"/>
      <c r="S234" s="20"/>
      <c r="T234" s="21"/>
      <c r="U234" s="21"/>
      <c r="V234" s="21"/>
      <c r="W234" s="7" t="str">
        <f t="shared" si="16"/>
        <v/>
      </c>
      <c r="X234" s="506" t="str">
        <f t="shared" si="17"/>
        <v/>
      </c>
    </row>
    <row r="235" spans="1:24" x14ac:dyDescent="0.25">
      <c r="A235" s="66" t="str">
        <f t="shared" si="19"/>
        <v/>
      </c>
      <c r="B235" s="23" t="str">
        <f t="shared" si="15"/>
        <v/>
      </c>
      <c r="C235" s="15"/>
      <c r="D235" s="16"/>
      <c r="E235" s="17"/>
      <c r="F235" s="18"/>
      <c r="G235" s="18"/>
      <c r="H235" s="19"/>
      <c r="I235" s="15"/>
      <c r="J235" s="20"/>
      <c r="K235" s="15"/>
      <c r="L235" s="15"/>
      <c r="M235" s="531" t="str">
        <f>CONCATENATE(IF(OR(L235=phu!$I$1,L235=phu!$I$2,L235=phu!$I$3),"Cam Thành Nam",""),IF(OR(L235=phu!$I$4,L235=phu!$I$5,L235=phu!$I$6,L235=phu!$I$7,L235=phu!$I$8,L235=phu!$I$9,L235=phu!$I$10,L235=phu!$I$11,L235=phu!$I$12,L235=phu!$I$13,L235=phu!$I$14),"Cam Nghĩa",""),IF(OR(L235=phu!$I$15,L235=phu!$I$16,L235=phu!$I$17,L235=phu!$I$18,L235=phu!$I$19,L235=phu!$I$20,L235=phu!$I$21),"Cam Phúc Bắc",""),IF(OR(L235=phu!$I$22,L235=phu!$I$23,L235=phu!$I$24,L235=phu!$I$25),"Cam Phúc Nam",""),IF(OR(L235=phu!$I$26,L235=phu!$I$27,L235=phu!$I$28,L235=phu!$I$29,L235=phu!$I$30,L235=phu!$I$31),"Cam Phú",""),IF(OR(L235=phu!$I$32,L235=phu!$I$33,L235=phu!$I$34,L235=phu!$I$35,L235=phu!$I$36,L235=phu!$I$37),"Cam Lộc",""),IF(OR(L235=phu!$I$38,L235=phu!$I$39,L235=phu!$I$40,L235=phu!$I$41,L235=phu!$I$42,L235=phu!$I$43,L235=phu!$I$44),"Cam Thuận",""),IF(OR(L235=phu!$I$45,L235=phu!$I$46,L235=phu!$I$47,L235=phu!$I$48,L235=phu!$I$49,L235=phu!$I$50,L235=phu!$I$51,L235=phu!$I$52,L235=phu!$I$53),"Cam Linh",""),IF(OR(L235=phu!$I$54,L235=phu!$I$55,L235=phu!$I$56,L235=phu!$I$57,L235=phu!$I$58,L235=phu!$I$59,L235=phu!$I$60,L235=phu!$I$61,L235=phu!$I$62),"Cam Lợi",""),IF(OR(L235=phu!$I$63,L235=phu!$I$64,L235=phu!$I$65,L235=phu!$I$66,L235=phu!$I$67,L235=phu!$I$68,L235=phu!$I$69,L235=phu!$I$70,L235=phu!$I$71),"Ba Ngòi",""),IF(OR(L235=phu!$I$72,L235=phu!$I$73,L235=phu!$I$74,L235=phu!$I$75,L235=phu!$I$76,L235=phu!$I$77,L235=phu!$I$78),"Cam Phước Đông",""),IF(OR(L235=phu!$I$79,L235=phu!$I$80,L235=phu!$I$81,L235=phu!$I$82,L235=phu!$I$83,L235=phu!$I$84),"Cam Thịnh Đông",""),IF(OR(L235=phu!$I$85,L235=phu!$I$86,L235=phu!$I$87,L235=phu!$I$88),"Cam Thịnh Tây",""),IF(OR(L235=phu!$I$89,L235=phu!$I$90),"Cam Lập",""),IF(OR(L235=phu!$I$91,L235=phu!$I$92,L235=phu!$I$93),"Cam Bình",""),IF(OR(L235=phu!$I$94,L235=phu!$I$95,L235=phu!$I$96,L235=phu!$I$97,L235=phu!$I$98,L235=phu!$I$99,L235=phu!$I$100),"Huyện khác",""),IF(OR(L235=phu!$I$101,L235=phu!$I$102),"Tỉnh khác",""))</f>
        <v/>
      </c>
      <c r="N235" s="835" t="str">
        <f t="shared" si="18"/>
        <v/>
      </c>
      <c r="O235" s="20"/>
      <c r="P235" s="20"/>
      <c r="Q235" s="20"/>
      <c r="R235" s="20"/>
      <c r="S235" s="20"/>
      <c r="T235" s="21"/>
      <c r="U235" s="21"/>
      <c r="V235" s="21"/>
      <c r="W235" s="7" t="str">
        <f t="shared" si="16"/>
        <v/>
      </c>
      <c r="X235" s="506" t="str">
        <f t="shared" si="17"/>
        <v/>
      </c>
    </row>
    <row r="236" spans="1:24" x14ac:dyDescent="0.25">
      <c r="A236" s="66" t="str">
        <f t="shared" si="19"/>
        <v/>
      </c>
      <c r="B236" s="23" t="str">
        <f t="shared" si="15"/>
        <v/>
      </c>
      <c r="C236" s="15"/>
      <c r="D236" s="16"/>
      <c r="E236" s="17"/>
      <c r="F236" s="18"/>
      <c r="G236" s="18"/>
      <c r="H236" s="19"/>
      <c r="I236" s="15"/>
      <c r="J236" s="20"/>
      <c r="K236" s="15"/>
      <c r="L236" s="15"/>
      <c r="M236" s="531" t="str">
        <f>CONCATENATE(IF(OR(L236=phu!$I$1,L236=phu!$I$2,L236=phu!$I$3),"Cam Thành Nam",""),IF(OR(L236=phu!$I$4,L236=phu!$I$5,L236=phu!$I$6,L236=phu!$I$7,L236=phu!$I$8,L236=phu!$I$9,L236=phu!$I$10,L236=phu!$I$11,L236=phu!$I$12,L236=phu!$I$13,L236=phu!$I$14),"Cam Nghĩa",""),IF(OR(L236=phu!$I$15,L236=phu!$I$16,L236=phu!$I$17,L236=phu!$I$18,L236=phu!$I$19,L236=phu!$I$20,L236=phu!$I$21),"Cam Phúc Bắc",""),IF(OR(L236=phu!$I$22,L236=phu!$I$23,L236=phu!$I$24,L236=phu!$I$25),"Cam Phúc Nam",""),IF(OR(L236=phu!$I$26,L236=phu!$I$27,L236=phu!$I$28,L236=phu!$I$29,L236=phu!$I$30,L236=phu!$I$31),"Cam Phú",""),IF(OR(L236=phu!$I$32,L236=phu!$I$33,L236=phu!$I$34,L236=phu!$I$35,L236=phu!$I$36,L236=phu!$I$37),"Cam Lộc",""),IF(OR(L236=phu!$I$38,L236=phu!$I$39,L236=phu!$I$40,L236=phu!$I$41,L236=phu!$I$42,L236=phu!$I$43,L236=phu!$I$44),"Cam Thuận",""),IF(OR(L236=phu!$I$45,L236=phu!$I$46,L236=phu!$I$47,L236=phu!$I$48,L236=phu!$I$49,L236=phu!$I$50,L236=phu!$I$51,L236=phu!$I$52,L236=phu!$I$53),"Cam Linh",""),IF(OR(L236=phu!$I$54,L236=phu!$I$55,L236=phu!$I$56,L236=phu!$I$57,L236=phu!$I$58,L236=phu!$I$59,L236=phu!$I$60,L236=phu!$I$61,L236=phu!$I$62),"Cam Lợi",""),IF(OR(L236=phu!$I$63,L236=phu!$I$64,L236=phu!$I$65,L236=phu!$I$66,L236=phu!$I$67,L236=phu!$I$68,L236=phu!$I$69,L236=phu!$I$70,L236=phu!$I$71),"Ba Ngòi",""),IF(OR(L236=phu!$I$72,L236=phu!$I$73,L236=phu!$I$74,L236=phu!$I$75,L236=phu!$I$76,L236=phu!$I$77,L236=phu!$I$78),"Cam Phước Đông",""),IF(OR(L236=phu!$I$79,L236=phu!$I$80,L236=phu!$I$81,L236=phu!$I$82,L236=phu!$I$83,L236=phu!$I$84),"Cam Thịnh Đông",""),IF(OR(L236=phu!$I$85,L236=phu!$I$86,L236=phu!$I$87,L236=phu!$I$88),"Cam Thịnh Tây",""),IF(OR(L236=phu!$I$89,L236=phu!$I$90),"Cam Lập",""),IF(OR(L236=phu!$I$91,L236=phu!$I$92,L236=phu!$I$93),"Cam Bình",""),IF(OR(L236=phu!$I$94,L236=phu!$I$95,L236=phu!$I$96,L236=phu!$I$97,L236=phu!$I$98,L236=phu!$I$99,L236=phu!$I$100),"Huyện khác",""),IF(OR(L236=phu!$I$101,L236=phu!$I$102),"Tỉnh khác",""))</f>
        <v/>
      </c>
      <c r="N236" s="835" t="str">
        <f t="shared" si="18"/>
        <v/>
      </c>
      <c r="O236" s="20"/>
      <c r="P236" s="20"/>
      <c r="Q236" s="20"/>
      <c r="R236" s="20"/>
      <c r="S236" s="20"/>
      <c r="T236" s="21"/>
      <c r="U236" s="21"/>
      <c r="V236" s="21"/>
      <c r="W236" s="7" t="str">
        <f t="shared" si="16"/>
        <v/>
      </c>
      <c r="X236" s="506" t="str">
        <f t="shared" si="17"/>
        <v/>
      </c>
    </row>
    <row r="237" spans="1:24" x14ac:dyDescent="0.25">
      <c r="A237" s="66" t="str">
        <f t="shared" si="19"/>
        <v/>
      </c>
      <c r="B237" s="23" t="str">
        <f t="shared" si="15"/>
        <v/>
      </c>
      <c r="C237" s="15"/>
      <c r="D237" s="16"/>
      <c r="E237" s="17"/>
      <c r="F237" s="18"/>
      <c r="G237" s="18"/>
      <c r="H237" s="19"/>
      <c r="I237" s="15"/>
      <c r="J237" s="20"/>
      <c r="K237" s="15"/>
      <c r="L237" s="15"/>
      <c r="M237" s="531" t="str">
        <f>CONCATENATE(IF(OR(L237=phu!$I$1,L237=phu!$I$2,L237=phu!$I$3),"Cam Thành Nam",""),IF(OR(L237=phu!$I$4,L237=phu!$I$5,L237=phu!$I$6,L237=phu!$I$7,L237=phu!$I$8,L237=phu!$I$9,L237=phu!$I$10,L237=phu!$I$11,L237=phu!$I$12,L237=phu!$I$13,L237=phu!$I$14),"Cam Nghĩa",""),IF(OR(L237=phu!$I$15,L237=phu!$I$16,L237=phu!$I$17,L237=phu!$I$18,L237=phu!$I$19,L237=phu!$I$20,L237=phu!$I$21),"Cam Phúc Bắc",""),IF(OR(L237=phu!$I$22,L237=phu!$I$23,L237=phu!$I$24,L237=phu!$I$25),"Cam Phúc Nam",""),IF(OR(L237=phu!$I$26,L237=phu!$I$27,L237=phu!$I$28,L237=phu!$I$29,L237=phu!$I$30,L237=phu!$I$31),"Cam Phú",""),IF(OR(L237=phu!$I$32,L237=phu!$I$33,L237=phu!$I$34,L237=phu!$I$35,L237=phu!$I$36,L237=phu!$I$37),"Cam Lộc",""),IF(OR(L237=phu!$I$38,L237=phu!$I$39,L237=phu!$I$40,L237=phu!$I$41,L237=phu!$I$42,L237=phu!$I$43,L237=phu!$I$44),"Cam Thuận",""),IF(OR(L237=phu!$I$45,L237=phu!$I$46,L237=phu!$I$47,L237=phu!$I$48,L237=phu!$I$49,L237=phu!$I$50,L237=phu!$I$51,L237=phu!$I$52,L237=phu!$I$53),"Cam Linh",""),IF(OR(L237=phu!$I$54,L237=phu!$I$55,L237=phu!$I$56,L237=phu!$I$57,L237=phu!$I$58,L237=phu!$I$59,L237=phu!$I$60,L237=phu!$I$61,L237=phu!$I$62),"Cam Lợi",""),IF(OR(L237=phu!$I$63,L237=phu!$I$64,L237=phu!$I$65,L237=phu!$I$66,L237=phu!$I$67,L237=phu!$I$68,L237=phu!$I$69,L237=phu!$I$70,L237=phu!$I$71),"Ba Ngòi",""),IF(OR(L237=phu!$I$72,L237=phu!$I$73,L237=phu!$I$74,L237=phu!$I$75,L237=phu!$I$76,L237=phu!$I$77,L237=phu!$I$78),"Cam Phước Đông",""),IF(OR(L237=phu!$I$79,L237=phu!$I$80,L237=phu!$I$81,L237=phu!$I$82,L237=phu!$I$83,L237=phu!$I$84),"Cam Thịnh Đông",""),IF(OR(L237=phu!$I$85,L237=phu!$I$86,L237=phu!$I$87,L237=phu!$I$88),"Cam Thịnh Tây",""),IF(OR(L237=phu!$I$89,L237=phu!$I$90),"Cam Lập",""),IF(OR(L237=phu!$I$91,L237=phu!$I$92,L237=phu!$I$93),"Cam Bình",""),IF(OR(L237=phu!$I$94,L237=phu!$I$95,L237=phu!$I$96,L237=phu!$I$97,L237=phu!$I$98,L237=phu!$I$99,L237=phu!$I$100),"Huyện khác",""),IF(OR(L237=phu!$I$101,L237=phu!$I$102),"Tỉnh khác",""))</f>
        <v/>
      </c>
      <c r="N237" s="835" t="str">
        <f t="shared" si="18"/>
        <v/>
      </c>
      <c r="O237" s="20"/>
      <c r="P237" s="20"/>
      <c r="Q237" s="20"/>
      <c r="R237" s="20"/>
      <c r="S237" s="20"/>
      <c r="T237" s="21"/>
      <c r="U237" s="21"/>
      <c r="V237" s="21"/>
      <c r="W237" s="7" t="str">
        <f t="shared" si="16"/>
        <v/>
      </c>
      <c r="X237" s="506" t="str">
        <f t="shared" si="17"/>
        <v/>
      </c>
    </row>
    <row r="238" spans="1:24" x14ac:dyDescent="0.25">
      <c r="A238" s="66" t="str">
        <f t="shared" si="19"/>
        <v/>
      </c>
      <c r="B238" s="23" t="str">
        <f t="shared" si="15"/>
        <v/>
      </c>
      <c r="C238" s="15"/>
      <c r="D238" s="16"/>
      <c r="E238" s="17"/>
      <c r="F238" s="18"/>
      <c r="G238" s="18"/>
      <c r="H238" s="19"/>
      <c r="I238" s="25"/>
      <c r="J238" s="20"/>
      <c r="K238" s="15"/>
      <c r="L238" s="15"/>
      <c r="M238" s="531" t="str">
        <f>CONCATENATE(IF(OR(L238=phu!$I$1,L238=phu!$I$2,L238=phu!$I$3),"Cam Thành Nam",""),IF(OR(L238=phu!$I$4,L238=phu!$I$5,L238=phu!$I$6,L238=phu!$I$7,L238=phu!$I$8,L238=phu!$I$9,L238=phu!$I$10,L238=phu!$I$11,L238=phu!$I$12,L238=phu!$I$13,L238=phu!$I$14),"Cam Nghĩa",""),IF(OR(L238=phu!$I$15,L238=phu!$I$16,L238=phu!$I$17,L238=phu!$I$18,L238=phu!$I$19,L238=phu!$I$20,L238=phu!$I$21),"Cam Phúc Bắc",""),IF(OR(L238=phu!$I$22,L238=phu!$I$23,L238=phu!$I$24,L238=phu!$I$25),"Cam Phúc Nam",""),IF(OR(L238=phu!$I$26,L238=phu!$I$27,L238=phu!$I$28,L238=phu!$I$29,L238=phu!$I$30,L238=phu!$I$31),"Cam Phú",""),IF(OR(L238=phu!$I$32,L238=phu!$I$33,L238=phu!$I$34,L238=phu!$I$35,L238=phu!$I$36,L238=phu!$I$37),"Cam Lộc",""),IF(OR(L238=phu!$I$38,L238=phu!$I$39,L238=phu!$I$40,L238=phu!$I$41,L238=phu!$I$42,L238=phu!$I$43,L238=phu!$I$44),"Cam Thuận",""),IF(OR(L238=phu!$I$45,L238=phu!$I$46,L238=phu!$I$47,L238=phu!$I$48,L238=phu!$I$49,L238=phu!$I$50,L238=phu!$I$51,L238=phu!$I$52,L238=phu!$I$53),"Cam Linh",""),IF(OR(L238=phu!$I$54,L238=phu!$I$55,L238=phu!$I$56,L238=phu!$I$57,L238=phu!$I$58,L238=phu!$I$59,L238=phu!$I$60,L238=phu!$I$61,L238=phu!$I$62),"Cam Lợi",""),IF(OR(L238=phu!$I$63,L238=phu!$I$64,L238=phu!$I$65,L238=phu!$I$66,L238=phu!$I$67,L238=phu!$I$68,L238=phu!$I$69,L238=phu!$I$70,L238=phu!$I$71),"Ba Ngòi",""),IF(OR(L238=phu!$I$72,L238=phu!$I$73,L238=phu!$I$74,L238=phu!$I$75,L238=phu!$I$76,L238=phu!$I$77,L238=phu!$I$78),"Cam Phước Đông",""),IF(OR(L238=phu!$I$79,L238=phu!$I$80,L238=phu!$I$81,L238=phu!$I$82,L238=phu!$I$83,L238=phu!$I$84),"Cam Thịnh Đông",""),IF(OR(L238=phu!$I$85,L238=phu!$I$86,L238=phu!$I$87,L238=phu!$I$88),"Cam Thịnh Tây",""),IF(OR(L238=phu!$I$89,L238=phu!$I$90),"Cam Lập",""),IF(OR(L238=phu!$I$91,L238=phu!$I$92,L238=phu!$I$93),"Cam Bình",""),IF(OR(L238=phu!$I$94,L238=phu!$I$95,L238=phu!$I$96,L238=phu!$I$97,L238=phu!$I$98,L238=phu!$I$99,L238=phu!$I$100),"Huyện khác",""),IF(OR(L238=phu!$I$101,L238=phu!$I$102),"Tỉnh khác",""))</f>
        <v/>
      </c>
      <c r="N238" s="835" t="str">
        <f t="shared" si="18"/>
        <v/>
      </c>
      <c r="O238" s="20"/>
      <c r="P238" s="20"/>
      <c r="Q238" s="20"/>
      <c r="R238" s="20"/>
      <c r="S238" s="20"/>
      <c r="T238" s="21"/>
      <c r="U238" s="21"/>
      <c r="V238" s="21"/>
      <c r="W238" s="7" t="str">
        <f t="shared" si="16"/>
        <v/>
      </c>
      <c r="X238" s="506" t="str">
        <f t="shared" si="17"/>
        <v/>
      </c>
    </row>
    <row r="239" spans="1:24" x14ac:dyDescent="0.25">
      <c r="A239" s="66" t="str">
        <f t="shared" si="19"/>
        <v/>
      </c>
      <c r="B239" s="23" t="str">
        <f t="shared" si="15"/>
        <v/>
      </c>
      <c r="C239" s="15"/>
      <c r="D239" s="16"/>
      <c r="E239" s="17"/>
      <c r="F239" s="18"/>
      <c r="G239" s="18"/>
      <c r="H239" s="19"/>
      <c r="I239" s="15"/>
      <c r="J239" s="20"/>
      <c r="K239" s="15"/>
      <c r="L239" s="15"/>
      <c r="M239" s="531" t="str">
        <f>CONCATENATE(IF(OR(L239=phu!$I$1,L239=phu!$I$2,L239=phu!$I$3),"Cam Thành Nam",""),IF(OR(L239=phu!$I$4,L239=phu!$I$5,L239=phu!$I$6,L239=phu!$I$7,L239=phu!$I$8,L239=phu!$I$9,L239=phu!$I$10,L239=phu!$I$11,L239=phu!$I$12,L239=phu!$I$13,L239=phu!$I$14),"Cam Nghĩa",""),IF(OR(L239=phu!$I$15,L239=phu!$I$16,L239=phu!$I$17,L239=phu!$I$18,L239=phu!$I$19,L239=phu!$I$20,L239=phu!$I$21),"Cam Phúc Bắc",""),IF(OR(L239=phu!$I$22,L239=phu!$I$23,L239=phu!$I$24,L239=phu!$I$25),"Cam Phúc Nam",""),IF(OR(L239=phu!$I$26,L239=phu!$I$27,L239=phu!$I$28,L239=phu!$I$29,L239=phu!$I$30,L239=phu!$I$31),"Cam Phú",""),IF(OR(L239=phu!$I$32,L239=phu!$I$33,L239=phu!$I$34,L239=phu!$I$35,L239=phu!$I$36,L239=phu!$I$37),"Cam Lộc",""),IF(OR(L239=phu!$I$38,L239=phu!$I$39,L239=phu!$I$40,L239=phu!$I$41,L239=phu!$I$42,L239=phu!$I$43,L239=phu!$I$44),"Cam Thuận",""),IF(OR(L239=phu!$I$45,L239=phu!$I$46,L239=phu!$I$47,L239=phu!$I$48,L239=phu!$I$49,L239=phu!$I$50,L239=phu!$I$51,L239=phu!$I$52,L239=phu!$I$53),"Cam Linh",""),IF(OR(L239=phu!$I$54,L239=phu!$I$55,L239=phu!$I$56,L239=phu!$I$57,L239=phu!$I$58,L239=phu!$I$59,L239=phu!$I$60,L239=phu!$I$61,L239=phu!$I$62),"Cam Lợi",""),IF(OR(L239=phu!$I$63,L239=phu!$I$64,L239=phu!$I$65,L239=phu!$I$66,L239=phu!$I$67,L239=phu!$I$68,L239=phu!$I$69,L239=phu!$I$70,L239=phu!$I$71),"Ba Ngòi",""),IF(OR(L239=phu!$I$72,L239=phu!$I$73,L239=phu!$I$74,L239=phu!$I$75,L239=phu!$I$76,L239=phu!$I$77,L239=phu!$I$78),"Cam Phước Đông",""),IF(OR(L239=phu!$I$79,L239=phu!$I$80,L239=phu!$I$81,L239=phu!$I$82,L239=phu!$I$83,L239=phu!$I$84),"Cam Thịnh Đông",""),IF(OR(L239=phu!$I$85,L239=phu!$I$86,L239=phu!$I$87,L239=phu!$I$88),"Cam Thịnh Tây",""),IF(OR(L239=phu!$I$89,L239=phu!$I$90),"Cam Lập",""),IF(OR(L239=phu!$I$91,L239=phu!$I$92,L239=phu!$I$93),"Cam Bình",""),IF(OR(L239=phu!$I$94,L239=phu!$I$95,L239=phu!$I$96,L239=phu!$I$97,L239=phu!$I$98,L239=phu!$I$99,L239=phu!$I$100),"Huyện khác",""),IF(OR(L239=phu!$I$101,L239=phu!$I$102),"Tỉnh khác",""))</f>
        <v/>
      </c>
      <c r="N239" s="835" t="str">
        <f t="shared" si="18"/>
        <v/>
      </c>
      <c r="O239" s="20"/>
      <c r="P239" s="20"/>
      <c r="Q239" s="20"/>
      <c r="R239" s="20"/>
      <c r="S239" s="20"/>
      <c r="T239" s="21"/>
      <c r="U239" s="21"/>
      <c r="V239" s="21"/>
      <c r="W239" s="7" t="str">
        <f t="shared" si="16"/>
        <v/>
      </c>
      <c r="X239" s="506" t="str">
        <f t="shared" si="17"/>
        <v/>
      </c>
    </row>
    <row r="240" spans="1:24" x14ac:dyDescent="0.25">
      <c r="A240" s="66" t="str">
        <f t="shared" si="19"/>
        <v/>
      </c>
      <c r="B240" s="23" t="str">
        <f t="shared" si="15"/>
        <v/>
      </c>
      <c r="C240" s="15"/>
      <c r="D240" s="16"/>
      <c r="E240" s="17"/>
      <c r="F240" s="18"/>
      <c r="G240" s="18"/>
      <c r="H240" s="19"/>
      <c r="I240" s="15"/>
      <c r="J240" s="20"/>
      <c r="K240" s="15"/>
      <c r="L240" s="15"/>
      <c r="M240" s="531" t="str">
        <f>CONCATENATE(IF(OR(L240=phu!$I$1,L240=phu!$I$2,L240=phu!$I$3),"Cam Thành Nam",""),IF(OR(L240=phu!$I$4,L240=phu!$I$5,L240=phu!$I$6,L240=phu!$I$7,L240=phu!$I$8,L240=phu!$I$9,L240=phu!$I$10,L240=phu!$I$11,L240=phu!$I$12,L240=phu!$I$13,L240=phu!$I$14),"Cam Nghĩa",""),IF(OR(L240=phu!$I$15,L240=phu!$I$16,L240=phu!$I$17,L240=phu!$I$18,L240=phu!$I$19,L240=phu!$I$20,L240=phu!$I$21),"Cam Phúc Bắc",""),IF(OR(L240=phu!$I$22,L240=phu!$I$23,L240=phu!$I$24,L240=phu!$I$25),"Cam Phúc Nam",""),IF(OR(L240=phu!$I$26,L240=phu!$I$27,L240=phu!$I$28,L240=phu!$I$29,L240=phu!$I$30,L240=phu!$I$31),"Cam Phú",""),IF(OR(L240=phu!$I$32,L240=phu!$I$33,L240=phu!$I$34,L240=phu!$I$35,L240=phu!$I$36,L240=phu!$I$37),"Cam Lộc",""),IF(OR(L240=phu!$I$38,L240=phu!$I$39,L240=phu!$I$40,L240=phu!$I$41,L240=phu!$I$42,L240=phu!$I$43,L240=phu!$I$44),"Cam Thuận",""),IF(OR(L240=phu!$I$45,L240=phu!$I$46,L240=phu!$I$47,L240=phu!$I$48,L240=phu!$I$49,L240=phu!$I$50,L240=phu!$I$51,L240=phu!$I$52,L240=phu!$I$53),"Cam Linh",""),IF(OR(L240=phu!$I$54,L240=phu!$I$55,L240=phu!$I$56,L240=phu!$I$57,L240=phu!$I$58,L240=phu!$I$59,L240=phu!$I$60,L240=phu!$I$61,L240=phu!$I$62),"Cam Lợi",""),IF(OR(L240=phu!$I$63,L240=phu!$I$64,L240=phu!$I$65,L240=phu!$I$66,L240=phu!$I$67,L240=phu!$I$68,L240=phu!$I$69,L240=phu!$I$70,L240=phu!$I$71),"Ba Ngòi",""),IF(OR(L240=phu!$I$72,L240=phu!$I$73,L240=phu!$I$74,L240=phu!$I$75,L240=phu!$I$76,L240=phu!$I$77,L240=phu!$I$78),"Cam Phước Đông",""),IF(OR(L240=phu!$I$79,L240=phu!$I$80,L240=phu!$I$81,L240=phu!$I$82,L240=phu!$I$83,L240=phu!$I$84),"Cam Thịnh Đông",""),IF(OR(L240=phu!$I$85,L240=phu!$I$86,L240=phu!$I$87,L240=phu!$I$88),"Cam Thịnh Tây",""),IF(OR(L240=phu!$I$89,L240=phu!$I$90),"Cam Lập",""),IF(OR(L240=phu!$I$91,L240=phu!$I$92,L240=phu!$I$93),"Cam Bình",""),IF(OR(L240=phu!$I$94,L240=phu!$I$95,L240=phu!$I$96,L240=phu!$I$97,L240=phu!$I$98,L240=phu!$I$99,L240=phu!$I$100),"Huyện khác",""),IF(OR(L240=phu!$I$101,L240=phu!$I$102),"Tỉnh khác",""))</f>
        <v/>
      </c>
      <c r="N240" s="835" t="str">
        <f t="shared" si="18"/>
        <v/>
      </c>
      <c r="O240" s="20"/>
      <c r="P240" s="20"/>
      <c r="Q240" s="20"/>
      <c r="R240" s="20"/>
      <c r="S240" s="20"/>
      <c r="T240" s="21"/>
      <c r="U240" s="21"/>
      <c r="V240" s="21"/>
      <c r="W240" s="7" t="str">
        <f t="shared" si="16"/>
        <v/>
      </c>
      <c r="X240" s="506" t="str">
        <f t="shared" si="17"/>
        <v/>
      </c>
    </row>
    <row r="241" spans="1:24" x14ac:dyDescent="0.25">
      <c r="A241" s="66" t="str">
        <f t="shared" si="19"/>
        <v/>
      </c>
      <c r="B241" s="23" t="str">
        <f t="shared" si="15"/>
        <v/>
      </c>
      <c r="C241" s="15"/>
      <c r="D241" s="16"/>
      <c r="E241" s="17"/>
      <c r="F241" s="18"/>
      <c r="G241" s="18"/>
      <c r="H241" s="19"/>
      <c r="I241" s="15"/>
      <c r="J241" s="20"/>
      <c r="K241" s="15"/>
      <c r="L241" s="15"/>
      <c r="M241" s="531" t="str">
        <f>CONCATENATE(IF(OR(L241=phu!$I$1,L241=phu!$I$2,L241=phu!$I$3),"Cam Thành Nam",""),IF(OR(L241=phu!$I$4,L241=phu!$I$5,L241=phu!$I$6,L241=phu!$I$7,L241=phu!$I$8,L241=phu!$I$9,L241=phu!$I$10,L241=phu!$I$11,L241=phu!$I$12,L241=phu!$I$13,L241=phu!$I$14),"Cam Nghĩa",""),IF(OR(L241=phu!$I$15,L241=phu!$I$16,L241=phu!$I$17,L241=phu!$I$18,L241=phu!$I$19,L241=phu!$I$20,L241=phu!$I$21),"Cam Phúc Bắc",""),IF(OR(L241=phu!$I$22,L241=phu!$I$23,L241=phu!$I$24,L241=phu!$I$25),"Cam Phúc Nam",""),IF(OR(L241=phu!$I$26,L241=phu!$I$27,L241=phu!$I$28,L241=phu!$I$29,L241=phu!$I$30,L241=phu!$I$31),"Cam Phú",""),IF(OR(L241=phu!$I$32,L241=phu!$I$33,L241=phu!$I$34,L241=phu!$I$35,L241=phu!$I$36,L241=phu!$I$37),"Cam Lộc",""),IF(OR(L241=phu!$I$38,L241=phu!$I$39,L241=phu!$I$40,L241=phu!$I$41,L241=phu!$I$42,L241=phu!$I$43,L241=phu!$I$44),"Cam Thuận",""),IF(OR(L241=phu!$I$45,L241=phu!$I$46,L241=phu!$I$47,L241=phu!$I$48,L241=phu!$I$49,L241=phu!$I$50,L241=phu!$I$51,L241=phu!$I$52,L241=phu!$I$53),"Cam Linh",""),IF(OR(L241=phu!$I$54,L241=phu!$I$55,L241=phu!$I$56,L241=phu!$I$57,L241=phu!$I$58,L241=phu!$I$59,L241=phu!$I$60,L241=phu!$I$61,L241=phu!$I$62),"Cam Lợi",""),IF(OR(L241=phu!$I$63,L241=phu!$I$64,L241=phu!$I$65,L241=phu!$I$66,L241=phu!$I$67,L241=phu!$I$68,L241=phu!$I$69,L241=phu!$I$70,L241=phu!$I$71),"Ba Ngòi",""),IF(OR(L241=phu!$I$72,L241=phu!$I$73,L241=phu!$I$74,L241=phu!$I$75,L241=phu!$I$76,L241=phu!$I$77,L241=phu!$I$78),"Cam Phước Đông",""),IF(OR(L241=phu!$I$79,L241=phu!$I$80,L241=phu!$I$81,L241=phu!$I$82,L241=phu!$I$83,L241=phu!$I$84),"Cam Thịnh Đông",""),IF(OR(L241=phu!$I$85,L241=phu!$I$86,L241=phu!$I$87,L241=phu!$I$88),"Cam Thịnh Tây",""),IF(OR(L241=phu!$I$89,L241=phu!$I$90),"Cam Lập",""),IF(OR(L241=phu!$I$91,L241=phu!$I$92,L241=phu!$I$93),"Cam Bình",""),IF(OR(L241=phu!$I$94,L241=phu!$I$95,L241=phu!$I$96,L241=phu!$I$97,L241=phu!$I$98,L241=phu!$I$99,L241=phu!$I$100),"Huyện khác",""),IF(OR(L241=phu!$I$101,L241=phu!$I$102),"Tỉnh khác",""))</f>
        <v/>
      </c>
      <c r="N241" s="835" t="str">
        <f t="shared" si="18"/>
        <v/>
      </c>
      <c r="O241" s="20"/>
      <c r="P241" s="20"/>
      <c r="Q241" s="20"/>
      <c r="R241" s="20"/>
      <c r="S241" s="20"/>
      <c r="T241" s="21"/>
      <c r="U241" s="21"/>
      <c r="V241" s="21"/>
      <c r="W241" s="7" t="str">
        <f t="shared" si="16"/>
        <v/>
      </c>
      <c r="X241" s="506" t="str">
        <f t="shared" si="17"/>
        <v/>
      </c>
    </row>
    <row r="242" spans="1:24" x14ac:dyDescent="0.25">
      <c r="A242" s="66" t="str">
        <f t="shared" si="19"/>
        <v/>
      </c>
      <c r="B242" s="23" t="str">
        <f t="shared" si="15"/>
        <v/>
      </c>
      <c r="C242" s="15"/>
      <c r="D242" s="16"/>
      <c r="E242" s="17"/>
      <c r="F242" s="18"/>
      <c r="G242" s="18"/>
      <c r="H242" s="19"/>
      <c r="I242" s="15"/>
      <c r="J242" s="20"/>
      <c r="K242" s="15"/>
      <c r="L242" s="15"/>
      <c r="M242" s="531" t="str">
        <f>CONCATENATE(IF(OR(L242=phu!$I$1,L242=phu!$I$2,L242=phu!$I$3),"Cam Thành Nam",""),IF(OR(L242=phu!$I$4,L242=phu!$I$5,L242=phu!$I$6,L242=phu!$I$7,L242=phu!$I$8,L242=phu!$I$9,L242=phu!$I$10,L242=phu!$I$11,L242=phu!$I$12,L242=phu!$I$13,L242=phu!$I$14),"Cam Nghĩa",""),IF(OR(L242=phu!$I$15,L242=phu!$I$16,L242=phu!$I$17,L242=phu!$I$18,L242=phu!$I$19,L242=phu!$I$20,L242=phu!$I$21),"Cam Phúc Bắc",""),IF(OR(L242=phu!$I$22,L242=phu!$I$23,L242=phu!$I$24,L242=phu!$I$25),"Cam Phúc Nam",""),IF(OR(L242=phu!$I$26,L242=phu!$I$27,L242=phu!$I$28,L242=phu!$I$29,L242=phu!$I$30,L242=phu!$I$31),"Cam Phú",""),IF(OR(L242=phu!$I$32,L242=phu!$I$33,L242=phu!$I$34,L242=phu!$I$35,L242=phu!$I$36,L242=phu!$I$37),"Cam Lộc",""),IF(OR(L242=phu!$I$38,L242=phu!$I$39,L242=phu!$I$40,L242=phu!$I$41,L242=phu!$I$42,L242=phu!$I$43,L242=phu!$I$44),"Cam Thuận",""),IF(OR(L242=phu!$I$45,L242=phu!$I$46,L242=phu!$I$47,L242=phu!$I$48,L242=phu!$I$49,L242=phu!$I$50,L242=phu!$I$51,L242=phu!$I$52,L242=phu!$I$53),"Cam Linh",""),IF(OR(L242=phu!$I$54,L242=phu!$I$55,L242=phu!$I$56,L242=phu!$I$57,L242=phu!$I$58,L242=phu!$I$59,L242=phu!$I$60,L242=phu!$I$61,L242=phu!$I$62),"Cam Lợi",""),IF(OR(L242=phu!$I$63,L242=phu!$I$64,L242=phu!$I$65,L242=phu!$I$66,L242=phu!$I$67,L242=phu!$I$68,L242=phu!$I$69,L242=phu!$I$70,L242=phu!$I$71),"Ba Ngòi",""),IF(OR(L242=phu!$I$72,L242=phu!$I$73,L242=phu!$I$74,L242=phu!$I$75,L242=phu!$I$76,L242=phu!$I$77,L242=phu!$I$78),"Cam Phước Đông",""),IF(OR(L242=phu!$I$79,L242=phu!$I$80,L242=phu!$I$81,L242=phu!$I$82,L242=phu!$I$83,L242=phu!$I$84),"Cam Thịnh Đông",""),IF(OR(L242=phu!$I$85,L242=phu!$I$86,L242=phu!$I$87,L242=phu!$I$88),"Cam Thịnh Tây",""),IF(OR(L242=phu!$I$89,L242=phu!$I$90),"Cam Lập",""),IF(OR(L242=phu!$I$91,L242=phu!$I$92,L242=phu!$I$93),"Cam Bình",""),IF(OR(L242=phu!$I$94,L242=phu!$I$95,L242=phu!$I$96,L242=phu!$I$97,L242=phu!$I$98,L242=phu!$I$99,L242=phu!$I$100),"Huyện khác",""),IF(OR(L242=phu!$I$101,L242=phu!$I$102),"Tỉnh khác",""))</f>
        <v/>
      </c>
      <c r="N242" s="835" t="str">
        <f t="shared" si="18"/>
        <v/>
      </c>
      <c r="O242" s="20"/>
      <c r="P242" s="20"/>
      <c r="Q242" s="20"/>
      <c r="R242" s="20"/>
      <c r="S242" s="20"/>
      <c r="T242" s="21"/>
      <c r="U242" s="21"/>
      <c r="V242" s="21"/>
      <c r="W242" s="7" t="str">
        <f t="shared" si="16"/>
        <v/>
      </c>
      <c r="X242" s="506" t="str">
        <f t="shared" si="17"/>
        <v/>
      </c>
    </row>
    <row r="243" spans="1:24" x14ac:dyDescent="0.25">
      <c r="A243" s="66" t="str">
        <f t="shared" si="19"/>
        <v/>
      </c>
      <c r="B243" s="23" t="str">
        <f t="shared" si="15"/>
        <v/>
      </c>
      <c r="C243" s="15"/>
      <c r="D243" s="16"/>
      <c r="E243" s="17"/>
      <c r="F243" s="18"/>
      <c r="G243" s="18"/>
      <c r="H243" s="19"/>
      <c r="I243" s="15"/>
      <c r="J243" s="20"/>
      <c r="K243" s="15"/>
      <c r="L243" s="15"/>
      <c r="M243" s="531" t="str">
        <f>CONCATENATE(IF(OR(L243=phu!$I$1,L243=phu!$I$2,L243=phu!$I$3),"Cam Thành Nam",""),IF(OR(L243=phu!$I$4,L243=phu!$I$5,L243=phu!$I$6,L243=phu!$I$7,L243=phu!$I$8,L243=phu!$I$9,L243=phu!$I$10,L243=phu!$I$11,L243=phu!$I$12,L243=phu!$I$13,L243=phu!$I$14),"Cam Nghĩa",""),IF(OR(L243=phu!$I$15,L243=phu!$I$16,L243=phu!$I$17,L243=phu!$I$18,L243=phu!$I$19,L243=phu!$I$20,L243=phu!$I$21),"Cam Phúc Bắc",""),IF(OR(L243=phu!$I$22,L243=phu!$I$23,L243=phu!$I$24,L243=phu!$I$25),"Cam Phúc Nam",""),IF(OR(L243=phu!$I$26,L243=phu!$I$27,L243=phu!$I$28,L243=phu!$I$29,L243=phu!$I$30,L243=phu!$I$31),"Cam Phú",""),IF(OR(L243=phu!$I$32,L243=phu!$I$33,L243=phu!$I$34,L243=phu!$I$35,L243=phu!$I$36,L243=phu!$I$37),"Cam Lộc",""),IF(OR(L243=phu!$I$38,L243=phu!$I$39,L243=phu!$I$40,L243=phu!$I$41,L243=phu!$I$42,L243=phu!$I$43,L243=phu!$I$44),"Cam Thuận",""),IF(OR(L243=phu!$I$45,L243=phu!$I$46,L243=phu!$I$47,L243=phu!$I$48,L243=phu!$I$49,L243=phu!$I$50,L243=phu!$I$51,L243=phu!$I$52,L243=phu!$I$53),"Cam Linh",""),IF(OR(L243=phu!$I$54,L243=phu!$I$55,L243=phu!$I$56,L243=phu!$I$57,L243=phu!$I$58,L243=phu!$I$59,L243=phu!$I$60,L243=phu!$I$61,L243=phu!$I$62),"Cam Lợi",""),IF(OR(L243=phu!$I$63,L243=phu!$I$64,L243=phu!$I$65,L243=phu!$I$66,L243=phu!$I$67,L243=phu!$I$68,L243=phu!$I$69,L243=phu!$I$70,L243=phu!$I$71),"Ba Ngòi",""),IF(OR(L243=phu!$I$72,L243=phu!$I$73,L243=phu!$I$74,L243=phu!$I$75,L243=phu!$I$76,L243=phu!$I$77,L243=phu!$I$78),"Cam Phước Đông",""),IF(OR(L243=phu!$I$79,L243=phu!$I$80,L243=phu!$I$81,L243=phu!$I$82,L243=phu!$I$83,L243=phu!$I$84),"Cam Thịnh Đông",""),IF(OR(L243=phu!$I$85,L243=phu!$I$86,L243=phu!$I$87,L243=phu!$I$88),"Cam Thịnh Tây",""),IF(OR(L243=phu!$I$89,L243=phu!$I$90),"Cam Lập",""),IF(OR(L243=phu!$I$91,L243=phu!$I$92,L243=phu!$I$93),"Cam Bình",""),IF(OR(L243=phu!$I$94,L243=phu!$I$95,L243=phu!$I$96,L243=phu!$I$97,L243=phu!$I$98,L243=phu!$I$99,L243=phu!$I$100),"Huyện khác",""),IF(OR(L243=phu!$I$101,L243=phu!$I$102),"Tỉnh khác",""))</f>
        <v/>
      </c>
      <c r="N243" s="835" t="str">
        <f t="shared" si="18"/>
        <v/>
      </c>
      <c r="O243" s="20"/>
      <c r="P243" s="20"/>
      <c r="Q243" s="20"/>
      <c r="R243" s="20"/>
      <c r="S243" s="20"/>
      <c r="T243" s="21"/>
      <c r="U243" s="21"/>
      <c r="V243" s="21"/>
      <c r="W243" s="7" t="str">
        <f t="shared" si="16"/>
        <v/>
      </c>
      <c r="X243" s="506" t="str">
        <f t="shared" si="17"/>
        <v/>
      </c>
    </row>
    <row r="244" spans="1:24" x14ac:dyDescent="0.25">
      <c r="A244" s="66" t="str">
        <f t="shared" si="19"/>
        <v/>
      </c>
      <c r="B244" s="23" t="str">
        <f t="shared" si="15"/>
        <v/>
      </c>
      <c r="C244" s="15"/>
      <c r="D244" s="16"/>
      <c r="E244" s="17"/>
      <c r="F244" s="18"/>
      <c r="G244" s="18"/>
      <c r="H244" s="19"/>
      <c r="I244" s="15"/>
      <c r="J244" s="20"/>
      <c r="K244" s="15"/>
      <c r="L244" s="15"/>
      <c r="M244" s="531" t="str">
        <f>CONCATENATE(IF(OR(L244=phu!$I$1,L244=phu!$I$2,L244=phu!$I$3),"Cam Thành Nam",""),IF(OR(L244=phu!$I$4,L244=phu!$I$5,L244=phu!$I$6,L244=phu!$I$7,L244=phu!$I$8,L244=phu!$I$9,L244=phu!$I$10,L244=phu!$I$11,L244=phu!$I$12,L244=phu!$I$13,L244=phu!$I$14),"Cam Nghĩa",""),IF(OR(L244=phu!$I$15,L244=phu!$I$16,L244=phu!$I$17,L244=phu!$I$18,L244=phu!$I$19,L244=phu!$I$20,L244=phu!$I$21),"Cam Phúc Bắc",""),IF(OR(L244=phu!$I$22,L244=phu!$I$23,L244=phu!$I$24,L244=phu!$I$25),"Cam Phúc Nam",""),IF(OR(L244=phu!$I$26,L244=phu!$I$27,L244=phu!$I$28,L244=phu!$I$29,L244=phu!$I$30,L244=phu!$I$31),"Cam Phú",""),IF(OR(L244=phu!$I$32,L244=phu!$I$33,L244=phu!$I$34,L244=phu!$I$35,L244=phu!$I$36,L244=phu!$I$37),"Cam Lộc",""),IF(OR(L244=phu!$I$38,L244=phu!$I$39,L244=phu!$I$40,L244=phu!$I$41,L244=phu!$I$42,L244=phu!$I$43,L244=phu!$I$44),"Cam Thuận",""),IF(OR(L244=phu!$I$45,L244=phu!$I$46,L244=phu!$I$47,L244=phu!$I$48,L244=phu!$I$49,L244=phu!$I$50,L244=phu!$I$51,L244=phu!$I$52,L244=phu!$I$53),"Cam Linh",""),IF(OR(L244=phu!$I$54,L244=phu!$I$55,L244=phu!$I$56,L244=phu!$I$57,L244=phu!$I$58,L244=phu!$I$59,L244=phu!$I$60,L244=phu!$I$61,L244=phu!$I$62),"Cam Lợi",""),IF(OR(L244=phu!$I$63,L244=phu!$I$64,L244=phu!$I$65,L244=phu!$I$66,L244=phu!$I$67,L244=phu!$I$68,L244=phu!$I$69,L244=phu!$I$70,L244=phu!$I$71),"Ba Ngòi",""),IF(OR(L244=phu!$I$72,L244=phu!$I$73,L244=phu!$I$74,L244=phu!$I$75,L244=phu!$I$76,L244=phu!$I$77,L244=phu!$I$78),"Cam Phước Đông",""),IF(OR(L244=phu!$I$79,L244=phu!$I$80,L244=phu!$I$81,L244=phu!$I$82,L244=phu!$I$83,L244=phu!$I$84),"Cam Thịnh Đông",""),IF(OR(L244=phu!$I$85,L244=phu!$I$86,L244=phu!$I$87,L244=phu!$I$88),"Cam Thịnh Tây",""),IF(OR(L244=phu!$I$89,L244=phu!$I$90),"Cam Lập",""),IF(OR(L244=phu!$I$91,L244=phu!$I$92,L244=phu!$I$93),"Cam Bình",""),IF(OR(L244=phu!$I$94,L244=phu!$I$95,L244=phu!$I$96,L244=phu!$I$97,L244=phu!$I$98,L244=phu!$I$99,L244=phu!$I$100),"Huyện khác",""),IF(OR(L244=phu!$I$101,L244=phu!$I$102),"Tỉnh khác",""))</f>
        <v/>
      </c>
      <c r="N244" s="835" t="str">
        <f t="shared" si="18"/>
        <v/>
      </c>
      <c r="O244" s="20"/>
      <c r="P244" s="20"/>
      <c r="Q244" s="20"/>
      <c r="R244" s="20"/>
      <c r="S244" s="20"/>
      <c r="T244" s="21"/>
      <c r="U244" s="21"/>
      <c r="V244" s="21"/>
      <c r="W244" s="7" t="str">
        <f t="shared" si="16"/>
        <v/>
      </c>
      <c r="X244" s="506" t="str">
        <f t="shared" si="17"/>
        <v/>
      </c>
    </row>
    <row r="245" spans="1:24" x14ac:dyDescent="0.25">
      <c r="A245" s="66" t="str">
        <f t="shared" si="19"/>
        <v/>
      </c>
      <c r="B245" s="23" t="str">
        <f t="shared" si="15"/>
        <v/>
      </c>
      <c r="C245" s="15"/>
      <c r="D245" s="16"/>
      <c r="E245" s="17"/>
      <c r="F245" s="18"/>
      <c r="G245" s="18"/>
      <c r="H245" s="19"/>
      <c r="I245" s="15"/>
      <c r="J245" s="20"/>
      <c r="K245" s="15"/>
      <c r="L245" s="15"/>
      <c r="M245" s="531" t="str">
        <f>CONCATENATE(IF(OR(L245=phu!$I$1,L245=phu!$I$2,L245=phu!$I$3),"Cam Thành Nam",""),IF(OR(L245=phu!$I$4,L245=phu!$I$5,L245=phu!$I$6,L245=phu!$I$7,L245=phu!$I$8,L245=phu!$I$9,L245=phu!$I$10,L245=phu!$I$11,L245=phu!$I$12,L245=phu!$I$13,L245=phu!$I$14),"Cam Nghĩa",""),IF(OR(L245=phu!$I$15,L245=phu!$I$16,L245=phu!$I$17,L245=phu!$I$18,L245=phu!$I$19,L245=phu!$I$20,L245=phu!$I$21),"Cam Phúc Bắc",""),IF(OR(L245=phu!$I$22,L245=phu!$I$23,L245=phu!$I$24,L245=phu!$I$25),"Cam Phúc Nam",""),IF(OR(L245=phu!$I$26,L245=phu!$I$27,L245=phu!$I$28,L245=phu!$I$29,L245=phu!$I$30,L245=phu!$I$31),"Cam Phú",""),IF(OR(L245=phu!$I$32,L245=phu!$I$33,L245=phu!$I$34,L245=phu!$I$35,L245=phu!$I$36,L245=phu!$I$37),"Cam Lộc",""),IF(OR(L245=phu!$I$38,L245=phu!$I$39,L245=phu!$I$40,L245=phu!$I$41,L245=phu!$I$42,L245=phu!$I$43,L245=phu!$I$44),"Cam Thuận",""),IF(OR(L245=phu!$I$45,L245=phu!$I$46,L245=phu!$I$47,L245=phu!$I$48,L245=phu!$I$49,L245=phu!$I$50,L245=phu!$I$51,L245=phu!$I$52,L245=phu!$I$53),"Cam Linh",""),IF(OR(L245=phu!$I$54,L245=phu!$I$55,L245=phu!$I$56,L245=phu!$I$57,L245=phu!$I$58,L245=phu!$I$59,L245=phu!$I$60,L245=phu!$I$61,L245=phu!$I$62),"Cam Lợi",""),IF(OR(L245=phu!$I$63,L245=phu!$I$64,L245=phu!$I$65,L245=phu!$I$66,L245=phu!$I$67,L245=phu!$I$68,L245=phu!$I$69,L245=phu!$I$70,L245=phu!$I$71),"Ba Ngòi",""),IF(OR(L245=phu!$I$72,L245=phu!$I$73,L245=phu!$I$74,L245=phu!$I$75,L245=phu!$I$76,L245=phu!$I$77,L245=phu!$I$78),"Cam Phước Đông",""),IF(OR(L245=phu!$I$79,L245=phu!$I$80,L245=phu!$I$81,L245=phu!$I$82,L245=phu!$I$83,L245=phu!$I$84),"Cam Thịnh Đông",""),IF(OR(L245=phu!$I$85,L245=phu!$I$86,L245=phu!$I$87,L245=phu!$I$88),"Cam Thịnh Tây",""),IF(OR(L245=phu!$I$89,L245=phu!$I$90),"Cam Lập",""),IF(OR(L245=phu!$I$91,L245=phu!$I$92,L245=phu!$I$93),"Cam Bình",""),IF(OR(L245=phu!$I$94,L245=phu!$I$95,L245=phu!$I$96,L245=phu!$I$97,L245=phu!$I$98,L245=phu!$I$99,L245=phu!$I$100),"Huyện khác",""),IF(OR(L245=phu!$I$101,L245=phu!$I$102),"Tỉnh khác",""))</f>
        <v/>
      </c>
      <c r="N245" s="835" t="str">
        <f t="shared" si="18"/>
        <v/>
      </c>
      <c r="O245" s="20"/>
      <c r="P245" s="20"/>
      <c r="Q245" s="20"/>
      <c r="R245" s="20"/>
      <c r="S245" s="20"/>
      <c r="T245" s="21"/>
      <c r="U245" s="21"/>
      <c r="V245" s="21"/>
      <c r="W245" s="7" t="str">
        <f t="shared" si="16"/>
        <v/>
      </c>
      <c r="X245" s="506" t="str">
        <f t="shared" si="17"/>
        <v/>
      </c>
    </row>
    <row r="246" spans="1:24" x14ac:dyDescent="0.25">
      <c r="A246" s="66" t="str">
        <f t="shared" si="19"/>
        <v/>
      </c>
      <c r="B246" s="23" t="str">
        <f t="shared" si="15"/>
        <v/>
      </c>
      <c r="C246" s="15"/>
      <c r="D246" s="16"/>
      <c r="E246" s="17"/>
      <c r="F246" s="18"/>
      <c r="G246" s="18"/>
      <c r="H246" s="19"/>
      <c r="I246" s="25"/>
      <c r="J246" s="20"/>
      <c r="K246" s="15"/>
      <c r="L246" s="15"/>
      <c r="M246" s="531" t="str">
        <f>CONCATENATE(IF(OR(L246=phu!$I$1,L246=phu!$I$2,L246=phu!$I$3),"Cam Thành Nam",""),IF(OR(L246=phu!$I$4,L246=phu!$I$5,L246=phu!$I$6,L246=phu!$I$7,L246=phu!$I$8,L246=phu!$I$9,L246=phu!$I$10,L246=phu!$I$11,L246=phu!$I$12,L246=phu!$I$13,L246=phu!$I$14),"Cam Nghĩa",""),IF(OR(L246=phu!$I$15,L246=phu!$I$16,L246=phu!$I$17,L246=phu!$I$18,L246=phu!$I$19,L246=phu!$I$20,L246=phu!$I$21),"Cam Phúc Bắc",""),IF(OR(L246=phu!$I$22,L246=phu!$I$23,L246=phu!$I$24,L246=phu!$I$25),"Cam Phúc Nam",""),IF(OR(L246=phu!$I$26,L246=phu!$I$27,L246=phu!$I$28,L246=phu!$I$29,L246=phu!$I$30,L246=phu!$I$31),"Cam Phú",""),IF(OR(L246=phu!$I$32,L246=phu!$I$33,L246=phu!$I$34,L246=phu!$I$35,L246=phu!$I$36,L246=phu!$I$37),"Cam Lộc",""),IF(OR(L246=phu!$I$38,L246=phu!$I$39,L246=phu!$I$40,L246=phu!$I$41,L246=phu!$I$42,L246=phu!$I$43,L246=phu!$I$44),"Cam Thuận",""),IF(OR(L246=phu!$I$45,L246=phu!$I$46,L246=phu!$I$47,L246=phu!$I$48,L246=phu!$I$49,L246=phu!$I$50,L246=phu!$I$51,L246=phu!$I$52,L246=phu!$I$53),"Cam Linh",""),IF(OR(L246=phu!$I$54,L246=phu!$I$55,L246=phu!$I$56,L246=phu!$I$57,L246=phu!$I$58,L246=phu!$I$59,L246=phu!$I$60,L246=phu!$I$61,L246=phu!$I$62),"Cam Lợi",""),IF(OR(L246=phu!$I$63,L246=phu!$I$64,L246=phu!$I$65,L246=phu!$I$66,L246=phu!$I$67,L246=phu!$I$68,L246=phu!$I$69,L246=phu!$I$70,L246=phu!$I$71),"Ba Ngòi",""),IF(OR(L246=phu!$I$72,L246=phu!$I$73,L246=phu!$I$74,L246=phu!$I$75,L246=phu!$I$76,L246=phu!$I$77,L246=phu!$I$78),"Cam Phước Đông",""),IF(OR(L246=phu!$I$79,L246=phu!$I$80,L246=phu!$I$81,L246=phu!$I$82,L246=phu!$I$83,L246=phu!$I$84),"Cam Thịnh Đông",""),IF(OR(L246=phu!$I$85,L246=phu!$I$86,L246=phu!$I$87,L246=phu!$I$88),"Cam Thịnh Tây",""),IF(OR(L246=phu!$I$89,L246=phu!$I$90),"Cam Lập",""),IF(OR(L246=phu!$I$91,L246=phu!$I$92,L246=phu!$I$93),"Cam Bình",""),IF(OR(L246=phu!$I$94,L246=phu!$I$95,L246=phu!$I$96,L246=phu!$I$97,L246=phu!$I$98,L246=phu!$I$99,L246=phu!$I$100),"Huyện khác",""),IF(OR(L246=phu!$I$101,L246=phu!$I$102),"Tỉnh khác",""))</f>
        <v/>
      </c>
      <c r="N246" s="835" t="str">
        <f t="shared" si="18"/>
        <v/>
      </c>
      <c r="O246" s="20"/>
      <c r="P246" s="20"/>
      <c r="Q246" s="20"/>
      <c r="R246" s="20"/>
      <c r="S246" s="20"/>
      <c r="T246" s="21"/>
      <c r="U246" s="21"/>
      <c r="V246" s="21"/>
      <c r="W246" s="7" t="str">
        <f t="shared" si="16"/>
        <v/>
      </c>
      <c r="X246" s="506" t="str">
        <f t="shared" si="17"/>
        <v/>
      </c>
    </row>
    <row r="247" spans="1:24" x14ac:dyDescent="0.25">
      <c r="A247" s="66" t="str">
        <f t="shared" si="19"/>
        <v/>
      </c>
      <c r="B247" s="23" t="str">
        <f t="shared" si="15"/>
        <v/>
      </c>
      <c r="C247" s="15"/>
      <c r="D247" s="16"/>
      <c r="E247" s="17"/>
      <c r="F247" s="18"/>
      <c r="G247" s="18"/>
      <c r="H247" s="19"/>
      <c r="I247" s="15"/>
      <c r="J247" s="20"/>
      <c r="K247" s="15"/>
      <c r="L247" s="15"/>
      <c r="M247" s="531" t="str">
        <f>CONCATENATE(IF(OR(L247=phu!$I$1,L247=phu!$I$2,L247=phu!$I$3),"Cam Thành Nam",""),IF(OR(L247=phu!$I$4,L247=phu!$I$5,L247=phu!$I$6,L247=phu!$I$7,L247=phu!$I$8,L247=phu!$I$9,L247=phu!$I$10,L247=phu!$I$11,L247=phu!$I$12,L247=phu!$I$13,L247=phu!$I$14),"Cam Nghĩa",""),IF(OR(L247=phu!$I$15,L247=phu!$I$16,L247=phu!$I$17,L247=phu!$I$18,L247=phu!$I$19,L247=phu!$I$20,L247=phu!$I$21),"Cam Phúc Bắc",""),IF(OR(L247=phu!$I$22,L247=phu!$I$23,L247=phu!$I$24,L247=phu!$I$25),"Cam Phúc Nam",""),IF(OR(L247=phu!$I$26,L247=phu!$I$27,L247=phu!$I$28,L247=phu!$I$29,L247=phu!$I$30,L247=phu!$I$31),"Cam Phú",""),IF(OR(L247=phu!$I$32,L247=phu!$I$33,L247=phu!$I$34,L247=phu!$I$35,L247=phu!$I$36,L247=phu!$I$37),"Cam Lộc",""),IF(OR(L247=phu!$I$38,L247=phu!$I$39,L247=phu!$I$40,L247=phu!$I$41,L247=phu!$I$42,L247=phu!$I$43,L247=phu!$I$44),"Cam Thuận",""),IF(OR(L247=phu!$I$45,L247=phu!$I$46,L247=phu!$I$47,L247=phu!$I$48,L247=phu!$I$49,L247=phu!$I$50,L247=phu!$I$51,L247=phu!$I$52,L247=phu!$I$53),"Cam Linh",""),IF(OR(L247=phu!$I$54,L247=phu!$I$55,L247=phu!$I$56,L247=phu!$I$57,L247=phu!$I$58,L247=phu!$I$59,L247=phu!$I$60,L247=phu!$I$61,L247=phu!$I$62),"Cam Lợi",""),IF(OR(L247=phu!$I$63,L247=phu!$I$64,L247=phu!$I$65,L247=phu!$I$66,L247=phu!$I$67,L247=phu!$I$68,L247=phu!$I$69,L247=phu!$I$70,L247=phu!$I$71),"Ba Ngòi",""),IF(OR(L247=phu!$I$72,L247=phu!$I$73,L247=phu!$I$74,L247=phu!$I$75,L247=phu!$I$76,L247=phu!$I$77,L247=phu!$I$78),"Cam Phước Đông",""),IF(OR(L247=phu!$I$79,L247=phu!$I$80,L247=phu!$I$81,L247=phu!$I$82,L247=phu!$I$83,L247=phu!$I$84),"Cam Thịnh Đông",""),IF(OR(L247=phu!$I$85,L247=phu!$I$86,L247=phu!$I$87,L247=phu!$I$88),"Cam Thịnh Tây",""),IF(OR(L247=phu!$I$89,L247=phu!$I$90),"Cam Lập",""),IF(OR(L247=phu!$I$91,L247=phu!$I$92,L247=phu!$I$93),"Cam Bình",""),IF(OR(L247=phu!$I$94,L247=phu!$I$95,L247=phu!$I$96,L247=phu!$I$97,L247=phu!$I$98,L247=phu!$I$99,L247=phu!$I$100),"Huyện khác",""),IF(OR(L247=phu!$I$101,L247=phu!$I$102),"Tỉnh khác",""))</f>
        <v/>
      </c>
      <c r="N247" s="835" t="str">
        <f t="shared" si="18"/>
        <v/>
      </c>
      <c r="O247" s="20"/>
      <c r="P247" s="20"/>
      <c r="Q247" s="20"/>
      <c r="R247" s="20"/>
      <c r="S247" s="20"/>
      <c r="T247" s="21"/>
      <c r="U247" s="21"/>
      <c r="V247" s="21"/>
      <c r="W247" s="7" t="str">
        <f t="shared" si="16"/>
        <v/>
      </c>
      <c r="X247" s="506" t="str">
        <f t="shared" si="17"/>
        <v/>
      </c>
    </row>
    <row r="248" spans="1:24" x14ac:dyDescent="0.25">
      <c r="A248" s="66" t="str">
        <f t="shared" si="19"/>
        <v/>
      </c>
      <c r="B248" s="23" t="str">
        <f t="shared" si="15"/>
        <v/>
      </c>
      <c r="C248" s="15"/>
      <c r="D248" s="16"/>
      <c r="E248" s="17"/>
      <c r="F248" s="18"/>
      <c r="G248" s="18"/>
      <c r="H248" s="19"/>
      <c r="I248" s="15"/>
      <c r="J248" s="20"/>
      <c r="K248" s="15"/>
      <c r="L248" s="15"/>
      <c r="M248" s="531" t="str">
        <f>CONCATENATE(IF(OR(L248=phu!$I$1,L248=phu!$I$2,L248=phu!$I$3),"Cam Thành Nam",""),IF(OR(L248=phu!$I$4,L248=phu!$I$5,L248=phu!$I$6,L248=phu!$I$7,L248=phu!$I$8,L248=phu!$I$9,L248=phu!$I$10,L248=phu!$I$11,L248=phu!$I$12,L248=phu!$I$13,L248=phu!$I$14),"Cam Nghĩa",""),IF(OR(L248=phu!$I$15,L248=phu!$I$16,L248=phu!$I$17,L248=phu!$I$18,L248=phu!$I$19,L248=phu!$I$20,L248=phu!$I$21),"Cam Phúc Bắc",""),IF(OR(L248=phu!$I$22,L248=phu!$I$23,L248=phu!$I$24,L248=phu!$I$25),"Cam Phúc Nam",""),IF(OR(L248=phu!$I$26,L248=phu!$I$27,L248=phu!$I$28,L248=phu!$I$29,L248=phu!$I$30,L248=phu!$I$31),"Cam Phú",""),IF(OR(L248=phu!$I$32,L248=phu!$I$33,L248=phu!$I$34,L248=phu!$I$35,L248=phu!$I$36,L248=phu!$I$37),"Cam Lộc",""),IF(OR(L248=phu!$I$38,L248=phu!$I$39,L248=phu!$I$40,L248=phu!$I$41,L248=phu!$I$42,L248=phu!$I$43,L248=phu!$I$44),"Cam Thuận",""),IF(OR(L248=phu!$I$45,L248=phu!$I$46,L248=phu!$I$47,L248=phu!$I$48,L248=phu!$I$49,L248=phu!$I$50,L248=phu!$I$51,L248=phu!$I$52,L248=phu!$I$53),"Cam Linh",""),IF(OR(L248=phu!$I$54,L248=phu!$I$55,L248=phu!$I$56,L248=phu!$I$57,L248=phu!$I$58,L248=phu!$I$59,L248=phu!$I$60,L248=phu!$I$61,L248=phu!$I$62),"Cam Lợi",""),IF(OR(L248=phu!$I$63,L248=phu!$I$64,L248=phu!$I$65,L248=phu!$I$66,L248=phu!$I$67,L248=phu!$I$68,L248=phu!$I$69,L248=phu!$I$70,L248=phu!$I$71),"Ba Ngòi",""),IF(OR(L248=phu!$I$72,L248=phu!$I$73,L248=phu!$I$74,L248=phu!$I$75,L248=phu!$I$76,L248=phu!$I$77,L248=phu!$I$78),"Cam Phước Đông",""),IF(OR(L248=phu!$I$79,L248=phu!$I$80,L248=phu!$I$81,L248=phu!$I$82,L248=phu!$I$83,L248=phu!$I$84),"Cam Thịnh Đông",""),IF(OR(L248=phu!$I$85,L248=phu!$I$86,L248=phu!$I$87,L248=phu!$I$88),"Cam Thịnh Tây",""),IF(OR(L248=phu!$I$89,L248=phu!$I$90),"Cam Lập",""),IF(OR(L248=phu!$I$91,L248=phu!$I$92,L248=phu!$I$93),"Cam Bình",""),IF(OR(L248=phu!$I$94,L248=phu!$I$95,L248=phu!$I$96,L248=phu!$I$97,L248=phu!$I$98,L248=phu!$I$99,L248=phu!$I$100),"Huyện khác",""),IF(OR(L248=phu!$I$101,L248=phu!$I$102),"Tỉnh khác",""))</f>
        <v/>
      </c>
      <c r="N248" s="835" t="str">
        <f t="shared" si="18"/>
        <v/>
      </c>
      <c r="O248" s="20"/>
      <c r="P248" s="20"/>
      <c r="Q248" s="20"/>
      <c r="R248" s="20"/>
      <c r="S248" s="20"/>
      <c r="T248" s="21"/>
      <c r="U248" s="21"/>
      <c r="V248" s="21"/>
      <c r="W248" s="7" t="str">
        <f t="shared" si="16"/>
        <v/>
      </c>
      <c r="X248" s="506" t="str">
        <f t="shared" si="17"/>
        <v/>
      </c>
    </row>
    <row r="249" spans="1:24" x14ac:dyDescent="0.25">
      <c r="A249" s="66" t="str">
        <f t="shared" si="19"/>
        <v/>
      </c>
      <c r="B249" s="23" t="str">
        <f t="shared" si="15"/>
        <v/>
      </c>
      <c r="C249" s="15"/>
      <c r="D249" s="16"/>
      <c r="E249" s="17"/>
      <c r="F249" s="18"/>
      <c r="G249" s="18"/>
      <c r="H249" s="19"/>
      <c r="I249" s="15"/>
      <c r="J249" s="20"/>
      <c r="K249" s="15"/>
      <c r="L249" s="15"/>
      <c r="M249" s="531" t="str">
        <f>CONCATENATE(IF(OR(L249=phu!$I$1,L249=phu!$I$2,L249=phu!$I$3),"Cam Thành Nam",""),IF(OR(L249=phu!$I$4,L249=phu!$I$5,L249=phu!$I$6,L249=phu!$I$7,L249=phu!$I$8,L249=phu!$I$9,L249=phu!$I$10,L249=phu!$I$11,L249=phu!$I$12,L249=phu!$I$13,L249=phu!$I$14),"Cam Nghĩa",""),IF(OR(L249=phu!$I$15,L249=phu!$I$16,L249=phu!$I$17,L249=phu!$I$18,L249=phu!$I$19,L249=phu!$I$20,L249=phu!$I$21),"Cam Phúc Bắc",""),IF(OR(L249=phu!$I$22,L249=phu!$I$23,L249=phu!$I$24,L249=phu!$I$25),"Cam Phúc Nam",""),IF(OR(L249=phu!$I$26,L249=phu!$I$27,L249=phu!$I$28,L249=phu!$I$29,L249=phu!$I$30,L249=phu!$I$31),"Cam Phú",""),IF(OR(L249=phu!$I$32,L249=phu!$I$33,L249=phu!$I$34,L249=phu!$I$35,L249=phu!$I$36,L249=phu!$I$37),"Cam Lộc",""),IF(OR(L249=phu!$I$38,L249=phu!$I$39,L249=phu!$I$40,L249=phu!$I$41,L249=phu!$I$42,L249=phu!$I$43,L249=phu!$I$44),"Cam Thuận",""),IF(OR(L249=phu!$I$45,L249=phu!$I$46,L249=phu!$I$47,L249=phu!$I$48,L249=phu!$I$49,L249=phu!$I$50,L249=phu!$I$51,L249=phu!$I$52,L249=phu!$I$53),"Cam Linh",""),IF(OR(L249=phu!$I$54,L249=phu!$I$55,L249=phu!$I$56,L249=phu!$I$57,L249=phu!$I$58,L249=phu!$I$59,L249=phu!$I$60,L249=phu!$I$61,L249=phu!$I$62),"Cam Lợi",""),IF(OR(L249=phu!$I$63,L249=phu!$I$64,L249=phu!$I$65,L249=phu!$I$66,L249=phu!$I$67,L249=phu!$I$68,L249=phu!$I$69,L249=phu!$I$70,L249=phu!$I$71),"Ba Ngòi",""),IF(OR(L249=phu!$I$72,L249=phu!$I$73,L249=phu!$I$74,L249=phu!$I$75,L249=phu!$I$76,L249=phu!$I$77,L249=phu!$I$78),"Cam Phước Đông",""),IF(OR(L249=phu!$I$79,L249=phu!$I$80,L249=phu!$I$81,L249=phu!$I$82,L249=phu!$I$83,L249=phu!$I$84),"Cam Thịnh Đông",""),IF(OR(L249=phu!$I$85,L249=phu!$I$86,L249=phu!$I$87,L249=phu!$I$88),"Cam Thịnh Tây",""),IF(OR(L249=phu!$I$89,L249=phu!$I$90),"Cam Lập",""),IF(OR(L249=phu!$I$91,L249=phu!$I$92,L249=phu!$I$93),"Cam Bình",""),IF(OR(L249=phu!$I$94,L249=phu!$I$95,L249=phu!$I$96,L249=phu!$I$97,L249=phu!$I$98,L249=phu!$I$99,L249=phu!$I$100),"Huyện khác",""),IF(OR(L249=phu!$I$101,L249=phu!$I$102),"Tỉnh khác",""))</f>
        <v/>
      </c>
      <c r="N249" s="835" t="str">
        <f t="shared" si="18"/>
        <v/>
      </c>
      <c r="O249" s="20"/>
      <c r="P249" s="20"/>
      <c r="Q249" s="20"/>
      <c r="R249" s="20"/>
      <c r="S249" s="20"/>
      <c r="T249" s="21"/>
      <c r="U249" s="21"/>
      <c r="V249" s="21"/>
      <c r="W249" s="7" t="str">
        <f t="shared" si="16"/>
        <v/>
      </c>
      <c r="X249" s="506" t="str">
        <f t="shared" si="17"/>
        <v/>
      </c>
    </row>
    <row r="250" spans="1:24" x14ac:dyDescent="0.25">
      <c r="A250" s="66" t="str">
        <f t="shared" si="19"/>
        <v/>
      </c>
      <c r="B250" s="23" t="str">
        <f t="shared" si="15"/>
        <v/>
      </c>
      <c r="C250" s="15"/>
      <c r="D250" s="16"/>
      <c r="E250" s="17"/>
      <c r="F250" s="18"/>
      <c r="G250" s="18"/>
      <c r="H250" s="19"/>
      <c r="I250" s="15"/>
      <c r="J250" s="20"/>
      <c r="K250" s="15"/>
      <c r="L250" s="15"/>
      <c r="M250" s="531" t="str">
        <f>CONCATENATE(IF(OR(L250=phu!$I$1,L250=phu!$I$2,L250=phu!$I$3),"Cam Thành Nam",""),IF(OR(L250=phu!$I$4,L250=phu!$I$5,L250=phu!$I$6,L250=phu!$I$7,L250=phu!$I$8,L250=phu!$I$9,L250=phu!$I$10,L250=phu!$I$11,L250=phu!$I$12,L250=phu!$I$13,L250=phu!$I$14),"Cam Nghĩa",""),IF(OR(L250=phu!$I$15,L250=phu!$I$16,L250=phu!$I$17,L250=phu!$I$18,L250=phu!$I$19,L250=phu!$I$20,L250=phu!$I$21),"Cam Phúc Bắc",""),IF(OR(L250=phu!$I$22,L250=phu!$I$23,L250=phu!$I$24,L250=phu!$I$25),"Cam Phúc Nam",""),IF(OR(L250=phu!$I$26,L250=phu!$I$27,L250=phu!$I$28,L250=phu!$I$29,L250=phu!$I$30,L250=phu!$I$31),"Cam Phú",""),IF(OR(L250=phu!$I$32,L250=phu!$I$33,L250=phu!$I$34,L250=phu!$I$35,L250=phu!$I$36,L250=phu!$I$37),"Cam Lộc",""),IF(OR(L250=phu!$I$38,L250=phu!$I$39,L250=phu!$I$40,L250=phu!$I$41,L250=phu!$I$42,L250=phu!$I$43,L250=phu!$I$44),"Cam Thuận",""),IF(OR(L250=phu!$I$45,L250=phu!$I$46,L250=phu!$I$47,L250=phu!$I$48,L250=phu!$I$49,L250=phu!$I$50,L250=phu!$I$51,L250=phu!$I$52,L250=phu!$I$53),"Cam Linh",""),IF(OR(L250=phu!$I$54,L250=phu!$I$55,L250=phu!$I$56,L250=phu!$I$57,L250=phu!$I$58,L250=phu!$I$59,L250=phu!$I$60,L250=phu!$I$61,L250=phu!$I$62),"Cam Lợi",""),IF(OR(L250=phu!$I$63,L250=phu!$I$64,L250=phu!$I$65,L250=phu!$I$66,L250=phu!$I$67,L250=phu!$I$68,L250=phu!$I$69,L250=phu!$I$70,L250=phu!$I$71),"Ba Ngòi",""),IF(OR(L250=phu!$I$72,L250=phu!$I$73,L250=phu!$I$74,L250=phu!$I$75,L250=phu!$I$76,L250=phu!$I$77,L250=phu!$I$78),"Cam Phước Đông",""),IF(OR(L250=phu!$I$79,L250=phu!$I$80,L250=phu!$I$81,L250=phu!$I$82,L250=phu!$I$83,L250=phu!$I$84),"Cam Thịnh Đông",""),IF(OR(L250=phu!$I$85,L250=phu!$I$86,L250=phu!$I$87,L250=phu!$I$88),"Cam Thịnh Tây",""),IF(OR(L250=phu!$I$89,L250=phu!$I$90),"Cam Lập",""),IF(OR(L250=phu!$I$91,L250=phu!$I$92,L250=phu!$I$93),"Cam Bình",""),IF(OR(L250=phu!$I$94,L250=phu!$I$95,L250=phu!$I$96,L250=phu!$I$97,L250=phu!$I$98,L250=phu!$I$99,L250=phu!$I$100),"Huyện khác",""),IF(OR(L250=phu!$I$101,L250=phu!$I$102),"Tỉnh khác",""))</f>
        <v/>
      </c>
      <c r="N250" s="835" t="str">
        <f t="shared" si="18"/>
        <v/>
      </c>
      <c r="O250" s="20"/>
      <c r="P250" s="20"/>
      <c r="Q250" s="20"/>
      <c r="R250" s="20"/>
      <c r="S250" s="20"/>
      <c r="T250" s="21"/>
      <c r="U250" s="21"/>
      <c r="V250" s="21"/>
      <c r="W250" s="7" t="str">
        <f t="shared" si="16"/>
        <v/>
      </c>
      <c r="X250" s="506" t="str">
        <f t="shared" si="17"/>
        <v/>
      </c>
    </row>
    <row r="251" spans="1:24" x14ac:dyDescent="0.25">
      <c r="A251" s="66" t="str">
        <f t="shared" si="19"/>
        <v/>
      </c>
      <c r="B251" s="23" t="str">
        <f t="shared" si="15"/>
        <v/>
      </c>
      <c r="C251" s="15"/>
      <c r="D251" s="16"/>
      <c r="E251" s="17"/>
      <c r="F251" s="18"/>
      <c r="G251" s="18"/>
      <c r="H251" s="19"/>
      <c r="I251" s="15"/>
      <c r="J251" s="20"/>
      <c r="K251" s="15"/>
      <c r="L251" s="15"/>
      <c r="M251" s="531" t="str">
        <f>CONCATENATE(IF(OR(L251=phu!$I$1,L251=phu!$I$2,L251=phu!$I$3),"Cam Thành Nam",""),IF(OR(L251=phu!$I$4,L251=phu!$I$5,L251=phu!$I$6,L251=phu!$I$7,L251=phu!$I$8,L251=phu!$I$9,L251=phu!$I$10,L251=phu!$I$11,L251=phu!$I$12,L251=phu!$I$13,L251=phu!$I$14),"Cam Nghĩa",""),IF(OR(L251=phu!$I$15,L251=phu!$I$16,L251=phu!$I$17,L251=phu!$I$18,L251=phu!$I$19,L251=phu!$I$20,L251=phu!$I$21),"Cam Phúc Bắc",""),IF(OR(L251=phu!$I$22,L251=phu!$I$23,L251=phu!$I$24,L251=phu!$I$25),"Cam Phúc Nam",""),IF(OR(L251=phu!$I$26,L251=phu!$I$27,L251=phu!$I$28,L251=phu!$I$29,L251=phu!$I$30,L251=phu!$I$31),"Cam Phú",""),IF(OR(L251=phu!$I$32,L251=phu!$I$33,L251=phu!$I$34,L251=phu!$I$35,L251=phu!$I$36,L251=phu!$I$37),"Cam Lộc",""),IF(OR(L251=phu!$I$38,L251=phu!$I$39,L251=phu!$I$40,L251=phu!$I$41,L251=phu!$I$42,L251=phu!$I$43,L251=phu!$I$44),"Cam Thuận",""),IF(OR(L251=phu!$I$45,L251=phu!$I$46,L251=phu!$I$47,L251=phu!$I$48,L251=phu!$I$49,L251=phu!$I$50,L251=phu!$I$51,L251=phu!$I$52,L251=phu!$I$53),"Cam Linh",""),IF(OR(L251=phu!$I$54,L251=phu!$I$55,L251=phu!$I$56,L251=phu!$I$57,L251=phu!$I$58,L251=phu!$I$59,L251=phu!$I$60,L251=phu!$I$61,L251=phu!$I$62),"Cam Lợi",""),IF(OR(L251=phu!$I$63,L251=phu!$I$64,L251=phu!$I$65,L251=phu!$I$66,L251=phu!$I$67,L251=phu!$I$68,L251=phu!$I$69,L251=phu!$I$70,L251=phu!$I$71),"Ba Ngòi",""),IF(OR(L251=phu!$I$72,L251=phu!$I$73,L251=phu!$I$74,L251=phu!$I$75,L251=phu!$I$76,L251=phu!$I$77,L251=phu!$I$78),"Cam Phước Đông",""),IF(OR(L251=phu!$I$79,L251=phu!$I$80,L251=phu!$I$81,L251=phu!$I$82,L251=phu!$I$83,L251=phu!$I$84),"Cam Thịnh Đông",""),IF(OR(L251=phu!$I$85,L251=phu!$I$86,L251=phu!$I$87,L251=phu!$I$88),"Cam Thịnh Tây",""),IF(OR(L251=phu!$I$89,L251=phu!$I$90),"Cam Lập",""),IF(OR(L251=phu!$I$91,L251=phu!$I$92,L251=phu!$I$93),"Cam Bình",""),IF(OR(L251=phu!$I$94,L251=phu!$I$95,L251=phu!$I$96,L251=phu!$I$97,L251=phu!$I$98,L251=phu!$I$99,L251=phu!$I$100),"Huyện khác",""),IF(OR(L251=phu!$I$101,L251=phu!$I$102),"Tỉnh khác",""))</f>
        <v/>
      </c>
      <c r="N251" s="835" t="str">
        <f t="shared" si="18"/>
        <v/>
      </c>
      <c r="O251" s="20"/>
      <c r="P251" s="20"/>
      <c r="Q251" s="20"/>
      <c r="R251" s="20"/>
      <c r="S251" s="20"/>
      <c r="T251" s="21"/>
      <c r="U251" s="21"/>
      <c r="V251" s="21"/>
      <c r="W251" s="7" t="str">
        <f t="shared" si="16"/>
        <v/>
      </c>
      <c r="X251" s="506" t="str">
        <f t="shared" si="17"/>
        <v/>
      </c>
    </row>
    <row r="252" spans="1:24" x14ac:dyDescent="0.25">
      <c r="A252" s="66" t="str">
        <f t="shared" si="19"/>
        <v/>
      </c>
      <c r="B252" s="23" t="str">
        <f t="shared" si="15"/>
        <v/>
      </c>
      <c r="C252" s="15"/>
      <c r="D252" s="16"/>
      <c r="E252" s="17"/>
      <c r="F252" s="18"/>
      <c r="G252" s="18"/>
      <c r="H252" s="19"/>
      <c r="I252" s="15"/>
      <c r="J252" s="20"/>
      <c r="K252" s="15"/>
      <c r="L252" s="15"/>
      <c r="M252" s="531" t="str">
        <f>CONCATENATE(IF(OR(L252=phu!$I$1,L252=phu!$I$2,L252=phu!$I$3),"Cam Thành Nam",""),IF(OR(L252=phu!$I$4,L252=phu!$I$5,L252=phu!$I$6,L252=phu!$I$7,L252=phu!$I$8,L252=phu!$I$9,L252=phu!$I$10,L252=phu!$I$11,L252=phu!$I$12,L252=phu!$I$13,L252=phu!$I$14),"Cam Nghĩa",""),IF(OR(L252=phu!$I$15,L252=phu!$I$16,L252=phu!$I$17,L252=phu!$I$18,L252=phu!$I$19,L252=phu!$I$20,L252=phu!$I$21),"Cam Phúc Bắc",""),IF(OR(L252=phu!$I$22,L252=phu!$I$23,L252=phu!$I$24,L252=phu!$I$25),"Cam Phúc Nam",""),IF(OR(L252=phu!$I$26,L252=phu!$I$27,L252=phu!$I$28,L252=phu!$I$29,L252=phu!$I$30,L252=phu!$I$31),"Cam Phú",""),IF(OR(L252=phu!$I$32,L252=phu!$I$33,L252=phu!$I$34,L252=phu!$I$35,L252=phu!$I$36,L252=phu!$I$37),"Cam Lộc",""),IF(OR(L252=phu!$I$38,L252=phu!$I$39,L252=phu!$I$40,L252=phu!$I$41,L252=phu!$I$42,L252=phu!$I$43,L252=phu!$I$44),"Cam Thuận",""),IF(OR(L252=phu!$I$45,L252=phu!$I$46,L252=phu!$I$47,L252=phu!$I$48,L252=phu!$I$49,L252=phu!$I$50,L252=phu!$I$51,L252=phu!$I$52,L252=phu!$I$53),"Cam Linh",""),IF(OR(L252=phu!$I$54,L252=phu!$I$55,L252=phu!$I$56,L252=phu!$I$57,L252=phu!$I$58,L252=phu!$I$59,L252=phu!$I$60,L252=phu!$I$61,L252=phu!$I$62),"Cam Lợi",""),IF(OR(L252=phu!$I$63,L252=phu!$I$64,L252=phu!$I$65,L252=phu!$I$66,L252=phu!$I$67,L252=phu!$I$68,L252=phu!$I$69,L252=phu!$I$70,L252=phu!$I$71),"Ba Ngòi",""),IF(OR(L252=phu!$I$72,L252=phu!$I$73,L252=phu!$I$74,L252=phu!$I$75,L252=phu!$I$76,L252=phu!$I$77,L252=phu!$I$78),"Cam Phước Đông",""),IF(OR(L252=phu!$I$79,L252=phu!$I$80,L252=phu!$I$81,L252=phu!$I$82,L252=phu!$I$83,L252=phu!$I$84),"Cam Thịnh Đông",""),IF(OR(L252=phu!$I$85,L252=phu!$I$86,L252=phu!$I$87,L252=phu!$I$88),"Cam Thịnh Tây",""),IF(OR(L252=phu!$I$89,L252=phu!$I$90),"Cam Lập",""),IF(OR(L252=phu!$I$91,L252=phu!$I$92,L252=phu!$I$93),"Cam Bình",""),IF(OR(L252=phu!$I$94,L252=phu!$I$95,L252=phu!$I$96,L252=phu!$I$97,L252=phu!$I$98,L252=phu!$I$99,L252=phu!$I$100),"Huyện khác",""),IF(OR(L252=phu!$I$101,L252=phu!$I$102),"Tỉnh khác",""))</f>
        <v/>
      </c>
      <c r="N252" s="835" t="str">
        <f t="shared" si="18"/>
        <v/>
      </c>
      <c r="O252" s="20"/>
      <c r="P252" s="20"/>
      <c r="Q252" s="20"/>
      <c r="R252" s="20"/>
      <c r="S252" s="20"/>
      <c r="T252" s="21"/>
      <c r="U252" s="21"/>
      <c r="V252" s="21"/>
      <c r="W252" s="7" t="str">
        <f t="shared" si="16"/>
        <v/>
      </c>
      <c r="X252" s="506" t="str">
        <f t="shared" si="17"/>
        <v/>
      </c>
    </row>
    <row r="253" spans="1:24" x14ac:dyDescent="0.25">
      <c r="A253" s="66" t="str">
        <f t="shared" si="19"/>
        <v/>
      </c>
      <c r="B253" s="23" t="str">
        <f t="shared" si="15"/>
        <v/>
      </c>
      <c r="C253" s="15"/>
      <c r="D253" s="16"/>
      <c r="E253" s="17"/>
      <c r="F253" s="18"/>
      <c r="G253" s="18"/>
      <c r="H253" s="19"/>
      <c r="I253" s="15"/>
      <c r="J253" s="20"/>
      <c r="K253" s="15"/>
      <c r="L253" s="15"/>
      <c r="M253" s="531" t="str">
        <f>CONCATENATE(IF(OR(L253=phu!$I$1,L253=phu!$I$2,L253=phu!$I$3),"Cam Thành Nam",""),IF(OR(L253=phu!$I$4,L253=phu!$I$5,L253=phu!$I$6,L253=phu!$I$7,L253=phu!$I$8,L253=phu!$I$9,L253=phu!$I$10,L253=phu!$I$11,L253=phu!$I$12,L253=phu!$I$13,L253=phu!$I$14),"Cam Nghĩa",""),IF(OR(L253=phu!$I$15,L253=phu!$I$16,L253=phu!$I$17,L253=phu!$I$18,L253=phu!$I$19,L253=phu!$I$20,L253=phu!$I$21),"Cam Phúc Bắc",""),IF(OR(L253=phu!$I$22,L253=phu!$I$23,L253=phu!$I$24,L253=phu!$I$25),"Cam Phúc Nam",""),IF(OR(L253=phu!$I$26,L253=phu!$I$27,L253=phu!$I$28,L253=phu!$I$29,L253=phu!$I$30,L253=phu!$I$31),"Cam Phú",""),IF(OR(L253=phu!$I$32,L253=phu!$I$33,L253=phu!$I$34,L253=phu!$I$35,L253=phu!$I$36,L253=phu!$I$37),"Cam Lộc",""),IF(OR(L253=phu!$I$38,L253=phu!$I$39,L253=phu!$I$40,L253=phu!$I$41,L253=phu!$I$42,L253=phu!$I$43,L253=phu!$I$44),"Cam Thuận",""),IF(OR(L253=phu!$I$45,L253=phu!$I$46,L253=phu!$I$47,L253=phu!$I$48,L253=phu!$I$49,L253=phu!$I$50,L253=phu!$I$51,L253=phu!$I$52,L253=phu!$I$53),"Cam Linh",""),IF(OR(L253=phu!$I$54,L253=phu!$I$55,L253=phu!$I$56,L253=phu!$I$57,L253=phu!$I$58,L253=phu!$I$59,L253=phu!$I$60,L253=phu!$I$61,L253=phu!$I$62),"Cam Lợi",""),IF(OR(L253=phu!$I$63,L253=phu!$I$64,L253=phu!$I$65,L253=phu!$I$66,L253=phu!$I$67,L253=phu!$I$68,L253=phu!$I$69,L253=phu!$I$70,L253=phu!$I$71),"Ba Ngòi",""),IF(OR(L253=phu!$I$72,L253=phu!$I$73,L253=phu!$I$74,L253=phu!$I$75,L253=phu!$I$76,L253=phu!$I$77,L253=phu!$I$78),"Cam Phước Đông",""),IF(OR(L253=phu!$I$79,L253=phu!$I$80,L253=phu!$I$81,L253=phu!$I$82,L253=phu!$I$83,L253=phu!$I$84),"Cam Thịnh Đông",""),IF(OR(L253=phu!$I$85,L253=phu!$I$86,L253=phu!$I$87,L253=phu!$I$88),"Cam Thịnh Tây",""),IF(OR(L253=phu!$I$89,L253=phu!$I$90),"Cam Lập",""),IF(OR(L253=phu!$I$91,L253=phu!$I$92,L253=phu!$I$93),"Cam Bình",""),IF(OR(L253=phu!$I$94,L253=phu!$I$95,L253=phu!$I$96,L253=phu!$I$97,L253=phu!$I$98,L253=phu!$I$99,L253=phu!$I$100),"Huyện khác",""),IF(OR(L253=phu!$I$101,L253=phu!$I$102),"Tỉnh khác",""))</f>
        <v/>
      </c>
      <c r="N253" s="835" t="str">
        <f t="shared" si="18"/>
        <v/>
      </c>
      <c r="O253" s="20"/>
      <c r="P253" s="20"/>
      <c r="Q253" s="20"/>
      <c r="R253" s="20"/>
      <c r="S253" s="20"/>
      <c r="T253" s="21"/>
      <c r="U253" s="21"/>
      <c r="V253" s="21"/>
      <c r="W253" s="7" t="str">
        <f t="shared" si="16"/>
        <v/>
      </c>
      <c r="X253" s="506" t="str">
        <f t="shared" si="17"/>
        <v/>
      </c>
    </row>
    <row r="254" spans="1:24" x14ac:dyDescent="0.25">
      <c r="A254" s="66" t="str">
        <f t="shared" si="19"/>
        <v/>
      </c>
      <c r="B254" s="23" t="str">
        <f t="shared" si="15"/>
        <v/>
      </c>
      <c r="C254" s="15"/>
      <c r="D254" s="16"/>
      <c r="E254" s="17"/>
      <c r="F254" s="18"/>
      <c r="G254" s="18"/>
      <c r="H254" s="19"/>
      <c r="I254" s="15"/>
      <c r="J254" s="20"/>
      <c r="K254" s="15"/>
      <c r="L254" s="15"/>
      <c r="M254" s="531" t="str">
        <f>CONCATENATE(IF(OR(L254=phu!$I$1,L254=phu!$I$2,L254=phu!$I$3),"Cam Thành Nam",""),IF(OR(L254=phu!$I$4,L254=phu!$I$5,L254=phu!$I$6,L254=phu!$I$7,L254=phu!$I$8,L254=phu!$I$9,L254=phu!$I$10,L254=phu!$I$11,L254=phu!$I$12,L254=phu!$I$13,L254=phu!$I$14),"Cam Nghĩa",""),IF(OR(L254=phu!$I$15,L254=phu!$I$16,L254=phu!$I$17,L254=phu!$I$18,L254=phu!$I$19,L254=phu!$I$20,L254=phu!$I$21),"Cam Phúc Bắc",""),IF(OR(L254=phu!$I$22,L254=phu!$I$23,L254=phu!$I$24,L254=phu!$I$25),"Cam Phúc Nam",""),IF(OR(L254=phu!$I$26,L254=phu!$I$27,L254=phu!$I$28,L254=phu!$I$29,L254=phu!$I$30,L254=phu!$I$31),"Cam Phú",""),IF(OR(L254=phu!$I$32,L254=phu!$I$33,L254=phu!$I$34,L254=phu!$I$35,L254=phu!$I$36,L254=phu!$I$37),"Cam Lộc",""),IF(OR(L254=phu!$I$38,L254=phu!$I$39,L254=phu!$I$40,L254=phu!$I$41,L254=phu!$I$42,L254=phu!$I$43,L254=phu!$I$44),"Cam Thuận",""),IF(OR(L254=phu!$I$45,L254=phu!$I$46,L254=phu!$I$47,L254=phu!$I$48,L254=phu!$I$49,L254=phu!$I$50,L254=phu!$I$51,L254=phu!$I$52,L254=phu!$I$53),"Cam Linh",""),IF(OR(L254=phu!$I$54,L254=phu!$I$55,L254=phu!$I$56,L254=phu!$I$57,L254=phu!$I$58,L254=phu!$I$59,L254=phu!$I$60,L254=phu!$I$61,L254=phu!$I$62),"Cam Lợi",""),IF(OR(L254=phu!$I$63,L254=phu!$I$64,L254=phu!$I$65,L254=phu!$I$66,L254=phu!$I$67,L254=phu!$I$68,L254=phu!$I$69,L254=phu!$I$70,L254=phu!$I$71),"Ba Ngòi",""),IF(OR(L254=phu!$I$72,L254=phu!$I$73,L254=phu!$I$74,L254=phu!$I$75,L254=phu!$I$76,L254=phu!$I$77,L254=phu!$I$78),"Cam Phước Đông",""),IF(OR(L254=phu!$I$79,L254=phu!$I$80,L254=phu!$I$81,L254=phu!$I$82,L254=phu!$I$83,L254=phu!$I$84),"Cam Thịnh Đông",""),IF(OR(L254=phu!$I$85,L254=phu!$I$86,L254=phu!$I$87,L254=phu!$I$88),"Cam Thịnh Tây",""),IF(OR(L254=phu!$I$89,L254=phu!$I$90),"Cam Lập",""),IF(OR(L254=phu!$I$91,L254=phu!$I$92,L254=phu!$I$93),"Cam Bình",""),IF(OR(L254=phu!$I$94,L254=phu!$I$95,L254=phu!$I$96,L254=phu!$I$97,L254=phu!$I$98,L254=phu!$I$99,L254=phu!$I$100),"Huyện khác",""),IF(OR(L254=phu!$I$101,L254=phu!$I$102),"Tỉnh khác",""))</f>
        <v/>
      </c>
      <c r="N254" s="835" t="str">
        <f t="shared" si="18"/>
        <v/>
      </c>
      <c r="O254" s="20"/>
      <c r="P254" s="20"/>
      <c r="Q254" s="20"/>
      <c r="R254" s="20"/>
      <c r="S254" s="20"/>
      <c r="T254" s="21"/>
      <c r="U254" s="21"/>
      <c r="V254" s="21"/>
      <c r="W254" s="7" t="str">
        <f t="shared" si="16"/>
        <v/>
      </c>
      <c r="X254" s="506" t="str">
        <f t="shared" si="17"/>
        <v/>
      </c>
    </row>
    <row r="255" spans="1:24" x14ac:dyDescent="0.25">
      <c r="A255" s="66" t="str">
        <f t="shared" si="19"/>
        <v/>
      </c>
      <c r="B255" s="23" t="str">
        <f t="shared" si="15"/>
        <v/>
      </c>
      <c r="C255" s="15"/>
      <c r="D255" s="16"/>
      <c r="E255" s="17"/>
      <c r="F255" s="18"/>
      <c r="G255" s="18"/>
      <c r="H255" s="19"/>
      <c r="I255" s="15"/>
      <c r="J255" s="20"/>
      <c r="K255" s="15"/>
      <c r="L255" s="15"/>
      <c r="M255" s="531" t="str">
        <f>CONCATENATE(IF(OR(L255=phu!$I$1,L255=phu!$I$2,L255=phu!$I$3),"Cam Thành Nam",""),IF(OR(L255=phu!$I$4,L255=phu!$I$5,L255=phu!$I$6,L255=phu!$I$7,L255=phu!$I$8,L255=phu!$I$9,L255=phu!$I$10,L255=phu!$I$11,L255=phu!$I$12,L255=phu!$I$13,L255=phu!$I$14),"Cam Nghĩa",""),IF(OR(L255=phu!$I$15,L255=phu!$I$16,L255=phu!$I$17,L255=phu!$I$18,L255=phu!$I$19,L255=phu!$I$20,L255=phu!$I$21),"Cam Phúc Bắc",""),IF(OR(L255=phu!$I$22,L255=phu!$I$23,L255=phu!$I$24,L255=phu!$I$25),"Cam Phúc Nam",""),IF(OR(L255=phu!$I$26,L255=phu!$I$27,L255=phu!$I$28,L255=phu!$I$29,L255=phu!$I$30,L255=phu!$I$31),"Cam Phú",""),IF(OR(L255=phu!$I$32,L255=phu!$I$33,L255=phu!$I$34,L255=phu!$I$35,L255=phu!$I$36,L255=phu!$I$37),"Cam Lộc",""),IF(OR(L255=phu!$I$38,L255=phu!$I$39,L255=phu!$I$40,L255=phu!$I$41,L255=phu!$I$42,L255=phu!$I$43,L255=phu!$I$44),"Cam Thuận",""),IF(OR(L255=phu!$I$45,L255=phu!$I$46,L255=phu!$I$47,L255=phu!$I$48,L255=phu!$I$49,L255=phu!$I$50,L255=phu!$I$51,L255=phu!$I$52,L255=phu!$I$53),"Cam Linh",""),IF(OR(L255=phu!$I$54,L255=phu!$I$55,L255=phu!$I$56,L255=phu!$I$57,L255=phu!$I$58,L255=phu!$I$59,L255=phu!$I$60,L255=phu!$I$61,L255=phu!$I$62),"Cam Lợi",""),IF(OR(L255=phu!$I$63,L255=phu!$I$64,L255=phu!$I$65,L255=phu!$I$66,L255=phu!$I$67,L255=phu!$I$68,L255=phu!$I$69,L255=phu!$I$70,L255=phu!$I$71),"Ba Ngòi",""),IF(OR(L255=phu!$I$72,L255=phu!$I$73,L255=phu!$I$74,L255=phu!$I$75,L255=phu!$I$76,L255=phu!$I$77,L255=phu!$I$78),"Cam Phước Đông",""),IF(OR(L255=phu!$I$79,L255=phu!$I$80,L255=phu!$I$81,L255=phu!$I$82,L255=phu!$I$83,L255=phu!$I$84),"Cam Thịnh Đông",""),IF(OR(L255=phu!$I$85,L255=phu!$I$86,L255=phu!$I$87,L255=phu!$I$88),"Cam Thịnh Tây",""),IF(OR(L255=phu!$I$89,L255=phu!$I$90),"Cam Lập",""),IF(OR(L255=phu!$I$91,L255=phu!$I$92,L255=phu!$I$93),"Cam Bình",""),IF(OR(L255=phu!$I$94,L255=phu!$I$95,L255=phu!$I$96,L255=phu!$I$97,L255=phu!$I$98,L255=phu!$I$99,L255=phu!$I$100),"Huyện khác",""),IF(OR(L255=phu!$I$101,L255=phu!$I$102),"Tỉnh khác",""))</f>
        <v/>
      </c>
      <c r="N255" s="835" t="str">
        <f t="shared" si="18"/>
        <v/>
      </c>
      <c r="O255" s="20"/>
      <c r="P255" s="20"/>
      <c r="Q255" s="20"/>
      <c r="R255" s="20"/>
      <c r="S255" s="20"/>
      <c r="T255" s="21"/>
      <c r="U255" s="21"/>
      <c r="V255" s="21"/>
      <c r="W255" s="7" t="str">
        <f t="shared" si="16"/>
        <v/>
      </c>
      <c r="X255" s="506" t="str">
        <f t="shared" si="17"/>
        <v/>
      </c>
    </row>
    <row r="256" spans="1:24" x14ac:dyDescent="0.25">
      <c r="A256" s="66" t="str">
        <f t="shared" si="19"/>
        <v/>
      </c>
      <c r="B256" s="23" t="str">
        <f t="shared" si="15"/>
        <v/>
      </c>
      <c r="C256" s="15"/>
      <c r="D256" s="16"/>
      <c r="E256" s="17"/>
      <c r="F256" s="18"/>
      <c r="G256" s="18"/>
      <c r="H256" s="19"/>
      <c r="I256" s="15"/>
      <c r="J256" s="20"/>
      <c r="K256" s="15"/>
      <c r="L256" s="15"/>
      <c r="M256" s="531" t="str">
        <f>CONCATENATE(IF(OR(L256=phu!$I$1,L256=phu!$I$2,L256=phu!$I$3),"Cam Thành Nam",""),IF(OR(L256=phu!$I$4,L256=phu!$I$5,L256=phu!$I$6,L256=phu!$I$7,L256=phu!$I$8,L256=phu!$I$9,L256=phu!$I$10,L256=phu!$I$11,L256=phu!$I$12,L256=phu!$I$13,L256=phu!$I$14),"Cam Nghĩa",""),IF(OR(L256=phu!$I$15,L256=phu!$I$16,L256=phu!$I$17,L256=phu!$I$18,L256=phu!$I$19,L256=phu!$I$20,L256=phu!$I$21),"Cam Phúc Bắc",""),IF(OR(L256=phu!$I$22,L256=phu!$I$23,L256=phu!$I$24,L256=phu!$I$25),"Cam Phúc Nam",""),IF(OR(L256=phu!$I$26,L256=phu!$I$27,L256=phu!$I$28,L256=phu!$I$29,L256=phu!$I$30,L256=phu!$I$31),"Cam Phú",""),IF(OR(L256=phu!$I$32,L256=phu!$I$33,L256=phu!$I$34,L256=phu!$I$35,L256=phu!$I$36,L256=phu!$I$37),"Cam Lộc",""),IF(OR(L256=phu!$I$38,L256=phu!$I$39,L256=phu!$I$40,L256=phu!$I$41,L256=phu!$I$42,L256=phu!$I$43,L256=phu!$I$44),"Cam Thuận",""),IF(OR(L256=phu!$I$45,L256=phu!$I$46,L256=phu!$I$47,L256=phu!$I$48,L256=phu!$I$49,L256=phu!$I$50,L256=phu!$I$51,L256=phu!$I$52,L256=phu!$I$53),"Cam Linh",""),IF(OR(L256=phu!$I$54,L256=phu!$I$55,L256=phu!$I$56,L256=phu!$I$57,L256=phu!$I$58,L256=phu!$I$59,L256=phu!$I$60,L256=phu!$I$61,L256=phu!$I$62),"Cam Lợi",""),IF(OR(L256=phu!$I$63,L256=phu!$I$64,L256=phu!$I$65,L256=phu!$I$66,L256=phu!$I$67,L256=phu!$I$68,L256=phu!$I$69,L256=phu!$I$70,L256=phu!$I$71),"Ba Ngòi",""),IF(OR(L256=phu!$I$72,L256=phu!$I$73,L256=phu!$I$74,L256=phu!$I$75,L256=phu!$I$76,L256=phu!$I$77,L256=phu!$I$78),"Cam Phước Đông",""),IF(OR(L256=phu!$I$79,L256=phu!$I$80,L256=phu!$I$81,L256=phu!$I$82,L256=phu!$I$83,L256=phu!$I$84),"Cam Thịnh Đông",""),IF(OR(L256=phu!$I$85,L256=phu!$I$86,L256=phu!$I$87,L256=phu!$I$88),"Cam Thịnh Tây",""),IF(OR(L256=phu!$I$89,L256=phu!$I$90),"Cam Lập",""),IF(OR(L256=phu!$I$91,L256=phu!$I$92,L256=phu!$I$93),"Cam Bình",""),IF(OR(L256=phu!$I$94,L256=phu!$I$95,L256=phu!$I$96,L256=phu!$I$97,L256=phu!$I$98,L256=phu!$I$99,L256=phu!$I$100),"Huyện khác",""),IF(OR(L256=phu!$I$101,L256=phu!$I$102),"Tỉnh khác",""))</f>
        <v/>
      </c>
      <c r="N256" s="835" t="str">
        <f t="shared" si="18"/>
        <v/>
      </c>
      <c r="O256" s="20"/>
      <c r="P256" s="20"/>
      <c r="Q256" s="20"/>
      <c r="R256" s="20"/>
      <c r="S256" s="20"/>
      <c r="T256" s="21"/>
      <c r="U256" s="21"/>
      <c r="V256" s="21"/>
      <c r="W256" s="7" t="str">
        <f t="shared" si="16"/>
        <v/>
      </c>
      <c r="X256" s="506" t="str">
        <f t="shared" si="17"/>
        <v/>
      </c>
    </row>
    <row r="257" spans="1:24" x14ac:dyDescent="0.25">
      <c r="A257" s="66" t="str">
        <f t="shared" si="19"/>
        <v/>
      </c>
      <c r="B257" s="23" t="str">
        <f t="shared" si="15"/>
        <v/>
      </c>
      <c r="C257" s="15"/>
      <c r="D257" s="16"/>
      <c r="E257" s="17"/>
      <c r="F257" s="18"/>
      <c r="G257" s="18"/>
      <c r="H257" s="19"/>
      <c r="I257" s="15"/>
      <c r="J257" s="20"/>
      <c r="K257" s="15"/>
      <c r="L257" s="15"/>
      <c r="M257" s="531" t="str">
        <f>CONCATENATE(IF(OR(L257=phu!$I$1,L257=phu!$I$2,L257=phu!$I$3),"Cam Thành Nam",""),IF(OR(L257=phu!$I$4,L257=phu!$I$5,L257=phu!$I$6,L257=phu!$I$7,L257=phu!$I$8,L257=phu!$I$9,L257=phu!$I$10,L257=phu!$I$11,L257=phu!$I$12,L257=phu!$I$13,L257=phu!$I$14),"Cam Nghĩa",""),IF(OR(L257=phu!$I$15,L257=phu!$I$16,L257=phu!$I$17,L257=phu!$I$18,L257=phu!$I$19,L257=phu!$I$20,L257=phu!$I$21),"Cam Phúc Bắc",""),IF(OR(L257=phu!$I$22,L257=phu!$I$23,L257=phu!$I$24,L257=phu!$I$25),"Cam Phúc Nam",""),IF(OR(L257=phu!$I$26,L257=phu!$I$27,L257=phu!$I$28,L257=phu!$I$29,L257=phu!$I$30,L257=phu!$I$31),"Cam Phú",""),IF(OR(L257=phu!$I$32,L257=phu!$I$33,L257=phu!$I$34,L257=phu!$I$35,L257=phu!$I$36,L257=phu!$I$37),"Cam Lộc",""),IF(OR(L257=phu!$I$38,L257=phu!$I$39,L257=phu!$I$40,L257=phu!$I$41,L257=phu!$I$42,L257=phu!$I$43,L257=phu!$I$44),"Cam Thuận",""),IF(OR(L257=phu!$I$45,L257=phu!$I$46,L257=phu!$I$47,L257=phu!$I$48,L257=phu!$I$49,L257=phu!$I$50,L257=phu!$I$51,L257=phu!$I$52,L257=phu!$I$53),"Cam Linh",""),IF(OR(L257=phu!$I$54,L257=phu!$I$55,L257=phu!$I$56,L257=phu!$I$57,L257=phu!$I$58,L257=phu!$I$59,L257=phu!$I$60,L257=phu!$I$61,L257=phu!$I$62),"Cam Lợi",""),IF(OR(L257=phu!$I$63,L257=phu!$I$64,L257=phu!$I$65,L257=phu!$I$66,L257=phu!$I$67,L257=phu!$I$68,L257=phu!$I$69,L257=phu!$I$70,L257=phu!$I$71),"Ba Ngòi",""),IF(OR(L257=phu!$I$72,L257=phu!$I$73,L257=phu!$I$74,L257=phu!$I$75,L257=phu!$I$76,L257=phu!$I$77,L257=phu!$I$78),"Cam Phước Đông",""),IF(OR(L257=phu!$I$79,L257=phu!$I$80,L257=phu!$I$81,L257=phu!$I$82,L257=phu!$I$83,L257=phu!$I$84),"Cam Thịnh Đông",""),IF(OR(L257=phu!$I$85,L257=phu!$I$86,L257=phu!$I$87,L257=phu!$I$88),"Cam Thịnh Tây",""),IF(OR(L257=phu!$I$89,L257=phu!$I$90),"Cam Lập",""),IF(OR(L257=phu!$I$91,L257=phu!$I$92,L257=phu!$I$93),"Cam Bình",""),IF(OR(L257=phu!$I$94,L257=phu!$I$95,L257=phu!$I$96,L257=phu!$I$97,L257=phu!$I$98,L257=phu!$I$99,L257=phu!$I$100),"Huyện khác",""),IF(OR(L257=phu!$I$101,L257=phu!$I$102),"Tỉnh khác",""))</f>
        <v/>
      </c>
      <c r="N257" s="835" t="str">
        <f t="shared" si="18"/>
        <v/>
      </c>
      <c r="O257" s="20"/>
      <c r="P257" s="20"/>
      <c r="Q257" s="20"/>
      <c r="R257" s="20"/>
      <c r="S257" s="20"/>
      <c r="T257" s="21"/>
      <c r="U257" s="21"/>
      <c r="V257" s="21"/>
      <c r="W257" s="7" t="str">
        <f t="shared" si="16"/>
        <v/>
      </c>
      <c r="X257" s="506" t="str">
        <f t="shared" si="17"/>
        <v/>
      </c>
    </row>
    <row r="258" spans="1:24" x14ac:dyDescent="0.25">
      <c r="A258" s="66" t="str">
        <f t="shared" si="19"/>
        <v/>
      </c>
      <c r="B258" s="23" t="str">
        <f t="shared" si="15"/>
        <v/>
      </c>
      <c r="C258" s="15"/>
      <c r="D258" s="16"/>
      <c r="E258" s="17"/>
      <c r="F258" s="18"/>
      <c r="G258" s="18"/>
      <c r="H258" s="19"/>
      <c r="I258" s="15"/>
      <c r="J258" s="20"/>
      <c r="K258" s="15"/>
      <c r="L258" s="15"/>
      <c r="M258" s="531" t="str">
        <f>CONCATENATE(IF(OR(L258=phu!$I$1,L258=phu!$I$2,L258=phu!$I$3),"Cam Thành Nam",""),IF(OR(L258=phu!$I$4,L258=phu!$I$5,L258=phu!$I$6,L258=phu!$I$7,L258=phu!$I$8,L258=phu!$I$9,L258=phu!$I$10,L258=phu!$I$11,L258=phu!$I$12,L258=phu!$I$13,L258=phu!$I$14),"Cam Nghĩa",""),IF(OR(L258=phu!$I$15,L258=phu!$I$16,L258=phu!$I$17,L258=phu!$I$18,L258=phu!$I$19,L258=phu!$I$20,L258=phu!$I$21),"Cam Phúc Bắc",""),IF(OR(L258=phu!$I$22,L258=phu!$I$23,L258=phu!$I$24,L258=phu!$I$25),"Cam Phúc Nam",""),IF(OR(L258=phu!$I$26,L258=phu!$I$27,L258=phu!$I$28,L258=phu!$I$29,L258=phu!$I$30,L258=phu!$I$31),"Cam Phú",""),IF(OR(L258=phu!$I$32,L258=phu!$I$33,L258=phu!$I$34,L258=phu!$I$35,L258=phu!$I$36,L258=phu!$I$37),"Cam Lộc",""),IF(OR(L258=phu!$I$38,L258=phu!$I$39,L258=phu!$I$40,L258=phu!$I$41,L258=phu!$I$42,L258=phu!$I$43,L258=phu!$I$44),"Cam Thuận",""),IF(OR(L258=phu!$I$45,L258=phu!$I$46,L258=phu!$I$47,L258=phu!$I$48,L258=phu!$I$49,L258=phu!$I$50,L258=phu!$I$51,L258=phu!$I$52,L258=phu!$I$53),"Cam Linh",""),IF(OR(L258=phu!$I$54,L258=phu!$I$55,L258=phu!$I$56,L258=phu!$I$57,L258=phu!$I$58,L258=phu!$I$59,L258=phu!$I$60,L258=phu!$I$61,L258=phu!$I$62),"Cam Lợi",""),IF(OR(L258=phu!$I$63,L258=phu!$I$64,L258=phu!$I$65,L258=phu!$I$66,L258=phu!$I$67,L258=phu!$I$68,L258=phu!$I$69,L258=phu!$I$70,L258=phu!$I$71),"Ba Ngòi",""),IF(OR(L258=phu!$I$72,L258=phu!$I$73,L258=phu!$I$74,L258=phu!$I$75,L258=phu!$I$76,L258=phu!$I$77,L258=phu!$I$78),"Cam Phước Đông",""),IF(OR(L258=phu!$I$79,L258=phu!$I$80,L258=phu!$I$81,L258=phu!$I$82,L258=phu!$I$83,L258=phu!$I$84),"Cam Thịnh Đông",""),IF(OR(L258=phu!$I$85,L258=phu!$I$86,L258=phu!$I$87,L258=phu!$I$88),"Cam Thịnh Tây",""),IF(OR(L258=phu!$I$89,L258=phu!$I$90),"Cam Lập",""),IF(OR(L258=phu!$I$91,L258=phu!$I$92,L258=phu!$I$93),"Cam Bình",""),IF(OR(L258=phu!$I$94,L258=phu!$I$95,L258=phu!$I$96,L258=phu!$I$97,L258=phu!$I$98,L258=phu!$I$99,L258=phu!$I$100),"Huyện khác",""),IF(OR(L258=phu!$I$101,L258=phu!$I$102),"Tỉnh khác",""))</f>
        <v/>
      </c>
      <c r="N258" s="835" t="str">
        <f t="shared" si="18"/>
        <v/>
      </c>
      <c r="O258" s="20"/>
      <c r="P258" s="20"/>
      <c r="Q258" s="20"/>
      <c r="R258" s="20"/>
      <c r="S258" s="20"/>
      <c r="T258" s="21"/>
      <c r="U258" s="21"/>
      <c r="V258" s="21"/>
      <c r="W258" s="7" t="str">
        <f t="shared" si="16"/>
        <v/>
      </c>
      <c r="X258" s="506" t="str">
        <f t="shared" si="17"/>
        <v/>
      </c>
    </row>
    <row r="259" spans="1:24" x14ac:dyDescent="0.25">
      <c r="A259" s="66" t="str">
        <f t="shared" si="19"/>
        <v/>
      </c>
      <c r="B259" s="23" t="str">
        <f t="shared" si="15"/>
        <v/>
      </c>
      <c r="C259" s="15"/>
      <c r="D259" s="16"/>
      <c r="E259" s="17"/>
      <c r="F259" s="18"/>
      <c r="G259" s="18"/>
      <c r="H259" s="19"/>
      <c r="I259" s="15"/>
      <c r="J259" s="20"/>
      <c r="K259" s="15"/>
      <c r="L259" s="15"/>
      <c r="M259" s="531" t="str">
        <f>CONCATENATE(IF(OR(L259=phu!$I$1,L259=phu!$I$2,L259=phu!$I$3),"Cam Thành Nam",""),IF(OR(L259=phu!$I$4,L259=phu!$I$5,L259=phu!$I$6,L259=phu!$I$7,L259=phu!$I$8,L259=phu!$I$9,L259=phu!$I$10,L259=phu!$I$11,L259=phu!$I$12,L259=phu!$I$13,L259=phu!$I$14),"Cam Nghĩa",""),IF(OR(L259=phu!$I$15,L259=phu!$I$16,L259=phu!$I$17,L259=phu!$I$18,L259=phu!$I$19,L259=phu!$I$20,L259=phu!$I$21),"Cam Phúc Bắc",""),IF(OR(L259=phu!$I$22,L259=phu!$I$23,L259=phu!$I$24,L259=phu!$I$25),"Cam Phúc Nam",""),IF(OR(L259=phu!$I$26,L259=phu!$I$27,L259=phu!$I$28,L259=phu!$I$29,L259=phu!$I$30,L259=phu!$I$31),"Cam Phú",""),IF(OR(L259=phu!$I$32,L259=phu!$I$33,L259=phu!$I$34,L259=phu!$I$35,L259=phu!$I$36,L259=phu!$I$37),"Cam Lộc",""),IF(OR(L259=phu!$I$38,L259=phu!$I$39,L259=phu!$I$40,L259=phu!$I$41,L259=phu!$I$42,L259=phu!$I$43,L259=phu!$I$44),"Cam Thuận",""),IF(OR(L259=phu!$I$45,L259=phu!$I$46,L259=phu!$I$47,L259=phu!$I$48,L259=phu!$I$49,L259=phu!$I$50,L259=phu!$I$51,L259=phu!$I$52,L259=phu!$I$53),"Cam Linh",""),IF(OR(L259=phu!$I$54,L259=phu!$I$55,L259=phu!$I$56,L259=phu!$I$57,L259=phu!$I$58,L259=phu!$I$59,L259=phu!$I$60,L259=phu!$I$61,L259=phu!$I$62),"Cam Lợi",""),IF(OR(L259=phu!$I$63,L259=phu!$I$64,L259=phu!$I$65,L259=phu!$I$66,L259=phu!$I$67,L259=phu!$I$68,L259=phu!$I$69,L259=phu!$I$70,L259=phu!$I$71),"Ba Ngòi",""),IF(OR(L259=phu!$I$72,L259=phu!$I$73,L259=phu!$I$74,L259=phu!$I$75,L259=phu!$I$76,L259=phu!$I$77,L259=phu!$I$78),"Cam Phước Đông",""),IF(OR(L259=phu!$I$79,L259=phu!$I$80,L259=phu!$I$81,L259=phu!$I$82,L259=phu!$I$83,L259=phu!$I$84),"Cam Thịnh Đông",""),IF(OR(L259=phu!$I$85,L259=phu!$I$86,L259=phu!$I$87,L259=phu!$I$88),"Cam Thịnh Tây",""),IF(OR(L259=phu!$I$89,L259=phu!$I$90),"Cam Lập",""),IF(OR(L259=phu!$I$91,L259=phu!$I$92,L259=phu!$I$93),"Cam Bình",""),IF(OR(L259=phu!$I$94,L259=phu!$I$95,L259=phu!$I$96,L259=phu!$I$97,L259=phu!$I$98,L259=phu!$I$99,L259=phu!$I$100),"Huyện khác",""),IF(OR(L259=phu!$I$101,L259=phu!$I$102),"Tỉnh khác",""))</f>
        <v/>
      </c>
      <c r="N259" s="835" t="str">
        <f t="shared" si="18"/>
        <v/>
      </c>
      <c r="O259" s="20"/>
      <c r="P259" s="20"/>
      <c r="Q259" s="20"/>
      <c r="R259" s="20"/>
      <c r="S259" s="20"/>
      <c r="T259" s="21"/>
      <c r="U259" s="21"/>
      <c r="V259" s="21"/>
      <c r="W259" s="7" t="str">
        <f t="shared" si="16"/>
        <v/>
      </c>
      <c r="X259" s="506" t="str">
        <f t="shared" si="17"/>
        <v/>
      </c>
    </row>
    <row r="260" spans="1:24" x14ac:dyDescent="0.25">
      <c r="A260" s="66" t="str">
        <f t="shared" si="19"/>
        <v/>
      </c>
      <c r="B260" s="23" t="str">
        <f t="shared" si="15"/>
        <v/>
      </c>
      <c r="C260" s="15"/>
      <c r="D260" s="16"/>
      <c r="E260" s="17"/>
      <c r="F260" s="18"/>
      <c r="G260" s="18"/>
      <c r="H260" s="19"/>
      <c r="I260" s="15"/>
      <c r="J260" s="20"/>
      <c r="K260" s="15"/>
      <c r="L260" s="15"/>
      <c r="M260" s="531" t="str">
        <f>CONCATENATE(IF(OR(L260=phu!$I$1,L260=phu!$I$2,L260=phu!$I$3),"Cam Thành Nam",""),IF(OR(L260=phu!$I$4,L260=phu!$I$5,L260=phu!$I$6,L260=phu!$I$7,L260=phu!$I$8,L260=phu!$I$9,L260=phu!$I$10,L260=phu!$I$11,L260=phu!$I$12,L260=phu!$I$13,L260=phu!$I$14),"Cam Nghĩa",""),IF(OR(L260=phu!$I$15,L260=phu!$I$16,L260=phu!$I$17,L260=phu!$I$18,L260=phu!$I$19,L260=phu!$I$20,L260=phu!$I$21),"Cam Phúc Bắc",""),IF(OR(L260=phu!$I$22,L260=phu!$I$23,L260=phu!$I$24,L260=phu!$I$25),"Cam Phúc Nam",""),IF(OR(L260=phu!$I$26,L260=phu!$I$27,L260=phu!$I$28,L260=phu!$I$29,L260=phu!$I$30,L260=phu!$I$31),"Cam Phú",""),IF(OR(L260=phu!$I$32,L260=phu!$I$33,L260=phu!$I$34,L260=phu!$I$35,L260=phu!$I$36,L260=phu!$I$37),"Cam Lộc",""),IF(OR(L260=phu!$I$38,L260=phu!$I$39,L260=phu!$I$40,L260=phu!$I$41,L260=phu!$I$42,L260=phu!$I$43,L260=phu!$I$44),"Cam Thuận",""),IF(OR(L260=phu!$I$45,L260=phu!$I$46,L260=phu!$I$47,L260=phu!$I$48,L260=phu!$I$49,L260=phu!$I$50,L260=phu!$I$51,L260=phu!$I$52,L260=phu!$I$53),"Cam Linh",""),IF(OR(L260=phu!$I$54,L260=phu!$I$55,L260=phu!$I$56,L260=phu!$I$57,L260=phu!$I$58,L260=phu!$I$59,L260=phu!$I$60,L260=phu!$I$61,L260=phu!$I$62),"Cam Lợi",""),IF(OR(L260=phu!$I$63,L260=phu!$I$64,L260=phu!$I$65,L260=phu!$I$66,L260=phu!$I$67,L260=phu!$I$68,L260=phu!$I$69,L260=phu!$I$70,L260=phu!$I$71),"Ba Ngòi",""),IF(OR(L260=phu!$I$72,L260=phu!$I$73,L260=phu!$I$74,L260=phu!$I$75,L260=phu!$I$76,L260=phu!$I$77,L260=phu!$I$78),"Cam Phước Đông",""),IF(OR(L260=phu!$I$79,L260=phu!$I$80,L260=phu!$I$81,L260=phu!$I$82,L260=phu!$I$83,L260=phu!$I$84),"Cam Thịnh Đông",""),IF(OR(L260=phu!$I$85,L260=phu!$I$86,L260=phu!$I$87,L260=phu!$I$88),"Cam Thịnh Tây",""),IF(OR(L260=phu!$I$89,L260=phu!$I$90),"Cam Lập",""),IF(OR(L260=phu!$I$91,L260=phu!$I$92,L260=phu!$I$93),"Cam Bình",""),IF(OR(L260=phu!$I$94,L260=phu!$I$95,L260=phu!$I$96,L260=phu!$I$97,L260=phu!$I$98,L260=phu!$I$99,L260=phu!$I$100),"Huyện khác",""),IF(OR(L260=phu!$I$101,L260=phu!$I$102),"Tỉnh khác",""))</f>
        <v/>
      </c>
      <c r="N260" s="835" t="str">
        <f t="shared" si="18"/>
        <v/>
      </c>
      <c r="O260" s="20"/>
      <c r="P260" s="20"/>
      <c r="Q260" s="20"/>
      <c r="R260" s="20"/>
      <c r="S260" s="20"/>
      <c r="T260" s="21"/>
      <c r="U260" s="21"/>
      <c r="V260" s="21"/>
      <c r="W260" s="7" t="str">
        <f t="shared" si="16"/>
        <v/>
      </c>
      <c r="X260" s="506" t="str">
        <f t="shared" si="17"/>
        <v/>
      </c>
    </row>
    <row r="261" spans="1:24" x14ac:dyDescent="0.25">
      <c r="A261" s="66" t="str">
        <f t="shared" si="19"/>
        <v/>
      </c>
      <c r="B261" s="23" t="str">
        <f t="shared" si="15"/>
        <v/>
      </c>
      <c r="C261" s="15"/>
      <c r="D261" s="16"/>
      <c r="E261" s="17"/>
      <c r="F261" s="18"/>
      <c r="G261" s="18"/>
      <c r="H261" s="19"/>
      <c r="I261" s="15"/>
      <c r="J261" s="20"/>
      <c r="K261" s="15"/>
      <c r="L261" s="15"/>
      <c r="M261" s="531" t="str">
        <f>CONCATENATE(IF(OR(L261=phu!$I$1,L261=phu!$I$2,L261=phu!$I$3),"Cam Thành Nam",""),IF(OR(L261=phu!$I$4,L261=phu!$I$5,L261=phu!$I$6,L261=phu!$I$7,L261=phu!$I$8,L261=phu!$I$9,L261=phu!$I$10,L261=phu!$I$11,L261=phu!$I$12,L261=phu!$I$13,L261=phu!$I$14),"Cam Nghĩa",""),IF(OR(L261=phu!$I$15,L261=phu!$I$16,L261=phu!$I$17,L261=phu!$I$18,L261=phu!$I$19,L261=phu!$I$20,L261=phu!$I$21),"Cam Phúc Bắc",""),IF(OR(L261=phu!$I$22,L261=phu!$I$23,L261=phu!$I$24,L261=phu!$I$25),"Cam Phúc Nam",""),IF(OR(L261=phu!$I$26,L261=phu!$I$27,L261=phu!$I$28,L261=phu!$I$29,L261=phu!$I$30,L261=phu!$I$31),"Cam Phú",""),IF(OR(L261=phu!$I$32,L261=phu!$I$33,L261=phu!$I$34,L261=phu!$I$35,L261=phu!$I$36,L261=phu!$I$37),"Cam Lộc",""),IF(OR(L261=phu!$I$38,L261=phu!$I$39,L261=phu!$I$40,L261=phu!$I$41,L261=phu!$I$42,L261=phu!$I$43,L261=phu!$I$44),"Cam Thuận",""),IF(OR(L261=phu!$I$45,L261=phu!$I$46,L261=phu!$I$47,L261=phu!$I$48,L261=phu!$I$49,L261=phu!$I$50,L261=phu!$I$51,L261=phu!$I$52,L261=phu!$I$53),"Cam Linh",""),IF(OR(L261=phu!$I$54,L261=phu!$I$55,L261=phu!$I$56,L261=phu!$I$57,L261=phu!$I$58,L261=phu!$I$59,L261=phu!$I$60,L261=phu!$I$61,L261=phu!$I$62),"Cam Lợi",""),IF(OR(L261=phu!$I$63,L261=phu!$I$64,L261=phu!$I$65,L261=phu!$I$66,L261=phu!$I$67,L261=phu!$I$68,L261=phu!$I$69,L261=phu!$I$70,L261=phu!$I$71),"Ba Ngòi",""),IF(OR(L261=phu!$I$72,L261=phu!$I$73,L261=phu!$I$74,L261=phu!$I$75,L261=phu!$I$76,L261=phu!$I$77,L261=phu!$I$78),"Cam Phước Đông",""),IF(OR(L261=phu!$I$79,L261=phu!$I$80,L261=phu!$I$81,L261=phu!$I$82,L261=phu!$I$83,L261=phu!$I$84),"Cam Thịnh Đông",""),IF(OR(L261=phu!$I$85,L261=phu!$I$86,L261=phu!$I$87,L261=phu!$I$88),"Cam Thịnh Tây",""),IF(OR(L261=phu!$I$89,L261=phu!$I$90),"Cam Lập",""),IF(OR(L261=phu!$I$91,L261=phu!$I$92,L261=phu!$I$93),"Cam Bình",""),IF(OR(L261=phu!$I$94,L261=phu!$I$95,L261=phu!$I$96,L261=phu!$I$97,L261=phu!$I$98,L261=phu!$I$99,L261=phu!$I$100),"Huyện khác",""),IF(OR(L261=phu!$I$101,L261=phu!$I$102),"Tỉnh khác",""))</f>
        <v/>
      </c>
      <c r="N261" s="835" t="str">
        <f t="shared" si="18"/>
        <v/>
      </c>
      <c r="O261" s="20"/>
      <c r="P261" s="20"/>
      <c r="Q261" s="20"/>
      <c r="R261" s="20"/>
      <c r="S261" s="20"/>
      <c r="T261" s="21"/>
      <c r="U261" s="21"/>
      <c r="V261" s="21"/>
      <c r="W261" s="7" t="str">
        <f t="shared" si="16"/>
        <v/>
      </c>
      <c r="X261" s="506" t="str">
        <f t="shared" si="17"/>
        <v/>
      </c>
    </row>
    <row r="262" spans="1:24" x14ac:dyDescent="0.25">
      <c r="A262" s="66" t="str">
        <f t="shared" si="19"/>
        <v/>
      </c>
      <c r="B262" s="23" t="str">
        <f t="shared" ref="B262:B325" si="20">IF(W262=5,"5-6 tuổi",IF(W262=4,"4-5 tuổi",IF(W262=3,"3-4 tuổi",IF(AND(W262&lt;3,W262&gt;1),"25-36 tháng",IF(AND(W262=1,W262&gt;0),"13-24 tháng",IF(AND(W262=0,E262&lt;&gt;""),"Dưới 13 tháng",""))))))</f>
        <v/>
      </c>
      <c r="C262" s="15"/>
      <c r="D262" s="16"/>
      <c r="E262" s="17"/>
      <c r="F262" s="18"/>
      <c r="G262" s="18"/>
      <c r="H262" s="19"/>
      <c r="I262" s="15"/>
      <c r="J262" s="20"/>
      <c r="K262" s="15"/>
      <c r="L262" s="15"/>
      <c r="M262" s="531" t="str">
        <f>CONCATENATE(IF(OR(L262=phu!$I$1,L262=phu!$I$2,L262=phu!$I$3),"Cam Thành Nam",""),IF(OR(L262=phu!$I$4,L262=phu!$I$5,L262=phu!$I$6,L262=phu!$I$7,L262=phu!$I$8,L262=phu!$I$9,L262=phu!$I$10,L262=phu!$I$11,L262=phu!$I$12,L262=phu!$I$13,L262=phu!$I$14),"Cam Nghĩa",""),IF(OR(L262=phu!$I$15,L262=phu!$I$16,L262=phu!$I$17,L262=phu!$I$18,L262=phu!$I$19,L262=phu!$I$20,L262=phu!$I$21),"Cam Phúc Bắc",""),IF(OR(L262=phu!$I$22,L262=phu!$I$23,L262=phu!$I$24,L262=phu!$I$25),"Cam Phúc Nam",""),IF(OR(L262=phu!$I$26,L262=phu!$I$27,L262=phu!$I$28,L262=phu!$I$29,L262=phu!$I$30,L262=phu!$I$31),"Cam Phú",""),IF(OR(L262=phu!$I$32,L262=phu!$I$33,L262=phu!$I$34,L262=phu!$I$35,L262=phu!$I$36,L262=phu!$I$37),"Cam Lộc",""),IF(OR(L262=phu!$I$38,L262=phu!$I$39,L262=phu!$I$40,L262=phu!$I$41,L262=phu!$I$42,L262=phu!$I$43,L262=phu!$I$44),"Cam Thuận",""),IF(OR(L262=phu!$I$45,L262=phu!$I$46,L262=phu!$I$47,L262=phu!$I$48,L262=phu!$I$49,L262=phu!$I$50,L262=phu!$I$51,L262=phu!$I$52,L262=phu!$I$53),"Cam Linh",""),IF(OR(L262=phu!$I$54,L262=phu!$I$55,L262=phu!$I$56,L262=phu!$I$57,L262=phu!$I$58,L262=phu!$I$59,L262=phu!$I$60,L262=phu!$I$61,L262=phu!$I$62),"Cam Lợi",""),IF(OR(L262=phu!$I$63,L262=phu!$I$64,L262=phu!$I$65,L262=phu!$I$66,L262=phu!$I$67,L262=phu!$I$68,L262=phu!$I$69,L262=phu!$I$70,L262=phu!$I$71),"Ba Ngòi",""),IF(OR(L262=phu!$I$72,L262=phu!$I$73,L262=phu!$I$74,L262=phu!$I$75,L262=phu!$I$76,L262=phu!$I$77,L262=phu!$I$78),"Cam Phước Đông",""),IF(OR(L262=phu!$I$79,L262=phu!$I$80,L262=phu!$I$81,L262=phu!$I$82,L262=phu!$I$83,L262=phu!$I$84),"Cam Thịnh Đông",""),IF(OR(L262=phu!$I$85,L262=phu!$I$86,L262=phu!$I$87,L262=phu!$I$88),"Cam Thịnh Tây",""),IF(OR(L262=phu!$I$89,L262=phu!$I$90),"Cam Lập",""),IF(OR(L262=phu!$I$91,L262=phu!$I$92,L262=phu!$I$93),"Cam Bình",""),IF(OR(L262=phu!$I$94,L262=phu!$I$95,L262=phu!$I$96,L262=phu!$I$97,L262=phu!$I$98,L262=phu!$I$99,L262=phu!$I$100),"Huyện khác",""),IF(OR(L262=phu!$I$101,L262=phu!$I$102),"Tỉnh khác",""))</f>
        <v/>
      </c>
      <c r="N262" s="835" t="str">
        <f t="shared" si="18"/>
        <v/>
      </c>
      <c r="O262" s="20"/>
      <c r="P262" s="20"/>
      <c r="Q262" s="20"/>
      <c r="R262" s="20"/>
      <c r="S262" s="20"/>
      <c r="T262" s="21"/>
      <c r="U262" s="21"/>
      <c r="V262" s="21"/>
      <c r="W262" s="7" t="str">
        <f t="shared" ref="W262:W325" si="21">IF(OR($P$2="",H262=""),"",$P$2-H262)</f>
        <v/>
      </c>
      <c r="X262" s="506" t="str">
        <f t="shared" ref="X262:X325" si="22">IF(OR(AND(C262="",D262="",E262="",F262="",G262="",H262="",J262="",L262="",M262="",O262="",P262="",Q262=""),AND(C262&lt;&gt;"",D262&lt;&gt;"",E262&lt;&gt;"",F262&lt;&gt;"",G262&lt;&gt;"",H262&lt;&gt;"",J262&lt;&gt;"",L262&lt;&gt;"",M262&lt;&gt;"",O262&lt;&gt;"",OR(AND(P262&lt;&gt;"",Q262=""),AND(P262="",Q262&lt;&gt;""),AND(P262&lt;&gt;"",Q262&lt;&gt;"")),OR(AND(K262="X",S262&lt;&gt;""),AND(K262="",S262="")))),"","er")</f>
        <v/>
      </c>
    </row>
    <row r="263" spans="1:24" x14ac:dyDescent="0.25">
      <c r="A263" s="66" t="str">
        <f t="shared" si="19"/>
        <v/>
      </c>
      <c r="B263" s="23" t="str">
        <f t="shared" si="20"/>
        <v/>
      </c>
      <c r="C263" s="15"/>
      <c r="D263" s="16"/>
      <c r="E263" s="17"/>
      <c r="F263" s="18"/>
      <c r="G263" s="18"/>
      <c r="H263" s="19"/>
      <c r="I263" s="15"/>
      <c r="J263" s="20"/>
      <c r="K263" s="15"/>
      <c r="L263" s="15"/>
      <c r="M263" s="531" t="str">
        <f>CONCATENATE(IF(OR(L263=phu!$I$1,L263=phu!$I$2,L263=phu!$I$3),"Cam Thành Nam",""),IF(OR(L263=phu!$I$4,L263=phu!$I$5,L263=phu!$I$6,L263=phu!$I$7,L263=phu!$I$8,L263=phu!$I$9,L263=phu!$I$10,L263=phu!$I$11,L263=phu!$I$12,L263=phu!$I$13,L263=phu!$I$14),"Cam Nghĩa",""),IF(OR(L263=phu!$I$15,L263=phu!$I$16,L263=phu!$I$17,L263=phu!$I$18,L263=phu!$I$19,L263=phu!$I$20,L263=phu!$I$21),"Cam Phúc Bắc",""),IF(OR(L263=phu!$I$22,L263=phu!$I$23,L263=phu!$I$24,L263=phu!$I$25),"Cam Phúc Nam",""),IF(OR(L263=phu!$I$26,L263=phu!$I$27,L263=phu!$I$28,L263=phu!$I$29,L263=phu!$I$30,L263=phu!$I$31),"Cam Phú",""),IF(OR(L263=phu!$I$32,L263=phu!$I$33,L263=phu!$I$34,L263=phu!$I$35,L263=phu!$I$36,L263=phu!$I$37),"Cam Lộc",""),IF(OR(L263=phu!$I$38,L263=phu!$I$39,L263=phu!$I$40,L263=phu!$I$41,L263=phu!$I$42,L263=phu!$I$43,L263=phu!$I$44),"Cam Thuận",""),IF(OR(L263=phu!$I$45,L263=phu!$I$46,L263=phu!$I$47,L263=phu!$I$48,L263=phu!$I$49,L263=phu!$I$50,L263=phu!$I$51,L263=phu!$I$52,L263=phu!$I$53),"Cam Linh",""),IF(OR(L263=phu!$I$54,L263=phu!$I$55,L263=phu!$I$56,L263=phu!$I$57,L263=phu!$I$58,L263=phu!$I$59,L263=phu!$I$60,L263=phu!$I$61,L263=phu!$I$62),"Cam Lợi",""),IF(OR(L263=phu!$I$63,L263=phu!$I$64,L263=phu!$I$65,L263=phu!$I$66,L263=phu!$I$67,L263=phu!$I$68,L263=phu!$I$69,L263=phu!$I$70,L263=phu!$I$71),"Ba Ngòi",""),IF(OR(L263=phu!$I$72,L263=phu!$I$73,L263=phu!$I$74,L263=phu!$I$75,L263=phu!$I$76,L263=phu!$I$77,L263=phu!$I$78),"Cam Phước Đông",""),IF(OR(L263=phu!$I$79,L263=phu!$I$80,L263=phu!$I$81,L263=phu!$I$82,L263=phu!$I$83,L263=phu!$I$84),"Cam Thịnh Đông",""),IF(OR(L263=phu!$I$85,L263=phu!$I$86,L263=phu!$I$87,L263=phu!$I$88),"Cam Thịnh Tây",""),IF(OR(L263=phu!$I$89,L263=phu!$I$90),"Cam Lập",""),IF(OR(L263=phu!$I$91,L263=phu!$I$92,L263=phu!$I$93),"Cam Bình",""),IF(OR(L263=phu!$I$94,L263=phu!$I$95,L263=phu!$I$96,L263=phu!$I$97,L263=phu!$I$98,L263=phu!$I$99,L263=phu!$I$100),"Huyện khác",""),IF(OR(L263=phu!$I$101,L263=phu!$I$102),"Tỉnh khác",""))</f>
        <v/>
      </c>
      <c r="N263" s="835" t="str">
        <f t="shared" ref="N263:N326" si="23">CONCATENATE(IF(OR(M263="Cam Thành Nam",M263="Cam Nghĩa",M263="Cam Phúc Bắc"),"Bắc Cam Ranh",""),IF(OR(M263="Cam Phúc Nam",M263="Cam Phú",M263="Cam Lộc"),"Cam Ranh",""),IF(OR(M263="Cam Thuận",M263="Cam Linh",M263="Cam Lợi"),"Cam Linh",""),IF(OR(M263="Ba Ngòi",M263="Cam Phước Đông"),"Ba Ngòi",""),IF(OR(M263="Cam Thịnh Đông",M263="Cam Thịnh Tây",M263="Cam Lập",M263="Cam Bình"),"Nam Cam Ranh",""),IF(M263="Huyện khác","Huyện khác",""),IF(M263="Tỉnh khác","Tỉnh khác",""))</f>
        <v/>
      </c>
      <c r="O263" s="20"/>
      <c r="P263" s="20"/>
      <c r="Q263" s="20"/>
      <c r="R263" s="20"/>
      <c r="S263" s="20"/>
      <c r="T263" s="21"/>
      <c r="U263" s="21"/>
      <c r="V263" s="21"/>
      <c r="W263" s="7" t="str">
        <f t="shared" si="21"/>
        <v/>
      </c>
      <c r="X263" s="506" t="str">
        <f t="shared" si="22"/>
        <v/>
      </c>
    </row>
    <row r="264" spans="1:24" x14ac:dyDescent="0.25">
      <c r="A264" s="66" t="str">
        <f t="shared" ref="A264:A327" si="24">IF(AND(A263&lt;&gt;"",E264&lt;&gt;""),A263+1,"")</f>
        <v/>
      </c>
      <c r="B264" s="23" t="str">
        <f t="shared" si="20"/>
        <v/>
      </c>
      <c r="C264" s="15"/>
      <c r="D264" s="16"/>
      <c r="E264" s="17"/>
      <c r="F264" s="18"/>
      <c r="G264" s="18"/>
      <c r="H264" s="19"/>
      <c r="I264" s="15"/>
      <c r="J264" s="20"/>
      <c r="K264" s="15"/>
      <c r="L264" s="15"/>
      <c r="M264" s="531" t="str">
        <f>CONCATENATE(IF(OR(L264=phu!$I$1,L264=phu!$I$2,L264=phu!$I$3),"Cam Thành Nam",""),IF(OR(L264=phu!$I$4,L264=phu!$I$5,L264=phu!$I$6,L264=phu!$I$7,L264=phu!$I$8,L264=phu!$I$9,L264=phu!$I$10,L264=phu!$I$11,L264=phu!$I$12,L264=phu!$I$13,L264=phu!$I$14),"Cam Nghĩa",""),IF(OR(L264=phu!$I$15,L264=phu!$I$16,L264=phu!$I$17,L264=phu!$I$18,L264=phu!$I$19,L264=phu!$I$20,L264=phu!$I$21),"Cam Phúc Bắc",""),IF(OR(L264=phu!$I$22,L264=phu!$I$23,L264=phu!$I$24,L264=phu!$I$25),"Cam Phúc Nam",""),IF(OR(L264=phu!$I$26,L264=phu!$I$27,L264=phu!$I$28,L264=phu!$I$29,L264=phu!$I$30,L264=phu!$I$31),"Cam Phú",""),IF(OR(L264=phu!$I$32,L264=phu!$I$33,L264=phu!$I$34,L264=phu!$I$35,L264=phu!$I$36,L264=phu!$I$37),"Cam Lộc",""),IF(OR(L264=phu!$I$38,L264=phu!$I$39,L264=phu!$I$40,L264=phu!$I$41,L264=phu!$I$42,L264=phu!$I$43,L264=phu!$I$44),"Cam Thuận",""),IF(OR(L264=phu!$I$45,L264=phu!$I$46,L264=phu!$I$47,L264=phu!$I$48,L264=phu!$I$49,L264=phu!$I$50,L264=phu!$I$51,L264=phu!$I$52,L264=phu!$I$53),"Cam Linh",""),IF(OR(L264=phu!$I$54,L264=phu!$I$55,L264=phu!$I$56,L264=phu!$I$57,L264=phu!$I$58,L264=phu!$I$59,L264=phu!$I$60,L264=phu!$I$61,L264=phu!$I$62),"Cam Lợi",""),IF(OR(L264=phu!$I$63,L264=phu!$I$64,L264=phu!$I$65,L264=phu!$I$66,L264=phu!$I$67,L264=phu!$I$68,L264=phu!$I$69,L264=phu!$I$70,L264=phu!$I$71),"Ba Ngòi",""),IF(OR(L264=phu!$I$72,L264=phu!$I$73,L264=phu!$I$74,L264=phu!$I$75,L264=phu!$I$76,L264=phu!$I$77,L264=phu!$I$78),"Cam Phước Đông",""),IF(OR(L264=phu!$I$79,L264=phu!$I$80,L264=phu!$I$81,L264=phu!$I$82,L264=phu!$I$83,L264=phu!$I$84),"Cam Thịnh Đông",""),IF(OR(L264=phu!$I$85,L264=phu!$I$86,L264=phu!$I$87,L264=phu!$I$88),"Cam Thịnh Tây",""),IF(OR(L264=phu!$I$89,L264=phu!$I$90),"Cam Lập",""),IF(OR(L264=phu!$I$91,L264=phu!$I$92,L264=phu!$I$93),"Cam Bình",""),IF(OR(L264=phu!$I$94,L264=phu!$I$95,L264=phu!$I$96,L264=phu!$I$97,L264=phu!$I$98,L264=phu!$I$99,L264=phu!$I$100),"Huyện khác",""),IF(OR(L264=phu!$I$101,L264=phu!$I$102),"Tỉnh khác",""))</f>
        <v/>
      </c>
      <c r="N264" s="835" t="str">
        <f t="shared" si="23"/>
        <v/>
      </c>
      <c r="O264" s="20"/>
      <c r="P264" s="20"/>
      <c r="Q264" s="20"/>
      <c r="R264" s="20"/>
      <c r="S264" s="20"/>
      <c r="T264" s="21"/>
      <c r="U264" s="21"/>
      <c r="V264" s="21"/>
      <c r="W264" s="7" t="str">
        <f t="shared" si="21"/>
        <v/>
      </c>
      <c r="X264" s="506" t="str">
        <f t="shared" si="22"/>
        <v/>
      </c>
    </row>
    <row r="265" spans="1:24" x14ac:dyDescent="0.25">
      <c r="A265" s="66" t="str">
        <f t="shared" si="24"/>
        <v/>
      </c>
      <c r="B265" s="23" t="str">
        <f t="shared" si="20"/>
        <v/>
      </c>
      <c r="C265" s="15"/>
      <c r="D265" s="16"/>
      <c r="E265" s="17"/>
      <c r="F265" s="18"/>
      <c r="G265" s="18"/>
      <c r="H265" s="19"/>
      <c r="I265" s="15"/>
      <c r="J265" s="20"/>
      <c r="K265" s="15"/>
      <c r="L265" s="15"/>
      <c r="M265" s="531" t="str">
        <f>CONCATENATE(IF(OR(L265=phu!$I$1,L265=phu!$I$2,L265=phu!$I$3),"Cam Thành Nam",""),IF(OR(L265=phu!$I$4,L265=phu!$I$5,L265=phu!$I$6,L265=phu!$I$7,L265=phu!$I$8,L265=phu!$I$9,L265=phu!$I$10,L265=phu!$I$11,L265=phu!$I$12,L265=phu!$I$13,L265=phu!$I$14),"Cam Nghĩa",""),IF(OR(L265=phu!$I$15,L265=phu!$I$16,L265=phu!$I$17,L265=phu!$I$18,L265=phu!$I$19,L265=phu!$I$20,L265=phu!$I$21),"Cam Phúc Bắc",""),IF(OR(L265=phu!$I$22,L265=phu!$I$23,L265=phu!$I$24,L265=phu!$I$25),"Cam Phúc Nam",""),IF(OR(L265=phu!$I$26,L265=phu!$I$27,L265=phu!$I$28,L265=phu!$I$29,L265=phu!$I$30,L265=phu!$I$31),"Cam Phú",""),IF(OR(L265=phu!$I$32,L265=phu!$I$33,L265=phu!$I$34,L265=phu!$I$35,L265=phu!$I$36,L265=phu!$I$37),"Cam Lộc",""),IF(OR(L265=phu!$I$38,L265=phu!$I$39,L265=phu!$I$40,L265=phu!$I$41,L265=phu!$I$42,L265=phu!$I$43,L265=phu!$I$44),"Cam Thuận",""),IF(OR(L265=phu!$I$45,L265=phu!$I$46,L265=phu!$I$47,L265=phu!$I$48,L265=phu!$I$49,L265=phu!$I$50,L265=phu!$I$51,L265=phu!$I$52,L265=phu!$I$53),"Cam Linh",""),IF(OR(L265=phu!$I$54,L265=phu!$I$55,L265=phu!$I$56,L265=phu!$I$57,L265=phu!$I$58,L265=phu!$I$59,L265=phu!$I$60,L265=phu!$I$61,L265=phu!$I$62),"Cam Lợi",""),IF(OR(L265=phu!$I$63,L265=phu!$I$64,L265=phu!$I$65,L265=phu!$I$66,L265=phu!$I$67,L265=phu!$I$68,L265=phu!$I$69,L265=phu!$I$70,L265=phu!$I$71),"Ba Ngòi",""),IF(OR(L265=phu!$I$72,L265=phu!$I$73,L265=phu!$I$74,L265=phu!$I$75,L265=phu!$I$76,L265=phu!$I$77,L265=phu!$I$78),"Cam Phước Đông",""),IF(OR(L265=phu!$I$79,L265=phu!$I$80,L265=phu!$I$81,L265=phu!$I$82,L265=phu!$I$83,L265=phu!$I$84),"Cam Thịnh Đông",""),IF(OR(L265=phu!$I$85,L265=phu!$I$86,L265=phu!$I$87,L265=phu!$I$88),"Cam Thịnh Tây",""),IF(OR(L265=phu!$I$89,L265=phu!$I$90),"Cam Lập",""),IF(OR(L265=phu!$I$91,L265=phu!$I$92,L265=phu!$I$93),"Cam Bình",""),IF(OR(L265=phu!$I$94,L265=phu!$I$95,L265=phu!$I$96,L265=phu!$I$97,L265=phu!$I$98,L265=phu!$I$99,L265=phu!$I$100),"Huyện khác",""),IF(OR(L265=phu!$I$101,L265=phu!$I$102),"Tỉnh khác",""))</f>
        <v/>
      </c>
      <c r="N265" s="835" t="str">
        <f t="shared" si="23"/>
        <v/>
      </c>
      <c r="O265" s="20"/>
      <c r="P265" s="20"/>
      <c r="Q265" s="20"/>
      <c r="R265" s="20"/>
      <c r="S265" s="20"/>
      <c r="T265" s="21"/>
      <c r="U265" s="21"/>
      <c r="V265" s="21"/>
      <c r="W265" s="7" t="str">
        <f t="shared" si="21"/>
        <v/>
      </c>
      <c r="X265" s="506" t="str">
        <f t="shared" si="22"/>
        <v/>
      </c>
    </row>
    <row r="266" spans="1:24" x14ac:dyDescent="0.25">
      <c r="A266" s="66" t="str">
        <f t="shared" si="24"/>
        <v/>
      </c>
      <c r="B266" s="23" t="str">
        <f t="shared" si="20"/>
        <v/>
      </c>
      <c r="C266" s="15"/>
      <c r="D266" s="16"/>
      <c r="E266" s="17"/>
      <c r="F266" s="18"/>
      <c r="G266" s="18"/>
      <c r="H266" s="19"/>
      <c r="I266" s="15"/>
      <c r="J266" s="20"/>
      <c r="K266" s="15"/>
      <c r="L266" s="15"/>
      <c r="M266" s="531" t="str">
        <f>CONCATENATE(IF(OR(L266=phu!$I$1,L266=phu!$I$2,L266=phu!$I$3),"Cam Thành Nam",""),IF(OR(L266=phu!$I$4,L266=phu!$I$5,L266=phu!$I$6,L266=phu!$I$7,L266=phu!$I$8,L266=phu!$I$9,L266=phu!$I$10,L266=phu!$I$11,L266=phu!$I$12,L266=phu!$I$13,L266=phu!$I$14),"Cam Nghĩa",""),IF(OR(L266=phu!$I$15,L266=phu!$I$16,L266=phu!$I$17,L266=phu!$I$18,L266=phu!$I$19,L266=phu!$I$20,L266=phu!$I$21),"Cam Phúc Bắc",""),IF(OR(L266=phu!$I$22,L266=phu!$I$23,L266=phu!$I$24,L266=phu!$I$25),"Cam Phúc Nam",""),IF(OR(L266=phu!$I$26,L266=phu!$I$27,L266=phu!$I$28,L266=phu!$I$29,L266=phu!$I$30,L266=phu!$I$31),"Cam Phú",""),IF(OR(L266=phu!$I$32,L266=phu!$I$33,L266=phu!$I$34,L266=phu!$I$35,L266=phu!$I$36,L266=phu!$I$37),"Cam Lộc",""),IF(OR(L266=phu!$I$38,L266=phu!$I$39,L266=phu!$I$40,L266=phu!$I$41,L266=phu!$I$42,L266=phu!$I$43,L266=phu!$I$44),"Cam Thuận",""),IF(OR(L266=phu!$I$45,L266=phu!$I$46,L266=phu!$I$47,L266=phu!$I$48,L266=phu!$I$49,L266=phu!$I$50,L266=phu!$I$51,L266=phu!$I$52,L266=phu!$I$53),"Cam Linh",""),IF(OR(L266=phu!$I$54,L266=phu!$I$55,L266=phu!$I$56,L266=phu!$I$57,L266=phu!$I$58,L266=phu!$I$59,L266=phu!$I$60,L266=phu!$I$61,L266=phu!$I$62),"Cam Lợi",""),IF(OR(L266=phu!$I$63,L266=phu!$I$64,L266=phu!$I$65,L266=phu!$I$66,L266=phu!$I$67,L266=phu!$I$68,L266=phu!$I$69,L266=phu!$I$70,L266=phu!$I$71),"Ba Ngòi",""),IF(OR(L266=phu!$I$72,L266=phu!$I$73,L266=phu!$I$74,L266=phu!$I$75,L266=phu!$I$76,L266=phu!$I$77,L266=phu!$I$78),"Cam Phước Đông",""),IF(OR(L266=phu!$I$79,L266=phu!$I$80,L266=phu!$I$81,L266=phu!$I$82,L266=phu!$I$83,L266=phu!$I$84),"Cam Thịnh Đông",""),IF(OR(L266=phu!$I$85,L266=phu!$I$86,L266=phu!$I$87,L266=phu!$I$88),"Cam Thịnh Tây",""),IF(OR(L266=phu!$I$89,L266=phu!$I$90),"Cam Lập",""),IF(OR(L266=phu!$I$91,L266=phu!$I$92,L266=phu!$I$93),"Cam Bình",""),IF(OR(L266=phu!$I$94,L266=phu!$I$95,L266=phu!$I$96,L266=phu!$I$97,L266=phu!$I$98,L266=phu!$I$99,L266=phu!$I$100),"Huyện khác",""),IF(OR(L266=phu!$I$101,L266=phu!$I$102),"Tỉnh khác",""))</f>
        <v/>
      </c>
      <c r="N266" s="835" t="str">
        <f t="shared" si="23"/>
        <v/>
      </c>
      <c r="O266" s="20"/>
      <c r="P266" s="20"/>
      <c r="Q266" s="20"/>
      <c r="R266" s="20"/>
      <c r="S266" s="20"/>
      <c r="T266" s="21"/>
      <c r="U266" s="21"/>
      <c r="V266" s="21"/>
      <c r="W266" s="7" t="str">
        <f t="shared" si="21"/>
        <v/>
      </c>
      <c r="X266" s="506" t="str">
        <f t="shared" si="22"/>
        <v/>
      </c>
    </row>
    <row r="267" spans="1:24" x14ac:dyDescent="0.25">
      <c r="A267" s="66" t="str">
        <f t="shared" si="24"/>
        <v/>
      </c>
      <c r="B267" s="23" t="str">
        <f t="shared" si="20"/>
        <v/>
      </c>
      <c r="C267" s="15"/>
      <c r="D267" s="16"/>
      <c r="E267" s="17"/>
      <c r="F267" s="18"/>
      <c r="G267" s="18"/>
      <c r="H267" s="19"/>
      <c r="I267" s="15"/>
      <c r="J267" s="20"/>
      <c r="K267" s="15"/>
      <c r="L267" s="15"/>
      <c r="M267" s="531" t="str">
        <f>CONCATENATE(IF(OR(L267=phu!$I$1,L267=phu!$I$2,L267=phu!$I$3),"Cam Thành Nam",""),IF(OR(L267=phu!$I$4,L267=phu!$I$5,L267=phu!$I$6,L267=phu!$I$7,L267=phu!$I$8,L267=phu!$I$9,L267=phu!$I$10,L267=phu!$I$11,L267=phu!$I$12,L267=phu!$I$13,L267=phu!$I$14),"Cam Nghĩa",""),IF(OR(L267=phu!$I$15,L267=phu!$I$16,L267=phu!$I$17,L267=phu!$I$18,L267=phu!$I$19,L267=phu!$I$20,L267=phu!$I$21),"Cam Phúc Bắc",""),IF(OR(L267=phu!$I$22,L267=phu!$I$23,L267=phu!$I$24,L267=phu!$I$25),"Cam Phúc Nam",""),IF(OR(L267=phu!$I$26,L267=phu!$I$27,L267=phu!$I$28,L267=phu!$I$29,L267=phu!$I$30,L267=phu!$I$31),"Cam Phú",""),IF(OR(L267=phu!$I$32,L267=phu!$I$33,L267=phu!$I$34,L267=phu!$I$35,L267=phu!$I$36,L267=phu!$I$37),"Cam Lộc",""),IF(OR(L267=phu!$I$38,L267=phu!$I$39,L267=phu!$I$40,L267=phu!$I$41,L267=phu!$I$42,L267=phu!$I$43,L267=phu!$I$44),"Cam Thuận",""),IF(OR(L267=phu!$I$45,L267=phu!$I$46,L267=phu!$I$47,L267=phu!$I$48,L267=phu!$I$49,L267=phu!$I$50,L267=phu!$I$51,L267=phu!$I$52,L267=phu!$I$53),"Cam Linh",""),IF(OR(L267=phu!$I$54,L267=phu!$I$55,L267=phu!$I$56,L267=phu!$I$57,L267=phu!$I$58,L267=phu!$I$59,L267=phu!$I$60,L267=phu!$I$61,L267=phu!$I$62),"Cam Lợi",""),IF(OR(L267=phu!$I$63,L267=phu!$I$64,L267=phu!$I$65,L267=phu!$I$66,L267=phu!$I$67,L267=phu!$I$68,L267=phu!$I$69,L267=phu!$I$70,L267=phu!$I$71),"Ba Ngòi",""),IF(OR(L267=phu!$I$72,L267=phu!$I$73,L267=phu!$I$74,L267=phu!$I$75,L267=phu!$I$76,L267=phu!$I$77,L267=phu!$I$78),"Cam Phước Đông",""),IF(OR(L267=phu!$I$79,L267=phu!$I$80,L267=phu!$I$81,L267=phu!$I$82,L267=phu!$I$83,L267=phu!$I$84),"Cam Thịnh Đông",""),IF(OR(L267=phu!$I$85,L267=phu!$I$86,L267=phu!$I$87,L267=phu!$I$88),"Cam Thịnh Tây",""),IF(OR(L267=phu!$I$89,L267=phu!$I$90),"Cam Lập",""),IF(OR(L267=phu!$I$91,L267=phu!$I$92,L267=phu!$I$93),"Cam Bình",""),IF(OR(L267=phu!$I$94,L267=phu!$I$95,L267=phu!$I$96,L267=phu!$I$97,L267=phu!$I$98,L267=phu!$I$99,L267=phu!$I$100),"Huyện khác",""),IF(OR(L267=phu!$I$101,L267=phu!$I$102),"Tỉnh khác",""))</f>
        <v/>
      </c>
      <c r="N267" s="835" t="str">
        <f t="shared" si="23"/>
        <v/>
      </c>
      <c r="O267" s="20"/>
      <c r="P267" s="20"/>
      <c r="Q267" s="20"/>
      <c r="R267" s="20"/>
      <c r="S267" s="20"/>
      <c r="T267" s="21"/>
      <c r="U267" s="21"/>
      <c r="V267" s="21"/>
      <c r="W267" s="7" t="str">
        <f t="shared" si="21"/>
        <v/>
      </c>
      <c r="X267" s="506" t="str">
        <f t="shared" si="22"/>
        <v/>
      </c>
    </row>
    <row r="268" spans="1:24" x14ac:dyDescent="0.25">
      <c r="A268" s="66" t="str">
        <f t="shared" si="24"/>
        <v/>
      </c>
      <c r="B268" s="23" t="str">
        <f t="shared" si="20"/>
        <v/>
      </c>
      <c r="C268" s="15"/>
      <c r="D268" s="16"/>
      <c r="E268" s="17"/>
      <c r="F268" s="18"/>
      <c r="G268" s="18"/>
      <c r="H268" s="19"/>
      <c r="I268" s="15"/>
      <c r="J268" s="20"/>
      <c r="K268" s="15"/>
      <c r="L268" s="15"/>
      <c r="M268" s="531" t="str">
        <f>CONCATENATE(IF(OR(L268=phu!$I$1,L268=phu!$I$2,L268=phu!$I$3),"Cam Thành Nam",""),IF(OR(L268=phu!$I$4,L268=phu!$I$5,L268=phu!$I$6,L268=phu!$I$7,L268=phu!$I$8,L268=phu!$I$9,L268=phu!$I$10,L268=phu!$I$11,L268=phu!$I$12,L268=phu!$I$13,L268=phu!$I$14),"Cam Nghĩa",""),IF(OR(L268=phu!$I$15,L268=phu!$I$16,L268=phu!$I$17,L268=phu!$I$18,L268=phu!$I$19,L268=phu!$I$20,L268=phu!$I$21),"Cam Phúc Bắc",""),IF(OR(L268=phu!$I$22,L268=phu!$I$23,L268=phu!$I$24,L268=phu!$I$25),"Cam Phúc Nam",""),IF(OR(L268=phu!$I$26,L268=phu!$I$27,L268=phu!$I$28,L268=phu!$I$29,L268=phu!$I$30,L268=phu!$I$31),"Cam Phú",""),IF(OR(L268=phu!$I$32,L268=phu!$I$33,L268=phu!$I$34,L268=phu!$I$35,L268=phu!$I$36,L268=phu!$I$37),"Cam Lộc",""),IF(OR(L268=phu!$I$38,L268=phu!$I$39,L268=phu!$I$40,L268=phu!$I$41,L268=phu!$I$42,L268=phu!$I$43,L268=phu!$I$44),"Cam Thuận",""),IF(OR(L268=phu!$I$45,L268=phu!$I$46,L268=phu!$I$47,L268=phu!$I$48,L268=phu!$I$49,L268=phu!$I$50,L268=phu!$I$51,L268=phu!$I$52,L268=phu!$I$53),"Cam Linh",""),IF(OR(L268=phu!$I$54,L268=phu!$I$55,L268=phu!$I$56,L268=phu!$I$57,L268=phu!$I$58,L268=phu!$I$59,L268=phu!$I$60,L268=phu!$I$61,L268=phu!$I$62),"Cam Lợi",""),IF(OR(L268=phu!$I$63,L268=phu!$I$64,L268=phu!$I$65,L268=phu!$I$66,L268=phu!$I$67,L268=phu!$I$68,L268=phu!$I$69,L268=phu!$I$70,L268=phu!$I$71),"Ba Ngòi",""),IF(OR(L268=phu!$I$72,L268=phu!$I$73,L268=phu!$I$74,L268=phu!$I$75,L268=phu!$I$76,L268=phu!$I$77,L268=phu!$I$78),"Cam Phước Đông",""),IF(OR(L268=phu!$I$79,L268=phu!$I$80,L268=phu!$I$81,L268=phu!$I$82,L268=phu!$I$83,L268=phu!$I$84),"Cam Thịnh Đông",""),IF(OR(L268=phu!$I$85,L268=phu!$I$86,L268=phu!$I$87,L268=phu!$I$88),"Cam Thịnh Tây",""),IF(OR(L268=phu!$I$89,L268=phu!$I$90),"Cam Lập",""),IF(OR(L268=phu!$I$91,L268=phu!$I$92,L268=phu!$I$93),"Cam Bình",""),IF(OR(L268=phu!$I$94,L268=phu!$I$95,L268=phu!$I$96,L268=phu!$I$97,L268=phu!$I$98,L268=phu!$I$99,L268=phu!$I$100),"Huyện khác",""),IF(OR(L268=phu!$I$101,L268=phu!$I$102),"Tỉnh khác",""))</f>
        <v/>
      </c>
      <c r="N268" s="835" t="str">
        <f t="shared" si="23"/>
        <v/>
      </c>
      <c r="O268" s="20"/>
      <c r="P268" s="20"/>
      <c r="Q268" s="20"/>
      <c r="R268" s="20"/>
      <c r="S268" s="20"/>
      <c r="T268" s="21"/>
      <c r="U268" s="21"/>
      <c r="V268" s="21"/>
      <c r="W268" s="7" t="str">
        <f t="shared" si="21"/>
        <v/>
      </c>
      <c r="X268" s="506" t="str">
        <f t="shared" si="22"/>
        <v/>
      </c>
    </row>
    <row r="269" spans="1:24" x14ac:dyDescent="0.25">
      <c r="A269" s="66" t="str">
        <f t="shared" si="24"/>
        <v/>
      </c>
      <c r="B269" s="23" t="str">
        <f t="shared" si="20"/>
        <v/>
      </c>
      <c r="C269" s="15"/>
      <c r="D269" s="16"/>
      <c r="E269" s="17"/>
      <c r="F269" s="18"/>
      <c r="G269" s="18"/>
      <c r="H269" s="19"/>
      <c r="I269" s="15"/>
      <c r="J269" s="20"/>
      <c r="K269" s="15"/>
      <c r="L269" s="15"/>
      <c r="M269" s="531" t="str">
        <f>CONCATENATE(IF(OR(L269=phu!$I$1,L269=phu!$I$2,L269=phu!$I$3),"Cam Thành Nam",""),IF(OR(L269=phu!$I$4,L269=phu!$I$5,L269=phu!$I$6,L269=phu!$I$7,L269=phu!$I$8,L269=phu!$I$9,L269=phu!$I$10,L269=phu!$I$11,L269=phu!$I$12,L269=phu!$I$13,L269=phu!$I$14),"Cam Nghĩa",""),IF(OR(L269=phu!$I$15,L269=phu!$I$16,L269=phu!$I$17,L269=phu!$I$18,L269=phu!$I$19,L269=phu!$I$20,L269=phu!$I$21),"Cam Phúc Bắc",""),IF(OR(L269=phu!$I$22,L269=phu!$I$23,L269=phu!$I$24,L269=phu!$I$25),"Cam Phúc Nam",""),IF(OR(L269=phu!$I$26,L269=phu!$I$27,L269=phu!$I$28,L269=phu!$I$29,L269=phu!$I$30,L269=phu!$I$31),"Cam Phú",""),IF(OR(L269=phu!$I$32,L269=phu!$I$33,L269=phu!$I$34,L269=phu!$I$35,L269=phu!$I$36,L269=phu!$I$37),"Cam Lộc",""),IF(OR(L269=phu!$I$38,L269=phu!$I$39,L269=phu!$I$40,L269=phu!$I$41,L269=phu!$I$42,L269=phu!$I$43,L269=phu!$I$44),"Cam Thuận",""),IF(OR(L269=phu!$I$45,L269=phu!$I$46,L269=phu!$I$47,L269=phu!$I$48,L269=phu!$I$49,L269=phu!$I$50,L269=phu!$I$51,L269=phu!$I$52,L269=phu!$I$53),"Cam Linh",""),IF(OR(L269=phu!$I$54,L269=phu!$I$55,L269=phu!$I$56,L269=phu!$I$57,L269=phu!$I$58,L269=phu!$I$59,L269=phu!$I$60,L269=phu!$I$61,L269=phu!$I$62),"Cam Lợi",""),IF(OR(L269=phu!$I$63,L269=phu!$I$64,L269=phu!$I$65,L269=phu!$I$66,L269=phu!$I$67,L269=phu!$I$68,L269=phu!$I$69,L269=phu!$I$70,L269=phu!$I$71),"Ba Ngòi",""),IF(OR(L269=phu!$I$72,L269=phu!$I$73,L269=phu!$I$74,L269=phu!$I$75,L269=phu!$I$76,L269=phu!$I$77,L269=phu!$I$78),"Cam Phước Đông",""),IF(OR(L269=phu!$I$79,L269=phu!$I$80,L269=phu!$I$81,L269=phu!$I$82,L269=phu!$I$83,L269=phu!$I$84),"Cam Thịnh Đông",""),IF(OR(L269=phu!$I$85,L269=phu!$I$86,L269=phu!$I$87,L269=phu!$I$88),"Cam Thịnh Tây",""),IF(OR(L269=phu!$I$89,L269=phu!$I$90),"Cam Lập",""),IF(OR(L269=phu!$I$91,L269=phu!$I$92,L269=phu!$I$93),"Cam Bình",""),IF(OR(L269=phu!$I$94,L269=phu!$I$95,L269=phu!$I$96,L269=phu!$I$97,L269=phu!$I$98,L269=phu!$I$99,L269=phu!$I$100),"Huyện khác",""),IF(OR(L269=phu!$I$101,L269=phu!$I$102),"Tỉnh khác",""))</f>
        <v/>
      </c>
      <c r="N269" s="835" t="str">
        <f t="shared" si="23"/>
        <v/>
      </c>
      <c r="O269" s="20"/>
      <c r="P269" s="20"/>
      <c r="Q269" s="20"/>
      <c r="R269" s="20"/>
      <c r="S269" s="20"/>
      <c r="T269" s="21"/>
      <c r="U269" s="21"/>
      <c r="V269" s="21"/>
      <c r="W269" s="7" t="str">
        <f t="shared" si="21"/>
        <v/>
      </c>
      <c r="X269" s="506" t="str">
        <f t="shared" si="22"/>
        <v/>
      </c>
    </row>
    <row r="270" spans="1:24" x14ac:dyDescent="0.25">
      <c r="A270" s="66" t="str">
        <f t="shared" si="24"/>
        <v/>
      </c>
      <c r="B270" s="23" t="str">
        <f t="shared" si="20"/>
        <v/>
      </c>
      <c r="C270" s="15"/>
      <c r="D270" s="16"/>
      <c r="E270" s="17"/>
      <c r="F270" s="18"/>
      <c r="G270" s="18"/>
      <c r="H270" s="19"/>
      <c r="I270" s="15"/>
      <c r="J270" s="20"/>
      <c r="K270" s="15"/>
      <c r="L270" s="15"/>
      <c r="M270" s="531" t="str">
        <f>CONCATENATE(IF(OR(L270=phu!$I$1,L270=phu!$I$2,L270=phu!$I$3),"Cam Thành Nam",""),IF(OR(L270=phu!$I$4,L270=phu!$I$5,L270=phu!$I$6,L270=phu!$I$7,L270=phu!$I$8,L270=phu!$I$9,L270=phu!$I$10,L270=phu!$I$11,L270=phu!$I$12,L270=phu!$I$13,L270=phu!$I$14),"Cam Nghĩa",""),IF(OR(L270=phu!$I$15,L270=phu!$I$16,L270=phu!$I$17,L270=phu!$I$18,L270=phu!$I$19,L270=phu!$I$20,L270=phu!$I$21),"Cam Phúc Bắc",""),IF(OR(L270=phu!$I$22,L270=phu!$I$23,L270=phu!$I$24,L270=phu!$I$25),"Cam Phúc Nam",""),IF(OR(L270=phu!$I$26,L270=phu!$I$27,L270=phu!$I$28,L270=phu!$I$29,L270=phu!$I$30,L270=phu!$I$31),"Cam Phú",""),IF(OR(L270=phu!$I$32,L270=phu!$I$33,L270=phu!$I$34,L270=phu!$I$35,L270=phu!$I$36,L270=phu!$I$37),"Cam Lộc",""),IF(OR(L270=phu!$I$38,L270=phu!$I$39,L270=phu!$I$40,L270=phu!$I$41,L270=phu!$I$42,L270=phu!$I$43,L270=phu!$I$44),"Cam Thuận",""),IF(OR(L270=phu!$I$45,L270=phu!$I$46,L270=phu!$I$47,L270=phu!$I$48,L270=phu!$I$49,L270=phu!$I$50,L270=phu!$I$51,L270=phu!$I$52,L270=phu!$I$53),"Cam Linh",""),IF(OR(L270=phu!$I$54,L270=phu!$I$55,L270=phu!$I$56,L270=phu!$I$57,L270=phu!$I$58,L270=phu!$I$59,L270=phu!$I$60,L270=phu!$I$61,L270=phu!$I$62),"Cam Lợi",""),IF(OR(L270=phu!$I$63,L270=phu!$I$64,L270=phu!$I$65,L270=phu!$I$66,L270=phu!$I$67,L270=phu!$I$68,L270=phu!$I$69,L270=phu!$I$70,L270=phu!$I$71),"Ba Ngòi",""),IF(OR(L270=phu!$I$72,L270=phu!$I$73,L270=phu!$I$74,L270=phu!$I$75,L270=phu!$I$76,L270=phu!$I$77,L270=phu!$I$78),"Cam Phước Đông",""),IF(OR(L270=phu!$I$79,L270=phu!$I$80,L270=phu!$I$81,L270=phu!$I$82,L270=phu!$I$83,L270=phu!$I$84),"Cam Thịnh Đông",""),IF(OR(L270=phu!$I$85,L270=phu!$I$86,L270=phu!$I$87,L270=phu!$I$88),"Cam Thịnh Tây",""),IF(OR(L270=phu!$I$89,L270=phu!$I$90),"Cam Lập",""),IF(OR(L270=phu!$I$91,L270=phu!$I$92,L270=phu!$I$93),"Cam Bình",""),IF(OR(L270=phu!$I$94,L270=phu!$I$95,L270=phu!$I$96,L270=phu!$I$97,L270=phu!$I$98,L270=phu!$I$99,L270=phu!$I$100),"Huyện khác",""),IF(OR(L270=phu!$I$101,L270=phu!$I$102),"Tỉnh khác",""))</f>
        <v/>
      </c>
      <c r="N270" s="835" t="str">
        <f t="shared" si="23"/>
        <v/>
      </c>
      <c r="O270" s="20"/>
      <c r="P270" s="20"/>
      <c r="Q270" s="20"/>
      <c r="R270" s="20"/>
      <c r="S270" s="20"/>
      <c r="T270" s="21"/>
      <c r="U270" s="21"/>
      <c r="V270" s="21"/>
      <c r="W270" s="7" t="str">
        <f t="shared" si="21"/>
        <v/>
      </c>
      <c r="X270" s="506" t="str">
        <f t="shared" si="22"/>
        <v/>
      </c>
    </row>
    <row r="271" spans="1:24" x14ac:dyDescent="0.25">
      <c r="A271" s="66" t="str">
        <f t="shared" si="24"/>
        <v/>
      </c>
      <c r="B271" s="23" t="str">
        <f t="shared" si="20"/>
        <v/>
      </c>
      <c r="C271" s="15"/>
      <c r="D271" s="16"/>
      <c r="E271" s="17"/>
      <c r="F271" s="18"/>
      <c r="G271" s="18"/>
      <c r="H271" s="19"/>
      <c r="I271" s="15"/>
      <c r="J271" s="20"/>
      <c r="K271" s="15"/>
      <c r="L271" s="15"/>
      <c r="M271" s="531" t="str">
        <f>CONCATENATE(IF(OR(L271=phu!$I$1,L271=phu!$I$2,L271=phu!$I$3),"Cam Thành Nam",""),IF(OR(L271=phu!$I$4,L271=phu!$I$5,L271=phu!$I$6,L271=phu!$I$7,L271=phu!$I$8,L271=phu!$I$9,L271=phu!$I$10,L271=phu!$I$11,L271=phu!$I$12,L271=phu!$I$13,L271=phu!$I$14),"Cam Nghĩa",""),IF(OR(L271=phu!$I$15,L271=phu!$I$16,L271=phu!$I$17,L271=phu!$I$18,L271=phu!$I$19,L271=phu!$I$20,L271=phu!$I$21),"Cam Phúc Bắc",""),IF(OR(L271=phu!$I$22,L271=phu!$I$23,L271=phu!$I$24,L271=phu!$I$25),"Cam Phúc Nam",""),IF(OR(L271=phu!$I$26,L271=phu!$I$27,L271=phu!$I$28,L271=phu!$I$29,L271=phu!$I$30,L271=phu!$I$31),"Cam Phú",""),IF(OR(L271=phu!$I$32,L271=phu!$I$33,L271=phu!$I$34,L271=phu!$I$35,L271=phu!$I$36,L271=phu!$I$37),"Cam Lộc",""),IF(OR(L271=phu!$I$38,L271=phu!$I$39,L271=phu!$I$40,L271=phu!$I$41,L271=phu!$I$42,L271=phu!$I$43,L271=phu!$I$44),"Cam Thuận",""),IF(OR(L271=phu!$I$45,L271=phu!$I$46,L271=phu!$I$47,L271=phu!$I$48,L271=phu!$I$49,L271=phu!$I$50,L271=phu!$I$51,L271=phu!$I$52,L271=phu!$I$53),"Cam Linh",""),IF(OR(L271=phu!$I$54,L271=phu!$I$55,L271=phu!$I$56,L271=phu!$I$57,L271=phu!$I$58,L271=phu!$I$59,L271=phu!$I$60,L271=phu!$I$61,L271=phu!$I$62),"Cam Lợi",""),IF(OR(L271=phu!$I$63,L271=phu!$I$64,L271=phu!$I$65,L271=phu!$I$66,L271=phu!$I$67,L271=phu!$I$68,L271=phu!$I$69,L271=phu!$I$70,L271=phu!$I$71),"Ba Ngòi",""),IF(OR(L271=phu!$I$72,L271=phu!$I$73,L271=phu!$I$74,L271=phu!$I$75,L271=phu!$I$76,L271=phu!$I$77,L271=phu!$I$78),"Cam Phước Đông",""),IF(OR(L271=phu!$I$79,L271=phu!$I$80,L271=phu!$I$81,L271=phu!$I$82,L271=phu!$I$83,L271=phu!$I$84),"Cam Thịnh Đông",""),IF(OR(L271=phu!$I$85,L271=phu!$I$86,L271=phu!$I$87,L271=phu!$I$88),"Cam Thịnh Tây",""),IF(OR(L271=phu!$I$89,L271=phu!$I$90),"Cam Lập",""),IF(OR(L271=phu!$I$91,L271=phu!$I$92,L271=phu!$I$93),"Cam Bình",""),IF(OR(L271=phu!$I$94,L271=phu!$I$95,L271=phu!$I$96,L271=phu!$I$97,L271=phu!$I$98,L271=phu!$I$99,L271=phu!$I$100),"Huyện khác",""),IF(OR(L271=phu!$I$101,L271=phu!$I$102),"Tỉnh khác",""))</f>
        <v/>
      </c>
      <c r="N271" s="835" t="str">
        <f t="shared" si="23"/>
        <v/>
      </c>
      <c r="O271" s="20"/>
      <c r="P271" s="20"/>
      <c r="Q271" s="20"/>
      <c r="R271" s="20"/>
      <c r="S271" s="20"/>
      <c r="T271" s="21"/>
      <c r="U271" s="21"/>
      <c r="V271" s="21"/>
      <c r="W271" s="7" t="str">
        <f t="shared" si="21"/>
        <v/>
      </c>
      <c r="X271" s="506" t="str">
        <f t="shared" si="22"/>
        <v/>
      </c>
    </row>
    <row r="272" spans="1:24" x14ac:dyDescent="0.25">
      <c r="A272" s="66" t="str">
        <f t="shared" si="24"/>
        <v/>
      </c>
      <c r="B272" s="23" t="str">
        <f t="shared" si="20"/>
        <v/>
      </c>
      <c r="C272" s="15"/>
      <c r="D272" s="16"/>
      <c r="E272" s="17"/>
      <c r="F272" s="18"/>
      <c r="G272" s="18"/>
      <c r="H272" s="19"/>
      <c r="I272" s="15"/>
      <c r="J272" s="20"/>
      <c r="K272" s="15"/>
      <c r="L272" s="15"/>
      <c r="M272" s="531" t="str">
        <f>CONCATENATE(IF(OR(L272=phu!$I$1,L272=phu!$I$2,L272=phu!$I$3),"Cam Thành Nam",""),IF(OR(L272=phu!$I$4,L272=phu!$I$5,L272=phu!$I$6,L272=phu!$I$7,L272=phu!$I$8,L272=phu!$I$9,L272=phu!$I$10,L272=phu!$I$11,L272=phu!$I$12,L272=phu!$I$13,L272=phu!$I$14),"Cam Nghĩa",""),IF(OR(L272=phu!$I$15,L272=phu!$I$16,L272=phu!$I$17,L272=phu!$I$18,L272=phu!$I$19,L272=phu!$I$20,L272=phu!$I$21),"Cam Phúc Bắc",""),IF(OR(L272=phu!$I$22,L272=phu!$I$23,L272=phu!$I$24,L272=phu!$I$25),"Cam Phúc Nam",""),IF(OR(L272=phu!$I$26,L272=phu!$I$27,L272=phu!$I$28,L272=phu!$I$29,L272=phu!$I$30,L272=phu!$I$31),"Cam Phú",""),IF(OR(L272=phu!$I$32,L272=phu!$I$33,L272=phu!$I$34,L272=phu!$I$35,L272=phu!$I$36,L272=phu!$I$37),"Cam Lộc",""),IF(OR(L272=phu!$I$38,L272=phu!$I$39,L272=phu!$I$40,L272=phu!$I$41,L272=phu!$I$42,L272=phu!$I$43,L272=phu!$I$44),"Cam Thuận",""),IF(OR(L272=phu!$I$45,L272=phu!$I$46,L272=phu!$I$47,L272=phu!$I$48,L272=phu!$I$49,L272=phu!$I$50,L272=phu!$I$51,L272=phu!$I$52,L272=phu!$I$53),"Cam Linh",""),IF(OR(L272=phu!$I$54,L272=phu!$I$55,L272=phu!$I$56,L272=phu!$I$57,L272=phu!$I$58,L272=phu!$I$59,L272=phu!$I$60,L272=phu!$I$61,L272=phu!$I$62),"Cam Lợi",""),IF(OR(L272=phu!$I$63,L272=phu!$I$64,L272=phu!$I$65,L272=phu!$I$66,L272=phu!$I$67,L272=phu!$I$68,L272=phu!$I$69,L272=phu!$I$70,L272=phu!$I$71),"Ba Ngòi",""),IF(OR(L272=phu!$I$72,L272=phu!$I$73,L272=phu!$I$74,L272=phu!$I$75,L272=phu!$I$76,L272=phu!$I$77,L272=phu!$I$78),"Cam Phước Đông",""),IF(OR(L272=phu!$I$79,L272=phu!$I$80,L272=phu!$I$81,L272=phu!$I$82,L272=phu!$I$83,L272=phu!$I$84),"Cam Thịnh Đông",""),IF(OR(L272=phu!$I$85,L272=phu!$I$86,L272=phu!$I$87,L272=phu!$I$88),"Cam Thịnh Tây",""),IF(OR(L272=phu!$I$89,L272=phu!$I$90),"Cam Lập",""),IF(OR(L272=phu!$I$91,L272=phu!$I$92,L272=phu!$I$93),"Cam Bình",""),IF(OR(L272=phu!$I$94,L272=phu!$I$95,L272=phu!$I$96,L272=phu!$I$97,L272=phu!$I$98,L272=phu!$I$99,L272=phu!$I$100),"Huyện khác",""),IF(OR(L272=phu!$I$101,L272=phu!$I$102),"Tỉnh khác",""))</f>
        <v/>
      </c>
      <c r="N272" s="835" t="str">
        <f t="shared" si="23"/>
        <v/>
      </c>
      <c r="O272" s="20"/>
      <c r="P272" s="20"/>
      <c r="Q272" s="20"/>
      <c r="R272" s="20"/>
      <c r="S272" s="20"/>
      <c r="T272" s="21"/>
      <c r="U272" s="21"/>
      <c r="V272" s="21"/>
      <c r="W272" s="7" t="str">
        <f t="shared" si="21"/>
        <v/>
      </c>
      <c r="X272" s="506" t="str">
        <f t="shared" si="22"/>
        <v/>
      </c>
    </row>
    <row r="273" spans="1:24" x14ac:dyDescent="0.25">
      <c r="A273" s="66" t="str">
        <f t="shared" si="24"/>
        <v/>
      </c>
      <c r="B273" s="23" t="str">
        <f t="shared" si="20"/>
        <v/>
      </c>
      <c r="C273" s="15"/>
      <c r="D273" s="16"/>
      <c r="E273" s="17"/>
      <c r="F273" s="18"/>
      <c r="G273" s="18"/>
      <c r="H273" s="19"/>
      <c r="I273" s="15"/>
      <c r="J273" s="20"/>
      <c r="K273" s="15"/>
      <c r="L273" s="15"/>
      <c r="M273" s="531" t="str">
        <f>CONCATENATE(IF(OR(L273=phu!$I$1,L273=phu!$I$2,L273=phu!$I$3),"Cam Thành Nam",""),IF(OR(L273=phu!$I$4,L273=phu!$I$5,L273=phu!$I$6,L273=phu!$I$7,L273=phu!$I$8,L273=phu!$I$9,L273=phu!$I$10,L273=phu!$I$11,L273=phu!$I$12,L273=phu!$I$13,L273=phu!$I$14),"Cam Nghĩa",""),IF(OR(L273=phu!$I$15,L273=phu!$I$16,L273=phu!$I$17,L273=phu!$I$18,L273=phu!$I$19,L273=phu!$I$20,L273=phu!$I$21),"Cam Phúc Bắc",""),IF(OR(L273=phu!$I$22,L273=phu!$I$23,L273=phu!$I$24,L273=phu!$I$25),"Cam Phúc Nam",""),IF(OR(L273=phu!$I$26,L273=phu!$I$27,L273=phu!$I$28,L273=phu!$I$29,L273=phu!$I$30,L273=phu!$I$31),"Cam Phú",""),IF(OR(L273=phu!$I$32,L273=phu!$I$33,L273=phu!$I$34,L273=phu!$I$35,L273=phu!$I$36,L273=phu!$I$37),"Cam Lộc",""),IF(OR(L273=phu!$I$38,L273=phu!$I$39,L273=phu!$I$40,L273=phu!$I$41,L273=phu!$I$42,L273=phu!$I$43,L273=phu!$I$44),"Cam Thuận",""),IF(OR(L273=phu!$I$45,L273=phu!$I$46,L273=phu!$I$47,L273=phu!$I$48,L273=phu!$I$49,L273=phu!$I$50,L273=phu!$I$51,L273=phu!$I$52,L273=phu!$I$53),"Cam Linh",""),IF(OR(L273=phu!$I$54,L273=phu!$I$55,L273=phu!$I$56,L273=phu!$I$57,L273=phu!$I$58,L273=phu!$I$59,L273=phu!$I$60,L273=phu!$I$61,L273=phu!$I$62),"Cam Lợi",""),IF(OR(L273=phu!$I$63,L273=phu!$I$64,L273=phu!$I$65,L273=phu!$I$66,L273=phu!$I$67,L273=phu!$I$68,L273=phu!$I$69,L273=phu!$I$70,L273=phu!$I$71),"Ba Ngòi",""),IF(OR(L273=phu!$I$72,L273=phu!$I$73,L273=phu!$I$74,L273=phu!$I$75,L273=phu!$I$76,L273=phu!$I$77,L273=phu!$I$78),"Cam Phước Đông",""),IF(OR(L273=phu!$I$79,L273=phu!$I$80,L273=phu!$I$81,L273=phu!$I$82,L273=phu!$I$83,L273=phu!$I$84),"Cam Thịnh Đông",""),IF(OR(L273=phu!$I$85,L273=phu!$I$86,L273=phu!$I$87,L273=phu!$I$88),"Cam Thịnh Tây",""),IF(OR(L273=phu!$I$89,L273=phu!$I$90),"Cam Lập",""),IF(OR(L273=phu!$I$91,L273=phu!$I$92,L273=phu!$I$93),"Cam Bình",""),IF(OR(L273=phu!$I$94,L273=phu!$I$95,L273=phu!$I$96,L273=phu!$I$97,L273=phu!$I$98,L273=phu!$I$99,L273=phu!$I$100),"Huyện khác",""),IF(OR(L273=phu!$I$101,L273=phu!$I$102),"Tỉnh khác",""))</f>
        <v/>
      </c>
      <c r="N273" s="835" t="str">
        <f t="shared" si="23"/>
        <v/>
      </c>
      <c r="O273" s="20"/>
      <c r="P273" s="20"/>
      <c r="Q273" s="20"/>
      <c r="R273" s="20"/>
      <c r="S273" s="20"/>
      <c r="T273" s="21"/>
      <c r="U273" s="21"/>
      <c r="V273" s="21"/>
      <c r="W273" s="7" t="str">
        <f t="shared" si="21"/>
        <v/>
      </c>
      <c r="X273" s="506" t="str">
        <f t="shared" si="22"/>
        <v/>
      </c>
    </row>
    <row r="274" spans="1:24" x14ac:dyDescent="0.25">
      <c r="A274" s="66" t="str">
        <f t="shared" si="24"/>
        <v/>
      </c>
      <c r="B274" s="23" t="str">
        <f t="shared" si="20"/>
        <v/>
      </c>
      <c r="C274" s="15"/>
      <c r="D274" s="16"/>
      <c r="E274" s="17"/>
      <c r="F274" s="18"/>
      <c r="G274" s="18"/>
      <c r="H274" s="19"/>
      <c r="I274" s="15"/>
      <c r="J274" s="20"/>
      <c r="K274" s="15"/>
      <c r="L274" s="15"/>
      <c r="M274" s="531" t="str">
        <f>CONCATENATE(IF(OR(L274=phu!$I$1,L274=phu!$I$2,L274=phu!$I$3),"Cam Thành Nam",""),IF(OR(L274=phu!$I$4,L274=phu!$I$5,L274=phu!$I$6,L274=phu!$I$7,L274=phu!$I$8,L274=phu!$I$9,L274=phu!$I$10,L274=phu!$I$11,L274=phu!$I$12,L274=phu!$I$13,L274=phu!$I$14),"Cam Nghĩa",""),IF(OR(L274=phu!$I$15,L274=phu!$I$16,L274=phu!$I$17,L274=phu!$I$18,L274=phu!$I$19,L274=phu!$I$20,L274=phu!$I$21),"Cam Phúc Bắc",""),IF(OR(L274=phu!$I$22,L274=phu!$I$23,L274=phu!$I$24,L274=phu!$I$25),"Cam Phúc Nam",""),IF(OR(L274=phu!$I$26,L274=phu!$I$27,L274=phu!$I$28,L274=phu!$I$29,L274=phu!$I$30,L274=phu!$I$31),"Cam Phú",""),IF(OR(L274=phu!$I$32,L274=phu!$I$33,L274=phu!$I$34,L274=phu!$I$35,L274=phu!$I$36,L274=phu!$I$37),"Cam Lộc",""),IF(OR(L274=phu!$I$38,L274=phu!$I$39,L274=phu!$I$40,L274=phu!$I$41,L274=phu!$I$42,L274=phu!$I$43,L274=phu!$I$44),"Cam Thuận",""),IF(OR(L274=phu!$I$45,L274=phu!$I$46,L274=phu!$I$47,L274=phu!$I$48,L274=phu!$I$49,L274=phu!$I$50,L274=phu!$I$51,L274=phu!$I$52,L274=phu!$I$53),"Cam Linh",""),IF(OR(L274=phu!$I$54,L274=phu!$I$55,L274=phu!$I$56,L274=phu!$I$57,L274=phu!$I$58,L274=phu!$I$59,L274=phu!$I$60,L274=phu!$I$61,L274=phu!$I$62),"Cam Lợi",""),IF(OR(L274=phu!$I$63,L274=phu!$I$64,L274=phu!$I$65,L274=phu!$I$66,L274=phu!$I$67,L274=phu!$I$68,L274=phu!$I$69,L274=phu!$I$70,L274=phu!$I$71),"Ba Ngòi",""),IF(OR(L274=phu!$I$72,L274=phu!$I$73,L274=phu!$I$74,L274=phu!$I$75,L274=phu!$I$76,L274=phu!$I$77,L274=phu!$I$78),"Cam Phước Đông",""),IF(OR(L274=phu!$I$79,L274=phu!$I$80,L274=phu!$I$81,L274=phu!$I$82,L274=phu!$I$83,L274=phu!$I$84),"Cam Thịnh Đông",""),IF(OR(L274=phu!$I$85,L274=phu!$I$86,L274=phu!$I$87,L274=phu!$I$88),"Cam Thịnh Tây",""),IF(OR(L274=phu!$I$89,L274=phu!$I$90),"Cam Lập",""),IF(OR(L274=phu!$I$91,L274=phu!$I$92,L274=phu!$I$93),"Cam Bình",""),IF(OR(L274=phu!$I$94,L274=phu!$I$95,L274=phu!$I$96,L274=phu!$I$97,L274=phu!$I$98,L274=phu!$I$99,L274=phu!$I$100),"Huyện khác",""),IF(OR(L274=phu!$I$101,L274=phu!$I$102),"Tỉnh khác",""))</f>
        <v/>
      </c>
      <c r="N274" s="835" t="str">
        <f t="shared" si="23"/>
        <v/>
      </c>
      <c r="O274" s="20"/>
      <c r="P274" s="20"/>
      <c r="Q274" s="20"/>
      <c r="R274" s="20"/>
      <c r="S274" s="20"/>
      <c r="T274" s="21"/>
      <c r="U274" s="21"/>
      <c r="V274" s="21"/>
      <c r="W274" s="7" t="str">
        <f t="shared" si="21"/>
        <v/>
      </c>
      <c r="X274" s="506" t="str">
        <f t="shared" si="22"/>
        <v/>
      </c>
    </row>
    <row r="275" spans="1:24" x14ac:dyDescent="0.25">
      <c r="A275" s="66" t="str">
        <f t="shared" si="24"/>
        <v/>
      </c>
      <c r="B275" s="23" t="str">
        <f t="shared" si="20"/>
        <v/>
      </c>
      <c r="C275" s="15"/>
      <c r="D275" s="16"/>
      <c r="E275" s="17"/>
      <c r="F275" s="18"/>
      <c r="G275" s="18"/>
      <c r="H275" s="19"/>
      <c r="I275" s="15"/>
      <c r="J275" s="20"/>
      <c r="K275" s="15"/>
      <c r="L275" s="15"/>
      <c r="M275" s="531" t="str">
        <f>CONCATENATE(IF(OR(L275=phu!$I$1,L275=phu!$I$2,L275=phu!$I$3),"Cam Thành Nam",""),IF(OR(L275=phu!$I$4,L275=phu!$I$5,L275=phu!$I$6,L275=phu!$I$7,L275=phu!$I$8,L275=phu!$I$9,L275=phu!$I$10,L275=phu!$I$11,L275=phu!$I$12,L275=phu!$I$13,L275=phu!$I$14),"Cam Nghĩa",""),IF(OR(L275=phu!$I$15,L275=phu!$I$16,L275=phu!$I$17,L275=phu!$I$18,L275=phu!$I$19,L275=phu!$I$20,L275=phu!$I$21),"Cam Phúc Bắc",""),IF(OR(L275=phu!$I$22,L275=phu!$I$23,L275=phu!$I$24,L275=phu!$I$25),"Cam Phúc Nam",""),IF(OR(L275=phu!$I$26,L275=phu!$I$27,L275=phu!$I$28,L275=phu!$I$29,L275=phu!$I$30,L275=phu!$I$31),"Cam Phú",""),IF(OR(L275=phu!$I$32,L275=phu!$I$33,L275=phu!$I$34,L275=phu!$I$35,L275=phu!$I$36,L275=phu!$I$37),"Cam Lộc",""),IF(OR(L275=phu!$I$38,L275=phu!$I$39,L275=phu!$I$40,L275=phu!$I$41,L275=phu!$I$42,L275=phu!$I$43,L275=phu!$I$44),"Cam Thuận",""),IF(OR(L275=phu!$I$45,L275=phu!$I$46,L275=phu!$I$47,L275=phu!$I$48,L275=phu!$I$49,L275=phu!$I$50,L275=phu!$I$51,L275=phu!$I$52,L275=phu!$I$53),"Cam Linh",""),IF(OR(L275=phu!$I$54,L275=phu!$I$55,L275=phu!$I$56,L275=phu!$I$57,L275=phu!$I$58,L275=phu!$I$59,L275=phu!$I$60,L275=phu!$I$61,L275=phu!$I$62),"Cam Lợi",""),IF(OR(L275=phu!$I$63,L275=phu!$I$64,L275=phu!$I$65,L275=phu!$I$66,L275=phu!$I$67,L275=phu!$I$68,L275=phu!$I$69,L275=phu!$I$70,L275=phu!$I$71),"Ba Ngòi",""),IF(OR(L275=phu!$I$72,L275=phu!$I$73,L275=phu!$I$74,L275=phu!$I$75,L275=phu!$I$76,L275=phu!$I$77,L275=phu!$I$78),"Cam Phước Đông",""),IF(OR(L275=phu!$I$79,L275=phu!$I$80,L275=phu!$I$81,L275=phu!$I$82,L275=phu!$I$83,L275=phu!$I$84),"Cam Thịnh Đông",""),IF(OR(L275=phu!$I$85,L275=phu!$I$86,L275=phu!$I$87,L275=phu!$I$88),"Cam Thịnh Tây",""),IF(OR(L275=phu!$I$89,L275=phu!$I$90),"Cam Lập",""),IF(OR(L275=phu!$I$91,L275=phu!$I$92,L275=phu!$I$93),"Cam Bình",""),IF(OR(L275=phu!$I$94,L275=phu!$I$95,L275=phu!$I$96,L275=phu!$I$97,L275=phu!$I$98,L275=phu!$I$99,L275=phu!$I$100),"Huyện khác",""),IF(OR(L275=phu!$I$101,L275=phu!$I$102),"Tỉnh khác",""))</f>
        <v/>
      </c>
      <c r="N275" s="835" t="str">
        <f t="shared" si="23"/>
        <v/>
      </c>
      <c r="O275" s="20"/>
      <c r="P275" s="20"/>
      <c r="Q275" s="20"/>
      <c r="R275" s="20"/>
      <c r="S275" s="20"/>
      <c r="T275" s="21"/>
      <c r="U275" s="21"/>
      <c r="V275" s="21"/>
      <c r="W275" s="7" t="str">
        <f t="shared" si="21"/>
        <v/>
      </c>
      <c r="X275" s="506" t="str">
        <f t="shared" si="22"/>
        <v/>
      </c>
    </row>
    <row r="276" spans="1:24" x14ac:dyDescent="0.25">
      <c r="A276" s="66" t="str">
        <f t="shared" si="24"/>
        <v/>
      </c>
      <c r="B276" s="23" t="str">
        <f t="shared" si="20"/>
        <v/>
      </c>
      <c r="C276" s="15"/>
      <c r="D276" s="16"/>
      <c r="E276" s="17"/>
      <c r="F276" s="18"/>
      <c r="G276" s="18"/>
      <c r="H276" s="19"/>
      <c r="I276" s="15"/>
      <c r="J276" s="20"/>
      <c r="K276" s="15"/>
      <c r="L276" s="15"/>
      <c r="M276" s="531" t="str">
        <f>CONCATENATE(IF(OR(L276=phu!$I$1,L276=phu!$I$2,L276=phu!$I$3),"Cam Thành Nam",""),IF(OR(L276=phu!$I$4,L276=phu!$I$5,L276=phu!$I$6,L276=phu!$I$7,L276=phu!$I$8,L276=phu!$I$9,L276=phu!$I$10,L276=phu!$I$11,L276=phu!$I$12,L276=phu!$I$13,L276=phu!$I$14),"Cam Nghĩa",""),IF(OR(L276=phu!$I$15,L276=phu!$I$16,L276=phu!$I$17,L276=phu!$I$18,L276=phu!$I$19,L276=phu!$I$20,L276=phu!$I$21),"Cam Phúc Bắc",""),IF(OR(L276=phu!$I$22,L276=phu!$I$23,L276=phu!$I$24,L276=phu!$I$25),"Cam Phúc Nam",""),IF(OR(L276=phu!$I$26,L276=phu!$I$27,L276=phu!$I$28,L276=phu!$I$29,L276=phu!$I$30,L276=phu!$I$31),"Cam Phú",""),IF(OR(L276=phu!$I$32,L276=phu!$I$33,L276=phu!$I$34,L276=phu!$I$35,L276=phu!$I$36,L276=phu!$I$37),"Cam Lộc",""),IF(OR(L276=phu!$I$38,L276=phu!$I$39,L276=phu!$I$40,L276=phu!$I$41,L276=phu!$I$42,L276=phu!$I$43,L276=phu!$I$44),"Cam Thuận",""),IF(OR(L276=phu!$I$45,L276=phu!$I$46,L276=phu!$I$47,L276=phu!$I$48,L276=phu!$I$49,L276=phu!$I$50,L276=phu!$I$51,L276=phu!$I$52,L276=phu!$I$53),"Cam Linh",""),IF(OR(L276=phu!$I$54,L276=phu!$I$55,L276=phu!$I$56,L276=phu!$I$57,L276=phu!$I$58,L276=phu!$I$59,L276=phu!$I$60,L276=phu!$I$61,L276=phu!$I$62),"Cam Lợi",""),IF(OR(L276=phu!$I$63,L276=phu!$I$64,L276=phu!$I$65,L276=phu!$I$66,L276=phu!$I$67,L276=phu!$I$68,L276=phu!$I$69,L276=phu!$I$70,L276=phu!$I$71),"Ba Ngòi",""),IF(OR(L276=phu!$I$72,L276=phu!$I$73,L276=phu!$I$74,L276=phu!$I$75,L276=phu!$I$76,L276=phu!$I$77,L276=phu!$I$78),"Cam Phước Đông",""),IF(OR(L276=phu!$I$79,L276=phu!$I$80,L276=phu!$I$81,L276=phu!$I$82,L276=phu!$I$83,L276=phu!$I$84),"Cam Thịnh Đông",""),IF(OR(L276=phu!$I$85,L276=phu!$I$86,L276=phu!$I$87,L276=phu!$I$88),"Cam Thịnh Tây",""),IF(OR(L276=phu!$I$89,L276=phu!$I$90),"Cam Lập",""),IF(OR(L276=phu!$I$91,L276=phu!$I$92,L276=phu!$I$93),"Cam Bình",""),IF(OR(L276=phu!$I$94,L276=phu!$I$95,L276=phu!$I$96,L276=phu!$I$97,L276=phu!$I$98,L276=phu!$I$99,L276=phu!$I$100),"Huyện khác",""),IF(OR(L276=phu!$I$101,L276=phu!$I$102),"Tỉnh khác",""))</f>
        <v/>
      </c>
      <c r="N276" s="835" t="str">
        <f t="shared" si="23"/>
        <v/>
      </c>
      <c r="O276" s="20"/>
      <c r="P276" s="20"/>
      <c r="Q276" s="20"/>
      <c r="R276" s="20"/>
      <c r="S276" s="20"/>
      <c r="T276" s="21"/>
      <c r="U276" s="21"/>
      <c r="V276" s="21"/>
      <c r="W276" s="7" t="str">
        <f t="shared" si="21"/>
        <v/>
      </c>
      <c r="X276" s="506" t="str">
        <f t="shared" si="22"/>
        <v/>
      </c>
    </row>
    <row r="277" spans="1:24" x14ac:dyDescent="0.25">
      <c r="A277" s="66" t="str">
        <f t="shared" si="24"/>
        <v/>
      </c>
      <c r="B277" s="23" t="str">
        <f t="shared" si="20"/>
        <v/>
      </c>
      <c r="C277" s="15"/>
      <c r="D277" s="16"/>
      <c r="E277" s="17"/>
      <c r="F277" s="18"/>
      <c r="G277" s="18"/>
      <c r="H277" s="19"/>
      <c r="I277" s="15"/>
      <c r="J277" s="20"/>
      <c r="K277" s="15"/>
      <c r="L277" s="15"/>
      <c r="M277" s="531" t="str">
        <f>CONCATENATE(IF(OR(L277=phu!$I$1,L277=phu!$I$2,L277=phu!$I$3),"Cam Thành Nam",""),IF(OR(L277=phu!$I$4,L277=phu!$I$5,L277=phu!$I$6,L277=phu!$I$7,L277=phu!$I$8,L277=phu!$I$9,L277=phu!$I$10,L277=phu!$I$11,L277=phu!$I$12,L277=phu!$I$13,L277=phu!$I$14),"Cam Nghĩa",""),IF(OR(L277=phu!$I$15,L277=phu!$I$16,L277=phu!$I$17,L277=phu!$I$18,L277=phu!$I$19,L277=phu!$I$20,L277=phu!$I$21),"Cam Phúc Bắc",""),IF(OR(L277=phu!$I$22,L277=phu!$I$23,L277=phu!$I$24,L277=phu!$I$25),"Cam Phúc Nam",""),IF(OR(L277=phu!$I$26,L277=phu!$I$27,L277=phu!$I$28,L277=phu!$I$29,L277=phu!$I$30,L277=phu!$I$31),"Cam Phú",""),IF(OR(L277=phu!$I$32,L277=phu!$I$33,L277=phu!$I$34,L277=phu!$I$35,L277=phu!$I$36,L277=phu!$I$37),"Cam Lộc",""),IF(OR(L277=phu!$I$38,L277=phu!$I$39,L277=phu!$I$40,L277=phu!$I$41,L277=phu!$I$42,L277=phu!$I$43,L277=phu!$I$44),"Cam Thuận",""),IF(OR(L277=phu!$I$45,L277=phu!$I$46,L277=phu!$I$47,L277=phu!$I$48,L277=phu!$I$49,L277=phu!$I$50,L277=phu!$I$51,L277=phu!$I$52,L277=phu!$I$53),"Cam Linh",""),IF(OR(L277=phu!$I$54,L277=phu!$I$55,L277=phu!$I$56,L277=phu!$I$57,L277=phu!$I$58,L277=phu!$I$59,L277=phu!$I$60,L277=phu!$I$61,L277=phu!$I$62),"Cam Lợi",""),IF(OR(L277=phu!$I$63,L277=phu!$I$64,L277=phu!$I$65,L277=phu!$I$66,L277=phu!$I$67,L277=phu!$I$68,L277=phu!$I$69,L277=phu!$I$70,L277=phu!$I$71),"Ba Ngòi",""),IF(OR(L277=phu!$I$72,L277=phu!$I$73,L277=phu!$I$74,L277=phu!$I$75,L277=phu!$I$76,L277=phu!$I$77,L277=phu!$I$78),"Cam Phước Đông",""),IF(OR(L277=phu!$I$79,L277=phu!$I$80,L277=phu!$I$81,L277=phu!$I$82,L277=phu!$I$83,L277=phu!$I$84),"Cam Thịnh Đông",""),IF(OR(L277=phu!$I$85,L277=phu!$I$86,L277=phu!$I$87,L277=phu!$I$88),"Cam Thịnh Tây",""),IF(OR(L277=phu!$I$89,L277=phu!$I$90),"Cam Lập",""),IF(OR(L277=phu!$I$91,L277=phu!$I$92,L277=phu!$I$93),"Cam Bình",""),IF(OR(L277=phu!$I$94,L277=phu!$I$95,L277=phu!$I$96,L277=phu!$I$97,L277=phu!$I$98,L277=phu!$I$99,L277=phu!$I$100),"Huyện khác",""),IF(OR(L277=phu!$I$101,L277=phu!$I$102),"Tỉnh khác",""))</f>
        <v/>
      </c>
      <c r="N277" s="835" t="str">
        <f t="shared" si="23"/>
        <v/>
      </c>
      <c r="O277" s="20"/>
      <c r="P277" s="20"/>
      <c r="Q277" s="20"/>
      <c r="R277" s="20"/>
      <c r="S277" s="20"/>
      <c r="T277" s="21"/>
      <c r="U277" s="21"/>
      <c r="V277" s="21"/>
      <c r="W277" s="7" t="str">
        <f t="shared" si="21"/>
        <v/>
      </c>
      <c r="X277" s="506" t="str">
        <f t="shared" si="22"/>
        <v/>
      </c>
    </row>
    <row r="278" spans="1:24" x14ac:dyDescent="0.25">
      <c r="A278" s="66" t="str">
        <f t="shared" si="24"/>
        <v/>
      </c>
      <c r="B278" s="23" t="str">
        <f t="shared" si="20"/>
        <v/>
      </c>
      <c r="C278" s="15"/>
      <c r="D278" s="16"/>
      <c r="E278" s="17"/>
      <c r="F278" s="18"/>
      <c r="G278" s="18"/>
      <c r="H278" s="19"/>
      <c r="I278" s="15"/>
      <c r="J278" s="20"/>
      <c r="K278" s="15"/>
      <c r="L278" s="15"/>
      <c r="M278" s="531" t="str">
        <f>CONCATENATE(IF(OR(L278=phu!$I$1,L278=phu!$I$2,L278=phu!$I$3),"Cam Thành Nam",""),IF(OR(L278=phu!$I$4,L278=phu!$I$5,L278=phu!$I$6,L278=phu!$I$7,L278=phu!$I$8,L278=phu!$I$9,L278=phu!$I$10,L278=phu!$I$11,L278=phu!$I$12,L278=phu!$I$13,L278=phu!$I$14),"Cam Nghĩa",""),IF(OR(L278=phu!$I$15,L278=phu!$I$16,L278=phu!$I$17,L278=phu!$I$18,L278=phu!$I$19,L278=phu!$I$20,L278=phu!$I$21),"Cam Phúc Bắc",""),IF(OR(L278=phu!$I$22,L278=phu!$I$23,L278=phu!$I$24,L278=phu!$I$25),"Cam Phúc Nam",""),IF(OR(L278=phu!$I$26,L278=phu!$I$27,L278=phu!$I$28,L278=phu!$I$29,L278=phu!$I$30,L278=phu!$I$31),"Cam Phú",""),IF(OR(L278=phu!$I$32,L278=phu!$I$33,L278=phu!$I$34,L278=phu!$I$35,L278=phu!$I$36,L278=phu!$I$37),"Cam Lộc",""),IF(OR(L278=phu!$I$38,L278=phu!$I$39,L278=phu!$I$40,L278=phu!$I$41,L278=phu!$I$42,L278=phu!$I$43,L278=phu!$I$44),"Cam Thuận",""),IF(OR(L278=phu!$I$45,L278=phu!$I$46,L278=phu!$I$47,L278=phu!$I$48,L278=phu!$I$49,L278=phu!$I$50,L278=phu!$I$51,L278=phu!$I$52,L278=phu!$I$53),"Cam Linh",""),IF(OR(L278=phu!$I$54,L278=phu!$I$55,L278=phu!$I$56,L278=phu!$I$57,L278=phu!$I$58,L278=phu!$I$59,L278=phu!$I$60,L278=phu!$I$61,L278=phu!$I$62),"Cam Lợi",""),IF(OR(L278=phu!$I$63,L278=phu!$I$64,L278=phu!$I$65,L278=phu!$I$66,L278=phu!$I$67,L278=phu!$I$68,L278=phu!$I$69,L278=phu!$I$70,L278=phu!$I$71),"Ba Ngòi",""),IF(OR(L278=phu!$I$72,L278=phu!$I$73,L278=phu!$I$74,L278=phu!$I$75,L278=phu!$I$76,L278=phu!$I$77,L278=phu!$I$78),"Cam Phước Đông",""),IF(OR(L278=phu!$I$79,L278=phu!$I$80,L278=phu!$I$81,L278=phu!$I$82,L278=phu!$I$83,L278=phu!$I$84),"Cam Thịnh Đông",""),IF(OR(L278=phu!$I$85,L278=phu!$I$86,L278=phu!$I$87,L278=phu!$I$88),"Cam Thịnh Tây",""),IF(OR(L278=phu!$I$89,L278=phu!$I$90),"Cam Lập",""),IF(OR(L278=phu!$I$91,L278=phu!$I$92,L278=phu!$I$93),"Cam Bình",""),IF(OR(L278=phu!$I$94,L278=phu!$I$95,L278=phu!$I$96,L278=phu!$I$97,L278=phu!$I$98,L278=phu!$I$99,L278=phu!$I$100),"Huyện khác",""),IF(OR(L278=phu!$I$101,L278=phu!$I$102),"Tỉnh khác",""))</f>
        <v/>
      </c>
      <c r="N278" s="835" t="str">
        <f t="shared" si="23"/>
        <v/>
      </c>
      <c r="O278" s="20"/>
      <c r="P278" s="20"/>
      <c r="Q278" s="20"/>
      <c r="R278" s="20"/>
      <c r="S278" s="20"/>
      <c r="T278" s="21"/>
      <c r="U278" s="21"/>
      <c r="V278" s="21"/>
      <c r="W278" s="7" t="str">
        <f t="shared" si="21"/>
        <v/>
      </c>
      <c r="X278" s="506" t="str">
        <f t="shared" si="22"/>
        <v/>
      </c>
    </row>
    <row r="279" spans="1:24" x14ac:dyDescent="0.25">
      <c r="A279" s="66" t="str">
        <f t="shared" si="24"/>
        <v/>
      </c>
      <c r="B279" s="23" t="str">
        <f t="shared" si="20"/>
        <v/>
      </c>
      <c r="C279" s="15"/>
      <c r="D279" s="16"/>
      <c r="E279" s="17"/>
      <c r="F279" s="18"/>
      <c r="G279" s="18"/>
      <c r="H279" s="19"/>
      <c r="I279" s="15"/>
      <c r="J279" s="20"/>
      <c r="K279" s="15"/>
      <c r="L279" s="15"/>
      <c r="M279" s="531" t="str">
        <f>CONCATENATE(IF(OR(L279=phu!$I$1,L279=phu!$I$2,L279=phu!$I$3),"Cam Thành Nam",""),IF(OR(L279=phu!$I$4,L279=phu!$I$5,L279=phu!$I$6,L279=phu!$I$7,L279=phu!$I$8,L279=phu!$I$9,L279=phu!$I$10,L279=phu!$I$11,L279=phu!$I$12,L279=phu!$I$13,L279=phu!$I$14),"Cam Nghĩa",""),IF(OR(L279=phu!$I$15,L279=phu!$I$16,L279=phu!$I$17,L279=phu!$I$18,L279=phu!$I$19,L279=phu!$I$20,L279=phu!$I$21),"Cam Phúc Bắc",""),IF(OR(L279=phu!$I$22,L279=phu!$I$23,L279=phu!$I$24,L279=phu!$I$25),"Cam Phúc Nam",""),IF(OR(L279=phu!$I$26,L279=phu!$I$27,L279=phu!$I$28,L279=phu!$I$29,L279=phu!$I$30,L279=phu!$I$31),"Cam Phú",""),IF(OR(L279=phu!$I$32,L279=phu!$I$33,L279=phu!$I$34,L279=phu!$I$35,L279=phu!$I$36,L279=phu!$I$37),"Cam Lộc",""),IF(OR(L279=phu!$I$38,L279=phu!$I$39,L279=phu!$I$40,L279=phu!$I$41,L279=phu!$I$42,L279=phu!$I$43,L279=phu!$I$44),"Cam Thuận",""),IF(OR(L279=phu!$I$45,L279=phu!$I$46,L279=phu!$I$47,L279=phu!$I$48,L279=phu!$I$49,L279=phu!$I$50,L279=phu!$I$51,L279=phu!$I$52,L279=phu!$I$53),"Cam Linh",""),IF(OR(L279=phu!$I$54,L279=phu!$I$55,L279=phu!$I$56,L279=phu!$I$57,L279=phu!$I$58,L279=phu!$I$59,L279=phu!$I$60,L279=phu!$I$61,L279=phu!$I$62),"Cam Lợi",""),IF(OR(L279=phu!$I$63,L279=phu!$I$64,L279=phu!$I$65,L279=phu!$I$66,L279=phu!$I$67,L279=phu!$I$68,L279=phu!$I$69,L279=phu!$I$70,L279=phu!$I$71),"Ba Ngòi",""),IF(OR(L279=phu!$I$72,L279=phu!$I$73,L279=phu!$I$74,L279=phu!$I$75,L279=phu!$I$76,L279=phu!$I$77,L279=phu!$I$78),"Cam Phước Đông",""),IF(OR(L279=phu!$I$79,L279=phu!$I$80,L279=phu!$I$81,L279=phu!$I$82,L279=phu!$I$83,L279=phu!$I$84),"Cam Thịnh Đông",""),IF(OR(L279=phu!$I$85,L279=phu!$I$86,L279=phu!$I$87,L279=phu!$I$88),"Cam Thịnh Tây",""),IF(OR(L279=phu!$I$89,L279=phu!$I$90),"Cam Lập",""),IF(OR(L279=phu!$I$91,L279=phu!$I$92,L279=phu!$I$93),"Cam Bình",""),IF(OR(L279=phu!$I$94,L279=phu!$I$95,L279=phu!$I$96,L279=phu!$I$97,L279=phu!$I$98,L279=phu!$I$99,L279=phu!$I$100),"Huyện khác",""),IF(OR(L279=phu!$I$101,L279=phu!$I$102),"Tỉnh khác",""))</f>
        <v/>
      </c>
      <c r="N279" s="835" t="str">
        <f t="shared" si="23"/>
        <v/>
      </c>
      <c r="O279" s="20"/>
      <c r="P279" s="20"/>
      <c r="Q279" s="20"/>
      <c r="R279" s="20"/>
      <c r="S279" s="20"/>
      <c r="T279" s="21"/>
      <c r="U279" s="21"/>
      <c r="V279" s="21"/>
      <c r="W279" s="7" t="str">
        <f t="shared" si="21"/>
        <v/>
      </c>
      <c r="X279" s="506" t="str">
        <f t="shared" si="22"/>
        <v/>
      </c>
    </row>
    <row r="280" spans="1:24" x14ac:dyDescent="0.25">
      <c r="A280" s="66" t="str">
        <f t="shared" si="24"/>
        <v/>
      </c>
      <c r="B280" s="23" t="str">
        <f t="shared" si="20"/>
        <v/>
      </c>
      <c r="C280" s="15"/>
      <c r="D280" s="16"/>
      <c r="E280" s="17"/>
      <c r="F280" s="18"/>
      <c r="G280" s="18"/>
      <c r="H280" s="19"/>
      <c r="I280" s="15"/>
      <c r="J280" s="20"/>
      <c r="K280" s="15"/>
      <c r="L280" s="15"/>
      <c r="M280" s="531" t="str">
        <f>CONCATENATE(IF(OR(L280=phu!$I$1,L280=phu!$I$2,L280=phu!$I$3),"Cam Thành Nam",""),IF(OR(L280=phu!$I$4,L280=phu!$I$5,L280=phu!$I$6,L280=phu!$I$7,L280=phu!$I$8,L280=phu!$I$9,L280=phu!$I$10,L280=phu!$I$11,L280=phu!$I$12,L280=phu!$I$13,L280=phu!$I$14),"Cam Nghĩa",""),IF(OR(L280=phu!$I$15,L280=phu!$I$16,L280=phu!$I$17,L280=phu!$I$18,L280=phu!$I$19,L280=phu!$I$20,L280=phu!$I$21),"Cam Phúc Bắc",""),IF(OR(L280=phu!$I$22,L280=phu!$I$23,L280=phu!$I$24,L280=phu!$I$25),"Cam Phúc Nam",""),IF(OR(L280=phu!$I$26,L280=phu!$I$27,L280=phu!$I$28,L280=phu!$I$29,L280=phu!$I$30,L280=phu!$I$31),"Cam Phú",""),IF(OR(L280=phu!$I$32,L280=phu!$I$33,L280=phu!$I$34,L280=phu!$I$35,L280=phu!$I$36,L280=phu!$I$37),"Cam Lộc",""),IF(OR(L280=phu!$I$38,L280=phu!$I$39,L280=phu!$I$40,L280=phu!$I$41,L280=phu!$I$42,L280=phu!$I$43,L280=phu!$I$44),"Cam Thuận",""),IF(OR(L280=phu!$I$45,L280=phu!$I$46,L280=phu!$I$47,L280=phu!$I$48,L280=phu!$I$49,L280=phu!$I$50,L280=phu!$I$51,L280=phu!$I$52,L280=phu!$I$53),"Cam Linh",""),IF(OR(L280=phu!$I$54,L280=phu!$I$55,L280=phu!$I$56,L280=phu!$I$57,L280=phu!$I$58,L280=phu!$I$59,L280=phu!$I$60,L280=phu!$I$61,L280=phu!$I$62),"Cam Lợi",""),IF(OR(L280=phu!$I$63,L280=phu!$I$64,L280=phu!$I$65,L280=phu!$I$66,L280=phu!$I$67,L280=phu!$I$68,L280=phu!$I$69,L280=phu!$I$70,L280=phu!$I$71),"Ba Ngòi",""),IF(OR(L280=phu!$I$72,L280=phu!$I$73,L280=phu!$I$74,L280=phu!$I$75,L280=phu!$I$76,L280=phu!$I$77,L280=phu!$I$78),"Cam Phước Đông",""),IF(OR(L280=phu!$I$79,L280=phu!$I$80,L280=phu!$I$81,L280=phu!$I$82,L280=phu!$I$83,L280=phu!$I$84),"Cam Thịnh Đông",""),IF(OR(L280=phu!$I$85,L280=phu!$I$86,L280=phu!$I$87,L280=phu!$I$88),"Cam Thịnh Tây",""),IF(OR(L280=phu!$I$89,L280=phu!$I$90),"Cam Lập",""),IF(OR(L280=phu!$I$91,L280=phu!$I$92,L280=phu!$I$93),"Cam Bình",""),IF(OR(L280=phu!$I$94,L280=phu!$I$95,L280=phu!$I$96,L280=phu!$I$97,L280=phu!$I$98,L280=phu!$I$99,L280=phu!$I$100),"Huyện khác",""),IF(OR(L280=phu!$I$101,L280=phu!$I$102),"Tỉnh khác",""))</f>
        <v/>
      </c>
      <c r="N280" s="835" t="str">
        <f t="shared" si="23"/>
        <v/>
      </c>
      <c r="O280" s="20"/>
      <c r="P280" s="20"/>
      <c r="Q280" s="20"/>
      <c r="R280" s="20"/>
      <c r="S280" s="20"/>
      <c r="T280" s="21"/>
      <c r="U280" s="21"/>
      <c r="V280" s="21"/>
      <c r="W280" s="7" t="str">
        <f t="shared" si="21"/>
        <v/>
      </c>
      <c r="X280" s="506" t="str">
        <f t="shared" si="22"/>
        <v/>
      </c>
    </row>
    <row r="281" spans="1:24" x14ac:dyDescent="0.25">
      <c r="A281" s="66" t="str">
        <f t="shared" si="24"/>
        <v/>
      </c>
      <c r="B281" s="23" t="str">
        <f t="shared" si="20"/>
        <v/>
      </c>
      <c r="C281" s="15"/>
      <c r="D281" s="16"/>
      <c r="E281" s="17"/>
      <c r="F281" s="18"/>
      <c r="G281" s="18"/>
      <c r="H281" s="19"/>
      <c r="I281" s="15"/>
      <c r="J281" s="20"/>
      <c r="K281" s="15"/>
      <c r="L281" s="15"/>
      <c r="M281" s="531" t="str">
        <f>CONCATENATE(IF(OR(L281=phu!$I$1,L281=phu!$I$2,L281=phu!$I$3),"Cam Thành Nam",""),IF(OR(L281=phu!$I$4,L281=phu!$I$5,L281=phu!$I$6,L281=phu!$I$7,L281=phu!$I$8,L281=phu!$I$9,L281=phu!$I$10,L281=phu!$I$11,L281=phu!$I$12,L281=phu!$I$13,L281=phu!$I$14),"Cam Nghĩa",""),IF(OR(L281=phu!$I$15,L281=phu!$I$16,L281=phu!$I$17,L281=phu!$I$18,L281=phu!$I$19,L281=phu!$I$20,L281=phu!$I$21),"Cam Phúc Bắc",""),IF(OR(L281=phu!$I$22,L281=phu!$I$23,L281=phu!$I$24,L281=phu!$I$25),"Cam Phúc Nam",""),IF(OR(L281=phu!$I$26,L281=phu!$I$27,L281=phu!$I$28,L281=phu!$I$29,L281=phu!$I$30,L281=phu!$I$31),"Cam Phú",""),IF(OR(L281=phu!$I$32,L281=phu!$I$33,L281=phu!$I$34,L281=phu!$I$35,L281=phu!$I$36,L281=phu!$I$37),"Cam Lộc",""),IF(OR(L281=phu!$I$38,L281=phu!$I$39,L281=phu!$I$40,L281=phu!$I$41,L281=phu!$I$42,L281=phu!$I$43,L281=phu!$I$44),"Cam Thuận",""),IF(OR(L281=phu!$I$45,L281=phu!$I$46,L281=phu!$I$47,L281=phu!$I$48,L281=phu!$I$49,L281=phu!$I$50,L281=phu!$I$51,L281=phu!$I$52,L281=phu!$I$53),"Cam Linh",""),IF(OR(L281=phu!$I$54,L281=phu!$I$55,L281=phu!$I$56,L281=phu!$I$57,L281=phu!$I$58,L281=phu!$I$59,L281=phu!$I$60,L281=phu!$I$61,L281=phu!$I$62),"Cam Lợi",""),IF(OR(L281=phu!$I$63,L281=phu!$I$64,L281=phu!$I$65,L281=phu!$I$66,L281=phu!$I$67,L281=phu!$I$68,L281=phu!$I$69,L281=phu!$I$70,L281=phu!$I$71),"Ba Ngòi",""),IF(OR(L281=phu!$I$72,L281=phu!$I$73,L281=phu!$I$74,L281=phu!$I$75,L281=phu!$I$76,L281=phu!$I$77,L281=phu!$I$78),"Cam Phước Đông",""),IF(OR(L281=phu!$I$79,L281=phu!$I$80,L281=phu!$I$81,L281=phu!$I$82,L281=phu!$I$83,L281=phu!$I$84),"Cam Thịnh Đông",""),IF(OR(L281=phu!$I$85,L281=phu!$I$86,L281=phu!$I$87,L281=phu!$I$88),"Cam Thịnh Tây",""),IF(OR(L281=phu!$I$89,L281=phu!$I$90),"Cam Lập",""),IF(OR(L281=phu!$I$91,L281=phu!$I$92,L281=phu!$I$93),"Cam Bình",""),IF(OR(L281=phu!$I$94,L281=phu!$I$95,L281=phu!$I$96,L281=phu!$I$97,L281=phu!$I$98,L281=phu!$I$99,L281=phu!$I$100),"Huyện khác",""),IF(OR(L281=phu!$I$101,L281=phu!$I$102),"Tỉnh khác",""))</f>
        <v/>
      </c>
      <c r="N281" s="835" t="str">
        <f t="shared" si="23"/>
        <v/>
      </c>
      <c r="O281" s="20"/>
      <c r="P281" s="20"/>
      <c r="Q281" s="20"/>
      <c r="R281" s="20"/>
      <c r="S281" s="20"/>
      <c r="T281" s="21"/>
      <c r="U281" s="21"/>
      <c r="V281" s="21"/>
      <c r="W281" s="7" t="str">
        <f t="shared" si="21"/>
        <v/>
      </c>
      <c r="X281" s="506" t="str">
        <f t="shared" si="22"/>
        <v/>
      </c>
    </row>
    <row r="282" spans="1:24" x14ac:dyDescent="0.25">
      <c r="A282" s="66" t="str">
        <f t="shared" si="24"/>
        <v/>
      </c>
      <c r="B282" s="23" t="str">
        <f t="shared" si="20"/>
        <v/>
      </c>
      <c r="C282" s="15"/>
      <c r="D282" s="16"/>
      <c r="E282" s="17"/>
      <c r="F282" s="18"/>
      <c r="G282" s="18"/>
      <c r="H282" s="19"/>
      <c r="I282" s="15"/>
      <c r="J282" s="20"/>
      <c r="K282" s="15"/>
      <c r="L282" s="15"/>
      <c r="M282" s="531" t="str">
        <f>CONCATENATE(IF(OR(L282=phu!$I$1,L282=phu!$I$2,L282=phu!$I$3),"Cam Thành Nam",""),IF(OR(L282=phu!$I$4,L282=phu!$I$5,L282=phu!$I$6,L282=phu!$I$7,L282=phu!$I$8,L282=phu!$I$9,L282=phu!$I$10,L282=phu!$I$11,L282=phu!$I$12,L282=phu!$I$13,L282=phu!$I$14),"Cam Nghĩa",""),IF(OR(L282=phu!$I$15,L282=phu!$I$16,L282=phu!$I$17,L282=phu!$I$18,L282=phu!$I$19,L282=phu!$I$20,L282=phu!$I$21),"Cam Phúc Bắc",""),IF(OR(L282=phu!$I$22,L282=phu!$I$23,L282=phu!$I$24,L282=phu!$I$25),"Cam Phúc Nam",""),IF(OR(L282=phu!$I$26,L282=phu!$I$27,L282=phu!$I$28,L282=phu!$I$29,L282=phu!$I$30,L282=phu!$I$31),"Cam Phú",""),IF(OR(L282=phu!$I$32,L282=phu!$I$33,L282=phu!$I$34,L282=phu!$I$35,L282=phu!$I$36,L282=phu!$I$37),"Cam Lộc",""),IF(OR(L282=phu!$I$38,L282=phu!$I$39,L282=phu!$I$40,L282=phu!$I$41,L282=phu!$I$42,L282=phu!$I$43,L282=phu!$I$44),"Cam Thuận",""),IF(OR(L282=phu!$I$45,L282=phu!$I$46,L282=phu!$I$47,L282=phu!$I$48,L282=phu!$I$49,L282=phu!$I$50,L282=phu!$I$51,L282=phu!$I$52,L282=phu!$I$53),"Cam Linh",""),IF(OR(L282=phu!$I$54,L282=phu!$I$55,L282=phu!$I$56,L282=phu!$I$57,L282=phu!$I$58,L282=phu!$I$59,L282=phu!$I$60,L282=phu!$I$61,L282=phu!$I$62),"Cam Lợi",""),IF(OR(L282=phu!$I$63,L282=phu!$I$64,L282=phu!$I$65,L282=phu!$I$66,L282=phu!$I$67,L282=phu!$I$68,L282=phu!$I$69,L282=phu!$I$70,L282=phu!$I$71),"Ba Ngòi",""),IF(OR(L282=phu!$I$72,L282=phu!$I$73,L282=phu!$I$74,L282=phu!$I$75,L282=phu!$I$76,L282=phu!$I$77,L282=phu!$I$78),"Cam Phước Đông",""),IF(OR(L282=phu!$I$79,L282=phu!$I$80,L282=phu!$I$81,L282=phu!$I$82,L282=phu!$I$83,L282=phu!$I$84),"Cam Thịnh Đông",""),IF(OR(L282=phu!$I$85,L282=phu!$I$86,L282=phu!$I$87,L282=phu!$I$88),"Cam Thịnh Tây",""),IF(OR(L282=phu!$I$89,L282=phu!$I$90),"Cam Lập",""),IF(OR(L282=phu!$I$91,L282=phu!$I$92,L282=phu!$I$93),"Cam Bình",""),IF(OR(L282=phu!$I$94,L282=phu!$I$95,L282=phu!$I$96,L282=phu!$I$97,L282=phu!$I$98,L282=phu!$I$99,L282=phu!$I$100),"Huyện khác",""),IF(OR(L282=phu!$I$101,L282=phu!$I$102),"Tỉnh khác",""))</f>
        <v/>
      </c>
      <c r="N282" s="835" t="str">
        <f t="shared" si="23"/>
        <v/>
      </c>
      <c r="O282" s="20"/>
      <c r="P282" s="20"/>
      <c r="Q282" s="20"/>
      <c r="R282" s="20"/>
      <c r="S282" s="20"/>
      <c r="T282" s="21"/>
      <c r="U282" s="21"/>
      <c r="V282" s="21"/>
      <c r="W282" s="7" t="str">
        <f t="shared" si="21"/>
        <v/>
      </c>
      <c r="X282" s="506" t="str">
        <f t="shared" si="22"/>
        <v/>
      </c>
    </row>
    <row r="283" spans="1:24" x14ac:dyDescent="0.25">
      <c r="A283" s="66" t="str">
        <f t="shared" si="24"/>
        <v/>
      </c>
      <c r="B283" s="23" t="str">
        <f t="shared" si="20"/>
        <v/>
      </c>
      <c r="C283" s="15"/>
      <c r="D283" s="16"/>
      <c r="E283" s="17"/>
      <c r="F283" s="18"/>
      <c r="G283" s="18"/>
      <c r="H283" s="19"/>
      <c r="I283" s="15"/>
      <c r="J283" s="20"/>
      <c r="K283" s="15"/>
      <c r="L283" s="15"/>
      <c r="M283" s="531" t="str">
        <f>CONCATENATE(IF(OR(L283=phu!$I$1,L283=phu!$I$2,L283=phu!$I$3),"Cam Thành Nam",""),IF(OR(L283=phu!$I$4,L283=phu!$I$5,L283=phu!$I$6,L283=phu!$I$7,L283=phu!$I$8,L283=phu!$I$9,L283=phu!$I$10,L283=phu!$I$11,L283=phu!$I$12,L283=phu!$I$13,L283=phu!$I$14),"Cam Nghĩa",""),IF(OR(L283=phu!$I$15,L283=phu!$I$16,L283=phu!$I$17,L283=phu!$I$18,L283=phu!$I$19,L283=phu!$I$20,L283=phu!$I$21),"Cam Phúc Bắc",""),IF(OR(L283=phu!$I$22,L283=phu!$I$23,L283=phu!$I$24,L283=phu!$I$25),"Cam Phúc Nam",""),IF(OR(L283=phu!$I$26,L283=phu!$I$27,L283=phu!$I$28,L283=phu!$I$29,L283=phu!$I$30,L283=phu!$I$31),"Cam Phú",""),IF(OR(L283=phu!$I$32,L283=phu!$I$33,L283=phu!$I$34,L283=phu!$I$35,L283=phu!$I$36,L283=phu!$I$37),"Cam Lộc",""),IF(OR(L283=phu!$I$38,L283=phu!$I$39,L283=phu!$I$40,L283=phu!$I$41,L283=phu!$I$42,L283=phu!$I$43,L283=phu!$I$44),"Cam Thuận",""),IF(OR(L283=phu!$I$45,L283=phu!$I$46,L283=phu!$I$47,L283=phu!$I$48,L283=phu!$I$49,L283=phu!$I$50,L283=phu!$I$51,L283=phu!$I$52,L283=phu!$I$53),"Cam Linh",""),IF(OR(L283=phu!$I$54,L283=phu!$I$55,L283=phu!$I$56,L283=phu!$I$57,L283=phu!$I$58,L283=phu!$I$59,L283=phu!$I$60,L283=phu!$I$61,L283=phu!$I$62),"Cam Lợi",""),IF(OR(L283=phu!$I$63,L283=phu!$I$64,L283=phu!$I$65,L283=phu!$I$66,L283=phu!$I$67,L283=phu!$I$68,L283=phu!$I$69,L283=phu!$I$70,L283=phu!$I$71),"Ba Ngòi",""),IF(OR(L283=phu!$I$72,L283=phu!$I$73,L283=phu!$I$74,L283=phu!$I$75,L283=phu!$I$76,L283=phu!$I$77,L283=phu!$I$78),"Cam Phước Đông",""),IF(OR(L283=phu!$I$79,L283=phu!$I$80,L283=phu!$I$81,L283=phu!$I$82,L283=phu!$I$83,L283=phu!$I$84),"Cam Thịnh Đông",""),IF(OR(L283=phu!$I$85,L283=phu!$I$86,L283=phu!$I$87,L283=phu!$I$88),"Cam Thịnh Tây",""),IF(OR(L283=phu!$I$89,L283=phu!$I$90),"Cam Lập",""),IF(OR(L283=phu!$I$91,L283=phu!$I$92,L283=phu!$I$93),"Cam Bình",""),IF(OR(L283=phu!$I$94,L283=phu!$I$95,L283=phu!$I$96,L283=phu!$I$97,L283=phu!$I$98,L283=phu!$I$99,L283=phu!$I$100),"Huyện khác",""),IF(OR(L283=phu!$I$101,L283=phu!$I$102),"Tỉnh khác",""))</f>
        <v/>
      </c>
      <c r="N283" s="835" t="str">
        <f t="shared" si="23"/>
        <v/>
      </c>
      <c r="O283" s="20"/>
      <c r="P283" s="20"/>
      <c r="Q283" s="20"/>
      <c r="R283" s="20"/>
      <c r="S283" s="20"/>
      <c r="T283" s="21"/>
      <c r="U283" s="21"/>
      <c r="V283" s="21"/>
      <c r="W283" s="7" t="str">
        <f t="shared" si="21"/>
        <v/>
      </c>
      <c r="X283" s="506" t="str">
        <f t="shared" si="22"/>
        <v/>
      </c>
    </row>
    <row r="284" spans="1:24" x14ac:dyDescent="0.25">
      <c r="A284" s="66" t="str">
        <f t="shared" si="24"/>
        <v/>
      </c>
      <c r="B284" s="23" t="str">
        <f t="shared" si="20"/>
        <v/>
      </c>
      <c r="C284" s="15"/>
      <c r="D284" s="16"/>
      <c r="E284" s="17"/>
      <c r="F284" s="18"/>
      <c r="G284" s="18"/>
      <c r="H284" s="19"/>
      <c r="I284" s="15"/>
      <c r="J284" s="20"/>
      <c r="K284" s="15"/>
      <c r="L284" s="15"/>
      <c r="M284" s="531" t="str">
        <f>CONCATENATE(IF(OR(L284=phu!$I$1,L284=phu!$I$2,L284=phu!$I$3),"Cam Thành Nam",""),IF(OR(L284=phu!$I$4,L284=phu!$I$5,L284=phu!$I$6,L284=phu!$I$7,L284=phu!$I$8,L284=phu!$I$9,L284=phu!$I$10,L284=phu!$I$11,L284=phu!$I$12,L284=phu!$I$13,L284=phu!$I$14),"Cam Nghĩa",""),IF(OR(L284=phu!$I$15,L284=phu!$I$16,L284=phu!$I$17,L284=phu!$I$18,L284=phu!$I$19,L284=phu!$I$20,L284=phu!$I$21),"Cam Phúc Bắc",""),IF(OR(L284=phu!$I$22,L284=phu!$I$23,L284=phu!$I$24,L284=phu!$I$25),"Cam Phúc Nam",""),IF(OR(L284=phu!$I$26,L284=phu!$I$27,L284=phu!$I$28,L284=phu!$I$29,L284=phu!$I$30,L284=phu!$I$31),"Cam Phú",""),IF(OR(L284=phu!$I$32,L284=phu!$I$33,L284=phu!$I$34,L284=phu!$I$35,L284=phu!$I$36,L284=phu!$I$37),"Cam Lộc",""),IF(OR(L284=phu!$I$38,L284=phu!$I$39,L284=phu!$I$40,L284=phu!$I$41,L284=phu!$I$42,L284=phu!$I$43,L284=phu!$I$44),"Cam Thuận",""),IF(OR(L284=phu!$I$45,L284=phu!$I$46,L284=phu!$I$47,L284=phu!$I$48,L284=phu!$I$49,L284=phu!$I$50,L284=phu!$I$51,L284=phu!$I$52,L284=phu!$I$53),"Cam Linh",""),IF(OR(L284=phu!$I$54,L284=phu!$I$55,L284=phu!$I$56,L284=phu!$I$57,L284=phu!$I$58,L284=phu!$I$59,L284=phu!$I$60,L284=phu!$I$61,L284=phu!$I$62),"Cam Lợi",""),IF(OR(L284=phu!$I$63,L284=phu!$I$64,L284=phu!$I$65,L284=phu!$I$66,L284=phu!$I$67,L284=phu!$I$68,L284=phu!$I$69,L284=phu!$I$70,L284=phu!$I$71),"Ba Ngòi",""),IF(OR(L284=phu!$I$72,L284=phu!$I$73,L284=phu!$I$74,L284=phu!$I$75,L284=phu!$I$76,L284=phu!$I$77,L284=phu!$I$78),"Cam Phước Đông",""),IF(OR(L284=phu!$I$79,L284=phu!$I$80,L284=phu!$I$81,L284=phu!$I$82,L284=phu!$I$83,L284=phu!$I$84),"Cam Thịnh Đông",""),IF(OR(L284=phu!$I$85,L284=phu!$I$86,L284=phu!$I$87,L284=phu!$I$88),"Cam Thịnh Tây",""),IF(OR(L284=phu!$I$89,L284=phu!$I$90),"Cam Lập",""),IF(OR(L284=phu!$I$91,L284=phu!$I$92,L284=phu!$I$93),"Cam Bình",""),IF(OR(L284=phu!$I$94,L284=phu!$I$95,L284=phu!$I$96,L284=phu!$I$97,L284=phu!$I$98,L284=phu!$I$99,L284=phu!$I$100),"Huyện khác",""),IF(OR(L284=phu!$I$101,L284=phu!$I$102),"Tỉnh khác",""))</f>
        <v/>
      </c>
      <c r="N284" s="835" t="str">
        <f t="shared" si="23"/>
        <v/>
      </c>
      <c r="O284" s="20"/>
      <c r="P284" s="20"/>
      <c r="Q284" s="20"/>
      <c r="R284" s="20"/>
      <c r="S284" s="20"/>
      <c r="T284" s="21"/>
      <c r="U284" s="21"/>
      <c r="V284" s="21"/>
      <c r="W284" s="7" t="str">
        <f t="shared" si="21"/>
        <v/>
      </c>
      <c r="X284" s="506" t="str">
        <f t="shared" si="22"/>
        <v/>
      </c>
    </row>
    <row r="285" spans="1:24" x14ac:dyDescent="0.25">
      <c r="A285" s="66" t="str">
        <f t="shared" si="24"/>
        <v/>
      </c>
      <c r="B285" s="23" t="str">
        <f t="shared" si="20"/>
        <v/>
      </c>
      <c r="C285" s="15"/>
      <c r="D285" s="16"/>
      <c r="E285" s="17"/>
      <c r="F285" s="18"/>
      <c r="G285" s="18"/>
      <c r="H285" s="19"/>
      <c r="I285" s="15"/>
      <c r="J285" s="20"/>
      <c r="K285" s="15"/>
      <c r="L285" s="15"/>
      <c r="M285" s="531" t="str">
        <f>CONCATENATE(IF(OR(L285=phu!$I$1,L285=phu!$I$2,L285=phu!$I$3),"Cam Thành Nam",""),IF(OR(L285=phu!$I$4,L285=phu!$I$5,L285=phu!$I$6,L285=phu!$I$7,L285=phu!$I$8,L285=phu!$I$9,L285=phu!$I$10,L285=phu!$I$11,L285=phu!$I$12,L285=phu!$I$13,L285=phu!$I$14),"Cam Nghĩa",""),IF(OR(L285=phu!$I$15,L285=phu!$I$16,L285=phu!$I$17,L285=phu!$I$18,L285=phu!$I$19,L285=phu!$I$20,L285=phu!$I$21),"Cam Phúc Bắc",""),IF(OR(L285=phu!$I$22,L285=phu!$I$23,L285=phu!$I$24,L285=phu!$I$25),"Cam Phúc Nam",""),IF(OR(L285=phu!$I$26,L285=phu!$I$27,L285=phu!$I$28,L285=phu!$I$29,L285=phu!$I$30,L285=phu!$I$31),"Cam Phú",""),IF(OR(L285=phu!$I$32,L285=phu!$I$33,L285=phu!$I$34,L285=phu!$I$35,L285=phu!$I$36,L285=phu!$I$37),"Cam Lộc",""),IF(OR(L285=phu!$I$38,L285=phu!$I$39,L285=phu!$I$40,L285=phu!$I$41,L285=phu!$I$42,L285=phu!$I$43,L285=phu!$I$44),"Cam Thuận",""),IF(OR(L285=phu!$I$45,L285=phu!$I$46,L285=phu!$I$47,L285=phu!$I$48,L285=phu!$I$49,L285=phu!$I$50,L285=phu!$I$51,L285=phu!$I$52,L285=phu!$I$53),"Cam Linh",""),IF(OR(L285=phu!$I$54,L285=phu!$I$55,L285=phu!$I$56,L285=phu!$I$57,L285=phu!$I$58,L285=phu!$I$59,L285=phu!$I$60,L285=phu!$I$61,L285=phu!$I$62),"Cam Lợi",""),IF(OR(L285=phu!$I$63,L285=phu!$I$64,L285=phu!$I$65,L285=phu!$I$66,L285=phu!$I$67,L285=phu!$I$68,L285=phu!$I$69,L285=phu!$I$70,L285=phu!$I$71),"Ba Ngòi",""),IF(OR(L285=phu!$I$72,L285=phu!$I$73,L285=phu!$I$74,L285=phu!$I$75,L285=phu!$I$76,L285=phu!$I$77,L285=phu!$I$78),"Cam Phước Đông",""),IF(OR(L285=phu!$I$79,L285=phu!$I$80,L285=phu!$I$81,L285=phu!$I$82,L285=phu!$I$83,L285=phu!$I$84),"Cam Thịnh Đông",""),IF(OR(L285=phu!$I$85,L285=phu!$I$86,L285=phu!$I$87,L285=phu!$I$88),"Cam Thịnh Tây",""),IF(OR(L285=phu!$I$89,L285=phu!$I$90),"Cam Lập",""),IF(OR(L285=phu!$I$91,L285=phu!$I$92,L285=phu!$I$93),"Cam Bình",""),IF(OR(L285=phu!$I$94,L285=phu!$I$95,L285=phu!$I$96,L285=phu!$I$97,L285=phu!$I$98,L285=phu!$I$99,L285=phu!$I$100),"Huyện khác",""),IF(OR(L285=phu!$I$101,L285=phu!$I$102),"Tỉnh khác",""))</f>
        <v/>
      </c>
      <c r="N285" s="835" t="str">
        <f t="shared" si="23"/>
        <v/>
      </c>
      <c r="O285" s="20"/>
      <c r="P285" s="20"/>
      <c r="Q285" s="20"/>
      <c r="R285" s="20"/>
      <c r="S285" s="20"/>
      <c r="T285" s="21"/>
      <c r="U285" s="21"/>
      <c r="V285" s="21"/>
      <c r="W285" s="7" t="str">
        <f t="shared" si="21"/>
        <v/>
      </c>
      <c r="X285" s="506" t="str">
        <f t="shared" si="22"/>
        <v/>
      </c>
    </row>
    <row r="286" spans="1:24" x14ac:dyDescent="0.25">
      <c r="A286" s="66" t="str">
        <f t="shared" si="24"/>
        <v/>
      </c>
      <c r="B286" s="23" t="str">
        <f t="shared" si="20"/>
        <v/>
      </c>
      <c r="C286" s="15"/>
      <c r="D286" s="16"/>
      <c r="E286" s="17"/>
      <c r="F286" s="18"/>
      <c r="G286" s="18"/>
      <c r="H286" s="19"/>
      <c r="I286" s="15"/>
      <c r="J286" s="20"/>
      <c r="K286" s="15"/>
      <c r="L286" s="15"/>
      <c r="M286" s="531" t="str">
        <f>CONCATENATE(IF(OR(L286=phu!$I$1,L286=phu!$I$2,L286=phu!$I$3),"Cam Thành Nam",""),IF(OR(L286=phu!$I$4,L286=phu!$I$5,L286=phu!$I$6,L286=phu!$I$7,L286=phu!$I$8,L286=phu!$I$9,L286=phu!$I$10,L286=phu!$I$11,L286=phu!$I$12,L286=phu!$I$13,L286=phu!$I$14),"Cam Nghĩa",""),IF(OR(L286=phu!$I$15,L286=phu!$I$16,L286=phu!$I$17,L286=phu!$I$18,L286=phu!$I$19,L286=phu!$I$20,L286=phu!$I$21),"Cam Phúc Bắc",""),IF(OR(L286=phu!$I$22,L286=phu!$I$23,L286=phu!$I$24,L286=phu!$I$25),"Cam Phúc Nam",""),IF(OR(L286=phu!$I$26,L286=phu!$I$27,L286=phu!$I$28,L286=phu!$I$29,L286=phu!$I$30,L286=phu!$I$31),"Cam Phú",""),IF(OR(L286=phu!$I$32,L286=phu!$I$33,L286=phu!$I$34,L286=phu!$I$35,L286=phu!$I$36,L286=phu!$I$37),"Cam Lộc",""),IF(OR(L286=phu!$I$38,L286=phu!$I$39,L286=phu!$I$40,L286=phu!$I$41,L286=phu!$I$42,L286=phu!$I$43,L286=phu!$I$44),"Cam Thuận",""),IF(OR(L286=phu!$I$45,L286=phu!$I$46,L286=phu!$I$47,L286=phu!$I$48,L286=phu!$I$49,L286=phu!$I$50,L286=phu!$I$51,L286=phu!$I$52,L286=phu!$I$53),"Cam Linh",""),IF(OR(L286=phu!$I$54,L286=phu!$I$55,L286=phu!$I$56,L286=phu!$I$57,L286=phu!$I$58,L286=phu!$I$59,L286=phu!$I$60,L286=phu!$I$61,L286=phu!$I$62),"Cam Lợi",""),IF(OR(L286=phu!$I$63,L286=phu!$I$64,L286=phu!$I$65,L286=phu!$I$66,L286=phu!$I$67,L286=phu!$I$68,L286=phu!$I$69,L286=phu!$I$70,L286=phu!$I$71),"Ba Ngòi",""),IF(OR(L286=phu!$I$72,L286=phu!$I$73,L286=phu!$I$74,L286=phu!$I$75,L286=phu!$I$76,L286=phu!$I$77,L286=phu!$I$78),"Cam Phước Đông",""),IF(OR(L286=phu!$I$79,L286=phu!$I$80,L286=phu!$I$81,L286=phu!$I$82,L286=phu!$I$83,L286=phu!$I$84),"Cam Thịnh Đông",""),IF(OR(L286=phu!$I$85,L286=phu!$I$86,L286=phu!$I$87,L286=phu!$I$88),"Cam Thịnh Tây",""),IF(OR(L286=phu!$I$89,L286=phu!$I$90),"Cam Lập",""),IF(OR(L286=phu!$I$91,L286=phu!$I$92,L286=phu!$I$93),"Cam Bình",""),IF(OR(L286=phu!$I$94,L286=phu!$I$95,L286=phu!$I$96,L286=phu!$I$97,L286=phu!$I$98,L286=phu!$I$99,L286=phu!$I$100),"Huyện khác",""),IF(OR(L286=phu!$I$101,L286=phu!$I$102),"Tỉnh khác",""))</f>
        <v/>
      </c>
      <c r="N286" s="835" t="str">
        <f t="shared" si="23"/>
        <v/>
      </c>
      <c r="O286" s="20"/>
      <c r="P286" s="20"/>
      <c r="Q286" s="20"/>
      <c r="R286" s="20"/>
      <c r="S286" s="20"/>
      <c r="T286" s="21"/>
      <c r="U286" s="21"/>
      <c r="V286" s="21"/>
      <c r="W286" s="7" t="str">
        <f t="shared" si="21"/>
        <v/>
      </c>
      <c r="X286" s="506" t="str">
        <f t="shared" si="22"/>
        <v/>
      </c>
    </row>
    <row r="287" spans="1:24" x14ac:dyDescent="0.25">
      <c r="A287" s="66" t="str">
        <f t="shared" si="24"/>
        <v/>
      </c>
      <c r="B287" s="23" t="str">
        <f t="shared" si="20"/>
        <v/>
      </c>
      <c r="C287" s="15"/>
      <c r="D287" s="16"/>
      <c r="E287" s="17"/>
      <c r="F287" s="18"/>
      <c r="G287" s="18"/>
      <c r="H287" s="19"/>
      <c r="I287" s="15"/>
      <c r="J287" s="20"/>
      <c r="K287" s="15"/>
      <c r="L287" s="15"/>
      <c r="M287" s="531" t="str">
        <f>CONCATENATE(IF(OR(L287=phu!$I$1,L287=phu!$I$2,L287=phu!$I$3),"Cam Thành Nam",""),IF(OR(L287=phu!$I$4,L287=phu!$I$5,L287=phu!$I$6,L287=phu!$I$7,L287=phu!$I$8,L287=phu!$I$9,L287=phu!$I$10,L287=phu!$I$11,L287=phu!$I$12,L287=phu!$I$13,L287=phu!$I$14),"Cam Nghĩa",""),IF(OR(L287=phu!$I$15,L287=phu!$I$16,L287=phu!$I$17,L287=phu!$I$18,L287=phu!$I$19,L287=phu!$I$20,L287=phu!$I$21),"Cam Phúc Bắc",""),IF(OR(L287=phu!$I$22,L287=phu!$I$23,L287=phu!$I$24,L287=phu!$I$25),"Cam Phúc Nam",""),IF(OR(L287=phu!$I$26,L287=phu!$I$27,L287=phu!$I$28,L287=phu!$I$29,L287=phu!$I$30,L287=phu!$I$31),"Cam Phú",""),IF(OR(L287=phu!$I$32,L287=phu!$I$33,L287=phu!$I$34,L287=phu!$I$35,L287=phu!$I$36,L287=phu!$I$37),"Cam Lộc",""),IF(OR(L287=phu!$I$38,L287=phu!$I$39,L287=phu!$I$40,L287=phu!$I$41,L287=phu!$I$42,L287=phu!$I$43,L287=phu!$I$44),"Cam Thuận",""),IF(OR(L287=phu!$I$45,L287=phu!$I$46,L287=phu!$I$47,L287=phu!$I$48,L287=phu!$I$49,L287=phu!$I$50,L287=phu!$I$51,L287=phu!$I$52,L287=phu!$I$53),"Cam Linh",""),IF(OR(L287=phu!$I$54,L287=phu!$I$55,L287=phu!$I$56,L287=phu!$I$57,L287=phu!$I$58,L287=phu!$I$59,L287=phu!$I$60,L287=phu!$I$61,L287=phu!$I$62),"Cam Lợi",""),IF(OR(L287=phu!$I$63,L287=phu!$I$64,L287=phu!$I$65,L287=phu!$I$66,L287=phu!$I$67,L287=phu!$I$68,L287=phu!$I$69,L287=phu!$I$70,L287=phu!$I$71),"Ba Ngòi",""),IF(OR(L287=phu!$I$72,L287=phu!$I$73,L287=phu!$I$74,L287=phu!$I$75,L287=phu!$I$76,L287=phu!$I$77,L287=phu!$I$78),"Cam Phước Đông",""),IF(OR(L287=phu!$I$79,L287=phu!$I$80,L287=phu!$I$81,L287=phu!$I$82,L287=phu!$I$83,L287=phu!$I$84),"Cam Thịnh Đông",""),IF(OR(L287=phu!$I$85,L287=phu!$I$86,L287=phu!$I$87,L287=phu!$I$88),"Cam Thịnh Tây",""),IF(OR(L287=phu!$I$89,L287=phu!$I$90),"Cam Lập",""),IF(OR(L287=phu!$I$91,L287=phu!$I$92,L287=phu!$I$93),"Cam Bình",""),IF(OR(L287=phu!$I$94,L287=phu!$I$95,L287=phu!$I$96,L287=phu!$I$97,L287=phu!$I$98,L287=phu!$I$99,L287=phu!$I$100),"Huyện khác",""),IF(OR(L287=phu!$I$101,L287=phu!$I$102),"Tỉnh khác",""))</f>
        <v/>
      </c>
      <c r="N287" s="835" t="str">
        <f t="shared" si="23"/>
        <v/>
      </c>
      <c r="O287" s="20"/>
      <c r="P287" s="20"/>
      <c r="Q287" s="20"/>
      <c r="R287" s="20"/>
      <c r="S287" s="20"/>
      <c r="T287" s="21"/>
      <c r="U287" s="21"/>
      <c r="V287" s="21"/>
      <c r="W287" s="7" t="str">
        <f t="shared" si="21"/>
        <v/>
      </c>
      <c r="X287" s="506" t="str">
        <f t="shared" si="22"/>
        <v/>
      </c>
    </row>
    <row r="288" spans="1:24" x14ac:dyDescent="0.25">
      <c r="A288" s="66" t="str">
        <f t="shared" si="24"/>
        <v/>
      </c>
      <c r="B288" s="23" t="str">
        <f t="shared" si="20"/>
        <v/>
      </c>
      <c r="C288" s="15"/>
      <c r="D288" s="16"/>
      <c r="E288" s="17"/>
      <c r="F288" s="18"/>
      <c r="G288" s="18"/>
      <c r="H288" s="19"/>
      <c r="I288" s="15"/>
      <c r="J288" s="20"/>
      <c r="K288" s="15"/>
      <c r="L288" s="15"/>
      <c r="M288" s="531" t="str">
        <f>CONCATENATE(IF(OR(L288=phu!$I$1,L288=phu!$I$2,L288=phu!$I$3),"Cam Thành Nam",""),IF(OR(L288=phu!$I$4,L288=phu!$I$5,L288=phu!$I$6,L288=phu!$I$7,L288=phu!$I$8,L288=phu!$I$9,L288=phu!$I$10,L288=phu!$I$11,L288=phu!$I$12,L288=phu!$I$13,L288=phu!$I$14),"Cam Nghĩa",""),IF(OR(L288=phu!$I$15,L288=phu!$I$16,L288=phu!$I$17,L288=phu!$I$18,L288=phu!$I$19,L288=phu!$I$20,L288=phu!$I$21),"Cam Phúc Bắc",""),IF(OR(L288=phu!$I$22,L288=phu!$I$23,L288=phu!$I$24,L288=phu!$I$25),"Cam Phúc Nam",""),IF(OR(L288=phu!$I$26,L288=phu!$I$27,L288=phu!$I$28,L288=phu!$I$29,L288=phu!$I$30,L288=phu!$I$31),"Cam Phú",""),IF(OR(L288=phu!$I$32,L288=phu!$I$33,L288=phu!$I$34,L288=phu!$I$35,L288=phu!$I$36,L288=phu!$I$37),"Cam Lộc",""),IF(OR(L288=phu!$I$38,L288=phu!$I$39,L288=phu!$I$40,L288=phu!$I$41,L288=phu!$I$42,L288=phu!$I$43,L288=phu!$I$44),"Cam Thuận",""),IF(OR(L288=phu!$I$45,L288=phu!$I$46,L288=phu!$I$47,L288=phu!$I$48,L288=phu!$I$49,L288=phu!$I$50,L288=phu!$I$51,L288=phu!$I$52,L288=phu!$I$53),"Cam Linh",""),IF(OR(L288=phu!$I$54,L288=phu!$I$55,L288=phu!$I$56,L288=phu!$I$57,L288=phu!$I$58,L288=phu!$I$59,L288=phu!$I$60,L288=phu!$I$61,L288=phu!$I$62),"Cam Lợi",""),IF(OR(L288=phu!$I$63,L288=phu!$I$64,L288=phu!$I$65,L288=phu!$I$66,L288=phu!$I$67,L288=phu!$I$68,L288=phu!$I$69,L288=phu!$I$70,L288=phu!$I$71),"Ba Ngòi",""),IF(OR(L288=phu!$I$72,L288=phu!$I$73,L288=phu!$I$74,L288=phu!$I$75,L288=phu!$I$76,L288=phu!$I$77,L288=phu!$I$78),"Cam Phước Đông",""),IF(OR(L288=phu!$I$79,L288=phu!$I$80,L288=phu!$I$81,L288=phu!$I$82,L288=phu!$I$83,L288=phu!$I$84),"Cam Thịnh Đông",""),IF(OR(L288=phu!$I$85,L288=phu!$I$86,L288=phu!$I$87,L288=phu!$I$88),"Cam Thịnh Tây",""),IF(OR(L288=phu!$I$89,L288=phu!$I$90),"Cam Lập",""),IF(OR(L288=phu!$I$91,L288=phu!$I$92,L288=phu!$I$93),"Cam Bình",""),IF(OR(L288=phu!$I$94,L288=phu!$I$95,L288=phu!$I$96,L288=phu!$I$97,L288=phu!$I$98,L288=phu!$I$99,L288=phu!$I$100),"Huyện khác",""),IF(OR(L288=phu!$I$101,L288=phu!$I$102),"Tỉnh khác",""))</f>
        <v/>
      </c>
      <c r="N288" s="835" t="str">
        <f t="shared" si="23"/>
        <v/>
      </c>
      <c r="O288" s="20"/>
      <c r="P288" s="20"/>
      <c r="Q288" s="20"/>
      <c r="R288" s="20"/>
      <c r="S288" s="20"/>
      <c r="T288" s="21"/>
      <c r="U288" s="21"/>
      <c r="V288" s="21"/>
      <c r="W288" s="7" t="str">
        <f t="shared" si="21"/>
        <v/>
      </c>
      <c r="X288" s="506" t="str">
        <f t="shared" si="22"/>
        <v/>
      </c>
    </row>
    <row r="289" spans="1:24" x14ac:dyDescent="0.25">
      <c r="A289" s="66" t="str">
        <f t="shared" si="24"/>
        <v/>
      </c>
      <c r="B289" s="23" t="str">
        <f t="shared" si="20"/>
        <v/>
      </c>
      <c r="C289" s="15"/>
      <c r="D289" s="16"/>
      <c r="E289" s="17"/>
      <c r="F289" s="18"/>
      <c r="G289" s="18"/>
      <c r="H289" s="19"/>
      <c r="I289" s="15"/>
      <c r="J289" s="20"/>
      <c r="K289" s="15"/>
      <c r="L289" s="15"/>
      <c r="M289" s="531" t="str">
        <f>CONCATENATE(IF(OR(L289=phu!$I$1,L289=phu!$I$2,L289=phu!$I$3),"Cam Thành Nam",""),IF(OR(L289=phu!$I$4,L289=phu!$I$5,L289=phu!$I$6,L289=phu!$I$7,L289=phu!$I$8,L289=phu!$I$9,L289=phu!$I$10,L289=phu!$I$11,L289=phu!$I$12,L289=phu!$I$13,L289=phu!$I$14),"Cam Nghĩa",""),IF(OR(L289=phu!$I$15,L289=phu!$I$16,L289=phu!$I$17,L289=phu!$I$18,L289=phu!$I$19,L289=phu!$I$20,L289=phu!$I$21),"Cam Phúc Bắc",""),IF(OR(L289=phu!$I$22,L289=phu!$I$23,L289=phu!$I$24,L289=phu!$I$25),"Cam Phúc Nam",""),IF(OR(L289=phu!$I$26,L289=phu!$I$27,L289=phu!$I$28,L289=phu!$I$29,L289=phu!$I$30,L289=phu!$I$31),"Cam Phú",""),IF(OR(L289=phu!$I$32,L289=phu!$I$33,L289=phu!$I$34,L289=phu!$I$35,L289=phu!$I$36,L289=phu!$I$37),"Cam Lộc",""),IF(OR(L289=phu!$I$38,L289=phu!$I$39,L289=phu!$I$40,L289=phu!$I$41,L289=phu!$I$42,L289=phu!$I$43,L289=phu!$I$44),"Cam Thuận",""),IF(OR(L289=phu!$I$45,L289=phu!$I$46,L289=phu!$I$47,L289=phu!$I$48,L289=phu!$I$49,L289=phu!$I$50,L289=phu!$I$51,L289=phu!$I$52,L289=phu!$I$53),"Cam Linh",""),IF(OR(L289=phu!$I$54,L289=phu!$I$55,L289=phu!$I$56,L289=phu!$I$57,L289=phu!$I$58,L289=phu!$I$59,L289=phu!$I$60,L289=phu!$I$61,L289=phu!$I$62),"Cam Lợi",""),IF(OR(L289=phu!$I$63,L289=phu!$I$64,L289=phu!$I$65,L289=phu!$I$66,L289=phu!$I$67,L289=phu!$I$68,L289=phu!$I$69,L289=phu!$I$70,L289=phu!$I$71),"Ba Ngòi",""),IF(OR(L289=phu!$I$72,L289=phu!$I$73,L289=phu!$I$74,L289=phu!$I$75,L289=phu!$I$76,L289=phu!$I$77,L289=phu!$I$78),"Cam Phước Đông",""),IF(OR(L289=phu!$I$79,L289=phu!$I$80,L289=phu!$I$81,L289=phu!$I$82,L289=phu!$I$83,L289=phu!$I$84),"Cam Thịnh Đông",""),IF(OR(L289=phu!$I$85,L289=phu!$I$86,L289=phu!$I$87,L289=phu!$I$88),"Cam Thịnh Tây",""),IF(OR(L289=phu!$I$89,L289=phu!$I$90),"Cam Lập",""),IF(OR(L289=phu!$I$91,L289=phu!$I$92,L289=phu!$I$93),"Cam Bình",""),IF(OR(L289=phu!$I$94,L289=phu!$I$95,L289=phu!$I$96,L289=phu!$I$97,L289=phu!$I$98,L289=phu!$I$99,L289=phu!$I$100),"Huyện khác",""),IF(OR(L289=phu!$I$101,L289=phu!$I$102),"Tỉnh khác",""))</f>
        <v/>
      </c>
      <c r="N289" s="835" t="str">
        <f t="shared" si="23"/>
        <v/>
      </c>
      <c r="O289" s="20"/>
      <c r="P289" s="20"/>
      <c r="Q289" s="20"/>
      <c r="R289" s="20"/>
      <c r="S289" s="20"/>
      <c r="T289" s="21"/>
      <c r="U289" s="21"/>
      <c r="V289" s="21"/>
      <c r="W289" s="7" t="str">
        <f t="shared" si="21"/>
        <v/>
      </c>
      <c r="X289" s="506" t="str">
        <f t="shared" si="22"/>
        <v/>
      </c>
    </row>
    <row r="290" spans="1:24" x14ac:dyDescent="0.25">
      <c r="A290" s="66" t="str">
        <f t="shared" si="24"/>
        <v/>
      </c>
      <c r="B290" s="23" t="str">
        <f t="shared" si="20"/>
        <v/>
      </c>
      <c r="C290" s="15"/>
      <c r="D290" s="16"/>
      <c r="E290" s="17"/>
      <c r="F290" s="18"/>
      <c r="G290" s="18"/>
      <c r="H290" s="19"/>
      <c r="I290" s="15"/>
      <c r="J290" s="20"/>
      <c r="K290" s="15"/>
      <c r="L290" s="15"/>
      <c r="M290" s="531" t="str">
        <f>CONCATENATE(IF(OR(L290=phu!$I$1,L290=phu!$I$2,L290=phu!$I$3),"Cam Thành Nam",""),IF(OR(L290=phu!$I$4,L290=phu!$I$5,L290=phu!$I$6,L290=phu!$I$7,L290=phu!$I$8,L290=phu!$I$9,L290=phu!$I$10,L290=phu!$I$11,L290=phu!$I$12,L290=phu!$I$13,L290=phu!$I$14),"Cam Nghĩa",""),IF(OR(L290=phu!$I$15,L290=phu!$I$16,L290=phu!$I$17,L290=phu!$I$18,L290=phu!$I$19,L290=phu!$I$20,L290=phu!$I$21),"Cam Phúc Bắc",""),IF(OR(L290=phu!$I$22,L290=phu!$I$23,L290=phu!$I$24,L290=phu!$I$25),"Cam Phúc Nam",""),IF(OR(L290=phu!$I$26,L290=phu!$I$27,L290=phu!$I$28,L290=phu!$I$29,L290=phu!$I$30,L290=phu!$I$31),"Cam Phú",""),IF(OR(L290=phu!$I$32,L290=phu!$I$33,L290=phu!$I$34,L290=phu!$I$35,L290=phu!$I$36,L290=phu!$I$37),"Cam Lộc",""),IF(OR(L290=phu!$I$38,L290=phu!$I$39,L290=phu!$I$40,L290=phu!$I$41,L290=phu!$I$42,L290=phu!$I$43,L290=phu!$I$44),"Cam Thuận",""),IF(OR(L290=phu!$I$45,L290=phu!$I$46,L290=phu!$I$47,L290=phu!$I$48,L290=phu!$I$49,L290=phu!$I$50,L290=phu!$I$51,L290=phu!$I$52,L290=phu!$I$53),"Cam Linh",""),IF(OR(L290=phu!$I$54,L290=phu!$I$55,L290=phu!$I$56,L290=phu!$I$57,L290=phu!$I$58,L290=phu!$I$59,L290=phu!$I$60,L290=phu!$I$61,L290=phu!$I$62),"Cam Lợi",""),IF(OR(L290=phu!$I$63,L290=phu!$I$64,L290=phu!$I$65,L290=phu!$I$66,L290=phu!$I$67,L290=phu!$I$68,L290=phu!$I$69,L290=phu!$I$70,L290=phu!$I$71),"Ba Ngòi",""),IF(OR(L290=phu!$I$72,L290=phu!$I$73,L290=phu!$I$74,L290=phu!$I$75,L290=phu!$I$76,L290=phu!$I$77,L290=phu!$I$78),"Cam Phước Đông",""),IF(OR(L290=phu!$I$79,L290=phu!$I$80,L290=phu!$I$81,L290=phu!$I$82,L290=phu!$I$83,L290=phu!$I$84),"Cam Thịnh Đông",""),IF(OR(L290=phu!$I$85,L290=phu!$I$86,L290=phu!$I$87,L290=phu!$I$88),"Cam Thịnh Tây",""),IF(OR(L290=phu!$I$89,L290=phu!$I$90),"Cam Lập",""),IF(OR(L290=phu!$I$91,L290=phu!$I$92,L290=phu!$I$93),"Cam Bình",""),IF(OR(L290=phu!$I$94,L290=phu!$I$95,L290=phu!$I$96,L290=phu!$I$97,L290=phu!$I$98,L290=phu!$I$99,L290=phu!$I$100),"Huyện khác",""),IF(OR(L290=phu!$I$101,L290=phu!$I$102),"Tỉnh khác",""))</f>
        <v/>
      </c>
      <c r="N290" s="835" t="str">
        <f t="shared" si="23"/>
        <v/>
      </c>
      <c r="O290" s="20"/>
      <c r="P290" s="20"/>
      <c r="Q290" s="20"/>
      <c r="R290" s="20"/>
      <c r="S290" s="20"/>
      <c r="T290" s="21"/>
      <c r="U290" s="21"/>
      <c r="V290" s="21"/>
      <c r="W290" s="7" t="str">
        <f t="shared" si="21"/>
        <v/>
      </c>
      <c r="X290" s="506" t="str">
        <f t="shared" si="22"/>
        <v/>
      </c>
    </row>
    <row r="291" spans="1:24" x14ac:dyDescent="0.25">
      <c r="A291" s="66" t="str">
        <f t="shared" si="24"/>
        <v/>
      </c>
      <c r="B291" s="23" t="str">
        <f t="shared" si="20"/>
        <v/>
      </c>
      <c r="C291" s="15"/>
      <c r="D291" s="16"/>
      <c r="E291" s="17"/>
      <c r="F291" s="18"/>
      <c r="G291" s="18"/>
      <c r="H291" s="19"/>
      <c r="I291" s="15"/>
      <c r="J291" s="20"/>
      <c r="K291" s="15"/>
      <c r="L291" s="15"/>
      <c r="M291" s="531" t="str">
        <f>CONCATENATE(IF(OR(L291=phu!$I$1,L291=phu!$I$2,L291=phu!$I$3),"Cam Thành Nam",""),IF(OR(L291=phu!$I$4,L291=phu!$I$5,L291=phu!$I$6,L291=phu!$I$7,L291=phu!$I$8,L291=phu!$I$9,L291=phu!$I$10,L291=phu!$I$11,L291=phu!$I$12,L291=phu!$I$13,L291=phu!$I$14),"Cam Nghĩa",""),IF(OR(L291=phu!$I$15,L291=phu!$I$16,L291=phu!$I$17,L291=phu!$I$18,L291=phu!$I$19,L291=phu!$I$20,L291=phu!$I$21),"Cam Phúc Bắc",""),IF(OR(L291=phu!$I$22,L291=phu!$I$23,L291=phu!$I$24,L291=phu!$I$25),"Cam Phúc Nam",""),IF(OR(L291=phu!$I$26,L291=phu!$I$27,L291=phu!$I$28,L291=phu!$I$29,L291=phu!$I$30,L291=phu!$I$31),"Cam Phú",""),IF(OR(L291=phu!$I$32,L291=phu!$I$33,L291=phu!$I$34,L291=phu!$I$35,L291=phu!$I$36,L291=phu!$I$37),"Cam Lộc",""),IF(OR(L291=phu!$I$38,L291=phu!$I$39,L291=phu!$I$40,L291=phu!$I$41,L291=phu!$I$42,L291=phu!$I$43,L291=phu!$I$44),"Cam Thuận",""),IF(OR(L291=phu!$I$45,L291=phu!$I$46,L291=phu!$I$47,L291=phu!$I$48,L291=phu!$I$49,L291=phu!$I$50,L291=phu!$I$51,L291=phu!$I$52,L291=phu!$I$53),"Cam Linh",""),IF(OR(L291=phu!$I$54,L291=phu!$I$55,L291=phu!$I$56,L291=phu!$I$57,L291=phu!$I$58,L291=phu!$I$59,L291=phu!$I$60,L291=phu!$I$61,L291=phu!$I$62),"Cam Lợi",""),IF(OR(L291=phu!$I$63,L291=phu!$I$64,L291=phu!$I$65,L291=phu!$I$66,L291=phu!$I$67,L291=phu!$I$68,L291=phu!$I$69,L291=phu!$I$70,L291=phu!$I$71),"Ba Ngòi",""),IF(OR(L291=phu!$I$72,L291=phu!$I$73,L291=phu!$I$74,L291=phu!$I$75,L291=phu!$I$76,L291=phu!$I$77,L291=phu!$I$78),"Cam Phước Đông",""),IF(OR(L291=phu!$I$79,L291=phu!$I$80,L291=phu!$I$81,L291=phu!$I$82,L291=phu!$I$83,L291=phu!$I$84),"Cam Thịnh Đông",""),IF(OR(L291=phu!$I$85,L291=phu!$I$86,L291=phu!$I$87,L291=phu!$I$88),"Cam Thịnh Tây",""),IF(OR(L291=phu!$I$89,L291=phu!$I$90),"Cam Lập",""),IF(OR(L291=phu!$I$91,L291=phu!$I$92,L291=phu!$I$93),"Cam Bình",""),IF(OR(L291=phu!$I$94,L291=phu!$I$95,L291=phu!$I$96,L291=phu!$I$97,L291=phu!$I$98,L291=phu!$I$99,L291=phu!$I$100),"Huyện khác",""),IF(OR(L291=phu!$I$101,L291=phu!$I$102),"Tỉnh khác",""))</f>
        <v/>
      </c>
      <c r="N291" s="835" t="str">
        <f t="shared" si="23"/>
        <v/>
      </c>
      <c r="O291" s="20"/>
      <c r="P291" s="20"/>
      <c r="Q291" s="20"/>
      <c r="R291" s="20"/>
      <c r="S291" s="20"/>
      <c r="T291" s="21"/>
      <c r="U291" s="21"/>
      <c r="V291" s="21"/>
      <c r="W291" s="7" t="str">
        <f t="shared" si="21"/>
        <v/>
      </c>
      <c r="X291" s="506" t="str">
        <f t="shared" si="22"/>
        <v/>
      </c>
    </row>
    <row r="292" spans="1:24" x14ac:dyDescent="0.25">
      <c r="A292" s="66" t="str">
        <f t="shared" si="24"/>
        <v/>
      </c>
      <c r="B292" s="23" t="str">
        <f t="shared" si="20"/>
        <v/>
      </c>
      <c r="C292" s="15"/>
      <c r="D292" s="16"/>
      <c r="E292" s="17"/>
      <c r="F292" s="18"/>
      <c r="G292" s="18"/>
      <c r="H292" s="19"/>
      <c r="I292" s="15"/>
      <c r="J292" s="20"/>
      <c r="K292" s="15"/>
      <c r="L292" s="15"/>
      <c r="M292" s="531" t="str">
        <f>CONCATENATE(IF(OR(L292=phu!$I$1,L292=phu!$I$2,L292=phu!$I$3),"Cam Thành Nam",""),IF(OR(L292=phu!$I$4,L292=phu!$I$5,L292=phu!$I$6,L292=phu!$I$7,L292=phu!$I$8,L292=phu!$I$9,L292=phu!$I$10,L292=phu!$I$11,L292=phu!$I$12,L292=phu!$I$13,L292=phu!$I$14),"Cam Nghĩa",""),IF(OR(L292=phu!$I$15,L292=phu!$I$16,L292=phu!$I$17,L292=phu!$I$18,L292=phu!$I$19,L292=phu!$I$20,L292=phu!$I$21),"Cam Phúc Bắc",""),IF(OR(L292=phu!$I$22,L292=phu!$I$23,L292=phu!$I$24,L292=phu!$I$25),"Cam Phúc Nam",""),IF(OR(L292=phu!$I$26,L292=phu!$I$27,L292=phu!$I$28,L292=phu!$I$29,L292=phu!$I$30,L292=phu!$I$31),"Cam Phú",""),IF(OR(L292=phu!$I$32,L292=phu!$I$33,L292=phu!$I$34,L292=phu!$I$35,L292=phu!$I$36,L292=phu!$I$37),"Cam Lộc",""),IF(OR(L292=phu!$I$38,L292=phu!$I$39,L292=phu!$I$40,L292=phu!$I$41,L292=phu!$I$42,L292=phu!$I$43,L292=phu!$I$44),"Cam Thuận",""),IF(OR(L292=phu!$I$45,L292=phu!$I$46,L292=phu!$I$47,L292=phu!$I$48,L292=phu!$I$49,L292=phu!$I$50,L292=phu!$I$51,L292=phu!$I$52,L292=phu!$I$53),"Cam Linh",""),IF(OR(L292=phu!$I$54,L292=phu!$I$55,L292=phu!$I$56,L292=phu!$I$57,L292=phu!$I$58,L292=phu!$I$59,L292=phu!$I$60,L292=phu!$I$61,L292=phu!$I$62),"Cam Lợi",""),IF(OR(L292=phu!$I$63,L292=phu!$I$64,L292=phu!$I$65,L292=phu!$I$66,L292=phu!$I$67,L292=phu!$I$68,L292=phu!$I$69,L292=phu!$I$70,L292=phu!$I$71),"Ba Ngòi",""),IF(OR(L292=phu!$I$72,L292=phu!$I$73,L292=phu!$I$74,L292=phu!$I$75,L292=phu!$I$76,L292=phu!$I$77,L292=phu!$I$78),"Cam Phước Đông",""),IF(OR(L292=phu!$I$79,L292=phu!$I$80,L292=phu!$I$81,L292=phu!$I$82,L292=phu!$I$83,L292=phu!$I$84),"Cam Thịnh Đông",""),IF(OR(L292=phu!$I$85,L292=phu!$I$86,L292=phu!$I$87,L292=phu!$I$88),"Cam Thịnh Tây",""),IF(OR(L292=phu!$I$89,L292=phu!$I$90),"Cam Lập",""),IF(OR(L292=phu!$I$91,L292=phu!$I$92,L292=phu!$I$93),"Cam Bình",""),IF(OR(L292=phu!$I$94,L292=phu!$I$95,L292=phu!$I$96,L292=phu!$I$97,L292=phu!$I$98,L292=phu!$I$99,L292=phu!$I$100),"Huyện khác",""),IF(OR(L292=phu!$I$101,L292=phu!$I$102),"Tỉnh khác",""))</f>
        <v/>
      </c>
      <c r="N292" s="835" t="str">
        <f t="shared" si="23"/>
        <v/>
      </c>
      <c r="O292" s="20"/>
      <c r="P292" s="20"/>
      <c r="Q292" s="20"/>
      <c r="R292" s="20"/>
      <c r="S292" s="20"/>
      <c r="T292" s="21"/>
      <c r="U292" s="21"/>
      <c r="V292" s="21"/>
      <c r="W292" s="7" t="str">
        <f t="shared" si="21"/>
        <v/>
      </c>
      <c r="X292" s="506" t="str">
        <f t="shared" si="22"/>
        <v/>
      </c>
    </row>
    <row r="293" spans="1:24" x14ac:dyDescent="0.25">
      <c r="A293" s="66" t="str">
        <f t="shared" si="24"/>
        <v/>
      </c>
      <c r="B293" s="23" t="str">
        <f t="shared" si="20"/>
        <v/>
      </c>
      <c r="C293" s="15"/>
      <c r="D293" s="16"/>
      <c r="E293" s="17"/>
      <c r="F293" s="18"/>
      <c r="G293" s="18"/>
      <c r="H293" s="19"/>
      <c r="I293" s="15"/>
      <c r="J293" s="20"/>
      <c r="K293" s="15"/>
      <c r="L293" s="15"/>
      <c r="M293" s="531" t="str">
        <f>CONCATENATE(IF(OR(L293=phu!$I$1,L293=phu!$I$2,L293=phu!$I$3),"Cam Thành Nam",""),IF(OR(L293=phu!$I$4,L293=phu!$I$5,L293=phu!$I$6,L293=phu!$I$7,L293=phu!$I$8,L293=phu!$I$9,L293=phu!$I$10,L293=phu!$I$11,L293=phu!$I$12,L293=phu!$I$13,L293=phu!$I$14),"Cam Nghĩa",""),IF(OR(L293=phu!$I$15,L293=phu!$I$16,L293=phu!$I$17,L293=phu!$I$18,L293=phu!$I$19,L293=phu!$I$20,L293=phu!$I$21),"Cam Phúc Bắc",""),IF(OR(L293=phu!$I$22,L293=phu!$I$23,L293=phu!$I$24,L293=phu!$I$25),"Cam Phúc Nam",""),IF(OR(L293=phu!$I$26,L293=phu!$I$27,L293=phu!$I$28,L293=phu!$I$29,L293=phu!$I$30,L293=phu!$I$31),"Cam Phú",""),IF(OR(L293=phu!$I$32,L293=phu!$I$33,L293=phu!$I$34,L293=phu!$I$35,L293=phu!$I$36,L293=phu!$I$37),"Cam Lộc",""),IF(OR(L293=phu!$I$38,L293=phu!$I$39,L293=phu!$I$40,L293=phu!$I$41,L293=phu!$I$42,L293=phu!$I$43,L293=phu!$I$44),"Cam Thuận",""),IF(OR(L293=phu!$I$45,L293=phu!$I$46,L293=phu!$I$47,L293=phu!$I$48,L293=phu!$I$49,L293=phu!$I$50,L293=phu!$I$51,L293=phu!$I$52,L293=phu!$I$53),"Cam Linh",""),IF(OR(L293=phu!$I$54,L293=phu!$I$55,L293=phu!$I$56,L293=phu!$I$57,L293=phu!$I$58,L293=phu!$I$59,L293=phu!$I$60,L293=phu!$I$61,L293=phu!$I$62),"Cam Lợi",""),IF(OR(L293=phu!$I$63,L293=phu!$I$64,L293=phu!$I$65,L293=phu!$I$66,L293=phu!$I$67,L293=phu!$I$68,L293=phu!$I$69,L293=phu!$I$70,L293=phu!$I$71),"Ba Ngòi",""),IF(OR(L293=phu!$I$72,L293=phu!$I$73,L293=phu!$I$74,L293=phu!$I$75,L293=phu!$I$76,L293=phu!$I$77,L293=phu!$I$78),"Cam Phước Đông",""),IF(OR(L293=phu!$I$79,L293=phu!$I$80,L293=phu!$I$81,L293=phu!$I$82,L293=phu!$I$83,L293=phu!$I$84),"Cam Thịnh Đông",""),IF(OR(L293=phu!$I$85,L293=phu!$I$86,L293=phu!$I$87,L293=phu!$I$88),"Cam Thịnh Tây",""),IF(OR(L293=phu!$I$89,L293=phu!$I$90),"Cam Lập",""),IF(OR(L293=phu!$I$91,L293=phu!$I$92,L293=phu!$I$93),"Cam Bình",""),IF(OR(L293=phu!$I$94,L293=phu!$I$95,L293=phu!$I$96,L293=phu!$I$97,L293=phu!$I$98,L293=phu!$I$99,L293=phu!$I$100),"Huyện khác",""),IF(OR(L293=phu!$I$101,L293=phu!$I$102),"Tỉnh khác",""))</f>
        <v/>
      </c>
      <c r="N293" s="835" t="str">
        <f t="shared" si="23"/>
        <v/>
      </c>
      <c r="O293" s="20"/>
      <c r="P293" s="20"/>
      <c r="Q293" s="20"/>
      <c r="R293" s="20"/>
      <c r="S293" s="20"/>
      <c r="T293" s="21"/>
      <c r="U293" s="21"/>
      <c r="V293" s="21"/>
      <c r="W293" s="7" t="str">
        <f t="shared" si="21"/>
        <v/>
      </c>
      <c r="X293" s="506" t="str">
        <f t="shared" si="22"/>
        <v/>
      </c>
    </row>
    <row r="294" spans="1:24" x14ac:dyDescent="0.25">
      <c r="A294" s="66" t="str">
        <f t="shared" si="24"/>
        <v/>
      </c>
      <c r="B294" s="23" t="str">
        <f t="shared" si="20"/>
        <v/>
      </c>
      <c r="C294" s="15"/>
      <c r="D294" s="16"/>
      <c r="E294" s="17"/>
      <c r="F294" s="18"/>
      <c r="G294" s="18"/>
      <c r="H294" s="19"/>
      <c r="I294" s="15"/>
      <c r="J294" s="20"/>
      <c r="K294" s="15"/>
      <c r="L294" s="15"/>
      <c r="M294" s="531" t="str">
        <f>CONCATENATE(IF(OR(L294=phu!$I$1,L294=phu!$I$2,L294=phu!$I$3),"Cam Thành Nam",""),IF(OR(L294=phu!$I$4,L294=phu!$I$5,L294=phu!$I$6,L294=phu!$I$7,L294=phu!$I$8,L294=phu!$I$9,L294=phu!$I$10,L294=phu!$I$11,L294=phu!$I$12,L294=phu!$I$13,L294=phu!$I$14),"Cam Nghĩa",""),IF(OR(L294=phu!$I$15,L294=phu!$I$16,L294=phu!$I$17,L294=phu!$I$18,L294=phu!$I$19,L294=phu!$I$20,L294=phu!$I$21),"Cam Phúc Bắc",""),IF(OR(L294=phu!$I$22,L294=phu!$I$23,L294=phu!$I$24,L294=phu!$I$25),"Cam Phúc Nam",""),IF(OR(L294=phu!$I$26,L294=phu!$I$27,L294=phu!$I$28,L294=phu!$I$29,L294=phu!$I$30,L294=phu!$I$31),"Cam Phú",""),IF(OR(L294=phu!$I$32,L294=phu!$I$33,L294=phu!$I$34,L294=phu!$I$35,L294=phu!$I$36,L294=phu!$I$37),"Cam Lộc",""),IF(OR(L294=phu!$I$38,L294=phu!$I$39,L294=phu!$I$40,L294=phu!$I$41,L294=phu!$I$42,L294=phu!$I$43,L294=phu!$I$44),"Cam Thuận",""),IF(OR(L294=phu!$I$45,L294=phu!$I$46,L294=phu!$I$47,L294=phu!$I$48,L294=phu!$I$49,L294=phu!$I$50,L294=phu!$I$51,L294=phu!$I$52,L294=phu!$I$53),"Cam Linh",""),IF(OR(L294=phu!$I$54,L294=phu!$I$55,L294=phu!$I$56,L294=phu!$I$57,L294=phu!$I$58,L294=phu!$I$59,L294=phu!$I$60,L294=phu!$I$61,L294=phu!$I$62),"Cam Lợi",""),IF(OR(L294=phu!$I$63,L294=phu!$I$64,L294=phu!$I$65,L294=phu!$I$66,L294=phu!$I$67,L294=phu!$I$68,L294=phu!$I$69,L294=phu!$I$70,L294=phu!$I$71),"Ba Ngòi",""),IF(OR(L294=phu!$I$72,L294=phu!$I$73,L294=phu!$I$74,L294=phu!$I$75,L294=phu!$I$76,L294=phu!$I$77,L294=phu!$I$78),"Cam Phước Đông",""),IF(OR(L294=phu!$I$79,L294=phu!$I$80,L294=phu!$I$81,L294=phu!$I$82,L294=phu!$I$83,L294=phu!$I$84),"Cam Thịnh Đông",""),IF(OR(L294=phu!$I$85,L294=phu!$I$86,L294=phu!$I$87,L294=phu!$I$88),"Cam Thịnh Tây",""),IF(OR(L294=phu!$I$89,L294=phu!$I$90),"Cam Lập",""),IF(OR(L294=phu!$I$91,L294=phu!$I$92,L294=phu!$I$93),"Cam Bình",""),IF(OR(L294=phu!$I$94,L294=phu!$I$95,L294=phu!$I$96,L294=phu!$I$97,L294=phu!$I$98,L294=phu!$I$99,L294=phu!$I$100),"Huyện khác",""),IF(OR(L294=phu!$I$101,L294=phu!$I$102),"Tỉnh khác",""))</f>
        <v/>
      </c>
      <c r="N294" s="835" t="str">
        <f t="shared" si="23"/>
        <v/>
      </c>
      <c r="O294" s="20"/>
      <c r="P294" s="20"/>
      <c r="Q294" s="20"/>
      <c r="R294" s="20"/>
      <c r="S294" s="20"/>
      <c r="T294" s="21"/>
      <c r="U294" s="21"/>
      <c r="V294" s="21"/>
      <c r="W294" s="7" t="str">
        <f t="shared" si="21"/>
        <v/>
      </c>
      <c r="X294" s="506" t="str">
        <f t="shared" si="22"/>
        <v/>
      </c>
    </row>
    <row r="295" spans="1:24" x14ac:dyDescent="0.25">
      <c r="A295" s="66" t="str">
        <f t="shared" si="24"/>
        <v/>
      </c>
      <c r="B295" s="23" t="str">
        <f t="shared" si="20"/>
        <v/>
      </c>
      <c r="C295" s="15"/>
      <c r="D295" s="16"/>
      <c r="E295" s="17"/>
      <c r="F295" s="18"/>
      <c r="G295" s="18"/>
      <c r="H295" s="19"/>
      <c r="I295" s="15"/>
      <c r="J295" s="20"/>
      <c r="K295" s="15"/>
      <c r="L295" s="15"/>
      <c r="M295" s="531" t="str">
        <f>CONCATENATE(IF(OR(L295=phu!$I$1,L295=phu!$I$2,L295=phu!$I$3),"Cam Thành Nam",""),IF(OR(L295=phu!$I$4,L295=phu!$I$5,L295=phu!$I$6,L295=phu!$I$7,L295=phu!$I$8,L295=phu!$I$9,L295=phu!$I$10,L295=phu!$I$11,L295=phu!$I$12,L295=phu!$I$13,L295=phu!$I$14),"Cam Nghĩa",""),IF(OR(L295=phu!$I$15,L295=phu!$I$16,L295=phu!$I$17,L295=phu!$I$18,L295=phu!$I$19,L295=phu!$I$20,L295=phu!$I$21),"Cam Phúc Bắc",""),IF(OR(L295=phu!$I$22,L295=phu!$I$23,L295=phu!$I$24,L295=phu!$I$25),"Cam Phúc Nam",""),IF(OR(L295=phu!$I$26,L295=phu!$I$27,L295=phu!$I$28,L295=phu!$I$29,L295=phu!$I$30,L295=phu!$I$31),"Cam Phú",""),IF(OR(L295=phu!$I$32,L295=phu!$I$33,L295=phu!$I$34,L295=phu!$I$35,L295=phu!$I$36,L295=phu!$I$37),"Cam Lộc",""),IF(OR(L295=phu!$I$38,L295=phu!$I$39,L295=phu!$I$40,L295=phu!$I$41,L295=phu!$I$42,L295=phu!$I$43,L295=phu!$I$44),"Cam Thuận",""),IF(OR(L295=phu!$I$45,L295=phu!$I$46,L295=phu!$I$47,L295=phu!$I$48,L295=phu!$I$49,L295=phu!$I$50,L295=phu!$I$51,L295=phu!$I$52,L295=phu!$I$53),"Cam Linh",""),IF(OR(L295=phu!$I$54,L295=phu!$I$55,L295=phu!$I$56,L295=phu!$I$57,L295=phu!$I$58,L295=phu!$I$59,L295=phu!$I$60,L295=phu!$I$61,L295=phu!$I$62),"Cam Lợi",""),IF(OR(L295=phu!$I$63,L295=phu!$I$64,L295=phu!$I$65,L295=phu!$I$66,L295=phu!$I$67,L295=phu!$I$68,L295=phu!$I$69,L295=phu!$I$70,L295=phu!$I$71),"Ba Ngòi",""),IF(OR(L295=phu!$I$72,L295=phu!$I$73,L295=phu!$I$74,L295=phu!$I$75,L295=phu!$I$76,L295=phu!$I$77,L295=phu!$I$78),"Cam Phước Đông",""),IF(OR(L295=phu!$I$79,L295=phu!$I$80,L295=phu!$I$81,L295=phu!$I$82,L295=phu!$I$83,L295=phu!$I$84),"Cam Thịnh Đông",""),IF(OR(L295=phu!$I$85,L295=phu!$I$86,L295=phu!$I$87,L295=phu!$I$88),"Cam Thịnh Tây",""),IF(OR(L295=phu!$I$89,L295=phu!$I$90),"Cam Lập",""),IF(OR(L295=phu!$I$91,L295=phu!$I$92,L295=phu!$I$93),"Cam Bình",""),IF(OR(L295=phu!$I$94,L295=phu!$I$95,L295=phu!$I$96,L295=phu!$I$97,L295=phu!$I$98,L295=phu!$I$99,L295=phu!$I$100),"Huyện khác",""),IF(OR(L295=phu!$I$101,L295=phu!$I$102),"Tỉnh khác",""))</f>
        <v/>
      </c>
      <c r="N295" s="835" t="str">
        <f t="shared" si="23"/>
        <v/>
      </c>
      <c r="O295" s="20"/>
      <c r="P295" s="20"/>
      <c r="Q295" s="20"/>
      <c r="R295" s="20"/>
      <c r="S295" s="20"/>
      <c r="T295" s="21"/>
      <c r="U295" s="21"/>
      <c r="V295" s="21"/>
      <c r="W295" s="7" t="str">
        <f t="shared" si="21"/>
        <v/>
      </c>
      <c r="X295" s="506" t="str">
        <f t="shared" si="22"/>
        <v/>
      </c>
    </row>
    <row r="296" spans="1:24" x14ac:dyDescent="0.25">
      <c r="A296" s="66" t="str">
        <f t="shared" si="24"/>
        <v/>
      </c>
      <c r="B296" s="23" t="str">
        <f t="shared" si="20"/>
        <v/>
      </c>
      <c r="C296" s="15"/>
      <c r="D296" s="16"/>
      <c r="E296" s="17"/>
      <c r="F296" s="18"/>
      <c r="G296" s="18"/>
      <c r="H296" s="19"/>
      <c r="I296" s="15"/>
      <c r="J296" s="20"/>
      <c r="K296" s="15"/>
      <c r="L296" s="15"/>
      <c r="M296" s="531" t="str">
        <f>CONCATENATE(IF(OR(L296=phu!$I$1,L296=phu!$I$2,L296=phu!$I$3),"Cam Thành Nam",""),IF(OR(L296=phu!$I$4,L296=phu!$I$5,L296=phu!$I$6,L296=phu!$I$7,L296=phu!$I$8,L296=phu!$I$9,L296=phu!$I$10,L296=phu!$I$11,L296=phu!$I$12,L296=phu!$I$13,L296=phu!$I$14),"Cam Nghĩa",""),IF(OR(L296=phu!$I$15,L296=phu!$I$16,L296=phu!$I$17,L296=phu!$I$18,L296=phu!$I$19,L296=phu!$I$20,L296=phu!$I$21),"Cam Phúc Bắc",""),IF(OR(L296=phu!$I$22,L296=phu!$I$23,L296=phu!$I$24,L296=phu!$I$25),"Cam Phúc Nam",""),IF(OR(L296=phu!$I$26,L296=phu!$I$27,L296=phu!$I$28,L296=phu!$I$29,L296=phu!$I$30,L296=phu!$I$31),"Cam Phú",""),IF(OR(L296=phu!$I$32,L296=phu!$I$33,L296=phu!$I$34,L296=phu!$I$35,L296=phu!$I$36,L296=phu!$I$37),"Cam Lộc",""),IF(OR(L296=phu!$I$38,L296=phu!$I$39,L296=phu!$I$40,L296=phu!$I$41,L296=phu!$I$42,L296=phu!$I$43,L296=phu!$I$44),"Cam Thuận",""),IF(OR(L296=phu!$I$45,L296=phu!$I$46,L296=phu!$I$47,L296=phu!$I$48,L296=phu!$I$49,L296=phu!$I$50,L296=phu!$I$51,L296=phu!$I$52,L296=phu!$I$53),"Cam Linh",""),IF(OR(L296=phu!$I$54,L296=phu!$I$55,L296=phu!$I$56,L296=phu!$I$57,L296=phu!$I$58,L296=phu!$I$59,L296=phu!$I$60,L296=phu!$I$61,L296=phu!$I$62),"Cam Lợi",""),IF(OR(L296=phu!$I$63,L296=phu!$I$64,L296=phu!$I$65,L296=phu!$I$66,L296=phu!$I$67,L296=phu!$I$68,L296=phu!$I$69,L296=phu!$I$70,L296=phu!$I$71),"Ba Ngòi",""),IF(OR(L296=phu!$I$72,L296=phu!$I$73,L296=phu!$I$74,L296=phu!$I$75,L296=phu!$I$76,L296=phu!$I$77,L296=phu!$I$78),"Cam Phước Đông",""),IF(OR(L296=phu!$I$79,L296=phu!$I$80,L296=phu!$I$81,L296=phu!$I$82,L296=phu!$I$83,L296=phu!$I$84),"Cam Thịnh Đông",""),IF(OR(L296=phu!$I$85,L296=phu!$I$86,L296=phu!$I$87,L296=phu!$I$88),"Cam Thịnh Tây",""),IF(OR(L296=phu!$I$89,L296=phu!$I$90),"Cam Lập",""),IF(OR(L296=phu!$I$91,L296=phu!$I$92,L296=phu!$I$93),"Cam Bình",""),IF(OR(L296=phu!$I$94,L296=phu!$I$95,L296=phu!$I$96,L296=phu!$I$97,L296=phu!$I$98,L296=phu!$I$99,L296=phu!$I$100),"Huyện khác",""),IF(OR(L296=phu!$I$101,L296=phu!$I$102),"Tỉnh khác",""))</f>
        <v/>
      </c>
      <c r="N296" s="835" t="str">
        <f t="shared" si="23"/>
        <v/>
      </c>
      <c r="O296" s="20"/>
      <c r="P296" s="20"/>
      <c r="Q296" s="20"/>
      <c r="R296" s="20"/>
      <c r="S296" s="20"/>
      <c r="T296" s="21"/>
      <c r="U296" s="21"/>
      <c r="V296" s="21"/>
      <c r="W296" s="7" t="str">
        <f t="shared" si="21"/>
        <v/>
      </c>
      <c r="X296" s="506" t="str">
        <f t="shared" si="22"/>
        <v/>
      </c>
    </row>
    <row r="297" spans="1:24" x14ac:dyDescent="0.25">
      <c r="A297" s="66" t="str">
        <f t="shared" si="24"/>
        <v/>
      </c>
      <c r="B297" s="23" t="str">
        <f t="shared" si="20"/>
        <v/>
      </c>
      <c r="C297" s="15"/>
      <c r="D297" s="16"/>
      <c r="E297" s="17"/>
      <c r="F297" s="18"/>
      <c r="G297" s="18"/>
      <c r="H297" s="19"/>
      <c r="I297" s="15"/>
      <c r="J297" s="20"/>
      <c r="K297" s="15"/>
      <c r="L297" s="15"/>
      <c r="M297" s="531" t="str">
        <f>CONCATENATE(IF(OR(L297=phu!$I$1,L297=phu!$I$2,L297=phu!$I$3),"Cam Thành Nam",""),IF(OR(L297=phu!$I$4,L297=phu!$I$5,L297=phu!$I$6,L297=phu!$I$7,L297=phu!$I$8,L297=phu!$I$9,L297=phu!$I$10,L297=phu!$I$11,L297=phu!$I$12,L297=phu!$I$13,L297=phu!$I$14),"Cam Nghĩa",""),IF(OR(L297=phu!$I$15,L297=phu!$I$16,L297=phu!$I$17,L297=phu!$I$18,L297=phu!$I$19,L297=phu!$I$20,L297=phu!$I$21),"Cam Phúc Bắc",""),IF(OR(L297=phu!$I$22,L297=phu!$I$23,L297=phu!$I$24,L297=phu!$I$25),"Cam Phúc Nam",""),IF(OR(L297=phu!$I$26,L297=phu!$I$27,L297=phu!$I$28,L297=phu!$I$29,L297=phu!$I$30,L297=phu!$I$31),"Cam Phú",""),IF(OR(L297=phu!$I$32,L297=phu!$I$33,L297=phu!$I$34,L297=phu!$I$35,L297=phu!$I$36,L297=phu!$I$37),"Cam Lộc",""),IF(OR(L297=phu!$I$38,L297=phu!$I$39,L297=phu!$I$40,L297=phu!$I$41,L297=phu!$I$42,L297=phu!$I$43,L297=phu!$I$44),"Cam Thuận",""),IF(OR(L297=phu!$I$45,L297=phu!$I$46,L297=phu!$I$47,L297=phu!$I$48,L297=phu!$I$49,L297=phu!$I$50,L297=phu!$I$51,L297=phu!$I$52,L297=phu!$I$53),"Cam Linh",""),IF(OR(L297=phu!$I$54,L297=phu!$I$55,L297=phu!$I$56,L297=phu!$I$57,L297=phu!$I$58,L297=phu!$I$59,L297=phu!$I$60,L297=phu!$I$61,L297=phu!$I$62),"Cam Lợi",""),IF(OR(L297=phu!$I$63,L297=phu!$I$64,L297=phu!$I$65,L297=phu!$I$66,L297=phu!$I$67,L297=phu!$I$68,L297=phu!$I$69,L297=phu!$I$70,L297=phu!$I$71),"Ba Ngòi",""),IF(OR(L297=phu!$I$72,L297=phu!$I$73,L297=phu!$I$74,L297=phu!$I$75,L297=phu!$I$76,L297=phu!$I$77,L297=phu!$I$78),"Cam Phước Đông",""),IF(OR(L297=phu!$I$79,L297=phu!$I$80,L297=phu!$I$81,L297=phu!$I$82,L297=phu!$I$83,L297=phu!$I$84),"Cam Thịnh Đông",""),IF(OR(L297=phu!$I$85,L297=phu!$I$86,L297=phu!$I$87,L297=phu!$I$88),"Cam Thịnh Tây",""),IF(OR(L297=phu!$I$89,L297=phu!$I$90),"Cam Lập",""),IF(OR(L297=phu!$I$91,L297=phu!$I$92,L297=phu!$I$93),"Cam Bình",""),IF(OR(L297=phu!$I$94,L297=phu!$I$95,L297=phu!$I$96,L297=phu!$I$97,L297=phu!$I$98,L297=phu!$I$99,L297=phu!$I$100),"Huyện khác",""),IF(OR(L297=phu!$I$101,L297=phu!$I$102),"Tỉnh khác",""))</f>
        <v/>
      </c>
      <c r="N297" s="835" t="str">
        <f t="shared" si="23"/>
        <v/>
      </c>
      <c r="O297" s="20"/>
      <c r="P297" s="20"/>
      <c r="Q297" s="20"/>
      <c r="R297" s="20"/>
      <c r="S297" s="20"/>
      <c r="T297" s="21"/>
      <c r="U297" s="21"/>
      <c r="V297" s="21"/>
      <c r="W297" s="7" t="str">
        <f t="shared" si="21"/>
        <v/>
      </c>
      <c r="X297" s="506" t="str">
        <f t="shared" si="22"/>
        <v/>
      </c>
    </row>
    <row r="298" spans="1:24" x14ac:dyDescent="0.25">
      <c r="A298" s="66" t="str">
        <f t="shared" si="24"/>
        <v/>
      </c>
      <c r="B298" s="23" t="str">
        <f t="shared" si="20"/>
        <v/>
      </c>
      <c r="C298" s="15"/>
      <c r="D298" s="16"/>
      <c r="E298" s="17"/>
      <c r="F298" s="18"/>
      <c r="G298" s="18"/>
      <c r="H298" s="19"/>
      <c r="I298" s="15"/>
      <c r="J298" s="20"/>
      <c r="K298" s="15"/>
      <c r="L298" s="15"/>
      <c r="M298" s="531" t="str">
        <f>CONCATENATE(IF(OR(L298=phu!$I$1,L298=phu!$I$2,L298=phu!$I$3),"Cam Thành Nam",""),IF(OR(L298=phu!$I$4,L298=phu!$I$5,L298=phu!$I$6,L298=phu!$I$7,L298=phu!$I$8,L298=phu!$I$9,L298=phu!$I$10,L298=phu!$I$11,L298=phu!$I$12,L298=phu!$I$13,L298=phu!$I$14),"Cam Nghĩa",""),IF(OR(L298=phu!$I$15,L298=phu!$I$16,L298=phu!$I$17,L298=phu!$I$18,L298=phu!$I$19,L298=phu!$I$20,L298=phu!$I$21),"Cam Phúc Bắc",""),IF(OR(L298=phu!$I$22,L298=phu!$I$23,L298=phu!$I$24,L298=phu!$I$25),"Cam Phúc Nam",""),IF(OR(L298=phu!$I$26,L298=phu!$I$27,L298=phu!$I$28,L298=phu!$I$29,L298=phu!$I$30,L298=phu!$I$31),"Cam Phú",""),IF(OR(L298=phu!$I$32,L298=phu!$I$33,L298=phu!$I$34,L298=phu!$I$35,L298=phu!$I$36,L298=phu!$I$37),"Cam Lộc",""),IF(OR(L298=phu!$I$38,L298=phu!$I$39,L298=phu!$I$40,L298=phu!$I$41,L298=phu!$I$42,L298=phu!$I$43,L298=phu!$I$44),"Cam Thuận",""),IF(OR(L298=phu!$I$45,L298=phu!$I$46,L298=phu!$I$47,L298=phu!$I$48,L298=phu!$I$49,L298=phu!$I$50,L298=phu!$I$51,L298=phu!$I$52,L298=phu!$I$53),"Cam Linh",""),IF(OR(L298=phu!$I$54,L298=phu!$I$55,L298=phu!$I$56,L298=phu!$I$57,L298=phu!$I$58,L298=phu!$I$59,L298=phu!$I$60,L298=phu!$I$61,L298=phu!$I$62),"Cam Lợi",""),IF(OR(L298=phu!$I$63,L298=phu!$I$64,L298=phu!$I$65,L298=phu!$I$66,L298=phu!$I$67,L298=phu!$I$68,L298=phu!$I$69,L298=phu!$I$70,L298=phu!$I$71),"Ba Ngòi",""),IF(OR(L298=phu!$I$72,L298=phu!$I$73,L298=phu!$I$74,L298=phu!$I$75,L298=phu!$I$76,L298=phu!$I$77,L298=phu!$I$78),"Cam Phước Đông",""),IF(OR(L298=phu!$I$79,L298=phu!$I$80,L298=phu!$I$81,L298=phu!$I$82,L298=phu!$I$83,L298=phu!$I$84),"Cam Thịnh Đông",""),IF(OR(L298=phu!$I$85,L298=phu!$I$86,L298=phu!$I$87,L298=phu!$I$88),"Cam Thịnh Tây",""),IF(OR(L298=phu!$I$89,L298=phu!$I$90),"Cam Lập",""),IF(OR(L298=phu!$I$91,L298=phu!$I$92,L298=phu!$I$93),"Cam Bình",""),IF(OR(L298=phu!$I$94,L298=phu!$I$95,L298=phu!$I$96,L298=phu!$I$97,L298=phu!$I$98,L298=phu!$I$99,L298=phu!$I$100),"Huyện khác",""),IF(OR(L298=phu!$I$101,L298=phu!$I$102),"Tỉnh khác",""))</f>
        <v/>
      </c>
      <c r="N298" s="835" t="str">
        <f t="shared" si="23"/>
        <v/>
      </c>
      <c r="O298" s="20"/>
      <c r="P298" s="20"/>
      <c r="Q298" s="20"/>
      <c r="R298" s="20"/>
      <c r="S298" s="20"/>
      <c r="T298" s="21"/>
      <c r="U298" s="21"/>
      <c r="V298" s="21"/>
      <c r="W298" s="7" t="str">
        <f t="shared" si="21"/>
        <v/>
      </c>
      <c r="X298" s="506" t="str">
        <f t="shared" si="22"/>
        <v/>
      </c>
    </row>
    <row r="299" spans="1:24" x14ac:dyDescent="0.25">
      <c r="A299" s="66" t="str">
        <f t="shared" si="24"/>
        <v/>
      </c>
      <c r="B299" s="23" t="str">
        <f t="shared" si="20"/>
        <v/>
      </c>
      <c r="C299" s="15"/>
      <c r="D299" s="16"/>
      <c r="E299" s="17"/>
      <c r="F299" s="18"/>
      <c r="G299" s="18"/>
      <c r="H299" s="19"/>
      <c r="I299" s="15"/>
      <c r="J299" s="20"/>
      <c r="K299" s="15"/>
      <c r="L299" s="15"/>
      <c r="M299" s="531" t="str">
        <f>CONCATENATE(IF(OR(L299=phu!$I$1,L299=phu!$I$2,L299=phu!$I$3),"Cam Thành Nam",""),IF(OR(L299=phu!$I$4,L299=phu!$I$5,L299=phu!$I$6,L299=phu!$I$7,L299=phu!$I$8,L299=phu!$I$9,L299=phu!$I$10,L299=phu!$I$11,L299=phu!$I$12,L299=phu!$I$13,L299=phu!$I$14),"Cam Nghĩa",""),IF(OR(L299=phu!$I$15,L299=phu!$I$16,L299=phu!$I$17,L299=phu!$I$18,L299=phu!$I$19,L299=phu!$I$20,L299=phu!$I$21),"Cam Phúc Bắc",""),IF(OR(L299=phu!$I$22,L299=phu!$I$23,L299=phu!$I$24,L299=phu!$I$25),"Cam Phúc Nam",""),IF(OR(L299=phu!$I$26,L299=phu!$I$27,L299=phu!$I$28,L299=phu!$I$29,L299=phu!$I$30,L299=phu!$I$31),"Cam Phú",""),IF(OR(L299=phu!$I$32,L299=phu!$I$33,L299=phu!$I$34,L299=phu!$I$35,L299=phu!$I$36,L299=phu!$I$37),"Cam Lộc",""),IF(OR(L299=phu!$I$38,L299=phu!$I$39,L299=phu!$I$40,L299=phu!$I$41,L299=phu!$I$42,L299=phu!$I$43,L299=phu!$I$44),"Cam Thuận",""),IF(OR(L299=phu!$I$45,L299=phu!$I$46,L299=phu!$I$47,L299=phu!$I$48,L299=phu!$I$49,L299=phu!$I$50,L299=phu!$I$51,L299=phu!$I$52,L299=phu!$I$53),"Cam Linh",""),IF(OR(L299=phu!$I$54,L299=phu!$I$55,L299=phu!$I$56,L299=phu!$I$57,L299=phu!$I$58,L299=phu!$I$59,L299=phu!$I$60,L299=phu!$I$61,L299=phu!$I$62),"Cam Lợi",""),IF(OR(L299=phu!$I$63,L299=phu!$I$64,L299=phu!$I$65,L299=phu!$I$66,L299=phu!$I$67,L299=phu!$I$68,L299=phu!$I$69,L299=phu!$I$70,L299=phu!$I$71),"Ba Ngòi",""),IF(OR(L299=phu!$I$72,L299=phu!$I$73,L299=phu!$I$74,L299=phu!$I$75,L299=phu!$I$76,L299=phu!$I$77,L299=phu!$I$78),"Cam Phước Đông",""),IF(OR(L299=phu!$I$79,L299=phu!$I$80,L299=phu!$I$81,L299=phu!$I$82,L299=phu!$I$83,L299=phu!$I$84),"Cam Thịnh Đông",""),IF(OR(L299=phu!$I$85,L299=phu!$I$86,L299=phu!$I$87,L299=phu!$I$88),"Cam Thịnh Tây",""),IF(OR(L299=phu!$I$89,L299=phu!$I$90),"Cam Lập",""),IF(OR(L299=phu!$I$91,L299=phu!$I$92,L299=phu!$I$93),"Cam Bình",""),IF(OR(L299=phu!$I$94,L299=phu!$I$95,L299=phu!$I$96,L299=phu!$I$97,L299=phu!$I$98,L299=phu!$I$99,L299=phu!$I$100),"Huyện khác",""),IF(OR(L299=phu!$I$101,L299=phu!$I$102),"Tỉnh khác",""))</f>
        <v/>
      </c>
      <c r="N299" s="835" t="str">
        <f t="shared" si="23"/>
        <v/>
      </c>
      <c r="O299" s="20"/>
      <c r="P299" s="20"/>
      <c r="Q299" s="20"/>
      <c r="R299" s="20"/>
      <c r="S299" s="20"/>
      <c r="T299" s="21"/>
      <c r="U299" s="21"/>
      <c r="V299" s="21"/>
      <c r="W299" s="7" t="str">
        <f t="shared" si="21"/>
        <v/>
      </c>
      <c r="X299" s="506" t="str">
        <f t="shared" si="22"/>
        <v/>
      </c>
    </row>
    <row r="300" spans="1:24" x14ac:dyDescent="0.25">
      <c r="A300" s="66" t="str">
        <f t="shared" si="24"/>
        <v/>
      </c>
      <c r="B300" s="23" t="str">
        <f t="shared" si="20"/>
        <v/>
      </c>
      <c r="C300" s="15"/>
      <c r="D300" s="16"/>
      <c r="E300" s="17"/>
      <c r="F300" s="18"/>
      <c r="G300" s="18"/>
      <c r="H300" s="19"/>
      <c r="I300" s="15"/>
      <c r="J300" s="20"/>
      <c r="K300" s="15"/>
      <c r="L300" s="15"/>
      <c r="M300" s="531" t="str">
        <f>CONCATENATE(IF(OR(L300=phu!$I$1,L300=phu!$I$2,L300=phu!$I$3),"Cam Thành Nam",""),IF(OR(L300=phu!$I$4,L300=phu!$I$5,L300=phu!$I$6,L300=phu!$I$7,L300=phu!$I$8,L300=phu!$I$9,L300=phu!$I$10,L300=phu!$I$11,L300=phu!$I$12,L300=phu!$I$13,L300=phu!$I$14),"Cam Nghĩa",""),IF(OR(L300=phu!$I$15,L300=phu!$I$16,L300=phu!$I$17,L300=phu!$I$18,L300=phu!$I$19,L300=phu!$I$20,L300=phu!$I$21),"Cam Phúc Bắc",""),IF(OR(L300=phu!$I$22,L300=phu!$I$23,L300=phu!$I$24,L300=phu!$I$25),"Cam Phúc Nam",""),IF(OR(L300=phu!$I$26,L300=phu!$I$27,L300=phu!$I$28,L300=phu!$I$29,L300=phu!$I$30,L300=phu!$I$31),"Cam Phú",""),IF(OR(L300=phu!$I$32,L300=phu!$I$33,L300=phu!$I$34,L300=phu!$I$35,L300=phu!$I$36,L300=phu!$I$37),"Cam Lộc",""),IF(OR(L300=phu!$I$38,L300=phu!$I$39,L300=phu!$I$40,L300=phu!$I$41,L300=phu!$I$42,L300=phu!$I$43,L300=phu!$I$44),"Cam Thuận",""),IF(OR(L300=phu!$I$45,L300=phu!$I$46,L300=phu!$I$47,L300=phu!$I$48,L300=phu!$I$49,L300=phu!$I$50,L300=phu!$I$51,L300=phu!$I$52,L300=phu!$I$53),"Cam Linh",""),IF(OR(L300=phu!$I$54,L300=phu!$I$55,L300=phu!$I$56,L300=phu!$I$57,L300=phu!$I$58,L300=phu!$I$59,L300=phu!$I$60,L300=phu!$I$61,L300=phu!$I$62),"Cam Lợi",""),IF(OR(L300=phu!$I$63,L300=phu!$I$64,L300=phu!$I$65,L300=phu!$I$66,L300=phu!$I$67,L300=phu!$I$68,L300=phu!$I$69,L300=phu!$I$70,L300=phu!$I$71),"Ba Ngòi",""),IF(OR(L300=phu!$I$72,L300=phu!$I$73,L300=phu!$I$74,L300=phu!$I$75,L300=phu!$I$76,L300=phu!$I$77,L300=phu!$I$78),"Cam Phước Đông",""),IF(OR(L300=phu!$I$79,L300=phu!$I$80,L300=phu!$I$81,L300=phu!$I$82,L300=phu!$I$83,L300=phu!$I$84),"Cam Thịnh Đông",""),IF(OR(L300=phu!$I$85,L300=phu!$I$86,L300=phu!$I$87,L300=phu!$I$88),"Cam Thịnh Tây",""),IF(OR(L300=phu!$I$89,L300=phu!$I$90),"Cam Lập",""),IF(OR(L300=phu!$I$91,L300=phu!$I$92,L300=phu!$I$93),"Cam Bình",""),IF(OR(L300=phu!$I$94,L300=phu!$I$95,L300=phu!$I$96,L300=phu!$I$97,L300=phu!$I$98,L300=phu!$I$99,L300=phu!$I$100),"Huyện khác",""),IF(OR(L300=phu!$I$101,L300=phu!$I$102),"Tỉnh khác",""))</f>
        <v/>
      </c>
      <c r="N300" s="835" t="str">
        <f t="shared" si="23"/>
        <v/>
      </c>
      <c r="O300" s="20"/>
      <c r="P300" s="20"/>
      <c r="Q300" s="20"/>
      <c r="R300" s="20"/>
      <c r="S300" s="20"/>
      <c r="T300" s="21"/>
      <c r="U300" s="21"/>
      <c r="V300" s="21"/>
      <c r="W300" s="7" t="str">
        <f t="shared" si="21"/>
        <v/>
      </c>
      <c r="X300" s="506" t="str">
        <f t="shared" si="22"/>
        <v/>
      </c>
    </row>
    <row r="301" spans="1:24" x14ac:dyDescent="0.25">
      <c r="A301" s="66" t="str">
        <f t="shared" si="24"/>
        <v/>
      </c>
      <c r="B301" s="23" t="str">
        <f t="shared" si="20"/>
        <v/>
      </c>
      <c r="C301" s="15"/>
      <c r="D301" s="16"/>
      <c r="E301" s="17"/>
      <c r="F301" s="18"/>
      <c r="G301" s="18"/>
      <c r="H301" s="19"/>
      <c r="I301" s="15"/>
      <c r="J301" s="20"/>
      <c r="K301" s="15"/>
      <c r="L301" s="15"/>
      <c r="M301" s="531" t="str">
        <f>CONCATENATE(IF(OR(L301=phu!$I$1,L301=phu!$I$2,L301=phu!$I$3),"Cam Thành Nam",""),IF(OR(L301=phu!$I$4,L301=phu!$I$5,L301=phu!$I$6,L301=phu!$I$7,L301=phu!$I$8,L301=phu!$I$9,L301=phu!$I$10,L301=phu!$I$11,L301=phu!$I$12,L301=phu!$I$13,L301=phu!$I$14),"Cam Nghĩa",""),IF(OR(L301=phu!$I$15,L301=phu!$I$16,L301=phu!$I$17,L301=phu!$I$18,L301=phu!$I$19,L301=phu!$I$20,L301=phu!$I$21),"Cam Phúc Bắc",""),IF(OR(L301=phu!$I$22,L301=phu!$I$23,L301=phu!$I$24,L301=phu!$I$25),"Cam Phúc Nam",""),IF(OR(L301=phu!$I$26,L301=phu!$I$27,L301=phu!$I$28,L301=phu!$I$29,L301=phu!$I$30,L301=phu!$I$31),"Cam Phú",""),IF(OR(L301=phu!$I$32,L301=phu!$I$33,L301=phu!$I$34,L301=phu!$I$35,L301=phu!$I$36,L301=phu!$I$37),"Cam Lộc",""),IF(OR(L301=phu!$I$38,L301=phu!$I$39,L301=phu!$I$40,L301=phu!$I$41,L301=phu!$I$42,L301=phu!$I$43,L301=phu!$I$44),"Cam Thuận",""),IF(OR(L301=phu!$I$45,L301=phu!$I$46,L301=phu!$I$47,L301=phu!$I$48,L301=phu!$I$49,L301=phu!$I$50,L301=phu!$I$51,L301=phu!$I$52,L301=phu!$I$53),"Cam Linh",""),IF(OR(L301=phu!$I$54,L301=phu!$I$55,L301=phu!$I$56,L301=phu!$I$57,L301=phu!$I$58,L301=phu!$I$59,L301=phu!$I$60,L301=phu!$I$61,L301=phu!$I$62),"Cam Lợi",""),IF(OR(L301=phu!$I$63,L301=phu!$I$64,L301=phu!$I$65,L301=phu!$I$66,L301=phu!$I$67,L301=phu!$I$68,L301=phu!$I$69,L301=phu!$I$70,L301=phu!$I$71),"Ba Ngòi",""),IF(OR(L301=phu!$I$72,L301=phu!$I$73,L301=phu!$I$74,L301=phu!$I$75,L301=phu!$I$76,L301=phu!$I$77,L301=phu!$I$78),"Cam Phước Đông",""),IF(OR(L301=phu!$I$79,L301=phu!$I$80,L301=phu!$I$81,L301=phu!$I$82,L301=phu!$I$83,L301=phu!$I$84),"Cam Thịnh Đông",""),IF(OR(L301=phu!$I$85,L301=phu!$I$86,L301=phu!$I$87,L301=phu!$I$88),"Cam Thịnh Tây",""),IF(OR(L301=phu!$I$89,L301=phu!$I$90),"Cam Lập",""),IF(OR(L301=phu!$I$91,L301=phu!$I$92,L301=phu!$I$93),"Cam Bình",""),IF(OR(L301=phu!$I$94,L301=phu!$I$95,L301=phu!$I$96,L301=phu!$I$97,L301=phu!$I$98,L301=phu!$I$99,L301=phu!$I$100),"Huyện khác",""),IF(OR(L301=phu!$I$101,L301=phu!$I$102),"Tỉnh khác",""))</f>
        <v/>
      </c>
      <c r="N301" s="835" t="str">
        <f t="shared" si="23"/>
        <v/>
      </c>
      <c r="O301" s="20"/>
      <c r="P301" s="20"/>
      <c r="Q301" s="20"/>
      <c r="R301" s="20"/>
      <c r="S301" s="20"/>
      <c r="T301" s="21"/>
      <c r="U301" s="21"/>
      <c r="V301" s="21"/>
      <c r="W301" s="7" t="str">
        <f t="shared" si="21"/>
        <v/>
      </c>
      <c r="X301" s="506" t="str">
        <f t="shared" si="22"/>
        <v/>
      </c>
    </row>
    <row r="302" spans="1:24" x14ac:dyDescent="0.25">
      <c r="A302" s="66" t="str">
        <f t="shared" si="24"/>
        <v/>
      </c>
      <c r="B302" s="23" t="str">
        <f t="shared" si="20"/>
        <v/>
      </c>
      <c r="C302" s="15"/>
      <c r="D302" s="16"/>
      <c r="E302" s="17"/>
      <c r="F302" s="18"/>
      <c r="G302" s="18"/>
      <c r="H302" s="19"/>
      <c r="I302" s="15"/>
      <c r="J302" s="20"/>
      <c r="K302" s="15"/>
      <c r="L302" s="15"/>
      <c r="M302" s="531" t="str">
        <f>CONCATENATE(IF(OR(L302=phu!$I$1,L302=phu!$I$2,L302=phu!$I$3),"Cam Thành Nam",""),IF(OR(L302=phu!$I$4,L302=phu!$I$5,L302=phu!$I$6,L302=phu!$I$7,L302=phu!$I$8,L302=phu!$I$9,L302=phu!$I$10,L302=phu!$I$11,L302=phu!$I$12,L302=phu!$I$13,L302=phu!$I$14),"Cam Nghĩa",""),IF(OR(L302=phu!$I$15,L302=phu!$I$16,L302=phu!$I$17,L302=phu!$I$18,L302=phu!$I$19,L302=phu!$I$20,L302=phu!$I$21),"Cam Phúc Bắc",""),IF(OR(L302=phu!$I$22,L302=phu!$I$23,L302=phu!$I$24,L302=phu!$I$25),"Cam Phúc Nam",""),IF(OR(L302=phu!$I$26,L302=phu!$I$27,L302=phu!$I$28,L302=phu!$I$29,L302=phu!$I$30,L302=phu!$I$31),"Cam Phú",""),IF(OR(L302=phu!$I$32,L302=phu!$I$33,L302=phu!$I$34,L302=phu!$I$35,L302=phu!$I$36,L302=phu!$I$37),"Cam Lộc",""),IF(OR(L302=phu!$I$38,L302=phu!$I$39,L302=phu!$I$40,L302=phu!$I$41,L302=phu!$I$42,L302=phu!$I$43,L302=phu!$I$44),"Cam Thuận",""),IF(OR(L302=phu!$I$45,L302=phu!$I$46,L302=phu!$I$47,L302=phu!$I$48,L302=phu!$I$49,L302=phu!$I$50,L302=phu!$I$51,L302=phu!$I$52,L302=phu!$I$53),"Cam Linh",""),IF(OR(L302=phu!$I$54,L302=phu!$I$55,L302=phu!$I$56,L302=phu!$I$57,L302=phu!$I$58,L302=phu!$I$59,L302=phu!$I$60,L302=phu!$I$61,L302=phu!$I$62),"Cam Lợi",""),IF(OR(L302=phu!$I$63,L302=phu!$I$64,L302=phu!$I$65,L302=phu!$I$66,L302=phu!$I$67,L302=phu!$I$68,L302=phu!$I$69,L302=phu!$I$70,L302=phu!$I$71),"Ba Ngòi",""),IF(OR(L302=phu!$I$72,L302=phu!$I$73,L302=phu!$I$74,L302=phu!$I$75,L302=phu!$I$76,L302=phu!$I$77,L302=phu!$I$78),"Cam Phước Đông",""),IF(OR(L302=phu!$I$79,L302=phu!$I$80,L302=phu!$I$81,L302=phu!$I$82,L302=phu!$I$83,L302=phu!$I$84),"Cam Thịnh Đông",""),IF(OR(L302=phu!$I$85,L302=phu!$I$86,L302=phu!$I$87,L302=phu!$I$88),"Cam Thịnh Tây",""),IF(OR(L302=phu!$I$89,L302=phu!$I$90),"Cam Lập",""),IF(OR(L302=phu!$I$91,L302=phu!$I$92,L302=phu!$I$93),"Cam Bình",""),IF(OR(L302=phu!$I$94,L302=phu!$I$95,L302=phu!$I$96,L302=phu!$I$97,L302=phu!$I$98,L302=phu!$I$99,L302=phu!$I$100),"Huyện khác",""),IF(OR(L302=phu!$I$101,L302=phu!$I$102),"Tỉnh khác",""))</f>
        <v/>
      </c>
      <c r="N302" s="835" t="str">
        <f t="shared" si="23"/>
        <v/>
      </c>
      <c r="O302" s="20"/>
      <c r="P302" s="20"/>
      <c r="Q302" s="20"/>
      <c r="R302" s="20"/>
      <c r="S302" s="20"/>
      <c r="T302" s="21"/>
      <c r="U302" s="21"/>
      <c r="V302" s="21"/>
      <c r="W302" s="7" t="str">
        <f t="shared" si="21"/>
        <v/>
      </c>
      <c r="X302" s="506" t="str">
        <f t="shared" si="22"/>
        <v/>
      </c>
    </row>
    <row r="303" spans="1:24" x14ac:dyDescent="0.25">
      <c r="A303" s="66" t="str">
        <f t="shared" si="24"/>
        <v/>
      </c>
      <c r="B303" s="23" t="str">
        <f t="shared" si="20"/>
        <v/>
      </c>
      <c r="C303" s="15"/>
      <c r="D303" s="16"/>
      <c r="E303" s="17"/>
      <c r="F303" s="18"/>
      <c r="G303" s="18"/>
      <c r="H303" s="19"/>
      <c r="I303" s="15"/>
      <c r="J303" s="20"/>
      <c r="K303" s="15"/>
      <c r="L303" s="15"/>
      <c r="M303" s="531" t="str">
        <f>CONCATENATE(IF(OR(L303=phu!$I$1,L303=phu!$I$2,L303=phu!$I$3),"Cam Thành Nam",""),IF(OR(L303=phu!$I$4,L303=phu!$I$5,L303=phu!$I$6,L303=phu!$I$7,L303=phu!$I$8,L303=phu!$I$9,L303=phu!$I$10,L303=phu!$I$11,L303=phu!$I$12,L303=phu!$I$13,L303=phu!$I$14),"Cam Nghĩa",""),IF(OR(L303=phu!$I$15,L303=phu!$I$16,L303=phu!$I$17,L303=phu!$I$18,L303=phu!$I$19,L303=phu!$I$20,L303=phu!$I$21),"Cam Phúc Bắc",""),IF(OR(L303=phu!$I$22,L303=phu!$I$23,L303=phu!$I$24,L303=phu!$I$25),"Cam Phúc Nam",""),IF(OR(L303=phu!$I$26,L303=phu!$I$27,L303=phu!$I$28,L303=phu!$I$29,L303=phu!$I$30,L303=phu!$I$31),"Cam Phú",""),IF(OR(L303=phu!$I$32,L303=phu!$I$33,L303=phu!$I$34,L303=phu!$I$35,L303=phu!$I$36,L303=phu!$I$37),"Cam Lộc",""),IF(OR(L303=phu!$I$38,L303=phu!$I$39,L303=phu!$I$40,L303=phu!$I$41,L303=phu!$I$42,L303=phu!$I$43,L303=phu!$I$44),"Cam Thuận",""),IF(OR(L303=phu!$I$45,L303=phu!$I$46,L303=phu!$I$47,L303=phu!$I$48,L303=phu!$I$49,L303=phu!$I$50,L303=phu!$I$51,L303=phu!$I$52,L303=phu!$I$53),"Cam Linh",""),IF(OR(L303=phu!$I$54,L303=phu!$I$55,L303=phu!$I$56,L303=phu!$I$57,L303=phu!$I$58,L303=phu!$I$59,L303=phu!$I$60,L303=phu!$I$61,L303=phu!$I$62),"Cam Lợi",""),IF(OR(L303=phu!$I$63,L303=phu!$I$64,L303=phu!$I$65,L303=phu!$I$66,L303=phu!$I$67,L303=phu!$I$68,L303=phu!$I$69,L303=phu!$I$70,L303=phu!$I$71),"Ba Ngòi",""),IF(OR(L303=phu!$I$72,L303=phu!$I$73,L303=phu!$I$74,L303=phu!$I$75,L303=phu!$I$76,L303=phu!$I$77,L303=phu!$I$78),"Cam Phước Đông",""),IF(OR(L303=phu!$I$79,L303=phu!$I$80,L303=phu!$I$81,L303=phu!$I$82,L303=phu!$I$83,L303=phu!$I$84),"Cam Thịnh Đông",""),IF(OR(L303=phu!$I$85,L303=phu!$I$86,L303=phu!$I$87,L303=phu!$I$88),"Cam Thịnh Tây",""),IF(OR(L303=phu!$I$89,L303=phu!$I$90),"Cam Lập",""),IF(OR(L303=phu!$I$91,L303=phu!$I$92,L303=phu!$I$93),"Cam Bình",""),IF(OR(L303=phu!$I$94,L303=phu!$I$95,L303=phu!$I$96,L303=phu!$I$97,L303=phu!$I$98,L303=phu!$I$99,L303=phu!$I$100),"Huyện khác",""),IF(OR(L303=phu!$I$101,L303=phu!$I$102),"Tỉnh khác",""))</f>
        <v/>
      </c>
      <c r="N303" s="835" t="str">
        <f t="shared" si="23"/>
        <v/>
      </c>
      <c r="O303" s="20"/>
      <c r="P303" s="20"/>
      <c r="Q303" s="20"/>
      <c r="R303" s="20"/>
      <c r="S303" s="20"/>
      <c r="T303" s="21"/>
      <c r="U303" s="21"/>
      <c r="V303" s="21"/>
      <c r="W303" s="7" t="str">
        <f t="shared" si="21"/>
        <v/>
      </c>
      <c r="X303" s="506" t="str">
        <f t="shared" si="22"/>
        <v/>
      </c>
    </row>
    <row r="304" spans="1:24" x14ac:dyDescent="0.25">
      <c r="A304" s="66" t="str">
        <f t="shared" si="24"/>
        <v/>
      </c>
      <c r="B304" s="23" t="str">
        <f t="shared" si="20"/>
        <v/>
      </c>
      <c r="C304" s="15"/>
      <c r="D304" s="16"/>
      <c r="E304" s="17"/>
      <c r="F304" s="18"/>
      <c r="G304" s="18"/>
      <c r="H304" s="19"/>
      <c r="I304" s="15"/>
      <c r="J304" s="20"/>
      <c r="K304" s="15"/>
      <c r="L304" s="15"/>
      <c r="M304" s="531" t="str">
        <f>CONCATENATE(IF(OR(L304=phu!$I$1,L304=phu!$I$2,L304=phu!$I$3),"Cam Thành Nam",""),IF(OR(L304=phu!$I$4,L304=phu!$I$5,L304=phu!$I$6,L304=phu!$I$7,L304=phu!$I$8,L304=phu!$I$9,L304=phu!$I$10,L304=phu!$I$11,L304=phu!$I$12,L304=phu!$I$13,L304=phu!$I$14),"Cam Nghĩa",""),IF(OR(L304=phu!$I$15,L304=phu!$I$16,L304=phu!$I$17,L304=phu!$I$18,L304=phu!$I$19,L304=phu!$I$20,L304=phu!$I$21),"Cam Phúc Bắc",""),IF(OR(L304=phu!$I$22,L304=phu!$I$23,L304=phu!$I$24,L304=phu!$I$25),"Cam Phúc Nam",""),IF(OR(L304=phu!$I$26,L304=phu!$I$27,L304=phu!$I$28,L304=phu!$I$29,L304=phu!$I$30,L304=phu!$I$31),"Cam Phú",""),IF(OR(L304=phu!$I$32,L304=phu!$I$33,L304=phu!$I$34,L304=phu!$I$35,L304=phu!$I$36,L304=phu!$I$37),"Cam Lộc",""),IF(OR(L304=phu!$I$38,L304=phu!$I$39,L304=phu!$I$40,L304=phu!$I$41,L304=phu!$I$42,L304=phu!$I$43,L304=phu!$I$44),"Cam Thuận",""),IF(OR(L304=phu!$I$45,L304=phu!$I$46,L304=phu!$I$47,L304=phu!$I$48,L304=phu!$I$49,L304=phu!$I$50,L304=phu!$I$51,L304=phu!$I$52,L304=phu!$I$53),"Cam Linh",""),IF(OR(L304=phu!$I$54,L304=phu!$I$55,L304=phu!$I$56,L304=phu!$I$57,L304=phu!$I$58,L304=phu!$I$59,L304=phu!$I$60,L304=phu!$I$61,L304=phu!$I$62),"Cam Lợi",""),IF(OR(L304=phu!$I$63,L304=phu!$I$64,L304=phu!$I$65,L304=phu!$I$66,L304=phu!$I$67,L304=phu!$I$68,L304=phu!$I$69,L304=phu!$I$70,L304=phu!$I$71),"Ba Ngòi",""),IF(OR(L304=phu!$I$72,L304=phu!$I$73,L304=phu!$I$74,L304=phu!$I$75,L304=phu!$I$76,L304=phu!$I$77,L304=phu!$I$78),"Cam Phước Đông",""),IF(OR(L304=phu!$I$79,L304=phu!$I$80,L304=phu!$I$81,L304=phu!$I$82,L304=phu!$I$83,L304=phu!$I$84),"Cam Thịnh Đông",""),IF(OR(L304=phu!$I$85,L304=phu!$I$86,L304=phu!$I$87,L304=phu!$I$88),"Cam Thịnh Tây",""),IF(OR(L304=phu!$I$89,L304=phu!$I$90),"Cam Lập",""),IF(OR(L304=phu!$I$91,L304=phu!$I$92,L304=phu!$I$93),"Cam Bình",""),IF(OR(L304=phu!$I$94,L304=phu!$I$95,L304=phu!$I$96,L304=phu!$I$97,L304=phu!$I$98,L304=phu!$I$99,L304=phu!$I$100),"Huyện khác",""),IF(OR(L304=phu!$I$101,L304=phu!$I$102),"Tỉnh khác",""))</f>
        <v/>
      </c>
      <c r="N304" s="835" t="str">
        <f t="shared" si="23"/>
        <v/>
      </c>
      <c r="O304" s="20"/>
      <c r="P304" s="20"/>
      <c r="Q304" s="20"/>
      <c r="R304" s="20"/>
      <c r="S304" s="20"/>
      <c r="T304" s="21"/>
      <c r="U304" s="21"/>
      <c r="V304" s="21"/>
      <c r="W304" s="7" t="str">
        <f t="shared" si="21"/>
        <v/>
      </c>
      <c r="X304" s="506" t="str">
        <f t="shared" si="22"/>
        <v/>
      </c>
    </row>
    <row r="305" spans="1:24" x14ac:dyDescent="0.25">
      <c r="A305" s="66" t="str">
        <f t="shared" si="24"/>
        <v/>
      </c>
      <c r="B305" s="23" t="str">
        <f t="shared" si="20"/>
        <v/>
      </c>
      <c r="C305" s="15"/>
      <c r="D305" s="16"/>
      <c r="E305" s="17"/>
      <c r="F305" s="18"/>
      <c r="G305" s="18"/>
      <c r="H305" s="19"/>
      <c r="I305" s="15"/>
      <c r="J305" s="20"/>
      <c r="K305" s="15"/>
      <c r="L305" s="15"/>
      <c r="M305" s="531" t="str">
        <f>CONCATENATE(IF(OR(L305=phu!$I$1,L305=phu!$I$2,L305=phu!$I$3),"Cam Thành Nam",""),IF(OR(L305=phu!$I$4,L305=phu!$I$5,L305=phu!$I$6,L305=phu!$I$7,L305=phu!$I$8,L305=phu!$I$9,L305=phu!$I$10,L305=phu!$I$11,L305=phu!$I$12,L305=phu!$I$13,L305=phu!$I$14),"Cam Nghĩa",""),IF(OR(L305=phu!$I$15,L305=phu!$I$16,L305=phu!$I$17,L305=phu!$I$18,L305=phu!$I$19,L305=phu!$I$20,L305=phu!$I$21),"Cam Phúc Bắc",""),IF(OR(L305=phu!$I$22,L305=phu!$I$23,L305=phu!$I$24,L305=phu!$I$25),"Cam Phúc Nam",""),IF(OR(L305=phu!$I$26,L305=phu!$I$27,L305=phu!$I$28,L305=phu!$I$29,L305=phu!$I$30,L305=phu!$I$31),"Cam Phú",""),IF(OR(L305=phu!$I$32,L305=phu!$I$33,L305=phu!$I$34,L305=phu!$I$35,L305=phu!$I$36,L305=phu!$I$37),"Cam Lộc",""),IF(OR(L305=phu!$I$38,L305=phu!$I$39,L305=phu!$I$40,L305=phu!$I$41,L305=phu!$I$42,L305=phu!$I$43,L305=phu!$I$44),"Cam Thuận",""),IF(OR(L305=phu!$I$45,L305=phu!$I$46,L305=phu!$I$47,L305=phu!$I$48,L305=phu!$I$49,L305=phu!$I$50,L305=phu!$I$51,L305=phu!$I$52,L305=phu!$I$53),"Cam Linh",""),IF(OR(L305=phu!$I$54,L305=phu!$I$55,L305=phu!$I$56,L305=phu!$I$57,L305=phu!$I$58,L305=phu!$I$59,L305=phu!$I$60,L305=phu!$I$61,L305=phu!$I$62),"Cam Lợi",""),IF(OR(L305=phu!$I$63,L305=phu!$I$64,L305=phu!$I$65,L305=phu!$I$66,L305=phu!$I$67,L305=phu!$I$68,L305=phu!$I$69,L305=phu!$I$70,L305=phu!$I$71),"Ba Ngòi",""),IF(OR(L305=phu!$I$72,L305=phu!$I$73,L305=phu!$I$74,L305=phu!$I$75,L305=phu!$I$76,L305=phu!$I$77,L305=phu!$I$78),"Cam Phước Đông",""),IF(OR(L305=phu!$I$79,L305=phu!$I$80,L305=phu!$I$81,L305=phu!$I$82,L305=phu!$I$83,L305=phu!$I$84),"Cam Thịnh Đông",""),IF(OR(L305=phu!$I$85,L305=phu!$I$86,L305=phu!$I$87,L305=phu!$I$88),"Cam Thịnh Tây",""),IF(OR(L305=phu!$I$89,L305=phu!$I$90),"Cam Lập",""),IF(OR(L305=phu!$I$91,L305=phu!$I$92,L305=phu!$I$93),"Cam Bình",""),IF(OR(L305=phu!$I$94,L305=phu!$I$95,L305=phu!$I$96,L305=phu!$I$97,L305=phu!$I$98,L305=phu!$I$99,L305=phu!$I$100),"Huyện khác",""),IF(OR(L305=phu!$I$101,L305=phu!$I$102),"Tỉnh khác",""))</f>
        <v/>
      </c>
      <c r="N305" s="835" t="str">
        <f t="shared" si="23"/>
        <v/>
      </c>
      <c r="O305" s="20"/>
      <c r="P305" s="20"/>
      <c r="Q305" s="20"/>
      <c r="R305" s="20"/>
      <c r="S305" s="20"/>
      <c r="T305" s="21"/>
      <c r="U305" s="21"/>
      <c r="V305" s="21"/>
      <c r="W305" s="7" t="str">
        <f t="shared" si="21"/>
        <v/>
      </c>
      <c r="X305" s="506" t="str">
        <f t="shared" si="22"/>
        <v/>
      </c>
    </row>
    <row r="306" spans="1:24" x14ac:dyDescent="0.25">
      <c r="A306" s="66" t="str">
        <f t="shared" si="24"/>
        <v/>
      </c>
      <c r="B306" s="23" t="str">
        <f t="shared" si="20"/>
        <v/>
      </c>
      <c r="C306" s="15"/>
      <c r="D306" s="16"/>
      <c r="E306" s="17"/>
      <c r="F306" s="18"/>
      <c r="G306" s="18"/>
      <c r="H306" s="19"/>
      <c r="I306" s="15"/>
      <c r="J306" s="20"/>
      <c r="K306" s="15"/>
      <c r="L306" s="15"/>
      <c r="M306" s="531" t="str">
        <f>CONCATENATE(IF(OR(L306=phu!$I$1,L306=phu!$I$2,L306=phu!$I$3),"Cam Thành Nam",""),IF(OR(L306=phu!$I$4,L306=phu!$I$5,L306=phu!$I$6,L306=phu!$I$7,L306=phu!$I$8,L306=phu!$I$9,L306=phu!$I$10,L306=phu!$I$11,L306=phu!$I$12,L306=phu!$I$13,L306=phu!$I$14),"Cam Nghĩa",""),IF(OR(L306=phu!$I$15,L306=phu!$I$16,L306=phu!$I$17,L306=phu!$I$18,L306=phu!$I$19,L306=phu!$I$20,L306=phu!$I$21),"Cam Phúc Bắc",""),IF(OR(L306=phu!$I$22,L306=phu!$I$23,L306=phu!$I$24,L306=phu!$I$25),"Cam Phúc Nam",""),IF(OR(L306=phu!$I$26,L306=phu!$I$27,L306=phu!$I$28,L306=phu!$I$29,L306=phu!$I$30,L306=phu!$I$31),"Cam Phú",""),IF(OR(L306=phu!$I$32,L306=phu!$I$33,L306=phu!$I$34,L306=phu!$I$35,L306=phu!$I$36,L306=phu!$I$37),"Cam Lộc",""),IF(OR(L306=phu!$I$38,L306=phu!$I$39,L306=phu!$I$40,L306=phu!$I$41,L306=phu!$I$42,L306=phu!$I$43,L306=phu!$I$44),"Cam Thuận",""),IF(OR(L306=phu!$I$45,L306=phu!$I$46,L306=phu!$I$47,L306=phu!$I$48,L306=phu!$I$49,L306=phu!$I$50,L306=phu!$I$51,L306=phu!$I$52,L306=phu!$I$53),"Cam Linh",""),IF(OR(L306=phu!$I$54,L306=phu!$I$55,L306=phu!$I$56,L306=phu!$I$57,L306=phu!$I$58,L306=phu!$I$59,L306=phu!$I$60,L306=phu!$I$61,L306=phu!$I$62),"Cam Lợi",""),IF(OR(L306=phu!$I$63,L306=phu!$I$64,L306=phu!$I$65,L306=phu!$I$66,L306=phu!$I$67,L306=phu!$I$68,L306=phu!$I$69,L306=phu!$I$70,L306=phu!$I$71),"Ba Ngòi",""),IF(OR(L306=phu!$I$72,L306=phu!$I$73,L306=phu!$I$74,L306=phu!$I$75,L306=phu!$I$76,L306=phu!$I$77,L306=phu!$I$78),"Cam Phước Đông",""),IF(OR(L306=phu!$I$79,L306=phu!$I$80,L306=phu!$I$81,L306=phu!$I$82,L306=phu!$I$83,L306=phu!$I$84),"Cam Thịnh Đông",""),IF(OR(L306=phu!$I$85,L306=phu!$I$86,L306=phu!$I$87,L306=phu!$I$88),"Cam Thịnh Tây",""),IF(OR(L306=phu!$I$89,L306=phu!$I$90),"Cam Lập",""),IF(OR(L306=phu!$I$91,L306=phu!$I$92,L306=phu!$I$93),"Cam Bình",""),IF(OR(L306=phu!$I$94,L306=phu!$I$95,L306=phu!$I$96,L306=phu!$I$97,L306=phu!$I$98,L306=phu!$I$99,L306=phu!$I$100),"Huyện khác",""),IF(OR(L306=phu!$I$101,L306=phu!$I$102),"Tỉnh khác",""))</f>
        <v/>
      </c>
      <c r="N306" s="835" t="str">
        <f t="shared" si="23"/>
        <v/>
      </c>
      <c r="O306" s="20"/>
      <c r="P306" s="20"/>
      <c r="Q306" s="20"/>
      <c r="R306" s="20"/>
      <c r="S306" s="20"/>
      <c r="T306" s="21"/>
      <c r="U306" s="21"/>
      <c r="V306" s="21"/>
      <c r="W306" s="7" t="str">
        <f t="shared" si="21"/>
        <v/>
      </c>
      <c r="X306" s="506" t="str">
        <f t="shared" si="22"/>
        <v/>
      </c>
    </row>
    <row r="307" spans="1:24" x14ac:dyDescent="0.25">
      <c r="A307" s="66" t="str">
        <f t="shared" si="24"/>
        <v/>
      </c>
      <c r="B307" s="23" t="str">
        <f t="shared" si="20"/>
        <v/>
      </c>
      <c r="C307" s="15"/>
      <c r="D307" s="16"/>
      <c r="E307" s="17"/>
      <c r="F307" s="18"/>
      <c r="G307" s="18"/>
      <c r="H307" s="19"/>
      <c r="I307" s="15"/>
      <c r="J307" s="20"/>
      <c r="K307" s="15"/>
      <c r="L307" s="15"/>
      <c r="M307" s="531" t="str">
        <f>CONCATENATE(IF(OR(L307=phu!$I$1,L307=phu!$I$2,L307=phu!$I$3),"Cam Thành Nam",""),IF(OR(L307=phu!$I$4,L307=phu!$I$5,L307=phu!$I$6,L307=phu!$I$7,L307=phu!$I$8,L307=phu!$I$9,L307=phu!$I$10,L307=phu!$I$11,L307=phu!$I$12,L307=phu!$I$13,L307=phu!$I$14),"Cam Nghĩa",""),IF(OR(L307=phu!$I$15,L307=phu!$I$16,L307=phu!$I$17,L307=phu!$I$18,L307=phu!$I$19,L307=phu!$I$20,L307=phu!$I$21),"Cam Phúc Bắc",""),IF(OR(L307=phu!$I$22,L307=phu!$I$23,L307=phu!$I$24,L307=phu!$I$25),"Cam Phúc Nam",""),IF(OR(L307=phu!$I$26,L307=phu!$I$27,L307=phu!$I$28,L307=phu!$I$29,L307=phu!$I$30,L307=phu!$I$31),"Cam Phú",""),IF(OR(L307=phu!$I$32,L307=phu!$I$33,L307=phu!$I$34,L307=phu!$I$35,L307=phu!$I$36,L307=phu!$I$37),"Cam Lộc",""),IF(OR(L307=phu!$I$38,L307=phu!$I$39,L307=phu!$I$40,L307=phu!$I$41,L307=phu!$I$42,L307=phu!$I$43,L307=phu!$I$44),"Cam Thuận",""),IF(OR(L307=phu!$I$45,L307=phu!$I$46,L307=phu!$I$47,L307=phu!$I$48,L307=phu!$I$49,L307=phu!$I$50,L307=phu!$I$51,L307=phu!$I$52,L307=phu!$I$53),"Cam Linh",""),IF(OR(L307=phu!$I$54,L307=phu!$I$55,L307=phu!$I$56,L307=phu!$I$57,L307=phu!$I$58,L307=phu!$I$59,L307=phu!$I$60,L307=phu!$I$61,L307=phu!$I$62),"Cam Lợi",""),IF(OR(L307=phu!$I$63,L307=phu!$I$64,L307=phu!$I$65,L307=phu!$I$66,L307=phu!$I$67,L307=phu!$I$68,L307=phu!$I$69,L307=phu!$I$70,L307=phu!$I$71),"Ba Ngòi",""),IF(OR(L307=phu!$I$72,L307=phu!$I$73,L307=phu!$I$74,L307=phu!$I$75,L307=phu!$I$76,L307=phu!$I$77,L307=phu!$I$78),"Cam Phước Đông",""),IF(OR(L307=phu!$I$79,L307=phu!$I$80,L307=phu!$I$81,L307=phu!$I$82,L307=phu!$I$83,L307=phu!$I$84),"Cam Thịnh Đông",""),IF(OR(L307=phu!$I$85,L307=phu!$I$86,L307=phu!$I$87,L307=phu!$I$88),"Cam Thịnh Tây",""),IF(OR(L307=phu!$I$89,L307=phu!$I$90),"Cam Lập",""),IF(OR(L307=phu!$I$91,L307=phu!$I$92,L307=phu!$I$93),"Cam Bình",""),IF(OR(L307=phu!$I$94,L307=phu!$I$95,L307=phu!$I$96,L307=phu!$I$97,L307=phu!$I$98,L307=phu!$I$99,L307=phu!$I$100),"Huyện khác",""),IF(OR(L307=phu!$I$101,L307=phu!$I$102),"Tỉnh khác",""))</f>
        <v/>
      </c>
      <c r="N307" s="835" t="str">
        <f t="shared" si="23"/>
        <v/>
      </c>
      <c r="O307" s="20"/>
      <c r="P307" s="20"/>
      <c r="Q307" s="20"/>
      <c r="R307" s="20"/>
      <c r="S307" s="20"/>
      <c r="T307" s="21"/>
      <c r="U307" s="21"/>
      <c r="V307" s="21"/>
      <c r="W307" s="7" t="str">
        <f t="shared" si="21"/>
        <v/>
      </c>
      <c r="X307" s="506" t="str">
        <f t="shared" si="22"/>
        <v/>
      </c>
    </row>
    <row r="308" spans="1:24" x14ac:dyDescent="0.25">
      <c r="A308" s="66" t="str">
        <f t="shared" si="24"/>
        <v/>
      </c>
      <c r="B308" s="23" t="str">
        <f t="shared" si="20"/>
        <v/>
      </c>
      <c r="C308" s="15"/>
      <c r="D308" s="16"/>
      <c r="E308" s="17"/>
      <c r="F308" s="18"/>
      <c r="G308" s="18"/>
      <c r="H308" s="19"/>
      <c r="I308" s="15"/>
      <c r="J308" s="20"/>
      <c r="K308" s="15"/>
      <c r="L308" s="15"/>
      <c r="M308" s="531" t="str">
        <f>CONCATENATE(IF(OR(L308=phu!$I$1,L308=phu!$I$2,L308=phu!$I$3),"Cam Thành Nam",""),IF(OR(L308=phu!$I$4,L308=phu!$I$5,L308=phu!$I$6,L308=phu!$I$7,L308=phu!$I$8,L308=phu!$I$9,L308=phu!$I$10,L308=phu!$I$11,L308=phu!$I$12,L308=phu!$I$13,L308=phu!$I$14),"Cam Nghĩa",""),IF(OR(L308=phu!$I$15,L308=phu!$I$16,L308=phu!$I$17,L308=phu!$I$18,L308=phu!$I$19,L308=phu!$I$20,L308=phu!$I$21),"Cam Phúc Bắc",""),IF(OR(L308=phu!$I$22,L308=phu!$I$23,L308=phu!$I$24,L308=phu!$I$25),"Cam Phúc Nam",""),IF(OR(L308=phu!$I$26,L308=phu!$I$27,L308=phu!$I$28,L308=phu!$I$29,L308=phu!$I$30,L308=phu!$I$31),"Cam Phú",""),IF(OR(L308=phu!$I$32,L308=phu!$I$33,L308=phu!$I$34,L308=phu!$I$35,L308=phu!$I$36,L308=phu!$I$37),"Cam Lộc",""),IF(OR(L308=phu!$I$38,L308=phu!$I$39,L308=phu!$I$40,L308=phu!$I$41,L308=phu!$I$42,L308=phu!$I$43,L308=phu!$I$44),"Cam Thuận",""),IF(OR(L308=phu!$I$45,L308=phu!$I$46,L308=phu!$I$47,L308=phu!$I$48,L308=phu!$I$49,L308=phu!$I$50,L308=phu!$I$51,L308=phu!$I$52,L308=phu!$I$53),"Cam Linh",""),IF(OR(L308=phu!$I$54,L308=phu!$I$55,L308=phu!$I$56,L308=phu!$I$57,L308=phu!$I$58,L308=phu!$I$59,L308=phu!$I$60,L308=phu!$I$61,L308=phu!$I$62),"Cam Lợi",""),IF(OR(L308=phu!$I$63,L308=phu!$I$64,L308=phu!$I$65,L308=phu!$I$66,L308=phu!$I$67,L308=phu!$I$68,L308=phu!$I$69,L308=phu!$I$70,L308=phu!$I$71),"Ba Ngòi",""),IF(OR(L308=phu!$I$72,L308=phu!$I$73,L308=phu!$I$74,L308=phu!$I$75,L308=phu!$I$76,L308=phu!$I$77,L308=phu!$I$78),"Cam Phước Đông",""),IF(OR(L308=phu!$I$79,L308=phu!$I$80,L308=phu!$I$81,L308=phu!$I$82,L308=phu!$I$83,L308=phu!$I$84),"Cam Thịnh Đông",""),IF(OR(L308=phu!$I$85,L308=phu!$I$86,L308=phu!$I$87,L308=phu!$I$88),"Cam Thịnh Tây",""),IF(OR(L308=phu!$I$89,L308=phu!$I$90),"Cam Lập",""),IF(OR(L308=phu!$I$91,L308=phu!$I$92,L308=phu!$I$93),"Cam Bình",""),IF(OR(L308=phu!$I$94,L308=phu!$I$95,L308=phu!$I$96,L308=phu!$I$97,L308=phu!$I$98,L308=phu!$I$99,L308=phu!$I$100),"Huyện khác",""),IF(OR(L308=phu!$I$101,L308=phu!$I$102),"Tỉnh khác",""))</f>
        <v/>
      </c>
      <c r="N308" s="835" t="str">
        <f t="shared" si="23"/>
        <v/>
      </c>
      <c r="O308" s="20"/>
      <c r="P308" s="20"/>
      <c r="Q308" s="20"/>
      <c r="R308" s="20"/>
      <c r="S308" s="20"/>
      <c r="T308" s="21"/>
      <c r="U308" s="21"/>
      <c r="V308" s="21"/>
      <c r="W308" s="7" t="str">
        <f t="shared" si="21"/>
        <v/>
      </c>
      <c r="X308" s="506" t="str">
        <f t="shared" si="22"/>
        <v/>
      </c>
    </row>
    <row r="309" spans="1:24" x14ac:dyDescent="0.25">
      <c r="A309" s="66" t="str">
        <f t="shared" si="24"/>
        <v/>
      </c>
      <c r="B309" s="23" t="str">
        <f t="shared" si="20"/>
        <v/>
      </c>
      <c r="C309" s="15"/>
      <c r="D309" s="16"/>
      <c r="E309" s="17"/>
      <c r="F309" s="18"/>
      <c r="G309" s="18"/>
      <c r="H309" s="19"/>
      <c r="I309" s="15"/>
      <c r="J309" s="20"/>
      <c r="K309" s="15"/>
      <c r="L309" s="15"/>
      <c r="M309" s="531" t="str">
        <f>CONCATENATE(IF(OR(L309=phu!$I$1,L309=phu!$I$2,L309=phu!$I$3),"Cam Thành Nam",""),IF(OR(L309=phu!$I$4,L309=phu!$I$5,L309=phu!$I$6,L309=phu!$I$7,L309=phu!$I$8,L309=phu!$I$9,L309=phu!$I$10,L309=phu!$I$11,L309=phu!$I$12,L309=phu!$I$13,L309=phu!$I$14),"Cam Nghĩa",""),IF(OR(L309=phu!$I$15,L309=phu!$I$16,L309=phu!$I$17,L309=phu!$I$18,L309=phu!$I$19,L309=phu!$I$20,L309=phu!$I$21),"Cam Phúc Bắc",""),IF(OR(L309=phu!$I$22,L309=phu!$I$23,L309=phu!$I$24,L309=phu!$I$25),"Cam Phúc Nam",""),IF(OR(L309=phu!$I$26,L309=phu!$I$27,L309=phu!$I$28,L309=phu!$I$29,L309=phu!$I$30,L309=phu!$I$31),"Cam Phú",""),IF(OR(L309=phu!$I$32,L309=phu!$I$33,L309=phu!$I$34,L309=phu!$I$35,L309=phu!$I$36,L309=phu!$I$37),"Cam Lộc",""),IF(OR(L309=phu!$I$38,L309=phu!$I$39,L309=phu!$I$40,L309=phu!$I$41,L309=phu!$I$42,L309=phu!$I$43,L309=phu!$I$44),"Cam Thuận",""),IF(OR(L309=phu!$I$45,L309=phu!$I$46,L309=phu!$I$47,L309=phu!$I$48,L309=phu!$I$49,L309=phu!$I$50,L309=phu!$I$51,L309=phu!$I$52,L309=phu!$I$53),"Cam Linh",""),IF(OR(L309=phu!$I$54,L309=phu!$I$55,L309=phu!$I$56,L309=phu!$I$57,L309=phu!$I$58,L309=phu!$I$59,L309=phu!$I$60,L309=phu!$I$61,L309=phu!$I$62),"Cam Lợi",""),IF(OR(L309=phu!$I$63,L309=phu!$I$64,L309=phu!$I$65,L309=phu!$I$66,L309=phu!$I$67,L309=phu!$I$68,L309=phu!$I$69,L309=phu!$I$70,L309=phu!$I$71),"Ba Ngòi",""),IF(OR(L309=phu!$I$72,L309=phu!$I$73,L309=phu!$I$74,L309=phu!$I$75,L309=phu!$I$76,L309=phu!$I$77,L309=phu!$I$78),"Cam Phước Đông",""),IF(OR(L309=phu!$I$79,L309=phu!$I$80,L309=phu!$I$81,L309=phu!$I$82,L309=phu!$I$83,L309=phu!$I$84),"Cam Thịnh Đông",""),IF(OR(L309=phu!$I$85,L309=phu!$I$86,L309=phu!$I$87,L309=phu!$I$88),"Cam Thịnh Tây",""),IF(OR(L309=phu!$I$89,L309=phu!$I$90),"Cam Lập",""),IF(OR(L309=phu!$I$91,L309=phu!$I$92,L309=phu!$I$93),"Cam Bình",""),IF(OR(L309=phu!$I$94,L309=phu!$I$95,L309=phu!$I$96,L309=phu!$I$97,L309=phu!$I$98,L309=phu!$I$99,L309=phu!$I$100),"Huyện khác",""),IF(OR(L309=phu!$I$101,L309=phu!$I$102),"Tỉnh khác",""))</f>
        <v/>
      </c>
      <c r="N309" s="835" t="str">
        <f t="shared" si="23"/>
        <v/>
      </c>
      <c r="O309" s="20"/>
      <c r="P309" s="20"/>
      <c r="Q309" s="20"/>
      <c r="R309" s="20"/>
      <c r="S309" s="20"/>
      <c r="T309" s="21"/>
      <c r="U309" s="21"/>
      <c r="V309" s="21"/>
      <c r="W309" s="7" t="str">
        <f t="shared" si="21"/>
        <v/>
      </c>
      <c r="X309" s="506" t="str">
        <f t="shared" si="22"/>
        <v/>
      </c>
    </row>
    <row r="310" spans="1:24" x14ac:dyDescent="0.25">
      <c r="A310" s="66" t="str">
        <f t="shared" si="24"/>
        <v/>
      </c>
      <c r="B310" s="23" t="str">
        <f t="shared" si="20"/>
        <v/>
      </c>
      <c r="C310" s="15"/>
      <c r="D310" s="16"/>
      <c r="E310" s="17"/>
      <c r="F310" s="18"/>
      <c r="G310" s="18"/>
      <c r="H310" s="19"/>
      <c r="I310" s="15"/>
      <c r="J310" s="20"/>
      <c r="K310" s="15"/>
      <c r="L310" s="15"/>
      <c r="M310" s="531" t="str">
        <f>CONCATENATE(IF(OR(L310=phu!$I$1,L310=phu!$I$2,L310=phu!$I$3),"Cam Thành Nam",""),IF(OR(L310=phu!$I$4,L310=phu!$I$5,L310=phu!$I$6,L310=phu!$I$7,L310=phu!$I$8,L310=phu!$I$9,L310=phu!$I$10,L310=phu!$I$11,L310=phu!$I$12,L310=phu!$I$13,L310=phu!$I$14),"Cam Nghĩa",""),IF(OR(L310=phu!$I$15,L310=phu!$I$16,L310=phu!$I$17,L310=phu!$I$18,L310=phu!$I$19,L310=phu!$I$20,L310=phu!$I$21),"Cam Phúc Bắc",""),IF(OR(L310=phu!$I$22,L310=phu!$I$23,L310=phu!$I$24,L310=phu!$I$25),"Cam Phúc Nam",""),IF(OR(L310=phu!$I$26,L310=phu!$I$27,L310=phu!$I$28,L310=phu!$I$29,L310=phu!$I$30,L310=phu!$I$31),"Cam Phú",""),IF(OR(L310=phu!$I$32,L310=phu!$I$33,L310=phu!$I$34,L310=phu!$I$35,L310=phu!$I$36,L310=phu!$I$37),"Cam Lộc",""),IF(OR(L310=phu!$I$38,L310=phu!$I$39,L310=phu!$I$40,L310=phu!$I$41,L310=phu!$I$42,L310=phu!$I$43,L310=phu!$I$44),"Cam Thuận",""),IF(OR(L310=phu!$I$45,L310=phu!$I$46,L310=phu!$I$47,L310=phu!$I$48,L310=phu!$I$49,L310=phu!$I$50,L310=phu!$I$51,L310=phu!$I$52,L310=phu!$I$53),"Cam Linh",""),IF(OR(L310=phu!$I$54,L310=phu!$I$55,L310=phu!$I$56,L310=phu!$I$57,L310=phu!$I$58,L310=phu!$I$59,L310=phu!$I$60,L310=phu!$I$61,L310=phu!$I$62),"Cam Lợi",""),IF(OR(L310=phu!$I$63,L310=phu!$I$64,L310=phu!$I$65,L310=phu!$I$66,L310=phu!$I$67,L310=phu!$I$68,L310=phu!$I$69,L310=phu!$I$70,L310=phu!$I$71),"Ba Ngòi",""),IF(OR(L310=phu!$I$72,L310=phu!$I$73,L310=phu!$I$74,L310=phu!$I$75,L310=phu!$I$76,L310=phu!$I$77,L310=phu!$I$78),"Cam Phước Đông",""),IF(OR(L310=phu!$I$79,L310=phu!$I$80,L310=phu!$I$81,L310=phu!$I$82,L310=phu!$I$83,L310=phu!$I$84),"Cam Thịnh Đông",""),IF(OR(L310=phu!$I$85,L310=phu!$I$86,L310=phu!$I$87,L310=phu!$I$88),"Cam Thịnh Tây",""),IF(OR(L310=phu!$I$89,L310=phu!$I$90),"Cam Lập",""),IF(OR(L310=phu!$I$91,L310=phu!$I$92,L310=phu!$I$93),"Cam Bình",""),IF(OR(L310=phu!$I$94,L310=phu!$I$95,L310=phu!$I$96,L310=phu!$I$97,L310=phu!$I$98,L310=phu!$I$99,L310=phu!$I$100),"Huyện khác",""),IF(OR(L310=phu!$I$101,L310=phu!$I$102),"Tỉnh khác",""))</f>
        <v/>
      </c>
      <c r="N310" s="835" t="str">
        <f t="shared" si="23"/>
        <v/>
      </c>
      <c r="O310" s="20"/>
      <c r="P310" s="20"/>
      <c r="Q310" s="20"/>
      <c r="R310" s="20"/>
      <c r="S310" s="20"/>
      <c r="T310" s="21"/>
      <c r="U310" s="21"/>
      <c r="V310" s="21"/>
      <c r="W310" s="7" t="str">
        <f t="shared" si="21"/>
        <v/>
      </c>
      <c r="X310" s="506" t="str">
        <f t="shared" si="22"/>
        <v/>
      </c>
    </row>
    <row r="311" spans="1:24" x14ac:dyDescent="0.25">
      <c r="A311" s="66" t="str">
        <f t="shared" si="24"/>
        <v/>
      </c>
      <c r="B311" s="23" t="str">
        <f t="shared" si="20"/>
        <v/>
      </c>
      <c r="C311" s="15"/>
      <c r="D311" s="16"/>
      <c r="E311" s="17"/>
      <c r="F311" s="18"/>
      <c r="G311" s="18"/>
      <c r="H311" s="19"/>
      <c r="I311" s="15"/>
      <c r="J311" s="20"/>
      <c r="K311" s="15"/>
      <c r="L311" s="15"/>
      <c r="M311" s="531" t="str">
        <f>CONCATENATE(IF(OR(L311=phu!$I$1,L311=phu!$I$2,L311=phu!$I$3),"Cam Thành Nam",""),IF(OR(L311=phu!$I$4,L311=phu!$I$5,L311=phu!$I$6,L311=phu!$I$7,L311=phu!$I$8,L311=phu!$I$9,L311=phu!$I$10,L311=phu!$I$11,L311=phu!$I$12,L311=phu!$I$13,L311=phu!$I$14),"Cam Nghĩa",""),IF(OR(L311=phu!$I$15,L311=phu!$I$16,L311=phu!$I$17,L311=phu!$I$18,L311=phu!$I$19,L311=phu!$I$20,L311=phu!$I$21),"Cam Phúc Bắc",""),IF(OR(L311=phu!$I$22,L311=phu!$I$23,L311=phu!$I$24,L311=phu!$I$25),"Cam Phúc Nam",""),IF(OR(L311=phu!$I$26,L311=phu!$I$27,L311=phu!$I$28,L311=phu!$I$29,L311=phu!$I$30,L311=phu!$I$31),"Cam Phú",""),IF(OR(L311=phu!$I$32,L311=phu!$I$33,L311=phu!$I$34,L311=phu!$I$35,L311=phu!$I$36,L311=phu!$I$37),"Cam Lộc",""),IF(OR(L311=phu!$I$38,L311=phu!$I$39,L311=phu!$I$40,L311=phu!$I$41,L311=phu!$I$42,L311=phu!$I$43,L311=phu!$I$44),"Cam Thuận",""),IF(OR(L311=phu!$I$45,L311=phu!$I$46,L311=phu!$I$47,L311=phu!$I$48,L311=phu!$I$49,L311=phu!$I$50,L311=phu!$I$51,L311=phu!$I$52,L311=phu!$I$53),"Cam Linh",""),IF(OR(L311=phu!$I$54,L311=phu!$I$55,L311=phu!$I$56,L311=phu!$I$57,L311=phu!$I$58,L311=phu!$I$59,L311=phu!$I$60,L311=phu!$I$61,L311=phu!$I$62),"Cam Lợi",""),IF(OR(L311=phu!$I$63,L311=phu!$I$64,L311=phu!$I$65,L311=phu!$I$66,L311=phu!$I$67,L311=phu!$I$68,L311=phu!$I$69,L311=phu!$I$70,L311=phu!$I$71),"Ba Ngòi",""),IF(OR(L311=phu!$I$72,L311=phu!$I$73,L311=phu!$I$74,L311=phu!$I$75,L311=phu!$I$76,L311=phu!$I$77,L311=phu!$I$78),"Cam Phước Đông",""),IF(OR(L311=phu!$I$79,L311=phu!$I$80,L311=phu!$I$81,L311=phu!$I$82,L311=phu!$I$83,L311=phu!$I$84),"Cam Thịnh Đông",""),IF(OR(L311=phu!$I$85,L311=phu!$I$86,L311=phu!$I$87,L311=phu!$I$88),"Cam Thịnh Tây",""),IF(OR(L311=phu!$I$89,L311=phu!$I$90),"Cam Lập",""),IF(OR(L311=phu!$I$91,L311=phu!$I$92,L311=phu!$I$93),"Cam Bình",""),IF(OR(L311=phu!$I$94,L311=phu!$I$95,L311=phu!$I$96,L311=phu!$I$97,L311=phu!$I$98,L311=phu!$I$99,L311=phu!$I$100),"Huyện khác",""),IF(OR(L311=phu!$I$101,L311=phu!$I$102),"Tỉnh khác",""))</f>
        <v/>
      </c>
      <c r="N311" s="835" t="str">
        <f t="shared" si="23"/>
        <v/>
      </c>
      <c r="O311" s="20"/>
      <c r="P311" s="20"/>
      <c r="Q311" s="20"/>
      <c r="R311" s="20"/>
      <c r="S311" s="20"/>
      <c r="T311" s="21"/>
      <c r="U311" s="21"/>
      <c r="V311" s="21"/>
      <c r="W311" s="7" t="str">
        <f t="shared" si="21"/>
        <v/>
      </c>
      <c r="X311" s="506" t="str">
        <f t="shared" si="22"/>
        <v/>
      </c>
    </row>
    <row r="312" spans="1:24" x14ac:dyDescent="0.25">
      <c r="A312" s="66" t="str">
        <f t="shared" si="24"/>
        <v/>
      </c>
      <c r="B312" s="23" t="str">
        <f t="shared" si="20"/>
        <v/>
      </c>
      <c r="C312" s="15"/>
      <c r="D312" s="16"/>
      <c r="E312" s="17"/>
      <c r="F312" s="18"/>
      <c r="G312" s="18"/>
      <c r="H312" s="19"/>
      <c r="I312" s="15"/>
      <c r="J312" s="20"/>
      <c r="K312" s="15"/>
      <c r="L312" s="15"/>
      <c r="M312" s="531" t="str">
        <f>CONCATENATE(IF(OR(L312=phu!$I$1,L312=phu!$I$2,L312=phu!$I$3),"Cam Thành Nam",""),IF(OR(L312=phu!$I$4,L312=phu!$I$5,L312=phu!$I$6,L312=phu!$I$7,L312=phu!$I$8,L312=phu!$I$9,L312=phu!$I$10,L312=phu!$I$11,L312=phu!$I$12,L312=phu!$I$13,L312=phu!$I$14),"Cam Nghĩa",""),IF(OR(L312=phu!$I$15,L312=phu!$I$16,L312=phu!$I$17,L312=phu!$I$18,L312=phu!$I$19,L312=phu!$I$20,L312=phu!$I$21),"Cam Phúc Bắc",""),IF(OR(L312=phu!$I$22,L312=phu!$I$23,L312=phu!$I$24,L312=phu!$I$25),"Cam Phúc Nam",""),IF(OR(L312=phu!$I$26,L312=phu!$I$27,L312=phu!$I$28,L312=phu!$I$29,L312=phu!$I$30,L312=phu!$I$31),"Cam Phú",""),IF(OR(L312=phu!$I$32,L312=phu!$I$33,L312=phu!$I$34,L312=phu!$I$35,L312=phu!$I$36,L312=phu!$I$37),"Cam Lộc",""),IF(OR(L312=phu!$I$38,L312=phu!$I$39,L312=phu!$I$40,L312=phu!$I$41,L312=phu!$I$42,L312=phu!$I$43,L312=phu!$I$44),"Cam Thuận",""),IF(OR(L312=phu!$I$45,L312=phu!$I$46,L312=phu!$I$47,L312=phu!$I$48,L312=phu!$I$49,L312=phu!$I$50,L312=phu!$I$51,L312=phu!$I$52,L312=phu!$I$53),"Cam Linh",""),IF(OR(L312=phu!$I$54,L312=phu!$I$55,L312=phu!$I$56,L312=phu!$I$57,L312=phu!$I$58,L312=phu!$I$59,L312=phu!$I$60,L312=phu!$I$61,L312=phu!$I$62),"Cam Lợi",""),IF(OR(L312=phu!$I$63,L312=phu!$I$64,L312=phu!$I$65,L312=phu!$I$66,L312=phu!$I$67,L312=phu!$I$68,L312=phu!$I$69,L312=phu!$I$70,L312=phu!$I$71),"Ba Ngòi",""),IF(OR(L312=phu!$I$72,L312=phu!$I$73,L312=phu!$I$74,L312=phu!$I$75,L312=phu!$I$76,L312=phu!$I$77,L312=phu!$I$78),"Cam Phước Đông",""),IF(OR(L312=phu!$I$79,L312=phu!$I$80,L312=phu!$I$81,L312=phu!$I$82,L312=phu!$I$83,L312=phu!$I$84),"Cam Thịnh Đông",""),IF(OR(L312=phu!$I$85,L312=phu!$I$86,L312=phu!$I$87,L312=phu!$I$88),"Cam Thịnh Tây",""),IF(OR(L312=phu!$I$89,L312=phu!$I$90),"Cam Lập",""),IF(OR(L312=phu!$I$91,L312=phu!$I$92,L312=phu!$I$93),"Cam Bình",""),IF(OR(L312=phu!$I$94,L312=phu!$I$95,L312=phu!$I$96,L312=phu!$I$97,L312=phu!$I$98,L312=phu!$I$99,L312=phu!$I$100),"Huyện khác",""),IF(OR(L312=phu!$I$101,L312=phu!$I$102),"Tỉnh khác",""))</f>
        <v/>
      </c>
      <c r="N312" s="835" t="str">
        <f t="shared" si="23"/>
        <v/>
      </c>
      <c r="O312" s="20"/>
      <c r="P312" s="20"/>
      <c r="Q312" s="20"/>
      <c r="R312" s="20"/>
      <c r="S312" s="20"/>
      <c r="T312" s="21"/>
      <c r="U312" s="21"/>
      <c r="V312" s="21"/>
      <c r="W312" s="7" t="str">
        <f t="shared" si="21"/>
        <v/>
      </c>
      <c r="X312" s="506" t="str">
        <f t="shared" si="22"/>
        <v/>
      </c>
    </row>
    <row r="313" spans="1:24" x14ac:dyDescent="0.25">
      <c r="A313" s="66" t="str">
        <f t="shared" si="24"/>
        <v/>
      </c>
      <c r="B313" s="23" t="str">
        <f t="shared" si="20"/>
        <v/>
      </c>
      <c r="C313" s="15"/>
      <c r="D313" s="16"/>
      <c r="E313" s="17"/>
      <c r="F313" s="18"/>
      <c r="G313" s="18"/>
      <c r="H313" s="19"/>
      <c r="I313" s="15"/>
      <c r="J313" s="20"/>
      <c r="K313" s="15"/>
      <c r="L313" s="15"/>
      <c r="M313" s="531" t="str">
        <f>CONCATENATE(IF(OR(L313=phu!$I$1,L313=phu!$I$2,L313=phu!$I$3),"Cam Thành Nam",""),IF(OR(L313=phu!$I$4,L313=phu!$I$5,L313=phu!$I$6,L313=phu!$I$7,L313=phu!$I$8,L313=phu!$I$9,L313=phu!$I$10,L313=phu!$I$11,L313=phu!$I$12,L313=phu!$I$13,L313=phu!$I$14),"Cam Nghĩa",""),IF(OR(L313=phu!$I$15,L313=phu!$I$16,L313=phu!$I$17,L313=phu!$I$18,L313=phu!$I$19,L313=phu!$I$20,L313=phu!$I$21),"Cam Phúc Bắc",""),IF(OR(L313=phu!$I$22,L313=phu!$I$23,L313=phu!$I$24,L313=phu!$I$25),"Cam Phúc Nam",""),IF(OR(L313=phu!$I$26,L313=phu!$I$27,L313=phu!$I$28,L313=phu!$I$29,L313=phu!$I$30,L313=phu!$I$31),"Cam Phú",""),IF(OR(L313=phu!$I$32,L313=phu!$I$33,L313=phu!$I$34,L313=phu!$I$35,L313=phu!$I$36,L313=phu!$I$37),"Cam Lộc",""),IF(OR(L313=phu!$I$38,L313=phu!$I$39,L313=phu!$I$40,L313=phu!$I$41,L313=phu!$I$42,L313=phu!$I$43,L313=phu!$I$44),"Cam Thuận",""),IF(OR(L313=phu!$I$45,L313=phu!$I$46,L313=phu!$I$47,L313=phu!$I$48,L313=phu!$I$49,L313=phu!$I$50,L313=phu!$I$51,L313=phu!$I$52,L313=phu!$I$53),"Cam Linh",""),IF(OR(L313=phu!$I$54,L313=phu!$I$55,L313=phu!$I$56,L313=phu!$I$57,L313=phu!$I$58,L313=phu!$I$59,L313=phu!$I$60,L313=phu!$I$61,L313=phu!$I$62),"Cam Lợi",""),IF(OR(L313=phu!$I$63,L313=phu!$I$64,L313=phu!$I$65,L313=phu!$I$66,L313=phu!$I$67,L313=phu!$I$68,L313=phu!$I$69,L313=phu!$I$70,L313=phu!$I$71),"Ba Ngòi",""),IF(OR(L313=phu!$I$72,L313=phu!$I$73,L313=phu!$I$74,L313=phu!$I$75,L313=phu!$I$76,L313=phu!$I$77,L313=phu!$I$78),"Cam Phước Đông",""),IF(OR(L313=phu!$I$79,L313=phu!$I$80,L313=phu!$I$81,L313=phu!$I$82,L313=phu!$I$83,L313=phu!$I$84),"Cam Thịnh Đông",""),IF(OR(L313=phu!$I$85,L313=phu!$I$86,L313=phu!$I$87,L313=phu!$I$88),"Cam Thịnh Tây",""),IF(OR(L313=phu!$I$89,L313=phu!$I$90),"Cam Lập",""),IF(OR(L313=phu!$I$91,L313=phu!$I$92,L313=phu!$I$93),"Cam Bình",""),IF(OR(L313=phu!$I$94,L313=phu!$I$95,L313=phu!$I$96,L313=phu!$I$97,L313=phu!$I$98,L313=phu!$I$99,L313=phu!$I$100),"Huyện khác",""),IF(OR(L313=phu!$I$101,L313=phu!$I$102),"Tỉnh khác",""))</f>
        <v/>
      </c>
      <c r="N313" s="835" t="str">
        <f t="shared" si="23"/>
        <v/>
      </c>
      <c r="O313" s="20"/>
      <c r="P313" s="20"/>
      <c r="Q313" s="20"/>
      <c r="R313" s="20"/>
      <c r="S313" s="20"/>
      <c r="T313" s="21"/>
      <c r="U313" s="21"/>
      <c r="V313" s="21"/>
      <c r="W313" s="7" t="str">
        <f t="shared" si="21"/>
        <v/>
      </c>
      <c r="X313" s="506" t="str">
        <f t="shared" si="22"/>
        <v/>
      </c>
    </row>
    <row r="314" spans="1:24" x14ac:dyDescent="0.25">
      <c r="A314" s="66" t="str">
        <f t="shared" si="24"/>
        <v/>
      </c>
      <c r="B314" s="23" t="str">
        <f t="shared" si="20"/>
        <v/>
      </c>
      <c r="C314" s="15"/>
      <c r="D314" s="16"/>
      <c r="E314" s="17"/>
      <c r="F314" s="18"/>
      <c r="G314" s="18"/>
      <c r="H314" s="19"/>
      <c r="I314" s="15"/>
      <c r="J314" s="20"/>
      <c r="K314" s="15"/>
      <c r="L314" s="15"/>
      <c r="M314" s="531" t="str">
        <f>CONCATENATE(IF(OR(L314=phu!$I$1,L314=phu!$I$2,L314=phu!$I$3),"Cam Thành Nam",""),IF(OR(L314=phu!$I$4,L314=phu!$I$5,L314=phu!$I$6,L314=phu!$I$7,L314=phu!$I$8,L314=phu!$I$9,L314=phu!$I$10,L314=phu!$I$11,L314=phu!$I$12,L314=phu!$I$13,L314=phu!$I$14),"Cam Nghĩa",""),IF(OR(L314=phu!$I$15,L314=phu!$I$16,L314=phu!$I$17,L314=phu!$I$18,L314=phu!$I$19,L314=phu!$I$20,L314=phu!$I$21),"Cam Phúc Bắc",""),IF(OR(L314=phu!$I$22,L314=phu!$I$23,L314=phu!$I$24,L314=phu!$I$25),"Cam Phúc Nam",""),IF(OR(L314=phu!$I$26,L314=phu!$I$27,L314=phu!$I$28,L314=phu!$I$29,L314=phu!$I$30,L314=phu!$I$31),"Cam Phú",""),IF(OR(L314=phu!$I$32,L314=phu!$I$33,L314=phu!$I$34,L314=phu!$I$35,L314=phu!$I$36,L314=phu!$I$37),"Cam Lộc",""),IF(OR(L314=phu!$I$38,L314=phu!$I$39,L314=phu!$I$40,L314=phu!$I$41,L314=phu!$I$42,L314=phu!$I$43,L314=phu!$I$44),"Cam Thuận",""),IF(OR(L314=phu!$I$45,L314=phu!$I$46,L314=phu!$I$47,L314=phu!$I$48,L314=phu!$I$49,L314=phu!$I$50,L314=phu!$I$51,L314=phu!$I$52,L314=phu!$I$53),"Cam Linh",""),IF(OR(L314=phu!$I$54,L314=phu!$I$55,L314=phu!$I$56,L314=phu!$I$57,L314=phu!$I$58,L314=phu!$I$59,L314=phu!$I$60,L314=phu!$I$61,L314=phu!$I$62),"Cam Lợi",""),IF(OR(L314=phu!$I$63,L314=phu!$I$64,L314=phu!$I$65,L314=phu!$I$66,L314=phu!$I$67,L314=phu!$I$68,L314=phu!$I$69,L314=phu!$I$70,L314=phu!$I$71),"Ba Ngòi",""),IF(OR(L314=phu!$I$72,L314=phu!$I$73,L314=phu!$I$74,L314=phu!$I$75,L314=phu!$I$76,L314=phu!$I$77,L314=phu!$I$78),"Cam Phước Đông",""),IF(OR(L314=phu!$I$79,L314=phu!$I$80,L314=phu!$I$81,L314=phu!$I$82,L314=phu!$I$83,L314=phu!$I$84),"Cam Thịnh Đông",""),IF(OR(L314=phu!$I$85,L314=phu!$I$86,L314=phu!$I$87,L314=phu!$I$88),"Cam Thịnh Tây",""),IF(OR(L314=phu!$I$89,L314=phu!$I$90),"Cam Lập",""),IF(OR(L314=phu!$I$91,L314=phu!$I$92,L314=phu!$I$93),"Cam Bình",""),IF(OR(L314=phu!$I$94,L314=phu!$I$95,L314=phu!$I$96,L314=phu!$I$97,L314=phu!$I$98,L314=phu!$I$99,L314=phu!$I$100),"Huyện khác",""),IF(OR(L314=phu!$I$101,L314=phu!$I$102),"Tỉnh khác",""))</f>
        <v/>
      </c>
      <c r="N314" s="835" t="str">
        <f t="shared" si="23"/>
        <v/>
      </c>
      <c r="O314" s="20"/>
      <c r="P314" s="20"/>
      <c r="Q314" s="20"/>
      <c r="R314" s="20"/>
      <c r="S314" s="20"/>
      <c r="T314" s="21"/>
      <c r="U314" s="21"/>
      <c r="V314" s="21"/>
      <c r="W314" s="7" t="str">
        <f t="shared" si="21"/>
        <v/>
      </c>
      <c r="X314" s="506" t="str">
        <f t="shared" si="22"/>
        <v/>
      </c>
    </row>
    <row r="315" spans="1:24" x14ac:dyDescent="0.25">
      <c r="A315" s="66" t="str">
        <f t="shared" si="24"/>
        <v/>
      </c>
      <c r="B315" s="23" t="str">
        <f t="shared" si="20"/>
        <v/>
      </c>
      <c r="C315" s="15"/>
      <c r="D315" s="16"/>
      <c r="E315" s="17"/>
      <c r="F315" s="18"/>
      <c r="G315" s="18"/>
      <c r="H315" s="19"/>
      <c r="I315" s="15"/>
      <c r="J315" s="20"/>
      <c r="K315" s="15"/>
      <c r="L315" s="15"/>
      <c r="M315" s="531" t="str">
        <f>CONCATENATE(IF(OR(L315=phu!$I$1,L315=phu!$I$2,L315=phu!$I$3),"Cam Thành Nam",""),IF(OR(L315=phu!$I$4,L315=phu!$I$5,L315=phu!$I$6,L315=phu!$I$7,L315=phu!$I$8,L315=phu!$I$9,L315=phu!$I$10,L315=phu!$I$11,L315=phu!$I$12,L315=phu!$I$13,L315=phu!$I$14),"Cam Nghĩa",""),IF(OR(L315=phu!$I$15,L315=phu!$I$16,L315=phu!$I$17,L315=phu!$I$18,L315=phu!$I$19,L315=phu!$I$20,L315=phu!$I$21),"Cam Phúc Bắc",""),IF(OR(L315=phu!$I$22,L315=phu!$I$23,L315=phu!$I$24,L315=phu!$I$25),"Cam Phúc Nam",""),IF(OR(L315=phu!$I$26,L315=phu!$I$27,L315=phu!$I$28,L315=phu!$I$29,L315=phu!$I$30,L315=phu!$I$31),"Cam Phú",""),IF(OR(L315=phu!$I$32,L315=phu!$I$33,L315=phu!$I$34,L315=phu!$I$35,L315=phu!$I$36,L315=phu!$I$37),"Cam Lộc",""),IF(OR(L315=phu!$I$38,L315=phu!$I$39,L315=phu!$I$40,L315=phu!$I$41,L315=phu!$I$42,L315=phu!$I$43,L315=phu!$I$44),"Cam Thuận",""),IF(OR(L315=phu!$I$45,L315=phu!$I$46,L315=phu!$I$47,L315=phu!$I$48,L315=phu!$I$49,L315=phu!$I$50,L315=phu!$I$51,L315=phu!$I$52,L315=phu!$I$53),"Cam Linh",""),IF(OR(L315=phu!$I$54,L315=phu!$I$55,L315=phu!$I$56,L315=phu!$I$57,L315=phu!$I$58,L315=phu!$I$59,L315=phu!$I$60,L315=phu!$I$61,L315=phu!$I$62),"Cam Lợi",""),IF(OR(L315=phu!$I$63,L315=phu!$I$64,L315=phu!$I$65,L315=phu!$I$66,L315=phu!$I$67,L315=phu!$I$68,L315=phu!$I$69,L315=phu!$I$70,L315=phu!$I$71),"Ba Ngòi",""),IF(OR(L315=phu!$I$72,L315=phu!$I$73,L315=phu!$I$74,L315=phu!$I$75,L315=phu!$I$76,L315=phu!$I$77,L315=phu!$I$78),"Cam Phước Đông",""),IF(OR(L315=phu!$I$79,L315=phu!$I$80,L315=phu!$I$81,L315=phu!$I$82,L315=phu!$I$83,L315=phu!$I$84),"Cam Thịnh Đông",""),IF(OR(L315=phu!$I$85,L315=phu!$I$86,L315=phu!$I$87,L315=phu!$I$88),"Cam Thịnh Tây",""),IF(OR(L315=phu!$I$89,L315=phu!$I$90),"Cam Lập",""),IF(OR(L315=phu!$I$91,L315=phu!$I$92,L315=phu!$I$93),"Cam Bình",""),IF(OR(L315=phu!$I$94,L315=phu!$I$95,L315=phu!$I$96,L315=phu!$I$97,L315=phu!$I$98,L315=phu!$I$99,L315=phu!$I$100),"Huyện khác",""),IF(OR(L315=phu!$I$101,L315=phu!$I$102),"Tỉnh khác",""))</f>
        <v/>
      </c>
      <c r="N315" s="835" t="str">
        <f t="shared" si="23"/>
        <v/>
      </c>
      <c r="O315" s="20"/>
      <c r="P315" s="20"/>
      <c r="Q315" s="20"/>
      <c r="R315" s="20"/>
      <c r="S315" s="20"/>
      <c r="T315" s="21"/>
      <c r="U315" s="21"/>
      <c r="V315" s="21"/>
      <c r="W315" s="7" t="str">
        <f t="shared" si="21"/>
        <v/>
      </c>
      <c r="X315" s="506" t="str">
        <f t="shared" si="22"/>
        <v/>
      </c>
    </row>
    <row r="316" spans="1:24" x14ac:dyDescent="0.25">
      <c r="A316" s="66" t="str">
        <f t="shared" si="24"/>
        <v/>
      </c>
      <c r="B316" s="23" t="str">
        <f t="shared" si="20"/>
        <v/>
      </c>
      <c r="C316" s="15"/>
      <c r="D316" s="16"/>
      <c r="E316" s="17"/>
      <c r="F316" s="18"/>
      <c r="G316" s="18"/>
      <c r="H316" s="19"/>
      <c r="I316" s="15"/>
      <c r="J316" s="20"/>
      <c r="K316" s="15"/>
      <c r="L316" s="15"/>
      <c r="M316" s="531" t="str">
        <f>CONCATENATE(IF(OR(L316=phu!$I$1,L316=phu!$I$2,L316=phu!$I$3),"Cam Thành Nam",""),IF(OR(L316=phu!$I$4,L316=phu!$I$5,L316=phu!$I$6,L316=phu!$I$7,L316=phu!$I$8,L316=phu!$I$9,L316=phu!$I$10,L316=phu!$I$11,L316=phu!$I$12,L316=phu!$I$13,L316=phu!$I$14),"Cam Nghĩa",""),IF(OR(L316=phu!$I$15,L316=phu!$I$16,L316=phu!$I$17,L316=phu!$I$18,L316=phu!$I$19,L316=phu!$I$20,L316=phu!$I$21),"Cam Phúc Bắc",""),IF(OR(L316=phu!$I$22,L316=phu!$I$23,L316=phu!$I$24,L316=phu!$I$25),"Cam Phúc Nam",""),IF(OR(L316=phu!$I$26,L316=phu!$I$27,L316=phu!$I$28,L316=phu!$I$29,L316=phu!$I$30,L316=phu!$I$31),"Cam Phú",""),IF(OR(L316=phu!$I$32,L316=phu!$I$33,L316=phu!$I$34,L316=phu!$I$35,L316=phu!$I$36,L316=phu!$I$37),"Cam Lộc",""),IF(OR(L316=phu!$I$38,L316=phu!$I$39,L316=phu!$I$40,L316=phu!$I$41,L316=phu!$I$42,L316=phu!$I$43,L316=phu!$I$44),"Cam Thuận",""),IF(OR(L316=phu!$I$45,L316=phu!$I$46,L316=phu!$I$47,L316=phu!$I$48,L316=phu!$I$49,L316=phu!$I$50,L316=phu!$I$51,L316=phu!$I$52,L316=phu!$I$53),"Cam Linh",""),IF(OR(L316=phu!$I$54,L316=phu!$I$55,L316=phu!$I$56,L316=phu!$I$57,L316=phu!$I$58,L316=phu!$I$59,L316=phu!$I$60,L316=phu!$I$61,L316=phu!$I$62),"Cam Lợi",""),IF(OR(L316=phu!$I$63,L316=phu!$I$64,L316=phu!$I$65,L316=phu!$I$66,L316=phu!$I$67,L316=phu!$I$68,L316=phu!$I$69,L316=phu!$I$70,L316=phu!$I$71),"Ba Ngòi",""),IF(OR(L316=phu!$I$72,L316=phu!$I$73,L316=phu!$I$74,L316=phu!$I$75,L316=phu!$I$76,L316=phu!$I$77,L316=phu!$I$78),"Cam Phước Đông",""),IF(OR(L316=phu!$I$79,L316=phu!$I$80,L316=phu!$I$81,L316=phu!$I$82,L316=phu!$I$83,L316=phu!$I$84),"Cam Thịnh Đông",""),IF(OR(L316=phu!$I$85,L316=phu!$I$86,L316=phu!$I$87,L316=phu!$I$88),"Cam Thịnh Tây",""),IF(OR(L316=phu!$I$89,L316=phu!$I$90),"Cam Lập",""),IF(OR(L316=phu!$I$91,L316=phu!$I$92,L316=phu!$I$93),"Cam Bình",""),IF(OR(L316=phu!$I$94,L316=phu!$I$95,L316=phu!$I$96,L316=phu!$I$97,L316=phu!$I$98,L316=phu!$I$99,L316=phu!$I$100),"Huyện khác",""),IF(OR(L316=phu!$I$101,L316=phu!$I$102),"Tỉnh khác",""))</f>
        <v/>
      </c>
      <c r="N316" s="835" t="str">
        <f t="shared" si="23"/>
        <v/>
      </c>
      <c r="O316" s="20"/>
      <c r="P316" s="20"/>
      <c r="Q316" s="20"/>
      <c r="R316" s="20"/>
      <c r="S316" s="20"/>
      <c r="T316" s="21"/>
      <c r="U316" s="21"/>
      <c r="V316" s="21"/>
      <c r="W316" s="7" t="str">
        <f t="shared" si="21"/>
        <v/>
      </c>
      <c r="X316" s="506" t="str">
        <f t="shared" si="22"/>
        <v/>
      </c>
    </row>
    <row r="317" spans="1:24" x14ac:dyDescent="0.25">
      <c r="A317" s="66" t="str">
        <f t="shared" si="24"/>
        <v/>
      </c>
      <c r="B317" s="23" t="str">
        <f t="shared" si="20"/>
        <v/>
      </c>
      <c r="C317" s="15"/>
      <c r="D317" s="16"/>
      <c r="E317" s="17"/>
      <c r="F317" s="18"/>
      <c r="G317" s="18"/>
      <c r="H317" s="19"/>
      <c r="I317" s="15"/>
      <c r="J317" s="20"/>
      <c r="K317" s="15"/>
      <c r="L317" s="15"/>
      <c r="M317" s="531" t="str">
        <f>CONCATENATE(IF(OR(L317=phu!$I$1,L317=phu!$I$2,L317=phu!$I$3),"Cam Thành Nam",""),IF(OR(L317=phu!$I$4,L317=phu!$I$5,L317=phu!$I$6,L317=phu!$I$7,L317=phu!$I$8,L317=phu!$I$9,L317=phu!$I$10,L317=phu!$I$11,L317=phu!$I$12,L317=phu!$I$13,L317=phu!$I$14),"Cam Nghĩa",""),IF(OR(L317=phu!$I$15,L317=phu!$I$16,L317=phu!$I$17,L317=phu!$I$18,L317=phu!$I$19,L317=phu!$I$20,L317=phu!$I$21),"Cam Phúc Bắc",""),IF(OR(L317=phu!$I$22,L317=phu!$I$23,L317=phu!$I$24,L317=phu!$I$25),"Cam Phúc Nam",""),IF(OR(L317=phu!$I$26,L317=phu!$I$27,L317=phu!$I$28,L317=phu!$I$29,L317=phu!$I$30,L317=phu!$I$31),"Cam Phú",""),IF(OR(L317=phu!$I$32,L317=phu!$I$33,L317=phu!$I$34,L317=phu!$I$35,L317=phu!$I$36,L317=phu!$I$37),"Cam Lộc",""),IF(OR(L317=phu!$I$38,L317=phu!$I$39,L317=phu!$I$40,L317=phu!$I$41,L317=phu!$I$42,L317=phu!$I$43,L317=phu!$I$44),"Cam Thuận",""),IF(OR(L317=phu!$I$45,L317=phu!$I$46,L317=phu!$I$47,L317=phu!$I$48,L317=phu!$I$49,L317=phu!$I$50,L317=phu!$I$51,L317=phu!$I$52,L317=phu!$I$53),"Cam Linh",""),IF(OR(L317=phu!$I$54,L317=phu!$I$55,L317=phu!$I$56,L317=phu!$I$57,L317=phu!$I$58,L317=phu!$I$59,L317=phu!$I$60,L317=phu!$I$61,L317=phu!$I$62),"Cam Lợi",""),IF(OR(L317=phu!$I$63,L317=phu!$I$64,L317=phu!$I$65,L317=phu!$I$66,L317=phu!$I$67,L317=phu!$I$68,L317=phu!$I$69,L317=phu!$I$70,L317=phu!$I$71),"Ba Ngòi",""),IF(OR(L317=phu!$I$72,L317=phu!$I$73,L317=phu!$I$74,L317=phu!$I$75,L317=phu!$I$76,L317=phu!$I$77,L317=phu!$I$78),"Cam Phước Đông",""),IF(OR(L317=phu!$I$79,L317=phu!$I$80,L317=phu!$I$81,L317=phu!$I$82,L317=phu!$I$83,L317=phu!$I$84),"Cam Thịnh Đông",""),IF(OR(L317=phu!$I$85,L317=phu!$I$86,L317=phu!$I$87,L317=phu!$I$88),"Cam Thịnh Tây",""),IF(OR(L317=phu!$I$89,L317=phu!$I$90),"Cam Lập",""),IF(OR(L317=phu!$I$91,L317=phu!$I$92,L317=phu!$I$93),"Cam Bình",""),IF(OR(L317=phu!$I$94,L317=phu!$I$95,L317=phu!$I$96,L317=phu!$I$97,L317=phu!$I$98,L317=phu!$I$99,L317=phu!$I$100),"Huyện khác",""),IF(OR(L317=phu!$I$101,L317=phu!$I$102),"Tỉnh khác",""))</f>
        <v/>
      </c>
      <c r="N317" s="835" t="str">
        <f t="shared" si="23"/>
        <v/>
      </c>
      <c r="O317" s="20"/>
      <c r="P317" s="20"/>
      <c r="Q317" s="20"/>
      <c r="R317" s="20"/>
      <c r="S317" s="20"/>
      <c r="T317" s="21"/>
      <c r="U317" s="21"/>
      <c r="V317" s="21"/>
      <c r="W317" s="7" t="str">
        <f t="shared" si="21"/>
        <v/>
      </c>
      <c r="X317" s="506" t="str">
        <f t="shared" si="22"/>
        <v/>
      </c>
    </row>
    <row r="318" spans="1:24" x14ac:dyDescent="0.25">
      <c r="A318" s="66" t="str">
        <f t="shared" si="24"/>
        <v/>
      </c>
      <c r="B318" s="23" t="str">
        <f t="shared" si="20"/>
        <v/>
      </c>
      <c r="C318" s="15"/>
      <c r="D318" s="16"/>
      <c r="E318" s="17"/>
      <c r="F318" s="18"/>
      <c r="G318" s="18"/>
      <c r="H318" s="19"/>
      <c r="I318" s="15"/>
      <c r="J318" s="20"/>
      <c r="K318" s="15"/>
      <c r="L318" s="15"/>
      <c r="M318" s="531" t="str">
        <f>CONCATENATE(IF(OR(L318=phu!$I$1,L318=phu!$I$2,L318=phu!$I$3),"Cam Thành Nam",""),IF(OR(L318=phu!$I$4,L318=phu!$I$5,L318=phu!$I$6,L318=phu!$I$7,L318=phu!$I$8,L318=phu!$I$9,L318=phu!$I$10,L318=phu!$I$11,L318=phu!$I$12,L318=phu!$I$13,L318=phu!$I$14),"Cam Nghĩa",""),IF(OR(L318=phu!$I$15,L318=phu!$I$16,L318=phu!$I$17,L318=phu!$I$18,L318=phu!$I$19,L318=phu!$I$20,L318=phu!$I$21),"Cam Phúc Bắc",""),IF(OR(L318=phu!$I$22,L318=phu!$I$23,L318=phu!$I$24,L318=phu!$I$25),"Cam Phúc Nam",""),IF(OR(L318=phu!$I$26,L318=phu!$I$27,L318=phu!$I$28,L318=phu!$I$29,L318=phu!$I$30,L318=phu!$I$31),"Cam Phú",""),IF(OR(L318=phu!$I$32,L318=phu!$I$33,L318=phu!$I$34,L318=phu!$I$35,L318=phu!$I$36,L318=phu!$I$37),"Cam Lộc",""),IF(OR(L318=phu!$I$38,L318=phu!$I$39,L318=phu!$I$40,L318=phu!$I$41,L318=phu!$I$42,L318=phu!$I$43,L318=phu!$I$44),"Cam Thuận",""),IF(OR(L318=phu!$I$45,L318=phu!$I$46,L318=phu!$I$47,L318=phu!$I$48,L318=phu!$I$49,L318=phu!$I$50,L318=phu!$I$51,L318=phu!$I$52,L318=phu!$I$53),"Cam Linh",""),IF(OR(L318=phu!$I$54,L318=phu!$I$55,L318=phu!$I$56,L318=phu!$I$57,L318=phu!$I$58,L318=phu!$I$59,L318=phu!$I$60,L318=phu!$I$61,L318=phu!$I$62),"Cam Lợi",""),IF(OR(L318=phu!$I$63,L318=phu!$I$64,L318=phu!$I$65,L318=phu!$I$66,L318=phu!$I$67,L318=phu!$I$68,L318=phu!$I$69,L318=phu!$I$70,L318=phu!$I$71),"Ba Ngòi",""),IF(OR(L318=phu!$I$72,L318=phu!$I$73,L318=phu!$I$74,L318=phu!$I$75,L318=phu!$I$76,L318=phu!$I$77,L318=phu!$I$78),"Cam Phước Đông",""),IF(OR(L318=phu!$I$79,L318=phu!$I$80,L318=phu!$I$81,L318=phu!$I$82,L318=phu!$I$83,L318=phu!$I$84),"Cam Thịnh Đông",""),IF(OR(L318=phu!$I$85,L318=phu!$I$86,L318=phu!$I$87,L318=phu!$I$88),"Cam Thịnh Tây",""),IF(OR(L318=phu!$I$89,L318=phu!$I$90),"Cam Lập",""),IF(OR(L318=phu!$I$91,L318=phu!$I$92,L318=phu!$I$93),"Cam Bình",""),IF(OR(L318=phu!$I$94,L318=phu!$I$95,L318=phu!$I$96,L318=phu!$I$97,L318=phu!$I$98,L318=phu!$I$99,L318=phu!$I$100),"Huyện khác",""),IF(OR(L318=phu!$I$101,L318=phu!$I$102),"Tỉnh khác",""))</f>
        <v/>
      </c>
      <c r="N318" s="835" t="str">
        <f t="shared" si="23"/>
        <v/>
      </c>
      <c r="O318" s="20"/>
      <c r="P318" s="20"/>
      <c r="Q318" s="20"/>
      <c r="R318" s="20"/>
      <c r="S318" s="20"/>
      <c r="T318" s="21"/>
      <c r="U318" s="21"/>
      <c r="V318" s="21"/>
      <c r="W318" s="7" t="str">
        <f t="shared" si="21"/>
        <v/>
      </c>
      <c r="X318" s="506" t="str">
        <f t="shared" si="22"/>
        <v/>
      </c>
    </row>
    <row r="319" spans="1:24" x14ac:dyDescent="0.25">
      <c r="A319" s="66" t="str">
        <f t="shared" si="24"/>
        <v/>
      </c>
      <c r="B319" s="23" t="str">
        <f t="shared" si="20"/>
        <v/>
      </c>
      <c r="C319" s="15"/>
      <c r="D319" s="16"/>
      <c r="E319" s="17"/>
      <c r="F319" s="18"/>
      <c r="G319" s="18"/>
      <c r="H319" s="19"/>
      <c r="I319" s="15"/>
      <c r="J319" s="20"/>
      <c r="K319" s="15"/>
      <c r="L319" s="15"/>
      <c r="M319" s="531" t="str">
        <f>CONCATENATE(IF(OR(L319=phu!$I$1,L319=phu!$I$2,L319=phu!$I$3),"Cam Thành Nam",""),IF(OR(L319=phu!$I$4,L319=phu!$I$5,L319=phu!$I$6,L319=phu!$I$7,L319=phu!$I$8,L319=phu!$I$9,L319=phu!$I$10,L319=phu!$I$11,L319=phu!$I$12,L319=phu!$I$13,L319=phu!$I$14),"Cam Nghĩa",""),IF(OR(L319=phu!$I$15,L319=phu!$I$16,L319=phu!$I$17,L319=phu!$I$18,L319=phu!$I$19,L319=phu!$I$20,L319=phu!$I$21),"Cam Phúc Bắc",""),IF(OR(L319=phu!$I$22,L319=phu!$I$23,L319=phu!$I$24,L319=phu!$I$25),"Cam Phúc Nam",""),IF(OR(L319=phu!$I$26,L319=phu!$I$27,L319=phu!$I$28,L319=phu!$I$29,L319=phu!$I$30,L319=phu!$I$31),"Cam Phú",""),IF(OR(L319=phu!$I$32,L319=phu!$I$33,L319=phu!$I$34,L319=phu!$I$35,L319=phu!$I$36,L319=phu!$I$37),"Cam Lộc",""),IF(OR(L319=phu!$I$38,L319=phu!$I$39,L319=phu!$I$40,L319=phu!$I$41,L319=phu!$I$42,L319=phu!$I$43,L319=phu!$I$44),"Cam Thuận",""),IF(OR(L319=phu!$I$45,L319=phu!$I$46,L319=phu!$I$47,L319=phu!$I$48,L319=phu!$I$49,L319=phu!$I$50,L319=phu!$I$51,L319=phu!$I$52,L319=phu!$I$53),"Cam Linh",""),IF(OR(L319=phu!$I$54,L319=phu!$I$55,L319=phu!$I$56,L319=phu!$I$57,L319=phu!$I$58,L319=phu!$I$59,L319=phu!$I$60,L319=phu!$I$61,L319=phu!$I$62),"Cam Lợi",""),IF(OR(L319=phu!$I$63,L319=phu!$I$64,L319=phu!$I$65,L319=phu!$I$66,L319=phu!$I$67,L319=phu!$I$68,L319=phu!$I$69,L319=phu!$I$70,L319=phu!$I$71),"Ba Ngòi",""),IF(OR(L319=phu!$I$72,L319=phu!$I$73,L319=phu!$I$74,L319=phu!$I$75,L319=phu!$I$76,L319=phu!$I$77,L319=phu!$I$78),"Cam Phước Đông",""),IF(OR(L319=phu!$I$79,L319=phu!$I$80,L319=phu!$I$81,L319=phu!$I$82,L319=phu!$I$83,L319=phu!$I$84),"Cam Thịnh Đông",""),IF(OR(L319=phu!$I$85,L319=phu!$I$86,L319=phu!$I$87,L319=phu!$I$88),"Cam Thịnh Tây",""),IF(OR(L319=phu!$I$89,L319=phu!$I$90),"Cam Lập",""),IF(OR(L319=phu!$I$91,L319=phu!$I$92,L319=phu!$I$93),"Cam Bình",""),IF(OR(L319=phu!$I$94,L319=phu!$I$95,L319=phu!$I$96,L319=phu!$I$97,L319=phu!$I$98,L319=phu!$I$99,L319=phu!$I$100),"Huyện khác",""),IF(OR(L319=phu!$I$101,L319=phu!$I$102),"Tỉnh khác",""))</f>
        <v/>
      </c>
      <c r="N319" s="835" t="str">
        <f t="shared" si="23"/>
        <v/>
      </c>
      <c r="O319" s="20"/>
      <c r="P319" s="20"/>
      <c r="Q319" s="20"/>
      <c r="R319" s="20"/>
      <c r="S319" s="20"/>
      <c r="T319" s="21"/>
      <c r="U319" s="21"/>
      <c r="V319" s="21"/>
      <c r="W319" s="7" t="str">
        <f t="shared" si="21"/>
        <v/>
      </c>
      <c r="X319" s="506" t="str">
        <f t="shared" si="22"/>
        <v/>
      </c>
    </row>
    <row r="320" spans="1:24" x14ac:dyDescent="0.25">
      <c r="A320" s="66" t="str">
        <f t="shared" si="24"/>
        <v/>
      </c>
      <c r="B320" s="23" t="str">
        <f t="shared" si="20"/>
        <v/>
      </c>
      <c r="C320" s="15"/>
      <c r="D320" s="16"/>
      <c r="E320" s="17"/>
      <c r="F320" s="18"/>
      <c r="G320" s="18"/>
      <c r="H320" s="19"/>
      <c r="I320" s="15"/>
      <c r="J320" s="20"/>
      <c r="K320" s="15"/>
      <c r="L320" s="15"/>
      <c r="M320" s="531" t="str">
        <f>CONCATENATE(IF(OR(L320=phu!$I$1,L320=phu!$I$2,L320=phu!$I$3),"Cam Thành Nam",""),IF(OR(L320=phu!$I$4,L320=phu!$I$5,L320=phu!$I$6,L320=phu!$I$7,L320=phu!$I$8,L320=phu!$I$9,L320=phu!$I$10,L320=phu!$I$11,L320=phu!$I$12,L320=phu!$I$13,L320=phu!$I$14),"Cam Nghĩa",""),IF(OR(L320=phu!$I$15,L320=phu!$I$16,L320=phu!$I$17,L320=phu!$I$18,L320=phu!$I$19,L320=phu!$I$20,L320=phu!$I$21),"Cam Phúc Bắc",""),IF(OR(L320=phu!$I$22,L320=phu!$I$23,L320=phu!$I$24,L320=phu!$I$25),"Cam Phúc Nam",""),IF(OR(L320=phu!$I$26,L320=phu!$I$27,L320=phu!$I$28,L320=phu!$I$29,L320=phu!$I$30,L320=phu!$I$31),"Cam Phú",""),IF(OR(L320=phu!$I$32,L320=phu!$I$33,L320=phu!$I$34,L320=phu!$I$35,L320=phu!$I$36,L320=phu!$I$37),"Cam Lộc",""),IF(OR(L320=phu!$I$38,L320=phu!$I$39,L320=phu!$I$40,L320=phu!$I$41,L320=phu!$I$42,L320=phu!$I$43,L320=phu!$I$44),"Cam Thuận",""),IF(OR(L320=phu!$I$45,L320=phu!$I$46,L320=phu!$I$47,L320=phu!$I$48,L320=phu!$I$49,L320=phu!$I$50,L320=phu!$I$51,L320=phu!$I$52,L320=phu!$I$53),"Cam Linh",""),IF(OR(L320=phu!$I$54,L320=phu!$I$55,L320=phu!$I$56,L320=phu!$I$57,L320=phu!$I$58,L320=phu!$I$59,L320=phu!$I$60,L320=phu!$I$61,L320=phu!$I$62),"Cam Lợi",""),IF(OR(L320=phu!$I$63,L320=phu!$I$64,L320=phu!$I$65,L320=phu!$I$66,L320=phu!$I$67,L320=phu!$I$68,L320=phu!$I$69,L320=phu!$I$70,L320=phu!$I$71),"Ba Ngòi",""),IF(OR(L320=phu!$I$72,L320=phu!$I$73,L320=phu!$I$74,L320=phu!$I$75,L320=phu!$I$76,L320=phu!$I$77,L320=phu!$I$78),"Cam Phước Đông",""),IF(OR(L320=phu!$I$79,L320=phu!$I$80,L320=phu!$I$81,L320=phu!$I$82,L320=phu!$I$83,L320=phu!$I$84),"Cam Thịnh Đông",""),IF(OR(L320=phu!$I$85,L320=phu!$I$86,L320=phu!$I$87,L320=phu!$I$88),"Cam Thịnh Tây",""),IF(OR(L320=phu!$I$89,L320=phu!$I$90),"Cam Lập",""),IF(OR(L320=phu!$I$91,L320=phu!$I$92,L320=phu!$I$93),"Cam Bình",""),IF(OR(L320=phu!$I$94,L320=phu!$I$95,L320=phu!$I$96,L320=phu!$I$97,L320=phu!$I$98,L320=phu!$I$99,L320=phu!$I$100),"Huyện khác",""),IF(OR(L320=phu!$I$101,L320=phu!$I$102),"Tỉnh khác",""))</f>
        <v/>
      </c>
      <c r="N320" s="835" t="str">
        <f t="shared" si="23"/>
        <v/>
      </c>
      <c r="O320" s="20"/>
      <c r="P320" s="20"/>
      <c r="Q320" s="20"/>
      <c r="R320" s="20"/>
      <c r="S320" s="20"/>
      <c r="T320" s="21"/>
      <c r="U320" s="21"/>
      <c r="V320" s="21"/>
      <c r="W320" s="7" t="str">
        <f t="shared" si="21"/>
        <v/>
      </c>
      <c r="X320" s="506" t="str">
        <f t="shared" si="22"/>
        <v/>
      </c>
    </row>
    <row r="321" spans="1:24" x14ac:dyDescent="0.25">
      <c r="A321" s="66" t="str">
        <f t="shared" si="24"/>
        <v/>
      </c>
      <c r="B321" s="23" t="str">
        <f t="shared" si="20"/>
        <v/>
      </c>
      <c r="C321" s="15"/>
      <c r="D321" s="16"/>
      <c r="E321" s="17"/>
      <c r="F321" s="18"/>
      <c r="G321" s="18"/>
      <c r="H321" s="19"/>
      <c r="I321" s="15"/>
      <c r="J321" s="20"/>
      <c r="K321" s="15"/>
      <c r="L321" s="15"/>
      <c r="M321" s="531" t="str">
        <f>CONCATENATE(IF(OR(L321=phu!$I$1,L321=phu!$I$2,L321=phu!$I$3),"Cam Thành Nam",""),IF(OR(L321=phu!$I$4,L321=phu!$I$5,L321=phu!$I$6,L321=phu!$I$7,L321=phu!$I$8,L321=phu!$I$9,L321=phu!$I$10,L321=phu!$I$11,L321=phu!$I$12,L321=phu!$I$13,L321=phu!$I$14),"Cam Nghĩa",""),IF(OR(L321=phu!$I$15,L321=phu!$I$16,L321=phu!$I$17,L321=phu!$I$18,L321=phu!$I$19,L321=phu!$I$20,L321=phu!$I$21),"Cam Phúc Bắc",""),IF(OR(L321=phu!$I$22,L321=phu!$I$23,L321=phu!$I$24,L321=phu!$I$25),"Cam Phúc Nam",""),IF(OR(L321=phu!$I$26,L321=phu!$I$27,L321=phu!$I$28,L321=phu!$I$29,L321=phu!$I$30,L321=phu!$I$31),"Cam Phú",""),IF(OR(L321=phu!$I$32,L321=phu!$I$33,L321=phu!$I$34,L321=phu!$I$35,L321=phu!$I$36,L321=phu!$I$37),"Cam Lộc",""),IF(OR(L321=phu!$I$38,L321=phu!$I$39,L321=phu!$I$40,L321=phu!$I$41,L321=phu!$I$42,L321=phu!$I$43,L321=phu!$I$44),"Cam Thuận",""),IF(OR(L321=phu!$I$45,L321=phu!$I$46,L321=phu!$I$47,L321=phu!$I$48,L321=phu!$I$49,L321=phu!$I$50,L321=phu!$I$51,L321=phu!$I$52,L321=phu!$I$53),"Cam Linh",""),IF(OR(L321=phu!$I$54,L321=phu!$I$55,L321=phu!$I$56,L321=phu!$I$57,L321=phu!$I$58,L321=phu!$I$59,L321=phu!$I$60,L321=phu!$I$61,L321=phu!$I$62),"Cam Lợi",""),IF(OR(L321=phu!$I$63,L321=phu!$I$64,L321=phu!$I$65,L321=phu!$I$66,L321=phu!$I$67,L321=phu!$I$68,L321=phu!$I$69,L321=phu!$I$70,L321=phu!$I$71),"Ba Ngòi",""),IF(OR(L321=phu!$I$72,L321=phu!$I$73,L321=phu!$I$74,L321=phu!$I$75,L321=phu!$I$76,L321=phu!$I$77,L321=phu!$I$78),"Cam Phước Đông",""),IF(OR(L321=phu!$I$79,L321=phu!$I$80,L321=phu!$I$81,L321=phu!$I$82,L321=phu!$I$83,L321=phu!$I$84),"Cam Thịnh Đông",""),IF(OR(L321=phu!$I$85,L321=phu!$I$86,L321=phu!$I$87,L321=phu!$I$88),"Cam Thịnh Tây",""),IF(OR(L321=phu!$I$89,L321=phu!$I$90),"Cam Lập",""),IF(OR(L321=phu!$I$91,L321=phu!$I$92,L321=phu!$I$93),"Cam Bình",""),IF(OR(L321=phu!$I$94,L321=phu!$I$95,L321=phu!$I$96,L321=phu!$I$97,L321=phu!$I$98,L321=phu!$I$99,L321=phu!$I$100),"Huyện khác",""),IF(OR(L321=phu!$I$101,L321=phu!$I$102),"Tỉnh khác",""))</f>
        <v/>
      </c>
      <c r="N321" s="835" t="str">
        <f t="shared" si="23"/>
        <v/>
      </c>
      <c r="O321" s="20"/>
      <c r="P321" s="20"/>
      <c r="Q321" s="20"/>
      <c r="R321" s="20"/>
      <c r="S321" s="20"/>
      <c r="T321" s="21"/>
      <c r="U321" s="21"/>
      <c r="V321" s="21"/>
      <c r="W321" s="7" t="str">
        <f t="shared" si="21"/>
        <v/>
      </c>
      <c r="X321" s="506" t="str">
        <f t="shared" si="22"/>
        <v/>
      </c>
    </row>
    <row r="322" spans="1:24" x14ac:dyDescent="0.25">
      <c r="A322" s="66" t="str">
        <f t="shared" si="24"/>
        <v/>
      </c>
      <c r="B322" s="23" t="str">
        <f t="shared" si="20"/>
        <v/>
      </c>
      <c r="C322" s="15"/>
      <c r="D322" s="16"/>
      <c r="E322" s="17"/>
      <c r="F322" s="18"/>
      <c r="G322" s="18"/>
      <c r="H322" s="19"/>
      <c r="I322" s="15"/>
      <c r="J322" s="20"/>
      <c r="K322" s="15"/>
      <c r="L322" s="15"/>
      <c r="M322" s="531" t="str">
        <f>CONCATENATE(IF(OR(L322=phu!$I$1,L322=phu!$I$2,L322=phu!$I$3),"Cam Thành Nam",""),IF(OR(L322=phu!$I$4,L322=phu!$I$5,L322=phu!$I$6,L322=phu!$I$7,L322=phu!$I$8,L322=phu!$I$9,L322=phu!$I$10,L322=phu!$I$11,L322=phu!$I$12,L322=phu!$I$13,L322=phu!$I$14),"Cam Nghĩa",""),IF(OR(L322=phu!$I$15,L322=phu!$I$16,L322=phu!$I$17,L322=phu!$I$18,L322=phu!$I$19,L322=phu!$I$20,L322=phu!$I$21),"Cam Phúc Bắc",""),IF(OR(L322=phu!$I$22,L322=phu!$I$23,L322=phu!$I$24,L322=phu!$I$25),"Cam Phúc Nam",""),IF(OR(L322=phu!$I$26,L322=phu!$I$27,L322=phu!$I$28,L322=phu!$I$29,L322=phu!$I$30,L322=phu!$I$31),"Cam Phú",""),IF(OR(L322=phu!$I$32,L322=phu!$I$33,L322=phu!$I$34,L322=phu!$I$35,L322=phu!$I$36,L322=phu!$I$37),"Cam Lộc",""),IF(OR(L322=phu!$I$38,L322=phu!$I$39,L322=phu!$I$40,L322=phu!$I$41,L322=phu!$I$42,L322=phu!$I$43,L322=phu!$I$44),"Cam Thuận",""),IF(OR(L322=phu!$I$45,L322=phu!$I$46,L322=phu!$I$47,L322=phu!$I$48,L322=phu!$I$49,L322=phu!$I$50,L322=phu!$I$51,L322=phu!$I$52,L322=phu!$I$53),"Cam Linh",""),IF(OR(L322=phu!$I$54,L322=phu!$I$55,L322=phu!$I$56,L322=phu!$I$57,L322=phu!$I$58,L322=phu!$I$59,L322=phu!$I$60,L322=phu!$I$61,L322=phu!$I$62),"Cam Lợi",""),IF(OR(L322=phu!$I$63,L322=phu!$I$64,L322=phu!$I$65,L322=phu!$I$66,L322=phu!$I$67,L322=phu!$I$68,L322=phu!$I$69,L322=phu!$I$70,L322=phu!$I$71),"Ba Ngòi",""),IF(OR(L322=phu!$I$72,L322=phu!$I$73,L322=phu!$I$74,L322=phu!$I$75,L322=phu!$I$76,L322=phu!$I$77,L322=phu!$I$78),"Cam Phước Đông",""),IF(OR(L322=phu!$I$79,L322=phu!$I$80,L322=phu!$I$81,L322=phu!$I$82,L322=phu!$I$83,L322=phu!$I$84),"Cam Thịnh Đông",""),IF(OR(L322=phu!$I$85,L322=phu!$I$86,L322=phu!$I$87,L322=phu!$I$88),"Cam Thịnh Tây",""),IF(OR(L322=phu!$I$89,L322=phu!$I$90),"Cam Lập",""),IF(OR(L322=phu!$I$91,L322=phu!$I$92,L322=phu!$I$93),"Cam Bình",""),IF(OR(L322=phu!$I$94,L322=phu!$I$95,L322=phu!$I$96,L322=phu!$I$97,L322=phu!$I$98,L322=phu!$I$99,L322=phu!$I$100),"Huyện khác",""),IF(OR(L322=phu!$I$101,L322=phu!$I$102),"Tỉnh khác",""))</f>
        <v/>
      </c>
      <c r="N322" s="835" t="str">
        <f t="shared" si="23"/>
        <v/>
      </c>
      <c r="O322" s="20"/>
      <c r="P322" s="20"/>
      <c r="Q322" s="20"/>
      <c r="R322" s="20"/>
      <c r="S322" s="20"/>
      <c r="T322" s="21"/>
      <c r="U322" s="21"/>
      <c r="V322" s="21"/>
      <c r="W322" s="7" t="str">
        <f t="shared" si="21"/>
        <v/>
      </c>
      <c r="X322" s="506" t="str">
        <f t="shared" si="22"/>
        <v/>
      </c>
    </row>
    <row r="323" spans="1:24" x14ac:dyDescent="0.25">
      <c r="A323" s="66" t="str">
        <f t="shared" si="24"/>
        <v/>
      </c>
      <c r="B323" s="23" t="str">
        <f t="shared" si="20"/>
        <v/>
      </c>
      <c r="C323" s="15"/>
      <c r="D323" s="16"/>
      <c r="E323" s="17"/>
      <c r="F323" s="18"/>
      <c r="G323" s="18"/>
      <c r="H323" s="19"/>
      <c r="I323" s="15"/>
      <c r="J323" s="20"/>
      <c r="K323" s="15"/>
      <c r="L323" s="15"/>
      <c r="M323" s="531" t="str">
        <f>CONCATENATE(IF(OR(L323=phu!$I$1,L323=phu!$I$2,L323=phu!$I$3),"Cam Thành Nam",""),IF(OR(L323=phu!$I$4,L323=phu!$I$5,L323=phu!$I$6,L323=phu!$I$7,L323=phu!$I$8,L323=phu!$I$9,L323=phu!$I$10,L323=phu!$I$11,L323=phu!$I$12,L323=phu!$I$13,L323=phu!$I$14),"Cam Nghĩa",""),IF(OR(L323=phu!$I$15,L323=phu!$I$16,L323=phu!$I$17,L323=phu!$I$18,L323=phu!$I$19,L323=phu!$I$20,L323=phu!$I$21),"Cam Phúc Bắc",""),IF(OR(L323=phu!$I$22,L323=phu!$I$23,L323=phu!$I$24,L323=phu!$I$25),"Cam Phúc Nam",""),IF(OR(L323=phu!$I$26,L323=phu!$I$27,L323=phu!$I$28,L323=phu!$I$29,L323=phu!$I$30,L323=phu!$I$31),"Cam Phú",""),IF(OR(L323=phu!$I$32,L323=phu!$I$33,L323=phu!$I$34,L323=phu!$I$35,L323=phu!$I$36,L323=phu!$I$37),"Cam Lộc",""),IF(OR(L323=phu!$I$38,L323=phu!$I$39,L323=phu!$I$40,L323=phu!$I$41,L323=phu!$I$42,L323=phu!$I$43,L323=phu!$I$44),"Cam Thuận",""),IF(OR(L323=phu!$I$45,L323=phu!$I$46,L323=phu!$I$47,L323=phu!$I$48,L323=phu!$I$49,L323=phu!$I$50,L323=phu!$I$51,L323=phu!$I$52,L323=phu!$I$53),"Cam Linh",""),IF(OR(L323=phu!$I$54,L323=phu!$I$55,L323=phu!$I$56,L323=phu!$I$57,L323=phu!$I$58,L323=phu!$I$59,L323=phu!$I$60,L323=phu!$I$61,L323=phu!$I$62),"Cam Lợi",""),IF(OR(L323=phu!$I$63,L323=phu!$I$64,L323=phu!$I$65,L323=phu!$I$66,L323=phu!$I$67,L323=phu!$I$68,L323=phu!$I$69,L323=phu!$I$70,L323=phu!$I$71),"Ba Ngòi",""),IF(OR(L323=phu!$I$72,L323=phu!$I$73,L323=phu!$I$74,L323=phu!$I$75,L323=phu!$I$76,L323=phu!$I$77,L323=phu!$I$78),"Cam Phước Đông",""),IF(OR(L323=phu!$I$79,L323=phu!$I$80,L323=phu!$I$81,L323=phu!$I$82,L323=phu!$I$83,L323=phu!$I$84),"Cam Thịnh Đông",""),IF(OR(L323=phu!$I$85,L323=phu!$I$86,L323=phu!$I$87,L323=phu!$I$88),"Cam Thịnh Tây",""),IF(OR(L323=phu!$I$89,L323=phu!$I$90),"Cam Lập",""),IF(OR(L323=phu!$I$91,L323=phu!$I$92,L323=phu!$I$93),"Cam Bình",""),IF(OR(L323=phu!$I$94,L323=phu!$I$95,L323=phu!$I$96,L323=phu!$I$97,L323=phu!$I$98,L323=phu!$I$99,L323=phu!$I$100),"Huyện khác",""),IF(OR(L323=phu!$I$101,L323=phu!$I$102),"Tỉnh khác",""))</f>
        <v/>
      </c>
      <c r="N323" s="835" t="str">
        <f t="shared" si="23"/>
        <v/>
      </c>
      <c r="O323" s="20"/>
      <c r="P323" s="20"/>
      <c r="Q323" s="20"/>
      <c r="R323" s="20"/>
      <c r="S323" s="20"/>
      <c r="T323" s="21"/>
      <c r="U323" s="21"/>
      <c r="V323" s="21"/>
      <c r="W323" s="7" t="str">
        <f t="shared" si="21"/>
        <v/>
      </c>
      <c r="X323" s="506" t="str">
        <f t="shared" si="22"/>
        <v/>
      </c>
    </row>
    <row r="324" spans="1:24" x14ac:dyDescent="0.25">
      <c r="A324" s="66" t="str">
        <f t="shared" si="24"/>
        <v/>
      </c>
      <c r="B324" s="23" t="str">
        <f t="shared" si="20"/>
        <v/>
      </c>
      <c r="C324" s="15"/>
      <c r="D324" s="16"/>
      <c r="E324" s="17"/>
      <c r="F324" s="18"/>
      <c r="G324" s="18"/>
      <c r="H324" s="19"/>
      <c r="I324" s="15"/>
      <c r="J324" s="20"/>
      <c r="K324" s="15"/>
      <c r="L324" s="15"/>
      <c r="M324" s="531" t="str">
        <f>CONCATENATE(IF(OR(L324=phu!$I$1,L324=phu!$I$2,L324=phu!$I$3),"Cam Thành Nam",""),IF(OR(L324=phu!$I$4,L324=phu!$I$5,L324=phu!$I$6,L324=phu!$I$7,L324=phu!$I$8,L324=phu!$I$9,L324=phu!$I$10,L324=phu!$I$11,L324=phu!$I$12,L324=phu!$I$13,L324=phu!$I$14),"Cam Nghĩa",""),IF(OR(L324=phu!$I$15,L324=phu!$I$16,L324=phu!$I$17,L324=phu!$I$18,L324=phu!$I$19,L324=phu!$I$20,L324=phu!$I$21),"Cam Phúc Bắc",""),IF(OR(L324=phu!$I$22,L324=phu!$I$23,L324=phu!$I$24,L324=phu!$I$25),"Cam Phúc Nam",""),IF(OR(L324=phu!$I$26,L324=phu!$I$27,L324=phu!$I$28,L324=phu!$I$29,L324=phu!$I$30,L324=phu!$I$31),"Cam Phú",""),IF(OR(L324=phu!$I$32,L324=phu!$I$33,L324=phu!$I$34,L324=phu!$I$35,L324=phu!$I$36,L324=phu!$I$37),"Cam Lộc",""),IF(OR(L324=phu!$I$38,L324=phu!$I$39,L324=phu!$I$40,L324=phu!$I$41,L324=phu!$I$42,L324=phu!$I$43,L324=phu!$I$44),"Cam Thuận",""),IF(OR(L324=phu!$I$45,L324=phu!$I$46,L324=phu!$I$47,L324=phu!$I$48,L324=phu!$I$49,L324=phu!$I$50,L324=phu!$I$51,L324=phu!$I$52,L324=phu!$I$53),"Cam Linh",""),IF(OR(L324=phu!$I$54,L324=phu!$I$55,L324=phu!$I$56,L324=phu!$I$57,L324=phu!$I$58,L324=phu!$I$59,L324=phu!$I$60,L324=phu!$I$61,L324=phu!$I$62),"Cam Lợi",""),IF(OR(L324=phu!$I$63,L324=phu!$I$64,L324=phu!$I$65,L324=phu!$I$66,L324=phu!$I$67,L324=phu!$I$68,L324=phu!$I$69,L324=phu!$I$70,L324=phu!$I$71),"Ba Ngòi",""),IF(OR(L324=phu!$I$72,L324=phu!$I$73,L324=phu!$I$74,L324=phu!$I$75,L324=phu!$I$76,L324=phu!$I$77,L324=phu!$I$78),"Cam Phước Đông",""),IF(OR(L324=phu!$I$79,L324=phu!$I$80,L324=phu!$I$81,L324=phu!$I$82,L324=phu!$I$83,L324=phu!$I$84),"Cam Thịnh Đông",""),IF(OR(L324=phu!$I$85,L324=phu!$I$86,L324=phu!$I$87,L324=phu!$I$88),"Cam Thịnh Tây",""),IF(OR(L324=phu!$I$89,L324=phu!$I$90),"Cam Lập",""),IF(OR(L324=phu!$I$91,L324=phu!$I$92,L324=phu!$I$93),"Cam Bình",""),IF(OR(L324=phu!$I$94,L324=phu!$I$95,L324=phu!$I$96,L324=phu!$I$97,L324=phu!$I$98,L324=phu!$I$99,L324=phu!$I$100),"Huyện khác",""),IF(OR(L324=phu!$I$101,L324=phu!$I$102),"Tỉnh khác",""))</f>
        <v/>
      </c>
      <c r="N324" s="835" t="str">
        <f t="shared" si="23"/>
        <v/>
      </c>
      <c r="O324" s="20"/>
      <c r="P324" s="20"/>
      <c r="Q324" s="20"/>
      <c r="R324" s="20"/>
      <c r="S324" s="20"/>
      <c r="T324" s="21"/>
      <c r="U324" s="21"/>
      <c r="V324" s="21"/>
      <c r="W324" s="7" t="str">
        <f t="shared" si="21"/>
        <v/>
      </c>
      <c r="X324" s="506" t="str">
        <f t="shared" si="22"/>
        <v/>
      </c>
    </row>
    <row r="325" spans="1:24" x14ac:dyDescent="0.25">
      <c r="A325" s="66" t="str">
        <f t="shared" si="24"/>
        <v/>
      </c>
      <c r="B325" s="23" t="str">
        <f t="shared" si="20"/>
        <v/>
      </c>
      <c r="C325" s="15"/>
      <c r="D325" s="16"/>
      <c r="E325" s="17"/>
      <c r="F325" s="18"/>
      <c r="G325" s="18"/>
      <c r="H325" s="19"/>
      <c r="I325" s="15"/>
      <c r="J325" s="20"/>
      <c r="K325" s="15"/>
      <c r="L325" s="15"/>
      <c r="M325" s="531" t="str">
        <f>CONCATENATE(IF(OR(L325=phu!$I$1,L325=phu!$I$2,L325=phu!$I$3),"Cam Thành Nam",""),IF(OR(L325=phu!$I$4,L325=phu!$I$5,L325=phu!$I$6,L325=phu!$I$7,L325=phu!$I$8,L325=phu!$I$9,L325=phu!$I$10,L325=phu!$I$11,L325=phu!$I$12,L325=phu!$I$13,L325=phu!$I$14),"Cam Nghĩa",""),IF(OR(L325=phu!$I$15,L325=phu!$I$16,L325=phu!$I$17,L325=phu!$I$18,L325=phu!$I$19,L325=phu!$I$20,L325=phu!$I$21),"Cam Phúc Bắc",""),IF(OR(L325=phu!$I$22,L325=phu!$I$23,L325=phu!$I$24,L325=phu!$I$25),"Cam Phúc Nam",""),IF(OR(L325=phu!$I$26,L325=phu!$I$27,L325=phu!$I$28,L325=phu!$I$29,L325=phu!$I$30,L325=phu!$I$31),"Cam Phú",""),IF(OR(L325=phu!$I$32,L325=phu!$I$33,L325=phu!$I$34,L325=phu!$I$35,L325=phu!$I$36,L325=phu!$I$37),"Cam Lộc",""),IF(OR(L325=phu!$I$38,L325=phu!$I$39,L325=phu!$I$40,L325=phu!$I$41,L325=phu!$I$42,L325=phu!$I$43,L325=phu!$I$44),"Cam Thuận",""),IF(OR(L325=phu!$I$45,L325=phu!$I$46,L325=phu!$I$47,L325=phu!$I$48,L325=phu!$I$49,L325=phu!$I$50,L325=phu!$I$51,L325=phu!$I$52,L325=phu!$I$53),"Cam Linh",""),IF(OR(L325=phu!$I$54,L325=phu!$I$55,L325=phu!$I$56,L325=phu!$I$57,L325=phu!$I$58,L325=phu!$I$59,L325=phu!$I$60,L325=phu!$I$61,L325=phu!$I$62),"Cam Lợi",""),IF(OR(L325=phu!$I$63,L325=phu!$I$64,L325=phu!$I$65,L325=phu!$I$66,L325=phu!$I$67,L325=phu!$I$68,L325=phu!$I$69,L325=phu!$I$70,L325=phu!$I$71),"Ba Ngòi",""),IF(OR(L325=phu!$I$72,L325=phu!$I$73,L325=phu!$I$74,L325=phu!$I$75,L325=phu!$I$76,L325=phu!$I$77,L325=phu!$I$78),"Cam Phước Đông",""),IF(OR(L325=phu!$I$79,L325=phu!$I$80,L325=phu!$I$81,L325=phu!$I$82,L325=phu!$I$83,L325=phu!$I$84),"Cam Thịnh Đông",""),IF(OR(L325=phu!$I$85,L325=phu!$I$86,L325=phu!$I$87,L325=phu!$I$88),"Cam Thịnh Tây",""),IF(OR(L325=phu!$I$89,L325=phu!$I$90),"Cam Lập",""),IF(OR(L325=phu!$I$91,L325=phu!$I$92,L325=phu!$I$93),"Cam Bình",""),IF(OR(L325=phu!$I$94,L325=phu!$I$95,L325=phu!$I$96,L325=phu!$I$97,L325=phu!$I$98,L325=phu!$I$99,L325=phu!$I$100),"Huyện khác",""),IF(OR(L325=phu!$I$101,L325=phu!$I$102),"Tỉnh khác",""))</f>
        <v/>
      </c>
      <c r="N325" s="835" t="str">
        <f t="shared" si="23"/>
        <v/>
      </c>
      <c r="O325" s="20"/>
      <c r="P325" s="20"/>
      <c r="Q325" s="20"/>
      <c r="R325" s="20"/>
      <c r="S325" s="20"/>
      <c r="T325" s="21"/>
      <c r="U325" s="21"/>
      <c r="V325" s="21"/>
      <c r="W325" s="7" t="str">
        <f t="shared" si="21"/>
        <v/>
      </c>
      <c r="X325" s="506" t="str">
        <f t="shared" si="22"/>
        <v/>
      </c>
    </row>
    <row r="326" spans="1:24" x14ac:dyDescent="0.25">
      <c r="A326" s="66" t="str">
        <f t="shared" si="24"/>
        <v/>
      </c>
      <c r="B326" s="23" t="str">
        <f t="shared" ref="B326:B389" si="25">IF(W326=5,"5-6 tuổi",IF(W326=4,"4-5 tuổi",IF(W326=3,"3-4 tuổi",IF(AND(W326&lt;3,W326&gt;1),"25-36 tháng",IF(AND(W326=1,W326&gt;0),"13-24 tháng",IF(AND(W326=0,E326&lt;&gt;""),"Dưới 13 tháng",""))))))</f>
        <v/>
      </c>
      <c r="C326" s="15"/>
      <c r="D326" s="16"/>
      <c r="E326" s="17"/>
      <c r="F326" s="18"/>
      <c r="G326" s="18"/>
      <c r="H326" s="19"/>
      <c r="I326" s="15"/>
      <c r="J326" s="20"/>
      <c r="K326" s="15"/>
      <c r="L326" s="15"/>
      <c r="M326" s="531" t="str">
        <f>CONCATENATE(IF(OR(L326=phu!$I$1,L326=phu!$I$2,L326=phu!$I$3),"Cam Thành Nam",""),IF(OR(L326=phu!$I$4,L326=phu!$I$5,L326=phu!$I$6,L326=phu!$I$7,L326=phu!$I$8,L326=phu!$I$9,L326=phu!$I$10,L326=phu!$I$11,L326=phu!$I$12,L326=phu!$I$13,L326=phu!$I$14),"Cam Nghĩa",""),IF(OR(L326=phu!$I$15,L326=phu!$I$16,L326=phu!$I$17,L326=phu!$I$18,L326=phu!$I$19,L326=phu!$I$20,L326=phu!$I$21),"Cam Phúc Bắc",""),IF(OR(L326=phu!$I$22,L326=phu!$I$23,L326=phu!$I$24,L326=phu!$I$25),"Cam Phúc Nam",""),IF(OR(L326=phu!$I$26,L326=phu!$I$27,L326=phu!$I$28,L326=phu!$I$29,L326=phu!$I$30,L326=phu!$I$31),"Cam Phú",""),IF(OR(L326=phu!$I$32,L326=phu!$I$33,L326=phu!$I$34,L326=phu!$I$35,L326=phu!$I$36,L326=phu!$I$37),"Cam Lộc",""),IF(OR(L326=phu!$I$38,L326=phu!$I$39,L326=phu!$I$40,L326=phu!$I$41,L326=phu!$I$42,L326=phu!$I$43,L326=phu!$I$44),"Cam Thuận",""),IF(OR(L326=phu!$I$45,L326=phu!$I$46,L326=phu!$I$47,L326=phu!$I$48,L326=phu!$I$49,L326=phu!$I$50,L326=phu!$I$51,L326=phu!$I$52,L326=phu!$I$53),"Cam Linh",""),IF(OR(L326=phu!$I$54,L326=phu!$I$55,L326=phu!$I$56,L326=phu!$I$57,L326=phu!$I$58,L326=phu!$I$59,L326=phu!$I$60,L326=phu!$I$61,L326=phu!$I$62),"Cam Lợi",""),IF(OR(L326=phu!$I$63,L326=phu!$I$64,L326=phu!$I$65,L326=phu!$I$66,L326=phu!$I$67,L326=phu!$I$68,L326=phu!$I$69,L326=phu!$I$70,L326=phu!$I$71),"Ba Ngòi",""),IF(OR(L326=phu!$I$72,L326=phu!$I$73,L326=phu!$I$74,L326=phu!$I$75,L326=phu!$I$76,L326=phu!$I$77,L326=phu!$I$78),"Cam Phước Đông",""),IF(OR(L326=phu!$I$79,L326=phu!$I$80,L326=phu!$I$81,L326=phu!$I$82,L326=phu!$I$83,L326=phu!$I$84),"Cam Thịnh Đông",""),IF(OR(L326=phu!$I$85,L326=phu!$I$86,L326=phu!$I$87,L326=phu!$I$88),"Cam Thịnh Tây",""),IF(OR(L326=phu!$I$89,L326=phu!$I$90),"Cam Lập",""),IF(OR(L326=phu!$I$91,L326=phu!$I$92,L326=phu!$I$93),"Cam Bình",""),IF(OR(L326=phu!$I$94,L326=phu!$I$95,L326=phu!$I$96,L326=phu!$I$97,L326=phu!$I$98,L326=phu!$I$99,L326=phu!$I$100),"Huyện khác",""),IF(OR(L326=phu!$I$101,L326=phu!$I$102),"Tỉnh khác",""))</f>
        <v/>
      </c>
      <c r="N326" s="835" t="str">
        <f t="shared" si="23"/>
        <v/>
      </c>
      <c r="O326" s="20"/>
      <c r="P326" s="20"/>
      <c r="Q326" s="20"/>
      <c r="R326" s="20"/>
      <c r="S326" s="20"/>
      <c r="T326" s="21"/>
      <c r="U326" s="21"/>
      <c r="V326" s="21"/>
      <c r="W326" s="7" t="str">
        <f t="shared" ref="W326:W389" si="26">IF(OR($P$2="",H326=""),"",$P$2-H326)</f>
        <v/>
      </c>
      <c r="X326" s="506" t="str">
        <f t="shared" ref="X326:X389" si="27">IF(OR(AND(C326="",D326="",E326="",F326="",G326="",H326="",J326="",L326="",M326="",O326="",P326="",Q326=""),AND(C326&lt;&gt;"",D326&lt;&gt;"",E326&lt;&gt;"",F326&lt;&gt;"",G326&lt;&gt;"",H326&lt;&gt;"",J326&lt;&gt;"",L326&lt;&gt;"",M326&lt;&gt;"",O326&lt;&gt;"",OR(AND(P326&lt;&gt;"",Q326=""),AND(P326="",Q326&lt;&gt;""),AND(P326&lt;&gt;"",Q326&lt;&gt;"")),OR(AND(K326="X",S326&lt;&gt;""),AND(K326="",S326="")))),"","er")</f>
        <v/>
      </c>
    </row>
    <row r="327" spans="1:24" x14ac:dyDescent="0.25">
      <c r="A327" s="66" t="str">
        <f t="shared" si="24"/>
        <v/>
      </c>
      <c r="B327" s="23" t="str">
        <f t="shared" si="25"/>
        <v/>
      </c>
      <c r="C327" s="15"/>
      <c r="D327" s="16"/>
      <c r="E327" s="17"/>
      <c r="F327" s="18"/>
      <c r="G327" s="18"/>
      <c r="H327" s="19"/>
      <c r="I327" s="28"/>
      <c r="J327" s="20"/>
      <c r="K327" s="15"/>
      <c r="L327" s="15"/>
      <c r="M327" s="531" t="str">
        <f>CONCATENATE(IF(OR(L327=phu!$I$1,L327=phu!$I$2,L327=phu!$I$3),"Cam Thành Nam",""),IF(OR(L327=phu!$I$4,L327=phu!$I$5,L327=phu!$I$6,L327=phu!$I$7,L327=phu!$I$8,L327=phu!$I$9,L327=phu!$I$10,L327=phu!$I$11,L327=phu!$I$12,L327=phu!$I$13,L327=phu!$I$14),"Cam Nghĩa",""),IF(OR(L327=phu!$I$15,L327=phu!$I$16,L327=phu!$I$17,L327=phu!$I$18,L327=phu!$I$19,L327=phu!$I$20,L327=phu!$I$21),"Cam Phúc Bắc",""),IF(OR(L327=phu!$I$22,L327=phu!$I$23,L327=phu!$I$24,L327=phu!$I$25),"Cam Phúc Nam",""),IF(OR(L327=phu!$I$26,L327=phu!$I$27,L327=phu!$I$28,L327=phu!$I$29,L327=phu!$I$30,L327=phu!$I$31),"Cam Phú",""),IF(OR(L327=phu!$I$32,L327=phu!$I$33,L327=phu!$I$34,L327=phu!$I$35,L327=phu!$I$36,L327=phu!$I$37),"Cam Lộc",""),IF(OR(L327=phu!$I$38,L327=phu!$I$39,L327=phu!$I$40,L327=phu!$I$41,L327=phu!$I$42,L327=phu!$I$43,L327=phu!$I$44),"Cam Thuận",""),IF(OR(L327=phu!$I$45,L327=phu!$I$46,L327=phu!$I$47,L327=phu!$I$48,L327=phu!$I$49,L327=phu!$I$50,L327=phu!$I$51,L327=phu!$I$52,L327=phu!$I$53),"Cam Linh",""),IF(OR(L327=phu!$I$54,L327=phu!$I$55,L327=phu!$I$56,L327=phu!$I$57,L327=phu!$I$58,L327=phu!$I$59,L327=phu!$I$60,L327=phu!$I$61,L327=phu!$I$62),"Cam Lợi",""),IF(OR(L327=phu!$I$63,L327=phu!$I$64,L327=phu!$I$65,L327=phu!$I$66,L327=phu!$I$67,L327=phu!$I$68,L327=phu!$I$69,L327=phu!$I$70,L327=phu!$I$71),"Ba Ngòi",""),IF(OR(L327=phu!$I$72,L327=phu!$I$73,L327=phu!$I$74,L327=phu!$I$75,L327=phu!$I$76,L327=phu!$I$77,L327=phu!$I$78),"Cam Phước Đông",""),IF(OR(L327=phu!$I$79,L327=phu!$I$80,L327=phu!$I$81,L327=phu!$I$82,L327=phu!$I$83,L327=phu!$I$84),"Cam Thịnh Đông",""),IF(OR(L327=phu!$I$85,L327=phu!$I$86,L327=phu!$I$87,L327=phu!$I$88),"Cam Thịnh Tây",""),IF(OR(L327=phu!$I$89,L327=phu!$I$90),"Cam Lập",""),IF(OR(L327=phu!$I$91,L327=phu!$I$92,L327=phu!$I$93),"Cam Bình",""),IF(OR(L327=phu!$I$94,L327=phu!$I$95,L327=phu!$I$96,L327=phu!$I$97,L327=phu!$I$98,L327=phu!$I$99,L327=phu!$I$100),"Huyện khác",""),IF(OR(L327=phu!$I$101,L327=phu!$I$102),"Tỉnh khác",""))</f>
        <v/>
      </c>
      <c r="N327" s="835" t="str">
        <f t="shared" ref="N327:N390" si="28">CONCATENATE(IF(OR(M327="Cam Thành Nam",M327="Cam Nghĩa",M327="Cam Phúc Bắc"),"Bắc Cam Ranh",""),IF(OR(M327="Cam Phúc Nam",M327="Cam Phú",M327="Cam Lộc"),"Cam Ranh",""),IF(OR(M327="Cam Thuận",M327="Cam Linh",M327="Cam Lợi"),"Cam Linh",""),IF(OR(M327="Ba Ngòi",M327="Cam Phước Đông"),"Ba Ngòi",""),IF(OR(M327="Cam Thịnh Đông",M327="Cam Thịnh Tây",M327="Cam Lập",M327="Cam Bình"),"Nam Cam Ranh",""),IF(M327="Huyện khác","Huyện khác",""),IF(M327="Tỉnh khác","Tỉnh khác",""))</f>
        <v/>
      </c>
      <c r="O327" s="20"/>
      <c r="P327" s="20"/>
      <c r="Q327" s="20"/>
      <c r="R327" s="20"/>
      <c r="S327" s="20"/>
      <c r="T327" s="21"/>
      <c r="U327" s="21"/>
      <c r="V327" s="21"/>
      <c r="W327" s="7" t="str">
        <f t="shared" si="26"/>
        <v/>
      </c>
      <c r="X327" s="506" t="str">
        <f t="shared" si="27"/>
        <v/>
      </c>
    </row>
    <row r="328" spans="1:24" x14ac:dyDescent="0.25">
      <c r="A328" s="66" t="str">
        <f t="shared" ref="A328:A391" si="29">IF(AND(A327&lt;&gt;"",E328&lt;&gt;""),A327+1,"")</f>
        <v/>
      </c>
      <c r="B328" s="23" t="str">
        <f t="shared" si="25"/>
        <v/>
      </c>
      <c r="C328" s="15"/>
      <c r="D328" s="16"/>
      <c r="E328" s="17"/>
      <c r="F328" s="18"/>
      <c r="G328" s="18"/>
      <c r="H328" s="19"/>
      <c r="I328" s="15"/>
      <c r="J328" s="20"/>
      <c r="K328" s="15"/>
      <c r="L328" s="15"/>
      <c r="M328" s="531" t="str">
        <f>CONCATENATE(IF(OR(L328=phu!$I$1,L328=phu!$I$2,L328=phu!$I$3),"Cam Thành Nam",""),IF(OR(L328=phu!$I$4,L328=phu!$I$5,L328=phu!$I$6,L328=phu!$I$7,L328=phu!$I$8,L328=phu!$I$9,L328=phu!$I$10,L328=phu!$I$11,L328=phu!$I$12,L328=phu!$I$13,L328=phu!$I$14),"Cam Nghĩa",""),IF(OR(L328=phu!$I$15,L328=phu!$I$16,L328=phu!$I$17,L328=phu!$I$18,L328=phu!$I$19,L328=phu!$I$20,L328=phu!$I$21),"Cam Phúc Bắc",""),IF(OR(L328=phu!$I$22,L328=phu!$I$23,L328=phu!$I$24,L328=phu!$I$25),"Cam Phúc Nam",""),IF(OR(L328=phu!$I$26,L328=phu!$I$27,L328=phu!$I$28,L328=phu!$I$29,L328=phu!$I$30,L328=phu!$I$31),"Cam Phú",""),IF(OR(L328=phu!$I$32,L328=phu!$I$33,L328=phu!$I$34,L328=phu!$I$35,L328=phu!$I$36,L328=phu!$I$37),"Cam Lộc",""),IF(OR(L328=phu!$I$38,L328=phu!$I$39,L328=phu!$I$40,L328=phu!$I$41,L328=phu!$I$42,L328=phu!$I$43,L328=phu!$I$44),"Cam Thuận",""),IF(OR(L328=phu!$I$45,L328=phu!$I$46,L328=phu!$I$47,L328=phu!$I$48,L328=phu!$I$49,L328=phu!$I$50,L328=phu!$I$51,L328=phu!$I$52,L328=phu!$I$53),"Cam Linh",""),IF(OR(L328=phu!$I$54,L328=phu!$I$55,L328=phu!$I$56,L328=phu!$I$57,L328=phu!$I$58,L328=phu!$I$59,L328=phu!$I$60,L328=phu!$I$61,L328=phu!$I$62),"Cam Lợi",""),IF(OR(L328=phu!$I$63,L328=phu!$I$64,L328=phu!$I$65,L328=phu!$I$66,L328=phu!$I$67,L328=phu!$I$68,L328=phu!$I$69,L328=phu!$I$70,L328=phu!$I$71),"Ba Ngòi",""),IF(OR(L328=phu!$I$72,L328=phu!$I$73,L328=phu!$I$74,L328=phu!$I$75,L328=phu!$I$76,L328=phu!$I$77,L328=phu!$I$78),"Cam Phước Đông",""),IF(OR(L328=phu!$I$79,L328=phu!$I$80,L328=phu!$I$81,L328=phu!$I$82,L328=phu!$I$83,L328=phu!$I$84),"Cam Thịnh Đông",""),IF(OR(L328=phu!$I$85,L328=phu!$I$86,L328=phu!$I$87,L328=phu!$I$88),"Cam Thịnh Tây",""),IF(OR(L328=phu!$I$89,L328=phu!$I$90),"Cam Lập",""),IF(OR(L328=phu!$I$91,L328=phu!$I$92,L328=phu!$I$93),"Cam Bình",""),IF(OR(L328=phu!$I$94,L328=phu!$I$95,L328=phu!$I$96,L328=phu!$I$97,L328=phu!$I$98,L328=phu!$I$99,L328=phu!$I$100),"Huyện khác",""),IF(OR(L328=phu!$I$101,L328=phu!$I$102),"Tỉnh khác",""))</f>
        <v/>
      </c>
      <c r="N328" s="835" t="str">
        <f t="shared" si="28"/>
        <v/>
      </c>
      <c r="O328" s="20"/>
      <c r="P328" s="20"/>
      <c r="Q328" s="20"/>
      <c r="R328" s="20"/>
      <c r="S328" s="20"/>
      <c r="T328" s="21"/>
      <c r="U328" s="21"/>
      <c r="V328" s="21"/>
      <c r="W328" s="7" t="str">
        <f t="shared" si="26"/>
        <v/>
      </c>
      <c r="X328" s="506" t="str">
        <f t="shared" si="27"/>
        <v/>
      </c>
    </row>
    <row r="329" spans="1:24" x14ac:dyDescent="0.25">
      <c r="A329" s="66" t="str">
        <f t="shared" si="29"/>
        <v/>
      </c>
      <c r="B329" s="23" t="str">
        <f t="shared" si="25"/>
        <v/>
      </c>
      <c r="C329" s="15"/>
      <c r="D329" s="16"/>
      <c r="E329" s="17"/>
      <c r="F329" s="18"/>
      <c r="G329" s="18"/>
      <c r="H329" s="19"/>
      <c r="I329" s="15"/>
      <c r="J329" s="20"/>
      <c r="K329" s="15"/>
      <c r="L329" s="15"/>
      <c r="M329" s="531" t="str">
        <f>CONCATENATE(IF(OR(L329=phu!$I$1,L329=phu!$I$2,L329=phu!$I$3),"Cam Thành Nam",""),IF(OR(L329=phu!$I$4,L329=phu!$I$5,L329=phu!$I$6,L329=phu!$I$7,L329=phu!$I$8,L329=phu!$I$9,L329=phu!$I$10,L329=phu!$I$11,L329=phu!$I$12,L329=phu!$I$13,L329=phu!$I$14),"Cam Nghĩa",""),IF(OR(L329=phu!$I$15,L329=phu!$I$16,L329=phu!$I$17,L329=phu!$I$18,L329=phu!$I$19,L329=phu!$I$20,L329=phu!$I$21),"Cam Phúc Bắc",""),IF(OR(L329=phu!$I$22,L329=phu!$I$23,L329=phu!$I$24,L329=phu!$I$25),"Cam Phúc Nam",""),IF(OR(L329=phu!$I$26,L329=phu!$I$27,L329=phu!$I$28,L329=phu!$I$29,L329=phu!$I$30,L329=phu!$I$31),"Cam Phú",""),IF(OR(L329=phu!$I$32,L329=phu!$I$33,L329=phu!$I$34,L329=phu!$I$35,L329=phu!$I$36,L329=phu!$I$37),"Cam Lộc",""),IF(OR(L329=phu!$I$38,L329=phu!$I$39,L329=phu!$I$40,L329=phu!$I$41,L329=phu!$I$42,L329=phu!$I$43,L329=phu!$I$44),"Cam Thuận",""),IF(OR(L329=phu!$I$45,L329=phu!$I$46,L329=phu!$I$47,L329=phu!$I$48,L329=phu!$I$49,L329=phu!$I$50,L329=phu!$I$51,L329=phu!$I$52,L329=phu!$I$53),"Cam Linh",""),IF(OR(L329=phu!$I$54,L329=phu!$I$55,L329=phu!$I$56,L329=phu!$I$57,L329=phu!$I$58,L329=phu!$I$59,L329=phu!$I$60,L329=phu!$I$61,L329=phu!$I$62),"Cam Lợi",""),IF(OR(L329=phu!$I$63,L329=phu!$I$64,L329=phu!$I$65,L329=phu!$I$66,L329=phu!$I$67,L329=phu!$I$68,L329=phu!$I$69,L329=phu!$I$70,L329=phu!$I$71),"Ba Ngòi",""),IF(OR(L329=phu!$I$72,L329=phu!$I$73,L329=phu!$I$74,L329=phu!$I$75,L329=phu!$I$76,L329=phu!$I$77,L329=phu!$I$78),"Cam Phước Đông",""),IF(OR(L329=phu!$I$79,L329=phu!$I$80,L329=phu!$I$81,L329=phu!$I$82,L329=phu!$I$83,L329=phu!$I$84),"Cam Thịnh Đông",""),IF(OR(L329=phu!$I$85,L329=phu!$I$86,L329=phu!$I$87,L329=phu!$I$88),"Cam Thịnh Tây",""),IF(OR(L329=phu!$I$89,L329=phu!$I$90),"Cam Lập",""),IF(OR(L329=phu!$I$91,L329=phu!$I$92,L329=phu!$I$93),"Cam Bình",""),IF(OR(L329=phu!$I$94,L329=phu!$I$95,L329=phu!$I$96,L329=phu!$I$97,L329=phu!$I$98,L329=phu!$I$99,L329=phu!$I$100),"Huyện khác",""),IF(OR(L329=phu!$I$101,L329=phu!$I$102),"Tỉnh khác",""))</f>
        <v/>
      </c>
      <c r="N329" s="835" t="str">
        <f t="shared" si="28"/>
        <v/>
      </c>
      <c r="O329" s="20"/>
      <c r="P329" s="20"/>
      <c r="Q329" s="20"/>
      <c r="R329" s="20"/>
      <c r="S329" s="20"/>
      <c r="T329" s="21"/>
      <c r="U329" s="21"/>
      <c r="V329" s="21"/>
      <c r="W329" s="7" t="str">
        <f t="shared" si="26"/>
        <v/>
      </c>
      <c r="X329" s="506" t="str">
        <f t="shared" si="27"/>
        <v/>
      </c>
    </row>
    <row r="330" spans="1:24" x14ac:dyDescent="0.25">
      <c r="A330" s="66" t="str">
        <f t="shared" si="29"/>
        <v/>
      </c>
      <c r="B330" s="23" t="str">
        <f t="shared" si="25"/>
        <v/>
      </c>
      <c r="C330" s="15"/>
      <c r="D330" s="16"/>
      <c r="E330" s="17"/>
      <c r="F330" s="18"/>
      <c r="G330" s="18"/>
      <c r="H330" s="19"/>
      <c r="I330" s="15"/>
      <c r="J330" s="20"/>
      <c r="K330" s="15"/>
      <c r="L330" s="15"/>
      <c r="M330" s="531" t="str">
        <f>CONCATENATE(IF(OR(L330=phu!$I$1,L330=phu!$I$2,L330=phu!$I$3),"Cam Thành Nam",""),IF(OR(L330=phu!$I$4,L330=phu!$I$5,L330=phu!$I$6,L330=phu!$I$7,L330=phu!$I$8,L330=phu!$I$9,L330=phu!$I$10,L330=phu!$I$11,L330=phu!$I$12,L330=phu!$I$13,L330=phu!$I$14),"Cam Nghĩa",""),IF(OR(L330=phu!$I$15,L330=phu!$I$16,L330=phu!$I$17,L330=phu!$I$18,L330=phu!$I$19,L330=phu!$I$20,L330=phu!$I$21),"Cam Phúc Bắc",""),IF(OR(L330=phu!$I$22,L330=phu!$I$23,L330=phu!$I$24,L330=phu!$I$25),"Cam Phúc Nam",""),IF(OR(L330=phu!$I$26,L330=phu!$I$27,L330=phu!$I$28,L330=phu!$I$29,L330=phu!$I$30,L330=phu!$I$31),"Cam Phú",""),IF(OR(L330=phu!$I$32,L330=phu!$I$33,L330=phu!$I$34,L330=phu!$I$35,L330=phu!$I$36,L330=phu!$I$37),"Cam Lộc",""),IF(OR(L330=phu!$I$38,L330=phu!$I$39,L330=phu!$I$40,L330=phu!$I$41,L330=phu!$I$42,L330=phu!$I$43,L330=phu!$I$44),"Cam Thuận",""),IF(OR(L330=phu!$I$45,L330=phu!$I$46,L330=phu!$I$47,L330=phu!$I$48,L330=phu!$I$49,L330=phu!$I$50,L330=phu!$I$51,L330=phu!$I$52,L330=phu!$I$53),"Cam Linh",""),IF(OR(L330=phu!$I$54,L330=phu!$I$55,L330=phu!$I$56,L330=phu!$I$57,L330=phu!$I$58,L330=phu!$I$59,L330=phu!$I$60,L330=phu!$I$61,L330=phu!$I$62),"Cam Lợi",""),IF(OR(L330=phu!$I$63,L330=phu!$I$64,L330=phu!$I$65,L330=phu!$I$66,L330=phu!$I$67,L330=phu!$I$68,L330=phu!$I$69,L330=phu!$I$70,L330=phu!$I$71),"Ba Ngòi",""),IF(OR(L330=phu!$I$72,L330=phu!$I$73,L330=phu!$I$74,L330=phu!$I$75,L330=phu!$I$76,L330=phu!$I$77,L330=phu!$I$78),"Cam Phước Đông",""),IF(OR(L330=phu!$I$79,L330=phu!$I$80,L330=phu!$I$81,L330=phu!$I$82,L330=phu!$I$83,L330=phu!$I$84),"Cam Thịnh Đông",""),IF(OR(L330=phu!$I$85,L330=phu!$I$86,L330=phu!$I$87,L330=phu!$I$88),"Cam Thịnh Tây",""),IF(OR(L330=phu!$I$89,L330=phu!$I$90),"Cam Lập",""),IF(OR(L330=phu!$I$91,L330=phu!$I$92,L330=phu!$I$93),"Cam Bình",""),IF(OR(L330=phu!$I$94,L330=phu!$I$95,L330=phu!$I$96,L330=phu!$I$97,L330=phu!$I$98,L330=phu!$I$99,L330=phu!$I$100),"Huyện khác",""),IF(OR(L330=phu!$I$101,L330=phu!$I$102),"Tỉnh khác",""))</f>
        <v/>
      </c>
      <c r="N330" s="835" t="str">
        <f t="shared" si="28"/>
        <v/>
      </c>
      <c r="O330" s="20"/>
      <c r="P330" s="20"/>
      <c r="Q330" s="20"/>
      <c r="R330" s="20"/>
      <c r="S330" s="20"/>
      <c r="T330" s="21"/>
      <c r="U330" s="21"/>
      <c r="V330" s="21"/>
      <c r="W330" s="7" t="str">
        <f t="shared" si="26"/>
        <v/>
      </c>
      <c r="X330" s="506" t="str">
        <f t="shared" si="27"/>
        <v/>
      </c>
    </row>
    <row r="331" spans="1:24" x14ac:dyDescent="0.25">
      <c r="A331" s="66" t="str">
        <f t="shared" si="29"/>
        <v/>
      </c>
      <c r="B331" s="23" t="str">
        <f t="shared" si="25"/>
        <v/>
      </c>
      <c r="C331" s="15"/>
      <c r="D331" s="16"/>
      <c r="E331" s="17"/>
      <c r="F331" s="18"/>
      <c r="G331" s="18"/>
      <c r="H331" s="19"/>
      <c r="I331" s="15"/>
      <c r="J331" s="20"/>
      <c r="K331" s="15"/>
      <c r="L331" s="15"/>
      <c r="M331" s="531" t="str">
        <f>CONCATENATE(IF(OR(L331=phu!$I$1,L331=phu!$I$2,L331=phu!$I$3),"Cam Thành Nam",""),IF(OR(L331=phu!$I$4,L331=phu!$I$5,L331=phu!$I$6,L331=phu!$I$7,L331=phu!$I$8,L331=phu!$I$9,L331=phu!$I$10,L331=phu!$I$11,L331=phu!$I$12,L331=phu!$I$13,L331=phu!$I$14),"Cam Nghĩa",""),IF(OR(L331=phu!$I$15,L331=phu!$I$16,L331=phu!$I$17,L331=phu!$I$18,L331=phu!$I$19,L331=phu!$I$20,L331=phu!$I$21),"Cam Phúc Bắc",""),IF(OR(L331=phu!$I$22,L331=phu!$I$23,L331=phu!$I$24,L331=phu!$I$25),"Cam Phúc Nam",""),IF(OR(L331=phu!$I$26,L331=phu!$I$27,L331=phu!$I$28,L331=phu!$I$29,L331=phu!$I$30,L331=phu!$I$31),"Cam Phú",""),IF(OR(L331=phu!$I$32,L331=phu!$I$33,L331=phu!$I$34,L331=phu!$I$35,L331=phu!$I$36,L331=phu!$I$37),"Cam Lộc",""),IF(OR(L331=phu!$I$38,L331=phu!$I$39,L331=phu!$I$40,L331=phu!$I$41,L331=phu!$I$42,L331=phu!$I$43,L331=phu!$I$44),"Cam Thuận",""),IF(OR(L331=phu!$I$45,L331=phu!$I$46,L331=phu!$I$47,L331=phu!$I$48,L331=phu!$I$49,L331=phu!$I$50,L331=phu!$I$51,L331=phu!$I$52,L331=phu!$I$53),"Cam Linh",""),IF(OR(L331=phu!$I$54,L331=phu!$I$55,L331=phu!$I$56,L331=phu!$I$57,L331=phu!$I$58,L331=phu!$I$59,L331=phu!$I$60,L331=phu!$I$61,L331=phu!$I$62),"Cam Lợi",""),IF(OR(L331=phu!$I$63,L331=phu!$I$64,L331=phu!$I$65,L331=phu!$I$66,L331=phu!$I$67,L331=phu!$I$68,L331=phu!$I$69,L331=phu!$I$70,L331=phu!$I$71),"Ba Ngòi",""),IF(OR(L331=phu!$I$72,L331=phu!$I$73,L331=phu!$I$74,L331=phu!$I$75,L331=phu!$I$76,L331=phu!$I$77,L331=phu!$I$78),"Cam Phước Đông",""),IF(OR(L331=phu!$I$79,L331=phu!$I$80,L331=phu!$I$81,L331=phu!$I$82,L331=phu!$I$83,L331=phu!$I$84),"Cam Thịnh Đông",""),IF(OR(L331=phu!$I$85,L331=phu!$I$86,L331=phu!$I$87,L331=phu!$I$88),"Cam Thịnh Tây",""),IF(OR(L331=phu!$I$89,L331=phu!$I$90),"Cam Lập",""),IF(OR(L331=phu!$I$91,L331=phu!$I$92,L331=phu!$I$93),"Cam Bình",""),IF(OR(L331=phu!$I$94,L331=phu!$I$95,L331=phu!$I$96,L331=phu!$I$97,L331=phu!$I$98,L331=phu!$I$99,L331=phu!$I$100),"Huyện khác",""),IF(OR(L331=phu!$I$101,L331=phu!$I$102),"Tỉnh khác",""))</f>
        <v/>
      </c>
      <c r="N331" s="835" t="str">
        <f t="shared" si="28"/>
        <v/>
      </c>
      <c r="O331" s="20"/>
      <c r="P331" s="20"/>
      <c r="Q331" s="20"/>
      <c r="R331" s="20"/>
      <c r="S331" s="20"/>
      <c r="T331" s="21"/>
      <c r="U331" s="21"/>
      <c r="V331" s="21"/>
      <c r="W331" s="7" t="str">
        <f t="shared" si="26"/>
        <v/>
      </c>
      <c r="X331" s="506" t="str">
        <f t="shared" si="27"/>
        <v/>
      </c>
    </row>
    <row r="332" spans="1:24" x14ac:dyDescent="0.25">
      <c r="A332" s="66" t="str">
        <f t="shared" si="29"/>
        <v/>
      </c>
      <c r="B332" s="23" t="str">
        <f t="shared" si="25"/>
        <v/>
      </c>
      <c r="C332" s="15"/>
      <c r="D332" s="16"/>
      <c r="E332" s="17"/>
      <c r="F332" s="18"/>
      <c r="G332" s="18"/>
      <c r="H332" s="19"/>
      <c r="I332" s="15"/>
      <c r="J332" s="20"/>
      <c r="K332" s="15"/>
      <c r="L332" s="15"/>
      <c r="M332" s="531" t="str">
        <f>CONCATENATE(IF(OR(L332=phu!$I$1,L332=phu!$I$2,L332=phu!$I$3),"Cam Thành Nam",""),IF(OR(L332=phu!$I$4,L332=phu!$I$5,L332=phu!$I$6,L332=phu!$I$7,L332=phu!$I$8,L332=phu!$I$9,L332=phu!$I$10,L332=phu!$I$11,L332=phu!$I$12,L332=phu!$I$13,L332=phu!$I$14),"Cam Nghĩa",""),IF(OR(L332=phu!$I$15,L332=phu!$I$16,L332=phu!$I$17,L332=phu!$I$18,L332=phu!$I$19,L332=phu!$I$20,L332=phu!$I$21),"Cam Phúc Bắc",""),IF(OR(L332=phu!$I$22,L332=phu!$I$23,L332=phu!$I$24,L332=phu!$I$25),"Cam Phúc Nam",""),IF(OR(L332=phu!$I$26,L332=phu!$I$27,L332=phu!$I$28,L332=phu!$I$29,L332=phu!$I$30,L332=phu!$I$31),"Cam Phú",""),IF(OR(L332=phu!$I$32,L332=phu!$I$33,L332=phu!$I$34,L332=phu!$I$35,L332=phu!$I$36,L332=phu!$I$37),"Cam Lộc",""),IF(OR(L332=phu!$I$38,L332=phu!$I$39,L332=phu!$I$40,L332=phu!$I$41,L332=phu!$I$42,L332=phu!$I$43,L332=phu!$I$44),"Cam Thuận",""),IF(OR(L332=phu!$I$45,L332=phu!$I$46,L332=phu!$I$47,L332=phu!$I$48,L332=phu!$I$49,L332=phu!$I$50,L332=phu!$I$51,L332=phu!$I$52,L332=phu!$I$53),"Cam Linh",""),IF(OR(L332=phu!$I$54,L332=phu!$I$55,L332=phu!$I$56,L332=phu!$I$57,L332=phu!$I$58,L332=phu!$I$59,L332=phu!$I$60,L332=phu!$I$61,L332=phu!$I$62),"Cam Lợi",""),IF(OR(L332=phu!$I$63,L332=phu!$I$64,L332=phu!$I$65,L332=phu!$I$66,L332=phu!$I$67,L332=phu!$I$68,L332=phu!$I$69,L332=phu!$I$70,L332=phu!$I$71),"Ba Ngòi",""),IF(OR(L332=phu!$I$72,L332=phu!$I$73,L332=phu!$I$74,L332=phu!$I$75,L332=phu!$I$76,L332=phu!$I$77,L332=phu!$I$78),"Cam Phước Đông",""),IF(OR(L332=phu!$I$79,L332=phu!$I$80,L332=phu!$I$81,L332=phu!$I$82,L332=phu!$I$83,L332=phu!$I$84),"Cam Thịnh Đông",""),IF(OR(L332=phu!$I$85,L332=phu!$I$86,L332=phu!$I$87,L332=phu!$I$88),"Cam Thịnh Tây",""),IF(OR(L332=phu!$I$89,L332=phu!$I$90),"Cam Lập",""),IF(OR(L332=phu!$I$91,L332=phu!$I$92,L332=phu!$I$93),"Cam Bình",""),IF(OR(L332=phu!$I$94,L332=phu!$I$95,L332=phu!$I$96,L332=phu!$I$97,L332=phu!$I$98,L332=phu!$I$99,L332=phu!$I$100),"Huyện khác",""),IF(OR(L332=phu!$I$101,L332=phu!$I$102),"Tỉnh khác",""))</f>
        <v/>
      </c>
      <c r="N332" s="835" t="str">
        <f t="shared" si="28"/>
        <v/>
      </c>
      <c r="O332" s="20"/>
      <c r="P332" s="20"/>
      <c r="Q332" s="20"/>
      <c r="R332" s="20"/>
      <c r="S332" s="20"/>
      <c r="T332" s="21"/>
      <c r="U332" s="21"/>
      <c r="V332" s="21"/>
      <c r="W332" s="7" t="str">
        <f t="shared" si="26"/>
        <v/>
      </c>
      <c r="X332" s="506" t="str">
        <f t="shared" si="27"/>
        <v/>
      </c>
    </row>
    <row r="333" spans="1:24" x14ac:dyDescent="0.25">
      <c r="A333" s="66" t="str">
        <f t="shared" si="29"/>
        <v/>
      </c>
      <c r="B333" s="23" t="str">
        <f t="shared" si="25"/>
        <v/>
      </c>
      <c r="C333" s="15"/>
      <c r="D333" s="16"/>
      <c r="E333" s="17"/>
      <c r="F333" s="18"/>
      <c r="G333" s="18"/>
      <c r="H333" s="19"/>
      <c r="I333" s="25"/>
      <c r="J333" s="20"/>
      <c r="K333" s="15"/>
      <c r="L333" s="15"/>
      <c r="M333" s="531" t="str">
        <f>CONCATENATE(IF(OR(L333=phu!$I$1,L333=phu!$I$2,L333=phu!$I$3),"Cam Thành Nam",""),IF(OR(L333=phu!$I$4,L333=phu!$I$5,L333=phu!$I$6,L333=phu!$I$7,L333=phu!$I$8,L333=phu!$I$9,L333=phu!$I$10,L333=phu!$I$11,L333=phu!$I$12,L333=phu!$I$13,L333=phu!$I$14),"Cam Nghĩa",""),IF(OR(L333=phu!$I$15,L333=phu!$I$16,L333=phu!$I$17,L333=phu!$I$18,L333=phu!$I$19,L333=phu!$I$20,L333=phu!$I$21),"Cam Phúc Bắc",""),IF(OR(L333=phu!$I$22,L333=phu!$I$23,L333=phu!$I$24,L333=phu!$I$25),"Cam Phúc Nam",""),IF(OR(L333=phu!$I$26,L333=phu!$I$27,L333=phu!$I$28,L333=phu!$I$29,L333=phu!$I$30,L333=phu!$I$31),"Cam Phú",""),IF(OR(L333=phu!$I$32,L333=phu!$I$33,L333=phu!$I$34,L333=phu!$I$35,L333=phu!$I$36,L333=phu!$I$37),"Cam Lộc",""),IF(OR(L333=phu!$I$38,L333=phu!$I$39,L333=phu!$I$40,L333=phu!$I$41,L333=phu!$I$42,L333=phu!$I$43,L333=phu!$I$44),"Cam Thuận",""),IF(OR(L333=phu!$I$45,L333=phu!$I$46,L333=phu!$I$47,L333=phu!$I$48,L333=phu!$I$49,L333=phu!$I$50,L333=phu!$I$51,L333=phu!$I$52,L333=phu!$I$53),"Cam Linh",""),IF(OR(L333=phu!$I$54,L333=phu!$I$55,L333=phu!$I$56,L333=phu!$I$57,L333=phu!$I$58,L333=phu!$I$59,L333=phu!$I$60,L333=phu!$I$61,L333=phu!$I$62),"Cam Lợi",""),IF(OR(L333=phu!$I$63,L333=phu!$I$64,L333=phu!$I$65,L333=phu!$I$66,L333=phu!$I$67,L333=phu!$I$68,L333=phu!$I$69,L333=phu!$I$70,L333=phu!$I$71),"Ba Ngòi",""),IF(OR(L333=phu!$I$72,L333=phu!$I$73,L333=phu!$I$74,L333=phu!$I$75,L333=phu!$I$76,L333=phu!$I$77,L333=phu!$I$78),"Cam Phước Đông",""),IF(OR(L333=phu!$I$79,L333=phu!$I$80,L333=phu!$I$81,L333=phu!$I$82,L333=phu!$I$83,L333=phu!$I$84),"Cam Thịnh Đông",""),IF(OR(L333=phu!$I$85,L333=phu!$I$86,L333=phu!$I$87,L333=phu!$I$88),"Cam Thịnh Tây",""),IF(OR(L333=phu!$I$89,L333=phu!$I$90),"Cam Lập",""),IF(OR(L333=phu!$I$91,L333=phu!$I$92,L333=phu!$I$93),"Cam Bình",""),IF(OR(L333=phu!$I$94,L333=phu!$I$95,L333=phu!$I$96,L333=phu!$I$97,L333=phu!$I$98,L333=phu!$I$99,L333=phu!$I$100),"Huyện khác",""),IF(OR(L333=phu!$I$101,L333=phu!$I$102),"Tỉnh khác",""))</f>
        <v/>
      </c>
      <c r="N333" s="835" t="str">
        <f t="shared" si="28"/>
        <v/>
      </c>
      <c r="O333" s="20"/>
      <c r="P333" s="20"/>
      <c r="Q333" s="20"/>
      <c r="R333" s="20"/>
      <c r="S333" s="20"/>
      <c r="T333" s="21"/>
      <c r="U333" s="21"/>
      <c r="V333" s="21"/>
      <c r="W333" s="7" t="str">
        <f t="shared" si="26"/>
        <v/>
      </c>
      <c r="X333" s="506" t="str">
        <f t="shared" si="27"/>
        <v/>
      </c>
    </row>
    <row r="334" spans="1:24" x14ac:dyDescent="0.25">
      <c r="A334" s="66" t="str">
        <f t="shared" si="29"/>
        <v/>
      </c>
      <c r="B334" s="23" t="str">
        <f t="shared" si="25"/>
        <v/>
      </c>
      <c r="C334" s="15"/>
      <c r="D334" s="16"/>
      <c r="E334" s="17"/>
      <c r="F334" s="18"/>
      <c r="G334" s="18"/>
      <c r="H334" s="19"/>
      <c r="I334" s="15"/>
      <c r="J334" s="20"/>
      <c r="K334" s="15"/>
      <c r="L334" s="15"/>
      <c r="M334" s="531" t="str">
        <f>CONCATENATE(IF(OR(L334=phu!$I$1,L334=phu!$I$2,L334=phu!$I$3),"Cam Thành Nam",""),IF(OR(L334=phu!$I$4,L334=phu!$I$5,L334=phu!$I$6,L334=phu!$I$7,L334=phu!$I$8,L334=phu!$I$9,L334=phu!$I$10,L334=phu!$I$11,L334=phu!$I$12,L334=phu!$I$13,L334=phu!$I$14),"Cam Nghĩa",""),IF(OR(L334=phu!$I$15,L334=phu!$I$16,L334=phu!$I$17,L334=phu!$I$18,L334=phu!$I$19,L334=phu!$I$20,L334=phu!$I$21),"Cam Phúc Bắc",""),IF(OR(L334=phu!$I$22,L334=phu!$I$23,L334=phu!$I$24,L334=phu!$I$25),"Cam Phúc Nam",""),IF(OR(L334=phu!$I$26,L334=phu!$I$27,L334=phu!$I$28,L334=phu!$I$29,L334=phu!$I$30,L334=phu!$I$31),"Cam Phú",""),IF(OR(L334=phu!$I$32,L334=phu!$I$33,L334=phu!$I$34,L334=phu!$I$35,L334=phu!$I$36,L334=phu!$I$37),"Cam Lộc",""),IF(OR(L334=phu!$I$38,L334=phu!$I$39,L334=phu!$I$40,L334=phu!$I$41,L334=phu!$I$42,L334=phu!$I$43,L334=phu!$I$44),"Cam Thuận",""),IF(OR(L334=phu!$I$45,L334=phu!$I$46,L334=phu!$I$47,L334=phu!$I$48,L334=phu!$I$49,L334=phu!$I$50,L334=phu!$I$51,L334=phu!$I$52,L334=phu!$I$53),"Cam Linh",""),IF(OR(L334=phu!$I$54,L334=phu!$I$55,L334=phu!$I$56,L334=phu!$I$57,L334=phu!$I$58,L334=phu!$I$59,L334=phu!$I$60,L334=phu!$I$61,L334=phu!$I$62),"Cam Lợi",""),IF(OR(L334=phu!$I$63,L334=phu!$I$64,L334=phu!$I$65,L334=phu!$I$66,L334=phu!$I$67,L334=phu!$I$68,L334=phu!$I$69,L334=phu!$I$70,L334=phu!$I$71),"Ba Ngòi",""),IF(OR(L334=phu!$I$72,L334=phu!$I$73,L334=phu!$I$74,L334=phu!$I$75,L334=phu!$I$76,L334=phu!$I$77,L334=phu!$I$78),"Cam Phước Đông",""),IF(OR(L334=phu!$I$79,L334=phu!$I$80,L334=phu!$I$81,L334=phu!$I$82,L334=phu!$I$83,L334=phu!$I$84),"Cam Thịnh Đông",""),IF(OR(L334=phu!$I$85,L334=phu!$I$86,L334=phu!$I$87,L334=phu!$I$88),"Cam Thịnh Tây",""),IF(OR(L334=phu!$I$89,L334=phu!$I$90),"Cam Lập",""),IF(OR(L334=phu!$I$91,L334=phu!$I$92,L334=phu!$I$93),"Cam Bình",""),IF(OR(L334=phu!$I$94,L334=phu!$I$95,L334=phu!$I$96,L334=phu!$I$97,L334=phu!$I$98,L334=phu!$I$99,L334=phu!$I$100),"Huyện khác",""),IF(OR(L334=phu!$I$101,L334=phu!$I$102),"Tỉnh khác",""))</f>
        <v/>
      </c>
      <c r="N334" s="835" t="str">
        <f t="shared" si="28"/>
        <v/>
      </c>
      <c r="O334" s="20"/>
      <c r="P334" s="20"/>
      <c r="Q334" s="20"/>
      <c r="R334" s="20"/>
      <c r="S334" s="20"/>
      <c r="T334" s="21"/>
      <c r="U334" s="21"/>
      <c r="V334" s="21"/>
      <c r="W334" s="7" t="str">
        <f t="shared" si="26"/>
        <v/>
      </c>
      <c r="X334" s="506" t="str">
        <f t="shared" si="27"/>
        <v/>
      </c>
    </row>
    <row r="335" spans="1:24" x14ac:dyDescent="0.25">
      <c r="A335" s="66" t="str">
        <f t="shared" si="29"/>
        <v/>
      </c>
      <c r="B335" s="23" t="str">
        <f t="shared" si="25"/>
        <v/>
      </c>
      <c r="C335" s="15"/>
      <c r="D335" s="16"/>
      <c r="E335" s="17"/>
      <c r="F335" s="18"/>
      <c r="G335" s="18"/>
      <c r="H335" s="19"/>
      <c r="I335" s="15"/>
      <c r="J335" s="20"/>
      <c r="K335" s="15"/>
      <c r="L335" s="15"/>
      <c r="M335" s="531" t="str">
        <f>CONCATENATE(IF(OR(L335=phu!$I$1,L335=phu!$I$2,L335=phu!$I$3),"Cam Thành Nam",""),IF(OR(L335=phu!$I$4,L335=phu!$I$5,L335=phu!$I$6,L335=phu!$I$7,L335=phu!$I$8,L335=phu!$I$9,L335=phu!$I$10,L335=phu!$I$11,L335=phu!$I$12,L335=phu!$I$13,L335=phu!$I$14),"Cam Nghĩa",""),IF(OR(L335=phu!$I$15,L335=phu!$I$16,L335=phu!$I$17,L335=phu!$I$18,L335=phu!$I$19,L335=phu!$I$20,L335=phu!$I$21),"Cam Phúc Bắc",""),IF(OR(L335=phu!$I$22,L335=phu!$I$23,L335=phu!$I$24,L335=phu!$I$25),"Cam Phúc Nam",""),IF(OR(L335=phu!$I$26,L335=phu!$I$27,L335=phu!$I$28,L335=phu!$I$29,L335=phu!$I$30,L335=phu!$I$31),"Cam Phú",""),IF(OR(L335=phu!$I$32,L335=phu!$I$33,L335=phu!$I$34,L335=phu!$I$35,L335=phu!$I$36,L335=phu!$I$37),"Cam Lộc",""),IF(OR(L335=phu!$I$38,L335=phu!$I$39,L335=phu!$I$40,L335=phu!$I$41,L335=phu!$I$42,L335=phu!$I$43,L335=phu!$I$44),"Cam Thuận",""),IF(OR(L335=phu!$I$45,L335=phu!$I$46,L335=phu!$I$47,L335=phu!$I$48,L335=phu!$I$49,L335=phu!$I$50,L335=phu!$I$51,L335=phu!$I$52,L335=phu!$I$53),"Cam Linh",""),IF(OR(L335=phu!$I$54,L335=phu!$I$55,L335=phu!$I$56,L335=phu!$I$57,L335=phu!$I$58,L335=phu!$I$59,L335=phu!$I$60,L335=phu!$I$61,L335=phu!$I$62),"Cam Lợi",""),IF(OR(L335=phu!$I$63,L335=phu!$I$64,L335=phu!$I$65,L335=phu!$I$66,L335=phu!$I$67,L335=phu!$I$68,L335=phu!$I$69,L335=phu!$I$70,L335=phu!$I$71),"Ba Ngòi",""),IF(OR(L335=phu!$I$72,L335=phu!$I$73,L335=phu!$I$74,L335=phu!$I$75,L335=phu!$I$76,L335=phu!$I$77,L335=phu!$I$78),"Cam Phước Đông",""),IF(OR(L335=phu!$I$79,L335=phu!$I$80,L335=phu!$I$81,L335=phu!$I$82,L335=phu!$I$83,L335=phu!$I$84),"Cam Thịnh Đông",""),IF(OR(L335=phu!$I$85,L335=phu!$I$86,L335=phu!$I$87,L335=phu!$I$88),"Cam Thịnh Tây",""),IF(OR(L335=phu!$I$89,L335=phu!$I$90),"Cam Lập",""),IF(OR(L335=phu!$I$91,L335=phu!$I$92,L335=phu!$I$93),"Cam Bình",""),IF(OR(L335=phu!$I$94,L335=phu!$I$95,L335=phu!$I$96,L335=phu!$I$97,L335=phu!$I$98,L335=phu!$I$99,L335=phu!$I$100),"Huyện khác",""),IF(OR(L335=phu!$I$101,L335=phu!$I$102),"Tỉnh khác",""))</f>
        <v/>
      </c>
      <c r="N335" s="835" t="str">
        <f t="shared" si="28"/>
        <v/>
      </c>
      <c r="O335" s="20"/>
      <c r="P335" s="20"/>
      <c r="Q335" s="20"/>
      <c r="R335" s="20"/>
      <c r="S335" s="20"/>
      <c r="T335" s="21"/>
      <c r="U335" s="21"/>
      <c r="V335" s="21"/>
      <c r="W335" s="7" t="str">
        <f t="shared" si="26"/>
        <v/>
      </c>
      <c r="X335" s="506" t="str">
        <f t="shared" si="27"/>
        <v/>
      </c>
    </row>
    <row r="336" spans="1:24" x14ac:dyDescent="0.25">
      <c r="A336" s="66" t="str">
        <f t="shared" si="29"/>
        <v/>
      </c>
      <c r="B336" s="23" t="str">
        <f t="shared" si="25"/>
        <v/>
      </c>
      <c r="C336" s="15"/>
      <c r="D336" s="16"/>
      <c r="E336" s="17"/>
      <c r="F336" s="18"/>
      <c r="G336" s="18"/>
      <c r="H336" s="19"/>
      <c r="I336" s="15"/>
      <c r="J336" s="20"/>
      <c r="K336" s="15"/>
      <c r="L336" s="15"/>
      <c r="M336" s="531" t="str">
        <f>CONCATENATE(IF(OR(L336=phu!$I$1,L336=phu!$I$2,L336=phu!$I$3),"Cam Thành Nam",""),IF(OR(L336=phu!$I$4,L336=phu!$I$5,L336=phu!$I$6,L336=phu!$I$7,L336=phu!$I$8,L336=phu!$I$9,L336=phu!$I$10,L336=phu!$I$11,L336=phu!$I$12,L336=phu!$I$13,L336=phu!$I$14),"Cam Nghĩa",""),IF(OR(L336=phu!$I$15,L336=phu!$I$16,L336=phu!$I$17,L336=phu!$I$18,L336=phu!$I$19,L336=phu!$I$20,L336=phu!$I$21),"Cam Phúc Bắc",""),IF(OR(L336=phu!$I$22,L336=phu!$I$23,L336=phu!$I$24,L336=phu!$I$25),"Cam Phúc Nam",""),IF(OR(L336=phu!$I$26,L336=phu!$I$27,L336=phu!$I$28,L336=phu!$I$29,L336=phu!$I$30,L336=phu!$I$31),"Cam Phú",""),IF(OR(L336=phu!$I$32,L336=phu!$I$33,L336=phu!$I$34,L336=phu!$I$35,L336=phu!$I$36,L336=phu!$I$37),"Cam Lộc",""),IF(OR(L336=phu!$I$38,L336=phu!$I$39,L336=phu!$I$40,L336=phu!$I$41,L336=phu!$I$42,L336=phu!$I$43,L336=phu!$I$44),"Cam Thuận",""),IF(OR(L336=phu!$I$45,L336=phu!$I$46,L336=phu!$I$47,L336=phu!$I$48,L336=phu!$I$49,L336=phu!$I$50,L336=phu!$I$51,L336=phu!$I$52,L336=phu!$I$53),"Cam Linh",""),IF(OR(L336=phu!$I$54,L336=phu!$I$55,L336=phu!$I$56,L336=phu!$I$57,L336=phu!$I$58,L336=phu!$I$59,L336=phu!$I$60,L336=phu!$I$61,L336=phu!$I$62),"Cam Lợi",""),IF(OR(L336=phu!$I$63,L336=phu!$I$64,L336=phu!$I$65,L336=phu!$I$66,L336=phu!$I$67,L336=phu!$I$68,L336=phu!$I$69,L336=phu!$I$70,L336=phu!$I$71),"Ba Ngòi",""),IF(OR(L336=phu!$I$72,L336=phu!$I$73,L336=phu!$I$74,L336=phu!$I$75,L336=phu!$I$76,L336=phu!$I$77,L336=phu!$I$78),"Cam Phước Đông",""),IF(OR(L336=phu!$I$79,L336=phu!$I$80,L336=phu!$I$81,L336=phu!$I$82,L336=phu!$I$83,L336=phu!$I$84),"Cam Thịnh Đông",""),IF(OR(L336=phu!$I$85,L336=phu!$I$86,L336=phu!$I$87,L336=phu!$I$88),"Cam Thịnh Tây",""),IF(OR(L336=phu!$I$89,L336=phu!$I$90),"Cam Lập",""),IF(OR(L336=phu!$I$91,L336=phu!$I$92,L336=phu!$I$93),"Cam Bình",""),IF(OR(L336=phu!$I$94,L336=phu!$I$95,L336=phu!$I$96,L336=phu!$I$97,L336=phu!$I$98,L336=phu!$I$99,L336=phu!$I$100),"Huyện khác",""),IF(OR(L336=phu!$I$101,L336=phu!$I$102),"Tỉnh khác",""))</f>
        <v/>
      </c>
      <c r="N336" s="835" t="str">
        <f t="shared" si="28"/>
        <v/>
      </c>
      <c r="O336" s="20"/>
      <c r="P336" s="20"/>
      <c r="Q336" s="20"/>
      <c r="R336" s="20"/>
      <c r="S336" s="20"/>
      <c r="T336" s="21"/>
      <c r="U336" s="21"/>
      <c r="V336" s="21"/>
      <c r="W336" s="7" t="str">
        <f t="shared" si="26"/>
        <v/>
      </c>
      <c r="X336" s="506" t="str">
        <f t="shared" si="27"/>
        <v/>
      </c>
    </row>
    <row r="337" spans="1:24" x14ac:dyDescent="0.25">
      <c r="A337" s="66" t="str">
        <f t="shared" si="29"/>
        <v/>
      </c>
      <c r="B337" s="23" t="str">
        <f t="shared" si="25"/>
        <v/>
      </c>
      <c r="C337" s="15"/>
      <c r="D337" s="16"/>
      <c r="E337" s="17"/>
      <c r="F337" s="18"/>
      <c r="G337" s="18"/>
      <c r="H337" s="19"/>
      <c r="I337" s="15"/>
      <c r="J337" s="20"/>
      <c r="K337" s="15"/>
      <c r="L337" s="15"/>
      <c r="M337" s="531" t="str">
        <f>CONCATENATE(IF(OR(L337=phu!$I$1,L337=phu!$I$2,L337=phu!$I$3),"Cam Thành Nam",""),IF(OR(L337=phu!$I$4,L337=phu!$I$5,L337=phu!$I$6,L337=phu!$I$7,L337=phu!$I$8,L337=phu!$I$9,L337=phu!$I$10,L337=phu!$I$11,L337=phu!$I$12,L337=phu!$I$13,L337=phu!$I$14),"Cam Nghĩa",""),IF(OR(L337=phu!$I$15,L337=phu!$I$16,L337=phu!$I$17,L337=phu!$I$18,L337=phu!$I$19,L337=phu!$I$20,L337=phu!$I$21),"Cam Phúc Bắc",""),IF(OR(L337=phu!$I$22,L337=phu!$I$23,L337=phu!$I$24,L337=phu!$I$25),"Cam Phúc Nam",""),IF(OR(L337=phu!$I$26,L337=phu!$I$27,L337=phu!$I$28,L337=phu!$I$29,L337=phu!$I$30,L337=phu!$I$31),"Cam Phú",""),IF(OR(L337=phu!$I$32,L337=phu!$I$33,L337=phu!$I$34,L337=phu!$I$35,L337=phu!$I$36,L337=phu!$I$37),"Cam Lộc",""),IF(OR(L337=phu!$I$38,L337=phu!$I$39,L337=phu!$I$40,L337=phu!$I$41,L337=phu!$I$42,L337=phu!$I$43,L337=phu!$I$44),"Cam Thuận",""),IF(OR(L337=phu!$I$45,L337=phu!$I$46,L337=phu!$I$47,L337=phu!$I$48,L337=phu!$I$49,L337=phu!$I$50,L337=phu!$I$51,L337=phu!$I$52,L337=phu!$I$53),"Cam Linh",""),IF(OR(L337=phu!$I$54,L337=phu!$I$55,L337=phu!$I$56,L337=phu!$I$57,L337=phu!$I$58,L337=phu!$I$59,L337=phu!$I$60,L337=phu!$I$61,L337=phu!$I$62),"Cam Lợi",""),IF(OR(L337=phu!$I$63,L337=phu!$I$64,L337=phu!$I$65,L337=phu!$I$66,L337=phu!$I$67,L337=phu!$I$68,L337=phu!$I$69,L337=phu!$I$70,L337=phu!$I$71),"Ba Ngòi",""),IF(OR(L337=phu!$I$72,L337=phu!$I$73,L337=phu!$I$74,L337=phu!$I$75,L337=phu!$I$76,L337=phu!$I$77,L337=phu!$I$78),"Cam Phước Đông",""),IF(OR(L337=phu!$I$79,L337=phu!$I$80,L337=phu!$I$81,L337=phu!$I$82,L337=phu!$I$83,L337=phu!$I$84),"Cam Thịnh Đông",""),IF(OR(L337=phu!$I$85,L337=phu!$I$86,L337=phu!$I$87,L337=phu!$I$88),"Cam Thịnh Tây",""),IF(OR(L337=phu!$I$89,L337=phu!$I$90),"Cam Lập",""),IF(OR(L337=phu!$I$91,L337=phu!$I$92,L337=phu!$I$93),"Cam Bình",""),IF(OR(L337=phu!$I$94,L337=phu!$I$95,L337=phu!$I$96,L337=phu!$I$97,L337=phu!$I$98,L337=phu!$I$99,L337=phu!$I$100),"Huyện khác",""),IF(OR(L337=phu!$I$101,L337=phu!$I$102),"Tỉnh khác",""))</f>
        <v/>
      </c>
      <c r="N337" s="835" t="str">
        <f t="shared" si="28"/>
        <v/>
      </c>
      <c r="O337" s="20"/>
      <c r="P337" s="20"/>
      <c r="Q337" s="20"/>
      <c r="R337" s="20"/>
      <c r="S337" s="20"/>
      <c r="T337" s="21"/>
      <c r="U337" s="21"/>
      <c r="V337" s="21"/>
      <c r="W337" s="7" t="str">
        <f t="shared" si="26"/>
        <v/>
      </c>
      <c r="X337" s="506" t="str">
        <f t="shared" si="27"/>
        <v/>
      </c>
    </row>
    <row r="338" spans="1:24" x14ac:dyDescent="0.25">
      <c r="A338" s="66" t="str">
        <f t="shared" si="29"/>
        <v/>
      </c>
      <c r="B338" s="23" t="str">
        <f t="shared" si="25"/>
        <v/>
      </c>
      <c r="C338" s="15"/>
      <c r="D338" s="16"/>
      <c r="E338" s="17"/>
      <c r="F338" s="18"/>
      <c r="G338" s="18"/>
      <c r="H338" s="19"/>
      <c r="I338" s="15"/>
      <c r="J338" s="20"/>
      <c r="K338" s="15"/>
      <c r="L338" s="15"/>
      <c r="M338" s="531" t="str">
        <f>CONCATENATE(IF(OR(L338=phu!$I$1,L338=phu!$I$2,L338=phu!$I$3),"Cam Thành Nam",""),IF(OR(L338=phu!$I$4,L338=phu!$I$5,L338=phu!$I$6,L338=phu!$I$7,L338=phu!$I$8,L338=phu!$I$9,L338=phu!$I$10,L338=phu!$I$11,L338=phu!$I$12,L338=phu!$I$13,L338=phu!$I$14),"Cam Nghĩa",""),IF(OR(L338=phu!$I$15,L338=phu!$I$16,L338=phu!$I$17,L338=phu!$I$18,L338=phu!$I$19,L338=phu!$I$20,L338=phu!$I$21),"Cam Phúc Bắc",""),IF(OR(L338=phu!$I$22,L338=phu!$I$23,L338=phu!$I$24,L338=phu!$I$25),"Cam Phúc Nam",""),IF(OR(L338=phu!$I$26,L338=phu!$I$27,L338=phu!$I$28,L338=phu!$I$29,L338=phu!$I$30,L338=phu!$I$31),"Cam Phú",""),IF(OR(L338=phu!$I$32,L338=phu!$I$33,L338=phu!$I$34,L338=phu!$I$35,L338=phu!$I$36,L338=phu!$I$37),"Cam Lộc",""),IF(OR(L338=phu!$I$38,L338=phu!$I$39,L338=phu!$I$40,L338=phu!$I$41,L338=phu!$I$42,L338=phu!$I$43,L338=phu!$I$44),"Cam Thuận",""),IF(OR(L338=phu!$I$45,L338=phu!$I$46,L338=phu!$I$47,L338=phu!$I$48,L338=phu!$I$49,L338=phu!$I$50,L338=phu!$I$51,L338=phu!$I$52,L338=phu!$I$53),"Cam Linh",""),IF(OR(L338=phu!$I$54,L338=phu!$I$55,L338=phu!$I$56,L338=phu!$I$57,L338=phu!$I$58,L338=phu!$I$59,L338=phu!$I$60,L338=phu!$I$61,L338=phu!$I$62),"Cam Lợi",""),IF(OR(L338=phu!$I$63,L338=phu!$I$64,L338=phu!$I$65,L338=phu!$I$66,L338=phu!$I$67,L338=phu!$I$68,L338=phu!$I$69,L338=phu!$I$70,L338=phu!$I$71),"Ba Ngòi",""),IF(OR(L338=phu!$I$72,L338=phu!$I$73,L338=phu!$I$74,L338=phu!$I$75,L338=phu!$I$76,L338=phu!$I$77,L338=phu!$I$78),"Cam Phước Đông",""),IF(OR(L338=phu!$I$79,L338=phu!$I$80,L338=phu!$I$81,L338=phu!$I$82,L338=phu!$I$83,L338=phu!$I$84),"Cam Thịnh Đông",""),IF(OR(L338=phu!$I$85,L338=phu!$I$86,L338=phu!$I$87,L338=phu!$I$88),"Cam Thịnh Tây",""),IF(OR(L338=phu!$I$89,L338=phu!$I$90),"Cam Lập",""),IF(OR(L338=phu!$I$91,L338=phu!$I$92,L338=phu!$I$93),"Cam Bình",""),IF(OR(L338=phu!$I$94,L338=phu!$I$95,L338=phu!$I$96,L338=phu!$I$97,L338=phu!$I$98,L338=phu!$I$99,L338=phu!$I$100),"Huyện khác",""),IF(OR(L338=phu!$I$101,L338=phu!$I$102),"Tỉnh khác",""))</f>
        <v/>
      </c>
      <c r="N338" s="835" t="str">
        <f t="shared" si="28"/>
        <v/>
      </c>
      <c r="O338" s="20"/>
      <c r="P338" s="20"/>
      <c r="Q338" s="20"/>
      <c r="R338" s="20"/>
      <c r="S338" s="20"/>
      <c r="T338" s="21"/>
      <c r="U338" s="21"/>
      <c r="V338" s="21"/>
      <c r="W338" s="7" t="str">
        <f t="shared" si="26"/>
        <v/>
      </c>
      <c r="X338" s="506" t="str">
        <f t="shared" si="27"/>
        <v/>
      </c>
    </row>
    <row r="339" spans="1:24" x14ac:dyDescent="0.25">
      <c r="A339" s="66" t="str">
        <f t="shared" si="29"/>
        <v/>
      </c>
      <c r="B339" s="23" t="str">
        <f t="shared" si="25"/>
        <v/>
      </c>
      <c r="C339" s="15"/>
      <c r="D339" s="16"/>
      <c r="E339" s="17"/>
      <c r="F339" s="18"/>
      <c r="G339" s="18"/>
      <c r="H339" s="19"/>
      <c r="I339" s="15"/>
      <c r="J339" s="20"/>
      <c r="K339" s="15"/>
      <c r="L339" s="15"/>
      <c r="M339" s="531" t="str">
        <f>CONCATENATE(IF(OR(L339=phu!$I$1,L339=phu!$I$2,L339=phu!$I$3),"Cam Thành Nam",""),IF(OR(L339=phu!$I$4,L339=phu!$I$5,L339=phu!$I$6,L339=phu!$I$7,L339=phu!$I$8,L339=phu!$I$9,L339=phu!$I$10,L339=phu!$I$11,L339=phu!$I$12,L339=phu!$I$13,L339=phu!$I$14),"Cam Nghĩa",""),IF(OR(L339=phu!$I$15,L339=phu!$I$16,L339=phu!$I$17,L339=phu!$I$18,L339=phu!$I$19,L339=phu!$I$20,L339=phu!$I$21),"Cam Phúc Bắc",""),IF(OR(L339=phu!$I$22,L339=phu!$I$23,L339=phu!$I$24,L339=phu!$I$25),"Cam Phúc Nam",""),IF(OR(L339=phu!$I$26,L339=phu!$I$27,L339=phu!$I$28,L339=phu!$I$29,L339=phu!$I$30,L339=phu!$I$31),"Cam Phú",""),IF(OR(L339=phu!$I$32,L339=phu!$I$33,L339=phu!$I$34,L339=phu!$I$35,L339=phu!$I$36,L339=phu!$I$37),"Cam Lộc",""),IF(OR(L339=phu!$I$38,L339=phu!$I$39,L339=phu!$I$40,L339=phu!$I$41,L339=phu!$I$42,L339=phu!$I$43,L339=phu!$I$44),"Cam Thuận",""),IF(OR(L339=phu!$I$45,L339=phu!$I$46,L339=phu!$I$47,L339=phu!$I$48,L339=phu!$I$49,L339=phu!$I$50,L339=phu!$I$51,L339=phu!$I$52,L339=phu!$I$53),"Cam Linh",""),IF(OR(L339=phu!$I$54,L339=phu!$I$55,L339=phu!$I$56,L339=phu!$I$57,L339=phu!$I$58,L339=phu!$I$59,L339=phu!$I$60,L339=phu!$I$61,L339=phu!$I$62),"Cam Lợi",""),IF(OR(L339=phu!$I$63,L339=phu!$I$64,L339=phu!$I$65,L339=phu!$I$66,L339=phu!$I$67,L339=phu!$I$68,L339=phu!$I$69,L339=phu!$I$70,L339=phu!$I$71),"Ba Ngòi",""),IF(OR(L339=phu!$I$72,L339=phu!$I$73,L339=phu!$I$74,L339=phu!$I$75,L339=phu!$I$76,L339=phu!$I$77,L339=phu!$I$78),"Cam Phước Đông",""),IF(OR(L339=phu!$I$79,L339=phu!$I$80,L339=phu!$I$81,L339=phu!$I$82,L339=phu!$I$83,L339=phu!$I$84),"Cam Thịnh Đông",""),IF(OR(L339=phu!$I$85,L339=phu!$I$86,L339=phu!$I$87,L339=phu!$I$88),"Cam Thịnh Tây",""),IF(OR(L339=phu!$I$89,L339=phu!$I$90),"Cam Lập",""),IF(OR(L339=phu!$I$91,L339=phu!$I$92,L339=phu!$I$93),"Cam Bình",""),IF(OR(L339=phu!$I$94,L339=phu!$I$95,L339=phu!$I$96,L339=phu!$I$97,L339=phu!$I$98,L339=phu!$I$99,L339=phu!$I$100),"Huyện khác",""),IF(OR(L339=phu!$I$101,L339=phu!$I$102),"Tỉnh khác",""))</f>
        <v/>
      </c>
      <c r="N339" s="835" t="str">
        <f t="shared" si="28"/>
        <v/>
      </c>
      <c r="O339" s="20"/>
      <c r="P339" s="20"/>
      <c r="Q339" s="20"/>
      <c r="R339" s="20"/>
      <c r="S339" s="20"/>
      <c r="T339" s="21"/>
      <c r="U339" s="21"/>
      <c r="V339" s="21"/>
      <c r="W339" s="7" t="str">
        <f t="shared" si="26"/>
        <v/>
      </c>
      <c r="X339" s="506" t="str">
        <f t="shared" si="27"/>
        <v/>
      </c>
    </row>
    <row r="340" spans="1:24" x14ac:dyDescent="0.25">
      <c r="A340" s="66" t="str">
        <f t="shared" si="29"/>
        <v/>
      </c>
      <c r="B340" s="23" t="str">
        <f t="shared" si="25"/>
        <v/>
      </c>
      <c r="C340" s="15"/>
      <c r="D340" s="16"/>
      <c r="E340" s="17"/>
      <c r="F340" s="18"/>
      <c r="G340" s="18"/>
      <c r="H340" s="19"/>
      <c r="I340" s="15"/>
      <c r="J340" s="20"/>
      <c r="K340" s="15"/>
      <c r="L340" s="15"/>
      <c r="M340" s="531" t="str">
        <f>CONCATENATE(IF(OR(L340=phu!$I$1,L340=phu!$I$2,L340=phu!$I$3),"Cam Thành Nam",""),IF(OR(L340=phu!$I$4,L340=phu!$I$5,L340=phu!$I$6,L340=phu!$I$7,L340=phu!$I$8,L340=phu!$I$9,L340=phu!$I$10,L340=phu!$I$11,L340=phu!$I$12,L340=phu!$I$13,L340=phu!$I$14),"Cam Nghĩa",""),IF(OR(L340=phu!$I$15,L340=phu!$I$16,L340=phu!$I$17,L340=phu!$I$18,L340=phu!$I$19,L340=phu!$I$20,L340=phu!$I$21),"Cam Phúc Bắc",""),IF(OR(L340=phu!$I$22,L340=phu!$I$23,L340=phu!$I$24,L340=phu!$I$25),"Cam Phúc Nam",""),IF(OR(L340=phu!$I$26,L340=phu!$I$27,L340=phu!$I$28,L340=phu!$I$29,L340=phu!$I$30,L340=phu!$I$31),"Cam Phú",""),IF(OR(L340=phu!$I$32,L340=phu!$I$33,L340=phu!$I$34,L340=phu!$I$35,L340=phu!$I$36,L340=phu!$I$37),"Cam Lộc",""),IF(OR(L340=phu!$I$38,L340=phu!$I$39,L340=phu!$I$40,L340=phu!$I$41,L340=phu!$I$42,L340=phu!$I$43,L340=phu!$I$44),"Cam Thuận",""),IF(OR(L340=phu!$I$45,L340=phu!$I$46,L340=phu!$I$47,L340=phu!$I$48,L340=phu!$I$49,L340=phu!$I$50,L340=phu!$I$51,L340=phu!$I$52,L340=phu!$I$53),"Cam Linh",""),IF(OR(L340=phu!$I$54,L340=phu!$I$55,L340=phu!$I$56,L340=phu!$I$57,L340=phu!$I$58,L340=phu!$I$59,L340=phu!$I$60,L340=phu!$I$61,L340=phu!$I$62),"Cam Lợi",""),IF(OR(L340=phu!$I$63,L340=phu!$I$64,L340=phu!$I$65,L340=phu!$I$66,L340=phu!$I$67,L340=phu!$I$68,L340=phu!$I$69,L340=phu!$I$70,L340=phu!$I$71),"Ba Ngòi",""),IF(OR(L340=phu!$I$72,L340=phu!$I$73,L340=phu!$I$74,L340=phu!$I$75,L340=phu!$I$76,L340=phu!$I$77,L340=phu!$I$78),"Cam Phước Đông",""),IF(OR(L340=phu!$I$79,L340=phu!$I$80,L340=phu!$I$81,L340=phu!$I$82,L340=phu!$I$83,L340=phu!$I$84),"Cam Thịnh Đông",""),IF(OR(L340=phu!$I$85,L340=phu!$I$86,L340=phu!$I$87,L340=phu!$I$88),"Cam Thịnh Tây",""),IF(OR(L340=phu!$I$89,L340=phu!$I$90),"Cam Lập",""),IF(OR(L340=phu!$I$91,L340=phu!$I$92,L340=phu!$I$93),"Cam Bình",""),IF(OR(L340=phu!$I$94,L340=phu!$I$95,L340=phu!$I$96,L340=phu!$I$97,L340=phu!$I$98,L340=phu!$I$99,L340=phu!$I$100),"Huyện khác",""),IF(OR(L340=phu!$I$101,L340=phu!$I$102),"Tỉnh khác",""))</f>
        <v/>
      </c>
      <c r="N340" s="835" t="str">
        <f t="shared" si="28"/>
        <v/>
      </c>
      <c r="O340" s="20"/>
      <c r="P340" s="20"/>
      <c r="Q340" s="20"/>
      <c r="R340" s="20"/>
      <c r="S340" s="20"/>
      <c r="T340" s="21"/>
      <c r="U340" s="21"/>
      <c r="V340" s="21"/>
      <c r="W340" s="7" t="str">
        <f t="shared" si="26"/>
        <v/>
      </c>
      <c r="X340" s="506" t="str">
        <f t="shared" si="27"/>
        <v/>
      </c>
    </row>
    <row r="341" spans="1:24" x14ac:dyDescent="0.25">
      <c r="A341" s="66" t="str">
        <f t="shared" si="29"/>
        <v/>
      </c>
      <c r="B341" s="23" t="str">
        <f t="shared" si="25"/>
        <v/>
      </c>
      <c r="C341" s="15"/>
      <c r="D341" s="16"/>
      <c r="E341" s="17"/>
      <c r="F341" s="18"/>
      <c r="G341" s="18"/>
      <c r="H341" s="19"/>
      <c r="I341" s="15"/>
      <c r="J341" s="20"/>
      <c r="K341" s="15"/>
      <c r="L341" s="15"/>
      <c r="M341" s="531" t="str">
        <f>CONCATENATE(IF(OR(L341=phu!$I$1,L341=phu!$I$2,L341=phu!$I$3),"Cam Thành Nam",""),IF(OR(L341=phu!$I$4,L341=phu!$I$5,L341=phu!$I$6,L341=phu!$I$7,L341=phu!$I$8,L341=phu!$I$9,L341=phu!$I$10,L341=phu!$I$11,L341=phu!$I$12,L341=phu!$I$13,L341=phu!$I$14),"Cam Nghĩa",""),IF(OR(L341=phu!$I$15,L341=phu!$I$16,L341=phu!$I$17,L341=phu!$I$18,L341=phu!$I$19,L341=phu!$I$20,L341=phu!$I$21),"Cam Phúc Bắc",""),IF(OR(L341=phu!$I$22,L341=phu!$I$23,L341=phu!$I$24,L341=phu!$I$25),"Cam Phúc Nam",""),IF(OR(L341=phu!$I$26,L341=phu!$I$27,L341=phu!$I$28,L341=phu!$I$29,L341=phu!$I$30,L341=phu!$I$31),"Cam Phú",""),IF(OR(L341=phu!$I$32,L341=phu!$I$33,L341=phu!$I$34,L341=phu!$I$35,L341=phu!$I$36,L341=phu!$I$37),"Cam Lộc",""),IF(OR(L341=phu!$I$38,L341=phu!$I$39,L341=phu!$I$40,L341=phu!$I$41,L341=phu!$I$42,L341=phu!$I$43,L341=phu!$I$44),"Cam Thuận",""),IF(OR(L341=phu!$I$45,L341=phu!$I$46,L341=phu!$I$47,L341=phu!$I$48,L341=phu!$I$49,L341=phu!$I$50,L341=phu!$I$51,L341=phu!$I$52,L341=phu!$I$53),"Cam Linh",""),IF(OR(L341=phu!$I$54,L341=phu!$I$55,L341=phu!$I$56,L341=phu!$I$57,L341=phu!$I$58,L341=phu!$I$59,L341=phu!$I$60,L341=phu!$I$61,L341=phu!$I$62),"Cam Lợi",""),IF(OR(L341=phu!$I$63,L341=phu!$I$64,L341=phu!$I$65,L341=phu!$I$66,L341=phu!$I$67,L341=phu!$I$68,L341=phu!$I$69,L341=phu!$I$70,L341=phu!$I$71),"Ba Ngòi",""),IF(OR(L341=phu!$I$72,L341=phu!$I$73,L341=phu!$I$74,L341=phu!$I$75,L341=phu!$I$76,L341=phu!$I$77,L341=phu!$I$78),"Cam Phước Đông",""),IF(OR(L341=phu!$I$79,L341=phu!$I$80,L341=phu!$I$81,L341=phu!$I$82,L341=phu!$I$83,L341=phu!$I$84),"Cam Thịnh Đông",""),IF(OR(L341=phu!$I$85,L341=phu!$I$86,L341=phu!$I$87,L341=phu!$I$88),"Cam Thịnh Tây",""),IF(OR(L341=phu!$I$89,L341=phu!$I$90),"Cam Lập",""),IF(OR(L341=phu!$I$91,L341=phu!$I$92,L341=phu!$I$93),"Cam Bình",""),IF(OR(L341=phu!$I$94,L341=phu!$I$95,L341=phu!$I$96,L341=phu!$I$97,L341=phu!$I$98,L341=phu!$I$99,L341=phu!$I$100),"Huyện khác",""),IF(OR(L341=phu!$I$101,L341=phu!$I$102),"Tỉnh khác",""))</f>
        <v/>
      </c>
      <c r="N341" s="835" t="str">
        <f t="shared" si="28"/>
        <v/>
      </c>
      <c r="O341" s="20"/>
      <c r="P341" s="20"/>
      <c r="Q341" s="20"/>
      <c r="R341" s="20"/>
      <c r="S341" s="20"/>
      <c r="T341" s="21"/>
      <c r="U341" s="21"/>
      <c r="V341" s="21"/>
      <c r="W341" s="7" t="str">
        <f t="shared" si="26"/>
        <v/>
      </c>
      <c r="X341" s="506" t="str">
        <f t="shared" si="27"/>
        <v/>
      </c>
    </row>
    <row r="342" spans="1:24" x14ac:dyDescent="0.25">
      <c r="A342" s="66" t="str">
        <f t="shared" si="29"/>
        <v/>
      </c>
      <c r="B342" s="23" t="str">
        <f t="shared" si="25"/>
        <v/>
      </c>
      <c r="C342" s="15"/>
      <c r="D342" s="16"/>
      <c r="E342" s="17"/>
      <c r="F342" s="18"/>
      <c r="G342" s="18"/>
      <c r="H342" s="19"/>
      <c r="I342" s="25"/>
      <c r="J342" s="20"/>
      <c r="K342" s="15"/>
      <c r="L342" s="15"/>
      <c r="M342" s="531" t="str">
        <f>CONCATENATE(IF(OR(L342=phu!$I$1,L342=phu!$I$2,L342=phu!$I$3),"Cam Thành Nam",""),IF(OR(L342=phu!$I$4,L342=phu!$I$5,L342=phu!$I$6,L342=phu!$I$7,L342=phu!$I$8,L342=phu!$I$9,L342=phu!$I$10,L342=phu!$I$11,L342=phu!$I$12,L342=phu!$I$13,L342=phu!$I$14),"Cam Nghĩa",""),IF(OR(L342=phu!$I$15,L342=phu!$I$16,L342=phu!$I$17,L342=phu!$I$18,L342=phu!$I$19,L342=phu!$I$20,L342=phu!$I$21),"Cam Phúc Bắc",""),IF(OR(L342=phu!$I$22,L342=phu!$I$23,L342=phu!$I$24,L342=phu!$I$25),"Cam Phúc Nam",""),IF(OR(L342=phu!$I$26,L342=phu!$I$27,L342=phu!$I$28,L342=phu!$I$29,L342=phu!$I$30,L342=phu!$I$31),"Cam Phú",""),IF(OR(L342=phu!$I$32,L342=phu!$I$33,L342=phu!$I$34,L342=phu!$I$35,L342=phu!$I$36,L342=phu!$I$37),"Cam Lộc",""),IF(OR(L342=phu!$I$38,L342=phu!$I$39,L342=phu!$I$40,L342=phu!$I$41,L342=phu!$I$42,L342=phu!$I$43,L342=phu!$I$44),"Cam Thuận",""),IF(OR(L342=phu!$I$45,L342=phu!$I$46,L342=phu!$I$47,L342=phu!$I$48,L342=phu!$I$49,L342=phu!$I$50,L342=phu!$I$51,L342=phu!$I$52,L342=phu!$I$53),"Cam Linh",""),IF(OR(L342=phu!$I$54,L342=phu!$I$55,L342=phu!$I$56,L342=phu!$I$57,L342=phu!$I$58,L342=phu!$I$59,L342=phu!$I$60,L342=phu!$I$61,L342=phu!$I$62),"Cam Lợi",""),IF(OR(L342=phu!$I$63,L342=phu!$I$64,L342=phu!$I$65,L342=phu!$I$66,L342=phu!$I$67,L342=phu!$I$68,L342=phu!$I$69,L342=phu!$I$70,L342=phu!$I$71),"Ba Ngòi",""),IF(OR(L342=phu!$I$72,L342=phu!$I$73,L342=phu!$I$74,L342=phu!$I$75,L342=phu!$I$76,L342=phu!$I$77,L342=phu!$I$78),"Cam Phước Đông",""),IF(OR(L342=phu!$I$79,L342=phu!$I$80,L342=phu!$I$81,L342=phu!$I$82,L342=phu!$I$83,L342=phu!$I$84),"Cam Thịnh Đông",""),IF(OR(L342=phu!$I$85,L342=phu!$I$86,L342=phu!$I$87,L342=phu!$I$88),"Cam Thịnh Tây",""),IF(OR(L342=phu!$I$89,L342=phu!$I$90),"Cam Lập",""),IF(OR(L342=phu!$I$91,L342=phu!$I$92,L342=phu!$I$93),"Cam Bình",""),IF(OR(L342=phu!$I$94,L342=phu!$I$95,L342=phu!$I$96,L342=phu!$I$97,L342=phu!$I$98,L342=phu!$I$99,L342=phu!$I$100),"Huyện khác",""),IF(OR(L342=phu!$I$101,L342=phu!$I$102),"Tỉnh khác",""))</f>
        <v/>
      </c>
      <c r="N342" s="835" t="str">
        <f t="shared" si="28"/>
        <v/>
      </c>
      <c r="O342" s="20"/>
      <c r="P342" s="20"/>
      <c r="Q342" s="20"/>
      <c r="R342" s="20"/>
      <c r="S342" s="20"/>
      <c r="T342" s="21"/>
      <c r="U342" s="21"/>
      <c r="V342" s="21"/>
      <c r="W342" s="7" t="str">
        <f t="shared" si="26"/>
        <v/>
      </c>
      <c r="X342" s="506" t="str">
        <f t="shared" si="27"/>
        <v/>
      </c>
    </row>
    <row r="343" spans="1:24" x14ac:dyDescent="0.25">
      <c r="A343" s="66" t="str">
        <f t="shared" si="29"/>
        <v/>
      </c>
      <c r="B343" s="23" t="str">
        <f t="shared" si="25"/>
        <v/>
      </c>
      <c r="C343" s="15"/>
      <c r="D343" s="16"/>
      <c r="E343" s="17"/>
      <c r="F343" s="18"/>
      <c r="G343" s="18"/>
      <c r="H343" s="19"/>
      <c r="I343" s="15"/>
      <c r="J343" s="20"/>
      <c r="K343" s="15"/>
      <c r="L343" s="15"/>
      <c r="M343" s="531" t="str">
        <f>CONCATENATE(IF(OR(L343=phu!$I$1,L343=phu!$I$2,L343=phu!$I$3),"Cam Thành Nam",""),IF(OR(L343=phu!$I$4,L343=phu!$I$5,L343=phu!$I$6,L343=phu!$I$7,L343=phu!$I$8,L343=phu!$I$9,L343=phu!$I$10,L343=phu!$I$11,L343=phu!$I$12,L343=phu!$I$13,L343=phu!$I$14),"Cam Nghĩa",""),IF(OR(L343=phu!$I$15,L343=phu!$I$16,L343=phu!$I$17,L343=phu!$I$18,L343=phu!$I$19,L343=phu!$I$20,L343=phu!$I$21),"Cam Phúc Bắc",""),IF(OR(L343=phu!$I$22,L343=phu!$I$23,L343=phu!$I$24,L343=phu!$I$25),"Cam Phúc Nam",""),IF(OR(L343=phu!$I$26,L343=phu!$I$27,L343=phu!$I$28,L343=phu!$I$29,L343=phu!$I$30,L343=phu!$I$31),"Cam Phú",""),IF(OR(L343=phu!$I$32,L343=phu!$I$33,L343=phu!$I$34,L343=phu!$I$35,L343=phu!$I$36,L343=phu!$I$37),"Cam Lộc",""),IF(OR(L343=phu!$I$38,L343=phu!$I$39,L343=phu!$I$40,L343=phu!$I$41,L343=phu!$I$42,L343=phu!$I$43,L343=phu!$I$44),"Cam Thuận",""),IF(OR(L343=phu!$I$45,L343=phu!$I$46,L343=phu!$I$47,L343=phu!$I$48,L343=phu!$I$49,L343=phu!$I$50,L343=phu!$I$51,L343=phu!$I$52,L343=phu!$I$53),"Cam Linh",""),IF(OR(L343=phu!$I$54,L343=phu!$I$55,L343=phu!$I$56,L343=phu!$I$57,L343=phu!$I$58,L343=phu!$I$59,L343=phu!$I$60,L343=phu!$I$61,L343=phu!$I$62),"Cam Lợi",""),IF(OR(L343=phu!$I$63,L343=phu!$I$64,L343=phu!$I$65,L343=phu!$I$66,L343=phu!$I$67,L343=phu!$I$68,L343=phu!$I$69,L343=phu!$I$70,L343=phu!$I$71),"Ba Ngòi",""),IF(OR(L343=phu!$I$72,L343=phu!$I$73,L343=phu!$I$74,L343=phu!$I$75,L343=phu!$I$76,L343=phu!$I$77,L343=phu!$I$78),"Cam Phước Đông",""),IF(OR(L343=phu!$I$79,L343=phu!$I$80,L343=phu!$I$81,L343=phu!$I$82,L343=phu!$I$83,L343=phu!$I$84),"Cam Thịnh Đông",""),IF(OR(L343=phu!$I$85,L343=phu!$I$86,L343=phu!$I$87,L343=phu!$I$88),"Cam Thịnh Tây",""),IF(OR(L343=phu!$I$89,L343=phu!$I$90),"Cam Lập",""),IF(OR(L343=phu!$I$91,L343=phu!$I$92,L343=phu!$I$93),"Cam Bình",""),IF(OR(L343=phu!$I$94,L343=phu!$I$95,L343=phu!$I$96,L343=phu!$I$97,L343=phu!$I$98,L343=phu!$I$99,L343=phu!$I$100),"Huyện khác",""),IF(OR(L343=phu!$I$101,L343=phu!$I$102),"Tỉnh khác",""))</f>
        <v/>
      </c>
      <c r="N343" s="835" t="str">
        <f t="shared" si="28"/>
        <v/>
      </c>
      <c r="O343" s="20"/>
      <c r="P343" s="20"/>
      <c r="Q343" s="20"/>
      <c r="R343" s="20"/>
      <c r="S343" s="20"/>
      <c r="T343" s="21"/>
      <c r="U343" s="21"/>
      <c r="V343" s="21"/>
      <c r="W343" s="7" t="str">
        <f t="shared" si="26"/>
        <v/>
      </c>
      <c r="X343" s="506" t="str">
        <f t="shared" si="27"/>
        <v/>
      </c>
    </row>
    <row r="344" spans="1:24" x14ac:dyDescent="0.25">
      <c r="A344" s="66" t="str">
        <f t="shared" si="29"/>
        <v/>
      </c>
      <c r="B344" s="23" t="str">
        <f t="shared" si="25"/>
        <v/>
      </c>
      <c r="C344" s="15"/>
      <c r="D344" s="16"/>
      <c r="E344" s="17"/>
      <c r="F344" s="18"/>
      <c r="G344" s="18"/>
      <c r="H344" s="19"/>
      <c r="I344" s="15"/>
      <c r="J344" s="20"/>
      <c r="K344" s="15"/>
      <c r="L344" s="15"/>
      <c r="M344" s="531" t="str">
        <f>CONCATENATE(IF(OR(L344=phu!$I$1,L344=phu!$I$2,L344=phu!$I$3),"Cam Thành Nam",""),IF(OR(L344=phu!$I$4,L344=phu!$I$5,L344=phu!$I$6,L344=phu!$I$7,L344=phu!$I$8,L344=phu!$I$9,L344=phu!$I$10,L344=phu!$I$11,L344=phu!$I$12,L344=phu!$I$13,L344=phu!$I$14),"Cam Nghĩa",""),IF(OR(L344=phu!$I$15,L344=phu!$I$16,L344=phu!$I$17,L344=phu!$I$18,L344=phu!$I$19,L344=phu!$I$20,L344=phu!$I$21),"Cam Phúc Bắc",""),IF(OR(L344=phu!$I$22,L344=phu!$I$23,L344=phu!$I$24,L344=phu!$I$25),"Cam Phúc Nam",""),IF(OR(L344=phu!$I$26,L344=phu!$I$27,L344=phu!$I$28,L344=phu!$I$29,L344=phu!$I$30,L344=phu!$I$31),"Cam Phú",""),IF(OR(L344=phu!$I$32,L344=phu!$I$33,L344=phu!$I$34,L344=phu!$I$35,L344=phu!$I$36,L344=phu!$I$37),"Cam Lộc",""),IF(OR(L344=phu!$I$38,L344=phu!$I$39,L344=phu!$I$40,L344=phu!$I$41,L344=phu!$I$42,L344=phu!$I$43,L344=phu!$I$44),"Cam Thuận",""),IF(OR(L344=phu!$I$45,L344=phu!$I$46,L344=phu!$I$47,L344=phu!$I$48,L344=phu!$I$49,L344=phu!$I$50,L344=phu!$I$51,L344=phu!$I$52,L344=phu!$I$53),"Cam Linh",""),IF(OR(L344=phu!$I$54,L344=phu!$I$55,L344=phu!$I$56,L344=phu!$I$57,L344=phu!$I$58,L344=phu!$I$59,L344=phu!$I$60,L344=phu!$I$61,L344=phu!$I$62),"Cam Lợi",""),IF(OR(L344=phu!$I$63,L344=phu!$I$64,L344=phu!$I$65,L344=phu!$I$66,L344=phu!$I$67,L344=phu!$I$68,L344=phu!$I$69,L344=phu!$I$70,L344=phu!$I$71),"Ba Ngòi",""),IF(OR(L344=phu!$I$72,L344=phu!$I$73,L344=phu!$I$74,L344=phu!$I$75,L344=phu!$I$76,L344=phu!$I$77,L344=phu!$I$78),"Cam Phước Đông",""),IF(OR(L344=phu!$I$79,L344=phu!$I$80,L344=phu!$I$81,L344=phu!$I$82,L344=phu!$I$83,L344=phu!$I$84),"Cam Thịnh Đông",""),IF(OR(L344=phu!$I$85,L344=phu!$I$86,L344=phu!$I$87,L344=phu!$I$88),"Cam Thịnh Tây",""),IF(OR(L344=phu!$I$89,L344=phu!$I$90),"Cam Lập",""),IF(OR(L344=phu!$I$91,L344=phu!$I$92,L344=phu!$I$93),"Cam Bình",""),IF(OR(L344=phu!$I$94,L344=phu!$I$95,L344=phu!$I$96,L344=phu!$I$97,L344=phu!$I$98,L344=phu!$I$99,L344=phu!$I$100),"Huyện khác",""),IF(OR(L344=phu!$I$101,L344=phu!$I$102),"Tỉnh khác",""))</f>
        <v/>
      </c>
      <c r="N344" s="835" t="str">
        <f t="shared" si="28"/>
        <v/>
      </c>
      <c r="O344" s="20"/>
      <c r="P344" s="20"/>
      <c r="Q344" s="20"/>
      <c r="R344" s="20"/>
      <c r="S344" s="20"/>
      <c r="T344" s="21"/>
      <c r="U344" s="21"/>
      <c r="V344" s="21"/>
      <c r="W344" s="7" t="str">
        <f t="shared" si="26"/>
        <v/>
      </c>
      <c r="X344" s="506" t="str">
        <f t="shared" si="27"/>
        <v/>
      </c>
    </row>
    <row r="345" spans="1:24" x14ac:dyDescent="0.25">
      <c r="A345" s="66" t="str">
        <f t="shared" si="29"/>
        <v/>
      </c>
      <c r="B345" s="23" t="str">
        <f t="shared" si="25"/>
        <v/>
      </c>
      <c r="C345" s="15"/>
      <c r="D345" s="16"/>
      <c r="E345" s="17"/>
      <c r="F345" s="18"/>
      <c r="G345" s="18"/>
      <c r="H345" s="19"/>
      <c r="I345" s="15"/>
      <c r="J345" s="20"/>
      <c r="K345" s="15"/>
      <c r="L345" s="15"/>
      <c r="M345" s="531" t="str">
        <f>CONCATENATE(IF(OR(L345=phu!$I$1,L345=phu!$I$2,L345=phu!$I$3),"Cam Thành Nam",""),IF(OR(L345=phu!$I$4,L345=phu!$I$5,L345=phu!$I$6,L345=phu!$I$7,L345=phu!$I$8,L345=phu!$I$9,L345=phu!$I$10,L345=phu!$I$11,L345=phu!$I$12,L345=phu!$I$13,L345=phu!$I$14),"Cam Nghĩa",""),IF(OR(L345=phu!$I$15,L345=phu!$I$16,L345=phu!$I$17,L345=phu!$I$18,L345=phu!$I$19,L345=phu!$I$20,L345=phu!$I$21),"Cam Phúc Bắc",""),IF(OR(L345=phu!$I$22,L345=phu!$I$23,L345=phu!$I$24,L345=phu!$I$25),"Cam Phúc Nam",""),IF(OR(L345=phu!$I$26,L345=phu!$I$27,L345=phu!$I$28,L345=phu!$I$29,L345=phu!$I$30,L345=phu!$I$31),"Cam Phú",""),IF(OR(L345=phu!$I$32,L345=phu!$I$33,L345=phu!$I$34,L345=phu!$I$35,L345=phu!$I$36,L345=phu!$I$37),"Cam Lộc",""),IF(OR(L345=phu!$I$38,L345=phu!$I$39,L345=phu!$I$40,L345=phu!$I$41,L345=phu!$I$42,L345=phu!$I$43,L345=phu!$I$44),"Cam Thuận",""),IF(OR(L345=phu!$I$45,L345=phu!$I$46,L345=phu!$I$47,L345=phu!$I$48,L345=phu!$I$49,L345=phu!$I$50,L345=phu!$I$51,L345=phu!$I$52,L345=phu!$I$53),"Cam Linh",""),IF(OR(L345=phu!$I$54,L345=phu!$I$55,L345=phu!$I$56,L345=phu!$I$57,L345=phu!$I$58,L345=phu!$I$59,L345=phu!$I$60,L345=phu!$I$61,L345=phu!$I$62),"Cam Lợi",""),IF(OR(L345=phu!$I$63,L345=phu!$I$64,L345=phu!$I$65,L345=phu!$I$66,L345=phu!$I$67,L345=phu!$I$68,L345=phu!$I$69,L345=phu!$I$70,L345=phu!$I$71),"Ba Ngòi",""),IF(OR(L345=phu!$I$72,L345=phu!$I$73,L345=phu!$I$74,L345=phu!$I$75,L345=phu!$I$76,L345=phu!$I$77,L345=phu!$I$78),"Cam Phước Đông",""),IF(OR(L345=phu!$I$79,L345=phu!$I$80,L345=phu!$I$81,L345=phu!$I$82,L345=phu!$I$83,L345=phu!$I$84),"Cam Thịnh Đông",""),IF(OR(L345=phu!$I$85,L345=phu!$I$86,L345=phu!$I$87,L345=phu!$I$88),"Cam Thịnh Tây",""),IF(OR(L345=phu!$I$89,L345=phu!$I$90),"Cam Lập",""),IF(OR(L345=phu!$I$91,L345=phu!$I$92,L345=phu!$I$93),"Cam Bình",""),IF(OR(L345=phu!$I$94,L345=phu!$I$95,L345=phu!$I$96,L345=phu!$I$97,L345=phu!$I$98,L345=phu!$I$99,L345=phu!$I$100),"Huyện khác",""),IF(OR(L345=phu!$I$101,L345=phu!$I$102),"Tỉnh khác",""))</f>
        <v/>
      </c>
      <c r="N345" s="835" t="str">
        <f t="shared" si="28"/>
        <v/>
      </c>
      <c r="O345" s="20"/>
      <c r="P345" s="20"/>
      <c r="Q345" s="20"/>
      <c r="R345" s="20"/>
      <c r="S345" s="20"/>
      <c r="T345" s="21"/>
      <c r="U345" s="21"/>
      <c r="V345" s="21"/>
      <c r="W345" s="7" t="str">
        <f t="shared" si="26"/>
        <v/>
      </c>
      <c r="X345" s="506" t="str">
        <f t="shared" si="27"/>
        <v/>
      </c>
    </row>
    <row r="346" spans="1:24" x14ac:dyDescent="0.25">
      <c r="A346" s="66" t="str">
        <f t="shared" si="29"/>
        <v/>
      </c>
      <c r="B346" s="23" t="str">
        <f t="shared" si="25"/>
        <v/>
      </c>
      <c r="C346" s="15"/>
      <c r="D346" s="16"/>
      <c r="E346" s="17"/>
      <c r="F346" s="18"/>
      <c r="G346" s="18"/>
      <c r="H346" s="19"/>
      <c r="I346" s="15"/>
      <c r="J346" s="20"/>
      <c r="K346" s="15"/>
      <c r="L346" s="15"/>
      <c r="M346" s="531" t="str">
        <f>CONCATENATE(IF(OR(L346=phu!$I$1,L346=phu!$I$2,L346=phu!$I$3),"Cam Thành Nam",""),IF(OR(L346=phu!$I$4,L346=phu!$I$5,L346=phu!$I$6,L346=phu!$I$7,L346=phu!$I$8,L346=phu!$I$9,L346=phu!$I$10,L346=phu!$I$11,L346=phu!$I$12,L346=phu!$I$13,L346=phu!$I$14),"Cam Nghĩa",""),IF(OR(L346=phu!$I$15,L346=phu!$I$16,L346=phu!$I$17,L346=phu!$I$18,L346=phu!$I$19,L346=phu!$I$20,L346=phu!$I$21),"Cam Phúc Bắc",""),IF(OR(L346=phu!$I$22,L346=phu!$I$23,L346=phu!$I$24,L346=phu!$I$25),"Cam Phúc Nam",""),IF(OR(L346=phu!$I$26,L346=phu!$I$27,L346=phu!$I$28,L346=phu!$I$29,L346=phu!$I$30,L346=phu!$I$31),"Cam Phú",""),IF(OR(L346=phu!$I$32,L346=phu!$I$33,L346=phu!$I$34,L346=phu!$I$35,L346=phu!$I$36,L346=phu!$I$37),"Cam Lộc",""),IF(OR(L346=phu!$I$38,L346=phu!$I$39,L346=phu!$I$40,L346=phu!$I$41,L346=phu!$I$42,L346=phu!$I$43,L346=phu!$I$44),"Cam Thuận",""),IF(OR(L346=phu!$I$45,L346=phu!$I$46,L346=phu!$I$47,L346=phu!$I$48,L346=phu!$I$49,L346=phu!$I$50,L346=phu!$I$51,L346=phu!$I$52,L346=phu!$I$53),"Cam Linh",""),IF(OR(L346=phu!$I$54,L346=phu!$I$55,L346=phu!$I$56,L346=phu!$I$57,L346=phu!$I$58,L346=phu!$I$59,L346=phu!$I$60,L346=phu!$I$61,L346=phu!$I$62),"Cam Lợi",""),IF(OR(L346=phu!$I$63,L346=phu!$I$64,L346=phu!$I$65,L346=phu!$I$66,L346=phu!$I$67,L346=phu!$I$68,L346=phu!$I$69,L346=phu!$I$70,L346=phu!$I$71),"Ba Ngòi",""),IF(OR(L346=phu!$I$72,L346=phu!$I$73,L346=phu!$I$74,L346=phu!$I$75,L346=phu!$I$76,L346=phu!$I$77,L346=phu!$I$78),"Cam Phước Đông",""),IF(OR(L346=phu!$I$79,L346=phu!$I$80,L346=phu!$I$81,L346=phu!$I$82,L346=phu!$I$83,L346=phu!$I$84),"Cam Thịnh Đông",""),IF(OR(L346=phu!$I$85,L346=phu!$I$86,L346=phu!$I$87,L346=phu!$I$88),"Cam Thịnh Tây",""),IF(OR(L346=phu!$I$89,L346=phu!$I$90),"Cam Lập",""),IF(OR(L346=phu!$I$91,L346=phu!$I$92,L346=phu!$I$93),"Cam Bình",""),IF(OR(L346=phu!$I$94,L346=phu!$I$95,L346=phu!$I$96,L346=phu!$I$97,L346=phu!$I$98,L346=phu!$I$99,L346=phu!$I$100),"Huyện khác",""),IF(OR(L346=phu!$I$101,L346=phu!$I$102),"Tỉnh khác",""))</f>
        <v/>
      </c>
      <c r="N346" s="835" t="str">
        <f t="shared" si="28"/>
        <v/>
      </c>
      <c r="O346" s="20"/>
      <c r="P346" s="20"/>
      <c r="Q346" s="20"/>
      <c r="R346" s="20"/>
      <c r="S346" s="20"/>
      <c r="T346" s="21"/>
      <c r="U346" s="21"/>
      <c r="V346" s="21"/>
      <c r="W346" s="7" t="str">
        <f t="shared" si="26"/>
        <v/>
      </c>
      <c r="X346" s="506" t="str">
        <f t="shared" si="27"/>
        <v/>
      </c>
    </row>
    <row r="347" spans="1:24" x14ac:dyDescent="0.25">
      <c r="A347" s="66" t="str">
        <f t="shared" si="29"/>
        <v/>
      </c>
      <c r="B347" s="23" t="str">
        <f t="shared" si="25"/>
        <v/>
      </c>
      <c r="C347" s="15"/>
      <c r="D347" s="16"/>
      <c r="E347" s="17"/>
      <c r="F347" s="18"/>
      <c r="G347" s="18"/>
      <c r="H347" s="19"/>
      <c r="I347" s="15"/>
      <c r="J347" s="20"/>
      <c r="K347" s="15"/>
      <c r="L347" s="15"/>
      <c r="M347" s="531" t="str">
        <f>CONCATENATE(IF(OR(L347=phu!$I$1,L347=phu!$I$2,L347=phu!$I$3),"Cam Thành Nam",""),IF(OR(L347=phu!$I$4,L347=phu!$I$5,L347=phu!$I$6,L347=phu!$I$7,L347=phu!$I$8,L347=phu!$I$9,L347=phu!$I$10,L347=phu!$I$11,L347=phu!$I$12,L347=phu!$I$13,L347=phu!$I$14),"Cam Nghĩa",""),IF(OR(L347=phu!$I$15,L347=phu!$I$16,L347=phu!$I$17,L347=phu!$I$18,L347=phu!$I$19,L347=phu!$I$20,L347=phu!$I$21),"Cam Phúc Bắc",""),IF(OR(L347=phu!$I$22,L347=phu!$I$23,L347=phu!$I$24,L347=phu!$I$25),"Cam Phúc Nam",""),IF(OR(L347=phu!$I$26,L347=phu!$I$27,L347=phu!$I$28,L347=phu!$I$29,L347=phu!$I$30,L347=phu!$I$31),"Cam Phú",""),IF(OR(L347=phu!$I$32,L347=phu!$I$33,L347=phu!$I$34,L347=phu!$I$35,L347=phu!$I$36,L347=phu!$I$37),"Cam Lộc",""),IF(OR(L347=phu!$I$38,L347=phu!$I$39,L347=phu!$I$40,L347=phu!$I$41,L347=phu!$I$42,L347=phu!$I$43,L347=phu!$I$44),"Cam Thuận",""),IF(OR(L347=phu!$I$45,L347=phu!$I$46,L347=phu!$I$47,L347=phu!$I$48,L347=phu!$I$49,L347=phu!$I$50,L347=phu!$I$51,L347=phu!$I$52,L347=phu!$I$53),"Cam Linh",""),IF(OR(L347=phu!$I$54,L347=phu!$I$55,L347=phu!$I$56,L347=phu!$I$57,L347=phu!$I$58,L347=phu!$I$59,L347=phu!$I$60,L347=phu!$I$61,L347=phu!$I$62),"Cam Lợi",""),IF(OR(L347=phu!$I$63,L347=phu!$I$64,L347=phu!$I$65,L347=phu!$I$66,L347=phu!$I$67,L347=phu!$I$68,L347=phu!$I$69,L347=phu!$I$70,L347=phu!$I$71),"Ba Ngòi",""),IF(OR(L347=phu!$I$72,L347=phu!$I$73,L347=phu!$I$74,L347=phu!$I$75,L347=phu!$I$76,L347=phu!$I$77,L347=phu!$I$78),"Cam Phước Đông",""),IF(OR(L347=phu!$I$79,L347=phu!$I$80,L347=phu!$I$81,L347=phu!$I$82,L347=phu!$I$83,L347=phu!$I$84),"Cam Thịnh Đông",""),IF(OR(L347=phu!$I$85,L347=phu!$I$86,L347=phu!$I$87,L347=phu!$I$88),"Cam Thịnh Tây",""),IF(OR(L347=phu!$I$89,L347=phu!$I$90),"Cam Lập",""),IF(OR(L347=phu!$I$91,L347=phu!$I$92,L347=phu!$I$93),"Cam Bình",""),IF(OR(L347=phu!$I$94,L347=phu!$I$95,L347=phu!$I$96,L347=phu!$I$97,L347=phu!$I$98,L347=phu!$I$99,L347=phu!$I$100),"Huyện khác",""),IF(OR(L347=phu!$I$101,L347=phu!$I$102),"Tỉnh khác",""))</f>
        <v/>
      </c>
      <c r="N347" s="835" t="str">
        <f t="shared" si="28"/>
        <v/>
      </c>
      <c r="O347" s="20"/>
      <c r="P347" s="20"/>
      <c r="Q347" s="20"/>
      <c r="R347" s="20"/>
      <c r="S347" s="20"/>
      <c r="T347" s="21"/>
      <c r="U347" s="21"/>
      <c r="V347" s="21"/>
      <c r="W347" s="7" t="str">
        <f t="shared" si="26"/>
        <v/>
      </c>
      <c r="X347" s="506" t="str">
        <f t="shared" si="27"/>
        <v/>
      </c>
    </row>
    <row r="348" spans="1:24" x14ac:dyDescent="0.25">
      <c r="A348" s="66" t="str">
        <f t="shared" si="29"/>
        <v/>
      </c>
      <c r="B348" s="23" t="str">
        <f t="shared" si="25"/>
        <v/>
      </c>
      <c r="C348" s="15"/>
      <c r="D348" s="16"/>
      <c r="E348" s="17"/>
      <c r="F348" s="18"/>
      <c r="G348" s="18"/>
      <c r="H348" s="19"/>
      <c r="I348" s="15"/>
      <c r="J348" s="20"/>
      <c r="K348" s="15"/>
      <c r="L348" s="15"/>
      <c r="M348" s="531" t="str">
        <f>CONCATENATE(IF(OR(L348=phu!$I$1,L348=phu!$I$2,L348=phu!$I$3),"Cam Thành Nam",""),IF(OR(L348=phu!$I$4,L348=phu!$I$5,L348=phu!$I$6,L348=phu!$I$7,L348=phu!$I$8,L348=phu!$I$9,L348=phu!$I$10,L348=phu!$I$11,L348=phu!$I$12,L348=phu!$I$13,L348=phu!$I$14),"Cam Nghĩa",""),IF(OR(L348=phu!$I$15,L348=phu!$I$16,L348=phu!$I$17,L348=phu!$I$18,L348=phu!$I$19,L348=phu!$I$20,L348=phu!$I$21),"Cam Phúc Bắc",""),IF(OR(L348=phu!$I$22,L348=phu!$I$23,L348=phu!$I$24,L348=phu!$I$25),"Cam Phúc Nam",""),IF(OR(L348=phu!$I$26,L348=phu!$I$27,L348=phu!$I$28,L348=phu!$I$29,L348=phu!$I$30,L348=phu!$I$31),"Cam Phú",""),IF(OR(L348=phu!$I$32,L348=phu!$I$33,L348=phu!$I$34,L348=phu!$I$35,L348=phu!$I$36,L348=phu!$I$37),"Cam Lộc",""),IF(OR(L348=phu!$I$38,L348=phu!$I$39,L348=phu!$I$40,L348=phu!$I$41,L348=phu!$I$42,L348=phu!$I$43,L348=phu!$I$44),"Cam Thuận",""),IF(OR(L348=phu!$I$45,L348=phu!$I$46,L348=phu!$I$47,L348=phu!$I$48,L348=phu!$I$49,L348=phu!$I$50,L348=phu!$I$51,L348=phu!$I$52,L348=phu!$I$53),"Cam Linh",""),IF(OR(L348=phu!$I$54,L348=phu!$I$55,L348=phu!$I$56,L348=phu!$I$57,L348=phu!$I$58,L348=phu!$I$59,L348=phu!$I$60,L348=phu!$I$61,L348=phu!$I$62),"Cam Lợi",""),IF(OR(L348=phu!$I$63,L348=phu!$I$64,L348=phu!$I$65,L348=phu!$I$66,L348=phu!$I$67,L348=phu!$I$68,L348=phu!$I$69,L348=phu!$I$70,L348=phu!$I$71),"Ba Ngòi",""),IF(OR(L348=phu!$I$72,L348=phu!$I$73,L348=phu!$I$74,L348=phu!$I$75,L348=phu!$I$76,L348=phu!$I$77,L348=phu!$I$78),"Cam Phước Đông",""),IF(OR(L348=phu!$I$79,L348=phu!$I$80,L348=phu!$I$81,L348=phu!$I$82,L348=phu!$I$83,L348=phu!$I$84),"Cam Thịnh Đông",""),IF(OR(L348=phu!$I$85,L348=phu!$I$86,L348=phu!$I$87,L348=phu!$I$88),"Cam Thịnh Tây",""),IF(OR(L348=phu!$I$89,L348=phu!$I$90),"Cam Lập",""),IF(OR(L348=phu!$I$91,L348=phu!$I$92,L348=phu!$I$93),"Cam Bình",""),IF(OR(L348=phu!$I$94,L348=phu!$I$95,L348=phu!$I$96,L348=phu!$I$97,L348=phu!$I$98,L348=phu!$I$99,L348=phu!$I$100),"Huyện khác",""),IF(OR(L348=phu!$I$101,L348=phu!$I$102),"Tỉnh khác",""))</f>
        <v/>
      </c>
      <c r="N348" s="835" t="str">
        <f t="shared" si="28"/>
        <v/>
      </c>
      <c r="O348" s="20"/>
      <c r="P348" s="20"/>
      <c r="Q348" s="20"/>
      <c r="R348" s="20"/>
      <c r="S348" s="20"/>
      <c r="T348" s="21"/>
      <c r="U348" s="21"/>
      <c r="V348" s="21"/>
      <c r="W348" s="7" t="str">
        <f t="shared" si="26"/>
        <v/>
      </c>
      <c r="X348" s="506" t="str">
        <f t="shared" si="27"/>
        <v/>
      </c>
    </row>
    <row r="349" spans="1:24" x14ac:dyDescent="0.25">
      <c r="A349" s="66" t="str">
        <f t="shared" si="29"/>
        <v/>
      </c>
      <c r="B349" s="23" t="str">
        <f t="shared" si="25"/>
        <v/>
      </c>
      <c r="C349" s="15"/>
      <c r="D349" s="16"/>
      <c r="E349" s="17"/>
      <c r="F349" s="18"/>
      <c r="G349" s="18"/>
      <c r="H349" s="19"/>
      <c r="I349" s="15"/>
      <c r="J349" s="20"/>
      <c r="K349" s="15"/>
      <c r="L349" s="15"/>
      <c r="M349" s="531" t="str">
        <f>CONCATENATE(IF(OR(L349=phu!$I$1,L349=phu!$I$2,L349=phu!$I$3),"Cam Thành Nam",""),IF(OR(L349=phu!$I$4,L349=phu!$I$5,L349=phu!$I$6,L349=phu!$I$7,L349=phu!$I$8,L349=phu!$I$9,L349=phu!$I$10,L349=phu!$I$11,L349=phu!$I$12,L349=phu!$I$13,L349=phu!$I$14),"Cam Nghĩa",""),IF(OR(L349=phu!$I$15,L349=phu!$I$16,L349=phu!$I$17,L349=phu!$I$18,L349=phu!$I$19,L349=phu!$I$20,L349=phu!$I$21),"Cam Phúc Bắc",""),IF(OR(L349=phu!$I$22,L349=phu!$I$23,L349=phu!$I$24,L349=phu!$I$25),"Cam Phúc Nam",""),IF(OR(L349=phu!$I$26,L349=phu!$I$27,L349=phu!$I$28,L349=phu!$I$29,L349=phu!$I$30,L349=phu!$I$31),"Cam Phú",""),IF(OR(L349=phu!$I$32,L349=phu!$I$33,L349=phu!$I$34,L349=phu!$I$35,L349=phu!$I$36,L349=phu!$I$37),"Cam Lộc",""),IF(OR(L349=phu!$I$38,L349=phu!$I$39,L349=phu!$I$40,L349=phu!$I$41,L349=phu!$I$42,L349=phu!$I$43,L349=phu!$I$44),"Cam Thuận",""),IF(OR(L349=phu!$I$45,L349=phu!$I$46,L349=phu!$I$47,L349=phu!$I$48,L349=phu!$I$49,L349=phu!$I$50,L349=phu!$I$51,L349=phu!$I$52,L349=phu!$I$53),"Cam Linh",""),IF(OR(L349=phu!$I$54,L349=phu!$I$55,L349=phu!$I$56,L349=phu!$I$57,L349=phu!$I$58,L349=phu!$I$59,L349=phu!$I$60,L349=phu!$I$61,L349=phu!$I$62),"Cam Lợi",""),IF(OR(L349=phu!$I$63,L349=phu!$I$64,L349=phu!$I$65,L349=phu!$I$66,L349=phu!$I$67,L349=phu!$I$68,L349=phu!$I$69,L349=phu!$I$70,L349=phu!$I$71),"Ba Ngòi",""),IF(OR(L349=phu!$I$72,L349=phu!$I$73,L349=phu!$I$74,L349=phu!$I$75,L349=phu!$I$76,L349=phu!$I$77,L349=phu!$I$78),"Cam Phước Đông",""),IF(OR(L349=phu!$I$79,L349=phu!$I$80,L349=phu!$I$81,L349=phu!$I$82,L349=phu!$I$83,L349=phu!$I$84),"Cam Thịnh Đông",""),IF(OR(L349=phu!$I$85,L349=phu!$I$86,L349=phu!$I$87,L349=phu!$I$88),"Cam Thịnh Tây",""),IF(OR(L349=phu!$I$89,L349=phu!$I$90),"Cam Lập",""),IF(OR(L349=phu!$I$91,L349=phu!$I$92,L349=phu!$I$93),"Cam Bình",""),IF(OR(L349=phu!$I$94,L349=phu!$I$95,L349=phu!$I$96,L349=phu!$I$97,L349=phu!$I$98,L349=phu!$I$99,L349=phu!$I$100),"Huyện khác",""),IF(OR(L349=phu!$I$101,L349=phu!$I$102),"Tỉnh khác",""))</f>
        <v/>
      </c>
      <c r="N349" s="835" t="str">
        <f t="shared" si="28"/>
        <v/>
      </c>
      <c r="O349" s="20"/>
      <c r="P349" s="20"/>
      <c r="Q349" s="20"/>
      <c r="R349" s="20"/>
      <c r="S349" s="20"/>
      <c r="T349" s="21"/>
      <c r="U349" s="21"/>
      <c r="V349" s="21"/>
      <c r="W349" s="7" t="str">
        <f t="shared" si="26"/>
        <v/>
      </c>
      <c r="X349" s="506" t="str">
        <f t="shared" si="27"/>
        <v/>
      </c>
    </row>
    <row r="350" spans="1:24" x14ac:dyDescent="0.25">
      <c r="A350" s="66" t="str">
        <f t="shared" si="29"/>
        <v/>
      </c>
      <c r="B350" s="23" t="str">
        <f t="shared" si="25"/>
        <v/>
      </c>
      <c r="C350" s="15"/>
      <c r="D350" s="16"/>
      <c r="E350" s="17"/>
      <c r="F350" s="18"/>
      <c r="G350" s="18"/>
      <c r="H350" s="19"/>
      <c r="I350" s="15"/>
      <c r="J350" s="20"/>
      <c r="K350" s="15"/>
      <c r="L350" s="15"/>
      <c r="M350" s="531" t="str">
        <f>CONCATENATE(IF(OR(L350=phu!$I$1,L350=phu!$I$2,L350=phu!$I$3),"Cam Thành Nam",""),IF(OR(L350=phu!$I$4,L350=phu!$I$5,L350=phu!$I$6,L350=phu!$I$7,L350=phu!$I$8,L350=phu!$I$9,L350=phu!$I$10,L350=phu!$I$11,L350=phu!$I$12,L350=phu!$I$13,L350=phu!$I$14),"Cam Nghĩa",""),IF(OR(L350=phu!$I$15,L350=phu!$I$16,L350=phu!$I$17,L350=phu!$I$18,L350=phu!$I$19,L350=phu!$I$20,L350=phu!$I$21),"Cam Phúc Bắc",""),IF(OR(L350=phu!$I$22,L350=phu!$I$23,L350=phu!$I$24,L350=phu!$I$25),"Cam Phúc Nam",""),IF(OR(L350=phu!$I$26,L350=phu!$I$27,L350=phu!$I$28,L350=phu!$I$29,L350=phu!$I$30,L350=phu!$I$31),"Cam Phú",""),IF(OR(L350=phu!$I$32,L350=phu!$I$33,L350=phu!$I$34,L350=phu!$I$35,L350=phu!$I$36,L350=phu!$I$37),"Cam Lộc",""),IF(OR(L350=phu!$I$38,L350=phu!$I$39,L350=phu!$I$40,L350=phu!$I$41,L350=phu!$I$42,L350=phu!$I$43,L350=phu!$I$44),"Cam Thuận",""),IF(OR(L350=phu!$I$45,L350=phu!$I$46,L350=phu!$I$47,L350=phu!$I$48,L350=phu!$I$49,L350=phu!$I$50,L350=phu!$I$51,L350=phu!$I$52,L350=phu!$I$53),"Cam Linh",""),IF(OR(L350=phu!$I$54,L350=phu!$I$55,L350=phu!$I$56,L350=phu!$I$57,L350=phu!$I$58,L350=phu!$I$59,L350=phu!$I$60,L350=phu!$I$61,L350=phu!$I$62),"Cam Lợi",""),IF(OR(L350=phu!$I$63,L350=phu!$I$64,L350=phu!$I$65,L350=phu!$I$66,L350=phu!$I$67,L350=phu!$I$68,L350=phu!$I$69,L350=phu!$I$70,L350=phu!$I$71),"Ba Ngòi",""),IF(OR(L350=phu!$I$72,L350=phu!$I$73,L350=phu!$I$74,L350=phu!$I$75,L350=phu!$I$76,L350=phu!$I$77,L350=phu!$I$78),"Cam Phước Đông",""),IF(OR(L350=phu!$I$79,L350=phu!$I$80,L350=phu!$I$81,L350=phu!$I$82,L350=phu!$I$83,L350=phu!$I$84),"Cam Thịnh Đông",""),IF(OR(L350=phu!$I$85,L350=phu!$I$86,L350=phu!$I$87,L350=phu!$I$88),"Cam Thịnh Tây",""),IF(OR(L350=phu!$I$89,L350=phu!$I$90),"Cam Lập",""),IF(OR(L350=phu!$I$91,L350=phu!$I$92,L350=phu!$I$93),"Cam Bình",""),IF(OR(L350=phu!$I$94,L350=phu!$I$95,L350=phu!$I$96,L350=phu!$I$97,L350=phu!$I$98,L350=phu!$I$99,L350=phu!$I$100),"Huyện khác",""),IF(OR(L350=phu!$I$101,L350=phu!$I$102),"Tỉnh khác",""))</f>
        <v/>
      </c>
      <c r="N350" s="835" t="str">
        <f t="shared" si="28"/>
        <v/>
      </c>
      <c r="O350" s="20"/>
      <c r="P350" s="20"/>
      <c r="Q350" s="20"/>
      <c r="R350" s="20"/>
      <c r="S350" s="20"/>
      <c r="T350" s="21"/>
      <c r="U350" s="21"/>
      <c r="V350" s="21"/>
      <c r="W350" s="7" t="str">
        <f t="shared" si="26"/>
        <v/>
      </c>
      <c r="X350" s="506" t="str">
        <f t="shared" si="27"/>
        <v/>
      </c>
    </row>
    <row r="351" spans="1:24" x14ac:dyDescent="0.25">
      <c r="A351" s="66" t="str">
        <f t="shared" si="29"/>
        <v/>
      </c>
      <c r="B351" s="23" t="str">
        <f t="shared" si="25"/>
        <v/>
      </c>
      <c r="C351" s="15"/>
      <c r="D351" s="16"/>
      <c r="E351" s="17"/>
      <c r="F351" s="18"/>
      <c r="G351" s="18"/>
      <c r="H351" s="19"/>
      <c r="I351" s="15"/>
      <c r="J351" s="20"/>
      <c r="K351" s="15"/>
      <c r="L351" s="15"/>
      <c r="M351" s="531" t="str">
        <f>CONCATENATE(IF(OR(L351=phu!$I$1,L351=phu!$I$2,L351=phu!$I$3),"Cam Thành Nam",""),IF(OR(L351=phu!$I$4,L351=phu!$I$5,L351=phu!$I$6,L351=phu!$I$7,L351=phu!$I$8,L351=phu!$I$9,L351=phu!$I$10,L351=phu!$I$11,L351=phu!$I$12,L351=phu!$I$13,L351=phu!$I$14),"Cam Nghĩa",""),IF(OR(L351=phu!$I$15,L351=phu!$I$16,L351=phu!$I$17,L351=phu!$I$18,L351=phu!$I$19,L351=phu!$I$20,L351=phu!$I$21),"Cam Phúc Bắc",""),IF(OR(L351=phu!$I$22,L351=phu!$I$23,L351=phu!$I$24,L351=phu!$I$25),"Cam Phúc Nam",""),IF(OR(L351=phu!$I$26,L351=phu!$I$27,L351=phu!$I$28,L351=phu!$I$29,L351=phu!$I$30,L351=phu!$I$31),"Cam Phú",""),IF(OR(L351=phu!$I$32,L351=phu!$I$33,L351=phu!$I$34,L351=phu!$I$35,L351=phu!$I$36,L351=phu!$I$37),"Cam Lộc",""),IF(OR(L351=phu!$I$38,L351=phu!$I$39,L351=phu!$I$40,L351=phu!$I$41,L351=phu!$I$42,L351=phu!$I$43,L351=phu!$I$44),"Cam Thuận",""),IF(OR(L351=phu!$I$45,L351=phu!$I$46,L351=phu!$I$47,L351=phu!$I$48,L351=phu!$I$49,L351=phu!$I$50,L351=phu!$I$51,L351=phu!$I$52,L351=phu!$I$53),"Cam Linh",""),IF(OR(L351=phu!$I$54,L351=phu!$I$55,L351=phu!$I$56,L351=phu!$I$57,L351=phu!$I$58,L351=phu!$I$59,L351=phu!$I$60,L351=phu!$I$61,L351=phu!$I$62),"Cam Lợi",""),IF(OR(L351=phu!$I$63,L351=phu!$I$64,L351=phu!$I$65,L351=phu!$I$66,L351=phu!$I$67,L351=phu!$I$68,L351=phu!$I$69,L351=phu!$I$70,L351=phu!$I$71),"Ba Ngòi",""),IF(OR(L351=phu!$I$72,L351=phu!$I$73,L351=phu!$I$74,L351=phu!$I$75,L351=phu!$I$76,L351=phu!$I$77,L351=phu!$I$78),"Cam Phước Đông",""),IF(OR(L351=phu!$I$79,L351=phu!$I$80,L351=phu!$I$81,L351=phu!$I$82,L351=phu!$I$83,L351=phu!$I$84),"Cam Thịnh Đông",""),IF(OR(L351=phu!$I$85,L351=phu!$I$86,L351=phu!$I$87,L351=phu!$I$88),"Cam Thịnh Tây",""),IF(OR(L351=phu!$I$89,L351=phu!$I$90),"Cam Lập",""),IF(OR(L351=phu!$I$91,L351=phu!$I$92,L351=phu!$I$93),"Cam Bình",""),IF(OR(L351=phu!$I$94,L351=phu!$I$95,L351=phu!$I$96,L351=phu!$I$97,L351=phu!$I$98,L351=phu!$I$99,L351=phu!$I$100),"Huyện khác",""),IF(OR(L351=phu!$I$101,L351=phu!$I$102),"Tỉnh khác",""))</f>
        <v/>
      </c>
      <c r="N351" s="835" t="str">
        <f t="shared" si="28"/>
        <v/>
      </c>
      <c r="O351" s="20"/>
      <c r="P351" s="20"/>
      <c r="Q351" s="20"/>
      <c r="R351" s="20"/>
      <c r="S351" s="20"/>
      <c r="T351" s="21"/>
      <c r="U351" s="21"/>
      <c r="V351" s="21"/>
      <c r="W351" s="7" t="str">
        <f t="shared" si="26"/>
        <v/>
      </c>
      <c r="X351" s="506" t="str">
        <f t="shared" si="27"/>
        <v/>
      </c>
    </row>
    <row r="352" spans="1:24" x14ac:dyDescent="0.25">
      <c r="A352" s="66" t="str">
        <f t="shared" si="29"/>
        <v/>
      </c>
      <c r="B352" s="23" t="str">
        <f t="shared" si="25"/>
        <v/>
      </c>
      <c r="C352" s="15"/>
      <c r="D352" s="16"/>
      <c r="E352" s="17"/>
      <c r="F352" s="18"/>
      <c r="G352" s="18"/>
      <c r="H352" s="19"/>
      <c r="I352" s="25"/>
      <c r="J352" s="20"/>
      <c r="K352" s="15"/>
      <c r="L352" s="15"/>
      <c r="M352" s="531" t="str">
        <f>CONCATENATE(IF(OR(L352=phu!$I$1,L352=phu!$I$2,L352=phu!$I$3),"Cam Thành Nam",""),IF(OR(L352=phu!$I$4,L352=phu!$I$5,L352=phu!$I$6,L352=phu!$I$7,L352=phu!$I$8,L352=phu!$I$9,L352=phu!$I$10,L352=phu!$I$11,L352=phu!$I$12,L352=phu!$I$13,L352=phu!$I$14),"Cam Nghĩa",""),IF(OR(L352=phu!$I$15,L352=phu!$I$16,L352=phu!$I$17,L352=phu!$I$18,L352=phu!$I$19,L352=phu!$I$20,L352=phu!$I$21),"Cam Phúc Bắc",""),IF(OR(L352=phu!$I$22,L352=phu!$I$23,L352=phu!$I$24,L352=phu!$I$25),"Cam Phúc Nam",""),IF(OR(L352=phu!$I$26,L352=phu!$I$27,L352=phu!$I$28,L352=phu!$I$29,L352=phu!$I$30,L352=phu!$I$31),"Cam Phú",""),IF(OR(L352=phu!$I$32,L352=phu!$I$33,L352=phu!$I$34,L352=phu!$I$35,L352=phu!$I$36,L352=phu!$I$37),"Cam Lộc",""),IF(OR(L352=phu!$I$38,L352=phu!$I$39,L352=phu!$I$40,L352=phu!$I$41,L352=phu!$I$42,L352=phu!$I$43,L352=phu!$I$44),"Cam Thuận",""),IF(OR(L352=phu!$I$45,L352=phu!$I$46,L352=phu!$I$47,L352=phu!$I$48,L352=phu!$I$49,L352=phu!$I$50,L352=phu!$I$51,L352=phu!$I$52,L352=phu!$I$53),"Cam Linh",""),IF(OR(L352=phu!$I$54,L352=phu!$I$55,L352=phu!$I$56,L352=phu!$I$57,L352=phu!$I$58,L352=phu!$I$59,L352=phu!$I$60,L352=phu!$I$61,L352=phu!$I$62),"Cam Lợi",""),IF(OR(L352=phu!$I$63,L352=phu!$I$64,L352=phu!$I$65,L352=phu!$I$66,L352=phu!$I$67,L352=phu!$I$68,L352=phu!$I$69,L352=phu!$I$70,L352=phu!$I$71),"Ba Ngòi",""),IF(OR(L352=phu!$I$72,L352=phu!$I$73,L352=phu!$I$74,L352=phu!$I$75,L352=phu!$I$76,L352=phu!$I$77,L352=phu!$I$78),"Cam Phước Đông",""),IF(OR(L352=phu!$I$79,L352=phu!$I$80,L352=phu!$I$81,L352=phu!$I$82,L352=phu!$I$83,L352=phu!$I$84),"Cam Thịnh Đông",""),IF(OR(L352=phu!$I$85,L352=phu!$I$86,L352=phu!$I$87,L352=phu!$I$88),"Cam Thịnh Tây",""),IF(OR(L352=phu!$I$89,L352=phu!$I$90),"Cam Lập",""),IF(OR(L352=phu!$I$91,L352=phu!$I$92,L352=phu!$I$93),"Cam Bình",""),IF(OR(L352=phu!$I$94,L352=phu!$I$95,L352=phu!$I$96,L352=phu!$I$97,L352=phu!$I$98,L352=phu!$I$99,L352=phu!$I$100),"Huyện khác",""),IF(OR(L352=phu!$I$101,L352=phu!$I$102),"Tỉnh khác",""))</f>
        <v/>
      </c>
      <c r="N352" s="835" t="str">
        <f t="shared" si="28"/>
        <v/>
      </c>
      <c r="O352" s="20"/>
      <c r="P352" s="20"/>
      <c r="Q352" s="20"/>
      <c r="R352" s="20"/>
      <c r="S352" s="20"/>
      <c r="T352" s="21"/>
      <c r="U352" s="21"/>
      <c r="V352" s="21"/>
      <c r="W352" s="7" t="str">
        <f t="shared" si="26"/>
        <v/>
      </c>
      <c r="X352" s="506" t="str">
        <f t="shared" si="27"/>
        <v/>
      </c>
    </row>
    <row r="353" spans="1:24" x14ac:dyDescent="0.25">
      <c r="A353" s="66" t="str">
        <f t="shared" si="29"/>
        <v/>
      </c>
      <c r="B353" s="23" t="str">
        <f t="shared" si="25"/>
        <v/>
      </c>
      <c r="C353" s="15"/>
      <c r="D353" s="16"/>
      <c r="E353" s="17"/>
      <c r="F353" s="18"/>
      <c r="G353" s="18"/>
      <c r="H353" s="19"/>
      <c r="I353" s="15"/>
      <c r="J353" s="20"/>
      <c r="K353" s="15"/>
      <c r="L353" s="15"/>
      <c r="M353" s="531" t="str">
        <f>CONCATENATE(IF(OR(L353=phu!$I$1,L353=phu!$I$2,L353=phu!$I$3),"Cam Thành Nam",""),IF(OR(L353=phu!$I$4,L353=phu!$I$5,L353=phu!$I$6,L353=phu!$I$7,L353=phu!$I$8,L353=phu!$I$9,L353=phu!$I$10,L353=phu!$I$11,L353=phu!$I$12,L353=phu!$I$13,L353=phu!$I$14),"Cam Nghĩa",""),IF(OR(L353=phu!$I$15,L353=phu!$I$16,L353=phu!$I$17,L353=phu!$I$18,L353=phu!$I$19,L353=phu!$I$20,L353=phu!$I$21),"Cam Phúc Bắc",""),IF(OR(L353=phu!$I$22,L353=phu!$I$23,L353=phu!$I$24,L353=phu!$I$25),"Cam Phúc Nam",""),IF(OR(L353=phu!$I$26,L353=phu!$I$27,L353=phu!$I$28,L353=phu!$I$29,L353=phu!$I$30,L353=phu!$I$31),"Cam Phú",""),IF(OR(L353=phu!$I$32,L353=phu!$I$33,L353=phu!$I$34,L353=phu!$I$35,L353=phu!$I$36,L353=phu!$I$37),"Cam Lộc",""),IF(OR(L353=phu!$I$38,L353=phu!$I$39,L353=phu!$I$40,L353=phu!$I$41,L353=phu!$I$42,L353=phu!$I$43,L353=phu!$I$44),"Cam Thuận",""),IF(OR(L353=phu!$I$45,L353=phu!$I$46,L353=phu!$I$47,L353=phu!$I$48,L353=phu!$I$49,L353=phu!$I$50,L353=phu!$I$51,L353=phu!$I$52,L353=phu!$I$53),"Cam Linh",""),IF(OR(L353=phu!$I$54,L353=phu!$I$55,L353=phu!$I$56,L353=phu!$I$57,L353=phu!$I$58,L353=phu!$I$59,L353=phu!$I$60,L353=phu!$I$61,L353=phu!$I$62),"Cam Lợi",""),IF(OR(L353=phu!$I$63,L353=phu!$I$64,L353=phu!$I$65,L353=phu!$I$66,L353=phu!$I$67,L353=phu!$I$68,L353=phu!$I$69,L353=phu!$I$70,L353=phu!$I$71),"Ba Ngòi",""),IF(OR(L353=phu!$I$72,L353=phu!$I$73,L353=phu!$I$74,L353=phu!$I$75,L353=phu!$I$76,L353=phu!$I$77,L353=phu!$I$78),"Cam Phước Đông",""),IF(OR(L353=phu!$I$79,L353=phu!$I$80,L353=phu!$I$81,L353=phu!$I$82,L353=phu!$I$83,L353=phu!$I$84),"Cam Thịnh Đông",""),IF(OR(L353=phu!$I$85,L353=phu!$I$86,L353=phu!$I$87,L353=phu!$I$88),"Cam Thịnh Tây",""),IF(OR(L353=phu!$I$89,L353=phu!$I$90),"Cam Lập",""),IF(OR(L353=phu!$I$91,L353=phu!$I$92,L353=phu!$I$93),"Cam Bình",""),IF(OR(L353=phu!$I$94,L353=phu!$I$95,L353=phu!$I$96,L353=phu!$I$97,L353=phu!$I$98,L353=phu!$I$99,L353=phu!$I$100),"Huyện khác",""),IF(OR(L353=phu!$I$101,L353=phu!$I$102),"Tỉnh khác",""))</f>
        <v/>
      </c>
      <c r="N353" s="835" t="str">
        <f t="shared" si="28"/>
        <v/>
      </c>
      <c r="O353" s="20"/>
      <c r="P353" s="20"/>
      <c r="Q353" s="20"/>
      <c r="R353" s="20"/>
      <c r="S353" s="20"/>
      <c r="T353" s="21"/>
      <c r="U353" s="21"/>
      <c r="V353" s="21"/>
      <c r="W353" s="7" t="str">
        <f t="shared" si="26"/>
        <v/>
      </c>
      <c r="X353" s="506" t="str">
        <f t="shared" si="27"/>
        <v/>
      </c>
    </row>
    <row r="354" spans="1:24" x14ac:dyDescent="0.25">
      <c r="A354" s="66" t="str">
        <f t="shared" si="29"/>
        <v/>
      </c>
      <c r="B354" s="23" t="str">
        <f t="shared" si="25"/>
        <v/>
      </c>
      <c r="C354" s="15"/>
      <c r="D354" s="16"/>
      <c r="E354" s="17"/>
      <c r="F354" s="18"/>
      <c r="G354" s="18"/>
      <c r="H354" s="19"/>
      <c r="I354" s="15"/>
      <c r="J354" s="20"/>
      <c r="K354" s="15"/>
      <c r="L354" s="15"/>
      <c r="M354" s="531" t="str">
        <f>CONCATENATE(IF(OR(L354=phu!$I$1,L354=phu!$I$2,L354=phu!$I$3),"Cam Thành Nam",""),IF(OR(L354=phu!$I$4,L354=phu!$I$5,L354=phu!$I$6,L354=phu!$I$7,L354=phu!$I$8,L354=phu!$I$9,L354=phu!$I$10,L354=phu!$I$11,L354=phu!$I$12,L354=phu!$I$13,L354=phu!$I$14),"Cam Nghĩa",""),IF(OR(L354=phu!$I$15,L354=phu!$I$16,L354=phu!$I$17,L354=phu!$I$18,L354=phu!$I$19,L354=phu!$I$20,L354=phu!$I$21),"Cam Phúc Bắc",""),IF(OR(L354=phu!$I$22,L354=phu!$I$23,L354=phu!$I$24,L354=phu!$I$25),"Cam Phúc Nam",""),IF(OR(L354=phu!$I$26,L354=phu!$I$27,L354=phu!$I$28,L354=phu!$I$29,L354=phu!$I$30,L354=phu!$I$31),"Cam Phú",""),IF(OR(L354=phu!$I$32,L354=phu!$I$33,L354=phu!$I$34,L354=phu!$I$35,L354=phu!$I$36,L354=phu!$I$37),"Cam Lộc",""),IF(OR(L354=phu!$I$38,L354=phu!$I$39,L354=phu!$I$40,L354=phu!$I$41,L354=phu!$I$42,L354=phu!$I$43,L354=phu!$I$44),"Cam Thuận",""),IF(OR(L354=phu!$I$45,L354=phu!$I$46,L354=phu!$I$47,L354=phu!$I$48,L354=phu!$I$49,L354=phu!$I$50,L354=phu!$I$51,L354=phu!$I$52,L354=phu!$I$53),"Cam Linh",""),IF(OR(L354=phu!$I$54,L354=phu!$I$55,L354=phu!$I$56,L354=phu!$I$57,L354=phu!$I$58,L354=phu!$I$59,L354=phu!$I$60,L354=phu!$I$61,L354=phu!$I$62),"Cam Lợi",""),IF(OR(L354=phu!$I$63,L354=phu!$I$64,L354=phu!$I$65,L354=phu!$I$66,L354=phu!$I$67,L354=phu!$I$68,L354=phu!$I$69,L354=phu!$I$70,L354=phu!$I$71),"Ba Ngòi",""),IF(OR(L354=phu!$I$72,L354=phu!$I$73,L354=phu!$I$74,L354=phu!$I$75,L354=phu!$I$76,L354=phu!$I$77,L354=phu!$I$78),"Cam Phước Đông",""),IF(OR(L354=phu!$I$79,L354=phu!$I$80,L354=phu!$I$81,L354=phu!$I$82,L354=phu!$I$83,L354=phu!$I$84),"Cam Thịnh Đông",""),IF(OR(L354=phu!$I$85,L354=phu!$I$86,L354=phu!$I$87,L354=phu!$I$88),"Cam Thịnh Tây",""),IF(OR(L354=phu!$I$89,L354=phu!$I$90),"Cam Lập",""),IF(OR(L354=phu!$I$91,L354=phu!$I$92,L354=phu!$I$93),"Cam Bình",""),IF(OR(L354=phu!$I$94,L354=phu!$I$95,L354=phu!$I$96,L354=phu!$I$97,L354=phu!$I$98,L354=phu!$I$99,L354=phu!$I$100),"Huyện khác",""),IF(OR(L354=phu!$I$101,L354=phu!$I$102),"Tỉnh khác",""))</f>
        <v/>
      </c>
      <c r="N354" s="835" t="str">
        <f t="shared" si="28"/>
        <v/>
      </c>
      <c r="O354" s="20"/>
      <c r="P354" s="20"/>
      <c r="Q354" s="20"/>
      <c r="R354" s="20"/>
      <c r="S354" s="20"/>
      <c r="T354" s="21"/>
      <c r="U354" s="21"/>
      <c r="V354" s="21"/>
      <c r="W354" s="7" t="str">
        <f t="shared" si="26"/>
        <v/>
      </c>
      <c r="X354" s="506" t="str">
        <f t="shared" si="27"/>
        <v/>
      </c>
    </row>
    <row r="355" spans="1:24" x14ac:dyDescent="0.25">
      <c r="A355" s="66" t="str">
        <f t="shared" si="29"/>
        <v/>
      </c>
      <c r="B355" s="23" t="str">
        <f t="shared" si="25"/>
        <v/>
      </c>
      <c r="C355" s="15"/>
      <c r="D355" s="16"/>
      <c r="E355" s="17"/>
      <c r="F355" s="18"/>
      <c r="G355" s="18"/>
      <c r="H355" s="19"/>
      <c r="I355" s="15"/>
      <c r="J355" s="20"/>
      <c r="K355" s="15"/>
      <c r="L355" s="15"/>
      <c r="M355" s="531" t="str">
        <f>CONCATENATE(IF(OR(L355=phu!$I$1,L355=phu!$I$2,L355=phu!$I$3),"Cam Thành Nam",""),IF(OR(L355=phu!$I$4,L355=phu!$I$5,L355=phu!$I$6,L355=phu!$I$7,L355=phu!$I$8,L355=phu!$I$9,L355=phu!$I$10,L355=phu!$I$11,L355=phu!$I$12,L355=phu!$I$13,L355=phu!$I$14),"Cam Nghĩa",""),IF(OR(L355=phu!$I$15,L355=phu!$I$16,L355=phu!$I$17,L355=phu!$I$18,L355=phu!$I$19,L355=phu!$I$20,L355=phu!$I$21),"Cam Phúc Bắc",""),IF(OR(L355=phu!$I$22,L355=phu!$I$23,L355=phu!$I$24,L355=phu!$I$25),"Cam Phúc Nam",""),IF(OR(L355=phu!$I$26,L355=phu!$I$27,L355=phu!$I$28,L355=phu!$I$29,L355=phu!$I$30,L355=phu!$I$31),"Cam Phú",""),IF(OR(L355=phu!$I$32,L355=phu!$I$33,L355=phu!$I$34,L355=phu!$I$35,L355=phu!$I$36,L355=phu!$I$37),"Cam Lộc",""),IF(OR(L355=phu!$I$38,L355=phu!$I$39,L355=phu!$I$40,L355=phu!$I$41,L355=phu!$I$42,L355=phu!$I$43,L355=phu!$I$44),"Cam Thuận",""),IF(OR(L355=phu!$I$45,L355=phu!$I$46,L355=phu!$I$47,L355=phu!$I$48,L355=phu!$I$49,L355=phu!$I$50,L355=phu!$I$51,L355=phu!$I$52,L355=phu!$I$53),"Cam Linh",""),IF(OR(L355=phu!$I$54,L355=phu!$I$55,L355=phu!$I$56,L355=phu!$I$57,L355=phu!$I$58,L355=phu!$I$59,L355=phu!$I$60,L355=phu!$I$61,L355=phu!$I$62),"Cam Lợi",""),IF(OR(L355=phu!$I$63,L355=phu!$I$64,L355=phu!$I$65,L355=phu!$I$66,L355=phu!$I$67,L355=phu!$I$68,L355=phu!$I$69,L355=phu!$I$70,L355=phu!$I$71),"Ba Ngòi",""),IF(OR(L355=phu!$I$72,L355=phu!$I$73,L355=phu!$I$74,L355=phu!$I$75,L355=phu!$I$76,L355=phu!$I$77,L355=phu!$I$78),"Cam Phước Đông",""),IF(OR(L355=phu!$I$79,L355=phu!$I$80,L355=phu!$I$81,L355=phu!$I$82,L355=phu!$I$83,L355=phu!$I$84),"Cam Thịnh Đông",""),IF(OR(L355=phu!$I$85,L355=phu!$I$86,L355=phu!$I$87,L355=phu!$I$88),"Cam Thịnh Tây",""),IF(OR(L355=phu!$I$89,L355=phu!$I$90),"Cam Lập",""),IF(OR(L355=phu!$I$91,L355=phu!$I$92,L355=phu!$I$93),"Cam Bình",""),IF(OR(L355=phu!$I$94,L355=phu!$I$95,L355=phu!$I$96,L355=phu!$I$97,L355=phu!$I$98,L355=phu!$I$99,L355=phu!$I$100),"Huyện khác",""),IF(OR(L355=phu!$I$101,L355=phu!$I$102),"Tỉnh khác",""))</f>
        <v/>
      </c>
      <c r="N355" s="835" t="str">
        <f t="shared" si="28"/>
        <v/>
      </c>
      <c r="O355" s="20"/>
      <c r="P355" s="20"/>
      <c r="Q355" s="20"/>
      <c r="R355" s="20"/>
      <c r="S355" s="20"/>
      <c r="T355" s="21"/>
      <c r="U355" s="21"/>
      <c r="V355" s="21"/>
      <c r="W355" s="7" t="str">
        <f t="shared" si="26"/>
        <v/>
      </c>
      <c r="X355" s="506" t="str">
        <f t="shared" si="27"/>
        <v/>
      </c>
    </row>
    <row r="356" spans="1:24" x14ac:dyDescent="0.25">
      <c r="A356" s="66" t="str">
        <f t="shared" si="29"/>
        <v/>
      </c>
      <c r="B356" s="23" t="str">
        <f t="shared" si="25"/>
        <v/>
      </c>
      <c r="C356" s="15"/>
      <c r="D356" s="16"/>
      <c r="E356" s="17"/>
      <c r="F356" s="18"/>
      <c r="G356" s="18"/>
      <c r="H356" s="19"/>
      <c r="I356" s="15"/>
      <c r="J356" s="20"/>
      <c r="K356" s="15"/>
      <c r="L356" s="15"/>
      <c r="M356" s="531" t="str">
        <f>CONCATENATE(IF(OR(L356=phu!$I$1,L356=phu!$I$2,L356=phu!$I$3),"Cam Thành Nam",""),IF(OR(L356=phu!$I$4,L356=phu!$I$5,L356=phu!$I$6,L356=phu!$I$7,L356=phu!$I$8,L356=phu!$I$9,L356=phu!$I$10,L356=phu!$I$11,L356=phu!$I$12,L356=phu!$I$13,L356=phu!$I$14),"Cam Nghĩa",""),IF(OR(L356=phu!$I$15,L356=phu!$I$16,L356=phu!$I$17,L356=phu!$I$18,L356=phu!$I$19,L356=phu!$I$20,L356=phu!$I$21),"Cam Phúc Bắc",""),IF(OR(L356=phu!$I$22,L356=phu!$I$23,L356=phu!$I$24,L356=phu!$I$25),"Cam Phúc Nam",""),IF(OR(L356=phu!$I$26,L356=phu!$I$27,L356=phu!$I$28,L356=phu!$I$29,L356=phu!$I$30,L356=phu!$I$31),"Cam Phú",""),IF(OR(L356=phu!$I$32,L356=phu!$I$33,L356=phu!$I$34,L356=phu!$I$35,L356=phu!$I$36,L356=phu!$I$37),"Cam Lộc",""),IF(OR(L356=phu!$I$38,L356=phu!$I$39,L356=phu!$I$40,L356=phu!$I$41,L356=phu!$I$42,L356=phu!$I$43,L356=phu!$I$44),"Cam Thuận",""),IF(OR(L356=phu!$I$45,L356=phu!$I$46,L356=phu!$I$47,L356=phu!$I$48,L356=phu!$I$49,L356=phu!$I$50,L356=phu!$I$51,L356=phu!$I$52,L356=phu!$I$53),"Cam Linh",""),IF(OR(L356=phu!$I$54,L356=phu!$I$55,L356=phu!$I$56,L356=phu!$I$57,L356=phu!$I$58,L356=phu!$I$59,L356=phu!$I$60,L356=phu!$I$61,L356=phu!$I$62),"Cam Lợi",""),IF(OR(L356=phu!$I$63,L356=phu!$I$64,L356=phu!$I$65,L356=phu!$I$66,L356=phu!$I$67,L356=phu!$I$68,L356=phu!$I$69,L356=phu!$I$70,L356=phu!$I$71),"Ba Ngòi",""),IF(OR(L356=phu!$I$72,L356=phu!$I$73,L356=phu!$I$74,L356=phu!$I$75,L356=phu!$I$76,L356=phu!$I$77,L356=phu!$I$78),"Cam Phước Đông",""),IF(OR(L356=phu!$I$79,L356=phu!$I$80,L356=phu!$I$81,L356=phu!$I$82,L356=phu!$I$83,L356=phu!$I$84),"Cam Thịnh Đông",""),IF(OR(L356=phu!$I$85,L356=phu!$I$86,L356=phu!$I$87,L356=phu!$I$88),"Cam Thịnh Tây",""),IF(OR(L356=phu!$I$89,L356=phu!$I$90),"Cam Lập",""),IF(OR(L356=phu!$I$91,L356=phu!$I$92,L356=phu!$I$93),"Cam Bình",""),IF(OR(L356=phu!$I$94,L356=phu!$I$95,L356=phu!$I$96,L356=phu!$I$97,L356=phu!$I$98,L356=phu!$I$99,L356=phu!$I$100),"Huyện khác",""),IF(OR(L356=phu!$I$101,L356=phu!$I$102),"Tỉnh khác",""))</f>
        <v/>
      </c>
      <c r="N356" s="835" t="str">
        <f t="shared" si="28"/>
        <v/>
      </c>
      <c r="O356" s="20"/>
      <c r="P356" s="20"/>
      <c r="Q356" s="20"/>
      <c r="R356" s="20"/>
      <c r="S356" s="20"/>
      <c r="T356" s="21"/>
      <c r="U356" s="21"/>
      <c r="V356" s="21"/>
      <c r="W356" s="7" t="str">
        <f t="shared" si="26"/>
        <v/>
      </c>
      <c r="X356" s="506" t="str">
        <f t="shared" si="27"/>
        <v/>
      </c>
    </row>
    <row r="357" spans="1:24" x14ac:dyDescent="0.25">
      <c r="A357" s="66" t="str">
        <f t="shared" si="29"/>
        <v/>
      </c>
      <c r="B357" s="23" t="str">
        <f t="shared" si="25"/>
        <v/>
      </c>
      <c r="C357" s="15"/>
      <c r="D357" s="16"/>
      <c r="E357" s="17"/>
      <c r="F357" s="18"/>
      <c r="G357" s="18"/>
      <c r="H357" s="19"/>
      <c r="I357" s="15"/>
      <c r="J357" s="20"/>
      <c r="K357" s="15"/>
      <c r="L357" s="15"/>
      <c r="M357" s="531" t="str">
        <f>CONCATENATE(IF(OR(L357=phu!$I$1,L357=phu!$I$2,L357=phu!$I$3),"Cam Thành Nam",""),IF(OR(L357=phu!$I$4,L357=phu!$I$5,L357=phu!$I$6,L357=phu!$I$7,L357=phu!$I$8,L357=phu!$I$9,L357=phu!$I$10,L357=phu!$I$11,L357=phu!$I$12,L357=phu!$I$13,L357=phu!$I$14),"Cam Nghĩa",""),IF(OR(L357=phu!$I$15,L357=phu!$I$16,L357=phu!$I$17,L357=phu!$I$18,L357=phu!$I$19,L357=phu!$I$20,L357=phu!$I$21),"Cam Phúc Bắc",""),IF(OR(L357=phu!$I$22,L357=phu!$I$23,L357=phu!$I$24,L357=phu!$I$25),"Cam Phúc Nam",""),IF(OR(L357=phu!$I$26,L357=phu!$I$27,L357=phu!$I$28,L357=phu!$I$29,L357=phu!$I$30,L357=phu!$I$31),"Cam Phú",""),IF(OR(L357=phu!$I$32,L357=phu!$I$33,L357=phu!$I$34,L357=phu!$I$35,L357=phu!$I$36,L357=phu!$I$37),"Cam Lộc",""),IF(OR(L357=phu!$I$38,L357=phu!$I$39,L357=phu!$I$40,L357=phu!$I$41,L357=phu!$I$42,L357=phu!$I$43,L357=phu!$I$44),"Cam Thuận",""),IF(OR(L357=phu!$I$45,L357=phu!$I$46,L357=phu!$I$47,L357=phu!$I$48,L357=phu!$I$49,L357=phu!$I$50,L357=phu!$I$51,L357=phu!$I$52,L357=phu!$I$53),"Cam Linh",""),IF(OR(L357=phu!$I$54,L357=phu!$I$55,L357=phu!$I$56,L357=phu!$I$57,L357=phu!$I$58,L357=phu!$I$59,L357=phu!$I$60,L357=phu!$I$61,L357=phu!$I$62),"Cam Lợi",""),IF(OR(L357=phu!$I$63,L357=phu!$I$64,L357=phu!$I$65,L357=phu!$I$66,L357=phu!$I$67,L357=phu!$I$68,L357=phu!$I$69,L357=phu!$I$70,L357=phu!$I$71),"Ba Ngòi",""),IF(OR(L357=phu!$I$72,L357=phu!$I$73,L357=phu!$I$74,L357=phu!$I$75,L357=phu!$I$76,L357=phu!$I$77,L357=phu!$I$78),"Cam Phước Đông",""),IF(OR(L357=phu!$I$79,L357=phu!$I$80,L357=phu!$I$81,L357=phu!$I$82,L357=phu!$I$83,L357=phu!$I$84),"Cam Thịnh Đông",""),IF(OR(L357=phu!$I$85,L357=phu!$I$86,L357=phu!$I$87,L357=phu!$I$88),"Cam Thịnh Tây",""),IF(OR(L357=phu!$I$89,L357=phu!$I$90),"Cam Lập",""),IF(OR(L357=phu!$I$91,L357=phu!$I$92,L357=phu!$I$93),"Cam Bình",""),IF(OR(L357=phu!$I$94,L357=phu!$I$95,L357=phu!$I$96,L357=phu!$I$97,L357=phu!$I$98,L357=phu!$I$99,L357=phu!$I$100),"Huyện khác",""),IF(OR(L357=phu!$I$101,L357=phu!$I$102),"Tỉnh khác",""))</f>
        <v/>
      </c>
      <c r="N357" s="835" t="str">
        <f t="shared" si="28"/>
        <v/>
      </c>
      <c r="O357" s="20"/>
      <c r="P357" s="20"/>
      <c r="Q357" s="20"/>
      <c r="R357" s="20"/>
      <c r="S357" s="20"/>
      <c r="T357" s="21"/>
      <c r="U357" s="21"/>
      <c r="V357" s="21"/>
      <c r="W357" s="7" t="str">
        <f t="shared" si="26"/>
        <v/>
      </c>
      <c r="X357" s="506" t="str">
        <f t="shared" si="27"/>
        <v/>
      </c>
    </row>
    <row r="358" spans="1:24" x14ac:dyDescent="0.25">
      <c r="A358" s="66" t="str">
        <f t="shared" si="29"/>
        <v/>
      </c>
      <c r="B358" s="23" t="str">
        <f t="shared" si="25"/>
        <v/>
      </c>
      <c r="C358" s="15"/>
      <c r="D358" s="16"/>
      <c r="E358" s="17"/>
      <c r="F358" s="18"/>
      <c r="G358" s="18"/>
      <c r="H358" s="19"/>
      <c r="I358" s="15"/>
      <c r="J358" s="20"/>
      <c r="K358" s="15"/>
      <c r="L358" s="15"/>
      <c r="M358" s="531" t="str">
        <f>CONCATENATE(IF(OR(L358=phu!$I$1,L358=phu!$I$2,L358=phu!$I$3),"Cam Thành Nam",""),IF(OR(L358=phu!$I$4,L358=phu!$I$5,L358=phu!$I$6,L358=phu!$I$7,L358=phu!$I$8,L358=phu!$I$9,L358=phu!$I$10,L358=phu!$I$11,L358=phu!$I$12,L358=phu!$I$13,L358=phu!$I$14),"Cam Nghĩa",""),IF(OR(L358=phu!$I$15,L358=phu!$I$16,L358=phu!$I$17,L358=phu!$I$18,L358=phu!$I$19,L358=phu!$I$20,L358=phu!$I$21),"Cam Phúc Bắc",""),IF(OR(L358=phu!$I$22,L358=phu!$I$23,L358=phu!$I$24,L358=phu!$I$25),"Cam Phúc Nam",""),IF(OR(L358=phu!$I$26,L358=phu!$I$27,L358=phu!$I$28,L358=phu!$I$29,L358=phu!$I$30,L358=phu!$I$31),"Cam Phú",""),IF(OR(L358=phu!$I$32,L358=phu!$I$33,L358=phu!$I$34,L358=phu!$I$35,L358=phu!$I$36,L358=phu!$I$37),"Cam Lộc",""),IF(OR(L358=phu!$I$38,L358=phu!$I$39,L358=phu!$I$40,L358=phu!$I$41,L358=phu!$I$42,L358=phu!$I$43,L358=phu!$I$44),"Cam Thuận",""),IF(OR(L358=phu!$I$45,L358=phu!$I$46,L358=phu!$I$47,L358=phu!$I$48,L358=phu!$I$49,L358=phu!$I$50,L358=phu!$I$51,L358=phu!$I$52,L358=phu!$I$53),"Cam Linh",""),IF(OR(L358=phu!$I$54,L358=phu!$I$55,L358=phu!$I$56,L358=phu!$I$57,L358=phu!$I$58,L358=phu!$I$59,L358=phu!$I$60,L358=phu!$I$61,L358=phu!$I$62),"Cam Lợi",""),IF(OR(L358=phu!$I$63,L358=phu!$I$64,L358=phu!$I$65,L358=phu!$I$66,L358=phu!$I$67,L358=phu!$I$68,L358=phu!$I$69,L358=phu!$I$70,L358=phu!$I$71),"Ba Ngòi",""),IF(OR(L358=phu!$I$72,L358=phu!$I$73,L358=phu!$I$74,L358=phu!$I$75,L358=phu!$I$76,L358=phu!$I$77,L358=phu!$I$78),"Cam Phước Đông",""),IF(OR(L358=phu!$I$79,L358=phu!$I$80,L358=phu!$I$81,L358=phu!$I$82,L358=phu!$I$83,L358=phu!$I$84),"Cam Thịnh Đông",""),IF(OR(L358=phu!$I$85,L358=phu!$I$86,L358=phu!$I$87,L358=phu!$I$88),"Cam Thịnh Tây",""),IF(OR(L358=phu!$I$89,L358=phu!$I$90),"Cam Lập",""),IF(OR(L358=phu!$I$91,L358=phu!$I$92,L358=phu!$I$93),"Cam Bình",""),IF(OR(L358=phu!$I$94,L358=phu!$I$95,L358=phu!$I$96,L358=phu!$I$97,L358=phu!$I$98,L358=phu!$I$99,L358=phu!$I$100),"Huyện khác",""),IF(OR(L358=phu!$I$101,L358=phu!$I$102),"Tỉnh khác",""))</f>
        <v/>
      </c>
      <c r="N358" s="835" t="str">
        <f t="shared" si="28"/>
        <v/>
      </c>
      <c r="O358" s="20"/>
      <c r="P358" s="20"/>
      <c r="Q358" s="20"/>
      <c r="R358" s="20"/>
      <c r="S358" s="20"/>
      <c r="T358" s="21"/>
      <c r="U358" s="21"/>
      <c r="V358" s="21"/>
      <c r="W358" s="7" t="str">
        <f t="shared" si="26"/>
        <v/>
      </c>
      <c r="X358" s="506" t="str">
        <f t="shared" si="27"/>
        <v/>
      </c>
    </row>
    <row r="359" spans="1:24" x14ac:dyDescent="0.25">
      <c r="A359" s="66" t="str">
        <f t="shared" si="29"/>
        <v/>
      </c>
      <c r="B359" s="23" t="str">
        <f t="shared" si="25"/>
        <v/>
      </c>
      <c r="C359" s="15"/>
      <c r="D359" s="16"/>
      <c r="E359" s="17"/>
      <c r="F359" s="18"/>
      <c r="G359" s="18"/>
      <c r="H359" s="19"/>
      <c r="I359" s="15"/>
      <c r="J359" s="20"/>
      <c r="K359" s="15"/>
      <c r="L359" s="15"/>
      <c r="M359" s="531" t="str">
        <f>CONCATENATE(IF(OR(L359=phu!$I$1,L359=phu!$I$2,L359=phu!$I$3),"Cam Thành Nam",""),IF(OR(L359=phu!$I$4,L359=phu!$I$5,L359=phu!$I$6,L359=phu!$I$7,L359=phu!$I$8,L359=phu!$I$9,L359=phu!$I$10,L359=phu!$I$11,L359=phu!$I$12,L359=phu!$I$13,L359=phu!$I$14),"Cam Nghĩa",""),IF(OR(L359=phu!$I$15,L359=phu!$I$16,L359=phu!$I$17,L359=phu!$I$18,L359=phu!$I$19,L359=phu!$I$20,L359=phu!$I$21),"Cam Phúc Bắc",""),IF(OR(L359=phu!$I$22,L359=phu!$I$23,L359=phu!$I$24,L359=phu!$I$25),"Cam Phúc Nam",""),IF(OR(L359=phu!$I$26,L359=phu!$I$27,L359=phu!$I$28,L359=phu!$I$29,L359=phu!$I$30,L359=phu!$I$31),"Cam Phú",""),IF(OR(L359=phu!$I$32,L359=phu!$I$33,L359=phu!$I$34,L359=phu!$I$35,L359=phu!$I$36,L359=phu!$I$37),"Cam Lộc",""),IF(OR(L359=phu!$I$38,L359=phu!$I$39,L359=phu!$I$40,L359=phu!$I$41,L359=phu!$I$42,L359=phu!$I$43,L359=phu!$I$44),"Cam Thuận",""),IF(OR(L359=phu!$I$45,L359=phu!$I$46,L359=phu!$I$47,L359=phu!$I$48,L359=phu!$I$49,L359=phu!$I$50,L359=phu!$I$51,L359=phu!$I$52,L359=phu!$I$53),"Cam Linh",""),IF(OR(L359=phu!$I$54,L359=phu!$I$55,L359=phu!$I$56,L359=phu!$I$57,L359=phu!$I$58,L359=phu!$I$59,L359=phu!$I$60,L359=phu!$I$61,L359=phu!$I$62),"Cam Lợi",""),IF(OR(L359=phu!$I$63,L359=phu!$I$64,L359=phu!$I$65,L359=phu!$I$66,L359=phu!$I$67,L359=phu!$I$68,L359=phu!$I$69,L359=phu!$I$70,L359=phu!$I$71),"Ba Ngòi",""),IF(OR(L359=phu!$I$72,L359=phu!$I$73,L359=phu!$I$74,L359=phu!$I$75,L359=phu!$I$76,L359=phu!$I$77,L359=phu!$I$78),"Cam Phước Đông",""),IF(OR(L359=phu!$I$79,L359=phu!$I$80,L359=phu!$I$81,L359=phu!$I$82,L359=phu!$I$83,L359=phu!$I$84),"Cam Thịnh Đông",""),IF(OR(L359=phu!$I$85,L359=phu!$I$86,L359=phu!$I$87,L359=phu!$I$88),"Cam Thịnh Tây",""),IF(OR(L359=phu!$I$89,L359=phu!$I$90),"Cam Lập",""),IF(OR(L359=phu!$I$91,L359=phu!$I$92,L359=phu!$I$93),"Cam Bình",""),IF(OR(L359=phu!$I$94,L359=phu!$I$95,L359=phu!$I$96,L359=phu!$I$97,L359=phu!$I$98,L359=phu!$I$99,L359=phu!$I$100),"Huyện khác",""),IF(OR(L359=phu!$I$101,L359=phu!$I$102),"Tỉnh khác",""))</f>
        <v/>
      </c>
      <c r="N359" s="835" t="str">
        <f t="shared" si="28"/>
        <v/>
      </c>
      <c r="O359" s="20"/>
      <c r="P359" s="20"/>
      <c r="Q359" s="20"/>
      <c r="R359" s="20"/>
      <c r="S359" s="20"/>
      <c r="T359" s="21"/>
      <c r="U359" s="21"/>
      <c r="V359" s="21"/>
      <c r="W359" s="7" t="str">
        <f t="shared" si="26"/>
        <v/>
      </c>
      <c r="X359" s="506" t="str">
        <f t="shared" si="27"/>
        <v/>
      </c>
    </row>
    <row r="360" spans="1:24" x14ac:dyDescent="0.25">
      <c r="A360" s="66" t="str">
        <f t="shared" si="29"/>
        <v/>
      </c>
      <c r="B360" s="23" t="str">
        <f t="shared" si="25"/>
        <v/>
      </c>
      <c r="C360" s="15"/>
      <c r="D360" s="16"/>
      <c r="E360" s="17"/>
      <c r="F360" s="18"/>
      <c r="G360" s="18"/>
      <c r="H360" s="19"/>
      <c r="I360" s="15"/>
      <c r="J360" s="20"/>
      <c r="K360" s="15"/>
      <c r="L360" s="15"/>
      <c r="M360" s="531" t="str">
        <f>CONCATENATE(IF(OR(L360=phu!$I$1,L360=phu!$I$2,L360=phu!$I$3),"Cam Thành Nam",""),IF(OR(L360=phu!$I$4,L360=phu!$I$5,L360=phu!$I$6,L360=phu!$I$7,L360=phu!$I$8,L360=phu!$I$9,L360=phu!$I$10,L360=phu!$I$11,L360=phu!$I$12,L360=phu!$I$13,L360=phu!$I$14),"Cam Nghĩa",""),IF(OR(L360=phu!$I$15,L360=phu!$I$16,L360=phu!$I$17,L360=phu!$I$18,L360=phu!$I$19,L360=phu!$I$20,L360=phu!$I$21),"Cam Phúc Bắc",""),IF(OR(L360=phu!$I$22,L360=phu!$I$23,L360=phu!$I$24,L360=phu!$I$25),"Cam Phúc Nam",""),IF(OR(L360=phu!$I$26,L360=phu!$I$27,L360=phu!$I$28,L360=phu!$I$29,L360=phu!$I$30,L360=phu!$I$31),"Cam Phú",""),IF(OR(L360=phu!$I$32,L360=phu!$I$33,L360=phu!$I$34,L360=phu!$I$35,L360=phu!$I$36,L360=phu!$I$37),"Cam Lộc",""),IF(OR(L360=phu!$I$38,L360=phu!$I$39,L360=phu!$I$40,L360=phu!$I$41,L360=phu!$I$42,L360=phu!$I$43,L360=phu!$I$44),"Cam Thuận",""),IF(OR(L360=phu!$I$45,L360=phu!$I$46,L360=phu!$I$47,L360=phu!$I$48,L360=phu!$I$49,L360=phu!$I$50,L360=phu!$I$51,L360=phu!$I$52,L360=phu!$I$53),"Cam Linh",""),IF(OR(L360=phu!$I$54,L360=phu!$I$55,L360=phu!$I$56,L360=phu!$I$57,L360=phu!$I$58,L360=phu!$I$59,L360=phu!$I$60,L360=phu!$I$61,L360=phu!$I$62),"Cam Lợi",""),IF(OR(L360=phu!$I$63,L360=phu!$I$64,L360=phu!$I$65,L360=phu!$I$66,L360=phu!$I$67,L360=phu!$I$68,L360=phu!$I$69,L360=phu!$I$70,L360=phu!$I$71),"Ba Ngòi",""),IF(OR(L360=phu!$I$72,L360=phu!$I$73,L360=phu!$I$74,L360=phu!$I$75,L360=phu!$I$76,L360=phu!$I$77,L360=phu!$I$78),"Cam Phước Đông",""),IF(OR(L360=phu!$I$79,L360=phu!$I$80,L360=phu!$I$81,L360=phu!$I$82,L360=phu!$I$83,L360=phu!$I$84),"Cam Thịnh Đông",""),IF(OR(L360=phu!$I$85,L360=phu!$I$86,L360=phu!$I$87,L360=phu!$I$88),"Cam Thịnh Tây",""),IF(OR(L360=phu!$I$89,L360=phu!$I$90),"Cam Lập",""),IF(OR(L360=phu!$I$91,L360=phu!$I$92,L360=phu!$I$93),"Cam Bình",""),IF(OR(L360=phu!$I$94,L360=phu!$I$95,L360=phu!$I$96,L360=phu!$I$97,L360=phu!$I$98,L360=phu!$I$99,L360=phu!$I$100),"Huyện khác",""),IF(OR(L360=phu!$I$101,L360=phu!$I$102),"Tỉnh khác",""))</f>
        <v/>
      </c>
      <c r="N360" s="835" t="str">
        <f t="shared" si="28"/>
        <v/>
      </c>
      <c r="O360" s="20"/>
      <c r="P360" s="20"/>
      <c r="Q360" s="20"/>
      <c r="R360" s="20"/>
      <c r="S360" s="20"/>
      <c r="T360" s="21"/>
      <c r="U360" s="21"/>
      <c r="V360" s="21"/>
      <c r="W360" s="7" t="str">
        <f t="shared" si="26"/>
        <v/>
      </c>
      <c r="X360" s="506" t="str">
        <f t="shared" si="27"/>
        <v/>
      </c>
    </row>
    <row r="361" spans="1:24" x14ac:dyDescent="0.25">
      <c r="A361" s="66" t="str">
        <f t="shared" si="29"/>
        <v/>
      </c>
      <c r="B361" s="23" t="str">
        <f t="shared" si="25"/>
        <v/>
      </c>
      <c r="C361" s="15"/>
      <c r="D361" s="16"/>
      <c r="E361" s="17"/>
      <c r="F361" s="18"/>
      <c r="G361" s="18"/>
      <c r="H361" s="19"/>
      <c r="I361" s="15"/>
      <c r="J361" s="20"/>
      <c r="K361" s="15"/>
      <c r="L361" s="15"/>
      <c r="M361" s="531" t="str">
        <f>CONCATENATE(IF(OR(L361=phu!$I$1,L361=phu!$I$2,L361=phu!$I$3),"Cam Thành Nam",""),IF(OR(L361=phu!$I$4,L361=phu!$I$5,L361=phu!$I$6,L361=phu!$I$7,L361=phu!$I$8,L361=phu!$I$9,L361=phu!$I$10,L361=phu!$I$11,L361=phu!$I$12,L361=phu!$I$13,L361=phu!$I$14),"Cam Nghĩa",""),IF(OR(L361=phu!$I$15,L361=phu!$I$16,L361=phu!$I$17,L361=phu!$I$18,L361=phu!$I$19,L361=phu!$I$20,L361=phu!$I$21),"Cam Phúc Bắc",""),IF(OR(L361=phu!$I$22,L361=phu!$I$23,L361=phu!$I$24,L361=phu!$I$25),"Cam Phúc Nam",""),IF(OR(L361=phu!$I$26,L361=phu!$I$27,L361=phu!$I$28,L361=phu!$I$29,L361=phu!$I$30,L361=phu!$I$31),"Cam Phú",""),IF(OR(L361=phu!$I$32,L361=phu!$I$33,L361=phu!$I$34,L361=phu!$I$35,L361=phu!$I$36,L361=phu!$I$37),"Cam Lộc",""),IF(OR(L361=phu!$I$38,L361=phu!$I$39,L361=phu!$I$40,L361=phu!$I$41,L361=phu!$I$42,L361=phu!$I$43,L361=phu!$I$44),"Cam Thuận",""),IF(OR(L361=phu!$I$45,L361=phu!$I$46,L361=phu!$I$47,L361=phu!$I$48,L361=phu!$I$49,L361=phu!$I$50,L361=phu!$I$51,L361=phu!$I$52,L361=phu!$I$53),"Cam Linh",""),IF(OR(L361=phu!$I$54,L361=phu!$I$55,L361=phu!$I$56,L361=phu!$I$57,L361=phu!$I$58,L361=phu!$I$59,L361=phu!$I$60,L361=phu!$I$61,L361=phu!$I$62),"Cam Lợi",""),IF(OR(L361=phu!$I$63,L361=phu!$I$64,L361=phu!$I$65,L361=phu!$I$66,L361=phu!$I$67,L361=phu!$I$68,L361=phu!$I$69,L361=phu!$I$70,L361=phu!$I$71),"Ba Ngòi",""),IF(OR(L361=phu!$I$72,L361=phu!$I$73,L361=phu!$I$74,L361=phu!$I$75,L361=phu!$I$76,L361=phu!$I$77,L361=phu!$I$78),"Cam Phước Đông",""),IF(OR(L361=phu!$I$79,L361=phu!$I$80,L361=phu!$I$81,L361=phu!$I$82,L361=phu!$I$83,L361=phu!$I$84),"Cam Thịnh Đông",""),IF(OR(L361=phu!$I$85,L361=phu!$I$86,L361=phu!$I$87,L361=phu!$I$88),"Cam Thịnh Tây",""),IF(OR(L361=phu!$I$89,L361=phu!$I$90),"Cam Lập",""),IF(OR(L361=phu!$I$91,L361=phu!$I$92,L361=phu!$I$93),"Cam Bình",""),IF(OR(L361=phu!$I$94,L361=phu!$I$95,L361=phu!$I$96,L361=phu!$I$97,L361=phu!$I$98,L361=phu!$I$99,L361=phu!$I$100),"Huyện khác",""),IF(OR(L361=phu!$I$101,L361=phu!$I$102),"Tỉnh khác",""))</f>
        <v/>
      </c>
      <c r="N361" s="835" t="str">
        <f t="shared" si="28"/>
        <v/>
      </c>
      <c r="O361" s="20"/>
      <c r="P361" s="20"/>
      <c r="Q361" s="20"/>
      <c r="R361" s="20"/>
      <c r="S361" s="20"/>
      <c r="T361" s="21"/>
      <c r="U361" s="21"/>
      <c r="V361" s="21"/>
      <c r="W361" s="7" t="str">
        <f t="shared" si="26"/>
        <v/>
      </c>
      <c r="X361" s="506" t="str">
        <f t="shared" si="27"/>
        <v/>
      </c>
    </row>
    <row r="362" spans="1:24" x14ac:dyDescent="0.25">
      <c r="A362" s="66" t="str">
        <f t="shared" si="29"/>
        <v/>
      </c>
      <c r="B362" s="23" t="str">
        <f t="shared" si="25"/>
        <v/>
      </c>
      <c r="C362" s="15"/>
      <c r="D362" s="16"/>
      <c r="E362" s="17"/>
      <c r="F362" s="18"/>
      <c r="G362" s="18"/>
      <c r="H362" s="19"/>
      <c r="I362" s="15"/>
      <c r="J362" s="20"/>
      <c r="K362" s="15"/>
      <c r="L362" s="15"/>
      <c r="M362" s="531" t="str">
        <f>CONCATENATE(IF(OR(L362=phu!$I$1,L362=phu!$I$2,L362=phu!$I$3),"Cam Thành Nam",""),IF(OR(L362=phu!$I$4,L362=phu!$I$5,L362=phu!$I$6,L362=phu!$I$7,L362=phu!$I$8,L362=phu!$I$9,L362=phu!$I$10,L362=phu!$I$11,L362=phu!$I$12,L362=phu!$I$13,L362=phu!$I$14),"Cam Nghĩa",""),IF(OR(L362=phu!$I$15,L362=phu!$I$16,L362=phu!$I$17,L362=phu!$I$18,L362=phu!$I$19,L362=phu!$I$20,L362=phu!$I$21),"Cam Phúc Bắc",""),IF(OR(L362=phu!$I$22,L362=phu!$I$23,L362=phu!$I$24,L362=phu!$I$25),"Cam Phúc Nam",""),IF(OR(L362=phu!$I$26,L362=phu!$I$27,L362=phu!$I$28,L362=phu!$I$29,L362=phu!$I$30,L362=phu!$I$31),"Cam Phú",""),IF(OR(L362=phu!$I$32,L362=phu!$I$33,L362=phu!$I$34,L362=phu!$I$35,L362=phu!$I$36,L362=phu!$I$37),"Cam Lộc",""),IF(OR(L362=phu!$I$38,L362=phu!$I$39,L362=phu!$I$40,L362=phu!$I$41,L362=phu!$I$42,L362=phu!$I$43,L362=phu!$I$44),"Cam Thuận",""),IF(OR(L362=phu!$I$45,L362=phu!$I$46,L362=phu!$I$47,L362=phu!$I$48,L362=phu!$I$49,L362=phu!$I$50,L362=phu!$I$51,L362=phu!$I$52,L362=phu!$I$53),"Cam Linh",""),IF(OR(L362=phu!$I$54,L362=phu!$I$55,L362=phu!$I$56,L362=phu!$I$57,L362=phu!$I$58,L362=phu!$I$59,L362=phu!$I$60,L362=phu!$I$61,L362=phu!$I$62),"Cam Lợi",""),IF(OR(L362=phu!$I$63,L362=phu!$I$64,L362=phu!$I$65,L362=phu!$I$66,L362=phu!$I$67,L362=phu!$I$68,L362=phu!$I$69,L362=phu!$I$70,L362=phu!$I$71),"Ba Ngòi",""),IF(OR(L362=phu!$I$72,L362=phu!$I$73,L362=phu!$I$74,L362=phu!$I$75,L362=phu!$I$76,L362=phu!$I$77,L362=phu!$I$78),"Cam Phước Đông",""),IF(OR(L362=phu!$I$79,L362=phu!$I$80,L362=phu!$I$81,L362=phu!$I$82,L362=phu!$I$83,L362=phu!$I$84),"Cam Thịnh Đông",""),IF(OR(L362=phu!$I$85,L362=phu!$I$86,L362=phu!$I$87,L362=phu!$I$88),"Cam Thịnh Tây",""),IF(OR(L362=phu!$I$89,L362=phu!$I$90),"Cam Lập",""),IF(OR(L362=phu!$I$91,L362=phu!$I$92,L362=phu!$I$93),"Cam Bình",""),IF(OR(L362=phu!$I$94,L362=phu!$I$95,L362=phu!$I$96,L362=phu!$I$97,L362=phu!$I$98,L362=phu!$I$99,L362=phu!$I$100),"Huyện khác",""),IF(OR(L362=phu!$I$101,L362=phu!$I$102),"Tỉnh khác",""))</f>
        <v/>
      </c>
      <c r="N362" s="835" t="str">
        <f t="shared" si="28"/>
        <v/>
      </c>
      <c r="O362" s="20"/>
      <c r="P362" s="20"/>
      <c r="Q362" s="20"/>
      <c r="R362" s="20"/>
      <c r="S362" s="20"/>
      <c r="T362" s="21"/>
      <c r="U362" s="21"/>
      <c r="V362" s="21"/>
      <c r="W362" s="7" t="str">
        <f t="shared" si="26"/>
        <v/>
      </c>
      <c r="X362" s="506" t="str">
        <f t="shared" si="27"/>
        <v/>
      </c>
    </row>
    <row r="363" spans="1:24" x14ac:dyDescent="0.25">
      <c r="A363" s="66" t="str">
        <f t="shared" si="29"/>
        <v/>
      </c>
      <c r="B363" s="23" t="str">
        <f t="shared" si="25"/>
        <v/>
      </c>
      <c r="C363" s="15"/>
      <c r="D363" s="16"/>
      <c r="E363" s="17"/>
      <c r="F363" s="18"/>
      <c r="G363" s="18"/>
      <c r="H363" s="19"/>
      <c r="I363" s="15"/>
      <c r="J363" s="20"/>
      <c r="K363" s="15"/>
      <c r="L363" s="15"/>
      <c r="M363" s="531" t="str">
        <f>CONCATENATE(IF(OR(L363=phu!$I$1,L363=phu!$I$2,L363=phu!$I$3),"Cam Thành Nam",""),IF(OR(L363=phu!$I$4,L363=phu!$I$5,L363=phu!$I$6,L363=phu!$I$7,L363=phu!$I$8,L363=phu!$I$9,L363=phu!$I$10,L363=phu!$I$11,L363=phu!$I$12,L363=phu!$I$13,L363=phu!$I$14),"Cam Nghĩa",""),IF(OR(L363=phu!$I$15,L363=phu!$I$16,L363=phu!$I$17,L363=phu!$I$18,L363=phu!$I$19,L363=phu!$I$20,L363=phu!$I$21),"Cam Phúc Bắc",""),IF(OR(L363=phu!$I$22,L363=phu!$I$23,L363=phu!$I$24,L363=phu!$I$25),"Cam Phúc Nam",""),IF(OR(L363=phu!$I$26,L363=phu!$I$27,L363=phu!$I$28,L363=phu!$I$29,L363=phu!$I$30,L363=phu!$I$31),"Cam Phú",""),IF(OR(L363=phu!$I$32,L363=phu!$I$33,L363=phu!$I$34,L363=phu!$I$35,L363=phu!$I$36,L363=phu!$I$37),"Cam Lộc",""),IF(OR(L363=phu!$I$38,L363=phu!$I$39,L363=phu!$I$40,L363=phu!$I$41,L363=phu!$I$42,L363=phu!$I$43,L363=phu!$I$44),"Cam Thuận",""),IF(OR(L363=phu!$I$45,L363=phu!$I$46,L363=phu!$I$47,L363=phu!$I$48,L363=phu!$I$49,L363=phu!$I$50,L363=phu!$I$51,L363=phu!$I$52,L363=phu!$I$53),"Cam Linh",""),IF(OR(L363=phu!$I$54,L363=phu!$I$55,L363=phu!$I$56,L363=phu!$I$57,L363=phu!$I$58,L363=phu!$I$59,L363=phu!$I$60,L363=phu!$I$61,L363=phu!$I$62),"Cam Lợi",""),IF(OR(L363=phu!$I$63,L363=phu!$I$64,L363=phu!$I$65,L363=phu!$I$66,L363=phu!$I$67,L363=phu!$I$68,L363=phu!$I$69,L363=phu!$I$70,L363=phu!$I$71),"Ba Ngòi",""),IF(OR(L363=phu!$I$72,L363=phu!$I$73,L363=phu!$I$74,L363=phu!$I$75,L363=phu!$I$76,L363=phu!$I$77,L363=phu!$I$78),"Cam Phước Đông",""),IF(OR(L363=phu!$I$79,L363=phu!$I$80,L363=phu!$I$81,L363=phu!$I$82,L363=phu!$I$83,L363=phu!$I$84),"Cam Thịnh Đông",""),IF(OR(L363=phu!$I$85,L363=phu!$I$86,L363=phu!$I$87,L363=phu!$I$88),"Cam Thịnh Tây",""),IF(OR(L363=phu!$I$89,L363=phu!$I$90),"Cam Lập",""),IF(OR(L363=phu!$I$91,L363=phu!$I$92,L363=phu!$I$93),"Cam Bình",""),IF(OR(L363=phu!$I$94,L363=phu!$I$95,L363=phu!$I$96,L363=phu!$I$97,L363=phu!$I$98,L363=phu!$I$99,L363=phu!$I$100),"Huyện khác",""),IF(OR(L363=phu!$I$101,L363=phu!$I$102),"Tỉnh khác",""))</f>
        <v/>
      </c>
      <c r="N363" s="835" t="str">
        <f t="shared" si="28"/>
        <v/>
      </c>
      <c r="O363" s="20"/>
      <c r="P363" s="20"/>
      <c r="Q363" s="20"/>
      <c r="R363" s="20"/>
      <c r="S363" s="20"/>
      <c r="T363" s="21"/>
      <c r="U363" s="21"/>
      <c r="V363" s="21"/>
      <c r="W363" s="7" t="str">
        <f t="shared" si="26"/>
        <v/>
      </c>
      <c r="X363" s="506" t="str">
        <f t="shared" si="27"/>
        <v/>
      </c>
    </row>
    <row r="364" spans="1:24" x14ac:dyDescent="0.25">
      <c r="A364" s="66" t="str">
        <f t="shared" si="29"/>
        <v/>
      </c>
      <c r="B364" s="23" t="str">
        <f t="shared" si="25"/>
        <v/>
      </c>
      <c r="C364" s="15"/>
      <c r="D364" s="16"/>
      <c r="E364" s="17"/>
      <c r="F364" s="18"/>
      <c r="G364" s="18"/>
      <c r="H364" s="19"/>
      <c r="I364" s="15"/>
      <c r="J364" s="20"/>
      <c r="K364" s="15"/>
      <c r="L364" s="15"/>
      <c r="M364" s="531" t="str">
        <f>CONCATENATE(IF(OR(L364=phu!$I$1,L364=phu!$I$2,L364=phu!$I$3),"Cam Thành Nam",""),IF(OR(L364=phu!$I$4,L364=phu!$I$5,L364=phu!$I$6,L364=phu!$I$7,L364=phu!$I$8,L364=phu!$I$9,L364=phu!$I$10,L364=phu!$I$11,L364=phu!$I$12,L364=phu!$I$13,L364=phu!$I$14),"Cam Nghĩa",""),IF(OR(L364=phu!$I$15,L364=phu!$I$16,L364=phu!$I$17,L364=phu!$I$18,L364=phu!$I$19,L364=phu!$I$20,L364=phu!$I$21),"Cam Phúc Bắc",""),IF(OR(L364=phu!$I$22,L364=phu!$I$23,L364=phu!$I$24,L364=phu!$I$25),"Cam Phúc Nam",""),IF(OR(L364=phu!$I$26,L364=phu!$I$27,L364=phu!$I$28,L364=phu!$I$29,L364=phu!$I$30,L364=phu!$I$31),"Cam Phú",""),IF(OR(L364=phu!$I$32,L364=phu!$I$33,L364=phu!$I$34,L364=phu!$I$35,L364=phu!$I$36,L364=phu!$I$37),"Cam Lộc",""),IF(OR(L364=phu!$I$38,L364=phu!$I$39,L364=phu!$I$40,L364=phu!$I$41,L364=phu!$I$42,L364=phu!$I$43,L364=phu!$I$44),"Cam Thuận",""),IF(OR(L364=phu!$I$45,L364=phu!$I$46,L364=phu!$I$47,L364=phu!$I$48,L364=phu!$I$49,L364=phu!$I$50,L364=phu!$I$51,L364=phu!$I$52,L364=phu!$I$53),"Cam Linh",""),IF(OR(L364=phu!$I$54,L364=phu!$I$55,L364=phu!$I$56,L364=phu!$I$57,L364=phu!$I$58,L364=phu!$I$59,L364=phu!$I$60,L364=phu!$I$61,L364=phu!$I$62),"Cam Lợi",""),IF(OR(L364=phu!$I$63,L364=phu!$I$64,L364=phu!$I$65,L364=phu!$I$66,L364=phu!$I$67,L364=phu!$I$68,L364=phu!$I$69,L364=phu!$I$70,L364=phu!$I$71),"Ba Ngòi",""),IF(OR(L364=phu!$I$72,L364=phu!$I$73,L364=phu!$I$74,L364=phu!$I$75,L364=phu!$I$76,L364=phu!$I$77,L364=phu!$I$78),"Cam Phước Đông",""),IF(OR(L364=phu!$I$79,L364=phu!$I$80,L364=phu!$I$81,L364=phu!$I$82,L364=phu!$I$83,L364=phu!$I$84),"Cam Thịnh Đông",""),IF(OR(L364=phu!$I$85,L364=phu!$I$86,L364=phu!$I$87,L364=phu!$I$88),"Cam Thịnh Tây",""),IF(OR(L364=phu!$I$89,L364=phu!$I$90),"Cam Lập",""),IF(OR(L364=phu!$I$91,L364=phu!$I$92,L364=phu!$I$93),"Cam Bình",""),IF(OR(L364=phu!$I$94,L364=phu!$I$95,L364=phu!$I$96,L364=phu!$I$97,L364=phu!$I$98,L364=phu!$I$99,L364=phu!$I$100),"Huyện khác",""),IF(OR(L364=phu!$I$101,L364=phu!$I$102),"Tỉnh khác",""))</f>
        <v/>
      </c>
      <c r="N364" s="835" t="str">
        <f t="shared" si="28"/>
        <v/>
      </c>
      <c r="O364" s="20"/>
      <c r="P364" s="20"/>
      <c r="Q364" s="20"/>
      <c r="R364" s="20"/>
      <c r="S364" s="20"/>
      <c r="T364" s="21"/>
      <c r="U364" s="21"/>
      <c r="V364" s="21"/>
      <c r="W364" s="7" t="str">
        <f t="shared" si="26"/>
        <v/>
      </c>
      <c r="X364" s="506" t="str">
        <f t="shared" si="27"/>
        <v/>
      </c>
    </row>
    <row r="365" spans="1:24" x14ac:dyDescent="0.25">
      <c r="A365" s="66" t="str">
        <f t="shared" si="29"/>
        <v/>
      </c>
      <c r="B365" s="23" t="str">
        <f t="shared" si="25"/>
        <v/>
      </c>
      <c r="C365" s="15"/>
      <c r="D365" s="16"/>
      <c r="E365" s="17"/>
      <c r="F365" s="18"/>
      <c r="G365" s="18"/>
      <c r="H365" s="19"/>
      <c r="I365" s="15"/>
      <c r="J365" s="20"/>
      <c r="K365" s="15"/>
      <c r="L365" s="15"/>
      <c r="M365" s="531" t="str">
        <f>CONCATENATE(IF(OR(L365=phu!$I$1,L365=phu!$I$2,L365=phu!$I$3),"Cam Thành Nam",""),IF(OR(L365=phu!$I$4,L365=phu!$I$5,L365=phu!$I$6,L365=phu!$I$7,L365=phu!$I$8,L365=phu!$I$9,L365=phu!$I$10,L365=phu!$I$11,L365=phu!$I$12,L365=phu!$I$13,L365=phu!$I$14),"Cam Nghĩa",""),IF(OR(L365=phu!$I$15,L365=phu!$I$16,L365=phu!$I$17,L365=phu!$I$18,L365=phu!$I$19,L365=phu!$I$20,L365=phu!$I$21),"Cam Phúc Bắc",""),IF(OR(L365=phu!$I$22,L365=phu!$I$23,L365=phu!$I$24,L365=phu!$I$25),"Cam Phúc Nam",""),IF(OR(L365=phu!$I$26,L365=phu!$I$27,L365=phu!$I$28,L365=phu!$I$29,L365=phu!$I$30,L365=phu!$I$31),"Cam Phú",""),IF(OR(L365=phu!$I$32,L365=phu!$I$33,L365=phu!$I$34,L365=phu!$I$35,L365=phu!$I$36,L365=phu!$I$37),"Cam Lộc",""),IF(OR(L365=phu!$I$38,L365=phu!$I$39,L365=phu!$I$40,L365=phu!$I$41,L365=phu!$I$42,L365=phu!$I$43,L365=phu!$I$44),"Cam Thuận",""),IF(OR(L365=phu!$I$45,L365=phu!$I$46,L365=phu!$I$47,L365=phu!$I$48,L365=phu!$I$49,L365=phu!$I$50,L365=phu!$I$51,L365=phu!$I$52,L365=phu!$I$53),"Cam Linh",""),IF(OR(L365=phu!$I$54,L365=phu!$I$55,L365=phu!$I$56,L365=phu!$I$57,L365=phu!$I$58,L365=phu!$I$59,L365=phu!$I$60,L365=phu!$I$61,L365=phu!$I$62),"Cam Lợi",""),IF(OR(L365=phu!$I$63,L365=phu!$I$64,L365=phu!$I$65,L365=phu!$I$66,L365=phu!$I$67,L365=phu!$I$68,L365=phu!$I$69,L365=phu!$I$70,L365=phu!$I$71),"Ba Ngòi",""),IF(OR(L365=phu!$I$72,L365=phu!$I$73,L365=phu!$I$74,L365=phu!$I$75,L365=phu!$I$76,L365=phu!$I$77,L365=phu!$I$78),"Cam Phước Đông",""),IF(OR(L365=phu!$I$79,L365=phu!$I$80,L365=phu!$I$81,L365=phu!$I$82,L365=phu!$I$83,L365=phu!$I$84),"Cam Thịnh Đông",""),IF(OR(L365=phu!$I$85,L365=phu!$I$86,L365=phu!$I$87,L365=phu!$I$88),"Cam Thịnh Tây",""),IF(OR(L365=phu!$I$89,L365=phu!$I$90),"Cam Lập",""),IF(OR(L365=phu!$I$91,L365=phu!$I$92,L365=phu!$I$93),"Cam Bình",""),IF(OR(L365=phu!$I$94,L365=phu!$I$95,L365=phu!$I$96,L365=phu!$I$97,L365=phu!$I$98,L365=phu!$I$99,L365=phu!$I$100),"Huyện khác",""),IF(OR(L365=phu!$I$101,L365=phu!$I$102),"Tỉnh khác",""))</f>
        <v/>
      </c>
      <c r="N365" s="835" t="str">
        <f t="shared" si="28"/>
        <v/>
      </c>
      <c r="O365" s="20"/>
      <c r="P365" s="20"/>
      <c r="Q365" s="20"/>
      <c r="R365" s="20"/>
      <c r="S365" s="20"/>
      <c r="T365" s="21"/>
      <c r="U365" s="21"/>
      <c r="V365" s="21"/>
      <c r="W365" s="7" t="str">
        <f t="shared" si="26"/>
        <v/>
      </c>
      <c r="X365" s="506" t="str">
        <f t="shared" si="27"/>
        <v/>
      </c>
    </row>
    <row r="366" spans="1:24" x14ac:dyDescent="0.25">
      <c r="A366" s="66" t="str">
        <f t="shared" si="29"/>
        <v/>
      </c>
      <c r="B366" s="23" t="str">
        <f t="shared" si="25"/>
        <v/>
      </c>
      <c r="C366" s="15"/>
      <c r="D366" s="16"/>
      <c r="E366" s="17"/>
      <c r="F366" s="18"/>
      <c r="G366" s="18"/>
      <c r="H366" s="19"/>
      <c r="I366" s="15"/>
      <c r="J366" s="20"/>
      <c r="K366" s="15"/>
      <c r="L366" s="15"/>
      <c r="M366" s="531" t="str">
        <f>CONCATENATE(IF(OR(L366=phu!$I$1,L366=phu!$I$2,L366=phu!$I$3),"Cam Thành Nam",""),IF(OR(L366=phu!$I$4,L366=phu!$I$5,L366=phu!$I$6,L366=phu!$I$7,L366=phu!$I$8,L366=phu!$I$9,L366=phu!$I$10,L366=phu!$I$11,L366=phu!$I$12,L366=phu!$I$13,L366=phu!$I$14),"Cam Nghĩa",""),IF(OR(L366=phu!$I$15,L366=phu!$I$16,L366=phu!$I$17,L366=phu!$I$18,L366=phu!$I$19,L366=phu!$I$20,L366=phu!$I$21),"Cam Phúc Bắc",""),IF(OR(L366=phu!$I$22,L366=phu!$I$23,L366=phu!$I$24,L366=phu!$I$25),"Cam Phúc Nam",""),IF(OR(L366=phu!$I$26,L366=phu!$I$27,L366=phu!$I$28,L366=phu!$I$29,L366=phu!$I$30,L366=phu!$I$31),"Cam Phú",""),IF(OR(L366=phu!$I$32,L366=phu!$I$33,L366=phu!$I$34,L366=phu!$I$35,L366=phu!$I$36,L366=phu!$I$37),"Cam Lộc",""),IF(OR(L366=phu!$I$38,L366=phu!$I$39,L366=phu!$I$40,L366=phu!$I$41,L366=phu!$I$42,L366=phu!$I$43,L366=phu!$I$44),"Cam Thuận",""),IF(OR(L366=phu!$I$45,L366=phu!$I$46,L366=phu!$I$47,L366=phu!$I$48,L366=phu!$I$49,L366=phu!$I$50,L366=phu!$I$51,L366=phu!$I$52,L366=phu!$I$53),"Cam Linh",""),IF(OR(L366=phu!$I$54,L366=phu!$I$55,L366=phu!$I$56,L366=phu!$I$57,L366=phu!$I$58,L366=phu!$I$59,L366=phu!$I$60,L366=phu!$I$61,L366=phu!$I$62),"Cam Lợi",""),IF(OR(L366=phu!$I$63,L366=phu!$I$64,L366=phu!$I$65,L366=phu!$I$66,L366=phu!$I$67,L366=phu!$I$68,L366=phu!$I$69,L366=phu!$I$70,L366=phu!$I$71),"Ba Ngòi",""),IF(OR(L366=phu!$I$72,L366=phu!$I$73,L366=phu!$I$74,L366=phu!$I$75,L366=phu!$I$76,L366=phu!$I$77,L366=phu!$I$78),"Cam Phước Đông",""),IF(OR(L366=phu!$I$79,L366=phu!$I$80,L366=phu!$I$81,L366=phu!$I$82,L366=phu!$I$83,L366=phu!$I$84),"Cam Thịnh Đông",""),IF(OR(L366=phu!$I$85,L366=phu!$I$86,L366=phu!$I$87,L366=phu!$I$88),"Cam Thịnh Tây",""),IF(OR(L366=phu!$I$89,L366=phu!$I$90),"Cam Lập",""),IF(OR(L366=phu!$I$91,L366=phu!$I$92,L366=phu!$I$93),"Cam Bình",""),IF(OR(L366=phu!$I$94,L366=phu!$I$95,L366=phu!$I$96,L366=phu!$I$97,L366=phu!$I$98,L366=phu!$I$99,L366=phu!$I$100),"Huyện khác",""),IF(OR(L366=phu!$I$101,L366=phu!$I$102),"Tỉnh khác",""))</f>
        <v/>
      </c>
      <c r="N366" s="835" t="str">
        <f t="shared" si="28"/>
        <v/>
      </c>
      <c r="O366" s="20"/>
      <c r="P366" s="20"/>
      <c r="Q366" s="20"/>
      <c r="R366" s="20"/>
      <c r="S366" s="20"/>
      <c r="T366" s="21"/>
      <c r="U366" s="21"/>
      <c r="V366" s="21"/>
      <c r="W366" s="7" t="str">
        <f t="shared" si="26"/>
        <v/>
      </c>
      <c r="X366" s="506" t="str">
        <f t="shared" si="27"/>
        <v/>
      </c>
    </row>
    <row r="367" spans="1:24" x14ac:dyDescent="0.25">
      <c r="A367" s="66" t="str">
        <f t="shared" si="29"/>
        <v/>
      </c>
      <c r="B367" s="23" t="str">
        <f t="shared" si="25"/>
        <v/>
      </c>
      <c r="C367" s="15"/>
      <c r="D367" s="16"/>
      <c r="E367" s="17"/>
      <c r="F367" s="18"/>
      <c r="G367" s="18"/>
      <c r="H367" s="19"/>
      <c r="I367" s="15"/>
      <c r="J367" s="20"/>
      <c r="K367" s="15"/>
      <c r="L367" s="15"/>
      <c r="M367" s="531" t="str">
        <f>CONCATENATE(IF(OR(L367=phu!$I$1,L367=phu!$I$2,L367=phu!$I$3),"Cam Thành Nam",""),IF(OR(L367=phu!$I$4,L367=phu!$I$5,L367=phu!$I$6,L367=phu!$I$7,L367=phu!$I$8,L367=phu!$I$9,L367=phu!$I$10,L367=phu!$I$11,L367=phu!$I$12,L367=phu!$I$13,L367=phu!$I$14),"Cam Nghĩa",""),IF(OR(L367=phu!$I$15,L367=phu!$I$16,L367=phu!$I$17,L367=phu!$I$18,L367=phu!$I$19,L367=phu!$I$20,L367=phu!$I$21),"Cam Phúc Bắc",""),IF(OR(L367=phu!$I$22,L367=phu!$I$23,L367=phu!$I$24,L367=phu!$I$25),"Cam Phúc Nam",""),IF(OR(L367=phu!$I$26,L367=phu!$I$27,L367=phu!$I$28,L367=phu!$I$29,L367=phu!$I$30,L367=phu!$I$31),"Cam Phú",""),IF(OR(L367=phu!$I$32,L367=phu!$I$33,L367=phu!$I$34,L367=phu!$I$35,L367=phu!$I$36,L367=phu!$I$37),"Cam Lộc",""),IF(OR(L367=phu!$I$38,L367=phu!$I$39,L367=phu!$I$40,L367=phu!$I$41,L367=phu!$I$42,L367=phu!$I$43,L367=phu!$I$44),"Cam Thuận",""),IF(OR(L367=phu!$I$45,L367=phu!$I$46,L367=phu!$I$47,L367=phu!$I$48,L367=phu!$I$49,L367=phu!$I$50,L367=phu!$I$51,L367=phu!$I$52,L367=phu!$I$53),"Cam Linh",""),IF(OR(L367=phu!$I$54,L367=phu!$I$55,L367=phu!$I$56,L367=phu!$I$57,L367=phu!$I$58,L367=phu!$I$59,L367=phu!$I$60,L367=phu!$I$61,L367=phu!$I$62),"Cam Lợi",""),IF(OR(L367=phu!$I$63,L367=phu!$I$64,L367=phu!$I$65,L367=phu!$I$66,L367=phu!$I$67,L367=phu!$I$68,L367=phu!$I$69,L367=phu!$I$70,L367=phu!$I$71),"Ba Ngòi",""),IF(OR(L367=phu!$I$72,L367=phu!$I$73,L367=phu!$I$74,L367=phu!$I$75,L367=phu!$I$76,L367=phu!$I$77,L367=phu!$I$78),"Cam Phước Đông",""),IF(OR(L367=phu!$I$79,L367=phu!$I$80,L367=phu!$I$81,L367=phu!$I$82,L367=phu!$I$83,L367=phu!$I$84),"Cam Thịnh Đông",""),IF(OR(L367=phu!$I$85,L367=phu!$I$86,L367=phu!$I$87,L367=phu!$I$88),"Cam Thịnh Tây",""),IF(OR(L367=phu!$I$89,L367=phu!$I$90),"Cam Lập",""),IF(OR(L367=phu!$I$91,L367=phu!$I$92,L367=phu!$I$93),"Cam Bình",""),IF(OR(L367=phu!$I$94,L367=phu!$I$95,L367=phu!$I$96,L367=phu!$I$97,L367=phu!$I$98,L367=phu!$I$99,L367=phu!$I$100),"Huyện khác",""),IF(OR(L367=phu!$I$101,L367=phu!$I$102),"Tỉnh khác",""))</f>
        <v/>
      </c>
      <c r="N367" s="835" t="str">
        <f t="shared" si="28"/>
        <v/>
      </c>
      <c r="O367" s="20"/>
      <c r="P367" s="20"/>
      <c r="Q367" s="20"/>
      <c r="R367" s="20"/>
      <c r="S367" s="20"/>
      <c r="T367" s="21"/>
      <c r="U367" s="21"/>
      <c r="V367" s="21"/>
      <c r="W367" s="7" t="str">
        <f t="shared" si="26"/>
        <v/>
      </c>
      <c r="X367" s="506" t="str">
        <f t="shared" si="27"/>
        <v/>
      </c>
    </row>
    <row r="368" spans="1:24" x14ac:dyDescent="0.25">
      <c r="A368" s="66" t="str">
        <f t="shared" si="29"/>
        <v/>
      </c>
      <c r="B368" s="23" t="str">
        <f t="shared" si="25"/>
        <v/>
      </c>
      <c r="C368" s="15"/>
      <c r="D368" s="16"/>
      <c r="E368" s="17"/>
      <c r="F368" s="18"/>
      <c r="G368" s="18"/>
      <c r="H368" s="19"/>
      <c r="I368" s="15"/>
      <c r="J368" s="20"/>
      <c r="K368" s="15"/>
      <c r="L368" s="15"/>
      <c r="M368" s="531" t="str">
        <f>CONCATENATE(IF(OR(L368=phu!$I$1,L368=phu!$I$2,L368=phu!$I$3),"Cam Thành Nam",""),IF(OR(L368=phu!$I$4,L368=phu!$I$5,L368=phu!$I$6,L368=phu!$I$7,L368=phu!$I$8,L368=phu!$I$9,L368=phu!$I$10,L368=phu!$I$11,L368=phu!$I$12,L368=phu!$I$13,L368=phu!$I$14),"Cam Nghĩa",""),IF(OR(L368=phu!$I$15,L368=phu!$I$16,L368=phu!$I$17,L368=phu!$I$18,L368=phu!$I$19,L368=phu!$I$20,L368=phu!$I$21),"Cam Phúc Bắc",""),IF(OR(L368=phu!$I$22,L368=phu!$I$23,L368=phu!$I$24,L368=phu!$I$25),"Cam Phúc Nam",""),IF(OR(L368=phu!$I$26,L368=phu!$I$27,L368=phu!$I$28,L368=phu!$I$29,L368=phu!$I$30,L368=phu!$I$31),"Cam Phú",""),IF(OR(L368=phu!$I$32,L368=phu!$I$33,L368=phu!$I$34,L368=phu!$I$35,L368=phu!$I$36,L368=phu!$I$37),"Cam Lộc",""),IF(OR(L368=phu!$I$38,L368=phu!$I$39,L368=phu!$I$40,L368=phu!$I$41,L368=phu!$I$42,L368=phu!$I$43,L368=phu!$I$44),"Cam Thuận",""),IF(OR(L368=phu!$I$45,L368=phu!$I$46,L368=phu!$I$47,L368=phu!$I$48,L368=phu!$I$49,L368=phu!$I$50,L368=phu!$I$51,L368=phu!$I$52,L368=phu!$I$53),"Cam Linh",""),IF(OR(L368=phu!$I$54,L368=phu!$I$55,L368=phu!$I$56,L368=phu!$I$57,L368=phu!$I$58,L368=phu!$I$59,L368=phu!$I$60,L368=phu!$I$61,L368=phu!$I$62),"Cam Lợi",""),IF(OR(L368=phu!$I$63,L368=phu!$I$64,L368=phu!$I$65,L368=phu!$I$66,L368=phu!$I$67,L368=phu!$I$68,L368=phu!$I$69,L368=phu!$I$70,L368=phu!$I$71),"Ba Ngòi",""),IF(OR(L368=phu!$I$72,L368=phu!$I$73,L368=phu!$I$74,L368=phu!$I$75,L368=phu!$I$76,L368=phu!$I$77,L368=phu!$I$78),"Cam Phước Đông",""),IF(OR(L368=phu!$I$79,L368=phu!$I$80,L368=phu!$I$81,L368=phu!$I$82,L368=phu!$I$83,L368=phu!$I$84),"Cam Thịnh Đông",""),IF(OR(L368=phu!$I$85,L368=phu!$I$86,L368=phu!$I$87,L368=phu!$I$88),"Cam Thịnh Tây",""),IF(OR(L368=phu!$I$89,L368=phu!$I$90),"Cam Lập",""),IF(OR(L368=phu!$I$91,L368=phu!$I$92,L368=phu!$I$93),"Cam Bình",""),IF(OR(L368=phu!$I$94,L368=phu!$I$95,L368=phu!$I$96,L368=phu!$I$97,L368=phu!$I$98,L368=phu!$I$99,L368=phu!$I$100),"Huyện khác",""),IF(OR(L368=phu!$I$101,L368=phu!$I$102),"Tỉnh khác",""))</f>
        <v/>
      </c>
      <c r="N368" s="835" t="str">
        <f t="shared" si="28"/>
        <v/>
      </c>
      <c r="O368" s="20"/>
      <c r="P368" s="20"/>
      <c r="Q368" s="20"/>
      <c r="R368" s="20"/>
      <c r="S368" s="20"/>
      <c r="T368" s="21"/>
      <c r="U368" s="21"/>
      <c r="V368" s="21"/>
      <c r="W368" s="7" t="str">
        <f t="shared" si="26"/>
        <v/>
      </c>
      <c r="X368" s="506" t="str">
        <f t="shared" si="27"/>
        <v/>
      </c>
    </row>
    <row r="369" spans="1:24" x14ac:dyDescent="0.25">
      <c r="A369" s="66" t="str">
        <f t="shared" si="29"/>
        <v/>
      </c>
      <c r="B369" s="23" t="str">
        <f t="shared" si="25"/>
        <v/>
      </c>
      <c r="C369" s="15"/>
      <c r="D369" s="16"/>
      <c r="E369" s="17"/>
      <c r="F369" s="18"/>
      <c r="G369" s="18"/>
      <c r="H369" s="19"/>
      <c r="I369" s="15"/>
      <c r="J369" s="20"/>
      <c r="K369" s="15"/>
      <c r="L369" s="15"/>
      <c r="M369" s="531" t="str">
        <f>CONCATENATE(IF(OR(L369=phu!$I$1,L369=phu!$I$2,L369=phu!$I$3),"Cam Thành Nam",""),IF(OR(L369=phu!$I$4,L369=phu!$I$5,L369=phu!$I$6,L369=phu!$I$7,L369=phu!$I$8,L369=phu!$I$9,L369=phu!$I$10,L369=phu!$I$11,L369=phu!$I$12,L369=phu!$I$13,L369=phu!$I$14),"Cam Nghĩa",""),IF(OR(L369=phu!$I$15,L369=phu!$I$16,L369=phu!$I$17,L369=phu!$I$18,L369=phu!$I$19,L369=phu!$I$20,L369=phu!$I$21),"Cam Phúc Bắc",""),IF(OR(L369=phu!$I$22,L369=phu!$I$23,L369=phu!$I$24,L369=phu!$I$25),"Cam Phúc Nam",""),IF(OR(L369=phu!$I$26,L369=phu!$I$27,L369=phu!$I$28,L369=phu!$I$29,L369=phu!$I$30,L369=phu!$I$31),"Cam Phú",""),IF(OR(L369=phu!$I$32,L369=phu!$I$33,L369=phu!$I$34,L369=phu!$I$35,L369=phu!$I$36,L369=phu!$I$37),"Cam Lộc",""),IF(OR(L369=phu!$I$38,L369=phu!$I$39,L369=phu!$I$40,L369=phu!$I$41,L369=phu!$I$42,L369=phu!$I$43,L369=phu!$I$44),"Cam Thuận",""),IF(OR(L369=phu!$I$45,L369=phu!$I$46,L369=phu!$I$47,L369=phu!$I$48,L369=phu!$I$49,L369=phu!$I$50,L369=phu!$I$51,L369=phu!$I$52,L369=phu!$I$53),"Cam Linh",""),IF(OR(L369=phu!$I$54,L369=phu!$I$55,L369=phu!$I$56,L369=phu!$I$57,L369=phu!$I$58,L369=phu!$I$59,L369=phu!$I$60,L369=phu!$I$61,L369=phu!$I$62),"Cam Lợi",""),IF(OR(L369=phu!$I$63,L369=phu!$I$64,L369=phu!$I$65,L369=phu!$I$66,L369=phu!$I$67,L369=phu!$I$68,L369=phu!$I$69,L369=phu!$I$70,L369=phu!$I$71),"Ba Ngòi",""),IF(OR(L369=phu!$I$72,L369=phu!$I$73,L369=phu!$I$74,L369=phu!$I$75,L369=phu!$I$76,L369=phu!$I$77,L369=phu!$I$78),"Cam Phước Đông",""),IF(OR(L369=phu!$I$79,L369=phu!$I$80,L369=phu!$I$81,L369=phu!$I$82,L369=phu!$I$83,L369=phu!$I$84),"Cam Thịnh Đông",""),IF(OR(L369=phu!$I$85,L369=phu!$I$86,L369=phu!$I$87,L369=phu!$I$88),"Cam Thịnh Tây",""),IF(OR(L369=phu!$I$89,L369=phu!$I$90),"Cam Lập",""),IF(OR(L369=phu!$I$91,L369=phu!$I$92,L369=phu!$I$93),"Cam Bình",""),IF(OR(L369=phu!$I$94,L369=phu!$I$95,L369=phu!$I$96,L369=phu!$I$97,L369=phu!$I$98,L369=phu!$I$99,L369=phu!$I$100),"Huyện khác",""),IF(OR(L369=phu!$I$101,L369=phu!$I$102),"Tỉnh khác",""))</f>
        <v/>
      </c>
      <c r="N369" s="835" t="str">
        <f t="shared" si="28"/>
        <v/>
      </c>
      <c r="O369" s="20"/>
      <c r="P369" s="20"/>
      <c r="Q369" s="20"/>
      <c r="R369" s="20"/>
      <c r="S369" s="20"/>
      <c r="T369" s="21"/>
      <c r="U369" s="21"/>
      <c r="V369" s="21"/>
      <c r="W369" s="7" t="str">
        <f t="shared" si="26"/>
        <v/>
      </c>
      <c r="X369" s="506" t="str">
        <f t="shared" si="27"/>
        <v/>
      </c>
    </row>
    <row r="370" spans="1:24" x14ac:dyDescent="0.25">
      <c r="A370" s="66" t="str">
        <f t="shared" si="29"/>
        <v/>
      </c>
      <c r="B370" s="23" t="str">
        <f t="shared" si="25"/>
        <v/>
      </c>
      <c r="C370" s="15"/>
      <c r="D370" s="16"/>
      <c r="E370" s="17"/>
      <c r="F370" s="18"/>
      <c r="G370" s="18"/>
      <c r="H370" s="19"/>
      <c r="I370" s="15"/>
      <c r="J370" s="20"/>
      <c r="K370" s="15"/>
      <c r="L370" s="15"/>
      <c r="M370" s="531" t="str">
        <f>CONCATENATE(IF(OR(L370=phu!$I$1,L370=phu!$I$2,L370=phu!$I$3),"Cam Thành Nam",""),IF(OR(L370=phu!$I$4,L370=phu!$I$5,L370=phu!$I$6,L370=phu!$I$7,L370=phu!$I$8,L370=phu!$I$9,L370=phu!$I$10,L370=phu!$I$11,L370=phu!$I$12,L370=phu!$I$13,L370=phu!$I$14),"Cam Nghĩa",""),IF(OR(L370=phu!$I$15,L370=phu!$I$16,L370=phu!$I$17,L370=phu!$I$18,L370=phu!$I$19,L370=phu!$I$20,L370=phu!$I$21),"Cam Phúc Bắc",""),IF(OR(L370=phu!$I$22,L370=phu!$I$23,L370=phu!$I$24,L370=phu!$I$25),"Cam Phúc Nam",""),IF(OR(L370=phu!$I$26,L370=phu!$I$27,L370=phu!$I$28,L370=phu!$I$29,L370=phu!$I$30,L370=phu!$I$31),"Cam Phú",""),IF(OR(L370=phu!$I$32,L370=phu!$I$33,L370=phu!$I$34,L370=phu!$I$35,L370=phu!$I$36,L370=phu!$I$37),"Cam Lộc",""),IF(OR(L370=phu!$I$38,L370=phu!$I$39,L370=phu!$I$40,L370=phu!$I$41,L370=phu!$I$42,L370=phu!$I$43,L370=phu!$I$44),"Cam Thuận",""),IF(OR(L370=phu!$I$45,L370=phu!$I$46,L370=phu!$I$47,L370=phu!$I$48,L370=phu!$I$49,L370=phu!$I$50,L370=phu!$I$51,L370=phu!$I$52,L370=phu!$I$53),"Cam Linh",""),IF(OR(L370=phu!$I$54,L370=phu!$I$55,L370=phu!$I$56,L370=phu!$I$57,L370=phu!$I$58,L370=phu!$I$59,L370=phu!$I$60,L370=phu!$I$61,L370=phu!$I$62),"Cam Lợi",""),IF(OR(L370=phu!$I$63,L370=phu!$I$64,L370=phu!$I$65,L370=phu!$I$66,L370=phu!$I$67,L370=phu!$I$68,L370=phu!$I$69,L370=phu!$I$70,L370=phu!$I$71),"Ba Ngòi",""),IF(OR(L370=phu!$I$72,L370=phu!$I$73,L370=phu!$I$74,L370=phu!$I$75,L370=phu!$I$76,L370=phu!$I$77,L370=phu!$I$78),"Cam Phước Đông",""),IF(OR(L370=phu!$I$79,L370=phu!$I$80,L370=phu!$I$81,L370=phu!$I$82,L370=phu!$I$83,L370=phu!$I$84),"Cam Thịnh Đông",""),IF(OR(L370=phu!$I$85,L370=phu!$I$86,L370=phu!$I$87,L370=phu!$I$88),"Cam Thịnh Tây",""),IF(OR(L370=phu!$I$89,L370=phu!$I$90),"Cam Lập",""),IF(OR(L370=phu!$I$91,L370=phu!$I$92,L370=phu!$I$93),"Cam Bình",""),IF(OR(L370=phu!$I$94,L370=phu!$I$95,L370=phu!$I$96,L370=phu!$I$97,L370=phu!$I$98,L370=phu!$I$99,L370=phu!$I$100),"Huyện khác",""),IF(OR(L370=phu!$I$101,L370=phu!$I$102),"Tỉnh khác",""))</f>
        <v/>
      </c>
      <c r="N370" s="835" t="str">
        <f t="shared" si="28"/>
        <v/>
      </c>
      <c r="O370" s="20"/>
      <c r="P370" s="20"/>
      <c r="Q370" s="20"/>
      <c r="R370" s="20"/>
      <c r="S370" s="20"/>
      <c r="T370" s="21"/>
      <c r="U370" s="21"/>
      <c r="V370" s="21"/>
      <c r="W370" s="7" t="str">
        <f t="shared" si="26"/>
        <v/>
      </c>
      <c r="X370" s="506" t="str">
        <f t="shared" si="27"/>
        <v/>
      </c>
    </row>
    <row r="371" spans="1:24" x14ac:dyDescent="0.25">
      <c r="A371" s="66" t="str">
        <f t="shared" si="29"/>
        <v/>
      </c>
      <c r="B371" s="23" t="str">
        <f t="shared" si="25"/>
        <v/>
      </c>
      <c r="C371" s="15"/>
      <c r="D371" s="16"/>
      <c r="E371" s="17"/>
      <c r="F371" s="18"/>
      <c r="G371" s="18"/>
      <c r="H371" s="19"/>
      <c r="I371" s="15"/>
      <c r="J371" s="20"/>
      <c r="K371" s="15"/>
      <c r="L371" s="15"/>
      <c r="M371" s="531" t="str">
        <f>CONCATENATE(IF(OR(L371=phu!$I$1,L371=phu!$I$2,L371=phu!$I$3),"Cam Thành Nam",""),IF(OR(L371=phu!$I$4,L371=phu!$I$5,L371=phu!$I$6,L371=phu!$I$7,L371=phu!$I$8,L371=phu!$I$9,L371=phu!$I$10,L371=phu!$I$11,L371=phu!$I$12,L371=phu!$I$13,L371=phu!$I$14),"Cam Nghĩa",""),IF(OR(L371=phu!$I$15,L371=phu!$I$16,L371=phu!$I$17,L371=phu!$I$18,L371=phu!$I$19,L371=phu!$I$20,L371=phu!$I$21),"Cam Phúc Bắc",""),IF(OR(L371=phu!$I$22,L371=phu!$I$23,L371=phu!$I$24,L371=phu!$I$25),"Cam Phúc Nam",""),IF(OR(L371=phu!$I$26,L371=phu!$I$27,L371=phu!$I$28,L371=phu!$I$29,L371=phu!$I$30,L371=phu!$I$31),"Cam Phú",""),IF(OR(L371=phu!$I$32,L371=phu!$I$33,L371=phu!$I$34,L371=phu!$I$35,L371=phu!$I$36,L371=phu!$I$37),"Cam Lộc",""),IF(OR(L371=phu!$I$38,L371=phu!$I$39,L371=phu!$I$40,L371=phu!$I$41,L371=phu!$I$42,L371=phu!$I$43,L371=phu!$I$44),"Cam Thuận",""),IF(OR(L371=phu!$I$45,L371=phu!$I$46,L371=phu!$I$47,L371=phu!$I$48,L371=phu!$I$49,L371=phu!$I$50,L371=phu!$I$51,L371=phu!$I$52,L371=phu!$I$53),"Cam Linh",""),IF(OR(L371=phu!$I$54,L371=phu!$I$55,L371=phu!$I$56,L371=phu!$I$57,L371=phu!$I$58,L371=phu!$I$59,L371=phu!$I$60,L371=phu!$I$61,L371=phu!$I$62),"Cam Lợi",""),IF(OR(L371=phu!$I$63,L371=phu!$I$64,L371=phu!$I$65,L371=phu!$I$66,L371=phu!$I$67,L371=phu!$I$68,L371=phu!$I$69,L371=phu!$I$70,L371=phu!$I$71),"Ba Ngòi",""),IF(OR(L371=phu!$I$72,L371=phu!$I$73,L371=phu!$I$74,L371=phu!$I$75,L371=phu!$I$76,L371=phu!$I$77,L371=phu!$I$78),"Cam Phước Đông",""),IF(OR(L371=phu!$I$79,L371=phu!$I$80,L371=phu!$I$81,L371=phu!$I$82,L371=phu!$I$83,L371=phu!$I$84),"Cam Thịnh Đông",""),IF(OR(L371=phu!$I$85,L371=phu!$I$86,L371=phu!$I$87,L371=phu!$I$88),"Cam Thịnh Tây",""),IF(OR(L371=phu!$I$89,L371=phu!$I$90),"Cam Lập",""),IF(OR(L371=phu!$I$91,L371=phu!$I$92,L371=phu!$I$93),"Cam Bình",""),IF(OR(L371=phu!$I$94,L371=phu!$I$95,L371=phu!$I$96,L371=phu!$I$97,L371=phu!$I$98,L371=phu!$I$99,L371=phu!$I$100),"Huyện khác",""),IF(OR(L371=phu!$I$101,L371=phu!$I$102),"Tỉnh khác",""))</f>
        <v/>
      </c>
      <c r="N371" s="835" t="str">
        <f t="shared" si="28"/>
        <v/>
      </c>
      <c r="O371" s="20"/>
      <c r="P371" s="20"/>
      <c r="Q371" s="20"/>
      <c r="R371" s="20"/>
      <c r="S371" s="20"/>
      <c r="T371" s="21"/>
      <c r="U371" s="21"/>
      <c r="V371" s="21"/>
      <c r="W371" s="7" t="str">
        <f t="shared" si="26"/>
        <v/>
      </c>
      <c r="X371" s="506" t="str">
        <f t="shared" si="27"/>
        <v/>
      </c>
    </row>
    <row r="372" spans="1:24" x14ac:dyDescent="0.25">
      <c r="A372" s="66" t="str">
        <f t="shared" si="29"/>
        <v/>
      </c>
      <c r="B372" s="23" t="str">
        <f t="shared" si="25"/>
        <v/>
      </c>
      <c r="C372" s="15"/>
      <c r="D372" s="16"/>
      <c r="E372" s="17"/>
      <c r="F372" s="18"/>
      <c r="G372" s="18"/>
      <c r="H372" s="19"/>
      <c r="I372" s="15"/>
      <c r="J372" s="20"/>
      <c r="K372" s="15"/>
      <c r="L372" s="15"/>
      <c r="M372" s="531" t="str">
        <f>CONCATENATE(IF(OR(L372=phu!$I$1,L372=phu!$I$2,L372=phu!$I$3),"Cam Thành Nam",""),IF(OR(L372=phu!$I$4,L372=phu!$I$5,L372=phu!$I$6,L372=phu!$I$7,L372=phu!$I$8,L372=phu!$I$9,L372=phu!$I$10,L372=phu!$I$11,L372=phu!$I$12,L372=phu!$I$13,L372=phu!$I$14),"Cam Nghĩa",""),IF(OR(L372=phu!$I$15,L372=phu!$I$16,L372=phu!$I$17,L372=phu!$I$18,L372=phu!$I$19,L372=phu!$I$20,L372=phu!$I$21),"Cam Phúc Bắc",""),IF(OR(L372=phu!$I$22,L372=phu!$I$23,L372=phu!$I$24,L372=phu!$I$25),"Cam Phúc Nam",""),IF(OR(L372=phu!$I$26,L372=phu!$I$27,L372=phu!$I$28,L372=phu!$I$29,L372=phu!$I$30,L372=phu!$I$31),"Cam Phú",""),IF(OR(L372=phu!$I$32,L372=phu!$I$33,L372=phu!$I$34,L372=phu!$I$35,L372=phu!$I$36,L372=phu!$I$37),"Cam Lộc",""),IF(OR(L372=phu!$I$38,L372=phu!$I$39,L372=phu!$I$40,L372=phu!$I$41,L372=phu!$I$42,L372=phu!$I$43,L372=phu!$I$44),"Cam Thuận",""),IF(OR(L372=phu!$I$45,L372=phu!$I$46,L372=phu!$I$47,L372=phu!$I$48,L372=phu!$I$49,L372=phu!$I$50,L372=phu!$I$51,L372=phu!$I$52,L372=phu!$I$53),"Cam Linh",""),IF(OR(L372=phu!$I$54,L372=phu!$I$55,L372=phu!$I$56,L372=phu!$I$57,L372=phu!$I$58,L372=phu!$I$59,L372=phu!$I$60,L372=phu!$I$61,L372=phu!$I$62),"Cam Lợi",""),IF(OR(L372=phu!$I$63,L372=phu!$I$64,L372=phu!$I$65,L372=phu!$I$66,L372=phu!$I$67,L372=phu!$I$68,L372=phu!$I$69,L372=phu!$I$70,L372=phu!$I$71),"Ba Ngòi",""),IF(OR(L372=phu!$I$72,L372=phu!$I$73,L372=phu!$I$74,L372=phu!$I$75,L372=phu!$I$76,L372=phu!$I$77,L372=phu!$I$78),"Cam Phước Đông",""),IF(OR(L372=phu!$I$79,L372=phu!$I$80,L372=phu!$I$81,L372=phu!$I$82,L372=phu!$I$83,L372=phu!$I$84),"Cam Thịnh Đông",""),IF(OR(L372=phu!$I$85,L372=phu!$I$86,L372=phu!$I$87,L372=phu!$I$88),"Cam Thịnh Tây",""),IF(OR(L372=phu!$I$89,L372=phu!$I$90),"Cam Lập",""),IF(OR(L372=phu!$I$91,L372=phu!$I$92,L372=phu!$I$93),"Cam Bình",""),IF(OR(L372=phu!$I$94,L372=phu!$I$95,L372=phu!$I$96,L372=phu!$I$97,L372=phu!$I$98,L372=phu!$I$99,L372=phu!$I$100),"Huyện khác",""),IF(OR(L372=phu!$I$101,L372=phu!$I$102),"Tỉnh khác",""))</f>
        <v/>
      </c>
      <c r="N372" s="835" t="str">
        <f t="shared" si="28"/>
        <v/>
      </c>
      <c r="O372" s="20"/>
      <c r="P372" s="20"/>
      <c r="Q372" s="20"/>
      <c r="R372" s="20"/>
      <c r="S372" s="20"/>
      <c r="T372" s="21"/>
      <c r="U372" s="21"/>
      <c r="V372" s="21"/>
      <c r="W372" s="7" t="str">
        <f t="shared" si="26"/>
        <v/>
      </c>
      <c r="X372" s="506" t="str">
        <f t="shared" si="27"/>
        <v/>
      </c>
    </row>
    <row r="373" spans="1:24" x14ac:dyDescent="0.25">
      <c r="A373" s="66" t="str">
        <f t="shared" si="29"/>
        <v/>
      </c>
      <c r="B373" s="23" t="str">
        <f t="shared" si="25"/>
        <v/>
      </c>
      <c r="C373" s="15"/>
      <c r="D373" s="16"/>
      <c r="E373" s="17"/>
      <c r="F373" s="18"/>
      <c r="G373" s="18"/>
      <c r="H373" s="19"/>
      <c r="I373" s="15"/>
      <c r="J373" s="20"/>
      <c r="K373" s="15"/>
      <c r="L373" s="15"/>
      <c r="M373" s="531" t="str">
        <f>CONCATENATE(IF(OR(L373=phu!$I$1,L373=phu!$I$2,L373=phu!$I$3),"Cam Thành Nam",""),IF(OR(L373=phu!$I$4,L373=phu!$I$5,L373=phu!$I$6,L373=phu!$I$7,L373=phu!$I$8,L373=phu!$I$9,L373=phu!$I$10,L373=phu!$I$11,L373=phu!$I$12,L373=phu!$I$13,L373=phu!$I$14),"Cam Nghĩa",""),IF(OR(L373=phu!$I$15,L373=phu!$I$16,L373=phu!$I$17,L373=phu!$I$18,L373=phu!$I$19,L373=phu!$I$20,L373=phu!$I$21),"Cam Phúc Bắc",""),IF(OR(L373=phu!$I$22,L373=phu!$I$23,L373=phu!$I$24,L373=phu!$I$25),"Cam Phúc Nam",""),IF(OR(L373=phu!$I$26,L373=phu!$I$27,L373=phu!$I$28,L373=phu!$I$29,L373=phu!$I$30,L373=phu!$I$31),"Cam Phú",""),IF(OR(L373=phu!$I$32,L373=phu!$I$33,L373=phu!$I$34,L373=phu!$I$35,L373=phu!$I$36,L373=phu!$I$37),"Cam Lộc",""),IF(OR(L373=phu!$I$38,L373=phu!$I$39,L373=phu!$I$40,L373=phu!$I$41,L373=phu!$I$42,L373=phu!$I$43,L373=phu!$I$44),"Cam Thuận",""),IF(OR(L373=phu!$I$45,L373=phu!$I$46,L373=phu!$I$47,L373=phu!$I$48,L373=phu!$I$49,L373=phu!$I$50,L373=phu!$I$51,L373=phu!$I$52,L373=phu!$I$53),"Cam Linh",""),IF(OR(L373=phu!$I$54,L373=phu!$I$55,L373=phu!$I$56,L373=phu!$I$57,L373=phu!$I$58,L373=phu!$I$59,L373=phu!$I$60,L373=phu!$I$61,L373=phu!$I$62),"Cam Lợi",""),IF(OR(L373=phu!$I$63,L373=phu!$I$64,L373=phu!$I$65,L373=phu!$I$66,L373=phu!$I$67,L373=phu!$I$68,L373=phu!$I$69,L373=phu!$I$70,L373=phu!$I$71),"Ba Ngòi",""),IF(OR(L373=phu!$I$72,L373=phu!$I$73,L373=phu!$I$74,L373=phu!$I$75,L373=phu!$I$76,L373=phu!$I$77,L373=phu!$I$78),"Cam Phước Đông",""),IF(OR(L373=phu!$I$79,L373=phu!$I$80,L373=phu!$I$81,L373=phu!$I$82,L373=phu!$I$83,L373=phu!$I$84),"Cam Thịnh Đông",""),IF(OR(L373=phu!$I$85,L373=phu!$I$86,L373=phu!$I$87,L373=phu!$I$88),"Cam Thịnh Tây",""),IF(OR(L373=phu!$I$89,L373=phu!$I$90),"Cam Lập",""),IF(OR(L373=phu!$I$91,L373=phu!$I$92,L373=phu!$I$93),"Cam Bình",""),IF(OR(L373=phu!$I$94,L373=phu!$I$95,L373=phu!$I$96,L373=phu!$I$97,L373=phu!$I$98,L373=phu!$I$99,L373=phu!$I$100),"Huyện khác",""),IF(OR(L373=phu!$I$101,L373=phu!$I$102),"Tỉnh khác",""))</f>
        <v/>
      </c>
      <c r="N373" s="835" t="str">
        <f t="shared" si="28"/>
        <v/>
      </c>
      <c r="O373" s="20"/>
      <c r="P373" s="20"/>
      <c r="Q373" s="20"/>
      <c r="R373" s="20"/>
      <c r="S373" s="20"/>
      <c r="T373" s="21"/>
      <c r="U373" s="21"/>
      <c r="V373" s="21"/>
      <c r="W373" s="7" t="str">
        <f t="shared" si="26"/>
        <v/>
      </c>
      <c r="X373" s="506" t="str">
        <f t="shared" si="27"/>
        <v/>
      </c>
    </row>
    <row r="374" spans="1:24" x14ac:dyDescent="0.25">
      <c r="A374" s="66" t="str">
        <f t="shared" si="29"/>
        <v/>
      </c>
      <c r="B374" s="23" t="str">
        <f t="shared" si="25"/>
        <v/>
      </c>
      <c r="C374" s="15"/>
      <c r="D374" s="16"/>
      <c r="E374" s="17"/>
      <c r="F374" s="18"/>
      <c r="G374" s="18"/>
      <c r="H374" s="19"/>
      <c r="I374" s="15"/>
      <c r="J374" s="20"/>
      <c r="K374" s="15"/>
      <c r="L374" s="15"/>
      <c r="M374" s="531" t="str">
        <f>CONCATENATE(IF(OR(L374=phu!$I$1,L374=phu!$I$2,L374=phu!$I$3),"Cam Thành Nam",""),IF(OR(L374=phu!$I$4,L374=phu!$I$5,L374=phu!$I$6,L374=phu!$I$7,L374=phu!$I$8,L374=phu!$I$9,L374=phu!$I$10,L374=phu!$I$11,L374=phu!$I$12,L374=phu!$I$13,L374=phu!$I$14),"Cam Nghĩa",""),IF(OR(L374=phu!$I$15,L374=phu!$I$16,L374=phu!$I$17,L374=phu!$I$18,L374=phu!$I$19,L374=phu!$I$20,L374=phu!$I$21),"Cam Phúc Bắc",""),IF(OR(L374=phu!$I$22,L374=phu!$I$23,L374=phu!$I$24,L374=phu!$I$25),"Cam Phúc Nam",""),IF(OR(L374=phu!$I$26,L374=phu!$I$27,L374=phu!$I$28,L374=phu!$I$29,L374=phu!$I$30,L374=phu!$I$31),"Cam Phú",""),IF(OR(L374=phu!$I$32,L374=phu!$I$33,L374=phu!$I$34,L374=phu!$I$35,L374=phu!$I$36,L374=phu!$I$37),"Cam Lộc",""),IF(OR(L374=phu!$I$38,L374=phu!$I$39,L374=phu!$I$40,L374=phu!$I$41,L374=phu!$I$42,L374=phu!$I$43,L374=phu!$I$44),"Cam Thuận",""),IF(OR(L374=phu!$I$45,L374=phu!$I$46,L374=phu!$I$47,L374=phu!$I$48,L374=phu!$I$49,L374=phu!$I$50,L374=phu!$I$51,L374=phu!$I$52,L374=phu!$I$53),"Cam Linh",""),IF(OR(L374=phu!$I$54,L374=phu!$I$55,L374=phu!$I$56,L374=phu!$I$57,L374=phu!$I$58,L374=phu!$I$59,L374=phu!$I$60,L374=phu!$I$61,L374=phu!$I$62),"Cam Lợi",""),IF(OR(L374=phu!$I$63,L374=phu!$I$64,L374=phu!$I$65,L374=phu!$I$66,L374=phu!$I$67,L374=phu!$I$68,L374=phu!$I$69,L374=phu!$I$70,L374=phu!$I$71),"Ba Ngòi",""),IF(OR(L374=phu!$I$72,L374=phu!$I$73,L374=phu!$I$74,L374=phu!$I$75,L374=phu!$I$76,L374=phu!$I$77,L374=phu!$I$78),"Cam Phước Đông",""),IF(OR(L374=phu!$I$79,L374=phu!$I$80,L374=phu!$I$81,L374=phu!$I$82,L374=phu!$I$83,L374=phu!$I$84),"Cam Thịnh Đông",""),IF(OR(L374=phu!$I$85,L374=phu!$I$86,L374=phu!$I$87,L374=phu!$I$88),"Cam Thịnh Tây",""),IF(OR(L374=phu!$I$89,L374=phu!$I$90),"Cam Lập",""),IF(OR(L374=phu!$I$91,L374=phu!$I$92,L374=phu!$I$93),"Cam Bình",""),IF(OR(L374=phu!$I$94,L374=phu!$I$95,L374=phu!$I$96,L374=phu!$I$97,L374=phu!$I$98,L374=phu!$I$99,L374=phu!$I$100),"Huyện khác",""),IF(OR(L374=phu!$I$101,L374=phu!$I$102),"Tỉnh khác",""))</f>
        <v/>
      </c>
      <c r="N374" s="835" t="str">
        <f t="shared" si="28"/>
        <v/>
      </c>
      <c r="O374" s="20"/>
      <c r="P374" s="20"/>
      <c r="Q374" s="20"/>
      <c r="R374" s="20"/>
      <c r="S374" s="20"/>
      <c r="T374" s="21"/>
      <c r="U374" s="21"/>
      <c r="V374" s="21"/>
      <c r="W374" s="7" t="str">
        <f t="shared" si="26"/>
        <v/>
      </c>
      <c r="X374" s="506" t="str">
        <f t="shared" si="27"/>
        <v/>
      </c>
    </row>
    <row r="375" spans="1:24" x14ac:dyDescent="0.25">
      <c r="A375" s="66" t="str">
        <f t="shared" si="29"/>
        <v/>
      </c>
      <c r="B375" s="23" t="str">
        <f t="shared" si="25"/>
        <v/>
      </c>
      <c r="C375" s="15"/>
      <c r="D375" s="16"/>
      <c r="E375" s="17"/>
      <c r="F375" s="18"/>
      <c r="G375" s="18"/>
      <c r="H375" s="19"/>
      <c r="I375" s="15"/>
      <c r="J375" s="20"/>
      <c r="K375" s="15"/>
      <c r="L375" s="15"/>
      <c r="M375" s="531" t="str">
        <f>CONCATENATE(IF(OR(L375=phu!$I$1,L375=phu!$I$2,L375=phu!$I$3),"Cam Thành Nam",""),IF(OR(L375=phu!$I$4,L375=phu!$I$5,L375=phu!$I$6,L375=phu!$I$7,L375=phu!$I$8,L375=phu!$I$9,L375=phu!$I$10,L375=phu!$I$11,L375=phu!$I$12,L375=phu!$I$13,L375=phu!$I$14),"Cam Nghĩa",""),IF(OR(L375=phu!$I$15,L375=phu!$I$16,L375=phu!$I$17,L375=phu!$I$18,L375=phu!$I$19,L375=phu!$I$20,L375=phu!$I$21),"Cam Phúc Bắc",""),IF(OR(L375=phu!$I$22,L375=phu!$I$23,L375=phu!$I$24,L375=phu!$I$25),"Cam Phúc Nam",""),IF(OR(L375=phu!$I$26,L375=phu!$I$27,L375=phu!$I$28,L375=phu!$I$29,L375=phu!$I$30,L375=phu!$I$31),"Cam Phú",""),IF(OR(L375=phu!$I$32,L375=phu!$I$33,L375=phu!$I$34,L375=phu!$I$35,L375=phu!$I$36,L375=phu!$I$37),"Cam Lộc",""),IF(OR(L375=phu!$I$38,L375=phu!$I$39,L375=phu!$I$40,L375=phu!$I$41,L375=phu!$I$42,L375=phu!$I$43,L375=phu!$I$44),"Cam Thuận",""),IF(OR(L375=phu!$I$45,L375=phu!$I$46,L375=phu!$I$47,L375=phu!$I$48,L375=phu!$I$49,L375=phu!$I$50,L375=phu!$I$51,L375=phu!$I$52,L375=phu!$I$53),"Cam Linh",""),IF(OR(L375=phu!$I$54,L375=phu!$I$55,L375=phu!$I$56,L375=phu!$I$57,L375=phu!$I$58,L375=phu!$I$59,L375=phu!$I$60,L375=phu!$I$61,L375=phu!$I$62),"Cam Lợi",""),IF(OR(L375=phu!$I$63,L375=phu!$I$64,L375=phu!$I$65,L375=phu!$I$66,L375=phu!$I$67,L375=phu!$I$68,L375=phu!$I$69,L375=phu!$I$70,L375=phu!$I$71),"Ba Ngòi",""),IF(OR(L375=phu!$I$72,L375=phu!$I$73,L375=phu!$I$74,L375=phu!$I$75,L375=phu!$I$76,L375=phu!$I$77,L375=phu!$I$78),"Cam Phước Đông",""),IF(OR(L375=phu!$I$79,L375=phu!$I$80,L375=phu!$I$81,L375=phu!$I$82,L375=phu!$I$83,L375=phu!$I$84),"Cam Thịnh Đông",""),IF(OR(L375=phu!$I$85,L375=phu!$I$86,L375=phu!$I$87,L375=phu!$I$88),"Cam Thịnh Tây",""),IF(OR(L375=phu!$I$89,L375=phu!$I$90),"Cam Lập",""),IF(OR(L375=phu!$I$91,L375=phu!$I$92,L375=phu!$I$93),"Cam Bình",""),IF(OR(L375=phu!$I$94,L375=phu!$I$95,L375=phu!$I$96,L375=phu!$I$97,L375=phu!$I$98,L375=phu!$I$99,L375=phu!$I$100),"Huyện khác",""),IF(OR(L375=phu!$I$101,L375=phu!$I$102),"Tỉnh khác",""))</f>
        <v/>
      </c>
      <c r="N375" s="835" t="str">
        <f t="shared" si="28"/>
        <v/>
      </c>
      <c r="O375" s="20"/>
      <c r="P375" s="20"/>
      <c r="Q375" s="20"/>
      <c r="R375" s="20"/>
      <c r="S375" s="20"/>
      <c r="T375" s="21"/>
      <c r="U375" s="21"/>
      <c r="V375" s="21"/>
      <c r="W375" s="7" t="str">
        <f t="shared" si="26"/>
        <v/>
      </c>
      <c r="X375" s="506" t="str">
        <f t="shared" si="27"/>
        <v/>
      </c>
    </row>
    <row r="376" spans="1:24" x14ac:dyDescent="0.25">
      <c r="A376" s="66" t="str">
        <f t="shared" si="29"/>
        <v/>
      </c>
      <c r="B376" s="23" t="str">
        <f t="shared" si="25"/>
        <v/>
      </c>
      <c r="C376" s="15"/>
      <c r="D376" s="16"/>
      <c r="E376" s="17"/>
      <c r="F376" s="18"/>
      <c r="G376" s="18"/>
      <c r="H376" s="19"/>
      <c r="I376" s="26"/>
      <c r="J376" s="20"/>
      <c r="K376" s="15"/>
      <c r="L376" s="15"/>
      <c r="M376" s="531" t="str">
        <f>CONCATENATE(IF(OR(L376=phu!$I$1,L376=phu!$I$2,L376=phu!$I$3),"Cam Thành Nam",""),IF(OR(L376=phu!$I$4,L376=phu!$I$5,L376=phu!$I$6,L376=phu!$I$7,L376=phu!$I$8,L376=phu!$I$9,L376=phu!$I$10,L376=phu!$I$11,L376=phu!$I$12,L376=phu!$I$13,L376=phu!$I$14),"Cam Nghĩa",""),IF(OR(L376=phu!$I$15,L376=phu!$I$16,L376=phu!$I$17,L376=phu!$I$18,L376=phu!$I$19,L376=phu!$I$20,L376=phu!$I$21),"Cam Phúc Bắc",""),IF(OR(L376=phu!$I$22,L376=phu!$I$23,L376=phu!$I$24,L376=phu!$I$25),"Cam Phúc Nam",""),IF(OR(L376=phu!$I$26,L376=phu!$I$27,L376=phu!$I$28,L376=phu!$I$29,L376=phu!$I$30,L376=phu!$I$31),"Cam Phú",""),IF(OR(L376=phu!$I$32,L376=phu!$I$33,L376=phu!$I$34,L376=phu!$I$35,L376=phu!$I$36,L376=phu!$I$37),"Cam Lộc",""),IF(OR(L376=phu!$I$38,L376=phu!$I$39,L376=phu!$I$40,L376=phu!$I$41,L376=phu!$I$42,L376=phu!$I$43,L376=phu!$I$44),"Cam Thuận",""),IF(OR(L376=phu!$I$45,L376=phu!$I$46,L376=phu!$I$47,L376=phu!$I$48,L376=phu!$I$49,L376=phu!$I$50,L376=phu!$I$51,L376=phu!$I$52,L376=phu!$I$53),"Cam Linh",""),IF(OR(L376=phu!$I$54,L376=phu!$I$55,L376=phu!$I$56,L376=phu!$I$57,L376=phu!$I$58,L376=phu!$I$59,L376=phu!$I$60,L376=phu!$I$61,L376=phu!$I$62),"Cam Lợi",""),IF(OR(L376=phu!$I$63,L376=phu!$I$64,L376=phu!$I$65,L376=phu!$I$66,L376=phu!$I$67,L376=phu!$I$68,L376=phu!$I$69,L376=phu!$I$70,L376=phu!$I$71),"Ba Ngòi",""),IF(OR(L376=phu!$I$72,L376=phu!$I$73,L376=phu!$I$74,L376=phu!$I$75,L376=phu!$I$76,L376=phu!$I$77,L376=phu!$I$78),"Cam Phước Đông",""),IF(OR(L376=phu!$I$79,L376=phu!$I$80,L376=phu!$I$81,L376=phu!$I$82,L376=phu!$I$83,L376=phu!$I$84),"Cam Thịnh Đông",""),IF(OR(L376=phu!$I$85,L376=phu!$I$86,L376=phu!$I$87,L376=phu!$I$88),"Cam Thịnh Tây",""),IF(OR(L376=phu!$I$89,L376=phu!$I$90),"Cam Lập",""),IF(OR(L376=phu!$I$91,L376=phu!$I$92,L376=phu!$I$93),"Cam Bình",""),IF(OR(L376=phu!$I$94,L376=phu!$I$95,L376=phu!$I$96,L376=phu!$I$97,L376=phu!$I$98,L376=phu!$I$99,L376=phu!$I$100),"Huyện khác",""),IF(OR(L376=phu!$I$101,L376=phu!$I$102),"Tỉnh khác",""))</f>
        <v/>
      </c>
      <c r="N376" s="835" t="str">
        <f t="shared" si="28"/>
        <v/>
      </c>
      <c r="O376" s="20"/>
      <c r="P376" s="20"/>
      <c r="Q376" s="20"/>
      <c r="R376" s="20"/>
      <c r="S376" s="20"/>
      <c r="T376" s="21"/>
      <c r="U376" s="21"/>
      <c r="V376" s="21"/>
      <c r="W376" s="7" t="str">
        <f t="shared" si="26"/>
        <v/>
      </c>
      <c r="X376" s="506" t="str">
        <f t="shared" si="27"/>
        <v/>
      </c>
    </row>
    <row r="377" spans="1:24" x14ac:dyDescent="0.25">
      <c r="A377" s="66" t="str">
        <f t="shared" si="29"/>
        <v/>
      </c>
      <c r="B377" s="23" t="str">
        <f t="shared" si="25"/>
        <v/>
      </c>
      <c r="C377" s="15"/>
      <c r="D377" s="16"/>
      <c r="E377" s="17"/>
      <c r="F377" s="18"/>
      <c r="G377" s="18"/>
      <c r="H377" s="19"/>
      <c r="I377" s="15"/>
      <c r="J377" s="20"/>
      <c r="K377" s="15"/>
      <c r="L377" s="15"/>
      <c r="M377" s="531" t="str">
        <f>CONCATENATE(IF(OR(L377=phu!$I$1,L377=phu!$I$2,L377=phu!$I$3),"Cam Thành Nam",""),IF(OR(L377=phu!$I$4,L377=phu!$I$5,L377=phu!$I$6,L377=phu!$I$7,L377=phu!$I$8,L377=phu!$I$9,L377=phu!$I$10,L377=phu!$I$11,L377=phu!$I$12,L377=phu!$I$13,L377=phu!$I$14),"Cam Nghĩa",""),IF(OR(L377=phu!$I$15,L377=phu!$I$16,L377=phu!$I$17,L377=phu!$I$18,L377=phu!$I$19,L377=phu!$I$20,L377=phu!$I$21),"Cam Phúc Bắc",""),IF(OR(L377=phu!$I$22,L377=phu!$I$23,L377=phu!$I$24,L377=phu!$I$25),"Cam Phúc Nam",""),IF(OR(L377=phu!$I$26,L377=phu!$I$27,L377=phu!$I$28,L377=phu!$I$29,L377=phu!$I$30,L377=phu!$I$31),"Cam Phú",""),IF(OR(L377=phu!$I$32,L377=phu!$I$33,L377=phu!$I$34,L377=phu!$I$35,L377=phu!$I$36,L377=phu!$I$37),"Cam Lộc",""),IF(OR(L377=phu!$I$38,L377=phu!$I$39,L377=phu!$I$40,L377=phu!$I$41,L377=phu!$I$42,L377=phu!$I$43,L377=phu!$I$44),"Cam Thuận",""),IF(OR(L377=phu!$I$45,L377=phu!$I$46,L377=phu!$I$47,L377=phu!$I$48,L377=phu!$I$49,L377=phu!$I$50,L377=phu!$I$51,L377=phu!$I$52,L377=phu!$I$53),"Cam Linh",""),IF(OR(L377=phu!$I$54,L377=phu!$I$55,L377=phu!$I$56,L377=phu!$I$57,L377=phu!$I$58,L377=phu!$I$59,L377=phu!$I$60,L377=phu!$I$61,L377=phu!$I$62),"Cam Lợi",""),IF(OR(L377=phu!$I$63,L377=phu!$I$64,L377=phu!$I$65,L377=phu!$I$66,L377=phu!$I$67,L377=phu!$I$68,L377=phu!$I$69,L377=phu!$I$70,L377=phu!$I$71),"Ba Ngòi",""),IF(OR(L377=phu!$I$72,L377=phu!$I$73,L377=phu!$I$74,L377=phu!$I$75,L377=phu!$I$76,L377=phu!$I$77,L377=phu!$I$78),"Cam Phước Đông",""),IF(OR(L377=phu!$I$79,L377=phu!$I$80,L377=phu!$I$81,L377=phu!$I$82,L377=phu!$I$83,L377=phu!$I$84),"Cam Thịnh Đông",""),IF(OR(L377=phu!$I$85,L377=phu!$I$86,L377=phu!$I$87,L377=phu!$I$88),"Cam Thịnh Tây",""),IF(OR(L377=phu!$I$89,L377=phu!$I$90),"Cam Lập",""),IF(OR(L377=phu!$I$91,L377=phu!$I$92,L377=phu!$I$93),"Cam Bình",""),IF(OR(L377=phu!$I$94,L377=phu!$I$95,L377=phu!$I$96,L377=phu!$I$97,L377=phu!$I$98,L377=phu!$I$99,L377=phu!$I$100),"Huyện khác",""),IF(OR(L377=phu!$I$101,L377=phu!$I$102),"Tỉnh khác",""))</f>
        <v/>
      </c>
      <c r="N377" s="835" t="str">
        <f t="shared" si="28"/>
        <v/>
      </c>
      <c r="O377" s="20"/>
      <c r="P377" s="20"/>
      <c r="Q377" s="20"/>
      <c r="R377" s="20"/>
      <c r="S377" s="20"/>
      <c r="T377" s="21"/>
      <c r="U377" s="21"/>
      <c r="V377" s="21"/>
      <c r="W377" s="7" t="str">
        <f t="shared" si="26"/>
        <v/>
      </c>
      <c r="X377" s="506" t="str">
        <f t="shared" si="27"/>
        <v/>
      </c>
    </row>
    <row r="378" spans="1:24" x14ac:dyDescent="0.25">
      <c r="A378" s="66" t="str">
        <f t="shared" si="29"/>
        <v/>
      </c>
      <c r="B378" s="23" t="str">
        <f t="shared" si="25"/>
        <v/>
      </c>
      <c r="C378" s="15"/>
      <c r="D378" s="16"/>
      <c r="E378" s="17"/>
      <c r="F378" s="18"/>
      <c r="G378" s="18"/>
      <c r="H378" s="19"/>
      <c r="I378" s="27"/>
      <c r="J378" s="20"/>
      <c r="K378" s="15"/>
      <c r="L378" s="15"/>
      <c r="M378" s="531" t="str">
        <f>CONCATENATE(IF(OR(L378=phu!$I$1,L378=phu!$I$2,L378=phu!$I$3),"Cam Thành Nam",""),IF(OR(L378=phu!$I$4,L378=phu!$I$5,L378=phu!$I$6,L378=phu!$I$7,L378=phu!$I$8,L378=phu!$I$9,L378=phu!$I$10,L378=phu!$I$11,L378=phu!$I$12,L378=phu!$I$13,L378=phu!$I$14),"Cam Nghĩa",""),IF(OR(L378=phu!$I$15,L378=phu!$I$16,L378=phu!$I$17,L378=phu!$I$18,L378=phu!$I$19,L378=phu!$I$20,L378=phu!$I$21),"Cam Phúc Bắc",""),IF(OR(L378=phu!$I$22,L378=phu!$I$23,L378=phu!$I$24,L378=phu!$I$25),"Cam Phúc Nam",""),IF(OR(L378=phu!$I$26,L378=phu!$I$27,L378=phu!$I$28,L378=phu!$I$29,L378=phu!$I$30,L378=phu!$I$31),"Cam Phú",""),IF(OR(L378=phu!$I$32,L378=phu!$I$33,L378=phu!$I$34,L378=phu!$I$35,L378=phu!$I$36,L378=phu!$I$37),"Cam Lộc",""),IF(OR(L378=phu!$I$38,L378=phu!$I$39,L378=phu!$I$40,L378=phu!$I$41,L378=phu!$I$42,L378=phu!$I$43,L378=phu!$I$44),"Cam Thuận",""),IF(OR(L378=phu!$I$45,L378=phu!$I$46,L378=phu!$I$47,L378=phu!$I$48,L378=phu!$I$49,L378=phu!$I$50,L378=phu!$I$51,L378=phu!$I$52,L378=phu!$I$53),"Cam Linh",""),IF(OR(L378=phu!$I$54,L378=phu!$I$55,L378=phu!$I$56,L378=phu!$I$57,L378=phu!$I$58,L378=phu!$I$59,L378=phu!$I$60,L378=phu!$I$61,L378=phu!$I$62),"Cam Lợi",""),IF(OR(L378=phu!$I$63,L378=phu!$I$64,L378=phu!$I$65,L378=phu!$I$66,L378=phu!$I$67,L378=phu!$I$68,L378=phu!$I$69,L378=phu!$I$70,L378=phu!$I$71),"Ba Ngòi",""),IF(OR(L378=phu!$I$72,L378=phu!$I$73,L378=phu!$I$74,L378=phu!$I$75,L378=phu!$I$76,L378=phu!$I$77,L378=phu!$I$78),"Cam Phước Đông",""),IF(OR(L378=phu!$I$79,L378=phu!$I$80,L378=phu!$I$81,L378=phu!$I$82,L378=phu!$I$83,L378=phu!$I$84),"Cam Thịnh Đông",""),IF(OR(L378=phu!$I$85,L378=phu!$I$86,L378=phu!$I$87,L378=phu!$I$88),"Cam Thịnh Tây",""),IF(OR(L378=phu!$I$89,L378=phu!$I$90),"Cam Lập",""),IF(OR(L378=phu!$I$91,L378=phu!$I$92,L378=phu!$I$93),"Cam Bình",""),IF(OR(L378=phu!$I$94,L378=phu!$I$95,L378=phu!$I$96,L378=phu!$I$97,L378=phu!$I$98,L378=phu!$I$99,L378=phu!$I$100),"Huyện khác",""),IF(OR(L378=phu!$I$101,L378=phu!$I$102),"Tỉnh khác",""))</f>
        <v/>
      </c>
      <c r="N378" s="835" t="str">
        <f t="shared" si="28"/>
        <v/>
      </c>
      <c r="O378" s="20"/>
      <c r="P378" s="20"/>
      <c r="Q378" s="20"/>
      <c r="R378" s="20"/>
      <c r="S378" s="20"/>
      <c r="T378" s="21"/>
      <c r="U378" s="21"/>
      <c r="V378" s="21"/>
      <c r="W378" s="7" t="str">
        <f t="shared" si="26"/>
        <v/>
      </c>
      <c r="X378" s="506" t="str">
        <f t="shared" si="27"/>
        <v/>
      </c>
    </row>
    <row r="379" spans="1:24" x14ac:dyDescent="0.25">
      <c r="A379" s="66" t="str">
        <f t="shared" si="29"/>
        <v/>
      </c>
      <c r="B379" s="23" t="str">
        <f t="shared" si="25"/>
        <v/>
      </c>
      <c r="C379" s="15"/>
      <c r="D379" s="16"/>
      <c r="E379" s="17"/>
      <c r="F379" s="18"/>
      <c r="G379" s="18"/>
      <c r="H379" s="19"/>
      <c r="I379" s="15"/>
      <c r="J379" s="20"/>
      <c r="K379" s="15"/>
      <c r="L379" s="15"/>
      <c r="M379" s="531" t="str">
        <f>CONCATENATE(IF(OR(L379=phu!$I$1,L379=phu!$I$2,L379=phu!$I$3),"Cam Thành Nam",""),IF(OR(L379=phu!$I$4,L379=phu!$I$5,L379=phu!$I$6,L379=phu!$I$7,L379=phu!$I$8,L379=phu!$I$9,L379=phu!$I$10,L379=phu!$I$11,L379=phu!$I$12,L379=phu!$I$13,L379=phu!$I$14),"Cam Nghĩa",""),IF(OR(L379=phu!$I$15,L379=phu!$I$16,L379=phu!$I$17,L379=phu!$I$18,L379=phu!$I$19,L379=phu!$I$20,L379=phu!$I$21),"Cam Phúc Bắc",""),IF(OR(L379=phu!$I$22,L379=phu!$I$23,L379=phu!$I$24,L379=phu!$I$25),"Cam Phúc Nam",""),IF(OR(L379=phu!$I$26,L379=phu!$I$27,L379=phu!$I$28,L379=phu!$I$29,L379=phu!$I$30,L379=phu!$I$31),"Cam Phú",""),IF(OR(L379=phu!$I$32,L379=phu!$I$33,L379=phu!$I$34,L379=phu!$I$35,L379=phu!$I$36,L379=phu!$I$37),"Cam Lộc",""),IF(OR(L379=phu!$I$38,L379=phu!$I$39,L379=phu!$I$40,L379=phu!$I$41,L379=phu!$I$42,L379=phu!$I$43,L379=phu!$I$44),"Cam Thuận",""),IF(OR(L379=phu!$I$45,L379=phu!$I$46,L379=phu!$I$47,L379=phu!$I$48,L379=phu!$I$49,L379=phu!$I$50,L379=phu!$I$51,L379=phu!$I$52,L379=phu!$I$53),"Cam Linh",""),IF(OR(L379=phu!$I$54,L379=phu!$I$55,L379=phu!$I$56,L379=phu!$I$57,L379=phu!$I$58,L379=phu!$I$59,L379=phu!$I$60,L379=phu!$I$61,L379=phu!$I$62),"Cam Lợi",""),IF(OR(L379=phu!$I$63,L379=phu!$I$64,L379=phu!$I$65,L379=phu!$I$66,L379=phu!$I$67,L379=phu!$I$68,L379=phu!$I$69,L379=phu!$I$70,L379=phu!$I$71),"Ba Ngòi",""),IF(OR(L379=phu!$I$72,L379=phu!$I$73,L379=phu!$I$74,L379=phu!$I$75,L379=phu!$I$76,L379=phu!$I$77,L379=phu!$I$78),"Cam Phước Đông",""),IF(OR(L379=phu!$I$79,L379=phu!$I$80,L379=phu!$I$81,L379=phu!$I$82,L379=phu!$I$83,L379=phu!$I$84),"Cam Thịnh Đông",""),IF(OR(L379=phu!$I$85,L379=phu!$I$86,L379=phu!$I$87,L379=phu!$I$88),"Cam Thịnh Tây",""),IF(OR(L379=phu!$I$89,L379=phu!$I$90),"Cam Lập",""),IF(OR(L379=phu!$I$91,L379=phu!$I$92,L379=phu!$I$93),"Cam Bình",""),IF(OR(L379=phu!$I$94,L379=phu!$I$95,L379=phu!$I$96,L379=phu!$I$97,L379=phu!$I$98,L379=phu!$I$99,L379=phu!$I$100),"Huyện khác",""),IF(OR(L379=phu!$I$101,L379=phu!$I$102),"Tỉnh khác",""))</f>
        <v/>
      </c>
      <c r="N379" s="835" t="str">
        <f t="shared" si="28"/>
        <v/>
      </c>
      <c r="O379" s="20"/>
      <c r="P379" s="20"/>
      <c r="Q379" s="20"/>
      <c r="R379" s="20"/>
      <c r="S379" s="20"/>
      <c r="T379" s="21"/>
      <c r="U379" s="21"/>
      <c r="V379" s="21"/>
      <c r="W379" s="7" t="str">
        <f t="shared" si="26"/>
        <v/>
      </c>
      <c r="X379" s="506" t="str">
        <f t="shared" si="27"/>
        <v/>
      </c>
    </row>
    <row r="380" spans="1:24" x14ac:dyDescent="0.25">
      <c r="A380" s="66" t="str">
        <f t="shared" si="29"/>
        <v/>
      </c>
      <c r="B380" s="23" t="str">
        <f t="shared" si="25"/>
        <v/>
      </c>
      <c r="C380" s="15"/>
      <c r="D380" s="16"/>
      <c r="E380" s="17"/>
      <c r="F380" s="18"/>
      <c r="G380" s="18"/>
      <c r="H380" s="19"/>
      <c r="I380" s="15"/>
      <c r="J380" s="20"/>
      <c r="K380" s="15"/>
      <c r="L380" s="15"/>
      <c r="M380" s="531" t="str">
        <f>CONCATENATE(IF(OR(L380=phu!$I$1,L380=phu!$I$2,L380=phu!$I$3),"Cam Thành Nam",""),IF(OR(L380=phu!$I$4,L380=phu!$I$5,L380=phu!$I$6,L380=phu!$I$7,L380=phu!$I$8,L380=phu!$I$9,L380=phu!$I$10,L380=phu!$I$11,L380=phu!$I$12,L380=phu!$I$13,L380=phu!$I$14),"Cam Nghĩa",""),IF(OR(L380=phu!$I$15,L380=phu!$I$16,L380=phu!$I$17,L380=phu!$I$18,L380=phu!$I$19,L380=phu!$I$20,L380=phu!$I$21),"Cam Phúc Bắc",""),IF(OR(L380=phu!$I$22,L380=phu!$I$23,L380=phu!$I$24,L380=phu!$I$25),"Cam Phúc Nam",""),IF(OR(L380=phu!$I$26,L380=phu!$I$27,L380=phu!$I$28,L380=phu!$I$29,L380=phu!$I$30,L380=phu!$I$31),"Cam Phú",""),IF(OR(L380=phu!$I$32,L380=phu!$I$33,L380=phu!$I$34,L380=phu!$I$35,L380=phu!$I$36,L380=phu!$I$37),"Cam Lộc",""),IF(OR(L380=phu!$I$38,L380=phu!$I$39,L380=phu!$I$40,L380=phu!$I$41,L380=phu!$I$42,L380=phu!$I$43,L380=phu!$I$44),"Cam Thuận",""),IF(OR(L380=phu!$I$45,L380=phu!$I$46,L380=phu!$I$47,L380=phu!$I$48,L380=phu!$I$49,L380=phu!$I$50,L380=phu!$I$51,L380=phu!$I$52,L380=phu!$I$53),"Cam Linh",""),IF(OR(L380=phu!$I$54,L380=phu!$I$55,L380=phu!$I$56,L380=phu!$I$57,L380=phu!$I$58,L380=phu!$I$59,L380=phu!$I$60,L380=phu!$I$61,L380=phu!$I$62),"Cam Lợi",""),IF(OR(L380=phu!$I$63,L380=phu!$I$64,L380=phu!$I$65,L380=phu!$I$66,L380=phu!$I$67,L380=phu!$I$68,L380=phu!$I$69,L380=phu!$I$70,L380=phu!$I$71),"Ba Ngòi",""),IF(OR(L380=phu!$I$72,L380=phu!$I$73,L380=phu!$I$74,L380=phu!$I$75,L380=phu!$I$76,L380=phu!$I$77,L380=phu!$I$78),"Cam Phước Đông",""),IF(OR(L380=phu!$I$79,L380=phu!$I$80,L380=phu!$I$81,L380=phu!$I$82,L380=phu!$I$83,L380=phu!$I$84),"Cam Thịnh Đông",""),IF(OR(L380=phu!$I$85,L380=phu!$I$86,L380=phu!$I$87,L380=phu!$I$88),"Cam Thịnh Tây",""),IF(OR(L380=phu!$I$89,L380=phu!$I$90),"Cam Lập",""),IF(OR(L380=phu!$I$91,L380=phu!$I$92,L380=phu!$I$93),"Cam Bình",""),IF(OR(L380=phu!$I$94,L380=phu!$I$95,L380=phu!$I$96,L380=phu!$I$97,L380=phu!$I$98,L380=phu!$I$99,L380=phu!$I$100),"Huyện khác",""),IF(OR(L380=phu!$I$101,L380=phu!$I$102),"Tỉnh khác",""))</f>
        <v/>
      </c>
      <c r="N380" s="835" t="str">
        <f t="shared" si="28"/>
        <v/>
      </c>
      <c r="O380" s="20"/>
      <c r="P380" s="20"/>
      <c r="Q380" s="20"/>
      <c r="R380" s="20"/>
      <c r="S380" s="20"/>
      <c r="T380" s="21"/>
      <c r="U380" s="21"/>
      <c r="V380" s="21"/>
      <c r="W380" s="7" t="str">
        <f t="shared" si="26"/>
        <v/>
      </c>
      <c r="X380" s="506" t="str">
        <f t="shared" si="27"/>
        <v/>
      </c>
    </row>
    <row r="381" spans="1:24" x14ac:dyDescent="0.25">
      <c r="A381" s="66" t="str">
        <f t="shared" si="29"/>
        <v/>
      </c>
      <c r="B381" s="23" t="str">
        <f t="shared" si="25"/>
        <v/>
      </c>
      <c r="C381" s="15"/>
      <c r="D381" s="16"/>
      <c r="E381" s="17"/>
      <c r="F381" s="18"/>
      <c r="G381" s="18"/>
      <c r="H381" s="19"/>
      <c r="I381" s="15"/>
      <c r="J381" s="20"/>
      <c r="K381" s="15"/>
      <c r="L381" s="15"/>
      <c r="M381" s="531" t="str">
        <f>CONCATENATE(IF(OR(L381=phu!$I$1,L381=phu!$I$2,L381=phu!$I$3),"Cam Thành Nam",""),IF(OR(L381=phu!$I$4,L381=phu!$I$5,L381=phu!$I$6,L381=phu!$I$7,L381=phu!$I$8,L381=phu!$I$9,L381=phu!$I$10,L381=phu!$I$11,L381=phu!$I$12,L381=phu!$I$13,L381=phu!$I$14),"Cam Nghĩa",""),IF(OR(L381=phu!$I$15,L381=phu!$I$16,L381=phu!$I$17,L381=phu!$I$18,L381=phu!$I$19,L381=phu!$I$20,L381=phu!$I$21),"Cam Phúc Bắc",""),IF(OR(L381=phu!$I$22,L381=phu!$I$23,L381=phu!$I$24,L381=phu!$I$25),"Cam Phúc Nam",""),IF(OR(L381=phu!$I$26,L381=phu!$I$27,L381=phu!$I$28,L381=phu!$I$29,L381=phu!$I$30,L381=phu!$I$31),"Cam Phú",""),IF(OR(L381=phu!$I$32,L381=phu!$I$33,L381=phu!$I$34,L381=phu!$I$35,L381=phu!$I$36,L381=phu!$I$37),"Cam Lộc",""),IF(OR(L381=phu!$I$38,L381=phu!$I$39,L381=phu!$I$40,L381=phu!$I$41,L381=phu!$I$42,L381=phu!$I$43,L381=phu!$I$44),"Cam Thuận",""),IF(OR(L381=phu!$I$45,L381=phu!$I$46,L381=phu!$I$47,L381=phu!$I$48,L381=phu!$I$49,L381=phu!$I$50,L381=phu!$I$51,L381=phu!$I$52,L381=phu!$I$53),"Cam Linh",""),IF(OR(L381=phu!$I$54,L381=phu!$I$55,L381=phu!$I$56,L381=phu!$I$57,L381=phu!$I$58,L381=phu!$I$59,L381=phu!$I$60,L381=phu!$I$61,L381=phu!$I$62),"Cam Lợi",""),IF(OR(L381=phu!$I$63,L381=phu!$I$64,L381=phu!$I$65,L381=phu!$I$66,L381=phu!$I$67,L381=phu!$I$68,L381=phu!$I$69,L381=phu!$I$70,L381=phu!$I$71),"Ba Ngòi",""),IF(OR(L381=phu!$I$72,L381=phu!$I$73,L381=phu!$I$74,L381=phu!$I$75,L381=phu!$I$76,L381=phu!$I$77,L381=phu!$I$78),"Cam Phước Đông",""),IF(OR(L381=phu!$I$79,L381=phu!$I$80,L381=phu!$I$81,L381=phu!$I$82,L381=phu!$I$83,L381=phu!$I$84),"Cam Thịnh Đông",""),IF(OR(L381=phu!$I$85,L381=phu!$I$86,L381=phu!$I$87,L381=phu!$I$88),"Cam Thịnh Tây",""),IF(OR(L381=phu!$I$89,L381=phu!$I$90),"Cam Lập",""),IF(OR(L381=phu!$I$91,L381=phu!$I$92,L381=phu!$I$93),"Cam Bình",""),IF(OR(L381=phu!$I$94,L381=phu!$I$95,L381=phu!$I$96,L381=phu!$I$97,L381=phu!$I$98,L381=phu!$I$99,L381=phu!$I$100),"Huyện khác",""),IF(OR(L381=phu!$I$101,L381=phu!$I$102),"Tỉnh khác",""))</f>
        <v/>
      </c>
      <c r="N381" s="835" t="str">
        <f t="shared" si="28"/>
        <v/>
      </c>
      <c r="O381" s="20"/>
      <c r="P381" s="20"/>
      <c r="Q381" s="20"/>
      <c r="R381" s="20"/>
      <c r="S381" s="20"/>
      <c r="T381" s="21"/>
      <c r="U381" s="21"/>
      <c r="V381" s="21"/>
      <c r="W381" s="7" t="str">
        <f t="shared" si="26"/>
        <v/>
      </c>
      <c r="X381" s="506" t="str">
        <f t="shared" si="27"/>
        <v/>
      </c>
    </row>
    <row r="382" spans="1:24" x14ac:dyDescent="0.25">
      <c r="A382" s="66" t="str">
        <f t="shared" si="29"/>
        <v/>
      </c>
      <c r="B382" s="23" t="str">
        <f t="shared" si="25"/>
        <v/>
      </c>
      <c r="C382" s="15"/>
      <c r="D382" s="16"/>
      <c r="E382" s="17"/>
      <c r="F382" s="18"/>
      <c r="G382" s="18"/>
      <c r="H382" s="19"/>
      <c r="I382" s="15"/>
      <c r="J382" s="20"/>
      <c r="K382" s="15"/>
      <c r="L382" s="15"/>
      <c r="M382" s="531" t="str">
        <f>CONCATENATE(IF(OR(L382=phu!$I$1,L382=phu!$I$2,L382=phu!$I$3),"Cam Thành Nam",""),IF(OR(L382=phu!$I$4,L382=phu!$I$5,L382=phu!$I$6,L382=phu!$I$7,L382=phu!$I$8,L382=phu!$I$9,L382=phu!$I$10,L382=phu!$I$11,L382=phu!$I$12,L382=phu!$I$13,L382=phu!$I$14),"Cam Nghĩa",""),IF(OR(L382=phu!$I$15,L382=phu!$I$16,L382=phu!$I$17,L382=phu!$I$18,L382=phu!$I$19,L382=phu!$I$20,L382=phu!$I$21),"Cam Phúc Bắc",""),IF(OR(L382=phu!$I$22,L382=phu!$I$23,L382=phu!$I$24,L382=phu!$I$25),"Cam Phúc Nam",""),IF(OR(L382=phu!$I$26,L382=phu!$I$27,L382=phu!$I$28,L382=phu!$I$29,L382=phu!$I$30,L382=phu!$I$31),"Cam Phú",""),IF(OR(L382=phu!$I$32,L382=phu!$I$33,L382=phu!$I$34,L382=phu!$I$35,L382=phu!$I$36,L382=phu!$I$37),"Cam Lộc",""),IF(OR(L382=phu!$I$38,L382=phu!$I$39,L382=phu!$I$40,L382=phu!$I$41,L382=phu!$I$42,L382=phu!$I$43,L382=phu!$I$44),"Cam Thuận",""),IF(OR(L382=phu!$I$45,L382=phu!$I$46,L382=phu!$I$47,L382=phu!$I$48,L382=phu!$I$49,L382=phu!$I$50,L382=phu!$I$51,L382=phu!$I$52,L382=phu!$I$53),"Cam Linh",""),IF(OR(L382=phu!$I$54,L382=phu!$I$55,L382=phu!$I$56,L382=phu!$I$57,L382=phu!$I$58,L382=phu!$I$59,L382=phu!$I$60,L382=phu!$I$61,L382=phu!$I$62),"Cam Lợi",""),IF(OR(L382=phu!$I$63,L382=phu!$I$64,L382=phu!$I$65,L382=phu!$I$66,L382=phu!$I$67,L382=phu!$I$68,L382=phu!$I$69,L382=phu!$I$70,L382=phu!$I$71),"Ba Ngòi",""),IF(OR(L382=phu!$I$72,L382=phu!$I$73,L382=phu!$I$74,L382=phu!$I$75,L382=phu!$I$76,L382=phu!$I$77,L382=phu!$I$78),"Cam Phước Đông",""),IF(OR(L382=phu!$I$79,L382=phu!$I$80,L382=phu!$I$81,L382=phu!$I$82,L382=phu!$I$83,L382=phu!$I$84),"Cam Thịnh Đông",""),IF(OR(L382=phu!$I$85,L382=phu!$I$86,L382=phu!$I$87,L382=phu!$I$88),"Cam Thịnh Tây",""),IF(OR(L382=phu!$I$89,L382=phu!$I$90),"Cam Lập",""),IF(OR(L382=phu!$I$91,L382=phu!$I$92,L382=phu!$I$93),"Cam Bình",""),IF(OR(L382=phu!$I$94,L382=phu!$I$95,L382=phu!$I$96,L382=phu!$I$97,L382=phu!$I$98,L382=phu!$I$99,L382=phu!$I$100),"Huyện khác",""),IF(OR(L382=phu!$I$101,L382=phu!$I$102),"Tỉnh khác",""))</f>
        <v/>
      </c>
      <c r="N382" s="835" t="str">
        <f t="shared" si="28"/>
        <v/>
      </c>
      <c r="O382" s="20"/>
      <c r="P382" s="20"/>
      <c r="Q382" s="20"/>
      <c r="R382" s="20"/>
      <c r="S382" s="20"/>
      <c r="T382" s="21"/>
      <c r="U382" s="21"/>
      <c r="V382" s="21"/>
      <c r="W382" s="7" t="str">
        <f t="shared" si="26"/>
        <v/>
      </c>
      <c r="X382" s="506" t="str">
        <f t="shared" si="27"/>
        <v/>
      </c>
    </row>
    <row r="383" spans="1:24" x14ac:dyDescent="0.25">
      <c r="A383" s="66" t="str">
        <f t="shared" si="29"/>
        <v/>
      </c>
      <c r="B383" s="23" t="str">
        <f t="shared" si="25"/>
        <v/>
      </c>
      <c r="C383" s="15"/>
      <c r="D383" s="16"/>
      <c r="E383" s="17"/>
      <c r="F383" s="18"/>
      <c r="G383" s="18"/>
      <c r="H383" s="19"/>
      <c r="I383" s="15"/>
      <c r="J383" s="20"/>
      <c r="K383" s="15"/>
      <c r="L383" s="15"/>
      <c r="M383" s="531" t="str">
        <f>CONCATENATE(IF(OR(L383=phu!$I$1,L383=phu!$I$2,L383=phu!$I$3),"Cam Thành Nam",""),IF(OR(L383=phu!$I$4,L383=phu!$I$5,L383=phu!$I$6,L383=phu!$I$7,L383=phu!$I$8,L383=phu!$I$9,L383=phu!$I$10,L383=phu!$I$11,L383=phu!$I$12,L383=phu!$I$13,L383=phu!$I$14),"Cam Nghĩa",""),IF(OR(L383=phu!$I$15,L383=phu!$I$16,L383=phu!$I$17,L383=phu!$I$18,L383=phu!$I$19,L383=phu!$I$20,L383=phu!$I$21),"Cam Phúc Bắc",""),IF(OR(L383=phu!$I$22,L383=phu!$I$23,L383=phu!$I$24,L383=phu!$I$25),"Cam Phúc Nam",""),IF(OR(L383=phu!$I$26,L383=phu!$I$27,L383=phu!$I$28,L383=phu!$I$29,L383=phu!$I$30,L383=phu!$I$31),"Cam Phú",""),IF(OR(L383=phu!$I$32,L383=phu!$I$33,L383=phu!$I$34,L383=phu!$I$35,L383=phu!$I$36,L383=phu!$I$37),"Cam Lộc",""),IF(OR(L383=phu!$I$38,L383=phu!$I$39,L383=phu!$I$40,L383=phu!$I$41,L383=phu!$I$42,L383=phu!$I$43,L383=phu!$I$44),"Cam Thuận",""),IF(OR(L383=phu!$I$45,L383=phu!$I$46,L383=phu!$I$47,L383=phu!$I$48,L383=phu!$I$49,L383=phu!$I$50,L383=phu!$I$51,L383=phu!$I$52,L383=phu!$I$53),"Cam Linh",""),IF(OR(L383=phu!$I$54,L383=phu!$I$55,L383=phu!$I$56,L383=phu!$I$57,L383=phu!$I$58,L383=phu!$I$59,L383=phu!$I$60,L383=phu!$I$61,L383=phu!$I$62),"Cam Lợi",""),IF(OR(L383=phu!$I$63,L383=phu!$I$64,L383=phu!$I$65,L383=phu!$I$66,L383=phu!$I$67,L383=phu!$I$68,L383=phu!$I$69,L383=phu!$I$70,L383=phu!$I$71),"Ba Ngòi",""),IF(OR(L383=phu!$I$72,L383=phu!$I$73,L383=phu!$I$74,L383=phu!$I$75,L383=phu!$I$76,L383=phu!$I$77,L383=phu!$I$78),"Cam Phước Đông",""),IF(OR(L383=phu!$I$79,L383=phu!$I$80,L383=phu!$I$81,L383=phu!$I$82,L383=phu!$I$83,L383=phu!$I$84),"Cam Thịnh Đông",""),IF(OR(L383=phu!$I$85,L383=phu!$I$86,L383=phu!$I$87,L383=phu!$I$88),"Cam Thịnh Tây",""),IF(OR(L383=phu!$I$89,L383=phu!$I$90),"Cam Lập",""),IF(OR(L383=phu!$I$91,L383=phu!$I$92,L383=phu!$I$93),"Cam Bình",""),IF(OR(L383=phu!$I$94,L383=phu!$I$95,L383=phu!$I$96,L383=phu!$I$97,L383=phu!$I$98,L383=phu!$I$99,L383=phu!$I$100),"Huyện khác",""),IF(OR(L383=phu!$I$101,L383=phu!$I$102),"Tỉnh khác",""))</f>
        <v/>
      </c>
      <c r="N383" s="835" t="str">
        <f t="shared" si="28"/>
        <v/>
      </c>
      <c r="O383" s="20"/>
      <c r="P383" s="20"/>
      <c r="Q383" s="20"/>
      <c r="R383" s="20"/>
      <c r="S383" s="20"/>
      <c r="T383" s="21"/>
      <c r="U383" s="21"/>
      <c r="V383" s="21"/>
      <c r="W383" s="7" t="str">
        <f t="shared" si="26"/>
        <v/>
      </c>
      <c r="X383" s="506" t="str">
        <f t="shared" si="27"/>
        <v/>
      </c>
    </row>
    <row r="384" spans="1:24" x14ac:dyDescent="0.25">
      <c r="A384" s="66" t="str">
        <f t="shared" si="29"/>
        <v/>
      </c>
      <c r="B384" s="23" t="str">
        <f t="shared" si="25"/>
        <v/>
      </c>
      <c r="C384" s="15"/>
      <c r="D384" s="16"/>
      <c r="E384" s="17"/>
      <c r="F384" s="18"/>
      <c r="G384" s="18"/>
      <c r="H384" s="19"/>
      <c r="I384" s="15"/>
      <c r="J384" s="20"/>
      <c r="K384" s="15"/>
      <c r="L384" s="15"/>
      <c r="M384" s="531" t="str">
        <f>CONCATENATE(IF(OR(L384=phu!$I$1,L384=phu!$I$2,L384=phu!$I$3),"Cam Thành Nam",""),IF(OR(L384=phu!$I$4,L384=phu!$I$5,L384=phu!$I$6,L384=phu!$I$7,L384=phu!$I$8,L384=phu!$I$9,L384=phu!$I$10,L384=phu!$I$11,L384=phu!$I$12,L384=phu!$I$13,L384=phu!$I$14),"Cam Nghĩa",""),IF(OR(L384=phu!$I$15,L384=phu!$I$16,L384=phu!$I$17,L384=phu!$I$18,L384=phu!$I$19,L384=phu!$I$20,L384=phu!$I$21),"Cam Phúc Bắc",""),IF(OR(L384=phu!$I$22,L384=phu!$I$23,L384=phu!$I$24,L384=phu!$I$25),"Cam Phúc Nam",""),IF(OR(L384=phu!$I$26,L384=phu!$I$27,L384=phu!$I$28,L384=phu!$I$29,L384=phu!$I$30,L384=phu!$I$31),"Cam Phú",""),IF(OR(L384=phu!$I$32,L384=phu!$I$33,L384=phu!$I$34,L384=phu!$I$35,L384=phu!$I$36,L384=phu!$I$37),"Cam Lộc",""),IF(OR(L384=phu!$I$38,L384=phu!$I$39,L384=phu!$I$40,L384=phu!$I$41,L384=phu!$I$42,L384=phu!$I$43,L384=phu!$I$44),"Cam Thuận",""),IF(OR(L384=phu!$I$45,L384=phu!$I$46,L384=phu!$I$47,L384=phu!$I$48,L384=phu!$I$49,L384=phu!$I$50,L384=phu!$I$51,L384=phu!$I$52,L384=phu!$I$53),"Cam Linh",""),IF(OR(L384=phu!$I$54,L384=phu!$I$55,L384=phu!$I$56,L384=phu!$I$57,L384=phu!$I$58,L384=phu!$I$59,L384=phu!$I$60,L384=phu!$I$61,L384=phu!$I$62),"Cam Lợi",""),IF(OR(L384=phu!$I$63,L384=phu!$I$64,L384=phu!$I$65,L384=phu!$I$66,L384=phu!$I$67,L384=phu!$I$68,L384=phu!$I$69,L384=phu!$I$70,L384=phu!$I$71),"Ba Ngòi",""),IF(OR(L384=phu!$I$72,L384=phu!$I$73,L384=phu!$I$74,L384=phu!$I$75,L384=phu!$I$76,L384=phu!$I$77,L384=phu!$I$78),"Cam Phước Đông",""),IF(OR(L384=phu!$I$79,L384=phu!$I$80,L384=phu!$I$81,L384=phu!$I$82,L384=phu!$I$83,L384=phu!$I$84),"Cam Thịnh Đông",""),IF(OR(L384=phu!$I$85,L384=phu!$I$86,L384=phu!$I$87,L384=phu!$I$88),"Cam Thịnh Tây",""),IF(OR(L384=phu!$I$89,L384=phu!$I$90),"Cam Lập",""),IF(OR(L384=phu!$I$91,L384=phu!$I$92,L384=phu!$I$93),"Cam Bình",""),IF(OR(L384=phu!$I$94,L384=phu!$I$95,L384=phu!$I$96,L384=phu!$I$97,L384=phu!$I$98,L384=phu!$I$99,L384=phu!$I$100),"Huyện khác",""),IF(OR(L384=phu!$I$101,L384=phu!$I$102),"Tỉnh khác",""))</f>
        <v/>
      </c>
      <c r="N384" s="835" t="str">
        <f t="shared" si="28"/>
        <v/>
      </c>
      <c r="O384" s="20"/>
      <c r="P384" s="20"/>
      <c r="Q384" s="20"/>
      <c r="R384" s="20"/>
      <c r="S384" s="20"/>
      <c r="T384" s="21"/>
      <c r="U384" s="21"/>
      <c r="V384" s="21"/>
      <c r="W384" s="7" t="str">
        <f t="shared" si="26"/>
        <v/>
      </c>
      <c r="X384" s="506" t="str">
        <f t="shared" si="27"/>
        <v/>
      </c>
    </row>
    <row r="385" spans="1:24" x14ac:dyDescent="0.25">
      <c r="A385" s="66" t="str">
        <f t="shared" si="29"/>
        <v/>
      </c>
      <c r="B385" s="23" t="str">
        <f t="shared" si="25"/>
        <v/>
      </c>
      <c r="C385" s="15"/>
      <c r="D385" s="16"/>
      <c r="E385" s="17"/>
      <c r="F385" s="18"/>
      <c r="G385" s="18"/>
      <c r="H385" s="19"/>
      <c r="I385" s="15"/>
      <c r="J385" s="20"/>
      <c r="K385" s="15"/>
      <c r="L385" s="15"/>
      <c r="M385" s="531" t="str">
        <f>CONCATENATE(IF(OR(L385=phu!$I$1,L385=phu!$I$2,L385=phu!$I$3),"Cam Thành Nam",""),IF(OR(L385=phu!$I$4,L385=phu!$I$5,L385=phu!$I$6,L385=phu!$I$7,L385=phu!$I$8,L385=phu!$I$9,L385=phu!$I$10,L385=phu!$I$11,L385=phu!$I$12,L385=phu!$I$13,L385=phu!$I$14),"Cam Nghĩa",""),IF(OR(L385=phu!$I$15,L385=phu!$I$16,L385=phu!$I$17,L385=phu!$I$18,L385=phu!$I$19,L385=phu!$I$20,L385=phu!$I$21),"Cam Phúc Bắc",""),IF(OR(L385=phu!$I$22,L385=phu!$I$23,L385=phu!$I$24,L385=phu!$I$25),"Cam Phúc Nam",""),IF(OR(L385=phu!$I$26,L385=phu!$I$27,L385=phu!$I$28,L385=phu!$I$29,L385=phu!$I$30,L385=phu!$I$31),"Cam Phú",""),IF(OR(L385=phu!$I$32,L385=phu!$I$33,L385=phu!$I$34,L385=phu!$I$35,L385=phu!$I$36,L385=phu!$I$37),"Cam Lộc",""),IF(OR(L385=phu!$I$38,L385=phu!$I$39,L385=phu!$I$40,L385=phu!$I$41,L385=phu!$I$42,L385=phu!$I$43,L385=phu!$I$44),"Cam Thuận",""),IF(OR(L385=phu!$I$45,L385=phu!$I$46,L385=phu!$I$47,L385=phu!$I$48,L385=phu!$I$49,L385=phu!$I$50,L385=phu!$I$51,L385=phu!$I$52,L385=phu!$I$53),"Cam Linh",""),IF(OR(L385=phu!$I$54,L385=phu!$I$55,L385=phu!$I$56,L385=phu!$I$57,L385=phu!$I$58,L385=phu!$I$59,L385=phu!$I$60,L385=phu!$I$61,L385=phu!$I$62),"Cam Lợi",""),IF(OR(L385=phu!$I$63,L385=phu!$I$64,L385=phu!$I$65,L385=phu!$I$66,L385=phu!$I$67,L385=phu!$I$68,L385=phu!$I$69,L385=phu!$I$70,L385=phu!$I$71),"Ba Ngòi",""),IF(OR(L385=phu!$I$72,L385=phu!$I$73,L385=phu!$I$74,L385=phu!$I$75,L385=phu!$I$76,L385=phu!$I$77,L385=phu!$I$78),"Cam Phước Đông",""),IF(OR(L385=phu!$I$79,L385=phu!$I$80,L385=phu!$I$81,L385=phu!$I$82,L385=phu!$I$83,L385=phu!$I$84),"Cam Thịnh Đông",""),IF(OR(L385=phu!$I$85,L385=phu!$I$86,L385=phu!$I$87,L385=phu!$I$88),"Cam Thịnh Tây",""),IF(OR(L385=phu!$I$89,L385=phu!$I$90),"Cam Lập",""),IF(OR(L385=phu!$I$91,L385=phu!$I$92,L385=phu!$I$93),"Cam Bình",""),IF(OR(L385=phu!$I$94,L385=phu!$I$95,L385=phu!$I$96,L385=phu!$I$97,L385=phu!$I$98,L385=phu!$I$99,L385=phu!$I$100),"Huyện khác",""),IF(OR(L385=phu!$I$101,L385=phu!$I$102),"Tỉnh khác",""))</f>
        <v/>
      </c>
      <c r="N385" s="835" t="str">
        <f t="shared" si="28"/>
        <v/>
      </c>
      <c r="O385" s="20"/>
      <c r="P385" s="20"/>
      <c r="Q385" s="20"/>
      <c r="R385" s="20"/>
      <c r="S385" s="20"/>
      <c r="T385" s="21"/>
      <c r="U385" s="21"/>
      <c r="V385" s="21"/>
      <c r="W385" s="7" t="str">
        <f t="shared" si="26"/>
        <v/>
      </c>
      <c r="X385" s="506" t="str">
        <f t="shared" si="27"/>
        <v/>
      </c>
    </row>
    <row r="386" spans="1:24" x14ac:dyDescent="0.25">
      <c r="A386" s="66" t="str">
        <f t="shared" si="29"/>
        <v/>
      </c>
      <c r="B386" s="23" t="str">
        <f t="shared" si="25"/>
        <v/>
      </c>
      <c r="C386" s="15"/>
      <c r="D386" s="16"/>
      <c r="E386" s="17"/>
      <c r="F386" s="18"/>
      <c r="G386" s="18"/>
      <c r="H386" s="19"/>
      <c r="I386" s="15"/>
      <c r="J386" s="20"/>
      <c r="K386" s="15"/>
      <c r="L386" s="15"/>
      <c r="M386" s="531" t="str">
        <f>CONCATENATE(IF(OR(L386=phu!$I$1,L386=phu!$I$2,L386=phu!$I$3),"Cam Thành Nam",""),IF(OR(L386=phu!$I$4,L386=phu!$I$5,L386=phu!$I$6,L386=phu!$I$7,L386=phu!$I$8,L386=phu!$I$9,L386=phu!$I$10,L386=phu!$I$11,L386=phu!$I$12,L386=phu!$I$13,L386=phu!$I$14),"Cam Nghĩa",""),IF(OR(L386=phu!$I$15,L386=phu!$I$16,L386=phu!$I$17,L386=phu!$I$18,L386=phu!$I$19,L386=phu!$I$20,L386=phu!$I$21),"Cam Phúc Bắc",""),IF(OR(L386=phu!$I$22,L386=phu!$I$23,L386=phu!$I$24,L386=phu!$I$25),"Cam Phúc Nam",""),IF(OR(L386=phu!$I$26,L386=phu!$I$27,L386=phu!$I$28,L386=phu!$I$29,L386=phu!$I$30,L386=phu!$I$31),"Cam Phú",""),IF(OR(L386=phu!$I$32,L386=phu!$I$33,L386=phu!$I$34,L386=phu!$I$35,L386=phu!$I$36,L386=phu!$I$37),"Cam Lộc",""),IF(OR(L386=phu!$I$38,L386=phu!$I$39,L386=phu!$I$40,L386=phu!$I$41,L386=phu!$I$42,L386=phu!$I$43,L386=phu!$I$44),"Cam Thuận",""),IF(OR(L386=phu!$I$45,L386=phu!$I$46,L386=phu!$I$47,L386=phu!$I$48,L386=phu!$I$49,L386=phu!$I$50,L386=phu!$I$51,L386=phu!$I$52,L386=phu!$I$53),"Cam Linh",""),IF(OR(L386=phu!$I$54,L386=phu!$I$55,L386=phu!$I$56,L386=phu!$I$57,L386=phu!$I$58,L386=phu!$I$59,L386=phu!$I$60,L386=phu!$I$61,L386=phu!$I$62),"Cam Lợi",""),IF(OR(L386=phu!$I$63,L386=phu!$I$64,L386=phu!$I$65,L386=phu!$I$66,L386=phu!$I$67,L386=phu!$I$68,L386=phu!$I$69,L386=phu!$I$70,L386=phu!$I$71),"Ba Ngòi",""),IF(OR(L386=phu!$I$72,L386=phu!$I$73,L386=phu!$I$74,L386=phu!$I$75,L386=phu!$I$76,L386=phu!$I$77,L386=phu!$I$78),"Cam Phước Đông",""),IF(OR(L386=phu!$I$79,L386=phu!$I$80,L386=phu!$I$81,L386=phu!$I$82,L386=phu!$I$83,L386=phu!$I$84),"Cam Thịnh Đông",""),IF(OR(L386=phu!$I$85,L386=phu!$I$86,L386=phu!$I$87,L386=phu!$I$88),"Cam Thịnh Tây",""),IF(OR(L386=phu!$I$89,L386=phu!$I$90),"Cam Lập",""),IF(OR(L386=phu!$I$91,L386=phu!$I$92,L386=phu!$I$93),"Cam Bình",""),IF(OR(L386=phu!$I$94,L386=phu!$I$95,L386=phu!$I$96,L386=phu!$I$97,L386=phu!$I$98,L386=phu!$I$99,L386=phu!$I$100),"Huyện khác",""),IF(OR(L386=phu!$I$101,L386=phu!$I$102),"Tỉnh khác",""))</f>
        <v/>
      </c>
      <c r="N386" s="835" t="str">
        <f t="shared" si="28"/>
        <v/>
      </c>
      <c r="O386" s="20"/>
      <c r="P386" s="20"/>
      <c r="Q386" s="20"/>
      <c r="R386" s="20"/>
      <c r="S386" s="20"/>
      <c r="T386" s="21"/>
      <c r="U386" s="21"/>
      <c r="V386" s="21"/>
      <c r="W386" s="7" t="str">
        <f t="shared" si="26"/>
        <v/>
      </c>
      <c r="X386" s="506" t="str">
        <f t="shared" si="27"/>
        <v/>
      </c>
    </row>
    <row r="387" spans="1:24" x14ac:dyDescent="0.25">
      <c r="A387" s="66" t="str">
        <f t="shared" si="29"/>
        <v/>
      </c>
      <c r="B387" s="23" t="str">
        <f t="shared" si="25"/>
        <v/>
      </c>
      <c r="C387" s="15"/>
      <c r="D387" s="16"/>
      <c r="E387" s="17"/>
      <c r="F387" s="18"/>
      <c r="G387" s="18"/>
      <c r="H387" s="19"/>
      <c r="I387" s="15"/>
      <c r="J387" s="20"/>
      <c r="K387" s="15"/>
      <c r="L387" s="15"/>
      <c r="M387" s="531" t="str">
        <f>CONCATENATE(IF(OR(L387=phu!$I$1,L387=phu!$I$2,L387=phu!$I$3),"Cam Thành Nam",""),IF(OR(L387=phu!$I$4,L387=phu!$I$5,L387=phu!$I$6,L387=phu!$I$7,L387=phu!$I$8,L387=phu!$I$9,L387=phu!$I$10,L387=phu!$I$11,L387=phu!$I$12,L387=phu!$I$13,L387=phu!$I$14),"Cam Nghĩa",""),IF(OR(L387=phu!$I$15,L387=phu!$I$16,L387=phu!$I$17,L387=phu!$I$18,L387=phu!$I$19,L387=phu!$I$20,L387=phu!$I$21),"Cam Phúc Bắc",""),IF(OR(L387=phu!$I$22,L387=phu!$I$23,L387=phu!$I$24,L387=phu!$I$25),"Cam Phúc Nam",""),IF(OR(L387=phu!$I$26,L387=phu!$I$27,L387=phu!$I$28,L387=phu!$I$29,L387=phu!$I$30,L387=phu!$I$31),"Cam Phú",""),IF(OR(L387=phu!$I$32,L387=phu!$I$33,L387=phu!$I$34,L387=phu!$I$35,L387=phu!$I$36,L387=phu!$I$37),"Cam Lộc",""),IF(OR(L387=phu!$I$38,L387=phu!$I$39,L387=phu!$I$40,L387=phu!$I$41,L387=phu!$I$42,L387=phu!$I$43,L387=phu!$I$44),"Cam Thuận",""),IF(OR(L387=phu!$I$45,L387=phu!$I$46,L387=phu!$I$47,L387=phu!$I$48,L387=phu!$I$49,L387=phu!$I$50,L387=phu!$I$51,L387=phu!$I$52,L387=phu!$I$53),"Cam Linh",""),IF(OR(L387=phu!$I$54,L387=phu!$I$55,L387=phu!$I$56,L387=phu!$I$57,L387=phu!$I$58,L387=phu!$I$59,L387=phu!$I$60,L387=phu!$I$61,L387=phu!$I$62),"Cam Lợi",""),IF(OR(L387=phu!$I$63,L387=phu!$I$64,L387=phu!$I$65,L387=phu!$I$66,L387=phu!$I$67,L387=phu!$I$68,L387=phu!$I$69,L387=phu!$I$70,L387=phu!$I$71),"Ba Ngòi",""),IF(OR(L387=phu!$I$72,L387=phu!$I$73,L387=phu!$I$74,L387=phu!$I$75,L387=phu!$I$76,L387=phu!$I$77,L387=phu!$I$78),"Cam Phước Đông",""),IF(OR(L387=phu!$I$79,L387=phu!$I$80,L387=phu!$I$81,L387=phu!$I$82,L387=phu!$I$83,L387=phu!$I$84),"Cam Thịnh Đông",""),IF(OR(L387=phu!$I$85,L387=phu!$I$86,L387=phu!$I$87,L387=phu!$I$88),"Cam Thịnh Tây",""),IF(OR(L387=phu!$I$89,L387=phu!$I$90),"Cam Lập",""),IF(OR(L387=phu!$I$91,L387=phu!$I$92,L387=phu!$I$93),"Cam Bình",""),IF(OR(L387=phu!$I$94,L387=phu!$I$95,L387=phu!$I$96,L387=phu!$I$97,L387=phu!$I$98,L387=phu!$I$99,L387=phu!$I$100),"Huyện khác",""),IF(OR(L387=phu!$I$101,L387=phu!$I$102),"Tỉnh khác",""))</f>
        <v/>
      </c>
      <c r="N387" s="835" t="str">
        <f t="shared" si="28"/>
        <v/>
      </c>
      <c r="O387" s="20"/>
      <c r="P387" s="20"/>
      <c r="Q387" s="20"/>
      <c r="R387" s="20"/>
      <c r="S387" s="20"/>
      <c r="T387" s="21"/>
      <c r="U387" s="21"/>
      <c r="V387" s="21"/>
      <c r="W387" s="7" t="str">
        <f t="shared" si="26"/>
        <v/>
      </c>
      <c r="X387" s="506" t="str">
        <f t="shared" si="27"/>
        <v/>
      </c>
    </row>
    <row r="388" spans="1:24" x14ac:dyDescent="0.25">
      <c r="A388" s="66" t="str">
        <f t="shared" si="29"/>
        <v/>
      </c>
      <c r="B388" s="23" t="str">
        <f t="shared" si="25"/>
        <v/>
      </c>
      <c r="C388" s="15"/>
      <c r="D388" s="16"/>
      <c r="E388" s="17"/>
      <c r="F388" s="18"/>
      <c r="G388" s="18"/>
      <c r="H388" s="19"/>
      <c r="I388" s="15"/>
      <c r="J388" s="20"/>
      <c r="K388" s="15"/>
      <c r="L388" s="15"/>
      <c r="M388" s="531" t="str">
        <f>CONCATENATE(IF(OR(L388=phu!$I$1,L388=phu!$I$2,L388=phu!$I$3),"Cam Thành Nam",""),IF(OR(L388=phu!$I$4,L388=phu!$I$5,L388=phu!$I$6,L388=phu!$I$7,L388=phu!$I$8,L388=phu!$I$9,L388=phu!$I$10,L388=phu!$I$11,L388=phu!$I$12,L388=phu!$I$13,L388=phu!$I$14),"Cam Nghĩa",""),IF(OR(L388=phu!$I$15,L388=phu!$I$16,L388=phu!$I$17,L388=phu!$I$18,L388=phu!$I$19,L388=phu!$I$20,L388=phu!$I$21),"Cam Phúc Bắc",""),IF(OR(L388=phu!$I$22,L388=phu!$I$23,L388=phu!$I$24,L388=phu!$I$25),"Cam Phúc Nam",""),IF(OR(L388=phu!$I$26,L388=phu!$I$27,L388=phu!$I$28,L388=phu!$I$29,L388=phu!$I$30,L388=phu!$I$31),"Cam Phú",""),IF(OR(L388=phu!$I$32,L388=phu!$I$33,L388=phu!$I$34,L388=phu!$I$35,L388=phu!$I$36,L388=phu!$I$37),"Cam Lộc",""),IF(OR(L388=phu!$I$38,L388=phu!$I$39,L388=phu!$I$40,L388=phu!$I$41,L388=phu!$I$42,L388=phu!$I$43,L388=phu!$I$44),"Cam Thuận",""),IF(OR(L388=phu!$I$45,L388=phu!$I$46,L388=phu!$I$47,L388=phu!$I$48,L388=phu!$I$49,L388=phu!$I$50,L388=phu!$I$51,L388=phu!$I$52,L388=phu!$I$53),"Cam Linh",""),IF(OR(L388=phu!$I$54,L388=phu!$I$55,L388=phu!$I$56,L388=phu!$I$57,L388=phu!$I$58,L388=phu!$I$59,L388=phu!$I$60,L388=phu!$I$61,L388=phu!$I$62),"Cam Lợi",""),IF(OR(L388=phu!$I$63,L388=phu!$I$64,L388=phu!$I$65,L388=phu!$I$66,L388=phu!$I$67,L388=phu!$I$68,L388=phu!$I$69,L388=phu!$I$70,L388=phu!$I$71),"Ba Ngòi",""),IF(OR(L388=phu!$I$72,L388=phu!$I$73,L388=phu!$I$74,L388=phu!$I$75,L388=phu!$I$76,L388=phu!$I$77,L388=phu!$I$78),"Cam Phước Đông",""),IF(OR(L388=phu!$I$79,L388=phu!$I$80,L388=phu!$I$81,L388=phu!$I$82,L388=phu!$I$83,L388=phu!$I$84),"Cam Thịnh Đông",""),IF(OR(L388=phu!$I$85,L388=phu!$I$86,L388=phu!$I$87,L388=phu!$I$88),"Cam Thịnh Tây",""),IF(OR(L388=phu!$I$89,L388=phu!$I$90),"Cam Lập",""),IF(OR(L388=phu!$I$91,L388=phu!$I$92,L388=phu!$I$93),"Cam Bình",""),IF(OR(L388=phu!$I$94,L388=phu!$I$95,L388=phu!$I$96,L388=phu!$I$97,L388=phu!$I$98,L388=phu!$I$99,L388=phu!$I$100),"Huyện khác",""),IF(OR(L388=phu!$I$101,L388=phu!$I$102),"Tỉnh khác",""))</f>
        <v/>
      </c>
      <c r="N388" s="835" t="str">
        <f t="shared" si="28"/>
        <v/>
      </c>
      <c r="O388" s="20"/>
      <c r="P388" s="20"/>
      <c r="Q388" s="20"/>
      <c r="R388" s="20"/>
      <c r="S388" s="20"/>
      <c r="T388" s="21"/>
      <c r="U388" s="21"/>
      <c r="V388" s="21"/>
      <c r="W388" s="7" t="str">
        <f t="shared" si="26"/>
        <v/>
      </c>
      <c r="X388" s="506" t="str">
        <f t="shared" si="27"/>
        <v/>
      </c>
    </row>
    <row r="389" spans="1:24" x14ac:dyDescent="0.25">
      <c r="A389" s="66" t="str">
        <f t="shared" si="29"/>
        <v/>
      </c>
      <c r="B389" s="23" t="str">
        <f t="shared" si="25"/>
        <v/>
      </c>
      <c r="C389" s="15"/>
      <c r="D389" s="16"/>
      <c r="E389" s="17"/>
      <c r="F389" s="18"/>
      <c r="G389" s="18"/>
      <c r="H389" s="19"/>
      <c r="I389" s="15"/>
      <c r="J389" s="20"/>
      <c r="K389" s="15"/>
      <c r="L389" s="15"/>
      <c r="M389" s="531" t="str">
        <f>CONCATENATE(IF(OR(L389=phu!$I$1,L389=phu!$I$2,L389=phu!$I$3),"Cam Thành Nam",""),IF(OR(L389=phu!$I$4,L389=phu!$I$5,L389=phu!$I$6,L389=phu!$I$7,L389=phu!$I$8,L389=phu!$I$9,L389=phu!$I$10,L389=phu!$I$11,L389=phu!$I$12,L389=phu!$I$13,L389=phu!$I$14),"Cam Nghĩa",""),IF(OR(L389=phu!$I$15,L389=phu!$I$16,L389=phu!$I$17,L389=phu!$I$18,L389=phu!$I$19,L389=phu!$I$20,L389=phu!$I$21),"Cam Phúc Bắc",""),IF(OR(L389=phu!$I$22,L389=phu!$I$23,L389=phu!$I$24,L389=phu!$I$25),"Cam Phúc Nam",""),IF(OR(L389=phu!$I$26,L389=phu!$I$27,L389=phu!$I$28,L389=phu!$I$29,L389=phu!$I$30,L389=phu!$I$31),"Cam Phú",""),IF(OR(L389=phu!$I$32,L389=phu!$I$33,L389=phu!$I$34,L389=phu!$I$35,L389=phu!$I$36,L389=phu!$I$37),"Cam Lộc",""),IF(OR(L389=phu!$I$38,L389=phu!$I$39,L389=phu!$I$40,L389=phu!$I$41,L389=phu!$I$42,L389=phu!$I$43,L389=phu!$I$44),"Cam Thuận",""),IF(OR(L389=phu!$I$45,L389=phu!$I$46,L389=phu!$I$47,L389=phu!$I$48,L389=phu!$I$49,L389=phu!$I$50,L389=phu!$I$51,L389=phu!$I$52,L389=phu!$I$53),"Cam Linh",""),IF(OR(L389=phu!$I$54,L389=phu!$I$55,L389=phu!$I$56,L389=phu!$I$57,L389=phu!$I$58,L389=phu!$I$59,L389=phu!$I$60,L389=phu!$I$61,L389=phu!$I$62),"Cam Lợi",""),IF(OR(L389=phu!$I$63,L389=phu!$I$64,L389=phu!$I$65,L389=phu!$I$66,L389=phu!$I$67,L389=phu!$I$68,L389=phu!$I$69,L389=phu!$I$70,L389=phu!$I$71),"Ba Ngòi",""),IF(OR(L389=phu!$I$72,L389=phu!$I$73,L389=phu!$I$74,L389=phu!$I$75,L389=phu!$I$76,L389=phu!$I$77,L389=phu!$I$78),"Cam Phước Đông",""),IF(OR(L389=phu!$I$79,L389=phu!$I$80,L389=phu!$I$81,L389=phu!$I$82,L389=phu!$I$83,L389=phu!$I$84),"Cam Thịnh Đông",""),IF(OR(L389=phu!$I$85,L389=phu!$I$86,L389=phu!$I$87,L389=phu!$I$88),"Cam Thịnh Tây",""),IF(OR(L389=phu!$I$89,L389=phu!$I$90),"Cam Lập",""),IF(OR(L389=phu!$I$91,L389=phu!$I$92,L389=phu!$I$93),"Cam Bình",""),IF(OR(L389=phu!$I$94,L389=phu!$I$95,L389=phu!$I$96,L389=phu!$I$97,L389=phu!$I$98,L389=phu!$I$99,L389=phu!$I$100),"Huyện khác",""),IF(OR(L389=phu!$I$101,L389=phu!$I$102),"Tỉnh khác",""))</f>
        <v/>
      </c>
      <c r="N389" s="835" t="str">
        <f t="shared" si="28"/>
        <v/>
      </c>
      <c r="O389" s="20"/>
      <c r="P389" s="20"/>
      <c r="Q389" s="20"/>
      <c r="R389" s="20"/>
      <c r="S389" s="20"/>
      <c r="T389" s="21"/>
      <c r="U389" s="21"/>
      <c r="V389" s="21"/>
      <c r="W389" s="7" t="str">
        <f t="shared" si="26"/>
        <v/>
      </c>
      <c r="X389" s="506" t="str">
        <f t="shared" si="27"/>
        <v/>
      </c>
    </row>
    <row r="390" spans="1:24" x14ac:dyDescent="0.25">
      <c r="A390" s="66" t="str">
        <f t="shared" si="29"/>
        <v/>
      </c>
      <c r="B390" s="23" t="str">
        <f t="shared" ref="B390:B453" si="30">IF(W390=5,"5-6 tuổi",IF(W390=4,"4-5 tuổi",IF(W390=3,"3-4 tuổi",IF(AND(W390&lt;3,W390&gt;1),"25-36 tháng",IF(AND(W390=1,W390&gt;0),"13-24 tháng",IF(AND(W390=0,E390&lt;&gt;""),"Dưới 13 tháng",""))))))</f>
        <v/>
      </c>
      <c r="C390" s="15"/>
      <c r="D390" s="16"/>
      <c r="E390" s="17"/>
      <c r="F390" s="18"/>
      <c r="G390" s="18"/>
      <c r="H390" s="19"/>
      <c r="I390" s="15"/>
      <c r="J390" s="20"/>
      <c r="K390" s="15"/>
      <c r="L390" s="15"/>
      <c r="M390" s="531" t="str">
        <f>CONCATENATE(IF(OR(L390=phu!$I$1,L390=phu!$I$2,L390=phu!$I$3),"Cam Thành Nam",""),IF(OR(L390=phu!$I$4,L390=phu!$I$5,L390=phu!$I$6,L390=phu!$I$7,L390=phu!$I$8,L390=phu!$I$9,L390=phu!$I$10,L390=phu!$I$11,L390=phu!$I$12,L390=phu!$I$13,L390=phu!$I$14),"Cam Nghĩa",""),IF(OR(L390=phu!$I$15,L390=phu!$I$16,L390=phu!$I$17,L390=phu!$I$18,L390=phu!$I$19,L390=phu!$I$20,L390=phu!$I$21),"Cam Phúc Bắc",""),IF(OR(L390=phu!$I$22,L390=phu!$I$23,L390=phu!$I$24,L390=phu!$I$25),"Cam Phúc Nam",""),IF(OR(L390=phu!$I$26,L390=phu!$I$27,L390=phu!$I$28,L390=phu!$I$29,L390=phu!$I$30,L390=phu!$I$31),"Cam Phú",""),IF(OR(L390=phu!$I$32,L390=phu!$I$33,L390=phu!$I$34,L390=phu!$I$35,L390=phu!$I$36,L390=phu!$I$37),"Cam Lộc",""),IF(OR(L390=phu!$I$38,L390=phu!$I$39,L390=phu!$I$40,L390=phu!$I$41,L390=phu!$I$42,L390=phu!$I$43,L390=phu!$I$44),"Cam Thuận",""),IF(OR(L390=phu!$I$45,L390=phu!$I$46,L390=phu!$I$47,L390=phu!$I$48,L390=phu!$I$49,L390=phu!$I$50,L390=phu!$I$51,L390=phu!$I$52,L390=phu!$I$53),"Cam Linh",""),IF(OR(L390=phu!$I$54,L390=phu!$I$55,L390=phu!$I$56,L390=phu!$I$57,L390=phu!$I$58,L390=phu!$I$59,L390=phu!$I$60,L390=phu!$I$61,L390=phu!$I$62),"Cam Lợi",""),IF(OR(L390=phu!$I$63,L390=phu!$I$64,L390=phu!$I$65,L390=phu!$I$66,L390=phu!$I$67,L390=phu!$I$68,L390=phu!$I$69,L390=phu!$I$70,L390=phu!$I$71),"Ba Ngòi",""),IF(OR(L390=phu!$I$72,L390=phu!$I$73,L390=phu!$I$74,L390=phu!$I$75,L390=phu!$I$76,L390=phu!$I$77,L390=phu!$I$78),"Cam Phước Đông",""),IF(OR(L390=phu!$I$79,L390=phu!$I$80,L390=phu!$I$81,L390=phu!$I$82,L390=phu!$I$83,L390=phu!$I$84),"Cam Thịnh Đông",""),IF(OR(L390=phu!$I$85,L390=phu!$I$86,L390=phu!$I$87,L390=phu!$I$88),"Cam Thịnh Tây",""),IF(OR(L390=phu!$I$89,L390=phu!$I$90),"Cam Lập",""),IF(OR(L390=phu!$I$91,L390=phu!$I$92,L390=phu!$I$93),"Cam Bình",""),IF(OR(L390=phu!$I$94,L390=phu!$I$95,L390=phu!$I$96,L390=phu!$I$97,L390=phu!$I$98,L390=phu!$I$99,L390=phu!$I$100),"Huyện khác",""),IF(OR(L390=phu!$I$101,L390=phu!$I$102),"Tỉnh khác",""))</f>
        <v/>
      </c>
      <c r="N390" s="835" t="str">
        <f t="shared" si="28"/>
        <v/>
      </c>
      <c r="O390" s="20"/>
      <c r="P390" s="20"/>
      <c r="Q390" s="20"/>
      <c r="R390" s="20"/>
      <c r="S390" s="20"/>
      <c r="T390" s="21"/>
      <c r="U390" s="21"/>
      <c r="V390" s="21"/>
      <c r="W390" s="7" t="str">
        <f t="shared" ref="W390:W453" si="31">IF(OR($P$2="",H390=""),"",$P$2-H390)</f>
        <v/>
      </c>
      <c r="X390" s="506" t="str">
        <f t="shared" ref="X390:X453" si="32">IF(OR(AND(C390="",D390="",E390="",F390="",G390="",H390="",J390="",L390="",M390="",O390="",P390="",Q390=""),AND(C390&lt;&gt;"",D390&lt;&gt;"",E390&lt;&gt;"",F390&lt;&gt;"",G390&lt;&gt;"",H390&lt;&gt;"",J390&lt;&gt;"",L390&lt;&gt;"",M390&lt;&gt;"",O390&lt;&gt;"",OR(AND(P390&lt;&gt;"",Q390=""),AND(P390="",Q390&lt;&gt;""),AND(P390&lt;&gt;"",Q390&lt;&gt;"")),OR(AND(K390="X",S390&lt;&gt;""),AND(K390="",S390="")))),"","er")</f>
        <v/>
      </c>
    </row>
    <row r="391" spans="1:24" x14ac:dyDescent="0.25">
      <c r="A391" s="66" t="str">
        <f t="shared" si="29"/>
        <v/>
      </c>
      <c r="B391" s="23" t="str">
        <f t="shared" si="30"/>
        <v/>
      </c>
      <c r="C391" s="15"/>
      <c r="D391" s="16"/>
      <c r="E391" s="17"/>
      <c r="F391" s="18"/>
      <c r="G391" s="18"/>
      <c r="H391" s="19"/>
      <c r="I391" s="15"/>
      <c r="J391" s="20"/>
      <c r="K391" s="15"/>
      <c r="L391" s="15"/>
      <c r="M391" s="531" t="str">
        <f>CONCATENATE(IF(OR(L391=phu!$I$1,L391=phu!$I$2,L391=phu!$I$3),"Cam Thành Nam",""),IF(OR(L391=phu!$I$4,L391=phu!$I$5,L391=phu!$I$6,L391=phu!$I$7,L391=phu!$I$8,L391=phu!$I$9,L391=phu!$I$10,L391=phu!$I$11,L391=phu!$I$12,L391=phu!$I$13,L391=phu!$I$14),"Cam Nghĩa",""),IF(OR(L391=phu!$I$15,L391=phu!$I$16,L391=phu!$I$17,L391=phu!$I$18,L391=phu!$I$19,L391=phu!$I$20,L391=phu!$I$21),"Cam Phúc Bắc",""),IF(OR(L391=phu!$I$22,L391=phu!$I$23,L391=phu!$I$24,L391=phu!$I$25),"Cam Phúc Nam",""),IF(OR(L391=phu!$I$26,L391=phu!$I$27,L391=phu!$I$28,L391=phu!$I$29,L391=phu!$I$30,L391=phu!$I$31),"Cam Phú",""),IF(OR(L391=phu!$I$32,L391=phu!$I$33,L391=phu!$I$34,L391=phu!$I$35,L391=phu!$I$36,L391=phu!$I$37),"Cam Lộc",""),IF(OR(L391=phu!$I$38,L391=phu!$I$39,L391=phu!$I$40,L391=phu!$I$41,L391=phu!$I$42,L391=phu!$I$43,L391=phu!$I$44),"Cam Thuận",""),IF(OR(L391=phu!$I$45,L391=phu!$I$46,L391=phu!$I$47,L391=phu!$I$48,L391=phu!$I$49,L391=phu!$I$50,L391=phu!$I$51,L391=phu!$I$52,L391=phu!$I$53),"Cam Linh",""),IF(OR(L391=phu!$I$54,L391=phu!$I$55,L391=phu!$I$56,L391=phu!$I$57,L391=phu!$I$58,L391=phu!$I$59,L391=phu!$I$60,L391=phu!$I$61,L391=phu!$I$62),"Cam Lợi",""),IF(OR(L391=phu!$I$63,L391=phu!$I$64,L391=phu!$I$65,L391=phu!$I$66,L391=phu!$I$67,L391=phu!$I$68,L391=phu!$I$69,L391=phu!$I$70,L391=phu!$I$71),"Ba Ngòi",""),IF(OR(L391=phu!$I$72,L391=phu!$I$73,L391=phu!$I$74,L391=phu!$I$75,L391=phu!$I$76,L391=phu!$I$77,L391=phu!$I$78),"Cam Phước Đông",""),IF(OR(L391=phu!$I$79,L391=phu!$I$80,L391=phu!$I$81,L391=phu!$I$82,L391=phu!$I$83,L391=phu!$I$84),"Cam Thịnh Đông",""),IF(OR(L391=phu!$I$85,L391=phu!$I$86,L391=phu!$I$87,L391=phu!$I$88),"Cam Thịnh Tây",""),IF(OR(L391=phu!$I$89,L391=phu!$I$90),"Cam Lập",""),IF(OR(L391=phu!$I$91,L391=phu!$I$92,L391=phu!$I$93),"Cam Bình",""),IF(OR(L391=phu!$I$94,L391=phu!$I$95,L391=phu!$I$96,L391=phu!$I$97,L391=phu!$I$98,L391=phu!$I$99,L391=phu!$I$100),"Huyện khác",""),IF(OR(L391=phu!$I$101,L391=phu!$I$102),"Tỉnh khác",""))</f>
        <v/>
      </c>
      <c r="N391" s="835" t="str">
        <f t="shared" ref="N391:N454" si="33">CONCATENATE(IF(OR(M391="Cam Thành Nam",M391="Cam Nghĩa",M391="Cam Phúc Bắc"),"Bắc Cam Ranh",""),IF(OR(M391="Cam Phúc Nam",M391="Cam Phú",M391="Cam Lộc"),"Cam Ranh",""),IF(OR(M391="Cam Thuận",M391="Cam Linh",M391="Cam Lợi"),"Cam Linh",""),IF(OR(M391="Ba Ngòi",M391="Cam Phước Đông"),"Ba Ngòi",""),IF(OR(M391="Cam Thịnh Đông",M391="Cam Thịnh Tây",M391="Cam Lập",M391="Cam Bình"),"Nam Cam Ranh",""),IF(M391="Huyện khác","Huyện khác",""),IF(M391="Tỉnh khác","Tỉnh khác",""))</f>
        <v/>
      </c>
      <c r="O391" s="20"/>
      <c r="P391" s="20"/>
      <c r="Q391" s="20"/>
      <c r="R391" s="20"/>
      <c r="S391" s="20"/>
      <c r="T391" s="21"/>
      <c r="U391" s="21"/>
      <c r="V391" s="21"/>
      <c r="W391" s="7" t="str">
        <f t="shared" si="31"/>
        <v/>
      </c>
      <c r="X391" s="506" t="str">
        <f t="shared" si="32"/>
        <v/>
      </c>
    </row>
    <row r="392" spans="1:24" x14ac:dyDescent="0.25">
      <c r="A392" s="66" t="str">
        <f t="shared" ref="A392:A455" si="34">IF(AND(A391&lt;&gt;"",E392&lt;&gt;""),A391+1,"")</f>
        <v/>
      </c>
      <c r="B392" s="23" t="str">
        <f t="shared" si="30"/>
        <v/>
      </c>
      <c r="C392" s="15"/>
      <c r="D392" s="16"/>
      <c r="E392" s="17"/>
      <c r="F392" s="18"/>
      <c r="G392" s="18"/>
      <c r="H392" s="19"/>
      <c r="I392" s="15"/>
      <c r="J392" s="20"/>
      <c r="K392" s="15"/>
      <c r="L392" s="15"/>
      <c r="M392" s="531" t="str">
        <f>CONCATENATE(IF(OR(L392=phu!$I$1,L392=phu!$I$2,L392=phu!$I$3),"Cam Thành Nam",""),IF(OR(L392=phu!$I$4,L392=phu!$I$5,L392=phu!$I$6,L392=phu!$I$7,L392=phu!$I$8,L392=phu!$I$9,L392=phu!$I$10,L392=phu!$I$11,L392=phu!$I$12,L392=phu!$I$13,L392=phu!$I$14),"Cam Nghĩa",""),IF(OR(L392=phu!$I$15,L392=phu!$I$16,L392=phu!$I$17,L392=phu!$I$18,L392=phu!$I$19,L392=phu!$I$20,L392=phu!$I$21),"Cam Phúc Bắc",""),IF(OR(L392=phu!$I$22,L392=phu!$I$23,L392=phu!$I$24,L392=phu!$I$25),"Cam Phúc Nam",""),IF(OR(L392=phu!$I$26,L392=phu!$I$27,L392=phu!$I$28,L392=phu!$I$29,L392=phu!$I$30,L392=phu!$I$31),"Cam Phú",""),IF(OR(L392=phu!$I$32,L392=phu!$I$33,L392=phu!$I$34,L392=phu!$I$35,L392=phu!$I$36,L392=phu!$I$37),"Cam Lộc",""),IF(OR(L392=phu!$I$38,L392=phu!$I$39,L392=phu!$I$40,L392=phu!$I$41,L392=phu!$I$42,L392=phu!$I$43,L392=phu!$I$44),"Cam Thuận",""),IF(OR(L392=phu!$I$45,L392=phu!$I$46,L392=phu!$I$47,L392=phu!$I$48,L392=phu!$I$49,L392=phu!$I$50,L392=phu!$I$51,L392=phu!$I$52,L392=phu!$I$53),"Cam Linh",""),IF(OR(L392=phu!$I$54,L392=phu!$I$55,L392=phu!$I$56,L392=phu!$I$57,L392=phu!$I$58,L392=phu!$I$59,L392=phu!$I$60,L392=phu!$I$61,L392=phu!$I$62),"Cam Lợi",""),IF(OR(L392=phu!$I$63,L392=phu!$I$64,L392=phu!$I$65,L392=phu!$I$66,L392=phu!$I$67,L392=phu!$I$68,L392=phu!$I$69,L392=phu!$I$70,L392=phu!$I$71),"Ba Ngòi",""),IF(OR(L392=phu!$I$72,L392=phu!$I$73,L392=phu!$I$74,L392=phu!$I$75,L392=phu!$I$76,L392=phu!$I$77,L392=phu!$I$78),"Cam Phước Đông",""),IF(OR(L392=phu!$I$79,L392=phu!$I$80,L392=phu!$I$81,L392=phu!$I$82,L392=phu!$I$83,L392=phu!$I$84),"Cam Thịnh Đông",""),IF(OR(L392=phu!$I$85,L392=phu!$I$86,L392=phu!$I$87,L392=phu!$I$88),"Cam Thịnh Tây",""),IF(OR(L392=phu!$I$89,L392=phu!$I$90),"Cam Lập",""),IF(OR(L392=phu!$I$91,L392=phu!$I$92,L392=phu!$I$93),"Cam Bình",""),IF(OR(L392=phu!$I$94,L392=phu!$I$95,L392=phu!$I$96,L392=phu!$I$97,L392=phu!$I$98,L392=phu!$I$99,L392=phu!$I$100),"Huyện khác",""),IF(OR(L392=phu!$I$101,L392=phu!$I$102),"Tỉnh khác",""))</f>
        <v/>
      </c>
      <c r="N392" s="835" t="str">
        <f t="shared" si="33"/>
        <v/>
      </c>
      <c r="O392" s="20"/>
      <c r="P392" s="20"/>
      <c r="Q392" s="20"/>
      <c r="R392" s="20"/>
      <c r="S392" s="20"/>
      <c r="T392" s="21"/>
      <c r="U392" s="21"/>
      <c r="V392" s="21"/>
      <c r="W392" s="7" t="str">
        <f t="shared" si="31"/>
        <v/>
      </c>
      <c r="X392" s="506" t="str">
        <f t="shared" si="32"/>
        <v/>
      </c>
    </row>
    <row r="393" spans="1:24" x14ac:dyDescent="0.25">
      <c r="A393" s="66" t="str">
        <f t="shared" si="34"/>
        <v/>
      </c>
      <c r="B393" s="23" t="str">
        <f t="shared" si="30"/>
        <v/>
      </c>
      <c r="C393" s="15"/>
      <c r="D393" s="16"/>
      <c r="E393" s="17"/>
      <c r="F393" s="18"/>
      <c r="G393" s="18"/>
      <c r="H393" s="19"/>
      <c r="I393" s="15"/>
      <c r="J393" s="20"/>
      <c r="K393" s="15"/>
      <c r="L393" s="15"/>
      <c r="M393" s="531" t="str">
        <f>CONCATENATE(IF(OR(L393=phu!$I$1,L393=phu!$I$2,L393=phu!$I$3),"Cam Thành Nam",""),IF(OR(L393=phu!$I$4,L393=phu!$I$5,L393=phu!$I$6,L393=phu!$I$7,L393=phu!$I$8,L393=phu!$I$9,L393=phu!$I$10,L393=phu!$I$11,L393=phu!$I$12,L393=phu!$I$13,L393=phu!$I$14),"Cam Nghĩa",""),IF(OR(L393=phu!$I$15,L393=phu!$I$16,L393=phu!$I$17,L393=phu!$I$18,L393=phu!$I$19,L393=phu!$I$20,L393=phu!$I$21),"Cam Phúc Bắc",""),IF(OR(L393=phu!$I$22,L393=phu!$I$23,L393=phu!$I$24,L393=phu!$I$25),"Cam Phúc Nam",""),IF(OR(L393=phu!$I$26,L393=phu!$I$27,L393=phu!$I$28,L393=phu!$I$29,L393=phu!$I$30,L393=phu!$I$31),"Cam Phú",""),IF(OR(L393=phu!$I$32,L393=phu!$I$33,L393=phu!$I$34,L393=phu!$I$35,L393=phu!$I$36,L393=phu!$I$37),"Cam Lộc",""),IF(OR(L393=phu!$I$38,L393=phu!$I$39,L393=phu!$I$40,L393=phu!$I$41,L393=phu!$I$42,L393=phu!$I$43,L393=phu!$I$44),"Cam Thuận",""),IF(OR(L393=phu!$I$45,L393=phu!$I$46,L393=phu!$I$47,L393=phu!$I$48,L393=phu!$I$49,L393=phu!$I$50,L393=phu!$I$51,L393=phu!$I$52,L393=phu!$I$53),"Cam Linh",""),IF(OR(L393=phu!$I$54,L393=phu!$I$55,L393=phu!$I$56,L393=phu!$I$57,L393=phu!$I$58,L393=phu!$I$59,L393=phu!$I$60,L393=phu!$I$61,L393=phu!$I$62),"Cam Lợi",""),IF(OR(L393=phu!$I$63,L393=phu!$I$64,L393=phu!$I$65,L393=phu!$I$66,L393=phu!$I$67,L393=phu!$I$68,L393=phu!$I$69,L393=phu!$I$70,L393=phu!$I$71),"Ba Ngòi",""),IF(OR(L393=phu!$I$72,L393=phu!$I$73,L393=phu!$I$74,L393=phu!$I$75,L393=phu!$I$76,L393=phu!$I$77,L393=phu!$I$78),"Cam Phước Đông",""),IF(OR(L393=phu!$I$79,L393=phu!$I$80,L393=phu!$I$81,L393=phu!$I$82,L393=phu!$I$83,L393=phu!$I$84),"Cam Thịnh Đông",""),IF(OR(L393=phu!$I$85,L393=phu!$I$86,L393=phu!$I$87,L393=phu!$I$88),"Cam Thịnh Tây",""),IF(OR(L393=phu!$I$89,L393=phu!$I$90),"Cam Lập",""),IF(OR(L393=phu!$I$91,L393=phu!$I$92,L393=phu!$I$93),"Cam Bình",""),IF(OR(L393=phu!$I$94,L393=phu!$I$95,L393=phu!$I$96,L393=phu!$I$97,L393=phu!$I$98,L393=phu!$I$99,L393=phu!$I$100),"Huyện khác",""),IF(OR(L393=phu!$I$101,L393=phu!$I$102),"Tỉnh khác",""))</f>
        <v/>
      </c>
      <c r="N393" s="835" t="str">
        <f t="shared" si="33"/>
        <v/>
      </c>
      <c r="O393" s="20"/>
      <c r="P393" s="20"/>
      <c r="Q393" s="20"/>
      <c r="R393" s="20"/>
      <c r="S393" s="20"/>
      <c r="T393" s="21"/>
      <c r="U393" s="21"/>
      <c r="V393" s="21"/>
      <c r="W393" s="7" t="str">
        <f t="shared" si="31"/>
        <v/>
      </c>
      <c r="X393" s="506" t="str">
        <f t="shared" si="32"/>
        <v/>
      </c>
    </row>
    <row r="394" spans="1:24" x14ac:dyDescent="0.25">
      <c r="A394" s="66" t="str">
        <f t="shared" si="34"/>
        <v/>
      </c>
      <c r="B394" s="23" t="str">
        <f t="shared" si="30"/>
        <v/>
      </c>
      <c r="C394" s="15"/>
      <c r="D394" s="16"/>
      <c r="E394" s="17"/>
      <c r="F394" s="18"/>
      <c r="G394" s="18"/>
      <c r="H394" s="19"/>
      <c r="I394" s="15"/>
      <c r="J394" s="20"/>
      <c r="K394" s="15"/>
      <c r="L394" s="15"/>
      <c r="M394" s="531" t="str">
        <f>CONCATENATE(IF(OR(L394=phu!$I$1,L394=phu!$I$2,L394=phu!$I$3),"Cam Thành Nam",""),IF(OR(L394=phu!$I$4,L394=phu!$I$5,L394=phu!$I$6,L394=phu!$I$7,L394=phu!$I$8,L394=phu!$I$9,L394=phu!$I$10,L394=phu!$I$11,L394=phu!$I$12,L394=phu!$I$13,L394=phu!$I$14),"Cam Nghĩa",""),IF(OR(L394=phu!$I$15,L394=phu!$I$16,L394=phu!$I$17,L394=phu!$I$18,L394=phu!$I$19,L394=phu!$I$20,L394=phu!$I$21),"Cam Phúc Bắc",""),IF(OR(L394=phu!$I$22,L394=phu!$I$23,L394=phu!$I$24,L394=phu!$I$25),"Cam Phúc Nam",""),IF(OR(L394=phu!$I$26,L394=phu!$I$27,L394=phu!$I$28,L394=phu!$I$29,L394=phu!$I$30,L394=phu!$I$31),"Cam Phú",""),IF(OR(L394=phu!$I$32,L394=phu!$I$33,L394=phu!$I$34,L394=phu!$I$35,L394=phu!$I$36,L394=phu!$I$37),"Cam Lộc",""),IF(OR(L394=phu!$I$38,L394=phu!$I$39,L394=phu!$I$40,L394=phu!$I$41,L394=phu!$I$42,L394=phu!$I$43,L394=phu!$I$44),"Cam Thuận",""),IF(OR(L394=phu!$I$45,L394=phu!$I$46,L394=phu!$I$47,L394=phu!$I$48,L394=phu!$I$49,L394=phu!$I$50,L394=phu!$I$51,L394=phu!$I$52,L394=phu!$I$53),"Cam Linh",""),IF(OR(L394=phu!$I$54,L394=phu!$I$55,L394=phu!$I$56,L394=phu!$I$57,L394=phu!$I$58,L394=phu!$I$59,L394=phu!$I$60,L394=phu!$I$61,L394=phu!$I$62),"Cam Lợi",""),IF(OR(L394=phu!$I$63,L394=phu!$I$64,L394=phu!$I$65,L394=phu!$I$66,L394=phu!$I$67,L394=phu!$I$68,L394=phu!$I$69,L394=phu!$I$70,L394=phu!$I$71),"Ba Ngòi",""),IF(OR(L394=phu!$I$72,L394=phu!$I$73,L394=phu!$I$74,L394=phu!$I$75,L394=phu!$I$76,L394=phu!$I$77,L394=phu!$I$78),"Cam Phước Đông",""),IF(OR(L394=phu!$I$79,L394=phu!$I$80,L394=phu!$I$81,L394=phu!$I$82,L394=phu!$I$83,L394=phu!$I$84),"Cam Thịnh Đông",""),IF(OR(L394=phu!$I$85,L394=phu!$I$86,L394=phu!$I$87,L394=phu!$I$88),"Cam Thịnh Tây",""),IF(OR(L394=phu!$I$89,L394=phu!$I$90),"Cam Lập",""),IF(OR(L394=phu!$I$91,L394=phu!$I$92,L394=phu!$I$93),"Cam Bình",""),IF(OR(L394=phu!$I$94,L394=phu!$I$95,L394=phu!$I$96,L394=phu!$I$97,L394=phu!$I$98,L394=phu!$I$99,L394=phu!$I$100),"Huyện khác",""),IF(OR(L394=phu!$I$101,L394=phu!$I$102),"Tỉnh khác",""))</f>
        <v/>
      </c>
      <c r="N394" s="835" t="str">
        <f t="shared" si="33"/>
        <v/>
      </c>
      <c r="O394" s="20"/>
      <c r="P394" s="20"/>
      <c r="Q394" s="20"/>
      <c r="R394" s="20"/>
      <c r="S394" s="20"/>
      <c r="T394" s="21"/>
      <c r="U394" s="21"/>
      <c r="V394" s="21"/>
      <c r="W394" s="7" t="str">
        <f t="shared" si="31"/>
        <v/>
      </c>
      <c r="X394" s="506" t="str">
        <f t="shared" si="32"/>
        <v/>
      </c>
    </row>
    <row r="395" spans="1:24" x14ac:dyDescent="0.25">
      <c r="A395" s="66" t="str">
        <f t="shared" si="34"/>
        <v/>
      </c>
      <c r="B395" s="23" t="str">
        <f t="shared" si="30"/>
        <v/>
      </c>
      <c r="C395" s="15"/>
      <c r="D395" s="16"/>
      <c r="E395" s="17"/>
      <c r="F395" s="18"/>
      <c r="G395" s="18"/>
      <c r="H395" s="19"/>
      <c r="I395" s="15"/>
      <c r="J395" s="20"/>
      <c r="K395" s="15"/>
      <c r="L395" s="15"/>
      <c r="M395" s="531" t="str">
        <f>CONCATENATE(IF(OR(L395=phu!$I$1,L395=phu!$I$2,L395=phu!$I$3),"Cam Thành Nam",""),IF(OR(L395=phu!$I$4,L395=phu!$I$5,L395=phu!$I$6,L395=phu!$I$7,L395=phu!$I$8,L395=phu!$I$9,L395=phu!$I$10,L395=phu!$I$11,L395=phu!$I$12,L395=phu!$I$13,L395=phu!$I$14),"Cam Nghĩa",""),IF(OR(L395=phu!$I$15,L395=phu!$I$16,L395=phu!$I$17,L395=phu!$I$18,L395=phu!$I$19,L395=phu!$I$20,L395=phu!$I$21),"Cam Phúc Bắc",""),IF(OR(L395=phu!$I$22,L395=phu!$I$23,L395=phu!$I$24,L395=phu!$I$25),"Cam Phúc Nam",""),IF(OR(L395=phu!$I$26,L395=phu!$I$27,L395=phu!$I$28,L395=phu!$I$29,L395=phu!$I$30,L395=phu!$I$31),"Cam Phú",""),IF(OR(L395=phu!$I$32,L395=phu!$I$33,L395=phu!$I$34,L395=phu!$I$35,L395=phu!$I$36,L395=phu!$I$37),"Cam Lộc",""),IF(OR(L395=phu!$I$38,L395=phu!$I$39,L395=phu!$I$40,L395=phu!$I$41,L395=phu!$I$42,L395=phu!$I$43,L395=phu!$I$44),"Cam Thuận",""),IF(OR(L395=phu!$I$45,L395=phu!$I$46,L395=phu!$I$47,L395=phu!$I$48,L395=phu!$I$49,L395=phu!$I$50,L395=phu!$I$51,L395=phu!$I$52,L395=phu!$I$53),"Cam Linh",""),IF(OR(L395=phu!$I$54,L395=phu!$I$55,L395=phu!$I$56,L395=phu!$I$57,L395=phu!$I$58,L395=phu!$I$59,L395=phu!$I$60,L395=phu!$I$61,L395=phu!$I$62),"Cam Lợi",""),IF(OR(L395=phu!$I$63,L395=phu!$I$64,L395=phu!$I$65,L395=phu!$I$66,L395=phu!$I$67,L395=phu!$I$68,L395=phu!$I$69,L395=phu!$I$70,L395=phu!$I$71),"Ba Ngòi",""),IF(OR(L395=phu!$I$72,L395=phu!$I$73,L395=phu!$I$74,L395=phu!$I$75,L395=phu!$I$76,L395=phu!$I$77,L395=phu!$I$78),"Cam Phước Đông",""),IF(OR(L395=phu!$I$79,L395=phu!$I$80,L395=phu!$I$81,L395=phu!$I$82,L395=phu!$I$83,L395=phu!$I$84),"Cam Thịnh Đông",""),IF(OR(L395=phu!$I$85,L395=phu!$I$86,L395=phu!$I$87,L395=phu!$I$88),"Cam Thịnh Tây",""),IF(OR(L395=phu!$I$89,L395=phu!$I$90),"Cam Lập",""),IF(OR(L395=phu!$I$91,L395=phu!$I$92,L395=phu!$I$93),"Cam Bình",""),IF(OR(L395=phu!$I$94,L395=phu!$I$95,L395=phu!$I$96,L395=phu!$I$97,L395=phu!$I$98,L395=phu!$I$99,L395=phu!$I$100),"Huyện khác",""),IF(OR(L395=phu!$I$101,L395=phu!$I$102),"Tỉnh khác",""))</f>
        <v/>
      </c>
      <c r="N395" s="835" t="str">
        <f t="shared" si="33"/>
        <v/>
      </c>
      <c r="O395" s="20"/>
      <c r="P395" s="20"/>
      <c r="Q395" s="20"/>
      <c r="R395" s="20"/>
      <c r="S395" s="20"/>
      <c r="T395" s="21"/>
      <c r="U395" s="21"/>
      <c r="V395" s="21"/>
      <c r="W395" s="7" t="str">
        <f t="shared" si="31"/>
        <v/>
      </c>
      <c r="X395" s="506" t="str">
        <f t="shared" si="32"/>
        <v/>
      </c>
    </row>
    <row r="396" spans="1:24" x14ac:dyDescent="0.25">
      <c r="A396" s="66" t="str">
        <f t="shared" si="34"/>
        <v/>
      </c>
      <c r="B396" s="23" t="str">
        <f t="shared" si="30"/>
        <v/>
      </c>
      <c r="C396" s="15"/>
      <c r="D396" s="16"/>
      <c r="E396" s="17"/>
      <c r="F396" s="18"/>
      <c r="G396" s="18"/>
      <c r="H396" s="19"/>
      <c r="I396" s="26"/>
      <c r="J396" s="20"/>
      <c r="K396" s="15"/>
      <c r="L396" s="15"/>
      <c r="M396" s="531" t="str">
        <f>CONCATENATE(IF(OR(L396=phu!$I$1,L396=phu!$I$2,L396=phu!$I$3),"Cam Thành Nam",""),IF(OR(L396=phu!$I$4,L396=phu!$I$5,L396=phu!$I$6,L396=phu!$I$7,L396=phu!$I$8,L396=phu!$I$9,L396=phu!$I$10,L396=phu!$I$11,L396=phu!$I$12,L396=phu!$I$13,L396=phu!$I$14),"Cam Nghĩa",""),IF(OR(L396=phu!$I$15,L396=phu!$I$16,L396=phu!$I$17,L396=phu!$I$18,L396=phu!$I$19,L396=phu!$I$20,L396=phu!$I$21),"Cam Phúc Bắc",""),IF(OR(L396=phu!$I$22,L396=phu!$I$23,L396=phu!$I$24,L396=phu!$I$25),"Cam Phúc Nam",""),IF(OR(L396=phu!$I$26,L396=phu!$I$27,L396=phu!$I$28,L396=phu!$I$29,L396=phu!$I$30,L396=phu!$I$31),"Cam Phú",""),IF(OR(L396=phu!$I$32,L396=phu!$I$33,L396=phu!$I$34,L396=phu!$I$35,L396=phu!$I$36,L396=phu!$I$37),"Cam Lộc",""),IF(OR(L396=phu!$I$38,L396=phu!$I$39,L396=phu!$I$40,L396=phu!$I$41,L396=phu!$I$42,L396=phu!$I$43,L396=phu!$I$44),"Cam Thuận",""),IF(OR(L396=phu!$I$45,L396=phu!$I$46,L396=phu!$I$47,L396=phu!$I$48,L396=phu!$I$49,L396=phu!$I$50,L396=phu!$I$51,L396=phu!$I$52,L396=phu!$I$53),"Cam Linh",""),IF(OR(L396=phu!$I$54,L396=phu!$I$55,L396=phu!$I$56,L396=phu!$I$57,L396=phu!$I$58,L396=phu!$I$59,L396=phu!$I$60,L396=phu!$I$61,L396=phu!$I$62),"Cam Lợi",""),IF(OR(L396=phu!$I$63,L396=phu!$I$64,L396=phu!$I$65,L396=phu!$I$66,L396=phu!$I$67,L396=phu!$I$68,L396=phu!$I$69,L396=phu!$I$70,L396=phu!$I$71),"Ba Ngòi",""),IF(OR(L396=phu!$I$72,L396=phu!$I$73,L396=phu!$I$74,L396=phu!$I$75,L396=phu!$I$76,L396=phu!$I$77,L396=phu!$I$78),"Cam Phước Đông",""),IF(OR(L396=phu!$I$79,L396=phu!$I$80,L396=phu!$I$81,L396=phu!$I$82,L396=phu!$I$83,L396=phu!$I$84),"Cam Thịnh Đông",""),IF(OR(L396=phu!$I$85,L396=phu!$I$86,L396=phu!$I$87,L396=phu!$I$88),"Cam Thịnh Tây",""),IF(OR(L396=phu!$I$89,L396=phu!$I$90),"Cam Lập",""),IF(OR(L396=phu!$I$91,L396=phu!$I$92,L396=phu!$I$93),"Cam Bình",""),IF(OR(L396=phu!$I$94,L396=phu!$I$95,L396=phu!$I$96,L396=phu!$I$97,L396=phu!$I$98,L396=phu!$I$99,L396=phu!$I$100),"Huyện khác",""),IF(OR(L396=phu!$I$101,L396=phu!$I$102),"Tỉnh khác",""))</f>
        <v/>
      </c>
      <c r="N396" s="835" t="str">
        <f t="shared" si="33"/>
        <v/>
      </c>
      <c r="O396" s="20"/>
      <c r="P396" s="20"/>
      <c r="Q396" s="20"/>
      <c r="R396" s="20"/>
      <c r="S396" s="20"/>
      <c r="T396" s="21"/>
      <c r="U396" s="21"/>
      <c r="V396" s="21"/>
      <c r="W396" s="7" t="str">
        <f t="shared" si="31"/>
        <v/>
      </c>
      <c r="X396" s="506" t="str">
        <f t="shared" si="32"/>
        <v/>
      </c>
    </row>
    <row r="397" spans="1:24" x14ac:dyDescent="0.25">
      <c r="A397" s="66" t="str">
        <f t="shared" si="34"/>
        <v/>
      </c>
      <c r="B397" s="23" t="str">
        <f t="shared" si="30"/>
        <v/>
      </c>
      <c r="C397" s="15"/>
      <c r="D397" s="16"/>
      <c r="E397" s="17"/>
      <c r="F397" s="18"/>
      <c r="G397" s="18"/>
      <c r="H397" s="19"/>
      <c r="I397" s="15"/>
      <c r="J397" s="20"/>
      <c r="K397" s="15"/>
      <c r="L397" s="15"/>
      <c r="M397" s="531" t="str">
        <f>CONCATENATE(IF(OR(L397=phu!$I$1,L397=phu!$I$2,L397=phu!$I$3),"Cam Thành Nam",""),IF(OR(L397=phu!$I$4,L397=phu!$I$5,L397=phu!$I$6,L397=phu!$I$7,L397=phu!$I$8,L397=phu!$I$9,L397=phu!$I$10,L397=phu!$I$11,L397=phu!$I$12,L397=phu!$I$13,L397=phu!$I$14),"Cam Nghĩa",""),IF(OR(L397=phu!$I$15,L397=phu!$I$16,L397=phu!$I$17,L397=phu!$I$18,L397=phu!$I$19,L397=phu!$I$20,L397=phu!$I$21),"Cam Phúc Bắc",""),IF(OR(L397=phu!$I$22,L397=phu!$I$23,L397=phu!$I$24,L397=phu!$I$25),"Cam Phúc Nam",""),IF(OR(L397=phu!$I$26,L397=phu!$I$27,L397=phu!$I$28,L397=phu!$I$29,L397=phu!$I$30,L397=phu!$I$31),"Cam Phú",""),IF(OR(L397=phu!$I$32,L397=phu!$I$33,L397=phu!$I$34,L397=phu!$I$35,L397=phu!$I$36,L397=phu!$I$37),"Cam Lộc",""),IF(OR(L397=phu!$I$38,L397=phu!$I$39,L397=phu!$I$40,L397=phu!$I$41,L397=phu!$I$42,L397=phu!$I$43,L397=phu!$I$44),"Cam Thuận",""),IF(OR(L397=phu!$I$45,L397=phu!$I$46,L397=phu!$I$47,L397=phu!$I$48,L397=phu!$I$49,L397=phu!$I$50,L397=phu!$I$51,L397=phu!$I$52,L397=phu!$I$53),"Cam Linh",""),IF(OR(L397=phu!$I$54,L397=phu!$I$55,L397=phu!$I$56,L397=phu!$I$57,L397=phu!$I$58,L397=phu!$I$59,L397=phu!$I$60,L397=phu!$I$61,L397=phu!$I$62),"Cam Lợi",""),IF(OR(L397=phu!$I$63,L397=phu!$I$64,L397=phu!$I$65,L397=phu!$I$66,L397=phu!$I$67,L397=phu!$I$68,L397=phu!$I$69,L397=phu!$I$70,L397=phu!$I$71),"Ba Ngòi",""),IF(OR(L397=phu!$I$72,L397=phu!$I$73,L397=phu!$I$74,L397=phu!$I$75,L397=phu!$I$76,L397=phu!$I$77,L397=phu!$I$78),"Cam Phước Đông",""),IF(OR(L397=phu!$I$79,L397=phu!$I$80,L397=phu!$I$81,L397=phu!$I$82,L397=phu!$I$83,L397=phu!$I$84),"Cam Thịnh Đông",""),IF(OR(L397=phu!$I$85,L397=phu!$I$86,L397=phu!$I$87,L397=phu!$I$88),"Cam Thịnh Tây",""),IF(OR(L397=phu!$I$89,L397=phu!$I$90),"Cam Lập",""),IF(OR(L397=phu!$I$91,L397=phu!$I$92,L397=phu!$I$93),"Cam Bình",""),IF(OR(L397=phu!$I$94,L397=phu!$I$95,L397=phu!$I$96,L397=phu!$I$97,L397=phu!$I$98,L397=phu!$I$99,L397=phu!$I$100),"Huyện khác",""),IF(OR(L397=phu!$I$101,L397=phu!$I$102),"Tỉnh khác",""))</f>
        <v/>
      </c>
      <c r="N397" s="835" t="str">
        <f t="shared" si="33"/>
        <v/>
      </c>
      <c r="O397" s="20"/>
      <c r="P397" s="20"/>
      <c r="Q397" s="20"/>
      <c r="R397" s="20"/>
      <c r="S397" s="20"/>
      <c r="T397" s="21"/>
      <c r="U397" s="21"/>
      <c r="V397" s="21"/>
      <c r="W397" s="7" t="str">
        <f t="shared" si="31"/>
        <v/>
      </c>
      <c r="X397" s="506" t="str">
        <f t="shared" si="32"/>
        <v/>
      </c>
    </row>
    <row r="398" spans="1:24" x14ac:dyDescent="0.25">
      <c r="A398" s="66" t="str">
        <f t="shared" si="34"/>
        <v/>
      </c>
      <c r="B398" s="23" t="str">
        <f t="shared" si="30"/>
        <v/>
      </c>
      <c r="C398" s="15"/>
      <c r="D398" s="16"/>
      <c r="E398" s="17"/>
      <c r="F398" s="18"/>
      <c r="G398" s="18"/>
      <c r="H398" s="19"/>
      <c r="I398" s="25"/>
      <c r="J398" s="20"/>
      <c r="K398" s="15"/>
      <c r="L398" s="15"/>
      <c r="M398" s="531" t="str">
        <f>CONCATENATE(IF(OR(L398=phu!$I$1,L398=phu!$I$2,L398=phu!$I$3),"Cam Thành Nam",""),IF(OR(L398=phu!$I$4,L398=phu!$I$5,L398=phu!$I$6,L398=phu!$I$7,L398=phu!$I$8,L398=phu!$I$9,L398=phu!$I$10,L398=phu!$I$11,L398=phu!$I$12,L398=phu!$I$13,L398=phu!$I$14),"Cam Nghĩa",""),IF(OR(L398=phu!$I$15,L398=phu!$I$16,L398=phu!$I$17,L398=phu!$I$18,L398=phu!$I$19,L398=phu!$I$20,L398=phu!$I$21),"Cam Phúc Bắc",""),IF(OR(L398=phu!$I$22,L398=phu!$I$23,L398=phu!$I$24,L398=phu!$I$25),"Cam Phúc Nam",""),IF(OR(L398=phu!$I$26,L398=phu!$I$27,L398=phu!$I$28,L398=phu!$I$29,L398=phu!$I$30,L398=phu!$I$31),"Cam Phú",""),IF(OR(L398=phu!$I$32,L398=phu!$I$33,L398=phu!$I$34,L398=phu!$I$35,L398=phu!$I$36,L398=phu!$I$37),"Cam Lộc",""),IF(OR(L398=phu!$I$38,L398=phu!$I$39,L398=phu!$I$40,L398=phu!$I$41,L398=phu!$I$42,L398=phu!$I$43,L398=phu!$I$44),"Cam Thuận",""),IF(OR(L398=phu!$I$45,L398=phu!$I$46,L398=phu!$I$47,L398=phu!$I$48,L398=phu!$I$49,L398=phu!$I$50,L398=phu!$I$51,L398=phu!$I$52,L398=phu!$I$53),"Cam Linh",""),IF(OR(L398=phu!$I$54,L398=phu!$I$55,L398=phu!$I$56,L398=phu!$I$57,L398=phu!$I$58,L398=phu!$I$59,L398=phu!$I$60,L398=phu!$I$61,L398=phu!$I$62),"Cam Lợi",""),IF(OR(L398=phu!$I$63,L398=phu!$I$64,L398=phu!$I$65,L398=phu!$I$66,L398=phu!$I$67,L398=phu!$I$68,L398=phu!$I$69,L398=phu!$I$70,L398=phu!$I$71),"Ba Ngòi",""),IF(OR(L398=phu!$I$72,L398=phu!$I$73,L398=phu!$I$74,L398=phu!$I$75,L398=phu!$I$76,L398=phu!$I$77,L398=phu!$I$78),"Cam Phước Đông",""),IF(OR(L398=phu!$I$79,L398=phu!$I$80,L398=phu!$I$81,L398=phu!$I$82,L398=phu!$I$83,L398=phu!$I$84),"Cam Thịnh Đông",""),IF(OR(L398=phu!$I$85,L398=phu!$I$86,L398=phu!$I$87,L398=phu!$I$88),"Cam Thịnh Tây",""),IF(OR(L398=phu!$I$89,L398=phu!$I$90),"Cam Lập",""),IF(OR(L398=phu!$I$91,L398=phu!$I$92,L398=phu!$I$93),"Cam Bình",""),IF(OR(L398=phu!$I$94,L398=phu!$I$95,L398=phu!$I$96,L398=phu!$I$97,L398=phu!$I$98,L398=phu!$I$99,L398=phu!$I$100),"Huyện khác",""),IF(OR(L398=phu!$I$101,L398=phu!$I$102),"Tỉnh khác",""))</f>
        <v/>
      </c>
      <c r="N398" s="835" t="str">
        <f t="shared" si="33"/>
        <v/>
      </c>
      <c r="O398" s="20"/>
      <c r="P398" s="20"/>
      <c r="Q398" s="20"/>
      <c r="R398" s="20"/>
      <c r="S398" s="20"/>
      <c r="T398" s="21"/>
      <c r="U398" s="21"/>
      <c r="V398" s="21"/>
      <c r="W398" s="7" t="str">
        <f t="shared" si="31"/>
        <v/>
      </c>
      <c r="X398" s="506" t="str">
        <f t="shared" si="32"/>
        <v/>
      </c>
    </row>
    <row r="399" spans="1:24" x14ac:dyDescent="0.25">
      <c r="A399" s="66" t="str">
        <f t="shared" si="34"/>
        <v/>
      </c>
      <c r="B399" s="23" t="str">
        <f t="shared" si="30"/>
        <v/>
      </c>
      <c r="C399" s="15"/>
      <c r="D399" s="16"/>
      <c r="E399" s="17"/>
      <c r="F399" s="18"/>
      <c r="G399" s="18"/>
      <c r="H399" s="19"/>
      <c r="I399" s="15"/>
      <c r="J399" s="20"/>
      <c r="K399" s="15"/>
      <c r="L399" s="15"/>
      <c r="M399" s="531" t="str">
        <f>CONCATENATE(IF(OR(L399=phu!$I$1,L399=phu!$I$2,L399=phu!$I$3),"Cam Thành Nam",""),IF(OR(L399=phu!$I$4,L399=phu!$I$5,L399=phu!$I$6,L399=phu!$I$7,L399=phu!$I$8,L399=phu!$I$9,L399=phu!$I$10,L399=phu!$I$11,L399=phu!$I$12,L399=phu!$I$13,L399=phu!$I$14),"Cam Nghĩa",""),IF(OR(L399=phu!$I$15,L399=phu!$I$16,L399=phu!$I$17,L399=phu!$I$18,L399=phu!$I$19,L399=phu!$I$20,L399=phu!$I$21),"Cam Phúc Bắc",""),IF(OR(L399=phu!$I$22,L399=phu!$I$23,L399=phu!$I$24,L399=phu!$I$25),"Cam Phúc Nam",""),IF(OR(L399=phu!$I$26,L399=phu!$I$27,L399=phu!$I$28,L399=phu!$I$29,L399=phu!$I$30,L399=phu!$I$31),"Cam Phú",""),IF(OR(L399=phu!$I$32,L399=phu!$I$33,L399=phu!$I$34,L399=phu!$I$35,L399=phu!$I$36,L399=phu!$I$37),"Cam Lộc",""),IF(OR(L399=phu!$I$38,L399=phu!$I$39,L399=phu!$I$40,L399=phu!$I$41,L399=phu!$I$42,L399=phu!$I$43,L399=phu!$I$44),"Cam Thuận",""),IF(OR(L399=phu!$I$45,L399=phu!$I$46,L399=phu!$I$47,L399=phu!$I$48,L399=phu!$I$49,L399=phu!$I$50,L399=phu!$I$51,L399=phu!$I$52,L399=phu!$I$53),"Cam Linh",""),IF(OR(L399=phu!$I$54,L399=phu!$I$55,L399=phu!$I$56,L399=phu!$I$57,L399=phu!$I$58,L399=phu!$I$59,L399=phu!$I$60,L399=phu!$I$61,L399=phu!$I$62),"Cam Lợi",""),IF(OR(L399=phu!$I$63,L399=phu!$I$64,L399=phu!$I$65,L399=phu!$I$66,L399=phu!$I$67,L399=phu!$I$68,L399=phu!$I$69,L399=phu!$I$70,L399=phu!$I$71),"Ba Ngòi",""),IF(OR(L399=phu!$I$72,L399=phu!$I$73,L399=phu!$I$74,L399=phu!$I$75,L399=phu!$I$76,L399=phu!$I$77,L399=phu!$I$78),"Cam Phước Đông",""),IF(OR(L399=phu!$I$79,L399=phu!$I$80,L399=phu!$I$81,L399=phu!$I$82,L399=phu!$I$83,L399=phu!$I$84),"Cam Thịnh Đông",""),IF(OR(L399=phu!$I$85,L399=phu!$I$86,L399=phu!$I$87,L399=phu!$I$88),"Cam Thịnh Tây",""),IF(OR(L399=phu!$I$89,L399=phu!$I$90),"Cam Lập",""),IF(OR(L399=phu!$I$91,L399=phu!$I$92,L399=phu!$I$93),"Cam Bình",""),IF(OR(L399=phu!$I$94,L399=phu!$I$95,L399=phu!$I$96,L399=phu!$I$97,L399=phu!$I$98,L399=phu!$I$99,L399=phu!$I$100),"Huyện khác",""),IF(OR(L399=phu!$I$101,L399=phu!$I$102),"Tỉnh khác",""))</f>
        <v/>
      </c>
      <c r="N399" s="835" t="str">
        <f t="shared" si="33"/>
        <v/>
      </c>
      <c r="O399" s="20"/>
      <c r="P399" s="20"/>
      <c r="Q399" s="20"/>
      <c r="R399" s="20"/>
      <c r="S399" s="20"/>
      <c r="T399" s="21"/>
      <c r="U399" s="21"/>
      <c r="V399" s="21"/>
      <c r="W399" s="7" t="str">
        <f t="shared" si="31"/>
        <v/>
      </c>
      <c r="X399" s="506" t="str">
        <f t="shared" si="32"/>
        <v/>
      </c>
    </row>
    <row r="400" spans="1:24" x14ac:dyDescent="0.25">
      <c r="A400" s="66" t="str">
        <f t="shared" si="34"/>
        <v/>
      </c>
      <c r="B400" s="23" t="str">
        <f t="shared" si="30"/>
        <v/>
      </c>
      <c r="C400" s="15"/>
      <c r="D400" s="16"/>
      <c r="E400" s="17"/>
      <c r="F400" s="18"/>
      <c r="G400" s="18"/>
      <c r="H400" s="19"/>
      <c r="I400" s="15"/>
      <c r="J400" s="20"/>
      <c r="K400" s="15"/>
      <c r="L400" s="15"/>
      <c r="M400" s="531" t="str">
        <f>CONCATENATE(IF(OR(L400=phu!$I$1,L400=phu!$I$2,L400=phu!$I$3),"Cam Thành Nam",""),IF(OR(L400=phu!$I$4,L400=phu!$I$5,L400=phu!$I$6,L400=phu!$I$7,L400=phu!$I$8,L400=phu!$I$9,L400=phu!$I$10,L400=phu!$I$11,L400=phu!$I$12,L400=phu!$I$13,L400=phu!$I$14),"Cam Nghĩa",""),IF(OR(L400=phu!$I$15,L400=phu!$I$16,L400=phu!$I$17,L400=phu!$I$18,L400=phu!$I$19,L400=phu!$I$20,L400=phu!$I$21),"Cam Phúc Bắc",""),IF(OR(L400=phu!$I$22,L400=phu!$I$23,L400=phu!$I$24,L400=phu!$I$25),"Cam Phúc Nam",""),IF(OR(L400=phu!$I$26,L400=phu!$I$27,L400=phu!$I$28,L400=phu!$I$29,L400=phu!$I$30,L400=phu!$I$31),"Cam Phú",""),IF(OR(L400=phu!$I$32,L400=phu!$I$33,L400=phu!$I$34,L400=phu!$I$35,L400=phu!$I$36,L400=phu!$I$37),"Cam Lộc",""),IF(OR(L400=phu!$I$38,L400=phu!$I$39,L400=phu!$I$40,L400=phu!$I$41,L400=phu!$I$42,L400=phu!$I$43,L400=phu!$I$44),"Cam Thuận",""),IF(OR(L400=phu!$I$45,L400=phu!$I$46,L400=phu!$I$47,L400=phu!$I$48,L400=phu!$I$49,L400=phu!$I$50,L400=phu!$I$51,L400=phu!$I$52,L400=phu!$I$53),"Cam Linh",""),IF(OR(L400=phu!$I$54,L400=phu!$I$55,L400=phu!$I$56,L400=phu!$I$57,L400=phu!$I$58,L400=phu!$I$59,L400=phu!$I$60,L400=phu!$I$61,L400=phu!$I$62),"Cam Lợi",""),IF(OR(L400=phu!$I$63,L400=phu!$I$64,L400=phu!$I$65,L400=phu!$I$66,L400=phu!$I$67,L400=phu!$I$68,L400=phu!$I$69,L400=phu!$I$70,L400=phu!$I$71),"Ba Ngòi",""),IF(OR(L400=phu!$I$72,L400=phu!$I$73,L400=phu!$I$74,L400=phu!$I$75,L400=phu!$I$76,L400=phu!$I$77,L400=phu!$I$78),"Cam Phước Đông",""),IF(OR(L400=phu!$I$79,L400=phu!$I$80,L400=phu!$I$81,L400=phu!$I$82,L400=phu!$I$83,L400=phu!$I$84),"Cam Thịnh Đông",""),IF(OR(L400=phu!$I$85,L400=phu!$I$86,L400=phu!$I$87,L400=phu!$I$88),"Cam Thịnh Tây",""),IF(OR(L400=phu!$I$89,L400=phu!$I$90),"Cam Lập",""),IF(OR(L400=phu!$I$91,L400=phu!$I$92,L400=phu!$I$93),"Cam Bình",""),IF(OR(L400=phu!$I$94,L400=phu!$I$95,L400=phu!$I$96,L400=phu!$I$97,L400=phu!$I$98,L400=phu!$I$99,L400=phu!$I$100),"Huyện khác",""),IF(OR(L400=phu!$I$101,L400=phu!$I$102),"Tỉnh khác",""))</f>
        <v/>
      </c>
      <c r="N400" s="835" t="str">
        <f t="shared" si="33"/>
        <v/>
      </c>
      <c r="O400" s="20"/>
      <c r="P400" s="20"/>
      <c r="Q400" s="20"/>
      <c r="R400" s="20"/>
      <c r="S400" s="20"/>
      <c r="T400" s="21"/>
      <c r="U400" s="21"/>
      <c r="V400" s="21"/>
      <c r="W400" s="7" t="str">
        <f t="shared" si="31"/>
        <v/>
      </c>
      <c r="X400" s="506" t="str">
        <f t="shared" si="32"/>
        <v/>
      </c>
    </row>
    <row r="401" spans="1:24" x14ac:dyDescent="0.25">
      <c r="A401" s="66" t="str">
        <f t="shared" si="34"/>
        <v/>
      </c>
      <c r="B401" s="23" t="str">
        <f t="shared" si="30"/>
        <v/>
      </c>
      <c r="C401" s="15"/>
      <c r="D401" s="16"/>
      <c r="E401" s="17"/>
      <c r="F401" s="18"/>
      <c r="G401" s="18"/>
      <c r="H401" s="19"/>
      <c r="I401" s="15"/>
      <c r="J401" s="20"/>
      <c r="K401" s="15"/>
      <c r="L401" s="15"/>
      <c r="M401" s="531" t="str">
        <f>CONCATENATE(IF(OR(L401=phu!$I$1,L401=phu!$I$2,L401=phu!$I$3),"Cam Thành Nam",""),IF(OR(L401=phu!$I$4,L401=phu!$I$5,L401=phu!$I$6,L401=phu!$I$7,L401=phu!$I$8,L401=phu!$I$9,L401=phu!$I$10,L401=phu!$I$11,L401=phu!$I$12,L401=phu!$I$13,L401=phu!$I$14),"Cam Nghĩa",""),IF(OR(L401=phu!$I$15,L401=phu!$I$16,L401=phu!$I$17,L401=phu!$I$18,L401=phu!$I$19,L401=phu!$I$20,L401=phu!$I$21),"Cam Phúc Bắc",""),IF(OR(L401=phu!$I$22,L401=phu!$I$23,L401=phu!$I$24,L401=phu!$I$25),"Cam Phúc Nam",""),IF(OR(L401=phu!$I$26,L401=phu!$I$27,L401=phu!$I$28,L401=phu!$I$29,L401=phu!$I$30,L401=phu!$I$31),"Cam Phú",""),IF(OR(L401=phu!$I$32,L401=phu!$I$33,L401=phu!$I$34,L401=phu!$I$35,L401=phu!$I$36,L401=phu!$I$37),"Cam Lộc",""),IF(OR(L401=phu!$I$38,L401=phu!$I$39,L401=phu!$I$40,L401=phu!$I$41,L401=phu!$I$42,L401=phu!$I$43,L401=phu!$I$44),"Cam Thuận",""),IF(OR(L401=phu!$I$45,L401=phu!$I$46,L401=phu!$I$47,L401=phu!$I$48,L401=phu!$I$49,L401=phu!$I$50,L401=phu!$I$51,L401=phu!$I$52,L401=phu!$I$53),"Cam Linh",""),IF(OR(L401=phu!$I$54,L401=phu!$I$55,L401=phu!$I$56,L401=phu!$I$57,L401=phu!$I$58,L401=phu!$I$59,L401=phu!$I$60,L401=phu!$I$61,L401=phu!$I$62),"Cam Lợi",""),IF(OR(L401=phu!$I$63,L401=phu!$I$64,L401=phu!$I$65,L401=phu!$I$66,L401=phu!$I$67,L401=phu!$I$68,L401=phu!$I$69,L401=phu!$I$70,L401=phu!$I$71),"Ba Ngòi",""),IF(OR(L401=phu!$I$72,L401=phu!$I$73,L401=phu!$I$74,L401=phu!$I$75,L401=phu!$I$76,L401=phu!$I$77,L401=phu!$I$78),"Cam Phước Đông",""),IF(OR(L401=phu!$I$79,L401=phu!$I$80,L401=phu!$I$81,L401=phu!$I$82,L401=phu!$I$83,L401=phu!$I$84),"Cam Thịnh Đông",""),IF(OR(L401=phu!$I$85,L401=phu!$I$86,L401=phu!$I$87,L401=phu!$I$88),"Cam Thịnh Tây",""),IF(OR(L401=phu!$I$89,L401=phu!$I$90),"Cam Lập",""),IF(OR(L401=phu!$I$91,L401=phu!$I$92,L401=phu!$I$93),"Cam Bình",""),IF(OR(L401=phu!$I$94,L401=phu!$I$95,L401=phu!$I$96,L401=phu!$I$97,L401=phu!$I$98,L401=phu!$I$99,L401=phu!$I$100),"Huyện khác",""),IF(OR(L401=phu!$I$101,L401=phu!$I$102),"Tỉnh khác",""))</f>
        <v/>
      </c>
      <c r="N401" s="835" t="str">
        <f t="shared" si="33"/>
        <v/>
      </c>
      <c r="O401" s="20"/>
      <c r="P401" s="20"/>
      <c r="Q401" s="20"/>
      <c r="R401" s="20"/>
      <c r="S401" s="20"/>
      <c r="T401" s="21"/>
      <c r="U401" s="21"/>
      <c r="V401" s="21"/>
      <c r="W401" s="7" t="str">
        <f t="shared" si="31"/>
        <v/>
      </c>
      <c r="X401" s="506" t="str">
        <f t="shared" si="32"/>
        <v/>
      </c>
    </row>
    <row r="402" spans="1:24" x14ac:dyDescent="0.25">
      <c r="A402" s="66" t="str">
        <f t="shared" si="34"/>
        <v/>
      </c>
      <c r="B402" s="23" t="str">
        <f t="shared" si="30"/>
        <v/>
      </c>
      <c r="C402" s="15"/>
      <c r="D402" s="16"/>
      <c r="E402" s="17"/>
      <c r="F402" s="18"/>
      <c r="G402" s="18"/>
      <c r="H402" s="19"/>
      <c r="I402" s="15"/>
      <c r="J402" s="20"/>
      <c r="K402" s="15"/>
      <c r="L402" s="15"/>
      <c r="M402" s="531" t="str">
        <f>CONCATENATE(IF(OR(L402=phu!$I$1,L402=phu!$I$2,L402=phu!$I$3),"Cam Thành Nam",""),IF(OR(L402=phu!$I$4,L402=phu!$I$5,L402=phu!$I$6,L402=phu!$I$7,L402=phu!$I$8,L402=phu!$I$9,L402=phu!$I$10,L402=phu!$I$11,L402=phu!$I$12,L402=phu!$I$13,L402=phu!$I$14),"Cam Nghĩa",""),IF(OR(L402=phu!$I$15,L402=phu!$I$16,L402=phu!$I$17,L402=phu!$I$18,L402=phu!$I$19,L402=phu!$I$20,L402=phu!$I$21),"Cam Phúc Bắc",""),IF(OR(L402=phu!$I$22,L402=phu!$I$23,L402=phu!$I$24,L402=phu!$I$25),"Cam Phúc Nam",""),IF(OR(L402=phu!$I$26,L402=phu!$I$27,L402=phu!$I$28,L402=phu!$I$29,L402=phu!$I$30,L402=phu!$I$31),"Cam Phú",""),IF(OR(L402=phu!$I$32,L402=phu!$I$33,L402=phu!$I$34,L402=phu!$I$35,L402=phu!$I$36,L402=phu!$I$37),"Cam Lộc",""),IF(OR(L402=phu!$I$38,L402=phu!$I$39,L402=phu!$I$40,L402=phu!$I$41,L402=phu!$I$42,L402=phu!$I$43,L402=phu!$I$44),"Cam Thuận",""),IF(OR(L402=phu!$I$45,L402=phu!$I$46,L402=phu!$I$47,L402=phu!$I$48,L402=phu!$I$49,L402=phu!$I$50,L402=phu!$I$51,L402=phu!$I$52,L402=phu!$I$53),"Cam Linh",""),IF(OR(L402=phu!$I$54,L402=phu!$I$55,L402=phu!$I$56,L402=phu!$I$57,L402=phu!$I$58,L402=phu!$I$59,L402=phu!$I$60,L402=phu!$I$61,L402=phu!$I$62),"Cam Lợi",""),IF(OR(L402=phu!$I$63,L402=phu!$I$64,L402=phu!$I$65,L402=phu!$I$66,L402=phu!$I$67,L402=phu!$I$68,L402=phu!$I$69,L402=phu!$I$70,L402=phu!$I$71),"Ba Ngòi",""),IF(OR(L402=phu!$I$72,L402=phu!$I$73,L402=phu!$I$74,L402=phu!$I$75,L402=phu!$I$76,L402=phu!$I$77,L402=phu!$I$78),"Cam Phước Đông",""),IF(OR(L402=phu!$I$79,L402=phu!$I$80,L402=phu!$I$81,L402=phu!$I$82,L402=phu!$I$83,L402=phu!$I$84),"Cam Thịnh Đông",""),IF(OR(L402=phu!$I$85,L402=phu!$I$86,L402=phu!$I$87,L402=phu!$I$88),"Cam Thịnh Tây",""),IF(OR(L402=phu!$I$89,L402=phu!$I$90),"Cam Lập",""),IF(OR(L402=phu!$I$91,L402=phu!$I$92,L402=phu!$I$93),"Cam Bình",""),IF(OR(L402=phu!$I$94,L402=phu!$I$95,L402=phu!$I$96,L402=phu!$I$97,L402=phu!$I$98,L402=phu!$I$99,L402=phu!$I$100),"Huyện khác",""),IF(OR(L402=phu!$I$101,L402=phu!$I$102),"Tỉnh khác",""))</f>
        <v/>
      </c>
      <c r="N402" s="835" t="str">
        <f t="shared" si="33"/>
        <v/>
      </c>
      <c r="O402" s="20"/>
      <c r="P402" s="20"/>
      <c r="Q402" s="20"/>
      <c r="R402" s="20"/>
      <c r="S402" s="20"/>
      <c r="T402" s="21"/>
      <c r="U402" s="21"/>
      <c r="V402" s="21"/>
      <c r="W402" s="7" t="str">
        <f t="shared" si="31"/>
        <v/>
      </c>
      <c r="X402" s="506" t="str">
        <f t="shared" si="32"/>
        <v/>
      </c>
    </row>
    <row r="403" spans="1:24" x14ac:dyDescent="0.25">
      <c r="A403" s="66" t="str">
        <f t="shared" si="34"/>
        <v/>
      </c>
      <c r="B403" s="23" t="str">
        <f t="shared" si="30"/>
        <v/>
      </c>
      <c r="C403" s="15"/>
      <c r="D403" s="16"/>
      <c r="E403" s="17"/>
      <c r="F403" s="18"/>
      <c r="G403" s="18"/>
      <c r="H403" s="19"/>
      <c r="I403" s="15"/>
      <c r="J403" s="20"/>
      <c r="K403" s="15"/>
      <c r="L403" s="15"/>
      <c r="M403" s="531" t="str">
        <f>CONCATENATE(IF(OR(L403=phu!$I$1,L403=phu!$I$2,L403=phu!$I$3),"Cam Thành Nam",""),IF(OR(L403=phu!$I$4,L403=phu!$I$5,L403=phu!$I$6,L403=phu!$I$7,L403=phu!$I$8,L403=phu!$I$9,L403=phu!$I$10,L403=phu!$I$11,L403=phu!$I$12,L403=phu!$I$13,L403=phu!$I$14),"Cam Nghĩa",""),IF(OR(L403=phu!$I$15,L403=phu!$I$16,L403=phu!$I$17,L403=phu!$I$18,L403=phu!$I$19,L403=phu!$I$20,L403=phu!$I$21),"Cam Phúc Bắc",""),IF(OR(L403=phu!$I$22,L403=phu!$I$23,L403=phu!$I$24,L403=phu!$I$25),"Cam Phúc Nam",""),IF(OR(L403=phu!$I$26,L403=phu!$I$27,L403=phu!$I$28,L403=phu!$I$29,L403=phu!$I$30,L403=phu!$I$31),"Cam Phú",""),IF(OR(L403=phu!$I$32,L403=phu!$I$33,L403=phu!$I$34,L403=phu!$I$35,L403=phu!$I$36,L403=phu!$I$37),"Cam Lộc",""),IF(OR(L403=phu!$I$38,L403=phu!$I$39,L403=phu!$I$40,L403=phu!$I$41,L403=phu!$I$42,L403=phu!$I$43,L403=phu!$I$44),"Cam Thuận",""),IF(OR(L403=phu!$I$45,L403=phu!$I$46,L403=phu!$I$47,L403=phu!$I$48,L403=phu!$I$49,L403=phu!$I$50,L403=phu!$I$51,L403=phu!$I$52,L403=phu!$I$53),"Cam Linh",""),IF(OR(L403=phu!$I$54,L403=phu!$I$55,L403=phu!$I$56,L403=phu!$I$57,L403=phu!$I$58,L403=phu!$I$59,L403=phu!$I$60,L403=phu!$I$61,L403=phu!$I$62),"Cam Lợi",""),IF(OR(L403=phu!$I$63,L403=phu!$I$64,L403=phu!$I$65,L403=phu!$I$66,L403=phu!$I$67,L403=phu!$I$68,L403=phu!$I$69,L403=phu!$I$70,L403=phu!$I$71),"Ba Ngòi",""),IF(OR(L403=phu!$I$72,L403=phu!$I$73,L403=phu!$I$74,L403=phu!$I$75,L403=phu!$I$76,L403=phu!$I$77,L403=phu!$I$78),"Cam Phước Đông",""),IF(OR(L403=phu!$I$79,L403=phu!$I$80,L403=phu!$I$81,L403=phu!$I$82,L403=phu!$I$83,L403=phu!$I$84),"Cam Thịnh Đông",""),IF(OR(L403=phu!$I$85,L403=phu!$I$86,L403=phu!$I$87,L403=phu!$I$88),"Cam Thịnh Tây",""),IF(OR(L403=phu!$I$89,L403=phu!$I$90),"Cam Lập",""),IF(OR(L403=phu!$I$91,L403=phu!$I$92,L403=phu!$I$93),"Cam Bình",""),IF(OR(L403=phu!$I$94,L403=phu!$I$95,L403=phu!$I$96,L403=phu!$I$97,L403=phu!$I$98,L403=phu!$I$99,L403=phu!$I$100),"Huyện khác",""),IF(OR(L403=phu!$I$101,L403=phu!$I$102),"Tỉnh khác",""))</f>
        <v/>
      </c>
      <c r="N403" s="835" t="str">
        <f t="shared" si="33"/>
        <v/>
      </c>
      <c r="O403" s="20"/>
      <c r="P403" s="20"/>
      <c r="Q403" s="20"/>
      <c r="R403" s="20"/>
      <c r="S403" s="20"/>
      <c r="T403" s="21"/>
      <c r="U403" s="21"/>
      <c r="V403" s="21"/>
      <c r="W403" s="7" t="str">
        <f t="shared" si="31"/>
        <v/>
      </c>
      <c r="X403" s="506" t="str">
        <f t="shared" si="32"/>
        <v/>
      </c>
    </row>
    <row r="404" spans="1:24" x14ac:dyDescent="0.25">
      <c r="A404" s="66" t="str">
        <f t="shared" si="34"/>
        <v/>
      </c>
      <c r="B404" s="23" t="str">
        <f t="shared" si="30"/>
        <v/>
      </c>
      <c r="C404" s="15"/>
      <c r="D404" s="16"/>
      <c r="E404" s="17"/>
      <c r="F404" s="18"/>
      <c r="G404" s="18"/>
      <c r="H404" s="19"/>
      <c r="I404" s="15"/>
      <c r="J404" s="20"/>
      <c r="K404" s="15"/>
      <c r="L404" s="15"/>
      <c r="M404" s="531" t="str">
        <f>CONCATENATE(IF(OR(L404=phu!$I$1,L404=phu!$I$2,L404=phu!$I$3),"Cam Thành Nam",""),IF(OR(L404=phu!$I$4,L404=phu!$I$5,L404=phu!$I$6,L404=phu!$I$7,L404=phu!$I$8,L404=phu!$I$9,L404=phu!$I$10,L404=phu!$I$11,L404=phu!$I$12,L404=phu!$I$13,L404=phu!$I$14),"Cam Nghĩa",""),IF(OR(L404=phu!$I$15,L404=phu!$I$16,L404=phu!$I$17,L404=phu!$I$18,L404=phu!$I$19,L404=phu!$I$20,L404=phu!$I$21),"Cam Phúc Bắc",""),IF(OR(L404=phu!$I$22,L404=phu!$I$23,L404=phu!$I$24,L404=phu!$I$25),"Cam Phúc Nam",""),IF(OR(L404=phu!$I$26,L404=phu!$I$27,L404=phu!$I$28,L404=phu!$I$29,L404=phu!$I$30,L404=phu!$I$31),"Cam Phú",""),IF(OR(L404=phu!$I$32,L404=phu!$I$33,L404=phu!$I$34,L404=phu!$I$35,L404=phu!$I$36,L404=phu!$I$37),"Cam Lộc",""),IF(OR(L404=phu!$I$38,L404=phu!$I$39,L404=phu!$I$40,L404=phu!$I$41,L404=phu!$I$42,L404=phu!$I$43,L404=phu!$I$44),"Cam Thuận",""),IF(OR(L404=phu!$I$45,L404=phu!$I$46,L404=phu!$I$47,L404=phu!$I$48,L404=phu!$I$49,L404=phu!$I$50,L404=phu!$I$51,L404=phu!$I$52,L404=phu!$I$53),"Cam Linh",""),IF(OR(L404=phu!$I$54,L404=phu!$I$55,L404=phu!$I$56,L404=phu!$I$57,L404=phu!$I$58,L404=phu!$I$59,L404=phu!$I$60,L404=phu!$I$61,L404=phu!$I$62),"Cam Lợi",""),IF(OR(L404=phu!$I$63,L404=phu!$I$64,L404=phu!$I$65,L404=phu!$I$66,L404=phu!$I$67,L404=phu!$I$68,L404=phu!$I$69,L404=phu!$I$70,L404=phu!$I$71),"Ba Ngòi",""),IF(OR(L404=phu!$I$72,L404=phu!$I$73,L404=phu!$I$74,L404=phu!$I$75,L404=phu!$I$76,L404=phu!$I$77,L404=phu!$I$78),"Cam Phước Đông",""),IF(OR(L404=phu!$I$79,L404=phu!$I$80,L404=phu!$I$81,L404=phu!$I$82,L404=phu!$I$83,L404=phu!$I$84),"Cam Thịnh Đông",""),IF(OR(L404=phu!$I$85,L404=phu!$I$86,L404=phu!$I$87,L404=phu!$I$88),"Cam Thịnh Tây",""),IF(OR(L404=phu!$I$89,L404=phu!$I$90),"Cam Lập",""),IF(OR(L404=phu!$I$91,L404=phu!$I$92,L404=phu!$I$93),"Cam Bình",""),IF(OR(L404=phu!$I$94,L404=phu!$I$95,L404=phu!$I$96,L404=phu!$I$97,L404=phu!$I$98,L404=phu!$I$99,L404=phu!$I$100),"Huyện khác",""),IF(OR(L404=phu!$I$101,L404=phu!$I$102),"Tỉnh khác",""))</f>
        <v/>
      </c>
      <c r="N404" s="835" t="str">
        <f t="shared" si="33"/>
        <v/>
      </c>
      <c r="O404" s="20"/>
      <c r="P404" s="20"/>
      <c r="Q404" s="20"/>
      <c r="R404" s="20"/>
      <c r="S404" s="20"/>
      <c r="T404" s="21"/>
      <c r="U404" s="21"/>
      <c r="V404" s="21"/>
      <c r="W404" s="7" t="str">
        <f t="shared" si="31"/>
        <v/>
      </c>
      <c r="X404" s="506" t="str">
        <f t="shared" si="32"/>
        <v/>
      </c>
    </row>
    <row r="405" spans="1:24" x14ac:dyDescent="0.25">
      <c r="A405" s="66" t="str">
        <f t="shared" si="34"/>
        <v/>
      </c>
      <c r="B405" s="23" t="str">
        <f t="shared" si="30"/>
        <v/>
      </c>
      <c r="C405" s="15"/>
      <c r="D405" s="16"/>
      <c r="E405" s="17"/>
      <c r="F405" s="18"/>
      <c r="G405" s="18"/>
      <c r="H405" s="19"/>
      <c r="I405" s="15"/>
      <c r="J405" s="20"/>
      <c r="K405" s="15"/>
      <c r="L405" s="15"/>
      <c r="M405" s="531" t="str">
        <f>CONCATENATE(IF(OR(L405=phu!$I$1,L405=phu!$I$2,L405=phu!$I$3),"Cam Thành Nam",""),IF(OR(L405=phu!$I$4,L405=phu!$I$5,L405=phu!$I$6,L405=phu!$I$7,L405=phu!$I$8,L405=phu!$I$9,L405=phu!$I$10,L405=phu!$I$11,L405=phu!$I$12,L405=phu!$I$13,L405=phu!$I$14),"Cam Nghĩa",""),IF(OR(L405=phu!$I$15,L405=phu!$I$16,L405=phu!$I$17,L405=phu!$I$18,L405=phu!$I$19,L405=phu!$I$20,L405=phu!$I$21),"Cam Phúc Bắc",""),IF(OR(L405=phu!$I$22,L405=phu!$I$23,L405=phu!$I$24,L405=phu!$I$25),"Cam Phúc Nam",""),IF(OR(L405=phu!$I$26,L405=phu!$I$27,L405=phu!$I$28,L405=phu!$I$29,L405=phu!$I$30,L405=phu!$I$31),"Cam Phú",""),IF(OR(L405=phu!$I$32,L405=phu!$I$33,L405=phu!$I$34,L405=phu!$I$35,L405=phu!$I$36,L405=phu!$I$37),"Cam Lộc",""),IF(OR(L405=phu!$I$38,L405=phu!$I$39,L405=phu!$I$40,L405=phu!$I$41,L405=phu!$I$42,L405=phu!$I$43,L405=phu!$I$44),"Cam Thuận",""),IF(OR(L405=phu!$I$45,L405=phu!$I$46,L405=phu!$I$47,L405=phu!$I$48,L405=phu!$I$49,L405=phu!$I$50,L405=phu!$I$51,L405=phu!$I$52,L405=phu!$I$53),"Cam Linh",""),IF(OR(L405=phu!$I$54,L405=phu!$I$55,L405=phu!$I$56,L405=phu!$I$57,L405=phu!$I$58,L405=phu!$I$59,L405=phu!$I$60,L405=phu!$I$61,L405=phu!$I$62),"Cam Lợi",""),IF(OR(L405=phu!$I$63,L405=phu!$I$64,L405=phu!$I$65,L405=phu!$I$66,L405=phu!$I$67,L405=phu!$I$68,L405=phu!$I$69,L405=phu!$I$70,L405=phu!$I$71),"Ba Ngòi",""),IF(OR(L405=phu!$I$72,L405=phu!$I$73,L405=phu!$I$74,L405=phu!$I$75,L405=phu!$I$76,L405=phu!$I$77,L405=phu!$I$78),"Cam Phước Đông",""),IF(OR(L405=phu!$I$79,L405=phu!$I$80,L405=phu!$I$81,L405=phu!$I$82,L405=phu!$I$83,L405=phu!$I$84),"Cam Thịnh Đông",""),IF(OR(L405=phu!$I$85,L405=phu!$I$86,L405=phu!$I$87,L405=phu!$I$88),"Cam Thịnh Tây",""),IF(OR(L405=phu!$I$89,L405=phu!$I$90),"Cam Lập",""),IF(OR(L405=phu!$I$91,L405=phu!$I$92,L405=phu!$I$93),"Cam Bình",""),IF(OR(L405=phu!$I$94,L405=phu!$I$95,L405=phu!$I$96,L405=phu!$I$97,L405=phu!$I$98,L405=phu!$I$99,L405=phu!$I$100),"Huyện khác",""),IF(OR(L405=phu!$I$101,L405=phu!$I$102),"Tỉnh khác",""))</f>
        <v/>
      </c>
      <c r="N405" s="835" t="str">
        <f t="shared" si="33"/>
        <v/>
      </c>
      <c r="O405" s="20"/>
      <c r="P405" s="20"/>
      <c r="Q405" s="20"/>
      <c r="R405" s="20"/>
      <c r="S405" s="20"/>
      <c r="T405" s="21"/>
      <c r="U405" s="21"/>
      <c r="V405" s="21"/>
      <c r="W405" s="7" t="str">
        <f t="shared" si="31"/>
        <v/>
      </c>
      <c r="X405" s="506" t="str">
        <f t="shared" si="32"/>
        <v/>
      </c>
    </row>
    <row r="406" spans="1:24" x14ac:dyDescent="0.25">
      <c r="A406" s="66" t="str">
        <f t="shared" si="34"/>
        <v/>
      </c>
      <c r="B406" s="23" t="str">
        <f t="shared" si="30"/>
        <v/>
      </c>
      <c r="C406" s="15"/>
      <c r="D406" s="16"/>
      <c r="E406" s="17"/>
      <c r="F406" s="18"/>
      <c r="G406" s="18"/>
      <c r="H406" s="19"/>
      <c r="I406" s="15"/>
      <c r="J406" s="20"/>
      <c r="K406" s="15"/>
      <c r="L406" s="15"/>
      <c r="M406" s="531" t="str">
        <f>CONCATENATE(IF(OR(L406=phu!$I$1,L406=phu!$I$2,L406=phu!$I$3),"Cam Thành Nam",""),IF(OR(L406=phu!$I$4,L406=phu!$I$5,L406=phu!$I$6,L406=phu!$I$7,L406=phu!$I$8,L406=phu!$I$9,L406=phu!$I$10,L406=phu!$I$11,L406=phu!$I$12,L406=phu!$I$13,L406=phu!$I$14),"Cam Nghĩa",""),IF(OR(L406=phu!$I$15,L406=phu!$I$16,L406=phu!$I$17,L406=phu!$I$18,L406=phu!$I$19,L406=phu!$I$20,L406=phu!$I$21),"Cam Phúc Bắc",""),IF(OR(L406=phu!$I$22,L406=phu!$I$23,L406=phu!$I$24,L406=phu!$I$25),"Cam Phúc Nam",""),IF(OR(L406=phu!$I$26,L406=phu!$I$27,L406=phu!$I$28,L406=phu!$I$29,L406=phu!$I$30,L406=phu!$I$31),"Cam Phú",""),IF(OR(L406=phu!$I$32,L406=phu!$I$33,L406=phu!$I$34,L406=phu!$I$35,L406=phu!$I$36,L406=phu!$I$37),"Cam Lộc",""),IF(OR(L406=phu!$I$38,L406=phu!$I$39,L406=phu!$I$40,L406=phu!$I$41,L406=phu!$I$42,L406=phu!$I$43,L406=phu!$I$44),"Cam Thuận",""),IF(OR(L406=phu!$I$45,L406=phu!$I$46,L406=phu!$I$47,L406=phu!$I$48,L406=phu!$I$49,L406=phu!$I$50,L406=phu!$I$51,L406=phu!$I$52,L406=phu!$I$53),"Cam Linh",""),IF(OR(L406=phu!$I$54,L406=phu!$I$55,L406=phu!$I$56,L406=phu!$I$57,L406=phu!$I$58,L406=phu!$I$59,L406=phu!$I$60,L406=phu!$I$61,L406=phu!$I$62),"Cam Lợi",""),IF(OR(L406=phu!$I$63,L406=phu!$I$64,L406=phu!$I$65,L406=phu!$I$66,L406=phu!$I$67,L406=phu!$I$68,L406=phu!$I$69,L406=phu!$I$70,L406=phu!$I$71),"Ba Ngòi",""),IF(OR(L406=phu!$I$72,L406=phu!$I$73,L406=phu!$I$74,L406=phu!$I$75,L406=phu!$I$76,L406=phu!$I$77,L406=phu!$I$78),"Cam Phước Đông",""),IF(OR(L406=phu!$I$79,L406=phu!$I$80,L406=phu!$I$81,L406=phu!$I$82,L406=phu!$I$83,L406=phu!$I$84),"Cam Thịnh Đông",""),IF(OR(L406=phu!$I$85,L406=phu!$I$86,L406=phu!$I$87,L406=phu!$I$88),"Cam Thịnh Tây",""),IF(OR(L406=phu!$I$89,L406=phu!$I$90),"Cam Lập",""),IF(OR(L406=phu!$I$91,L406=phu!$I$92,L406=phu!$I$93),"Cam Bình",""),IF(OR(L406=phu!$I$94,L406=phu!$I$95,L406=phu!$I$96,L406=phu!$I$97,L406=phu!$I$98,L406=phu!$I$99,L406=phu!$I$100),"Huyện khác",""),IF(OR(L406=phu!$I$101,L406=phu!$I$102),"Tỉnh khác",""))</f>
        <v/>
      </c>
      <c r="N406" s="835" t="str">
        <f t="shared" si="33"/>
        <v/>
      </c>
      <c r="O406" s="20"/>
      <c r="P406" s="20"/>
      <c r="Q406" s="20"/>
      <c r="R406" s="20"/>
      <c r="S406" s="20"/>
      <c r="T406" s="21"/>
      <c r="U406" s="21"/>
      <c r="V406" s="21"/>
      <c r="W406" s="7" t="str">
        <f t="shared" si="31"/>
        <v/>
      </c>
      <c r="X406" s="506" t="str">
        <f t="shared" si="32"/>
        <v/>
      </c>
    </row>
    <row r="407" spans="1:24" x14ac:dyDescent="0.25">
      <c r="A407" s="66" t="str">
        <f t="shared" si="34"/>
        <v/>
      </c>
      <c r="B407" s="23" t="str">
        <f t="shared" si="30"/>
        <v/>
      </c>
      <c r="C407" s="15"/>
      <c r="D407" s="16"/>
      <c r="E407" s="17"/>
      <c r="F407" s="18"/>
      <c r="G407" s="18"/>
      <c r="H407" s="19"/>
      <c r="I407" s="15"/>
      <c r="J407" s="20"/>
      <c r="K407" s="15"/>
      <c r="L407" s="15"/>
      <c r="M407" s="531" t="str">
        <f>CONCATENATE(IF(OR(L407=phu!$I$1,L407=phu!$I$2,L407=phu!$I$3),"Cam Thành Nam",""),IF(OR(L407=phu!$I$4,L407=phu!$I$5,L407=phu!$I$6,L407=phu!$I$7,L407=phu!$I$8,L407=phu!$I$9,L407=phu!$I$10,L407=phu!$I$11,L407=phu!$I$12,L407=phu!$I$13,L407=phu!$I$14),"Cam Nghĩa",""),IF(OR(L407=phu!$I$15,L407=phu!$I$16,L407=phu!$I$17,L407=phu!$I$18,L407=phu!$I$19,L407=phu!$I$20,L407=phu!$I$21),"Cam Phúc Bắc",""),IF(OR(L407=phu!$I$22,L407=phu!$I$23,L407=phu!$I$24,L407=phu!$I$25),"Cam Phúc Nam",""),IF(OR(L407=phu!$I$26,L407=phu!$I$27,L407=phu!$I$28,L407=phu!$I$29,L407=phu!$I$30,L407=phu!$I$31),"Cam Phú",""),IF(OR(L407=phu!$I$32,L407=phu!$I$33,L407=phu!$I$34,L407=phu!$I$35,L407=phu!$I$36,L407=phu!$I$37),"Cam Lộc",""),IF(OR(L407=phu!$I$38,L407=phu!$I$39,L407=phu!$I$40,L407=phu!$I$41,L407=phu!$I$42,L407=phu!$I$43,L407=phu!$I$44),"Cam Thuận",""),IF(OR(L407=phu!$I$45,L407=phu!$I$46,L407=phu!$I$47,L407=phu!$I$48,L407=phu!$I$49,L407=phu!$I$50,L407=phu!$I$51,L407=phu!$I$52,L407=phu!$I$53),"Cam Linh",""),IF(OR(L407=phu!$I$54,L407=phu!$I$55,L407=phu!$I$56,L407=phu!$I$57,L407=phu!$I$58,L407=phu!$I$59,L407=phu!$I$60,L407=phu!$I$61,L407=phu!$I$62),"Cam Lợi",""),IF(OR(L407=phu!$I$63,L407=phu!$I$64,L407=phu!$I$65,L407=phu!$I$66,L407=phu!$I$67,L407=phu!$I$68,L407=phu!$I$69,L407=phu!$I$70,L407=phu!$I$71),"Ba Ngòi",""),IF(OR(L407=phu!$I$72,L407=phu!$I$73,L407=phu!$I$74,L407=phu!$I$75,L407=phu!$I$76,L407=phu!$I$77,L407=phu!$I$78),"Cam Phước Đông",""),IF(OR(L407=phu!$I$79,L407=phu!$I$80,L407=phu!$I$81,L407=phu!$I$82,L407=phu!$I$83,L407=phu!$I$84),"Cam Thịnh Đông",""),IF(OR(L407=phu!$I$85,L407=phu!$I$86,L407=phu!$I$87,L407=phu!$I$88),"Cam Thịnh Tây",""),IF(OR(L407=phu!$I$89,L407=phu!$I$90),"Cam Lập",""),IF(OR(L407=phu!$I$91,L407=phu!$I$92,L407=phu!$I$93),"Cam Bình",""),IF(OR(L407=phu!$I$94,L407=phu!$I$95,L407=phu!$I$96,L407=phu!$I$97,L407=phu!$I$98,L407=phu!$I$99,L407=phu!$I$100),"Huyện khác",""),IF(OR(L407=phu!$I$101,L407=phu!$I$102),"Tỉnh khác",""))</f>
        <v/>
      </c>
      <c r="N407" s="835" t="str">
        <f t="shared" si="33"/>
        <v/>
      </c>
      <c r="O407" s="20"/>
      <c r="P407" s="20"/>
      <c r="Q407" s="20"/>
      <c r="R407" s="20"/>
      <c r="S407" s="20"/>
      <c r="T407" s="21"/>
      <c r="U407" s="21"/>
      <c r="V407" s="21"/>
      <c r="W407" s="7" t="str">
        <f t="shared" si="31"/>
        <v/>
      </c>
      <c r="X407" s="506" t="str">
        <f t="shared" si="32"/>
        <v/>
      </c>
    </row>
    <row r="408" spans="1:24" x14ac:dyDescent="0.25">
      <c r="A408" s="66" t="str">
        <f t="shared" si="34"/>
        <v/>
      </c>
      <c r="B408" s="23" t="str">
        <f t="shared" si="30"/>
        <v/>
      </c>
      <c r="C408" s="15"/>
      <c r="D408" s="16"/>
      <c r="E408" s="17"/>
      <c r="F408" s="18"/>
      <c r="G408" s="18"/>
      <c r="H408" s="19"/>
      <c r="I408" s="15"/>
      <c r="J408" s="20"/>
      <c r="K408" s="15"/>
      <c r="L408" s="15"/>
      <c r="M408" s="531" t="str">
        <f>CONCATENATE(IF(OR(L408=phu!$I$1,L408=phu!$I$2,L408=phu!$I$3),"Cam Thành Nam",""),IF(OR(L408=phu!$I$4,L408=phu!$I$5,L408=phu!$I$6,L408=phu!$I$7,L408=phu!$I$8,L408=phu!$I$9,L408=phu!$I$10,L408=phu!$I$11,L408=phu!$I$12,L408=phu!$I$13,L408=phu!$I$14),"Cam Nghĩa",""),IF(OR(L408=phu!$I$15,L408=phu!$I$16,L408=phu!$I$17,L408=phu!$I$18,L408=phu!$I$19,L408=phu!$I$20,L408=phu!$I$21),"Cam Phúc Bắc",""),IF(OR(L408=phu!$I$22,L408=phu!$I$23,L408=phu!$I$24,L408=phu!$I$25),"Cam Phúc Nam",""),IF(OR(L408=phu!$I$26,L408=phu!$I$27,L408=phu!$I$28,L408=phu!$I$29,L408=phu!$I$30,L408=phu!$I$31),"Cam Phú",""),IF(OR(L408=phu!$I$32,L408=phu!$I$33,L408=phu!$I$34,L408=phu!$I$35,L408=phu!$I$36,L408=phu!$I$37),"Cam Lộc",""),IF(OR(L408=phu!$I$38,L408=phu!$I$39,L408=phu!$I$40,L408=phu!$I$41,L408=phu!$I$42,L408=phu!$I$43,L408=phu!$I$44),"Cam Thuận",""),IF(OR(L408=phu!$I$45,L408=phu!$I$46,L408=phu!$I$47,L408=phu!$I$48,L408=phu!$I$49,L408=phu!$I$50,L408=phu!$I$51,L408=phu!$I$52,L408=phu!$I$53),"Cam Linh",""),IF(OR(L408=phu!$I$54,L408=phu!$I$55,L408=phu!$I$56,L408=phu!$I$57,L408=phu!$I$58,L408=phu!$I$59,L408=phu!$I$60,L408=phu!$I$61,L408=phu!$I$62),"Cam Lợi",""),IF(OR(L408=phu!$I$63,L408=phu!$I$64,L408=phu!$I$65,L408=phu!$I$66,L408=phu!$I$67,L408=phu!$I$68,L408=phu!$I$69,L408=phu!$I$70,L408=phu!$I$71),"Ba Ngòi",""),IF(OR(L408=phu!$I$72,L408=phu!$I$73,L408=phu!$I$74,L408=phu!$I$75,L408=phu!$I$76,L408=phu!$I$77,L408=phu!$I$78),"Cam Phước Đông",""),IF(OR(L408=phu!$I$79,L408=phu!$I$80,L408=phu!$I$81,L408=phu!$I$82,L408=phu!$I$83,L408=phu!$I$84),"Cam Thịnh Đông",""),IF(OR(L408=phu!$I$85,L408=phu!$I$86,L408=phu!$I$87,L408=phu!$I$88),"Cam Thịnh Tây",""),IF(OR(L408=phu!$I$89,L408=phu!$I$90),"Cam Lập",""),IF(OR(L408=phu!$I$91,L408=phu!$I$92,L408=phu!$I$93),"Cam Bình",""),IF(OR(L408=phu!$I$94,L408=phu!$I$95,L408=phu!$I$96,L408=phu!$I$97,L408=phu!$I$98,L408=phu!$I$99,L408=phu!$I$100),"Huyện khác",""),IF(OR(L408=phu!$I$101,L408=phu!$I$102),"Tỉnh khác",""))</f>
        <v/>
      </c>
      <c r="N408" s="835" t="str">
        <f t="shared" si="33"/>
        <v/>
      </c>
      <c r="O408" s="20"/>
      <c r="P408" s="20"/>
      <c r="Q408" s="20"/>
      <c r="R408" s="20"/>
      <c r="S408" s="20"/>
      <c r="T408" s="21"/>
      <c r="U408" s="21"/>
      <c r="V408" s="21"/>
      <c r="W408" s="7" t="str">
        <f t="shared" si="31"/>
        <v/>
      </c>
      <c r="X408" s="506" t="str">
        <f t="shared" si="32"/>
        <v/>
      </c>
    </row>
    <row r="409" spans="1:24" x14ac:dyDescent="0.25">
      <c r="A409" s="66" t="str">
        <f t="shared" si="34"/>
        <v/>
      </c>
      <c r="B409" s="23" t="str">
        <f t="shared" si="30"/>
        <v/>
      </c>
      <c r="C409" s="15"/>
      <c r="D409" s="16"/>
      <c r="E409" s="17"/>
      <c r="F409" s="18"/>
      <c r="G409" s="18"/>
      <c r="H409" s="19"/>
      <c r="I409" s="15"/>
      <c r="J409" s="20"/>
      <c r="K409" s="15"/>
      <c r="L409" s="15"/>
      <c r="M409" s="531" t="str">
        <f>CONCATENATE(IF(OR(L409=phu!$I$1,L409=phu!$I$2,L409=phu!$I$3),"Cam Thành Nam",""),IF(OR(L409=phu!$I$4,L409=phu!$I$5,L409=phu!$I$6,L409=phu!$I$7,L409=phu!$I$8,L409=phu!$I$9,L409=phu!$I$10,L409=phu!$I$11,L409=phu!$I$12,L409=phu!$I$13,L409=phu!$I$14),"Cam Nghĩa",""),IF(OR(L409=phu!$I$15,L409=phu!$I$16,L409=phu!$I$17,L409=phu!$I$18,L409=phu!$I$19,L409=phu!$I$20,L409=phu!$I$21),"Cam Phúc Bắc",""),IF(OR(L409=phu!$I$22,L409=phu!$I$23,L409=phu!$I$24,L409=phu!$I$25),"Cam Phúc Nam",""),IF(OR(L409=phu!$I$26,L409=phu!$I$27,L409=phu!$I$28,L409=phu!$I$29,L409=phu!$I$30,L409=phu!$I$31),"Cam Phú",""),IF(OR(L409=phu!$I$32,L409=phu!$I$33,L409=phu!$I$34,L409=phu!$I$35,L409=phu!$I$36,L409=phu!$I$37),"Cam Lộc",""),IF(OR(L409=phu!$I$38,L409=phu!$I$39,L409=phu!$I$40,L409=phu!$I$41,L409=phu!$I$42,L409=phu!$I$43,L409=phu!$I$44),"Cam Thuận",""),IF(OR(L409=phu!$I$45,L409=phu!$I$46,L409=phu!$I$47,L409=phu!$I$48,L409=phu!$I$49,L409=phu!$I$50,L409=phu!$I$51,L409=phu!$I$52,L409=phu!$I$53),"Cam Linh",""),IF(OR(L409=phu!$I$54,L409=phu!$I$55,L409=phu!$I$56,L409=phu!$I$57,L409=phu!$I$58,L409=phu!$I$59,L409=phu!$I$60,L409=phu!$I$61,L409=phu!$I$62),"Cam Lợi",""),IF(OR(L409=phu!$I$63,L409=phu!$I$64,L409=phu!$I$65,L409=phu!$I$66,L409=phu!$I$67,L409=phu!$I$68,L409=phu!$I$69,L409=phu!$I$70,L409=phu!$I$71),"Ba Ngòi",""),IF(OR(L409=phu!$I$72,L409=phu!$I$73,L409=phu!$I$74,L409=phu!$I$75,L409=phu!$I$76,L409=phu!$I$77,L409=phu!$I$78),"Cam Phước Đông",""),IF(OR(L409=phu!$I$79,L409=phu!$I$80,L409=phu!$I$81,L409=phu!$I$82,L409=phu!$I$83,L409=phu!$I$84),"Cam Thịnh Đông",""),IF(OR(L409=phu!$I$85,L409=phu!$I$86,L409=phu!$I$87,L409=phu!$I$88),"Cam Thịnh Tây",""),IF(OR(L409=phu!$I$89,L409=phu!$I$90),"Cam Lập",""),IF(OR(L409=phu!$I$91,L409=phu!$I$92,L409=phu!$I$93),"Cam Bình",""),IF(OR(L409=phu!$I$94,L409=phu!$I$95,L409=phu!$I$96,L409=phu!$I$97,L409=phu!$I$98,L409=phu!$I$99,L409=phu!$I$100),"Huyện khác",""),IF(OR(L409=phu!$I$101,L409=phu!$I$102),"Tỉnh khác",""))</f>
        <v/>
      </c>
      <c r="N409" s="835" t="str">
        <f t="shared" si="33"/>
        <v/>
      </c>
      <c r="O409" s="20"/>
      <c r="P409" s="20"/>
      <c r="Q409" s="20"/>
      <c r="R409" s="20"/>
      <c r="S409" s="20"/>
      <c r="T409" s="21"/>
      <c r="U409" s="21"/>
      <c r="V409" s="21"/>
      <c r="W409" s="7" t="str">
        <f t="shared" si="31"/>
        <v/>
      </c>
      <c r="X409" s="506" t="str">
        <f t="shared" si="32"/>
        <v/>
      </c>
    </row>
    <row r="410" spans="1:24" x14ac:dyDescent="0.25">
      <c r="A410" s="66" t="str">
        <f t="shared" si="34"/>
        <v/>
      </c>
      <c r="B410" s="23" t="str">
        <f t="shared" si="30"/>
        <v/>
      </c>
      <c r="C410" s="15"/>
      <c r="D410" s="16"/>
      <c r="E410" s="17"/>
      <c r="F410" s="18"/>
      <c r="G410" s="18"/>
      <c r="H410" s="19"/>
      <c r="I410" s="15"/>
      <c r="J410" s="20"/>
      <c r="K410" s="15"/>
      <c r="L410" s="15"/>
      <c r="M410" s="531" t="str">
        <f>CONCATENATE(IF(OR(L410=phu!$I$1,L410=phu!$I$2,L410=phu!$I$3),"Cam Thành Nam",""),IF(OR(L410=phu!$I$4,L410=phu!$I$5,L410=phu!$I$6,L410=phu!$I$7,L410=phu!$I$8,L410=phu!$I$9,L410=phu!$I$10,L410=phu!$I$11,L410=phu!$I$12,L410=phu!$I$13,L410=phu!$I$14),"Cam Nghĩa",""),IF(OR(L410=phu!$I$15,L410=phu!$I$16,L410=phu!$I$17,L410=phu!$I$18,L410=phu!$I$19,L410=phu!$I$20,L410=phu!$I$21),"Cam Phúc Bắc",""),IF(OR(L410=phu!$I$22,L410=phu!$I$23,L410=phu!$I$24,L410=phu!$I$25),"Cam Phúc Nam",""),IF(OR(L410=phu!$I$26,L410=phu!$I$27,L410=phu!$I$28,L410=phu!$I$29,L410=phu!$I$30,L410=phu!$I$31),"Cam Phú",""),IF(OR(L410=phu!$I$32,L410=phu!$I$33,L410=phu!$I$34,L410=phu!$I$35,L410=phu!$I$36,L410=phu!$I$37),"Cam Lộc",""),IF(OR(L410=phu!$I$38,L410=phu!$I$39,L410=phu!$I$40,L410=phu!$I$41,L410=phu!$I$42,L410=phu!$I$43,L410=phu!$I$44),"Cam Thuận",""),IF(OR(L410=phu!$I$45,L410=phu!$I$46,L410=phu!$I$47,L410=phu!$I$48,L410=phu!$I$49,L410=phu!$I$50,L410=phu!$I$51,L410=phu!$I$52,L410=phu!$I$53),"Cam Linh",""),IF(OR(L410=phu!$I$54,L410=phu!$I$55,L410=phu!$I$56,L410=phu!$I$57,L410=phu!$I$58,L410=phu!$I$59,L410=phu!$I$60,L410=phu!$I$61,L410=phu!$I$62),"Cam Lợi",""),IF(OR(L410=phu!$I$63,L410=phu!$I$64,L410=phu!$I$65,L410=phu!$I$66,L410=phu!$I$67,L410=phu!$I$68,L410=phu!$I$69,L410=phu!$I$70,L410=phu!$I$71),"Ba Ngòi",""),IF(OR(L410=phu!$I$72,L410=phu!$I$73,L410=phu!$I$74,L410=phu!$I$75,L410=phu!$I$76,L410=phu!$I$77,L410=phu!$I$78),"Cam Phước Đông",""),IF(OR(L410=phu!$I$79,L410=phu!$I$80,L410=phu!$I$81,L410=phu!$I$82,L410=phu!$I$83,L410=phu!$I$84),"Cam Thịnh Đông",""),IF(OR(L410=phu!$I$85,L410=phu!$I$86,L410=phu!$I$87,L410=phu!$I$88),"Cam Thịnh Tây",""),IF(OR(L410=phu!$I$89,L410=phu!$I$90),"Cam Lập",""),IF(OR(L410=phu!$I$91,L410=phu!$I$92,L410=phu!$I$93),"Cam Bình",""),IF(OR(L410=phu!$I$94,L410=phu!$I$95,L410=phu!$I$96,L410=phu!$I$97,L410=phu!$I$98,L410=phu!$I$99,L410=phu!$I$100),"Huyện khác",""),IF(OR(L410=phu!$I$101,L410=phu!$I$102),"Tỉnh khác",""))</f>
        <v/>
      </c>
      <c r="N410" s="835" t="str">
        <f t="shared" si="33"/>
        <v/>
      </c>
      <c r="O410" s="20"/>
      <c r="P410" s="20"/>
      <c r="Q410" s="20"/>
      <c r="R410" s="20"/>
      <c r="S410" s="20"/>
      <c r="T410" s="21"/>
      <c r="U410" s="21"/>
      <c r="V410" s="21"/>
      <c r="W410" s="7" t="str">
        <f t="shared" si="31"/>
        <v/>
      </c>
      <c r="X410" s="506" t="str">
        <f t="shared" si="32"/>
        <v/>
      </c>
    </row>
    <row r="411" spans="1:24" x14ac:dyDescent="0.25">
      <c r="A411" s="66" t="str">
        <f t="shared" si="34"/>
        <v/>
      </c>
      <c r="B411" s="23" t="str">
        <f t="shared" si="30"/>
        <v/>
      </c>
      <c r="C411" s="15"/>
      <c r="D411" s="16"/>
      <c r="E411" s="17"/>
      <c r="F411" s="18"/>
      <c r="G411" s="18"/>
      <c r="H411" s="19"/>
      <c r="I411" s="15"/>
      <c r="J411" s="20"/>
      <c r="K411" s="15"/>
      <c r="L411" s="15"/>
      <c r="M411" s="531" t="str">
        <f>CONCATENATE(IF(OR(L411=phu!$I$1,L411=phu!$I$2,L411=phu!$I$3),"Cam Thành Nam",""),IF(OR(L411=phu!$I$4,L411=phu!$I$5,L411=phu!$I$6,L411=phu!$I$7,L411=phu!$I$8,L411=phu!$I$9,L411=phu!$I$10,L411=phu!$I$11,L411=phu!$I$12,L411=phu!$I$13,L411=phu!$I$14),"Cam Nghĩa",""),IF(OR(L411=phu!$I$15,L411=phu!$I$16,L411=phu!$I$17,L411=phu!$I$18,L411=phu!$I$19,L411=phu!$I$20,L411=phu!$I$21),"Cam Phúc Bắc",""),IF(OR(L411=phu!$I$22,L411=phu!$I$23,L411=phu!$I$24,L411=phu!$I$25),"Cam Phúc Nam",""),IF(OR(L411=phu!$I$26,L411=phu!$I$27,L411=phu!$I$28,L411=phu!$I$29,L411=phu!$I$30,L411=phu!$I$31),"Cam Phú",""),IF(OR(L411=phu!$I$32,L411=phu!$I$33,L411=phu!$I$34,L411=phu!$I$35,L411=phu!$I$36,L411=phu!$I$37),"Cam Lộc",""),IF(OR(L411=phu!$I$38,L411=phu!$I$39,L411=phu!$I$40,L411=phu!$I$41,L411=phu!$I$42,L411=phu!$I$43,L411=phu!$I$44),"Cam Thuận",""),IF(OR(L411=phu!$I$45,L411=phu!$I$46,L411=phu!$I$47,L411=phu!$I$48,L411=phu!$I$49,L411=phu!$I$50,L411=phu!$I$51,L411=phu!$I$52,L411=phu!$I$53),"Cam Linh",""),IF(OR(L411=phu!$I$54,L411=phu!$I$55,L411=phu!$I$56,L411=phu!$I$57,L411=phu!$I$58,L411=phu!$I$59,L411=phu!$I$60,L411=phu!$I$61,L411=phu!$I$62),"Cam Lợi",""),IF(OR(L411=phu!$I$63,L411=phu!$I$64,L411=phu!$I$65,L411=phu!$I$66,L411=phu!$I$67,L411=phu!$I$68,L411=phu!$I$69,L411=phu!$I$70,L411=phu!$I$71),"Ba Ngòi",""),IF(OR(L411=phu!$I$72,L411=phu!$I$73,L411=phu!$I$74,L411=phu!$I$75,L411=phu!$I$76,L411=phu!$I$77,L411=phu!$I$78),"Cam Phước Đông",""),IF(OR(L411=phu!$I$79,L411=phu!$I$80,L411=phu!$I$81,L411=phu!$I$82,L411=phu!$I$83,L411=phu!$I$84),"Cam Thịnh Đông",""),IF(OR(L411=phu!$I$85,L411=phu!$I$86,L411=phu!$I$87,L411=phu!$I$88),"Cam Thịnh Tây",""),IF(OR(L411=phu!$I$89,L411=phu!$I$90),"Cam Lập",""),IF(OR(L411=phu!$I$91,L411=phu!$I$92,L411=phu!$I$93),"Cam Bình",""),IF(OR(L411=phu!$I$94,L411=phu!$I$95,L411=phu!$I$96,L411=phu!$I$97,L411=phu!$I$98,L411=phu!$I$99,L411=phu!$I$100),"Huyện khác",""),IF(OR(L411=phu!$I$101,L411=phu!$I$102),"Tỉnh khác",""))</f>
        <v/>
      </c>
      <c r="N411" s="835" t="str">
        <f t="shared" si="33"/>
        <v/>
      </c>
      <c r="O411" s="20"/>
      <c r="P411" s="20"/>
      <c r="Q411" s="20"/>
      <c r="R411" s="20"/>
      <c r="S411" s="20"/>
      <c r="T411" s="21"/>
      <c r="U411" s="21"/>
      <c r="V411" s="21"/>
      <c r="W411" s="7" t="str">
        <f t="shared" si="31"/>
        <v/>
      </c>
      <c r="X411" s="506" t="str">
        <f t="shared" si="32"/>
        <v/>
      </c>
    </row>
    <row r="412" spans="1:24" x14ac:dyDescent="0.25">
      <c r="A412" s="66" t="str">
        <f t="shared" si="34"/>
        <v/>
      </c>
      <c r="B412" s="23" t="str">
        <f t="shared" si="30"/>
        <v/>
      </c>
      <c r="C412" s="15"/>
      <c r="D412" s="16"/>
      <c r="E412" s="17"/>
      <c r="F412" s="18"/>
      <c r="G412" s="18"/>
      <c r="H412" s="19"/>
      <c r="I412" s="15"/>
      <c r="J412" s="20"/>
      <c r="K412" s="15"/>
      <c r="L412" s="15"/>
      <c r="M412" s="531" t="str">
        <f>CONCATENATE(IF(OR(L412=phu!$I$1,L412=phu!$I$2,L412=phu!$I$3),"Cam Thành Nam",""),IF(OR(L412=phu!$I$4,L412=phu!$I$5,L412=phu!$I$6,L412=phu!$I$7,L412=phu!$I$8,L412=phu!$I$9,L412=phu!$I$10,L412=phu!$I$11,L412=phu!$I$12,L412=phu!$I$13,L412=phu!$I$14),"Cam Nghĩa",""),IF(OR(L412=phu!$I$15,L412=phu!$I$16,L412=phu!$I$17,L412=phu!$I$18,L412=phu!$I$19,L412=phu!$I$20,L412=phu!$I$21),"Cam Phúc Bắc",""),IF(OR(L412=phu!$I$22,L412=phu!$I$23,L412=phu!$I$24,L412=phu!$I$25),"Cam Phúc Nam",""),IF(OR(L412=phu!$I$26,L412=phu!$I$27,L412=phu!$I$28,L412=phu!$I$29,L412=phu!$I$30,L412=phu!$I$31),"Cam Phú",""),IF(OR(L412=phu!$I$32,L412=phu!$I$33,L412=phu!$I$34,L412=phu!$I$35,L412=phu!$I$36,L412=phu!$I$37),"Cam Lộc",""),IF(OR(L412=phu!$I$38,L412=phu!$I$39,L412=phu!$I$40,L412=phu!$I$41,L412=phu!$I$42,L412=phu!$I$43,L412=phu!$I$44),"Cam Thuận",""),IF(OR(L412=phu!$I$45,L412=phu!$I$46,L412=phu!$I$47,L412=phu!$I$48,L412=phu!$I$49,L412=phu!$I$50,L412=phu!$I$51,L412=phu!$I$52,L412=phu!$I$53),"Cam Linh",""),IF(OR(L412=phu!$I$54,L412=phu!$I$55,L412=phu!$I$56,L412=phu!$I$57,L412=phu!$I$58,L412=phu!$I$59,L412=phu!$I$60,L412=phu!$I$61,L412=phu!$I$62),"Cam Lợi",""),IF(OR(L412=phu!$I$63,L412=phu!$I$64,L412=phu!$I$65,L412=phu!$I$66,L412=phu!$I$67,L412=phu!$I$68,L412=phu!$I$69,L412=phu!$I$70,L412=phu!$I$71),"Ba Ngòi",""),IF(OR(L412=phu!$I$72,L412=phu!$I$73,L412=phu!$I$74,L412=phu!$I$75,L412=phu!$I$76,L412=phu!$I$77,L412=phu!$I$78),"Cam Phước Đông",""),IF(OR(L412=phu!$I$79,L412=phu!$I$80,L412=phu!$I$81,L412=phu!$I$82,L412=phu!$I$83,L412=phu!$I$84),"Cam Thịnh Đông",""),IF(OR(L412=phu!$I$85,L412=phu!$I$86,L412=phu!$I$87,L412=phu!$I$88),"Cam Thịnh Tây",""),IF(OR(L412=phu!$I$89,L412=phu!$I$90),"Cam Lập",""),IF(OR(L412=phu!$I$91,L412=phu!$I$92,L412=phu!$I$93),"Cam Bình",""),IF(OR(L412=phu!$I$94,L412=phu!$I$95,L412=phu!$I$96,L412=phu!$I$97,L412=phu!$I$98,L412=phu!$I$99,L412=phu!$I$100),"Huyện khác",""),IF(OR(L412=phu!$I$101,L412=phu!$I$102),"Tỉnh khác",""))</f>
        <v/>
      </c>
      <c r="N412" s="835" t="str">
        <f t="shared" si="33"/>
        <v/>
      </c>
      <c r="O412" s="20"/>
      <c r="P412" s="20"/>
      <c r="Q412" s="20"/>
      <c r="R412" s="20"/>
      <c r="S412" s="20"/>
      <c r="T412" s="21"/>
      <c r="U412" s="21"/>
      <c r="V412" s="21"/>
      <c r="W412" s="7" t="str">
        <f t="shared" si="31"/>
        <v/>
      </c>
      <c r="X412" s="506" t="str">
        <f t="shared" si="32"/>
        <v/>
      </c>
    </row>
    <row r="413" spans="1:24" x14ac:dyDescent="0.25">
      <c r="A413" s="66" t="str">
        <f t="shared" si="34"/>
        <v/>
      </c>
      <c r="B413" s="23" t="str">
        <f t="shared" si="30"/>
        <v/>
      </c>
      <c r="C413" s="15"/>
      <c r="D413" s="16"/>
      <c r="E413" s="17"/>
      <c r="F413" s="18"/>
      <c r="G413" s="18"/>
      <c r="H413" s="19"/>
      <c r="I413" s="15"/>
      <c r="J413" s="20"/>
      <c r="K413" s="15"/>
      <c r="L413" s="15"/>
      <c r="M413" s="531" t="str">
        <f>CONCATENATE(IF(OR(L413=phu!$I$1,L413=phu!$I$2,L413=phu!$I$3),"Cam Thành Nam",""),IF(OR(L413=phu!$I$4,L413=phu!$I$5,L413=phu!$I$6,L413=phu!$I$7,L413=phu!$I$8,L413=phu!$I$9,L413=phu!$I$10,L413=phu!$I$11,L413=phu!$I$12,L413=phu!$I$13,L413=phu!$I$14),"Cam Nghĩa",""),IF(OR(L413=phu!$I$15,L413=phu!$I$16,L413=phu!$I$17,L413=phu!$I$18,L413=phu!$I$19,L413=phu!$I$20,L413=phu!$I$21),"Cam Phúc Bắc",""),IF(OR(L413=phu!$I$22,L413=phu!$I$23,L413=phu!$I$24,L413=phu!$I$25),"Cam Phúc Nam",""),IF(OR(L413=phu!$I$26,L413=phu!$I$27,L413=phu!$I$28,L413=phu!$I$29,L413=phu!$I$30,L413=phu!$I$31),"Cam Phú",""),IF(OR(L413=phu!$I$32,L413=phu!$I$33,L413=phu!$I$34,L413=phu!$I$35,L413=phu!$I$36,L413=phu!$I$37),"Cam Lộc",""),IF(OR(L413=phu!$I$38,L413=phu!$I$39,L413=phu!$I$40,L413=phu!$I$41,L413=phu!$I$42,L413=phu!$I$43,L413=phu!$I$44),"Cam Thuận",""),IF(OR(L413=phu!$I$45,L413=phu!$I$46,L413=phu!$I$47,L413=phu!$I$48,L413=phu!$I$49,L413=phu!$I$50,L413=phu!$I$51,L413=phu!$I$52,L413=phu!$I$53),"Cam Linh",""),IF(OR(L413=phu!$I$54,L413=phu!$I$55,L413=phu!$I$56,L413=phu!$I$57,L413=phu!$I$58,L413=phu!$I$59,L413=phu!$I$60,L413=phu!$I$61,L413=phu!$I$62),"Cam Lợi",""),IF(OR(L413=phu!$I$63,L413=phu!$I$64,L413=phu!$I$65,L413=phu!$I$66,L413=phu!$I$67,L413=phu!$I$68,L413=phu!$I$69,L413=phu!$I$70,L413=phu!$I$71),"Ba Ngòi",""),IF(OR(L413=phu!$I$72,L413=phu!$I$73,L413=phu!$I$74,L413=phu!$I$75,L413=phu!$I$76,L413=phu!$I$77,L413=phu!$I$78),"Cam Phước Đông",""),IF(OR(L413=phu!$I$79,L413=phu!$I$80,L413=phu!$I$81,L413=phu!$I$82,L413=phu!$I$83,L413=phu!$I$84),"Cam Thịnh Đông",""),IF(OR(L413=phu!$I$85,L413=phu!$I$86,L413=phu!$I$87,L413=phu!$I$88),"Cam Thịnh Tây",""),IF(OR(L413=phu!$I$89,L413=phu!$I$90),"Cam Lập",""),IF(OR(L413=phu!$I$91,L413=phu!$I$92,L413=phu!$I$93),"Cam Bình",""),IF(OR(L413=phu!$I$94,L413=phu!$I$95,L413=phu!$I$96,L413=phu!$I$97,L413=phu!$I$98,L413=phu!$I$99,L413=phu!$I$100),"Huyện khác",""),IF(OR(L413=phu!$I$101,L413=phu!$I$102),"Tỉnh khác",""))</f>
        <v/>
      </c>
      <c r="N413" s="835" t="str">
        <f t="shared" si="33"/>
        <v/>
      </c>
      <c r="O413" s="20"/>
      <c r="P413" s="20"/>
      <c r="Q413" s="20"/>
      <c r="R413" s="20"/>
      <c r="S413" s="20"/>
      <c r="T413" s="21"/>
      <c r="U413" s="21"/>
      <c r="V413" s="21"/>
      <c r="W413" s="7" t="str">
        <f t="shared" si="31"/>
        <v/>
      </c>
      <c r="X413" s="506" t="str">
        <f t="shared" si="32"/>
        <v/>
      </c>
    </row>
    <row r="414" spans="1:24" x14ac:dyDescent="0.25">
      <c r="A414" s="66" t="str">
        <f t="shared" si="34"/>
        <v/>
      </c>
      <c r="B414" s="23" t="str">
        <f t="shared" si="30"/>
        <v/>
      </c>
      <c r="C414" s="15"/>
      <c r="D414" s="16"/>
      <c r="E414" s="17"/>
      <c r="F414" s="18"/>
      <c r="G414" s="18"/>
      <c r="H414" s="19"/>
      <c r="I414" s="15"/>
      <c r="J414" s="20"/>
      <c r="K414" s="15"/>
      <c r="L414" s="15"/>
      <c r="M414" s="531" t="str">
        <f>CONCATENATE(IF(OR(L414=phu!$I$1,L414=phu!$I$2,L414=phu!$I$3),"Cam Thành Nam",""),IF(OR(L414=phu!$I$4,L414=phu!$I$5,L414=phu!$I$6,L414=phu!$I$7,L414=phu!$I$8,L414=phu!$I$9,L414=phu!$I$10,L414=phu!$I$11,L414=phu!$I$12,L414=phu!$I$13,L414=phu!$I$14),"Cam Nghĩa",""),IF(OR(L414=phu!$I$15,L414=phu!$I$16,L414=phu!$I$17,L414=phu!$I$18,L414=phu!$I$19,L414=phu!$I$20,L414=phu!$I$21),"Cam Phúc Bắc",""),IF(OR(L414=phu!$I$22,L414=phu!$I$23,L414=phu!$I$24,L414=phu!$I$25),"Cam Phúc Nam",""),IF(OR(L414=phu!$I$26,L414=phu!$I$27,L414=phu!$I$28,L414=phu!$I$29,L414=phu!$I$30,L414=phu!$I$31),"Cam Phú",""),IF(OR(L414=phu!$I$32,L414=phu!$I$33,L414=phu!$I$34,L414=phu!$I$35,L414=phu!$I$36,L414=phu!$I$37),"Cam Lộc",""),IF(OR(L414=phu!$I$38,L414=phu!$I$39,L414=phu!$I$40,L414=phu!$I$41,L414=phu!$I$42,L414=phu!$I$43,L414=phu!$I$44),"Cam Thuận",""),IF(OR(L414=phu!$I$45,L414=phu!$I$46,L414=phu!$I$47,L414=phu!$I$48,L414=phu!$I$49,L414=phu!$I$50,L414=phu!$I$51,L414=phu!$I$52,L414=phu!$I$53),"Cam Linh",""),IF(OR(L414=phu!$I$54,L414=phu!$I$55,L414=phu!$I$56,L414=phu!$I$57,L414=phu!$I$58,L414=phu!$I$59,L414=phu!$I$60,L414=phu!$I$61,L414=phu!$I$62),"Cam Lợi",""),IF(OR(L414=phu!$I$63,L414=phu!$I$64,L414=phu!$I$65,L414=phu!$I$66,L414=phu!$I$67,L414=phu!$I$68,L414=phu!$I$69,L414=phu!$I$70,L414=phu!$I$71),"Ba Ngòi",""),IF(OR(L414=phu!$I$72,L414=phu!$I$73,L414=phu!$I$74,L414=phu!$I$75,L414=phu!$I$76,L414=phu!$I$77,L414=phu!$I$78),"Cam Phước Đông",""),IF(OR(L414=phu!$I$79,L414=phu!$I$80,L414=phu!$I$81,L414=phu!$I$82,L414=phu!$I$83,L414=phu!$I$84),"Cam Thịnh Đông",""),IF(OR(L414=phu!$I$85,L414=phu!$I$86,L414=phu!$I$87,L414=phu!$I$88),"Cam Thịnh Tây",""),IF(OR(L414=phu!$I$89,L414=phu!$I$90),"Cam Lập",""),IF(OR(L414=phu!$I$91,L414=phu!$I$92,L414=phu!$I$93),"Cam Bình",""),IF(OR(L414=phu!$I$94,L414=phu!$I$95,L414=phu!$I$96,L414=phu!$I$97,L414=phu!$I$98,L414=phu!$I$99,L414=phu!$I$100),"Huyện khác",""),IF(OR(L414=phu!$I$101,L414=phu!$I$102),"Tỉnh khác",""))</f>
        <v/>
      </c>
      <c r="N414" s="835" t="str">
        <f t="shared" si="33"/>
        <v/>
      </c>
      <c r="O414" s="20"/>
      <c r="P414" s="20"/>
      <c r="Q414" s="20"/>
      <c r="R414" s="20"/>
      <c r="S414" s="20"/>
      <c r="T414" s="21"/>
      <c r="U414" s="21"/>
      <c r="V414" s="21"/>
      <c r="W414" s="7" t="str">
        <f t="shared" si="31"/>
        <v/>
      </c>
      <c r="X414" s="506" t="str">
        <f t="shared" si="32"/>
        <v/>
      </c>
    </row>
    <row r="415" spans="1:24" x14ac:dyDescent="0.25">
      <c r="A415" s="66" t="str">
        <f t="shared" si="34"/>
        <v/>
      </c>
      <c r="B415" s="23" t="str">
        <f t="shared" si="30"/>
        <v/>
      </c>
      <c r="C415" s="15"/>
      <c r="D415" s="16"/>
      <c r="E415" s="17"/>
      <c r="F415" s="18"/>
      <c r="G415" s="18"/>
      <c r="H415" s="19"/>
      <c r="I415" s="15"/>
      <c r="J415" s="20"/>
      <c r="K415" s="15"/>
      <c r="L415" s="15"/>
      <c r="M415" s="531" t="str">
        <f>CONCATENATE(IF(OR(L415=phu!$I$1,L415=phu!$I$2,L415=phu!$I$3),"Cam Thành Nam",""),IF(OR(L415=phu!$I$4,L415=phu!$I$5,L415=phu!$I$6,L415=phu!$I$7,L415=phu!$I$8,L415=phu!$I$9,L415=phu!$I$10,L415=phu!$I$11,L415=phu!$I$12,L415=phu!$I$13,L415=phu!$I$14),"Cam Nghĩa",""),IF(OR(L415=phu!$I$15,L415=phu!$I$16,L415=phu!$I$17,L415=phu!$I$18,L415=phu!$I$19,L415=phu!$I$20,L415=phu!$I$21),"Cam Phúc Bắc",""),IF(OR(L415=phu!$I$22,L415=phu!$I$23,L415=phu!$I$24,L415=phu!$I$25),"Cam Phúc Nam",""),IF(OR(L415=phu!$I$26,L415=phu!$I$27,L415=phu!$I$28,L415=phu!$I$29,L415=phu!$I$30,L415=phu!$I$31),"Cam Phú",""),IF(OR(L415=phu!$I$32,L415=phu!$I$33,L415=phu!$I$34,L415=phu!$I$35,L415=phu!$I$36,L415=phu!$I$37),"Cam Lộc",""),IF(OR(L415=phu!$I$38,L415=phu!$I$39,L415=phu!$I$40,L415=phu!$I$41,L415=phu!$I$42,L415=phu!$I$43,L415=phu!$I$44),"Cam Thuận",""),IF(OR(L415=phu!$I$45,L415=phu!$I$46,L415=phu!$I$47,L415=phu!$I$48,L415=phu!$I$49,L415=phu!$I$50,L415=phu!$I$51,L415=phu!$I$52,L415=phu!$I$53),"Cam Linh",""),IF(OR(L415=phu!$I$54,L415=phu!$I$55,L415=phu!$I$56,L415=phu!$I$57,L415=phu!$I$58,L415=phu!$I$59,L415=phu!$I$60,L415=phu!$I$61,L415=phu!$I$62),"Cam Lợi",""),IF(OR(L415=phu!$I$63,L415=phu!$I$64,L415=phu!$I$65,L415=phu!$I$66,L415=phu!$I$67,L415=phu!$I$68,L415=phu!$I$69,L415=phu!$I$70,L415=phu!$I$71),"Ba Ngòi",""),IF(OR(L415=phu!$I$72,L415=phu!$I$73,L415=phu!$I$74,L415=phu!$I$75,L415=phu!$I$76,L415=phu!$I$77,L415=phu!$I$78),"Cam Phước Đông",""),IF(OR(L415=phu!$I$79,L415=phu!$I$80,L415=phu!$I$81,L415=phu!$I$82,L415=phu!$I$83,L415=phu!$I$84),"Cam Thịnh Đông",""),IF(OR(L415=phu!$I$85,L415=phu!$I$86,L415=phu!$I$87,L415=phu!$I$88),"Cam Thịnh Tây",""),IF(OR(L415=phu!$I$89,L415=phu!$I$90),"Cam Lập",""),IF(OR(L415=phu!$I$91,L415=phu!$I$92,L415=phu!$I$93),"Cam Bình",""),IF(OR(L415=phu!$I$94,L415=phu!$I$95,L415=phu!$I$96,L415=phu!$I$97,L415=phu!$I$98,L415=phu!$I$99,L415=phu!$I$100),"Huyện khác",""),IF(OR(L415=phu!$I$101,L415=phu!$I$102),"Tỉnh khác",""))</f>
        <v/>
      </c>
      <c r="N415" s="835" t="str">
        <f t="shared" si="33"/>
        <v/>
      </c>
      <c r="O415" s="20"/>
      <c r="P415" s="20"/>
      <c r="Q415" s="20"/>
      <c r="R415" s="20"/>
      <c r="S415" s="20"/>
      <c r="T415" s="21"/>
      <c r="U415" s="21"/>
      <c r="V415" s="21"/>
      <c r="W415" s="7" t="str">
        <f t="shared" si="31"/>
        <v/>
      </c>
      <c r="X415" s="506" t="str">
        <f t="shared" si="32"/>
        <v/>
      </c>
    </row>
    <row r="416" spans="1:24" x14ac:dyDescent="0.25">
      <c r="A416" s="66" t="str">
        <f t="shared" si="34"/>
        <v/>
      </c>
      <c r="B416" s="23" t="str">
        <f t="shared" si="30"/>
        <v/>
      </c>
      <c r="C416" s="15"/>
      <c r="D416" s="16"/>
      <c r="E416" s="17"/>
      <c r="F416" s="18"/>
      <c r="G416" s="18"/>
      <c r="H416" s="19"/>
      <c r="I416" s="15"/>
      <c r="J416" s="20"/>
      <c r="K416" s="15"/>
      <c r="L416" s="15"/>
      <c r="M416" s="531" t="str">
        <f>CONCATENATE(IF(OR(L416=phu!$I$1,L416=phu!$I$2,L416=phu!$I$3),"Cam Thành Nam",""),IF(OR(L416=phu!$I$4,L416=phu!$I$5,L416=phu!$I$6,L416=phu!$I$7,L416=phu!$I$8,L416=phu!$I$9,L416=phu!$I$10,L416=phu!$I$11,L416=phu!$I$12,L416=phu!$I$13,L416=phu!$I$14),"Cam Nghĩa",""),IF(OR(L416=phu!$I$15,L416=phu!$I$16,L416=phu!$I$17,L416=phu!$I$18,L416=phu!$I$19,L416=phu!$I$20,L416=phu!$I$21),"Cam Phúc Bắc",""),IF(OR(L416=phu!$I$22,L416=phu!$I$23,L416=phu!$I$24,L416=phu!$I$25),"Cam Phúc Nam",""),IF(OR(L416=phu!$I$26,L416=phu!$I$27,L416=phu!$I$28,L416=phu!$I$29,L416=phu!$I$30,L416=phu!$I$31),"Cam Phú",""),IF(OR(L416=phu!$I$32,L416=phu!$I$33,L416=phu!$I$34,L416=phu!$I$35,L416=phu!$I$36,L416=phu!$I$37),"Cam Lộc",""),IF(OR(L416=phu!$I$38,L416=phu!$I$39,L416=phu!$I$40,L416=phu!$I$41,L416=phu!$I$42,L416=phu!$I$43,L416=phu!$I$44),"Cam Thuận",""),IF(OR(L416=phu!$I$45,L416=phu!$I$46,L416=phu!$I$47,L416=phu!$I$48,L416=phu!$I$49,L416=phu!$I$50,L416=phu!$I$51,L416=phu!$I$52,L416=phu!$I$53),"Cam Linh",""),IF(OR(L416=phu!$I$54,L416=phu!$I$55,L416=phu!$I$56,L416=phu!$I$57,L416=phu!$I$58,L416=phu!$I$59,L416=phu!$I$60,L416=phu!$I$61,L416=phu!$I$62),"Cam Lợi",""),IF(OR(L416=phu!$I$63,L416=phu!$I$64,L416=phu!$I$65,L416=phu!$I$66,L416=phu!$I$67,L416=phu!$I$68,L416=phu!$I$69,L416=phu!$I$70,L416=phu!$I$71),"Ba Ngòi",""),IF(OR(L416=phu!$I$72,L416=phu!$I$73,L416=phu!$I$74,L416=phu!$I$75,L416=phu!$I$76,L416=phu!$I$77,L416=phu!$I$78),"Cam Phước Đông",""),IF(OR(L416=phu!$I$79,L416=phu!$I$80,L416=phu!$I$81,L416=phu!$I$82,L416=phu!$I$83,L416=phu!$I$84),"Cam Thịnh Đông",""),IF(OR(L416=phu!$I$85,L416=phu!$I$86,L416=phu!$I$87,L416=phu!$I$88),"Cam Thịnh Tây",""),IF(OR(L416=phu!$I$89,L416=phu!$I$90),"Cam Lập",""),IF(OR(L416=phu!$I$91,L416=phu!$I$92,L416=phu!$I$93),"Cam Bình",""),IF(OR(L416=phu!$I$94,L416=phu!$I$95,L416=phu!$I$96,L416=phu!$I$97,L416=phu!$I$98,L416=phu!$I$99,L416=phu!$I$100),"Huyện khác",""),IF(OR(L416=phu!$I$101,L416=phu!$I$102),"Tỉnh khác",""))</f>
        <v/>
      </c>
      <c r="N416" s="835" t="str">
        <f t="shared" si="33"/>
        <v/>
      </c>
      <c r="O416" s="20"/>
      <c r="P416" s="20"/>
      <c r="Q416" s="20"/>
      <c r="R416" s="20"/>
      <c r="S416" s="20"/>
      <c r="T416" s="21"/>
      <c r="U416" s="21"/>
      <c r="V416" s="21"/>
      <c r="W416" s="7" t="str">
        <f t="shared" si="31"/>
        <v/>
      </c>
      <c r="X416" s="506" t="str">
        <f t="shared" si="32"/>
        <v/>
      </c>
    </row>
    <row r="417" spans="1:24" x14ac:dyDescent="0.25">
      <c r="A417" s="66" t="str">
        <f t="shared" si="34"/>
        <v/>
      </c>
      <c r="B417" s="23" t="str">
        <f t="shared" si="30"/>
        <v/>
      </c>
      <c r="C417" s="15"/>
      <c r="D417" s="16"/>
      <c r="E417" s="17"/>
      <c r="F417" s="18"/>
      <c r="G417" s="18"/>
      <c r="H417" s="19"/>
      <c r="I417" s="15"/>
      <c r="J417" s="20"/>
      <c r="K417" s="15"/>
      <c r="L417" s="15"/>
      <c r="M417" s="531" t="str">
        <f>CONCATENATE(IF(OR(L417=phu!$I$1,L417=phu!$I$2,L417=phu!$I$3),"Cam Thành Nam",""),IF(OR(L417=phu!$I$4,L417=phu!$I$5,L417=phu!$I$6,L417=phu!$I$7,L417=phu!$I$8,L417=phu!$I$9,L417=phu!$I$10,L417=phu!$I$11,L417=phu!$I$12,L417=phu!$I$13,L417=phu!$I$14),"Cam Nghĩa",""),IF(OR(L417=phu!$I$15,L417=phu!$I$16,L417=phu!$I$17,L417=phu!$I$18,L417=phu!$I$19,L417=phu!$I$20,L417=phu!$I$21),"Cam Phúc Bắc",""),IF(OR(L417=phu!$I$22,L417=phu!$I$23,L417=phu!$I$24,L417=phu!$I$25),"Cam Phúc Nam",""),IF(OR(L417=phu!$I$26,L417=phu!$I$27,L417=phu!$I$28,L417=phu!$I$29,L417=phu!$I$30,L417=phu!$I$31),"Cam Phú",""),IF(OR(L417=phu!$I$32,L417=phu!$I$33,L417=phu!$I$34,L417=phu!$I$35,L417=phu!$I$36,L417=phu!$I$37),"Cam Lộc",""),IF(OR(L417=phu!$I$38,L417=phu!$I$39,L417=phu!$I$40,L417=phu!$I$41,L417=phu!$I$42,L417=phu!$I$43,L417=phu!$I$44),"Cam Thuận",""),IF(OR(L417=phu!$I$45,L417=phu!$I$46,L417=phu!$I$47,L417=phu!$I$48,L417=phu!$I$49,L417=phu!$I$50,L417=phu!$I$51,L417=phu!$I$52,L417=phu!$I$53),"Cam Linh",""),IF(OR(L417=phu!$I$54,L417=phu!$I$55,L417=phu!$I$56,L417=phu!$I$57,L417=phu!$I$58,L417=phu!$I$59,L417=phu!$I$60,L417=phu!$I$61,L417=phu!$I$62),"Cam Lợi",""),IF(OR(L417=phu!$I$63,L417=phu!$I$64,L417=phu!$I$65,L417=phu!$I$66,L417=phu!$I$67,L417=phu!$I$68,L417=phu!$I$69,L417=phu!$I$70,L417=phu!$I$71),"Ba Ngòi",""),IF(OR(L417=phu!$I$72,L417=phu!$I$73,L417=phu!$I$74,L417=phu!$I$75,L417=phu!$I$76,L417=phu!$I$77,L417=phu!$I$78),"Cam Phước Đông",""),IF(OR(L417=phu!$I$79,L417=phu!$I$80,L417=phu!$I$81,L417=phu!$I$82,L417=phu!$I$83,L417=phu!$I$84),"Cam Thịnh Đông",""),IF(OR(L417=phu!$I$85,L417=phu!$I$86,L417=phu!$I$87,L417=phu!$I$88),"Cam Thịnh Tây",""),IF(OR(L417=phu!$I$89,L417=phu!$I$90),"Cam Lập",""),IF(OR(L417=phu!$I$91,L417=phu!$I$92,L417=phu!$I$93),"Cam Bình",""),IF(OR(L417=phu!$I$94,L417=phu!$I$95,L417=phu!$I$96,L417=phu!$I$97,L417=phu!$I$98,L417=phu!$I$99,L417=phu!$I$100),"Huyện khác",""),IF(OR(L417=phu!$I$101,L417=phu!$I$102),"Tỉnh khác",""))</f>
        <v/>
      </c>
      <c r="N417" s="835" t="str">
        <f t="shared" si="33"/>
        <v/>
      </c>
      <c r="O417" s="20"/>
      <c r="P417" s="20"/>
      <c r="Q417" s="20"/>
      <c r="R417" s="20"/>
      <c r="S417" s="20"/>
      <c r="T417" s="21"/>
      <c r="U417" s="21"/>
      <c r="V417" s="21"/>
      <c r="W417" s="7" t="str">
        <f t="shared" si="31"/>
        <v/>
      </c>
      <c r="X417" s="506" t="str">
        <f t="shared" si="32"/>
        <v/>
      </c>
    </row>
    <row r="418" spans="1:24" x14ac:dyDescent="0.25">
      <c r="A418" s="66" t="str">
        <f t="shared" si="34"/>
        <v/>
      </c>
      <c r="B418" s="23" t="str">
        <f t="shared" si="30"/>
        <v/>
      </c>
      <c r="C418" s="15"/>
      <c r="D418" s="16"/>
      <c r="E418" s="17"/>
      <c r="F418" s="18"/>
      <c r="G418" s="18"/>
      <c r="H418" s="19"/>
      <c r="I418" s="15"/>
      <c r="J418" s="20"/>
      <c r="K418" s="15"/>
      <c r="L418" s="15"/>
      <c r="M418" s="531" t="str">
        <f>CONCATENATE(IF(OR(L418=phu!$I$1,L418=phu!$I$2,L418=phu!$I$3),"Cam Thành Nam",""),IF(OR(L418=phu!$I$4,L418=phu!$I$5,L418=phu!$I$6,L418=phu!$I$7,L418=phu!$I$8,L418=phu!$I$9,L418=phu!$I$10,L418=phu!$I$11,L418=phu!$I$12,L418=phu!$I$13,L418=phu!$I$14),"Cam Nghĩa",""),IF(OR(L418=phu!$I$15,L418=phu!$I$16,L418=phu!$I$17,L418=phu!$I$18,L418=phu!$I$19,L418=phu!$I$20,L418=phu!$I$21),"Cam Phúc Bắc",""),IF(OR(L418=phu!$I$22,L418=phu!$I$23,L418=phu!$I$24,L418=phu!$I$25),"Cam Phúc Nam",""),IF(OR(L418=phu!$I$26,L418=phu!$I$27,L418=phu!$I$28,L418=phu!$I$29,L418=phu!$I$30,L418=phu!$I$31),"Cam Phú",""),IF(OR(L418=phu!$I$32,L418=phu!$I$33,L418=phu!$I$34,L418=phu!$I$35,L418=phu!$I$36,L418=phu!$I$37),"Cam Lộc",""),IF(OR(L418=phu!$I$38,L418=phu!$I$39,L418=phu!$I$40,L418=phu!$I$41,L418=phu!$I$42,L418=phu!$I$43,L418=phu!$I$44),"Cam Thuận",""),IF(OR(L418=phu!$I$45,L418=phu!$I$46,L418=phu!$I$47,L418=phu!$I$48,L418=phu!$I$49,L418=phu!$I$50,L418=phu!$I$51,L418=phu!$I$52,L418=phu!$I$53),"Cam Linh",""),IF(OR(L418=phu!$I$54,L418=phu!$I$55,L418=phu!$I$56,L418=phu!$I$57,L418=phu!$I$58,L418=phu!$I$59,L418=phu!$I$60,L418=phu!$I$61,L418=phu!$I$62),"Cam Lợi",""),IF(OR(L418=phu!$I$63,L418=phu!$I$64,L418=phu!$I$65,L418=phu!$I$66,L418=phu!$I$67,L418=phu!$I$68,L418=phu!$I$69,L418=phu!$I$70,L418=phu!$I$71),"Ba Ngòi",""),IF(OR(L418=phu!$I$72,L418=phu!$I$73,L418=phu!$I$74,L418=phu!$I$75,L418=phu!$I$76,L418=phu!$I$77,L418=phu!$I$78),"Cam Phước Đông",""),IF(OR(L418=phu!$I$79,L418=phu!$I$80,L418=phu!$I$81,L418=phu!$I$82,L418=phu!$I$83,L418=phu!$I$84),"Cam Thịnh Đông",""),IF(OR(L418=phu!$I$85,L418=phu!$I$86,L418=phu!$I$87,L418=phu!$I$88),"Cam Thịnh Tây",""),IF(OR(L418=phu!$I$89,L418=phu!$I$90),"Cam Lập",""),IF(OR(L418=phu!$I$91,L418=phu!$I$92,L418=phu!$I$93),"Cam Bình",""),IF(OR(L418=phu!$I$94,L418=phu!$I$95,L418=phu!$I$96,L418=phu!$I$97,L418=phu!$I$98,L418=phu!$I$99,L418=phu!$I$100),"Huyện khác",""),IF(OR(L418=phu!$I$101,L418=phu!$I$102),"Tỉnh khác",""))</f>
        <v/>
      </c>
      <c r="N418" s="835" t="str">
        <f t="shared" si="33"/>
        <v/>
      </c>
      <c r="O418" s="20"/>
      <c r="P418" s="20"/>
      <c r="Q418" s="20"/>
      <c r="R418" s="20"/>
      <c r="S418" s="20"/>
      <c r="T418" s="21"/>
      <c r="U418" s="21"/>
      <c r="V418" s="21"/>
      <c r="W418" s="7" t="str">
        <f t="shared" si="31"/>
        <v/>
      </c>
      <c r="X418" s="506" t="str">
        <f t="shared" si="32"/>
        <v/>
      </c>
    </row>
    <row r="419" spans="1:24" x14ac:dyDescent="0.25">
      <c r="A419" s="66" t="str">
        <f t="shared" si="34"/>
        <v/>
      </c>
      <c r="B419" s="23" t="str">
        <f t="shared" si="30"/>
        <v/>
      </c>
      <c r="C419" s="15"/>
      <c r="D419" s="16"/>
      <c r="E419" s="17"/>
      <c r="F419" s="18"/>
      <c r="G419" s="18"/>
      <c r="H419" s="19"/>
      <c r="I419" s="15"/>
      <c r="J419" s="20"/>
      <c r="K419" s="15"/>
      <c r="L419" s="15"/>
      <c r="M419" s="531" t="str">
        <f>CONCATENATE(IF(OR(L419=phu!$I$1,L419=phu!$I$2,L419=phu!$I$3),"Cam Thành Nam",""),IF(OR(L419=phu!$I$4,L419=phu!$I$5,L419=phu!$I$6,L419=phu!$I$7,L419=phu!$I$8,L419=phu!$I$9,L419=phu!$I$10,L419=phu!$I$11,L419=phu!$I$12,L419=phu!$I$13,L419=phu!$I$14),"Cam Nghĩa",""),IF(OR(L419=phu!$I$15,L419=phu!$I$16,L419=phu!$I$17,L419=phu!$I$18,L419=phu!$I$19,L419=phu!$I$20,L419=phu!$I$21),"Cam Phúc Bắc",""),IF(OR(L419=phu!$I$22,L419=phu!$I$23,L419=phu!$I$24,L419=phu!$I$25),"Cam Phúc Nam",""),IF(OR(L419=phu!$I$26,L419=phu!$I$27,L419=phu!$I$28,L419=phu!$I$29,L419=phu!$I$30,L419=phu!$I$31),"Cam Phú",""),IF(OR(L419=phu!$I$32,L419=phu!$I$33,L419=phu!$I$34,L419=phu!$I$35,L419=phu!$I$36,L419=phu!$I$37),"Cam Lộc",""),IF(OR(L419=phu!$I$38,L419=phu!$I$39,L419=phu!$I$40,L419=phu!$I$41,L419=phu!$I$42,L419=phu!$I$43,L419=phu!$I$44),"Cam Thuận",""),IF(OR(L419=phu!$I$45,L419=phu!$I$46,L419=phu!$I$47,L419=phu!$I$48,L419=phu!$I$49,L419=phu!$I$50,L419=phu!$I$51,L419=phu!$I$52,L419=phu!$I$53),"Cam Linh",""),IF(OR(L419=phu!$I$54,L419=phu!$I$55,L419=phu!$I$56,L419=phu!$I$57,L419=phu!$I$58,L419=phu!$I$59,L419=phu!$I$60,L419=phu!$I$61,L419=phu!$I$62),"Cam Lợi",""),IF(OR(L419=phu!$I$63,L419=phu!$I$64,L419=phu!$I$65,L419=phu!$I$66,L419=phu!$I$67,L419=phu!$I$68,L419=phu!$I$69,L419=phu!$I$70,L419=phu!$I$71),"Ba Ngòi",""),IF(OR(L419=phu!$I$72,L419=phu!$I$73,L419=phu!$I$74,L419=phu!$I$75,L419=phu!$I$76,L419=phu!$I$77,L419=phu!$I$78),"Cam Phước Đông",""),IF(OR(L419=phu!$I$79,L419=phu!$I$80,L419=phu!$I$81,L419=phu!$I$82,L419=phu!$I$83,L419=phu!$I$84),"Cam Thịnh Đông",""),IF(OR(L419=phu!$I$85,L419=phu!$I$86,L419=phu!$I$87,L419=phu!$I$88),"Cam Thịnh Tây",""),IF(OR(L419=phu!$I$89,L419=phu!$I$90),"Cam Lập",""),IF(OR(L419=phu!$I$91,L419=phu!$I$92,L419=phu!$I$93),"Cam Bình",""),IF(OR(L419=phu!$I$94,L419=phu!$I$95,L419=phu!$I$96,L419=phu!$I$97,L419=phu!$I$98,L419=phu!$I$99,L419=phu!$I$100),"Huyện khác",""),IF(OR(L419=phu!$I$101,L419=phu!$I$102),"Tỉnh khác",""))</f>
        <v/>
      </c>
      <c r="N419" s="835" t="str">
        <f t="shared" si="33"/>
        <v/>
      </c>
      <c r="O419" s="20"/>
      <c r="P419" s="20"/>
      <c r="Q419" s="20"/>
      <c r="R419" s="20"/>
      <c r="S419" s="20"/>
      <c r="T419" s="21"/>
      <c r="U419" s="21"/>
      <c r="V419" s="21"/>
      <c r="W419" s="7" t="str">
        <f t="shared" si="31"/>
        <v/>
      </c>
      <c r="X419" s="506" t="str">
        <f t="shared" si="32"/>
        <v/>
      </c>
    </row>
    <row r="420" spans="1:24" x14ac:dyDescent="0.25">
      <c r="A420" s="66" t="str">
        <f t="shared" si="34"/>
        <v/>
      </c>
      <c r="B420" s="23" t="str">
        <f t="shared" si="30"/>
        <v/>
      </c>
      <c r="C420" s="15"/>
      <c r="D420" s="16"/>
      <c r="E420" s="17"/>
      <c r="F420" s="18"/>
      <c r="G420" s="18"/>
      <c r="H420" s="19"/>
      <c r="I420" s="15"/>
      <c r="J420" s="20"/>
      <c r="K420" s="15"/>
      <c r="L420" s="15"/>
      <c r="M420" s="531" t="str">
        <f>CONCATENATE(IF(OR(L420=phu!$I$1,L420=phu!$I$2,L420=phu!$I$3),"Cam Thành Nam",""),IF(OR(L420=phu!$I$4,L420=phu!$I$5,L420=phu!$I$6,L420=phu!$I$7,L420=phu!$I$8,L420=phu!$I$9,L420=phu!$I$10,L420=phu!$I$11,L420=phu!$I$12,L420=phu!$I$13,L420=phu!$I$14),"Cam Nghĩa",""),IF(OR(L420=phu!$I$15,L420=phu!$I$16,L420=phu!$I$17,L420=phu!$I$18,L420=phu!$I$19,L420=phu!$I$20,L420=phu!$I$21),"Cam Phúc Bắc",""),IF(OR(L420=phu!$I$22,L420=phu!$I$23,L420=phu!$I$24,L420=phu!$I$25),"Cam Phúc Nam",""),IF(OR(L420=phu!$I$26,L420=phu!$I$27,L420=phu!$I$28,L420=phu!$I$29,L420=phu!$I$30,L420=phu!$I$31),"Cam Phú",""),IF(OR(L420=phu!$I$32,L420=phu!$I$33,L420=phu!$I$34,L420=phu!$I$35,L420=phu!$I$36,L420=phu!$I$37),"Cam Lộc",""),IF(OR(L420=phu!$I$38,L420=phu!$I$39,L420=phu!$I$40,L420=phu!$I$41,L420=phu!$I$42,L420=phu!$I$43,L420=phu!$I$44),"Cam Thuận",""),IF(OR(L420=phu!$I$45,L420=phu!$I$46,L420=phu!$I$47,L420=phu!$I$48,L420=phu!$I$49,L420=phu!$I$50,L420=phu!$I$51,L420=phu!$I$52,L420=phu!$I$53),"Cam Linh",""),IF(OR(L420=phu!$I$54,L420=phu!$I$55,L420=phu!$I$56,L420=phu!$I$57,L420=phu!$I$58,L420=phu!$I$59,L420=phu!$I$60,L420=phu!$I$61,L420=phu!$I$62),"Cam Lợi",""),IF(OR(L420=phu!$I$63,L420=phu!$I$64,L420=phu!$I$65,L420=phu!$I$66,L420=phu!$I$67,L420=phu!$I$68,L420=phu!$I$69,L420=phu!$I$70,L420=phu!$I$71),"Ba Ngòi",""),IF(OR(L420=phu!$I$72,L420=phu!$I$73,L420=phu!$I$74,L420=phu!$I$75,L420=phu!$I$76,L420=phu!$I$77,L420=phu!$I$78),"Cam Phước Đông",""),IF(OR(L420=phu!$I$79,L420=phu!$I$80,L420=phu!$I$81,L420=phu!$I$82,L420=phu!$I$83,L420=phu!$I$84),"Cam Thịnh Đông",""),IF(OR(L420=phu!$I$85,L420=phu!$I$86,L420=phu!$I$87,L420=phu!$I$88),"Cam Thịnh Tây",""),IF(OR(L420=phu!$I$89,L420=phu!$I$90),"Cam Lập",""),IF(OR(L420=phu!$I$91,L420=phu!$I$92,L420=phu!$I$93),"Cam Bình",""),IF(OR(L420=phu!$I$94,L420=phu!$I$95,L420=phu!$I$96,L420=phu!$I$97,L420=phu!$I$98,L420=phu!$I$99,L420=phu!$I$100),"Huyện khác",""),IF(OR(L420=phu!$I$101,L420=phu!$I$102),"Tỉnh khác",""))</f>
        <v/>
      </c>
      <c r="N420" s="835" t="str">
        <f t="shared" si="33"/>
        <v/>
      </c>
      <c r="O420" s="20"/>
      <c r="P420" s="20"/>
      <c r="Q420" s="20"/>
      <c r="R420" s="20"/>
      <c r="S420" s="20"/>
      <c r="T420" s="21"/>
      <c r="U420" s="21"/>
      <c r="V420" s="21"/>
      <c r="W420" s="7" t="str">
        <f t="shared" si="31"/>
        <v/>
      </c>
      <c r="X420" s="506" t="str">
        <f t="shared" si="32"/>
        <v/>
      </c>
    </row>
    <row r="421" spans="1:24" x14ac:dyDescent="0.25">
      <c r="A421" s="66" t="str">
        <f t="shared" si="34"/>
        <v/>
      </c>
      <c r="B421" s="23" t="str">
        <f t="shared" si="30"/>
        <v/>
      </c>
      <c r="C421" s="15"/>
      <c r="D421" s="16"/>
      <c r="E421" s="17"/>
      <c r="F421" s="18"/>
      <c r="G421" s="18"/>
      <c r="H421" s="19"/>
      <c r="I421" s="15"/>
      <c r="J421" s="20"/>
      <c r="K421" s="15"/>
      <c r="L421" s="15"/>
      <c r="M421" s="531" t="str">
        <f>CONCATENATE(IF(OR(L421=phu!$I$1,L421=phu!$I$2,L421=phu!$I$3),"Cam Thành Nam",""),IF(OR(L421=phu!$I$4,L421=phu!$I$5,L421=phu!$I$6,L421=phu!$I$7,L421=phu!$I$8,L421=phu!$I$9,L421=phu!$I$10,L421=phu!$I$11,L421=phu!$I$12,L421=phu!$I$13,L421=phu!$I$14),"Cam Nghĩa",""),IF(OR(L421=phu!$I$15,L421=phu!$I$16,L421=phu!$I$17,L421=phu!$I$18,L421=phu!$I$19,L421=phu!$I$20,L421=phu!$I$21),"Cam Phúc Bắc",""),IF(OR(L421=phu!$I$22,L421=phu!$I$23,L421=phu!$I$24,L421=phu!$I$25),"Cam Phúc Nam",""),IF(OR(L421=phu!$I$26,L421=phu!$I$27,L421=phu!$I$28,L421=phu!$I$29,L421=phu!$I$30,L421=phu!$I$31),"Cam Phú",""),IF(OR(L421=phu!$I$32,L421=phu!$I$33,L421=phu!$I$34,L421=phu!$I$35,L421=phu!$I$36,L421=phu!$I$37),"Cam Lộc",""),IF(OR(L421=phu!$I$38,L421=phu!$I$39,L421=phu!$I$40,L421=phu!$I$41,L421=phu!$I$42,L421=phu!$I$43,L421=phu!$I$44),"Cam Thuận",""),IF(OR(L421=phu!$I$45,L421=phu!$I$46,L421=phu!$I$47,L421=phu!$I$48,L421=phu!$I$49,L421=phu!$I$50,L421=phu!$I$51,L421=phu!$I$52,L421=phu!$I$53),"Cam Linh",""),IF(OR(L421=phu!$I$54,L421=phu!$I$55,L421=phu!$I$56,L421=phu!$I$57,L421=phu!$I$58,L421=phu!$I$59,L421=phu!$I$60,L421=phu!$I$61,L421=phu!$I$62),"Cam Lợi",""),IF(OR(L421=phu!$I$63,L421=phu!$I$64,L421=phu!$I$65,L421=phu!$I$66,L421=phu!$I$67,L421=phu!$I$68,L421=phu!$I$69,L421=phu!$I$70,L421=phu!$I$71),"Ba Ngòi",""),IF(OR(L421=phu!$I$72,L421=phu!$I$73,L421=phu!$I$74,L421=phu!$I$75,L421=phu!$I$76,L421=phu!$I$77,L421=phu!$I$78),"Cam Phước Đông",""),IF(OR(L421=phu!$I$79,L421=phu!$I$80,L421=phu!$I$81,L421=phu!$I$82,L421=phu!$I$83,L421=phu!$I$84),"Cam Thịnh Đông",""),IF(OR(L421=phu!$I$85,L421=phu!$I$86,L421=phu!$I$87,L421=phu!$I$88),"Cam Thịnh Tây",""),IF(OR(L421=phu!$I$89,L421=phu!$I$90),"Cam Lập",""),IF(OR(L421=phu!$I$91,L421=phu!$I$92,L421=phu!$I$93),"Cam Bình",""),IF(OR(L421=phu!$I$94,L421=phu!$I$95,L421=phu!$I$96,L421=phu!$I$97,L421=phu!$I$98,L421=phu!$I$99,L421=phu!$I$100),"Huyện khác",""),IF(OR(L421=phu!$I$101,L421=phu!$I$102),"Tỉnh khác",""))</f>
        <v/>
      </c>
      <c r="N421" s="835" t="str">
        <f t="shared" si="33"/>
        <v/>
      </c>
      <c r="O421" s="20"/>
      <c r="P421" s="20"/>
      <c r="Q421" s="20"/>
      <c r="R421" s="20"/>
      <c r="S421" s="20"/>
      <c r="T421" s="21"/>
      <c r="U421" s="21"/>
      <c r="V421" s="21"/>
      <c r="W421" s="7" t="str">
        <f t="shared" si="31"/>
        <v/>
      </c>
      <c r="X421" s="506" t="str">
        <f t="shared" si="32"/>
        <v/>
      </c>
    </row>
    <row r="422" spans="1:24" x14ac:dyDescent="0.25">
      <c r="A422" s="66" t="str">
        <f t="shared" si="34"/>
        <v/>
      </c>
      <c r="B422" s="23" t="str">
        <f t="shared" si="30"/>
        <v/>
      </c>
      <c r="C422" s="15"/>
      <c r="D422" s="16"/>
      <c r="E422" s="17"/>
      <c r="F422" s="18"/>
      <c r="G422" s="18"/>
      <c r="H422" s="19"/>
      <c r="I422" s="15"/>
      <c r="J422" s="20"/>
      <c r="K422" s="15"/>
      <c r="L422" s="15"/>
      <c r="M422" s="531" t="str">
        <f>CONCATENATE(IF(OR(L422=phu!$I$1,L422=phu!$I$2,L422=phu!$I$3),"Cam Thành Nam",""),IF(OR(L422=phu!$I$4,L422=phu!$I$5,L422=phu!$I$6,L422=phu!$I$7,L422=phu!$I$8,L422=phu!$I$9,L422=phu!$I$10,L422=phu!$I$11,L422=phu!$I$12,L422=phu!$I$13,L422=phu!$I$14),"Cam Nghĩa",""),IF(OR(L422=phu!$I$15,L422=phu!$I$16,L422=phu!$I$17,L422=phu!$I$18,L422=phu!$I$19,L422=phu!$I$20,L422=phu!$I$21),"Cam Phúc Bắc",""),IF(OR(L422=phu!$I$22,L422=phu!$I$23,L422=phu!$I$24,L422=phu!$I$25),"Cam Phúc Nam",""),IF(OR(L422=phu!$I$26,L422=phu!$I$27,L422=phu!$I$28,L422=phu!$I$29,L422=phu!$I$30,L422=phu!$I$31),"Cam Phú",""),IF(OR(L422=phu!$I$32,L422=phu!$I$33,L422=phu!$I$34,L422=phu!$I$35,L422=phu!$I$36,L422=phu!$I$37),"Cam Lộc",""),IF(OR(L422=phu!$I$38,L422=phu!$I$39,L422=phu!$I$40,L422=phu!$I$41,L422=phu!$I$42,L422=phu!$I$43,L422=phu!$I$44),"Cam Thuận",""),IF(OR(L422=phu!$I$45,L422=phu!$I$46,L422=phu!$I$47,L422=phu!$I$48,L422=phu!$I$49,L422=phu!$I$50,L422=phu!$I$51,L422=phu!$I$52,L422=phu!$I$53),"Cam Linh",""),IF(OR(L422=phu!$I$54,L422=phu!$I$55,L422=phu!$I$56,L422=phu!$I$57,L422=phu!$I$58,L422=phu!$I$59,L422=phu!$I$60,L422=phu!$I$61,L422=phu!$I$62),"Cam Lợi",""),IF(OR(L422=phu!$I$63,L422=phu!$I$64,L422=phu!$I$65,L422=phu!$I$66,L422=phu!$I$67,L422=phu!$I$68,L422=phu!$I$69,L422=phu!$I$70,L422=phu!$I$71),"Ba Ngòi",""),IF(OR(L422=phu!$I$72,L422=phu!$I$73,L422=phu!$I$74,L422=phu!$I$75,L422=phu!$I$76,L422=phu!$I$77,L422=phu!$I$78),"Cam Phước Đông",""),IF(OR(L422=phu!$I$79,L422=phu!$I$80,L422=phu!$I$81,L422=phu!$I$82,L422=phu!$I$83,L422=phu!$I$84),"Cam Thịnh Đông",""),IF(OR(L422=phu!$I$85,L422=phu!$I$86,L422=phu!$I$87,L422=phu!$I$88),"Cam Thịnh Tây",""),IF(OR(L422=phu!$I$89,L422=phu!$I$90),"Cam Lập",""),IF(OR(L422=phu!$I$91,L422=phu!$I$92,L422=phu!$I$93),"Cam Bình",""),IF(OR(L422=phu!$I$94,L422=phu!$I$95,L422=phu!$I$96,L422=phu!$I$97,L422=phu!$I$98,L422=phu!$I$99,L422=phu!$I$100),"Huyện khác",""),IF(OR(L422=phu!$I$101,L422=phu!$I$102),"Tỉnh khác",""))</f>
        <v/>
      </c>
      <c r="N422" s="835" t="str">
        <f t="shared" si="33"/>
        <v/>
      </c>
      <c r="O422" s="20"/>
      <c r="P422" s="20"/>
      <c r="Q422" s="20"/>
      <c r="R422" s="20"/>
      <c r="S422" s="20"/>
      <c r="T422" s="21"/>
      <c r="U422" s="21"/>
      <c r="V422" s="21"/>
      <c r="W422" s="7" t="str">
        <f t="shared" si="31"/>
        <v/>
      </c>
      <c r="X422" s="506" t="str">
        <f t="shared" si="32"/>
        <v/>
      </c>
    </row>
    <row r="423" spans="1:24" x14ac:dyDescent="0.25">
      <c r="A423" s="66" t="str">
        <f t="shared" si="34"/>
        <v/>
      </c>
      <c r="B423" s="23" t="str">
        <f t="shared" si="30"/>
        <v/>
      </c>
      <c r="C423" s="15"/>
      <c r="D423" s="16"/>
      <c r="E423" s="17"/>
      <c r="F423" s="18"/>
      <c r="G423" s="18"/>
      <c r="H423" s="19"/>
      <c r="I423" s="15"/>
      <c r="J423" s="20"/>
      <c r="K423" s="15"/>
      <c r="L423" s="15"/>
      <c r="M423" s="531" t="str">
        <f>CONCATENATE(IF(OR(L423=phu!$I$1,L423=phu!$I$2,L423=phu!$I$3),"Cam Thành Nam",""),IF(OR(L423=phu!$I$4,L423=phu!$I$5,L423=phu!$I$6,L423=phu!$I$7,L423=phu!$I$8,L423=phu!$I$9,L423=phu!$I$10,L423=phu!$I$11,L423=phu!$I$12,L423=phu!$I$13,L423=phu!$I$14),"Cam Nghĩa",""),IF(OR(L423=phu!$I$15,L423=phu!$I$16,L423=phu!$I$17,L423=phu!$I$18,L423=phu!$I$19,L423=phu!$I$20,L423=phu!$I$21),"Cam Phúc Bắc",""),IF(OR(L423=phu!$I$22,L423=phu!$I$23,L423=phu!$I$24,L423=phu!$I$25),"Cam Phúc Nam",""),IF(OR(L423=phu!$I$26,L423=phu!$I$27,L423=phu!$I$28,L423=phu!$I$29,L423=phu!$I$30,L423=phu!$I$31),"Cam Phú",""),IF(OR(L423=phu!$I$32,L423=phu!$I$33,L423=phu!$I$34,L423=phu!$I$35,L423=phu!$I$36,L423=phu!$I$37),"Cam Lộc",""),IF(OR(L423=phu!$I$38,L423=phu!$I$39,L423=phu!$I$40,L423=phu!$I$41,L423=phu!$I$42,L423=phu!$I$43,L423=phu!$I$44),"Cam Thuận",""),IF(OR(L423=phu!$I$45,L423=phu!$I$46,L423=phu!$I$47,L423=phu!$I$48,L423=phu!$I$49,L423=phu!$I$50,L423=phu!$I$51,L423=phu!$I$52,L423=phu!$I$53),"Cam Linh",""),IF(OR(L423=phu!$I$54,L423=phu!$I$55,L423=phu!$I$56,L423=phu!$I$57,L423=phu!$I$58,L423=phu!$I$59,L423=phu!$I$60,L423=phu!$I$61,L423=phu!$I$62),"Cam Lợi",""),IF(OR(L423=phu!$I$63,L423=phu!$I$64,L423=phu!$I$65,L423=phu!$I$66,L423=phu!$I$67,L423=phu!$I$68,L423=phu!$I$69,L423=phu!$I$70,L423=phu!$I$71),"Ba Ngòi",""),IF(OR(L423=phu!$I$72,L423=phu!$I$73,L423=phu!$I$74,L423=phu!$I$75,L423=phu!$I$76,L423=phu!$I$77,L423=phu!$I$78),"Cam Phước Đông",""),IF(OR(L423=phu!$I$79,L423=phu!$I$80,L423=phu!$I$81,L423=phu!$I$82,L423=phu!$I$83,L423=phu!$I$84),"Cam Thịnh Đông",""),IF(OR(L423=phu!$I$85,L423=phu!$I$86,L423=phu!$I$87,L423=phu!$I$88),"Cam Thịnh Tây",""),IF(OR(L423=phu!$I$89,L423=phu!$I$90),"Cam Lập",""),IF(OR(L423=phu!$I$91,L423=phu!$I$92,L423=phu!$I$93),"Cam Bình",""),IF(OR(L423=phu!$I$94,L423=phu!$I$95,L423=phu!$I$96,L423=phu!$I$97,L423=phu!$I$98,L423=phu!$I$99,L423=phu!$I$100),"Huyện khác",""),IF(OR(L423=phu!$I$101,L423=phu!$I$102),"Tỉnh khác",""))</f>
        <v/>
      </c>
      <c r="N423" s="835" t="str">
        <f t="shared" si="33"/>
        <v/>
      </c>
      <c r="O423" s="20"/>
      <c r="P423" s="20"/>
      <c r="Q423" s="20"/>
      <c r="R423" s="20"/>
      <c r="S423" s="20"/>
      <c r="T423" s="21"/>
      <c r="U423" s="21"/>
      <c r="V423" s="21"/>
      <c r="W423" s="7" t="str">
        <f t="shared" si="31"/>
        <v/>
      </c>
      <c r="X423" s="506" t="str">
        <f t="shared" si="32"/>
        <v/>
      </c>
    </row>
    <row r="424" spans="1:24" x14ac:dyDescent="0.25">
      <c r="A424" s="66" t="str">
        <f t="shared" si="34"/>
        <v/>
      </c>
      <c r="B424" s="23" t="str">
        <f t="shared" si="30"/>
        <v/>
      </c>
      <c r="C424" s="15"/>
      <c r="D424" s="16"/>
      <c r="E424" s="17"/>
      <c r="F424" s="18"/>
      <c r="G424" s="18"/>
      <c r="H424" s="19"/>
      <c r="I424" s="15"/>
      <c r="J424" s="20"/>
      <c r="K424" s="15"/>
      <c r="L424" s="15"/>
      <c r="M424" s="531" t="str">
        <f>CONCATENATE(IF(OR(L424=phu!$I$1,L424=phu!$I$2,L424=phu!$I$3),"Cam Thành Nam",""),IF(OR(L424=phu!$I$4,L424=phu!$I$5,L424=phu!$I$6,L424=phu!$I$7,L424=phu!$I$8,L424=phu!$I$9,L424=phu!$I$10,L424=phu!$I$11,L424=phu!$I$12,L424=phu!$I$13,L424=phu!$I$14),"Cam Nghĩa",""),IF(OR(L424=phu!$I$15,L424=phu!$I$16,L424=phu!$I$17,L424=phu!$I$18,L424=phu!$I$19,L424=phu!$I$20,L424=phu!$I$21),"Cam Phúc Bắc",""),IF(OR(L424=phu!$I$22,L424=phu!$I$23,L424=phu!$I$24,L424=phu!$I$25),"Cam Phúc Nam",""),IF(OR(L424=phu!$I$26,L424=phu!$I$27,L424=phu!$I$28,L424=phu!$I$29,L424=phu!$I$30,L424=phu!$I$31),"Cam Phú",""),IF(OR(L424=phu!$I$32,L424=phu!$I$33,L424=phu!$I$34,L424=phu!$I$35,L424=phu!$I$36,L424=phu!$I$37),"Cam Lộc",""),IF(OR(L424=phu!$I$38,L424=phu!$I$39,L424=phu!$I$40,L424=phu!$I$41,L424=phu!$I$42,L424=phu!$I$43,L424=phu!$I$44),"Cam Thuận",""),IF(OR(L424=phu!$I$45,L424=phu!$I$46,L424=phu!$I$47,L424=phu!$I$48,L424=phu!$I$49,L424=phu!$I$50,L424=phu!$I$51,L424=phu!$I$52,L424=phu!$I$53),"Cam Linh",""),IF(OR(L424=phu!$I$54,L424=phu!$I$55,L424=phu!$I$56,L424=phu!$I$57,L424=phu!$I$58,L424=phu!$I$59,L424=phu!$I$60,L424=phu!$I$61,L424=phu!$I$62),"Cam Lợi",""),IF(OR(L424=phu!$I$63,L424=phu!$I$64,L424=phu!$I$65,L424=phu!$I$66,L424=phu!$I$67,L424=phu!$I$68,L424=phu!$I$69,L424=phu!$I$70,L424=phu!$I$71),"Ba Ngòi",""),IF(OR(L424=phu!$I$72,L424=phu!$I$73,L424=phu!$I$74,L424=phu!$I$75,L424=phu!$I$76,L424=phu!$I$77,L424=phu!$I$78),"Cam Phước Đông",""),IF(OR(L424=phu!$I$79,L424=phu!$I$80,L424=phu!$I$81,L424=phu!$I$82,L424=phu!$I$83,L424=phu!$I$84),"Cam Thịnh Đông",""),IF(OR(L424=phu!$I$85,L424=phu!$I$86,L424=phu!$I$87,L424=phu!$I$88),"Cam Thịnh Tây",""),IF(OR(L424=phu!$I$89,L424=phu!$I$90),"Cam Lập",""),IF(OR(L424=phu!$I$91,L424=phu!$I$92,L424=phu!$I$93),"Cam Bình",""),IF(OR(L424=phu!$I$94,L424=phu!$I$95,L424=phu!$I$96,L424=phu!$I$97,L424=phu!$I$98,L424=phu!$I$99,L424=phu!$I$100),"Huyện khác",""),IF(OR(L424=phu!$I$101,L424=phu!$I$102),"Tỉnh khác",""))</f>
        <v/>
      </c>
      <c r="N424" s="835" t="str">
        <f t="shared" si="33"/>
        <v/>
      </c>
      <c r="O424" s="20"/>
      <c r="P424" s="20"/>
      <c r="Q424" s="20"/>
      <c r="R424" s="20"/>
      <c r="S424" s="20"/>
      <c r="T424" s="21"/>
      <c r="U424" s="21"/>
      <c r="V424" s="21"/>
      <c r="W424" s="7" t="str">
        <f t="shared" si="31"/>
        <v/>
      </c>
      <c r="X424" s="506" t="str">
        <f t="shared" si="32"/>
        <v/>
      </c>
    </row>
    <row r="425" spans="1:24" x14ac:dyDescent="0.25">
      <c r="A425" s="66" t="str">
        <f t="shared" si="34"/>
        <v/>
      </c>
      <c r="B425" s="23" t="str">
        <f t="shared" si="30"/>
        <v/>
      </c>
      <c r="C425" s="15"/>
      <c r="D425" s="16"/>
      <c r="E425" s="17"/>
      <c r="F425" s="18"/>
      <c r="G425" s="18"/>
      <c r="H425" s="19"/>
      <c r="I425" s="15"/>
      <c r="J425" s="20"/>
      <c r="K425" s="15"/>
      <c r="L425" s="15"/>
      <c r="M425" s="531" t="str">
        <f>CONCATENATE(IF(OR(L425=phu!$I$1,L425=phu!$I$2,L425=phu!$I$3),"Cam Thành Nam",""),IF(OR(L425=phu!$I$4,L425=phu!$I$5,L425=phu!$I$6,L425=phu!$I$7,L425=phu!$I$8,L425=phu!$I$9,L425=phu!$I$10,L425=phu!$I$11,L425=phu!$I$12,L425=phu!$I$13,L425=phu!$I$14),"Cam Nghĩa",""),IF(OR(L425=phu!$I$15,L425=phu!$I$16,L425=phu!$I$17,L425=phu!$I$18,L425=phu!$I$19,L425=phu!$I$20,L425=phu!$I$21),"Cam Phúc Bắc",""),IF(OR(L425=phu!$I$22,L425=phu!$I$23,L425=phu!$I$24,L425=phu!$I$25),"Cam Phúc Nam",""),IF(OR(L425=phu!$I$26,L425=phu!$I$27,L425=phu!$I$28,L425=phu!$I$29,L425=phu!$I$30,L425=phu!$I$31),"Cam Phú",""),IF(OR(L425=phu!$I$32,L425=phu!$I$33,L425=phu!$I$34,L425=phu!$I$35,L425=phu!$I$36,L425=phu!$I$37),"Cam Lộc",""),IF(OR(L425=phu!$I$38,L425=phu!$I$39,L425=phu!$I$40,L425=phu!$I$41,L425=phu!$I$42,L425=phu!$I$43,L425=phu!$I$44),"Cam Thuận",""),IF(OR(L425=phu!$I$45,L425=phu!$I$46,L425=phu!$I$47,L425=phu!$I$48,L425=phu!$I$49,L425=phu!$I$50,L425=phu!$I$51,L425=phu!$I$52,L425=phu!$I$53),"Cam Linh",""),IF(OR(L425=phu!$I$54,L425=phu!$I$55,L425=phu!$I$56,L425=phu!$I$57,L425=phu!$I$58,L425=phu!$I$59,L425=phu!$I$60,L425=phu!$I$61,L425=phu!$I$62),"Cam Lợi",""),IF(OR(L425=phu!$I$63,L425=phu!$I$64,L425=phu!$I$65,L425=phu!$I$66,L425=phu!$I$67,L425=phu!$I$68,L425=phu!$I$69,L425=phu!$I$70,L425=phu!$I$71),"Ba Ngòi",""),IF(OR(L425=phu!$I$72,L425=phu!$I$73,L425=phu!$I$74,L425=phu!$I$75,L425=phu!$I$76,L425=phu!$I$77,L425=phu!$I$78),"Cam Phước Đông",""),IF(OR(L425=phu!$I$79,L425=phu!$I$80,L425=phu!$I$81,L425=phu!$I$82,L425=phu!$I$83,L425=phu!$I$84),"Cam Thịnh Đông",""),IF(OR(L425=phu!$I$85,L425=phu!$I$86,L425=phu!$I$87,L425=phu!$I$88),"Cam Thịnh Tây",""),IF(OR(L425=phu!$I$89,L425=phu!$I$90),"Cam Lập",""),IF(OR(L425=phu!$I$91,L425=phu!$I$92,L425=phu!$I$93),"Cam Bình",""),IF(OR(L425=phu!$I$94,L425=phu!$I$95,L425=phu!$I$96,L425=phu!$I$97,L425=phu!$I$98,L425=phu!$I$99,L425=phu!$I$100),"Huyện khác",""),IF(OR(L425=phu!$I$101,L425=phu!$I$102),"Tỉnh khác",""))</f>
        <v/>
      </c>
      <c r="N425" s="835" t="str">
        <f t="shared" si="33"/>
        <v/>
      </c>
      <c r="O425" s="20"/>
      <c r="P425" s="20"/>
      <c r="Q425" s="20"/>
      <c r="R425" s="20"/>
      <c r="S425" s="20"/>
      <c r="T425" s="21"/>
      <c r="U425" s="21"/>
      <c r="V425" s="21"/>
      <c r="W425" s="7" t="str">
        <f t="shared" si="31"/>
        <v/>
      </c>
      <c r="X425" s="506" t="str">
        <f t="shared" si="32"/>
        <v/>
      </c>
    </row>
    <row r="426" spans="1:24" x14ac:dyDescent="0.25">
      <c r="A426" s="66" t="str">
        <f t="shared" si="34"/>
        <v/>
      </c>
      <c r="B426" s="23" t="str">
        <f t="shared" si="30"/>
        <v/>
      </c>
      <c r="C426" s="15"/>
      <c r="D426" s="16"/>
      <c r="E426" s="17"/>
      <c r="F426" s="18"/>
      <c r="G426" s="18"/>
      <c r="H426" s="19"/>
      <c r="I426" s="15"/>
      <c r="J426" s="20"/>
      <c r="K426" s="15"/>
      <c r="L426" s="15"/>
      <c r="M426" s="531" t="str">
        <f>CONCATENATE(IF(OR(L426=phu!$I$1,L426=phu!$I$2,L426=phu!$I$3),"Cam Thành Nam",""),IF(OR(L426=phu!$I$4,L426=phu!$I$5,L426=phu!$I$6,L426=phu!$I$7,L426=phu!$I$8,L426=phu!$I$9,L426=phu!$I$10,L426=phu!$I$11,L426=phu!$I$12,L426=phu!$I$13,L426=phu!$I$14),"Cam Nghĩa",""),IF(OR(L426=phu!$I$15,L426=phu!$I$16,L426=phu!$I$17,L426=phu!$I$18,L426=phu!$I$19,L426=phu!$I$20,L426=phu!$I$21),"Cam Phúc Bắc",""),IF(OR(L426=phu!$I$22,L426=phu!$I$23,L426=phu!$I$24,L426=phu!$I$25),"Cam Phúc Nam",""),IF(OR(L426=phu!$I$26,L426=phu!$I$27,L426=phu!$I$28,L426=phu!$I$29,L426=phu!$I$30,L426=phu!$I$31),"Cam Phú",""),IF(OR(L426=phu!$I$32,L426=phu!$I$33,L426=phu!$I$34,L426=phu!$I$35,L426=phu!$I$36,L426=phu!$I$37),"Cam Lộc",""),IF(OR(L426=phu!$I$38,L426=phu!$I$39,L426=phu!$I$40,L426=phu!$I$41,L426=phu!$I$42,L426=phu!$I$43,L426=phu!$I$44),"Cam Thuận",""),IF(OR(L426=phu!$I$45,L426=phu!$I$46,L426=phu!$I$47,L426=phu!$I$48,L426=phu!$I$49,L426=phu!$I$50,L426=phu!$I$51,L426=phu!$I$52,L426=phu!$I$53),"Cam Linh",""),IF(OR(L426=phu!$I$54,L426=phu!$I$55,L426=phu!$I$56,L426=phu!$I$57,L426=phu!$I$58,L426=phu!$I$59,L426=phu!$I$60,L426=phu!$I$61,L426=phu!$I$62),"Cam Lợi",""),IF(OR(L426=phu!$I$63,L426=phu!$I$64,L426=phu!$I$65,L426=phu!$I$66,L426=phu!$I$67,L426=phu!$I$68,L426=phu!$I$69,L426=phu!$I$70,L426=phu!$I$71),"Ba Ngòi",""),IF(OR(L426=phu!$I$72,L426=phu!$I$73,L426=phu!$I$74,L426=phu!$I$75,L426=phu!$I$76,L426=phu!$I$77,L426=phu!$I$78),"Cam Phước Đông",""),IF(OR(L426=phu!$I$79,L426=phu!$I$80,L426=phu!$I$81,L426=phu!$I$82,L426=phu!$I$83,L426=phu!$I$84),"Cam Thịnh Đông",""),IF(OR(L426=phu!$I$85,L426=phu!$I$86,L426=phu!$I$87,L426=phu!$I$88),"Cam Thịnh Tây",""),IF(OR(L426=phu!$I$89,L426=phu!$I$90),"Cam Lập",""),IF(OR(L426=phu!$I$91,L426=phu!$I$92,L426=phu!$I$93),"Cam Bình",""),IF(OR(L426=phu!$I$94,L426=phu!$I$95,L426=phu!$I$96,L426=phu!$I$97,L426=phu!$I$98,L426=phu!$I$99,L426=phu!$I$100),"Huyện khác",""),IF(OR(L426=phu!$I$101,L426=phu!$I$102),"Tỉnh khác",""))</f>
        <v/>
      </c>
      <c r="N426" s="835" t="str">
        <f t="shared" si="33"/>
        <v/>
      </c>
      <c r="O426" s="20"/>
      <c r="P426" s="20"/>
      <c r="Q426" s="20"/>
      <c r="R426" s="20"/>
      <c r="S426" s="20"/>
      <c r="T426" s="21"/>
      <c r="U426" s="21"/>
      <c r="V426" s="21"/>
      <c r="W426" s="7" t="str">
        <f t="shared" si="31"/>
        <v/>
      </c>
      <c r="X426" s="506" t="str">
        <f t="shared" si="32"/>
        <v/>
      </c>
    </row>
    <row r="427" spans="1:24" x14ac:dyDescent="0.25">
      <c r="A427" s="66" t="str">
        <f t="shared" si="34"/>
        <v/>
      </c>
      <c r="B427" s="23" t="str">
        <f t="shared" si="30"/>
        <v/>
      </c>
      <c r="C427" s="15"/>
      <c r="D427" s="16"/>
      <c r="E427" s="17"/>
      <c r="F427" s="18"/>
      <c r="G427" s="18"/>
      <c r="H427" s="19"/>
      <c r="I427" s="15"/>
      <c r="J427" s="20"/>
      <c r="K427" s="15"/>
      <c r="L427" s="15"/>
      <c r="M427" s="531" t="str">
        <f>CONCATENATE(IF(OR(L427=phu!$I$1,L427=phu!$I$2,L427=phu!$I$3),"Cam Thành Nam",""),IF(OR(L427=phu!$I$4,L427=phu!$I$5,L427=phu!$I$6,L427=phu!$I$7,L427=phu!$I$8,L427=phu!$I$9,L427=phu!$I$10,L427=phu!$I$11,L427=phu!$I$12,L427=phu!$I$13,L427=phu!$I$14),"Cam Nghĩa",""),IF(OR(L427=phu!$I$15,L427=phu!$I$16,L427=phu!$I$17,L427=phu!$I$18,L427=phu!$I$19,L427=phu!$I$20,L427=phu!$I$21),"Cam Phúc Bắc",""),IF(OR(L427=phu!$I$22,L427=phu!$I$23,L427=phu!$I$24,L427=phu!$I$25),"Cam Phúc Nam",""),IF(OR(L427=phu!$I$26,L427=phu!$I$27,L427=phu!$I$28,L427=phu!$I$29,L427=phu!$I$30,L427=phu!$I$31),"Cam Phú",""),IF(OR(L427=phu!$I$32,L427=phu!$I$33,L427=phu!$I$34,L427=phu!$I$35,L427=phu!$I$36,L427=phu!$I$37),"Cam Lộc",""),IF(OR(L427=phu!$I$38,L427=phu!$I$39,L427=phu!$I$40,L427=phu!$I$41,L427=phu!$I$42,L427=phu!$I$43,L427=phu!$I$44),"Cam Thuận",""),IF(OR(L427=phu!$I$45,L427=phu!$I$46,L427=phu!$I$47,L427=phu!$I$48,L427=phu!$I$49,L427=phu!$I$50,L427=phu!$I$51,L427=phu!$I$52,L427=phu!$I$53),"Cam Linh",""),IF(OR(L427=phu!$I$54,L427=phu!$I$55,L427=phu!$I$56,L427=phu!$I$57,L427=phu!$I$58,L427=phu!$I$59,L427=phu!$I$60,L427=phu!$I$61,L427=phu!$I$62),"Cam Lợi",""),IF(OR(L427=phu!$I$63,L427=phu!$I$64,L427=phu!$I$65,L427=phu!$I$66,L427=phu!$I$67,L427=phu!$I$68,L427=phu!$I$69,L427=phu!$I$70,L427=phu!$I$71),"Ba Ngòi",""),IF(OR(L427=phu!$I$72,L427=phu!$I$73,L427=phu!$I$74,L427=phu!$I$75,L427=phu!$I$76,L427=phu!$I$77,L427=phu!$I$78),"Cam Phước Đông",""),IF(OR(L427=phu!$I$79,L427=phu!$I$80,L427=phu!$I$81,L427=phu!$I$82,L427=phu!$I$83,L427=phu!$I$84),"Cam Thịnh Đông",""),IF(OR(L427=phu!$I$85,L427=phu!$I$86,L427=phu!$I$87,L427=phu!$I$88),"Cam Thịnh Tây",""),IF(OR(L427=phu!$I$89,L427=phu!$I$90),"Cam Lập",""),IF(OR(L427=phu!$I$91,L427=phu!$I$92,L427=phu!$I$93),"Cam Bình",""),IF(OR(L427=phu!$I$94,L427=phu!$I$95,L427=phu!$I$96,L427=phu!$I$97,L427=phu!$I$98,L427=phu!$I$99,L427=phu!$I$100),"Huyện khác",""),IF(OR(L427=phu!$I$101,L427=phu!$I$102),"Tỉnh khác",""))</f>
        <v/>
      </c>
      <c r="N427" s="835" t="str">
        <f t="shared" si="33"/>
        <v/>
      </c>
      <c r="O427" s="20"/>
      <c r="P427" s="20"/>
      <c r="Q427" s="20"/>
      <c r="R427" s="20"/>
      <c r="S427" s="20"/>
      <c r="T427" s="21"/>
      <c r="U427" s="21"/>
      <c r="V427" s="21"/>
      <c r="W427" s="7" t="str">
        <f t="shared" si="31"/>
        <v/>
      </c>
      <c r="X427" s="506" t="str">
        <f t="shared" si="32"/>
        <v/>
      </c>
    </row>
    <row r="428" spans="1:24" x14ac:dyDescent="0.25">
      <c r="A428" s="66" t="str">
        <f t="shared" si="34"/>
        <v/>
      </c>
      <c r="B428" s="23" t="str">
        <f t="shared" si="30"/>
        <v/>
      </c>
      <c r="C428" s="15"/>
      <c r="D428" s="16"/>
      <c r="E428" s="17"/>
      <c r="F428" s="18"/>
      <c r="G428" s="18"/>
      <c r="H428" s="19"/>
      <c r="I428" s="15"/>
      <c r="J428" s="20"/>
      <c r="K428" s="15"/>
      <c r="L428" s="15"/>
      <c r="M428" s="531" t="str">
        <f>CONCATENATE(IF(OR(L428=phu!$I$1,L428=phu!$I$2,L428=phu!$I$3),"Cam Thành Nam",""),IF(OR(L428=phu!$I$4,L428=phu!$I$5,L428=phu!$I$6,L428=phu!$I$7,L428=phu!$I$8,L428=phu!$I$9,L428=phu!$I$10,L428=phu!$I$11,L428=phu!$I$12,L428=phu!$I$13,L428=phu!$I$14),"Cam Nghĩa",""),IF(OR(L428=phu!$I$15,L428=phu!$I$16,L428=phu!$I$17,L428=phu!$I$18,L428=phu!$I$19,L428=phu!$I$20,L428=phu!$I$21),"Cam Phúc Bắc",""),IF(OR(L428=phu!$I$22,L428=phu!$I$23,L428=phu!$I$24,L428=phu!$I$25),"Cam Phúc Nam",""),IF(OR(L428=phu!$I$26,L428=phu!$I$27,L428=phu!$I$28,L428=phu!$I$29,L428=phu!$I$30,L428=phu!$I$31),"Cam Phú",""),IF(OR(L428=phu!$I$32,L428=phu!$I$33,L428=phu!$I$34,L428=phu!$I$35,L428=phu!$I$36,L428=phu!$I$37),"Cam Lộc",""),IF(OR(L428=phu!$I$38,L428=phu!$I$39,L428=phu!$I$40,L428=phu!$I$41,L428=phu!$I$42,L428=phu!$I$43,L428=phu!$I$44),"Cam Thuận",""),IF(OR(L428=phu!$I$45,L428=phu!$I$46,L428=phu!$I$47,L428=phu!$I$48,L428=phu!$I$49,L428=phu!$I$50,L428=phu!$I$51,L428=phu!$I$52,L428=phu!$I$53),"Cam Linh",""),IF(OR(L428=phu!$I$54,L428=phu!$I$55,L428=phu!$I$56,L428=phu!$I$57,L428=phu!$I$58,L428=phu!$I$59,L428=phu!$I$60,L428=phu!$I$61,L428=phu!$I$62),"Cam Lợi",""),IF(OR(L428=phu!$I$63,L428=phu!$I$64,L428=phu!$I$65,L428=phu!$I$66,L428=phu!$I$67,L428=phu!$I$68,L428=phu!$I$69,L428=phu!$I$70,L428=phu!$I$71),"Ba Ngòi",""),IF(OR(L428=phu!$I$72,L428=phu!$I$73,L428=phu!$I$74,L428=phu!$I$75,L428=phu!$I$76,L428=phu!$I$77,L428=phu!$I$78),"Cam Phước Đông",""),IF(OR(L428=phu!$I$79,L428=phu!$I$80,L428=phu!$I$81,L428=phu!$I$82,L428=phu!$I$83,L428=phu!$I$84),"Cam Thịnh Đông",""),IF(OR(L428=phu!$I$85,L428=phu!$I$86,L428=phu!$I$87,L428=phu!$I$88),"Cam Thịnh Tây",""),IF(OR(L428=phu!$I$89,L428=phu!$I$90),"Cam Lập",""),IF(OR(L428=phu!$I$91,L428=phu!$I$92,L428=phu!$I$93),"Cam Bình",""),IF(OR(L428=phu!$I$94,L428=phu!$I$95,L428=phu!$I$96,L428=phu!$I$97,L428=phu!$I$98,L428=phu!$I$99,L428=phu!$I$100),"Huyện khác",""),IF(OR(L428=phu!$I$101,L428=phu!$I$102),"Tỉnh khác",""))</f>
        <v/>
      </c>
      <c r="N428" s="835" t="str">
        <f t="shared" si="33"/>
        <v/>
      </c>
      <c r="O428" s="20"/>
      <c r="P428" s="20"/>
      <c r="Q428" s="20"/>
      <c r="R428" s="20"/>
      <c r="S428" s="20"/>
      <c r="T428" s="21"/>
      <c r="U428" s="21"/>
      <c r="V428" s="21"/>
      <c r="W428" s="7" t="str">
        <f t="shared" si="31"/>
        <v/>
      </c>
      <c r="X428" s="506" t="str">
        <f t="shared" si="32"/>
        <v/>
      </c>
    </row>
    <row r="429" spans="1:24" x14ac:dyDescent="0.25">
      <c r="A429" s="66" t="str">
        <f t="shared" si="34"/>
        <v/>
      </c>
      <c r="B429" s="23" t="str">
        <f t="shared" si="30"/>
        <v/>
      </c>
      <c r="C429" s="15"/>
      <c r="D429" s="16"/>
      <c r="E429" s="17"/>
      <c r="F429" s="18"/>
      <c r="G429" s="18"/>
      <c r="H429" s="19"/>
      <c r="I429" s="15"/>
      <c r="J429" s="20"/>
      <c r="K429" s="15"/>
      <c r="L429" s="15"/>
      <c r="M429" s="531" t="str">
        <f>CONCATENATE(IF(OR(L429=phu!$I$1,L429=phu!$I$2,L429=phu!$I$3),"Cam Thành Nam",""),IF(OR(L429=phu!$I$4,L429=phu!$I$5,L429=phu!$I$6,L429=phu!$I$7,L429=phu!$I$8,L429=phu!$I$9,L429=phu!$I$10,L429=phu!$I$11,L429=phu!$I$12,L429=phu!$I$13,L429=phu!$I$14),"Cam Nghĩa",""),IF(OR(L429=phu!$I$15,L429=phu!$I$16,L429=phu!$I$17,L429=phu!$I$18,L429=phu!$I$19,L429=phu!$I$20,L429=phu!$I$21),"Cam Phúc Bắc",""),IF(OR(L429=phu!$I$22,L429=phu!$I$23,L429=phu!$I$24,L429=phu!$I$25),"Cam Phúc Nam",""),IF(OR(L429=phu!$I$26,L429=phu!$I$27,L429=phu!$I$28,L429=phu!$I$29,L429=phu!$I$30,L429=phu!$I$31),"Cam Phú",""),IF(OR(L429=phu!$I$32,L429=phu!$I$33,L429=phu!$I$34,L429=phu!$I$35,L429=phu!$I$36,L429=phu!$I$37),"Cam Lộc",""),IF(OR(L429=phu!$I$38,L429=phu!$I$39,L429=phu!$I$40,L429=phu!$I$41,L429=phu!$I$42,L429=phu!$I$43,L429=phu!$I$44),"Cam Thuận",""),IF(OR(L429=phu!$I$45,L429=phu!$I$46,L429=phu!$I$47,L429=phu!$I$48,L429=phu!$I$49,L429=phu!$I$50,L429=phu!$I$51,L429=phu!$I$52,L429=phu!$I$53),"Cam Linh",""),IF(OR(L429=phu!$I$54,L429=phu!$I$55,L429=phu!$I$56,L429=phu!$I$57,L429=phu!$I$58,L429=phu!$I$59,L429=phu!$I$60,L429=phu!$I$61,L429=phu!$I$62),"Cam Lợi",""),IF(OR(L429=phu!$I$63,L429=phu!$I$64,L429=phu!$I$65,L429=phu!$I$66,L429=phu!$I$67,L429=phu!$I$68,L429=phu!$I$69,L429=phu!$I$70,L429=phu!$I$71),"Ba Ngòi",""),IF(OR(L429=phu!$I$72,L429=phu!$I$73,L429=phu!$I$74,L429=phu!$I$75,L429=phu!$I$76,L429=phu!$I$77,L429=phu!$I$78),"Cam Phước Đông",""),IF(OR(L429=phu!$I$79,L429=phu!$I$80,L429=phu!$I$81,L429=phu!$I$82,L429=phu!$I$83,L429=phu!$I$84),"Cam Thịnh Đông",""),IF(OR(L429=phu!$I$85,L429=phu!$I$86,L429=phu!$I$87,L429=phu!$I$88),"Cam Thịnh Tây",""),IF(OR(L429=phu!$I$89,L429=phu!$I$90),"Cam Lập",""),IF(OR(L429=phu!$I$91,L429=phu!$I$92,L429=phu!$I$93),"Cam Bình",""),IF(OR(L429=phu!$I$94,L429=phu!$I$95,L429=phu!$I$96,L429=phu!$I$97,L429=phu!$I$98,L429=phu!$I$99,L429=phu!$I$100),"Huyện khác",""),IF(OR(L429=phu!$I$101,L429=phu!$I$102),"Tỉnh khác",""))</f>
        <v/>
      </c>
      <c r="N429" s="835" t="str">
        <f t="shared" si="33"/>
        <v/>
      </c>
      <c r="O429" s="20"/>
      <c r="P429" s="20"/>
      <c r="Q429" s="20"/>
      <c r="R429" s="20"/>
      <c r="S429" s="20"/>
      <c r="T429" s="21"/>
      <c r="U429" s="21"/>
      <c r="V429" s="21"/>
      <c r="W429" s="7" t="str">
        <f t="shared" si="31"/>
        <v/>
      </c>
      <c r="X429" s="506" t="str">
        <f t="shared" si="32"/>
        <v/>
      </c>
    </row>
    <row r="430" spans="1:24" x14ac:dyDescent="0.25">
      <c r="A430" s="66" t="str">
        <f t="shared" si="34"/>
        <v/>
      </c>
      <c r="B430" s="23" t="str">
        <f t="shared" si="30"/>
        <v/>
      </c>
      <c r="C430" s="15"/>
      <c r="D430" s="16"/>
      <c r="E430" s="17"/>
      <c r="F430" s="18"/>
      <c r="G430" s="18"/>
      <c r="H430" s="19"/>
      <c r="I430" s="15"/>
      <c r="J430" s="20"/>
      <c r="K430" s="15"/>
      <c r="L430" s="15"/>
      <c r="M430" s="531" t="str">
        <f>CONCATENATE(IF(OR(L430=phu!$I$1,L430=phu!$I$2,L430=phu!$I$3),"Cam Thành Nam",""),IF(OR(L430=phu!$I$4,L430=phu!$I$5,L430=phu!$I$6,L430=phu!$I$7,L430=phu!$I$8,L430=phu!$I$9,L430=phu!$I$10,L430=phu!$I$11,L430=phu!$I$12,L430=phu!$I$13,L430=phu!$I$14),"Cam Nghĩa",""),IF(OR(L430=phu!$I$15,L430=phu!$I$16,L430=phu!$I$17,L430=phu!$I$18,L430=phu!$I$19,L430=phu!$I$20,L430=phu!$I$21),"Cam Phúc Bắc",""),IF(OR(L430=phu!$I$22,L430=phu!$I$23,L430=phu!$I$24,L430=phu!$I$25),"Cam Phúc Nam",""),IF(OR(L430=phu!$I$26,L430=phu!$I$27,L430=phu!$I$28,L430=phu!$I$29,L430=phu!$I$30,L430=phu!$I$31),"Cam Phú",""),IF(OR(L430=phu!$I$32,L430=phu!$I$33,L430=phu!$I$34,L430=phu!$I$35,L430=phu!$I$36,L430=phu!$I$37),"Cam Lộc",""),IF(OR(L430=phu!$I$38,L430=phu!$I$39,L430=phu!$I$40,L430=phu!$I$41,L430=phu!$I$42,L430=phu!$I$43,L430=phu!$I$44),"Cam Thuận",""),IF(OR(L430=phu!$I$45,L430=phu!$I$46,L430=phu!$I$47,L430=phu!$I$48,L430=phu!$I$49,L430=phu!$I$50,L430=phu!$I$51,L430=phu!$I$52,L430=phu!$I$53),"Cam Linh",""),IF(OR(L430=phu!$I$54,L430=phu!$I$55,L430=phu!$I$56,L430=phu!$I$57,L430=phu!$I$58,L430=phu!$I$59,L430=phu!$I$60,L430=phu!$I$61,L430=phu!$I$62),"Cam Lợi",""),IF(OR(L430=phu!$I$63,L430=phu!$I$64,L430=phu!$I$65,L430=phu!$I$66,L430=phu!$I$67,L430=phu!$I$68,L430=phu!$I$69,L430=phu!$I$70,L430=phu!$I$71),"Ba Ngòi",""),IF(OR(L430=phu!$I$72,L430=phu!$I$73,L430=phu!$I$74,L430=phu!$I$75,L430=phu!$I$76,L430=phu!$I$77,L430=phu!$I$78),"Cam Phước Đông",""),IF(OR(L430=phu!$I$79,L430=phu!$I$80,L430=phu!$I$81,L430=phu!$I$82,L430=phu!$I$83,L430=phu!$I$84),"Cam Thịnh Đông",""),IF(OR(L430=phu!$I$85,L430=phu!$I$86,L430=phu!$I$87,L430=phu!$I$88),"Cam Thịnh Tây",""),IF(OR(L430=phu!$I$89,L430=phu!$I$90),"Cam Lập",""),IF(OR(L430=phu!$I$91,L430=phu!$I$92,L430=phu!$I$93),"Cam Bình",""),IF(OR(L430=phu!$I$94,L430=phu!$I$95,L430=phu!$I$96,L430=phu!$I$97,L430=phu!$I$98,L430=phu!$I$99,L430=phu!$I$100),"Huyện khác",""),IF(OR(L430=phu!$I$101,L430=phu!$I$102),"Tỉnh khác",""))</f>
        <v/>
      </c>
      <c r="N430" s="835" t="str">
        <f t="shared" si="33"/>
        <v/>
      </c>
      <c r="O430" s="20"/>
      <c r="P430" s="20"/>
      <c r="Q430" s="20"/>
      <c r="R430" s="20"/>
      <c r="S430" s="20"/>
      <c r="T430" s="21"/>
      <c r="U430" s="21"/>
      <c r="V430" s="21"/>
      <c r="W430" s="7" t="str">
        <f t="shared" si="31"/>
        <v/>
      </c>
      <c r="X430" s="506" t="str">
        <f t="shared" si="32"/>
        <v/>
      </c>
    </row>
    <row r="431" spans="1:24" x14ac:dyDescent="0.25">
      <c r="A431" s="66" t="str">
        <f t="shared" si="34"/>
        <v/>
      </c>
      <c r="B431" s="23" t="str">
        <f t="shared" si="30"/>
        <v/>
      </c>
      <c r="C431" s="15"/>
      <c r="D431" s="16"/>
      <c r="E431" s="17"/>
      <c r="F431" s="18"/>
      <c r="G431" s="18"/>
      <c r="H431" s="19"/>
      <c r="I431" s="15"/>
      <c r="J431" s="20"/>
      <c r="K431" s="15"/>
      <c r="L431" s="15"/>
      <c r="M431" s="531" t="str">
        <f>CONCATENATE(IF(OR(L431=phu!$I$1,L431=phu!$I$2,L431=phu!$I$3),"Cam Thành Nam",""),IF(OR(L431=phu!$I$4,L431=phu!$I$5,L431=phu!$I$6,L431=phu!$I$7,L431=phu!$I$8,L431=phu!$I$9,L431=phu!$I$10,L431=phu!$I$11,L431=phu!$I$12,L431=phu!$I$13,L431=phu!$I$14),"Cam Nghĩa",""),IF(OR(L431=phu!$I$15,L431=phu!$I$16,L431=phu!$I$17,L431=phu!$I$18,L431=phu!$I$19,L431=phu!$I$20,L431=phu!$I$21),"Cam Phúc Bắc",""),IF(OR(L431=phu!$I$22,L431=phu!$I$23,L431=phu!$I$24,L431=phu!$I$25),"Cam Phúc Nam",""),IF(OR(L431=phu!$I$26,L431=phu!$I$27,L431=phu!$I$28,L431=phu!$I$29,L431=phu!$I$30,L431=phu!$I$31),"Cam Phú",""),IF(OR(L431=phu!$I$32,L431=phu!$I$33,L431=phu!$I$34,L431=phu!$I$35,L431=phu!$I$36,L431=phu!$I$37),"Cam Lộc",""),IF(OR(L431=phu!$I$38,L431=phu!$I$39,L431=phu!$I$40,L431=phu!$I$41,L431=phu!$I$42,L431=phu!$I$43,L431=phu!$I$44),"Cam Thuận",""),IF(OR(L431=phu!$I$45,L431=phu!$I$46,L431=phu!$I$47,L431=phu!$I$48,L431=phu!$I$49,L431=phu!$I$50,L431=phu!$I$51,L431=phu!$I$52,L431=phu!$I$53),"Cam Linh",""),IF(OR(L431=phu!$I$54,L431=phu!$I$55,L431=phu!$I$56,L431=phu!$I$57,L431=phu!$I$58,L431=phu!$I$59,L431=phu!$I$60,L431=phu!$I$61,L431=phu!$I$62),"Cam Lợi",""),IF(OR(L431=phu!$I$63,L431=phu!$I$64,L431=phu!$I$65,L431=phu!$I$66,L431=phu!$I$67,L431=phu!$I$68,L431=phu!$I$69,L431=phu!$I$70,L431=phu!$I$71),"Ba Ngòi",""),IF(OR(L431=phu!$I$72,L431=phu!$I$73,L431=phu!$I$74,L431=phu!$I$75,L431=phu!$I$76,L431=phu!$I$77,L431=phu!$I$78),"Cam Phước Đông",""),IF(OR(L431=phu!$I$79,L431=phu!$I$80,L431=phu!$I$81,L431=phu!$I$82,L431=phu!$I$83,L431=phu!$I$84),"Cam Thịnh Đông",""),IF(OR(L431=phu!$I$85,L431=phu!$I$86,L431=phu!$I$87,L431=phu!$I$88),"Cam Thịnh Tây",""),IF(OR(L431=phu!$I$89,L431=phu!$I$90),"Cam Lập",""),IF(OR(L431=phu!$I$91,L431=phu!$I$92,L431=phu!$I$93),"Cam Bình",""),IF(OR(L431=phu!$I$94,L431=phu!$I$95,L431=phu!$I$96,L431=phu!$I$97,L431=phu!$I$98,L431=phu!$I$99,L431=phu!$I$100),"Huyện khác",""),IF(OR(L431=phu!$I$101,L431=phu!$I$102),"Tỉnh khác",""))</f>
        <v/>
      </c>
      <c r="N431" s="835" t="str">
        <f t="shared" si="33"/>
        <v/>
      </c>
      <c r="O431" s="20"/>
      <c r="P431" s="20"/>
      <c r="Q431" s="20"/>
      <c r="R431" s="20"/>
      <c r="S431" s="20"/>
      <c r="T431" s="21"/>
      <c r="U431" s="21"/>
      <c r="V431" s="21"/>
      <c r="W431" s="7" t="str">
        <f t="shared" si="31"/>
        <v/>
      </c>
      <c r="X431" s="506" t="str">
        <f t="shared" si="32"/>
        <v/>
      </c>
    </row>
    <row r="432" spans="1:24" x14ac:dyDescent="0.25">
      <c r="A432" s="66" t="str">
        <f t="shared" si="34"/>
        <v/>
      </c>
      <c r="B432" s="23" t="str">
        <f t="shared" si="30"/>
        <v/>
      </c>
      <c r="C432" s="15"/>
      <c r="D432" s="16"/>
      <c r="E432" s="17"/>
      <c r="F432" s="18"/>
      <c r="G432" s="18"/>
      <c r="H432" s="19"/>
      <c r="I432" s="15"/>
      <c r="J432" s="20"/>
      <c r="K432" s="15"/>
      <c r="L432" s="15"/>
      <c r="M432" s="531" t="str">
        <f>CONCATENATE(IF(OR(L432=phu!$I$1,L432=phu!$I$2,L432=phu!$I$3),"Cam Thành Nam",""),IF(OR(L432=phu!$I$4,L432=phu!$I$5,L432=phu!$I$6,L432=phu!$I$7,L432=phu!$I$8,L432=phu!$I$9,L432=phu!$I$10,L432=phu!$I$11,L432=phu!$I$12,L432=phu!$I$13,L432=phu!$I$14),"Cam Nghĩa",""),IF(OR(L432=phu!$I$15,L432=phu!$I$16,L432=phu!$I$17,L432=phu!$I$18,L432=phu!$I$19,L432=phu!$I$20,L432=phu!$I$21),"Cam Phúc Bắc",""),IF(OR(L432=phu!$I$22,L432=phu!$I$23,L432=phu!$I$24,L432=phu!$I$25),"Cam Phúc Nam",""),IF(OR(L432=phu!$I$26,L432=phu!$I$27,L432=phu!$I$28,L432=phu!$I$29,L432=phu!$I$30,L432=phu!$I$31),"Cam Phú",""),IF(OR(L432=phu!$I$32,L432=phu!$I$33,L432=phu!$I$34,L432=phu!$I$35,L432=phu!$I$36,L432=phu!$I$37),"Cam Lộc",""),IF(OR(L432=phu!$I$38,L432=phu!$I$39,L432=phu!$I$40,L432=phu!$I$41,L432=phu!$I$42,L432=phu!$I$43,L432=phu!$I$44),"Cam Thuận",""),IF(OR(L432=phu!$I$45,L432=phu!$I$46,L432=phu!$I$47,L432=phu!$I$48,L432=phu!$I$49,L432=phu!$I$50,L432=phu!$I$51,L432=phu!$I$52,L432=phu!$I$53),"Cam Linh",""),IF(OR(L432=phu!$I$54,L432=phu!$I$55,L432=phu!$I$56,L432=phu!$I$57,L432=phu!$I$58,L432=phu!$I$59,L432=phu!$I$60,L432=phu!$I$61,L432=phu!$I$62),"Cam Lợi",""),IF(OR(L432=phu!$I$63,L432=phu!$I$64,L432=phu!$I$65,L432=phu!$I$66,L432=phu!$I$67,L432=phu!$I$68,L432=phu!$I$69,L432=phu!$I$70,L432=phu!$I$71),"Ba Ngòi",""),IF(OR(L432=phu!$I$72,L432=phu!$I$73,L432=phu!$I$74,L432=phu!$I$75,L432=phu!$I$76,L432=phu!$I$77,L432=phu!$I$78),"Cam Phước Đông",""),IF(OR(L432=phu!$I$79,L432=phu!$I$80,L432=phu!$I$81,L432=phu!$I$82,L432=phu!$I$83,L432=phu!$I$84),"Cam Thịnh Đông",""),IF(OR(L432=phu!$I$85,L432=phu!$I$86,L432=phu!$I$87,L432=phu!$I$88),"Cam Thịnh Tây",""),IF(OR(L432=phu!$I$89,L432=phu!$I$90),"Cam Lập",""),IF(OR(L432=phu!$I$91,L432=phu!$I$92,L432=phu!$I$93),"Cam Bình",""),IF(OR(L432=phu!$I$94,L432=phu!$I$95,L432=phu!$I$96,L432=phu!$I$97,L432=phu!$I$98,L432=phu!$I$99,L432=phu!$I$100),"Huyện khác",""),IF(OR(L432=phu!$I$101,L432=phu!$I$102),"Tỉnh khác",""))</f>
        <v/>
      </c>
      <c r="N432" s="835" t="str">
        <f t="shared" si="33"/>
        <v/>
      </c>
      <c r="O432" s="20"/>
      <c r="P432" s="20"/>
      <c r="Q432" s="20"/>
      <c r="R432" s="20"/>
      <c r="S432" s="20"/>
      <c r="T432" s="21"/>
      <c r="U432" s="21"/>
      <c r="V432" s="21"/>
      <c r="W432" s="7" t="str">
        <f t="shared" si="31"/>
        <v/>
      </c>
      <c r="X432" s="506" t="str">
        <f t="shared" si="32"/>
        <v/>
      </c>
    </row>
    <row r="433" spans="1:24" x14ac:dyDescent="0.25">
      <c r="A433" s="66" t="str">
        <f t="shared" si="34"/>
        <v/>
      </c>
      <c r="B433" s="23" t="str">
        <f t="shared" si="30"/>
        <v/>
      </c>
      <c r="C433" s="15"/>
      <c r="D433" s="16"/>
      <c r="E433" s="17"/>
      <c r="F433" s="18"/>
      <c r="G433" s="18"/>
      <c r="H433" s="19"/>
      <c r="I433" s="15"/>
      <c r="J433" s="20"/>
      <c r="K433" s="15"/>
      <c r="L433" s="15"/>
      <c r="M433" s="531" t="str">
        <f>CONCATENATE(IF(OR(L433=phu!$I$1,L433=phu!$I$2,L433=phu!$I$3),"Cam Thành Nam",""),IF(OR(L433=phu!$I$4,L433=phu!$I$5,L433=phu!$I$6,L433=phu!$I$7,L433=phu!$I$8,L433=phu!$I$9,L433=phu!$I$10,L433=phu!$I$11,L433=phu!$I$12,L433=phu!$I$13,L433=phu!$I$14),"Cam Nghĩa",""),IF(OR(L433=phu!$I$15,L433=phu!$I$16,L433=phu!$I$17,L433=phu!$I$18,L433=phu!$I$19,L433=phu!$I$20,L433=phu!$I$21),"Cam Phúc Bắc",""),IF(OR(L433=phu!$I$22,L433=phu!$I$23,L433=phu!$I$24,L433=phu!$I$25),"Cam Phúc Nam",""),IF(OR(L433=phu!$I$26,L433=phu!$I$27,L433=phu!$I$28,L433=phu!$I$29,L433=phu!$I$30,L433=phu!$I$31),"Cam Phú",""),IF(OR(L433=phu!$I$32,L433=phu!$I$33,L433=phu!$I$34,L433=phu!$I$35,L433=phu!$I$36,L433=phu!$I$37),"Cam Lộc",""),IF(OR(L433=phu!$I$38,L433=phu!$I$39,L433=phu!$I$40,L433=phu!$I$41,L433=phu!$I$42,L433=phu!$I$43,L433=phu!$I$44),"Cam Thuận",""),IF(OR(L433=phu!$I$45,L433=phu!$I$46,L433=phu!$I$47,L433=phu!$I$48,L433=phu!$I$49,L433=phu!$I$50,L433=phu!$I$51,L433=phu!$I$52,L433=phu!$I$53),"Cam Linh",""),IF(OR(L433=phu!$I$54,L433=phu!$I$55,L433=phu!$I$56,L433=phu!$I$57,L433=phu!$I$58,L433=phu!$I$59,L433=phu!$I$60,L433=phu!$I$61,L433=phu!$I$62),"Cam Lợi",""),IF(OR(L433=phu!$I$63,L433=phu!$I$64,L433=phu!$I$65,L433=phu!$I$66,L433=phu!$I$67,L433=phu!$I$68,L433=phu!$I$69,L433=phu!$I$70,L433=phu!$I$71),"Ba Ngòi",""),IF(OR(L433=phu!$I$72,L433=phu!$I$73,L433=phu!$I$74,L433=phu!$I$75,L433=phu!$I$76,L433=phu!$I$77,L433=phu!$I$78),"Cam Phước Đông",""),IF(OR(L433=phu!$I$79,L433=phu!$I$80,L433=phu!$I$81,L433=phu!$I$82,L433=phu!$I$83,L433=phu!$I$84),"Cam Thịnh Đông",""),IF(OR(L433=phu!$I$85,L433=phu!$I$86,L433=phu!$I$87,L433=phu!$I$88),"Cam Thịnh Tây",""),IF(OR(L433=phu!$I$89,L433=phu!$I$90),"Cam Lập",""),IF(OR(L433=phu!$I$91,L433=phu!$I$92,L433=phu!$I$93),"Cam Bình",""),IF(OR(L433=phu!$I$94,L433=phu!$I$95,L433=phu!$I$96,L433=phu!$I$97,L433=phu!$I$98,L433=phu!$I$99,L433=phu!$I$100),"Huyện khác",""),IF(OR(L433=phu!$I$101,L433=phu!$I$102),"Tỉnh khác",""))</f>
        <v/>
      </c>
      <c r="N433" s="835" t="str">
        <f t="shared" si="33"/>
        <v/>
      </c>
      <c r="O433" s="20"/>
      <c r="P433" s="20"/>
      <c r="Q433" s="20"/>
      <c r="R433" s="20"/>
      <c r="S433" s="20"/>
      <c r="T433" s="21"/>
      <c r="U433" s="21"/>
      <c r="V433" s="21"/>
      <c r="W433" s="7" t="str">
        <f t="shared" si="31"/>
        <v/>
      </c>
      <c r="X433" s="506" t="str">
        <f t="shared" si="32"/>
        <v/>
      </c>
    </row>
    <row r="434" spans="1:24" x14ac:dyDescent="0.25">
      <c r="A434" s="66" t="str">
        <f t="shared" si="34"/>
        <v/>
      </c>
      <c r="B434" s="23" t="str">
        <f t="shared" si="30"/>
        <v/>
      </c>
      <c r="C434" s="15"/>
      <c r="D434" s="16"/>
      <c r="E434" s="17"/>
      <c r="F434" s="18"/>
      <c r="G434" s="18"/>
      <c r="H434" s="19"/>
      <c r="I434" s="15"/>
      <c r="J434" s="20"/>
      <c r="K434" s="15"/>
      <c r="L434" s="15"/>
      <c r="M434" s="531" t="str">
        <f>CONCATENATE(IF(OR(L434=phu!$I$1,L434=phu!$I$2,L434=phu!$I$3),"Cam Thành Nam",""),IF(OR(L434=phu!$I$4,L434=phu!$I$5,L434=phu!$I$6,L434=phu!$I$7,L434=phu!$I$8,L434=phu!$I$9,L434=phu!$I$10,L434=phu!$I$11,L434=phu!$I$12,L434=phu!$I$13,L434=phu!$I$14),"Cam Nghĩa",""),IF(OR(L434=phu!$I$15,L434=phu!$I$16,L434=phu!$I$17,L434=phu!$I$18,L434=phu!$I$19,L434=phu!$I$20,L434=phu!$I$21),"Cam Phúc Bắc",""),IF(OR(L434=phu!$I$22,L434=phu!$I$23,L434=phu!$I$24,L434=phu!$I$25),"Cam Phúc Nam",""),IF(OR(L434=phu!$I$26,L434=phu!$I$27,L434=phu!$I$28,L434=phu!$I$29,L434=phu!$I$30,L434=phu!$I$31),"Cam Phú",""),IF(OR(L434=phu!$I$32,L434=phu!$I$33,L434=phu!$I$34,L434=phu!$I$35,L434=phu!$I$36,L434=phu!$I$37),"Cam Lộc",""),IF(OR(L434=phu!$I$38,L434=phu!$I$39,L434=phu!$I$40,L434=phu!$I$41,L434=phu!$I$42,L434=phu!$I$43,L434=phu!$I$44),"Cam Thuận",""),IF(OR(L434=phu!$I$45,L434=phu!$I$46,L434=phu!$I$47,L434=phu!$I$48,L434=phu!$I$49,L434=phu!$I$50,L434=phu!$I$51,L434=phu!$I$52,L434=phu!$I$53),"Cam Linh",""),IF(OR(L434=phu!$I$54,L434=phu!$I$55,L434=phu!$I$56,L434=phu!$I$57,L434=phu!$I$58,L434=phu!$I$59,L434=phu!$I$60,L434=phu!$I$61,L434=phu!$I$62),"Cam Lợi",""),IF(OR(L434=phu!$I$63,L434=phu!$I$64,L434=phu!$I$65,L434=phu!$I$66,L434=phu!$I$67,L434=phu!$I$68,L434=phu!$I$69,L434=phu!$I$70,L434=phu!$I$71),"Ba Ngòi",""),IF(OR(L434=phu!$I$72,L434=phu!$I$73,L434=phu!$I$74,L434=phu!$I$75,L434=phu!$I$76,L434=phu!$I$77,L434=phu!$I$78),"Cam Phước Đông",""),IF(OR(L434=phu!$I$79,L434=phu!$I$80,L434=phu!$I$81,L434=phu!$I$82,L434=phu!$I$83,L434=phu!$I$84),"Cam Thịnh Đông",""),IF(OR(L434=phu!$I$85,L434=phu!$I$86,L434=phu!$I$87,L434=phu!$I$88),"Cam Thịnh Tây",""),IF(OR(L434=phu!$I$89,L434=phu!$I$90),"Cam Lập",""),IF(OR(L434=phu!$I$91,L434=phu!$I$92,L434=phu!$I$93),"Cam Bình",""),IF(OR(L434=phu!$I$94,L434=phu!$I$95,L434=phu!$I$96,L434=phu!$I$97,L434=phu!$I$98,L434=phu!$I$99,L434=phu!$I$100),"Huyện khác",""),IF(OR(L434=phu!$I$101,L434=phu!$I$102),"Tỉnh khác",""))</f>
        <v/>
      </c>
      <c r="N434" s="835" t="str">
        <f t="shared" si="33"/>
        <v/>
      </c>
      <c r="O434" s="20"/>
      <c r="P434" s="20"/>
      <c r="Q434" s="20"/>
      <c r="R434" s="20"/>
      <c r="S434" s="20"/>
      <c r="T434" s="21"/>
      <c r="U434" s="21"/>
      <c r="V434" s="21"/>
      <c r="W434" s="7" t="str">
        <f t="shared" si="31"/>
        <v/>
      </c>
      <c r="X434" s="506" t="str">
        <f t="shared" si="32"/>
        <v/>
      </c>
    </row>
    <row r="435" spans="1:24" x14ac:dyDescent="0.25">
      <c r="A435" s="66" t="str">
        <f t="shared" si="34"/>
        <v/>
      </c>
      <c r="B435" s="23" t="str">
        <f t="shared" si="30"/>
        <v/>
      </c>
      <c r="C435" s="15"/>
      <c r="D435" s="16"/>
      <c r="E435" s="17"/>
      <c r="F435" s="18"/>
      <c r="G435" s="18"/>
      <c r="H435" s="19"/>
      <c r="I435" s="15"/>
      <c r="J435" s="20"/>
      <c r="K435" s="15"/>
      <c r="L435" s="15"/>
      <c r="M435" s="531" t="str">
        <f>CONCATENATE(IF(OR(L435=phu!$I$1,L435=phu!$I$2,L435=phu!$I$3),"Cam Thành Nam",""),IF(OR(L435=phu!$I$4,L435=phu!$I$5,L435=phu!$I$6,L435=phu!$I$7,L435=phu!$I$8,L435=phu!$I$9,L435=phu!$I$10,L435=phu!$I$11,L435=phu!$I$12,L435=phu!$I$13,L435=phu!$I$14),"Cam Nghĩa",""),IF(OR(L435=phu!$I$15,L435=phu!$I$16,L435=phu!$I$17,L435=phu!$I$18,L435=phu!$I$19,L435=phu!$I$20,L435=phu!$I$21),"Cam Phúc Bắc",""),IF(OR(L435=phu!$I$22,L435=phu!$I$23,L435=phu!$I$24,L435=phu!$I$25),"Cam Phúc Nam",""),IF(OR(L435=phu!$I$26,L435=phu!$I$27,L435=phu!$I$28,L435=phu!$I$29,L435=phu!$I$30,L435=phu!$I$31),"Cam Phú",""),IF(OR(L435=phu!$I$32,L435=phu!$I$33,L435=phu!$I$34,L435=phu!$I$35,L435=phu!$I$36,L435=phu!$I$37),"Cam Lộc",""),IF(OR(L435=phu!$I$38,L435=phu!$I$39,L435=phu!$I$40,L435=phu!$I$41,L435=phu!$I$42,L435=phu!$I$43,L435=phu!$I$44),"Cam Thuận",""),IF(OR(L435=phu!$I$45,L435=phu!$I$46,L435=phu!$I$47,L435=phu!$I$48,L435=phu!$I$49,L435=phu!$I$50,L435=phu!$I$51,L435=phu!$I$52,L435=phu!$I$53),"Cam Linh",""),IF(OR(L435=phu!$I$54,L435=phu!$I$55,L435=phu!$I$56,L435=phu!$I$57,L435=phu!$I$58,L435=phu!$I$59,L435=phu!$I$60,L435=phu!$I$61,L435=phu!$I$62),"Cam Lợi",""),IF(OR(L435=phu!$I$63,L435=phu!$I$64,L435=phu!$I$65,L435=phu!$I$66,L435=phu!$I$67,L435=phu!$I$68,L435=phu!$I$69,L435=phu!$I$70,L435=phu!$I$71),"Ba Ngòi",""),IF(OR(L435=phu!$I$72,L435=phu!$I$73,L435=phu!$I$74,L435=phu!$I$75,L435=phu!$I$76,L435=phu!$I$77,L435=phu!$I$78),"Cam Phước Đông",""),IF(OR(L435=phu!$I$79,L435=phu!$I$80,L435=phu!$I$81,L435=phu!$I$82,L435=phu!$I$83,L435=phu!$I$84),"Cam Thịnh Đông",""),IF(OR(L435=phu!$I$85,L435=phu!$I$86,L435=phu!$I$87,L435=phu!$I$88),"Cam Thịnh Tây",""),IF(OR(L435=phu!$I$89,L435=phu!$I$90),"Cam Lập",""),IF(OR(L435=phu!$I$91,L435=phu!$I$92,L435=phu!$I$93),"Cam Bình",""),IF(OR(L435=phu!$I$94,L435=phu!$I$95,L435=phu!$I$96,L435=phu!$I$97,L435=phu!$I$98,L435=phu!$I$99,L435=phu!$I$100),"Huyện khác",""),IF(OR(L435=phu!$I$101,L435=phu!$I$102),"Tỉnh khác",""))</f>
        <v/>
      </c>
      <c r="N435" s="835" t="str">
        <f t="shared" si="33"/>
        <v/>
      </c>
      <c r="O435" s="20"/>
      <c r="P435" s="20"/>
      <c r="Q435" s="20"/>
      <c r="R435" s="20"/>
      <c r="S435" s="20"/>
      <c r="T435" s="21"/>
      <c r="U435" s="21"/>
      <c r="V435" s="21"/>
      <c r="W435" s="7" t="str">
        <f t="shared" si="31"/>
        <v/>
      </c>
      <c r="X435" s="506" t="str">
        <f t="shared" si="32"/>
        <v/>
      </c>
    </row>
    <row r="436" spans="1:24" x14ac:dyDescent="0.25">
      <c r="A436" s="66" t="str">
        <f t="shared" si="34"/>
        <v/>
      </c>
      <c r="B436" s="23" t="str">
        <f t="shared" si="30"/>
        <v/>
      </c>
      <c r="C436" s="15"/>
      <c r="D436" s="16"/>
      <c r="E436" s="17"/>
      <c r="F436" s="18"/>
      <c r="G436" s="18"/>
      <c r="H436" s="19"/>
      <c r="I436" s="15"/>
      <c r="J436" s="20"/>
      <c r="K436" s="15"/>
      <c r="L436" s="15"/>
      <c r="M436" s="531" t="str">
        <f>CONCATENATE(IF(OR(L436=phu!$I$1,L436=phu!$I$2,L436=phu!$I$3),"Cam Thành Nam",""),IF(OR(L436=phu!$I$4,L436=phu!$I$5,L436=phu!$I$6,L436=phu!$I$7,L436=phu!$I$8,L436=phu!$I$9,L436=phu!$I$10,L436=phu!$I$11,L436=phu!$I$12,L436=phu!$I$13,L436=phu!$I$14),"Cam Nghĩa",""),IF(OR(L436=phu!$I$15,L436=phu!$I$16,L436=phu!$I$17,L436=phu!$I$18,L436=phu!$I$19,L436=phu!$I$20,L436=phu!$I$21),"Cam Phúc Bắc",""),IF(OR(L436=phu!$I$22,L436=phu!$I$23,L436=phu!$I$24,L436=phu!$I$25),"Cam Phúc Nam",""),IF(OR(L436=phu!$I$26,L436=phu!$I$27,L436=phu!$I$28,L436=phu!$I$29,L436=phu!$I$30,L436=phu!$I$31),"Cam Phú",""),IF(OR(L436=phu!$I$32,L436=phu!$I$33,L436=phu!$I$34,L436=phu!$I$35,L436=phu!$I$36,L436=phu!$I$37),"Cam Lộc",""),IF(OR(L436=phu!$I$38,L436=phu!$I$39,L436=phu!$I$40,L436=phu!$I$41,L436=phu!$I$42,L436=phu!$I$43,L436=phu!$I$44),"Cam Thuận",""),IF(OR(L436=phu!$I$45,L436=phu!$I$46,L436=phu!$I$47,L436=phu!$I$48,L436=phu!$I$49,L436=phu!$I$50,L436=phu!$I$51,L436=phu!$I$52,L436=phu!$I$53),"Cam Linh",""),IF(OR(L436=phu!$I$54,L436=phu!$I$55,L436=phu!$I$56,L436=phu!$I$57,L436=phu!$I$58,L436=phu!$I$59,L436=phu!$I$60,L436=phu!$I$61,L436=phu!$I$62),"Cam Lợi",""),IF(OR(L436=phu!$I$63,L436=phu!$I$64,L436=phu!$I$65,L436=phu!$I$66,L436=phu!$I$67,L436=phu!$I$68,L436=phu!$I$69,L436=phu!$I$70,L436=phu!$I$71),"Ba Ngòi",""),IF(OR(L436=phu!$I$72,L436=phu!$I$73,L436=phu!$I$74,L436=phu!$I$75,L436=phu!$I$76,L436=phu!$I$77,L436=phu!$I$78),"Cam Phước Đông",""),IF(OR(L436=phu!$I$79,L436=phu!$I$80,L436=phu!$I$81,L436=phu!$I$82,L436=phu!$I$83,L436=phu!$I$84),"Cam Thịnh Đông",""),IF(OR(L436=phu!$I$85,L436=phu!$I$86,L436=phu!$I$87,L436=phu!$I$88),"Cam Thịnh Tây",""),IF(OR(L436=phu!$I$89,L436=phu!$I$90),"Cam Lập",""),IF(OR(L436=phu!$I$91,L436=phu!$I$92,L436=phu!$I$93),"Cam Bình",""),IF(OR(L436=phu!$I$94,L436=phu!$I$95,L436=phu!$I$96,L436=phu!$I$97,L436=phu!$I$98,L436=phu!$I$99,L436=phu!$I$100),"Huyện khác",""),IF(OR(L436=phu!$I$101,L436=phu!$I$102),"Tỉnh khác",""))</f>
        <v/>
      </c>
      <c r="N436" s="835" t="str">
        <f t="shared" si="33"/>
        <v/>
      </c>
      <c r="O436" s="20"/>
      <c r="P436" s="20"/>
      <c r="Q436" s="20"/>
      <c r="R436" s="20"/>
      <c r="S436" s="20"/>
      <c r="T436" s="21"/>
      <c r="U436" s="21"/>
      <c r="V436" s="21"/>
      <c r="W436" s="7" t="str">
        <f t="shared" si="31"/>
        <v/>
      </c>
      <c r="X436" s="506" t="str">
        <f t="shared" si="32"/>
        <v/>
      </c>
    </row>
    <row r="437" spans="1:24" x14ac:dyDescent="0.25">
      <c r="A437" s="66" t="str">
        <f t="shared" si="34"/>
        <v/>
      </c>
      <c r="B437" s="23" t="str">
        <f t="shared" si="30"/>
        <v/>
      </c>
      <c r="C437" s="15"/>
      <c r="D437" s="16"/>
      <c r="E437" s="17"/>
      <c r="F437" s="18"/>
      <c r="G437" s="18"/>
      <c r="H437" s="19"/>
      <c r="I437" s="28"/>
      <c r="J437" s="20"/>
      <c r="K437" s="15"/>
      <c r="L437" s="15"/>
      <c r="M437" s="531" t="str">
        <f>CONCATENATE(IF(OR(L437=phu!$I$1,L437=phu!$I$2,L437=phu!$I$3),"Cam Thành Nam",""),IF(OR(L437=phu!$I$4,L437=phu!$I$5,L437=phu!$I$6,L437=phu!$I$7,L437=phu!$I$8,L437=phu!$I$9,L437=phu!$I$10,L437=phu!$I$11,L437=phu!$I$12,L437=phu!$I$13,L437=phu!$I$14),"Cam Nghĩa",""),IF(OR(L437=phu!$I$15,L437=phu!$I$16,L437=phu!$I$17,L437=phu!$I$18,L437=phu!$I$19,L437=phu!$I$20,L437=phu!$I$21),"Cam Phúc Bắc",""),IF(OR(L437=phu!$I$22,L437=phu!$I$23,L437=phu!$I$24,L437=phu!$I$25),"Cam Phúc Nam",""),IF(OR(L437=phu!$I$26,L437=phu!$I$27,L437=phu!$I$28,L437=phu!$I$29,L437=phu!$I$30,L437=phu!$I$31),"Cam Phú",""),IF(OR(L437=phu!$I$32,L437=phu!$I$33,L437=phu!$I$34,L437=phu!$I$35,L437=phu!$I$36,L437=phu!$I$37),"Cam Lộc",""),IF(OR(L437=phu!$I$38,L437=phu!$I$39,L437=phu!$I$40,L437=phu!$I$41,L437=phu!$I$42,L437=phu!$I$43,L437=phu!$I$44),"Cam Thuận",""),IF(OR(L437=phu!$I$45,L437=phu!$I$46,L437=phu!$I$47,L437=phu!$I$48,L437=phu!$I$49,L437=phu!$I$50,L437=phu!$I$51,L437=phu!$I$52,L437=phu!$I$53),"Cam Linh",""),IF(OR(L437=phu!$I$54,L437=phu!$I$55,L437=phu!$I$56,L437=phu!$I$57,L437=phu!$I$58,L437=phu!$I$59,L437=phu!$I$60,L437=phu!$I$61,L437=phu!$I$62),"Cam Lợi",""),IF(OR(L437=phu!$I$63,L437=phu!$I$64,L437=phu!$I$65,L437=phu!$I$66,L437=phu!$I$67,L437=phu!$I$68,L437=phu!$I$69,L437=phu!$I$70,L437=phu!$I$71),"Ba Ngòi",""),IF(OR(L437=phu!$I$72,L437=phu!$I$73,L437=phu!$I$74,L437=phu!$I$75,L437=phu!$I$76,L437=phu!$I$77,L437=phu!$I$78),"Cam Phước Đông",""),IF(OR(L437=phu!$I$79,L437=phu!$I$80,L437=phu!$I$81,L437=phu!$I$82,L437=phu!$I$83,L437=phu!$I$84),"Cam Thịnh Đông",""),IF(OR(L437=phu!$I$85,L437=phu!$I$86,L437=phu!$I$87,L437=phu!$I$88),"Cam Thịnh Tây",""),IF(OR(L437=phu!$I$89,L437=phu!$I$90),"Cam Lập",""),IF(OR(L437=phu!$I$91,L437=phu!$I$92,L437=phu!$I$93),"Cam Bình",""),IF(OR(L437=phu!$I$94,L437=phu!$I$95,L437=phu!$I$96,L437=phu!$I$97,L437=phu!$I$98,L437=phu!$I$99,L437=phu!$I$100),"Huyện khác",""),IF(OR(L437=phu!$I$101,L437=phu!$I$102),"Tỉnh khác",""))</f>
        <v/>
      </c>
      <c r="N437" s="835" t="str">
        <f t="shared" si="33"/>
        <v/>
      </c>
      <c r="O437" s="20"/>
      <c r="P437" s="20"/>
      <c r="Q437" s="20"/>
      <c r="R437" s="20"/>
      <c r="S437" s="20"/>
      <c r="T437" s="21"/>
      <c r="U437" s="21"/>
      <c r="V437" s="21"/>
      <c r="W437" s="7" t="str">
        <f t="shared" si="31"/>
        <v/>
      </c>
      <c r="X437" s="506" t="str">
        <f t="shared" si="32"/>
        <v/>
      </c>
    </row>
    <row r="438" spans="1:24" x14ac:dyDescent="0.25">
      <c r="A438" s="66" t="str">
        <f t="shared" si="34"/>
        <v/>
      </c>
      <c r="B438" s="23" t="str">
        <f t="shared" si="30"/>
        <v/>
      </c>
      <c r="C438" s="15"/>
      <c r="D438" s="16"/>
      <c r="E438" s="17"/>
      <c r="F438" s="18"/>
      <c r="G438" s="18"/>
      <c r="H438" s="19"/>
      <c r="I438" s="15"/>
      <c r="J438" s="20"/>
      <c r="K438" s="15"/>
      <c r="L438" s="15"/>
      <c r="M438" s="531" t="str">
        <f>CONCATENATE(IF(OR(L438=phu!$I$1,L438=phu!$I$2,L438=phu!$I$3),"Cam Thành Nam",""),IF(OR(L438=phu!$I$4,L438=phu!$I$5,L438=phu!$I$6,L438=phu!$I$7,L438=phu!$I$8,L438=phu!$I$9,L438=phu!$I$10,L438=phu!$I$11,L438=phu!$I$12,L438=phu!$I$13,L438=phu!$I$14),"Cam Nghĩa",""),IF(OR(L438=phu!$I$15,L438=phu!$I$16,L438=phu!$I$17,L438=phu!$I$18,L438=phu!$I$19,L438=phu!$I$20,L438=phu!$I$21),"Cam Phúc Bắc",""),IF(OR(L438=phu!$I$22,L438=phu!$I$23,L438=phu!$I$24,L438=phu!$I$25),"Cam Phúc Nam",""),IF(OR(L438=phu!$I$26,L438=phu!$I$27,L438=phu!$I$28,L438=phu!$I$29,L438=phu!$I$30,L438=phu!$I$31),"Cam Phú",""),IF(OR(L438=phu!$I$32,L438=phu!$I$33,L438=phu!$I$34,L438=phu!$I$35,L438=phu!$I$36,L438=phu!$I$37),"Cam Lộc",""),IF(OR(L438=phu!$I$38,L438=phu!$I$39,L438=phu!$I$40,L438=phu!$I$41,L438=phu!$I$42,L438=phu!$I$43,L438=phu!$I$44),"Cam Thuận",""),IF(OR(L438=phu!$I$45,L438=phu!$I$46,L438=phu!$I$47,L438=phu!$I$48,L438=phu!$I$49,L438=phu!$I$50,L438=phu!$I$51,L438=phu!$I$52,L438=phu!$I$53),"Cam Linh",""),IF(OR(L438=phu!$I$54,L438=phu!$I$55,L438=phu!$I$56,L438=phu!$I$57,L438=phu!$I$58,L438=phu!$I$59,L438=phu!$I$60,L438=phu!$I$61,L438=phu!$I$62),"Cam Lợi",""),IF(OR(L438=phu!$I$63,L438=phu!$I$64,L438=phu!$I$65,L438=phu!$I$66,L438=phu!$I$67,L438=phu!$I$68,L438=phu!$I$69,L438=phu!$I$70,L438=phu!$I$71),"Ba Ngòi",""),IF(OR(L438=phu!$I$72,L438=phu!$I$73,L438=phu!$I$74,L438=phu!$I$75,L438=phu!$I$76,L438=phu!$I$77,L438=phu!$I$78),"Cam Phước Đông",""),IF(OR(L438=phu!$I$79,L438=phu!$I$80,L438=phu!$I$81,L438=phu!$I$82,L438=phu!$I$83,L438=phu!$I$84),"Cam Thịnh Đông",""),IF(OR(L438=phu!$I$85,L438=phu!$I$86,L438=phu!$I$87,L438=phu!$I$88),"Cam Thịnh Tây",""),IF(OR(L438=phu!$I$89,L438=phu!$I$90),"Cam Lập",""),IF(OR(L438=phu!$I$91,L438=phu!$I$92,L438=phu!$I$93),"Cam Bình",""),IF(OR(L438=phu!$I$94,L438=phu!$I$95,L438=phu!$I$96,L438=phu!$I$97,L438=phu!$I$98,L438=phu!$I$99,L438=phu!$I$100),"Huyện khác",""),IF(OR(L438=phu!$I$101,L438=phu!$I$102),"Tỉnh khác",""))</f>
        <v/>
      </c>
      <c r="N438" s="835" t="str">
        <f t="shared" si="33"/>
        <v/>
      </c>
      <c r="O438" s="20"/>
      <c r="P438" s="20"/>
      <c r="Q438" s="20"/>
      <c r="R438" s="20"/>
      <c r="S438" s="20"/>
      <c r="T438" s="21"/>
      <c r="U438" s="21"/>
      <c r="V438" s="21"/>
      <c r="W438" s="7" t="str">
        <f t="shared" si="31"/>
        <v/>
      </c>
      <c r="X438" s="506" t="str">
        <f t="shared" si="32"/>
        <v/>
      </c>
    </row>
    <row r="439" spans="1:24" x14ac:dyDescent="0.25">
      <c r="A439" s="66" t="str">
        <f t="shared" si="34"/>
        <v/>
      </c>
      <c r="B439" s="23" t="str">
        <f t="shared" si="30"/>
        <v/>
      </c>
      <c r="C439" s="15"/>
      <c r="D439" s="16"/>
      <c r="E439" s="17"/>
      <c r="F439" s="18"/>
      <c r="G439" s="18"/>
      <c r="H439" s="19"/>
      <c r="I439" s="15"/>
      <c r="J439" s="20"/>
      <c r="K439" s="15"/>
      <c r="L439" s="15"/>
      <c r="M439" s="531" t="str">
        <f>CONCATENATE(IF(OR(L439=phu!$I$1,L439=phu!$I$2,L439=phu!$I$3),"Cam Thành Nam",""),IF(OR(L439=phu!$I$4,L439=phu!$I$5,L439=phu!$I$6,L439=phu!$I$7,L439=phu!$I$8,L439=phu!$I$9,L439=phu!$I$10,L439=phu!$I$11,L439=phu!$I$12,L439=phu!$I$13,L439=phu!$I$14),"Cam Nghĩa",""),IF(OR(L439=phu!$I$15,L439=phu!$I$16,L439=phu!$I$17,L439=phu!$I$18,L439=phu!$I$19,L439=phu!$I$20,L439=phu!$I$21),"Cam Phúc Bắc",""),IF(OR(L439=phu!$I$22,L439=phu!$I$23,L439=phu!$I$24,L439=phu!$I$25),"Cam Phúc Nam",""),IF(OR(L439=phu!$I$26,L439=phu!$I$27,L439=phu!$I$28,L439=phu!$I$29,L439=phu!$I$30,L439=phu!$I$31),"Cam Phú",""),IF(OR(L439=phu!$I$32,L439=phu!$I$33,L439=phu!$I$34,L439=phu!$I$35,L439=phu!$I$36,L439=phu!$I$37),"Cam Lộc",""),IF(OR(L439=phu!$I$38,L439=phu!$I$39,L439=phu!$I$40,L439=phu!$I$41,L439=phu!$I$42,L439=phu!$I$43,L439=phu!$I$44),"Cam Thuận",""),IF(OR(L439=phu!$I$45,L439=phu!$I$46,L439=phu!$I$47,L439=phu!$I$48,L439=phu!$I$49,L439=phu!$I$50,L439=phu!$I$51,L439=phu!$I$52,L439=phu!$I$53),"Cam Linh",""),IF(OR(L439=phu!$I$54,L439=phu!$I$55,L439=phu!$I$56,L439=phu!$I$57,L439=phu!$I$58,L439=phu!$I$59,L439=phu!$I$60,L439=phu!$I$61,L439=phu!$I$62),"Cam Lợi",""),IF(OR(L439=phu!$I$63,L439=phu!$I$64,L439=phu!$I$65,L439=phu!$I$66,L439=phu!$I$67,L439=phu!$I$68,L439=phu!$I$69,L439=phu!$I$70,L439=phu!$I$71),"Ba Ngòi",""),IF(OR(L439=phu!$I$72,L439=phu!$I$73,L439=phu!$I$74,L439=phu!$I$75,L439=phu!$I$76,L439=phu!$I$77,L439=phu!$I$78),"Cam Phước Đông",""),IF(OR(L439=phu!$I$79,L439=phu!$I$80,L439=phu!$I$81,L439=phu!$I$82,L439=phu!$I$83,L439=phu!$I$84),"Cam Thịnh Đông",""),IF(OR(L439=phu!$I$85,L439=phu!$I$86,L439=phu!$I$87,L439=phu!$I$88),"Cam Thịnh Tây",""),IF(OR(L439=phu!$I$89,L439=phu!$I$90),"Cam Lập",""),IF(OR(L439=phu!$I$91,L439=phu!$I$92,L439=phu!$I$93),"Cam Bình",""),IF(OR(L439=phu!$I$94,L439=phu!$I$95,L439=phu!$I$96,L439=phu!$I$97,L439=phu!$I$98,L439=phu!$I$99,L439=phu!$I$100),"Huyện khác",""),IF(OR(L439=phu!$I$101,L439=phu!$I$102),"Tỉnh khác",""))</f>
        <v/>
      </c>
      <c r="N439" s="835" t="str">
        <f t="shared" si="33"/>
        <v/>
      </c>
      <c r="O439" s="20"/>
      <c r="P439" s="20"/>
      <c r="Q439" s="20"/>
      <c r="R439" s="20"/>
      <c r="S439" s="20"/>
      <c r="T439" s="21"/>
      <c r="U439" s="21"/>
      <c r="V439" s="21"/>
      <c r="W439" s="7" t="str">
        <f t="shared" si="31"/>
        <v/>
      </c>
      <c r="X439" s="506" t="str">
        <f t="shared" si="32"/>
        <v/>
      </c>
    </row>
    <row r="440" spans="1:24" x14ac:dyDescent="0.25">
      <c r="A440" s="66" t="str">
        <f t="shared" si="34"/>
        <v/>
      </c>
      <c r="B440" s="23" t="str">
        <f t="shared" si="30"/>
        <v/>
      </c>
      <c r="C440" s="15"/>
      <c r="D440" s="16"/>
      <c r="E440" s="17"/>
      <c r="F440" s="18"/>
      <c r="G440" s="18"/>
      <c r="H440" s="19"/>
      <c r="I440" s="15"/>
      <c r="J440" s="20"/>
      <c r="K440" s="15"/>
      <c r="L440" s="15"/>
      <c r="M440" s="531" t="str">
        <f>CONCATENATE(IF(OR(L440=phu!$I$1,L440=phu!$I$2,L440=phu!$I$3),"Cam Thành Nam",""),IF(OR(L440=phu!$I$4,L440=phu!$I$5,L440=phu!$I$6,L440=phu!$I$7,L440=phu!$I$8,L440=phu!$I$9,L440=phu!$I$10,L440=phu!$I$11,L440=phu!$I$12,L440=phu!$I$13,L440=phu!$I$14),"Cam Nghĩa",""),IF(OR(L440=phu!$I$15,L440=phu!$I$16,L440=phu!$I$17,L440=phu!$I$18,L440=phu!$I$19,L440=phu!$I$20,L440=phu!$I$21),"Cam Phúc Bắc",""),IF(OR(L440=phu!$I$22,L440=phu!$I$23,L440=phu!$I$24,L440=phu!$I$25),"Cam Phúc Nam",""),IF(OR(L440=phu!$I$26,L440=phu!$I$27,L440=phu!$I$28,L440=phu!$I$29,L440=phu!$I$30,L440=phu!$I$31),"Cam Phú",""),IF(OR(L440=phu!$I$32,L440=phu!$I$33,L440=phu!$I$34,L440=phu!$I$35,L440=phu!$I$36,L440=phu!$I$37),"Cam Lộc",""),IF(OR(L440=phu!$I$38,L440=phu!$I$39,L440=phu!$I$40,L440=phu!$I$41,L440=phu!$I$42,L440=phu!$I$43,L440=phu!$I$44),"Cam Thuận",""),IF(OR(L440=phu!$I$45,L440=phu!$I$46,L440=phu!$I$47,L440=phu!$I$48,L440=phu!$I$49,L440=phu!$I$50,L440=phu!$I$51,L440=phu!$I$52,L440=phu!$I$53),"Cam Linh",""),IF(OR(L440=phu!$I$54,L440=phu!$I$55,L440=phu!$I$56,L440=phu!$I$57,L440=phu!$I$58,L440=phu!$I$59,L440=phu!$I$60,L440=phu!$I$61,L440=phu!$I$62),"Cam Lợi",""),IF(OR(L440=phu!$I$63,L440=phu!$I$64,L440=phu!$I$65,L440=phu!$I$66,L440=phu!$I$67,L440=phu!$I$68,L440=phu!$I$69,L440=phu!$I$70,L440=phu!$I$71),"Ba Ngòi",""),IF(OR(L440=phu!$I$72,L440=phu!$I$73,L440=phu!$I$74,L440=phu!$I$75,L440=phu!$I$76,L440=phu!$I$77,L440=phu!$I$78),"Cam Phước Đông",""),IF(OR(L440=phu!$I$79,L440=phu!$I$80,L440=phu!$I$81,L440=phu!$I$82,L440=phu!$I$83,L440=phu!$I$84),"Cam Thịnh Đông",""),IF(OR(L440=phu!$I$85,L440=phu!$I$86,L440=phu!$I$87,L440=phu!$I$88),"Cam Thịnh Tây",""),IF(OR(L440=phu!$I$89,L440=phu!$I$90),"Cam Lập",""),IF(OR(L440=phu!$I$91,L440=phu!$I$92,L440=phu!$I$93),"Cam Bình",""),IF(OR(L440=phu!$I$94,L440=phu!$I$95,L440=phu!$I$96,L440=phu!$I$97,L440=phu!$I$98,L440=phu!$I$99,L440=phu!$I$100),"Huyện khác",""),IF(OR(L440=phu!$I$101,L440=phu!$I$102),"Tỉnh khác",""))</f>
        <v/>
      </c>
      <c r="N440" s="835" t="str">
        <f t="shared" si="33"/>
        <v/>
      </c>
      <c r="O440" s="20"/>
      <c r="P440" s="20"/>
      <c r="Q440" s="20"/>
      <c r="R440" s="20"/>
      <c r="S440" s="20"/>
      <c r="T440" s="21"/>
      <c r="U440" s="21"/>
      <c r="V440" s="21"/>
      <c r="W440" s="7" t="str">
        <f t="shared" si="31"/>
        <v/>
      </c>
      <c r="X440" s="506" t="str">
        <f t="shared" si="32"/>
        <v/>
      </c>
    </row>
    <row r="441" spans="1:24" x14ac:dyDescent="0.25">
      <c r="A441" s="66" t="str">
        <f t="shared" si="34"/>
        <v/>
      </c>
      <c r="B441" s="23" t="str">
        <f t="shared" si="30"/>
        <v/>
      </c>
      <c r="C441" s="15"/>
      <c r="D441" s="16"/>
      <c r="E441" s="17"/>
      <c r="F441" s="18"/>
      <c r="G441" s="18"/>
      <c r="H441" s="19"/>
      <c r="I441" s="15"/>
      <c r="J441" s="20"/>
      <c r="K441" s="15"/>
      <c r="L441" s="15"/>
      <c r="M441" s="531" t="str">
        <f>CONCATENATE(IF(OR(L441=phu!$I$1,L441=phu!$I$2,L441=phu!$I$3),"Cam Thành Nam",""),IF(OR(L441=phu!$I$4,L441=phu!$I$5,L441=phu!$I$6,L441=phu!$I$7,L441=phu!$I$8,L441=phu!$I$9,L441=phu!$I$10,L441=phu!$I$11,L441=phu!$I$12,L441=phu!$I$13,L441=phu!$I$14),"Cam Nghĩa",""),IF(OR(L441=phu!$I$15,L441=phu!$I$16,L441=phu!$I$17,L441=phu!$I$18,L441=phu!$I$19,L441=phu!$I$20,L441=phu!$I$21),"Cam Phúc Bắc",""),IF(OR(L441=phu!$I$22,L441=phu!$I$23,L441=phu!$I$24,L441=phu!$I$25),"Cam Phúc Nam",""),IF(OR(L441=phu!$I$26,L441=phu!$I$27,L441=phu!$I$28,L441=phu!$I$29,L441=phu!$I$30,L441=phu!$I$31),"Cam Phú",""),IF(OR(L441=phu!$I$32,L441=phu!$I$33,L441=phu!$I$34,L441=phu!$I$35,L441=phu!$I$36,L441=phu!$I$37),"Cam Lộc",""),IF(OR(L441=phu!$I$38,L441=phu!$I$39,L441=phu!$I$40,L441=phu!$I$41,L441=phu!$I$42,L441=phu!$I$43,L441=phu!$I$44),"Cam Thuận",""),IF(OR(L441=phu!$I$45,L441=phu!$I$46,L441=phu!$I$47,L441=phu!$I$48,L441=phu!$I$49,L441=phu!$I$50,L441=phu!$I$51,L441=phu!$I$52,L441=phu!$I$53),"Cam Linh",""),IF(OR(L441=phu!$I$54,L441=phu!$I$55,L441=phu!$I$56,L441=phu!$I$57,L441=phu!$I$58,L441=phu!$I$59,L441=phu!$I$60,L441=phu!$I$61,L441=phu!$I$62),"Cam Lợi",""),IF(OR(L441=phu!$I$63,L441=phu!$I$64,L441=phu!$I$65,L441=phu!$I$66,L441=phu!$I$67,L441=phu!$I$68,L441=phu!$I$69,L441=phu!$I$70,L441=phu!$I$71),"Ba Ngòi",""),IF(OR(L441=phu!$I$72,L441=phu!$I$73,L441=phu!$I$74,L441=phu!$I$75,L441=phu!$I$76,L441=phu!$I$77,L441=phu!$I$78),"Cam Phước Đông",""),IF(OR(L441=phu!$I$79,L441=phu!$I$80,L441=phu!$I$81,L441=phu!$I$82,L441=phu!$I$83,L441=phu!$I$84),"Cam Thịnh Đông",""),IF(OR(L441=phu!$I$85,L441=phu!$I$86,L441=phu!$I$87,L441=phu!$I$88),"Cam Thịnh Tây",""),IF(OR(L441=phu!$I$89,L441=phu!$I$90),"Cam Lập",""),IF(OR(L441=phu!$I$91,L441=phu!$I$92,L441=phu!$I$93),"Cam Bình",""),IF(OR(L441=phu!$I$94,L441=phu!$I$95,L441=phu!$I$96,L441=phu!$I$97,L441=phu!$I$98,L441=phu!$I$99,L441=phu!$I$100),"Huyện khác",""),IF(OR(L441=phu!$I$101,L441=phu!$I$102),"Tỉnh khác",""))</f>
        <v/>
      </c>
      <c r="N441" s="835" t="str">
        <f t="shared" si="33"/>
        <v/>
      </c>
      <c r="O441" s="20"/>
      <c r="P441" s="20"/>
      <c r="Q441" s="20"/>
      <c r="R441" s="20"/>
      <c r="S441" s="20"/>
      <c r="T441" s="21"/>
      <c r="U441" s="21"/>
      <c r="V441" s="21"/>
      <c r="W441" s="7" t="str">
        <f t="shared" si="31"/>
        <v/>
      </c>
      <c r="X441" s="506" t="str">
        <f t="shared" si="32"/>
        <v/>
      </c>
    </row>
    <row r="442" spans="1:24" x14ac:dyDescent="0.25">
      <c r="A442" s="66" t="str">
        <f t="shared" si="34"/>
        <v/>
      </c>
      <c r="B442" s="23" t="str">
        <f t="shared" si="30"/>
        <v/>
      </c>
      <c r="C442" s="15"/>
      <c r="D442" s="16"/>
      <c r="E442" s="17"/>
      <c r="F442" s="18"/>
      <c r="G442" s="18"/>
      <c r="H442" s="19"/>
      <c r="I442" s="15"/>
      <c r="J442" s="20"/>
      <c r="K442" s="15"/>
      <c r="L442" s="15"/>
      <c r="M442" s="531" t="str">
        <f>CONCATENATE(IF(OR(L442=phu!$I$1,L442=phu!$I$2,L442=phu!$I$3),"Cam Thành Nam",""),IF(OR(L442=phu!$I$4,L442=phu!$I$5,L442=phu!$I$6,L442=phu!$I$7,L442=phu!$I$8,L442=phu!$I$9,L442=phu!$I$10,L442=phu!$I$11,L442=phu!$I$12,L442=phu!$I$13,L442=phu!$I$14),"Cam Nghĩa",""),IF(OR(L442=phu!$I$15,L442=phu!$I$16,L442=phu!$I$17,L442=phu!$I$18,L442=phu!$I$19,L442=phu!$I$20,L442=phu!$I$21),"Cam Phúc Bắc",""),IF(OR(L442=phu!$I$22,L442=phu!$I$23,L442=phu!$I$24,L442=phu!$I$25),"Cam Phúc Nam",""),IF(OR(L442=phu!$I$26,L442=phu!$I$27,L442=phu!$I$28,L442=phu!$I$29,L442=phu!$I$30,L442=phu!$I$31),"Cam Phú",""),IF(OR(L442=phu!$I$32,L442=phu!$I$33,L442=phu!$I$34,L442=phu!$I$35,L442=phu!$I$36,L442=phu!$I$37),"Cam Lộc",""),IF(OR(L442=phu!$I$38,L442=phu!$I$39,L442=phu!$I$40,L442=phu!$I$41,L442=phu!$I$42,L442=phu!$I$43,L442=phu!$I$44),"Cam Thuận",""),IF(OR(L442=phu!$I$45,L442=phu!$I$46,L442=phu!$I$47,L442=phu!$I$48,L442=phu!$I$49,L442=phu!$I$50,L442=phu!$I$51,L442=phu!$I$52,L442=phu!$I$53),"Cam Linh",""),IF(OR(L442=phu!$I$54,L442=phu!$I$55,L442=phu!$I$56,L442=phu!$I$57,L442=phu!$I$58,L442=phu!$I$59,L442=phu!$I$60,L442=phu!$I$61,L442=phu!$I$62),"Cam Lợi",""),IF(OR(L442=phu!$I$63,L442=phu!$I$64,L442=phu!$I$65,L442=phu!$I$66,L442=phu!$I$67,L442=phu!$I$68,L442=phu!$I$69,L442=phu!$I$70,L442=phu!$I$71),"Ba Ngòi",""),IF(OR(L442=phu!$I$72,L442=phu!$I$73,L442=phu!$I$74,L442=phu!$I$75,L442=phu!$I$76,L442=phu!$I$77,L442=phu!$I$78),"Cam Phước Đông",""),IF(OR(L442=phu!$I$79,L442=phu!$I$80,L442=phu!$I$81,L442=phu!$I$82,L442=phu!$I$83,L442=phu!$I$84),"Cam Thịnh Đông",""),IF(OR(L442=phu!$I$85,L442=phu!$I$86,L442=phu!$I$87,L442=phu!$I$88),"Cam Thịnh Tây",""),IF(OR(L442=phu!$I$89,L442=phu!$I$90),"Cam Lập",""),IF(OR(L442=phu!$I$91,L442=phu!$I$92,L442=phu!$I$93),"Cam Bình",""),IF(OR(L442=phu!$I$94,L442=phu!$I$95,L442=phu!$I$96,L442=phu!$I$97,L442=phu!$I$98,L442=phu!$I$99,L442=phu!$I$100),"Huyện khác",""),IF(OR(L442=phu!$I$101,L442=phu!$I$102),"Tỉnh khác",""))</f>
        <v/>
      </c>
      <c r="N442" s="835" t="str">
        <f t="shared" si="33"/>
        <v/>
      </c>
      <c r="O442" s="20"/>
      <c r="P442" s="20"/>
      <c r="Q442" s="20"/>
      <c r="R442" s="20"/>
      <c r="S442" s="20"/>
      <c r="T442" s="21"/>
      <c r="U442" s="21"/>
      <c r="V442" s="21"/>
      <c r="W442" s="7" t="str">
        <f t="shared" si="31"/>
        <v/>
      </c>
      <c r="X442" s="506" t="str">
        <f t="shared" si="32"/>
        <v/>
      </c>
    </row>
    <row r="443" spans="1:24" x14ac:dyDescent="0.25">
      <c r="A443" s="66" t="str">
        <f t="shared" si="34"/>
        <v/>
      </c>
      <c r="B443" s="23" t="str">
        <f t="shared" si="30"/>
        <v/>
      </c>
      <c r="C443" s="15"/>
      <c r="D443" s="16"/>
      <c r="E443" s="17"/>
      <c r="F443" s="18"/>
      <c r="G443" s="18"/>
      <c r="H443" s="19"/>
      <c r="I443" s="15"/>
      <c r="J443" s="20"/>
      <c r="K443" s="15"/>
      <c r="L443" s="15"/>
      <c r="M443" s="531" t="str">
        <f>CONCATENATE(IF(OR(L443=phu!$I$1,L443=phu!$I$2,L443=phu!$I$3),"Cam Thành Nam",""),IF(OR(L443=phu!$I$4,L443=phu!$I$5,L443=phu!$I$6,L443=phu!$I$7,L443=phu!$I$8,L443=phu!$I$9,L443=phu!$I$10,L443=phu!$I$11,L443=phu!$I$12,L443=phu!$I$13,L443=phu!$I$14),"Cam Nghĩa",""),IF(OR(L443=phu!$I$15,L443=phu!$I$16,L443=phu!$I$17,L443=phu!$I$18,L443=phu!$I$19,L443=phu!$I$20,L443=phu!$I$21),"Cam Phúc Bắc",""),IF(OR(L443=phu!$I$22,L443=phu!$I$23,L443=phu!$I$24,L443=phu!$I$25),"Cam Phúc Nam",""),IF(OR(L443=phu!$I$26,L443=phu!$I$27,L443=phu!$I$28,L443=phu!$I$29,L443=phu!$I$30,L443=phu!$I$31),"Cam Phú",""),IF(OR(L443=phu!$I$32,L443=phu!$I$33,L443=phu!$I$34,L443=phu!$I$35,L443=phu!$I$36,L443=phu!$I$37),"Cam Lộc",""),IF(OR(L443=phu!$I$38,L443=phu!$I$39,L443=phu!$I$40,L443=phu!$I$41,L443=phu!$I$42,L443=phu!$I$43,L443=phu!$I$44),"Cam Thuận",""),IF(OR(L443=phu!$I$45,L443=phu!$I$46,L443=phu!$I$47,L443=phu!$I$48,L443=phu!$I$49,L443=phu!$I$50,L443=phu!$I$51,L443=phu!$I$52,L443=phu!$I$53),"Cam Linh",""),IF(OR(L443=phu!$I$54,L443=phu!$I$55,L443=phu!$I$56,L443=phu!$I$57,L443=phu!$I$58,L443=phu!$I$59,L443=phu!$I$60,L443=phu!$I$61,L443=phu!$I$62),"Cam Lợi",""),IF(OR(L443=phu!$I$63,L443=phu!$I$64,L443=phu!$I$65,L443=phu!$I$66,L443=phu!$I$67,L443=phu!$I$68,L443=phu!$I$69,L443=phu!$I$70,L443=phu!$I$71),"Ba Ngòi",""),IF(OR(L443=phu!$I$72,L443=phu!$I$73,L443=phu!$I$74,L443=phu!$I$75,L443=phu!$I$76,L443=phu!$I$77,L443=phu!$I$78),"Cam Phước Đông",""),IF(OR(L443=phu!$I$79,L443=phu!$I$80,L443=phu!$I$81,L443=phu!$I$82,L443=phu!$I$83,L443=phu!$I$84),"Cam Thịnh Đông",""),IF(OR(L443=phu!$I$85,L443=phu!$I$86,L443=phu!$I$87,L443=phu!$I$88),"Cam Thịnh Tây",""),IF(OR(L443=phu!$I$89,L443=phu!$I$90),"Cam Lập",""),IF(OR(L443=phu!$I$91,L443=phu!$I$92,L443=phu!$I$93),"Cam Bình",""),IF(OR(L443=phu!$I$94,L443=phu!$I$95,L443=phu!$I$96,L443=phu!$I$97,L443=phu!$I$98,L443=phu!$I$99,L443=phu!$I$100),"Huyện khác",""),IF(OR(L443=phu!$I$101,L443=phu!$I$102),"Tỉnh khác",""))</f>
        <v/>
      </c>
      <c r="N443" s="835" t="str">
        <f t="shared" si="33"/>
        <v/>
      </c>
      <c r="O443" s="20"/>
      <c r="P443" s="20"/>
      <c r="Q443" s="20"/>
      <c r="R443" s="20"/>
      <c r="S443" s="20"/>
      <c r="T443" s="21"/>
      <c r="U443" s="21"/>
      <c r="V443" s="21"/>
      <c r="W443" s="7" t="str">
        <f t="shared" si="31"/>
        <v/>
      </c>
      <c r="X443" s="506" t="str">
        <f t="shared" si="32"/>
        <v/>
      </c>
    </row>
    <row r="444" spans="1:24" x14ac:dyDescent="0.25">
      <c r="A444" s="66" t="str">
        <f t="shared" si="34"/>
        <v/>
      </c>
      <c r="B444" s="23" t="str">
        <f t="shared" si="30"/>
        <v/>
      </c>
      <c r="C444" s="15"/>
      <c r="D444" s="16"/>
      <c r="E444" s="17"/>
      <c r="F444" s="18"/>
      <c r="G444" s="18"/>
      <c r="H444" s="19"/>
      <c r="I444" s="15"/>
      <c r="J444" s="20"/>
      <c r="K444" s="15"/>
      <c r="L444" s="15"/>
      <c r="M444" s="531" t="str">
        <f>CONCATENATE(IF(OR(L444=phu!$I$1,L444=phu!$I$2,L444=phu!$I$3),"Cam Thành Nam",""),IF(OR(L444=phu!$I$4,L444=phu!$I$5,L444=phu!$I$6,L444=phu!$I$7,L444=phu!$I$8,L444=phu!$I$9,L444=phu!$I$10,L444=phu!$I$11,L444=phu!$I$12,L444=phu!$I$13,L444=phu!$I$14),"Cam Nghĩa",""),IF(OR(L444=phu!$I$15,L444=phu!$I$16,L444=phu!$I$17,L444=phu!$I$18,L444=phu!$I$19,L444=phu!$I$20,L444=phu!$I$21),"Cam Phúc Bắc",""),IF(OR(L444=phu!$I$22,L444=phu!$I$23,L444=phu!$I$24,L444=phu!$I$25),"Cam Phúc Nam",""),IF(OR(L444=phu!$I$26,L444=phu!$I$27,L444=phu!$I$28,L444=phu!$I$29,L444=phu!$I$30,L444=phu!$I$31),"Cam Phú",""),IF(OR(L444=phu!$I$32,L444=phu!$I$33,L444=phu!$I$34,L444=phu!$I$35,L444=phu!$I$36,L444=phu!$I$37),"Cam Lộc",""),IF(OR(L444=phu!$I$38,L444=phu!$I$39,L444=phu!$I$40,L444=phu!$I$41,L444=phu!$I$42,L444=phu!$I$43,L444=phu!$I$44),"Cam Thuận",""),IF(OR(L444=phu!$I$45,L444=phu!$I$46,L444=phu!$I$47,L444=phu!$I$48,L444=phu!$I$49,L444=phu!$I$50,L444=phu!$I$51,L444=phu!$I$52,L444=phu!$I$53),"Cam Linh",""),IF(OR(L444=phu!$I$54,L444=phu!$I$55,L444=phu!$I$56,L444=phu!$I$57,L444=phu!$I$58,L444=phu!$I$59,L444=phu!$I$60,L444=phu!$I$61,L444=phu!$I$62),"Cam Lợi",""),IF(OR(L444=phu!$I$63,L444=phu!$I$64,L444=phu!$I$65,L444=phu!$I$66,L444=phu!$I$67,L444=phu!$I$68,L444=phu!$I$69,L444=phu!$I$70,L444=phu!$I$71),"Ba Ngòi",""),IF(OR(L444=phu!$I$72,L444=phu!$I$73,L444=phu!$I$74,L444=phu!$I$75,L444=phu!$I$76,L444=phu!$I$77,L444=phu!$I$78),"Cam Phước Đông",""),IF(OR(L444=phu!$I$79,L444=phu!$I$80,L444=phu!$I$81,L444=phu!$I$82,L444=phu!$I$83,L444=phu!$I$84),"Cam Thịnh Đông",""),IF(OR(L444=phu!$I$85,L444=phu!$I$86,L444=phu!$I$87,L444=phu!$I$88),"Cam Thịnh Tây",""),IF(OR(L444=phu!$I$89,L444=phu!$I$90),"Cam Lập",""),IF(OR(L444=phu!$I$91,L444=phu!$I$92,L444=phu!$I$93),"Cam Bình",""),IF(OR(L444=phu!$I$94,L444=phu!$I$95,L444=phu!$I$96,L444=phu!$I$97,L444=phu!$I$98,L444=phu!$I$99,L444=phu!$I$100),"Huyện khác",""),IF(OR(L444=phu!$I$101,L444=phu!$I$102),"Tỉnh khác",""))</f>
        <v/>
      </c>
      <c r="N444" s="835" t="str">
        <f t="shared" si="33"/>
        <v/>
      </c>
      <c r="O444" s="20"/>
      <c r="P444" s="20"/>
      <c r="Q444" s="20"/>
      <c r="R444" s="20"/>
      <c r="S444" s="20"/>
      <c r="T444" s="21"/>
      <c r="U444" s="21"/>
      <c r="V444" s="21"/>
      <c r="W444" s="7" t="str">
        <f t="shared" si="31"/>
        <v/>
      </c>
      <c r="X444" s="506" t="str">
        <f t="shared" si="32"/>
        <v/>
      </c>
    </row>
    <row r="445" spans="1:24" x14ac:dyDescent="0.25">
      <c r="A445" s="66" t="str">
        <f t="shared" si="34"/>
        <v/>
      </c>
      <c r="B445" s="23" t="str">
        <f t="shared" si="30"/>
        <v/>
      </c>
      <c r="C445" s="15"/>
      <c r="D445" s="16"/>
      <c r="E445" s="17"/>
      <c r="F445" s="18"/>
      <c r="G445" s="18"/>
      <c r="H445" s="19"/>
      <c r="I445" s="15"/>
      <c r="J445" s="20"/>
      <c r="K445" s="15"/>
      <c r="L445" s="15"/>
      <c r="M445" s="531" t="str">
        <f>CONCATENATE(IF(OR(L445=phu!$I$1,L445=phu!$I$2,L445=phu!$I$3),"Cam Thành Nam",""),IF(OR(L445=phu!$I$4,L445=phu!$I$5,L445=phu!$I$6,L445=phu!$I$7,L445=phu!$I$8,L445=phu!$I$9,L445=phu!$I$10,L445=phu!$I$11,L445=phu!$I$12,L445=phu!$I$13,L445=phu!$I$14),"Cam Nghĩa",""),IF(OR(L445=phu!$I$15,L445=phu!$I$16,L445=phu!$I$17,L445=phu!$I$18,L445=phu!$I$19,L445=phu!$I$20,L445=phu!$I$21),"Cam Phúc Bắc",""),IF(OR(L445=phu!$I$22,L445=phu!$I$23,L445=phu!$I$24,L445=phu!$I$25),"Cam Phúc Nam",""),IF(OR(L445=phu!$I$26,L445=phu!$I$27,L445=phu!$I$28,L445=phu!$I$29,L445=phu!$I$30,L445=phu!$I$31),"Cam Phú",""),IF(OR(L445=phu!$I$32,L445=phu!$I$33,L445=phu!$I$34,L445=phu!$I$35,L445=phu!$I$36,L445=phu!$I$37),"Cam Lộc",""),IF(OR(L445=phu!$I$38,L445=phu!$I$39,L445=phu!$I$40,L445=phu!$I$41,L445=phu!$I$42,L445=phu!$I$43,L445=phu!$I$44),"Cam Thuận",""),IF(OR(L445=phu!$I$45,L445=phu!$I$46,L445=phu!$I$47,L445=phu!$I$48,L445=phu!$I$49,L445=phu!$I$50,L445=phu!$I$51,L445=phu!$I$52,L445=phu!$I$53),"Cam Linh",""),IF(OR(L445=phu!$I$54,L445=phu!$I$55,L445=phu!$I$56,L445=phu!$I$57,L445=phu!$I$58,L445=phu!$I$59,L445=phu!$I$60,L445=phu!$I$61,L445=phu!$I$62),"Cam Lợi",""),IF(OR(L445=phu!$I$63,L445=phu!$I$64,L445=phu!$I$65,L445=phu!$I$66,L445=phu!$I$67,L445=phu!$I$68,L445=phu!$I$69,L445=phu!$I$70,L445=phu!$I$71),"Ba Ngòi",""),IF(OR(L445=phu!$I$72,L445=phu!$I$73,L445=phu!$I$74,L445=phu!$I$75,L445=phu!$I$76,L445=phu!$I$77,L445=phu!$I$78),"Cam Phước Đông",""),IF(OR(L445=phu!$I$79,L445=phu!$I$80,L445=phu!$I$81,L445=phu!$I$82,L445=phu!$I$83,L445=phu!$I$84),"Cam Thịnh Đông",""),IF(OR(L445=phu!$I$85,L445=phu!$I$86,L445=phu!$I$87,L445=phu!$I$88),"Cam Thịnh Tây",""),IF(OR(L445=phu!$I$89,L445=phu!$I$90),"Cam Lập",""),IF(OR(L445=phu!$I$91,L445=phu!$I$92,L445=phu!$I$93),"Cam Bình",""),IF(OR(L445=phu!$I$94,L445=phu!$I$95,L445=phu!$I$96,L445=phu!$I$97,L445=phu!$I$98,L445=phu!$I$99,L445=phu!$I$100),"Huyện khác",""),IF(OR(L445=phu!$I$101,L445=phu!$I$102),"Tỉnh khác",""))</f>
        <v/>
      </c>
      <c r="N445" s="835" t="str">
        <f t="shared" si="33"/>
        <v/>
      </c>
      <c r="O445" s="20"/>
      <c r="P445" s="20"/>
      <c r="Q445" s="20"/>
      <c r="R445" s="20"/>
      <c r="S445" s="20"/>
      <c r="T445" s="21"/>
      <c r="U445" s="21"/>
      <c r="V445" s="21"/>
      <c r="W445" s="7" t="str">
        <f t="shared" si="31"/>
        <v/>
      </c>
      <c r="X445" s="506" t="str">
        <f t="shared" si="32"/>
        <v/>
      </c>
    </row>
    <row r="446" spans="1:24" x14ac:dyDescent="0.25">
      <c r="A446" s="66" t="str">
        <f t="shared" si="34"/>
        <v/>
      </c>
      <c r="B446" s="23" t="str">
        <f t="shared" si="30"/>
        <v/>
      </c>
      <c r="C446" s="15"/>
      <c r="D446" s="16"/>
      <c r="E446" s="17"/>
      <c r="F446" s="18"/>
      <c r="G446" s="18"/>
      <c r="H446" s="19"/>
      <c r="I446" s="15"/>
      <c r="J446" s="20"/>
      <c r="K446" s="15"/>
      <c r="L446" s="15"/>
      <c r="M446" s="531" t="str">
        <f>CONCATENATE(IF(OR(L446=phu!$I$1,L446=phu!$I$2,L446=phu!$I$3),"Cam Thành Nam",""),IF(OR(L446=phu!$I$4,L446=phu!$I$5,L446=phu!$I$6,L446=phu!$I$7,L446=phu!$I$8,L446=phu!$I$9,L446=phu!$I$10,L446=phu!$I$11,L446=phu!$I$12,L446=phu!$I$13,L446=phu!$I$14),"Cam Nghĩa",""),IF(OR(L446=phu!$I$15,L446=phu!$I$16,L446=phu!$I$17,L446=phu!$I$18,L446=phu!$I$19,L446=phu!$I$20,L446=phu!$I$21),"Cam Phúc Bắc",""),IF(OR(L446=phu!$I$22,L446=phu!$I$23,L446=phu!$I$24,L446=phu!$I$25),"Cam Phúc Nam",""),IF(OR(L446=phu!$I$26,L446=phu!$I$27,L446=phu!$I$28,L446=phu!$I$29,L446=phu!$I$30,L446=phu!$I$31),"Cam Phú",""),IF(OR(L446=phu!$I$32,L446=phu!$I$33,L446=phu!$I$34,L446=phu!$I$35,L446=phu!$I$36,L446=phu!$I$37),"Cam Lộc",""),IF(OR(L446=phu!$I$38,L446=phu!$I$39,L446=phu!$I$40,L446=phu!$I$41,L446=phu!$I$42,L446=phu!$I$43,L446=phu!$I$44),"Cam Thuận",""),IF(OR(L446=phu!$I$45,L446=phu!$I$46,L446=phu!$I$47,L446=phu!$I$48,L446=phu!$I$49,L446=phu!$I$50,L446=phu!$I$51,L446=phu!$I$52,L446=phu!$I$53),"Cam Linh",""),IF(OR(L446=phu!$I$54,L446=phu!$I$55,L446=phu!$I$56,L446=phu!$I$57,L446=phu!$I$58,L446=phu!$I$59,L446=phu!$I$60,L446=phu!$I$61,L446=phu!$I$62),"Cam Lợi",""),IF(OR(L446=phu!$I$63,L446=phu!$I$64,L446=phu!$I$65,L446=phu!$I$66,L446=phu!$I$67,L446=phu!$I$68,L446=phu!$I$69,L446=phu!$I$70,L446=phu!$I$71),"Ba Ngòi",""),IF(OR(L446=phu!$I$72,L446=phu!$I$73,L446=phu!$I$74,L446=phu!$I$75,L446=phu!$I$76,L446=phu!$I$77,L446=phu!$I$78),"Cam Phước Đông",""),IF(OR(L446=phu!$I$79,L446=phu!$I$80,L446=phu!$I$81,L446=phu!$I$82,L446=phu!$I$83,L446=phu!$I$84),"Cam Thịnh Đông",""),IF(OR(L446=phu!$I$85,L446=phu!$I$86,L446=phu!$I$87,L446=phu!$I$88),"Cam Thịnh Tây",""),IF(OR(L446=phu!$I$89,L446=phu!$I$90),"Cam Lập",""),IF(OR(L446=phu!$I$91,L446=phu!$I$92,L446=phu!$I$93),"Cam Bình",""),IF(OR(L446=phu!$I$94,L446=phu!$I$95,L446=phu!$I$96,L446=phu!$I$97,L446=phu!$I$98,L446=phu!$I$99,L446=phu!$I$100),"Huyện khác",""),IF(OR(L446=phu!$I$101,L446=phu!$I$102),"Tỉnh khác",""))</f>
        <v/>
      </c>
      <c r="N446" s="835" t="str">
        <f t="shared" si="33"/>
        <v/>
      </c>
      <c r="O446" s="20"/>
      <c r="P446" s="20"/>
      <c r="Q446" s="20"/>
      <c r="R446" s="20"/>
      <c r="S446" s="20"/>
      <c r="T446" s="21"/>
      <c r="U446" s="21"/>
      <c r="V446" s="21"/>
      <c r="W446" s="7" t="str">
        <f t="shared" si="31"/>
        <v/>
      </c>
      <c r="X446" s="506" t="str">
        <f t="shared" si="32"/>
        <v/>
      </c>
    </row>
    <row r="447" spans="1:24" x14ac:dyDescent="0.25">
      <c r="A447" s="66" t="str">
        <f t="shared" si="34"/>
        <v/>
      </c>
      <c r="B447" s="23" t="str">
        <f t="shared" si="30"/>
        <v/>
      </c>
      <c r="C447" s="15"/>
      <c r="D447" s="16"/>
      <c r="E447" s="17"/>
      <c r="F447" s="18"/>
      <c r="G447" s="18"/>
      <c r="H447" s="19"/>
      <c r="I447" s="15"/>
      <c r="J447" s="20"/>
      <c r="K447" s="15"/>
      <c r="L447" s="15"/>
      <c r="M447" s="531" t="str">
        <f>CONCATENATE(IF(OR(L447=phu!$I$1,L447=phu!$I$2,L447=phu!$I$3),"Cam Thành Nam",""),IF(OR(L447=phu!$I$4,L447=phu!$I$5,L447=phu!$I$6,L447=phu!$I$7,L447=phu!$I$8,L447=phu!$I$9,L447=phu!$I$10,L447=phu!$I$11,L447=phu!$I$12,L447=phu!$I$13,L447=phu!$I$14),"Cam Nghĩa",""),IF(OR(L447=phu!$I$15,L447=phu!$I$16,L447=phu!$I$17,L447=phu!$I$18,L447=phu!$I$19,L447=phu!$I$20,L447=phu!$I$21),"Cam Phúc Bắc",""),IF(OR(L447=phu!$I$22,L447=phu!$I$23,L447=phu!$I$24,L447=phu!$I$25),"Cam Phúc Nam",""),IF(OR(L447=phu!$I$26,L447=phu!$I$27,L447=phu!$I$28,L447=phu!$I$29,L447=phu!$I$30,L447=phu!$I$31),"Cam Phú",""),IF(OR(L447=phu!$I$32,L447=phu!$I$33,L447=phu!$I$34,L447=phu!$I$35,L447=phu!$I$36,L447=phu!$I$37),"Cam Lộc",""),IF(OR(L447=phu!$I$38,L447=phu!$I$39,L447=phu!$I$40,L447=phu!$I$41,L447=phu!$I$42,L447=phu!$I$43,L447=phu!$I$44),"Cam Thuận",""),IF(OR(L447=phu!$I$45,L447=phu!$I$46,L447=phu!$I$47,L447=phu!$I$48,L447=phu!$I$49,L447=phu!$I$50,L447=phu!$I$51,L447=phu!$I$52,L447=phu!$I$53),"Cam Linh",""),IF(OR(L447=phu!$I$54,L447=phu!$I$55,L447=phu!$I$56,L447=phu!$I$57,L447=phu!$I$58,L447=phu!$I$59,L447=phu!$I$60,L447=phu!$I$61,L447=phu!$I$62),"Cam Lợi",""),IF(OR(L447=phu!$I$63,L447=phu!$I$64,L447=phu!$I$65,L447=phu!$I$66,L447=phu!$I$67,L447=phu!$I$68,L447=phu!$I$69,L447=phu!$I$70,L447=phu!$I$71),"Ba Ngòi",""),IF(OR(L447=phu!$I$72,L447=phu!$I$73,L447=phu!$I$74,L447=phu!$I$75,L447=phu!$I$76,L447=phu!$I$77,L447=phu!$I$78),"Cam Phước Đông",""),IF(OR(L447=phu!$I$79,L447=phu!$I$80,L447=phu!$I$81,L447=phu!$I$82,L447=phu!$I$83,L447=phu!$I$84),"Cam Thịnh Đông",""),IF(OR(L447=phu!$I$85,L447=phu!$I$86,L447=phu!$I$87,L447=phu!$I$88),"Cam Thịnh Tây",""),IF(OR(L447=phu!$I$89,L447=phu!$I$90),"Cam Lập",""),IF(OR(L447=phu!$I$91,L447=phu!$I$92,L447=phu!$I$93),"Cam Bình",""),IF(OR(L447=phu!$I$94,L447=phu!$I$95,L447=phu!$I$96,L447=phu!$I$97,L447=phu!$I$98,L447=phu!$I$99,L447=phu!$I$100),"Huyện khác",""),IF(OR(L447=phu!$I$101,L447=phu!$I$102),"Tỉnh khác",""))</f>
        <v/>
      </c>
      <c r="N447" s="835" t="str">
        <f t="shared" si="33"/>
        <v/>
      </c>
      <c r="O447" s="20"/>
      <c r="P447" s="20"/>
      <c r="Q447" s="20"/>
      <c r="R447" s="20"/>
      <c r="S447" s="20"/>
      <c r="T447" s="21"/>
      <c r="U447" s="21"/>
      <c r="V447" s="21"/>
      <c r="W447" s="7" t="str">
        <f t="shared" si="31"/>
        <v/>
      </c>
      <c r="X447" s="506" t="str">
        <f t="shared" si="32"/>
        <v/>
      </c>
    </row>
    <row r="448" spans="1:24" x14ac:dyDescent="0.25">
      <c r="A448" s="66" t="str">
        <f t="shared" si="34"/>
        <v/>
      </c>
      <c r="B448" s="23" t="str">
        <f t="shared" si="30"/>
        <v/>
      </c>
      <c r="C448" s="15"/>
      <c r="D448" s="16"/>
      <c r="E448" s="17"/>
      <c r="F448" s="18"/>
      <c r="G448" s="18"/>
      <c r="H448" s="19"/>
      <c r="I448" s="15"/>
      <c r="J448" s="20"/>
      <c r="K448" s="15"/>
      <c r="L448" s="15"/>
      <c r="M448" s="531" t="str">
        <f>CONCATENATE(IF(OR(L448=phu!$I$1,L448=phu!$I$2,L448=phu!$I$3),"Cam Thành Nam",""),IF(OR(L448=phu!$I$4,L448=phu!$I$5,L448=phu!$I$6,L448=phu!$I$7,L448=phu!$I$8,L448=phu!$I$9,L448=phu!$I$10,L448=phu!$I$11,L448=phu!$I$12,L448=phu!$I$13,L448=phu!$I$14),"Cam Nghĩa",""),IF(OR(L448=phu!$I$15,L448=phu!$I$16,L448=phu!$I$17,L448=phu!$I$18,L448=phu!$I$19,L448=phu!$I$20,L448=phu!$I$21),"Cam Phúc Bắc",""),IF(OR(L448=phu!$I$22,L448=phu!$I$23,L448=phu!$I$24,L448=phu!$I$25),"Cam Phúc Nam",""),IF(OR(L448=phu!$I$26,L448=phu!$I$27,L448=phu!$I$28,L448=phu!$I$29,L448=phu!$I$30,L448=phu!$I$31),"Cam Phú",""),IF(OR(L448=phu!$I$32,L448=phu!$I$33,L448=phu!$I$34,L448=phu!$I$35,L448=phu!$I$36,L448=phu!$I$37),"Cam Lộc",""),IF(OR(L448=phu!$I$38,L448=phu!$I$39,L448=phu!$I$40,L448=phu!$I$41,L448=phu!$I$42,L448=phu!$I$43,L448=phu!$I$44),"Cam Thuận",""),IF(OR(L448=phu!$I$45,L448=phu!$I$46,L448=phu!$I$47,L448=phu!$I$48,L448=phu!$I$49,L448=phu!$I$50,L448=phu!$I$51,L448=phu!$I$52,L448=phu!$I$53),"Cam Linh",""),IF(OR(L448=phu!$I$54,L448=phu!$I$55,L448=phu!$I$56,L448=phu!$I$57,L448=phu!$I$58,L448=phu!$I$59,L448=phu!$I$60,L448=phu!$I$61,L448=phu!$I$62),"Cam Lợi",""),IF(OR(L448=phu!$I$63,L448=phu!$I$64,L448=phu!$I$65,L448=phu!$I$66,L448=phu!$I$67,L448=phu!$I$68,L448=phu!$I$69,L448=phu!$I$70,L448=phu!$I$71),"Ba Ngòi",""),IF(OR(L448=phu!$I$72,L448=phu!$I$73,L448=phu!$I$74,L448=phu!$I$75,L448=phu!$I$76,L448=phu!$I$77,L448=phu!$I$78),"Cam Phước Đông",""),IF(OR(L448=phu!$I$79,L448=phu!$I$80,L448=phu!$I$81,L448=phu!$I$82,L448=phu!$I$83,L448=phu!$I$84),"Cam Thịnh Đông",""),IF(OR(L448=phu!$I$85,L448=phu!$I$86,L448=phu!$I$87,L448=phu!$I$88),"Cam Thịnh Tây",""),IF(OR(L448=phu!$I$89,L448=phu!$I$90),"Cam Lập",""),IF(OR(L448=phu!$I$91,L448=phu!$I$92,L448=phu!$I$93),"Cam Bình",""),IF(OR(L448=phu!$I$94,L448=phu!$I$95,L448=phu!$I$96,L448=phu!$I$97,L448=phu!$I$98,L448=phu!$I$99,L448=phu!$I$100),"Huyện khác",""),IF(OR(L448=phu!$I$101,L448=phu!$I$102),"Tỉnh khác",""))</f>
        <v/>
      </c>
      <c r="N448" s="835" t="str">
        <f t="shared" si="33"/>
        <v/>
      </c>
      <c r="O448" s="20"/>
      <c r="P448" s="20"/>
      <c r="Q448" s="20"/>
      <c r="R448" s="20"/>
      <c r="S448" s="20"/>
      <c r="T448" s="21"/>
      <c r="U448" s="21"/>
      <c r="V448" s="21"/>
      <c r="W448" s="7" t="str">
        <f t="shared" si="31"/>
        <v/>
      </c>
      <c r="X448" s="506" t="str">
        <f t="shared" si="32"/>
        <v/>
      </c>
    </row>
    <row r="449" spans="1:24" x14ac:dyDescent="0.25">
      <c r="A449" s="66" t="str">
        <f t="shared" si="34"/>
        <v/>
      </c>
      <c r="B449" s="23" t="str">
        <f t="shared" si="30"/>
        <v/>
      </c>
      <c r="C449" s="15"/>
      <c r="D449" s="16"/>
      <c r="E449" s="17"/>
      <c r="F449" s="18"/>
      <c r="G449" s="18"/>
      <c r="H449" s="19"/>
      <c r="I449" s="15"/>
      <c r="J449" s="20"/>
      <c r="K449" s="15"/>
      <c r="L449" s="15"/>
      <c r="M449" s="531" t="str">
        <f>CONCATENATE(IF(OR(L449=phu!$I$1,L449=phu!$I$2,L449=phu!$I$3),"Cam Thành Nam",""),IF(OR(L449=phu!$I$4,L449=phu!$I$5,L449=phu!$I$6,L449=phu!$I$7,L449=phu!$I$8,L449=phu!$I$9,L449=phu!$I$10,L449=phu!$I$11,L449=phu!$I$12,L449=phu!$I$13,L449=phu!$I$14),"Cam Nghĩa",""),IF(OR(L449=phu!$I$15,L449=phu!$I$16,L449=phu!$I$17,L449=phu!$I$18,L449=phu!$I$19,L449=phu!$I$20,L449=phu!$I$21),"Cam Phúc Bắc",""),IF(OR(L449=phu!$I$22,L449=phu!$I$23,L449=phu!$I$24,L449=phu!$I$25),"Cam Phúc Nam",""),IF(OR(L449=phu!$I$26,L449=phu!$I$27,L449=phu!$I$28,L449=phu!$I$29,L449=phu!$I$30,L449=phu!$I$31),"Cam Phú",""),IF(OR(L449=phu!$I$32,L449=phu!$I$33,L449=phu!$I$34,L449=phu!$I$35,L449=phu!$I$36,L449=phu!$I$37),"Cam Lộc",""),IF(OR(L449=phu!$I$38,L449=phu!$I$39,L449=phu!$I$40,L449=phu!$I$41,L449=phu!$I$42,L449=phu!$I$43,L449=phu!$I$44),"Cam Thuận",""),IF(OR(L449=phu!$I$45,L449=phu!$I$46,L449=phu!$I$47,L449=phu!$I$48,L449=phu!$I$49,L449=phu!$I$50,L449=phu!$I$51,L449=phu!$I$52,L449=phu!$I$53),"Cam Linh",""),IF(OR(L449=phu!$I$54,L449=phu!$I$55,L449=phu!$I$56,L449=phu!$I$57,L449=phu!$I$58,L449=phu!$I$59,L449=phu!$I$60,L449=phu!$I$61,L449=phu!$I$62),"Cam Lợi",""),IF(OR(L449=phu!$I$63,L449=phu!$I$64,L449=phu!$I$65,L449=phu!$I$66,L449=phu!$I$67,L449=phu!$I$68,L449=phu!$I$69,L449=phu!$I$70,L449=phu!$I$71),"Ba Ngòi",""),IF(OR(L449=phu!$I$72,L449=phu!$I$73,L449=phu!$I$74,L449=phu!$I$75,L449=phu!$I$76,L449=phu!$I$77,L449=phu!$I$78),"Cam Phước Đông",""),IF(OR(L449=phu!$I$79,L449=phu!$I$80,L449=phu!$I$81,L449=phu!$I$82,L449=phu!$I$83,L449=phu!$I$84),"Cam Thịnh Đông",""),IF(OR(L449=phu!$I$85,L449=phu!$I$86,L449=phu!$I$87,L449=phu!$I$88),"Cam Thịnh Tây",""),IF(OR(L449=phu!$I$89,L449=phu!$I$90),"Cam Lập",""),IF(OR(L449=phu!$I$91,L449=phu!$I$92,L449=phu!$I$93),"Cam Bình",""),IF(OR(L449=phu!$I$94,L449=phu!$I$95,L449=phu!$I$96,L449=phu!$I$97,L449=phu!$I$98,L449=phu!$I$99,L449=phu!$I$100),"Huyện khác",""),IF(OR(L449=phu!$I$101,L449=phu!$I$102),"Tỉnh khác",""))</f>
        <v/>
      </c>
      <c r="N449" s="835" t="str">
        <f t="shared" si="33"/>
        <v/>
      </c>
      <c r="O449" s="20"/>
      <c r="P449" s="20"/>
      <c r="Q449" s="20"/>
      <c r="R449" s="20"/>
      <c r="S449" s="20"/>
      <c r="T449" s="21"/>
      <c r="U449" s="21"/>
      <c r="V449" s="21"/>
      <c r="W449" s="7" t="str">
        <f t="shared" si="31"/>
        <v/>
      </c>
      <c r="X449" s="506" t="str">
        <f t="shared" si="32"/>
        <v/>
      </c>
    </row>
    <row r="450" spans="1:24" x14ac:dyDescent="0.25">
      <c r="A450" s="66" t="str">
        <f t="shared" si="34"/>
        <v/>
      </c>
      <c r="B450" s="23" t="str">
        <f t="shared" si="30"/>
        <v/>
      </c>
      <c r="C450" s="15"/>
      <c r="D450" s="16"/>
      <c r="E450" s="17"/>
      <c r="F450" s="18"/>
      <c r="G450" s="18"/>
      <c r="H450" s="19"/>
      <c r="I450" s="15"/>
      <c r="J450" s="20"/>
      <c r="K450" s="15"/>
      <c r="L450" s="15"/>
      <c r="M450" s="531" t="str">
        <f>CONCATENATE(IF(OR(L450=phu!$I$1,L450=phu!$I$2,L450=phu!$I$3),"Cam Thành Nam",""),IF(OR(L450=phu!$I$4,L450=phu!$I$5,L450=phu!$I$6,L450=phu!$I$7,L450=phu!$I$8,L450=phu!$I$9,L450=phu!$I$10,L450=phu!$I$11,L450=phu!$I$12,L450=phu!$I$13,L450=phu!$I$14),"Cam Nghĩa",""),IF(OR(L450=phu!$I$15,L450=phu!$I$16,L450=phu!$I$17,L450=phu!$I$18,L450=phu!$I$19,L450=phu!$I$20,L450=phu!$I$21),"Cam Phúc Bắc",""),IF(OR(L450=phu!$I$22,L450=phu!$I$23,L450=phu!$I$24,L450=phu!$I$25),"Cam Phúc Nam",""),IF(OR(L450=phu!$I$26,L450=phu!$I$27,L450=phu!$I$28,L450=phu!$I$29,L450=phu!$I$30,L450=phu!$I$31),"Cam Phú",""),IF(OR(L450=phu!$I$32,L450=phu!$I$33,L450=phu!$I$34,L450=phu!$I$35,L450=phu!$I$36,L450=phu!$I$37),"Cam Lộc",""),IF(OR(L450=phu!$I$38,L450=phu!$I$39,L450=phu!$I$40,L450=phu!$I$41,L450=phu!$I$42,L450=phu!$I$43,L450=phu!$I$44),"Cam Thuận",""),IF(OR(L450=phu!$I$45,L450=phu!$I$46,L450=phu!$I$47,L450=phu!$I$48,L450=phu!$I$49,L450=phu!$I$50,L450=phu!$I$51,L450=phu!$I$52,L450=phu!$I$53),"Cam Linh",""),IF(OR(L450=phu!$I$54,L450=phu!$I$55,L450=phu!$I$56,L450=phu!$I$57,L450=phu!$I$58,L450=phu!$I$59,L450=phu!$I$60,L450=phu!$I$61,L450=phu!$I$62),"Cam Lợi",""),IF(OR(L450=phu!$I$63,L450=phu!$I$64,L450=phu!$I$65,L450=phu!$I$66,L450=phu!$I$67,L450=phu!$I$68,L450=phu!$I$69,L450=phu!$I$70,L450=phu!$I$71),"Ba Ngòi",""),IF(OR(L450=phu!$I$72,L450=phu!$I$73,L450=phu!$I$74,L450=phu!$I$75,L450=phu!$I$76,L450=phu!$I$77,L450=phu!$I$78),"Cam Phước Đông",""),IF(OR(L450=phu!$I$79,L450=phu!$I$80,L450=phu!$I$81,L450=phu!$I$82,L450=phu!$I$83,L450=phu!$I$84),"Cam Thịnh Đông",""),IF(OR(L450=phu!$I$85,L450=phu!$I$86,L450=phu!$I$87,L450=phu!$I$88),"Cam Thịnh Tây",""),IF(OR(L450=phu!$I$89,L450=phu!$I$90),"Cam Lập",""),IF(OR(L450=phu!$I$91,L450=phu!$I$92,L450=phu!$I$93),"Cam Bình",""),IF(OR(L450=phu!$I$94,L450=phu!$I$95,L450=phu!$I$96,L450=phu!$I$97,L450=phu!$I$98,L450=phu!$I$99,L450=phu!$I$100),"Huyện khác",""),IF(OR(L450=phu!$I$101,L450=phu!$I$102),"Tỉnh khác",""))</f>
        <v/>
      </c>
      <c r="N450" s="835" t="str">
        <f t="shared" si="33"/>
        <v/>
      </c>
      <c r="O450" s="20"/>
      <c r="P450" s="20"/>
      <c r="Q450" s="20"/>
      <c r="R450" s="20"/>
      <c r="S450" s="20"/>
      <c r="T450" s="21"/>
      <c r="U450" s="21"/>
      <c r="V450" s="21"/>
      <c r="W450" s="7" t="str">
        <f t="shared" si="31"/>
        <v/>
      </c>
      <c r="X450" s="506" t="str">
        <f t="shared" si="32"/>
        <v/>
      </c>
    </row>
    <row r="451" spans="1:24" x14ac:dyDescent="0.25">
      <c r="A451" s="66" t="str">
        <f t="shared" si="34"/>
        <v/>
      </c>
      <c r="B451" s="23" t="str">
        <f t="shared" si="30"/>
        <v/>
      </c>
      <c r="C451" s="15"/>
      <c r="D451" s="16"/>
      <c r="E451" s="17"/>
      <c r="F451" s="18"/>
      <c r="G451" s="18"/>
      <c r="H451" s="19"/>
      <c r="I451" s="15"/>
      <c r="J451" s="20"/>
      <c r="K451" s="15"/>
      <c r="L451" s="15"/>
      <c r="M451" s="531" t="str">
        <f>CONCATENATE(IF(OR(L451=phu!$I$1,L451=phu!$I$2,L451=phu!$I$3),"Cam Thành Nam",""),IF(OR(L451=phu!$I$4,L451=phu!$I$5,L451=phu!$I$6,L451=phu!$I$7,L451=phu!$I$8,L451=phu!$I$9,L451=phu!$I$10,L451=phu!$I$11,L451=phu!$I$12,L451=phu!$I$13,L451=phu!$I$14),"Cam Nghĩa",""),IF(OR(L451=phu!$I$15,L451=phu!$I$16,L451=phu!$I$17,L451=phu!$I$18,L451=phu!$I$19,L451=phu!$I$20,L451=phu!$I$21),"Cam Phúc Bắc",""),IF(OR(L451=phu!$I$22,L451=phu!$I$23,L451=phu!$I$24,L451=phu!$I$25),"Cam Phúc Nam",""),IF(OR(L451=phu!$I$26,L451=phu!$I$27,L451=phu!$I$28,L451=phu!$I$29,L451=phu!$I$30,L451=phu!$I$31),"Cam Phú",""),IF(OR(L451=phu!$I$32,L451=phu!$I$33,L451=phu!$I$34,L451=phu!$I$35,L451=phu!$I$36,L451=phu!$I$37),"Cam Lộc",""),IF(OR(L451=phu!$I$38,L451=phu!$I$39,L451=phu!$I$40,L451=phu!$I$41,L451=phu!$I$42,L451=phu!$I$43,L451=phu!$I$44),"Cam Thuận",""),IF(OR(L451=phu!$I$45,L451=phu!$I$46,L451=phu!$I$47,L451=phu!$I$48,L451=phu!$I$49,L451=phu!$I$50,L451=phu!$I$51,L451=phu!$I$52,L451=phu!$I$53),"Cam Linh",""),IF(OR(L451=phu!$I$54,L451=phu!$I$55,L451=phu!$I$56,L451=phu!$I$57,L451=phu!$I$58,L451=phu!$I$59,L451=phu!$I$60,L451=phu!$I$61,L451=phu!$I$62),"Cam Lợi",""),IF(OR(L451=phu!$I$63,L451=phu!$I$64,L451=phu!$I$65,L451=phu!$I$66,L451=phu!$I$67,L451=phu!$I$68,L451=phu!$I$69,L451=phu!$I$70,L451=phu!$I$71),"Ba Ngòi",""),IF(OR(L451=phu!$I$72,L451=phu!$I$73,L451=phu!$I$74,L451=phu!$I$75,L451=phu!$I$76,L451=phu!$I$77,L451=phu!$I$78),"Cam Phước Đông",""),IF(OR(L451=phu!$I$79,L451=phu!$I$80,L451=phu!$I$81,L451=phu!$I$82,L451=phu!$I$83,L451=phu!$I$84),"Cam Thịnh Đông",""),IF(OR(L451=phu!$I$85,L451=phu!$I$86,L451=phu!$I$87,L451=phu!$I$88),"Cam Thịnh Tây",""),IF(OR(L451=phu!$I$89,L451=phu!$I$90),"Cam Lập",""),IF(OR(L451=phu!$I$91,L451=phu!$I$92,L451=phu!$I$93),"Cam Bình",""),IF(OR(L451=phu!$I$94,L451=phu!$I$95,L451=phu!$I$96,L451=phu!$I$97,L451=phu!$I$98,L451=phu!$I$99,L451=phu!$I$100),"Huyện khác",""),IF(OR(L451=phu!$I$101,L451=phu!$I$102),"Tỉnh khác",""))</f>
        <v/>
      </c>
      <c r="N451" s="835" t="str">
        <f t="shared" si="33"/>
        <v/>
      </c>
      <c r="O451" s="20"/>
      <c r="P451" s="20"/>
      <c r="Q451" s="20"/>
      <c r="R451" s="20"/>
      <c r="S451" s="20"/>
      <c r="T451" s="21"/>
      <c r="U451" s="21"/>
      <c r="V451" s="21"/>
      <c r="W451" s="7" t="str">
        <f t="shared" si="31"/>
        <v/>
      </c>
      <c r="X451" s="506" t="str">
        <f t="shared" si="32"/>
        <v/>
      </c>
    </row>
    <row r="452" spans="1:24" x14ac:dyDescent="0.25">
      <c r="A452" s="66" t="str">
        <f t="shared" si="34"/>
        <v/>
      </c>
      <c r="B452" s="23" t="str">
        <f t="shared" si="30"/>
        <v/>
      </c>
      <c r="C452" s="15"/>
      <c r="D452" s="16"/>
      <c r="E452" s="17"/>
      <c r="F452" s="18"/>
      <c r="G452" s="18"/>
      <c r="H452" s="19"/>
      <c r="I452" s="15"/>
      <c r="J452" s="20"/>
      <c r="K452" s="15"/>
      <c r="L452" s="15"/>
      <c r="M452" s="531" t="str">
        <f>CONCATENATE(IF(OR(L452=phu!$I$1,L452=phu!$I$2,L452=phu!$I$3),"Cam Thành Nam",""),IF(OR(L452=phu!$I$4,L452=phu!$I$5,L452=phu!$I$6,L452=phu!$I$7,L452=phu!$I$8,L452=phu!$I$9,L452=phu!$I$10,L452=phu!$I$11,L452=phu!$I$12,L452=phu!$I$13,L452=phu!$I$14),"Cam Nghĩa",""),IF(OR(L452=phu!$I$15,L452=phu!$I$16,L452=phu!$I$17,L452=phu!$I$18,L452=phu!$I$19,L452=phu!$I$20,L452=phu!$I$21),"Cam Phúc Bắc",""),IF(OR(L452=phu!$I$22,L452=phu!$I$23,L452=phu!$I$24,L452=phu!$I$25),"Cam Phúc Nam",""),IF(OR(L452=phu!$I$26,L452=phu!$I$27,L452=phu!$I$28,L452=phu!$I$29,L452=phu!$I$30,L452=phu!$I$31),"Cam Phú",""),IF(OR(L452=phu!$I$32,L452=phu!$I$33,L452=phu!$I$34,L452=phu!$I$35,L452=phu!$I$36,L452=phu!$I$37),"Cam Lộc",""),IF(OR(L452=phu!$I$38,L452=phu!$I$39,L452=phu!$I$40,L452=phu!$I$41,L452=phu!$I$42,L452=phu!$I$43,L452=phu!$I$44),"Cam Thuận",""),IF(OR(L452=phu!$I$45,L452=phu!$I$46,L452=phu!$I$47,L452=phu!$I$48,L452=phu!$I$49,L452=phu!$I$50,L452=phu!$I$51,L452=phu!$I$52,L452=phu!$I$53),"Cam Linh",""),IF(OR(L452=phu!$I$54,L452=phu!$I$55,L452=phu!$I$56,L452=phu!$I$57,L452=phu!$I$58,L452=phu!$I$59,L452=phu!$I$60,L452=phu!$I$61,L452=phu!$I$62),"Cam Lợi",""),IF(OR(L452=phu!$I$63,L452=phu!$I$64,L452=phu!$I$65,L452=phu!$I$66,L452=phu!$I$67,L452=phu!$I$68,L452=phu!$I$69,L452=phu!$I$70,L452=phu!$I$71),"Ba Ngòi",""),IF(OR(L452=phu!$I$72,L452=phu!$I$73,L452=phu!$I$74,L452=phu!$I$75,L452=phu!$I$76,L452=phu!$I$77,L452=phu!$I$78),"Cam Phước Đông",""),IF(OR(L452=phu!$I$79,L452=phu!$I$80,L452=phu!$I$81,L452=phu!$I$82,L452=phu!$I$83,L452=phu!$I$84),"Cam Thịnh Đông",""),IF(OR(L452=phu!$I$85,L452=phu!$I$86,L452=phu!$I$87,L452=phu!$I$88),"Cam Thịnh Tây",""),IF(OR(L452=phu!$I$89,L452=phu!$I$90),"Cam Lập",""),IF(OR(L452=phu!$I$91,L452=phu!$I$92,L452=phu!$I$93),"Cam Bình",""),IF(OR(L452=phu!$I$94,L452=phu!$I$95,L452=phu!$I$96,L452=phu!$I$97,L452=phu!$I$98,L452=phu!$I$99,L452=phu!$I$100),"Huyện khác",""),IF(OR(L452=phu!$I$101,L452=phu!$I$102),"Tỉnh khác",""))</f>
        <v/>
      </c>
      <c r="N452" s="835" t="str">
        <f t="shared" si="33"/>
        <v/>
      </c>
      <c r="O452" s="20"/>
      <c r="P452" s="20"/>
      <c r="Q452" s="20"/>
      <c r="R452" s="20"/>
      <c r="S452" s="20"/>
      <c r="T452" s="21"/>
      <c r="U452" s="21"/>
      <c r="V452" s="21"/>
      <c r="W452" s="7" t="str">
        <f t="shared" si="31"/>
        <v/>
      </c>
      <c r="X452" s="506" t="str">
        <f t="shared" si="32"/>
        <v/>
      </c>
    </row>
    <row r="453" spans="1:24" x14ac:dyDescent="0.25">
      <c r="A453" s="66" t="str">
        <f t="shared" si="34"/>
        <v/>
      </c>
      <c r="B453" s="23" t="str">
        <f t="shared" si="30"/>
        <v/>
      </c>
      <c r="C453" s="15"/>
      <c r="D453" s="16"/>
      <c r="E453" s="17"/>
      <c r="F453" s="18"/>
      <c r="G453" s="18"/>
      <c r="H453" s="19"/>
      <c r="I453" s="15"/>
      <c r="J453" s="20"/>
      <c r="K453" s="15"/>
      <c r="L453" s="15"/>
      <c r="M453" s="531" t="str">
        <f>CONCATENATE(IF(OR(L453=phu!$I$1,L453=phu!$I$2,L453=phu!$I$3),"Cam Thành Nam",""),IF(OR(L453=phu!$I$4,L453=phu!$I$5,L453=phu!$I$6,L453=phu!$I$7,L453=phu!$I$8,L453=phu!$I$9,L453=phu!$I$10,L453=phu!$I$11,L453=phu!$I$12,L453=phu!$I$13,L453=phu!$I$14),"Cam Nghĩa",""),IF(OR(L453=phu!$I$15,L453=phu!$I$16,L453=phu!$I$17,L453=phu!$I$18,L453=phu!$I$19,L453=phu!$I$20,L453=phu!$I$21),"Cam Phúc Bắc",""),IF(OR(L453=phu!$I$22,L453=phu!$I$23,L453=phu!$I$24,L453=phu!$I$25),"Cam Phúc Nam",""),IF(OR(L453=phu!$I$26,L453=phu!$I$27,L453=phu!$I$28,L453=phu!$I$29,L453=phu!$I$30,L453=phu!$I$31),"Cam Phú",""),IF(OR(L453=phu!$I$32,L453=phu!$I$33,L453=phu!$I$34,L453=phu!$I$35,L453=phu!$I$36,L453=phu!$I$37),"Cam Lộc",""),IF(OR(L453=phu!$I$38,L453=phu!$I$39,L453=phu!$I$40,L453=phu!$I$41,L453=phu!$I$42,L453=phu!$I$43,L453=phu!$I$44),"Cam Thuận",""),IF(OR(L453=phu!$I$45,L453=phu!$I$46,L453=phu!$I$47,L453=phu!$I$48,L453=phu!$I$49,L453=phu!$I$50,L453=phu!$I$51,L453=phu!$I$52,L453=phu!$I$53),"Cam Linh",""),IF(OR(L453=phu!$I$54,L453=phu!$I$55,L453=phu!$I$56,L453=phu!$I$57,L453=phu!$I$58,L453=phu!$I$59,L453=phu!$I$60,L453=phu!$I$61,L453=phu!$I$62),"Cam Lợi",""),IF(OR(L453=phu!$I$63,L453=phu!$I$64,L453=phu!$I$65,L453=phu!$I$66,L453=phu!$I$67,L453=phu!$I$68,L453=phu!$I$69,L453=phu!$I$70,L453=phu!$I$71),"Ba Ngòi",""),IF(OR(L453=phu!$I$72,L453=phu!$I$73,L453=phu!$I$74,L453=phu!$I$75,L453=phu!$I$76,L453=phu!$I$77,L453=phu!$I$78),"Cam Phước Đông",""),IF(OR(L453=phu!$I$79,L453=phu!$I$80,L453=phu!$I$81,L453=phu!$I$82,L453=phu!$I$83,L453=phu!$I$84),"Cam Thịnh Đông",""),IF(OR(L453=phu!$I$85,L453=phu!$I$86,L453=phu!$I$87,L453=phu!$I$88),"Cam Thịnh Tây",""),IF(OR(L453=phu!$I$89,L453=phu!$I$90),"Cam Lập",""),IF(OR(L453=phu!$I$91,L453=phu!$I$92,L453=phu!$I$93),"Cam Bình",""),IF(OR(L453=phu!$I$94,L453=phu!$I$95,L453=phu!$I$96,L453=phu!$I$97,L453=phu!$I$98,L453=phu!$I$99,L453=phu!$I$100),"Huyện khác",""),IF(OR(L453=phu!$I$101,L453=phu!$I$102),"Tỉnh khác",""))</f>
        <v/>
      </c>
      <c r="N453" s="835" t="str">
        <f t="shared" si="33"/>
        <v/>
      </c>
      <c r="O453" s="20"/>
      <c r="P453" s="20"/>
      <c r="Q453" s="20"/>
      <c r="R453" s="20"/>
      <c r="S453" s="20"/>
      <c r="T453" s="21"/>
      <c r="U453" s="21"/>
      <c r="V453" s="21"/>
      <c r="W453" s="7" t="str">
        <f t="shared" si="31"/>
        <v/>
      </c>
      <c r="X453" s="506" t="str">
        <f t="shared" si="32"/>
        <v/>
      </c>
    </row>
    <row r="454" spans="1:24" x14ac:dyDescent="0.25">
      <c r="A454" s="66" t="str">
        <f t="shared" si="34"/>
        <v/>
      </c>
      <c r="B454" s="23" t="str">
        <f t="shared" ref="B454:B517" si="35">IF(W454=5,"5-6 tuổi",IF(W454=4,"4-5 tuổi",IF(W454=3,"3-4 tuổi",IF(AND(W454&lt;3,W454&gt;1),"25-36 tháng",IF(AND(W454=1,W454&gt;0),"13-24 tháng",IF(AND(W454=0,E454&lt;&gt;""),"Dưới 13 tháng",""))))))</f>
        <v/>
      </c>
      <c r="C454" s="15"/>
      <c r="D454" s="16"/>
      <c r="E454" s="17"/>
      <c r="F454" s="18"/>
      <c r="G454" s="18"/>
      <c r="H454" s="19"/>
      <c r="I454" s="15"/>
      <c r="J454" s="20"/>
      <c r="K454" s="15"/>
      <c r="L454" s="15"/>
      <c r="M454" s="531" t="str">
        <f>CONCATENATE(IF(OR(L454=phu!$I$1,L454=phu!$I$2,L454=phu!$I$3),"Cam Thành Nam",""),IF(OR(L454=phu!$I$4,L454=phu!$I$5,L454=phu!$I$6,L454=phu!$I$7,L454=phu!$I$8,L454=phu!$I$9,L454=phu!$I$10,L454=phu!$I$11,L454=phu!$I$12,L454=phu!$I$13,L454=phu!$I$14),"Cam Nghĩa",""),IF(OR(L454=phu!$I$15,L454=phu!$I$16,L454=phu!$I$17,L454=phu!$I$18,L454=phu!$I$19,L454=phu!$I$20,L454=phu!$I$21),"Cam Phúc Bắc",""),IF(OR(L454=phu!$I$22,L454=phu!$I$23,L454=phu!$I$24,L454=phu!$I$25),"Cam Phúc Nam",""),IF(OR(L454=phu!$I$26,L454=phu!$I$27,L454=phu!$I$28,L454=phu!$I$29,L454=phu!$I$30,L454=phu!$I$31),"Cam Phú",""),IF(OR(L454=phu!$I$32,L454=phu!$I$33,L454=phu!$I$34,L454=phu!$I$35,L454=phu!$I$36,L454=phu!$I$37),"Cam Lộc",""),IF(OR(L454=phu!$I$38,L454=phu!$I$39,L454=phu!$I$40,L454=phu!$I$41,L454=phu!$I$42,L454=phu!$I$43,L454=phu!$I$44),"Cam Thuận",""),IF(OR(L454=phu!$I$45,L454=phu!$I$46,L454=phu!$I$47,L454=phu!$I$48,L454=phu!$I$49,L454=phu!$I$50,L454=phu!$I$51,L454=phu!$I$52,L454=phu!$I$53),"Cam Linh",""),IF(OR(L454=phu!$I$54,L454=phu!$I$55,L454=phu!$I$56,L454=phu!$I$57,L454=phu!$I$58,L454=phu!$I$59,L454=phu!$I$60,L454=phu!$I$61,L454=phu!$I$62),"Cam Lợi",""),IF(OR(L454=phu!$I$63,L454=phu!$I$64,L454=phu!$I$65,L454=phu!$I$66,L454=phu!$I$67,L454=phu!$I$68,L454=phu!$I$69,L454=phu!$I$70,L454=phu!$I$71),"Ba Ngòi",""),IF(OR(L454=phu!$I$72,L454=phu!$I$73,L454=phu!$I$74,L454=phu!$I$75,L454=phu!$I$76,L454=phu!$I$77,L454=phu!$I$78),"Cam Phước Đông",""),IF(OR(L454=phu!$I$79,L454=phu!$I$80,L454=phu!$I$81,L454=phu!$I$82,L454=phu!$I$83,L454=phu!$I$84),"Cam Thịnh Đông",""),IF(OR(L454=phu!$I$85,L454=phu!$I$86,L454=phu!$I$87,L454=phu!$I$88),"Cam Thịnh Tây",""),IF(OR(L454=phu!$I$89,L454=phu!$I$90),"Cam Lập",""),IF(OR(L454=phu!$I$91,L454=phu!$I$92,L454=phu!$I$93),"Cam Bình",""),IF(OR(L454=phu!$I$94,L454=phu!$I$95,L454=phu!$I$96,L454=phu!$I$97,L454=phu!$I$98,L454=phu!$I$99,L454=phu!$I$100),"Huyện khác",""),IF(OR(L454=phu!$I$101,L454=phu!$I$102),"Tỉnh khác",""))</f>
        <v/>
      </c>
      <c r="N454" s="835" t="str">
        <f t="shared" si="33"/>
        <v/>
      </c>
      <c r="O454" s="20"/>
      <c r="P454" s="20"/>
      <c r="Q454" s="20"/>
      <c r="R454" s="20"/>
      <c r="S454" s="20"/>
      <c r="T454" s="21"/>
      <c r="U454" s="21"/>
      <c r="V454" s="21"/>
      <c r="W454" s="7" t="str">
        <f t="shared" ref="W454:W517" si="36">IF(OR($P$2="",H454=""),"",$P$2-H454)</f>
        <v/>
      </c>
      <c r="X454" s="506" t="str">
        <f t="shared" ref="X454:X517" si="37">IF(OR(AND(C454="",D454="",E454="",F454="",G454="",H454="",J454="",L454="",M454="",O454="",P454="",Q454=""),AND(C454&lt;&gt;"",D454&lt;&gt;"",E454&lt;&gt;"",F454&lt;&gt;"",G454&lt;&gt;"",H454&lt;&gt;"",J454&lt;&gt;"",L454&lt;&gt;"",M454&lt;&gt;"",O454&lt;&gt;"",OR(AND(P454&lt;&gt;"",Q454=""),AND(P454="",Q454&lt;&gt;""),AND(P454&lt;&gt;"",Q454&lt;&gt;"")),OR(AND(K454="X",S454&lt;&gt;""),AND(K454="",S454="")))),"","er")</f>
        <v/>
      </c>
    </row>
    <row r="455" spans="1:24" x14ac:dyDescent="0.25">
      <c r="A455" s="66" t="str">
        <f t="shared" si="34"/>
        <v/>
      </c>
      <c r="B455" s="23" t="str">
        <f t="shared" si="35"/>
        <v/>
      </c>
      <c r="C455" s="15"/>
      <c r="D455" s="16"/>
      <c r="E455" s="17"/>
      <c r="F455" s="18"/>
      <c r="G455" s="18"/>
      <c r="H455" s="19"/>
      <c r="I455" s="15"/>
      <c r="J455" s="20"/>
      <c r="K455" s="15"/>
      <c r="L455" s="15"/>
      <c r="M455" s="531" t="str">
        <f>CONCATENATE(IF(OR(L455=phu!$I$1,L455=phu!$I$2,L455=phu!$I$3),"Cam Thành Nam",""),IF(OR(L455=phu!$I$4,L455=phu!$I$5,L455=phu!$I$6,L455=phu!$I$7,L455=phu!$I$8,L455=phu!$I$9,L455=phu!$I$10,L455=phu!$I$11,L455=phu!$I$12,L455=phu!$I$13,L455=phu!$I$14),"Cam Nghĩa",""),IF(OR(L455=phu!$I$15,L455=phu!$I$16,L455=phu!$I$17,L455=phu!$I$18,L455=phu!$I$19,L455=phu!$I$20,L455=phu!$I$21),"Cam Phúc Bắc",""),IF(OR(L455=phu!$I$22,L455=phu!$I$23,L455=phu!$I$24,L455=phu!$I$25),"Cam Phúc Nam",""),IF(OR(L455=phu!$I$26,L455=phu!$I$27,L455=phu!$I$28,L455=phu!$I$29,L455=phu!$I$30,L455=phu!$I$31),"Cam Phú",""),IF(OR(L455=phu!$I$32,L455=phu!$I$33,L455=phu!$I$34,L455=phu!$I$35,L455=phu!$I$36,L455=phu!$I$37),"Cam Lộc",""),IF(OR(L455=phu!$I$38,L455=phu!$I$39,L455=phu!$I$40,L455=phu!$I$41,L455=phu!$I$42,L455=phu!$I$43,L455=phu!$I$44),"Cam Thuận",""),IF(OR(L455=phu!$I$45,L455=phu!$I$46,L455=phu!$I$47,L455=phu!$I$48,L455=phu!$I$49,L455=phu!$I$50,L455=phu!$I$51,L455=phu!$I$52,L455=phu!$I$53),"Cam Linh",""),IF(OR(L455=phu!$I$54,L455=phu!$I$55,L455=phu!$I$56,L455=phu!$I$57,L455=phu!$I$58,L455=phu!$I$59,L455=phu!$I$60,L455=phu!$I$61,L455=phu!$I$62),"Cam Lợi",""),IF(OR(L455=phu!$I$63,L455=phu!$I$64,L455=phu!$I$65,L455=phu!$I$66,L455=phu!$I$67,L455=phu!$I$68,L455=phu!$I$69,L455=phu!$I$70,L455=phu!$I$71),"Ba Ngòi",""),IF(OR(L455=phu!$I$72,L455=phu!$I$73,L455=phu!$I$74,L455=phu!$I$75,L455=phu!$I$76,L455=phu!$I$77,L455=phu!$I$78),"Cam Phước Đông",""),IF(OR(L455=phu!$I$79,L455=phu!$I$80,L455=phu!$I$81,L455=phu!$I$82,L455=phu!$I$83,L455=phu!$I$84),"Cam Thịnh Đông",""),IF(OR(L455=phu!$I$85,L455=phu!$I$86,L455=phu!$I$87,L455=phu!$I$88),"Cam Thịnh Tây",""),IF(OR(L455=phu!$I$89,L455=phu!$I$90),"Cam Lập",""),IF(OR(L455=phu!$I$91,L455=phu!$I$92,L455=phu!$I$93),"Cam Bình",""),IF(OR(L455=phu!$I$94,L455=phu!$I$95,L455=phu!$I$96,L455=phu!$I$97,L455=phu!$I$98,L455=phu!$I$99,L455=phu!$I$100),"Huyện khác",""),IF(OR(L455=phu!$I$101,L455=phu!$I$102),"Tỉnh khác",""))</f>
        <v/>
      </c>
      <c r="N455" s="835" t="str">
        <f t="shared" ref="N455:N518" si="38">CONCATENATE(IF(OR(M455="Cam Thành Nam",M455="Cam Nghĩa",M455="Cam Phúc Bắc"),"Bắc Cam Ranh",""),IF(OR(M455="Cam Phúc Nam",M455="Cam Phú",M455="Cam Lộc"),"Cam Ranh",""),IF(OR(M455="Cam Thuận",M455="Cam Linh",M455="Cam Lợi"),"Cam Linh",""),IF(OR(M455="Ba Ngòi",M455="Cam Phước Đông"),"Ba Ngòi",""),IF(OR(M455="Cam Thịnh Đông",M455="Cam Thịnh Tây",M455="Cam Lập",M455="Cam Bình"),"Nam Cam Ranh",""),IF(M455="Huyện khác","Huyện khác",""),IF(M455="Tỉnh khác","Tỉnh khác",""))</f>
        <v/>
      </c>
      <c r="O455" s="20"/>
      <c r="P455" s="20"/>
      <c r="Q455" s="20"/>
      <c r="R455" s="20"/>
      <c r="S455" s="20"/>
      <c r="T455" s="21"/>
      <c r="U455" s="21"/>
      <c r="V455" s="21"/>
      <c r="W455" s="7" t="str">
        <f t="shared" si="36"/>
        <v/>
      </c>
      <c r="X455" s="506" t="str">
        <f t="shared" si="37"/>
        <v/>
      </c>
    </row>
    <row r="456" spans="1:24" x14ac:dyDescent="0.25">
      <c r="A456" s="66" t="str">
        <f t="shared" ref="A456:A498" si="39">IF(AND(A455&lt;&gt;"",E456&lt;&gt;""),A455+1,"")</f>
        <v/>
      </c>
      <c r="B456" s="23" t="str">
        <f t="shared" si="35"/>
        <v/>
      </c>
      <c r="C456" s="15"/>
      <c r="D456" s="16"/>
      <c r="E456" s="17"/>
      <c r="F456" s="18"/>
      <c r="G456" s="18"/>
      <c r="H456" s="19"/>
      <c r="I456" s="15"/>
      <c r="J456" s="20"/>
      <c r="K456" s="15"/>
      <c r="L456" s="15"/>
      <c r="M456" s="531" t="str">
        <f>CONCATENATE(IF(OR(L456=phu!$I$1,L456=phu!$I$2,L456=phu!$I$3),"Cam Thành Nam",""),IF(OR(L456=phu!$I$4,L456=phu!$I$5,L456=phu!$I$6,L456=phu!$I$7,L456=phu!$I$8,L456=phu!$I$9,L456=phu!$I$10,L456=phu!$I$11,L456=phu!$I$12,L456=phu!$I$13,L456=phu!$I$14),"Cam Nghĩa",""),IF(OR(L456=phu!$I$15,L456=phu!$I$16,L456=phu!$I$17,L456=phu!$I$18,L456=phu!$I$19,L456=phu!$I$20,L456=phu!$I$21),"Cam Phúc Bắc",""),IF(OR(L456=phu!$I$22,L456=phu!$I$23,L456=phu!$I$24,L456=phu!$I$25),"Cam Phúc Nam",""),IF(OR(L456=phu!$I$26,L456=phu!$I$27,L456=phu!$I$28,L456=phu!$I$29,L456=phu!$I$30,L456=phu!$I$31),"Cam Phú",""),IF(OR(L456=phu!$I$32,L456=phu!$I$33,L456=phu!$I$34,L456=phu!$I$35,L456=phu!$I$36,L456=phu!$I$37),"Cam Lộc",""),IF(OR(L456=phu!$I$38,L456=phu!$I$39,L456=phu!$I$40,L456=phu!$I$41,L456=phu!$I$42,L456=phu!$I$43,L456=phu!$I$44),"Cam Thuận",""),IF(OR(L456=phu!$I$45,L456=phu!$I$46,L456=phu!$I$47,L456=phu!$I$48,L456=phu!$I$49,L456=phu!$I$50,L456=phu!$I$51,L456=phu!$I$52,L456=phu!$I$53),"Cam Linh",""),IF(OR(L456=phu!$I$54,L456=phu!$I$55,L456=phu!$I$56,L456=phu!$I$57,L456=phu!$I$58,L456=phu!$I$59,L456=phu!$I$60,L456=phu!$I$61,L456=phu!$I$62),"Cam Lợi",""),IF(OR(L456=phu!$I$63,L456=phu!$I$64,L456=phu!$I$65,L456=phu!$I$66,L456=phu!$I$67,L456=phu!$I$68,L456=phu!$I$69,L456=phu!$I$70,L456=phu!$I$71),"Ba Ngòi",""),IF(OR(L456=phu!$I$72,L456=phu!$I$73,L456=phu!$I$74,L456=phu!$I$75,L456=phu!$I$76,L456=phu!$I$77,L456=phu!$I$78),"Cam Phước Đông",""),IF(OR(L456=phu!$I$79,L456=phu!$I$80,L456=phu!$I$81,L456=phu!$I$82,L456=phu!$I$83,L456=phu!$I$84),"Cam Thịnh Đông",""),IF(OR(L456=phu!$I$85,L456=phu!$I$86,L456=phu!$I$87,L456=phu!$I$88),"Cam Thịnh Tây",""),IF(OR(L456=phu!$I$89,L456=phu!$I$90),"Cam Lập",""),IF(OR(L456=phu!$I$91,L456=phu!$I$92,L456=phu!$I$93),"Cam Bình",""),IF(OR(L456=phu!$I$94,L456=phu!$I$95,L456=phu!$I$96,L456=phu!$I$97,L456=phu!$I$98,L456=phu!$I$99,L456=phu!$I$100),"Huyện khác",""),IF(OR(L456=phu!$I$101,L456=phu!$I$102),"Tỉnh khác",""))</f>
        <v/>
      </c>
      <c r="N456" s="835" t="str">
        <f t="shared" si="38"/>
        <v/>
      </c>
      <c r="O456" s="20"/>
      <c r="P456" s="20"/>
      <c r="Q456" s="20"/>
      <c r="R456" s="20"/>
      <c r="S456" s="20"/>
      <c r="T456" s="21"/>
      <c r="U456" s="21"/>
      <c r="V456" s="21"/>
      <c r="W456" s="7" t="str">
        <f t="shared" si="36"/>
        <v/>
      </c>
      <c r="X456" s="506" t="str">
        <f t="shared" si="37"/>
        <v/>
      </c>
    </row>
    <row r="457" spans="1:24" x14ac:dyDescent="0.25">
      <c r="A457" s="66" t="str">
        <f t="shared" si="39"/>
        <v/>
      </c>
      <c r="B457" s="23" t="str">
        <f t="shared" si="35"/>
        <v/>
      </c>
      <c r="C457" s="15"/>
      <c r="D457" s="16"/>
      <c r="E457" s="17"/>
      <c r="F457" s="18"/>
      <c r="G457" s="18"/>
      <c r="H457" s="19"/>
      <c r="I457" s="15"/>
      <c r="J457" s="20"/>
      <c r="K457" s="15"/>
      <c r="L457" s="15"/>
      <c r="M457" s="531" t="str">
        <f>CONCATENATE(IF(OR(L457=phu!$I$1,L457=phu!$I$2,L457=phu!$I$3),"Cam Thành Nam",""),IF(OR(L457=phu!$I$4,L457=phu!$I$5,L457=phu!$I$6,L457=phu!$I$7,L457=phu!$I$8,L457=phu!$I$9,L457=phu!$I$10,L457=phu!$I$11,L457=phu!$I$12,L457=phu!$I$13,L457=phu!$I$14),"Cam Nghĩa",""),IF(OR(L457=phu!$I$15,L457=phu!$I$16,L457=phu!$I$17,L457=phu!$I$18,L457=phu!$I$19,L457=phu!$I$20,L457=phu!$I$21),"Cam Phúc Bắc",""),IF(OR(L457=phu!$I$22,L457=phu!$I$23,L457=phu!$I$24,L457=phu!$I$25),"Cam Phúc Nam",""),IF(OR(L457=phu!$I$26,L457=phu!$I$27,L457=phu!$I$28,L457=phu!$I$29,L457=phu!$I$30,L457=phu!$I$31),"Cam Phú",""),IF(OR(L457=phu!$I$32,L457=phu!$I$33,L457=phu!$I$34,L457=phu!$I$35,L457=phu!$I$36,L457=phu!$I$37),"Cam Lộc",""),IF(OR(L457=phu!$I$38,L457=phu!$I$39,L457=phu!$I$40,L457=phu!$I$41,L457=phu!$I$42,L457=phu!$I$43,L457=phu!$I$44),"Cam Thuận",""),IF(OR(L457=phu!$I$45,L457=phu!$I$46,L457=phu!$I$47,L457=phu!$I$48,L457=phu!$I$49,L457=phu!$I$50,L457=phu!$I$51,L457=phu!$I$52,L457=phu!$I$53),"Cam Linh",""),IF(OR(L457=phu!$I$54,L457=phu!$I$55,L457=phu!$I$56,L457=phu!$I$57,L457=phu!$I$58,L457=phu!$I$59,L457=phu!$I$60,L457=phu!$I$61,L457=phu!$I$62),"Cam Lợi",""),IF(OR(L457=phu!$I$63,L457=phu!$I$64,L457=phu!$I$65,L457=phu!$I$66,L457=phu!$I$67,L457=phu!$I$68,L457=phu!$I$69,L457=phu!$I$70,L457=phu!$I$71),"Ba Ngòi",""),IF(OR(L457=phu!$I$72,L457=phu!$I$73,L457=phu!$I$74,L457=phu!$I$75,L457=phu!$I$76,L457=phu!$I$77,L457=phu!$I$78),"Cam Phước Đông",""),IF(OR(L457=phu!$I$79,L457=phu!$I$80,L457=phu!$I$81,L457=phu!$I$82,L457=phu!$I$83,L457=phu!$I$84),"Cam Thịnh Đông",""),IF(OR(L457=phu!$I$85,L457=phu!$I$86,L457=phu!$I$87,L457=phu!$I$88),"Cam Thịnh Tây",""),IF(OR(L457=phu!$I$89,L457=phu!$I$90),"Cam Lập",""),IF(OR(L457=phu!$I$91,L457=phu!$I$92,L457=phu!$I$93),"Cam Bình",""),IF(OR(L457=phu!$I$94,L457=phu!$I$95,L457=phu!$I$96,L457=phu!$I$97,L457=phu!$I$98,L457=phu!$I$99,L457=phu!$I$100),"Huyện khác",""),IF(OR(L457=phu!$I$101,L457=phu!$I$102),"Tỉnh khác",""))</f>
        <v/>
      </c>
      <c r="N457" s="835" t="str">
        <f t="shared" si="38"/>
        <v/>
      </c>
      <c r="O457" s="20"/>
      <c r="P457" s="20"/>
      <c r="Q457" s="20"/>
      <c r="R457" s="20"/>
      <c r="S457" s="20"/>
      <c r="T457" s="21"/>
      <c r="U457" s="21"/>
      <c r="V457" s="21"/>
      <c r="W457" s="7" t="str">
        <f t="shared" si="36"/>
        <v/>
      </c>
      <c r="X457" s="506" t="str">
        <f t="shared" si="37"/>
        <v/>
      </c>
    </row>
    <row r="458" spans="1:24" x14ac:dyDescent="0.25">
      <c r="A458" s="66" t="str">
        <f t="shared" si="39"/>
        <v/>
      </c>
      <c r="B458" s="23" t="str">
        <f t="shared" si="35"/>
        <v/>
      </c>
      <c r="C458" s="15"/>
      <c r="D458" s="16"/>
      <c r="E458" s="17"/>
      <c r="F458" s="18"/>
      <c r="G458" s="18"/>
      <c r="H458" s="19"/>
      <c r="I458" s="15"/>
      <c r="J458" s="20"/>
      <c r="K458" s="15"/>
      <c r="L458" s="15"/>
      <c r="M458" s="531" t="str">
        <f>CONCATENATE(IF(OR(L458=phu!$I$1,L458=phu!$I$2,L458=phu!$I$3),"Cam Thành Nam",""),IF(OR(L458=phu!$I$4,L458=phu!$I$5,L458=phu!$I$6,L458=phu!$I$7,L458=phu!$I$8,L458=phu!$I$9,L458=phu!$I$10,L458=phu!$I$11,L458=phu!$I$12,L458=phu!$I$13,L458=phu!$I$14),"Cam Nghĩa",""),IF(OR(L458=phu!$I$15,L458=phu!$I$16,L458=phu!$I$17,L458=phu!$I$18,L458=phu!$I$19,L458=phu!$I$20,L458=phu!$I$21),"Cam Phúc Bắc",""),IF(OR(L458=phu!$I$22,L458=phu!$I$23,L458=phu!$I$24,L458=phu!$I$25),"Cam Phúc Nam",""),IF(OR(L458=phu!$I$26,L458=phu!$I$27,L458=phu!$I$28,L458=phu!$I$29,L458=phu!$I$30,L458=phu!$I$31),"Cam Phú",""),IF(OR(L458=phu!$I$32,L458=phu!$I$33,L458=phu!$I$34,L458=phu!$I$35,L458=phu!$I$36,L458=phu!$I$37),"Cam Lộc",""),IF(OR(L458=phu!$I$38,L458=phu!$I$39,L458=phu!$I$40,L458=phu!$I$41,L458=phu!$I$42,L458=phu!$I$43,L458=phu!$I$44),"Cam Thuận",""),IF(OR(L458=phu!$I$45,L458=phu!$I$46,L458=phu!$I$47,L458=phu!$I$48,L458=phu!$I$49,L458=phu!$I$50,L458=phu!$I$51,L458=phu!$I$52,L458=phu!$I$53),"Cam Linh",""),IF(OR(L458=phu!$I$54,L458=phu!$I$55,L458=phu!$I$56,L458=phu!$I$57,L458=phu!$I$58,L458=phu!$I$59,L458=phu!$I$60,L458=phu!$I$61,L458=phu!$I$62),"Cam Lợi",""),IF(OR(L458=phu!$I$63,L458=phu!$I$64,L458=phu!$I$65,L458=phu!$I$66,L458=phu!$I$67,L458=phu!$I$68,L458=phu!$I$69,L458=phu!$I$70,L458=phu!$I$71),"Ba Ngòi",""),IF(OR(L458=phu!$I$72,L458=phu!$I$73,L458=phu!$I$74,L458=phu!$I$75,L458=phu!$I$76,L458=phu!$I$77,L458=phu!$I$78),"Cam Phước Đông",""),IF(OR(L458=phu!$I$79,L458=phu!$I$80,L458=phu!$I$81,L458=phu!$I$82,L458=phu!$I$83,L458=phu!$I$84),"Cam Thịnh Đông",""),IF(OR(L458=phu!$I$85,L458=phu!$I$86,L458=phu!$I$87,L458=phu!$I$88),"Cam Thịnh Tây",""),IF(OR(L458=phu!$I$89,L458=phu!$I$90),"Cam Lập",""),IF(OR(L458=phu!$I$91,L458=phu!$I$92,L458=phu!$I$93),"Cam Bình",""),IF(OR(L458=phu!$I$94,L458=phu!$I$95,L458=phu!$I$96,L458=phu!$I$97,L458=phu!$I$98,L458=phu!$I$99,L458=phu!$I$100),"Huyện khác",""),IF(OR(L458=phu!$I$101,L458=phu!$I$102),"Tỉnh khác",""))</f>
        <v/>
      </c>
      <c r="N458" s="835" t="str">
        <f t="shared" si="38"/>
        <v/>
      </c>
      <c r="O458" s="20"/>
      <c r="P458" s="20"/>
      <c r="Q458" s="20"/>
      <c r="R458" s="20"/>
      <c r="S458" s="20"/>
      <c r="T458" s="21"/>
      <c r="U458" s="21"/>
      <c r="V458" s="21"/>
      <c r="W458" s="7" t="str">
        <f t="shared" si="36"/>
        <v/>
      </c>
      <c r="X458" s="506" t="str">
        <f t="shared" si="37"/>
        <v/>
      </c>
    </row>
    <row r="459" spans="1:24" x14ac:dyDescent="0.25">
      <c r="A459" s="66" t="str">
        <f t="shared" si="39"/>
        <v/>
      </c>
      <c r="B459" s="23" t="str">
        <f t="shared" si="35"/>
        <v/>
      </c>
      <c r="C459" s="15"/>
      <c r="D459" s="16"/>
      <c r="E459" s="17"/>
      <c r="F459" s="18"/>
      <c r="G459" s="18"/>
      <c r="H459" s="19"/>
      <c r="I459" s="15"/>
      <c r="J459" s="20"/>
      <c r="K459" s="15"/>
      <c r="L459" s="15"/>
      <c r="M459" s="531" t="str">
        <f>CONCATENATE(IF(OR(L459=phu!$I$1,L459=phu!$I$2,L459=phu!$I$3),"Cam Thành Nam",""),IF(OR(L459=phu!$I$4,L459=phu!$I$5,L459=phu!$I$6,L459=phu!$I$7,L459=phu!$I$8,L459=phu!$I$9,L459=phu!$I$10,L459=phu!$I$11,L459=phu!$I$12,L459=phu!$I$13,L459=phu!$I$14),"Cam Nghĩa",""),IF(OR(L459=phu!$I$15,L459=phu!$I$16,L459=phu!$I$17,L459=phu!$I$18,L459=phu!$I$19,L459=phu!$I$20,L459=phu!$I$21),"Cam Phúc Bắc",""),IF(OR(L459=phu!$I$22,L459=phu!$I$23,L459=phu!$I$24,L459=phu!$I$25),"Cam Phúc Nam",""),IF(OR(L459=phu!$I$26,L459=phu!$I$27,L459=phu!$I$28,L459=phu!$I$29,L459=phu!$I$30,L459=phu!$I$31),"Cam Phú",""),IF(OR(L459=phu!$I$32,L459=phu!$I$33,L459=phu!$I$34,L459=phu!$I$35,L459=phu!$I$36,L459=phu!$I$37),"Cam Lộc",""),IF(OR(L459=phu!$I$38,L459=phu!$I$39,L459=phu!$I$40,L459=phu!$I$41,L459=phu!$I$42,L459=phu!$I$43,L459=phu!$I$44),"Cam Thuận",""),IF(OR(L459=phu!$I$45,L459=phu!$I$46,L459=phu!$I$47,L459=phu!$I$48,L459=phu!$I$49,L459=phu!$I$50,L459=phu!$I$51,L459=phu!$I$52,L459=phu!$I$53),"Cam Linh",""),IF(OR(L459=phu!$I$54,L459=phu!$I$55,L459=phu!$I$56,L459=phu!$I$57,L459=phu!$I$58,L459=phu!$I$59,L459=phu!$I$60,L459=phu!$I$61,L459=phu!$I$62),"Cam Lợi",""),IF(OR(L459=phu!$I$63,L459=phu!$I$64,L459=phu!$I$65,L459=phu!$I$66,L459=phu!$I$67,L459=phu!$I$68,L459=phu!$I$69,L459=phu!$I$70,L459=phu!$I$71),"Ba Ngòi",""),IF(OR(L459=phu!$I$72,L459=phu!$I$73,L459=phu!$I$74,L459=phu!$I$75,L459=phu!$I$76,L459=phu!$I$77,L459=phu!$I$78),"Cam Phước Đông",""),IF(OR(L459=phu!$I$79,L459=phu!$I$80,L459=phu!$I$81,L459=phu!$I$82,L459=phu!$I$83,L459=phu!$I$84),"Cam Thịnh Đông",""),IF(OR(L459=phu!$I$85,L459=phu!$I$86,L459=phu!$I$87,L459=phu!$I$88),"Cam Thịnh Tây",""),IF(OR(L459=phu!$I$89,L459=phu!$I$90),"Cam Lập",""),IF(OR(L459=phu!$I$91,L459=phu!$I$92,L459=phu!$I$93),"Cam Bình",""),IF(OR(L459=phu!$I$94,L459=phu!$I$95,L459=phu!$I$96,L459=phu!$I$97,L459=phu!$I$98,L459=phu!$I$99,L459=phu!$I$100),"Huyện khác",""),IF(OR(L459=phu!$I$101,L459=phu!$I$102),"Tỉnh khác",""))</f>
        <v/>
      </c>
      <c r="N459" s="835" t="str">
        <f t="shared" si="38"/>
        <v/>
      </c>
      <c r="O459" s="20"/>
      <c r="P459" s="20"/>
      <c r="Q459" s="20"/>
      <c r="R459" s="20"/>
      <c r="S459" s="20"/>
      <c r="T459" s="21"/>
      <c r="U459" s="21"/>
      <c r="V459" s="21"/>
      <c r="W459" s="7" t="str">
        <f t="shared" si="36"/>
        <v/>
      </c>
      <c r="X459" s="506" t="str">
        <f t="shared" si="37"/>
        <v/>
      </c>
    </row>
    <row r="460" spans="1:24" x14ac:dyDescent="0.25">
      <c r="A460" s="66" t="str">
        <f t="shared" si="39"/>
        <v/>
      </c>
      <c r="B460" s="23" t="str">
        <f t="shared" si="35"/>
        <v/>
      </c>
      <c r="C460" s="15"/>
      <c r="D460" s="16"/>
      <c r="E460" s="17"/>
      <c r="F460" s="18"/>
      <c r="G460" s="18"/>
      <c r="H460" s="19"/>
      <c r="I460" s="15"/>
      <c r="J460" s="20"/>
      <c r="K460" s="15"/>
      <c r="L460" s="15"/>
      <c r="M460" s="531" t="str">
        <f>CONCATENATE(IF(OR(L460=phu!$I$1,L460=phu!$I$2,L460=phu!$I$3),"Cam Thành Nam",""),IF(OR(L460=phu!$I$4,L460=phu!$I$5,L460=phu!$I$6,L460=phu!$I$7,L460=phu!$I$8,L460=phu!$I$9,L460=phu!$I$10,L460=phu!$I$11,L460=phu!$I$12,L460=phu!$I$13,L460=phu!$I$14),"Cam Nghĩa",""),IF(OR(L460=phu!$I$15,L460=phu!$I$16,L460=phu!$I$17,L460=phu!$I$18,L460=phu!$I$19,L460=phu!$I$20,L460=phu!$I$21),"Cam Phúc Bắc",""),IF(OR(L460=phu!$I$22,L460=phu!$I$23,L460=phu!$I$24,L460=phu!$I$25),"Cam Phúc Nam",""),IF(OR(L460=phu!$I$26,L460=phu!$I$27,L460=phu!$I$28,L460=phu!$I$29,L460=phu!$I$30,L460=phu!$I$31),"Cam Phú",""),IF(OR(L460=phu!$I$32,L460=phu!$I$33,L460=phu!$I$34,L460=phu!$I$35,L460=phu!$I$36,L460=phu!$I$37),"Cam Lộc",""),IF(OR(L460=phu!$I$38,L460=phu!$I$39,L460=phu!$I$40,L460=phu!$I$41,L460=phu!$I$42,L460=phu!$I$43,L460=phu!$I$44),"Cam Thuận",""),IF(OR(L460=phu!$I$45,L460=phu!$I$46,L460=phu!$I$47,L460=phu!$I$48,L460=phu!$I$49,L460=phu!$I$50,L460=phu!$I$51,L460=phu!$I$52,L460=phu!$I$53),"Cam Linh",""),IF(OR(L460=phu!$I$54,L460=phu!$I$55,L460=phu!$I$56,L460=phu!$I$57,L460=phu!$I$58,L460=phu!$I$59,L460=phu!$I$60,L460=phu!$I$61,L460=phu!$I$62),"Cam Lợi",""),IF(OR(L460=phu!$I$63,L460=phu!$I$64,L460=phu!$I$65,L460=phu!$I$66,L460=phu!$I$67,L460=phu!$I$68,L460=phu!$I$69,L460=phu!$I$70,L460=phu!$I$71),"Ba Ngòi",""),IF(OR(L460=phu!$I$72,L460=phu!$I$73,L460=phu!$I$74,L460=phu!$I$75,L460=phu!$I$76,L460=phu!$I$77,L460=phu!$I$78),"Cam Phước Đông",""),IF(OR(L460=phu!$I$79,L460=phu!$I$80,L460=phu!$I$81,L460=phu!$I$82,L460=phu!$I$83,L460=phu!$I$84),"Cam Thịnh Đông",""),IF(OR(L460=phu!$I$85,L460=phu!$I$86,L460=phu!$I$87,L460=phu!$I$88),"Cam Thịnh Tây",""),IF(OR(L460=phu!$I$89,L460=phu!$I$90),"Cam Lập",""),IF(OR(L460=phu!$I$91,L460=phu!$I$92,L460=phu!$I$93),"Cam Bình",""),IF(OR(L460=phu!$I$94,L460=phu!$I$95,L460=phu!$I$96,L460=phu!$I$97,L460=phu!$I$98,L460=phu!$I$99,L460=phu!$I$100),"Huyện khác",""),IF(OR(L460=phu!$I$101,L460=phu!$I$102),"Tỉnh khác",""))</f>
        <v/>
      </c>
      <c r="N460" s="835" t="str">
        <f t="shared" si="38"/>
        <v/>
      </c>
      <c r="O460" s="20"/>
      <c r="P460" s="20"/>
      <c r="Q460" s="20"/>
      <c r="R460" s="20"/>
      <c r="S460" s="20"/>
      <c r="T460" s="21"/>
      <c r="U460" s="21"/>
      <c r="V460" s="21"/>
      <c r="W460" s="7" t="str">
        <f t="shared" si="36"/>
        <v/>
      </c>
      <c r="X460" s="506" t="str">
        <f t="shared" si="37"/>
        <v/>
      </c>
    </row>
    <row r="461" spans="1:24" x14ac:dyDescent="0.25">
      <c r="A461" s="66" t="str">
        <f t="shared" si="39"/>
        <v/>
      </c>
      <c r="B461" s="23" t="str">
        <f t="shared" si="35"/>
        <v/>
      </c>
      <c r="C461" s="15"/>
      <c r="D461" s="16"/>
      <c r="E461" s="17"/>
      <c r="F461" s="18"/>
      <c r="G461" s="18"/>
      <c r="H461" s="19"/>
      <c r="I461" s="15"/>
      <c r="J461" s="20"/>
      <c r="K461" s="15"/>
      <c r="L461" s="15"/>
      <c r="M461" s="531" t="str">
        <f>CONCATENATE(IF(OR(L461=phu!$I$1,L461=phu!$I$2,L461=phu!$I$3),"Cam Thành Nam",""),IF(OR(L461=phu!$I$4,L461=phu!$I$5,L461=phu!$I$6,L461=phu!$I$7,L461=phu!$I$8,L461=phu!$I$9,L461=phu!$I$10,L461=phu!$I$11,L461=phu!$I$12,L461=phu!$I$13,L461=phu!$I$14),"Cam Nghĩa",""),IF(OR(L461=phu!$I$15,L461=phu!$I$16,L461=phu!$I$17,L461=phu!$I$18,L461=phu!$I$19,L461=phu!$I$20,L461=phu!$I$21),"Cam Phúc Bắc",""),IF(OR(L461=phu!$I$22,L461=phu!$I$23,L461=phu!$I$24,L461=phu!$I$25),"Cam Phúc Nam",""),IF(OR(L461=phu!$I$26,L461=phu!$I$27,L461=phu!$I$28,L461=phu!$I$29,L461=phu!$I$30,L461=phu!$I$31),"Cam Phú",""),IF(OR(L461=phu!$I$32,L461=phu!$I$33,L461=phu!$I$34,L461=phu!$I$35,L461=phu!$I$36,L461=phu!$I$37),"Cam Lộc",""),IF(OR(L461=phu!$I$38,L461=phu!$I$39,L461=phu!$I$40,L461=phu!$I$41,L461=phu!$I$42,L461=phu!$I$43,L461=phu!$I$44),"Cam Thuận",""),IF(OR(L461=phu!$I$45,L461=phu!$I$46,L461=phu!$I$47,L461=phu!$I$48,L461=phu!$I$49,L461=phu!$I$50,L461=phu!$I$51,L461=phu!$I$52,L461=phu!$I$53),"Cam Linh",""),IF(OR(L461=phu!$I$54,L461=phu!$I$55,L461=phu!$I$56,L461=phu!$I$57,L461=phu!$I$58,L461=phu!$I$59,L461=phu!$I$60,L461=phu!$I$61,L461=phu!$I$62),"Cam Lợi",""),IF(OR(L461=phu!$I$63,L461=phu!$I$64,L461=phu!$I$65,L461=phu!$I$66,L461=phu!$I$67,L461=phu!$I$68,L461=phu!$I$69,L461=phu!$I$70,L461=phu!$I$71),"Ba Ngòi",""),IF(OR(L461=phu!$I$72,L461=phu!$I$73,L461=phu!$I$74,L461=phu!$I$75,L461=phu!$I$76,L461=phu!$I$77,L461=phu!$I$78),"Cam Phước Đông",""),IF(OR(L461=phu!$I$79,L461=phu!$I$80,L461=phu!$I$81,L461=phu!$I$82,L461=phu!$I$83,L461=phu!$I$84),"Cam Thịnh Đông",""),IF(OR(L461=phu!$I$85,L461=phu!$I$86,L461=phu!$I$87,L461=phu!$I$88),"Cam Thịnh Tây",""),IF(OR(L461=phu!$I$89,L461=phu!$I$90),"Cam Lập",""),IF(OR(L461=phu!$I$91,L461=phu!$I$92,L461=phu!$I$93),"Cam Bình",""),IF(OR(L461=phu!$I$94,L461=phu!$I$95,L461=phu!$I$96,L461=phu!$I$97,L461=phu!$I$98,L461=phu!$I$99,L461=phu!$I$100),"Huyện khác",""),IF(OR(L461=phu!$I$101,L461=phu!$I$102),"Tỉnh khác",""))</f>
        <v/>
      </c>
      <c r="N461" s="835" t="str">
        <f t="shared" si="38"/>
        <v/>
      </c>
      <c r="O461" s="20"/>
      <c r="P461" s="20"/>
      <c r="Q461" s="20"/>
      <c r="R461" s="20"/>
      <c r="S461" s="20"/>
      <c r="T461" s="21"/>
      <c r="U461" s="21"/>
      <c r="V461" s="21"/>
      <c r="W461" s="7" t="str">
        <f t="shared" si="36"/>
        <v/>
      </c>
      <c r="X461" s="506" t="str">
        <f t="shared" si="37"/>
        <v/>
      </c>
    </row>
    <row r="462" spans="1:24" x14ac:dyDescent="0.25">
      <c r="A462" s="66" t="str">
        <f t="shared" si="39"/>
        <v/>
      </c>
      <c r="B462" s="23" t="str">
        <f t="shared" si="35"/>
        <v/>
      </c>
      <c r="C462" s="15"/>
      <c r="D462" s="16"/>
      <c r="E462" s="17"/>
      <c r="F462" s="18"/>
      <c r="G462" s="18"/>
      <c r="H462" s="19"/>
      <c r="I462" s="15"/>
      <c r="J462" s="20"/>
      <c r="K462" s="15"/>
      <c r="L462" s="15"/>
      <c r="M462" s="531" t="str">
        <f>CONCATENATE(IF(OR(L462=phu!$I$1,L462=phu!$I$2,L462=phu!$I$3),"Cam Thành Nam",""),IF(OR(L462=phu!$I$4,L462=phu!$I$5,L462=phu!$I$6,L462=phu!$I$7,L462=phu!$I$8,L462=phu!$I$9,L462=phu!$I$10,L462=phu!$I$11,L462=phu!$I$12,L462=phu!$I$13,L462=phu!$I$14),"Cam Nghĩa",""),IF(OR(L462=phu!$I$15,L462=phu!$I$16,L462=phu!$I$17,L462=phu!$I$18,L462=phu!$I$19,L462=phu!$I$20,L462=phu!$I$21),"Cam Phúc Bắc",""),IF(OR(L462=phu!$I$22,L462=phu!$I$23,L462=phu!$I$24,L462=phu!$I$25),"Cam Phúc Nam",""),IF(OR(L462=phu!$I$26,L462=phu!$I$27,L462=phu!$I$28,L462=phu!$I$29,L462=phu!$I$30,L462=phu!$I$31),"Cam Phú",""),IF(OR(L462=phu!$I$32,L462=phu!$I$33,L462=phu!$I$34,L462=phu!$I$35,L462=phu!$I$36,L462=phu!$I$37),"Cam Lộc",""),IF(OR(L462=phu!$I$38,L462=phu!$I$39,L462=phu!$I$40,L462=phu!$I$41,L462=phu!$I$42,L462=phu!$I$43,L462=phu!$I$44),"Cam Thuận",""),IF(OR(L462=phu!$I$45,L462=phu!$I$46,L462=phu!$I$47,L462=phu!$I$48,L462=phu!$I$49,L462=phu!$I$50,L462=phu!$I$51,L462=phu!$I$52,L462=phu!$I$53),"Cam Linh",""),IF(OR(L462=phu!$I$54,L462=phu!$I$55,L462=phu!$I$56,L462=phu!$I$57,L462=phu!$I$58,L462=phu!$I$59,L462=phu!$I$60,L462=phu!$I$61,L462=phu!$I$62),"Cam Lợi",""),IF(OR(L462=phu!$I$63,L462=phu!$I$64,L462=phu!$I$65,L462=phu!$I$66,L462=phu!$I$67,L462=phu!$I$68,L462=phu!$I$69,L462=phu!$I$70,L462=phu!$I$71),"Ba Ngòi",""),IF(OR(L462=phu!$I$72,L462=phu!$I$73,L462=phu!$I$74,L462=phu!$I$75,L462=phu!$I$76,L462=phu!$I$77,L462=phu!$I$78),"Cam Phước Đông",""),IF(OR(L462=phu!$I$79,L462=phu!$I$80,L462=phu!$I$81,L462=phu!$I$82,L462=phu!$I$83,L462=phu!$I$84),"Cam Thịnh Đông",""),IF(OR(L462=phu!$I$85,L462=phu!$I$86,L462=phu!$I$87,L462=phu!$I$88),"Cam Thịnh Tây",""),IF(OR(L462=phu!$I$89,L462=phu!$I$90),"Cam Lập",""),IF(OR(L462=phu!$I$91,L462=phu!$I$92,L462=phu!$I$93),"Cam Bình",""),IF(OR(L462=phu!$I$94,L462=phu!$I$95,L462=phu!$I$96,L462=phu!$I$97,L462=phu!$I$98,L462=phu!$I$99,L462=phu!$I$100),"Huyện khác",""),IF(OR(L462=phu!$I$101,L462=phu!$I$102),"Tỉnh khác",""))</f>
        <v/>
      </c>
      <c r="N462" s="835" t="str">
        <f t="shared" si="38"/>
        <v/>
      </c>
      <c r="O462" s="20"/>
      <c r="P462" s="20"/>
      <c r="Q462" s="20"/>
      <c r="R462" s="20"/>
      <c r="S462" s="20"/>
      <c r="T462" s="21"/>
      <c r="U462" s="21"/>
      <c r="V462" s="21"/>
      <c r="W462" s="7" t="str">
        <f t="shared" si="36"/>
        <v/>
      </c>
      <c r="X462" s="506" t="str">
        <f t="shared" si="37"/>
        <v/>
      </c>
    </row>
    <row r="463" spans="1:24" x14ac:dyDescent="0.25">
      <c r="A463" s="66" t="str">
        <f t="shared" si="39"/>
        <v/>
      </c>
      <c r="B463" s="23" t="str">
        <f t="shared" si="35"/>
        <v/>
      </c>
      <c r="C463" s="15"/>
      <c r="D463" s="16"/>
      <c r="E463" s="17"/>
      <c r="F463" s="18"/>
      <c r="G463" s="18"/>
      <c r="H463" s="19"/>
      <c r="I463" s="15"/>
      <c r="J463" s="20"/>
      <c r="K463" s="15"/>
      <c r="L463" s="15"/>
      <c r="M463" s="531" t="str">
        <f>CONCATENATE(IF(OR(L463=phu!$I$1,L463=phu!$I$2,L463=phu!$I$3),"Cam Thành Nam",""),IF(OR(L463=phu!$I$4,L463=phu!$I$5,L463=phu!$I$6,L463=phu!$I$7,L463=phu!$I$8,L463=phu!$I$9,L463=phu!$I$10,L463=phu!$I$11,L463=phu!$I$12,L463=phu!$I$13,L463=phu!$I$14),"Cam Nghĩa",""),IF(OR(L463=phu!$I$15,L463=phu!$I$16,L463=phu!$I$17,L463=phu!$I$18,L463=phu!$I$19,L463=phu!$I$20,L463=phu!$I$21),"Cam Phúc Bắc",""),IF(OR(L463=phu!$I$22,L463=phu!$I$23,L463=phu!$I$24,L463=phu!$I$25),"Cam Phúc Nam",""),IF(OR(L463=phu!$I$26,L463=phu!$I$27,L463=phu!$I$28,L463=phu!$I$29,L463=phu!$I$30,L463=phu!$I$31),"Cam Phú",""),IF(OR(L463=phu!$I$32,L463=phu!$I$33,L463=phu!$I$34,L463=phu!$I$35,L463=phu!$I$36,L463=phu!$I$37),"Cam Lộc",""),IF(OR(L463=phu!$I$38,L463=phu!$I$39,L463=phu!$I$40,L463=phu!$I$41,L463=phu!$I$42,L463=phu!$I$43,L463=phu!$I$44),"Cam Thuận",""),IF(OR(L463=phu!$I$45,L463=phu!$I$46,L463=phu!$I$47,L463=phu!$I$48,L463=phu!$I$49,L463=phu!$I$50,L463=phu!$I$51,L463=phu!$I$52,L463=phu!$I$53),"Cam Linh",""),IF(OR(L463=phu!$I$54,L463=phu!$I$55,L463=phu!$I$56,L463=phu!$I$57,L463=phu!$I$58,L463=phu!$I$59,L463=phu!$I$60,L463=phu!$I$61,L463=phu!$I$62),"Cam Lợi",""),IF(OR(L463=phu!$I$63,L463=phu!$I$64,L463=phu!$I$65,L463=phu!$I$66,L463=phu!$I$67,L463=phu!$I$68,L463=phu!$I$69,L463=phu!$I$70,L463=phu!$I$71),"Ba Ngòi",""),IF(OR(L463=phu!$I$72,L463=phu!$I$73,L463=phu!$I$74,L463=phu!$I$75,L463=phu!$I$76,L463=phu!$I$77,L463=phu!$I$78),"Cam Phước Đông",""),IF(OR(L463=phu!$I$79,L463=phu!$I$80,L463=phu!$I$81,L463=phu!$I$82,L463=phu!$I$83,L463=phu!$I$84),"Cam Thịnh Đông",""),IF(OR(L463=phu!$I$85,L463=phu!$I$86,L463=phu!$I$87,L463=phu!$I$88),"Cam Thịnh Tây",""),IF(OR(L463=phu!$I$89,L463=phu!$I$90),"Cam Lập",""),IF(OR(L463=phu!$I$91,L463=phu!$I$92,L463=phu!$I$93),"Cam Bình",""),IF(OR(L463=phu!$I$94,L463=phu!$I$95,L463=phu!$I$96,L463=phu!$I$97,L463=phu!$I$98,L463=phu!$I$99,L463=phu!$I$100),"Huyện khác",""),IF(OR(L463=phu!$I$101,L463=phu!$I$102),"Tỉnh khác",""))</f>
        <v/>
      </c>
      <c r="N463" s="835" t="str">
        <f t="shared" si="38"/>
        <v/>
      </c>
      <c r="O463" s="20"/>
      <c r="P463" s="20"/>
      <c r="Q463" s="20"/>
      <c r="R463" s="20"/>
      <c r="S463" s="20"/>
      <c r="T463" s="21"/>
      <c r="U463" s="21"/>
      <c r="V463" s="21"/>
      <c r="W463" s="7" t="str">
        <f t="shared" si="36"/>
        <v/>
      </c>
      <c r="X463" s="506" t="str">
        <f t="shared" si="37"/>
        <v/>
      </c>
    </row>
    <row r="464" spans="1:24" x14ac:dyDescent="0.25">
      <c r="A464" s="66" t="str">
        <f t="shared" si="39"/>
        <v/>
      </c>
      <c r="B464" s="23" t="str">
        <f t="shared" si="35"/>
        <v/>
      </c>
      <c r="C464" s="15"/>
      <c r="D464" s="16"/>
      <c r="E464" s="17"/>
      <c r="F464" s="18"/>
      <c r="G464" s="18"/>
      <c r="H464" s="19"/>
      <c r="I464" s="15"/>
      <c r="J464" s="20"/>
      <c r="K464" s="15"/>
      <c r="L464" s="15"/>
      <c r="M464" s="531" t="str">
        <f>CONCATENATE(IF(OR(L464=phu!$I$1,L464=phu!$I$2,L464=phu!$I$3),"Cam Thành Nam",""),IF(OR(L464=phu!$I$4,L464=phu!$I$5,L464=phu!$I$6,L464=phu!$I$7,L464=phu!$I$8,L464=phu!$I$9,L464=phu!$I$10,L464=phu!$I$11,L464=phu!$I$12,L464=phu!$I$13,L464=phu!$I$14),"Cam Nghĩa",""),IF(OR(L464=phu!$I$15,L464=phu!$I$16,L464=phu!$I$17,L464=phu!$I$18,L464=phu!$I$19,L464=phu!$I$20,L464=phu!$I$21),"Cam Phúc Bắc",""),IF(OR(L464=phu!$I$22,L464=phu!$I$23,L464=phu!$I$24,L464=phu!$I$25),"Cam Phúc Nam",""),IF(OR(L464=phu!$I$26,L464=phu!$I$27,L464=phu!$I$28,L464=phu!$I$29,L464=phu!$I$30,L464=phu!$I$31),"Cam Phú",""),IF(OR(L464=phu!$I$32,L464=phu!$I$33,L464=phu!$I$34,L464=phu!$I$35,L464=phu!$I$36,L464=phu!$I$37),"Cam Lộc",""),IF(OR(L464=phu!$I$38,L464=phu!$I$39,L464=phu!$I$40,L464=phu!$I$41,L464=phu!$I$42,L464=phu!$I$43,L464=phu!$I$44),"Cam Thuận",""),IF(OR(L464=phu!$I$45,L464=phu!$I$46,L464=phu!$I$47,L464=phu!$I$48,L464=phu!$I$49,L464=phu!$I$50,L464=phu!$I$51,L464=phu!$I$52,L464=phu!$I$53),"Cam Linh",""),IF(OR(L464=phu!$I$54,L464=phu!$I$55,L464=phu!$I$56,L464=phu!$I$57,L464=phu!$I$58,L464=phu!$I$59,L464=phu!$I$60,L464=phu!$I$61,L464=phu!$I$62),"Cam Lợi",""),IF(OR(L464=phu!$I$63,L464=phu!$I$64,L464=phu!$I$65,L464=phu!$I$66,L464=phu!$I$67,L464=phu!$I$68,L464=phu!$I$69,L464=phu!$I$70,L464=phu!$I$71),"Ba Ngòi",""),IF(OR(L464=phu!$I$72,L464=phu!$I$73,L464=phu!$I$74,L464=phu!$I$75,L464=phu!$I$76,L464=phu!$I$77,L464=phu!$I$78),"Cam Phước Đông",""),IF(OR(L464=phu!$I$79,L464=phu!$I$80,L464=phu!$I$81,L464=phu!$I$82,L464=phu!$I$83,L464=phu!$I$84),"Cam Thịnh Đông",""),IF(OR(L464=phu!$I$85,L464=phu!$I$86,L464=phu!$I$87,L464=phu!$I$88),"Cam Thịnh Tây",""),IF(OR(L464=phu!$I$89,L464=phu!$I$90),"Cam Lập",""),IF(OR(L464=phu!$I$91,L464=phu!$I$92,L464=phu!$I$93),"Cam Bình",""),IF(OR(L464=phu!$I$94,L464=phu!$I$95,L464=phu!$I$96,L464=phu!$I$97,L464=phu!$I$98,L464=phu!$I$99,L464=phu!$I$100),"Huyện khác",""),IF(OR(L464=phu!$I$101,L464=phu!$I$102),"Tỉnh khác",""))</f>
        <v/>
      </c>
      <c r="N464" s="835" t="str">
        <f t="shared" si="38"/>
        <v/>
      </c>
      <c r="O464" s="20"/>
      <c r="P464" s="20"/>
      <c r="Q464" s="20"/>
      <c r="R464" s="20"/>
      <c r="S464" s="20"/>
      <c r="T464" s="21"/>
      <c r="U464" s="21"/>
      <c r="V464" s="21"/>
      <c r="W464" s="7" t="str">
        <f t="shared" si="36"/>
        <v/>
      </c>
      <c r="X464" s="506" t="str">
        <f t="shared" si="37"/>
        <v/>
      </c>
    </row>
    <row r="465" spans="1:24" x14ac:dyDescent="0.25">
      <c r="A465" s="66" t="str">
        <f t="shared" si="39"/>
        <v/>
      </c>
      <c r="B465" s="23" t="str">
        <f t="shared" si="35"/>
        <v/>
      </c>
      <c r="C465" s="15"/>
      <c r="D465" s="16"/>
      <c r="E465" s="17"/>
      <c r="F465" s="18"/>
      <c r="G465" s="18"/>
      <c r="H465" s="19"/>
      <c r="I465" s="15"/>
      <c r="J465" s="20"/>
      <c r="K465" s="15"/>
      <c r="L465" s="15"/>
      <c r="M465" s="531" t="str">
        <f>CONCATENATE(IF(OR(L465=phu!$I$1,L465=phu!$I$2,L465=phu!$I$3),"Cam Thành Nam",""),IF(OR(L465=phu!$I$4,L465=phu!$I$5,L465=phu!$I$6,L465=phu!$I$7,L465=phu!$I$8,L465=phu!$I$9,L465=phu!$I$10,L465=phu!$I$11,L465=phu!$I$12,L465=phu!$I$13,L465=phu!$I$14),"Cam Nghĩa",""),IF(OR(L465=phu!$I$15,L465=phu!$I$16,L465=phu!$I$17,L465=phu!$I$18,L465=phu!$I$19,L465=phu!$I$20,L465=phu!$I$21),"Cam Phúc Bắc",""),IF(OR(L465=phu!$I$22,L465=phu!$I$23,L465=phu!$I$24,L465=phu!$I$25),"Cam Phúc Nam",""),IF(OR(L465=phu!$I$26,L465=phu!$I$27,L465=phu!$I$28,L465=phu!$I$29,L465=phu!$I$30,L465=phu!$I$31),"Cam Phú",""),IF(OR(L465=phu!$I$32,L465=phu!$I$33,L465=phu!$I$34,L465=phu!$I$35,L465=phu!$I$36,L465=phu!$I$37),"Cam Lộc",""),IF(OR(L465=phu!$I$38,L465=phu!$I$39,L465=phu!$I$40,L465=phu!$I$41,L465=phu!$I$42,L465=phu!$I$43,L465=phu!$I$44),"Cam Thuận",""),IF(OR(L465=phu!$I$45,L465=phu!$I$46,L465=phu!$I$47,L465=phu!$I$48,L465=phu!$I$49,L465=phu!$I$50,L465=phu!$I$51,L465=phu!$I$52,L465=phu!$I$53),"Cam Linh",""),IF(OR(L465=phu!$I$54,L465=phu!$I$55,L465=phu!$I$56,L465=phu!$I$57,L465=phu!$I$58,L465=phu!$I$59,L465=phu!$I$60,L465=phu!$I$61,L465=phu!$I$62),"Cam Lợi",""),IF(OR(L465=phu!$I$63,L465=phu!$I$64,L465=phu!$I$65,L465=phu!$I$66,L465=phu!$I$67,L465=phu!$I$68,L465=phu!$I$69,L465=phu!$I$70,L465=phu!$I$71),"Ba Ngòi",""),IF(OR(L465=phu!$I$72,L465=phu!$I$73,L465=phu!$I$74,L465=phu!$I$75,L465=phu!$I$76,L465=phu!$I$77,L465=phu!$I$78),"Cam Phước Đông",""),IF(OR(L465=phu!$I$79,L465=phu!$I$80,L465=phu!$I$81,L465=phu!$I$82,L465=phu!$I$83,L465=phu!$I$84),"Cam Thịnh Đông",""),IF(OR(L465=phu!$I$85,L465=phu!$I$86,L465=phu!$I$87,L465=phu!$I$88),"Cam Thịnh Tây",""),IF(OR(L465=phu!$I$89,L465=phu!$I$90),"Cam Lập",""),IF(OR(L465=phu!$I$91,L465=phu!$I$92,L465=phu!$I$93),"Cam Bình",""),IF(OR(L465=phu!$I$94,L465=phu!$I$95,L465=phu!$I$96,L465=phu!$I$97,L465=phu!$I$98,L465=phu!$I$99,L465=phu!$I$100),"Huyện khác",""),IF(OR(L465=phu!$I$101,L465=phu!$I$102),"Tỉnh khác",""))</f>
        <v/>
      </c>
      <c r="N465" s="835" t="str">
        <f t="shared" si="38"/>
        <v/>
      </c>
      <c r="O465" s="20"/>
      <c r="P465" s="20"/>
      <c r="Q465" s="20"/>
      <c r="R465" s="20"/>
      <c r="S465" s="20"/>
      <c r="T465" s="21"/>
      <c r="U465" s="21"/>
      <c r="V465" s="21"/>
      <c r="W465" s="7" t="str">
        <f t="shared" si="36"/>
        <v/>
      </c>
      <c r="X465" s="506" t="str">
        <f t="shared" si="37"/>
        <v/>
      </c>
    </row>
    <row r="466" spans="1:24" x14ac:dyDescent="0.25">
      <c r="A466" s="66" t="str">
        <f t="shared" si="39"/>
        <v/>
      </c>
      <c r="B466" s="23" t="str">
        <f t="shared" si="35"/>
        <v/>
      </c>
      <c r="C466" s="15"/>
      <c r="D466" s="16"/>
      <c r="E466" s="17"/>
      <c r="F466" s="18"/>
      <c r="G466" s="18"/>
      <c r="H466" s="19"/>
      <c r="I466" s="15"/>
      <c r="J466" s="20"/>
      <c r="K466" s="15"/>
      <c r="L466" s="15"/>
      <c r="M466" s="531" t="str">
        <f>CONCATENATE(IF(OR(L466=phu!$I$1,L466=phu!$I$2,L466=phu!$I$3),"Cam Thành Nam",""),IF(OR(L466=phu!$I$4,L466=phu!$I$5,L466=phu!$I$6,L466=phu!$I$7,L466=phu!$I$8,L466=phu!$I$9,L466=phu!$I$10,L466=phu!$I$11,L466=phu!$I$12,L466=phu!$I$13,L466=phu!$I$14),"Cam Nghĩa",""),IF(OR(L466=phu!$I$15,L466=phu!$I$16,L466=phu!$I$17,L466=phu!$I$18,L466=phu!$I$19,L466=phu!$I$20,L466=phu!$I$21),"Cam Phúc Bắc",""),IF(OR(L466=phu!$I$22,L466=phu!$I$23,L466=phu!$I$24,L466=phu!$I$25),"Cam Phúc Nam",""),IF(OR(L466=phu!$I$26,L466=phu!$I$27,L466=phu!$I$28,L466=phu!$I$29,L466=phu!$I$30,L466=phu!$I$31),"Cam Phú",""),IF(OR(L466=phu!$I$32,L466=phu!$I$33,L466=phu!$I$34,L466=phu!$I$35,L466=phu!$I$36,L466=phu!$I$37),"Cam Lộc",""),IF(OR(L466=phu!$I$38,L466=phu!$I$39,L466=phu!$I$40,L466=phu!$I$41,L466=phu!$I$42,L466=phu!$I$43,L466=phu!$I$44),"Cam Thuận",""),IF(OR(L466=phu!$I$45,L466=phu!$I$46,L466=phu!$I$47,L466=phu!$I$48,L466=phu!$I$49,L466=phu!$I$50,L466=phu!$I$51,L466=phu!$I$52,L466=phu!$I$53),"Cam Linh",""),IF(OR(L466=phu!$I$54,L466=phu!$I$55,L466=phu!$I$56,L466=phu!$I$57,L466=phu!$I$58,L466=phu!$I$59,L466=phu!$I$60,L466=phu!$I$61,L466=phu!$I$62),"Cam Lợi",""),IF(OR(L466=phu!$I$63,L466=phu!$I$64,L466=phu!$I$65,L466=phu!$I$66,L466=phu!$I$67,L466=phu!$I$68,L466=phu!$I$69,L466=phu!$I$70,L466=phu!$I$71),"Ba Ngòi",""),IF(OR(L466=phu!$I$72,L466=phu!$I$73,L466=phu!$I$74,L466=phu!$I$75,L466=phu!$I$76,L466=phu!$I$77,L466=phu!$I$78),"Cam Phước Đông",""),IF(OR(L466=phu!$I$79,L466=phu!$I$80,L466=phu!$I$81,L466=phu!$I$82,L466=phu!$I$83,L466=phu!$I$84),"Cam Thịnh Đông",""),IF(OR(L466=phu!$I$85,L466=phu!$I$86,L466=phu!$I$87,L466=phu!$I$88),"Cam Thịnh Tây",""),IF(OR(L466=phu!$I$89,L466=phu!$I$90),"Cam Lập",""),IF(OR(L466=phu!$I$91,L466=phu!$I$92,L466=phu!$I$93),"Cam Bình",""),IF(OR(L466=phu!$I$94,L466=phu!$I$95,L466=phu!$I$96,L466=phu!$I$97,L466=phu!$I$98,L466=phu!$I$99,L466=phu!$I$100),"Huyện khác",""),IF(OR(L466=phu!$I$101,L466=phu!$I$102),"Tỉnh khác",""))</f>
        <v/>
      </c>
      <c r="N466" s="835" t="str">
        <f t="shared" si="38"/>
        <v/>
      </c>
      <c r="O466" s="20"/>
      <c r="P466" s="20"/>
      <c r="Q466" s="20"/>
      <c r="R466" s="20"/>
      <c r="S466" s="20"/>
      <c r="T466" s="21"/>
      <c r="U466" s="21"/>
      <c r="V466" s="21"/>
      <c r="W466" s="7" t="str">
        <f t="shared" si="36"/>
        <v/>
      </c>
      <c r="X466" s="506" t="str">
        <f t="shared" si="37"/>
        <v/>
      </c>
    </row>
    <row r="467" spans="1:24" x14ac:dyDescent="0.25">
      <c r="A467" s="66" t="str">
        <f t="shared" si="39"/>
        <v/>
      </c>
      <c r="B467" s="23" t="str">
        <f t="shared" si="35"/>
        <v/>
      </c>
      <c r="C467" s="15"/>
      <c r="D467" s="16"/>
      <c r="E467" s="17"/>
      <c r="F467" s="18"/>
      <c r="G467" s="18"/>
      <c r="H467" s="19"/>
      <c r="I467" s="15"/>
      <c r="J467" s="20"/>
      <c r="K467" s="15"/>
      <c r="L467" s="15"/>
      <c r="M467" s="531" t="str">
        <f>CONCATENATE(IF(OR(L467=phu!$I$1,L467=phu!$I$2,L467=phu!$I$3),"Cam Thành Nam",""),IF(OR(L467=phu!$I$4,L467=phu!$I$5,L467=phu!$I$6,L467=phu!$I$7,L467=phu!$I$8,L467=phu!$I$9,L467=phu!$I$10,L467=phu!$I$11,L467=phu!$I$12,L467=phu!$I$13,L467=phu!$I$14),"Cam Nghĩa",""),IF(OR(L467=phu!$I$15,L467=phu!$I$16,L467=phu!$I$17,L467=phu!$I$18,L467=phu!$I$19,L467=phu!$I$20,L467=phu!$I$21),"Cam Phúc Bắc",""),IF(OR(L467=phu!$I$22,L467=phu!$I$23,L467=phu!$I$24,L467=phu!$I$25),"Cam Phúc Nam",""),IF(OR(L467=phu!$I$26,L467=phu!$I$27,L467=phu!$I$28,L467=phu!$I$29,L467=phu!$I$30,L467=phu!$I$31),"Cam Phú",""),IF(OR(L467=phu!$I$32,L467=phu!$I$33,L467=phu!$I$34,L467=phu!$I$35,L467=phu!$I$36,L467=phu!$I$37),"Cam Lộc",""),IF(OR(L467=phu!$I$38,L467=phu!$I$39,L467=phu!$I$40,L467=phu!$I$41,L467=phu!$I$42,L467=phu!$I$43,L467=phu!$I$44),"Cam Thuận",""),IF(OR(L467=phu!$I$45,L467=phu!$I$46,L467=phu!$I$47,L467=phu!$I$48,L467=phu!$I$49,L467=phu!$I$50,L467=phu!$I$51,L467=phu!$I$52,L467=phu!$I$53),"Cam Linh",""),IF(OR(L467=phu!$I$54,L467=phu!$I$55,L467=phu!$I$56,L467=phu!$I$57,L467=phu!$I$58,L467=phu!$I$59,L467=phu!$I$60,L467=phu!$I$61,L467=phu!$I$62),"Cam Lợi",""),IF(OR(L467=phu!$I$63,L467=phu!$I$64,L467=phu!$I$65,L467=phu!$I$66,L467=phu!$I$67,L467=phu!$I$68,L467=phu!$I$69,L467=phu!$I$70,L467=phu!$I$71),"Ba Ngòi",""),IF(OR(L467=phu!$I$72,L467=phu!$I$73,L467=phu!$I$74,L467=phu!$I$75,L467=phu!$I$76,L467=phu!$I$77,L467=phu!$I$78),"Cam Phước Đông",""),IF(OR(L467=phu!$I$79,L467=phu!$I$80,L467=phu!$I$81,L467=phu!$I$82,L467=phu!$I$83,L467=phu!$I$84),"Cam Thịnh Đông",""),IF(OR(L467=phu!$I$85,L467=phu!$I$86,L467=phu!$I$87,L467=phu!$I$88),"Cam Thịnh Tây",""),IF(OR(L467=phu!$I$89,L467=phu!$I$90),"Cam Lập",""),IF(OR(L467=phu!$I$91,L467=phu!$I$92,L467=phu!$I$93),"Cam Bình",""),IF(OR(L467=phu!$I$94,L467=phu!$I$95,L467=phu!$I$96,L467=phu!$I$97,L467=phu!$I$98,L467=phu!$I$99,L467=phu!$I$100),"Huyện khác",""),IF(OR(L467=phu!$I$101,L467=phu!$I$102),"Tỉnh khác",""))</f>
        <v/>
      </c>
      <c r="N467" s="835" t="str">
        <f t="shared" si="38"/>
        <v/>
      </c>
      <c r="O467" s="20"/>
      <c r="P467" s="20"/>
      <c r="Q467" s="20"/>
      <c r="R467" s="20"/>
      <c r="S467" s="20"/>
      <c r="T467" s="21"/>
      <c r="U467" s="21"/>
      <c r="V467" s="21"/>
      <c r="W467" s="7" t="str">
        <f t="shared" si="36"/>
        <v/>
      </c>
      <c r="X467" s="506" t="str">
        <f t="shared" si="37"/>
        <v/>
      </c>
    </row>
    <row r="468" spans="1:24" x14ac:dyDescent="0.25">
      <c r="A468" s="66" t="str">
        <f t="shared" si="39"/>
        <v/>
      </c>
      <c r="B468" s="23" t="str">
        <f t="shared" si="35"/>
        <v/>
      </c>
      <c r="C468" s="15"/>
      <c r="D468" s="16"/>
      <c r="E468" s="17"/>
      <c r="F468" s="18"/>
      <c r="G468" s="18"/>
      <c r="H468" s="19"/>
      <c r="I468" s="15"/>
      <c r="J468" s="20"/>
      <c r="K468" s="15"/>
      <c r="L468" s="15"/>
      <c r="M468" s="531" t="str">
        <f>CONCATENATE(IF(OR(L468=phu!$I$1,L468=phu!$I$2,L468=phu!$I$3),"Cam Thành Nam",""),IF(OR(L468=phu!$I$4,L468=phu!$I$5,L468=phu!$I$6,L468=phu!$I$7,L468=phu!$I$8,L468=phu!$I$9,L468=phu!$I$10,L468=phu!$I$11,L468=phu!$I$12,L468=phu!$I$13,L468=phu!$I$14),"Cam Nghĩa",""),IF(OR(L468=phu!$I$15,L468=phu!$I$16,L468=phu!$I$17,L468=phu!$I$18,L468=phu!$I$19,L468=phu!$I$20,L468=phu!$I$21),"Cam Phúc Bắc",""),IF(OR(L468=phu!$I$22,L468=phu!$I$23,L468=phu!$I$24,L468=phu!$I$25),"Cam Phúc Nam",""),IF(OR(L468=phu!$I$26,L468=phu!$I$27,L468=phu!$I$28,L468=phu!$I$29,L468=phu!$I$30,L468=phu!$I$31),"Cam Phú",""),IF(OR(L468=phu!$I$32,L468=phu!$I$33,L468=phu!$I$34,L468=phu!$I$35,L468=phu!$I$36,L468=phu!$I$37),"Cam Lộc",""),IF(OR(L468=phu!$I$38,L468=phu!$I$39,L468=phu!$I$40,L468=phu!$I$41,L468=phu!$I$42,L468=phu!$I$43,L468=phu!$I$44),"Cam Thuận",""),IF(OR(L468=phu!$I$45,L468=phu!$I$46,L468=phu!$I$47,L468=phu!$I$48,L468=phu!$I$49,L468=phu!$I$50,L468=phu!$I$51,L468=phu!$I$52,L468=phu!$I$53),"Cam Linh",""),IF(OR(L468=phu!$I$54,L468=phu!$I$55,L468=phu!$I$56,L468=phu!$I$57,L468=phu!$I$58,L468=phu!$I$59,L468=phu!$I$60,L468=phu!$I$61,L468=phu!$I$62),"Cam Lợi",""),IF(OR(L468=phu!$I$63,L468=phu!$I$64,L468=phu!$I$65,L468=phu!$I$66,L468=phu!$I$67,L468=phu!$I$68,L468=phu!$I$69,L468=phu!$I$70,L468=phu!$I$71),"Ba Ngòi",""),IF(OR(L468=phu!$I$72,L468=phu!$I$73,L468=phu!$I$74,L468=phu!$I$75,L468=phu!$I$76,L468=phu!$I$77,L468=phu!$I$78),"Cam Phước Đông",""),IF(OR(L468=phu!$I$79,L468=phu!$I$80,L468=phu!$I$81,L468=phu!$I$82,L468=phu!$I$83,L468=phu!$I$84),"Cam Thịnh Đông",""),IF(OR(L468=phu!$I$85,L468=phu!$I$86,L468=phu!$I$87,L468=phu!$I$88),"Cam Thịnh Tây",""),IF(OR(L468=phu!$I$89,L468=phu!$I$90),"Cam Lập",""),IF(OR(L468=phu!$I$91,L468=phu!$I$92,L468=phu!$I$93),"Cam Bình",""),IF(OR(L468=phu!$I$94,L468=phu!$I$95,L468=phu!$I$96,L468=phu!$I$97,L468=phu!$I$98,L468=phu!$I$99,L468=phu!$I$100),"Huyện khác",""),IF(OR(L468=phu!$I$101,L468=phu!$I$102),"Tỉnh khác",""))</f>
        <v/>
      </c>
      <c r="N468" s="835" t="str">
        <f t="shared" si="38"/>
        <v/>
      </c>
      <c r="O468" s="20"/>
      <c r="P468" s="20"/>
      <c r="Q468" s="20"/>
      <c r="R468" s="20"/>
      <c r="S468" s="20"/>
      <c r="T468" s="21"/>
      <c r="U468" s="21"/>
      <c r="V468" s="21"/>
      <c r="W468" s="7" t="str">
        <f t="shared" si="36"/>
        <v/>
      </c>
      <c r="X468" s="506" t="str">
        <f t="shared" si="37"/>
        <v/>
      </c>
    </row>
    <row r="469" spans="1:24" x14ac:dyDescent="0.25">
      <c r="A469" s="66" t="str">
        <f t="shared" si="39"/>
        <v/>
      </c>
      <c r="B469" s="23" t="str">
        <f t="shared" si="35"/>
        <v/>
      </c>
      <c r="C469" s="15"/>
      <c r="D469" s="16"/>
      <c r="E469" s="17"/>
      <c r="F469" s="18"/>
      <c r="G469" s="18"/>
      <c r="H469" s="19"/>
      <c r="I469" s="15"/>
      <c r="J469" s="20"/>
      <c r="K469" s="15"/>
      <c r="L469" s="15"/>
      <c r="M469" s="531" t="str">
        <f>CONCATENATE(IF(OR(L469=phu!$I$1,L469=phu!$I$2,L469=phu!$I$3),"Cam Thành Nam",""),IF(OR(L469=phu!$I$4,L469=phu!$I$5,L469=phu!$I$6,L469=phu!$I$7,L469=phu!$I$8,L469=phu!$I$9,L469=phu!$I$10,L469=phu!$I$11,L469=phu!$I$12,L469=phu!$I$13,L469=phu!$I$14),"Cam Nghĩa",""),IF(OR(L469=phu!$I$15,L469=phu!$I$16,L469=phu!$I$17,L469=phu!$I$18,L469=phu!$I$19,L469=phu!$I$20,L469=phu!$I$21),"Cam Phúc Bắc",""),IF(OR(L469=phu!$I$22,L469=phu!$I$23,L469=phu!$I$24,L469=phu!$I$25),"Cam Phúc Nam",""),IF(OR(L469=phu!$I$26,L469=phu!$I$27,L469=phu!$I$28,L469=phu!$I$29,L469=phu!$I$30,L469=phu!$I$31),"Cam Phú",""),IF(OR(L469=phu!$I$32,L469=phu!$I$33,L469=phu!$I$34,L469=phu!$I$35,L469=phu!$I$36,L469=phu!$I$37),"Cam Lộc",""),IF(OR(L469=phu!$I$38,L469=phu!$I$39,L469=phu!$I$40,L469=phu!$I$41,L469=phu!$I$42,L469=phu!$I$43,L469=phu!$I$44),"Cam Thuận",""),IF(OR(L469=phu!$I$45,L469=phu!$I$46,L469=phu!$I$47,L469=phu!$I$48,L469=phu!$I$49,L469=phu!$I$50,L469=phu!$I$51,L469=phu!$I$52,L469=phu!$I$53),"Cam Linh",""),IF(OR(L469=phu!$I$54,L469=phu!$I$55,L469=phu!$I$56,L469=phu!$I$57,L469=phu!$I$58,L469=phu!$I$59,L469=phu!$I$60,L469=phu!$I$61,L469=phu!$I$62),"Cam Lợi",""),IF(OR(L469=phu!$I$63,L469=phu!$I$64,L469=phu!$I$65,L469=phu!$I$66,L469=phu!$I$67,L469=phu!$I$68,L469=phu!$I$69,L469=phu!$I$70,L469=phu!$I$71),"Ba Ngòi",""),IF(OR(L469=phu!$I$72,L469=phu!$I$73,L469=phu!$I$74,L469=phu!$I$75,L469=phu!$I$76,L469=phu!$I$77,L469=phu!$I$78),"Cam Phước Đông",""),IF(OR(L469=phu!$I$79,L469=phu!$I$80,L469=phu!$I$81,L469=phu!$I$82,L469=phu!$I$83,L469=phu!$I$84),"Cam Thịnh Đông",""),IF(OR(L469=phu!$I$85,L469=phu!$I$86,L469=phu!$I$87,L469=phu!$I$88),"Cam Thịnh Tây",""),IF(OR(L469=phu!$I$89,L469=phu!$I$90),"Cam Lập",""),IF(OR(L469=phu!$I$91,L469=phu!$I$92,L469=phu!$I$93),"Cam Bình",""),IF(OR(L469=phu!$I$94,L469=phu!$I$95,L469=phu!$I$96,L469=phu!$I$97,L469=phu!$I$98,L469=phu!$I$99,L469=phu!$I$100),"Huyện khác",""),IF(OR(L469=phu!$I$101,L469=phu!$I$102),"Tỉnh khác",""))</f>
        <v/>
      </c>
      <c r="N469" s="835" t="str">
        <f t="shared" si="38"/>
        <v/>
      </c>
      <c r="O469" s="20"/>
      <c r="P469" s="20"/>
      <c r="Q469" s="20"/>
      <c r="R469" s="20"/>
      <c r="S469" s="20"/>
      <c r="T469" s="21"/>
      <c r="U469" s="21"/>
      <c r="V469" s="21"/>
      <c r="W469" s="7" t="str">
        <f t="shared" si="36"/>
        <v/>
      </c>
      <c r="X469" s="506" t="str">
        <f t="shared" si="37"/>
        <v/>
      </c>
    </row>
    <row r="470" spans="1:24" x14ac:dyDescent="0.25">
      <c r="A470" s="66" t="str">
        <f t="shared" si="39"/>
        <v/>
      </c>
      <c r="B470" s="23" t="str">
        <f t="shared" si="35"/>
        <v/>
      </c>
      <c r="C470" s="15"/>
      <c r="D470" s="16"/>
      <c r="E470" s="17"/>
      <c r="F470" s="18"/>
      <c r="G470" s="18"/>
      <c r="H470" s="19"/>
      <c r="I470" s="26"/>
      <c r="J470" s="20"/>
      <c r="K470" s="15"/>
      <c r="L470" s="15"/>
      <c r="M470" s="531" t="str">
        <f>CONCATENATE(IF(OR(L470=phu!$I$1,L470=phu!$I$2,L470=phu!$I$3),"Cam Thành Nam",""),IF(OR(L470=phu!$I$4,L470=phu!$I$5,L470=phu!$I$6,L470=phu!$I$7,L470=phu!$I$8,L470=phu!$I$9,L470=phu!$I$10,L470=phu!$I$11,L470=phu!$I$12,L470=phu!$I$13,L470=phu!$I$14),"Cam Nghĩa",""),IF(OR(L470=phu!$I$15,L470=phu!$I$16,L470=phu!$I$17,L470=phu!$I$18,L470=phu!$I$19,L470=phu!$I$20,L470=phu!$I$21),"Cam Phúc Bắc",""),IF(OR(L470=phu!$I$22,L470=phu!$I$23,L470=phu!$I$24,L470=phu!$I$25),"Cam Phúc Nam",""),IF(OR(L470=phu!$I$26,L470=phu!$I$27,L470=phu!$I$28,L470=phu!$I$29,L470=phu!$I$30,L470=phu!$I$31),"Cam Phú",""),IF(OR(L470=phu!$I$32,L470=phu!$I$33,L470=phu!$I$34,L470=phu!$I$35,L470=phu!$I$36,L470=phu!$I$37),"Cam Lộc",""),IF(OR(L470=phu!$I$38,L470=phu!$I$39,L470=phu!$I$40,L470=phu!$I$41,L470=phu!$I$42,L470=phu!$I$43,L470=phu!$I$44),"Cam Thuận",""),IF(OR(L470=phu!$I$45,L470=phu!$I$46,L470=phu!$I$47,L470=phu!$I$48,L470=phu!$I$49,L470=phu!$I$50,L470=phu!$I$51,L470=phu!$I$52,L470=phu!$I$53),"Cam Linh",""),IF(OR(L470=phu!$I$54,L470=phu!$I$55,L470=phu!$I$56,L470=phu!$I$57,L470=phu!$I$58,L470=phu!$I$59,L470=phu!$I$60,L470=phu!$I$61,L470=phu!$I$62),"Cam Lợi",""),IF(OR(L470=phu!$I$63,L470=phu!$I$64,L470=phu!$I$65,L470=phu!$I$66,L470=phu!$I$67,L470=phu!$I$68,L470=phu!$I$69,L470=phu!$I$70,L470=phu!$I$71),"Ba Ngòi",""),IF(OR(L470=phu!$I$72,L470=phu!$I$73,L470=phu!$I$74,L470=phu!$I$75,L470=phu!$I$76,L470=phu!$I$77,L470=phu!$I$78),"Cam Phước Đông",""),IF(OR(L470=phu!$I$79,L470=phu!$I$80,L470=phu!$I$81,L470=phu!$I$82,L470=phu!$I$83,L470=phu!$I$84),"Cam Thịnh Đông",""),IF(OR(L470=phu!$I$85,L470=phu!$I$86,L470=phu!$I$87,L470=phu!$I$88),"Cam Thịnh Tây",""),IF(OR(L470=phu!$I$89,L470=phu!$I$90),"Cam Lập",""),IF(OR(L470=phu!$I$91,L470=phu!$I$92,L470=phu!$I$93),"Cam Bình",""),IF(OR(L470=phu!$I$94,L470=phu!$I$95,L470=phu!$I$96,L470=phu!$I$97,L470=phu!$I$98,L470=phu!$I$99,L470=phu!$I$100),"Huyện khác",""),IF(OR(L470=phu!$I$101,L470=phu!$I$102),"Tỉnh khác",""))</f>
        <v/>
      </c>
      <c r="N470" s="835" t="str">
        <f t="shared" si="38"/>
        <v/>
      </c>
      <c r="O470" s="20"/>
      <c r="P470" s="20"/>
      <c r="Q470" s="20"/>
      <c r="R470" s="20"/>
      <c r="S470" s="20"/>
      <c r="T470" s="21"/>
      <c r="U470" s="21"/>
      <c r="V470" s="21"/>
      <c r="W470" s="7" t="str">
        <f t="shared" si="36"/>
        <v/>
      </c>
      <c r="X470" s="506" t="str">
        <f t="shared" si="37"/>
        <v/>
      </c>
    </row>
    <row r="471" spans="1:24" x14ac:dyDescent="0.25">
      <c r="A471" s="66" t="str">
        <f t="shared" si="39"/>
        <v/>
      </c>
      <c r="B471" s="23" t="str">
        <f t="shared" si="35"/>
        <v/>
      </c>
      <c r="C471" s="15"/>
      <c r="D471" s="16"/>
      <c r="E471" s="17"/>
      <c r="F471" s="18"/>
      <c r="G471" s="18"/>
      <c r="H471" s="19"/>
      <c r="I471" s="26"/>
      <c r="J471" s="20"/>
      <c r="K471" s="15"/>
      <c r="L471" s="15"/>
      <c r="M471" s="531" t="str">
        <f>CONCATENATE(IF(OR(L471=phu!$I$1,L471=phu!$I$2,L471=phu!$I$3),"Cam Thành Nam",""),IF(OR(L471=phu!$I$4,L471=phu!$I$5,L471=phu!$I$6,L471=phu!$I$7,L471=phu!$I$8,L471=phu!$I$9,L471=phu!$I$10,L471=phu!$I$11,L471=phu!$I$12,L471=phu!$I$13,L471=phu!$I$14),"Cam Nghĩa",""),IF(OR(L471=phu!$I$15,L471=phu!$I$16,L471=phu!$I$17,L471=phu!$I$18,L471=phu!$I$19,L471=phu!$I$20,L471=phu!$I$21),"Cam Phúc Bắc",""),IF(OR(L471=phu!$I$22,L471=phu!$I$23,L471=phu!$I$24,L471=phu!$I$25),"Cam Phúc Nam",""),IF(OR(L471=phu!$I$26,L471=phu!$I$27,L471=phu!$I$28,L471=phu!$I$29,L471=phu!$I$30,L471=phu!$I$31),"Cam Phú",""),IF(OR(L471=phu!$I$32,L471=phu!$I$33,L471=phu!$I$34,L471=phu!$I$35,L471=phu!$I$36,L471=phu!$I$37),"Cam Lộc",""),IF(OR(L471=phu!$I$38,L471=phu!$I$39,L471=phu!$I$40,L471=phu!$I$41,L471=phu!$I$42,L471=phu!$I$43,L471=phu!$I$44),"Cam Thuận",""),IF(OR(L471=phu!$I$45,L471=phu!$I$46,L471=phu!$I$47,L471=phu!$I$48,L471=phu!$I$49,L471=phu!$I$50,L471=phu!$I$51,L471=phu!$I$52,L471=phu!$I$53),"Cam Linh",""),IF(OR(L471=phu!$I$54,L471=phu!$I$55,L471=phu!$I$56,L471=phu!$I$57,L471=phu!$I$58,L471=phu!$I$59,L471=phu!$I$60,L471=phu!$I$61,L471=phu!$I$62),"Cam Lợi",""),IF(OR(L471=phu!$I$63,L471=phu!$I$64,L471=phu!$I$65,L471=phu!$I$66,L471=phu!$I$67,L471=phu!$I$68,L471=phu!$I$69,L471=phu!$I$70,L471=phu!$I$71),"Ba Ngòi",""),IF(OR(L471=phu!$I$72,L471=phu!$I$73,L471=phu!$I$74,L471=phu!$I$75,L471=phu!$I$76,L471=phu!$I$77,L471=phu!$I$78),"Cam Phước Đông",""),IF(OR(L471=phu!$I$79,L471=phu!$I$80,L471=phu!$I$81,L471=phu!$I$82,L471=phu!$I$83,L471=phu!$I$84),"Cam Thịnh Đông",""),IF(OR(L471=phu!$I$85,L471=phu!$I$86,L471=phu!$I$87,L471=phu!$I$88),"Cam Thịnh Tây",""),IF(OR(L471=phu!$I$89,L471=phu!$I$90),"Cam Lập",""),IF(OR(L471=phu!$I$91,L471=phu!$I$92,L471=phu!$I$93),"Cam Bình",""),IF(OR(L471=phu!$I$94,L471=phu!$I$95,L471=phu!$I$96,L471=phu!$I$97,L471=phu!$I$98,L471=phu!$I$99,L471=phu!$I$100),"Huyện khác",""),IF(OR(L471=phu!$I$101,L471=phu!$I$102),"Tỉnh khác",""))</f>
        <v/>
      </c>
      <c r="N471" s="835" t="str">
        <f t="shared" si="38"/>
        <v/>
      </c>
      <c r="O471" s="20"/>
      <c r="P471" s="20"/>
      <c r="Q471" s="20"/>
      <c r="R471" s="20"/>
      <c r="S471" s="20"/>
      <c r="T471" s="21"/>
      <c r="U471" s="21"/>
      <c r="V471" s="21"/>
      <c r="W471" s="7" t="str">
        <f t="shared" si="36"/>
        <v/>
      </c>
      <c r="X471" s="506" t="str">
        <f t="shared" si="37"/>
        <v/>
      </c>
    </row>
    <row r="472" spans="1:24" x14ac:dyDescent="0.25">
      <c r="A472" s="66" t="str">
        <f t="shared" si="39"/>
        <v/>
      </c>
      <c r="B472" s="23" t="str">
        <f t="shared" si="35"/>
        <v/>
      </c>
      <c r="C472" s="15"/>
      <c r="D472" s="16"/>
      <c r="E472" s="17"/>
      <c r="F472" s="18"/>
      <c r="G472" s="18"/>
      <c r="H472" s="19"/>
      <c r="I472" s="26"/>
      <c r="J472" s="20"/>
      <c r="K472" s="15"/>
      <c r="L472" s="15"/>
      <c r="M472" s="531" t="str">
        <f>CONCATENATE(IF(OR(L472=phu!$I$1,L472=phu!$I$2,L472=phu!$I$3),"Cam Thành Nam",""),IF(OR(L472=phu!$I$4,L472=phu!$I$5,L472=phu!$I$6,L472=phu!$I$7,L472=phu!$I$8,L472=phu!$I$9,L472=phu!$I$10,L472=phu!$I$11,L472=phu!$I$12,L472=phu!$I$13,L472=phu!$I$14),"Cam Nghĩa",""),IF(OR(L472=phu!$I$15,L472=phu!$I$16,L472=phu!$I$17,L472=phu!$I$18,L472=phu!$I$19,L472=phu!$I$20,L472=phu!$I$21),"Cam Phúc Bắc",""),IF(OR(L472=phu!$I$22,L472=phu!$I$23,L472=phu!$I$24,L472=phu!$I$25),"Cam Phúc Nam",""),IF(OR(L472=phu!$I$26,L472=phu!$I$27,L472=phu!$I$28,L472=phu!$I$29,L472=phu!$I$30,L472=phu!$I$31),"Cam Phú",""),IF(OR(L472=phu!$I$32,L472=phu!$I$33,L472=phu!$I$34,L472=phu!$I$35,L472=phu!$I$36,L472=phu!$I$37),"Cam Lộc",""),IF(OR(L472=phu!$I$38,L472=phu!$I$39,L472=phu!$I$40,L472=phu!$I$41,L472=phu!$I$42,L472=phu!$I$43,L472=phu!$I$44),"Cam Thuận",""),IF(OR(L472=phu!$I$45,L472=phu!$I$46,L472=phu!$I$47,L472=phu!$I$48,L472=phu!$I$49,L472=phu!$I$50,L472=phu!$I$51,L472=phu!$I$52,L472=phu!$I$53),"Cam Linh",""),IF(OR(L472=phu!$I$54,L472=phu!$I$55,L472=phu!$I$56,L472=phu!$I$57,L472=phu!$I$58,L472=phu!$I$59,L472=phu!$I$60,L472=phu!$I$61,L472=phu!$I$62),"Cam Lợi",""),IF(OR(L472=phu!$I$63,L472=phu!$I$64,L472=phu!$I$65,L472=phu!$I$66,L472=phu!$I$67,L472=phu!$I$68,L472=phu!$I$69,L472=phu!$I$70,L472=phu!$I$71),"Ba Ngòi",""),IF(OR(L472=phu!$I$72,L472=phu!$I$73,L472=phu!$I$74,L472=phu!$I$75,L472=phu!$I$76,L472=phu!$I$77,L472=phu!$I$78),"Cam Phước Đông",""),IF(OR(L472=phu!$I$79,L472=phu!$I$80,L472=phu!$I$81,L472=phu!$I$82,L472=phu!$I$83,L472=phu!$I$84),"Cam Thịnh Đông",""),IF(OR(L472=phu!$I$85,L472=phu!$I$86,L472=phu!$I$87,L472=phu!$I$88),"Cam Thịnh Tây",""),IF(OR(L472=phu!$I$89,L472=phu!$I$90),"Cam Lập",""),IF(OR(L472=phu!$I$91,L472=phu!$I$92,L472=phu!$I$93),"Cam Bình",""),IF(OR(L472=phu!$I$94,L472=phu!$I$95,L472=phu!$I$96,L472=phu!$I$97,L472=phu!$I$98,L472=phu!$I$99,L472=phu!$I$100),"Huyện khác",""),IF(OR(L472=phu!$I$101,L472=phu!$I$102),"Tỉnh khác",""))</f>
        <v/>
      </c>
      <c r="N472" s="835" t="str">
        <f t="shared" si="38"/>
        <v/>
      </c>
      <c r="O472" s="20"/>
      <c r="P472" s="20"/>
      <c r="Q472" s="20"/>
      <c r="R472" s="20"/>
      <c r="S472" s="20"/>
      <c r="T472" s="21"/>
      <c r="U472" s="21"/>
      <c r="V472" s="21"/>
      <c r="W472" s="7" t="str">
        <f t="shared" si="36"/>
        <v/>
      </c>
      <c r="X472" s="506" t="str">
        <f t="shared" si="37"/>
        <v/>
      </c>
    </row>
    <row r="473" spans="1:24" x14ac:dyDescent="0.25">
      <c r="A473" s="66" t="str">
        <f t="shared" si="39"/>
        <v/>
      </c>
      <c r="B473" s="23" t="str">
        <f t="shared" si="35"/>
        <v/>
      </c>
      <c r="C473" s="15"/>
      <c r="D473" s="16"/>
      <c r="E473" s="17"/>
      <c r="F473" s="18"/>
      <c r="G473" s="18"/>
      <c r="H473" s="19"/>
      <c r="I473" s="26"/>
      <c r="J473" s="20"/>
      <c r="K473" s="15"/>
      <c r="L473" s="15"/>
      <c r="M473" s="531" t="str">
        <f>CONCATENATE(IF(OR(L473=phu!$I$1,L473=phu!$I$2,L473=phu!$I$3),"Cam Thành Nam",""),IF(OR(L473=phu!$I$4,L473=phu!$I$5,L473=phu!$I$6,L473=phu!$I$7,L473=phu!$I$8,L473=phu!$I$9,L473=phu!$I$10,L473=phu!$I$11,L473=phu!$I$12,L473=phu!$I$13,L473=phu!$I$14),"Cam Nghĩa",""),IF(OR(L473=phu!$I$15,L473=phu!$I$16,L473=phu!$I$17,L473=phu!$I$18,L473=phu!$I$19,L473=phu!$I$20,L473=phu!$I$21),"Cam Phúc Bắc",""),IF(OR(L473=phu!$I$22,L473=phu!$I$23,L473=phu!$I$24,L473=phu!$I$25),"Cam Phúc Nam",""),IF(OR(L473=phu!$I$26,L473=phu!$I$27,L473=phu!$I$28,L473=phu!$I$29,L473=phu!$I$30,L473=phu!$I$31),"Cam Phú",""),IF(OR(L473=phu!$I$32,L473=phu!$I$33,L473=phu!$I$34,L473=phu!$I$35,L473=phu!$I$36,L473=phu!$I$37),"Cam Lộc",""),IF(OR(L473=phu!$I$38,L473=phu!$I$39,L473=phu!$I$40,L473=phu!$I$41,L473=phu!$I$42,L473=phu!$I$43,L473=phu!$I$44),"Cam Thuận",""),IF(OR(L473=phu!$I$45,L473=phu!$I$46,L473=phu!$I$47,L473=phu!$I$48,L473=phu!$I$49,L473=phu!$I$50,L473=phu!$I$51,L473=phu!$I$52,L473=phu!$I$53),"Cam Linh",""),IF(OR(L473=phu!$I$54,L473=phu!$I$55,L473=phu!$I$56,L473=phu!$I$57,L473=phu!$I$58,L473=phu!$I$59,L473=phu!$I$60,L473=phu!$I$61,L473=phu!$I$62),"Cam Lợi",""),IF(OR(L473=phu!$I$63,L473=phu!$I$64,L473=phu!$I$65,L473=phu!$I$66,L473=phu!$I$67,L473=phu!$I$68,L473=phu!$I$69,L473=phu!$I$70,L473=phu!$I$71),"Ba Ngòi",""),IF(OR(L473=phu!$I$72,L473=phu!$I$73,L473=phu!$I$74,L473=phu!$I$75,L473=phu!$I$76,L473=phu!$I$77,L473=phu!$I$78),"Cam Phước Đông",""),IF(OR(L473=phu!$I$79,L473=phu!$I$80,L473=phu!$I$81,L473=phu!$I$82,L473=phu!$I$83,L473=phu!$I$84),"Cam Thịnh Đông",""),IF(OR(L473=phu!$I$85,L473=phu!$I$86,L473=phu!$I$87,L473=phu!$I$88),"Cam Thịnh Tây",""),IF(OR(L473=phu!$I$89,L473=phu!$I$90),"Cam Lập",""),IF(OR(L473=phu!$I$91,L473=phu!$I$92,L473=phu!$I$93),"Cam Bình",""),IF(OR(L473=phu!$I$94,L473=phu!$I$95,L473=phu!$I$96,L473=phu!$I$97,L473=phu!$I$98,L473=phu!$I$99,L473=phu!$I$100),"Huyện khác",""),IF(OR(L473=phu!$I$101,L473=phu!$I$102),"Tỉnh khác",""))</f>
        <v/>
      </c>
      <c r="N473" s="835" t="str">
        <f t="shared" si="38"/>
        <v/>
      </c>
      <c r="O473" s="20"/>
      <c r="P473" s="20"/>
      <c r="Q473" s="20"/>
      <c r="R473" s="20"/>
      <c r="S473" s="20"/>
      <c r="T473" s="21"/>
      <c r="U473" s="21"/>
      <c r="V473" s="21"/>
      <c r="W473" s="7" t="str">
        <f t="shared" si="36"/>
        <v/>
      </c>
      <c r="X473" s="506" t="str">
        <f t="shared" si="37"/>
        <v/>
      </c>
    </row>
    <row r="474" spans="1:24" x14ac:dyDescent="0.25">
      <c r="A474" s="66" t="str">
        <f t="shared" si="39"/>
        <v/>
      </c>
      <c r="B474" s="23" t="str">
        <f t="shared" si="35"/>
        <v/>
      </c>
      <c r="C474" s="15"/>
      <c r="D474" s="16"/>
      <c r="E474" s="17"/>
      <c r="F474" s="18"/>
      <c r="G474" s="18"/>
      <c r="H474" s="19"/>
      <c r="I474" s="26"/>
      <c r="J474" s="20"/>
      <c r="K474" s="15"/>
      <c r="L474" s="15"/>
      <c r="M474" s="531" t="str">
        <f>CONCATENATE(IF(OR(L474=phu!$I$1,L474=phu!$I$2,L474=phu!$I$3),"Cam Thành Nam",""),IF(OR(L474=phu!$I$4,L474=phu!$I$5,L474=phu!$I$6,L474=phu!$I$7,L474=phu!$I$8,L474=phu!$I$9,L474=phu!$I$10,L474=phu!$I$11,L474=phu!$I$12,L474=phu!$I$13,L474=phu!$I$14),"Cam Nghĩa",""),IF(OR(L474=phu!$I$15,L474=phu!$I$16,L474=phu!$I$17,L474=phu!$I$18,L474=phu!$I$19,L474=phu!$I$20,L474=phu!$I$21),"Cam Phúc Bắc",""),IF(OR(L474=phu!$I$22,L474=phu!$I$23,L474=phu!$I$24,L474=phu!$I$25),"Cam Phúc Nam",""),IF(OR(L474=phu!$I$26,L474=phu!$I$27,L474=phu!$I$28,L474=phu!$I$29,L474=phu!$I$30,L474=phu!$I$31),"Cam Phú",""),IF(OR(L474=phu!$I$32,L474=phu!$I$33,L474=phu!$I$34,L474=phu!$I$35,L474=phu!$I$36,L474=phu!$I$37),"Cam Lộc",""),IF(OR(L474=phu!$I$38,L474=phu!$I$39,L474=phu!$I$40,L474=phu!$I$41,L474=phu!$I$42,L474=phu!$I$43,L474=phu!$I$44),"Cam Thuận",""),IF(OR(L474=phu!$I$45,L474=phu!$I$46,L474=phu!$I$47,L474=phu!$I$48,L474=phu!$I$49,L474=phu!$I$50,L474=phu!$I$51,L474=phu!$I$52,L474=phu!$I$53),"Cam Linh",""),IF(OR(L474=phu!$I$54,L474=phu!$I$55,L474=phu!$I$56,L474=phu!$I$57,L474=phu!$I$58,L474=phu!$I$59,L474=phu!$I$60,L474=phu!$I$61,L474=phu!$I$62),"Cam Lợi",""),IF(OR(L474=phu!$I$63,L474=phu!$I$64,L474=phu!$I$65,L474=phu!$I$66,L474=phu!$I$67,L474=phu!$I$68,L474=phu!$I$69,L474=phu!$I$70,L474=phu!$I$71),"Ba Ngòi",""),IF(OR(L474=phu!$I$72,L474=phu!$I$73,L474=phu!$I$74,L474=phu!$I$75,L474=phu!$I$76,L474=phu!$I$77,L474=phu!$I$78),"Cam Phước Đông",""),IF(OR(L474=phu!$I$79,L474=phu!$I$80,L474=phu!$I$81,L474=phu!$I$82,L474=phu!$I$83,L474=phu!$I$84),"Cam Thịnh Đông",""),IF(OR(L474=phu!$I$85,L474=phu!$I$86,L474=phu!$I$87,L474=phu!$I$88),"Cam Thịnh Tây",""),IF(OR(L474=phu!$I$89,L474=phu!$I$90),"Cam Lập",""),IF(OR(L474=phu!$I$91,L474=phu!$I$92,L474=phu!$I$93),"Cam Bình",""),IF(OR(L474=phu!$I$94,L474=phu!$I$95,L474=phu!$I$96,L474=phu!$I$97,L474=phu!$I$98,L474=phu!$I$99,L474=phu!$I$100),"Huyện khác",""),IF(OR(L474=phu!$I$101,L474=phu!$I$102),"Tỉnh khác",""))</f>
        <v/>
      </c>
      <c r="N474" s="835" t="str">
        <f t="shared" si="38"/>
        <v/>
      </c>
      <c r="O474" s="20"/>
      <c r="P474" s="20"/>
      <c r="Q474" s="20"/>
      <c r="R474" s="20"/>
      <c r="S474" s="20"/>
      <c r="T474" s="21"/>
      <c r="U474" s="21"/>
      <c r="V474" s="21"/>
      <c r="W474" s="7" t="str">
        <f t="shared" si="36"/>
        <v/>
      </c>
      <c r="X474" s="506" t="str">
        <f t="shared" si="37"/>
        <v/>
      </c>
    </row>
    <row r="475" spans="1:24" x14ac:dyDescent="0.25">
      <c r="A475" s="66" t="str">
        <f t="shared" si="39"/>
        <v/>
      </c>
      <c r="B475" s="23" t="str">
        <f t="shared" si="35"/>
        <v/>
      </c>
      <c r="C475" s="15"/>
      <c r="D475" s="16"/>
      <c r="E475" s="17"/>
      <c r="F475" s="18"/>
      <c r="G475" s="18"/>
      <c r="H475" s="19"/>
      <c r="I475" s="26"/>
      <c r="J475" s="20"/>
      <c r="K475" s="15"/>
      <c r="L475" s="15"/>
      <c r="M475" s="531" t="str">
        <f>CONCATENATE(IF(OR(L475=phu!$I$1,L475=phu!$I$2,L475=phu!$I$3),"Cam Thành Nam",""),IF(OR(L475=phu!$I$4,L475=phu!$I$5,L475=phu!$I$6,L475=phu!$I$7,L475=phu!$I$8,L475=phu!$I$9,L475=phu!$I$10,L475=phu!$I$11,L475=phu!$I$12,L475=phu!$I$13,L475=phu!$I$14),"Cam Nghĩa",""),IF(OR(L475=phu!$I$15,L475=phu!$I$16,L475=phu!$I$17,L475=phu!$I$18,L475=phu!$I$19,L475=phu!$I$20,L475=phu!$I$21),"Cam Phúc Bắc",""),IF(OR(L475=phu!$I$22,L475=phu!$I$23,L475=phu!$I$24,L475=phu!$I$25),"Cam Phúc Nam",""),IF(OR(L475=phu!$I$26,L475=phu!$I$27,L475=phu!$I$28,L475=phu!$I$29,L475=phu!$I$30,L475=phu!$I$31),"Cam Phú",""),IF(OR(L475=phu!$I$32,L475=phu!$I$33,L475=phu!$I$34,L475=phu!$I$35,L475=phu!$I$36,L475=phu!$I$37),"Cam Lộc",""),IF(OR(L475=phu!$I$38,L475=phu!$I$39,L475=phu!$I$40,L475=phu!$I$41,L475=phu!$I$42,L475=phu!$I$43,L475=phu!$I$44),"Cam Thuận",""),IF(OR(L475=phu!$I$45,L475=phu!$I$46,L475=phu!$I$47,L475=phu!$I$48,L475=phu!$I$49,L475=phu!$I$50,L475=phu!$I$51,L475=phu!$I$52,L475=phu!$I$53),"Cam Linh",""),IF(OR(L475=phu!$I$54,L475=phu!$I$55,L475=phu!$I$56,L475=phu!$I$57,L475=phu!$I$58,L475=phu!$I$59,L475=phu!$I$60,L475=phu!$I$61,L475=phu!$I$62),"Cam Lợi",""),IF(OR(L475=phu!$I$63,L475=phu!$I$64,L475=phu!$I$65,L475=phu!$I$66,L475=phu!$I$67,L475=phu!$I$68,L475=phu!$I$69,L475=phu!$I$70,L475=phu!$I$71),"Ba Ngòi",""),IF(OR(L475=phu!$I$72,L475=phu!$I$73,L475=phu!$I$74,L475=phu!$I$75,L475=phu!$I$76,L475=phu!$I$77,L475=phu!$I$78),"Cam Phước Đông",""),IF(OR(L475=phu!$I$79,L475=phu!$I$80,L475=phu!$I$81,L475=phu!$I$82,L475=phu!$I$83,L475=phu!$I$84),"Cam Thịnh Đông",""),IF(OR(L475=phu!$I$85,L475=phu!$I$86,L475=phu!$I$87,L475=phu!$I$88),"Cam Thịnh Tây",""),IF(OR(L475=phu!$I$89,L475=phu!$I$90),"Cam Lập",""),IF(OR(L475=phu!$I$91,L475=phu!$I$92,L475=phu!$I$93),"Cam Bình",""),IF(OR(L475=phu!$I$94,L475=phu!$I$95,L475=phu!$I$96,L475=phu!$I$97,L475=phu!$I$98,L475=phu!$I$99,L475=phu!$I$100),"Huyện khác",""),IF(OR(L475=phu!$I$101,L475=phu!$I$102),"Tỉnh khác",""))</f>
        <v/>
      </c>
      <c r="N475" s="835" t="str">
        <f t="shared" si="38"/>
        <v/>
      </c>
      <c r="O475" s="20"/>
      <c r="P475" s="20"/>
      <c r="Q475" s="20"/>
      <c r="R475" s="20"/>
      <c r="S475" s="20"/>
      <c r="T475" s="21"/>
      <c r="U475" s="21"/>
      <c r="V475" s="21"/>
      <c r="W475" s="7" t="str">
        <f t="shared" si="36"/>
        <v/>
      </c>
      <c r="X475" s="506" t="str">
        <f t="shared" si="37"/>
        <v/>
      </c>
    </row>
    <row r="476" spans="1:24" x14ac:dyDescent="0.25">
      <c r="A476" s="66" t="str">
        <f t="shared" si="39"/>
        <v/>
      </c>
      <c r="B476" s="23" t="str">
        <f t="shared" si="35"/>
        <v/>
      </c>
      <c r="C476" s="15"/>
      <c r="D476" s="16"/>
      <c r="E476" s="17"/>
      <c r="F476" s="18"/>
      <c r="G476" s="18"/>
      <c r="H476" s="19"/>
      <c r="I476" s="27"/>
      <c r="J476" s="20"/>
      <c r="K476" s="15"/>
      <c r="L476" s="15"/>
      <c r="M476" s="531" t="str">
        <f>CONCATENATE(IF(OR(L476=phu!$I$1,L476=phu!$I$2,L476=phu!$I$3),"Cam Thành Nam",""),IF(OR(L476=phu!$I$4,L476=phu!$I$5,L476=phu!$I$6,L476=phu!$I$7,L476=phu!$I$8,L476=phu!$I$9,L476=phu!$I$10,L476=phu!$I$11,L476=phu!$I$12,L476=phu!$I$13,L476=phu!$I$14),"Cam Nghĩa",""),IF(OR(L476=phu!$I$15,L476=phu!$I$16,L476=phu!$I$17,L476=phu!$I$18,L476=phu!$I$19,L476=phu!$I$20,L476=phu!$I$21),"Cam Phúc Bắc",""),IF(OR(L476=phu!$I$22,L476=phu!$I$23,L476=phu!$I$24,L476=phu!$I$25),"Cam Phúc Nam",""),IF(OR(L476=phu!$I$26,L476=phu!$I$27,L476=phu!$I$28,L476=phu!$I$29,L476=phu!$I$30,L476=phu!$I$31),"Cam Phú",""),IF(OR(L476=phu!$I$32,L476=phu!$I$33,L476=phu!$I$34,L476=phu!$I$35,L476=phu!$I$36,L476=phu!$I$37),"Cam Lộc",""),IF(OR(L476=phu!$I$38,L476=phu!$I$39,L476=phu!$I$40,L476=phu!$I$41,L476=phu!$I$42,L476=phu!$I$43,L476=phu!$I$44),"Cam Thuận",""),IF(OR(L476=phu!$I$45,L476=phu!$I$46,L476=phu!$I$47,L476=phu!$I$48,L476=phu!$I$49,L476=phu!$I$50,L476=phu!$I$51,L476=phu!$I$52,L476=phu!$I$53),"Cam Linh",""),IF(OR(L476=phu!$I$54,L476=phu!$I$55,L476=phu!$I$56,L476=phu!$I$57,L476=phu!$I$58,L476=phu!$I$59,L476=phu!$I$60,L476=phu!$I$61,L476=phu!$I$62),"Cam Lợi",""),IF(OR(L476=phu!$I$63,L476=phu!$I$64,L476=phu!$I$65,L476=phu!$I$66,L476=phu!$I$67,L476=phu!$I$68,L476=phu!$I$69,L476=phu!$I$70,L476=phu!$I$71),"Ba Ngòi",""),IF(OR(L476=phu!$I$72,L476=phu!$I$73,L476=phu!$I$74,L476=phu!$I$75,L476=phu!$I$76,L476=phu!$I$77,L476=phu!$I$78),"Cam Phước Đông",""),IF(OR(L476=phu!$I$79,L476=phu!$I$80,L476=phu!$I$81,L476=phu!$I$82,L476=phu!$I$83,L476=phu!$I$84),"Cam Thịnh Đông",""),IF(OR(L476=phu!$I$85,L476=phu!$I$86,L476=phu!$I$87,L476=phu!$I$88),"Cam Thịnh Tây",""),IF(OR(L476=phu!$I$89,L476=phu!$I$90),"Cam Lập",""),IF(OR(L476=phu!$I$91,L476=phu!$I$92,L476=phu!$I$93),"Cam Bình",""),IF(OR(L476=phu!$I$94,L476=phu!$I$95,L476=phu!$I$96,L476=phu!$I$97,L476=phu!$I$98,L476=phu!$I$99,L476=phu!$I$100),"Huyện khác",""),IF(OR(L476=phu!$I$101,L476=phu!$I$102),"Tỉnh khác",""))</f>
        <v/>
      </c>
      <c r="N476" s="835" t="str">
        <f t="shared" si="38"/>
        <v/>
      </c>
      <c r="O476" s="20"/>
      <c r="P476" s="20"/>
      <c r="Q476" s="20"/>
      <c r="R476" s="20"/>
      <c r="S476" s="20"/>
      <c r="T476" s="21"/>
      <c r="U476" s="21"/>
      <c r="V476" s="21"/>
      <c r="W476" s="7" t="str">
        <f t="shared" si="36"/>
        <v/>
      </c>
      <c r="X476" s="506" t="str">
        <f t="shared" si="37"/>
        <v/>
      </c>
    </row>
    <row r="477" spans="1:24" x14ac:dyDescent="0.25">
      <c r="A477" s="66" t="str">
        <f t="shared" si="39"/>
        <v/>
      </c>
      <c r="B477" s="23" t="str">
        <f t="shared" si="35"/>
        <v/>
      </c>
      <c r="C477" s="15"/>
      <c r="D477" s="16"/>
      <c r="E477" s="17"/>
      <c r="F477" s="18"/>
      <c r="G477" s="18"/>
      <c r="H477" s="19"/>
      <c r="I477" s="15"/>
      <c r="J477" s="20"/>
      <c r="K477" s="15"/>
      <c r="L477" s="15"/>
      <c r="M477" s="531" t="str">
        <f>CONCATENATE(IF(OR(L477=phu!$I$1,L477=phu!$I$2,L477=phu!$I$3),"Cam Thành Nam",""),IF(OR(L477=phu!$I$4,L477=phu!$I$5,L477=phu!$I$6,L477=phu!$I$7,L477=phu!$I$8,L477=phu!$I$9,L477=phu!$I$10,L477=phu!$I$11,L477=phu!$I$12,L477=phu!$I$13,L477=phu!$I$14),"Cam Nghĩa",""),IF(OR(L477=phu!$I$15,L477=phu!$I$16,L477=phu!$I$17,L477=phu!$I$18,L477=phu!$I$19,L477=phu!$I$20,L477=phu!$I$21),"Cam Phúc Bắc",""),IF(OR(L477=phu!$I$22,L477=phu!$I$23,L477=phu!$I$24,L477=phu!$I$25),"Cam Phúc Nam",""),IF(OR(L477=phu!$I$26,L477=phu!$I$27,L477=phu!$I$28,L477=phu!$I$29,L477=phu!$I$30,L477=phu!$I$31),"Cam Phú",""),IF(OR(L477=phu!$I$32,L477=phu!$I$33,L477=phu!$I$34,L477=phu!$I$35,L477=phu!$I$36,L477=phu!$I$37),"Cam Lộc",""),IF(OR(L477=phu!$I$38,L477=phu!$I$39,L477=phu!$I$40,L477=phu!$I$41,L477=phu!$I$42,L477=phu!$I$43,L477=phu!$I$44),"Cam Thuận",""),IF(OR(L477=phu!$I$45,L477=phu!$I$46,L477=phu!$I$47,L477=phu!$I$48,L477=phu!$I$49,L477=phu!$I$50,L477=phu!$I$51,L477=phu!$I$52,L477=phu!$I$53),"Cam Linh",""),IF(OR(L477=phu!$I$54,L477=phu!$I$55,L477=phu!$I$56,L477=phu!$I$57,L477=phu!$I$58,L477=phu!$I$59,L477=phu!$I$60,L477=phu!$I$61,L477=phu!$I$62),"Cam Lợi",""),IF(OR(L477=phu!$I$63,L477=phu!$I$64,L477=phu!$I$65,L477=phu!$I$66,L477=phu!$I$67,L477=phu!$I$68,L477=phu!$I$69,L477=phu!$I$70,L477=phu!$I$71),"Ba Ngòi",""),IF(OR(L477=phu!$I$72,L477=phu!$I$73,L477=phu!$I$74,L477=phu!$I$75,L477=phu!$I$76,L477=phu!$I$77,L477=phu!$I$78),"Cam Phước Đông",""),IF(OR(L477=phu!$I$79,L477=phu!$I$80,L477=phu!$I$81,L477=phu!$I$82,L477=phu!$I$83,L477=phu!$I$84),"Cam Thịnh Đông",""),IF(OR(L477=phu!$I$85,L477=phu!$I$86,L477=phu!$I$87,L477=phu!$I$88),"Cam Thịnh Tây",""),IF(OR(L477=phu!$I$89,L477=phu!$I$90),"Cam Lập",""),IF(OR(L477=phu!$I$91,L477=phu!$I$92,L477=phu!$I$93),"Cam Bình",""),IF(OR(L477=phu!$I$94,L477=phu!$I$95,L477=phu!$I$96,L477=phu!$I$97,L477=phu!$I$98,L477=phu!$I$99,L477=phu!$I$100),"Huyện khác",""),IF(OR(L477=phu!$I$101,L477=phu!$I$102),"Tỉnh khác",""))</f>
        <v/>
      </c>
      <c r="N477" s="835" t="str">
        <f t="shared" si="38"/>
        <v/>
      </c>
      <c r="O477" s="20"/>
      <c r="P477" s="20"/>
      <c r="Q477" s="20"/>
      <c r="R477" s="20"/>
      <c r="S477" s="20"/>
      <c r="T477" s="21"/>
      <c r="U477" s="21"/>
      <c r="V477" s="21"/>
      <c r="W477" s="7" t="str">
        <f t="shared" si="36"/>
        <v/>
      </c>
      <c r="X477" s="506" t="str">
        <f t="shared" si="37"/>
        <v/>
      </c>
    </row>
    <row r="478" spans="1:24" x14ac:dyDescent="0.25">
      <c r="A478" s="66" t="str">
        <f t="shared" si="39"/>
        <v/>
      </c>
      <c r="B478" s="23" t="str">
        <f t="shared" si="35"/>
        <v/>
      </c>
      <c r="C478" s="15"/>
      <c r="D478" s="16"/>
      <c r="E478" s="17"/>
      <c r="F478" s="18"/>
      <c r="G478" s="18"/>
      <c r="H478" s="19"/>
      <c r="I478" s="15"/>
      <c r="J478" s="20"/>
      <c r="K478" s="15"/>
      <c r="L478" s="15"/>
      <c r="M478" s="531" t="str">
        <f>CONCATENATE(IF(OR(L478=phu!$I$1,L478=phu!$I$2,L478=phu!$I$3),"Cam Thành Nam",""),IF(OR(L478=phu!$I$4,L478=phu!$I$5,L478=phu!$I$6,L478=phu!$I$7,L478=phu!$I$8,L478=phu!$I$9,L478=phu!$I$10,L478=phu!$I$11,L478=phu!$I$12,L478=phu!$I$13,L478=phu!$I$14),"Cam Nghĩa",""),IF(OR(L478=phu!$I$15,L478=phu!$I$16,L478=phu!$I$17,L478=phu!$I$18,L478=phu!$I$19,L478=phu!$I$20,L478=phu!$I$21),"Cam Phúc Bắc",""),IF(OR(L478=phu!$I$22,L478=phu!$I$23,L478=phu!$I$24,L478=phu!$I$25),"Cam Phúc Nam",""),IF(OR(L478=phu!$I$26,L478=phu!$I$27,L478=phu!$I$28,L478=phu!$I$29,L478=phu!$I$30,L478=phu!$I$31),"Cam Phú",""),IF(OR(L478=phu!$I$32,L478=phu!$I$33,L478=phu!$I$34,L478=phu!$I$35,L478=phu!$I$36,L478=phu!$I$37),"Cam Lộc",""),IF(OR(L478=phu!$I$38,L478=phu!$I$39,L478=phu!$I$40,L478=phu!$I$41,L478=phu!$I$42,L478=phu!$I$43,L478=phu!$I$44),"Cam Thuận",""),IF(OR(L478=phu!$I$45,L478=phu!$I$46,L478=phu!$I$47,L478=phu!$I$48,L478=phu!$I$49,L478=phu!$I$50,L478=phu!$I$51,L478=phu!$I$52,L478=phu!$I$53),"Cam Linh",""),IF(OR(L478=phu!$I$54,L478=phu!$I$55,L478=phu!$I$56,L478=phu!$I$57,L478=phu!$I$58,L478=phu!$I$59,L478=phu!$I$60,L478=phu!$I$61,L478=phu!$I$62),"Cam Lợi",""),IF(OR(L478=phu!$I$63,L478=phu!$I$64,L478=phu!$I$65,L478=phu!$I$66,L478=phu!$I$67,L478=phu!$I$68,L478=phu!$I$69,L478=phu!$I$70,L478=phu!$I$71),"Ba Ngòi",""),IF(OR(L478=phu!$I$72,L478=phu!$I$73,L478=phu!$I$74,L478=phu!$I$75,L478=phu!$I$76,L478=phu!$I$77,L478=phu!$I$78),"Cam Phước Đông",""),IF(OR(L478=phu!$I$79,L478=phu!$I$80,L478=phu!$I$81,L478=phu!$I$82,L478=phu!$I$83,L478=phu!$I$84),"Cam Thịnh Đông",""),IF(OR(L478=phu!$I$85,L478=phu!$I$86,L478=phu!$I$87,L478=phu!$I$88),"Cam Thịnh Tây",""),IF(OR(L478=phu!$I$89,L478=phu!$I$90),"Cam Lập",""),IF(OR(L478=phu!$I$91,L478=phu!$I$92,L478=phu!$I$93),"Cam Bình",""),IF(OR(L478=phu!$I$94,L478=phu!$I$95,L478=phu!$I$96,L478=phu!$I$97,L478=phu!$I$98,L478=phu!$I$99,L478=phu!$I$100),"Huyện khác",""),IF(OR(L478=phu!$I$101,L478=phu!$I$102),"Tỉnh khác",""))</f>
        <v/>
      </c>
      <c r="N478" s="835" t="str">
        <f t="shared" si="38"/>
        <v/>
      </c>
      <c r="O478" s="20"/>
      <c r="P478" s="20"/>
      <c r="Q478" s="20"/>
      <c r="R478" s="20"/>
      <c r="S478" s="20"/>
      <c r="T478" s="21"/>
      <c r="U478" s="21"/>
      <c r="V478" s="21"/>
      <c r="W478" s="7" t="str">
        <f t="shared" si="36"/>
        <v/>
      </c>
      <c r="X478" s="506" t="str">
        <f t="shared" si="37"/>
        <v/>
      </c>
    </row>
    <row r="479" spans="1:24" x14ac:dyDescent="0.25">
      <c r="A479" s="66" t="str">
        <f t="shared" si="39"/>
        <v/>
      </c>
      <c r="B479" s="23" t="str">
        <f t="shared" si="35"/>
        <v/>
      </c>
      <c r="C479" s="15"/>
      <c r="D479" s="16"/>
      <c r="E479" s="17"/>
      <c r="F479" s="18"/>
      <c r="G479" s="18"/>
      <c r="H479" s="19"/>
      <c r="I479" s="15"/>
      <c r="J479" s="20"/>
      <c r="K479" s="15"/>
      <c r="L479" s="15"/>
      <c r="M479" s="531" t="str">
        <f>CONCATENATE(IF(OR(L479=phu!$I$1,L479=phu!$I$2,L479=phu!$I$3),"Cam Thành Nam",""),IF(OR(L479=phu!$I$4,L479=phu!$I$5,L479=phu!$I$6,L479=phu!$I$7,L479=phu!$I$8,L479=phu!$I$9,L479=phu!$I$10,L479=phu!$I$11,L479=phu!$I$12,L479=phu!$I$13,L479=phu!$I$14),"Cam Nghĩa",""),IF(OR(L479=phu!$I$15,L479=phu!$I$16,L479=phu!$I$17,L479=phu!$I$18,L479=phu!$I$19,L479=phu!$I$20,L479=phu!$I$21),"Cam Phúc Bắc",""),IF(OR(L479=phu!$I$22,L479=phu!$I$23,L479=phu!$I$24,L479=phu!$I$25),"Cam Phúc Nam",""),IF(OR(L479=phu!$I$26,L479=phu!$I$27,L479=phu!$I$28,L479=phu!$I$29,L479=phu!$I$30,L479=phu!$I$31),"Cam Phú",""),IF(OR(L479=phu!$I$32,L479=phu!$I$33,L479=phu!$I$34,L479=phu!$I$35,L479=phu!$I$36,L479=phu!$I$37),"Cam Lộc",""),IF(OR(L479=phu!$I$38,L479=phu!$I$39,L479=phu!$I$40,L479=phu!$I$41,L479=phu!$I$42,L479=phu!$I$43,L479=phu!$I$44),"Cam Thuận",""),IF(OR(L479=phu!$I$45,L479=phu!$I$46,L479=phu!$I$47,L479=phu!$I$48,L479=phu!$I$49,L479=phu!$I$50,L479=phu!$I$51,L479=phu!$I$52,L479=phu!$I$53),"Cam Linh",""),IF(OR(L479=phu!$I$54,L479=phu!$I$55,L479=phu!$I$56,L479=phu!$I$57,L479=phu!$I$58,L479=phu!$I$59,L479=phu!$I$60,L479=phu!$I$61,L479=phu!$I$62),"Cam Lợi",""),IF(OR(L479=phu!$I$63,L479=phu!$I$64,L479=phu!$I$65,L479=phu!$I$66,L479=phu!$I$67,L479=phu!$I$68,L479=phu!$I$69,L479=phu!$I$70,L479=phu!$I$71),"Ba Ngòi",""),IF(OR(L479=phu!$I$72,L479=phu!$I$73,L479=phu!$I$74,L479=phu!$I$75,L479=phu!$I$76,L479=phu!$I$77,L479=phu!$I$78),"Cam Phước Đông",""),IF(OR(L479=phu!$I$79,L479=phu!$I$80,L479=phu!$I$81,L479=phu!$I$82,L479=phu!$I$83,L479=phu!$I$84),"Cam Thịnh Đông",""),IF(OR(L479=phu!$I$85,L479=phu!$I$86,L479=phu!$I$87,L479=phu!$I$88),"Cam Thịnh Tây",""),IF(OR(L479=phu!$I$89,L479=phu!$I$90),"Cam Lập",""),IF(OR(L479=phu!$I$91,L479=phu!$I$92,L479=phu!$I$93),"Cam Bình",""),IF(OR(L479=phu!$I$94,L479=phu!$I$95,L479=phu!$I$96,L479=phu!$I$97,L479=phu!$I$98,L479=phu!$I$99,L479=phu!$I$100),"Huyện khác",""),IF(OR(L479=phu!$I$101,L479=phu!$I$102),"Tỉnh khác",""))</f>
        <v/>
      </c>
      <c r="N479" s="835" t="str">
        <f t="shared" si="38"/>
        <v/>
      </c>
      <c r="O479" s="20"/>
      <c r="P479" s="20"/>
      <c r="Q479" s="20"/>
      <c r="R479" s="20"/>
      <c r="S479" s="20"/>
      <c r="T479" s="21"/>
      <c r="U479" s="21"/>
      <c r="V479" s="21"/>
      <c r="W479" s="7" t="str">
        <f t="shared" si="36"/>
        <v/>
      </c>
      <c r="X479" s="506" t="str">
        <f t="shared" si="37"/>
        <v/>
      </c>
    </row>
    <row r="480" spans="1:24" x14ac:dyDescent="0.25">
      <c r="A480" s="66" t="str">
        <f t="shared" si="39"/>
        <v/>
      </c>
      <c r="B480" s="23" t="str">
        <f t="shared" si="35"/>
        <v/>
      </c>
      <c r="C480" s="15"/>
      <c r="D480" s="16"/>
      <c r="E480" s="17"/>
      <c r="F480" s="18"/>
      <c r="G480" s="18"/>
      <c r="H480" s="19"/>
      <c r="I480" s="26"/>
      <c r="J480" s="20"/>
      <c r="K480" s="15"/>
      <c r="L480" s="15"/>
      <c r="M480" s="531" t="str">
        <f>CONCATENATE(IF(OR(L480=phu!$I$1,L480=phu!$I$2,L480=phu!$I$3),"Cam Thành Nam",""),IF(OR(L480=phu!$I$4,L480=phu!$I$5,L480=phu!$I$6,L480=phu!$I$7,L480=phu!$I$8,L480=phu!$I$9,L480=phu!$I$10,L480=phu!$I$11,L480=phu!$I$12,L480=phu!$I$13,L480=phu!$I$14),"Cam Nghĩa",""),IF(OR(L480=phu!$I$15,L480=phu!$I$16,L480=phu!$I$17,L480=phu!$I$18,L480=phu!$I$19,L480=phu!$I$20,L480=phu!$I$21),"Cam Phúc Bắc",""),IF(OR(L480=phu!$I$22,L480=phu!$I$23,L480=phu!$I$24,L480=phu!$I$25),"Cam Phúc Nam",""),IF(OR(L480=phu!$I$26,L480=phu!$I$27,L480=phu!$I$28,L480=phu!$I$29,L480=phu!$I$30,L480=phu!$I$31),"Cam Phú",""),IF(OR(L480=phu!$I$32,L480=phu!$I$33,L480=phu!$I$34,L480=phu!$I$35,L480=phu!$I$36,L480=phu!$I$37),"Cam Lộc",""),IF(OR(L480=phu!$I$38,L480=phu!$I$39,L480=phu!$I$40,L480=phu!$I$41,L480=phu!$I$42,L480=phu!$I$43,L480=phu!$I$44),"Cam Thuận",""),IF(OR(L480=phu!$I$45,L480=phu!$I$46,L480=phu!$I$47,L480=phu!$I$48,L480=phu!$I$49,L480=phu!$I$50,L480=phu!$I$51,L480=phu!$I$52,L480=phu!$I$53),"Cam Linh",""),IF(OR(L480=phu!$I$54,L480=phu!$I$55,L480=phu!$I$56,L480=phu!$I$57,L480=phu!$I$58,L480=phu!$I$59,L480=phu!$I$60,L480=phu!$I$61,L480=phu!$I$62),"Cam Lợi",""),IF(OR(L480=phu!$I$63,L480=phu!$I$64,L480=phu!$I$65,L480=phu!$I$66,L480=phu!$I$67,L480=phu!$I$68,L480=phu!$I$69,L480=phu!$I$70,L480=phu!$I$71),"Ba Ngòi",""),IF(OR(L480=phu!$I$72,L480=phu!$I$73,L480=phu!$I$74,L480=phu!$I$75,L480=phu!$I$76,L480=phu!$I$77,L480=phu!$I$78),"Cam Phước Đông",""),IF(OR(L480=phu!$I$79,L480=phu!$I$80,L480=phu!$I$81,L480=phu!$I$82,L480=phu!$I$83,L480=phu!$I$84),"Cam Thịnh Đông",""),IF(OR(L480=phu!$I$85,L480=phu!$I$86,L480=phu!$I$87,L480=phu!$I$88),"Cam Thịnh Tây",""),IF(OR(L480=phu!$I$89,L480=phu!$I$90),"Cam Lập",""),IF(OR(L480=phu!$I$91,L480=phu!$I$92,L480=phu!$I$93),"Cam Bình",""),IF(OR(L480=phu!$I$94,L480=phu!$I$95,L480=phu!$I$96,L480=phu!$I$97,L480=phu!$I$98,L480=phu!$I$99,L480=phu!$I$100),"Huyện khác",""),IF(OR(L480=phu!$I$101,L480=phu!$I$102),"Tỉnh khác",""))</f>
        <v/>
      </c>
      <c r="N480" s="835" t="str">
        <f t="shared" si="38"/>
        <v/>
      </c>
      <c r="O480" s="20"/>
      <c r="P480" s="20"/>
      <c r="Q480" s="20"/>
      <c r="R480" s="20"/>
      <c r="S480" s="20"/>
      <c r="T480" s="21"/>
      <c r="U480" s="21"/>
      <c r="V480" s="21"/>
      <c r="W480" s="7" t="str">
        <f t="shared" si="36"/>
        <v/>
      </c>
      <c r="X480" s="506" t="str">
        <f t="shared" si="37"/>
        <v/>
      </c>
    </row>
    <row r="481" spans="1:24" x14ac:dyDescent="0.25">
      <c r="A481" s="66" t="str">
        <f t="shared" si="39"/>
        <v/>
      </c>
      <c r="B481" s="23" t="str">
        <f t="shared" si="35"/>
        <v/>
      </c>
      <c r="C481" s="15"/>
      <c r="D481" s="16"/>
      <c r="E481" s="17"/>
      <c r="F481" s="18"/>
      <c r="G481" s="18"/>
      <c r="H481" s="19"/>
      <c r="I481" s="15"/>
      <c r="J481" s="20"/>
      <c r="K481" s="15"/>
      <c r="L481" s="15"/>
      <c r="M481" s="531" t="str">
        <f>CONCATENATE(IF(OR(L481=phu!$I$1,L481=phu!$I$2,L481=phu!$I$3),"Cam Thành Nam",""),IF(OR(L481=phu!$I$4,L481=phu!$I$5,L481=phu!$I$6,L481=phu!$I$7,L481=phu!$I$8,L481=phu!$I$9,L481=phu!$I$10,L481=phu!$I$11,L481=phu!$I$12,L481=phu!$I$13,L481=phu!$I$14),"Cam Nghĩa",""),IF(OR(L481=phu!$I$15,L481=phu!$I$16,L481=phu!$I$17,L481=phu!$I$18,L481=phu!$I$19,L481=phu!$I$20,L481=phu!$I$21),"Cam Phúc Bắc",""),IF(OR(L481=phu!$I$22,L481=phu!$I$23,L481=phu!$I$24,L481=phu!$I$25),"Cam Phúc Nam",""),IF(OR(L481=phu!$I$26,L481=phu!$I$27,L481=phu!$I$28,L481=phu!$I$29,L481=phu!$I$30,L481=phu!$I$31),"Cam Phú",""),IF(OR(L481=phu!$I$32,L481=phu!$I$33,L481=phu!$I$34,L481=phu!$I$35,L481=phu!$I$36,L481=phu!$I$37),"Cam Lộc",""),IF(OR(L481=phu!$I$38,L481=phu!$I$39,L481=phu!$I$40,L481=phu!$I$41,L481=phu!$I$42,L481=phu!$I$43,L481=phu!$I$44),"Cam Thuận",""),IF(OR(L481=phu!$I$45,L481=phu!$I$46,L481=phu!$I$47,L481=phu!$I$48,L481=phu!$I$49,L481=phu!$I$50,L481=phu!$I$51,L481=phu!$I$52,L481=phu!$I$53),"Cam Linh",""),IF(OR(L481=phu!$I$54,L481=phu!$I$55,L481=phu!$I$56,L481=phu!$I$57,L481=phu!$I$58,L481=phu!$I$59,L481=phu!$I$60,L481=phu!$I$61,L481=phu!$I$62),"Cam Lợi",""),IF(OR(L481=phu!$I$63,L481=phu!$I$64,L481=phu!$I$65,L481=phu!$I$66,L481=phu!$I$67,L481=phu!$I$68,L481=phu!$I$69,L481=phu!$I$70,L481=phu!$I$71),"Ba Ngòi",""),IF(OR(L481=phu!$I$72,L481=phu!$I$73,L481=phu!$I$74,L481=phu!$I$75,L481=phu!$I$76,L481=phu!$I$77,L481=phu!$I$78),"Cam Phước Đông",""),IF(OR(L481=phu!$I$79,L481=phu!$I$80,L481=phu!$I$81,L481=phu!$I$82,L481=phu!$I$83,L481=phu!$I$84),"Cam Thịnh Đông",""),IF(OR(L481=phu!$I$85,L481=phu!$I$86,L481=phu!$I$87,L481=phu!$I$88),"Cam Thịnh Tây",""),IF(OR(L481=phu!$I$89,L481=phu!$I$90),"Cam Lập",""),IF(OR(L481=phu!$I$91,L481=phu!$I$92,L481=phu!$I$93),"Cam Bình",""),IF(OR(L481=phu!$I$94,L481=phu!$I$95,L481=phu!$I$96,L481=phu!$I$97,L481=phu!$I$98,L481=phu!$I$99,L481=phu!$I$100),"Huyện khác",""),IF(OR(L481=phu!$I$101,L481=phu!$I$102),"Tỉnh khác",""))</f>
        <v/>
      </c>
      <c r="N481" s="835" t="str">
        <f t="shared" si="38"/>
        <v/>
      </c>
      <c r="O481" s="20"/>
      <c r="P481" s="20"/>
      <c r="Q481" s="20"/>
      <c r="R481" s="20"/>
      <c r="S481" s="20"/>
      <c r="T481" s="21"/>
      <c r="U481" s="21"/>
      <c r="V481" s="21"/>
      <c r="W481" s="7" t="str">
        <f t="shared" si="36"/>
        <v/>
      </c>
      <c r="X481" s="506" t="str">
        <f t="shared" si="37"/>
        <v/>
      </c>
    </row>
    <row r="482" spans="1:24" x14ac:dyDescent="0.25">
      <c r="A482" s="66" t="str">
        <f t="shared" si="39"/>
        <v/>
      </c>
      <c r="B482" s="23" t="str">
        <f t="shared" si="35"/>
        <v/>
      </c>
      <c r="C482" s="15"/>
      <c r="D482" s="16"/>
      <c r="E482" s="17"/>
      <c r="F482" s="18"/>
      <c r="G482" s="18"/>
      <c r="H482" s="19"/>
      <c r="I482" s="27"/>
      <c r="J482" s="20"/>
      <c r="K482" s="15"/>
      <c r="L482" s="15"/>
      <c r="M482" s="531" t="str">
        <f>CONCATENATE(IF(OR(L482=phu!$I$1,L482=phu!$I$2,L482=phu!$I$3),"Cam Thành Nam",""),IF(OR(L482=phu!$I$4,L482=phu!$I$5,L482=phu!$I$6,L482=phu!$I$7,L482=phu!$I$8,L482=phu!$I$9,L482=phu!$I$10,L482=phu!$I$11,L482=phu!$I$12,L482=phu!$I$13,L482=phu!$I$14),"Cam Nghĩa",""),IF(OR(L482=phu!$I$15,L482=phu!$I$16,L482=phu!$I$17,L482=phu!$I$18,L482=phu!$I$19,L482=phu!$I$20,L482=phu!$I$21),"Cam Phúc Bắc",""),IF(OR(L482=phu!$I$22,L482=phu!$I$23,L482=phu!$I$24,L482=phu!$I$25),"Cam Phúc Nam",""),IF(OR(L482=phu!$I$26,L482=phu!$I$27,L482=phu!$I$28,L482=phu!$I$29,L482=phu!$I$30,L482=phu!$I$31),"Cam Phú",""),IF(OR(L482=phu!$I$32,L482=phu!$I$33,L482=phu!$I$34,L482=phu!$I$35,L482=phu!$I$36,L482=phu!$I$37),"Cam Lộc",""),IF(OR(L482=phu!$I$38,L482=phu!$I$39,L482=phu!$I$40,L482=phu!$I$41,L482=phu!$I$42,L482=phu!$I$43,L482=phu!$I$44),"Cam Thuận",""),IF(OR(L482=phu!$I$45,L482=phu!$I$46,L482=phu!$I$47,L482=phu!$I$48,L482=phu!$I$49,L482=phu!$I$50,L482=phu!$I$51,L482=phu!$I$52,L482=phu!$I$53),"Cam Linh",""),IF(OR(L482=phu!$I$54,L482=phu!$I$55,L482=phu!$I$56,L482=phu!$I$57,L482=phu!$I$58,L482=phu!$I$59,L482=phu!$I$60,L482=phu!$I$61,L482=phu!$I$62),"Cam Lợi",""),IF(OR(L482=phu!$I$63,L482=phu!$I$64,L482=phu!$I$65,L482=phu!$I$66,L482=phu!$I$67,L482=phu!$I$68,L482=phu!$I$69,L482=phu!$I$70,L482=phu!$I$71),"Ba Ngòi",""),IF(OR(L482=phu!$I$72,L482=phu!$I$73,L482=phu!$I$74,L482=phu!$I$75,L482=phu!$I$76,L482=phu!$I$77,L482=phu!$I$78),"Cam Phước Đông",""),IF(OR(L482=phu!$I$79,L482=phu!$I$80,L482=phu!$I$81,L482=phu!$I$82,L482=phu!$I$83,L482=phu!$I$84),"Cam Thịnh Đông",""),IF(OR(L482=phu!$I$85,L482=phu!$I$86,L482=phu!$I$87,L482=phu!$I$88),"Cam Thịnh Tây",""),IF(OR(L482=phu!$I$89,L482=phu!$I$90),"Cam Lập",""),IF(OR(L482=phu!$I$91,L482=phu!$I$92,L482=phu!$I$93),"Cam Bình",""),IF(OR(L482=phu!$I$94,L482=phu!$I$95,L482=phu!$I$96,L482=phu!$I$97,L482=phu!$I$98,L482=phu!$I$99,L482=phu!$I$100),"Huyện khác",""),IF(OR(L482=phu!$I$101,L482=phu!$I$102),"Tỉnh khác",""))</f>
        <v/>
      </c>
      <c r="N482" s="835" t="str">
        <f t="shared" si="38"/>
        <v/>
      </c>
      <c r="O482" s="20"/>
      <c r="P482" s="20"/>
      <c r="Q482" s="20"/>
      <c r="R482" s="20"/>
      <c r="S482" s="20"/>
      <c r="T482" s="21"/>
      <c r="U482" s="21"/>
      <c r="V482" s="21"/>
      <c r="W482" s="7" t="str">
        <f t="shared" si="36"/>
        <v/>
      </c>
      <c r="X482" s="506" t="str">
        <f t="shared" si="37"/>
        <v/>
      </c>
    </row>
    <row r="483" spans="1:24" x14ac:dyDescent="0.25">
      <c r="A483" s="66" t="str">
        <f t="shared" si="39"/>
        <v/>
      </c>
      <c r="B483" s="23" t="str">
        <f t="shared" si="35"/>
        <v/>
      </c>
      <c r="C483" s="15"/>
      <c r="D483" s="16"/>
      <c r="E483" s="17"/>
      <c r="F483" s="18"/>
      <c r="G483" s="18"/>
      <c r="H483" s="19"/>
      <c r="I483" s="26"/>
      <c r="J483" s="20"/>
      <c r="K483" s="15"/>
      <c r="L483" s="15"/>
      <c r="M483" s="531" t="str">
        <f>CONCATENATE(IF(OR(L483=phu!$I$1,L483=phu!$I$2,L483=phu!$I$3),"Cam Thành Nam",""),IF(OR(L483=phu!$I$4,L483=phu!$I$5,L483=phu!$I$6,L483=phu!$I$7,L483=phu!$I$8,L483=phu!$I$9,L483=phu!$I$10,L483=phu!$I$11,L483=phu!$I$12,L483=phu!$I$13,L483=phu!$I$14),"Cam Nghĩa",""),IF(OR(L483=phu!$I$15,L483=phu!$I$16,L483=phu!$I$17,L483=phu!$I$18,L483=phu!$I$19,L483=phu!$I$20,L483=phu!$I$21),"Cam Phúc Bắc",""),IF(OR(L483=phu!$I$22,L483=phu!$I$23,L483=phu!$I$24,L483=phu!$I$25),"Cam Phúc Nam",""),IF(OR(L483=phu!$I$26,L483=phu!$I$27,L483=phu!$I$28,L483=phu!$I$29,L483=phu!$I$30,L483=phu!$I$31),"Cam Phú",""),IF(OR(L483=phu!$I$32,L483=phu!$I$33,L483=phu!$I$34,L483=phu!$I$35,L483=phu!$I$36,L483=phu!$I$37),"Cam Lộc",""),IF(OR(L483=phu!$I$38,L483=phu!$I$39,L483=phu!$I$40,L483=phu!$I$41,L483=phu!$I$42,L483=phu!$I$43,L483=phu!$I$44),"Cam Thuận",""),IF(OR(L483=phu!$I$45,L483=phu!$I$46,L483=phu!$I$47,L483=phu!$I$48,L483=phu!$I$49,L483=phu!$I$50,L483=phu!$I$51,L483=phu!$I$52,L483=phu!$I$53),"Cam Linh",""),IF(OR(L483=phu!$I$54,L483=phu!$I$55,L483=phu!$I$56,L483=phu!$I$57,L483=phu!$I$58,L483=phu!$I$59,L483=phu!$I$60,L483=phu!$I$61,L483=phu!$I$62),"Cam Lợi",""),IF(OR(L483=phu!$I$63,L483=phu!$I$64,L483=phu!$I$65,L483=phu!$I$66,L483=phu!$I$67,L483=phu!$I$68,L483=phu!$I$69,L483=phu!$I$70,L483=phu!$I$71),"Ba Ngòi",""),IF(OR(L483=phu!$I$72,L483=phu!$I$73,L483=phu!$I$74,L483=phu!$I$75,L483=phu!$I$76,L483=phu!$I$77,L483=phu!$I$78),"Cam Phước Đông",""),IF(OR(L483=phu!$I$79,L483=phu!$I$80,L483=phu!$I$81,L483=phu!$I$82,L483=phu!$I$83,L483=phu!$I$84),"Cam Thịnh Đông",""),IF(OR(L483=phu!$I$85,L483=phu!$I$86,L483=phu!$I$87,L483=phu!$I$88),"Cam Thịnh Tây",""),IF(OR(L483=phu!$I$89,L483=phu!$I$90),"Cam Lập",""),IF(OR(L483=phu!$I$91,L483=phu!$I$92,L483=phu!$I$93),"Cam Bình",""),IF(OR(L483=phu!$I$94,L483=phu!$I$95,L483=phu!$I$96,L483=phu!$I$97,L483=phu!$I$98,L483=phu!$I$99,L483=phu!$I$100),"Huyện khác",""),IF(OR(L483=phu!$I$101,L483=phu!$I$102),"Tỉnh khác",""))</f>
        <v/>
      </c>
      <c r="N483" s="835" t="str">
        <f t="shared" si="38"/>
        <v/>
      </c>
      <c r="O483" s="20"/>
      <c r="P483" s="20"/>
      <c r="Q483" s="20"/>
      <c r="R483" s="20"/>
      <c r="S483" s="20"/>
      <c r="T483" s="21"/>
      <c r="U483" s="21"/>
      <c r="V483" s="21"/>
      <c r="W483" s="7" t="str">
        <f t="shared" si="36"/>
        <v/>
      </c>
      <c r="X483" s="506" t="str">
        <f t="shared" si="37"/>
        <v/>
      </c>
    </row>
    <row r="484" spans="1:24" x14ac:dyDescent="0.25">
      <c r="A484" s="66" t="str">
        <f t="shared" si="39"/>
        <v/>
      </c>
      <c r="B484" s="23" t="str">
        <f t="shared" si="35"/>
        <v/>
      </c>
      <c r="C484" s="15"/>
      <c r="D484" s="16"/>
      <c r="E484" s="17"/>
      <c r="F484" s="18"/>
      <c r="G484" s="18"/>
      <c r="H484" s="19"/>
      <c r="I484" s="15"/>
      <c r="J484" s="20"/>
      <c r="K484" s="15"/>
      <c r="L484" s="15"/>
      <c r="M484" s="531" t="str">
        <f>CONCATENATE(IF(OR(L484=phu!$I$1,L484=phu!$I$2,L484=phu!$I$3),"Cam Thành Nam",""),IF(OR(L484=phu!$I$4,L484=phu!$I$5,L484=phu!$I$6,L484=phu!$I$7,L484=phu!$I$8,L484=phu!$I$9,L484=phu!$I$10,L484=phu!$I$11,L484=phu!$I$12,L484=phu!$I$13,L484=phu!$I$14),"Cam Nghĩa",""),IF(OR(L484=phu!$I$15,L484=phu!$I$16,L484=phu!$I$17,L484=phu!$I$18,L484=phu!$I$19,L484=phu!$I$20,L484=phu!$I$21),"Cam Phúc Bắc",""),IF(OR(L484=phu!$I$22,L484=phu!$I$23,L484=phu!$I$24,L484=phu!$I$25),"Cam Phúc Nam",""),IF(OR(L484=phu!$I$26,L484=phu!$I$27,L484=phu!$I$28,L484=phu!$I$29,L484=phu!$I$30,L484=phu!$I$31),"Cam Phú",""),IF(OR(L484=phu!$I$32,L484=phu!$I$33,L484=phu!$I$34,L484=phu!$I$35,L484=phu!$I$36,L484=phu!$I$37),"Cam Lộc",""),IF(OR(L484=phu!$I$38,L484=phu!$I$39,L484=phu!$I$40,L484=phu!$I$41,L484=phu!$I$42,L484=phu!$I$43,L484=phu!$I$44),"Cam Thuận",""),IF(OR(L484=phu!$I$45,L484=phu!$I$46,L484=phu!$I$47,L484=phu!$I$48,L484=phu!$I$49,L484=phu!$I$50,L484=phu!$I$51,L484=phu!$I$52,L484=phu!$I$53),"Cam Linh",""),IF(OR(L484=phu!$I$54,L484=phu!$I$55,L484=phu!$I$56,L484=phu!$I$57,L484=phu!$I$58,L484=phu!$I$59,L484=phu!$I$60,L484=phu!$I$61,L484=phu!$I$62),"Cam Lợi",""),IF(OR(L484=phu!$I$63,L484=phu!$I$64,L484=phu!$I$65,L484=phu!$I$66,L484=phu!$I$67,L484=phu!$I$68,L484=phu!$I$69,L484=phu!$I$70,L484=phu!$I$71),"Ba Ngòi",""),IF(OR(L484=phu!$I$72,L484=phu!$I$73,L484=phu!$I$74,L484=phu!$I$75,L484=phu!$I$76,L484=phu!$I$77,L484=phu!$I$78),"Cam Phước Đông",""),IF(OR(L484=phu!$I$79,L484=phu!$I$80,L484=phu!$I$81,L484=phu!$I$82,L484=phu!$I$83,L484=phu!$I$84),"Cam Thịnh Đông",""),IF(OR(L484=phu!$I$85,L484=phu!$I$86,L484=phu!$I$87,L484=phu!$I$88),"Cam Thịnh Tây",""),IF(OR(L484=phu!$I$89,L484=phu!$I$90),"Cam Lập",""),IF(OR(L484=phu!$I$91,L484=phu!$I$92,L484=phu!$I$93),"Cam Bình",""),IF(OR(L484=phu!$I$94,L484=phu!$I$95,L484=phu!$I$96,L484=phu!$I$97,L484=phu!$I$98,L484=phu!$I$99,L484=phu!$I$100),"Huyện khác",""),IF(OR(L484=phu!$I$101,L484=phu!$I$102),"Tỉnh khác",""))</f>
        <v/>
      </c>
      <c r="N484" s="835" t="str">
        <f t="shared" si="38"/>
        <v/>
      </c>
      <c r="O484" s="20"/>
      <c r="P484" s="20"/>
      <c r="Q484" s="20"/>
      <c r="R484" s="20"/>
      <c r="S484" s="20"/>
      <c r="T484" s="21"/>
      <c r="U484" s="21"/>
      <c r="V484" s="21"/>
      <c r="W484" s="7" t="str">
        <f t="shared" si="36"/>
        <v/>
      </c>
      <c r="X484" s="506" t="str">
        <f t="shared" si="37"/>
        <v/>
      </c>
    </row>
    <row r="485" spans="1:24" x14ac:dyDescent="0.25">
      <c r="A485" s="66" t="str">
        <f t="shared" si="39"/>
        <v/>
      </c>
      <c r="B485" s="23" t="str">
        <f t="shared" si="35"/>
        <v/>
      </c>
      <c r="C485" s="15"/>
      <c r="D485" s="16"/>
      <c r="E485" s="17"/>
      <c r="F485" s="18"/>
      <c r="G485" s="18"/>
      <c r="H485" s="19"/>
      <c r="I485" s="15"/>
      <c r="J485" s="20"/>
      <c r="K485" s="15"/>
      <c r="L485" s="15"/>
      <c r="M485" s="531" t="str">
        <f>CONCATENATE(IF(OR(L485=phu!$I$1,L485=phu!$I$2,L485=phu!$I$3),"Cam Thành Nam",""),IF(OR(L485=phu!$I$4,L485=phu!$I$5,L485=phu!$I$6,L485=phu!$I$7,L485=phu!$I$8,L485=phu!$I$9,L485=phu!$I$10,L485=phu!$I$11,L485=phu!$I$12,L485=phu!$I$13,L485=phu!$I$14),"Cam Nghĩa",""),IF(OR(L485=phu!$I$15,L485=phu!$I$16,L485=phu!$I$17,L485=phu!$I$18,L485=phu!$I$19,L485=phu!$I$20,L485=phu!$I$21),"Cam Phúc Bắc",""),IF(OR(L485=phu!$I$22,L485=phu!$I$23,L485=phu!$I$24,L485=phu!$I$25),"Cam Phúc Nam",""),IF(OR(L485=phu!$I$26,L485=phu!$I$27,L485=phu!$I$28,L485=phu!$I$29,L485=phu!$I$30,L485=phu!$I$31),"Cam Phú",""),IF(OR(L485=phu!$I$32,L485=phu!$I$33,L485=phu!$I$34,L485=phu!$I$35,L485=phu!$I$36,L485=phu!$I$37),"Cam Lộc",""),IF(OR(L485=phu!$I$38,L485=phu!$I$39,L485=phu!$I$40,L485=phu!$I$41,L485=phu!$I$42,L485=phu!$I$43,L485=phu!$I$44),"Cam Thuận",""),IF(OR(L485=phu!$I$45,L485=phu!$I$46,L485=phu!$I$47,L485=phu!$I$48,L485=phu!$I$49,L485=phu!$I$50,L485=phu!$I$51,L485=phu!$I$52,L485=phu!$I$53),"Cam Linh",""),IF(OR(L485=phu!$I$54,L485=phu!$I$55,L485=phu!$I$56,L485=phu!$I$57,L485=phu!$I$58,L485=phu!$I$59,L485=phu!$I$60,L485=phu!$I$61,L485=phu!$I$62),"Cam Lợi",""),IF(OR(L485=phu!$I$63,L485=phu!$I$64,L485=phu!$I$65,L485=phu!$I$66,L485=phu!$I$67,L485=phu!$I$68,L485=phu!$I$69,L485=phu!$I$70,L485=phu!$I$71),"Ba Ngòi",""),IF(OR(L485=phu!$I$72,L485=phu!$I$73,L485=phu!$I$74,L485=phu!$I$75,L485=phu!$I$76,L485=phu!$I$77,L485=phu!$I$78),"Cam Phước Đông",""),IF(OR(L485=phu!$I$79,L485=phu!$I$80,L485=phu!$I$81,L485=phu!$I$82,L485=phu!$I$83,L485=phu!$I$84),"Cam Thịnh Đông",""),IF(OR(L485=phu!$I$85,L485=phu!$I$86,L485=phu!$I$87,L485=phu!$I$88),"Cam Thịnh Tây",""),IF(OR(L485=phu!$I$89,L485=phu!$I$90),"Cam Lập",""),IF(OR(L485=phu!$I$91,L485=phu!$I$92,L485=phu!$I$93),"Cam Bình",""),IF(OR(L485=phu!$I$94,L485=phu!$I$95,L485=phu!$I$96,L485=phu!$I$97,L485=phu!$I$98,L485=phu!$I$99,L485=phu!$I$100),"Huyện khác",""),IF(OR(L485=phu!$I$101,L485=phu!$I$102),"Tỉnh khác",""))</f>
        <v/>
      </c>
      <c r="N485" s="835" t="str">
        <f t="shared" si="38"/>
        <v/>
      </c>
      <c r="O485" s="20"/>
      <c r="P485" s="20"/>
      <c r="Q485" s="20"/>
      <c r="R485" s="20"/>
      <c r="S485" s="20"/>
      <c r="T485" s="21"/>
      <c r="U485" s="21"/>
      <c r="V485" s="21"/>
      <c r="W485" s="7" t="str">
        <f t="shared" si="36"/>
        <v/>
      </c>
      <c r="X485" s="506" t="str">
        <f t="shared" si="37"/>
        <v/>
      </c>
    </row>
    <row r="486" spans="1:24" x14ac:dyDescent="0.25">
      <c r="A486" s="66" t="str">
        <f t="shared" si="39"/>
        <v/>
      </c>
      <c r="B486" s="23" t="str">
        <f t="shared" si="35"/>
        <v/>
      </c>
      <c r="C486" s="15"/>
      <c r="D486" s="16"/>
      <c r="E486" s="17"/>
      <c r="F486" s="18"/>
      <c r="G486" s="18"/>
      <c r="H486" s="19"/>
      <c r="I486" s="15"/>
      <c r="J486" s="20"/>
      <c r="K486" s="15"/>
      <c r="L486" s="15"/>
      <c r="M486" s="531" t="str">
        <f>CONCATENATE(IF(OR(L486=phu!$I$1,L486=phu!$I$2,L486=phu!$I$3),"Cam Thành Nam",""),IF(OR(L486=phu!$I$4,L486=phu!$I$5,L486=phu!$I$6,L486=phu!$I$7,L486=phu!$I$8,L486=phu!$I$9,L486=phu!$I$10,L486=phu!$I$11,L486=phu!$I$12,L486=phu!$I$13,L486=phu!$I$14),"Cam Nghĩa",""),IF(OR(L486=phu!$I$15,L486=phu!$I$16,L486=phu!$I$17,L486=phu!$I$18,L486=phu!$I$19,L486=phu!$I$20,L486=phu!$I$21),"Cam Phúc Bắc",""),IF(OR(L486=phu!$I$22,L486=phu!$I$23,L486=phu!$I$24,L486=phu!$I$25),"Cam Phúc Nam",""),IF(OR(L486=phu!$I$26,L486=phu!$I$27,L486=phu!$I$28,L486=phu!$I$29,L486=phu!$I$30,L486=phu!$I$31),"Cam Phú",""),IF(OR(L486=phu!$I$32,L486=phu!$I$33,L486=phu!$I$34,L486=phu!$I$35,L486=phu!$I$36,L486=phu!$I$37),"Cam Lộc",""),IF(OR(L486=phu!$I$38,L486=phu!$I$39,L486=phu!$I$40,L486=phu!$I$41,L486=phu!$I$42,L486=phu!$I$43,L486=phu!$I$44),"Cam Thuận",""),IF(OR(L486=phu!$I$45,L486=phu!$I$46,L486=phu!$I$47,L486=phu!$I$48,L486=phu!$I$49,L486=phu!$I$50,L486=phu!$I$51,L486=phu!$I$52,L486=phu!$I$53),"Cam Linh",""),IF(OR(L486=phu!$I$54,L486=phu!$I$55,L486=phu!$I$56,L486=phu!$I$57,L486=phu!$I$58,L486=phu!$I$59,L486=phu!$I$60,L486=phu!$I$61,L486=phu!$I$62),"Cam Lợi",""),IF(OR(L486=phu!$I$63,L486=phu!$I$64,L486=phu!$I$65,L486=phu!$I$66,L486=phu!$I$67,L486=phu!$I$68,L486=phu!$I$69,L486=phu!$I$70,L486=phu!$I$71),"Ba Ngòi",""),IF(OR(L486=phu!$I$72,L486=phu!$I$73,L486=phu!$I$74,L486=phu!$I$75,L486=phu!$I$76,L486=phu!$I$77,L486=phu!$I$78),"Cam Phước Đông",""),IF(OR(L486=phu!$I$79,L486=phu!$I$80,L486=phu!$I$81,L486=phu!$I$82,L486=phu!$I$83,L486=phu!$I$84),"Cam Thịnh Đông",""),IF(OR(L486=phu!$I$85,L486=phu!$I$86,L486=phu!$I$87,L486=phu!$I$88),"Cam Thịnh Tây",""),IF(OR(L486=phu!$I$89,L486=phu!$I$90),"Cam Lập",""),IF(OR(L486=phu!$I$91,L486=phu!$I$92,L486=phu!$I$93),"Cam Bình",""),IF(OR(L486=phu!$I$94,L486=phu!$I$95,L486=phu!$I$96,L486=phu!$I$97,L486=phu!$I$98,L486=phu!$I$99,L486=phu!$I$100),"Huyện khác",""),IF(OR(L486=phu!$I$101,L486=phu!$I$102),"Tỉnh khác",""))</f>
        <v/>
      </c>
      <c r="N486" s="835" t="str">
        <f t="shared" si="38"/>
        <v/>
      </c>
      <c r="O486" s="20"/>
      <c r="P486" s="20"/>
      <c r="Q486" s="20"/>
      <c r="R486" s="20"/>
      <c r="S486" s="20"/>
      <c r="T486" s="21"/>
      <c r="U486" s="21"/>
      <c r="V486" s="21"/>
      <c r="W486" s="7" t="str">
        <f t="shared" si="36"/>
        <v/>
      </c>
      <c r="X486" s="506" t="str">
        <f t="shared" si="37"/>
        <v/>
      </c>
    </row>
    <row r="487" spans="1:24" x14ac:dyDescent="0.25">
      <c r="A487" s="66" t="str">
        <f t="shared" si="39"/>
        <v/>
      </c>
      <c r="B487" s="23" t="str">
        <f t="shared" si="35"/>
        <v/>
      </c>
      <c r="C487" s="15"/>
      <c r="D487" s="16"/>
      <c r="E487" s="17"/>
      <c r="F487" s="18"/>
      <c r="G487" s="18"/>
      <c r="H487" s="19"/>
      <c r="I487" s="15"/>
      <c r="J487" s="20"/>
      <c r="K487" s="15"/>
      <c r="L487" s="15"/>
      <c r="M487" s="531" t="str">
        <f>CONCATENATE(IF(OR(L487=phu!$I$1,L487=phu!$I$2,L487=phu!$I$3),"Cam Thành Nam",""),IF(OR(L487=phu!$I$4,L487=phu!$I$5,L487=phu!$I$6,L487=phu!$I$7,L487=phu!$I$8,L487=phu!$I$9,L487=phu!$I$10,L487=phu!$I$11,L487=phu!$I$12,L487=phu!$I$13,L487=phu!$I$14),"Cam Nghĩa",""),IF(OR(L487=phu!$I$15,L487=phu!$I$16,L487=phu!$I$17,L487=phu!$I$18,L487=phu!$I$19,L487=phu!$I$20,L487=phu!$I$21),"Cam Phúc Bắc",""),IF(OR(L487=phu!$I$22,L487=phu!$I$23,L487=phu!$I$24,L487=phu!$I$25),"Cam Phúc Nam",""),IF(OR(L487=phu!$I$26,L487=phu!$I$27,L487=phu!$I$28,L487=phu!$I$29,L487=phu!$I$30,L487=phu!$I$31),"Cam Phú",""),IF(OR(L487=phu!$I$32,L487=phu!$I$33,L487=phu!$I$34,L487=phu!$I$35,L487=phu!$I$36,L487=phu!$I$37),"Cam Lộc",""),IF(OR(L487=phu!$I$38,L487=phu!$I$39,L487=phu!$I$40,L487=phu!$I$41,L487=phu!$I$42,L487=phu!$I$43,L487=phu!$I$44),"Cam Thuận",""),IF(OR(L487=phu!$I$45,L487=phu!$I$46,L487=phu!$I$47,L487=phu!$I$48,L487=phu!$I$49,L487=phu!$I$50,L487=phu!$I$51,L487=phu!$I$52,L487=phu!$I$53),"Cam Linh",""),IF(OR(L487=phu!$I$54,L487=phu!$I$55,L487=phu!$I$56,L487=phu!$I$57,L487=phu!$I$58,L487=phu!$I$59,L487=phu!$I$60,L487=phu!$I$61,L487=phu!$I$62),"Cam Lợi",""),IF(OR(L487=phu!$I$63,L487=phu!$I$64,L487=phu!$I$65,L487=phu!$I$66,L487=phu!$I$67,L487=phu!$I$68,L487=phu!$I$69,L487=phu!$I$70,L487=phu!$I$71),"Ba Ngòi",""),IF(OR(L487=phu!$I$72,L487=phu!$I$73,L487=phu!$I$74,L487=phu!$I$75,L487=phu!$I$76,L487=phu!$I$77,L487=phu!$I$78),"Cam Phước Đông",""),IF(OR(L487=phu!$I$79,L487=phu!$I$80,L487=phu!$I$81,L487=phu!$I$82,L487=phu!$I$83,L487=phu!$I$84),"Cam Thịnh Đông",""),IF(OR(L487=phu!$I$85,L487=phu!$I$86,L487=phu!$I$87,L487=phu!$I$88),"Cam Thịnh Tây",""),IF(OR(L487=phu!$I$89,L487=phu!$I$90),"Cam Lập",""),IF(OR(L487=phu!$I$91,L487=phu!$I$92,L487=phu!$I$93),"Cam Bình",""),IF(OR(L487=phu!$I$94,L487=phu!$I$95,L487=phu!$I$96,L487=phu!$I$97,L487=phu!$I$98,L487=phu!$I$99,L487=phu!$I$100),"Huyện khác",""),IF(OR(L487=phu!$I$101,L487=phu!$I$102),"Tỉnh khác",""))</f>
        <v/>
      </c>
      <c r="N487" s="835" t="str">
        <f t="shared" si="38"/>
        <v/>
      </c>
      <c r="O487" s="20"/>
      <c r="P487" s="20"/>
      <c r="Q487" s="20"/>
      <c r="R487" s="20"/>
      <c r="S487" s="20"/>
      <c r="T487" s="21"/>
      <c r="U487" s="21"/>
      <c r="V487" s="21"/>
      <c r="W487" s="7" t="str">
        <f t="shared" si="36"/>
        <v/>
      </c>
      <c r="X487" s="506" t="str">
        <f t="shared" si="37"/>
        <v/>
      </c>
    </row>
    <row r="488" spans="1:24" x14ac:dyDescent="0.25">
      <c r="A488" s="66" t="str">
        <f t="shared" si="39"/>
        <v/>
      </c>
      <c r="B488" s="23" t="str">
        <f t="shared" si="35"/>
        <v/>
      </c>
      <c r="C488" s="15"/>
      <c r="D488" s="16"/>
      <c r="E488" s="17"/>
      <c r="F488" s="18"/>
      <c r="G488" s="18"/>
      <c r="H488" s="19"/>
      <c r="I488" s="15"/>
      <c r="J488" s="20"/>
      <c r="K488" s="15"/>
      <c r="L488" s="15"/>
      <c r="M488" s="531" t="str">
        <f>CONCATENATE(IF(OR(L488=phu!$I$1,L488=phu!$I$2,L488=phu!$I$3),"Cam Thành Nam",""),IF(OR(L488=phu!$I$4,L488=phu!$I$5,L488=phu!$I$6,L488=phu!$I$7,L488=phu!$I$8,L488=phu!$I$9,L488=phu!$I$10,L488=phu!$I$11,L488=phu!$I$12,L488=phu!$I$13,L488=phu!$I$14),"Cam Nghĩa",""),IF(OR(L488=phu!$I$15,L488=phu!$I$16,L488=phu!$I$17,L488=phu!$I$18,L488=phu!$I$19,L488=phu!$I$20,L488=phu!$I$21),"Cam Phúc Bắc",""),IF(OR(L488=phu!$I$22,L488=phu!$I$23,L488=phu!$I$24,L488=phu!$I$25),"Cam Phúc Nam",""),IF(OR(L488=phu!$I$26,L488=phu!$I$27,L488=phu!$I$28,L488=phu!$I$29,L488=phu!$I$30,L488=phu!$I$31),"Cam Phú",""),IF(OR(L488=phu!$I$32,L488=phu!$I$33,L488=phu!$I$34,L488=phu!$I$35,L488=phu!$I$36,L488=phu!$I$37),"Cam Lộc",""),IF(OR(L488=phu!$I$38,L488=phu!$I$39,L488=phu!$I$40,L488=phu!$I$41,L488=phu!$I$42,L488=phu!$I$43,L488=phu!$I$44),"Cam Thuận",""),IF(OR(L488=phu!$I$45,L488=phu!$I$46,L488=phu!$I$47,L488=phu!$I$48,L488=phu!$I$49,L488=phu!$I$50,L488=phu!$I$51,L488=phu!$I$52,L488=phu!$I$53),"Cam Linh",""),IF(OR(L488=phu!$I$54,L488=phu!$I$55,L488=phu!$I$56,L488=phu!$I$57,L488=phu!$I$58,L488=phu!$I$59,L488=phu!$I$60,L488=phu!$I$61,L488=phu!$I$62),"Cam Lợi",""),IF(OR(L488=phu!$I$63,L488=phu!$I$64,L488=phu!$I$65,L488=phu!$I$66,L488=phu!$I$67,L488=phu!$I$68,L488=phu!$I$69,L488=phu!$I$70,L488=phu!$I$71),"Ba Ngòi",""),IF(OR(L488=phu!$I$72,L488=phu!$I$73,L488=phu!$I$74,L488=phu!$I$75,L488=phu!$I$76,L488=phu!$I$77,L488=phu!$I$78),"Cam Phước Đông",""),IF(OR(L488=phu!$I$79,L488=phu!$I$80,L488=phu!$I$81,L488=phu!$I$82,L488=phu!$I$83,L488=phu!$I$84),"Cam Thịnh Đông",""),IF(OR(L488=phu!$I$85,L488=phu!$I$86,L488=phu!$I$87,L488=phu!$I$88),"Cam Thịnh Tây",""),IF(OR(L488=phu!$I$89,L488=phu!$I$90),"Cam Lập",""),IF(OR(L488=phu!$I$91,L488=phu!$I$92,L488=phu!$I$93),"Cam Bình",""),IF(OR(L488=phu!$I$94,L488=phu!$I$95,L488=phu!$I$96,L488=phu!$I$97,L488=phu!$I$98,L488=phu!$I$99,L488=phu!$I$100),"Huyện khác",""),IF(OR(L488=phu!$I$101,L488=phu!$I$102),"Tỉnh khác",""))</f>
        <v/>
      </c>
      <c r="N488" s="835" t="str">
        <f t="shared" si="38"/>
        <v/>
      </c>
      <c r="O488" s="20"/>
      <c r="P488" s="20"/>
      <c r="Q488" s="20"/>
      <c r="R488" s="20"/>
      <c r="S488" s="20"/>
      <c r="T488" s="21"/>
      <c r="U488" s="21"/>
      <c r="V488" s="21"/>
      <c r="W488" s="7" t="str">
        <f t="shared" si="36"/>
        <v/>
      </c>
      <c r="X488" s="506" t="str">
        <f t="shared" si="37"/>
        <v/>
      </c>
    </row>
    <row r="489" spans="1:24" x14ac:dyDescent="0.25">
      <c r="A489" s="66" t="str">
        <f t="shared" si="39"/>
        <v/>
      </c>
      <c r="B489" s="23" t="str">
        <f t="shared" si="35"/>
        <v/>
      </c>
      <c r="C489" s="15"/>
      <c r="D489" s="16"/>
      <c r="E489" s="17"/>
      <c r="F489" s="18"/>
      <c r="G489" s="18"/>
      <c r="H489" s="19"/>
      <c r="I489" s="15"/>
      <c r="J489" s="20"/>
      <c r="K489" s="15"/>
      <c r="L489" s="15"/>
      <c r="M489" s="531" t="str">
        <f>CONCATENATE(IF(OR(L489=phu!$I$1,L489=phu!$I$2,L489=phu!$I$3),"Cam Thành Nam",""),IF(OR(L489=phu!$I$4,L489=phu!$I$5,L489=phu!$I$6,L489=phu!$I$7,L489=phu!$I$8,L489=phu!$I$9,L489=phu!$I$10,L489=phu!$I$11,L489=phu!$I$12,L489=phu!$I$13,L489=phu!$I$14),"Cam Nghĩa",""),IF(OR(L489=phu!$I$15,L489=phu!$I$16,L489=phu!$I$17,L489=phu!$I$18,L489=phu!$I$19,L489=phu!$I$20,L489=phu!$I$21),"Cam Phúc Bắc",""),IF(OR(L489=phu!$I$22,L489=phu!$I$23,L489=phu!$I$24,L489=phu!$I$25),"Cam Phúc Nam",""),IF(OR(L489=phu!$I$26,L489=phu!$I$27,L489=phu!$I$28,L489=phu!$I$29,L489=phu!$I$30,L489=phu!$I$31),"Cam Phú",""),IF(OR(L489=phu!$I$32,L489=phu!$I$33,L489=phu!$I$34,L489=phu!$I$35,L489=phu!$I$36,L489=phu!$I$37),"Cam Lộc",""),IF(OR(L489=phu!$I$38,L489=phu!$I$39,L489=phu!$I$40,L489=phu!$I$41,L489=phu!$I$42,L489=phu!$I$43,L489=phu!$I$44),"Cam Thuận",""),IF(OR(L489=phu!$I$45,L489=phu!$I$46,L489=phu!$I$47,L489=phu!$I$48,L489=phu!$I$49,L489=phu!$I$50,L489=phu!$I$51,L489=phu!$I$52,L489=phu!$I$53),"Cam Linh",""),IF(OR(L489=phu!$I$54,L489=phu!$I$55,L489=phu!$I$56,L489=phu!$I$57,L489=phu!$I$58,L489=phu!$I$59,L489=phu!$I$60,L489=phu!$I$61,L489=phu!$I$62),"Cam Lợi",""),IF(OR(L489=phu!$I$63,L489=phu!$I$64,L489=phu!$I$65,L489=phu!$I$66,L489=phu!$I$67,L489=phu!$I$68,L489=phu!$I$69,L489=phu!$I$70,L489=phu!$I$71),"Ba Ngòi",""),IF(OR(L489=phu!$I$72,L489=phu!$I$73,L489=phu!$I$74,L489=phu!$I$75,L489=phu!$I$76,L489=phu!$I$77,L489=phu!$I$78),"Cam Phước Đông",""),IF(OR(L489=phu!$I$79,L489=phu!$I$80,L489=phu!$I$81,L489=phu!$I$82,L489=phu!$I$83,L489=phu!$I$84),"Cam Thịnh Đông",""),IF(OR(L489=phu!$I$85,L489=phu!$I$86,L489=phu!$I$87,L489=phu!$I$88),"Cam Thịnh Tây",""),IF(OR(L489=phu!$I$89,L489=phu!$I$90),"Cam Lập",""),IF(OR(L489=phu!$I$91,L489=phu!$I$92,L489=phu!$I$93),"Cam Bình",""),IF(OR(L489=phu!$I$94,L489=phu!$I$95,L489=phu!$I$96,L489=phu!$I$97,L489=phu!$I$98,L489=phu!$I$99,L489=phu!$I$100),"Huyện khác",""),IF(OR(L489=phu!$I$101,L489=phu!$I$102),"Tỉnh khác",""))</f>
        <v/>
      </c>
      <c r="N489" s="835" t="str">
        <f t="shared" si="38"/>
        <v/>
      </c>
      <c r="O489" s="20"/>
      <c r="P489" s="20"/>
      <c r="Q489" s="20"/>
      <c r="R489" s="20"/>
      <c r="S489" s="20"/>
      <c r="T489" s="21"/>
      <c r="U489" s="21"/>
      <c r="V489" s="21"/>
      <c r="W489" s="7" t="str">
        <f t="shared" si="36"/>
        <v/>
      </c>
      <c r="X489" s="506" t="str">
        <f t="shared" si="37"/>
        <v/>
      </c>
    </row>
    <row r="490" spans="1:24" x14ac:dyDescent="0.25">
      <c r="A490" s="66" t="str">
        <f t="shared" si="39"/>
        <v/>
      </c>
      <c r="B490" s="23" t="str">
        <f t="shared" si="35"/>
        <v/>
      </c>
      <c r="C490" s="15"/>
      <c r="D490" s="16"/>
      <c r="E490" s="17"/>
      <c r="F490" s="18"/>
      <c r="G490" s="18"/>
      <c r="H490" s="19"/>
      <c r="I490" s="15"/>
      <c r="J490" s="20"/>
      <c r="K490" s="15"/>
      <c r="L490" s="15"/>
      <c r="M490" s="531" t="str">
        <f>CONCATENATE(IF(OR(L490=phu!$I$1,L490=phu!$I$2,L490=phu!$I$3),"Cam Thành Nam",""),IF(OR(L490=phu!$I$4,L490=phu!$I$5,L490=phu!$I$6,L490=phu!$I$7,L490=phu!$I$8,L490=phu!$I$9,L490=phu!$I$10,L490=phu!$I$11,L490=phu!$I$12,L490=phu!$I$13,L490=phu!$I$14),"Cam Nghĩa",""),IF(OR(L490=phu!$I$15,L490=phu!$I$16,L490=phu!$I$17,L490=phu!$I$18,L490=phu!$I$19,L490=phu!$I$20,L490=phu!$I$21),"Cam Phúc Bắc",""),IF(OR(L490=phu!$I$22,L490=phu!$I$23,L490=phu!$I$24,L490=phu!$I$25),"Cam Phúc Nam",""),IF(OR(L490=phu!$I$26,L490=phu!$I$27,L490=phu!$I$28,L490=phu!$I$29,L490=phu!$I$30,L490=phu!$I$31),"Cam Phú",""),IF(OR(L490=phu!$I$32,L490=phu!$I$33,L490=phu!$I$34,L490=phu!$I$35,L490=phu!$I$36,L490=phu!$I$37),"Cam Lộc",""),IF(OR(L490=phu!$I$38,L490=phu!$I$39,L490=phu!$I$40,L490=phu!$I$41,L490=phu!$I$42,L490=phu!$I$43,L490=phu!$I$44),"Cam Thuận",""),IF(OR(L490=phu!$I$45,L490=phu!$I$46,L490=phu!$I$47,L490=phu!$I$48,L490=phu!$I$49,L490=phu!$I$50,L490=phu!$I$51,L490=phu!$I$52,L490=phu!$I$53),"Cam Linh",""),IF(OR(L490=phu!$I$54,L490=phu!$I$55,L490=phu!$I$56,L490=phu!$I$57,L490=phu!$I$58,L490=phu!$I$59,L490=phu!$I$60,L490=phu!$I$61,L490=phu!$I$62),"Cam Lợi",""),IF(OR(L490=phu!$I$63,L490=phu!$I$64,L490=phu!$I$65,L490=phu!$I$66,L490=phu!$I$67,L490=phu!$I$68,L490=phu!$I$69,L490=phu!$I$70,L490=phu!$I$71),"Ba Ngòi",""),IF(OR(L490=phu!$I$72,L490=phu!$I$73,L490=phu!$I$74,L490=phu!$I$75,L490=phu!$I$76,L490=phu!$I$77,L490=phu!$I$78),"Cam Phước Đông",""),IF(OR(L490=phu!$I$79,L490=phu!$I$80,L490=phu!$I$81,L490=phu!$I$82,L490=phu!$I$83,L490=phu!$I$84),"Cam Thịnh Đông",""),IF(OR(L490=phu!$I$85,L490=phu!$I$86,L490=phu!$I$87,L490=phu!$I$88),"Cam Thịnh Tây",""),IF(OR(L490=phu!$I$89,L490=phu!$I$90),"Cam Lập",""),IF(OR(L490=phu!$I$91,L490=phu!$I$92,L490=phu!$I$93),"Cam Bình",""),IF(OR(L490=phu!$I$94,L490=phu!$I$95,L490=phu!$I$96,L490=phu!$I$97,L490=phu!$I$98,L490=phu!$I$99,L490=phu!$I$100),"Huyện khác",""),IF(OR(L490=phu!$I$101,L490=phu!$I$102),"Tỉnh khác",""))</f>
        <v/>
      </c>
      <c r="N490" s="835" t="str">
        <f t="shared" si="38"/>
        <v/>
      </c>
      <c r="O490" s="20"/>
      <c r="P490" s="20"/>
      <c r="Q490" s="20"/>
      <c r="R490" s="20"/>
      <c r="S490" s="20"/>
      <c r="T490" s="21"/>
      <c r="U490" s="21"/>
      <c r="V490" s="21"/>
      <c r="W490" s="7" t="str">
        <f t="shared" si="36"/>
        <v/>
      </c>
      <c r="X490" s="506" t="str">
        <f t="shared" si="37"/>
        <v/>
      </c>
    </row>
    <row r="491" spans="1:24" x14ac:dyDescent="0.25">
      <c r="A491" s="66" t="str">
        <f t="shared" si="39"/>
        <v/>
      </c>
      <c r="B491" s="23" t="str">
        <f t="shared" si="35"/>
        <v/>
      </c>
      <c r="C491" s="15"/>
      <c r="D491" s="16"/>
      <c r="E491" s="17"/>
      <c r="F491" s="18"/>
      <c r="G491" s="18"/>
      <c r="H491" s="19"/>
      <c r="I491" s="15"/>
      <c r="J491" s="20"/>
      <c r="K491" s="15"/>
      <c r="L491" s="15"/>
      <c r="M491" s="531" t="str">
        <f>CONCATENATE(IF(OR(L491=phu!$I$1,L491=phu!$I$2,L491=phu!$I$3),"Cam Thành Nam",""),IF(OR(L491=phu!$I$4,L491=phu!$I$5,L491=phu!$I$6,L491=phu!$I$7,L491=phu!$I$8,L491=phu!$I$9,L491=phu!$I$10,L491=phu!$I$11,L491=phu!$I$12,L491=phu!$I$13,L491=phu!$I$14),"Cam Nghĩa",""),IF(OR(L491=phu!$I$15,L491=phu!$I$16,L491=phu!$I$17,L491=phu!$I$18,L491=phu!$I$19,L491=phu!$I$20,L491=phu!$I$21),"Cam Phúc Bắc",""),IF(OR(L491=phu!$I$22,L491=phu!$I$23,L491=phu!$I$24,L491=phu!$I$25),"Cam Phúc Nam",""),IF(OR(L491=phu!$I$26,L491=phu!$I$27,L491=phu!$I$28,L491=phu!$I$29,L491=phu!$I$30,L491=phu!$I$31),"Cam Phú",""),IF(OR(L491=phu!$I$32,L491=phu!$I$33,L491=phu!$I$34,L491=phu!$I$35,L491=phu!$I$36,L491=phu!$I$37),"Cam Lộc",""),IF(OR(L491=phu!$I$38,L491=phu!$I$39,L491=phu!$I$40,L491=phu!$I$41,L491=phu!$I$42,L491=phu!$I$43,L491=phu!$I$44),"Cam Thuận",""),IF(OR(L491=phu!$I$45,L491=phu!$I$46,L491=phu!$I$47,L491=phu!$I$48,L491=phu!$I$49,L491=phu!$I$50,L491=phu!$I$51,L491=phu!$I$52,L491=phu!$I$53),"Cam Linh",""),IF(OR(L491=phu!$I$54,L491=phu!$I$55,L491=phu!$I$56,L491=phu!$I$57,L491=phu!$I$58,L491=phu!$I$59,L491=phu!$I$60,L491=phu!$I$61,L491=phu!$I$62),"Cam Lợi",""),IF(OR(L491=phu!$I$63,L491=phu!$I$64,L491=phu!$I$65,L491=phu!$I$66,L491=phu!$I$67,L491=phu!$I$68,L491=phu!$I$69,L491=phu!$I$70,L491=phu!$I$71),"Ba Ngòi",""),IF(OR(L491=phu!$I$72,L491=phu!$I$73,L491=phu!$I$74,L491=phu!$I$75,L491=phu!$I$76,L491=phu!$I$77,L491=phu!$I$78),"Cam Phước Đông",""),IF(OR(L491=phu!$I$79,L491=phu!$I$80,L491=phu!$I$81,L491=phu!$I$82,L491=phu!$I$83,L491=phu!$I$84),"Cam Thịnh Đông",""),IF(OR(L491=phu!$I$85,L491=phu!$I$86,L491=phu!$I$87,L491=phu!$I$88),"Cam Thịnh Tây",""),IF(OR(L491=phu!$I$89,L491=phu!$I$90),"Cam Lập",""),IF(OR(L491=phu!$I$91,L491=phu!$I$92,L491=phu!$I$93),"Cam Bình",""),IF(OR(L491=phu!$I$94,L491=phu!$I$95,L491=phu!$I$96,L491=phu!$I$97,L491=phu!$I$98,L491=phu!$I$99,L491=phu!$I$100),"Huyện khác",""),IF(OR(L491=phu!$I$101,L491=phu!$I$102),"Tỉnh khác",""))</f>
        <v/>
      </c>
      <c r="N491" s="835" t="str">
        <f t="shared" si="38"/>
        <v/>
      </c>
      <c r="O491" s="20"/>
      <c r="P491" s="20"/>
      <c r="Q491" s="20"/>
      <c r="R491" s="20"/>
      <c r="S491" s="20"/>
      <c r="T491" s="21"/>
      <c r="U491" s="21"/>
      <c r="V491" s="21"/>
      <c r="W491" s="7" t="str">
        <f t="shared" si="36"/>
        <v/>
      </c>
      <c r="X491" s="506" t="str">
        <f t="shared" si="37"/>
        <v/>
      </c>
    </row>
    <row r="492" spans="1:24" x14ac:dyDescent="0.25">
      <c r="A492" s="66" t="str">
        <f t="shared" si="39"/>
        <v/>
      </c>
      <c r="B492" s="23" t="str">
        <f t="shared" si="35"/>
        <v/>
      </c>
      <c r="C492" s="15"/>
      <c r="D492" s="16"/>
      <c r="E492" s="17"/>
      <c r="F492" s="18"/>
      <c r="G492" s="18"/>
      <c r="H492" s="19"/>
      <c r="I492" s="15"/>
      <c r="J492" s="20"/>
      <c r="K492" s="15"/>
      <c r="L492" s="15"/>
      <c r="M492" s="531" t="str">
        <f>CONCATENATE(IF(OR(L492=phu!$I$1,L492=phu!$I$2,L492=phu!$I$3),"Cam Thành Nam",""),IF(OR(L492=phu!$I$4,L492=phu!$I$5,L492=phu!$I$6,L492=phu!$I$7,L492=phu!$I$8,L492=phu!$I$9,L492=phu!$I$10,L492=phu!$I$11,L492=phu!$I$12,L492=phu!$I$13,L492=phu!$I$14),"Cam Nghĩa",""),IF(OR(L492=phu!$I$15,L492=phu!$I$16,L492=phu!$I$17,L492=phu!$I$18,L492=phu!$I$19,L492=phu!$I$20,L492=phu!$I$21),"Cam Phúc Bắc",""),IF(OR(L492=phu!$I$22,L492=phu!$I$23,L492=phu!$I$24,L492=phu!$I$25),"Cam Phúc Nam",""),IF(OR(L492=phu!$I$26,L492=phu!$I$27,L492=phu!$I$28,L492=phu!$I$29,L492=phu!$I$30,L492=phu!$I$31),"Cam Phú",""),IF(OR(L492=phu!$I$32,L492=phu!$I$33,L492=phu!$I$34,L492=phu!$I$35,L492=phu!$I$36,L492=phu!$I$37),"Cam Lộc",""),IF(OR(L492=phu!$I$38,L492=phu!$I$39,L492=phu!$I$40,L492=phu!$I$41,L492=phu!$I$42,L492=phu!$I$43,L492=phu!$I$44),"Cam Thuận",""),IF(OR(L492=phu!$I$45,L492=phu!$I$46,L492=phu!$I$47,L492=phu!$I$48,L492=phu!$I$49,L492=phu!$I$50,L492=phu!$I$51,L492=phu!$I$52,L492=phu!$I$53),"Cam Linh",""),IF(OR(L492=phu!$I$54,L492=phu!$I$55,L492=phu!$I$56,L492=phu!$I$57,L492=phu!$I$58,L492=phu!$I$59,L492=phu!$I$60,L492=phu!$I$61,L492=phu!$I$62),"Cam Lợi",""),IF(OR(L492=phu!$I$63,L492=phu!$I$64,L492=phu!$I$65,L492=phu!$I$66,L492=phu!$I$67,L492=phu!$I$68,L492=phu!$I$69,L492=phu!$I$70,L492=phu!$I$71),"Ba Ngòi",""),IF(OR(L492=phu!$I$72,L492=phu!$I$73,L492=phu!$I$74,L492=phu!$I$75,L492=phu!$I$76,L492=phu!$I$77,L492=phu!$I$78),"Cam Phước Đông",""),IF(OR(L492=phu!$I$79,L492=phu!$I$80,L492=phu!$I$81,L492=phu!$I$82,L492=phu!$I$83,L492=phu!$I$84),"Cam Thịnh Đông",""),IF(OR(L492=phu!$I$85,L492=phu!$I$86,L492=phu!$I$87,L492=phu!$I$88),"Cam Thịnh Tây",""),IF(OR(L492=phu!$I$89,L492=phu!$I$90),"Cam Lập",""),IF(OR(L492=phu!$I$91,L492=phu!$I$92,L492=phu!$I$93),"Cam Bình",""),IF(OR(L492=phu!$I$94,L492=phu!$I$95,L492=phu!$I$96,L492=phu!$I$97,L492=phu!$I$98,L492=phu!$I$99,L492=phu!$I$100),"Huyện khác",""),IF(OR(L492=phu!$I$101,L492=phu!$I$102),"Tỉnh khác",""))</f>
        <v/>
      </c>
      <c r="N492" s="835" t="str">
        <f t="shared" si="38"/>
        <v/>
      </c>
      <c r="O492" s="20"/>
      <c r="P492" s="20"/>
      <c r="Q492" s="20"/>
      <c r="R492" s="20"/>
      <c r="S492" s="20"/>
      <c r="T492" s="21"/>
      <c r="U492" s="21"/>
      <c r="V492" s="21"/>
      <c r="W492" s="7" t="str">
        <f t="shared" si="36"/>
        <v/>
      </c>
      <c r="X492" s="506" t="str">
        <f t="shared" si="37"/>
        <v/>
      </c>
    </row>
    <row r="493" spans="1:24" x14ac:dyDescent="0.25">
      <c r="A493" s="66" t="str">
        <f t="shared" si="39"/>
        <v/>
      </c>
      <c r="B493" s="23" t="str">
        <f t="shared" si="35"/>
        <v/>
      </c>
      <c r="C493" s="15"/>
      <c r="D493" s="16"/>
      <c r="E493" s="17"/>
      <c r="F493" s="18"/>
      <c r="G493" s="18"/>
      <c r="H493" s="19"/>
      <c r="I493" s="15"/>
      <c r="J493" s="20"/>
      <c r="K493" s="15"/>
      <c r="L493" s="15"/>
      <c r="M493" s="531" t="str">
        <f>CONCATENATE(IF(OR(L493=phu!$I$1,L493=phu!$I$2,L493=phu!$I$3),"Cam Thành Nam",""),IF(OR(L493=phu!$I$4,L493=phu!$I$5,L493=phu!$I$6,L493=phu!$I$7,L493=phu!$I$8,L493=phu!$I$9,L493=phu!$I$10,L493=phu!$I$11,L493=phu!$I$12,L493=phu!$I$13,L493=phu!$I$14),"Cam Nghĩa",""),IF(OR(L493=phu!$I$15,L493=phu!$I$16,L493=phu!$I$17,L493=phu!$I$18,L493=phu!$I$19,L493=phu!$I$20,L493=phu!$I$21),"Cam Phúc Bắc",""),IF(OR(L493=phu!$I$22,L493=phu!$I$23,L493=phu!$I$24,L493=phu!$I$25),"Cam Phúc Nam",""),IF(OR(L493=phu!$I$26,L493=phu!$I$27,L493=phu!$I$28,L493=phu!$I$29,L493=phu!$I$30,L493=phu!$I$31),"Cam Phú",""),IF(OR(L493=phu!$I$32,L493=phu!$I$33,L493=phu!$I$34,L493=phu!$I$35,L493=phu!$I$36,L493=phu!$I$37),"Cam Lộc",""),IF(OR(L493=phu!$I$38,L493=phu!$I$39,L493=phu!$I$40,L493=phu!$I$41,L493=phu!$I$42,L493=phu!$I$43,L493=phu!$I$44),"Cam Thuận",""),IF(OR(L493=phu!$I$45,L493=phu!$I$46,L493=phu!$I$47,L493=phu!$I$48,L493=phu!$I$49,L493=phu!$I$50,L493=phu!$I$51,L493=phu!$I$52,L493=phu!$I$53),"Cam Linh",""),IF(OR(L493=phu!$I$54,L493=phu!$I$55,L493=phu!$I$56,L493=phu!$I$57,L493=phu!$I$58,L493=phu!$I$59,L493=phu!$I$60,L493=phu!$I$61,L493=phu!$I$62),"Cam Lợi",""),IF(OR(L493=phu!$I$63,L493=phu!$I$64,L493=phu!$I$65,L493=phu!$I$66,L493=phu!$I$67,L493=phu!$I$68,L493=phu!$I$69,L493=phu!$I$70,L493=phu!$I$71),"Ba Ngòi",""),IF(OR(L493=phu!$I$72,L493=phu!$I$73,L493=phu!$I$74,L493=phu!$I$75,L493=phu!$I$76,L493=phu!$I$77,L493=phu!$I$78),"Cam Phước Đông",""),IF(OR(L493=phu!$I$79,L493=phu!$I$80,L493=phu!$I$81,L493=phu!$I$82,L493=phu!$I$83,L493=phu!$I$84),"Cam Thịnh Đông",""),IF(OR(L493=phu!$I$85,L493=phu!$I$86,L493=phu!$I$87,L493=phu!$I$88),"Cam Thịnh Tây",""),IF(OR(L493=phu!$I$89,L493=phu!$I$90),"Cam Lập",""),IF(OR(L493=phu!$I$91,L493=phu!$I$92,L493=phu!$I$93),"Cam Bình",""),IF(OR(L493=phu!$I$94,L493=phu!$I$95,L493=phu!$I$96,L493=phu!$I$97,L493=phu!$I$98,L493=phu!$I$99,L493=phu!$I$100),"Huyện khác",""),IF(OR(L493=phu!$I$101,L493=phu!$I$102),"Tỉnh khác",""))</f>
        <v/>
      </c>
      <c r="N493" s="835" t="str">
        <f t="shared" si="38"/>
        <v/>
      </c>
      <c r="O493" s="20"/>
      <c r="P493" s="20"/>
      <c r="Q493" s="20"/>
      <c r="R493" s="20"/>
      <c r="S493" s="20"/>
      <c r="T493" s="21"/>
      <c r="U493" s="21"/>
      <c r="V493" s="21"/>
      <c r="W493" s="7" t="str">
        <f t="shared" si="36"/>
        <v/>
      </c>
      <c r="X493" s="506" t="str">
        <f t="shared" si="37"/>
        <v/>
      </c>
    </row>
    <row r="494" spans="1:24" x14ac:dyDescent="0.25">
      <c r="A494" s="66" t="str">
        <f t="shared" si="39"/>
        <v/>
      </c>
      <c r="B494" s="23" t="str">
        <f t="shared" si="35"/>
        <v/>
      </c>
      <c r="C494" s="15"/>
      <c r="D494" s="16"/>
      <c r="E494" s="17"/>
      <c r="F494" s="18"/>
      <c r="G494" s="18"/>
      <c r="H494" s="19"/>
      <c r="I494" s="15"/>
      <c r="J494" s="20"/>
      <c r="K494" s="15"/>
      <c r="L494" s="15"/>
      <c r="M494" s="531" t="str">
        <f>CONCATENATE(IF(OR(L494=phu!$I$1,L494=phu!$I$2,L494=phu!$I$3),"Cam Thành Nam",""),IF(OR(L494=phu!$I$4,L494=phu!$I$5,L494=phu!$I$6,L494=phu!$I$7,L494=phu!$I$8,L494=phu!$I$9,L494=phu!$I$10,L494=phu!$I$11,L494=phu!$I$12,L494=phu!$I$13,L494=phu!$I$14),"Cam Nghĩa",""),IF(OR(L494=phu!$I$15,L494=phu!$I$16,L494=phu!$I$17,L494=phu!$I$18,L494=phu!$I$19,L494=phu!$I$20,L494=phu!$I$21),"Cam Phúc Bắc",""),IF(OR(L494=phu!$I$22,L494=phu!$I$23,L494=phu!$I$24,L494=phu!$I$25),"Cam Phúc Nam",""),IF(OR(L494=phu!$I$26,L494=phu!$I$27,L494=phu!$I$28,L494=phu!$I$29,L494=phu!$I$30,L494=phu!$I$31),"Cam Phú",""),IF(OR(L494=phu!$I$32,L494=phu!$I$33,L494=phu!$I$34,L494=phu!$I$35,L494=phu!$I$36,L494=phu!$I$37),"Cam Lộc",""),IF(OR(L494=phu!$I$38,L494=phu!$I$39,L494=phu!$I$40,L494=phu!$I$41,L494=phu!$I$42,L494=phu!$I$43,L494=phu!$I$44),"Cam Thuận",""),IF(OR(L494=phu!$I$45,L494=phu!$I$46,L494=phu!$I$47,L494=phu!$I$48,L494=phu!$I$49,L494=phu!$I$50,L494=phu!$I$51,L494=phu!$I$52,L494=phu!$I$53),"Cam Linh",""),IF(OR(L494=phu!$I$54,L494=phu!$I$55,L494=phu!$I$56,L494=phu!$I$57,L494=phu!$I$58,L494=phu!$I$59,L494=phu!$I$60,L494=phu!$I$61,L494=phu!$I$62),"Cam Lợi",""),IF(OR(L494=phu!$I$63,L494=phu!$I$64,L494=phu!$I$65,L494=phu!$I$66,L494=phu!$I$67,L494=phu!$I$68,L494=phu!$I$69,L494=phu!$I$70,L494=phu!$I$71),"Ba Ngòi",""),IF(OR(L494=phu!$I$72,L494=phu!$I$73,L494=phu!$I$74,L494=phu!$I$75,L494=phu!$I$76,L494=phu!$I$77,L494=phu!$I$78),"Cam Phước Đông",""),IF(OR(L494=phu!$I$79,L494=phu!$I$80,L494=phu!$I$81,L494=phu!$I$82,L494=phu!$I$83,L494=phu!$I$84),"Cam Thịnh Đông",""),IF(OR(L494=phu!$I$85,L494=phu!$I$86,L494=phu!$I$87,L494=phu!$I$88),"Cam Thịnh Tây",""),IF(OR(L494=phu!$I$89,L494=phu!$I$90),"Cam Lập",""),IF(OR(L494=phu!$I$91,L494=phu!$I$92,L494=phu!$I$93),"Cam Bình",""),IF(OR(L494=phu!$I$94,L494=phu!$I$95,L494=phu!$I$96,L494=phu!$I$97,L494=phu!$I$98,L494=phu!$I$99,L494=phu!$I$100),"Huyện khác",""),IF(OR(L494=phu!$I$101,L494=phu!$I$102),"Tỉnh khác",""))</f>
        <v/>
      </c>
      <c r="N494" s="835" t="str">
        <f t="shared" si="38"/>
        <v/>
      </c>
      <c r="O494" s="20"/>
      <c r="P494" s="20"/>
      <c r="Q494" s="20"/>
      <c r="R494" s="20"/>
      <c r="S494" s="20"/>
      <c r="T494" s="21"/>
      <c r="U494" s="21"/>
      <c r="V494" s="21"/>
      <c r="W494" s="7" t="str">
        <f t="shared" si="36"/>
        <v/>
      </c>
      <c r="X494" s="506" t="str">
        <f t="shared" si="37"/>
        <v/>
      </c>
    </row>
    <row r="495" spans="1:24" x14ac:dyDescent="0.25">
      <c r="A495" s="66" t="str">
        <f t="shared" si="39"/>
        <v/>
      </c>
      <c r="B495" s="23" t="str">
        <f t="shared" si="35"/>
        <v/>
      </c>
      <c r="C495" s="15"/>
      <c r="D495" s="16"/>
      <c r="E495" s="17"/>
      <c r="F495" s="18"/>
      <c r="G495" s="18"/>
      <c r="H495" s="19"/>
      <c r="I495" s="15"/>
      <c r="J495" s="20"/>
      <c r="K495" s="15"/>
      <c r="L495" s="15"/>
      <c r="M495" s="531" t="str">
        <f>CONCATENATE(IF(OR(L495=phu!$I$1,L495=phu!$I$2,L495=phu!$I$3),"Cam Thành Nam",""),IF(OR(L495=phu!$I$4,L495=phu!$I$5,L495=phu!$I$6,L495=phu!$I$7,L495=phu!$I$8,L495=phu!$I$9,L495=phu!$I$10,L495=phu!$I$11,L495=phu!$I$12,L495=phu!$I$13,L495=phu!$I$14),"Cam Nghĩa",""),IF(OR(L495=phu!$I$15,L495=phu!$I$16,L495=phu!$I$17,L495=phu!$I$18,L495=phu!$I$19,L495=phu!$I$20,L495=phu!$I$21),"Cam Phúc Bắc",""),IF(OR(L495=phu!$I$22,L495=phu!$I$23,L495=phu!$I$24,L495=phu!$I$25),"Cam Phúc Nam",""),IF(OR(L495=phu!$I$26,L495=phu!$I$27,L495=phu!$I$28,L495=phu!$I$29,L495=phu!$I$30,L495=phu!$I$31),"Cam Phú",""),IF(OR(L495=phu!$I$32,L495=phu!$I$33,L495=phu!$I$34,L495=phu!$I$35,L495=phu!$I$36,L495=phu!$I$37),"Cam Lộc",""),IF(OR(L495=phu!$I$38,L495=phu!$I$39,L495=phu!$I$40,L495=phu!$I$41,L495=phu!$I$42,L495=phu!$I$43,L495=phu!$I$44),"Cam Thuận",""),IF(OR(L495=phu!$I$45,L495=phu!$I$46,L495=phu!$I$47,L495=phu!$I$48,L495=phu!$I$49,L495=phu!$I$50,L495=phu!$I$51,L495=phu!$I$52,L495=phu!$I$53),"Cam Linh",""),IF(OR(L495=phu!$I$54,L495=phu!$I$55,L495=phu!$I$56,L495=phu!$I$57,L495=phu!$I$58,L495=phu!$I$59,L495=phu!$I$60,L495=phu!$I$61,L495=phu!$I$62),"Cam Lợi",""),IF(OR(L495=phu!$I$63,L495=phu!$I$64,L495=phu!$I$65,L495=phu!$I$66,L495=phu!$I$67,L495=phu!$I$68,L495=phu!$I$69,L495=phu!$I$70,L495=phu!$I$71),"Ba Ngòi",""),IF(OR(L495=phu!$I$72,L495=phu!$I$73,L495=phu!$I$74,L495=phu!$I$75,L495=phu!$I$76,L495=phu!$I$77,L495=phu!$I$78),"Cam Phước Đông",""),IF(OR(L495=phu!$I$79,L495=phu!$I$80,L495=phu!$I$81,L495=phu!$I$82,L495=phu!$I$83,L495=phu!$I$84),"Cam Thịnh Đông",""),IF(OR(L495=phu!$I$85,L495=phu!$I$86,L495=phu!$I$87,L495=phu!$I$88),"Cam Thịnh Tây",""),IF(OR(L495=phu!$I$89,L495=phu!$I$90),"Cam Lập",""),IF(OR(L495=phu!$I$91,L495=phu!$I$92,L495=phu!$I$93),"Cam Bình",""),IF(OR(L495=phu!$I$94,L495=phu!$I$95,L495=phu!$I$96,L495=phu!$I$97,L495=phu!$I$98,L495=phu!$I$99,L495=phu!$I$100),"Huyện khác",""),IF(OR(L495=phu!$I$101,L495=phu!$I$102),"Tỉnh khác",""))</f>
        <v/>
      </c>
      <c r="N495" s="835" t="str">
        <f t="shared" si="38"/>
        <v/>
      </c>
      <c r="O495" s="20"/>
      <c r="P495" s="20"/>
      <c r="Q495" s="20"/>
      <c r="R495" s="20"/>
      <c r="S495" s="20"/>
      <c r="T495" s="21"/>
      <c r="U495" s="21"/>
      <c r="V495" s="21"/>
      <c r="W495" s="7" t="str">
        <f t="shared" si="36"/>
        <v/>
      </c>
      <c r="X495" s="506" t="str">
        <f t="shared" si="37"/>
        <v/>
      </c>
    </row>
    <row r="496" spans="1:24" x14ac:dyDescent="0.25">
      <c r="A496" s="66" t="str">
        <f t="shared" si="39"/>
        <v/>
      </c>
      <c r="B496" s="23" t="str">
        <f t="shared" si="35"/>
        <v/>
      </c>
      <c r="C496" s="15"/>
      <c r="D496" s="16"/>
      <c r="E496" s="17"/>
      <c r="F496" s="18"/>
      <c r="G496" s="18"/>
      <c r="H496" s="19"/>
      <c r="I496" s="15"/>
      <c r="J496" s="20"/>
      <c r="K496" s="15"/>
      <c r="L496" s="15"/>
      <c r="M496" s="531" t="str">
        <f>CONCATENATE(IF(OR(L496=phu!$I$1,L496=phu!$I$2,L496=phu!$I$3),"Cam Thành Nam",""),IF(OR(L496=phu!$I$4,L496=phu!$I$5,L496=phu!$I$6,L496=phu!$I$7,L496=phu!$I$8,L496=phu!$I$9,L496=phu!$I$10,L496=phu!$I$11,L496=phu!$I$12,L496=phu!$I$13,L496=phu!$I$14),"Cam Nghĩa",""),IF(OR(L496=phu!$I$15,L496=phu!$I$16,L496=phu!$I$17,L496=phu!$I$18,L496=phu!$I$19,L496=phu!$I$20,L496=phu!$I$21),"Cam Phúc Bắc",""),IF(OR(L496=phu!$I$22,L496=phu!$I$23,L496=phu!$I$24,L496=phu!$I$25),"Cam Phúc Nam",""),IF(OR(L496=phu!$I$26,L496=phu!$I$27,L496=phu!$I$28,L496=phu!$I$29,L496=phu!$I$30,L496=phu!$I$31),"Cam Phú",""),IF(OR(L496=phu!$I$32,L496=phu!$I$33,L496=phu!$I$34,L496=phu!$I$35,L496=phu!$I$36,L496=phu!$I$37),"Cam Lộc",""),IF(OR(L496=phu!$I$38,L496=phu!$I$39,L496=phu!$I$40,L496=phu!$I$41,L496=phu!$I$42,L496=phu!$I$43,L496=phu!$I$44),"Cam Thuận",""),IF(OR(L496=phu!$I$45,L496=phu!$I$46,L496=phu!$I$47,L496=phu!$I$48,L496=phu!$I$49,L496=phu!$I$50,L496=phu!$I$51,L496=phu!$I$52,L496=phu!$I$53),"Cam Linh",""),IF(OR(L496=phu!$I$54,L496=phu!$I$55,L496=phu!$I$56,L496=phu!$I$57,L496=phu!$I$58,L496=phu!$I$59,L496=phu!$I$60,L496=phu!$I$61,L496=phu!$I$62),"Cam Lợi",""),IF(OR(L496=phu!$I$63,L496=phu!$I$64,L496=phu!$I$65,L496=phu!$I$66,L496=phu!$I$67,L496=phu!$I$68,L496=phu!$I$69,L496=phu!$I$70,L496=phu!$I$71),"Ba Ngòi",""),IF(OR(L496=phu!$I$72,L496=phu!$I$73,L496=phu!$I$74,L496=phu!$I$75,L496=phu!$I$76,L496=phu!$I$77,L496=phu!$I$78),"Cam Phước Đông",""),IF(OR(L496=phu!$I$79,L496=phu!$I$80,L496=phu!$I$81,L496=phu!$I$82,L496=phu!$I$83,L496=phu!$I$84),"Cam Thịnh Đông",""),IF(OR(L496=phu!$I$85,L496=phu!$I$86,L496=phu!$I$87,L496=phu!$I$88),"Cam Thịnh Tây",""),IF(OR(L496=phu!$I$89,L496=phu!$I$90),"Cam Lập",""),IF(OR(L496=phu!$I$91,L496=phu!$I$92,L496=phu!$I$93),"Cam Bình",""),IF(OR(L496=phu!$I$94,L496=phu!$I$95,L496=phu!$I$96,L496=phu!$I$97,L496=phu!$I$98,L496=phu!$I$99,L496=phu!$I$100),"Huyện khác",""),IF(OR(L496=phu!$I$101,L496=phu!$I$102),"Tỉnh khác",""))</f>
        <v/>
      </c>
      <c r="N496" s="835" t="str">
        <f t="shared" si="38"/>
        <v/>
      </c>
      <c r="O496" s="20"/>
      <c r="P496" s="20"/>
      <c r="Q496" s="20"/>
      <c r="R496" s="20"/>
      <c r="S496" s="20"/>
      <c r="T496" s="21"/>
      <c r="U496" s="21"/>
      <c r="V496" s="21"/>
      <c r="W496" s="7" t="str">
        <f t="shared" si="36"/>
        <v/>
      </c>
      <c r="X496" s="506" t="str">
        <f t="shared" si="37"/>
        <v/>
      </c>
    </row>
    <row r="497" spans="1:24" x14ac:dyDescent="0.25">
      <c r="A497" s="66" t="str">
        <f t="shared" si="39"/>
        <v/>
      </c>
      <c r="B497" s="23" t="str">
        <f t="shared" si="35"/>
        <v/>
      </c>
      <c r="C497" s="15"/>
      <c r="D497" s="16"/>
      <c r="E497" s="17"/>
      <c r="F497" s="18"/>
      <c r="G497" s="18"/>
      <c r="H497" s="19"/>
      <c r="I497" s="15"/>
      <c r="J497" s="20"/>
      <c r="K497" s="15"/>
      <c r="L497" s="15"/>
      <c r="M497" s="531" t="str">
        <f>CONCATENATE(IF(OR(L497=phu!$I$1,L497=phu!$I$2,L497=phu!$I$3),"Cam Thành Nam",""),IF(OR(L497=phu!$I$4,L497=phu!$I$5,L497=phu!$I$6,L497=phu!$I$7,L497=phu!$I$8,L497=phu!$I$9,L497=phu!$I$10,L497=phu!$I$11,L497=phu!$I$12,L497=phu!$I$13,L497=phu!$I$14),"Cam Nghĩa",""),IF(OR(L497=phu!$I$15,L497=phu!$I$16,L497=phu!$I$17,L497=phu!$I$18,L497=phu!$I$19,L497=phu!$I$20,L497=phu!$I$21),"Cam Phúc Bắc",""),IF(OR(L497=phu!$I$22,L497=phu!$I$23,L497=phu!$I$24,L497=phu!$I$25),"Cam Phúc Nam",""),IF(OR(L497=phu!$I$26,L497=phu!$I$27,L497=phu!$I$28,L497=phu!$I$29,L497=phu!$I$30,L497=phu!$I$31),"Cam Phú",""),IF(OR(L497=phu!$I$32,L497=phu!$I$33,L497=phu!$I$34,L497=phu!$I$35,L497=phu!$I$36,L497=phu!$I$37),"Cam Lộc",""),IF(OR(L497=phu!$I$38,L497=phu!$I$39,L497=phu!$I$40,L497=phu!$I$41,L497=phu!$I$42,L497=phu!$I$43,L497=phu!$I$44),"Cam Thuận",""),IF(OR(L497=phu!$I$45,L497=phu!$I$46,L497=phu!$I$47,L497=phu!$I$48,L497=phu!$I$49,L497=phu!$I$50,L497=phu!$I$51,L497=phu!$I$52,L497=phu!$I$53),"Cam Linh",""),IF(OR(L497=phu!$I$54,L497=phu!$I$55,L497=phu!$I$56,L497=phu!$I$57,L497=phu!$I$58,L497=phu!$I$59,L497=phu!$I$60,L497=phu!$I$61,L497=phu!$I$62),"Cam Lợi",""),IF(OR(L497=phu!$I$63,L497=phu!$I$64,L497=phu!$I$65,L497=phu!$I$66,L497=phu!$I$67,L497=phu!$I$68,L497=phu!$I$69,L497=phu!$I$70,L497=phu!$I$71),"Ba Ngòi",""),IF(OR(L497=phu!$I$72,L497=phu!$I$73,L497=phu!$I$74,L497=phu!$I$75,L497=phu!$I$76,L497=phu!$I$77,L497=phu!$I$78),"Cam Phước Đông",""),IF(OR(L497=phu!$I$79,L497=phu!$I$80,L497=phu!$I$81,L497=phu!$I$82,L497=phu!$I$83,L497=phu!$I$84),"Cam Thịnh Đông",""),IF(OR(L497=phu!$I$85,L497=phu!$I$86,L497=phu!$I$87,L497=phu!$I$88),"Cam Thịnh Tây",""),IF(OR(L497=phu!$I$89,L497=phu!$I$90),"Cam Lập",""),IF(OR(L497=phu!$I$91,L497=phu!$I$92,L497=phu!$I$93),"Cam Bình",""),IF(OR(L497=phu!$I$94,L497=phu!$I$95,L497=phu!$I$96,L497=phu!$I$97,L497=phu!$I$98,L497=phu!$I$99,L497=phu!$I$100),"Huyện khác",""),IF(OR(L497=phu!$I$101,L497=phu!$I$102),"Tỉnh khác",""))</f>
        <v/>
      </c>
      <c r="N497" s="835" t="str">
        <f t="shared" si="38"/>
        <v/>
      </c>
      <c r="O497" s="20"/>
      <c r="P497" s="20"/>
      <c r="Q497" s="20"/>
      <c r="R497" s="20"/>
      <c r="S497" s="20"/>
      <c r="T497" s="21"/>
      <c r="U497" s="21"/>
      <c r="V497" s="21"/>
      <c r="W497" s="7" t="str">
        <f t="shared" si="36"/>
        <v/>
      </c>
      <c r="X497" s="506" t="str">
        <f t="shared" si="37"/>
        <v/>
      </c>
    </row>
    <row r="498" spans="1:24" x14ac:dyDescent="0.25">
      <c r="A498" s="66" t="str">
        <f t="shared" si="39"/>
        <v/>
      </c>
      <c r="B498" s="23" t="str">
        <f t="shared" si="35"/>
        <v/>
      </c>
      <c r="C498" s="15"/>
      <c r="D498" s="16"/>
      <c r="E498" s="17"/>
      <c r="F498" s="18"/>
      <c r="G498" s="18"/>
      <c r="H498" s="19"/>
      <c r="I498" s="15"/>
      <c r="J498" s="20"/>
      <c r="K498" s="15"/>
      <c r="L498" s="15"/>
      <c r="M498" s="531" t="str">
        <f>CONCATENATE(IF(OR(L498=phu!$I$1,L498=phu!$I$2,L498=phu!$I$3),"Cam Thành Nam",""),IF(OR(L498=phu!$I$4,L498=phu!$I$5,L498=phu!$I$6,L498=phu!$I$7,L498=phu!$I$8,L498=phu!$I$9,L498=phu!$I$10,L498=phu!$I$11,L498=phu!$I$12,L498=phu!$I$13,L498=phu!$I$14),"Cam Nghĩa",""),IF(OR(L498=phu!$I$15,L498=phu!$I$16,L498=phu!$I$17,L498=phu!$I$18,L498=phu!$I$19,L498=phu!$I$20,L498=phu!$I$21),"Cam Phúc Bắc",""),IF(OR(L498=phu!$I$22,L498=phu!$I$23,L498=phu!$I$24,L498=phu!$I$25),"Cam Phúc Nam",""),IF(OR(L498=phu!$I$26,L498=phu!$I$27,L498=phu!$I$28,L498=phu!$I$29,L498=phu!$I$30,L498=phu!$I$31),"Cam Phú",""),IF(OR(L498=phu!$I$32,L498=phu!$I$33,L498=phu!$I$34,L498=phu!$I$35,L498=phu!$I$36,L498=phu!$I$37),"Cam Lộc",""),IF(OR(L498=phu!$I$38,L498=phu!$I$39,L498=phu!$I$40,L498=phu!$I$41,L498=phu!$I$42,L498=phu!$I$43,L498=phu!$I$44),"Cam Thuận",""),IF(OR(L498=phu!$I$45,L498=phu!$I$46,L498=phu!$I$47,L498=phu!$I$48,L498=phu!$I$49,L498=phu!$I$50,L498=phu!$I$51,L498=phu!$I$52,L498=phu!$I$53),"Cam Linh",""),IF(OR(L498=phu!$I$54,L498=phu!$I$55,L498=phu!$I$56,L498=phu!$I$57,L498=phu!$I$58,L498=phu!$I$59,L498=phu!$I$60,L498=phu!$I$61,L498=phu!$I$62),"Cam Lợi",""),IF(OR(L498=phu!$I$63,L498=phu!$I$64,L498=phu!$I$65,L498=phu!$I$66,L498=phu!$I$67,L498=phu!$I$68,L498=phu!$I$69,L498=phu!$I$70,L498=phu!$I$71),"Ba Ngòi",""),IF(OR(L498=phu!$I$72,L498=phu!$I$73,L498=phu!$I$74,L498=phu!$I$75,L498=phu!$I$76,L498=phu!$I$77,L498=phu!$I$78),"Cam Phước Đông",""),IF(OR(L498=phu!$I$79,L498=phu!$I$80,L498=phu!$I$81,L498=phu!$I$82,L498=phu!$I$83,L498=phu!$I$84),"Cam Thịnh Đông",""),IF(OR(L498=phu!$I$85,L498=phu!$I$86,L498=phu!$I$87,L498=phu!$I$88),"Cam Thịnh Tây",""),IF(OR(L498=phu!$I$89,L498=phu!$I$90),"Cam Lập",""),IF(OR(L498=phu!$I$91,L498=phu!$I$92,L498=phu!$I$93),"Cam Bình",""),IF(OR(L498=phu!$I$94,L498=phu!$I$95,L498=phu!$I$96,L498=phu!$I$97,L498=phu!$I$98,L498=phu!$I$99,L498=phu!$I$100),"Huyện khác",""),IF(OR(L498=phu!$I$101,L498=phu!$I$102),"Tỉnh khác",""))</f>
        <v/>
      </c>
      <c r="N498" s="835" t="str">
        <f t="shared" si="38"/>
        <v/>
      </c>
      <c r="O498" s="20"/>
      <c r="P498" s="20"/>
      <c r="Q498" s="20"/>
      <c r="R498" s="20"/>
      <c r="S498" s="20"/>
      <c r="T498" s="21"/>
      <c r="U498" s="21"/>
      <c r="V498" s="21"/>
      <c r="W498" s="7" t="str">
        <f t="shared" si="36"/>
        <v/>
      </c>
      <c r="X498" s="506" t="str">
        <f t="shared" si="37"/>
        <v/>
      </c>
    </row>
    <row r="499" spans="1:24" x14ac:dyDescent="0.25">
      <c r="A499" s="66" t="str">
        <f t="shared" ref="A499:A562" si="40">IF(AND(A498&lt;&gt;"",E499&lt;&gt;""),A498+1,"")</f>
        <v/>
      </c>
      <c r="B499" s="23" t="str">
        <f t="shared" si="35"/>
        <v/>
      </c>
      <c r="C499" s="15"/>
      <c r="D499" s="16"/>
      <c r="E499" s="17"/>
      <c r="F499" s="18"/>
      <c r="G499" s="18"/>
      <c r="H499" s="19"/>
      <c r="I499" s="15"/>
      <c r="J499" s="20"/>
      <c r="K499" s="15"/>
      <c r="L499" s="15"/>
      <c r="M499" s="531" t="str">
        <f>CONCATENATE(IF(OR(L499=phu!$I$1,L499=phu!$I$2,L499=phu!$I$3),"Cam Thành Nam",""),IF(OR(L499=phu!$I$4,L499=phu!$I$5,L499=phu!$I$6,L499=phu!$I$7,L499=phu!$I$8,L499=phu!$I$9,L499=phu!$I$10,L499=phu!$I$11,L499=phu!$I$12,L499=phu!$I$13,L499=phu!$I$14),"Cam Nghĩa",""),IF(OR(L499=phu!$I$15,L499=phu!$I$16,L499=phu!$I$17,L499=phu!$I$18,L499=phu!$I$19,L499=phu!$I$20,L499=phu!$I$21),"Cam Phúc Bắc",""),IF(OR(L499=phu!$I$22,L499=phu!$I$23,L499=phu!$I$24,L499=phu!$I$25),"Cam Phúc Nam",""),IF(OR(L499=phu!$I$26,L499=phu!$I$27,L499=phu!$I$28,L499=phu!$I$29,L499=phu!$I$30,L499=phu!$I$31),"Cam Phú",""),IF(OR(L499=phu!$I$32,L499=phu!$I$33,L499=phu!$I$34,L499=phu!$I$35,L499=phu!$I$36,L499=phu!$I$37),"Cam Lộc",""),IF(OR(L499=phu!$I$38,L499=phu!$I$39,L499=phu!$I$40,L499=phu!$I$41,L499=phu!$I$42,L499=phu!$I$43,L499=phu!$I$44),"Cam Thuận",""),IF(OR(L499=phu!$I$45,L499=phu!$I$46,L499=phu!$I$47,L499=phu!$I$48,L499=phu!$I$49,L499=phu!$I$50,L499=phu!$I$51,L499=phu!$I$52,L499=phu!$I$53),"Cam Linh",""),IF(OR(L499=phu!$I$54,L499=phu!$I$55,L499=phu!$I$56,L499=phu!$I$57,L499=phu!$I$58,L499=phu!$I$59,L499=phu!$I$60,L499=phu!$I$61,L499=phu!$I$62),"Cam Lợi",""),IF(OR(L499=phu!$I$63,L499=phu!$I$64,L499=phu!$I$65,L499=phu!$I$66,L499=phu!$I$67,L499=phu!$I$68,L499=phu!$I$69,L499=phu!$I$70,L499=phu!$I$71),"Ba Ngòi",""),IF(OR(L499=phu!$I$72,L499=phu!$I$73,L499=phu!$I$74,L499=phu!$I$75,L499=phu!$I$76,L499=phu!$I$77,L499=phu!$I$78),"Cam Phước Đông",""),IF(OR(L499=phu!$I$79,L499=phu!$I$80,L499=phu!$I$81,L499=phu!$I$82,L499=phu!$I$83,L499=phu!$I$84),"Cam Thịnh Đông",""),IF(OR(L499=phu!$I$85,L499=phu!$I$86,L499=phu!$I$87,L499=phu!$I$88),"Cam Thịnh Tây",""),IF(OR(L499=phu!$I$89,L499=phu!$I$90),"Cam Lập",""),IF(OR(L499=phu!$I$91,L499=phu!$I$92,L499=phu!$I$93),"Cam Bình",""),IF(OR(L499=phu!$I$94,L499=phu!$I$95,L499=phu!$I$96,L499=phu!$I$97,L499=phu!$I$98,L499=phu!$I$99,L499=phu!$I$100),"Huyện khác",""),IF(OR(L499=phu!$I$101,L499=phu!$I$102),"Tỉnh khác",""))</f>
        <v/>
      </c>
      <c r="N499" s="835" t="str">
        <f t="shared" si="38"/>
        <v/>
      </c>
      <c r="O499" s="20"/>
      <c r="P499" s="20"/>
      <c r="Q499" s="20"/>
      <c r="R499" s="20"/>
      <c r="S499" s="20"/>
      <c r="T499" s="21"/>
      <c r="U499" s="21"/>
      <c r="V499" s="21"/>
      <c r="W499" s="7" t="str">
        <f t="shared" si="36"/>
        <v/>
      </c>
      <c r="X499" s="506" t="str">
        <f t="shared" si="37"/>
        <v/>
      </c>
    </row>
    <row r="500" spans="1:24" x14ac:dyDescent="0.25">
      <c r="A500" s="66" t="str">
        <f t="shared" si="40"/>
        <v/>
      </c>
      <c r="B500" s="23" t="str">
        <f t="shared" si="35"/>
        <v/>
      </c>
      <c r="C500" s="15"/>
      <c r="D500" s="16"/>
      <c r="E500" s="17"/>
      <c r="F500" s="18"/>
      <c r="G500" s="18"/>
      <c r="H500" s="19"/>
      <c r="I500" s="15"/>
      <c r="J500" s="20"/>
      <c r="K500" s="15"/>
      <c r="L500" s="15"/>
      <c r="M500" s="531" t="str">
        <f>CONCATENATE(IF(OR(L500=phu!$I$1,L500=phu!$I$2,L500=phu!$I$3),"Cam Thành Nam",""),IF(OR(L500=phu!$I$4,L500=phu!$I$5,L500=phu!$I$6,L500=phu!$I$7,L500=phu!$I$8,L500=phu!$I$9,L500=phu!$I$10,L500=phu!$I$11,L500=phu!$I$12,L500=phu!$I$13,L500=phu!$I$14),"Cam Nghĩa",""),IF(OR(L500=phu!$I$15,L500=phu!$I$16,L500=phu!$I$17,L500=phu!$I$18,L500=phu!$I$19,L500=phu!$I$20,L500=phu!$I$21),"Cam Phúc Bắc",""),IF(OR(L500=phu!$I$22,L500=phu!$I$23,L500=phu!$I$24,L500=phu!$I$25),"Cam Phúc Nam",""),IF(OR(L500=phu!$I$26,L500=phu!$I$27,L500=phu!$I$28,L500=phu!$I$29,L500=phu!$I$30,L500=phu!$I$31),"Cam Phú",""),IF(OR(L500=phu!$I$32,L500=phu!$I$33,L500=phu!$I$34,L500=phu!$I$35,L500=phu!$I$36,L500=phu!$I$37),"Cam Lộc",""),IF(OR(L500=phu!$I$38,L500=phu!$I$39,L500=phu!$I$40,L500=phu!$I$41,L500=phu!$I$42,L500=phu!$I$43,L500=phu!$I$44),"Cam Thuận",""),IF(OR(L500=phu!$I$45,L500=phu!$I$46,L500=phu!$I$47,L500=phu!$I$48,L500=phu!$I$49,L500=phu!$I$50,L500=phu!$I$51,L500=phu!$I$52,L500=phu!$I$53),"Cam Linh",""),IF(OR(L500=phu!$I$54,L500=phu!$I$55,L500=phu!$I$56,L500=phu!$I$57,L500=phu!$I$58,L500=phu!$I$59,L500=phu!$I$60,L500=phu!$I$61,L500=phu!$I$62),"Cam Lợi",""),IF(OR(L500=phu!$I$63,L500=phu!$I$64,L500=phu!$I$65,L500=phu!$I$66,L500=phu!$I$67,L500=phu!$I$68,L500=phu!$I$69,L500=phu!$I$70,L500=phu!$I$71),"Ba Ngòi",""),IF(OR(L500=phu!$I$72,L500=phu!$I$73,L500=phu!$I$74,L500=phu!$I$75,L500=phu!$I$76,L500=phu!$I$77,L500=phu!$I$78),"Cam Phước Đông",""),IF(OR(L500=phu!$I$79,L500=phu!$I$80,L500=phu!$I$81,L500=phu!$I$82,L500=phu!$I$83,L500=phu!$I$84),"Cam Thịnh Đông",""),IF(OR(L500=phu!$I$85,L500=phu!$I$86,L500=phu!$I$87,L500=phu!$I$88),"Cam Thịnh Tây",""),IF(OR(L500=phu!$I$89,L500=phu!$I$90),"Cam Lập",""),IF(OR(L500=phu!$I$91,L500=phu!$I$92,L500=phu!$I$93),"Cam Bình",""),IF(OR(L500=phu!$I$94,L500=phu!$I$95,L500=phu!$I$96,L500=phu!$I$97,L500=phu!$I$98,L500=phu!$I$99,L500=phu!$I$100),"Huyện khác",""),IF(OR(L500=phu!$I$101,L500=phu!$I$102),"Tỉnh khác",""))</f>
        <v/>
      </c>
      <c r="N500" s="835" t="str">
        <f t="shared" si="38"/>
        <v/>
      </c>
      <c r="O500" s="20"/>
      <c r="P500" s="20"/>
      <c r="Q500" s="20"/>
      <c r="R500" s="20"/>
      <c r="S500" s="20"/>
      <c r="T500" s="21"/>
      <c r="U500" s="21"/>
      <c r="V500" s="21"/>
      <c r="W500" s="7" t="str">
        <f t="shared" si="36"/>
        <v/>
      </c>
      <c r="X500" s="506" t="str">
        <f t="shared" si="37"/>
        <v/>
      </c>
    </row>
    <row r="501" spans="1:24" x14ac:dyDescent="0.25">
      <c r="A501" s="66" t="str">
        <f t="shared" si="40"/>
        <v/>
      </c>
      <c r="B501" s="23" t="str">
        <f t="shared" si="35"/>
        <v/>
      </c>
      <c r="C501" s="15"/>
      <c r="D501" s="16"/>
      <c r="E501" s="17"/>
      <c r="F501" s="18"/>
      <c r="G501" s="18"/>
      <c r="H501" s="19"/>
      <c r="I501" s="15"/>
      <c r="J501" s="20"/>
      <c r="K501" s="15"/>
      <c r="L501" s="15"/>
      <c r="M501" s="531" t="str">
        <f>CONCATENATE(IF(OR(L501=phu!$I$1,L501=phu!$I$2,L501=phu!$I$3),"Cam Thành Nam",""),IF(OR(L501=phu!$I$4,L501=phu!$I$5,L501=phu!$I$6,L501=phu!$I$7,L501=phu!$I$8,L501=phu!$I$9,L501=phu!$I$10,L501=phu!$I$11,L501=phu!$I$12,L501=phu!$I$13,L501=phu!$I$14),"Cam Nghĩa",""),IF(OR(L501=phu!$I$15,L501=phu!$I$16,L501=phu!$I$17,L501=phu!$I$18,L501=phu!$I$19,L501=phu!$I$20,L501=phu!$I$21),"Cam Phúc Bắc",""),IF(OR(L501=phu!$I$22,L501=phu!$I$23,L501=phu!$I$24,L501=phu!$I$25),"Cam Phúc Nam",""),IF(OR(L501=phu!$I$26,L501=phu!$I$27,L501=phu!$I$28,L501=phu!$I$29,L501=phu!$I$30,L501=phu!$I$31),"Cam Phú",""),IF(OR(L501=phu!$I$32,L501=phu!$I$33,L501=phu!$I$34,L501=phu!$I$35,L501=phu!$I$36,L501=phu!$I$37),"Cam Lộc",""),IF(OR(L501=phu!$I$38,L501=phu!$I$39,L501=phu!$I$40,L501=phu!$I$41,L501=phu!$I$42,L501=phu!$I$43,L501=phu!$I$44),"Cam Thuận",""),IF(OR(L501=phu!$I$45,L501=phu!$I$46,L501=phu!$I$47,L501=phu!$I$48,L501=phu!$I$49,L501=phu!$I$50,L501=phu!$I$51,L501=phu!$I$52,L501=phu!$I$53),"Cam Linh",""),IF(OR(L501=phu!$I$54,L501=phu!$I$55,L501=phu!$I$56,L501=phu!$I$57,L501=phu!$I$58,L501=phu!$I$59,L501=phu!$I$60,L501=phu!$I$61,L501=phu!$I$62),"Cam Lợi",""),IF(OR(L501=phu!$I$63,L501=phu!$I$64,L501=phu!$I$65,L501=phu!$I$66,L501=phu!$I$67,L501=phu!$I$68,L501=phu!$I$69,L501=phu!$I$70,L501=phu!$I$71),"Ba Ngòi",""),IF(OR(L501=phu!$I$72,L501=phu!$I$73,L501=phu!$I$74,L501=phu!$I$75,L501=phu!$I$76,L501=phu!$I$77,L501=phu!$I$78),"Cam Phước Đông",""),IF(OR(L501=phu!$I$79,L501=phu!$I$80,L501=phu!$I$81,L501=phu!$I$82,L501=phu!$I$83,L501=phu!$I$84),"Cam Thịnh Đông",""),IF(OR(L501=phu!$I$85,L501=phu!$I$86,L501=phu!$I$87,L501=phu!$I$88),"Cam Thịnh Tây",""),IF(OR(L501=phu!$I$89,L501=phu!$I$90),"Cam Lập",""),IF(OR(L501=phu!$I$91,L501=phu!$I$92,L501=phu!$I$93),"Cam Bình",""),IF(OR(L501=phu!$I$94,L501=phu!$I$95,L501=phu!$I$96,L501=phu!$I$97,L501=phu!$I$98,L501=phu!$I$99,L501=phu!$I$100),"Huyện khác",""),IF(OR(L501=phu!$I$101,L501=phu!$I$102),"Tỉnh khác",""))</f>
        <v/>
      </c>
      <c r="N501" s="835" t="str">
        <f t="shared" si="38"/>
        <v/>
      </c>
      <c r="O501" s="20"/>
      <c r="P501" s="20"/>
      <c r="Q501" s="20"/>
      <c r="R501" s="20"/>
      <c r="S501" s="20"/>
      <c r="T501" s="21"/>
      <c r="U501" s="21"/>
      <c r="V501" s="21"/>
      <c r="W501" s="7" t="str">
        <f t="shared" si="36"/>
        <v/>
      </c>
      <c r="X501" s="506" t="str">
        <f t="shared" si="37"/>
        <v/>
      </c>
    </row>
    <row r="502" spans="1:24" x14ac:dyDescent="0.25">
      <c r="A502" s="66" t="str">
        <f t="shared" si="40"/>
        <v/>
      </c>
      <c r="B502" s="23" t="str">
        <f t="shared" si="35"/>
        <v/>
      </c>
      <c r="C502" s="15"/>
      <c r="D502" s="16"/>
      <c r="E502" s="17"/>
      <c r="F502" s="18"/>
      <c r="G502" s="18"/>
      <c r="H502" s="19"/>
      <c r="I502" s="15"/>
      <c r="J502" s="20"/>
      <c r="K502" s="15"/>
      <c r="L502" s="15"/>
      <c r="M502" s="531" t="str">
        <f>CONCATENATE(IF(OR(L502=phu!$I$1,L502=phu!$I$2,L502=phu!$I$3),"Cam Thành Nam",""),IF(OR(L502=phu!$I$4,L502=phu!$I$5,L502=phu!$I$6,L502=phu!$I$7,L502=phu!$I$8,L502=phu!$I$9,L502=phu!$I$10,L502=phu!$I$11,L502=phu!$I$12,L502=phu!$I$13,L502=phu!$I$14),"Cam Nghĩa",""),IF(OR(L502=phu!$I$15,L502=phu!$I$16,L502=phu!$I$17,L502=phu!$I$18,L502=phu!$I$19,L502=phu!$I$20,L502=phu!$I$21),"Cam Phúc Bắc",""),IF(OR(L502=phu!$I$22,L502=phu!$I$23,L502=phu!$I$24,L502=phu!$I$25),"Cam Phúc Nam",""),IF(OR(L502=phu!$I$26,L502=phu!$I$27,L502=phu!$I$28,L502=phu!$I$29,L502=phu!$I$30,L502=phu!$I$31),"Cam Phú",""),IF(OR(L502=phu!$I$32,L502=phu!$I$33,L502=phu!$I$34,L502=phu!$I$35,L502=phu!$I$36,L502=phu!$I$37),"Cam Lộc",""),IF(OR(L502=phu!$I$38,L502=phu!$I$39,L502=phu!$I$40,L502=phu!$I$41,L502=phu!$I$42,L502=phu!$I$43,L502=phu!$I$44),"Cam Thuận",""),IF(OR(L502=phu!$I$45,L502=phu!$I$46,L502=phu!$I$47,L502=phu!$I$48,L502=phu!$I$49,L502=phu!$I$50,L502=phu!$I$51,L502=phu!$I$52,L502=phu!$I$53),"Cam Linh",""),IF(OR(L502=phu!$I$54,L502=phu!$I$55,L502=phu!$I$56,L502=phu!$I$57,L502=phu!$I$58,L502=phu!$I$59,L502=phu!$I$60,L502=phu!$I$61,L502=phu!$I$62),"Cam Lợi",""),IF(OR(L502=phu!$I$63,L502=phu!$I$64,L502=phu!$I$65,L502=phu!$I$66,L502=phu!$I$67,L502=phu!$I$68,L502=phu!$I$69,L502=phu!$I$70,L502=phu!$I$71),"Ba Ngòi",""),IF(OR(L502=phu!$I$72,L502=phu!$I$73,L502=phu!$I$74,L502=phu!$I$75,L502=phu!$I$76,L502=phu!$I$77,L502=phu!$I$78),"Cam Phước Đông",""),IF(OR(L502=phu!$I$79,L502=phu!$I$80,L502=phu!$I$81,L502=phu!$I$82,L502=phu!$I$83,L502=phu!$I$84),"Cam Thịnh Đông",""),IF(OR(L502=phu!$I$85,L502=phu!$I$86,L502=phu!$I$87,L502=phu!$I$88),"Cam Thịnh Tây",""),IF(OR(L502=phu!$I$89,L502=phu!$I$90),"Cam Lập",""),IF(OR(L502=phu!$I$91,L502=phu!$I$92,L502=phu!$I$93),"Cam Bình",""),IF(OR(L502=phu!$I$94,L502=phu!$I$95,L502=phu!$I$96,L502=phu!$I$97,L502=phu!$I$98,L502=phu!$I$99,L502=phu!$I$100),"Huyện khác",""),IF(OR(L502=phu!$I$101,L502=phu!$I$102),"Tỉnh khác",""))</f>
        <v/>
      </c>
      <c r="N502" s="835" t="str">
        <f t="shared" si="38"/>
        <v/>
      </c>
      <c r="O502" s="20"/>
      <c r="P502" s="20"/>
      <c r="Q502" s="20"/>
      <c r="R502" s="20"/>
      <c r="S502" s="20"/>
      <c r="T502" s="21"/>
      <c r="U502" s="21"/>
      <c r="V502" s="21"/>
      <c r="W502" s="7" t="str">
        <f t="shared" si="36"/>
        <v/>
      </c>
      <c r="X502" s="506" t="str">
        <f t="shared" si="37"/>
        <v/>
      </c>
    </row>
    <row r="503" spans="1:24" x14ac:dyDescent="0.25">
      <c r="A503" s="66" t="str">
        <f t="shared" si="40"/>
        <v/>
      </c>
      <c r="B503" s="23" t="str">
        <f t="shared" si="35"/>
        <v/>
      </c>
      <c r="C503" s="15"/>
      <c r="D503" s="16"/>
      <c r="E503" s="17"/>
      <c r="F503" s="18"/>
      <c r="G503" s="18"/>
      <c r="H503" s="19"/>
      <c r="I503" s="15"/>
      <c r="J503" s="20"/>
      <c r="K503" s="15"/>
      <c r="L503" s="15"/>
      <c r="M503" s="531" t="str">
        <f>CONCATENATE(IF(OR(L503=phu!$I$1,L503=phu!$I$2,L503=phu!$I$3),"Cam Thành Nam",""),IF(OR(L503=phu!$I$4,L503=phu!$I$5,L503=phu!$I$6,L503=phu!$I$7,L503=phu!$I$8,L503=phu!$I$9,L503=phu!$I$10,L503=phu!$I$11,L503=phu!$I$12,L503=phu!$I$13,L503=phu!$I$14),"Cam Nghĩa",""),IF(OR(L503=phu!$I$15,L503=phu!$I$16,L503=phu!$I$17,L503=phu!$I$18,L503=phu!$I$19,L503=phu!$I$20,L503=phu!$I$21),"Cam Phúc Bắc",""),IF(OR(L503=phu!$I$22,L503=phu!$I$23,L503=phu!$I$24,L503=phu!$I$25),"Cam Phúc Nam",""),IF(OR(L503=phu!$I$26,L503=phu!$I$27,L503=phu!$I$28,L503=phu!$I$29,L503=phu!$I$30,L503=phu!$I$31),"Cam Phú",""),IF(OR(L503=phu!$I$32,L503=phu!$I$33,L503=phu!$I$34,L503=phu!$I$35,L503=phu!$I$36,L503=phu!$I$37),"Cam Lộc",""),IF(OR(L503=phu!$I$38,L503=phu!$I$39,L503=phu!$I$40,L503=phu!$I$41,L503=phu!$I$42,L503=phu!$I$43,L503=phu!$I$44),"Cam Thuận",""),IF(OR(L503=phu!$I$45,L503=phu!$I$46,L503=phu!$I$47,L503=phu!$I$48,L503=phu!$I$49,L503=phu!$I$50,L503=phu!$I$51,L503=phu!$I$52,L503=phu!$I$53),"Cam Linh",""),IF(OR(L503=phu!$I$54,L503=phu!$I$55,L503=phu!$I$56,L503=phu!$I$57,L503=phu!$I$58,L503=phu!$I$59,L503=phu!$I$60,L503=phu!$I$61,L503=phu!$I$62),"Cam Lợi",""),IF(OR(L503=phu!$I$63,L503=phu!$I$64,L503=phu!$I$65,L503=phu!$I$66,L503=phu!$I$67,L503=phu!$I$68,L503=phu!$I$69,L503=phu!$I$70,L503=phu!$I$71),"Ba Ngòi",""),IF(OR(L503=phu!$I$72,L503=phu!$I$73,L503=phu!$I$74,L503=phu!$I$75,L503=phu!$I$76,L503=phu!$I$77,L503=phu!$I$78),"Cam Phước Đông",""),IF(OR(L503=phu!$I$79,L503=phu!$I$80,L503=phu!$I$81,L503=phu!$I$82,L503=phu!$I$83,L503=phu!$I$84),"Cam Thịnh Đông",""),IF(OR(L503=phu!$I$85,L503=phu!$I$86,L503=phu!$I$87,L503=phu!$I$88),"Cam Thịnh Tây",""),IF(OR(L503=phu!$I$89,L503=phu!$I$90),"Cam Lập",""),IF(OR(L503=phu!$I$91,L503=phu!$I$92,L503=phu!$I$93),"Cam Bình",""),IF(OR(L503=phu!$I$94,L503=phu!$I$95,L503=phu!$I$96,L503=phu!$I$97,L503=phu!$I$98,L503=phu!$I$99,L503=phu!$I$100),"Huyện khác",""),IF(OR(L503=phu!$I$101,L503=phu!$I$102),"Tỉnh khác",""))</f>
        <v/>
      </c>
      <c r="N503" s="835" t="str">
        <f t="shared" si="38"/>
        <v/>
      </c>
      <c r="O503" s="20"/>
      <c r="P503" s="20"/>
      <c r="Q503" s="20"/>
      <c r="R503" s="20"/>
      <c r="S503" s="20"/>
      <c r="T503" s="21"/>
      <c r="U503" s="21"/>
      <c r="V503" s="21"/>
      <c r="W503" s="7" t="str">
        <f t="shared" si="36"/>
        <v/>
      </c>
      <c r="X503" s="506" t="str">
        <f t="shared" si="37"/>
        <v/>
      </c>
    </row>
    <row r="504" spans="1:24" x14ac:dyDescent="0.25">
      <c r="A504" s="66" t="str">
        <f t="shared" si="40"/>
        <v/>
      </c>
      <c r="B504" s="23" t="str">
        <f t="shared" si="35"/>
        <v/>
      </c>
      <c r="C504" s="15"/>
      <c r="D504" s="16"/>
      <c r="E504" s="17"/>
      <c r="F504" s="18"/>
      <c r="G504" s="18"/>
      <c r="H504" s="19"/>
      <c r="I504" s="15"/>
      <c r="J504" s="20"/>
      <c r="K504" s="15"/>
      <c r="L504" s="15"/>
      <c r="M504" s="531" t="str">
        <f>CONCATENATE(IF(OR(L504=phu!$I$1,L504=phu!$I$2,L504=phu!$I$3),"Cam Thành Nam",""),IF(OR(L504=phu!$I$4,L504=phu!$I$5,L504=phu!$I$6,L504=phu!$I$7,L504=phu!$I$8,L504=phu!$I$9,L504=phu!$I$10,L504=phu!$I$11,L504=phu!$I$12,L504=phu!$I$13,L504=phu!$I$14),"Cam Nghĩa",""),IF(OR(L504=phu!$I$15,L504=phu!$I$16,L504=phu!$I$17,L504=phu!$I$18,L504=phu!$I$19,L504=phu!$I$20,L504=phu!$I$21),"Cam Phúc Bắc",""),IF(OR(L504=phu!$I$22,L504=phu!$I$23,L504=phu!$I$24,L504=phu!$I$25),"Cam Phúc Nam",""),IF(OR(L504=phu!$I$26,L504=phu!$I$27,L504=phu!$I$28,L504=phu!$I$29,L504=phu!$I$30,L504=phu!$I$31),"Cam Phú",""),IF(OR(L504=phu!$I$32,L504=phu!$I$33,L504=phu!$I$34,L504=phu!$I$35,L504=phu!$I$36,L504=phu!$I$37),"Cam Lộc",""),IF(OR(L504=phu!$I$38,L504=phu!$I$39,L504=phu!$I$40,L504=phu!$I$41,L504=phu!$I$42,L504=phu!$I$43,L504=phu!$I$44),"Cam Thuận",""),IF(OR(L504=phu!$I$45,L504=phu!$I$46,L504=phu!$I$47,L504=phu!$I$48,L504=phu!$I$49,L504=phu!$I$50,L504=phu!$I$51,L504=phu!$I$52,L504=phu!$I$53),"Cam Linh",""),IF(OR(L504=phu!$I$54,L504=phu!$I$55,L504=phu!$I$56,L504=phu!$I$57,L504=phu!$I$58,L504=phu!$I$59,L504=phu!$I$60,L504=phu!$I$61,L504=phu!$I$62),"Cam Lợi",""),IF(OR(L504=phu!$I$63,L504=phu!$I$64,L504=phu!$I$65,L504=phu!$I$66,L504=phu!$I$67,L504=phu!$I$68,L504=phu!$I$69,L504=phu!$I$70,L504=phu!$I$71),"Ba Ngòi",""),IF(OR(L504=phu!$I$72,L504=phu!$I$73,L504=phu!$I$74,L504=phu!$I$75,L504=phu!$I$76,L504=phu!$I$77,L504=phu!$I$78),"Cam Phước Đông",""),IF(OR(L504=phu!$I$79,L504=phu!$I$80,L504=phu!$I$81,L504=phu!$I$82,L504=phu!$I$83,L504=phu!$I$84),"Cam Thịnh Đông",""),IF(OR(L504=phu!$I$85,L504=phu!$I$86,L504=phu!$I$87,L504=phu!$I$88),"Cam Thịnh Tây",""),IF(OR(L504=phu!$I$89,L504=phu!$I$90),"Cam Lập",""),IF(OR(L504=phu!$I$91,L504=phu!$I$92,L504=phu!$I$93),"Cam Bình",""),IF(OR(L504=phu!$I$94,L504=phu!$I$95,L504=phu!$I$96,L504=phu!$I$97,L504=phu!$I$98,L504=phu!$I$99,L504=phu!$I$100),"Huyện khác",""),IF(OR(L504=phu!$I$101,L504=phu!$I$102),"Tỉnh khác",""))</f>
        <v/>
      </c>
      <c r="N504" s="835" t="str">
        <f t="shared" si="38"/>
        <v/>
      </c>
      <c r="O504" s="20"/>
      <c r="P504" s="20"/>
      <c r="Q504" s="20"/>
      <c r="R504" s="20"/>
      <c r="S504" s="20"/>
      <c r="T504" s="21"/>
      <c r="U504" s="21"/>
      <c r="V504" s="21"/>
      <c r="W504" s="7" t="str">
        <f t="shared" si="36"/>
        <v/>
      </c>
      <c r="X504" s="506" t="str">
        <f t="shared" si="37"/>
        <v/>
      </c>
    </row>
    <row r="505" spans="1:24" x14ac:dyDescent="0.25">
      <c r="A505" s="66" t="str">
        <f t="shared" si="40"/>
        <v/>
      </c>
      <c r="B505" s="23" t="str">
        <f t="shared" si="35"/>
        <v/>
      </c>
      <c r="C505" s="15"/>
      <c r="D505" s="16"/>
      <c r="E505" s="17"/>
      <c r="F505" s="18"/>
      <c r="G505" s="18"/>
      <c r="H505" s="19"/>
      <c r="I505" s="15"/>
      <c r="J505" s="20"/>
      <c r="K505" s="15"/>
      <c r="L505" s="15"/>
      <c r="M505" s="531" t="str">
        <f>CONCATENATE(IF(OR(L505=phu!$I$1,L505=phu!$I$2,L505=phu!$I$3),"Cam Thành Nam",""),IF(OR(L505=phu!$I$4,L505=phu!$I$5,L505=phu!$I$6,L505=phu!$I$7,L505=phu!$I$8,L505=phu!$I$9,L505=phu!$I$10,L505=phu!$I$11,L505=phu!$I$12,L505=phu!$I$13,L505=phu!$I$14),"Cam Nghĩa",""),IF(OR(L505=phu!$I$15,L505=phu!$I$16,L505=phu!$I$17,L505=phu!$I$18,L505=phu!$I$19,L505=phu!$I$20,L505=phu!$I$21),"Cam Phúc Bắc",""),IF(OR(L505=phu!$I$22,L505=phu!$I$23,L505=phu!$I$24,L505=phu!$I$25),"Cam Phúc Nam",""),IF(OR(L505=phu!$I$26,L505=phu!$I$27,L505=phu!$I$28,L505=phu!$I$29,L505=phu!$I$30,L505=phu!$I$31),"Cam Phú",""),IF(OR(L505=phu!$I$32,L505=phu!$I$33,L505=phu!$I$34,L505=phu!$I$35,L505=phu!$I$36,L505=phu!$I$37),"Cam Lộc",""),IF(OR(L505=phu!$I$38,L505=phu!$I$39,L505=phu!$I$40,L505=phu!$I$41,L505=phu!$I$42,L505=phu!$I$43,L505=phu!$I$44),"Cam Thuận",""),IF(OR(L505=phu!$I$45,L505=phu!$I$46,L505=phu!$I$47,L505=phu!$I$48,L505=phu!$I$49,L505=phu!$I$50,L505=phu!$I$51,L505=phu!$I$52,L505=phu!$I$53),"Cam Linh",""),IF(OR(L505=phu!$I$54,L505=phu!$I$55,L505=phu!$I$56,L505=phu!$I$57,L505=phu!$I$58,L505=phu!$I$59,L505=phu!$I$60,L505=phu!$I$61,L505=phu!$I$62),"Cam Lợi",""),IF(OR(L505=phu!$I$63,L505=phu!$I$64,L505=phu!$I$65,L505=phu!$I$66,L505=phu!$I$67,L505=phu!$I$68,L505=phu!$I$69,L505=phu!$I$70,L505=phu!$I$71),"Ba Ngòi",""),IF(OR(L505=phu!$I$72,L505=phu!$I$73,L505=phu!$I$74,L505=phu!$I$75,L505=phu!$I$76,L505=phu!$I$77,L505=phu!$I$78),"Cam Phước Đông",""),IF(OR(L505=phu!$I$79,L505=phu!$I$80,L505=phu!$I$81,L505=phu!$I$82,L505=phu!$I$83,L505=phu!$I$84),"Cam Thịnh Đông",""),IF(OR(L505=phu!$I$85,L505=phu!$I$86,L505=phu!$I$87,L505=phu!$I$88),"Cam Thịnh Tây",""),IF(OR(L505=phu!$I$89,L505=phu!$I$90),"Cam Lập",""),IF(OR(L505=phu!$I$91,L505=phu!$I$92,L505=phu!$I$93),"Cam Bình",""),IF(OR(L505=phu!$I$94,L505=phu!$I$95,L505=phu!$I$96,L505=phu!$I$97,L505=phu!$I$98,L505=phu!$I$99,L505=phu!$I$100),"Huyện khác",""),IF(OR(L505=phu!$I$101,L505=phu!$I$102),"Tỉnh khác",""))</f>
        <v/>
      </c>
      <c r="N505" s="835" t="str">
        <f t="shared" si="38"/>
        <v/>
      </c>
      <c r="O505" s="20"/>
      <c r="P505" s="20"/>
      <c r="Q505" s="20"/>
      <c r="R505" s="20"/>
      <c r="S505" s="20"/>
      <c r="T505" s="21"/>
      <c r="U505" s="21"/>
      <c r="V505" s="21"/>
      <c r="W505" s="7" t="str">
        <f t="shared" si="36"/>
        <v/>
      </c>
      <c r="X505" s="506" t="str">
        <f t="shared" si="37"/>
        <v/>
      </c>
    </row>
    <row r="506" spans="1:24" x14ac:dyDescent="0.25">
      <c r="A506" s="66" t="str">
        <f t="shared" si="40"/>
        <v/>
      </c>
      <c r="B506" s="23" t="str">
        <f t="shared" si="35"/>
        <v/>
      </c>
      <c r="C506" s="15"/>
      <c r="D506" s="16"/>
      <c r="E506" s="17"/>
      <c r="F506" s="18"/>
      <c r="G506" s="18"/>
      <c r="H506" s="19"/>
      <c r="I506" s="24"/>
      <c r="J506" s="20"/>
      <c r="K506" s="15"/>
      <c r="L506" s="15"/>
      <c r="M506" s="531" t="str">
        <f>CONCATENATE(IF(OR(L506=phu!$I$1,L506=phu!$I$2,L506=phu!$I$3),"Cam Thành Nam",""),IF(OR(L506=phu!$I$4,L506=phu!$I$5,L506=phu!$I$6,L506=phu!$I$7,L506=phu!$I$8,L506=phu!$I$9,L506=phu!$I$10,L506=phu!$I$11,L506=phu!$I$12,L506=phu!$I$13,L506=phu!$I$14),"Cam Nghĩa",""),IF(OR(L506=phu!$I$15,L506=phu!$I$16,L506=phu!$I$17,L506=phu!$I$18,L506=phu!$I$19,L506=phu!$I$20,L506=phu!$I$21),"Cam Phúc Bắc",""),IF(OR(L506=phu!$I$22,L506=phu!$I$23,L506=phu!$I$24,L506=phu!$I$25),"Cam Phúc Nam",""),IF(OR(L506=phu!$I$26,L506=phu!$I$27,L506=phu!$I$28,L506=phu!$I$29,L506=phu!$I$30,L506=phu!$I$31),"Cam Phú",""),IF(OR(L506=phu!$I$32,L506=phu!$I$33,L506=phu!$I$34,L506=phu!$I$35,L506=phu!$I$36,L506=phu!$I$37),"Cam Lộc",""),IF(OR(L506=phu!$I$38,L506=phu!$I$39,L506=phu!$I$40,L506=phu!$I$41,L506=phu!$I$42,L506=phu!$I$43,L506=phu!$I$44),"Cam Thuận",""),IF(OR(L506=phu!$I$45,L506=phu!$I$46,L506=phu!$I$47,L506=phu!$I$48,L506=phu!$I$49,L506=phu!$I$50,L506=phu!$I$51,L506=phu!$I$52,L506=phu!$I$53),"Cam Linh",""),IF(OR(L506=phu!$I$54,L506=phu!$I$55,L506=phu!$I$56,L506=phu!$I$57,L506=phu!$I$58,L506=phu!$I$59,L506=phu!$I$60,L506=phu!$I$61,L506=phu!$I$62),"Cam Lợi",""),IF(OR(L506=phu!$I$63,L506=phu!$I$64,L506=phu!$I$65,L506=phu!$I$66,L506=phu!$I$67,L506=phu!$I$68,L506=phu!$I$69,L506=phu!$I$70,L506=phu!$I$71),"Ba Ngòi",""),IF(OR(L506=phu!$I$72,L506=phu!$I$73,L506=phu!$I$74,L506=phu!$I$75,L506=phu!$I$76,L506=phu!$I$77,L506=phu!$I$78),"Cam Phước Đông",""),IF(OR(L506=phu!$I$79,L506=phu!$I$80,L506=phu!$I$81,L506=phu!$I$82,L506=phu!$I$83,L506=phu!$I$84),"Cam Thịnh Đông",""),IF(OR(L506=phu!$I$85,L506=phu!$I$86,L506=phu!$I$87,L506=phu!$I$88),"Cam Thịnh Tây",""),IF(OR(L506=phu!$I$89,L506=phu!$I$90),"Cam Lập",""),IF(OR(L506=phu!$I$91,L506=phu!$I$92,L506=phu!$I$93),"Cam Bình",""),IF(OR(L506=phu!$I$94,L506=phu!$I$95,L506=phu!$I$96,L506=phu!$I$97,L506=phu!$I$98,L506=phu!$I$99,L506=phu!$I$100),"Huyện khác",""),IF(OR(L506=phu!$I$101,L506=phu!$I$102),"Tỉnh khác",""))</f>
        <v/>
      </c>
      <c r="N506" s="835" t="str">
        <f t="shared" si="38"/>
        <v/>
      </c>
      <c r="O506" s="20"/>
      <c r="P506" s="20"/>
      <c r="Q506" s="20"/>
      <c r="R506" s="20"/>
      <c r="S506" s="20"/>
      <c r="T506" s="21"/>
      <c r="U506" s="21"/>
      <c r="V506" s="21"/>
      <c r="W506" s="7" t="str">
        <f t="shared" si="36"/>
        <v/>
      </c>
      <c r="X506" s="506" t="str">
        <f t="shared" si="37"/>
        <v/>
      </c>
    </row>
    <row r="507" spans="1:24" x14ac:dyDescent="0.25">
      <c r="A507" s="66" t="str">
        <f t="shared" si="40"/>
        <v/>
      </c>
      <c r="B507" s="23" t="str">
        <f t="shared" si="35"/>
        <v/>
      </c>
      <c r="C507" s="15"/>
      <c r="D507" s="16"/>
      <c r="E507" s="17"/>
      <c r="F507" s="18"/>
      <c r="G507" s="18"/>
      <c r="H507" s="19"/>
      <c r="I507" s="15"/>
      <c r="J507" s="20"/>
      <c r="K507" s="15"/>
      <c r="L507" s="15"/>
      <c r="M507" s="531" t="str">
        <f>CONCATENATE(IF(OR(L507=phu!$I$1,L507=phu!$I$2,L507=phu!$I$3),"Cam Thành Nam",""),IF(OR(L507=phu!$I$4,L507=phu!$I$5,L507=phu!$I$6,L507=phu!$I$7,L507=phu!$I$8,L507=phu!$I$9,L507=phu!$I$10,L507=phu!$I$11,L507=phu!$I$12,L507=phu!$I$13,L507=phu!$I$14),"Cam Nghĩa",""),IF(OR(L507=phu!$I$15,L507=phu!$I$16,L507=phu!$I$17,L507=phu!$I$18,L507=phu!$I$19,L507=phu!$I$20,L507=phu!$I$21),"Cam Phúc Bắc",""),IF(OR(L507=phu!$I$22,L507=phu!$I$23,L507=phu!$I$24,L507=phu!$I$25),"Cam Phúc Nam",""),IF(OR(L507=phu!$I$26,L507=phu!$I$27,L507=phu!$I$28,L507=phu!$I$29,L507=phu!$I$30,L507=phu!$I$31),"Cam Phú",""),IF(OR(L507=phu!$I$32,L507=phu!$I$33,L507=phu!$I$34,L507=phu!$I$35,L507=phu!$I$36,L507=phu!$I$37),"Cam Lộc",""),IF(OR(L507=phu!$I$38,L507=phu!$I$39,L507=phu!$I$40,L507=phu!$I$41,L507=phu!$I$42,L507=phu!$I$43,L507=phu!$I$44),"Cam Thuận",""),IF(OR(L507=phu!$I$45,L507=phu!$I$46,L507=phu!$I$47,L507=phu!$I$48,L507=phu!$I$49,L507=phu!$I$50,L507=phu!$I$51,L507=phu!$I$52,L507=phu!$I$53),"Cam Linh",""),IF(OR(L507=phu!$I$54,L507=phu!$I$55,L507=phu!$I$56,L507=phu!$I$57,L507=phu!$I$58,L507=phu!$I$59,L507=phu!$I$60,L507=phu!$I$61,L507=phu!$I$62),"Cam Lợi",""),IF(OR(L507=phu!$I$63,L507=phu!$I$64,L507=phu!$I$65,L507=phu!$I$66,L507=phu!$I$67,L507=phu!$I$68,L507=phu!$I$69,L507=phu!$I$70,L507=phu!$I$71),"Ba Ngòi",""),IF(OR(L507=phu!$I$72,L507=phu!$I$73,L507=phu!$I$74,L507=phu!$I$75,L507=phu!$I$76,L507=phu!$I$77,L507=phu!$I$78),"Cam Phước Đông",""),IF(OR(L507=phu!$I$79,L507=phu!$I$80,L507=phu!$I$81,L507=phu!$I$82,L507=phu!$I$83,L507=phu!$I$84),"Cam Thịnh Đông",""),IF(OR(L507=phu!$I$85,L507=phu!$I$86,L507=phu!$I$87,L507=phu!$I$88),"Cam Thịnh Tây",""),IF(OR(L507=phu!$I$89,L507=phu!$I$90),"Cam Lập",""),IF(OR(L507=phu!$I$91,L507=phu!$I$92,L507=phu!$I$93),"Cam Bình",""),IF(OR(L507=phu!$I$94,L507=phu!$I$95,L507=phu!$I$96,L507=phu!$I$97,L507=phu!$I$98,L507=phu!$I$99,L507=phu!$I$100),"Huyện khác",""),IF(OR(L507=phu!$I$101,L507=phu!$I$102),"Tỉnh khác",""))</f>
        <v/>
      </c>
      <c r="N507" s="835" t="str">
        <f t="shared" si="38"/>
        <v/>
      </c>
      <c r="O507" s="20"/>
      <c r="P507" s="20"/>
      <c r="Q507" s="20"/>
      <c r="R507" s="20"/>
      <c r="S507" s="20"/>
      <c r="T507" s="21"/>
      <c r="U507" s="21"/>
      <c r="V507" s="21"/>
      <c r="W507" s="7" t="str">
        <f t="shared" si="36"/>
        <v/>
      </c>
      <c r="X507" s="506" t="str">
        <f t="shared" si="37"/>
        <v/>
      </c>
    </row>
    <row r="508" spans="1:24" x14ac:dyDescent="0.25">
      <c r="A508" s="66" t="str">
        <f t="shared" si="40"/>
        <v/>
      </c>
      <c r="B508" s="23" t="str">
        <f t="shared" si="35"/>
        <v/>
      </c>
      <c r="C508" s="15"/>
      <c r="D508" s="16"/>
      <c r="E508" s="17"/>
      <c r="F508" s="18"/>
      <c r="G508" s="18"/>
      <c r="H508" s="19"/>
      <c r="I508" s="15"/>
      <c r="J508" s="20"/>
      <c r="K508" s="15"/>
      <c r="L508" s="15"/>
      <c r="M508" s="531" t="str">
        <f>CONCATENATE(IF(OR(L508=phu!$I$1,L508=phu!$I$2,L508=phu!$I$3),"Cam Thành Nam",""),IF(OR(L508=phu!$I$4,L508=phu!$I$5,L508=phu!$I$6,L508=phu!$I$7,L508=phu!$I$8,L508=phu!$I$9,L508=phu!$I$10,L508=phu!$I$11,L508=phu!$I$12,L508=phu!$I$13,L508=phu!$I$14),"Cam Nghĩa",""),IF(OR(L508=phu!$I$15,L508=phu!$I$16,L508=phu!$I$17,L508=phu!$I$18,L508=phu!$I$19,L508=phu!$I$20,L508=phu!$I$21),"Cam Phúc Bắc",""),IF(OR(L508=phu!$I$22,L508=phu!$I$23,L508=phu!$I$24,L508=phu!$I$25),"Cam Phúc Nam",""),IF(OR(L508=phu!$I$26,L508=phu!$I$27,L508=phu!$I$28,L508=phu!$I$29,L508=phu!$I$30,L508=phu!$I$31),"Cam Phú",""),IF(OR(L508=phu!$I$32,L508=phu!$I$33,L508=phu!$I$34,L508=phu!$I$35,L508=phu!$I$36,L508=phu!$I$37),"Cam Lộc",""),IF(OR(L508=phu!$I$38,L508=phu!$I$39,L508=phu!$I$40,L508=phu!$I$41,L508=phu!$I$42,L508=phu!$I$43,L508=phu!$I$44),"Cam Thuận",""),IF(OR(L508=phu!$I$45,L508=phu!$I$46,L508=phu!$I$47,L508=phu!$I$48,L508=phu!$I$49,L508=phu!$I$50,L508=phu!$I$51,L508=phu!$I$52,L508=phu!$I$53),"Cam Linh",""),IF(OR(L508=phu!$I$54,L508=phu!$I$55,L508=phu!$I$56,L508=phu!$I$57,L508=phu!$I$58,L508=phu!$I$59,L508=phu!$I$60,L508=phu!$I$61,L508=phu!$I$62),"Cam Lợi",""),IF(OR(L508=phu!$I$63,L508=phu!$I$64,L508=phu!$I$65,L508=phu!$I$66,L508=phu!$I$67,L508=phu!$I$68,L508=phu!$I$69,L508=phu!$I$70,L508=phu!$I$71),"Ba Ngòi",""),IF(OR(L508=phu!$I$72,L508=phu!$I$73,L508=phu!$I$74,L508=phu!$I$75,L508=phu!$I$76,L508=phu!$I$77,L508=phu!$I$78),"Cam Phước Đông",""),IF(OR(L508=phu!$I$79,L508=phu!$I$80,L508=phu!$I$81,L508=phu!$I$82,L508=phu!$I$83,L508=phu!$I$84),"Cam Thịnh Đông",""),IF(OR(L508=phu!$I$85,L508=phu!$I$86,L508=phu!$I$87,L508=phu!$I$88),"Cam Thịnh Tây",""),IF(OR(L508=phu!$I$89,L508=phu!$I$90),"Cam Lập",""),IF(OR(L508=phu!$I$91,L508=phu!$I$92,L508=phu!$I$93),"Cam Bình",""),IF(OR(L508=phu!$I$94,L508=phu!$I$95,L508=phu!$I$96,L508=phu!$I$97,L508=phu!$I$98,L508=phu!$I$99,L508=phu!$I$100),"Huyện khác",""),IF(OR(L508=phu!$I$101,L508=phu!$I$102),"Tỉnh khác",""))</f>
        <v/>
      </c>
      <c r="N508" s="835" t="str">
        <f t="shared" si="38"/>
        <v/>
      </c>
      <c r="O508" s="20"/>
      <c r="P508" s="20"/>
      <c r="Q508" s="20"/>
      <c r="R508" s="20"/>
      <c r="S508" s="20"/>
      <c r="T508" s="21"/>
      <c r="U508" s="21"/>
      <c r="V508" s="21"/>
      <c r="W508" s="7" t="str">
        <f t="shared" si="36"/>
        <v/>
      </c>
      <c r="X508" s="506" t="str">
        <f t="shared" si="37"/>
        <v/>
      </c>
    </row>
    <row r="509" spans="1:24" x14ac:dyDescent="0.25">
      <c r="A509" s="66" t="str">
        <f t="shared" si="40"/>
        <v/>
      </c>
      <c r="B509" s="23" t="str">
        <f t="shared" si="35"/>
        <v/>
      </c>
      <c r="C509" s="15"/>
      <c r="D509" s="16"/>
      <c r="E509" s="17"/>
      <c r="F509" s="18"/>
      <c r="G509" s="18"/>
      <c r="H509" s="19"/>
      <c r="I509" s="15"/>
      <c r="J509" s="20"/>
      <c r="K509" s="15"/>
      <c r="L509" s="15"/>
      <c r="M509" s="531" t="str">
        <f>CONCATENATE(IF(OR(L509=phu!$I$1,L509=phu!$I$2,L509=phu!$I$3),"Cam Thành Nam",""),IF(OR(L509=phu!$I$4,L509=phu!$I$5,L509=phu!$I$6,L509=phu!$I$7,L509=phu!$I$8,L509=phu!$I$9,L509=phu!$I$10,L509=phu!$I$11,L509=phu!$I$12,L509=phu!$I$13,L509=phu!$I$14),"Cam Nghĩa",""),IF(OR(L509=phu!$I$15,L509=phu!$I$16,L509=phu!$I$17,L509=phu!$I$18,L509=phu!$I$19,L509=phu!$I$20,L509=phu!$I$21),"Cam Phúc Bắc",""),IF(OR(L509=phu!$I$22,L509=phu!$I$23,L509=phu!$I$24,L509=phu!$I$25),"Cam Phúc Nam",""),IF(OR(L509=phu!$I$26,L509=phu!$I$27,L509=phu!$I$28,L509=phu!$I$29,L509=phu!$I$30,L509=phu!$I$31),"Cam Phú",""),IF(OR(L509=phu!$I$32,L509=phu!$I$33,L509=phu!$I$34,L509=phu!$I$35,L509=phu!$I$36,L509=phu!$I$37),"Cam Lộc",""),IF(OR(L509=phu!$I$38,L509=phu!$I$39,L509=phu!$I$40,L509=phu!$I$41,L509=phu!$I$42,L509=phu!$I$43,L509=phu!$I$44),"Cam Thuận",""),IF(OR(L509=phu!$I$45,L509=phu!$I$46,L509=phu!$I$47,L509=phu!$I$48,L509=phu!$I$49,L509=phu!$I$50,L509=phu!$I$51,L509=phu!$I$52,L509=phu!$I$53),"Cam Linh",""),IF(OR(L509=phu!$I$54,L509=phu!$I$55,L509=phu!$I$56,L509=phu!$I$57,L509=phu!$I$58,L509=phu!$I$59,L509=phu!$I$60,L509=phu!$I$61,L509=phu!$I$62),"Cam Lợi",""),IF(OR(L509=phu!$I$63,L509=phu!$I$64,L509=phu!$I$65,L509=phu!$I$66,L509=phu!$I$67,L509=phu!$I$68,L509=phu!$I$69,L509=phu!$I$70,L509=phu!$I$71),"Ba Ngòi",""),IF(OR(L509=phu!$I$72,L509=phu!$I$73,L509=phu!$I$74,L509=phu!$I$75,L509=phu!$I$76,L509=phu!$I$77,L509=phu!$I$78),"Cam Phước Đông",""),IF(OR(L509=phu!$I$79,L509=phu!$I$80,L509=phu!$I$81,L509=phu!$I$82,L509=phu!$I$83,L509=phu!$I$84),"Cam Thịnh Đông",""),IF(OR(L509=phu!$I$85,L509=phu!$I$86,L509=phu!$I$87,L509=phu!$I$88),"Cam Thịnh Tây",""),IF(OR(L509=phu!$I$89,L509=phu!$I$90),"Cam Lập",""),IF(OR(L509=phu!$I$91,L509=phu!$I$92,L509=phu!$I$93),"Cam Bình",""),IF(OR(L509=phu!$I$94,L509=phu!$I$95,L509=phu!$I$96,L509=phu!$I$97,L509=phu!$I$98,L509=phu!$I$99,L509=phu!$I$100),"Huyện khác",""),IF(OR(L509=phu!$I$101,L509=phu!$I$102),"Tỉnh khác",""))</f>
        <v/>
      </c>
      <c r="N509" s="835" t="str">
        <f t="shared" si="38"/>
        <v/>
      </c>
      <c r="O509" s="20"/>
      <c r="P509" s="20"/>
      <c r="Q509" s="20"/>
      <c r="R509" s="20"/>
      <c r="S509" s="20"/>
      <c r="T509" s="21"/>
      <c r="U509" s="21"/>
      <c r="V509" s="21"/>
      <c r="W509" s="7" t="str">
        <f t="shared" si="36"/>
        <v/>
      </c>
      <c r="X509" s="506" t="str">
        <f t="shared" si="37"/>
        <v/>
      </c>
    </row>
    <row r="510" spans="1:24" x14ac:dyDescent="0.25">
      <c r="A510" s="66" t="str">
        <f t="shared" si="40"/>
        <v/>
      </c>
      <c r="B510" s="23" t="str">
        <f t="shared" si="35"/>
        <v/>
      </c>
      <c r="C510" s="15"/>
      <c r="D510" s="16"/>
      <c r="E510" s="17"/>
      <c r="F510" s="18"/>
      <c r="G510" s="18"/>
      <c r="H510" s="19"/>
      <c r="I510" s="15"/>
      <c r="J510" s="20"/>
      <c r="K510" s="15"/>
      <c r="L510" s="15"/>
      <c r="M510" s="531" t="str">
        <f>CONCATENATE(IF(OR(L510=phu!$I$1,L510=phu!$I$2,L510=phu!$I$3),"Cam Thành Nam",""),IF(OR(L510=phu!$I$4,L510=phu!$I$5,L510=phu!$I$6,L510=phu!$I$7,L510=phu!$I$8,L510=phu!$I$9,L510=phu!$I$10,L510=phu!$I$11,L510=phu!$I$12,L510=phu!$I$13,L510=phu!$I$14),"Cam Nghĩa",""),IF(OR(L510=phu!$I$15,L510=phu!$I$16,L510=phu!$I$17,L510=phu!$I$18,L510=phu!$I$19,L510=phu!$I$20,L510=phu!$I$21),"Cam Phúc Bắc",""),IF(OR(L510=phu!$I$22,L510=phu!$I$23,L510=phu!$I$24,L510=phu!$I$25),"Cam Phúc Nam",""),IF(OR(L510=phu!$I$26,L510=phu!$I$27,L510=phu!$I$28,L510=phu!$I$29,L510=phu!$I$30,L510=phu!$I$31),"Cam Phú",""),IF(OR(L510=phu!$I$32,L510=phu!$I$33,L510=phu!$I$34,L510=phu!$I$35,L510=phu!$I$36,L510=phu!$I$37),"Cam Lộc",""),IF(OR(L510=phu!$I$38,L510=phu!$I$39,L510=phu!$I$40,L510=phu!$I$41,L510=phu!$I$42,L510=phu!$I$43,L510=phu!$I$44),"Cam Thuận",""),IF(OR(L510=phu!$I$45,L510=phu!$I$46,L510=phu!$I$47,L510=phu!$I$48,L510=phu!$I$49,L510=phu!$I$50,L510=phu!$I$51,L510=phu!$I$52,L510=phu!$I$53),"Cam Linh",""),IF(OR(L510=phu!$I$54,L510=phu!$I$55,L510=phu!$I$56,L510=phu!$I$57,L510=phu!$I$58,L510=phu!$I$59,L510=phu!$I$60,L510=phu!$I$61,L510=phu!$I$62),"Cam Lợi",""),IF(OR(L510=phu!$I$63,L510=phu!$I$64,L510=phu!$I$65,L510=phu!$I$66,L510=phu!$I$67,L510=phu!$I$68,L510=phu!$I$69,L510=phu!$I$70,L510=phu!$I$71),"Ba Ngòi",""),IF(OR(L510=phu!$I$72,L510=phu!$I$73,L510=phu!$I$74,L510=phu!$I$75,L510=phu!$I$76,L510=phu!$I$77,L510=phu!$I$78),"Cam Phước Đông",""),IF(OR(L510=phu!$I$79,L510=phu!$I$80,L510=phu!$I$81,L510=phu!$I$82,L510=phu!$I$83,L510=phu!$I$84),"Cam Thịnh Đông",""),IF(OR(L510=phu!$I$85,L510=phu!$I$86,L510=phu!$I$87,L510=phu!$I$88),"Cam Thịnh Tây",""),IF(OR(L510=phu!$I$89,L510=phu!$I$90),"Cam Lập",""),IF(OR(L510=phu!$I$91,L510=phu!$I$92,L510=phu!$I$93),"Cam Bình",""),IF(OR(L510=phu!$I$94,L510=phu!$I$95,L510=phu!$I$96,L510=phu!$I$97,L510=phu!$I$98,L510=phu!$I$99,L510=phu!$I$100),"Huyện khác",""),IF(OR(L510=phu!$I$101,L510=phu!$I$102),"Tỉnh khác",""))</f>
        <v/>
      </c>
      <c r="N510" s="835" t="str">
        <f t="shared" si="38"/>
        <v/>
      </c>
      <c r="O510" s="20"/>
      <c r="P510" s="20"/>
      <c r="Q510" s="20"/>
      <c r="R510" s="20"/>
      <c r="S510" s="20"/>
      <c r="T510" s="21"/>
      <c r="U510" s="21"/>
      <c r="V510" s="21"/>
      <c r="W510" s="7" t="str">
        <f t="shared" si="36"/>
        <v/>
      </c>
      <c r="X510" s="506" t="str">
        <f t="shared" si="37"/>
        <v/>
      </c>
    </row>
    <row r="511" spans="1:24" x14ac:dyDescent="0.25">
      <c r="A511" s="66" t="str">
        <f t="shared" si="40"/>
        <v/>
      </c>
      <c r="B511" s="23" t="str">
        <f t="shared" si="35"/>
        <v/>
      </c>
      <c r="C511" s="15"/>
      <c r="D511" s="16"/>
      <c r="E511" s="17"/>
      <c r="F511" s="18"/>
      <c r="G511" s="18"/>
      <c r="H511" s="19"/>
      <c r="I511" s="15"/>
      <c r="J511" s="20"/>
      <c r="K511" s="15"/>
      <c r="L511" s="15"/>
      <c r="M511" s="531" t="str">
        <f>CONCATENATE(IF(OR(L511=phu!$I$1,L511=phu!$I$2,L511=phu!$I$3),"Cam Thành Nam",""),IF(OR(L511=phu!$I$4,L511=phu!$I$5,L511=phu!$I$6,L511=phu!$I$7,L511=phu!$I$8,L511=phu!$I$9,L511=phu!$I$10,L511=phu!$I$11,L511=phu!$I$12,L511=phu!$I$13,L511=phu!$I$14),"Cam Nghĩa",""),IF(OR(L511=phu!$I$15,L511=phu!$I$16,L511=phu!$I$17,L511=phu!$I$18,L511=phu!$I$19,L511=phu!$I$20,L511=phu!$I$21),"Cam Phúc Bắc",""),IF(OR(L511=phu!$I$22,L511=phu!$I$23,L511=phu!$I$24,L511=phu!$I$25),"Cam Phúc Nam",""),IF(OR(L511=phu!$I$26,L511=phu!$I$27,L511=phu!$I$28,L511=phu!$I$29,L511=phu!$I$30,L511=phu!$I$31),"Cam Phú",""),IF(OR(L511=phu!$I$32,L511=phu!$I$33,L511=phu!$I$34,L511=phu!$I$35,L511=phu!$I$36,L511=phu!$I$37),"Cam Lộc",""),IF(OR(L511=phu!$I$38,L511=phu!$I$39,L511=phu!$I$40,L511=phu!$I$41,L511=phu!$I$42,L511=phu!$I$43,L511=phu!$I$44),"Cam Thuận",""),IF(OR(L511=phu!$I$45,L511=phu!$I$46,L511=phu!$I$47,L511=phu!$I$48,L511=phu!$I$49,L511=phu!$I$50,L511=phu!$I$51,L511=phu!$I$52,L511=phu!$I$53),"Cam Linh",""),IF(OR(L511=phu!$I$54,L511=phu!$I$55,L511=phu!$I$56,L511=phu!$I$57,L511=phu!$I$58,L511=phu!$I$59,L511=phu!$I$60,L511=phu!$I$61,L511=phu!$I$62),"Cam Lợi",""),IF(OR(L511=phu!$I$63,L511=phu!$I$64,L511=phu!$I$65,L511=phu!$I$66,L511=phu!$I$67,L511=phu!$I$68,L511=phu!$I$69,L511=phu!$I$70,L511=phu!$I$71),"Ba Ngòi",""),IF(OR(L511=phu!$I$72,L511=phu!$I$73,L511=phu!$I$74,L511=phu!$I$75,L511=phu!$I$76,L511=phu!$I$77,L511=phu!$I$78),"Cam Phước Đông",""),IF(OR(L511=phu!$I$79,L511=phu!$I$80,L511=phu!$I$81,L511=phu!$I$82,L511=phu!$I$83,L511=phu!$I$84),"Cam Thịnh Đông",""),IF(OR(L511=phu!$I$85,L511=phu!$I$86,L511=phu!$I$87,L511=phu!$I$88),"Cam Thịnh Tây",""),IF(OR(L511=phu!$I$89,L511=phu!$I$90),"Cam Lập",""),IF(OR(L511=phu!$I$91,L511=phu!$I$92,L511=phu!$I$93),"Cam Bình",""),IF(OR(L511=phu!$I$94,L511=phu!$I$95,L511=phu!$I$96,L511=phu!$I$97,L511=phu!$I$98,L511=phu!$I$99,L511=phu!$I$100),"Huyện khác",""),IF(OR(L511=phu!$I$101,L511=phu!$I$102),"Tỉnh khác",""))</f>
        <v/>
      </c>
      <c r="N511" s="835" t="str">
        <f t="shared" si="38"/>
        <v/>
      </c>
      <c r="O511" s="20"/>
      <c r="P511" s="20"/>
      <c r="Q511" s="20"/>
      <c r="R511" s="20"/>
      <c r="S511" s="20"/>
      <c r="T511" s="21"/>
      <c r="U511" s="21"/>
      <c r="V511" s="21"/>
      <c r="W511" s="7" t="str">
        <f t="shared" si="36"/>
        <v/>
      </c>
      <c r="X511" s="506" t="str">
        <f t="shared" si="37"/>
        <v/>
      </c>
    </row>
    <row r="512" spans="1:24" x14ac:dyDescent="0.25">
      <c r="A512" s="66" t="str">
        <f t="shared" si="40"/>
        <v/>
      </c>
      <c r="B512" s="23" t="str">
        <f t="shared" si="35"/>
        <v/>
      </c>
      <c r="C512" s="15"/>
      <c r="D512" s="16"/>
      <c r="E512" s="17"/>
      <c r="F512" s="18"/>
      <c r="G512" s="18"/>
      <c r="H512" s="19"/>
      <c r="I512" s="15"/>
      <c r="J512" s="20"/>
      <c r="K512" s="15"/>
      <c r="L512" s="15"/>
      <c r="M512" s="531" t="str">
        <f>CONCATENATE(IF(OR(L512=phu!$I$1,L512=phu!$I$2,L512=phu!$I$3),"Cam Thành Nam",""),IF(OR(L512=phu!$I$4,L512=phu!$I$5,L512=phu!$I$6,L512=phu!$I$7,L512=phu!$I$8,L512=phu!$I$9,L512=phu!$I$10,L512=phu!$I$11,L512=phu!$I$12,L512=phu!$I$13,L512=phu!$I$14),"Cam Nghĩa",""),IF(OR(L512=phu!$I$15,L512=phu!$I$16,L512=phu!$I$17,L512=phu!$I$18,L512=phu!$I$19,L512=phu!$I$20,L512=phu!$I$21),"Cam Phúc Bắc",""),IF(OR(L512=phu!$I$22,L512=phu!$I$23,L512=phu!$I$24,L512=phu!$I$25),"Cam Phúc Nam",""),IF(OR(L512=phu!$I$26,L512=phu!$I$27,L512=phu!$I$28,L512=phu!$I$29,L512=phu!$I$30,L512=phu!$I$31),"Cam Phú",""),IF(OR(L512=phu!$I$32,L512=phu!$I$33,L512=phu!$I$34,L512=phu!$I$35,L512=phu!$I$36,L512=phu!$I$37),"Cam Lộc",""),IF(OR(L512=phu!$I$38,L512=phu!$I$39,L512=phu!$I$40,L512=phu!$I$41,L512=phu!$I$42,L512=phu!$I$43,L512=phu!$I$44),"Cam Thuận",""),IF(OR(L512=phu!$I$45,L512=phu!$I$46,L512=phu!$I$47,L512=phu!$I$48,L512=phu!$I$49,L512=phu!$I$50,L512=phu!$I$51,L512=phu!$I$52,L512=phu!$I$53),"Cam Linh",""),IF(OR(L512=phu!$I$54,L512=phu!$I$55,L512=phu!$I$56,L512=phu!$I$57,L512=phu!$I$58,L512=phu!$I$59,L512=phu!$I$60,L512=phu!$I$61,L512=phu!$I$62),"Cam Lợi",""),IF(OR(L512=phu!$I$63,L512=phu!$I$64,L512=phu!$I$65,L512=phu!$I$66,L512=phu!$I$67,L512=phu!$I$68,L512=phu!$I$69,L512=phu!$I$70,L512=phu!$I$71),"Ba Ngòi",""),IF(OR(L512=phu!$I$72,L512=phu!$I$73,L512=phu!$I$74,L512=phu!$I$75,L512=phu!$I$76,L512=phu!$I$77,L512=phu!$I$78),"Cam Phước Đông",""),IF(OR(L512=phu!$I$79,L512=phu!$I$80,L512=phu!$I$81,L512=phu!$I$82,L512=phu!$I$83,L512=phu!$I$84),"Cam Thịnh Đông",""),IF(OR(L512=phu!$I$85,L512=phu!$I$86,L512=phu!$I$87,L512=phu!$I$88),"Cam Thịnh Tây",""),IF(OR(L512=phu!$I$89,L512=phu!$I$90),"Cam Lập",""),IF(OR(L512=phu!$I$91,L512=phu!$I$92,L512=phu!$I$93),"Cam Bình",""),IF(OR(L512=phu!$I$94,L512=phu!$I$95,L512=phu!$I$96,L512=phu!$I$97,L512=phu!$I$98,L512=phu!$I$99,L512=phu!$I$100),"Huyện khác",""),IF(OR(L512=phu!$I$101,L512=phu!$I$102),"Tỉnh khác",""))</f>
        <v/>
      </c>
      <c r="N512" s="835" t="str">
        <f t="shared" si="38"/>
        <v/>
      </c>
      <c r="O512" s="20"/>
      <c r="P512" s="20"/>
      <c r="Q512" s="20"/>
      <c r="R512" s="20"/>
      <c r="S512" s="20"/>
      <c r="T512" s="21"/>
      <c r="U512" s="21"/>
      <c r="V512" s="21"/>
      <c r="W512" s="7" t="str">
        <f t="shared" si="36"/>
        <v/>
      </c>
      <c r="X512" s="506" t="str">
        <f t="shared" si="37"/>
        <v/>
      </c>
    </row>
    <row r="513" spans="1:24" x14ac:dyDescent="0.25">
      <c r="A513" s="66" t="str">
        <f t="shared" si="40"/>
        <v/>
      </c>
      <c r="B513" s="23" t="str">
        <f t="shared" si="35"/>
        <v/>
      </c>
      <c r="C513" s="15"/>
      <c r="D513" s="16"/>
      <c r="E513" s="17"/>
      <c r="F513" s="18"/>
      <c r="G513" s="18"/>
      <c r="H513" s="19"/>
      <c r="I513" s="15"/>
      <c r="J513" s="20"/>
      <c r="K513" s="15"/>
      <c r="L513" s="15"/>
      <c r="M513" s="531" t="str">
        <f>CONCATENATE(IF(OR(L513=phu!$I$1,L513=phu!$I$2,L513=phu!$I$3),"Cam Thành Nam",""),IF(OR(L513=phu!$I$4,L513=phu!$I$5,L513=phu!$I$6,L513=phu!$I$7,L513=phu!$I$8,L513=phu!$I$9,L513=phu!$I$10,L513=phu!$I$11,L513=phu!$I$12,L513=phu!$I$13,L513=phu!$I$14),"Cam Nghĩa",""),IF(OR(L513=phu!$I$15,L513=phu!$I$16,L513=phu!$I$17,L513=phu!$I$18,L513=phu!$I$19,L513=phu!$I$20,L513=phu!$I$21),"Cam Phúc Bắc",""),IF(OR(L513=phu!$I$22,L513=phu!$I$23,L513=phu!$I$24,L513=phu!$I$25),"Cam Phúc Nam",""),IF(OR(L513=phu!$I$26,L513=phu!$I$27,L513=phu!$I$28,L513=phu!$I$29,L513=phu!$I$30,L513=phu!$I$31),"Cam Phú",""),IF(OR(L513=phu!$I$32,L513=phu!$I$33,L513=phu!$I$34,L513=phu!$I$35,L513=phu!$I$36,L513=phu!$I$37),"Cam Lộc",""),IF(OR(L513=phu!$I$38,L513=phu!$I$39,L513=phu!$I$40,L513=phu!$I$41,L513=phu!$I$42,L513=phu!$I$43,L513=phu!$I$44),"Cam Thuận",""),IF(OR(L513=phu!$I$45,L513=phu!$I$46,L513=phu!$I$47,L513=phu!$I$48,L513=phu!$I$49,L513=phu!$I$50,L513=phu!$I$51,L513=phu!$I$52,L513=phu!$I$53),"Cam Linh",""),IF(OR(L513=phu!$I$54,L513=phu!$I$55,L513=phu!$I$56,L513=phu!$I$57,L513=phu!$I$58,L513=phu!$I$59,L513=phu!$I$60,L513=phu!$I$61,L513=phu!$I$62),"Cam Lợi",""),IF(OR(L513=phu!$I$63,L513=phu!$I$64,L513=phu!$I$65,L513=phu!$I$66,L513=phu!$I$67,L513=phu!$I$68,L513=phu!$I$69,L513=phu!$I$70,L513=phu!$I$71),"Ba Ngòi",""),IF(OR(L513=phu!$I$72,L513=phu!$I$73,L513=phu!$I$74,L513=phu!$I$75,L513=phu!$I$76,L513=phu!$I$77,L513=phu!$I$78),"Cam Phước Đông",""),IF(OR(L513=phu!$I$79,L513=phu!$I$80,L513=phu!$I$81,L513=phu!$I$82,L513=phu!$I$83,L513=phu!$I$84),"Cam Thịnh Đông",""),IF(OR(L513=phu!$I$85,L513=phu!$I$86,L513=phu!$I$87,L513=phu!$I$88),"Cam Thịnh Tây",""),IF(OR(L513=phu!$I$89,L513=phu!$I$90),"Cam Lập",""),IF(OR(L513=phu!$I$91,L513=phu!$I$92,L513=phu!$I$93),"Cam Bình",""),IF(OR(L513=phu!$I$94,L513=phu!$I$95,L513=phu!$I$96,L513=phu!$I$97,L513=phu!$I$98,L513=phu!$I$99,L513=phu!$I$100),"Huyện khác",""),IF(OR(L513=phu!$I$101,L513=phu!$I$102),"Tỉnh khác",""))</f>
        <v/>
      </c>
      <c r="N513" s="835" t="str">
        <f t="shared" si="38"/>
        <v/>
      </c>
      <c r="O513" s="20"/>
      <c r="P513" s="20"/>
      <c r="Q513" s="20"/>
      <c r="R513" s="20"/>
      <c r="S513" s="20"/>
      <c r="T513" s="21"/>
      <c r="U513" s="21"/>
      <c r="V513" s="21"/>
      <c r="W513" s="7" t="str">
        <f t="shared" si="36"/>
        <v/>
      </c>
      <c r="X513" s="506" t="str">
        <f t="shared" si="37"/>
        <v/>
      </c>
    </row>
    <row r="514" spans="1:24" x14ac:dyDescent="0.25">
      <c r="A514" s="66" t="str">
        <f t="shared" si="40"/>
        <v/>
      </c>
      <c r="B514" s="23" t="str">
        <f t="shared" si="35"/>
        <v/>
      </c>
      <c r="C514" s="15"/>
      <c r="D514" s="16"/>
      <c r="E514" s="17"/>
      <c r="F514" s="18"/>
      <c r="G514" s="18"/>
      <c r="H514" s="19"/>
      <c r="I514" s="15"/>
      <c r="J514" s="20"/>
      <c r="K514" s="15"/>
      <c r="L514" s="15"/>
      <c r="M514" s="531" t="str">
        <f>CONCATENATE(IF(OR(L514=phu!$I$1,L514=phu!$I$2,L514=phu!$I$3),"Cam Thành Nam",""),IF(OR(L514=phu!$I$4,L514=phu!$I$5,L514=phu!$I$6,L514=phu!$I$7,L514=phu!$I$8,L514=phu!$I$9,L514=phu!$I$10,L514=phu!$I$11,L514=phu!$I$12,L514=phu!$I$13,L514=phu!$I$14),"Cam Nghĩa",""),IF(OR(L514=phu!$I$15,L514=phu!$I$16,L514=phu!$I$17,L514=phu!$I$18,L514=phu!$I$19,L514=phu!$I$20,L514=phu!$I$21),"Cam Phúc Bắc",""),IF(OR(L514=phu!$I$22,L514=phu!$I$23,L514=phu!$I$24,L514=phu!$I$25),"Cam Phúc Nam",""),IF(OR(L514=phu!$I$26,L514=phu!$I$27,L514=phu!$I$28,L514=phu!$I$29,L514=phu!$I$30,L514=phu!$I$31),"Cam Phú",""),IF(OR(L514=phu!$I$32,L514=phu!$I$33,L514=phu!$I$34,L514=phu!$I$35,L514=phu!$I$36,L514=phu!$I$37),"Cam Lộc",""),IF(OR(L514=phu!$I$38,L514=phu!$I$39,L514=phu!$I$40,L514=phu!$I$41,L514=phu!$I$42,L514=phu!$I$43,L514=phu!$I$44),"Cam Thuận",""),IF(OR(L514=phu!$I$45,L514=phu!$I$46,L514=phu!$I$47,L514=phu!$I$48,L514=phu!$I$49,L514=phu!$I$50,L514=phu!$I$51,L514=phu!$I$52,L514=phu!$I$53),"Cam Linh",""),IF(OR(L514=phu!$I$54,L514=phu!$I$55,L514=phu!$I$56,L514=phu!$I$57,L514=phu!$I$58,L514=phu!$I$59,L514=phu!$I$60,L514=phu!$I$61,L514=phu!$I$62),"Cam Lợi",""),IF(OR(L514=phu!$I$63,L514=phu!$I$64,L514=phu!$I$65,L514=phu!$I$66,L514=phu!$I$67,L514=phu!$I$68,L514=phu!$I$69,L514=phu!$I$70,L514=phu!$I$71),"Ba Ngòi",""),IF(OR(L514=phu!$I$72,L514=phu!$I$73,L514=phu!$I$74,L514=phu!$I$75,L514=phu!$I$76,L514=phu!$I$77,L514=phu!$I$78),"Cam Phước Đông",""),IF(OR(L514=phu!$I$79,L514=phu!$I$80,L514=phu!$I$81,L514=phu!$I$82,L514=phu!$I$83,L514=phu!$I$84),"Cam Thịnh Đông",""),IF(OR(L514=phu!$I$85,L514=phu!$I$86,L514=phu!$I$87,L514=phu!$I$88),"Cam Thịnh Tây",""),IF(OR(L514=phu!$I$89,L514=phu!$I$90),"Cam Lập",""),IF(OR(L514=phu!$I$91,L514=phu!$I$92,L514=phu!$I$93),"Cam Bình",""),IF(OR(L514=phu!$I$94,L514=phu!$I$95,L514=phu!$I$96,L514=phu!$I$97,L514=phu!$I$98,L514=phu!$I$99,L514=phu!$I$100),"Huyện khác",""),IF(OR(L514=phu!$I$101,L514=phu!$I$102),"Tỉnh khác",""))</f>
        <v/>
      </c>
      <c r="N514" s="835" t="str">
        <f t="shared" si="38"/>
        <v/>
      </c>
      <c r="O514" s="20"/>
      <c r="P514" s="20"/>
      <c r="Q514" s="20"/>
      <c r="R514" s="20"/>
      <c r="S514" s="20"/>
      <c r="T514" s="21"/>
      <c r="U514" s="21"/>
      <c r="V514" s="21"/>
      <c r="W514" s="7" t="str">
        <f t="shared" si="36"/>
        <v/>
      </c>
      <c r="X514" s="506" t="str">
        <f t="shared" si="37"/>
        <v/>
      </c>
    </row>
    <row r="515" spans="1:24" x14ac:dyDescent="0.25">
      <c r="A515" s="66" t="str">
        <f t="shared" si="40"/>
        <v/>
      </c>
      <c r="B515" s="23" t="str">
        <f t="shared" si="35"/>
        <v/>
      </c>
      <c r="C515" s="15"/>
      <c r="D515" s="16"/>
      <c r="E515" s="17"/>
      <c r="F515" s="18"/>
      <c r="G515" s="18"/>
      <c r="H515" s="19"/>
      <c r="I515" s="15"/>
      <c r="J515" s="20"/>
      <c r="K515" s="15"/>
      <c r="L515" s="15"/>
      <c r="M515" s="531" t="str">
        <f>CONCATENATE(IF(OR(L515=phu!$I$1,L515=phu!$I$2,L515=phu!$I$3),"Cam Thành Nam",""),IF(OR(L515=phu!$I$4,L515=phu!$I$5,L515=phu!$I$6,L515=phu!$I$7,L515=phu!$I$8,L515=phu!$I$9,L515=phu!$I$10,L515=phu!$I$11,L515=phu!$I$12,L515=phu!$I$13,L515=phu!$I$14),"Cam Nghĩa",""),IF(OR(L515=phu!$I$15,L515=phu!$I$16,L515=phu!$I$17,L515=phu!$I$18,L515=phu!$I$19,L515=phu!$I$20,L515=phu!$I$21),"Cam Phúc Bắc",""),IF(OR(L515=phu!$I$22,L515=phu!$I$23,L515=phu!$I$24,L515=phu!$I$25),"Cam Phúc Nam",""),IF(OR(L515=phu!$I$26,L515=phu!$I$27,L515=phu!$I$28,L515=phu!$I$29,L515=phu!$I$30,L515=phu!$I$31),"Cam Phú",""),IF(OR(L515=phu!$I$32,L515=phu!$I$33,L515=phu!$I$34,L515=phu!$I$35,L515=phu!$I$36,L515=phu!$I$37),"Cam Lộc",""),IF(OR(L515=phu!$I$38,L515=phu!$I$39,L515=phu!$I$40,L515=phu!$I$41,L515=phu!$I$42,L515=phu!$I$43,L515=phu!$I$44),"Cam Thuận",""),IF(OR(L515=phu!$I$45,L515=phu!$I$46,L515=phu!$I$47,L515=phu!$I$48,L515=phu!$I$49,L515=phu!$I$50,L515=phu!$I$51,L515=phu!$I$52,L515=phu!$I$53),"Cam Linh",""),IF(OR(L515=phu!$I$54,L515=phu!$I$55,L515=phu!$I$56,L515=phu!$I$57,L515=phu!$I$58,L515=phu!$I$59,L515=phu!$I$60,L515=phu!$I$61,L515=phu!$I$62),"Cam Lợi",""),IF(OR(L515=phu!$I$63,L515=phu!$I$64,L515=phu!$I$65,L515=phu!$I$66,L515=phu!$I$67,L515=phu!$I$68,L515=phu!$I$69,L515=phu!$I$70,L515=phu!$I$71),"Ba Ngòi",""),IF(OR(L515=phu!$I$72,L515=phu!$I$73,L515=phu!$I$74,L515=phu!$I$75,L515=phu!$I$76,L515=phu!$I$77,L515=phu!$I$78),"Cam Phước Đông",""),IF(OR(L515=phu!$I$79,L515=phu!$I$80,L515=phu!$I$81,L515=phu!$I$82,L515=phu!$I$83,L515=phu!$I$84),"Cam Thịnh Đông",""),IF(OR(L515=phu!$I$85,L515=phu!$I$86,L515=phu!$I$87,L515=phu!$I$88),"Cam Thịnh Tây",""),IF(OR(L515=phu!$I$89,L515=phu!$I$90),"Cam Lập",""),IF(OR(L515=phu!$I$91,L515=phu!$I$92,L515=phu!$I$93),"Cam Bình",""),IF(OR(L515=phu!$I$94,L515=phu!$I$95,L515=phu!$I$96,L515=phu!$I$97,L515=phu!$I$98,L515=phu!$I$99,L515=phu!$I$100),"Huyện khác",""),IF(OR(L515=phu!$I$101,L515=phu!$I$102),"Tỉnh khác",""))</f>
        <v/>
      </c>
      <c r="N515" s="835" t="str">
        <f t="shared" si="38"/>
        <v/>
      </c>
      <c r="O515" s="20"/>
      <c r="P515" s="20"/>
      <c r="Q515" s="20"/>
      <c r="R515" s="20"/>
      <c r="S515" s="20"/>
      <c r="T515" s="21"/>
      <c r="U515" s="21"/>
      <c r="V515" s="21"/>
      <c r="W515" s="7" t="str">
        <f t="shared" si="36"/>
        <v/>
      </c>
      <c r="X515" s="506" t="str">
        <f t="shared" si="37"/>
        <v/>
      </c>
    </row>
    <row r="516" spans="1:24" x14ac:dyDescent="0.25">
      <c r="A516" s="66" t="str">
        <f t="shared" si="40"/>
        <v/>
      </c>
      <c r="B516" s="23" t="str">
        <f t="shared" si="35"/>
        <v/>
      </c>
      <c r="C516" s="15"/>
      <c r="D516" s="16"/>
      <c r="E516" s="17"/>
      <c r="F516" s="18"/>
      <c r="G516" s="18"/>
      <c r="H516" s="19"/>
      <c r="I516" s="15"/>
      <c r="J516" s="20"/>
      <c r="K516" s="15"/>
      <c r="L516" s="15"/>
      <c r="M516" s="531" t="str">
        <f>CONCATENATE(IF(OR(L516=phu!$I$1,L516=phu!$I$2,L516=phu!$I$3),"Cam Thành Nam",""),IF(OR(L516=phu!$I$4,L516=phu!$I$5,L516=phu!$I$6,L516=phu!$I$7,L516=phu!$I$8,L516=phu!$I$9,L516=phu!$I$10,L516=phu!$I$11,L516=phu!$I$12,L516=phu!$I$13,L516=phu!$I$14),"Cam Nghĩa",""),IF(OR(L516=phu!$I$15,L516=phu!$I$16,L516=phu!$I$17,L516=phu!$I$18,L516=phu!$I$19,L516=phu!$I$20,L516=phu!$I$21),"Cam Phúc Bắc",""),IF(OR(L516=phu!$I$22,L516=phu!$I$23,L516=phu!$I$24,L516=phu!$I$25),"Cam Phúc Nam",""),IF(OR(L516=phu!$I$26,L516=phu!$I$27,L516=phu!$I$28,L516=phu!$I$29,L516=phu!$I$30,L516=phu!$I$31),"Cam Phú",""),IF(OR(L516=phu!$I$32,L516=phu!$I$33,L516=phu!$I$34,L516=phu!$I$35,L516=phu!$I$36,L516=phu!$I$37),"Cam Lộc",""),IF(OR(L516=phu!$I$38,L516=phu!$I$39,L516=phu!$I$40,L516=phu!$I$41,L516=phu!$I$42,L516=phu!$I$43,L516=phu!$I$44),"Cam Thuận",""),IF(OR(L516=phu!$I$45,L516=phu!$I$46,L516=phu!$I$47,L516=phu!$I$48,L516=phu!$I$49,L516=phu!$I$50,L516=phu!$I$51,L516=phu!$I$52,L516=phu!$I$53),"Cam Linh",""),IF(OR(L516=phu!$I$54,L516=phu!$I$55,L516=phu!$I$56,L516=phu!$I$57,L516=phu!$I$58,L516=phu!$I$59,L516=phu!$I$60,L516=phu!$I$61,L516=phu!$I$62),"Cam Lợi",""),IF(OR(L516=phu!$I$63,L516=phu!$I$64,L516=phu!$I$65,L516=phu!$I$66,L516=phu!$I$67,L516=phu!$I$68,L516=phu!$I$69,L516=phu!$I$70,L516=phu!$I$71),"Ba Ngòi",""),IF(OR(L516=phu!$I$72,L516=phu!$I$73,L516=phu!$I$74,L516=phu!$I$75,L516=phu!$I$76,L516=phu!$I$77,L516=phu!$I$78),"Cam Phước Đông",""),IF(OR(L516=phu!$I$79,L516=phu!$I$80,L516=phu!$I$81,L516=phu!$I$82,L516=phu!$I$83,L516=phu!$I$84),"Cam Thịnh Đông",""),IF(OR(L516=phu!$I$85,L516=phu!$I$86,L516=phu!$I$87,L516=phu!$I$88),"Cam Thịnh Tây",""),IF(OR(L516=phu!$I$89,L516=phu!$I$90),"Cam Lập",""),IF(OR(L516=phu!$I$91,L516=phu!$I$92,L516=phu!$I$93),"Cam Bình",""),IF(OR(L516=phu!$I$94,L516=phu!$I$95,L516=phu!$I$96,L516=phu!$I$97,L516=phu!$I$98,L516=phu!$I$99,L516=phu!$I$100),"Huyện khác",""),IF(OR(L516=phu!$I$101,L516=phu!$I$102),"Tỉnh khác",""))</f>
        <v/>
      </c>
      <c r="N516" s="835" t="str">
        <f t="shared" si="38"/>
        <v/>
      </c>
      <c r="O516" s="20"/>
      <c r="P516" s="20"/>
      <c r="Q516" s="20"/>
      <c r="R516" s="20"/>
      <c r="S516" s="20"/>
      <c r="T516" s="21"/>
      <c r="U516" s="21"/>
      <c r="V516" s="21"/>
      <c r="W516" s="7" t="str">
        <f t="shared" si="36"/>
        <v/>
      </c>
      <c r="X516" s="506" t="str">
        <f t="shared" si="37"/>
        <v/>
      </c>
    </row>
    <row r="517" spans="1:24" x14ac:dyDescent="0.25">
      <c r="A517" s="66" t="str">
        <f t="shared" si="40"/>
        <v/>
      </c>
      <c r="B517" s="23" t="str">
        <f t="shared" si="35"/>
        <v/>
      </c>
      <c r="C517" s="15"/>
      <c r="D517" s="16"/>
      <c r="E517" s="17"/>
      <c r="F517" s="18"/>
      <c r="G517" s="18"/>
      <c r="H517" s="19"/>
      <c r="I517" s="15"/>
      <c r="J517" s="20"/>
      <c r="K517" s="15"/>
      <c r="L517" s="15"/>
      <c r="M517" s="531" t="str">
        <f>CONCATENATE(IF(OR(L517=phu!$I$1,L517=phu!$I$2,L517=phu!$I$3),"Cam Thành Nam",""),IF(OR(L517=phu!$I$4,L517=phu!$I$5,L517=phu!$I$6,L517=phu!$I$7,L517=phu!$I$8,L517=phu!$I$9,L517=phu!$I$10,L517=phu!$I$11,L517=phu!$I$12,L517=phu!$I$13,L517=phu!$I$14),"Cam Nghĩa",""),IF(OR(L517=phu!$I$15,L517=phu!$I$16,L517=phu!$I$17,L517=phu!$I$18,L517=phu!$I$19,L517=phu!$I$20,L517=phu!$I$21),"Cam Phúc Bắc",""),IF(OR(L517=phu!$I$22,L517=phu!$I$23,L517=phu!$I$24,L517=phu!$I$25),"Cam Phúc Nam",""),IF(OR(L517=phu!$I$26,L517=phu!$I$27,L517=phu!$I$28,L517=phu!$I$29,L517=phu!$I$30,L517=phu!$I$31),"Cam Phú",""),IF(OR(L517=phu!$I$32,L517=phu!$I$33,L517=phu!$I$34,L517=phu!$I$35,L517=phu!$I$36,L517=phu!$I$37),"Cam Lộc",""),IF(OR(L517=phu!$I$38,L517=phu!$I$39,L517=phu!$I$40,L517=phu!$I$41,L517=phu!$I$42,L517=phu!$I$43,L517=phu!$I$44),"Cam Thuận",""),IF(OR(L517=phu!$I$45,L517=phu!$I$46,L517=phu!$I$47,L517=phu!$I$48,L517=phu!$I$49,L517=phu!$I$50,L517=phu!$I$51,L517=phu!$I$52,L517=phu!$I$53),"Cam Linh",""),IF(OR(L517=phu!$I$54,L517=phu!$I$55,L517=phu!$I$56,L517=phu!$I$57,L517=phu!$I$58,L517=phu!$I$59,L517=phu!$I$60,L517=phu!$I$61,L517=phu!$I$62),"Cam Lợi",""),IF(OR(L517=phu!$I$63,L517=phu!$I$64,L517=phu!$I$65,L517=phu!$I$66,L517=phu!$I$67,L517=phu!$I$68,L517=phu!$I$69,L517=phu!$I$70,L517=phu!$I$71),"Ba Ngòi",""),IF(OR(L517=phu!$I$72,L517=phu!$I$73,L517=phu!$I$74,L517=phu!$I$75,L517=phu!$I$76,L517=phu!$I$77,L517=phu!$I$78),"Cam Phước Đông",""),IF(OR(L517=phu!$I$79,L517=phu!$I$80,L517=phu!$I$81,L517=phu!$I$82,L517=phu!$I$83,L517=phu!$I$84),"Cam Thịnh Đông",""),IF(OR(L517=phu!$I$85,L517=phu!$I$86,L517=phu!$I$87,L517=phu!$I$88),"Cam Thịnh Tây",""),IF(OR(L517=phu!$I$89,L517=phu!$I$90),"Cam Lập",""),IF(OR(L517=phu!$I$91,L517=phu!$I$92,L517=phu!$I$93),"Cam Bình",""),IF(OR(L517=phu!$I$94,L517=phu!$I$95,L517=phu!$I$96,L517=phu!$I$97,L517=phu!$I$98,L517=phu!$I$99,L517=phu!$I$100),"Huyện khác",""),IF(OR(L517=phu!$I$101,L517=phu!$I$102),"Tỉnh khác",""))</f>
        <v/>
      </c>
      <c r="N517" s="835" t="str">
        <f t="shared" si="38"/>
        <v/>
      </c>
      <c r="O517" s="20"/>
      <c r="P517" s="20"/>
      <c r="Q517" s="20"/>
      <c r="R517" s="20"/>
      <c r="S517" s="20"/>
      <c r="T517" s="21"/>
      <c r="U517" s="21"/>
      <c r="V517" s="21"/>
      <c r="W517" s="7" t="str">
        <f t="shared" si="36"/>
        <v/>
      </c>
      <c r="X517" s="506" t="str">
        <f t="shared" si="37"/>
        <v/>
      </c>
    </row>
    <row r="518" spans="1:24" x14ac:dyDescent="0.25">
      <c r="A518" s="66" t="str">
        <f t="shared" si="40"/>
        <v/>
      </c>
      <c r="B518" s="23" t="str">
        <f t="shared" ref="B518:B581" si="41">IF(W518=5,"5-6 tuổi",IF(W518=4,"4-5 tuổi",IF(W518=3,"3-4 tuổi",IF(AND(W518&lt;3,W518&gt;1),"25-36 tháng",IF(AND(W518=1,W518&gt;0),"13-24 tháng",IF(AND(W518=0,E518&lt;&gt;""),"Dưới 13 tháng",""))))))</f>
        <v/>
      </c>
      <c r="C518" s="15"/>
      <c r="D518" s="16"/>
      <c r="E518" s="17"/>
      <c r="F518" s="18"/>
      <c r="G518" s="18"/>
      <c r="H518" s="19"/>
      <c r="I518" s="15"/>
      <c r="J518" s="20"/>
      <c r="K518" s="15"/>
      <c r="L518" s="15"/>
      <c r="M518" s="531" t="str">
        <f>CONCATENATE(IF(OR(L518=phu!$I$1,L518=phu!$I$2,L518=phu!$I$3),"Cam Thành Nam",""),IF(OR(L518=phu!$I$4,L518=phu!$I$5,L518=phu!$I$6,L518=phu!$I$7,L518=phu!$I$8,L518=phu!$I$9,L518=phu!$I$10,L518=phu!$I$11,L518=phu!$I$12,L518=phu!$I$13,L518=phu!$I$14),"Cam Nghĩa",""),IF(OR(L518=phu!$I$15,L518=phu!$I$16,L518=phu!$I$17,L518=phu!$I$18,L518=phu!$I$19,L518=phu!$I$20,L518=phu!$I$21),"Cam Phúc Bắc",""),IF(OR(L518=phu!$I$22,L518=phu!$I$23,L518=phu!$I$24,L518=phu!$I$25),"Cam Phúc Nam",""),IF(OR(L518=phu!$I$26,L518=phu!$I$27,L518=phu!$I$28,L518=phu!$I$29,L518=phu!$I$30,L518=phu!$I$31),"Cam Phú",""),IF(OR(L518=phu!$I$32,L518=phu!$I$33,L518=phu!$I$34,L518=phu!$I$35,L518=phu!$I$36,L518=phu!$I$37),"Cam Lộc",""),IF(OR(L518=phu!$I$38,L518=phu!$I$39,L518=phu!$I$40,L518=phu!$I$41,L518=phu!$I$42,L518=phu!$I$43,L518=phu!$I$44),"Cam Thuận",""),IF(OR(L518=phu!$I$45,L518=phu!$I$46,L518=phu!$I$47,L518=phu!$I$48,L518=phu!$I$49,L518=phu!$I$50,L518=phu!$I$51,L518=phu!$I$52,L518=phu!$I$53),"Cam Linh",""),IF(OR(L518=phu!$I$54,L518=phu!$I$55,L518=phu!$I$56,L518=phu!$I$57,L518=phu!$I$58,L518=phu!$I$59,L518=phu!$I$60,L518=phu!$I$61,L518=phu!$I$62),"Cam Lợi",""),IF(OR(L518=phu!$I$63,L518=phu!$I$64,L518=phu!$I$65,L518=phu!$I$66,L518=phu!$I$67,L518=phu!$I$68,L518=phu!$I$69,L518=phu!$I$70,L518=phu!$I$71),"Ba Ngòi",""),IF(OR(L518=phu!$I$72,L518=phu!$I$73,L518=phu!$I$74,L518=phu!$I$75,L518=phu!$I$76,L518=phu!$I$77,L518=phu!$I$78),"Cam Phước Đông",""),IF(OR(L518=phu!$I$79,L518=phu!$I$80,L518=phu!$I$81,L518=phu!$I$82,L518=phu!$I$83,L518=phu!$I$84),"Cam Thịnh Đông",""),IF(OR(L518=phu!$I$85,L518=phu!$I$86,L518=phu!$I$87,L518=phu!$I$88),"Cam Thịnh Tây",""),IF(OR(L518=phu!$I$89,L518=phu!$I$90),"Cam Lập",""),IF(OR(L518=phu!$I$91,L518=phu!$I$92,L518=phu!$I$93),"Cam Bình",""),IF(OR(L518=phu!$I$94,L518=phu!$I$95,L518=phu!$I$96,L518=phu!$I$97,L518=phu!$I$98,L518=phu!$I$99,L518=phu!$I$100),"Huyện khác",""),IF(OR(L518=phu!$I$101,L518=phu!$I$102),"Tỉnh khác",""))</f>
        <v/>
      </c>
      <c r="N518" s="835" t="str">
        <f t="shared" si="38"/>
        <v/>
      </c>
      <c r="O518" s="20"/>
      <c r="P518" s="20"/>
      <c r="Q518" s="20"/>
      <c r="R518" s="20"/>
      <c r="S518" s="20"/>
      <c r="T518" s="21"/>
      <c r="U518" s="21"/>
      <c r="V518" s="21"/>
      <c r="W518" s="7" t="str">
        <f t="shared" ref="W518:W581" si="42">IF(OR($P$2="",H518=""),"",$P$2-H518)</f>
        <v/>
      </c>
      <c r="X518" s="506" t="str">
        <f t="shared" ref="X518:X581" si="43">IF(OR(AND(C518="",D518="",E518="",F518="",G518="",H518="",J518="",L518="",M518="",O518="",P518="",Q518=""),AND(C518&lt;&gt;"",D518&lt;&gt;"",E518&lt;&gt;"",F518&lt;&gt;"",G518&lt;&gt;"",H518&lt;&gt;"",J518&lt;&gt;"",L518&lt;&gt;"",M518&lt;&gt;"",O518&lt;&gt;"",OR(AND(P518&lt;&gt;"",Q518=""),AND(P518="",Q518&lt;&gt;""),AND(P518&lt;&gt;"",Q518&lt;&gt;"")),OR(AND(K518="X",S518&lt;&gt;""),AND(K518="",S518="")))),"","er")</f>
        <v/>
      </c>
    </row>
    <row r="519" spans="1:24" x14ac:dyDescent="0.25">
      <c r="A519" s="66" t="str">
        <f t="shared" si="40"/>
        <v/>
      </c>
      <c r="B519" s="23" t="str">
        <f t="shared" si="41"/>
        <v/>
      </c>
      <c r="C519" s="15"/>
      <c r="D519" s="16"/>
      <c r="E519" s="17"/>
      <c r="F519" s="18"/>
      <c r="G519" s="18"/>
      <c r="H519" s="19"/>
      <c r="I519" s="15"/>
      <c r="J519" s="20"/>
      <c r="K519" s="15"/>
      <c r="L519" s="15"/>
      <c r="M519" s="531" t="str">
        <f>CONCATENATE(IF(OR(L519=phu!$I$1,L519=phu!$I$2,L519=phu!$I$3),"Cam Thành Nam",""),IF(OR(L519=phu!$I$4,L519=phu!$I$5,L519=phu!$I$6,L519=phu!$I$7,L519=phu!$I$8,L519=phu!$I$9,L519=phu!$I$10,L519=phu!$I$11,L519=phu!$I$12,L519=phu!$I$13,L519=phu!$I$14),"Cam Nghĩa",""),IF(OR(L519=phu!$I$15,L519=phu!$I$16,L519=phu!$I$17,L519=phu!$I$18,L519=phu!$I$19,L519=phu!$I$20,L519=phu!$I$21),"Cam Phúc Bắc",""),IF(OR(L519=phu!$I$22,L519=phu!$I$23,L519=phu!$I$24,L519=phu!$I$25),"Cam Phúc Nam",""),IF(OR(L519=phu!$I$26,L519=phu!$I$27,L519=phu!$I$28,L519=phu!$I$29,L519=phu!$I$30,L519=phu!$I$31),"Cam Phú",""),IF(OR(L519=phu!$I$32,L519=phu!$I$33,L519=phu!$I$34,L519=phu!$I$35,L519=phu!$I$36,L519=phu!$I$37),"Cam Lộc",""),IF(OR(L519=phu!$I$38,L519=phu!$I$39,L519=phu!$I$40,L519=phu!$I$41,L519=phu!$I$42,L519=phu!$I$43,L519=phu!$I$44),"Cam Thuận",""),IF(OR(L519=phu!$I$45,L519=phu!$I$46,L519=phu!$I$47,L519=phu!$I$48,L519=phu!$I$49,L519=phu!$I$50,L519=phu!$I$51,L519=phu!$I$52,L519=phu!$I$53),"Cam Linh",""),IF(OR(L519=phu!$I$54,L519=phu!$I$55,L519=phu!$I$56,L519=phu!$I$57,L519=phu!$I$58,L519=phu!$I$59,L519=phu!$I$60,L519=phu!$I$61,L519=phu!$I$62),"Cam Lợi",""),IF(OR(L519=phu!$I$63,L519=phu!$I$64,L519=phu!$I$65,L519=phu!$I$66,L519=phu!$I$67,L519=phu!$I$68,L519=phu!$I$69,L519=phu!$I$70,L519=phu!$I$71),"Ba Ngòi",""),IF(OR(L519=phu!$I$72,L519=phu!$I$73,L519=phu!$I$74,L519=phu!$I$75,L519=phu!$I$76,L519=phu!$I$77,L519=phu!$I$78),"Cam Phước Đông",""),IF(OR(L519=phu!$I$79,L519=phu!$I$80,L519=phu!$I$81,L519=phu!$I$82,L519=phu!$I$83,L519=phu!$I$84),"Cam Thịnh Đông",""),IF(OR(L519=phu!$I$85,L519=phu!$I$86,L519=phu!$I$87,L519=phu!$I$88),"Cam Thịnh Tây",""),IF(OR(L519=phu!$I$89,L519=phu!$I$90),"Cam Lập",""),IF(OR(L519=phu!$I$91,L519=phu!$I$92,L519=phu!$I$93),"Cam Bình",""),IF(OR(L519=phu!$I$94,L519=phu!$I$95,L519=phu!$I$96,L519=phu!$I$97,L519=phu!$I$98,L519=phu!$I$99,L519=phu!$I$100),"Huyện khác",""),IF(OR(L519=phu!$I$101,L519=phu!$I$102),"Tỉnh khác",""))</f>
        <v/>
      </c>
      <c r="N519" s="835" t="str">
        <f t="shared" ref="N519:N582" si="44">CONCATENATE(IF(OR(M519="Cam Thành Nam",M519="Cam Nghĩa",M519="Cam Phúc Bắc"),"Bắc Cam Ranh",""),IF(OR(M519="Cam Phúc Nam",M519="Cam Phú",M519="Cam Lộc"),"Cam Ranh",""),IF(OR(M519="Cam Thuận",M519="Cam Linh",M519="Cam Lợi"),"Cam Linh",""),IF(OR(M519="Ba Ngòi",M519="Cam Phước Đông"),"Ba Ngòi",""),IF(OR(M519="Cam Thịnh Đông",M519="Cam Thịnh Tây",M519="Cam Lập",M519="Cam Bình"),"Nam Cam Ranh",""),IF(M519="Huyện khác","Huyện khác",""),IF(M519="Tỉnh khác","Tỉnh khác",""))</f>
        <v/>
      </c>
      <c r="O519" s="20"/>
      <c r="P519" s="20"/>
      <c r="Q519" s="20"/>
      <c r="R519" s="20"/>
      <c r="S519" s="20"/>
      <c r="T519" s="21"/>
      <c r="U519" s="21"/>
      <c r="V519" s="21"/>
      <c r="W519" s="7" t="str">
        <f t="shared" si="42"/>
        <v/>
      </c>
      <c r="X519" s="506" t="str">
        <f t="shared" si="43"/>
        <v/>
      </c>
    </row>
    <row r="520" spans="1:24" x14ac:dyDescent="0.25">
      <c r="A520" s="66" t="str">
        <f t="shared" si="40"/>
        <v/>
      </c>
      <c r="B520" s="23" t="str">
        <f t="shared" si="41"/>
        <v/>
      </c>
      <c r="C520" s="15"/>
      <c r="D520" s="16"/>
      <c r="E520" s="17"/>
      <c r="F520" s="18"/>
      <c r="G520" s="18"/>
      <c r="H520" s="19"/>
      <c r="I520" s="15"/>
      <c r="J520" s="20"/>
      <c r="K520" s="15"/>
      <c r="L520" s="15"/>
      <c r="M520" s="531" t="str">
        <f>CONCATENATE(IF(OR(L520=phu!$I$1,L520=phu!$I$2,L520=phu!$I$3),"Cam Thành Nam",""),IF(OR(L520=phu!$I$4,L520=phu!$I$5,L520=phu!$I$6,L520=phu!$I$7,L520=phu!$I$8,L520=phu!$I$9,L520=phu!$I$10,L520=phu!$I$11,L520=phu!$I$12,L520=phu!$I$13,L520=phu!$I$14),"Cam Nghĩa",""),IF(OR(L520=phu!$I$15,L520=phu!$I$16,L520=phu!$I$17,L520=phu!$I$18,L520=phu!$I$19,L520=phu!$I$20,L520=phu!$I$21),"Cam Phúc Bắc",""),IF(OR(L520=phu!$I$22,L520=phu!$I$23,L520=phu!$I$24,L520=phu!$I$25),"Cam Phúc Nam",""),IF(OR(L520=phu!$I$26,L520=phu!$I$27,L520=phu!$I$28,L520=phu!$I$29,L520=phu!$I$30,L520=phu!$I$31),"Cam Phú",""),IF(OR(L520=phu!$I$32,L520=phu!$I$33,L520=phu!$I$34,L520=phu!$I$35,L520=phu!$I$36,L520=phu!$I$37),"Cam Lộc",""),IF(OR(L520=phu!$I$38,L520=phu!$I$39,L520=phu!$I$40,L520=phu!$I$41,L520=phu!$I$42,L520=phu!$I$43,L520=phu!$I$44),"Cam Thuận",""),IF(OR(L520=phu!$I$45,L520=phu!$I$46,L520=phu!$I$47,L520=phu!$I$48,L520=phu!$I$49,L520=phu!$I$50,L520=phu!$I$51,L520=phu!$I$52,L520=phu!$I$53),"Cam Linh",""),IF(OR(L520=phu!$I$54,L520=phu!$I$55,L520=phu!$I$56,L520=phu!$I$57,L520=phu!$I$58,L520=phu!$I$59,L520=phu!$I$60,L520=phu!$I$61,L520=phu!$I$62),"Cam Lợi",""),IF(OR(L520=phu!$I$63,L520=phu!$I$64,L520=phu!$I$65,L520=phu!$I$66,L520=phu!$I$67,L520=phu!$I$68,L520=phu!$I$69,L520=phu!$I$70,L520=phu!$I$71),"Ba Ngòi",""),IF(OR(L520=phu!$I$72,L520=phu!$I$73,L520=phu!$I$74,L520=phu!$I$75,L520=phu!$I$76,L520=phu!$I$77,L520=phu!$I$78),"Cam Phước Đông",""),IF(OR(L520=phu!$I$79,L520=phu!$I$80,L520=phu!$I$81,L520=phu!$I$82,L520=phu!$I$83,L520=phu!$I$84),"Cam Thịnh Đông",""),IF(OR(L520=phu!$I$85,L520=phu!$I$86,L520=phu!$I$87,L520=phu!$I$88),"Cam Thịnh Tây",""),IF(OR(L520=phu!$I$89,L520=phu!$I$90),"Cam Lập",""),IF(OR(L520=phu!$I$91,L520=phu!$I$92,L520=phu!$I$93),"Cam Bình",""),IF(OR(L520=phu!$I$94,L520=phu!$I$95,L520=phu!$I$96,L520=phu!$I$97,L520=phu!$I$98,L520=phu!$I$99,L520=phu!$I$100),"Huyện khác",""),IF(OR(L520=phu!$I$101,L520=phu!$I$102),"Tỉnh khác",""))</f>
        <v/>
      </c>
      <c r="N520" s="835" t="str">
        <f t="shared" si="44"/>
        <v/>
      </c>
      <c r="O520" s="20"/>
      <c r="P520" s="20"/>
      <c r="Q520" s="20"/>
      <c r="R520" s="20"/>
      <c r="S520" s="20"/>
      <c r="T520" s="21"/>
      <c r="U520" s="21"/>
      <c r="V520" s="21"/>
      <c r="W520" s="7" t="str">
        <f t="shared" si="42"/>
        <v/>
      </c>
      <c r="X520" s="506" t="str">
        <f t="shared" si="43"/>
        <v/>
      </c>
    </row>
    <row r="521" spans="1:24" x14ac:dyDescent="0.25">
      <c r="A521" s="66" t="str">
        <f t="shared" si="40"/>
        <v/>
      </c>
      <c r="B521" s="23" t="str">
        <f t="shared" si="41"/>
        <v/>
      </c>
      <c r="C521" s="15"/>
      <c r="D521" s="16"/>
      <c r="E521" s="17"/>
      <c r="F521" s="18"/>
      <c r="G521" s="18"/>
      <c r="H521" s="19"/>
      <c r="I521" s="15"/>
      <c r="J521" s="20"/>
      <c r="K521" s="15"/>
      <c r="L521" s="15"/>
      <c r="M521" s="531" t="str">
        <f>CONCATENATE(IF(OR(L521=phu!$I$1,L521=phu!$I$2,L521=phu!$I$3),"Cam Thành Nam",""),IF(OR(L521=phu!$I$4,L521=phu!$I$5,L521=phu!$I$6,L521=phu!$I$7,L521=phu!$I$8,L521=phu!$I$9,L521=phu!$I$10,L521=phu!$I$11,L521=phu!$I$12,L521=phu!$I$13,L521=phu!$I$14),"Cam Nghĩa",""),IF(OR(L521=phu!$I$15,L521=phu!$I$16,L521=phu!$I$17,L521=phu!$I$18,L521=phu!$I$19,L521=phu!$I$20,L521=phu!$I$21),"Cam Phúc Bắc",""),IF(OR(L521=phu!$I$22,L521=phu!$I$23,L521=phu!$I$24,L521=phu!$I$25),"Cam Phúc Nam",""),IF(OR(L521=phu!$I$26,L521=phu!$I$27,L521=phu!$I$28,L521=phu!$I$29,L521=phu!$I$30,L521=phu!$I$31),"Cam Phú",""),IF(OR(L521=phu!$I$32,L521=phu!$I$33,L521=phu!$I$34,L521=phu!$I$35,L521=phu!$I$36,L521=phu!$I$37),"Cam Lộc",""),IF(OR(L521=phu!$I$38,L521=phu!$I$39,L521=phu!$I$40,L521=phu!$I$41,L521=phu!$I$42,L521=phu!$I$43,L521=phu!$I$44),"Cam Thuận",""),IF(OR(L521=phu!$I$45,L521=phu!$I$46,L521=phu!$I$47,L521=phu!$I$48,L521=phu!$I$49,L521=phu!$I$50,L521=phu!$I$51,L521=phu!$I$52,L521=phu!$I$53),"Cam Linh",""),IF(OR(L521=phu!$I$54,L521=phu!$I$55,L521=phu!$I$56,L521=phu!$I$57,L521=phu!$I$58,L521=phu!$I$59,L521=phu!$I$60,L521=phu!$I$61,L521=phu!$I$62),"Cam Lợi",""),IF(OR(L521=phu!$I$63,L521=phu!$I$64,L521=phu!$I$65,L521=phu!$I$66,L521=phu!$I$67,L521=phu!$I$68,L521=phu!$I$69,L521=phu!$I$70,L521=phu!$I$71),"Ba Ngòi",""),IF(OR(L521=phu!$I$72,L521=phu!$I$73,L521=phu!$I$74,L521=phu!$I$75,L521=phu!$I$76,L521=phu!$I$77,L521=phu!$I$78),"Cam Phước Đông",""),IF(OR(L521=phu!$I$79,L521=phu!$I$80,L521=phu!$I$81,L521=phu!$I$82,L521=phu!$I$83,L521=phu!$I$84),"Cam Thịnh Đông",""),IF(OR(L521=phu!$I$85,L521=phu!$I$86,L521=phu!$I$87,L521=phu!$I$88),"Cam Thịnh Tây",""),IF(OR(L521=phu!$I$89,L521=phu!$I$90),"Cam Lập",""),IF(OR(L521=phu!$I$91,L521=phu!$I$92,L521=phu!$I$93),"Cam Bình",""),IF(OR(L521=phu!$I$94,L521=phu!$I$95,L521=phu!$I$96,L521=phu!$I$97,L521=phu!$I$98,L521=phu!$I$99,L521=phu!$I$100),"Huyện khác",""),IF(OR(L521=phu!$I$101,L521=phu!$I$102),"Tỉnh khác",""))</f>
        <v/>
      </c>
      <c r="N521" s="835" t="str">
        <f t="shared" si="44"/>
        <v/>
      </c>
      <c r="O521" s="20"/>
      <c r="P521" s="20"/>
      <c r="Q521" s="20"/>
      <c r="R521" s="20"/>
      <c r="S521" s="20"/>
      <c r="T521" s="21"/>
      <c r="U521" s="21"/>
      <c r="V521" s="21"/>
      <c r="W521" s="7" t="str">
        <f t="shared" si="42"/>
        <v/>
      </c>
      <c r="X521" s="506" t="str">
        <f t="shared" si="43"/>
        <v/>
      </c>
    </row>
    <row r="522" spans="1:24" x14ac:dyDescent="0.25">
      <c r="A522" s="66" t="str">
        <f t="shared" si="40"/>
        <v/>
      </c>
      <c r="B522" s="23" t="str">
        <f t="shared" si="41"/>
        <v/>
      </c>
      <c r="C522" s="15"/>
      <c r="D522" s="16"/>
      <c r="E522" s="17"/>
      <c r="F522" s="18"/>
      <c r="G522" s="18"/>
      <c r="H522" s="19"/>
      <c r="I522" s="15"/>
      <c r="J522" s="20"/>
      <c r="K522" s="15"/>
      <c r="L522" s="15"/>
      <c r="M522" s="531" t="str">
        <f>CONCATENATE(IF(OR(L522=phu!$I$1,L522=phu!$I$2,L522=phu!$I$3),"Cam Thành Nam",""),IF(OR(L522=phu!$I$4,L522=phu!$I$5,L522=phu!$I$6,L522=phu!$I$7,L522=phu!$I$8,L522=phu!$I$9,L522=phu!$I$10,L522=phu!$I$11,L522=phu!$I$12,L522=phu!$I$13,L522=phu!$I$14),"Cam Nghĩa",""),IF(OR(L522=phu!$I$15,L522=phu!$I$16,L522=phu!$I$17,L522=phu!$I$18,L522=phu!$I$19,L522=phu!$I$20,L522=phu!$I$21),"Cam Phúc Bắc",""),IF(OR(L522=phu!$I$22,L522=phu!$I$23,L522=phu!$I$24,L522=phu!$I$25),"Cam Phúc Nam",""),IF(OR(L522=phu!$I$26,L522=phu!$I$27,L522=phu!$I$28,L522=phu!$I$29,L522=phu!$I$30,L522=phu!$I$31),"Cam Phú",""),IF(OR(L522=phu!$I$32,L522=phu!$I$33,L522=phu!$I$34,L522=phu!$I$35,L522=phu!$I$36,L522=phu!$I$37),"Cam Lộc",""),IF(OR(L522=phu!$I$38,L522=phu!$I$39,L522=phu!$I$40,L522=phu!$I$41,L522=phu!$I$42,L522=phu!$I$43,L522=phu!$I$44),"Cam Thuận",""),IF(OR(L522=phu!$I$45,L522=phu!$I$46,L522=phu!$I$47,L522=phu!$I$48,L522=phu!$I$49,L522=phu!$I$50,L522=phu!$I$51,L522=phu!$I$52,L522=phu!$I$53),"Cam Linh",""),IF(OR(L522=phu!$I$54,L522=phu!$I$55,L522=phu!$I$56,L522=phu!$I$57,L522=phu!$I$58,L522=phu!$I$59,L522=phu!$I$60,L522=phu!$I$61,L522=phu!$I$62),"Cam Lợi",""),IF(OR(L522=phu!$I$63,L522=phu!$I$64,L522=phu!$I$65,L522=phu!$I$66,L522=phu!$I$67,L522=phu!$I$68,L522=phu!$I$69,L522=phu!$I$70,L522=phu!$I$71),"Ba Ngòi",""),IF(OR(L522=phu!$I$72,L522=phu!$I$73,L522=phu!$I$74,L522=phu!$I$75,L522=phu!$I$76,L522=phu!$I$77,L522=phu!$I$78),"Cam Phước Đông",""),IF(OR(L522=phu!$I$79,L522=phu!$I$80,L522=phu!$I$81,L522=phu!$I$82,L522=phu!$I$83,L522=phu!$I$84),"Cam Thịnh Đông",""),IF(OR(L522=phu!$I$85,L522=phu!$I$86,L522=phu!$I$87,L522=phu!$I$88),"Cam Thịnh Tây",""),IF(OR(L522=phu!$I$89,L522=phu!$I$90),"Cam Lập",""),IF(OR(L522=phu!$I$91,L522=phu!$I$92,L522=phu!$I$93),"Cam Bình",""),IF(OR(L522=phu!$I$94,L522=phu!$I$95,L522=phu!$I$96,L522=phu!$I$97,L522=phu!$I$98,L522=phu!$I$99,L522=phu!$I$100),"Huyện khác",""),IF(OR(L522=phu!$I$101,L522=phu!$I$102),"Tỉnh khác",""))</f>
        <v/>
      </c>
      <c r="N522" s="835" t="str">
        <f t="shared" si="44"/>
        <v/>
      </c>
      <c r="O522" s="20"/>
      <c r="P522" s="20"/>
      <c r="Q522" s="20"/>
      <c r="R522" s="20"/>
      <c r="S522" s="20"/>
      <c r="T522" s="21"/>
      <c r="U522" s="21"/>
      <c r="V522" s="21"/>
      <c r="W522" s="7" t="str">
        <f t="shared" si="42"/>
        <v/>
      </c>
      <c r="X522" s="506" t="str">
        <f t="shared" si="43"/>
        <v/>
      </c>
    </row>
    <row r="523" spans="1:24" x14ac:dyDescent="0.25">
      <c r="A523" s="66" t="str">
        <f t="shared" si="40"/>
        <v/>
      </c>
      <c r="B523" s="23" t="str">
        <f t="shared" si="41"/>
        <v/>
      </c>
      <c r="C523" s="15"/>
      <c r="D523" s="16"/>
      <c r="E523" s="17"/>
      <c r="F523" s="18"/>
      <c r="G523" s="18"/>
      <c r="H523" s="19"/>
      <c r="I523" s="15"/>
      <c r="J523" s="20"/>
      <c r="K523" s="15"/>
      <c r="L523" s="15"/>
      <c r="M523" s="531" t="str">
        <f>CONCATENATE(IF(OR(L523=phu!$I$1,L523=phu!$I$2,L523=phu!$I$3),"Cam Thành Nam",""),IF(OR(L523=phu!$I$4,L523=phu!$I$5,L523=phu!$I$6,L523=phu!$I$7,L523=phu!$I$8,L523=phu!$I$9,L523=phu!$I$10,L523=phu!$I$11,L523=phu!$I$12,L523=phu!$I$13,L523=phu!$I$14),"Cam Nghĩa",""),IF(OR(L523=phu!$I$15,L523=phu!$I$16,L523=phu!$I$17,L523=phu!$I$18,L523=phu!$I$19,L523=phu!$I$20,L523=phu!$I$21),"Cam Phúc Bắc",""),IF(OR(L523=phu!$I$22,L523=phu!$I$23,L523=phu!$I$24,L523=phu!$I$25),"Cam Phúc Nam",""),IF(OR(L523=phu!$I$26,L523=phu!$I$27,L523=phu!$I$28,L523=phu!$I$29,L523=phu!$I$30,L523=phu!$I$31),"Cam Phú",""),IF(OR(L523=phu!$I$32,L523=phu!$I$33,L523=phu!$I$34,L523=phu!$I$35,L523=phu!$I$36,L523=phu!$I$37),"Cam Lộc",""),IF(OR(L523=phu!$I$38,L523=phu!$I$39,L523=phu!$I$40,L523=phu!$I$41,L523=phu!$I$42,L523=phu!$I$43,L523=phu!$I$44),"Cam Thuận",""),IF(OR(L523=phu!$I$45,L523=phu!$I$46,L523=phu!$I$47,L523=phu!$I$48,L523=phu!$I$49,L523=phu!$I$50,L523=phu!$I$51,L523=phu!$I$52,L523=phu!$I$53),"Cam Linh",""),IF(OR(L523=phu!$I$54,L523=phu!$I$55,L523=phu!$I$56,L523=phu!$I$57,L523=phu!$I$58,L523=phu!$I$59,L523=phu!$I$60,L523=phu!$I$61,L523=phu!$I$62),"Cam Lợi",""),IF(OR(L523=phu!$I$63,L523=phu!$I$64,L523=phu!$I$65,L523=phu!$I$66,L523=phu!$I$67,L523=phu!$I$68,L523=phu!$I$69,L523=phu!$I$70,L523=phu!$I$71),"Ba Ngòi",""),IF(OR(L523=phu!$I$72,L523=phu!$I$73,L523=phu!$I$74,L523=phu!$I$75,L523=phu!$I$76,L523=phu!$I$77,L523=phu!$I$78),"Cam Phước Đông",""),IF(OR(L523=phu!$I$79,L523=phu!$I$80,L523=phu!$I$81,L523=phu!$I$82,L523=phu!$I$83,L523=phu!$I$84),"Cam Thịnh Đông",""),IF(OR(L523=phu!$I$85,L523=phu!$I$86,L523=phu!$I$87,L523=phu!$I$88),"Cam Thịnh Tây",""),IF(OR(L523=phu!$I$89,L523=phu!$I$90),"Cam Lập",""),IF(OR(L523=phu!$I$91,L523=phu!$I$92,L523=phu!$I$93),"Cam Bình",""),IF(OR(L523=phu!$I$94,L523=phu!$I$95,L523=phu!$I$96,L523=phu!$I$97,L523=phu!$I$98,L523=phu!$I$99,L523=phu!$I$100),"Huyện khác",""),IF(OR(L523=phu!$I$101,L523=phu!$I$102),"Tỉnh khác",""))</f>
        <v/>
      </c>
      <c r="N523" s="835" t="str">
        <f t="shared" si="44"/>
        <v/>
      </c>
      <c r="O523" s="20"/>
      <c r="P523" s="20"/>
      <c r="Q523" s="20"/>
      <c r="R523" s="20"/>
      <c r="S523" s="20"/>
      <c r="T523" s="21"/>
      <c r="U523" s="21"/>
      <c r="V523" s="21"/>
      <c r="W523" s="7" t="str">
        <f t="shared" si="42"/>
        <v/>
      </c>
      <c r="X523" s="506" t="str">
        <f t="shared" si="43"/>
        <v/>
      </c>
    </row>
    <row r="524" spans="1:24" x14ac:dyDescent="0.25">
      <c r="A524" s="66" t="str">
        <f t="shared" si="40"/>
        <v/>
      </c>
      <c r="B524" s="23" t="str">
        <f t="shared" si="41"/>
        <v/>
      </c>
      <c r="C524" s="15"/>
      <c r="D524" s="16"/>
      <c r="E524" s="17"/>
      <c r="F524" s="18"/>
      <c r="G524" s="18"/>
      <c r="H524" s="19"/>
      <c r="I524" s="15"/>
      <c r="J524" s="20"/>
      <c r="K524" s="15"/>
      <c r="L524" s="15"/>
      <c r="M524" s="531" t="str">
        <f>CONCATENATE(IF(OR(L524=phu!$I$1,L524=phu!$I$2,L524=phu!$I$3),"Cam Thành Nam",""),IF(OR(L524=phu!$I$4,L524=phu!$I$5,L524=phu!$I$6,L524=phu!$I$7,L524=phu!$I$8,L524=phu!$I$9,L524=phu!$I$10,L524=phu!$I$11,L524=phu!$I$12,L524=phu!$I$13,L524=phu!$I$14),"Cam Nghĩa",""),IF(OR(L524=phu!$I$15,L524=phu!$I$16,L524=phu!$I$17,L524=phu!$I$18,L524=phu!$I$19,L524=phu!$I$20,L524=phu!$I$21),"Cam Phúc Bắc",""),IF(OR(L524=phu!$I$22,L524=phu!$I$23,L524=phu!$I$24,L524=phu!$I$25),"Cam Phúc Nam",""),IF(OR(L524=phu!$I$26,L524=phu!$I$27,L524=phu!$I$28,L524=phu!$I$29,L524=phu!$I$30,L524=phu!$I$31),"Cam Phú",""),IF(OR(L524=phu!$I$32,L524=phu!$I$33,L524=phu!$I$34,L524=phu!$I$35,L524=phu!$I$36,L524=phu!$I$37),"Cam Lộc",""),IF(OR(L524=phu!$I$38,L524=phu!$I$39,L524=phu!$I$40,L524=phu!$I$41,L524=phu!$I$42,L524=phu!$I$43,L524=phu!$I$44),"Cam Thuận",""),IF(OR(L524=phu!$I$45,L524=phu!$I$46,L524=phu!$I$47,L524=phu!$I$48,L524=phu!$I$49,L524=phu!$I$50,L524=phu!$I$51,L524=phu!$I$52,L524=phu!$I$53),"Cam Linh",""),IF(OR(L524=phu!$I$54,L524=phu!$I$55,L524=phu!$I$56,L524=phu!$I$57,L524=phu!$I$58,L524=phu!$I$59,L524=phu!$I$60,L524=phu!$I$61,L524=phu!$I$62),"Cam Lợi",""),IF(OR(L524=phu!$I$63,L524=phu!$I$64,L524=phu!$I$65,L524=phu!$I$66,L524=phu!$I$67,L524=phu!$I$68,L524=phu!$I$69,L524=phu!$I$70,L524=phu!$I$71),"Ba Ngòi",""),IF(OR(L524=phu!$I$72,L524=phu!$I$73,L524=phu!$I$74,L524=phu!$I$75,L524=phu!$I$76,L524=phu!$I$77,L524=phu!$I$78),"Cam Phước Đông",""),IF(OR(L524=phu!$I$79,L524=phu!$I$80,L524=phu!$I$81,L524=phu!$I$82,L524=phu!$I$83,L524=phu!$I$84),"Cam Thịnh Đông",""),IF(OR(L524=phu!$I$85,L524=phu!$I$86,L524=phu!$I$87,L524=phu!$I$88),"Cam Thịnh Tây",""),IF(OR(L524=phu!$I$89,L524=phu!$I$90),"Cam Lập",""),IF(OR(L524=phu!$I$91,L524=phu!$I$92,L524=phu!$I$93),"Cam Bình",""),IF(OR(L524=phu!$I$94,L524=phu!$I$95,L524=phu!$I$96,L524=phu!$I$97,L524=phu!$I$98,L524=phu!$I$99,L524=phu!$I$100),"Huyện khác",""),IF(OR(L524=phu!$I$101,L524=phu!$I$102),"Tỉnh khác",""))</f>
        <v/>
      </c>
      <c r="N524" s="835" t="str">
        <f t="shared" si="44"/>
        <v/>
      </c>
      <c r="O524" s="20"/>
      <c r="P524" s="20"/>
      <c r="Q524" s="20"/>
      <c r="R524" s="20"/>
      <c r="S524" s="20"/>
      <c r="T524" s="21"/>
      <c r="U524" s="21"/>
      <c r="V524" s="21"/>
      <c r="W524" s="7" t="str">
        <f t="shared" si="42"/>
        <v/>
      </c>
      <c r="X524" s="506" t="str">
        <f t="shared" si="43"/>
        <v/>
      </c>
    </row>
    <row r="525" spans="1:24" x14ac:dyDescent="0.25">
      <c r="A525" s="66" t="str">
        <f t="shared" si="40"/>
        <v/>
      </c>
      <c r="B525" s="23" t="str">
        <f t="shared" si="41"/>
        <v/>
      </c>
      <c r="C525" s="15"/>
      <c r="D525" s="16"/>
      <c r="E525" s="17"/>
      <c r="F525" s="18"/>
      <c r="G525" s="18"/>
      <c r="H525" s="19"/>
      <c r="I525" s="15"/>
      <c r="J525" s="20"/>
      <c r="K525" s="15"/>
      <c r="L525" s="15"/>
      <c r="M525" s="531" t="str">
        <f>CONCATENATE(IF(OR(L525=phu!$I$1,L525=phu!$I$2,L525=phu!$I$3),"Cam Thành Nam",""),IF(OR(L525=phu!$I$4,L525=phu!$I$5,L525=phu!$I$6,L525=phu!$I$7,L525=phu!$I$8,L525=phu!$I$9,L525=phu!$I$10,L525=phu!$I$11,L525=phu!$I$12,L525=phu!$I$13,L525=phu!$I$14),"Cam Nghĩa",""),IF(OR(L525=phu!$I$15,L525=phu!$I$16,L525=phu!$I$17,L525=phu!$I$18,L525=phu!$I$19,L525=phu!$I$20,L525=phu!$I$21),"Cam Phúc Bắc",""),IF(OR(L525=phu!$I$22,L525=phu!$I$23,L525=phu!$I$24,L525=phu!$I$25),"Cam Phúc Nam",""),IF(OR(L525=phu!$I$26,L525=phu!$I$27,L525=phu!$I$28,L525=phu!$I$29,L525=phu!$I$30,L525=phu!$I$31),"Cam Phú",""),IF(OR(L525=phu!$I$32,L525=phu!$I$33,L525=phu!$I$34,L525=phu!$I$35,L525=phu!$I$36,L525=phu!$I$37),"Cam Lộc",""),IF(OR(L525=phu!$I$38,L525=phu!$I$39,L525=phu!$I$40,L525=phu!$I$41,L525=phu!$I$42,L525=phu!$I$43,L525=phu!$I$44),"Cam Thuận",""),IF(OR(L525=phu!$I$45,L525=phu!$I$46,L525=phu!$I$47,L525=phu!$I$48,L525=phu!$I$49,L525=phu!$I$50,L525=phu!$I$51,L525=phu!$I$52,L525=phu!$I$53),"Cam Linh",""),IF(OR(L525=phu!$I$54,L525=phu!$I$55,L525=phu!$I$56,L525=phu!$I$57,L525=phu!$I$58,L525=phu!$I$59,L525=phu!$I$60,L525=phu!$I$61,L525=phu!$I$62),"Cam Lợi",""),IF(OR(L525=phu!$I$63,L525=phu!$I$64,L525=phu!$I$65,L525=phu!$I$66,L525=phu!$I$67,L525=phu!$I$68,L525=phu!$I$69,L525=phu!$I$70,L525=phu!$I$71),"Ba Ngòi",""),IF(OR(L525=phu!$I$72,L525=phu!$I$73,L525=phu!$I$74,L525=phu!$I$75,L525=phu!$I$76,L525=phu!$I$77,L525=phu!$I$78),"Cam Phước Đông",""),IF(OR(L525=phu!$I$79,L525=phu!$I$80,L525=phu!$I$81,L525=phu!$I$82,L525=phu!$I$83,L525=phu!$I$84),"Cam Thịnh Đông",""),IF(OR(L525=phu!$I$85,L525=phu!$I$86,L525=phu!$I$87,L525=phu!$I$88),"Cam Thịnh Tây",""),IF(OR(L525=phu!$I$89,L525=phu!$I$90),"Cam Lập",""),IF(OR(L525=phu!$I$91,L525=phu!$I$92,L525=phu!$I$93),"Cam Bình",""),IF(OR(L525=phu!$I$94,L525=phu!$I$95,L525=phu!$I$96,L525=phu!$I$97,L525=phu!$I$98,L525=phu!$I$99,L525=phu!$I$100),"Huyện khác",""),IF(OR(L525=phu!$I$101,L525=phu!$I$102),"Tỉnh khác",""))</f>
        <v/>
      </c>
      <c r="N525" s="835" t="str">
        <f t="shared" si="44"/>
        <v/>
      </c>
      <c r="O525" s="20"/>
      <c r="P525" s="20"/>
      <c r="Q525" s="20"/>
      <c r="R525" s="20"/>
      <c r="S525" s="20"/>
      <c r="T525" s="21"/>
      <c r="U525" s="21"/>
      <c r="V525" s="21"/>
      <c r="W525" s="7" t="str">
        <f t="shared" si="42"/>
        <v/>
      </c>
      <c r="X525" s="506" t="str">
        <f t="shared" si="43"/>
        <v/>
      </c>
    </row>
    <row r="526" spans="1:24" x14ac:dyDescent="0.25">
      <c r="A526" s="66" t="str">
        <f t="shared" si="40"/>
        <v/>
      </c>
      <c r="B526" s="23" t="str">
        <f t="shared" si="41"/>
        <v/>
      </c>
      <c r="C526" s="15"/>
      <c r="D526" s="16"/>
      <c r="E526" s="17"/>
      <c r="F526" s="18"/>
      <c r="G526" s="18"/>
      <c r="H526" s="19"/>
      <c r="I526" s="15"/>
      <c r="J526" s="20"/>
      <c r="K526" s="15"/>
      <c r="L526" s="15"/>
      <c r="M526" s="531" t="str">
        <f>CONCATENATE(IF(OR(L526=phu!$I$1,L526=phu!$I$2,L526=phu!$I$3),"Cam Thành Nam",""),IF(OR(L526=phu!$I$4,L526=phu!$I$5,L526=phu!$I$6,L526=phu!$I$7,L526=phu!$I$8,L526=phu!$I$9,L526=phu!$I$10,L526=phu!$I$11,L526=phu!$I$12,L526=phu!$I$13,L526=phu!$I$14),"Cam Nghĩa",""),IF(OR(L526=phu!$I$15,L526=phu!$I$16,L526=phu!$I$17,L526=phu!$I$18,L526=phu!$I$19,L526=phu!$I$20,L526=phu!$I$21),"Cam Phúc Bắc",""),IF(OR(L526=phu!$I$22,L526=phu!$I$23,L526=phu!$I$24,L526=phu!$I$25),"Cam Phúc Nam",""),IF(OR(L526=phu!$I$26,L526=phu!$I$27,L526=phu!$I$28,L526=phu!$I$29,L526=phu!$I$30,L526=phu!$I$31),"Cam Phú",""),IF(OR(L526=phu!$I$32,L526=phu!$I$33,L526=phu!$I$34,L526=phu!$I$35,L526=phu!$I$36,L526=phu!$I$37),"Cam Lộc",""),IF(OR(L526=phu!$I$38,L526=phu!$I$39,L526=phu!$I$40,L526=phu!$I$41,L526=phu!$I$42,L526=phu!$I$43,L526=phu!$I$44),"Cam Thuận",""),IF(OR(L526=phu!$I$45,L526=phu!$I$46,L526=phu!$I$47,L526=phu!$I$48,L526=phu!$I$49,L526=phu!$I$50,L526=phu!$I$51,L526=phu!$I$52,L526=phu!$I$53),"Cam Linh",""),IF(OR(L526=phu!$I$54,L526=phu!$I$55,L526=phu!$I$56,L526=phu!$I$57,L526=phu!$I$58,L526=phu!$I$59,L526=phu!$I$60,L526=phu!$I$61,L526=phu!$I$62),"Cam Lợi",""),IF(OR(L526=phu!$I$63,L526=phu!$I$64,L526=phu!$I$65,L526=phu!$I$66,L526=phu!$I$67,L526=phu!$I$68,L526=phu!$I$69,L526=phu!$I$70,L526=phu!$I$71),"Ba Ngòi",""),IF(OR(L526=phu!$I$72,L526=phu!$I$73,L526=phu!$I$74,L526=phu!$I$75,L526=phu!$I$76,L526=phu!$I$77,L526=phu!$I$78),"Cam Phước Đông",""),IF(OR(L526=phu!$I$79,L526=phu!$I$80,L526=phu!$I$81,L526=phu!$I$82,L526=phu!$I$83,L526=phu!$I$84),"Cam Thịnh Đông",""),IF(OR(L526=phu!$I$85,L526=phu!$I$86,L526=phu!$I$87,L526=phu!$I$88),"Cam Thịnh Tây",""),IF(OR(L526=phu!$I$89,L526=phu!$I$90),"Cam Lập",""),IF(OR(L526=phu!$I$91,L526=phu!$I$92,L526=phu!$I$93),"Cam Bình",""),IF(OR(L526=phu!$I$94,L526=phu!$I$95,L526=phu!$I$96,L526=phu!$I$97,L526=phu!$I$98,L526=phu!$I$99,L526=phu!$I$100),"Huyện khác",""),IF(OR(L526=phu!$I$101,L526=phu!$I$102),"Tỉnh khác",""))</f>
        <v/>
      </c>
      <c r="N526" s="835" t="str">
        <f t="shared" si="44"/>
        <v/>
      </c>
      <c r="O526" s="20"/>
      <c r="P526" s="20"/>
      <c r="Q526" s="20"/>
      <c r="R526" s="20"/>
      <c r="S526" s="20"/>
      <c r="T526" s="21"/>
      <c r="U526" s="21"/>
      <c r="V526" s="21"/>
      <c r="W526" s="7" t="str">
        <f t="shared" si="42"/>
        <v/>
      </c>
      <c r="X526" s="506" t="str">
        <f t="shared" si="43"/>
        <v/>
      </c>
    </row>
    <row r="527" spans="1:24" x14ac:dyDescent="0.25">
      <c r="A527" s="66" t="str">
        <f t="shared" si="40"/>
        <v/>
      </c>
      <c r="B527" s="23" t="str">
        <f t="shared" si="41"/>
        <v/>
      </c>
      <c r="C527" s="15"/>
      <c r="D527" s="16"/>
      <c r="E527" s="17"/>
      <c r="F527" s="18"/>
      <c r="G527" s="18"/>
      <c r="H527" s="19"/>
      <c r="I527" s="15"/>
      <c r="J527" s="20"/>
      <c r="K527" s="15"/>
      <c r="L527" s="15"/>
      <c r="M527" s="531" t="str">
        <f>CONCATENATE(IF(OR(L527=phu!$I$1,L527=phu!$I$2,L527=phu!$I$3),"Cam Thành Nam",""),IF(OR(L527=phu!$I$4,L527=phu!$I$5,L527=phu!$I$6,L527=phu!$I$7,L527=phu!$I$8,L527=phu!$I$9,L527=phu!$I$10,L527=phu!$I$11,L527=phu!$I$12,L527=phu!$I$13,L527=phu!$I$14),"Cam Nghĩa",""),IF(OR(L527=phu!$I$15,L527=phu!$I$16,L527=phu!$I$17,L527=phu!$I$18,L527=phu!$I$19,L527=phu!$I$20,L527=phu!$I$21),"Cam Phúc Bắc",""),IF(OR(L527=phu!$I$22,L527=phu!$I$23,L527=phu!$I$24,L527=phu!$I$25),"Cam Phúc Nam",""),IF(OR(L527=phu!$I$26,L527=phu!$I$27,L527=phu!$I$28,L527=phu!$I$29,L527=phu!$I$30,L527=phu!$I$31),"Cam Phú",""),IF(OR(L527=phu!$I$32,L527=phu!$I$33,L527=phu!$I$34,L527=phu!$I$35,L527=phu!$I$36,L527=phu!$I$37),"Cam Lộc",""),IF(OR(L527=phu!$I$38,L527=phu!$I$39,L527=phu!$I$40,L527=phu!$I$41,L527=phu!$I$42,L527=phu!$I$43,L527=phu!$I$44),"Cam Thuận",""),IF(OR(L527=phu!$I$45,L527=phu!$I$46,L527=phu!$I$47,L527=phu!$I$48,L527=phu!$I$49,L527=phu!$I$50,L527=phu!$I$51,L527=phu!$I$52,L527=phu!$I$53),"Cam Linh",""),IF(OR(L527=phu!$I$54,L527=phu!$I$55,L527=phu!$I$56,L527=phu!$I$57,L527=phu!$I$58,L527=phu!$I$59,L527=phu!$I$60,L527=phu!$I$61,L527=phu!$I$62),"Cam Lợi",""),IF(OR(L527=phu!$I$63,L527=phu!$I$64,L527=phu!$I$65,L527=phu!$I$66,L527=phu!$I$67,L527=phu!$I$68,L527=phu!$I$69,L527=phu!$I$70,L527=phu!$I$71),"Ba Ngòi",""),IF(OR(L527=phu!$I$72,L527=phu!$I$73,L527=phu!$I$74,L527=phu!$I$75,L527=phu!$I$76,L527=phu!$I$77,L527=phu!$I$78),"Cam Phước Đông",""),IF(OR(L527=phu!$I$79,L527=phu!$I$80,L527=phu!$I$81,L527=phu!$I$82,L527=phu!$I$83,L527=phu!$I$84),"Cam Thịnh Đông",""),IF(OR(L527=phu!$I$85,L527=phu!$I$86,L527=phu!$I$87,L527=phu!$I$88),"Cam Thịnh Tây",""),IF(OR(L527=phu!$I$89,L527=phu!$I$90),"Cam Lập",""),IF(OR(L527=phu!$I$91,L527=phu!$I$92,L527=phu!$I$93),"Cam Bình",""),IF(OR(L527=phu!$I$94,L527=phu!$I$95,L527=phu!$I$96,L527=phu!$I$97,L527=phu!$I$98,L527=phu!$I$99,L527=phu!$I$100),"Huyện khác",""),IF(OR(L527=phu!$I$101,L527=phu!$I$102),"Tỉnh khác",""))</f>
        <v/>
      </c>
      <c r="N527" s="835" t="str">
        <f t="shared" si="44"/>
        <v/>
      </c>
      <c r="O527" s="20"/>
      <c r="P527" s="20"/>
      <c r="Q527" s="20"/>
      <c r="R527" s="20"/>
      <c r="S527" s="20"/>
      <c r="T527" s="21"/>
      <c r="U527" s="21"/>
      <c r="V527" s="21"/>
      <c r="W527" s="7" t="str">
        <f t="shared" si="42"/>
        <v/>
      </c>
      <c r="X527" s="506" t="str">
        <f t="shared" si="43"/>
        <v/>
      </c>
    </row>
    <row r="528" spans="1:24" x14ac:dyDescent="0.25">
      <c r="A528" s="66" t="str">
        <f t="shared" si="40"/>
        <v/>
      </c>
      <c r="B528" s="23" t="str">
        <f t="shared" si="41"/>
        <v/>
      </c>
      <c r="C528" s="15"/>
      <c r="D528" s="16"/>
      <c r="E528" s="17"/>
      <c r="F528" s="18"/>
      <c r="G528" s="18"/>
      <c r="H528" s="19"/>
      <c r="I528" s="15"/>
      <c r="J528" s="20"/>
      <c r="K528" s="15"/>
      <c r="L528" s="15"/>
      <c r="M528" s="531" t="str">
        <f>CONCATENATE(IF(OR(L528=phu!$I$1,L528=phu!$I$2,L528=phu!$I$3),"Cam Thành Nam",""),IF(OR(L528=phu!$I$4,L528=phu!$I$5,L528=phu!$I$6,L528=phu!$I$7,L528=phu!$I$8,L528=phu!$I$9,L528=phu!$I$10,L528=phu!$I$11,L528=phu!$I$12,L528=phu!$I$13,L528=phu!$I$14),"Cam Nghĩa",""),IF(OR(L528=phu!$I$15,L528=phu!$I$16,L528=phu!$I$17,L528=phu!$I$18,L528=phu!$I$19,L528=phu!$I$20,L528=phu!$I$21),"Cam Phúc Bắc",""),IF(OR(L528=phu!$I$22,L528=phu!$I$23,L528=phu!$I$24,L528=phu!$I$25),"Cam Phúc Nam",""),IF(OR(L528=phu!$I$26,L528=phu!$I$27,L528=phu!$I$28,L528=phu!$I$29,L528=phu!$I$30,L528=phu!$I$31),"Cam Phú",""),IF(OR(L528=phu!$I$32,L528=phu!$I$33,L528=phu!$I$34,L528=phu!$I$35,L528=phu!$I$36,L528=phu!$I$37),"Cam Lộc",""),IF(OR(L528=phu!$I$38,L528=phu!$I$39,L528=phu!$I$40,L528=phu!$I$41,L528=phu!$I$42,L528=phu!$I$43,L528=phu!$I$44),"Cam Thuận",""),IF(OR(L528=phu!$I$45,L528=phu!$I$46,L528=phu!$I$47,L528=phu!$I$48,L528=phu!$I$49,L528=phu!$I$50,L528=phu!$I$51,L528=phu!$I$52,L528=phu!$I$53),"Cam Linh",""),IF(OR(L528=phu!$I$54,L528=phu!$I$55,L528=phu!$I$56,L528=phu!$I$57,L528=phu!$I$58,L528=phu!$I$59,L528=phu!$I$60,L528=phu!$I$61,L528=phu!$I$62),"Cam Lợi",""),IF(OR(L528=phu!$I$63,L528=phu!$I$64,L528=phu!$I$65,L528=phu!$I$66,L528=phu!$I$67,L528=phu!$I$68,L528=phu!$I$69,L528=phu!$I$70,L528=phu!$I$71),"Ba Ngòi",""),IF(OR(L528=phu!$I$72,L528=phu!$I$73,L528=phu!$I$74,L528=phu!$I$75,L528=phu!$I$76,L528=phu!$I$77,L528=phu!$I$78),"Cam Phước Đông",""),IF(OR(L528=phu!$I$79,L528=phu!$I$80,L528=phu!$I$81,L528=phu!$I$82,L528=phu!$I$83,L528=phu!$I$84),"Cam Thịnh Đông",""),IF(OR(L528=phu!$I$85,L528=phu!$I$86,L528=phu!$I$87,L528=phu!$I$88),"Cam Thịnh Tây",""),IF(OR(L528=phu!$I$89,L528=phu!$I$90),"Cam Lập",""),IF(OR(L528=phu!$I$91,L528=phu!$I$92,L528=phu!$I$93),"Cam Bình",""),IF(OR(L528=phu!$I$94,L528=phu!$I$95,L528=phu!$I$96,L528=phu!$I$97,L528=phu!$I$98,L528=phu!$I$99,L528=phu!$I$100),"Huyện khác",""),IF(OR(L528=phu!$I$101,L528=phu!$I$102),"Tỉnh khác",""))</f>
        <v/>
      </c>
      <c r="N528" s="835" t="str">
        <f t="shared" si="44"/>
        <v/>
      </c>
      <c r="O528" s="20"/>
      <c r="P528" s="20"/>
      <c r="Q528" s="20"/>
      <c r="R528" s="20"/>
      <c r="S528" s="20"/>
      <c r="T528" s="21"/>
      <c r="U528" s="21"/>
      <c r="V528" s="21"/>
      <c r="W528" s="7" t="str">
        <f t="shared" si="42"/>
        <v/>
      </c>
      <c r="X528" s="506" t="str">
        <f t="shared" si="43"/>
        <v/>
      </c>
    </row>
    <row r="529" spans="1:24" x14ac:dyDescent="0.25">
      <c r="A529" s="66" t="str">
        <f t="shared" si="40"/>
        <v/>
      </c>
      <c r="B529" s="23" t="str">
        <f t="shared" si="41"/>
        <v/>
      </c>
      <c r="C529" s="15"/>
      <c r="D529" s="16"/>
      <c r="E529" s="17"/>
      <c r="F529" s="18"/>
      <c r="G529" s="18"/>
      <c r="H529" s="19"/>
      <c r="I529" s="15"/>
      <c r="J529" s="20"/>
      <c r="K529" s="15"/>
      <c r="L529" s="15"/>
      <c r="M529" s="531" t="str">
        <f>CONCATENATE(IF(OR(L529=phu!$I$1,L529=phu!$I$2,L529=phu!$I$3),"Cam Thành Nam",""),IF(OR(L529=phu!$I$4,L529=phu!$I$5,L529=phu!$I$6,L529=phu!$I$7,L529=phu!$I$8,L529=phu!$I$9,L529=phu!$I$10,L529=phu!$I$11,L529=phu!$I$12,L529=phu!$I$13,L529=phu!$I$14),"Cam Nghĩa",""),IF(OR(L529=phu!$I$15,L529=phu!$I$16,L529=phu!$I$17,L529=phu!$I$18,L529=phu!$I$19,L529=phu!$I$20,L529=phu!$I$21),"Cam Phúc Bắc",""),IF(OR(L529=phu!$I$22,L529=phu!$I$23,L529=phu!$I$24,L529=phu!$I$25),"Cam Phúc Nam",""),IF(OR(L529=phu!$I$26,L529=phu!$I$27,L529=phu!$I$28,L529=phu!$I$29,L529=phu!$I$30,L529=phu!$I$31),"Cam Phú",""),IF(OR(L529=phu!$I$32,L529=phu!$I$33,L529=phu!$I$34,L529=phu!$I$35,L529=phu!$I$36,L529=phu!$I$37),"Cam Lộc",""),IF(OR(L529=phu!$I$38,L529=phu!$I$39,L529=phu!$I$40,L529=phu!$I$41,L529=phu!$I$42,L529=phu!$I$43,L529=phu!$I$44),"Cam Thuận",""),IF(OR(L529=phu!$I$45,L529=phu!$I$46,L529=phu!$I$47,L529=phu!$I$48,L529=phu!$I$49,L529=phu!$I$50,L529=phu!$I$51,L529=phu!$I$52,L529=phu!$I$53),"Cam Linh",""),IF(OR(L529=phu!$I$54,L529=phu!$I$55,L529=phu!$I$56,L529=phu!$I$57,L529=phu!$I$58,L529=phu!$I$59,L529=phu!$I$60,L529=phu!$I$61,L529=phu!$I$62),"Cam Lợi",""),IF(OR(L529=phu!$I$63,L529=phu!$I$64,L529=phu!$I$65,L529=phu!$I$66,L529=phu!$I$67,L529=phu!$I$68,L529=phu!$I$69,L529=phu!$I$70,L529=phu!$I$71),"Ba Ngòi",""),IF(OR(L529=phu!$I$72,L529=phu!$I$73,L529=phu!$I$74,L529=phu!$I$75,L529=phu!$I$76,L529=phu!$I$77,L529=phu!$I$78),"Cam Phước Đông",""),IF(OR(L529=phu!$I$79,L529=phu!$I$80,L529=phu!$I$81,L529=phu!$I$82,L529=phu!$I$83,L529=phu!$I$84),"Cam Thịnh Đông",""),IF(OR(L529=phu!$I$85,L529=phu!$I$86,L529=phu!$I$87,L529=phu!$I$88),"Cam Thịnh Tây",""),IF(OR(L529=phu!$I$89,L529=phu!$I$90),"Cam Lập",""),IF(OR(L529=phu!$I$91,L529=phu!$I$92,L529=phu!$I$93),"Cam Bình",""),IF(OR(L529=phu!$I$94,L529=phu!$I$95,L529=phu!$I$96,L529=phu!$I$97,L529=phu!$I$98,L529=phu!$I$99,L529=phu!$I$100),"Huyện khác",""),IF(OR(L529=phu!$I$101,L529=phu!$I$102),"Tỉnh khác",""))</f>
        <v/>
      </c>
      <c r="N529" s="835" t="str">
        <f t="shared" si="44"/>
        <v/>
      </c>
      <c r="O529" s="20"/>
      <c r="P529" s="20"/>
      <c r="Q529" s="20"/>
      <c r="R529" s="20"/>
      <c r="S529" s="20"/>
      <c r="T529" s="21"/>
      <c r="U529" s="21"/>
      <c r="V529" s="21"/>
      <c r="W529" s="7" t="str">
        <f t="shared" si="42"/>
        <v/>
      </c>
      <c r="X529" s="506" t="str">
        <f t="shared" si="43"/>
        <v/>
      </c>
    </row>
    <row r="530" spans="1:24" x14ac:dyDescent="0.25">
      <c r="A530" s="66" t="str">
        <f t="shared" si="40"/>
        <v/>
      </c>
      <c r="B530" s="23" t="str">
        <f t="shared" si="41"/>
        <v/>
      </c>
      <c r="C530" s="15"/>
      <c r="D530" s="16"/>
      <c r="E530" s="17"/>
      <c r="F530" s="18"/>
      <c r="G530" s="18"/>
      <c r="H530" s="19"/>
      <c r="I530" s="15"/>
      <c r="J530" s="20"/>
      <c r="K530" s="15"/>
      <c r="L530" s="15"/>
      <c r="M530" s="531" t="str">
        <f>CONCATENATE(IF(OR(L530=phu!$I$1,L530=phu!$I$2,L530=phu!$I$3),"Cam Thành Nam",""),IF(OR(L530=phu!$I$4,L530=phu!$I$5,L530=phu!$I$6,L530=phu!$I$7,L530=phu!$I$8,L530=phu!$I$9,L530=phu!$I$10,L530=phu!$I$11,L530=phu!$I$12,L530=phu!$I$13,L530=phu!$I$14),"Cam Nghĩa",""),IF(OR(L530=phu!$I$15,L530=phu!$I$16,L530=phu!$I$17,L530=phu!$I$18,L530=phu!$I$19,L530=phu!$I$20,L530=phu!$I$21),"Cam Phúc Bắc",""),IF(OR(L530=phu!$I$22,L530=phu!$I$23,L530=phu!$I$24,L530=phu!$I$25),"Cam Phúc Nam",""),IF(OR(L530=phu!$I$26,L530=phu!$I$27,L530=phu!$I$28,L530=phu!$I$29,L530=phu!$I$30,L530=phu!$I$31),"Cam Phú",""),IF(OR(L530=phu!$I$32,L530=phu!$I$33,L530=phu!$I$34,L530=phu!$I$35,L530=phu!$I$36,L530=phu!$I$37),"Cam Lộc",""),IF(OR(L530=phu!$I$38,L530=phu!$I$39,L530=phu!$I$40,L530=phu!$I$41,L530=phu!$I$42,L530=phu!$I$43,L530=phu!$I$44),"Cam Thuận",""),IF(OR(L530=phu!$I$45,L530=phu!$I$46,L530=phu!$I$47,L530=phu!$I$48,L530=phu!$I$49,L530=phu!$I$50,L530=phu!$I$51,L530=phu!$I$52,L530=phu!$I$53),"Cam Linh",""),IF(OR(L530=phu!$I$54,L530=phu!$I$55,L530=phu!$I$56,L530=phu!$I$57,L530=phu!$I$58,L530=phu!$I$59,L530=phu!$I$60,L530=phu!$I$61,L530=phu!$I$62),"Cam Lợi",""),IF(OR(L530=phu!$I$63,L530=phu!$I$64,L530=phu!$I$65,L530=phu!$I$66,L530=phu!$I$67,L530=phu!$I$68,L530=phu!$I$69,L530=phu!$I$70,L530=phu!$I$71),"Ba Ngòi",""),IF(OR(L530=phu!$I$72,L530=phu!$I$73,L530=phu!$I$74,L530=phu!$I$75,L530=phu!$I$76,L530=phu!$I$77,L530=phu!$I$78),"Cam Phước Đông",""),IF(OR(L530=phu!$I$79,L530=phu!$I$80,L530=phu!$I$81,L530=phu!$I$82,L530=phu!$I$83,L530=phu!$I$84),"Cam Thịnh Đông",""),IF(OR(L530=phu!$I$85,L530=phu!$I$86,L530=phu!$I$87,L530=phu!$I$88),"Cam Thịnh Tây",""),IF(OR(L530=phu!$I$89,L530=phu!$I$90),"Cam Lập",""),IF(OR(L530=phu!$I$91,L530=phu!$I$92,L530=phu!$I$93),"Cam Bình",""),IF(OR(L530=phu!$I$94,L530=phu!$I$95,L530=phu!$I$96,L530=phu!$I$97,L530=phu!$I$98,L530=phu!$I$99,L530=phu!$I$100),"Huyện khác",""),IF(OR(L530=phu!$I$101,L530=phu!$I$102),"Tỉnh khác",""))</f>
        <v/>
      </c>
      <c r="N530" s="835" t="str">
        <f t="shared" si="44"/>
        <v/>
      </c>
      <c r="O530" s="20"/>
      <c r="P530" s="20"/>
      <c r="Q530" s="20"/>
      <c r="R530" s="20"/>
      <c r="S530" s="20"/>
      <c r="T530" s="21"/>
      <c r="U530" s="21"/>
      <c r="V530" s="21"/>
      <c r="W530" s="7" t="str">
        <f t="shared" si="42"/>
        <v/>
      </c>
      <c r="X530" s="506" t="str">
        <f t="shared" si="43"/>
        <v/>
      </c>
    </row>
    <row r="531" spans="1:24" x14ac:dyDescent="0.25">
      <c r="A531" s="66" t="str">
        <f t="shared" si="40"/>
        <v/>
      </c>
      <c r="B531" s="23" t="str">
        <f t="shared" si="41"/>
        <v/>
      </c>
      <c r="C531" s="15"/>
      <c r="D531" s="16"/>
      <c r="E531" s="17"/>
      <c r="F531" s="18"/>
      <c r="G531" s="18"/>
      <c r="H531" s="19"/>
      <c r="I531" s="15"/>
      <c r="J531" s="20"/>
      <c r="K531" s="15"/>
      <c r="L531" s="15"/>
      <c r="M531" s="531" t="str">
        <f>CONCATENATE(IF(OR(L531=phu!$I$1,L531=phu!$I$2,L531=phu!$I$3),"Cam Thành Nam",""),IF(OR(L531=phu!$I$4,L531=phu!$I$5,L531=phu!$I$6,L531=phu!$I$7,L531=phu!$I$8,L531=phu!$I$9,L531=phu!$I$10,L531=phu!$I$11,L531=phu!$I$12,L531=phu!$I$13,L531=phu!$I$14),"Cam Nghĩa",""),IF(OR(L531=phu!$I$15,L531=phu!$I$16,L531=phu!$I$17,L531=phu!$I$18,L531=phu!$I$19,L531=phu!$I$20,L531=phu!$I$21),"Cam Phúc Bắc",""),IF(OR(L531=phu!$I$22,L531=phu!$I$23,L531=phu!$I$24,L531=phu!$I$25),"Cam Phúc Nam",""),IF(OR(L531=phu!$I$26,L531=phu!$I$27,L531=phu!$I$28,L531=phu!$I$29,L531=phu!$I$30,L531=phu!$I$31),"Cam Phú",""),IF(OR(L531=phu!$I$32,L531=phu!$I$33,L531=phu!$I$34,L531=phu!$I$35,L531=phu!$I$36,L531=phu!$I$37),"Cam Lộc",""),IF(OR(L531=phu!$I$38,L531=phu!$I$39,L531=phu!$I$40,L531=phu!$I$41,L531=phu!$I$42,L531=phu!$I$43,L531=phu!$I$44),"Cam Thuận",""),IF(OR(L531=phu!$I$45,L531=phu!$I$46,L531=phu!$I$47,L531=phu!$I$48,L531=phu!$I$49,L531=phu!$I$50,L531=phu!$I$51,L531=phu!$I$52,L531=phu!$I$53),"Cam Linh",""),IF(OR(L531=phu!$I$54,L531=phu!$I$55,L531=phu!$I$56,L531=phu!$I$57,L531=phu!$I$58,L531=phu!$I$59,L531=phu!$I$60,L531=phu!$I$61,L531=phu!$I$62),"Cam Lợi",""),IF(OR(L531=phu!$I$63,L531=phu!$I$64,L531=phu!$I$65,L531=phu!$I$66,L531=phu!$I$67,L531=phu!$I$68,L531=phu!$I$69,L531=phu!$I$70,L531=phu!$I$71),"Ba Ngòi",""),IF(OR(L531=phu!$I$72,L531=phu!$I$73,L531=phu!$I$74,L531=phu!$I$75,L531=phu!$I$76,L531=phu!$I$77,L531=phu!$I$78),"Cam Phước Đông",""),IF(OR(L531=phu!$I$79,L531=phu!$I$80,L531=phu!$I$81,L531=phu!$I$82,L531=phu!$I$83,L531=phu!$I$84),"Cam Thịnh Đông",""),IF(OR(L531=phu!$I$85,L531=phu!$I$86,L531=phu!$I$87,L531=phu!$I$88),"Cam Thịnh Tây",""),IF(OR(L531=phu!$I$89,L531=phu!$I$90),"Cam Lập",""),IF(OR(L531=phu!$I$91,L531=phu!$I$92,L531=phu!$I$93),"Cam Bình",""),IF(OR(L531=phu!$I$94,L531=phu!$I$95,L531=phu!$I$96,L531=phu!$I$97,L531=phu!$I$98,L531=phu!$I$99,L531=phu!$I$100),"Huyện khác",""),IF(OR(L531=phu!$I$101,L531=phu!$I$102),"Tỉnh khác",""))</f>
        <v/>
      </c>
      <c r="N531" s="835" t="str">
        <f t="shared" si="44"/>
        <v/>
      </c>
      <c r="O531" s="20"/>
      <c r="P531" s="20"/>
      <c r="Q531" s="20"/>
      <c r="R531" s="20"/>
      <c r="S531" s="20"/>
      <c r="T531" s="21"/>
      <c r="U531" s="21"/>
      <c r="V531" s="21"/>
      <c r="W531" s="7" t="str">
        <f t="shared" si="42"/>
        <v/>
      </c>
      <c r="X531" s="506" t="str">
        <f t="shared" si="43"/>
        <v/>
      </c>
    </row>
    <row r="532" spans="1:24" x14ac:dyDescent="0.25">
      <c r="A532" s="66" t="str">
        <f t="shared" si="40"/>
        <v/>
      </c>
      <c r="B532" s="23" t="str">
        <f t="shared" si="41"/>
        <v/>
      </c>
      <c r="C532" s="15"/>
      <c r="D532" s="16"/>
      <c r="E532" s="17"/>
      <c r="F532" s="18"/>
      <c r="G532" s="18"/>
      <c r="H532" s="19"/>
      <c r="I532" s="15"/>
      <c r="J532" s="20"/>
      <c r="K532" s="15"/>
      <c r="L532" s="15"/>
      <c r="M532" s="531" t="str">
        <f>CONCATENATE(IF(OR(L532=phu!$I$1,L532=phu!$I$2,L532=phu!$I$3),"Cam Thành Nam",""),IF(OR(L532=phu!$I$4,L532=phu!$I$5,L532=phu!$I$6,L532=phu!$I$7,L532=phu!$I$8,L532=phu!$I$9,L532=phu!$I$10,L532=phu!$I$11,L532=phu!$I$12,L532=phu!$I$13,L532=phu!$I$14),"Cam Nghĩa",""),IF(OR(L532=phu!$I$15,L532=phu!$I$16,L532=phu!$I$17,L532=phu!$I$18,L532=phu!$I$19,L532=phu!$I$20,L532=phu!$I$21),"Cam Phúc Bắc",""),IF(OR(L532=phu!$I$22,L532=phu!$I$23,L532=phu!$I$24,L532=phu!$I$25),"Cam Phúc Nam",""),IF(OR(L532=phu!$I$26,L532=phu!$I$27,L532=phu!$I$28,L532=phu!$I$29,L532=phu!$I$30,L532=phu!$I$31),"Cam Phú",""),IF(OR(L532=phu!$I$32,L532=phu!$I$33,L532=phu!$I$34,L532=phu!$I$35,L532=phu!$I$36,L532=phu!$I$37),"Cam Lộc",""),IF(OR(L532=phu!$I$38,L532=phu!$I$39,L532=phu!$I$40,L532=phu!$I$41,L532=phu!$I$42,L532=phu!$I$43,L532=phu!$I$44),"Cam Thuận",""),IF(OR(L532=phu!$I$45,L532=phu!$I$46,L532=phu!$I$47,L532=phu!$I$48,L532=phu!$I$49,L532=phu!$I$50,L532=phu!$I$51,L532=phu!$I$52,L532=phu!$I$53),"Cam Linh",""),IF(OR(L532=phu!$I$54,L532=phu!$I$55,L532=phu!$I$56,L532=phu!$I$57,L532=phu!$I$58,L532=phu!$I$59,L532=phu!$I$60,L532=phu!$I$61,L532=phu!$I$62),"Cam Lợi",""),IF(OR(L532=phu!$I$63,L532=phu!$I$64,L532=phu!$I$65,L532=phu!$I$66,L532=phu!$I$67,L532=phu!$I$68,L532=phu!$I$69,L532=phu!$I$70,L532=phu!$I$71),"Ba Ngòi",""),IF(OR(L532=phu!$I$72,L532=phu!$I$73,L532=phu!$I$74,L532=phu!$I$75,L532=phu!$I$76,L532=phu!$I$77,L532=phu!$I$78),"Cam Phước Đông",""),IF(OR(L532=phu!$I$79,L532=phu!$I$80,L532=phu!$I$81,L532=phu!$I$82,L532=phu!$I$83,L532=phu!$I$84),"Cam Thịnh Đông",""),IF(OR(L532=phu!$I$85,L532=phu!$I$86,L532=phu!$I$87,L532=phu!$I$88),"Cam Thịnh Tây",""),IF(OR(L532=phu!$I$89,L532=phu!$I$90),"Cam Lập",""),IF(OR(L532=phu!$I$91,L532=phu!$I$92,L532=phu!$I$93),"Cam Bình",""),IF(OR(L532=phu!$I$94,L532=phu!$I$95,L532=phu!$I$96,L532=phu!$I$97,L532=phu!$I$98,L532=phu!$I$99,L532=phu!$I$100),"Huyện khác",""),IF(OR(L532=phu!$I$101,L532=phu!$I$102),"Tỉnh khác",""))</f>
        <v/>
      </c>
      <c r="N532" s="835" t="str">
        <f t="shared" si="44"/>
        <v/>
      </c>
      <c r="O532" s="20"/>
      <c r="P532" s="20"/>
      <c r="Q532" s="20"/>
      <c r="R532" s="20"/>
      <c r="S532" s="20"/>
      <c r="T532" s="21"/>
      <c r="U532" s="21"/>
      <c r="V532" s="21"/>
      <c r="W532" s="7" t="str">
        <f t="shared" si="42"/>
        <v/>
      </c>
      <c r="X532" s="506" t="str">
        <f t="shared" si="43"/>
        <v/>
      </c>
    </row>
    <row r="533" spans="1:24" x14ac:dyDescent="0.25">
      <c r="A533" s="66" t="str">
        <f t="shared" si="40"/>
        <v/>
      </c>
      <c r="B533" s="23" t="str">
        <f t="shared" si="41"/>
        <v/>
      </c>
      <c r="C533" s="15"/>
      <c r="D533" s="16"/>
      <c r="E533" s="17"/>
      <c r="F533" s="18"/>
      <c r="G533" s="18"/>
      <c r="H533" s="19"/>
      <c r="I533" s="15"/>
      <c r="J533" s="20"/>
      <c r="K533" s="15"/>
      <c r="L533" s="15"/>
      <c r="M533" s="531" t="str">
        <f>CONCATENATE(IF(OR(L533=phu!$I$1,L533=phu!$I$2,L533=phu!$I$3),"Cam Thành Nam",""),IF(OR(L533=phu!$I$4,L533=phu!$I$5,L533=phu!$I$6,L533=phu!$I$7,L533=phu!$I$8,L533=phu!$I$9,L533=phu!$I$10,L533=phu!$I$11,L533=phu!$I$12,L533=phu!$I$13,L533=phu!$I$14),"Cam Nghĩa",""),IF(OR(L533=phu!$I$15,L533=phu!$I$16,L533=phu!$I$17,L533=phu!$I$18,L533=phu!$I$19,L533=phu!$I$20,L533=phu!$I$21),"Cam Phúc Bắc",""),IF(OR(L533=phu!$I$22,L533=phu!$I$23,L533=phu!$I$24,L533=phu!$I$25),"Cam Phúc Nam",""),IF(OR(L533=phu!$I$26,L533=phu!$I$27,L533=phu!$I$28,L533=phu!$I$29,L533=phu!$I$30,L533=phu!$I$31),"Cam Phú",""),IF(OR(L533=phu!$I$32,L533=phu!$I$33,L533=phu!$I$34,L533=phu!$I$35,L533=phu!$I$36,L533=phu!$I$37),"Cam Lộc",""),IF(OR(L533=phu!$I$38,L533=phu!$I$39,L533=phu!$I$40,L533=phu!$I$41,L533=phu!$I$42,L533=phu!$I$43,L533=phu!$I$44),"Cam Thuận",""),IF(OR(L533=phu!$I$45,L533=phu!$I$46,L533=phu!$I$47,L533=phu!$I$48,L533=phu!$I$49,L533=phu!$I$50,L533=phu!$I$51,L533=phu!$I$52,L533=phu!$I$53),"Cam Linh",""),IF(OR(L533=phu!$I$54,L533=phu!$I$55,L533=phu!$I$56,L533=phu!$I$57,L533=phu!$I$58,L533=phu!$I$59,L533=phu!$I$60,L533=phu!$I$61,L533=phu!$I$62),"Cam Lợi",""),IF(OR(L533=phu!$I$63,L533=phu!$I$64,L533=phu!$I$65,L533=phu!$I$66,L533=phu!$I$67,L533=phu!$I$68,L533=phu!$I$69,L533=phu!$I$70,L533=phu!$I$71),"Ba Ngòi",""),IF(OR(L533=phu!$I$72,L533=phu!$I$73,L533=phu!$I$74,L533=phu!$I$75,L533=phu!$I$76,L533=phu!$I$77,L533=phu!$I$78),"Cam Phước Đông",""),IF(OR(L533=phu!$I$79,L533=phu!$I$80,L533=phu!$I$81,L533=phu!$I$82,L533=phu!$I$83,L533=phu!$I$84),"Cam Thịnh Đông",""),IF(OR(L533=phu!$I$85,L533=phu!$I$86,L533=phu!$I$87,L533=phu!$I$88),"Cam Thịnh Tây",""),IF(OR(L533=phu!$I$89,L533=phu!$I$90),"Cam Lập",""),IF(OR(L533=phu!$I$91,L533=phu!$I$92,L533=phu!$I$93),"Cam Bình",""),IF(OR(L533=phu!$I$94,L533=phu!$I$95,L533=phu!$I$96,L533=phu!$I$97,L533=phu!$I$98,L533=phu!$I$99,L533=phu!$I$100),"Huyện khác",""),IF(OR(L533=phu!$I$101,L533=phu!$I$102),"Tỉnh khác",""))</f>
        <v/>
      </c>
      <c r="N533" s="835" t="str">
        <f t="shared" si="44"/>
        <v/>
      </c>
      <c r="O533" s="20"/>
      <c r="P533" s="20"/>
      <c r="Q533" s="20"/>
      <c r="R533" s="20"/>
      <c r="S533" s="20"/>
      <c r="T533" s="21"/>
      <c r="U533" s="21"/>
      <c r="V533" s="21"/>
      <c r="W533" s="7" t="str">
        <f t="shared" si="42"/>
        <v/>
      </c>
      <c r="X533" s="506" t="str">
        <f t="shared" si="43"/>
        <v/>
      </c>
    </row>
    <row r="534" spans="1:24" x14ac:dyDescent="0.25">
      <c r="A534" s="66" t="str">
        <f t="shared" si="40"/>
        <v/>
      </c>
      <c r="B534" s="23" t="str">
        <f t="shared" si="41"/>
        <v/>
      </c>
      <c r="C534" s="15"/>
      <c r="D534" s="16"/>
      <c r="E534" s="17"/>
      <c r="F534" s="18"/>
      <c r="G534" s="18"/>
      <c r="H534" s="19"/>
      <c r="I534" s="15"/>
      <c r="J534" s="20"/>
      <c r="K534" s="15"/>
      <c r="L534" s="15"/>
      <c r="M534" s="531" t="str">
        <f>CONCATENATE(IF(OR(L534=phu!$I$1,L534=phu!$I$2,L534=phu!$I$3),"Cam Thành Nam",""),IF(OR(L534=phu!$I$4,L534=phu!$I$5,L534=phu!$I$6,L534=phu!$I$7,L534=phu!$I$8,L534=phu!$I$9,L534=phu!$I$10,L534=phu!$I$11,L534=phu!$I$12,L534=phu!$I$13,L534=phu!$I$14),"Cam Nghĩa",""),IF(OR(L534=phu!$I$15,L534=phu!$I$16,L534=phu!$I$17,L534=phu!$I$18,L534=phu!$I$19,L534=phu!$I$20,L534=phu!$I$21),"Cam Phúc Bắc",""),IF(OR(L534=phu!$I$22,L534=phu!$I$23,L534=phu!$I$24,L534=phu!$I$25),"Cam Phúc Nam",""),IF(OR(L534=phu!$I$26,L534=phu!$I$27,L534=phu!$I$28,L534=phu!$I$29,L534=phu!$I$30,L534=phu!$I$31),"Cam Phú",""),IF(OR(L534=phu!$I$32,L534=phu!$I$33,L534=phu!$I$34,L534=phu!$I$35,L534=phu!$I$36,L534=phu!$I$37),"Cam Lộc",""),IF(OR(L534=phu!$I$38,L534=phu!$I$39,L534=phu!$I$40,L534=phu!$I$41,L534=phu!$I$42,L534=phu!$I$43,L534=phu!$I$44),"Cam Thuận",""),IF(OR(L534=phu!$I$45,L534=phu!$I$46,L534=phu!$I$47,L534=phu!$I$48,L534=phu!$I$49,L534=phu!$I$50,L534=phu!$I$51,L534=phu!$I$52,L534=phu!$I$53),"Cam Linh",""),IF(OR(L534=phu!$I$54,L534=phu!$I$55,L534=phu!$I$56,L534=phu!$I$57,L534=phu!$I$58,L534=phu!$I$59,L534=phu!$I$60,L534=phu!$I$61,L534=phu!$I$62),"Cam Lợi",""),IF(OR(L534=phu!$I$63,L534=phu!$I$64,L534=phu!$I$65,L534=phu!$I$66,L534=phu!$I$67,L534=phu!$I$68,L534=phu!$I$69,L534=phu!$I$70,L534=phu!$I$71),"Ba Ngòi",""),IF(OR(L534=phu!$I$72,L534=phu!$I$73,L534=phu!$I$74,L534=phu!$I$75,L534=phu!$I$76,L534=phu!$I$77,L534=phu!$I$78),"Cam Phước Đông",""),IF(OR(L534=phu!$I$79,L534=phu!$I$80,L534=phu!$I$81,L534=phu!$I$82,L534=phu!$I$83,L534=phu!$I$84),"Cam Thịnh Đông",""),IF(OR(L534=phu!$I$85,L534=phu!$I$86,L534=phu!$I$87,L534=phu!$I$88),"Cam Thịnh Tây",""),IF(OR(L534=phu!$I$89,L534=phu!$I$90),"Cam Lập",""),IF(OR(L534=phu!$I$91,L534=phu!$I$92,L534=phu!$I$93),"Cam Bình",""),IF(OR(L534=phu!$I$94,L534=phu!$I$95,L534=phu!$I$96,L534=phu!$I$97,L534=phu!$I$98,L534=phu!$I$99,L534=phu!$I$100),"Huyện khác",""),IF(OR(L534=phu!$I$101,L534=phu!$I$102),"Tỉnh khác",""))</f>
        <v/>
      </c>
      <c r="N534" s="835" t="str">
        <f t="shared" si="44"/>
        <v/>
      </c>
      <c r="O534" s="20"/>
      <c r="P534" s="20"/>
      <c r="Q534" s="20"/>
      <c r="R534" s="20"/>
      <c r="S534" s="20"/>
      <c r="T534" s="21"/>
      <c r="U534" s="21"/>
      <c r="V534" s="21"/>
      <c r="W534" s="7" t="str">
        <f t="shared" si="42"/>
        <v/>
      </c>
      <c r="X534" s="506" t="str">
        <f t="shared" si="43"/>
        <v/>
      </c>
    </row>
    <row r="535" spans="1:24" x14ac:dyDescent="0.25">
      <c r="A535" s="66" t="str">
        <f t="shared" si="40"/>
        <v/>
      </c>
      <c r="B535" s="23" t="str">
        <f t="shared" si="41"/>
        <v/>
      </c>
      <c r="C535" s="15"/>
      <c r="D535" s="16"/>
      <c r="E535" s="17"/>
      <c r="F535" s="18"/>
      <c r="G535" s="18"/>
      <c r="H535" s="19"/>
      <c r="I535" s="15"/>
      <c r="J535" s="20"/>
      <c r="K535" s="15"/>
      <c r="L535" s="15"/>
      <c r="M535" s="531" t="str">
        <f>CONCATENATE(IF(OR(L535=phu!$I$1,L535=phu!$I$2,L535=phu!$I$3),"Cam Thành Nam",""),IF(OR(L535=phu!$I$4,L535=phu!$I$5,L535=phu!$I$6,L535=phu!$I$7,L535=phu!$I$8,L535=phu!$I$9,L535=phu!$I$10,L535=phu!$I$11,L535=phu!$I$12,L535=phu!$I$13,L535=phu!$I$14),"Cam Nghĩa",""),IF(OR(L535=phu!$I$15,L535=phu!$I$16,L535=phu!$I$17,L535=phu!$I$18,L535=phu!$I$19,L535=phu!$I$20,L535=phu!$I$21),"Cam Phúc Bắc",""),IF(OR(L535=phu!$I$22,L535=phu!$I$23,L535=phu!$I$24,L535=phu!$I$25),"Cam Phúc Nam",""),IF(OR(L535=phu!$I$26,L535=phu!$I$27,L535=phu!$I$28,L535=phu!$I$29,L535=phu!$I$30,L535=phu!$I$31),"Cam Phú",""),IF(OR(L535=phu!$I$32,L535=phu!$I$33,L535=phu!$I$34,L535=phu!$I$35,L535=phu!$I$36,L535=phu!$I$37),"Cam Lộc",""),IF(OR(L535=phu!$I$38,L535=phu!$I$39,L535=phu!$I$40,L535=phu!$I$41,L535=phu!$I$42,L535=phu!$I$43,L535=phu!$I$44),"Cam Thuận",""),IF(OR(L535=phu!$I$45,L535=phu!$I$46,L535=phu!$I$47,L535=phu!$I$48,L535=phu!$I$49,L535=phu!$I$50,L535=phu!$I$51,L535=phu!$I$52,L535=phu!$I$53),"Cam Linh",""),IF(OR(L535=phu!$I$54,L535=phu!$I$55,L535=phu!$I$56,L535=phu!$I$57,L535=phu!$I$58,L535=phu!$I$59,L535=phu!$I$60,L535=phu!$I$61,L535=phu!$I$62),"Cam Lợi",""),IF(OR(L535=phu!$I$63,L535=phu!$I$64,L535=phu!$I$65,L535=phu!$I$66,L535=phu!$I$67,L535=phu!$I$68,L535=phu!$I$69,L535=phu!$I$70,L535=phu!$I$71),"Ba Ngòi",""),IF(OR(L535=phu!$I$72,L535=phu!$I$73,L535=phu!$I$74,L535=phu!$I$75,L535=phu!$I$76,L535=phu!$I$77,L535=phu!$I$78),"Cam Phước Đông",""),IF(OR(L535=phu!$I$79,L535=phu!$I$80,L535=phu!$I$81,L535=phu!$I$82,L535=phu!$I$83,L535=phu!$I$84),"Cam Thịnh Đông",""),IF(OR(L535=phu!$I$85,L535=phu!$I$86,L535=phu!$I$87,L535=phu!$I$88),"Cam Thịnh Tây",""),IF(OR(L535=phu!$I$89,L535=phu!$I$90),"Cam Lập",""),IF(OR(L535=phu!$I$91,L535=phu!$I$92,L535=phu!$I$93),"Cam Bình",""),IF(OR(L535=phu!$I$94,L535=phu!$I$95,L535=phu!$I$96,L535=phu!$I$97,L535=phu!$I$98,L535=phu!$I$99,L535=phu!$I$100),"Huyện khác",""),IF(OR(L535=phu!$I$101,L535=phu!$I$102),"Tỉnh khác",""))</f>
        <v/>
      </c>
      <c r="N535" s="835" t="str">
        <f t="shared" si="44"/>
        <v/>
      </c>
      <c r="O535" s="20"/>
      <c r="P535" s="20"/>
      <c r="Q535" s="20"/>
      <c r="R535" s="20"/>
      <c r="S535" s="20"/>
      <c r="T535" s="21"/>
      <c r="U535" s="21"/>
      <c r="V535" s="21"/>
      <c r="W535" s="7" t="str">
        <f t="shared" si="42"/>
        <v/>
      </c>
      <c r="X535" s="506" t="str">
        <f t="shared" si="43"/>
        <v/>
      </c>
    </row>
    <row r="536" spans="1:24" x14ac:dyDescent="0.25">
      <c r="A536" s="66" t="str">
        <f t="shared" si="40"/>
        <v/>
      </c>
      <c r="B536" s="23" t="str">
        <f t="shared" si="41"/>
        <v/>
      </c>
      <c r="C536" s="15"/>
      <c r="D536" s="16"/>
      <c r="E536" s="17"/>
      <c r="F536" s="18"/>
      <c r="G536" s="18"/>
      <c r="H536" s="19"/>
      <c r="I536" s="15"/>
      <c r="J536" s="20"/>
      <c r="K536" s="15"/>
      <c r="L536" s="15"/>
      <c r="M536" s="531" t="str">
        <f>CONCATENATE(IF(OR(L536=phu!$I$1,L536=phu!$I$2,L536=phu!$I$3),"Cam Thành Nam",""),IF(OR(L536=phu!$I$4,L536=phu!$I$5,L536=phu!$I$6,L536=phu!$I$7,L536=phu!$I$8,L536=phu!$I$9,L536=phu!$I$10,L536=phu!$I$11,L536=phu!$I$12,L536=phu!$I$13,L536=phu!$I$14),"Cam Nghĩa",""),IF(OR(L536=phu!$I$15,L536=phu!$I$16,L536=phu!$I$17,L536=phu!$I$18,L536=phu!$I$19,L536=phu!$I$20,L536=phu!$I$21),"Cam Phúc Bắc",""),IF(OR(L536=phu!$I$22,L536=phu!$I$23,L536=phu!$I$24,L536=phu!$I$25),"Cam Phúc Nam",""),IF(OR(L536=phu!$I$26,L536=phu!$I$27,L536=phu!$I$28,L536=phu!$I$29,L536=phu!$I$30,L536=phu!$I$31),"Cam Phú",""),IF(OR(L536=phu!$I$32,L536=phu!$I$33,L536=phu!$I$34,L536=phu!$I$35,L536=phu!$I$36,L536=phu!$I$37),"Cam Lộc",""),IF(OR(L536=phu!$I$38,L536=phu!$I$39,L536=phu!$I$40,L536=phu!$I$41,L536=phu!$I$42,L536=phu!$I$43,L536=phu!$I$44),"Cam Thuận",""),IF(OR(L536=phu!$I$45,L536=phu!$I$46,L536=phu!$I$47,L536=phu!$I$48,L536=phu!$I$49,L536=phu!$I$50,L536=phu!$I$51,L536=phu!$I$52,L536=phu!$I$53),"Cam Linh",""),IF(OR(L536=phu!$I$54,L536=phu!$I$55,L536=phu!$I$56,L536=phu!$I$57,L536=phu!$I$58,L536=phu!$I$59,L536=phu!$I$60,L536=phu!$I$61,L536=phu!$I$62),"Cam Lợi",""),IF(OR(L536=phu!$I$63,L536=phu!$I$64,L536=phu!$I$65,L536=phu!$I$66,L536=phu!$I$67,L536=phu!$I$68,L536=phu!$I$69,L536=phu!$I$70,L536=phu!$I$71),"Ba Ngòi",""),IF(OR(L536=phu!$I$72,L536=phu!$I$73,L536=phu!$I$74,L536=phu!$I$75,L536=phu!$I$76,L536=phu!$I$77,L536=phu!$I$78),"Cam Phước Đông",""),IF(OR(L536=phu!$I$79,L536=phu!$I$80,L536=phu!$I$81,L536=phu!$I$82,L536=phu!$I$83,L536=phu!$I$84),"Cam Thịnh Đông",""),IF(OR(L536=phu!$I$85,L536=phu!$I$86,L536=phu!$I$87,L536=phu!$I$88),"Cam Thịnh Tây",""),IF(OR(L536=phu!$I$89,L536=phu!$I$90),"Cam Lập",""),IF(OR(L536=phu!$I$91,L536=phu!$I$92,L536=phu!$I$93),"Cam Bình",""),IF(OR(L536=phu!$I$94,L536=phu!$I$95,L536=phu!$I$96,L536=phu!$I$97,L536=phu!$I$98,L536=phu!$I$99,L536=phu!$I$100),"Huyện khác",""),IF(OR(L536=phu!$I$101,L536=phu!$I$102),"Tỉnh khác",""))</f>
        <v/>
      </c>
      <c r="N536" s="835" t="str">
        <f t="shared" si="44"/>
        <v/>
      </c>
      <c r="O536" s="20"/>
      <c r="P536" s="20"/>
      <c r="Q536" s="20"/>
      <c r="R536" s="20"/>
      <c r="S536" s="20"/>
      <c r="T536" s="21"/>
      <c r="U536" s="21"/>
      <c r="V536" s="21"/>
      <c r="W536" s="7" t="str">
        <f t="shared" si="42"/>
        <v/>
      </c>
      <c r="X536" s="506" t="str">
        <f t="shared" si="43"/>
        <v/>
      </c>
    </row>
    <row r="537" spans="1:24" x14ac:dyDescent="0.25">
      <c r="A537" s="66" t="str">
        <f t="shared" si="40"/>
        <v/>
      </c>
      <c r="B537" s="23" t="str">
        <f t="shared" si="41"/>
        <v/>
      </c>
      <c r="C537" s="15"/>
      <c r="D537" s="16"/>
      <c r="E537" s="17"/>
      <c r="F537" s="18"/>
      <c r="G537" s="18"/>
      <c r="H537" s="19"/>
      <c r="I537" s="15"/>
      <c r="J537" s="20"/>
      <c r="K537" s="15"/>
      <c r="L537" s="15"/>
      <c r="M537" s="531" t="str">
        <f>CONCATENATE(IF(OR(L537=phu!$I$1,L537=phu!$I$2,L537=phu!$I$3),"Cam Thành Nam",""),IF(OR(L537=phu!$I$4,L537=phu!$I$5,L537=phu!$I$6,L537=phu!$I$7,L537=phu!$I$8,L537=phu!$I$9,L537=phu!$I$10,L537=phu!$I$11,L537=phu!$I$12,L537=phu!$I$13,L537=phu!$I$14),"Cam Nghĩa",""),IF(OR(L537=phu!$I$15,L537=phu!$I$16,L537=phu!$I$17,L537=phu!$I$18,L537=phu!$I$19,L537=phu!$I$20,L537=phu!$I$21),"Cam Phúc Bắc",""),IF(OR(L537=phu!$I$22,L537=phu!$I$23,L537=phu!$I$24,L537=phu!$I$25),"Cam Phúc Nam",""),IF(OR(L537=phu!$I$26,L537=phu!$I$27,L537=phu!$I$28,L537=phu!$I$29,L537=phu!$I$30,L537=phu!$I$31),"Cam Phú",""),IF(OR(L537=phu!$I$32,L537=phu!$I$33,L537=phu!$I$34,L537=phu!$I$35,L537=phu!$I$36,L537=phu!$I$37),"Cam Lộc",""),IF(OR(L537=phu!$I$38,L537=phu!$I$39,L537=phu!$I$40,L537=phu!$I$41,L537=phu!$I$42,L537=phu!$I$43,L537=phu!$I$44),"Cam Thuận",""),IF(OR(L537=phu!$I$45,L537=phu!$I$46,L537=phu!$I$47,L537=phu!$I$48,L537=phu!$I$49,L537=phu!$I$50,L537=phu!$I$51,L537=phu!$I$52,L537=phu!$I$53),"Cam Linh",""),IF(OR(L537=phu!$I$54,L537=phu!$I$55,L537=phu!$I$56,L537=phu!$I$57,L537=phu!$I$58,L537=phu!$I$59,L537=phu!$I$60,L537=phu!$I$61,L537=phu!$I$62),"Cam Lợi",""),IF(OR(L537=phu!$I$63,L537=phu!$I$64,L537=phu!$I$65,L537=phu!$I$66,L537=phu!$I$67,L537=phu!$I$68,L537=phu!$I$69,L537=phu!$I$70,L537=phu!$I$71),"Ba Ngòi",""),IF(OR(L537=phu!$I$72,L537=phu!$I$73,L537=phu!$I$74,L537=phu!$I$75,L537=phu!$I$76,L537=phu!$I$77,L537=phu!$I$78),"Cam Phước Đông",""),IF(OR(L537=phu!$I$79,L537=phu!$I$80,L537=phu!$I$81,L537=phu!$I$82,L537=phu!$I$83,L537=phu!$I$84),"Cam Thịnh Đông",""),IF(OR(L537=phu!$I$85,L537=phu!$I$86,L537=phu!$I$87,L537=phu!$I$88),"Cam Thịnh Tây",""),IF(OR(L537=phu!$I$89,L537=phu!$I$90),"Cam Lập",""),IF(OR(L537=phu!$I$91,L537=phu!$I$92,L537=phu!$I$93),"Cam Bình",""),IF(OR(L537=phu!$I$94,L537=phu!$I$95,L537=phu!$I$96,L537=phu!$I$97,L537=phu!$I$98,L537=phu!$I$99,L537=phu!$I$100),"Huyện khác",""),IF(OR(L537=phu!$I$101,L537=phu!$I$102),"Tỉnh khác",""))</f>
        <v/>
      </c>
      <c r="N537" s="835" t="str">
        <f t="shared" si="44"/>
        <v/>
      </c>
      <c r="O537" s="20"/>
      <c r="P537" s="20"/>
      <c r="Q537" s="20"/>
      <c r="R537" s="20"/>
      <c r="S537" s="20"/>
      <c r="T537" s="21"/>
      <c r="U537" s="21"/>
      <c r="V537" s="21"/>
      <c r="W537" s="7" t="str">
        <f t="shared" si="42"/>
        <v/>
      </c>
      <c r="X537" s="506" t="str">
        <f t="shared" si="43"/>
        <v/>
      </c>
    </row>
    <row r="538" spans="1:24" x14ac:dyDescent="0.25">
      <c r="A538" s="66" t="str">
        <f t="shared" si="40"/>
        <v/>
      </c>
      <c r="B538" s="23" t="str">
        <f t="shared" si="41"/>
        <v/>
      </c>
      <c r="C538" s="15"/>
      <c r="D538" s="16"/>
      <c r="E538" s="17"/>
      <c r="F538" s="18"/>
      <c r="G538" s="18"/>
      <c r="H538" s="19"/>
      <c r="I538" s="15"/>
      <c r="J538" s="20"/>
      <c r="K538" s="15"/>
      <c r="L538" s="15"/>
      <c r="M538" s="531" t="str">
        <f>CONCATENATE(IF(OR(L538=phu!$I$1,L538=phu!$I$2,L538=phu!$I$3),"Cam Thành Nam",""),IF(OR(L538=phu!$I$4,L538=phu!$I$5,L538=phu!$I$6,L538=phu!$I$7,L538=phu!$I$8,L538=phu!$I$9,L538=phu!$I$10,L538=phu!$I$11,L538=phu!$I$12,L538=phu!$I$13,L538=phu!$I$14),"Cam Nghĩa",""),IF(OR(L538=phu!$I$15,L538=phu!$I$16,L538=phu!$I$17,L538=phu!$I$18,L538=phu!$I$19,L538=phu!$I$20,L538=phu!$I$21),"Cam Phúc Bắc",""),IF(OR(L538=phu!$I$22,L538=phu!$I$23,L538=phu!$I$24,L538=phu!$I$25),"Cam Phúc Nam",""),IF(OR(L538=phu!$I$26,L538=phu!$I$27,L538=phu!$I$28,L538=phu!$I$29,L538=phu!$I$30,L538=phu!$I$31),"Cam Phú",""),IF(OR(L538=phu!$I$32,L538=phu!$I$33,L538=phu!$I$34,L538=phu!$I$35,L538=phu!$I$36,L538=phu!$I$37),"Cam Lộc",""),IF(OR(L538=phu!$I$38,L538=phu!$I$39,L538=phu!$I$40,L538=phu!$I$41,L538=phu!$I$42,L538=phu!$I$43,L538=phu!$I$44),"Cam Thuận",""),IF(OR(L538=phu!$I$45,L538=phu!$I$46,L538=phu!$I$47,L538=phu!$I$48,L538=phu!$I$49,L538=phu!$I$50,L538=phu!$I$51,L538=phu!$I$52,L538=phu!$I$53),"Cam Linh",""),IF(OR(L538=phu!$I$54,L538=phu!$I$55,L538=phu!$I$56,L538=phu!$I$57,L538=phu!$I$58,L538=phu!$I$59,L538=phu!$I$60,L538=phu!$I$61,L538=phu!$I$62),"Cam Lợi",""),IF(OR(L538=phu!$I$63,L538=phu!$I$64,L538=phu!$I$65,L538=phu!$I$66,L538=phu!$I$67,L538=phu!$I$68,L538=phu!$I$69,L538=phu!$I$70,L538=phu!$I$71),"Ba Ngòi",""),IF(OR(L538=phu!$I$72,L538=phu!$I$73,L538=phu!$I$74,L538=phu!$I$75,L538=phu!$I$76,L538=phu!$I$77,L538=phu!$I$78),"Cam Phước Đông",""),IF(OR(L538=phu!$I$79,L538=phu!$I$80,L538=phu!$I$81,L538=phu!$I$82,L538=phu!$I$83,L538=phu!$I$84),"Cam Thịnh Đông",""),IF(OR(L538=phu!$I$85,L538=phu!$I$86,L538=phu!$I$87,L538=phu!$I$88),"Cam Thịnh Tây",""),IF(OR(L538=phu!$I$89,L538=phu!$I$90),"Cam Lập",""),IF(OR(L538=phu!$I$91,L538=phu!$I$92,L538=phu!$I$93),"Cam Bình",""),IF(OR(L538=phu!$I$94,L538=phu!$I$95,L538=phu!$I$96,L538=phu!$I$97,L538=phu!$I$98,L538=phu!$I$99,L538=phu!$I$100),"Huyện khác",""),IF(OR(L538=phu!$I$101,L538=phu!$I$102),"Tỉnh khác",""))</f>
        <v/>
      </c>
      <c r="N538" s="835" t="str">
        <f t="shared" si="44"/>
        <v/>
      </c>
      <c r="O538" s="20"/>
      <c r="P538" s="20"/>
      <c r="Q538" s="20"/>
      <c r="R538" s="20"/>
      <c r="S538" s="20"/>
      <c r="T538" s="21"/>
      <c r="U538" s="21"/>
      <c r="V538" s="21"/>
      <c r="W538" s="7" t="str">
        <f t="shared" si="42"/>
        <v/>
      </c>
      <c r="X538" s="506" t="str">
        <f t="shared" si="43"/>
        <v/>
      </c>
    </row>
    <row r="539" spans="1:24" x14ac:dyDescent="0.25">
      <c r="A539" s="66" t="str">
        <f t="shared" si="40"/>
        <v/>
      </c>
      <c r="B539" s="23" t="str">
        <f t="shared" si="41"/>
        <v/>
      </c>
      <c r="C539" s="15"/>
      <c r="D539" s="16"/>
      <c r="E539" s="17"/>
      <c r="F539" s="18"/>
      <c r="G539" s="18"/>
      <c r="H539" s="19"/>
      <c r="I539" s="15"/>
      <c r="J539" s="20"/>
      <c r="K539" s="15"/>
      <c r="L539" s="15"/>
      <c r="M539" s="531" t="str">
        <f>CONCATENATE(IF(OR(L539=phu!$I$1,L539=phu!$I$2,L539=phu!$I$3),"Cam Thành Nam",""),IF(OR(L539=phu!$I$4,L539=phu!$I$5,L539=phu!$I$6,L539=phu!$I$7,L539=phu!$I$8,L539=phu!$I$9,L539=phu!$I$10,L539=phu!$I$11,L539=phu!$I$12,L539=phu!$I$13,L539=phu!$I$14),"Cam Nghĩa",""),IF(OR(L539=phu!$I$15,L539=phu!$I$16,L539=phu!$I$17,L539=phu!$I$18,L539=phu!$I$19,L539=phu!$I$20,L539=phu!$I$21),"Cam Phúc Bắc",""),IF(OR(L539=phu!$I$22,L539=phu!$I$23,L539=phu!$I$24,L539=phu!$I$25),"Cam Phúc Nam",""),IF(OR(L539=phu!$I$26,L539=phu!$I$27,L539=phu!$I$28,L539=phu!$I$29,L539=phu!$I$30,L539=phu!$I$31),"Cam Phú",""),IF(OR(L539=phu!$I$32,L539=phu!$I$33,L539=phu!$I$34,L539=phu!$I$35,L539=phu!$I$36,L539=phu!$I$37),"Cam Lộc",""),IF(OR(L539=phu!$I$38,L539=phu!$I$39,L539=phu!$I$40,L539=phu!$I$41,L539=phu!$I$42,L539=phu!$I$43,L539=phu!$I$44),"Cam Thuận",""),IF(OR(L539=phu!$I$45,L539=phu!$I$46,L539=phu!$I$47,L539=phu!$I$48,L539=phu!$I$49,L539=phu!$I$50,L539=phu!$I$51,L539=phu!$I$52,L539=phu!$I$53),"Cam Linh",""),IF(OR(L539=phu!$I$54,L539=phu!$I$55,L539=phu!$I$56,L539=phu!$I$57,L539=phu!$I$58,L539=phu!$I$59,L539=phu!$I$60,L539=phu!$I$61,L539=phu!$I$62),"Cam Lợi",""),IF(OR(L539=phu!$I$63,L539=phu!$I$64,L539=phu!$I$65,L539=phu!$I$66,L539=phu!$I$67,L539=phu!$I$68,L539=phu!$I$69,L539=phu!$I$70,L539=phu!$I$71),"Ba Ngòi",""),IF(OR(L539=phu!$I$72,L539=phu!$I$73,L539=phu!$I$74,L539=phu!$I$75,L539=phu!$I$76,L539=phu!$I$77,L539=phu!$I$78),"Cam Phước Đông",""),IF(OR(L539=phu!$I$79,L539=phu!$I$80,L539=phu!$I$81,L539=phu!$I$82,L539=phu!$I$83,L539=phu!$I$84),"Cam Thịnh Đông",""),IF(OR(L539=phu!$I$85,L539=phu!$I$86,L539=phu!$I$87,L539=phu!$I$88),"Cam Thịnh Tây",""),IF(OR(L539=phu!$I$89,L539=phu!$I$90),"Cam Lập",""),IF(OR(L539=phu!$I$91,L539=phu!$I$92,L539=phu!$I$93),"Cam Bình",""),IF(OR(L539=phu!$I$94,L539=phu!$I$95,L539=phu!$I$96,L539=phu!$I$97,L539=phu!$I$98,L539=phu!$I$99,L539=phu!$I$100),"Huyện khác",""),IF(OR(L539=phu!$I$101,L539=phu!$I$102),"Tỉnh khác",""))</f>
        <v/>
      </c>
      <c r="N539" s="835" t="str">
        <f t="shared" si="44"/>
        <v/>
      </c>
      <c r="O539" s="20"/>
      <c r="P539" s="20"/>
      <c r="Q539" s="20"/>
      <c r="R539" s="20"/>
      <c r="S539" s="20"/>
      <c r="T539" s="21"/>
      <c r="U539" s="21"/>
      <c r="V539" s="21"/>
      <c r="W539" s="7" t="str">
        <f t="shared" si="42"/>
        <v/>
      </c>
      <c r="X539" s="506" t="str">
        <f t="shared" si="43"/>
        <v/>
      </c>
    </row>
    <row r="540" spans="1:24" x14ac:dyDescent="0.25">
      <c r="A540" s="66" t="str">
        <f t="shared" si="40"/>
        <v/>
      </c>
      <c r="B540" s="23" t="str">
        <f t="shared" si="41"/>
        <v/>
      </c>
      <c r="C540" s="15"/>
      <c r="D540" s="16"/>
      <c r="E540" s="17"/>
      <c r="F540" s="18"/>
      <c r="G540" s="18"/>
      <c r="H540" s="19"/>
      <c r="I540" s="15"/>
      <c r="J540" s="20"/>
      <c r="K540" s="15"/>
      <c r="L540" s="15"/>
      <c r="M540" s="531" t="str">
        <f>CONCATENATE(IF(OR(L540=phu!$I$1,L540=phu!$I$2,L540=phu!$I$3),"Cam Thành Nam",""),IF(OR(L540=phu!$I$4,L540=phu!$I$5,L540=phu!$I$6,L540=phu!$I$7,L540=phu!$I$8,L540=phu!$I$9,L540=phu!$I$10,L540=phu!$I$11,L540=phu!$I$12,L540=phu!$I$13,L540=phu!$I$14),"Cam Nghĩa",""),IF(OR(L540=phu!$I$15,L540=phu!$I$16,L540=phu!$I$17,L540=phu!$I$18,L540=phu!$I$19,L540=phu!$I$20,L540=phu!$I$21),"Cam Phúc Bắc",""),IF(OR(L540=phu!$I$22,L540=phu!$I$23,L540=phu!$I$24,L540=phu!$I$25),"Cam Phúc Nam",""),IF(OR(L540=phu!$I$26,L540=phu!$I$27,L540=phu!$I$28,L540=phu!$I$29,L540=phu!$I$30,L540=phu!$I$31),"Cam Phú",""),IF(OR(L540=phu!$I$32,L540=phu!$I$33,L540=phu!$I$34,L540=phu!$I$35,L540=phu!$I$36,L540=phu!$I$37),"Cam Lộc",""),IF(OR(L540=phu!$I$38,L540=phu!$I$39,L540=phu!$I$40,L540=phu!$I$41,L540=phu!$I$42,L540=phu!$I$43,L540=phu!$I$44),"Cam Thuận",""),IF(OR(L540=phu!$I$45,L540=phu!$I$46,L540=phu!$I$47,L540=phu!$I$48,L540=phu!$I$49,L540=phu!$I$50,L540=phu!$I$51,L540=phu!$I$52,L540=phu!$I$53),"Cam Linh",""),IF(OR(L540=phu!$I$54,L540=phu!$I$55,L540=phu!$I$56,L540=phu!$I$57,L540=phu!$I$58,L540=phu!$I$59,L540=phu!$I$60,L540=phu!$I$61,L540=phu!$I$62),"Cam Lợi",""),IF(OR(L540=phu!$I$63,L540=phu!$I$64,L540=phu!$I$65,L540=phu!$I$66,L540=phu!$I$67,L540=phu!$I$68,L540=phu!$I$69,L540=phu!$I$70,L540=phu!$I$71),"Ba Ngòi",""),IF(OR(L540=phu!$I$72,L540=phu!$I$73,L540=phu!$I$74,L540=phu!$I$75,L540=phu!$I$76,L540=phu!$I$77,L540=phu!$I$78),"Cam Phước Đông",""),IF(OR(L540=phu!$I$79,L540=phu!$I$80,L540=phu!$I$81,L540=phu!$I$82,L540=phu!$I$83,L540=phu!$I$84),"Cam Thịnh Đông",""),IF(OR(L540=phu!$I$85,L540=phu!$I$86,L540=phu!$I$87,L540=phu!$I$88),"Cam Thịnh Tây",""),IF(OR(L540=phu!$I$89,L540=phu!$I$90),"Cam Lập",""),IF(OR(L540=phu!$I$91,L540=phu!$I$92,L540=phu!$I$93),"Cam Bình",""),IF(OR(L540=phu!$I$94,L540=phu!$I$95,L540=phu!$I$96,L540=phu!$I$97,L540=phu!$I$98,L540=phu!$I$99,L540=phu!$I$100),"Huyện khác",""),IF(OR(L540=phu!$I$101,L540=phu!$I$102),"Tỉnh khác",""))</f>
        <v/>
      </c>
      <c r="N540" s="835" t="str">
        <f t="shared" si="44"/>
        <v/>
      </c>
      <c r="O540" s="20"/>
      <c r="P540" s="20"/>
      <c r="Q540" s="20"/>
      <c r="R540" s="20"/>
      <c r="S540" s="20"/>
      <c r="T540" s="21"/>
      <c r="U540" s="21"/>
      <c r="V540" s="21"/>
      <c r="W540" s="7" t="str">
        <f t="shared" si="42"/>
        <v/>
      </c>
      <c r="X540" s="506" t="str">
        <f t="shared" si="43"/>
        <v/>
      </c>
    </row>
    <row r="541" spans="1:24" x14ac:dyDescent="0.25">
      <c r="A541" s="66" t="str">
        <f t="shared" si="40"/>
        <v/>
      </c>
      <c r="B541" s="23" t="str">
        <f t="shared" si="41"/>
        <v/>
      </c>
      <c r="C541" s="15"/>
      <c r="D541" s="16"/>
      <c r="E541" s="17"/>
      <c r="F541" s="18"/>
      <c r="G541" s="18"/>
      <c r="H541" s="19"/>
      <c r="I541" s="15"/>
      <c r="J541" s="20"/>
      <c r="K541" s="15"/>
      <c r="L541" s="15"/>
      <c r="M541" s="531" t="str">
        <f>CONCATENATE(IF(OR(L541=phu!$I$1,L541=phu!$I$2,L541=phu!$I$3),"Cam Thành Nam",""),IF(OR(L541=phu!$I$4,L541=phu!$I$5,L541=phu!$I$6,L541=phu!$I$7,L541=phu!$I$8,L541=phu!$I$9,L541=phu!$I$10,L541=phu!$I$11,L541=phu!$I$12,L541=phu!$I$13,L541=phu!$I$14),"Cam Nghĩa",""),IF(OR(L541=phu!$I$15,L541=phu!$I$16,L541=phu!$I$17,L541=phu!$I$18,L541=phu!$I$19,L541=phu!$I$20,L541=phu!$I$21),"Cam Phúc Bắc",""),IF(OR(L541=phu!$I$22,L541=phu!$I$23,L541=phu!$I$24,L541=phu!$I$25),"Cam Phúc Nam",""),IF(OR(L541=phu!$I$26,L541=phu!$I$27,L541=phu!$I$28,L541=phu!$I$29,L541=phu!$I$30,L541=phu!$I$31),"Cam Phú",""),IF(OR(L541=phu!$I$32,L541=phu!$I$33,L541=phu!$I$34,L541=phu!$I$35,L541=phu!$I$36,L541=phu!$I$37),"Cam Lộc",""),IF(OR(L541=phu!$I$38,L541=phu!$I$39,L541=phu!$I$40,L541=phu!$I$41,L541=phu!$I$42,L541=phu!$I$43,L541=phu!$I$44),"Cam Thuận",""),IF(OR(L541=phu!$I$45,L541=phu!$I$46,L541=phu!$I$47,L541=phu!$I$48,L541=phu!$I$49,L541=phu!$I$50,L541=phu!$I$51,L541=phu!$I$52,L541=phu!$I$53),"Cam Linh",""),IF(OR(L541=phu!$I$54,L541=phu!$I$55,L541=phu!$I$56,L541=phu!$I$57,L541=phu!$I$58,L541=phu!$I$59,L541=phu!$I$60,L541=phu!$I$61,L541=phu!$I$62),"Cam Lợi",""),IF(OR(L541=phu!$I$63,L541=phu!$I$64,L541=phu!$I$65,L541=phu!$I$66,L541=phu!$I$67,L541=phu!$I$68,L541=phu!$I$69,L541=phu!$I$70,L541=phu!$I$71),"Ba Ngòi",""),IF(OR(L541=phu!$I$72,L541=phu!$I$73,L541=phu!$I$74,L541=phu!$I$75,L541=phu!$I$76,L541=phu!$I$77,L541=phu!$I$78),"Cam Phước Đông",""),IF(OR(L541=phu!$I$79,L541=phu!$I$80,L541=phu!$I$81,L541=phu!$I$82,L541=phu!$I$83,L541=phu!$I$84),"Cam Thịnh Đông",""),IF(OR(L541=phu!$I$85,L541=phu!$I$86,L541=phu!$I$87,L541=phu!$I$88),"Cam Thịnh Tây",""),IF(OR(L541=phu!$I$89,L541=phu!$I$90),"Cam Lập",""),IF(OR(L541=phu!$I$91,L541=phu!$I$92,L541=phu!$I$93),"Cam Bình",""),IF(OR(L541=phu!$I$94,L541=phu!$I$95,L541=phu!$I$96,L541=phu!$I$97,L541=phu!$I$98,L541=phu!$I$99,L541=phu!$I$100),"Huyện khác",""),IF(OR(L541=phu!$I$101,L541=phu!$I$102),"Tỉnh khác",""))</f>
        <v/>
      </c>
      <c r="N541" s="835" t="str">
        <f t="shared" si="44"/>
        <v/>
      </c>
      <c r="O541" s="20"/>
      <c r="P541" s="20"/>
      <c r="Q541" s="20"/>
      <c r="R541" s="20"/>
      <c r="S541" s="20"/>
      <c r="T541" s="21"/>
      <c r="U541" s="21"/>
      <c r="V541" s="21"/>
      <c r="W541" s="7" t="str">
        <f t="shared" si="42"/>
        <v/>
      </c>
      <c r="X541" s="506" t="str">
        <f t="shared" si="43"/>
        <v/>
      </c>
    </row>
    <row r="542" spans="1:24" x14ac:dyDescent="0.25">
      <c r="A542" s="66" t="str">
        <f t="shared" si="40"/>
        <v/>
      </c>
      <c r="B542" s="23" t="str">
        <f t="shared" si="41"/>
        <v/>
      </c>
      <c r="C542" s="15"/>
      <c r="D542" s="16"/>
      <c r="E542" s="17"/>
      <c r="F542" s="18"/>
      <c r="G542" s="18"/>
      <c r="H542" s="19"/>
      <c r="I542" s="15"/>
      <c r="J542" s="20"/>
      <c r="K542" s="15"/>
      <c r="L542" s="15"/>
      <c r="M542" s="531" t="str">
        <f>CONCATENATE(IF(OR(L542=phu!$I$1,L542=phu!$I$2,L542=phu!$I$3),"Cam Thành Nam",""),IF(OR(L542=phu!$I$4,L542=phu!$I$5,L542=phu!$I$6,L542=phu!$I$7,L542=phu!$I$8,L542=phu!$I$9,L542=phu!$I$10,L542=phu!$I$11,L542=phu!$I$12,L542=phu!$I$13,L542=phu!$I$14),"Cam Nghĩa",""),IF(OR(L542=phu!$I$15,L542=phu!$I$16,L542=phu!$I$17,L542=phu!$I$18,L542=phu!$I$19,L542=phu!$I$20,L542=phu!$I$21),"Cam Phúc Bắc",""),IF(OR(L542=phu!$I$22,L542=phu!$I$23,L542=phu!$I$24,L542=phu!$I$25),"Cam Phúc Nam",""),IF(OR(L542=phu!$I$26,L542=phu!$I$27,L542=phu!$I$28,L542=phu!$I$29,L542=phu!$I$30,L542=phu!$I$31),"Cam Phú",""),IF(OR(L542=phu!$I$32,L542=phu!$I$33,L542=phu!$I$34,L542=phu!$I$35,L542=phu!$I$36,L542=phu!$I$37),"Cam Lộc",""),IF(OR(L542=phu!$I$38,L542=phu!$I$39,L542=phu!$I$40,L542=phu!$I$41,L542=phu!$I$42,L542=phu!$I$43,L542=phu!$I$44),"Cam Thuận",""),IF(OR(L542=phu!$I$45,L542=phu!$I$46,L542=phu!$I$47,L542=phu!$I$48,L542=phu!$I$49,L542=phu!$I$50,L542=phu!$I$51,L542=phu!$I$52,L542=phu!$I$53),"Cam Linh",""),IF(OR(L542=phu!$I$54,L542=phu!$I$55,L542=phu!$I$56,L542=phu!$I$57,L542=phu!$I$58,L542=phu!$I$59,L542=phu!$I$60,L542=phu!$I$61,L542=phu!$I$62),"Cam Lợi",""),IF(OR(L542=phu!$I$63,L542=phu!$I$64,L542=phu!$I$65,L542=phu!$I$66,L542=phu!$I$67,L542=phu!$I$68,L542=phu!$I$69,L542=phu!$I$70,L542=phu!$I$71),"Ba Ngòi",""),IF(OR(L542=phu!$I$72,L542=phu!$I$73,L542=phu!$I$74,L542=phu!$I$75,L542=phu!$I$76,L542=phu!$I$77,L542=phu!$I$78),"Cam Phước Đông",""),IF(OR(L542=phu!$I$79,L542=phu!$I$80,L542=phu!$I$81,L542=phu!$I$82,L542=phu!$I$83,L542=phu!$I$84),"Cam Thịnh Đông",""),IF(OR(L542=phu!$I$85,L542=phu!$I$86,L542=phu!$I$87,L542=phu!$I$88),"Cam Thịnh Tây",""),IF(OR(L542=phu!$I$89,L542=phu!$I$90),"Cam Lập",""),IF(OR(L542=phu!$I$91,L542=phu!$I$92,L542=phu!$I$93),"Cam Bình",""),IF(OR(L542=phu!$I$94,L542=phu!$I$95,L542=phu!$I$96,L542=phu!$I$97,L542=phu!$I$98,L542=phu!$I$99,L542=phu!$I$100),"Huyện khác",""),IF(OR(L542=phu!$I$101,L542=phu!$I$102),"Tỉnh khác",""))</f>
        <v/>
      </c>
      <c r="N542" s="835" t="str">
        <f t="shared" si="44"/>
        <v/>
      </c>
      <c r="O542" s="20"/>
      <c r="P542" s="20"/>
      <c r="Q542" s="20"/>
      <c r="R542" s="20"/>
      <c r="S542" s="20"/>
      <c r="T542" s="21"/>
      <c r="U542" s="21"/>
      <c r="V542" s="21"/>
      <c r="W542" s="7" t="str">
        <f t="shared" si="42"/>
        <v/>
      </c>
      <c r="X542" s="506" t="str">
        <f t="shared" si="43"/>
        <v/>
      </c>
    </row>
    <row r="543" spans="1:24" x14ac:dyDescent="0.25">
      <c r="A543" s="66" t="str">
        <f t="shared" si="40"/>
        <v/>
      </c>
      <c r="B543" s="23" t="str">
        <f t="shared" si="41"/>
        <v/>
      </c>
      <c r="C543" s="15"/>
      <c r="D543" s="16"/>
      <c r="E543" s="17"/>
      <c r="F543" s="18"/>
      <c r="G543" s="18"/>
      <c r="H543" s="19"/>
      <c r="I543" s="15"/>
      <c r="J543" s="20"/>
      <c r="K543" s="15"/>
      <c r="L543" s="15"/>
      <c r="M543" s="531" t="str">
        <f>CONCATENATE(IF(OR(L543=phu!$I$1,L543=phu!$I$2,L543=phu!$I$3),"Cam Thành Nam",""),IF(OR(L543=phu!$I$4,L543=phu!$I$5,L543=phu!$I$6,L543=phu!$I$7,L543=phu!$I$8,L543=phu!$I$9,L543=phu!$I$10,L543=phu!$I$11,L543=phu!$I$12,L543=phu!$I$13,L543=phu!$I$14),"Cam Nghĩa",""),IF(OR(L543=phu!$I$15,L543=phu!$I$16,L543=phu!$I$17,L543=phu!$I$18,L543=phu!$I$19,L543=phu!$I$20,L543=phu!$I$21),"Cam Phúc Bắc",""),IF(OR(L543=phu!$I$22,L543=phu!$I$23,L543=phu!$I$24,L543=phu!$I$25),"Cam Phúc Nam",""),IF(OR(L543=phu!$I$26,L543=phu!$I$27,L543=phu!$I$28,L543=phu!$I$29,L543=phu!$I$30,L543=phu!$I$31),"Cam Phú",""),IF(OR(L543=phu!$I$32,L543=phu!$I$33,L543=phu!$I$34,L543=phu!$I$35,L543=phu!$I$36,L543=phu!$I$37),"Cam Lộc",""),IF(OR(L543=phu!$I$38,L543=phu!$I$39,L543=phu!$I$40,L543=phu!$I$41,L543=phu!$I$42,L543=phu!$I$43,L543=phu!$I$44),"Cam Thuận",""),IF(OR(L543=phu!$I$45,L543=phu!$I$46,L543=phu!$I$47,L543=phu!$I$48,L543=phu!$I$49,L543=phu!$I$50,L543=phu!$I$51,L543=phu!$I$52,L543=phu!$I$53),"Cam Linh",""),IF(OR(L543=phu!$I$54,L543=phu!$I$55,L543=phu!$I$56,L543=phu!$I$57,L543=phu!$I$58,L543=phu!$I$59,L543=phu!$I$60,L543=phu!$I$61,L543=phu!$I$62),"Cam Lợi",""),IF(OR(L543=phu!$I$63,L543=phu!$I$64,L543=phu!$I$65,L543=phu!$I$66,L543=phu!$I$67,L543=phu!$I$68,L543=phu!$I$69,L543=phu!$I$70,L543=phu!$I$71),"Ba Ngòi",""),IF(OR(L543=phu!$I$72,L543=phu!$I$73,L543=phu!$I$74,L543=phu!$I$75,L543=phu!$I$76,L543=phu!$I$77,L543=phu!$I$78),"Cam Phước Đông",""),IF(OR(L543=phu!$I$79,L543=phu!$I$80,L543=phu!$I$81,L543=phu!$I$82,L543=phu!$I$83,L543=phu!$I$84),"Cam Thịnh Đông",""),IF(OR(L543=phu!$I$85,L543=phu!$I$86,L543=phu!$I$87,L543=phu!$I$88),"Cam Thịnh Tây",""),IF(OR(L543=phu!$I$89,L543=phu!$I$90),"Cam Lập",""),IF(OR(L543=phu!$I$91,L543=phu!$I$92,L543=phu!$I$93),"Cam Bình",""),IF(OR(L543=phu!$I$94,L543=phu!$I$95,L543=phu!$I$96,L543=phu!$I$97,L543=phu!$I$98,L543=phu!$I$99,L543=phu!$I$100),"Huyện khác",""),IF(OR(L543=phu!$I$101,L543=phu!$I$102),"Tỉnh khác",""))</f>
        <v/>
      </c>
      <c r="N543" s="835" t="str">
        <f t="shared" si="44"/>
        <v/>
      </c>
      <c r="O543" s="20"/>
      <c r="P543" s="20"/>
      <c r="Q543" s="20"/>
      <c r="R543" s="20"/>
      <c r="S543" s="20"/>
      <c r="T543" s="21"/>
      <c r="U543" s="21"/>
      <c r="V543" s="21"/>
      <c r="W543" s="7" t="str">
        <f t="shared" si="42"/>
        <v/>
      </c>
      <c r="X543" s="506" t="str">
        <f t="shared" si="43"/>
        <v/>
      </c>
    </row>
    <row r="544" spans="1:24" x14ac:dyDescent="0.25">
      <c r="A544" s="66" t="str">
        <f t="shared" si="40"/>
        <v/>
      </c>
      <c r="B544" s="23" t="str">
        <f t="shared" si="41"/>
        <v/>
      </c>
      <c r="C544" s="15"/>
      <c r="D544" s="16"/>
      <c r="E544" s="17"/>
      <c r="F544" s="18"/>
      <c r="G544" s="18"/>
      <c r="H544" s="19"/>
      <c r="I544" s="15"/>
      <c r="J544" s="20"/>
      <c r="K544" s="15"/>
      <c r="L544" s="15"/>
      <c r="M544" s="531" t="str">
        <f>CONCATENATE(IF(OR(L544=phu!$I$1,L544=phu!$I$2,L544=phu!$I$3),"Cam Thành Nam",""),IF(OR(L544=phu!$I$4,L544=phu!$I$5,L544=phu!$I$6,L544=phu!$I$7,L544=phu!$I$8,L544=phu!$I$9,L544=phu!$I$10,L544=phu!$I$11,L544=phu!$I$12,L544=phu!$I$13,L544=phu!$I$14),"Cam Nghĩa",""),IF(OR(L544=phu!$I$15,L544=phu!$I$16,L544=phu!$I$17,L544=phu!$I$18,L544=phu!$I$19,L544=phu!$I$20,L544=phu!$I$21),"Cam Phúc Bắc",""),IF(OR(L544=phu!$I$22,L544=phu!$I$23,L544=phu!$I$24,L544=phu!$I$25),"Cam Phúc Nam",""),IF(OR(L544=phu!$I$26,L544=phu!$I$27,L544=phu!$I$28,L544=phu!$I$29,L544=phu!$I$30,L544=phu!$I$31),"Cam Phú",""),IF(OR(L544=phu!$I$32,L544=phu!$I$33,L544=phu!$I$34,L544=phu!$I$35,L544=phu!$I$36,L544=phu!$I$37),"Cam Lộc",""),IF(OR(L544=phu!$I$38,L544=phu!$I$39,L544=phu!$I$40,L544=phu!$I$41,L544=phu!$I$42,L544=phu!$I$43,L544=phu!$I$44),"Cam Thuận",""),IF(OR(L544=phu!$I$45,L544=phu!$I$46,L544=phu!$I$47,L544=phu!$I$48,L544=phu!$I$49,L544=phu!$I$50,L544=phu!$I$51,L544=phu!$I$52,L544=phu!$I$53),"Cam Linh",""),IF(OR(L544=phu!$I$54,L544=phu!$I$55,L544=phu!$I$56,L544=phu!$I$57,L544=phu!$I$58,L544=phu!$I$59,L544=phu!$I$60,L544=phu!$I$61,L544=phu!$I$62),"Cam Lợi",""),IF(OR(L544=phu!$I$63,L544=phu!$I$64,L544=phu!$I$65,L544=phu!$I$66,L544=phu!$I$67,L544=phu!$I$68,L544=phu!$I$69,L544=phu!$I$70,L544=phu!$I$71),"Ba Ngòi",""),IF(OR(L544=phu!$I$72,L544=phu!$I$73,L544=phu!$I$74,L544=phu!$I$75,L544=phu!$I$76,L544=phu!$I$77,L544=phu!$I$78),"Cam Phước Đông",""),IF(OR(L544=phu!$I$79,L544=phu!$I$80,L544=phu!$I$81,L544=phu!$I$82,L544=phu!$I$83,L544=phu!$I$84),"Cam Thịnh Đông",""),IF(OR(L544=phu!$I$85,L544=phu!$I$86,L544=phu!$I$87,L544=phu!$I$88),"Cam Thịnh Tây",""),IF(OR(L544=phu!$I$89,L544=phu!$I$90),"Cam Lập",""),IF(OR(L544=phu!$I$91,L544=phu!$I$92,L544=phu!$I$93),"Cam Bình",""),IF(OR(L544=phu!$I$94,L544=phu!$I$95,L544=phu!$I$96,L544=phu!$I$97,L544=phu!$I$98,L544=phu!$I$99,L544=phu!$I$100),"Huyện khác",""),IF(OR(L544=phu!$I$101,L544=phu!$I$102),"Tỉnh khác",""))</f>
        <v/>
      </c>
      <c r="N544" s="835" t="str">
        <f t="shared" si="44"/>
        <v/>
      </c>
      <c r="O544" s="20"/>
      <c r="P544" s="20"/>
      <c r="Q544" s="20"/>
      <c r="R544" s="20"/>
      <c r="S544" s="20"/>
      <c r="T544" s="21"/>
      <c r="U544" s="21"/>
      <c r="V544" s="21"/>
      <c r="W544" s="7" t="str">
        <f t="shared" si="42"/>
        <v/>
      </c>
      <c r="X544" s="506" t="str">
        <f t="shared" si="43"/>
        <v/>
      </c>
    </row>
    <row r="545" spans="1:24" x14ac:dyDescent="0.25">
      <c r="A545" s="66" t="str">
        <f t="shared" si="40"/>
        <v/>
      </c>
      <c r="B545" s="23" t="str">
        <f t="shared" si="41"/>
        <v/>
      </c>
      <c r="C545" s="15"/>
      <c r="D545" s="16"/>
      <c r="E545" s="17"/>
      <c r="F545" s="18"/>
      <c r="G545" s="18"/>
      <c r="H545" s="19"/>
      <c r="I545" s="15"/>
      <c r="J545" s="20"/>
      <c r="K545" s="15"/>
      <c r="L545" s="15"/>
      <c r="M545" s="531" t="str">
        <f>CONCATENATE(IF(OR(L545=phu!$I$1,L545=phu!$I$2,L545=phu!$I$3),"Cam Thành Nam",""),IF(OR(L545=phu!$I$4,L545=phu!$I$5,L545=phu!$I$6,L545=phu!$I$7,L545=phu!$I$8,L545=phu!$I$9,L545=phu!$I$10,L545=phu!$I$11,L545=phu!$I$12,L545=phu!$I$13,L545=phu!$I$14),"Cam Nghĩa",""),IF(OR(L545=phu!$I$15,L545=phu!$I$16,L545=phu!$I$17,L545=phu!$I$18,L545=phu!$I$19,L545=phu!$I$20,L545=phu!$I$21),"Cam Phúc Bắc",""),IF(OR(L545=phu!$I$22,L545=phu!$I$23,L545=phu!$I$24,L545=phu!$I$25),"Cam Phúc Nam",""),IF(OR(L545=phu!$I$26,L545=phu!$I$27,L545=phu!$I$28,L545=phu!$I$29,L545=phu!$I$30,L545=phu!$I$31),"Cam Phú",""),IF(OR(L545=phu!$I$32,L545=phu!$I$33,L545=phu!$I$34,L545=phu!$I$35,L545=phu!$I$36,L545=phu!$I$37),"Cam Lộc",""),IF(OR(L545=phu!$I$38,L545=phu!$I$39,L545=phu!$I$40,L545=phu!$I$41,L545=phu!$I$42,L545=phu!$I$43,L545=phu!$I$44),"Cam Thuận",""),IF(OR(L545=phu!$I$45,L545=phu!$I$46,L545=phu!$I$47,L545=phu!$I$48,L545=phu!$I$49,L545=phu!$I$50,L545=phu!$I$51,L545=phu!$I$52,L545=phu!$I$53),"Cam Linh",""),IF(OR(L545=phu!$I$54,L545=phu!$I$55,L545=phu!$I$56,L545=phu!$I$57,L545=phu!$I$58,L545=phu!$I$59,L545=phu!$I$60,L545=phu!$I$61,L545=phu!$I$62),"Cam Lợi",""),IF(OR(L545=phu!$I$63,L545=phu!$I$64,L545=phu!$I$65,L545=phu!$I$66,L545=phu!$I$67,L545=phu!$I$68,L545=phu!$I$69,L545=phu!$I$70,L545=phu!$I$71),"Ba Ngòi",""),IF(OR(L545=phu!$I$72,L545=phu!$I$73,L545=phu!$I$74,L545=phu!$I$75,L545=phu!$I$76,L545=phu!$I$77,L545=phu!$I$78),"Cam Phước Đông",""),IF(OR(L545=phu!$I$79,L545=phu!$I$80,L545=phu!$I$81,L545=phu!$I$82,L545=phu!$I$83,L545=phu!$I$84),"Cam Thịnh Đông",""),IF(OR(L545=phu!$I$85,L545=phu!$I$86,L545=phu!$I$87,L545=phu!$I$88),"Cam Thịnh Tây",""),IF(OR(L545=phu!$I$89,L545=phu!$I$90),"Cam Lập",""),IF(OR(L545=phu!$I$91,L545=phu!$I$92,L545=phu!$I$93),"Cam Bình",""),IF(OR(L545=phu!$I$94,L545=phu!$I$95,L545=phu!$I$96,L545=phu!$I$97,L545=phu!$I$98,L545=phu!$I$99,L545=phu!$I$100),"Huyện khác",""),IF(OR(L545=phu!$I$101,L545=phu!$I$102),"Tỉnh khác",""))</f>
        <v/>
      </c>
      <c r="N545" s="835" t="str">
        <f t="shared" si="44"/>
        <v/>
      </c>
      <c r="O545" s="20"/>
      <c r="P545" s="20"/>
      <c r="Q545" s="20"/>
      <c r="R545" s="20"/>
      <c r="S545" s="20"/>
      <c r="T545" s="21"/>
      <c r="U545" s="21"/>
      <c r="V545" s="21"/>
      <c r="W545" s="7" t="str">
        <f t="shared" si="42"/>
        <v/>
      </c>
      <c r="X545" s="506" t="str">
        <f t="shared" si="43"/>
        <v/>
      </c>
    </row>
    <row r="546" spans="1:24" x14ac:dyDescent="0.25">
      <c r="A546" s="66" t="str">
        <f t="shared" si="40"/>
        <v/>
      </c>
      <c r="B546" s="23" t="str">
        <f t="shared" si="41"/>
        <v/>
      </c>
      <c r="C546" s="15"/>
      <c r="D546" s="16"/>
      <c r="E546" s="17"/>
      <c r="F546" s="18"/>
      <c r="G546" s="18"/>
      <c r="H546" s="19"/>
      <c r="I546" s="15"/>
      <c r="J546" s="20"/>
      <c r="K546" s="15"/>
      <c r="L546" s="15"/>
      <c r="M546" s="531" t="str">
        <f>CONCATENATE(IF(OR(L546=phu!$I$1,L546=phu!$I$2,L546=phu!$I$3),"Cam Thành Nam",""),IF(OR(L546=phu!$I$4,L546=phu!$I$5,L546=phu!$I$6,L546=phu!$I$7,L546=phu!$I$8,L546=phu!$I$9,L546=phu!$I$10,L546=phu!$I$11,L546=phu!$I$12,L546=phu!$I$13,L546=phu!$I$14),"Cam Nghĩa",""),IF(OR(L546=phu!$I$15,L546=phu!$I$16,L546=phu!$I$17,L546=phu!$I$18,L546=phu!$I$19,L546=phu!$I$20,L546=phu!$I$21),"Cam Phúc Bắc",""),IF(OR(L546=phu!$I$22,L546=phu!$I$23,L546=phu!$I$24,L546=phu!$I$25),"Cam Phúc Nam",""),IF(OR(L546=phu!$I$26,L546=phu!$I$27,L546=phu!$I$28,L546=phu!$I$29,L546=phu!$I$30,L546=phu!$I$31),"Cam Phú",""),IF(OR(L546=phu!$I$32,L546=phu!$I$33,L546=phu!$I$34,L546=phu!$I$35,L546=phu!$I$36,L546=phu!$I$37),"Cam Lộc",""),IF(OR(L546=phu!$I$38,L546=phu!$I$39,L546=phu!$I$40,L546=phu!$I$41,L546=phu!$I$42,L546=phu!$I$43,L546=phu!$I$44),"Cam Thuận",""),IF(OR(L546=phu!$I$45,L546=phu!$I$46,L546=phu!$I$47,L546=phu!$I$48,L546=phu!$I$49,L546=phu!$I$50,L546=phu!$I$51,L546=phu!$I$52,L546=phu!$I$53),"Cam Linh",""),IF(OR(L546=phu!$I$54,L546=phu!$I$55,L546=phu!$I$56,L546=phu!$I$57,L546=phu!$I$58,L546=phu!$I$59,L546=phu!$I$60,L546=phu!$I$61,L546=phu!$I$62),"Cam Lợi",""),IF(OR(L546=phu!$I$63,L546=phu!$I$64,L546=phu!$I$65,L546=phu!$I$66,L546=phu!$I$67,L546=phu!$I$68,L546=phu!$I$69,L546=phu!$I$70,L546=phu!$I$71),"Ba Ngòi",""),IF(OR(L546=phu!$I$72,L546=phu!$I$73,L546=phu!$I$74,L546=phu!$I$75,L546=phu!$I$76,L546=phu!$I$77,L546=phu!$I$78),"Cam Phước Đông",""),IF(OR(L546=phu!$I$79,L546=phu!$I$80,L546=phu!$I$81,L546=phu!$I$82,L546=phu!$I$83,L546=phu!$I$84),"Cam Thịnh Đông",""),IF(OR(L546=phu!$I$85,L546=phu!$I$86,L546=phu!$I$87,L546=phu!$I$88),"Cam Thịnh Tây",""),IF(OR(L546=phu!$I$89,L546=phu!$I$90),"Cam Lập",""),IF(OR(L546=phu!$I$91,L546=phu!$I$92,L546=phu!$I$93),"Cam Bình",""),IF(OR(L546=phu!$I$94,L546=phu!$I$95,L546=phu!$I$96,L546=phu!$I$97,L546=phu!$I$98,L546=phu!$I$99,L546=phu!$I$100),"Huyện khác",""),IF(OR(L546=phu!$I$101,L546=phu!$I$102),"Tỉnh khác",""))</f>
        <v/>
      </c>
      <c r="N546" s="835" t="str">
        <f t="shared" si="44"/>
        <v/>
      </c>
      <c r="O546" s="20"/>
      <c r="P546" s="20"/>
      <c r="Q546" s="20"/>
      <c r="R546" s="20"/>
      <c r="S546" s="20"/>
      <c r="T546" s="21"/>
      <c r="U546" s="21"/>
      <c r="V546" s="21"/>
      <c r="W546" s="7" t="str">
        <f t="shared" si="42"/>
        <v/>
      </c>
      <c r="X546" s="506" t="str">
        <f t="shared" si="43"/>
        <v/>
      </c>
    </row>
    <row r="547" spans="1:24" x14ac:dyDescent="0.25">
      <c r="A547" s="66" t="str">
        <f t="shared" si="40"/>
        <v/>
      </c>
      <c r="B547" s="23" t="str">
        <f t="shared" si="41"/>
        <v/>
      </c>
      <c r="C547" s="15"/>
      <c r="D547" s="16"/>
      <c r="E547" s="17"/>
      <c r="F547" s="18"/>
      <c r="G547" s="18"/>
      <c r="H547" s="19"/>
      <c r="I547" s="15"/>
      <c r="J547" s="20"/>
      <c r="K547" s="15"/>
      <c r="L547" s="15"/>
      <c r="M547" s="531" t="str">
        <f>CONCATENATE(IF(OR(L547=phu!$I$1,L547=phu!$I$2,L547=phu!$I$3),"Cam Thành Nam",""),IF(OR(L547=phu!$I$4,L547=phu!$I$5,L547=phu!$I$6,L547=phu!$I$7,L547=phu!$I$8,L547=phu!$I$9,L547=phu!$I$10,L547=phu!$I$11,L547=phu!$I$12,L547=phu!$I$13,L547=phu!$I$14),"Cam Nghĩa",""),IF(OR(L547=phu!$I$15,L547=phu!$I$16,L547=phu!$I$17,L547=phu!$I$18,L547=phu!$I$19,L547=phu!$I$20,L547=phu!$I$21),"Cam Phúc Bắc",""),IF(OR(L547=phu!$I$22,L547=phu!$I$23,L547=phu!$I$24,L547=phu!$I$25),"Cam Phúc Nam",""),IF(OR(L547=phu!$I$26,L547=phu!$I$27,L547=phu!$I$28,L547=phu!$I$29,L547=phu!$I$30,L547=phu!$I$31),"Cam Phú",""),IF(OR(L547=phu!$I$32,L547=phu!$I$33,L547=phu!$I$34,L547=phu!$I$35,L547=phu!$I$36,L547=phu!$I$37),"Cam Lộc",""),IF(OR(L547=phu!$I$38,L547=phu!$I$39,L547=phu!$I$40,L547=phu!$I$41,L547=phu!$I$42,L547=phu!$I$43,L547=phu!$I$44),"Cam Thuận",""),IF(OR(L547=phu!$I$45,L547=phu!$I$46,L547=phu!$I$47,L547=phu!$I$48,L547=phu!$I$49,L547=phu!$I$50,L547=phu!$I$51,L547=phu!$I$52,L547=phu!$I$53),"Cam Linh",""),IF(OR(L547=phu!$I$54,L547=phu!$I$55,L547=phu!$I$56,L547=phu!$I$57,L547=phu!$I$58,L547=phu!$I$59,L547=phu!$I$60,L547=phu!$I$61,L547=phu!$I$62),"Cam Lợi",""),IF(OR(L547=phu!$I$63,L547=phu!$I$64,L547=phu!$I$65,L547=phu!$I$66,L547=phu!$I$67,L547=phu!$I$68,L547=phu!$I$69,L547=phu!$I$70,L547=phu!$I$71),"Ba Ngòi",""),IF(OR(L547=phu!$I$72,L547=phu!$I$73,L547=phu!$I$74,L547=phu!$I$75,L547=phu!$I$76,L547=phu!$I$77,L547=phu!$I$78),"Cam Phước Đông",""),IF(OR(L547=phu!$I$79,L547=phu!$I$80,L547=phu!$I$81,L547=phu!$I$82,L547=phu!$I$83,L547=phu!$I$84),"Cam Thịnh Đông",""),IF(OR(L547=phu!$I$85,L547=phu!$I$86,L547=phu!$I$87,L547=phu!$I$88),"Cam Thịnh Tây",""),IF(OR(L547=phu!$I$89,L547=phu!$I$90),"Cam Lập",""),IF(OR(L547=phu!$I$91,L547=phu!$I$92,L547=phu!$I$93),"Cam Bình",""),IF(OR(L547=phu!$I$94,L547=phu!$I$95,L547=phu!$I$96,L547=phu!$I$97,L547=phu!$I$98,L547=phu!$I$99,L547=phu!$I$100),"Huyện khác",""),IF(OR(L547=phu!$I$101,L547=phu!$I$102),"Tỉnh khác",""))</f>
        <v/>
      </c>
      <c r="N547" s="835" t="str">
        <f t="shared" si="44"/>
        <v/>
      </c>
      <c r="O547" s="20"/>
      <c r="P547" s="20"/>
      <c r="Q547" s="20"/>
      <c r="R547" s="20"/>
      <c r="S547" s="20"/>
      <c r="T547" s="21"/>
      <c r="U547" s="21"/>
      <c r="V547" s="21"/>
      <c r="W547" s="7" t="str">
        <f t="shared" si="42"/>
        <v/>
      </c>
      <c r="X547" s="506" t="str">
        <f t="shared" si="43"/>
        <v/>
      </c>
    </row>
    <row r="548" spans="1:24" x14ac:dyDescent="0.25">
      <c r="A548" s="66" t="str">
        <f t="shared" si="40"/>
        <v/>
      </c>
      <c r="B548" s="23" t="str">
        <f t="shared" si="41"/>
        <v/>
      </c>
      <c r="C548" s="15"/>
      <c r="D548" s="16"/>
      <c r="E548" s="17"/>
      <c r="F548" s="18"/>
      <c r="G548" s="18"/>
      <c r="H548" s="19"/>
      <c r="I548" s="15"/>
      <c r="J548" s="20"/>
      <c r="K548" s="15"/>
      <c r="L548" s="15"/>
      <c r="M548" s="531" t="str">
        <f>CONCATENATE(IF(OR(L548=phu!$I$1,L548=phu!$I$2,L548=phu!$I$3),"Cam Thành Nam",""),IF(OR(L548=phu!$I$4,L548=phu!$I$5,L548=phu!$I$6,L548=phu!$I$7,L548=phu!$I$8,L548=phu!$I$9,L548=phu!$I$10,L548=phu!$I$11,L548=phu!$I$12,L548=phu!$I$13,L548=phu!$I$14),"Cam Nghĩa",""),IF(OR(L548=phu!$I$15,L548=phu!$I$16,L548=phu!$I$17,L548=phu!$I$18,L548=phu!$I$19,L548=phu!$I$20,L548=phu!$I$21),"Cam Phúc Bắc",""),IF(OR(L548=phu!$I$22,L548=phu!$I$23,L548=phu!$I$24,L548=phu!$I$25),"Cam Phúc Nam",""),IF(OR(L548=phu!$I$26,L548=phu!$I$27,L548=phu!$I$28,L548=phu!$I$29,L548=phu!$I$30,L548=phu!$I$31),"Cam Phú",""),IF(OR(L548=phu!$I$32,L548=phu!$I$33,L548=phu!$I$34,L548=phu!$I$35,L548=phu!$I$36,L548=phu!$I$37),"Cam Lộc",""),IF(OR(L548=phu!$I$38,L548=phu!$I$39,L548=phu!$I$40,L548=phu!$I$41,L548=phu!$I$42,L548=phu!$I$43,L548=phu!$I$44),"Cam Thuận",""),IF(OR(L548=phu!$I$45,L548=phu!$I$46,L548=phu!$I$47,L548=phu!$I$48,L548=phu!$I$49,L548=phu!$I$50,L548=phu!$I$51,L548=phu!$I$52,L548=phu!$I$53),"Cam Linh",""),IF(OR(L548=phu!$I$54,L548=phu!$I$55,L548=phu!$I$56,L548=phu!$I$57,L548=phu!$I$58,L548=phu!$I$59,L548=phu!$I$60,L548=phu!$I$61,L548=phu!$I$62),"Cam Lợi",""),IF(OR(L548=phu!$I$63,L548=phu!$I$64,L548=phu!$I$65,L548=phu!$I$66,L548=phu!$I$67,L548=phu!$I$68,L548=phu!$I$69,L548=phu!$I$70,L548=phu!$I$71),"Ba Ngòi",""),IF(OR(L548=phu!$I$72,L548=phu!$I$73,L548=phu!$I$74,L548=phu!$I$75,L548=phu!$I$76,L548=phu!$I$77,L548=phu!$I$78),"Cam Phước Đông",""),IF(OR(L548=phu!$I$79,L548=phu!$I$80,L548=phu!$I$81,L548=phu!$I$82,L548=phu!$I$83,L548=phu!$I$84),"Cam Thịnh Đông",""),IF(OR(L548=phu!$I$85,L548=phu!$I$86,L548=phu!$I$87,L548=phu!$I$88),"Cam Thịnh Tây",""),IF(OR(L548=phu!$I$89,L548=phu!$I$90),"Cam Lập",""),IF(OR(L548=phu!$I$91,L548=phu!$I$92,L548=phu!$I$93),"Cam Bình",""),IF(OR(L548=phu!$I$94,L548=phu!$I$95,L548=phu!$I$96,L548=phu!$I$97,L548=phu!$I$98,L548=phu!$I$99,L548=phu!$I$100),"Huyện khác",""),IF(OR(L548=phu!$I$101,L548=phu!$I$102),"Tỉnh khác",""))</f>
        <v/>
      </c>
      <c r="N548" s="835" t="str">
        <f t="shared" si="44"/>
        <v/>
      </c>
      <c r="O548" s="20"/>
      <c r="P548" s="20"/>
      <c r="Q548" s="20"/>
      <c r="R548" s="20"/>
      <c r="S548" s="20"/>
      <c r="T548" s="21"/>
      <c r="U548" s="21"/>
      <c r="V548" s="21"/>
      <c r="W548" s="7" t="str">
        <f t="shared" si="42"/>
        <v/>
      </c>
      <c r="X548" s="506" t="str">
        <f t="shared" si="43"/>
        <v/>
      </c>
    </row>
    <row r="549" spans="1:24" x14ac:dyDescent="0.25">
      <c r="A549" s="66" t="str">
        <f t="shared" si="40"/>
        <v/>
      </c>
      <c r="B549" s="23" t="str">
        <f t="shared" si="41"/>
        <v/>
      </c>
      <c r="C549" s="15"/>
      <c r="D549" s="16"/>
      <c r="E549" s="17"/>
      <c r="F549" s="18"/>
      <c r="G549" s="18"/>
      <c r="H549" s="19"/>
      <c r="I549" s="15"/>
      <c r="J549" s="20"/>
      <c r="K549" s="15"/>
      <c r="L549" s="15"/>
      <c r="M549" s="531" t="str">
        <f>CONCATENATE(IF(OR(L549=phu!$I$1,L549=phu!$I$2,L549=phu!$I$3),"Cam Thành Nam",""),IF(OR(L549=phu!$I$4,L549=phu!$I$5,L549=phu!$I$6,L549=phu!$I$7,L549=phu!$I$8,L549=phu!$I$9,L549=phu!$I$10,L549=phu!$I$11,L549=phu!$I$12,L549=phu!$I$13,L549=phu!$I$14),"Cam Nghĩa",""),IF(OR(L549=phu!$I$15,L549=phu!$I$16,L549=phu!$I$17,L549=phu!$I$18,L549=phu!$I$19,L549=phu!$I$20,L549=phu!$I$21),"Cam Phúc Bắc",""),IF(OR(L549=phu!$I$22,L549=phu!$I$23,L549=phu!$I$24,L549=phu!$I$25),"Cam Phúc Nam",""),IF(OR(L549=phu!$I$26,L549=phu!$I$27,L549=phu!$I$28,L549=phu!$I$29,L549=phu!$I$30,L549=phu!$I$31),"Cam Phú",""),IF(OR(L549=phu!$I$32,L549=phu!$I$33,L549=phu!$I$34,L549=phu!$I$35,L549=phu!$I$36,L549=phu!$I$37),"Cam Lộc",""),IF(OR(L549=phu!$I$38,L549=phu!$I$39,L549=phu!$I$40,L549=phu!$I$41,L549=phu!$I$42,L549=phu!$I$43,L549=phu!$I$44),"Cam Thuận",""),IF(OR(L549=phu!$I$45,L549=phu!$I$46,L549=phu!$I$47,L549=phu!$I$48,L549=phu!$I$49,L549=phu!$I$50,L549=phu!$I$51,L549=phu!$I$52,L549=phu!$I$53),"Cam Linh",""),IF(OR(L549=phu!$I$54,L549=phu!$I$55,L549=phu!$I$56,L549=phu!$I$57,L549=phu!$I$58,L549=phu!$I$59,L549=phu!$I$60,L549=phu!$I$61,L549=phu!$I$62),"Cam Lợi",""),IF(OR(L549=phu!$I$63,L549=phu!$I$64,L549=phu!$I$65,L549=phu!$I$66,L549=phu!$I$67,L549=phu!$I$68,L549=phu!$I$69,L549=phu!$I$70,L549=phu!$I$71),"Ba Ngòi",""),IF(OR(L549=phu!$I$72,L549=phu!$I$73,L549=phu!$I$74,L549=phu!$I$75,L549=phu!$I$76,L549=phu!$I$77,L549=phu!$I$78),"Cam Phước Đông",""),IF(OR(L549=phu!$I$79,L549=phu!$I$80,L549=phu!$I$81,L549=phu!$I$82,L549=phu!$I$83,L549=phu!$I$84),"Cam Thịnh Đông",""),IF(OR(L549=phu!$I$85,L549=phu!$I$86,L549=phu!$I$87,L549=phu!$I$88),"Cam Thịnh Tây",""),IF(OR(L549=phu!$I$89,L549=phu!$I$90),"Cam Lập",""),IF(OR(L549=phu!$I$91,L549=phu!$I$92,L549=phu!$I$93),"Cam Bình",""),IF(OR(L549=phu!$I$94,L549=phu!$I$95,L549=phu!$I$96,L549=phu!$I$97,L549=phu!$I$98,L549=phu!$I$99,L549=phu!$I$100),"Huyện khác",""),IF(OR(L549=phu!$I$101,L549=phu!$I$102),"Tỉnh khác",""))</f>
        <v/>
      </c>
      <c r="N549" s="835" t="str">
        <f t="shared" si="44"/>
        <v/>
      </c>
      <c r="O549" s="20"/>
      <c r="P549" s="20"/>
      <c r="Q549" s="20"/>
      <c r="R549" s="20"/>
      <c r="S549" s="20"/>
      <c r="T549" s="21"/>
      <c r="U549" s="21"/>
      <c r="V549" s="21"/>
      <c r="W549" s="7" t="str">
        <f t="shared" si="42"/>
        <v/>
      </c>
      <c r="X549" s="506" t="str">
        <f t="shared" si="43"/>
        <v/>
      </c>
    </row>
    <row r="550" spans="1:24" x14ac:dyDescent="0.25">
      <c r="A550" s="66" t="str">
        <f t="shared" si="40"/>
        <v/>
      </c>
      <c r="B550" s="23" t="str">
        <f t="shared" si="41"/>
        <v/>
      </c>
      <c r="C550" s="15"/>
      <c r="D550" s="16"/>
      <c r="E550" s="17"/>
      <c r="F550" s="18"/>
      <c r="G550" s="18"/>
      <c r="H550" s="19"/>
      <c r="I550" s="15"/>
      <c r="J550" s="20"/>
      <c r="K550" s="15"/>
      <c r="L550" s="15"/>
      <c r="M550" s="531" t="str">
        <f>CONCATENATE(IF(OR(L550=phu!$I$1,L550=phu!$I$2,L550=phu!$I$3),"Cam Thành Nam",""),IF(OR(L550=phu!$I$4,L550=phu!$I$5,L550=phu!$I$6,L550=phu!$I$7,L550=phu!$I$8,L550=phu!$I$9,L550=phu!$I$10,L550=phu!$I$11,L550=phu!$I$12,L550=phu!$I$13,L550=phu!$I$14),"Cam Nghĩa",""),IF(OR(L550=phu!$I$15,L550=phu!$I$16,L550=phu!$I$17,L550=phu!$I$18,L550=phu!$I$19,L550=phu!$I$20,L550=phu!$I$21),"Cam Phúc Bắc",""),IF(OR(L550=phu!$I$22,L550=phu!$I$23,L550=phu!$I$24,L550=phu!$I$25),"Cam Phúc Nam",""),IF(OR(L550=phu!$I$26,L550=phu!$I$27,L550=phu!$I$28,L550=phu!$I$29,L550=phu!$I$30,L550=phu!$I$31),"Cam Phú",""),IF(OR(L550=phu!$I$32,L550=phu!$I$33,L550=phu!$I$34,L550=phu!$I$35,L550=phu!$I$36,L550=phu!$I$37),"Cam Lộc",""),IF(OR(L550=phu!$I$38,L550=phu!$I$39,L550=phu!$I$40,L550=phu!$I$41,L550=phu!$I$42,L550=phu!$I$43,L550=phu!$I$44),"Cam Thuận",""),IF(OR(L550=phu!$I$45,L550=phu!$I$46,L550=phu!$I$47,L550=phu!$I$48,L550=phu!$I$49,L550=phu!$I$50,L550=phu!$I$51,L550=phu!$I$52,L550=phu!$I$53),"Cam Linh",""),IF(OR(L550=phu!$I$54,L550=phu!$I$55,L550=phu!$I$56,L550=phu!$I$57,L550=phu!$I$58,L550=phu!$I$59,L550=phu!$I$60,L550=phu!$I$61,L550=phu!$I$62),"Cam Lợi",""),IF(OR(L550=phu!$I$63,L550=phu!$I$64,L550=phu!$I$65,L550=phu!$I$66,L550=phu!$I$67,L550=phu!$I$68,L550=phu!$I$69,L550=phu!$I$70,L550=phu!$I$71),"Ba Ngòi",""),IF(OR(L550=phu!$I$72,L550=phu!$I$73,L550=phu!$I$74,L550=phu!$I$75,L550=phu!$I$76,L550=phu!$I$77,L550=phu!$I$78),"Cam Phước Đông",""),IF(OR(L550=phu!$I$79,L550=phu!$I$80,L550=phu!$I$81,L550=phu!$I$82,L550=phu!$I$83,L550=phu!$I$84),"Cam Thịnh Đông",""),IF(OR(L550=phu!$I$85,L550=phu!$I$86,L550=phu!$I$87,L550=phu!$I$88),"Cam Thịnh Tây",""),IF(OR(L550=phu!$I$89,L550=phu!$I$90),"Cam Lập",""),IF(OR(L550=phu!$I$91,L550=phu!$I$92,L550=phu!$I$93),"Cam Bình",""),IF(OR(L550=phu!$I$94,L550=phu!$I$95,L550=phu!$I$96,L550=phu!$I$97,L550=phu!$I$98,L550=phu!$I$99,L550=phu!$I$100),"Huyện khác",""),IF(OR(L550=phu!$I$101,L550=phu!$I$102),"Tỉnh khác",""))</f>
        <v/>
      </c>
      <c r="N550" s="835" t="str">
        <f t="shared" si="44"/>
        <v/>
      </c>
      <c r="O550" s="20"/>
      <c r="P550" s="20"/>
      <c r="Q550" s="20"/>
      <c r="R550" s="20"/>
      <c r="S550" s="20"/>
      <c r="T550" s="21"/>
      <c r="U550" s="21"/>
      <c r="V550" s="21"/>
      <c r="W550" s="7" t="str">
        <f t="shared" si="42"/>
        <v/>
      </c>
      <c r="X550" s="506" t="str">
        <f t="shared" si="43"/>
        <v/>
      </c>
    </row>
    <row r="551" spans="1:24" x14ac:dyDescent="0.25">
      <c r="A551" s="66" t="str">
        <f t="shared" si="40"/>
        <v/>
      </c>
      <c r="B551" s="23" t="str">
        <f t="shared" si="41"/>
        <v/>
      </c>
      <c r="C551" s="15"/>
      <c r="D551" s="16"/>
      <c r="E551" s="17"/>
      <c r="F551" s="18"/>
      <c r="G551" s="18"/>
      <c r="H551" s="19"/>
      <c r="I551" s="15"/>
      <c r="J551" s="20"/>
      <c r="K551" s="15"/>
      <c r="L551" s="15"/>
      <c r="M551" s="531" t="str">
        <f>CONCATENATE(IF(OR(L551=phu!$I$1,L551=phu!$I$2,L551=phu!$I$3),"Cam Thành Nam",""),IF(OR(L551=phu!$I$4,L551=phu!$I$5,L551=phu!$I$6,L551=phu!$I$7,L551=phu!$I$8,L551=phu!$I$9,L551=phu!$I$10,L551=phu!$I$11,L551=phu!$I$12,L551=phu!$I$13,L551=phu!$I$14),"Cam Nghĩa",""),IF(OR(L551=phu!$I$15,L551=phu!$I$16,L551=phu!$I$17,L551=phu!$I$18,L551=phu!$I$19,L551=phu!$I$20,L551=phu!$I$21),"Cam Phúc Bắc",""),IF(OR(L551=phu!$I$22,L551=phu!$I$23,L551=phu!$I$24,L551=phu!$I$25),"Cam Phúc Nam",""),IF(OR(L551=phu!$I$26,L551=phu!$I$27,L551=phu!$I$28,L551=phu!$I$29,L551=phu!$I$30,L551=phu!$I$31),"Cam Phú",""),IF(OR(L551=phu!$I$32,L551=phu!$I$33,L551=phu!$I$34,L551=phu!$I$35,L551=phu!$I$36,L551=phu!$I$37),"Cam Lộc",""),IF(OR(L551=phu!$I$38,L551=phu!$I$39,L551=phu!$I$40,L551=phu!$I$41,L551=phu!$I$42,L551=phu!$I$43,L551=phu!$I$44),"Cam Thuận",""),IF(OR(L551=phu!$I$45,L551=phu!$I$46,L551=phu!$I$47,L551=phu!$I$48,L551=phu!$I$49,L551=phu!$I$50,L551=phu!$I$51,L551=phu!$I$52,L551=phu!$I$53),"Cam Linh",""),IF(OR(L551=phu!$I$54,L551=phu!$I$55,L551=phu!$I$56,L551=phu!$I$57,L551=phu!$I$58,L551=phu!$I$59,L551=phu!$I$60,L551=phu!$I$61,L551=phu!$I$62),"Cam Lợi",""),IF(OR(L551=phu!$I$63,L551=phu!$I$64,L551=phu!$I$65,L551=phu!$I$66,L551=phu!$I$67,L551=phu!$I$68,L551=phu!$I$69,L551=phu!$I$70,L551=phu!$I$71),"Ba Ngòi",""),IF(OR(L551=phu!$I$72,L551=phu!$I$73,L551=phu!$I$74,L551=phu!$I$75,L551=phu!$I$76,L551=phu!$I$77,L551=phu!$I$78),"Cam Phước Đông",""),IF(OR(L551=phu!$I$79,L551=phu!$I$80,L551=phu!$I$81,L551=phu!$I$82,L551=phu!$I$83,L551=phu!$I$84),"Cam Thịnh Đông",""),IF(OR(L551=phu!$I$85,L551=phu!$I$86,L551=phu!$I$87,L551=phu!$I$88),"Cam Thịnh Tây",""),IF(OR(L551=phu!$I$89,L551=phu!$I$90),"Cam Lập",""),IF(OR(L551=phu!$I$91,L551=phu!$I$92,L551=phu!$I$93),"Cam Bình",""),IF(OR(L551=phu!$I$94,L551=phu!$I$95,L551=phu!$I$96,L551=phu!$I$97,L551=phu!$I$98,L551=phu!$I$99,L551=phu!$I$100),"Huyện khác",""),IF(OR(L551=phu!$I$101,L551=phu!$I$102),"Tỉnh khác",""))</f>
        <v/>
      </c>
      <c r="N551" s="835" t="str">
        <f t="shared" si="44"/>
        <v/>
      </c>
      <c r="O551" s="20"/>
      <c r="P551" s="20"/>
      <c r="Q551" s="20"/>
      <c r="R551" s="20"/>
      <c r="S551" s="20"/>
      <c r="T551" s="21"/>
      <c r="U551" s="21"/>
      <c r="V551" s="21"/>
      <c r="W551" s="7" t="str">
        <f t="shared" si="42"/>
        <v/>
      </c>
      <c r="X551" s="506" t="str">
        <f t="shared" si="43"/>
        <v/>
      </c>
    </row>
    <row r="552" spans="1:24" x14ac:dyDescent="0.25">
      <c r="A552" s="66" t="str">
        <f t="shared" si="40"/>
        <v/>
      </c>
      <c r="B552" s="23" t="str">
        <f t="shared" si="41"/>
        <v/>
      </c>
      <c r="C552" s="15"/>
      <c r="D552" s="16"/>
      <c r="E552" s="17"/>
      <c r="F552" s="18"/>
      <c r="G552" s="18"/>
      <c r="H552" s="19"/>
      <c r="I552" s="15"/>
      <c r="J552" s="20"/>
      <c r="K552" s="15"/>
      <c r="L552" s="15"/>
      <c r="M552" s="531" t="str">
        <f>CONCATENATE(IF(OR(L552=phu!$I$1,L552=phu!$I$2,L552=phu!$I$3),"Cam Thành Nam",""),IF(OR(L552=phu!$I$4,L552=phu!$I$5,L552=phu!$I$6,L552=phu!$I$7,L552=phu!$I$8,L552=phu!$I$9,L552=phu!$I$10,L552=phu!$I$11,L552=phu!$I$12,L552=phu!$I$13,L552=phu!$I$14),"Cam Nghĩa",""),IF(OR(L552=phu!$I$15,L552=phu!$I$16,L552=phu!$I$17,L552=phu!$I$18,L552=phu!$I$19,L552=phu!$I$20,L552=phu!$I$21),"Cam Phúc Bắc",""),IF(OR(L552=phu!$I$22,L552=phu!$I$23,L552=phu!$I$24,L552=phu!$I$25),"Cam Phúc Nam",""),IF(OR(L552=phu!$I$26,L552=phu!$I$27,L552=phu!$I$28,L552=phu!$I$29,L552=phu!$I$30,L552=phu!$I$31),"Cam Phú",""),IF(OR(L552=phu!$I$32,L552=phu!$I$33,L552=phu!$I$34,L552=phu!$I$35,L552=phu!$I$36,L552=phu!$I$37),"Cam Lộc",""),IF(OR(L552=phu!$I$38,L552=phu!$I$39,L552=phu!$I$40,L552=phu!$I$41,L552=phu!$I$42,L552=phu!$I$43,L552=phu!$I$44),"Cam Thuận",""),IF(OR(L552=phu!$I$45,L552=phu!$I$46,L552=phu!$I$47,L552=phu!$I$48,L552=phu!$I$49,L552=phu!$I$50,L552=phu!$I$51,L552=phu!$I$52,L552=phu!$I$53),"Cam Linh",""),IF(OR(L552=phu!$I$54,L552=phu!$I$55,L552=phu!$I$56,L552=phu!$I$57,L552=phu!$I$58,L552=phu!$I$59,L552=phu!$I$60,L552=phu!$I$61,L552=phu!$I$62),"Cam Lợi",""),IF(OR(L552=phu!$I$63,L552=phu!$I$64,L552=phu!$I$65,L552=phu!$I$66,L552=phu!$I$67,L552=phu!$I$68,L552=phu!$I$69,L552=phu!$I$70,L552=phu!$I$71),"Ba Ngòi",""),IF(OR(L552=phu!$I$72,L552=phu!$I$73,L552=phu!$I$74,L552=phu!$I$75,L552=phu!$I$76,L552=phu!$I$77,L552=phu!$I$78),"Cam Phước Đông",""),IF(OR(L552=phu!$I$79,L552=phu!$I$80,L552=phu!$I$81,L552=phu!$I$82,L552=phu!$I$83,L552=phu!$I$84),"Cam Thịnh Đông",""),IF(OR(L552=phu!$I$85,L552=phu!$I$86,L552=phu!$I$87,L552=phu!$I$88),"Cam Thịnh Tây",""),IF(OR(L552=phu!$I$89,L552=phu!$I$90),"Cam Lập",""),IF(OR(L552=phu!$I$91,L552=phu!$I$92,L552=phu!$I$93),"Cam Bình",""),IF(OR(L552=phu!$I$94,L552=phu!$I$95,L552=phu!$I$96,L552=phu!$I$97,L552=phu!$I$98,L552=phu!$I$99,L552=phu!$I$100),"Huyện khác",""),IF(OR(L552=phu!$I$101,L552=phu!$I$102),"Tỉnh khác",""))</f>
        <v/>
      </c>
      <c r="N552" s="835" t="str">
        <f t="shared" si="44"/>
        <v/>
      </c>
      <c r="O552" s="20"/>
      <c r="P552" s="20"/>
      <c r="Q552" s="20"/>
      <c r="R552" s="20"/>
      <c r="S552" s="20"/>
      <c r="T552" s="21"/>
      <c r="U552" s="21"/>
      <c r="V552" s="21"/>
      <c r="W552" s="7" t="str">
        <f t="shared" si="42"/>
        <v/>
      </c>
      <c r="X552" s="506" t="str">
        <f t="shared" si="43"/>
        <v/>
      </c>
    </row>
    <row r="553" spans="1:24" x14ac:dyDescent="0.25">
      <c r="A553" s="66" t="str">
        <f t="shared" si="40"/>
        <v/>
      </c>
      <c r="B553" s="23" t="str">
        <f t="shared" si="41"/>
        <v/>
      </c>
      <c r="C553" s="15"/>
      <c r="D553" s="16"/>
      <c r="E553" s="17"/>
      <c r="F553" s="18"/>
      <c r="G553" s="18"/>
      <c r="H553" s="19"/>
      <c r="I553" s="15"/>
      <c r="J553" s="20"/>
      <c r="K553" s="15"/>
      <c r="L553" s="15"/>
      <c r="M553" s="531" t="str">
        <f>CONCATENATE(IF(OR(L553=phu!$I$1,L553=phu!$I$2,L553=phu!$I$3),"Cam Thành Nam",""),IF(OR(L553=phu!$I$4,L553=phu!$I$5,L553=phu!$I$6,L553=phu!$I$7,L553=phu!$I$8,L553=phu!$I$9,L553=phu!$I$10,L553=phu!$I$11,L553=phu!$I$12,L553=phu!$I$13,L553=phu!$I$14),"Cam Nghĩa",""),IF(OR(L553=phu!$I$15,L553=phu!$I$16,L553=phu!$I$17,L553=phu!$I$18,L553=phu!$I$19,L553=phu!$I$20,L553=phu!$I$21),"Cam Phúc Bắc",""),IF(OR(L553=phu!$I$22,L553=phu!$I$23,L553=phu!$I$24,L553=phu!$I$25),"Cam Phúc Nam",""),IF(OR(L553=phu!$I$26,L553=phu!$I$27,L553=phu!$I$28,L553=phu!$I$29,L553=phu!$I$30,L553=phu!$I$31),"Cam Phú",""),IF(OR(L553=phu!$I$32,L553=phu!$I$33,L553=phu!$I$34,L553=phu!$I$35,L553=phu!$I$36,L553=phu!$I$37),"Cam Lộc",""),IF(OR(L553=phu!$I$38,L553=phu!$I$39,L553=phu!$I$40,L553=phu!$I$41,L553=phu!$I$42,L553=phu!$I$43,L553=phu!$I$44),"Cam Thuận",""),IF(OR(L553=phu!$I$45,L553=phu!$I$46,L553=phu!$I$47,L553=phu!$I$48,L553=phu!$I$49,L553=phu!$I$50,L553=phu!$I$51,L553=phu!$I$52,L553=phu!$I$53),"Cam Linh",""),IF(OR(L553=phu!$I$54,L553=phu!$I$55,L553=phu!$I$56,L553=phu!$I$57,L553=phu!$I$58,L553=phu!$I$59,L553=phu!$I$60,L553=phu!$I$61,L553=phu!$I$62),"Cam Lợi",""),IF(OR(L553=phu!$I$63,L553=phu!$I$64,L553=phu!$I$65,L553=phu!$I$66,L553=phu!$I$67,L553=phu!$I$68,L553=phu!$I$69,L553=phu!$I$70,L553=phu!$I$71),"Ba Ngòi",""),IF(OR(L553=phu!$I$72,L553=phu!$I$73,L553=phu!$I$74,L553=phu!$I$75,L553=phu!$I$76,L553=phu!$I$77,L553=phu!$I$78),"Cam Phước Đông",""),IF(OR(L553=phu!$I$79,L553=phu!$I$80,L553=phu!$I$81,L553=phu!$I$82,L553=phu!$I$83,L553=phu!$I$84),"Cam Thịnh Đông",""),IF(OR(L553=phu!$I$85,L553=phu!$I$86,L553=phu!$I$87,L553=phu!$I$88),"Cam Thịnh Tây",""),IF(OR(L553=phu!$I$89,L553=phu!$I$90),"Cam Lập",""),IF(OR(L553=phu!$I$91,L553=phu!$I$92,L553=phu!$I$93),"Cam Bình",""),IF(OR(L553=phu!$I$94,L553=phu!$I$95,L553=phu!$I$96,L553=phu!$I$97,L553=phu!$I$98,L553=phu!$I$99,L553=phu!$I$100),"Huyện khác",""),IF(OR(L553=phu!$I$101,L553=phu!$I$102),"Tỉnh khác",""))</f>
        <v/>
      </c>
      <c r="N553" s="835" t="str">
        <f t="shared" si="44"/>
        <v/>
      </c>
      <c r="O553" s="20"/>
      <c r="P553" s="20"/>
      <c r="Q553" s="20"/>
      <c r="R553" s="20"/>
      <c r="S553" s="20"/>
      <c r="T553" s="21"/>
      <c r="U553" s="21"/>
      <c r="V553" s="21"/>
      <c r="W553" s="7" t="str">
        <f t="shared" si="42"/>
        <v/>
      </c>
      <c r="X553" s="506" t="str">
        <f t="shared" si="43"/>
        <v/>
      </c>
    </row>
    <row r="554" spans="1:24" x14ac:dyDescent="0.25">
      <c r="A554" s="66" t="str">
        <f t="shared" si="40"/>
        <v/>
      </c>
      <c r="B554" s="23" t="str">
        <f t="shared" si="41"/>
        <v/>
      </c>
      <c r="C554" s="15"/>
      <c r="D554" s="16"/>
      <c r="E554" s="17"/>
      <c r="F554" s="18"/>
      <c r="G554" s="18"/>
      <c r="H554" s="19"/>
      <c r="I554" s="15"/>
      <c r="J554" s="20"/>
      <c r="K554" s="15"/>
      <c r="L554" s="15"/>
      <c r="M554" s="531" t="str">
        <f>CONCATENATE(IF(OR(L554=phu!$I$1,L554=phu!$I$2,L554=phu!$I$3),"Cam Thành Nam",""),IF(OR(L554=phu!$I$4,L554=phu!$I$5,L554=phu!$I$6,L554=phu!$I$7,L554=phu!$I$8,L554=phu!$I$9,L554=phu!$I$10,L554=phu!$I$11,L554=phu!$I$12,L554=phu!$I$13,L554=phu!$I$14),"Cam Nghĩa",""),IF(OR(L554=phu!$I$15,L554=phu!$I$16,L554=phu!$I$17,L554=phu!$I$18,L554=phu!$I$19,L554=phu!$I$20,L554=phu!$I$21),"Cam Phúc Bắc",""),IF(OR(L554=phu!$I$22,L554=phu!$I$23,L554=phu!$I$24,L554=phu!$I$25),"Cam Phúc Nam",""),IF(OR(L554=phu!$I$26,L554=phu!$I$27,L554=phu!$I$28,L554=phu!$I$29,L554=phu!$I$30,L554=phu!$I$31),"Cam Phú",""),IF(OR(L554=phu!$I$32,L554=phu!$I$33,L554=phu!$I$34,L554=phu!$I$35,L554=phu!$I$36,L554=phu!$I$37),"Cam Lộc",""),IF(OR(L554=phu!$I$38,L554=phu!$I$39,L554=phu!$I$40,L554=phu!$I$41,L554=phu!$I$42,L554=phu!$I$43,L554=phu!$I$44),"Cam Thuận",""),IF(OR(L554=phu!$I$45,L554=phu!$I$46,L554=phu!$I$47,L554=phu!$I$48,L554=phu!$I$49,L554=phu!$I$50,L554=phu!$I$51,L554=phu!$I$52,L554=phu!$I$53),"Cam Linh",""),IF(OR(L554=phu!$I$54,L554=phu!$I$55,L554=phu!$I$56,L554=phu!$I$57,L554=phu!$I$58,L554=phu!$I$59,L554=phu!$I$60,L554=phu!$I$61,L554=phu!$I$62),"Cam Lợi",""),IF(OR(L554=phu!$I$63,L554=phu!$I$64,L554=phu!$I$65,L554=phu!$I$66,L554=phu!$I$67,L554=phu!$I$68,L554=phu!$I$69,L554=phu!$I$70,L554=phu!$I$71),"Ba Ngòi",""),IF(OR(L554=phu!$I$72,L554=phu!$I$73,L554=phu!$I$74,L554=phu!$I$75,L554=phu!$I$76,L554=phu!$I$77,L554=phu!$I$78),"Cam Phước Đông",""),IF(OR(L554=phu!$I$79,L554=phu!$I$80,L554=phu!$I$81,L554=phu!$I$82,L554=phu!$I$83,L554=phu!$I$84),"Cam Thịnh Đông",""),IF(OR(L554=phu!$I$85,L554=phu!$I$86,L554=phu!$I$87,L554=phu!$I$88),"Cam Thịnh Tây",""),IF(OR(L554=phu!$I$89,L554=phu!$I$90),"Cam Lập",""),IF(OR(L554=phu!$I$91,L554=phu!$I$92,L554=phu!$I$93),"Cam Bình",""),IF(OR(L554=phu!$I$94,L554=phu!$I$95,L554=phu!$I$96,L554=phu!$I$97,L554=phu!$I$98,L554=phu!$I$99,L554=phu!$I$100),"Huyện khác",""),IF(OR(L554=phu!$I$101,L554=phu!$I$102),"Tỉnh khác",""))</f>
        <v/>
      </c>
      <c r="N554" s="835" t="str">
        <f t="shared" si="44"/>
        <v/>
      </c>
      <c r="O554" s="20"/>
      <c r="P554" s="20"/>
      <c r="Q554" s="20"/>
      <c r="R554" s="20"/>
      <c r="S554" s="20"/>
      <c r="T554" s="21"/>
      <c r="U554" s="21"/>
      <c r="V554" s="21"/>
      <c r="W554" s="7" t="str">
        <f t="shared" si="42"/>
        <v/>
      </c>
      <c r="X554" s="506" t="str">
        <f t="shared" si="43"/>
        <v/>
      </c>
    </row>
    <row r="555" spans="1:24" x14ac:dyDescent="0.25">
      <c r="A555" s="66" t="str">
        <f t="shared" si="40"/>
        <v/>
      </c>
      <c r="B555" s="23" t="str">
        <f t="shared" si="41"/>
        <v/>
      </c>
      <c r="C555" s="15"/>
      <c r="D555" s="16"/>
      <c r="E555" s="17"/>
      <c r="F555" s="18"/>
      <c r="G555" s="18"/>
      <c r="H555" s="19"/>
      <c r="I555" s="15"/>
      <c r="J555" s="20"/>
      <c r="K555" s="15"/>
      <c r="L555" s="15"/>
      <c r="M555" s="531" t="str">
        <f>CONCATENATE(IF(OR(L555=phu!$I$1,L555=phu!$I$2,L555=phu!$I$3),"Cam Thành Nam",""),IF(OR(L555=phu!$I$4,L555=phu!$I$5,L555=phu!$I$6,L555=phu!$I$7,L555=phu!$I$8,L555=phu!$I$9,L555=phu!$I$10,L555=phu!$I$11,L555=phu!$I$12,L555=phu!$I$13,L555=phu!$I$14),"Cam Nghĩa",""),IF(OR(L555=phu!$I$15,L555=phu!$I$16,L555=phu!$I$17,L555=phu!$I$18,L555=phu!$I$19,L555=phu!$I$20,L555=phu!$I$21),"Cam Phúc Bắc",""),IF(OR(L555=phu!$I$22,L555=phu!$I$23,L555=phu!$I$24,L555=phu!$I$25),"Cam Phúc Nam",""),IF(OR(L555=phu!$I$26,L555=phu!$I$27,L555=phu!$I$28,L555=phu!$I$29,L555=phu!$I$30,L555=phu!$I$31),"Cam Phú",""),IF(OR(L555=phu!$I$32,L555=phu!$I$33,L555=phu!$I$34,L555=phu!$I$35,L555=phu!$I$36,L555=phu!$I$37),"Cam Lộc",""),IF(OR(L555=phu!$I$38,L555=phu!$I$39,L555=phu!$I$40,L555=phu!$I$41,L555=phu!$I$42,L555=phu!$I$43,L555=phu!$I$44),"Cam Thuận",""),IF(OR(L555=phu!$I$45,L555=phu!$I$46,L555=phu!$I$47,L555=phu!$I$48,L555=phu!$I$49,L555=phu!$I$50,L555=phu!$I$51,L555=phu!$I$52,L555=phu!$I$53),"Cam Linh",""),IF(OR(L555=phu!$I$54,L555=phu!$I$55,L555=phu!$I$56,L555=phu!$I$57,L555=phu!$I$58,L555=phu!$I$59,L555=phu!$I$60,L555=phu!$I$61,L555=phu!$I$62),"Cam Lợi",""),IF(OR(L555=phu!$I$63,L555=phu!$I$64,L555=phu!$I$65,L555=phu!$I$66,L555=phu!$I$67,L555=phu!$I$68,L555=phu!$I$69,L555=phu!$I$70,L555=phu!$I$71),"Ba Ngòi",""),IF(OR(L555=phu!$I$72,L555=phu!$I$73,L555=phu!$I$74,L555=phu!$I$75,L555=phu!$I$76,L555=phu!$I$77,L555=phu!$I$78),"Cam Phước Đông",""),IF(OR(L555=phu!$I$79,L555=phu!$I$80,L555=phu!$I$81,L555=phu!$I$82,L555=phu!$I$83,L555=phu!$I$84),"Cam Thịnh Đông",""),IF(OR(L555=phu!$I$85,L555=phu!$I$86,L555=phu!$I$87,L555=phu!$I$88),"Cam Thịnh Tây",""),IF(OR(L555=phu!$I$89,L555=phu!$I$90),"Cam Lập",""),IF(OR(L555=phu!$I$91,L555=phu!$I$92,L555=phu!$I$93),"Cam Bình",""),IF(OR(L555=phu!$I$94,L555=phu!$I$95,L555=phu!$I$96,L555=phu!$I$97,L555=phu!$I$98,L555=phu!$I$99,L555=phu!$I$100),"Huyện khác",""),IF(OR(L555=phu!$I$101,L555=phu!$I$102),"Tỉnh khác",""))</f>
        <v/>
      </c>
      <c r="N555" s="835" t="str">
        <f t="shared" si="44"/>
        <v/>
      </c>
      <c r="O555" s="20"/>
      <c r="P555" s="20"/>
      <c r="Q555" s="20"/>
      <c r="R555" s="20"/>
      <c r="S555" s="20"/>
      <c r="T555" s="21"/>
      <c r="U555" s="21"/>
      <c r="V555" s="21"/>
      <c r="W555" s="7" t="str">
        <f t="shared" si="42"/>
        <v/>
      </c>
      <c r="X555" s="506" t="str">
        <f t="shared" si="43"/>
        <v/>
      </c>
    </row>
    <row r="556" spans="1:24" x14ac:dyDescent="0.25">
      <c r="A556" s="66" t="str">
        <f t="shared" si="40"/>
        <v/>
      </c>
      <c r="B556" s="23" t="str">
        <f t="shared" si="41"/>
        <v/>
      </c>
      <c r="C556" s="15"/>
      <c r="D556" s="16"/>
      <c r="E556" s="17"/>
      <c r="F556" s="18"/>
      <c r="G556" s="18"/>
      <c r="H556" s="19"/>
      <c r="I556" s="15"/>
      <c r="J556" s="20"/>
      <c r="K556" s="15"/>
      <c r="L556" s="15"/>
      <c r="M556" s="531" t="str">
        <f>CONCATENATE(IF(OR(L556=phu!$I$1,L556=phu!$I$2,L556=phu!$I$3),"Cam Thành Nam",""),IF(OR(L556=phu!$I$4,L556=phu!$I$5,L556=phu!$I$6,L556=phu!$I$7,L556=phu!$I$8,L556=phu!$I$9,L556=phu!$I$10,L556=phu!$I$11,L556=phu!$I$12,L556=phu!$I$13,L556=phu!$I$14),"Cam Nghĩa",""),IF(OR(L556=phu!$I$15,L556=phu!$I$16,L556=phu!$I$17,L556=phu!$I$18,L556=phu!$I$19,L556=phu!$I$20,L556=phu!$I$21),"Cam Phúc Bắc",""),IF(OR(L556=phu!$I$22,L556=phu!$I$23,L556=phu!$I$24,L556=phu!$I$25),"Cam Phúc Nam",""),IF(OR(L556=phu!$I$26,L556=phu!$I$27,L556=phu!$I$28,L556=phu!$I$29,L556=phu!$I$30,L556=phu!$I$31),"Cam Phú",""),IF(OR(L556=phu!$I$32,L556=phu!$I$33,L556=phu!$I$34,L556=phu!$I$35,L556=phu!$I$36,L556=phu!$I$37),"Cam Lộc",""),IF(OR(L556=phu!$I$38,L556=phu!$I$39,L556=phu!$I$40,L556=phu!$I$41,L556=phu!$I$42,L556=phu!$I$43,L556=phu!$I$44),"Cam Thuận",""),IF(OR(L556=phu!$I$45,L556=phu!$I$46,L556=phu!$I$47,L556=phu!$I$48,L556=phu!$I$49,L556=phu!$I$50,L556=phu!$I$51,L556=phu!$I$52,L556=phu!$I$53),"Cam Linh",""),IF(OR(L556=phu!$I$54,L556=phu!$I$55,L556=phu!$I$56,L556=phu!$I$57,L556=phu!$I$58,L556=phu!$I$59,L556=phu!$I$60,L556=phu!$I$61,L556=phu!$I$62),"Cam Lợi",""),IF(OR(L556=phu!$I$63,L556=phu!$I$64,L556=phu!$I$65,L556=phu!$I$66,L556=phu!$I$67,L556=phu!$I$68,L556=phu!$I$69,L556=phu!$I$70,L556=phu!$I$71),"Ba Ngòi",""),IF(OR(L556=phu!$I$72,L556=phu!$I$73,L556=phu!$I$74,L556=phu!$I$75,L556=phu!$I$76,L556=phu!$I$77,L556=phu!$I$78),"Cam Phước Đông",""),IF(OR(L556=phu!$I$79,L556=phu!$I$80,L556=phu!$I$81,L556=phu!$I$82,L556=phu!$I$83,L556=phu!$I$84),"Cam Thịnh Đông",""),IF(OR(L556=phu!$I$85,L556=phu!$I$86,L556=phu!$I$87,L556=phu!$I$88),"Cam Thịnh Tây",""),IF(OR(L556=phu!$I$89,L556=phu!$I$90),"Cam Lập",""),IF(OR(L556=phu!$I$91,L556=phu!$I$92,L556=phu!$I$93),"Cam Bình",""),IF(OR(L556=phu!$I$94,L556=phu!$I$95,L556=phu!$I$96,L556=phu!$I$97,L556=phu!$I$98,L556=phu!$I$99,L556=phu!$I$100),"Huyện khác",""),IF(OR(L556=phu!$I$101,L556=phu!$I$102),"Tỉnh khác",""))</f>
        <v/>
      </c>
      <c r="N556" s="835" t="str">
        <f t="shared" si="44"/>
        <v/>
      </c>
      <c r="O556" s="20"/>
      <c r="P556" s="20"/>
      <c r="Q556" s="20"/>
      <c r="R556" s="20"/>
      <c r="S556" s="20"/>
      <c r="T556" s="21"/>
      <c r="U556" s="21"/>
      <c r="V556" s="21"/>
      <c r="W556" s="7" t="str">
        <f t="shared" si="42"/>
        <v/>
      </c>
      <c r="X556" s="506" t="str">
        <f t="shared" si="43"/>
        <v/>
      </c>
    </row>
    <row r="557" spans="1:24" x14ac:dyDescent="0.25">
      <c r="A557" s="66" t="str">
        <f t="shared" si="40"/>
        <v/>
      </c>
      <c r="B557" s="23" t="str">
        <f t="shared" si="41"/>
        <v/>
      </c>
      <c r="C557" s="15"/>
      <c r="D557" s="16"/>
      <c r="E557" s="17"/>
      <c r="F557" s="18"/>
      <c r="G557" s="18"/>
      <c r="H557" s="19"/>
      <c r="I557" s="15"/>
      <c r="J557" s="20"/>
      <c r="K557" s="15"/>
      <c r="L557" s="15"/>
      <c r="M557" s="531" t="str">
        <f>CONCATENATE(IF(OR(L557=phu!$I$1,L557=phu!$I$2,L557=phu!$I$3),"Cam Thành Nam",""),IF(OR(L557=phu!$I$4,L557=phu!$I$5,L557=phu!$I$6,L557=phu!$I$7,L557=phu!$I$8,L557=phu!$I$9,L557=phu!$I$10,L557=phu!$I$11,L557=phu!$I$12,L557=phu!$I$13,L557=phu!$I$14),"Cam Nghĩa",""),IF(OR(L557=phu!$I$15,L557=phu!$I$16,L557=phu!$I$17,L557=phu!$I$18,L557=phu!$I$19,L557=phu!$I$20,L557=phu!$I$21),"Cam Phúc Bắc",""),IF(OR(L557=phu!$I$22,L557=phu!$I$23,L557=phu!$I$24,L557=phu!$I$25),"Cam Phúc Nam",""),IF(OR(L557=phu!$I$26,L557=phu!$I$27,L557=phu!$I$28,L557=phu!$I$29,L557=phu!$I$30,L557=phu!$I$31),"Cam Phú",""),IF(OR(L557=phu!$I$32,L557=phu!$I$33,L557=phu!$I$34,L557=phu!$I$35,L557=phu!$I$36,L557=phu!$I$37),"Cam Lộc",""),IF(OR(L557=phu!$I$38,L557=phu!$I$39,L557=phu!$I$40,L557=phu!$I$41,L557=phu!$I$42,L557=phu!$I$43,L557=phu!$I$44),"Cam Thuận",""),IF(OR(L557=phu!$I$45,L557=phu!$I$46,L557=phu!$I$47,L557=phu!$I$48,L557=phu!$I$49,L557=phu!$I$50,L557=phu!$I$51,L557=phu!$I$52,L557=phu!$I$53),"Cam Linh",""),IF(OR(L557=phu!$I$54,L557=phu!$I$55,L557=phu!$I$56,L557=phu!$I$57,L557=phu!$I$58,L557=phu!$I$59,L557=phu!$I$60,L557=phu!$I$61,L557=phu!$I$62),"Cam Lợi",""),IF(OR(L557=phu!$I$63,L557=phu!$I$64,L557=phu!$I$65,L557=phu!$I$66,L557=phu!$I$67,L557=phu!$I$68,L557=phu!$I$69,L557=phu!$I$70,L557=phu!$I$71),"Ba Ngòi",""),IF(OR(L557=phu!$I$72,L557=phu!$I$73,L557=phu!$I$74,L557=phu!$I$75,L557=phu!$I$76,L557=phu!$I$77,L557=phu!$I$78),"Cam Phước Đông",""),IF(OR(L557=phu!$I$79,L557=phu!$I$80,L557=phu!$I$81,L557=phu!$I$82,L557=phu!$I$83,L557=phu!$I$84),"Cam Thịnh Đông",""),IF(OR(L557=phu!$I$85,L557=phu!$I$86,L557=phu!$I$87,L557=phu!$I$88),"Cam Thịnh Tây",""),IF(OR(L557=phu!$I$89,L557=phu!$I$90),"Cam Lập",""),IF(OR(L557=phu!$I$91,L557=phu!$I$92,L557=phu!$I$93),"Cam Bình",""),IF(OR(L557=phu!$I$94,L557=phu!$I$95,L557=phu!$I$96,L557=phu!$I$97,L557=phu!$I$98,L557=phu!$I$99,L557=phu!$I$100),"Huyện khác",""),IF(OR(L557=phu!$I$101,L557=phu!$I$102),"Tỉnh khác",""))</f>
        <v/>
      </c>
      <c r="N557" s="835" t="str">
        <f t="shared" si="44"/>
        <v/>
      </c>
      <c r="O557" s="20"/>
      <c r="P557" s="20"/>
      <c r="Q557" s="20"/>
      <c r="R557" s="20"/>
      <c r="S557" s="20"/>
      <c r="T557" s="21"/>
      <c r="U557" s="21"/>
      <c r="V557" s="21"/>
      <c r="W557" s="7" t="str">
        <f t="shared" si="42"/>
        <v/>
      </c>
      <c r="X557" s="506" t="str">
        <f t="shared" si="43"/>
        <v/>
      </c>
    </row>
    <row r="558" spans="1:24" x14ac:dyDescent="0.25">
      <c r="A558" s="66" t="str">
        <f t="shared" si="40"/>
        <v/>
      </c>
      <c r="B558" s="23" t="str">
        <f t="shared" si="41"/>
        <v/>
      </c>
      <c r="C558" s="15"/>
      <c r="D558" s="16"/>
      <c r="E558" s="17"/>
      <c r="F558" s="18"/>
      <c r="G558" s="18"/>
      <c r="H558" s="19"/>
      <c r="I558" s="15"/>
      <c r="J558" s="20"/>
      <c r="K558" s="15"/>
      <c r="L558" s="15"/>
      <c r="M558" s="531" t="str">
        <f>CONCATENATE(IF(OR(L558=phu!$I$1,L558=phu!$I$2,L558=phu!$I$3),"Cam Thành Nam",""),IF(OR(L558=phu!$I$4,L558=phu!$I$5,L558=phu!$I$6,L558=phu!$I$7,L558=phu!$I$8,L558=phu!$I$9,L558=phu!$I$10,L558=phu!$I$11,L558=phu!$I$12,L558=phu!$I$13,L558=phu!$I$14),"Cam Nghĩa",""),IF(OR(L558=phu!$I$15,L558=phu!$I$16,L558=phu!$I$17,L558=phu!$I$18,L558=phu!$I$19,L558=phu!$I$20,L558=phu!$I$21),"Cam Phúc Bắc",""),IF(OR(L558=phu!$I$22,L558=phu!$I$23,L558=phu!$I$24,L558=phu!$I$25),"Cam Phúc Nam",""),IF(OR(L558=phu!$I$26,L558=phu!$I$27,L558=phu!$I$28,L558=phu!$I$29,L558=phu!$I$30,L558=phu!$I$31),"Cam Phú",""),IF(OR(L558=phu!$I$32,L558=phu!$I$33,L558=phu!$I$34,L558=phu!$I$35,L558=phu!$I$36,L558=phu!$I$37),"Cam Lộc",""),IF(OR(L558=phu!$I$38,L558=phu!$I$39,L558=phu!$I$40,L558=phu!$I$41,L558=phu!$I$42,L558=phu!$I$43,L558=phu!$I$44),"Cam Thuận",""),IF(OR(L558=phu!$I$45,L558=phu!$I$46,L558=phu!$I$47,L558=phu!$I$48,L558=phu!$I$49,L558=phu!$I$50,L558=phu!$I$51,L558=phu!$I$52,L558=phu!$I$53),"Cam Linh",""),IF(OR(L558=phu!$I$54,L558=phu!$I$55,L558=phu!$I$56,L558=phu!$I$57,L558=phu!$I$58,L558=phu!$I$59,L558=phu!$I$60,L558=phu!$I$61,L558=phu!$I$62),"Cam Lợi",""),IF(OR(L558=phu!$I$63,L558=phu!$I$64,L558=phu!$I$65,L558=phu!$I$66,L558=phu!$I$67,L558=phu!$I$68,L558=phu!$I$69,L558=phu!$I$70,L558=phu!$I$71),"Ba Ngòi",""),IF(OR(L558=phu!$I$72,L558=phu!$I$73,L558=phu!$I$74,L558=phu!$I$75,L558=phu!$I$76,L558=phu!$I$77,L558=phu!$I$78),"Cam Phước Đông",""),IF(OR(L558=phu!$I$79,L558=phu!$I$80,L558=phu!$I$81,L558=phu!$I$82,L558=phu!$I$83,L558=phu!$I$84),"Cam Thịnh Đông",""),IF(OR(L558=phu!$I$85,L558=phu!$I$86,L558=phu!$I$87,L558=phu!$I$88),"Cam Thịnh Tây",""),IF(OR(L558=phu!$I$89,L558=phu!$I$90),"Cam Lập",""),IF(OR(L558=phu!$I$91,L558=phu!$I$92,L558=phu!$I$93),"Cam Bình",""),IF(OR(L558=phu!$I$94,L558=phu!$I$95,L558=phu!$I$96,L558=phu!$I$97,L558=phu!$I$98,L558=phu!$I$99,L558=phu!$I$100),"Huyện khác",""),IF(OR(L558=phu!$I$101,L558=phu!$I$102),"Tỉnh khác",""))</f>
        <v/>
      </c>
      <c r="N558" s="835" t="str">
        <f t="shared" si="44"/>
        <v/>
      </c>
      <c r="O558" s="20"/>
      <c r="P558" s="20"/>
      <c r="Q558" s="20"/>
      <c r="R558" s="20"/>
      <c r="S558" s="20"/>
      <c r="T558" s="21"/>
      <c r="U558" s="21"/>
      <c r="V558" s="21"/>
      <c r="W558" s="7" t="str">
        <f t="shared" si="42"/>
        <v/>
      </c>
      <c r="X558" s="506" t="str">
        <f t="shared" si="43"/>
        <v/>
      </c>
    </row>
    <row r="559" spans="1:24" x14ac:dyDescent="0.25">
      <c r="A559" s="66" t="str">
        <f t="shared" si="40"/>
        <v/>
      </c>
      <c r="B559" s="23" t="str">
        <f t="shared" si="41"/>
        <v/>
      </c>
      <c r="C559" s="15"/>
      <c r="D559" s="16"/>
      <c r="E559" s="17"/>
      <c r="F559" s="18"/>
      <c r="G559" s="18"/>
      <c r="H559" s="19"/>
      <c r="I559" s="15"/>
      <c r="J559" s="20"/>
      <c r="K559" s="15"/>
      <c r="L559" s="15"/>
      <c r="M559" s="531" t="str">
        <f>CONCATENATE(IF(OR(L559=phu!$I$1,L559=phu!$I$2,L559=phu!$I$3),"Cam Thành Nam",""),IF(OR(L559=phu!$I$4,L559=phu!$I$5,L559=phu!$I$6,L559=phu!$I$7,L559=phu!$I$8,L559=phu!$I$9,L559=phu!$I$10,L559=phu!$I$11,L559=phu!$I$12,L559=phu!$I$13,L559=phu!$I$14),"Cam Nghĩa",""),IF(OR(L559=phu!$I$15,L559=phu!$I$16,L559=phu!$I$17,L559=phu!$I$18,L559=phu!$I$19,L559=phu!$I$20,L559=phu!$I$21),"Cam Phúc Bắc",""),IF(OR(L559=phu!$I$22,L559=phu!$I$23,L559=phu!$I$24,L559=phu!$I$25),"Cam Phúc Nam",""),IF(OR(L559=phu!$I$26,L559=phu!$I$27,L559=phu!$I$28,L559=phu!$I$29,L559=phu!$I$30,L559=phu!$I$31),"Cam Phú",""),IF(OR(L559=phu!$I$32,L559=phu!$I$33,L559=phu!$I$34,L559=phu!$I$35,L559=phu!$I$36,L559=phu!$I$37),"Cam Lộc",""),IF(OR(L559=phu!$I$38,L559=phu!$I$39,L559=phu!$I$40,L559=phu!$I$41,L559=phu!$I$42,L559=phu!$I$43,L559=phu!$I$44),"Cam Thuận",""),IF(OR(L559=phu!$I$45,L559=phu!$I$46,L559=phu!$I$47,L559=phu!$I$48,L559=phu!$I$49,L559=phu!$I$50,L559=phu!$I$51,L559=phu!$I$52,L559=phu!$I$53),"Cam Linh",""),IF(OR(L559=phu!$I$54,L559=phu!$I$55,L559=phu!$I$56,L559=phu!$I$57,L559=phu!$I$58,L559=phu!$I$59,L559=phu!$I$60,L559=phu!$I$61,L559=phu!$I$62),"Cam Lợi",""),IF(OR(L559=phu!$I$63,L559=phu!$I$64,L559=phu!$I$65,L559=phu!$I$66,L559=phu!$I$67,L559=phu!$I$68,L559=phu!$I$69,L559=phu!$I$70,L559=phu!$I$71),"Ba Ngòi",""),IF(OR(L559=phu!$I$72,L559=phu!$I$73,L559=phu!$I$74,L559=phu!$I$75,L559=phu!$I$76,L559=phu!$I$77,L559=phu!$I$78),"Cam Phước Đông",""),IF(OR(L559=phu!$I$79,L559=phu!$I$80,L559=phu!$I$81,L559=phu!$I$82,L559=phu!$I$83,L559=phu!$I$84),"Cam Thịnh Đông",""),IF(OR(L559=phu!$I$85,L559=phu!$I$86,L559=phu!$I$87,L559=phu!$I$88),"Cam Thịnh Tây",""),IF(OR(L559=phu!$I$89,L559=phu!$I$90),"Cam Lập",""),IF(OR(L559=phu!$I$91,L559=phu!$I$92,L559=phu!$I$93),"Cam Bình",""),IF(OR(L559=phu!$I$94,L559=phu!$I$95,L559=phu!$I$96,L559=phu!$I$97,L559=phu!$I$98,L559=phu!$I$99,L559=phu!$I$100),"Huyện khác",""),IF(OR(L559=phu!$I$101,L559=phu!$I$102),"Tỉnh khác",""))</f>
        <v/>
      </c>
      <c r="N559" s="835" t="str">
        <f t="shared" si="44"/>
        <v/>
      </c>
      <c r="O559" s="20"/>
      <c r="P559" s="20"/>
      <c r="Q559" s="20"/>
      <c r="R559" s="20"/>
      <c r="S559" s="20"/>
      <c r="T559" s="21"/>
      <c r="U559" s="21"/>
      <c r="V559" s="21"/>
      <c r="W559" s="7" t="str">
        <f t="shared" si="42"/>
        <v/>
      </c>
      <c r="X559" s="506" t="str">
        <f t="shared" si="43"/>
        <v/>
      </c>
    </row>
    <row r="560" spans="1:24" x14ac:dyDescent="0.25">
      <c r="A560" s="66" t="str">
        <f t="shared" si="40"/>
        <v/>
      </c>
      <c r="B560" s="23" t="str">
        <f t="shared" si="41"/>
        <v/>
      </c>
      <c r="C560" s="15"/>
      <c r="D560" s="16"/>
      <c r="E560" s="17"/>
      <c r="F560" s="18"/>
      <c r="G560" s="18"/>
      <c r="H560" s="19"/>
      <c r="I560" s="15"/>
      <c r="J560" s="20"/>
      <c r="K560" s="15"/>
      <c r="L560" s="15"/>
      <c r="M560" s="531" t="str">
        <f>CONCATENATE(IF(OR(L560=phu!$I$1,L560=phu!$I$2,L560=phu!$I$3),"Cam Thành Nam",""),IF(OR(L560=phu!$I$4,L560=phu!$I$5,L560=phu!$I$6,L560=phu!$I$7,L560=phu!$I$8,L560=phu!$I$9,L560=phu!$I$10,L560=phu!$I$11,L560=phu!$I$12,L560=phu!$I$13,L560=phu!$I$14),"Cam Nghĩa",""),IF(OR(L560=phu!$I$15,L560=phu!$I$16,L560=phu!$I$17,L560=phu!$I$18,L560=phu!$I$19,L560=phu!$I$20,L560=phu!$I$21),"Cam Phúc Bắc",""),IF(OR(L560=phu!$I$22,L560=phu!$I$23,L560=phu!$I$24,L560=phu!$I$25),"Cam Phúc Nam",""),IF(OR(L560=phu!$I$26,L560=phu!$I$27,L560=phu!$I$28,L560=phu!$I$29,L560=phu!$I$30,L560=phu!$I$31),"Cam Phú",""),IF(OR(L560=phu!$I$32,L560=phu!$I$33,L560=phu!$I$34,L560=phu!$I$35,L560=phu!$I$36,L560=phu!$I$37),"Cam Lộc",""),IF(OR(L560=phu!$I$38,L560=phu!$I$39,L560=phu!$I$40,L560=phu!$I$41,L560=phu!$I$42,L560=phu!$I$43,L560=phu!$I$44),"Cam Thuận",""),IF(OR(L560=phu!$I$45,L560=phu!$I$46,L560=phu!$I$47,L560=phu!$I$48,L560=phu!$I$49,L560=phu!$I$50,L560=phu!$I$51,L560=phu!$I$52,L560=phu!$I$53),"Cam Linh",""),IF(OR(L560=phu!$I$54,L560=phu!$I$55,L560=phu!$I$56,L560=phu!$I$57,L560=phu!$I$58,L560=phu!$I$59,L560=phu!$I$60,L560=phu!$I$61,L560=phu!$I$62),"Cam Lợi",""),IF(OR(L560=phu!$I$63,L560=phu!$I$64,L560=phu!$I$65,L560=phu!$I$66,L560=phu!$I$67,L560=phu!$I$68,L560=phu!$I$69,L560=phu!$I$70,L560=phu!$I$71),"Ba Ngòi",""),IF(OR(L560=phu!$I$72,L560=phu!$I$73,L560=phu!$I$74,L560=phu!$I$75,L560=phu!$I$76,L560=phu!$I$77,L560=phu!$I$78),"Cam Phước Đông",""),IF(OR(L560=phu!$I$79,L560=phu!$I$80,L560=phu!$I$81,L560=phu!$I$82,L560=phu!$I$83,L560=phu!$I$84),"Cam Thịnh Đông",""),IF(OR(L560=phu!$I$85,L560=phu!$I$86,L560=phu!$I$87,L560=phu!$I$88),"Cam Thịnh Tây",""),IF(OR(L560=phu!$I$89,L560=phu!$I$90),"Cam Lập",""),IF(OR(L560=phu!$I$91,L560=phu!$I$92,L560=phu!$I$93),"Cam Bình",""),IF(OR(L560=phu!$I$94,L560=phu!$I$95,L560=phu!$I$96,L560=phu!$I$97,L560=phu!$I$98,L560=phu!$I$99,L560=phu!$I$100),"Huyện khác",""),IF(OR(L560=phu!$I$101,L560=phu!$I$102),"Tỉnh khác",""))</f>
        <v/>
      </c>
      <c r="N560" s="835" t="str">
        <f t="shared" si="44"/>
        <v/>
      </c>
      <c r="O560" s="20"/>
      <c r="P560" s="20"/>
      <c r="Q560" s="20"/>
      <c r="R560" s="20"/>
      <c r="S560" s="20"/>
      <c r="T560" s="21"/>
      <c r="U560" s="21"/>
      <c r="V560" s="21"/>
      <c r="W560" s="7" t="str">
        <f t="shared" si="42"/>
        <v/>
      </c>
      <c r="X560" s="506" t="str">
        <f t="shared" si="43"/>
        <v/>
      </c>
    </row>
    <row r="561" spans="1:24" x14ac:dyDescent="0.25">
      <c r="A561" s="66" t="str">
        <f t="shared" si="40"/>
        <v/>
      </c>
      <c r="B561" s="23" t="str">
        <f t="shared" si="41"/>
        <v/>
      </c>
      <c r="C561" s="15"/>
      <c r="D561" s="16"/>
      <c r="E561" s="17"/>
      <c r="F561" s="18"/>
      <c r="G561" s="18"/>
      <c r="H561" s="19"/>
      <c r="I561" s="15"/>
      <c r="J561" s="20"/>
      <c r="K561" s="15"/>
      <c r="L561" s="15"/>
      <c r="M561" s="531" t="str">
        <f>CONCATENATE(IF(OR(L561=phu!$I$1,L561=phu!$I$2,L561=phu!$I$3),"Cam Thành Nam",""),IF(OR(L561=phu!$I$4,L561=phu!$I$5,L561=phu!$I$6,L561=phu!$I$7,L561=phu!$I$8,L561=phu!$I$9,L561=phu!$I$10,L561=phu!$I$11,L561=phu!$I$12,L561=phu!$I$13,L561=phu!$I$14),"Cam Nghĩa",""),IF(OR(L561=phu!$I$15,L561=phu!$I$16,L561=phu!$I$17,L561=phu!$I$18,L561=phu!$I$19,L561=phu!$I$20,L561=phu!$I$21),"Cam Phúc Bắc",""),IF(OR(L561=phu!$I$22,L561=phu!$I$23,L561=phu!$I$24,L561=phu!$I$25),"Cam Phúc Nam",""),IF(OR(L561=phu!$I$26,L561=phu!$I$27,L561=phu!$I$28,L561=phu!$I$29,L561=phu!$I$30,L561=phu!$I$31),"Cam Phú",""),IF(OR(L561=phu!$I$32,L561=phu!$I$33,L561=phu!$I$34,L561=phu!$I$35,L561=phu!$I$36,L561=phu!$I$37),"Cam Lộc",""),IF(OR(L561=phu!$I$38,L561=phu!$I$39,L561=phu!$I$40,L561=phu!$I$41,L561=phu!$I$42,L561=phu!$I$43,L561=phu!$I$44),"Cam Thuận",""),IF(OR(L561=phu!$I$45,L561=phu!$I$46,L561=phu!$I$47,L561=phu!$I$48,L561=phu!$I$49,L561=phu!$I$50,L561=phu!$I$51,L561=phu!$I$52,L561=phu!$I$53),"Cam Linh",""),IF(OR(L561=phu!$I$54,L561=phu!$I$55,L561=phu!$I$56,L561=phu!$I$57,L561=phu!$I$58,L561=phu!$I$59,L561=phu!$I$60,L561=phu!$I$61,L561=phu!$I$62),"Cam Lợi",""),IF(OR(L561=phu!$I$63,L561=phu!$I$64,L561=phu!$I$65,L561=phu!$I$66,L561=phu!$I$67,L561=phu!$I$68,L561=phu!$I$69,L561=phu!$I$70,L561=phu!$I$71),"Ba Ngòi",""),IF(OR(L561=phu!$I$72,L561=phu!$I$73,L561=phu!$I$74,L561=phu!$I$75,L561=phu!$I$76,L561=phu!$I$77,L561=phu!$I$78),"Cam Phước Đông",""),IF(OR(L561=phu!$I$79,L561=phu!$I$80,L561=phu!$I$81,L561=phu!$I$82,L561=phu!$I$83,L561=phu!$I$84),"Cam Thịnh Đông",""),IF(OR(L561=phu!$I$85,L561=phu!$I$86,L561=phu!$I$87,L561=phu!$I$88),"Cam Thịnh Tây",""),IF(OR(L561=phu!$I$89,L561=phu!$I$90),"Cam Lập",""),IF(OR(L561=phu!$I$91,L561=phu!$I$92,L561=phu!$I$93),"Cam Bình",""),IF(OR(L561=phu!$I$94,L561=phu!$I$95,L561=phu!$I$96,L561=phu!$I$97,L561=phu!$I$98,L561=phu!$I$99,L561=phu!$I$100),"Huyện khác",""),IF(OR(L561=phu!$I$101,L561=phu!$I$102),"Tỉnh khác",""))</f>
        <v/>
      </c>
      <c r="N561" s="835" t="str">
        <f t="shared" si="44"/>
        <v/>
      </c>
      <c r="O561" s="20"/>
      <c r="P561" s="20"/>
      <c r="Q561" s="20"/>
      <c r="R561" s="20"/>
      <c r="S561" s="20"/>
      <c r="T561" s="21"/>
      <c r="U561" s="21"/>
      <c r="V561" s="21"/>
      <c r="W561" s="7" t="str">
        <f t="shared" si="42"/>
        <v/>
      </c>
      <c r="X561" s="506" t="str">
        <f t="shared" si="43"/>
        <v/>
      </c>
    </row>
    <row r="562" spans="1:24" x14ac:dyDescent="0.25">
      <c r="A562" s="66" t="str">
        <f t="shared" si="40"/>
        <v/>
      </c>
      <c r="B562" s="23" t="str">
        <f t="shared" si="41"/>
        <v/>
      </c>
      <c r="C562" s="15"/>
      <c r="D562" s="16"/>
      <c r="E562" s="17"/>
      <c r="F562" s="18"/>
      <c r="G562" s="18"/>
      <c r="H562" s="19"/>
      <c r="I562" s="15"/>
      <c r="J562" s="20"/>
      <c r="K562" s="15"/>
      <c r="L562" s="15"/>
      <c r="M562" s="531" t="str">
        <f>CONCATENATE(IF(OR(L562=phu!$I$1,L562=phu!$I$2,L562=phu!$I$3),"Cam Thành Nam",""),IF(OR(L562=phu!$I$4,L562=phu!$I$5,L562=phu!$I$6,L562=phu!$I$7,L562=phu!$I$8,L562=phu!$I$9,L562=phu!$I$10,L562=phu!$I$11,L562=phu!$I$12,L562=phu!$I$13,L562=phu!$I$14),"Cam Nghĩa",""),IF(OR(L562=phu!$I$15,L562=phu!$I$16,L562=phu!$I$17,L562=phu!$I$18,L562=phu!$I$19,L562=phu!$I$20,L562=phu!$I$21),"Cam Phúc Bắc",""),IF(OR(L562=phu!$I$22,L562=phu!$I$23,L562=phu!$I$24,L562=phu!$I$25),"Cam Phúc Nam",""),IF(OR(L562=phu!$I$26,L562=phu!$I$27,L562=phu!$I$28,L562=phu!$I$29,L562=phu!$I$30,L562=phu!$I$31),"Cam Phú",""),IF(OR(L562=phu!$I$32,L562=phu!$I$33,L562=phu!$I$34,L562=phu!$I$35,L562=phu!$I$36,L562=phu!$I$37),"Cam Lộc",""),IF(OR(L562=phu!$I$38,L562=phu!$I$39,L562=phu!$I$40,L562=phu!$I$41,L562=phu!$I$42,L562=phu!$I$43,L562=phu!$I$44),"Cam Thuận",""),IF(OR(L562=phu!$I$45,L562=phu!$I$46,L562=phu!$I$47,L562=phu!$I$48,L562=phu!$I$49,L562=phu!$I$50,L562=phu!$I$51,L562=phu!$I$52,L562=phu!$I$53),"Cam Linh",""),IF(OR(L562=phu!$I$54,L562=phu!$I$55,L562=phu!$I$56,L562=phu!$I$57,L562=phu!$I$58,L562=phu!$I$59,L562=phu!$I$60,L562=phu!$I$61,L562=phu!$I$62),"Cam Lợi",""),IF(OR(L562=phu!$I$63,L562=phu!$I$64,L562=phu!$I$65,L562=phu!$I$66,L562=phu!$I$67,L562=phu!$I$68,L562=phu!$I$69,L562=phu!$I$70,L562=phu!$I$71),"Ba Ngòi",""),IF(OR(L562=phu!$I$72,L562=phu!$I$73,L562=phu!$I$74,L562=phu!$I$75,L562=phu!$I$76,L562=phu!$I$77,L562=phu!$I$78),"Cam Phước Đông",""),IF(OR(L562=phu!$I$79,L562=phu!$I$80,L562=phu!$I$81,L562=phu!$I$82,L562=phu!$I$83,L562=phu!$I$84),"Cam Thịnh Đông",""),IF(OR(L562=phu!$I$85,L562=phu!$I$86,L562=phu!$I$87,L562=phu!$I$88),"Cam Thịnh Tây",""),IF(OR(L562=phu!$I$89,L562=phu!$I$90),"Cam Lập",""),IF(OR(L562=phu!$I$91,L562=phu!$I$92,L562=phu!$I$93),"Cam Bình",""),IF(OR(L562=phu!$I$94,L562=phu!$I$95,L562=phu!$I$96,L562=phu!$I$97,L562=phu!$I$98,L562=phu!$I$99,L562=phu!$I$100),"Huyện khác",""),IF(OR(L562=phu!$I$101,L562=phu!$I$102),"Tỉnh khác",""))</f>
        <v/>
      </c>
      <c r="N562" s="835" t="str">
        <f t="shared" si="44"/>
        <v/>
      </c>
      <c r="O562" s="20"/>
      <c r="P562" s="20"/>
      <c r="Q562" s="20"/>
      <c r="R562" s="20"/>
      <c r="S562" s="20"/>
      <c r="T562" s="21"/>
      <c r="U562" s="21"/>
      <c r="V562" s="21"/>
      <c r="W562" s="7" t="str">
        <f t="shared" si="42"/>
        <v/>
      </c>
      <c r="X562" s="506" t="str">
        <f t="shared" si="43"/>
        <v/>
      </c>
    </row>
    <row r="563" spans="1:24" x14ac:dyDescent="0.25">
      <c r="A563" s="66" t="str">
        <f t="shared" ref="A563:A601" si="45">IF(AND(A562&lt;&gt;"",E563&lt;&gt;""),A562+1,"")</f>
        <v/>
      </c>
      <c r="B563" s="23" t="str">
        <f t="shared" si="41"/>
        <v/>
      </c>
      <c r="C563" s="15"/>
      <c r="D563" s="16"/>
      <c r="E563" s="17"/>
      <c r="F563" s="18"/>
      <c r="G563" s="18"/>
      <c r="H563" s="19"/>
      <c r="I563" s="15"/>
      <c r="J563" s="20"/>
      <c r="K563" s="15"/>
      <c r="L563" s="15"/>
      <c r="M563" s="531" t="str">
        <f>CONCATENATE(IF(OR(L563=phu!$I$1,L563=phu!$I$2,L563=phu!$I$3),"Cam Thành Nam",""),IF(OR(L563=phu!$I$4,L563=phu!$I$5,L563=phu!$I$6,L563=phu!$I$7,L563=phu!$I$8,L563=phu!$I$9,L563=phu!$I$10,L563=phu!$I$11,L563=phu!$I$12,L563=phu!$I$13,L563=phu!$I$14),"Cam Nghĩa",""),IF(OR(L563=phu!$I$15,L563=phu!$I$16,L563=phu!$I$17,L563=phu!$I$18,L563=phu!$I$19,L563=phu!$I$20,L563=phu!$I$21),"Cam Phúc Bắc",""),IF(OR(L563=phu!$I$22,L563=phu!$I$23,L563=phu!$I$24,L563=phu!$I$25),"Cam Phúc Nam",""),IF(OR(L563=phu!$I$26,L563=phu!$I$27,L563=phu!$I$28,L563=phu!$I$29,L563=phu!$I$30,L563=phu!$I$31),"Cam Phú",""),IF(OR(L563=phu!$I$32,L563=phu!$I$33,L563=phu!$I$34,L563=phu!$I$35,L563=phu!$I$36,L563=phu!$I$37),"Cam Lộc",""),IF(OR(L563=phu!$I$38,L563=phu!$I$39,L563=phu!$I$40,L563=phu!$I$41,L563=phu!$I$42,L563=phu!$I$43,L563=phu!$I$44),"Cam Thuận",""),IF(OR(L563=phu!$I$45,L563=phu!$I$46,L563=phu!$I$47,L563=phu!$I$48,L563=phu!$I$49,L563=phu!$I$50,L563=phu!$I$51,L563=phu!$I$52,L563=phu!$I$53),"Cam Linh",""),IF(OR(L563=phu!$I$54,L563=phu!$I$55,L563=phu!$I$56,L563=phu!$I$57,L563=phu!$I$58,L563=phu!$I$59,L563=phu!$I$60,L563=phu!$I$61,L563=phu!$I$62),"Cam Lợi",""),IF(OR(L563=phu!$I$63,L563=phu!$I$64,L563=phu!$I$65,L563=phu!$I$66,L563=phu!$I$67,L563=phu!$I$68,L563=phu!$I$69,L563=phu!$I$70,L563=phu!$I$71),"Ba Ngòi",""),IF(OR(L563=phu!$I$72,L563=phu!$I$73,L563=phu!$I$74,L563=phu!$I$75,L563=phu!$I$76,L563=phu!$I$77,L563=phu!$I$78),"Cam Phước Đông",""),IF(OR(L563=phu!$I$79,L563=phu!$I$80,L563=phu!$I$81,L563=phu!$I$82,L563=phu!$I$83,L563=phu!$I$84),"Cam Thịnh Đông",""),IF(OR(L563=phu!$I$85,L563=phu!$I$86,L563=phu!$I$87,L563=phu!$I$88),"Cam Thịnh Tây",""),IF(OR(L563=phu!$I$89,L563=phu!$I$90),"Cam Lập",""),IF(OR(L563=phu!$I$91,L563=phu!$I$92,L563=phu!$I$93),"Cam Bình",""),IF(OR(L563=phu!$I$94,L563=phu!$I$95,L563=phu!$I$96,L563=phu!$I$97,L563=phu!$I$98,L563=phu!$I$99,L563=phu!$I$100),"Huyện khác",""),IF(OR(L563=phu!$I$101,L563=phu!$I$102),"Tỉnh khác",""))</f>
        <v/>
      </c>
      <c r="N563" s="835" t="str">
        <f t="shared" si="44"/>
        <v/>
      </c>
      <c r="O563" s="20"/>
      <c r="P563" s="20"/>
      <c r="Q563" s="20"/>
      <c r="R563" s="20"/>
      <c r="S563" s="20"/>
      <c r="T563" s="21"/>
      <c r="U563" s="21"/>
      <c r="V563" s="21"/>
      <c r="W563" s="7" t="str">
        <f t="shared" si="42"/>
        <v/>
      </c>
      <c r="X563" s="506" t="str">
        <f t="shared" si="43"/>
        <v/>
      </c>
    </row>
    <row r="564" spans="1:24" x14ac:dyDescent="0.25">
      <c r="A564" s="66" t="str">
        <f t="shared" si="45"/>
        <v/>
      </c>
      <c r="B564" s="23" t="str">
        <f t="shared" si="41"/>
        <v/>
      </c>
      <c r="C564" s="15"/>
      <c r="D564" s="16"/>
      <c r="E564" s="17"/>
      <c r="F564" s="18"/>
      <c r="G564" s="18"/>
      <c r="H564" s="19"/>
      <c r="I564" s="15"/>
      <c r="J564" s="20"/>
      <c r="K564" s="15"/>
      <c r="L564" s="15"/>
      <c r="M564" s="531" t="str">
        <f>CONCATENATE(IF(OR(L564=phu!$I$1,L564=phu!$I$2,L564=phu!$I$3),"Cam Thành Nam",""),IF(OR(L564=phu!$I$4,L564=phu!$I$5,L564=phu!$I$6,L564=phu!$I$7,L564=phu!$I$8,L564=phu!$I$9,L564=phu!$I$10,L564=phu!$I$11,L564=phu!$I$12,L564=phu!$I$13,L564=phu!$I$14),"Cam Nghĩa",""),IF(OR(L564=phu!$I$15,L564=phu!$I$16,L564=phu!$I$17,L564=phu!$I$18,L564=phu!$I$19,L564=phu!$I$20,L564=phu!$I$21),"Cam Phúc Bắc",""),IF(OR(L564=phu!$I$22,L564=phu!$I$23,L564=phu!$I$24,L564=phu!$I$25),"Cam Phúc Nam",""),IF(OR(L564=phu!$I$26,L564=phu!$I$27,L564=phu!$I$28,L564=phu!$I$29,L564=phu!$I$30,L564=phu!$I$31),"Cam Phú",""),IF(OR(L564=phu!$I$32,L564=phu!$I$33,L564=phu!$I$34,L564=phu!$I$35,L564=phu!$I$36,L564=phu!$I$37),"Cam Lộc",""),IF(OR(L564=phu!$I$38,L564=phu!$I$39,L564=phu!$I$40,L564=phu!$I$41,L564=phu!$I$42,L564=phu!$I$43,L564=phu!$I$44),"Cam Thuận",""),IF(OR(L564=phu!$I$45,L564=phu!$I$46,L564=phu!$I$47,L564=phu!$I$48,L564=phu!$I$49,L564=phu!$I$50,L564=phu!$I$51,L564=phu!$I$52,L564=phu!$I$53),"Cam Linh",""),IF(OR(L564=phu!$I$54,L564=phu!$I$55,L564=phu!$I$56,L564=phu!$I$57,L564=phu!$I$58,L564=phu!$I$59,L564=phu!$I$60,L564=phu!$I$61,L564=phu!$I$62),"Cam Lợi",""),IF(OR(L564=phu!$I$63,L564=phu!$I$64,L564=phu!$I$65,L564=phu!$I$66,L564=phu!$I$67,L564=phu!$I$68,L564=phu!$I$69,L564=phu!$I$70,L564=phu!$I$71),"Ba Ngòi",""),IF(OR(L564=phu!$I$72,L564=phu!$I$73,L564=phu!$I$74,L564=phu!$I$75,L564=phu!$I$76,L564=phu!$I$77,L564=phu!$I$78),"Cam Phước Đông",""),IF(OR(L564=phu!$I$79,L564=phu!$I$80,L564=phu!$I$81,L564=phu!$I$82,L564=phu!$I$83,L564=phu!$I$84),"Cam Thịnh Đông",""),IF(OR(L564=phu!$I$85,L564=phu!$I$86,L564=phu!$I$87,L564=phu!$I$88),"Cam Thịnh Tây",""),IF(OR(L564=phu!$I$89,L564=phu!$I$90),"Cam Lập",""),IF(OR(L564=phu!$I$91,L564=phu!$I$92,L564=phu!$I$93),"Cam Bình",""),IF(OR(L564=phu!$I$94,L564=phu!$I$95,L564=phu!$I$96,L564=phu!$I$97,L564=phu!$I$98,L564=phu!$I$99,L564=phu!$I$100),"Huyện khác",""),IF(OR(L564=phu!$I$101,L564=phu!$I$102),"Tỉnh khác",""))</f>
        <v/>
      </c>
      <c r="N564" s="835" t="str">
        <f t="shared" si="44"/>
        <v/>
      </c>
      <c r="O564" s="20"/>
      <c r="P564" s="20"/>
      <c r="Q564" s="20"/>
      <c r="R564" s="20"/>
      <c r="S564" s="20"/>
      <c r="T564" s="21"/>
      <c r="U564" s="21"/>
      <c r="V564" s="21"/>
      <c r="W564" s="7" t="str">
        <f t="shared" si="42"/>
        <v/>
      </c>
      <c r="X564" s="506" t="str">
        <f t="shared" si="43"/>
        <v/>
      </c>
    </row>
    <row r="565" spans="1:24" x14ac:dyDescent="0.25">
      <c r="A565" s="66" t="str">
        <f t="shared" si="45"/>
        <v/>
      </c>
      <c r="B565" s="23" t="str">
        <f t="shared" si="41"/>
        <v/>
      </c>
      <c r="C565" s="15"/>
      <c r="D565" s="16"/>
      <c r="E565" s="17"/>
      <c r="F565" s="18"/>
      <c r="G565" s="18"/>
      <c r="H565" s="19"/>
      <c r="I565" s="15"/>
      <c r="J565" s="20"/>
      <c r="K565" s="15"/>
      <c r="L565" s="15"/>
      <c r="M565" s="531" t="str">
        <f>CONCATENATE(IF(OR(L565=phu!$I$1,L565=phu!$I$2,L565=phu!$I$3),"Cam Thành Nam",""),IF(OR(L565=phu!$I$4,L565=phu!$I$5,L565=phu!$I$6,L565=phu!$I$7,L565=phu!$I$8,L565=phu!$I$9,L565=phu!$I$10,L565=phu!$I$11,L565=phu!$I$12,L565=phu!$I$13,L565=phu!$I$14),"Cam Nghĩa",""),IF(OR(L565=phu!$I$15,L565=phu!$I$16,L565=phu!$I$17,L565=phu!$I$18,L565=phu!$I$19,L565=phu!$I$20,L565=phu!$I$21),"Cam Phúc Bắc",""),IF(OR(L565=phu!$I$22,L565=phu!$I$23,L565=phu!$I$24,L565=phu!$I$25),"Cam Phúc Nam",""),IF(OR(L565=phu!$I$26,L565=phu!$I$27,L565=phu!$I$28,L565=phu!$I$29,L565=phu!$I$30,L565=phu!$I$31),"Cam Phú",""),IF(OR(L565=phu!$I$32,L565=phu!$I$33,L565=phu!$I$34,L565=phu!$I$35,L565=phu!$I$36,L565=phu!$I$37),"Cam Lộc",""),IF(OR(L565=phu!$I$38,L565=phu!$I$39,L565=phu!$I$40,L565=phu!$I$41,L565=phu!$I$42,L565=phu!$I$43,L565=phu!$I$44),"Cam Thuận",""),IF(OR(L565=phu!$I$45,L565=phu!$I$46,L565=phu!$I$47,L565=phu!$I$48,L565=phu!$I$49,L565=phu!$I$50,L565=phu!$I$51,L565=phu!$I$52,L565=phu!$I$53),"Cam Linh",""),IF(OR(L565=phu!$I$54,L565=phu!$I$55,L565=phu!$I$56,L565=phu!$I$57,L565=phu!$I$58,L565=phu!$I$59,L565=phu!$I$60,L565=phu!$I$61,L565=phu!$I$62),"Cam Lợi",""),IF(OR(L565=phu!$I$63,L565=phu!$I$64,L565=phu!$I$65,L565=phu!$I$66,L565=phu!$I$67,L565=phu!$I$68,L565=phu!$I$69,L565=phu!$I$70,L565=phu!$I$71),"Ba Ngòi",""),IF(OR(L565=phu!$I$72,L565=phu!$I$73,L565=phu!$I$74,L565=phu!$I$75,L565=phu!$I$76,L565=phu!$I$77,L565=phu!$I$78),"Cam Phước Đông",""),IF(OR(L565=phu!$I$79,L565=phu!$I$80,L565=phu!$I$81,L565=phu!$I$82,L565=phu!$I$83,L565=phu!$I$84),"Cam Thịnh Đông",""),IF(OR(L565=phu!$I$85,L565=phu!$I$86,L565=phu!$I$87,L565=phu!$I$88),"Cam Thịnh Tây",""),IF(OR(L565=phu!$I$89,L565=phu!$I$90),"Cam Lập",""),IF(OR(L565=phu!$I$91,L565=phu!$I$92,L565=phu!$I$93),"Cam Bình",""),IF(OR(L565=phu!$I$94,L565=phu!$I$95,L565=phu!$I$96,L565=phu!$I$97,L565=phu!$I$98,L565=phu!$I$99,L565=phu!$I$100),"Huyện khác",""),IF(OR(L565=phu!$I$101,L565=phu!$I$102),"Tỉnh khác",""))</f>
        <v/>
      </c>
      <c r="N565" s="835" t="str">
        <f t="shared" si="44"/>
        <v/>
      </c>
      <c r="O565" s="20"/>
      <c r="P565" s="20"/>
      <c r="Q565" s="20"/>
      <c r="R565" s="20"/>
      <c r="S565" s="20"/>
      <c r="T565" s="21"/>
      <c r="U565" s="21"/>
      <c r="V565" s="21"/>
      <c r="W565" s="7" t="str">
        <f t="shared" si="42"/>
        <v/>
      </c>
      <c r="X565" s="506" t="str">
        <f t="shared" si="43"/>
        <v/>
      </c>
    </row>
    <row r="566" spans="1:24" x14ac:dyDescent="0.25">
      <c r="A566" s="66" t="str">
        <f t="shared" si="45"/>
        <v/>
      </c>
      <c r="B566" s="23" t="str">
        <f t="shared" si="41"/>
        <v/>
      </c>
      <c r="C566" s="15"/>
      <c r="D566" s="16"/>
      <c r="E566" s="17"/>
      <c r="F566" s="18"/>
      <c r="G566" s="18"/>
      <c r="H566" s="19"/>
      <c r="I566" s="15"/>
      <c r="J566" s="20"/>
      <c r="K566" s="15"/>
      <c r="L566" s="15"/>
      <c r="M566" s="531" t="str">
        <f>CONCATENATE(IF(OR(L566=phu!$I$1,L566=phu!$I$2,L566=phu!$I$3),"Cam Thành Nam",""),IF(OR(L566=phu!$I$4,L566=phu!$I$5,L566=phu!$I$6,L566=phu!$I$7,L566=phu!$I$8,L566=phu!$I$9,L566=phu!$I$10,L566=phu!$I$11,L566=phu!$I$12,L566=phu!$I$13,L566=phu!$I$14),"Cam Nghĩa",""),IF(OR(L566=phu!$I$15,L566=phu!$I$16,L566=phu!$I$17,L566=phu!$I$18,L566=phu!$I$19,L566=phu!$I$20,L566=phu!$I$21),"Cam Phúc Bắc",""),IF(OR(L566=phu!$I$22,L566=phu!$I$23,L566=phu!$I$24,L566=phu!$I$25),"Cam Phúc Nam",""),IF(OR(L566=phu!$I$26,L566=phu!$I$27,L566=phu!$I$28,L566=phu!$I$29,L566=phu!$I$30,L566=phu!$I$31),"Cam Phú",""),IF(OR(L566=phu!$I$32,L566=phu!$I$33,L566=phu!$I$34,L566=phu!$I$35,L566=phu!$I$36,L566=phu!$I$37),"Cam Lộc",""),IF(OR(L566=phu!$I$38,L566=phu!$I$39,L566=phu!$I$40,L566=phu!$I$41,L566=phu!$I$42,L566=phu!$I$43,L566=phu!$I$44),"Cam Thuận",""),IF(OR(L566=phu!$I$45,L566=phu!$I$46,L566=phu!$I$47,L566=phu!$I$48,L566=phu!$I$49,L566=phu!$I$50,L566=phu!$I$51,L566=phu!$I$52,L566=phu!$I$53),"Cam Linh",""),IF(OR(L566=phu!$I$54,L566=phu!$I$55,L566=phu!$I$56,L566=phu!$I$57,L566=phu!$I$58,L566=phu!$I$59,L566=phu!$I$60,L566=phu!$I$61,L566=phu!$I$62),"Cam Lợi",""),IF(OR(L566=phu!$I$63,L566=phu!$I$64,L566=phu!$I$65,L566=phu!$I$66,L566=phu!$I$67,L566=phu!$I$68,L566=phu!$I$69,L566=phu!$I$70,L566=phu!$I$71),"Ba Ngòi",""),IF(OR(L566=phu!$I$72,L566=phu!$I$73,L566=phu!$I$74,L566=phu!$I$75,L566=phu!$I$76,L566=phu!$I$77,L566=phu!$I$78),"Cam Phước Đông",""),IF(OR(L566=phu!$I$79,L566=phu!$I$80,L566=phu!$I$81,L566=phu!$I$82,L566=phu!$I$83,L566=phu!$I$84),"Cam Thịnh Đông",""),IF(OR(L566=phu!$I$85,L566=phu!$I$86,L566=phu!$I$87,L566=phu!$I$88),"Cam Thịnh Tây",""),IF(OR(L566=phu!$I$89,L566=phu!$I$90),"Cam Lập",""),IF(OR(L566=phu!$I$91,L566=phu!$I$92,L566=phu!$I$93),"Cam Bình",""),IF(OR(L566=phu!$I$94,L566=phu!$I$95,L566=phu!$I$96,L566=phu!$I$97,L566=phu!$I$98,L566=phu!$I$99,L566=phu!$I$100),"Huyện khác",""),IF(OR(L566=phu!$I$101,L566=phu!$I$102),"Tỉnh khác",""))</f>
        <v/>
      </c>
      <c r="N566" s="835" t="str">
        <f t="shared" si="44"/>
        <v/>
      </c>
      <c r="O566" s="20"/>
      <c r="P566" s="20"/>
      <c r="Q566" s="20"/>
      <c r="R566" s="20"/>
      <c r="S566" s="20"/>
      <c r="T566" s="21"/>
      <c r="U566" s="21"/>
      <c r="V566" s="21"/>
      <c r="W566" s="7" t="str">
        <f t="shared" si="42"/>
        <v/>
      </c>
      <c r="X566" s="506" t="str">
        <f t="shared" si="43"/>
        <v/>
      </c>
    </row>
    <row r="567" spans="1:24" x14ac:dyDescent="0.25">
      <c r="A567" s="66" t="str">
        <f t="shared" si="45"/>
        <v/>
      </c>
      <c r="B567" s="23" t="str">
        <f t="shared" si="41"/>
        <v/>
      </c>
      <c r="C567" s="15"/>
      <c r="D567" s="16"/>
      <c r="E567" s="17"/>
      <c r="F567" s="18"/>
      <c r="G567" s="18"/>
      <c r="H567" s="19"/>
      <c r="I567" s="15"/>
      <c r="J567" s="20"/>
      <c r="K567" s="15"/>
      <c r="L567" s="15"/>
      <c r="M567" s="531" t="str">
        <f>CONCATENATE(IF(OR(L567=phu!$I$1,L567=phu!$I$2,L567=phu!$I$3),"Cam Thành Nam",""),IF(OR(L567=phu!$I$4,L567=phu!$I$5,L567=phu!$I$6,L567=phu!$I$7,L567=phu!$I$8,L567=phu!$I$9,L567=phu!$I$10,L567=phu!$I$11,L567=phu!$I$12,L567=phu!$I$13,L567=phu!$I$14),"Cam Nghĩa",""),IF(OR(L567=phu!$I$15,L567=phu!$I$16,L567=phu!$I$17,L567=phu!$I$18,L567=phu!$I$19,L567=phu!$I$20,L567=phu!$I$21),"Cam Phúc Bắc",""),IF(OR(L567=phu!$I$22,L567=phu!$I$23,L567=phu!$I$24,L567=phu!$I$25),"Cam Phúc Nam",""),IF(OR(L567=phu!$I$26,L567=phu!$I$27,L567=phu!$I$28,L567=phu!$I$29,L567=phu!$I$30,L567=phu!$I$31),"Cam Phú",""),IF(OR(L567=phu!$I$32,L567=phu!$I$33,L567=phu!$I$34,L567=phu!$I$35,L567=phu!$I$36,L567=phu!$I$37),"Cam Lộc",""),IF(OR(L567=phu!$I$38,L567=phu!$I$39,L567=phu!$I$40,L567=phu!$I$41,L567=phu!$I$42,L567=phu!$I$43,L567=phu!$I$44),"Cam Thuận",""),IF(OR(L567=phu!$I$45,L567=phu!$I$46,L567=phu!$I$47,L567=phu!$I$48,L567=phu!$I$49,L567=phu!$I$50,L567=phu!$I$51,L567=phu!$I$52,L567=phu!$I$53),"Cam Linh",""),IF(OR(L567=phu!$I$54,L567=phu!$I$55,L567=phu!$I$56,L567=phu!$I$57,L567=phu!$I$58,L567=phu!$I$59,L567=phu!$I$60,L567=phu!$I$61,L567=phu!$I$62),"Cam Lợi",""),IF(OR(L567=phu!$I$63,L567=phu!$I$64,L567=phu!$I$65,L567=phu!$I$66,L567=phu!$I$67,L567=phu!$I$68,L567=phu!$I$69,L567=phu!$I$70,L567=phu!$I$71),"Ba Ngòi",""),IF(OR(L567=phu!$I$72,L567=phu!$I$73,L567=phu!$I$74,L567=phu!$I$75,L567=phu!$I$76,L567=phu!$I$77,L567=phu!$I$78),"Cam Phước Đông",""),IF(OR(L567=phu!$I$79,L567=phu!$I$80,L567=phu!$I$81,L567=phu!$I$82,L567=phu!$I$83,L567=phu!$I$84),"Cam Thịnh Đông",""),IF(OR(L567=phu!$I$85,L567=phu!$I$86,L567=phu!$I$87,L567=phu!$I$88),"Cam Thịnh Tây",""),IF(OR(L567=phu!$I$89,L567=phu!$I$90),"Cam Lập",""),IF(OR(L567=phu!$I$91,L567=phu!$I$92,L567=phu!$I$93),"Cam Bình",""),IF(OR(L567=phu!$I$94,L567=phu!$I$95,L567=phu!$I$96,L567=phu!$I$97,L567=phu!$I$98,L567=phu!$I$99,L567=phu!$I$100),"Huyện khác",""),IF(OR(L567=phu!$I$101,L567=phu!$I$102),"Tỉnh khác",""))</f>
        <v/>
      </c>
      <c r="N567" s="835" t="str">
        <f t="shared" si="44"/>
        <v/>
      </c>
      <c r="O567" s="20"/>
      <c r="P567" s="20"/>
      <c r="Q567" s="20"/>
      <c r="R567" s="20"/>
      <c r="S567" s="20"/>
      <c r="T567" s="21"/>
      <c r="U567" s="21"/>
      <c r="V567" s="21"/>
      <c r="W567" s="7" t="str">
        <f t="shared" si="42"/>
        <v/>
      </c>
      <c r="X567" s="506" t="str">
        <f t="shared" si="43"/>
        <v/>
      </c>
    </row>
    <row r="568" spans="1:24" x14ac:dyDescent="0.25">
      <c r="A568" s="66" t="str">
        <f t="shared" si="45"/>
        <v/>
      </c>
      <c r="B568" s="23" t="str">
        <f t="shared" si="41"/>
        <v/>
      </c>
      <c r="C568" s="15"/>
      <c r="D568" s="16"/>
      <c r="E568" s="17"/>
      <c r="F568" s="18"/>
      <c r="G568" s="18"/>
      <c r="H568" s="19"/>
      <c r="I568" s="15"/>
      <c r="J568" s="20"/>
      <c r="K568" s="15"/>
      <c r="L568" s="15"/>
      <c r="M568" s="531" t="str">
        <f>CONCATENATE(IF(OR(L568=phu!$I$1,L568=phu!$I$2,L568=phu!$I$3),"Cam Thành Nam",""),IF(OR(L568=phu!$I$4,L568=phu!$I$5,L568=phu!$I$6,L568=phu!$I$7,L568=phu!$I$8,L568=phu!$I$9,L568=phu!$I$10,L568=phu!$I$11,L568=phu!$I$12,L568=phu!$I$13,L568=phu!$I$14),"Cam Nghĩa",""),IF(OR(L568=phu!$I$15,L568=phu!$I$16,L568=phu!$I$17,L568=phu!$I$18,L568=phu!$I$19,L568=phu!$I$20,L568=phu!$I$21),"Cam Phúc Bắc",""),IF(OR(L568=phu!$I$22,L568=phu!$I$23,L568=phu!$I$24,L568=phu!$I$25),"Cam Phúc Nam",""),IF(OR(L568=phu!$I$26,L568=phu!$I$27,L568=phu!$I$28,L568=phu!$I$29,L568=phu!$I$30,L568=phu!$I$31),"Cam Phú",""),IF(OR(L568=phu!$I$32,L568=phu!$I$33,L568=phu!$I$34,L568=phu!$I$35,L568=phu!$I$36,L568=phu!$I$37),"Cam Lộc",""),IF(OR(L568=phu!$I$38,L568=phu!$I$39,L568=phu!$I$40,L568=phu!$I$41,L568=phu!$I$42,L568=phu!$I$43,L568=phu!$I$44),"Cam Thuận",""),IF(OR(L568=phu!$I$45,L568=phu!$I$46,L568=phu!$I$47,L568=phu!$I$48,L568=phu!$I$49,L568=phu!$I$50,L568=phu!$I$51,L568=phu!$I$52,L568=phu!$I$53),"Cam Linh",""),IF(OR(L568=phu!$I$54,L568=phu!$I$55,L568=phu!$I$56,L568=phu!$I$57,L568=phu!$I$58,L568=phu!$I$59,L568=phu!$I$60,L568=phu!$I$61,L568=phu!$I$62),"Cam Lợi",""),IF(OR(L568=phu!$I$63,L568=phu!$I$64,L568=phu!$I$65,L568=phu!$I$66,L568=phu!$I$67,L568=phu!$I$68,L568=phu!$I$69,L568=phu!$I$70,L568=phu!$I$71),"Ba Ngòi",""),IF(OR(L568=phu!$I$72,L568=phu!$I$73,L568=phu!$I$74,L568=phu!$I$75,L568=phu!$I$76,L568=phu!$I$77,L568=phu!$I$78),"Cam Phước Đông",""),IF(OR(L568=phu!$I$79,L568=phu!$I$80,L568=phu!$I$81,L568=phu!$I$82,L568=phu!$I$83,L568=phu!$I$84),"Cam Thịnh Đông",""),IF(OR(L568=phu!$I$85,L568=phu!$I$86,L568=phu!$I$87,L568=phu!$I$88),"Cam Thịnh Tây",""),IF(OR(L568=phu!$I$89,L568=phu!$I$90),"Cam Lập",""),IF(OR(L568=phu!$I$91,L568=phu!$I$92,L568=phu!$I$93),"Cam Bình",""),IF(OR(L568=phu!$I$94,L568=phu!$I$95,L568=phu!$I$96,L568=phu!$I$97,L568=phu!$I$98,L568=phu!$I$99,L568=phu!$I$100),"Huyện khác",""),IF(OR(L568=phu!$I$101,L568=phu!$I$102),"Tỉnh khác",""))</f>
        <v/>
      </c>
      <c r="N568" s="835" t="str">
        <f t="shared" si="44"/>
        <v/>
      </c>
      <c r="O568" s="20"/>
      <c r="P568" s="20"/>
      <c r="Q568" s="20"/>
      <c r="R568" s="20"/>
      <c r="S568" s="20"/>
      <c r="T568" s="21"/>
      <c r="U568" s="21"/>
      <c r="V568" s="21"/>
      <c r="W568" s="7" t="str">
        <f t="shared" si="42"/>
        <v/>
      </c>
      <c r="X568" s="506" t="str">
        <f t="shared" si="43"/>
        <v/>
      </c>
    </row>
    <row r="569" spans="1:24" x14ac:dyDescent="0.25">
      <c r="A569" s="66" t="str">
        <f t="shared" si="45"/>
        <v/>
      </c>
      <c r="B569" s="23" t="str">
        <f t="shared" si="41"/>
        <v/>
      </c>
      <c r="C569" s="15"/>
      <c r="D569" s="16"/>
      <c r="E569" s="17"/>
      <c r="F569" s="18"/>
      <c r="G569" s="18"/>
      <c r="H569" s="19"/>
      <c r="I569" s="15"/>
      <c r="J569" s="20"/>
      <c r="K569" s="15"/>
      <c r="L569" s="15"/>
      <c r="M569" s="531" t="str">
        <f>CONCATENATE(IF(OR(L569=phu!$I$1,L569=phu!$I$2,L569=phu!$I$3),"Cam Thành Nam",""),IF(OR(L569=phu!$I$4,L569=phu!$I$5,L569=phu!$I$6,L569=phu!$I$7,L569=phu!$I$8,L569=phu!$I$9,L569=phu!$I$10,L569=phu!$I$11,L569=phu!$I$12,L569=phu!$I$13,L569=phu!$I$14),"Cam Nghĩa",""),IF(OR(L569=phu!$I$15,L569=phu!$I$16,L569=phu!$I$17,L569=phu!$I$18,L569=phu!$I$19,L569=phu!$I$20,L569=phu!$I$21),"Cam Phúc Bắc",""),IF(OR(L569=phu!$I$22,L569=phu!$I$23,L569=phu!$I$24,L569=phu!$I$25),"Cam Phúc Nam",""),IF(OR(L569=phu!$I$26,L569=phu!$I$27,L569=phu!$I$28,L569=phu!$I$29,L569=phu!$I$30,L569=phu!$I$31),"Cam Phú",""),IF(OR(L569=phu!$I$32,L569=phu!$I$33,L569=phu!$I$34,L569=phu!$I$35,L569=phu!$I$36,L569=phu!$I$37),"Cam Lộc",""),IF(OR(L569=phu!$I$38,L569=phu!$I$39,L569=phu!$I$40,L569=phu!$I$41,L569=phu!$I$42,L569=phu!$I$43,L569=phu!$I$44),"Cam Thuận",""),IF(OR(L569=phu!$I$45,L569=phu!$I$46,L569=phu!$I$47,L569=phu!$I$48,L569=phu!$I$49,L569=phu!$I$50,L569=phu!$I$51,L569=phu!$I$52,L569=phu!$I$53),"Cam Linh",""),IF(OR(L569=phu!$I$54,L569=phu!$I$55,L569=phu!$I$56,L569=phu!$I$57,L569=phu!$I$58,L569=phu!$I$59,L569=phu!$I$60,L569=phu!$I$61,L569=phu!$I$62),"Cam Lợi",""),IF(OR(L569=phu!$I$63,L569=phu!$I$64,L569=phu!$I$65,L569=phu!$I$66,L569=phu!$I$67,L569=phu!$I$68,L569=phu!$I$69,L569=phu!$I$70,L569=phu!$I$71),"Ba Ngòi",""),IF(OR(L569=phu!$I$72,L569=phu!$I$73,L569=phu!$I$74,L569=phu!$I$75,L569=phu!$I$76,L569=phu!$I$77,L569=phu!$I$78),"Cam Phước Đông",""),IF(OR(L569=phu!$I$79,L569=phu!$I$80,L569=phu!$I$81,L569=phu!$I$82,L569=phu!$I$83,L569=phu!$I$84),"Cam Thịnh Đông",""),IF(OR(L569=phu!$I$85,L569=phu!$I$86,L569=phu!$I$87,L569=phu!$I$88),"Cam Thịnh Tây",""),IF(OR(L569=phu!$I$89,L569=phu!$I$90),"Cam Lập",""),IF(OR(L569=phu!$I$91,L569=phu!$I$92,L569=phu!$I$93),"Cam Bình",""),IF(OR(L569=phu!$I$94,L569=phu!$I$95,L569=phu!$I$96,L569=phu!$I$97,L569=phu!$I$98,L569=phu!$I$99,L569=phu!$I$100),"Huyện khác",""),IF(OR(L569=phu!$I$101,L569=phu!$I$102),"Tỉnh khác",""))</f>
        <v/>
      </c>
      <c r="N569" s="835" t="str">
        <f t="shared" si="44"/>
        <v/>
      </c>
      <c r="O569" s="20"/>
      <c r="P569" s="20"/>
      <c r="Q569" s="20"/>
      <c r="R569" s="20"/>
      <c r="S569" s="20"/>
      <c r="T569" s="21"/>
      <c r="U569" s="21"/>
      <c r="V569" s="21"/>
      <c r="W569" s="7" t="str">
        <f t="shared" si="42"/>
        <v/>
      </c>
      <c r="X569" s="506" t="str">
        <f t="shared" si="43"/>
        <v/>
      </c>
    </row>
    <row r="570" spans="1:24" x14ac:dyDescent="0.25">
      <c r="A570" s="66" t="str">
        <f t="shared" si="45"/>
        <v/>
      </c>
      <c r="B570" s="23" t="str">
        <f t="shared" si="41"/>
        <v/>
      </c>
      <c r="C570" s="15"/>
      <c r="D570" s="16"/>
      <c r="E570" s="17"/>
      <c r="F570" s="18"/>
      <c r="G570" s="18"/>
      <c r="H570" s="19"/>
      <c r="I570" s="15"/>
      <c r="J570" s="20"/>
      <c r="K570" s="15"/>
      <c r="L570" s="15"/>
      <c r="M570" s="531" t="str">
        <f>CONCATENATE(IF(OR(L570=phu!$I$1,L570=phu!$I$2,L570=phu!$I$3),"Cam Thành Nam",""),IF(OR(L570=phu!$I$4,L570=phu!$I$5,L570=phu!$I$6,L570=phu!$I$7,L570=phu!$I$8,L570=phu!$I$9,L570=phu!$I$10,L570=phu!$I$11,L570=phu!$I$12,L570=phu!$I$13,L570=phu!$I$14),"Cam Nghĩa",""),IF(OR(L570=phu!$I$15,L570=phu!$I$16,L570=phu!$I$17,L570=phu!$I$18,L570=phu!$I$19,L570=phu!$I$20,L570=phu!$I$21),"Cam Phúc Bắc",""),IF(OR(L570=phu!$I$22,L570=phu!$I$23,L570=phu!$I$24,L570=phu!$I$25),"Cam Phúc Nam",""),IF(OR(L570=phu!$I$26,L570=phu!$I$27,L570=phu!$I$28,L570=phu!$I$29,L570=phu!$I$30,L570=phu!$I$31),"Cam Phú",""),IF(OR(L570=phu!$I$32,L570=phu!$I$33,L570=phu!$I$34,L570=phu!$I$35,L570=phu!$I$36,L570=phu!$I$37),"Cam Lộc",""),IF(OR(L570=phu!$I$38,L570=phu!$I$39,L570=phu!$I$40,L570=phu!$I$41,L570=phu!$I$42,L570=phu!$I$43,L570=phu!$I$44),"Cam Thuận",""),IF(OR(L570=phu!$I$45,L570=phu!$I$46,L570=phu!$I$47,L570=phu!$I$48,L570=phu!$I$49,L570=phu!$I$50,L570=phu!$I$51,L570=phu!$I$52,L570=phu!$I$53),"Cam Linh",""),IF(OR(L570=phu!$I$54,L570=phu!$I$55,L570=phu!$I$56,L570=phu!$I$57,L570=phu!$I$58,L570=phu!$I$59,L570=phu!$I$60,L570=phu!$I$61,L570=phu!$I$62),"Cam Lợi",""),IF(OR(L570=phu!$I$63,L570=phu!$I$64,L570=phu!$I$65,L570=phu!$I$66,L570=phu!$I$67,L570=phu!$I$68,L570=phu!$I$69,L570=phu!$I$70,L570=phu!$I$71),"Ba Ngòi",""),IF(OR(L570=phu!$I$72,L570=phu!$I$73,L570=phu!$I$74,L570=phu!$I$75,L570=phu!$I$76,L570=phu!$I$77,L570=phu!$I$78),"Cam Phước Đông",""),IF(OR(L570=phu!$I$79,L570=phu!$I$80,L570=phu!$I$81,L570=phu!$I$82,L570=phu!$I$83,L570=phu!$I$84),"Cam Thịnh Đông",""),IF(OR(L570=phu!$I$85,L570=phu!$I$86,L570=phu!$I$87,L570=phu!$I$88),"Cam Thịnh Tây",""),IF(OR(L570=phu!$I$89,L570=phu!$I$90),"Cam Lập",""),IF(OR(L570=phu!$I$91,L570=phu!$I$92,L570=phu!$I$93),"Cam Bình",""),IF(OR(L570=phu!$I$94,L570=phu!$I$95,L570=phu!$I$96,L570=phu!$I$97,L570=phu!$I$98,L570=phu!$I$99,L570=phu!$I$100),"Huyện khác",""),IF(OR(L570=phu!$I$101,L570=phu!$I$102),"Tỉnh khác",""))</f>
        <v/>
      </c>
      <c r="N570" s="835" t="str">
        <f t="shared" si="44"/>
        <v/>
      </c>
      <c r="O570" s="20"/>
      <c r="P570" s="20"/>
      <c r="Q570" s="20"/>
      <c r="R570" s="20"/>
      <c r="S570" s="20"/>
      <c r="T570" s="21"/>
      <c r="U570" s="21"/>
      <c r="V570" s="21"/>
      <c r="W570" s="7" t="str">
        <f t="shared" si="42"/>
        <v/>
      </c>
      <c r="X570" s="506" t="str">
        <f t="shared" si="43"/>
        <v/>
      </c>
    </row>
    <row r="571" spans="1:24" x14ac:dyDescent="0.25">
      <c r="A571" s="66" t="str">
        <f t="shared" si="45"/>
        <v/>
      </c>
      <c r="B571" s="23" t="str">
        <f t="shared" si="41"/>
        <v/>
      </c>
      <c r="C571" s="15"/>
      <c r="D571" s="16"/>
      <c r="E571" s="17"/>
      <c r="F571" s="18"/>
      <c r="G571" s="18"/>
      <c r="H571" s="19"/>
      <c r="I571" s="15"/>
      <c r="J571" s="20"/>
      <c r="K571" s="15"/>
      <c r="L571" s="15"/>
      <c r="M571" s="531" t="str">
        <f>CONCATENATE(IF(OR(L571=phu!$I$1,L571=phu!$I$2,L571=phu!$I$3),"Cam Thành Nam",""),IF(OR(L571=phu!$I$4,L571=phu!$I$5,L571=phu!$I$6,L571=phu!$I$7,L571=phu!$I$8,L571=phu!$I$9,L571=phu!$I$10,L571=phu!$I$11,L571=phu!$I$12,L571=phu!$I$13,L571=phu!$I$14),"Cam Nghĩa",""),IF(OR(L571=phu!$I$15,L571=phu!$I$16,L571=phu!$I$17,L571=phu!$I$18,L571=phu!$I$19,L571=phu!$I$20,L571=phu!$I$21),"Cam Phúc Bắc",""),IF(OR(L571=phu!$I$22,L571=phu!$I$23,L571=phu!$I$24,L571=phu!$I$25),"Cam Phúc Nam",""),IF(OR(L571=phu!$I$26,L571=phu!$I$27,L571=phu!$I$28,L571=phu!$I$29,L571=phu!$I$30,L571=phu!$I$31),"Cam Phú",""),IF(OR(L571=phu!$I$32,L571=phu!$I$33,L571=phu!$I$34,L571=phu!$I$35,L571=phu!$I$36,L571=phu!$I$37),"Cam Lộc",""),IF(OR(L571=phu!$I$38,L571=phu!$I$39,L571=phu!$I$40,L571=phu!$I$41,L571=phu!$I$42,L571=phu!$I$43,L571=phu!$I$44),"Cam Thuận",""),IF(OR(L571=phu!$I$45,L571=phu!$I$46,L571=phu!$I$47,L571=phu!$I$48,L571=phu!$I$49,L571=phu!$I$50,L571=phu!$I$51,L571=phu!$I$52,L571=phu!$I$53),"Cam Linh",""),IF(OR(L571=phu!$I$54,L571=phu!$I$55,L571=phu!$I$56,L571=phu!$I$57,L571=phu!$I$58,L571=phu!$I$59,L571=phu!$I$60,L571=phu!$I$61,L571=phu!$I$62),"Cam Lợi",""),IF(OR(L571=phu!$I$63,L571=phu!$I$64,L571=phu!$I$65,L571=phu!$I$66,L571=phu!$I$67,L571=phu!$I$68,L571=phu!$I$69,L571=phu!$I$70,L571=phu!$I$71),"Ba Ngòi",""),IF(OR(L571=phu!$I$72,L571=phu!$I$73,L571=phu!$I$74,L571=phu!$I$75,L571=phu!$I$76,L571=phu!$I$77,L571=phu!$I$78),"Cam Phước Đông",""),IF(OR(L571=phu!$I$79,L571=phu!$I$80,L571=phu!$I$81,L571=phu!$I$82,L571=phu!$I$83,L571=phu!$I$84),"Cam Thịnh Đông",""),IF(OR(L571=phu!$I$85,L571=phu!$I$86,L571=phu!$I$87,L571=phu!$I$88),"Cam Thịnh Tây",""),IF(OR(L571=phu!$I$89,L571=phu!$I$90),"Cam Lập",""),IF(OR(L571=phu!$I$91,L571=phu!$I$92,L571=phu!$I$93),"Cam Bình",""),IF(OR(L571=phu!$I$94,L571=phu!$I$95,L571=phu!$I$96,L571=phu!$I$97,L571=phu!$I$98,L571=phu!$I$99,L571=phu!$I$100),"Huyện khác",""),IF(OR(L571=phu!$I$101,L571=phu!$I$102),"Tỉnh khác",""))</f>
        <v/>
      </c>
      <c r="N571" s="835" t="str">
        <f t="shared" si="44"/>
        <v/>
      </c>
      <c r="O571" s="20"/>
      <c r="P571" s="20"/>
      <c r="Q571" s="20"/>
      <c r="R571" s="20"/>
      <c r="S571" s="20"/>
      <c r="T571" s="21"/>
      <c r="U571" s="21"/>
      <c r="V571" s="21"/>
      <c r="W571" s="7" t="str">
        <f t="shared" si="42"/>
        <v/>
      </c>
      <c r="X571" s="506" t="str">
        <f t="shared" si="43"/>
        <v/>
      </c>
    </row>
    <row r="572" spans="1:24" x14ac:dyDescent="0.25">
      <c r="A572" s="66" t="str">
        <f t="shared" si="45"/>
        <v/>
      </c>
      <c r="B572" s="23" t="str">
        <f t="shared" si="41"/>
        <v/>
      </c>
      <c r="C572" s="15"/>
      <c r="D572" s="16"/>
      <c r="E572" s="17"/>
      <c r="F572" s="18"/>
      <c r="G572" s="18"/>
      <c r="H572" s="19"/>
      <c r="I572" s="15"/>
      <c r="J572" s="20"/>
      <c r="K572" s="15"/>
      <c r="L572" s="15"/>
      <c r="M572" s="531" t="str">
        <f>CONCATENATE(IF(OR(L572=phu!$I$1,L572=phu!$I$2,L572=phu!$I$3),"Cam Thành Nam",""),IF(OR(L572=phu!$I$4,L572=phu!$I$5,L572=phu!$I$6,L572=phu!$I$7,L572=phu!$I$8,L572=phu!$I$9,L572=phu!$I$10,L572=phu!$I$11,L572=phu!$I$12,L572=phu!$I$13,L572=phu!$I$14),"Cam Nghĩa",""),IF(OR(L572=phu!$I$15,L572=phu!$I$16,L572=phu!$I$17,L572=phu!$I$18,L572=phu!$I$19,L572=phu!$I$20,L572=phu!$I$21),"Cam Phúc Bắc",""),IF(OR(L572=phu!$I$22,L572=phu!$I$23,L572=phu!$I$24,L572=phu!$I$25),"Cam Phúc Nam",""),IF(OR(L572=phu!$I$26,L572=phu!$I$27,L572=phu!$I$28,L572=phu!$I$29,L572=phu!$I$30,L572=phu!$I$31),"Cam Phú",""),IF(OR(L572=phu!$I$32,L572=phu!$I$33,L572=phu!$I$34,L572=phu!$I$35,L572=phu!$I$36,L572=phu!$I$37),"Cam Lộc",""),IF(OR(L572=phu!$I$38,L572=phu!$I$39,L572=phu!$I$40,L572=phu!$I$41,L572=phu!$I$42,L572=phu!$I$43,L572=phu!$I$44),"Cam Thuận",""),IF(OR(L572=phu!$I$45,L572=phu!$I$46,L572=phu!$I$47,L572=phu!$I$48,L572=phu!$I$49,L572=phu!$I$50,L572=phu!$I$51,L572=phu!$I$52,L572=phu!$I$53),"Cam Linh",""),IF(OR(L572=phu!$I$54,L572=phu!$I$55,L572=phu!$I$56,L572=phu!$I$57,L572=phu!$I$58,L572=phu!$I$59,L572=phu!$I$60,L572=phu!$I$61,L572=phu!$I$62),"Cam Lợi",""),IF(OR(L572=phu!$I$63,L572=phu!$I$64,L572=phu!$I$65,L572=phu!$I$66,L572=phu!$I$67,L572=phu!$I$68,L572=phu!$I$69,L572=phu!$I$70,L572=phu!$I$71),"Ba Ngòi",""),IF(OR(L572=phu!$I$72,L572=phu!$I$73,L572=phu!$I$74,L572=phu!$I$75,L572=phu!$I$76,L572=phu!$I$77,L572=phu!$I$78),"Cam Phước Đông",""),IF(OR(L572=phu!$I$79,L572=phu!$I$80,L572=phu!$I$81,L572=phu!$I$82,L572=phu!$I$83,L572=phu!$I$84),"Cam Thịnh Đông",""),IF(OR(L572=phu!$I$85,L572=phu!$I$86,L572=phu!$I$87,L572=phu!$I$88),"Cam Thịnh Tây",""),IF(OR(L572=phu!$I$89,L572=phu!$I$90),"Cam Lập",""),IF(OR(L572=phu!$I$91,L572=phu!$I$92,L572=phu!$I$93),"Cam Bình",""),IF(OR(L572=phu!$I$94,L572=phu!$I$95,L572=phu!$I$96,L572=phu!$I$97,L572=phu!$I$98,L572=phu!$I$99,L572=phu!$I$100),"Huyện khác",""),IF(OR(L572=phu!$I$101,L572=phu!$I$102),"Tỉnh khác",""))</f>
        <v/>
      </c>
      <c r="N572" s="835" t="str">
        <f t="shared" si="44"/>
        <v/>
      </c>
      <c r="O572" s="20"/>
      <c r="P572" s="20"/>
      <c r="Q572" s="20"/>
      <c r="R572" s="20"/>
      <c r="S572" s="20"/>
      <c r="T572" s="21"/>
      <c r="U572" s="21"/>
      <c r="V572" s="21"/>
      <c r="W572" s="7" t="str">
        <f t="shared" si="42"/>
        <v/>
      </c>
      <c r="X572" s="506" t="str">
        <f t="shared" si="43"/>
        <v/>
      </c>
    </row>
    <row r="573" spans="1:24" x14ac:dyDescent="0.25">
      <c r="A573" s="66" t="str">
        <f t="shared" si="45"/>
        <v/>
      </c>
      <c r="B573" s="23" t="str">
        <f t="shared" si="41"/>
        <v/>
      </c>
      <c r="C573" s="15"/>
      <c r="D573" s="16"/>
      <c r="E573" s="17"/>
      <c r="F573" s="18"/>
      <c r="G573" s="18"/>
      <c r="H573" s="19"/>
      <c r="I573" s="15"/>
      <c r="J573" s="20"/>
      <c r="K573" s="15"/>
      <c r="L573" s="15"/>
      <c r="M573" s="531" t="str">
        <f>CONCATENATE(IF(OR(L573=phu!$I$1,L573=phu!$I$2,L573=phu!$I$3),"Cam Thành Nam",""),IF(OR(L573=phu!$I$4,L573=phu!$I$5,L573=phu!$I$6,L573=phu!$I$7,L573=phu!$I$8,L573=phu!$I$9,L573=phu!$I$10,L573=phu!$I$11,L573=phu!$I$12,L573=phu!$I$13,L573=phu!$I$14),"Cam Nghĩa",""),IF(OR(L573=phu!$I$15,L573=phu!$I$16,L573=phu!$I$17,L573=phu!$I$18,L573=phu!$I$19,L573=phu!$I$20,L573=phu!$I$21),"Cam Phúc Bắc",""),IF(OR(L573=phu!$I$22,L573=phu!$I$23,L573=phu!$I$24,L573=phu!$I$25),"Cam Phúc Nam",""),IF(OR(L573=phu!$I$26,L573=phu!$I$27,L573=phu!$I$28,L573=phu!$I$29,L573=phu!$I$30,L573=phu!$I$31),"Cam Phú",""),IF(OR(L573=phu!$I$32,L573=phu!$I$33,L573=phu!$I$34,L573=phu!$I$35,L573=phu!$I$36,L573=phu!$I$37),"Cam Lộc",""),IF(OR(L573=phu!$I$38,L573=phu!$I$39,L573=phu!$I$40,L573=phu!$I$41,L573=phu!$I$42,L573=phu!$I$43,L573=phu!$I$44),"Cam Thuận",""),IF(OR(L573=phu!$I$45,L573=phu!$I$46,L573=phu!$I$47,L573=phu!$I$48,L573=phu!$I$49,L573=phu!$I$50,L573=phu!$I$51,L573=phu!$I$52,L573=phu!$I$53),"Cam Linh",""),IF(OR(L573=phu!$I$54,L573=phu!$I$55,L573=phu!$I$56,L573=phu!$I$57,L573=phu!$I$58,L573=phu!$I$59,L573=phu!$I$60,L573=phu!$I$61,L573=phu!$I$62),"Cam Lợi",""),IF(OR(L573=phu!$I$63,L573=phu!$I$64,L573=phu!$I$65,L573=phu!$I$66,L573=phu!$I$67,L573=phu!$I$68,L573=phu!$I$69,L573=phu!$I$70,L573=phu!$I$71),"Ba Ngòi",""),IF(OR(L573=phu!$I$72,L573=phu!$I$73,L573=phu!$I$74,L573=phu!$I$75,L573=phu!$I$76,L573=phu!$I$77,L573=phu!$I$78),"Cam Phước Đông",""),IF(OR(L573=phu!$I$79,L573=phu!$I$80,L573=phu!$I$81,L573=phu!$I$82,L573=phu!$I$83,L573=phu!$I$84),"Cam Thịnh Đông",""),IF(OR(L573=phu!$I$85,L573=phu!$I$86,L573=phu!$I$87,L573=phu!$I$88),"Cam Thịnh Tây",""),IF(OR(L573=phu!$I$89,L573=phu!$I$90),"Cam Lập",""),IF(OR(L573=phu!$I$91,L573=phu!$I$92,L573=phu!$I$93),"Cam Bình",""),IF(OR(L573=phu!$I$94,L573=phu!$I$95,L573=phu!$I$96,L573=phu!$I$97,L573=phu!$I$98,L573=phu!$I$99,L573=phu!$I$100),"Huyện khác",""),IF(OR(L573=phu!$I$101,L573=phu!$I$102),"Tỉnh khác",""))</f>
        <v/>
      </c>
      <c r="N573" s="835" t="str">
        <f t="shared" si="44"/>
        <v/>
      </c>
      <c r="O573" s="20"/>
      <c r="P573" s="20"/>
      <c r="Q573" s="20"/>
      <c r="R573" s="20"/>
      <c r="S573" s="20"/>
      <c r="T573" s="21"/>
      <c r="U573" s="21"/>
      <c r="V573" s="21"/>
      <c r="W573" s="7" t="str">
        <f t="shared" si="42"/>
        <v/>
      </c>
      <c r="X573" s="506" t="str">
        <f t="shared" si="43"/>
        <v/>
      </c>
    </row>
    <row r="574" spans="1:24" x14ac:dyDescent="0.25">
      <c r="A574" s="66" t="str">
        <f t="shared" si="45"/>
        <v/>
      </c>
      <c r="B574" s="23" t="str">
        <f t="shared" si="41"/>
        <v/>
      </c>
      <c r="C574" s="15"/>
      <c r="D574" s="16"/>
      <c r="E574" s="17"/>
      <c r="F574" s="18"/>
      <c r="G574" s="18"/>
      <c r="H574" s="19"/>
      <c r="I574" s="15"/>
      <c r="J574" s="20"/>
      <c r="K574" s="15"/>
      <c r="L574" s="15"/>
      <c r="M574" s="531" t="str">
        <f>CONCATENATE(IF(OR(L574=phu!$I$1,L574=phu!$I$2,L574=phu!$I$3),"Cam Thành Nam",""),IF(OR(L574=phu!$I$4,L574=phu!$I$5,L574=phu!$I$6,L574=phu!$I$7,L574=phu!$I$8,L574=phu!$I$9,L574=phu!$I$10,L574=phu!$I$11,L574=phu!$I$12,L574=phu!$I$13,L574=phu!$I$14),"Cam Nghĩa",""),IF(OR(L574=phu!$I$15,L574=phu!$I$16,L574=phu!$I$17,L574=phu!$I$18,L574=phu!$I$19,L574=phu!$I$20,L574=phu!$I$21),"Cam Phúc Bắc",""),IF(OR(L574=phu!$I$22,L574=phu!$I$23,L574=phu!$I$24,L574=phu!$I$25),"Cam Phúc Nam",""),IF(OR(L574=phu!$I$26,L574=phu!$I$27,L574=phu!$I$28,L574=phu!$I$29,L574=phu!$I$30,L574=phu!$I$31),"Cam Phú",""),IF(OR(L574=phu!$I$32,L574=phu!$I$33,L574=phu!$I$34,L574=phu!$I$35,L574=phu!$I$36,L574=phu!$I$37),"Cam Lộc",""),IF(OR(L574=phu!$I$38,L574=phu!$I$39,L574=phu!$I$40,L574=phu!$I$41,L574=phu!$I$42,L574=phu!$I$43,L574=phu!$I$44),"Cam Thuận",""),IF(OR(L574=phu!$I$45,L574=phu!$I$46,L574=phu!$I$47,L574=phu!$I$48,L574=phu!$I$49,L574=phu!$I$50,L574=phu!$I$51,L574=phu!$I$52,L574=phu!$I$53),"Cam Linh",""),IF(OR(L574=phu!$I$54,L574=phu!$I$55,L574=phu!$I$56,L574=phu!$I$57,L574=phu!$I$58,L574=phu!$I$59,L574=phu!$I$60,L574=phu!$I$61,L574=phu!$I$62),"Cam Lợi",""),IF(OR(L574=phu!$I$63,L574=phu!$I$64,L574=phu!$I$65,L574=phu!$I$66,L574=phu!$I$67,L574=phu!$I$68,L574=phu!$I$69,L574=phu!$I$70,L574=phu!$I$71),"Ba Ngòi",""),IF(OR(L574=phu!$I$72,L574=phu!$I$73,L574=phu!$I$74,L574=phu!$I$75,L574=phu!$I$76,L574=phu!$I$77,L574=phu!$I$78),"Cam Phước Đông",""),IF(OR(L574=phu!$I$79,L574=phu!$I$80,L574=phu!$I$81,L574=phu!$I$82,L574=phu!$I$83,L574=phu!$I$84),"Cam Thịnh Đông",""),IF(OR(L574=phu!$I$85,L574=phu!$I$86,L574=phu!$I$87,L574=phu!$I$88),"Cam Thịnh Tây",""),IF(OR(L574=phu!$I$89,L574=phu!$I$90),"Cam Lập",""),IF(OR(L574=phu!$I$91,L574=phu!$I$92,L574=phu!$I$93),"Cam Bình",""),IF(OR(L574=phu!$I$94,L574=phu!$I$95,L574=phu!$I$96,L574=phu!$I$97,L574=phu!$I$98,L574=phu!$I$99,L574=phu!$I$100),"Huyện khác",""),IF(OR(L574=phu!$I$101,L574=phu!$I$102),"Tỉnh khác",""))</f>
        <v/>
      </c>
      <c r="N574" s="835" t="str">
        <f t="shared" si="44"/>
        <v/>
      </c>
      <c r="O574" s="20"/>
      <c r="P574" s="20"/>
      <c r="Q574" s="20"/>
      <c r="R574" s="20"/>
      <c r="S574" s="20"/>
      <c r="T574" s="21"/>
      <c r="U574" s="21"/>
      <c r="V574" s="21"/>
      <c r="W574" s="7" t="str">
        <f t="shared" si="42"/>
        <v/>
      </c>
      <c r="X574" s="506" t="str">
        <f t="shared" si="43"/>
        <v/>
      </c>
    </row>
    <row r="575" spans="1:24" x14ac:dyDescent="0.25">
      <c r="A575" s="66" t="str">
        <f t="shared" si="45"/>
        <v/>
      </c>
      <c r="B575" s="23" t="str">
        <f t="shared" si="41"/>
        <v/>
      </c>
      <c r="C575" s="15"/>
      <c r="D575" s="16"/>
      <c r="E575" s="17"/>
      <c r="F575" s="18"/>
      <c r="G575" s="18"/>
      <c r="H575" s="19"/>
      <c r="I575" s="15"/>
      <c r="J575" s="20"/>
      <c r="K575" s="15"/>
      <c r="L575" s="15"/>
      <c r="M575" s="531" t="str">
        <f>CONCATENATE(IF(OR(L575=phu!$I$1,L575=phu!$I$2,L575=phu!$I$3),"Cam Thành Nam",""),IF(OR(L575=phu!$I$4,L575=phu!$I$5,L575=phu!$I$6,L575=phu!$I$7,L575=phu!$I$8,L575=phu!$I$9,L575=phu!$I$10,L575=phu!$I$11,L575=phu!$I$12,L575=phu!$I$13,L575=phu!$I$14),"Cam Nghĩa",""),IF(OR(L575=phu!$I$15,L575=phu!$I$16,L575=phu!$I$17,L575=phu!$I$18,L575=phu!$I$19,L575=phu!$I$20,L575=phu!$I$21),"Cam Phúc Bắc",""),IF(OR(L575=phu!$I$22,L575=phu!$I$23,L575=phu!$I$24,L575=phu!$I$25),"Cam Phúc Nam",""),IF(OR(L575=phu!$I$26,L575=phu!$I$27,L575=phu!$I$28,L575=phu!$I$29,L575=phu!$I$30,L575=phu!$I$31),"Cam Phú",""),IF(OR(L575=phu!$I$32,L575=phu!$I$33,L575=phu!$I$34,L575=phu!$I$35,L575=phu!$I$36,L575=phu!$I$37),"Cam Lộc",""),IF(OR(L575=phu!$I$38,L575=phu!$I$39,L575=phu!$I$40,L575=phu!$I$41,L575=phu!$I$42,L575=phu!$I$43,L575=phu!$I$44),"Cam Thuận",""),IF(OR(L575=phu!$I$45,L575=phu!$I$46,L575=phu!$I$47,L575=phu!$I$48,L575=phu!$I$49,L575=phu!$I$50,L575=phu!$I$51,L575=phu!$I$52,L575=phu!$I$53),"Cam Linh",""),IF(OR(L575=phu!$I$54,L575=phu!$I$55,L575=phu!$I$56,L575=phu!$I$57,L575=phu!$I$58,L575=phu!$I$59,L575=phu!$I$60,L575=phu!$I$61,L575=phu!$I$62),"Cam Lợi",""),IF(OR(L575=phu!$I$63,L575=phu!$I$64,L575=phu!$I$65,L575=phu!$I$66,L575=phu!$I$67,L575=phu!$I$68,L575=phu!$I$69,L575=phu!$I$70,L575=phu!$I$71),"Ba Ngòi",""),IF(OR(L575=phu!$I$72,L575=phu!$I$73,L575=phu!$I$74,L575=phu!$I$75,L575=phu!$I$76,L575=phu!$I$77,L575=phu!$I$78),"Cam Phước Đông",""),IF(OR(L575=phu!$I$79,L575=phu!$I$80,L575=phu!$I$81,L575=phu!$I$82,L575=phu!$I$83,L575=phu!$I$84),"Cam Thịnh Đông",""),IF(OR(L575=phu!$I$85,L575=phu!$I$86,L575=phu!$I$87,L575=phu!$I$88),"Cam Thịnh Tây",""),IF(OR(L575=phu!$I$89,L575=phu!$I$90),"Cam Lập",""),IF(OR(L575=phu!$I$91,L575=phu!$I$92,L575=phu!$I$93),"Cam Bình",""),IF(OR(L575=phu!$I$94,L575=phu!$I$95,L575=phu!$I$96,L575=phu!$I$97,L575=phu!$I$98,L575=phu!$I$99,L575=phu!$I$100),"Huyện khác",""),IF(OR(L575=phu!$I$101,L575=phu!$I$102),"Tỉnh khác",""))</f>
        <v/>
      </c>
      <c r="N575" s="835" t="str">
        <f t="shared" si="44"/>
        <v/>
      </c>
      <c r="O575" s="20"/>
      <c r="P575" s="20"/>
      <c r="Q575" s="20"/>
      <c r="R575" s="20"/>
      <c r="S575" s="20"/>
      <c r="T575" s="21"/>
      <c r="U575" s="21"/>
      <c r="V575" s="21"/>
      <c r="W575" s="7" t="str">
        <f t="shared" si="42"/>
        <v/>
      </c>
      <c r="X575" s="506" t="str">
        <f t="shared" si="43"/>
        <v/>
      </c>
    </row>
    <row r="576" spans="1:24" x14ac:dyDescent="0.25">
      <c r="A576" s="66" t="str">
        <f t="shared" si="45"/>
        <v/>
      </c>
      <c r="B576" s="23" t="str">
        <f t="shared" si="41"/>
        <v/>
      </c>
      <c r="C576" s="15"/>
      <c r="D576" s="16"/>
      <c r="E576" s="17"/>
      <c r="F576" s="18"/>
      <c r="G576" s="18"/>
      <c r="H576" s="19"/>
      <c r="I576" s="15"/>
      <c r="J576" s="20"/>
      <c r="K576" s="15"/>
      <c r="L576" s="15"/>
      <c r="M576" s="531" t="str">
        <f>CONCATENATE(IF(OR(L576=phu!$I$1,L576=phu!$I$2,L576=phu!$I$3),"Cam Thành Nam",""),IF(OR(L576=phu!$I$4,L576=phu!$I$5,L576=phu!$I$6,L576=phu!$I$7,L576=phu!$I$8,L576=phu!$I$9,L576=phu!$I$10,L576=phu!$I$11,L576=phu!$I$12,L576=phu!$I$13,L576=phu!$I$14),"Cam Nghĩa",""),IF(OR(L576=phu!$I$15,L576=phu!$I$16,L576=phu!$I$17,L576=phu!$I$18,L576=phu!$I$19,L576=phu!$I$20,L576=phu!$I$21),"Cam Phúc Bắc",""),IF(OR(L576=phu!$I$22,L576=phu!$I$23,L576=phu!$I$24,L576=phu!$I$25),"Cam Phúc Nam",""),IF(OR(L576=phu!$I$26,L576=phu!$I$27,L576=phu!$I$28,L576=phu!$I$29,L576=phu!$I$30,L576=phu!$I$31),"Cam Phú",""),IF(OR(L576=phu!$I$32,L576=phu!$I$33,L576=phu!$I$34,L576=phu!$I$35,L576=phu!$I$36,L576=phu!$I$37),"Cam Lộc",""),IF(OR(L576=phu!$I$38,L576=phu!$I$39,L576=phu!$I$40,L576=phu!$I$41,L576=phu!$I$42,L576=phu!$I$43,L576=phu!$I$44),"Cam Thuận",""),IF(OR(L576=phu!$I$45,L576=phu!$I$46,L576=phu!$I$47,L576=phu!$I$48,L576=phu!$I$49,L576=phu!$I$50,L576=phu!$I$51,L576=phu!$I$52,L576=phu!$I$53),"Cam Linh",""),IF(OR(L576=phu!$I$54,L576=phu!$I$55,L576=phu!$I$56,L576=phu!$I$57,L576=phu!$I$58,L576=phu!$I$59,L576=phu!$I$60,L576=phu!$I$61,L576=phu!$I$62),"Cam Lợi",""),IF(OR(L576=phu!$I$63,L576=phu!$I$64,L576=phu!$I$65,L576=phu!$I$66,L576=phu!$I$67,L576=phu!$I$68,L576=phu!$I$69,L576=phu!$I$70,L576=phu!$I$71),"Ba Ngòi",""),IF(OR(L576=phu!$I$72,L576=phu!$I$73,L576=phu!$I$74,L576=phu!$I$75,L576=phu!$I$76,L576=phu!$I$77,L576=phu!$I$78),"Cam Phước Đông",""),IF(OR(L576=phu!$I$79,L576=phu!$I$80,L576=phu!$I$81,L576=phu!$I$82,L576=phu!$I$83,L576=phu!$I$84),"Cam Thịnh Đông",""),IF(OR(L576=phu!$I$85,L576=phu!$I$86,L576=phu!$I$87,L576=phu!$I$88),"Cam Thịnh Tây",""),IF(OR(L576=phu!$I$89,L576=phu!$I$90),"Cam Lập",""),IF(OR(L576=phu!$I$91,L576=phu!$I$92,L576=phu!$I$93),"Cam Bình",""),IF(OR(L576=phu!$I$94,L576=phu!$I$95,L576=phu!$I$96,L576=phu!$I$97,L576=phu!$I$98,L576=phu!$I$99,L576=phu!$I$100),"Huyện khác",""),IF(OR(L576=phu!$I$101,L576=phu!$I$102),"Tỉnh khác",""))</f>
        <v/>
      </c>
      <c r="N576" s="835" t="str">
        <f t="shared" si="44"/>
        <v/>
      </c>
      <c r="O576" s="20"/>
      <c r="P576" s="20"/>
      <c r="Q576" s="20"/>
      <c r="R576" s="20"/>
      <c r="S576" s="20"/>
      <c r="T576" s="21"/>
      <c r="U576" s="21"/>
      <c r="V576" s="21"/>
      <c r="W576" s="7" t="str">
        <f t="shared" si="42"/>
        <v/>
      </c>
      <c r="X576" s="506" t="str">
        <f t="shared" si="43"/>
        <v/>
      </c>
    </row>
    <row r="577" spans="1:24" x14ac:dyDescent="0.25">
      <c r="A577" s="66" t="str">
        <f t="shared" si="45"/>
        <v/>
      </c>
      <c r="B577" s="23" t="str">
        <f t="shared" si="41"/>
        <v/>
      </c>
      <c r="C577" s="15"/>
      <c r="D577" s="16"/>
      <c r="E577" s="17"/>
      <c r="F577" s="18"/>
      <c r="G577" s="18"/>
      <c r="H577" s="19"/>
      <c r="I577" s="15"/>
      <c r="J577" s="20"/>
      <c r="K577" s="15"/>
      <c r="L577" s="15"/>
      <c r="M577" s="531" t="str">
        <f>CONCATENATE(IF(OR(L577=phu!$I$1,L577=phu!$I$2,L577=phu!$I$3),"Cam Thành Nam",""),IF(OR(L577=phu!$I$4,L577=phu!$I$5,L577=phu!$I$6,L577=phu!$I$7,L577=phu!$I$8,L577=phu!$I$9,L577=phu!$I$10,L577=phu!$I$11,L577=phu!$I$12,L577=phu!$I$13,L577=phu!$I$14),"Cam Nghĩa",""),IF(OR(L577=phu!$I$15,L577=phu!$I$16,L577=phu!$I$17,L577=phu!$I$18,L577=phu!$I$19,L577=phu!$I$20,L577=phu!$I$21),"Cam Phúc Bắc",""),IF(OR(L577=phu!$I$22,L577=phu!$I$23,L577=phu!$I$24,L577=phu!$I$25),"Cam Phúc Nam",""),IF(OR(L577=phu!$I$26,L577=phu!$I$27,L577=phu!$I$28,L577=phu!$I$29,L577=phu!$I$30,L577=phu!$I$31),"Cam Phú",""),IF(OR(L577=phu!$I$32,L577=phu!$I$33,L577=phu!$I$34,L577=phu!$I$35,L577=phu!$I$36,L577=phu!$I$37),"Cam Lộc",""),IF(OR(L577=phu!$I$38,L577=phu!$I$39,L577=phu!$I$40,L577=phu!$I$41,L577=phu!$I$42,L577=phu!$I$43,L577=phu!$I$44),"Cam Thuận",""),IF(OR(L577=phu!$I$45,L577=phu!$I$46,L577=phu!$I$47,L577=phu!$I$48,L577=phu!$I$49,L577=phu!$I$50,L577=phu!$I$51,L577=phu!$I$52,L577=phu!$I$53),"Cam Linh",""),IF(OR(L577=phu!$I$54,L577=phu!$I$55,L577=phu!$I$56,L577=phu!$I$57,L577=phu!$I$58,L577=phu!$I$59,L577=phu!$I$60,L577=phu!$I$61,L577=phu!$I$62),"Cam Lợi",""),IF(OR(L577=phu!$I$63,L577=phu!$I$64,L577=phu!$I$65,L577=phu!$I$66,L577=phu!$I$67,L577=phu!$I$68,L577=phu!$I$69,L577=phu!$I$70,L577=phu!$I$71),"Ba Ngòi",""),IF(OR(L577=phu!$I$72,L577=phu!$I$73,L577=phu!$I$74,L577=phu!$I$75,L577=phu!$I$76,L577=phu!$I$77,L577=phu!$I$78),"Cam Phước Đông",""),IF(OR(L577=phu!$I$79,L577=phu!$I$80,L577=phu!$I$81,L577=phu!$I$82,L577=phu!$I$83,L577=phu!$I$84),"Cam Thịnh Đông",""),IF(OR(L577=phu!$I$85,L577=phu!$I$86,L577=phu!$I$87,L577=phu!$I$88),"Cam Thịnh Tây",""),IF(OR(L577=phu!$I$89,L577=phu!$I$90),"Cam Lập",""),IF(OR(L577=phu!$I$91,L577=phu!$I$92,L577=phu!$I$93),"Cam Bình",""),IF(OR(L577=phu!$I$94,L577=phu!$I$95,L577=phu!$I$96,L577=phu!$I$97,L577=phu!$I$98,L577=phu!$I$99,L577=phu!$I$100),"Huyện khác",""),IF(OR(L577=phu!$I$101,L577=phu!$I$102),"Tỉnh khác",""))</f>
        <v/>
      </c>
      <c r="N577" s="835" t="str">
        <f t="shared" si="44"/>
        <v/>
      </c>
      <c r="O577" s="20"/>
      <c r="P577" s="20"/>
      <c r="Q577" s="20"/>
      <c r="R577" s="20"/>
      <c r="S577" s="20"/>
      <c r="T577" s="21"/>
      <c r="U577" s="21"/>
      <c r="V577" s="21"/>
      <c r="W577" s="7" t="str">
        <f t="shared" si="42"/>
        <v/>
      </c>
      <c r="X577" s="506" t="str">
        <f t="shared" si="43"/>
        <v/>
      </c>
    </row>
    <row r="578" spans="1:24" x14ac:dyDescent="0.25">
      <c r="A578" s="66" t="str">
        <f t="shared" si="45"/>
        <v/>
      </c>
      <c r="B578" s="23" t="str">
        <f t="shared" si="41"/>
        <v/>
      </c>
      <c r="C578" s="15"/>
      <c r="D578" s="16"/>
      <c r="E578" s="17"/>
      <c r="F578" s="18"/>
      <c r="G578" s="18"/>
      <c r="H578" s="19"/>
      <c r="I578" s="15"/>
      <c r="J578" s="20"/>
      <c r="K578" s="15"/>
      <c r="L578" s="15"/>
      <c r="M578" s="531" t="str">
        <f>CONCATENATE(IF(OR(L578=phu!$I$1,L578=phu!$I$2,L578=phu!$I$3),"Cam Thành Nam",""),IF(OR(L578=phu!$I$4,L578=phu!$I$5,L578=phu!$I$6,L578=phu!$I$7,L578=phu!$I$8,L578=phu!$I$9,L578=phu!$I$10,L578=phu!$I$11,L578=phu!$I$12,L578=phu!$I$13,L578=phu!$I$14),"Cam Nghĩa",""),IF(OR(L578=phu!$I$15,L578=phu!$I$16,L578=phu!$I$17,L578=phu!$I$18,L578=phu!$I$19,L578=phu!$I$20,L578=phu!$I$21),"Cam Phúc Bắc",""),IF(OR(L578=phu!$I$22,L578=phu!$I$23,L578=phu!$I$24,L578=phu!$I$25),"Cam Phúc Nam",""),IF(OR(L578=phu!$I$26,L578=phu!$I$27,L578=phu!$I$28,L578=phu!$I$29,L578=phu!$I$30,L578=phu!$I$31),"Cam Phú",""),IF(OR(L578=phu!$I$32,L578=phu!$I$33,L578=phu!$I$34,L578=phu!$I$35,L578=phu!$I$36,L578=phu!$I$37),"Cam Lộc",""),IF(OR(L578=phu!$I$38,L578=phu!$I$39,L578=phu!$I$40,L578=phu!$I$41,L578=phu!$I$42,L578=phu!$I$43,L578=phu!$I$44),"Cam Thuận",""),IF(OR(L578=phu!$I$45,L578=phu!$I$46,L578=phu!$I$47,L578=phu!$I$48,L578=phu!$I$49,L578=phu!$I$50,L578=phu!$I$51,L578=phu!$I$52,L578=phu!$I$53),"Cam Linh",""),IF(OR(L578=phu!$I$54,L578=phu!$I$55,L578=phu!$I$56,L578=phu!$I$57,L578=phu!$I$58,L578=phu!$I$59,L578=phu!$I$60,L578=phu!$I$61,L578=phu!$I$62),"Cam Lợi",""),IF(OR(L578=phu!$I$63,L578=phu!$I$64,L578=phu!$I$65,L578=phu!$I$66,L578=phu!$I$67,L578=phu!$I$68,L578=phu!$I$69,L578=phu!$I$70,L578=phu!$I$71),"Ba Ngòi",""),IF(OR(L578=phu!$I$72,L578=phu!$I$73,L578=phu!$I$74,L578=phu!$I$75,L578=phu!$I$76,L578=phu!$I$77,L578=phu!$I$78),"Cam Phước Đông",""),IF(OR(L578=phu!$I$79,L578=phu!$I$80,L578=phu!$I$81,L578=phu!$I$82,L578=phu!$I$83,L578=phu!$I$84),"Cam Thịnh Đông",""),IF(OR(L578=phu!$I$85,L578=phu!$I$86,L578=phu!$I$87,L578=phu!$I$88),"Cam Thịnh Tây",""),IF(OR(L578=phu!$I$89,L578=phu!$I$90),"Cam Lập",""),IF(OR(L578=phu!$I$91,L578=phu!$I$92,L578=phu!$I$93),"Cam Bình",""),IF(OR(L578=phu!$I$94,L578=phu!$I$95,L578=phu!$I$96,L578=phu!$I$97,L578=phu!$I$98,L578=phu!$I$99,L578=phu!$I$100),"Huyện khác",""),IF(OR(L578=phu!$I$101,L578=phu!$I$102),"Tỉnh khác",""))</f>
        <v/>
      </c>
      <c r="N578" s="835" t="str">
        <f t="shared" si="44"/>
        <v/>
      </c>
      <c r="O578" s="20"/>
      <c r="P578" s="20"/>
      <c r="Q578" s="20"/>
      <c r="R578" s="20"/>
      <c r="S578" s="20"/>
      <c r="T578" s="21"/>
      <c r="U578" s="21"/>
      <c r="V578" s="21"/>
      <c r="W578" s="7" t="str">
        <f t="shared" si="42"/>
        <v/>
      </c>
      <c r="X578" s="506" t="str">
        <f t="shared" si="43"/>
        <v/>
      </c>
    </row>
    <row r="579" spans="1:24" x14ac:dyDescent="0.25">
      <c r="A579" s="66" t="str">
        <f t="shared" si="45"/>
        <v/>
      </c>
      <c r="B579" s="23" t="str">
        <f t="shared" si="41"/>
        <v/>
      </c>
      <c r="C579" s="15"/>
      <c r="D579" s="16"/>
      <c r="E579" s="17"/>
      <c r="F579" s="18"/>
      <c r="G579" s="18"/>
      <c r="H579" s="19"/>
      <c r="I579" s="15"/>
      <c r="J579" s="20"/>
      <c r="K579" s="15"/>
      <c r="L579" s="15"/>
      <c r="M579" s="531" t="str">
        <f>CONCATENATE(IF(OR(L579=phu!$I$1,L579=phu!$I$2,L579=phu!$I$3),"Cam Thành Nam",""),IF(OR(L579=phu!$I$4,L579=phu!$I$5,L579=phu!$I$6,L579=phu!$I$7,L579=phu!$I$8,L579=phu!$I$9,L579=phu!$I$10,L579=phu!$I$11,L579=phu!$I$12,L579=phu!$I$13,L579=phu!$I$14),"Cam Nghĩa",""),IF(OR(L579=phu!$I$15,L579=phu!$I$16,L579=phu!$I$17,L579=phu!$I$18,L579=phu!$I$19,L579=phu!$I$20,L579=phu!$I$21),"Cam Phúc Bắc",""),IF(OR(L579=phu!$I$22,L579=phu!$I$23,L579=phu!$I$24,L579=phu!$I$25),"Cam Phúc Nam",""),IF(OR(L579=phu!$I$26,L579=phu!$I$27,L579=phu!$I$28,L579=phu!$I$29,L579=phu!$I$30,L579=phu!$I$31),"Cam Phú",""),IF(OR(L579=phu!$I$32,L579=phu!$I$33,L579=phu!$I$34,L579=phu!$I$35,L579=phu!$I$36,L579=phu!$I$37),"Cam Lộc",""),IF(OR(L579=phu!$I$38,L579=phu!$I$39,L579=phu!$I$40,L579=phu!$I$41,L579=phu!$I$42,L579=phu!$I$43,L579=phu!$I$44),"Cam Thuận",""),IF(OR(L579=phu!$I$45,L579=phu!$I$46,L579=phu!$I$47,L579=phu!$I$48,L579=phu!$I$49,L579=phu!$I$50,L579=phu!$I$51,L579=phu!$I$52,L579=phu!$I$53),"Cam Linh",""),IF(OR(L579=phu!$I$54,L579=phu!$I$55,L579=phu!$I$56,L579=phu!$I$57,L579=phu!$I$58,L579=phu!$I$59,L579=phu!$I$60,L579=phu!$I$61,L579=phu!$I$62),"Cam Lợi",""),IF(OR(L579=phu!$I$63,L579=phu!$I$64,L579=phu!$I$65,L579=phu!$I$66,L579=phu!$I$67,L579=phu!$I$68,L579=phu!$I$69,L579=phu!$I$70,L579=phu!$I$71),"Ba Ngòi",""),IF(OR(L579=phu!$I$72,L579=phu!$I$73,L579=phu!$I$74,L579=phu!$I$75,L579=phu!$I$76,L579=phu!$I$77,L579=phu!$I$78),"Cam Phước Đông",""),IF(OR(L579=phu!$I$79,L579=phu!$I$80,L579=phu!$I$81,L579=phu!$I$82,L579=phu!$I$83,L579=phu!$I$84),"Cam Thịnh Đông",""),IF(OR(L579=phu!$I$85,L579=phu!$I$86,L579=phu!$I$87,L579=phu!$I$88),"Cam Thịnh Tây",""),IF(OR(L579=phu!$I$89,L579=phu!$I$90),"Cam Lập",""),IF(OR(L579=phu!$I$91,L579=phu!$I$92,L579=phu!$I$93),"Cam Bình",""),IF(OR(L579=phu!$I$94,L579=phu!$I$95,L579=phu!$I$96,L579=phu!$I$97,L579=phu!$I$98,L579=phu!$I$99,L579=phu!$I$100),"Huyện khác",""),IF(OR(L579=phu!$I$101,L579=phu!$I$102),"Tỉnh khác",""))</f>
        <v/>
      </c>
      <c r="N579" s="835" t="str">
        <f t="shared" si="44"/>
        <v/>
      </c>
      <c r="O579" s="20"/>
      <c r="P579" s="20"/>
      <c r="Q579" s="20"/>
      <c r="R579" s="20"/>
      <c r="S579" s="20"/>
      <c r="T579" s="21"/>
      <c r="U579" s="21"/>
      <c r="V579" s="21"/>
      <c r="W579" s="7" t="str">
        <f t="shared" si="42"/>
        <v/>
      </c>
      <c r="X579" s="506" t="str">
        <f t="shared" si="43"/>
        <v/>
      </c>
    </row>
    <row r="580" spans="1:24" x14ac:dyDescent="0.25">
      <c r="A580" s="66" t="str">
        <f t="shared" si="45"/>
        <v/>
      </c>
      <c r="B580" s="23" t="str">
        <f t="shared" si="41"/>
        <v/>
      </c>
      <c r="C580" s="15"/>
      <c r="D580" s="16"/>
      <c r="E580" s="17"/>
      <c r="F580" s="18"/>
      <c r="G580" s="18"/>
      <c r="H580" s="19"/>
      <c r="I580" s="15"/>
      <c r="J580" s="20"/>
      <c r="K580" s="15"/>
      <c r="L580" s="15"/>
      <c r="M580" s="531" t="str">
        <f>CONCATENATE(IF(OR(L580=phu!$I$1,L580=phu!$I$2,L580=phu!$I$3),"Cam Thành Nam",""),IF(OR(L580=phu!$I$4,L580=phu!$I$5,L580=phu!$I$6,L580=phu!$I$7,L580=phu!$I$8,L580=phu!$I$9,L580=phu!$I$10,L580=phu!$I$11,L580=phu!$I$12,L580=phu!$I$13,L580=phu!$I$14),"Cam Nghĩa",""),IF(OR(L580=phu!$I$15,L580=phu!$I$16,L580=phu!$I$17,L580=phu!$I$18,L580=phu!$I$19,L580=phu!$I$20,L580=phu!$I$21),"Cam Phúc Bắc",""),IF(OR(L580=phu!$I$22,L580=phu!$I$23,L580=phu!$I$24,L580=phu!$I$25),"Cam Phúc Nam",""),IF(OR(L580=phu!$I$26,L580=phu!$I$27,L580=phu!$I$28,L580=phu!$I$29,L580=phu!$I$30,L580=phu!$I$31),"Cam Phú",""),IF(OR(L580=phu!$I$32,L580=phu!$I$33,L580=phu!$I$34,L580=phu!$I$35,L580=phu!$I$36,L580=phu!$I$37),"Cam Lộc",""),IF(OR(L580=phu!$I$38,L580=phu!$I$39,L580=phu!$I$40,L580=phu!$I$41,L580=phu!$I$42,L580=phu!$I$43,L580=phu!$I$44),"Cam Thuận",""),IF(OR(L580=phu!$I$45,L580=phu!$I$46,L580=phu!$I$47,L580=phu!$I$48,L580=phu!$I$49,L580=phu!$I$50,L580=phu!$I$51,L580=phu!$I$52,L580=phu!$I$53),"Cam Linh",""),IF(OR(L580=phu!$I$54,L580=phu!$I$55,L580=phu!$I$56,L580=phu!$I$57,L580=phu!$I$58,L580=phu!$I$59,L580=phu!$I$60,L580=phu!$I$61,L580=phu!$I$62),"Cam Lợi",""),IF(OR(L580=phu!$I$63,L580=phu!$I$64,L580=phu!$I$65,L580=phu!$I$66,L580=phu!$I$67,L580=phu!$I$68,L580=phu!$I$69,L580=phu!$I$70,L580=phu!$I$71),"Ba Ngòi",""),IF(OR(L580=phu!$I$72,L580=phu!$I$73,L580=phu!$I$74,L580=phu!$I$75,L580=phu!$I$76,L580=phu!$I$77,L580=phu!$I$78),"Cam Phước Đông",""),IF(OR(L580=phu!$I$79,L580=phu!$I$80,L580=phu!$I$81,L580=phu!$I$82,L580=phu!$I$83,L580=phu!$I$84),"Cam Thịnh Đông",""),IF(OR(L580=phu!$I$85,L580=phu!$I$86,L580=phu!$I$87,L580=phu!$I$88),"Cam Thịnh Tây",""),IF(OR(L580=phu!$I$89,L580=phu!$I$90),"Cam Lập",""),IF(OR(L580=phu!$I$91,L580=phu!$I$92,L580=phu!$I$93),"Cam Bình",""),IF(OR(L580=phu!$I$94,L580=phu!$I$95,L580=phu!$I$96,L580=phu!$I$97,L580=phu!$I$98,L580=phu!$I$99,L580=phu!$I$100),"Huyện khác",""),IF(OR(L580=phu!$I$101,L580=phu!$I$102),"Tỉnh khác",""))</f>
        <v/>
      </c>
      <c r="N580" s="835" t="str">
        <f t="shared" si="44"/>
        <v/>
      </c>
      <c r="O580" s="20"/>
      <c r="P580" s="20"/>
      <c r="Q580" s="20"/>
      <c r="R580" s="20"/>
      <c r="S580" s="20"/>
      <c r="T580" s="21"/>
      <c r="U580" s="21"/>
      <c r="V580" s="21"/>
      <c r="W580" s="7" t="str">
        <f t="shared" si="42"/>
        <v/>
      </c>
      <c r="X580" s="506" t="str">
        <f t="shared" si="43"/>
        <v/>
      </c>
    </row>
    <row r="581" spans="1:24" x14ac:dyDescent="0.25">
      <c r="A581" s="66" t="str">
        <f t="shared" si="45"/>
        <v/>
      </c>
      <c r="B581" s="23" t="str">
        <f t="shared" si="41"/>
        <v/>
      </c>
      <c r="C581" s="15"/>
      <c r="D581" s="16"/>
      <c r="E581" s="17"/>
      <c r="F581" s="18"/>
      <c r="G581" s="18"/>
      <c r="H581" s="19"/>
      <c r="I581" s="15"/>
      <c r="J581" s="20"/>
      <c r="K581" s="15"/>
      <c r="L581" s="15"/>
      <c r="M581" s="531" t="str">
        <f>CONCATENATE(IF(OR(L581=phu!$I$1,L581=phu!$I$2,L581=phu!$I$3),"Cam Thành Nam",""),IF(OR(L581=phu!$I$4,L581=phu!$I$5,L581=phu!$I$6,L581=phu!$I$7,L581=phu!$I$8,L581=phu!$I$9,L581=phu!$I$10,L581=phu!$I$11,L581=phu!$I$12,L581=phu!$I$13,L581=phu!$I$14),"Cam Nghĩa",""),IF(OR(L581=phu!$I$15,L581=phu!$I$16,L581=phu!$I$17,L581=phu!$I$18,L581=phu!$I$19,L581=phu!$I$20,L581=phu!$I$21),"Cam Phúc Bắc",""),IF(OR(L581=phu!$I$22,L581=phu!$I$23,L581=phu!$I$24,L581=phu!$I$25),"Cam Phúc Nam",""),IF(OR(L581=phu!$I$26,L581=phu!$I$27,L581=phu!$I$28,L581=phu!$I$29,L581=phu!$I$30,L581=phu!$I$31),"Cam Phú",""),IF(OR(L581=phu!$I$32,L581=phu!$I$33,L581=phu!$I$34,L581=phu!$I$35,L581=phu!$I$36,L581=phu!$I$37),"Cam Lộc",""),IF(OR(L581=phu!$I$38,L581=phu!$I$39,L581=phu!$I$40,L581=phu!$I$41,L581=phu!$I$42,L581=phu!$I$43,L581=phu!$I$44),"Cam Thuận",""),IF(OR(L581=phu!$I$45,L581=phu!$I$46,L581=phu!$I$47,L581=phu!$I$48,L581=phu!$I$49,L581=phu!$I$50,L581=phu!$I$51,L581=phu!$I$52,L581=phu!$I$53),"Cam Linh",""),IF(OR(L581=phu!$I$54,L581=phu!$I$55,L581=phu!$I$56,L581=phu!$I$57,L581=phu!$I$58,L581=phu!$I$59,L581=phu!$I$60,L581=phu!$I$61,L581=phu!$I$62),"Cam Lợi",""),IF(OR(L581=phu!$I$63,L581=phu!$I$64,L581=phu!$I$65,L581=phu!$I$66,L581=phu!$I$67,L581=phu!$I$68,L581=phu!$I$69,L581=phu!$I$70,L581=phu!$I$71),"Ba Ngòi",""),IF(OR(L581=phu!$I$72,L581=phu!$I$73,L581=phu!$I$74,L581=phu!$I$75,L581=phu!$I$76,L581=phu!$I$77,L581=phu!$I$78),"Cam Phước Đông",""),IF(OR(L581=phu!$I$79,L581=phu!$I$80,L581=phu!$I$81,L581=phu!$I$82,L581=phu!$I$83,L581=phu!$I$84),"Cam Thịnh Đông",""),IF(OR(L581=phu!$I$85,L581=phu!$I$86,L581=phu!$I$87,L581=phu!$I$88),"Cam Thịnh Tây",""),IF(OR(L581=phu!$I$89,L581=phu!$I$90),"Cam Lập",""),IF(OR(L581=phu!$I$91,L581=phu!$I$92,L581=phu!$I$93),"Cam Bình",""),IF(OR(L581=phu!$I$94,L581=phu!$I$95,L581=phu!$I$96,L581=phu!$I$97,L581=phu!$I$98,L581=phu!$I$99,L581=phu!$I$100),"Huyện khác",""),IF(OR(L581=phu!$I$101,L581=phu!$I$102),"Tỉnh khác",""))</f>
        <v/>
      </c>
      <c r="N581" s="835" t="str">
        <f t="shared" si="44"/>
        <v/>
      </c>
      <c r="O581" s="20"/>
      <c r="P581" s="20"/>
      <c r="Q581" s="20"/>
      <c r="R581" s="20"/>
      <c r="S581" s="20"/>
      <c r="T581" s="21"/>
      <c r="U581" s="21"/>
      <c r="V581" s="21"/>
      <c r="W581" s="7" t="str">
        <f t="shared" si="42"/>
        <v/>
      </c>
      <c r="X581" s="506" t="str">
        <f t="shared" si="43"/>
        <v/>
      </c>
    </row>
    <row r="582" spans="1:24" x14ac:dyDescent="0.25">
      <c r="A582" s="66" t="str">
        <f t="shared" si="45"/>
        <v/>
      </c>
      <c r="B582" s="23" t="str">
        <f t="shared" ref="B582:B650" si="46">IF(W582=5,"5-6 tuổi",IF(W582=4,"4-5 tuổi",IF(W582=3,"3-4 tuổi",IF(AND(W582&lt;3,W582&gt;1),"25-36 tháng",IF(AND(W582=1,W582&gt;0),"13-24 tháng",IF(AND(W582=0,E582&lt;&gt;""),"Dưới 13 tháng",""))))))</f>
        <v/>
      </c>
      <c r="C582" s="15"/>
      <c r="D582" s="16"/>
      <c r="E582" s="17"/>
      <c r="F582" s="18"/>
      <c r="G582" s="18"/>
      <c r="H582" s="19"/>
      <c r="I582" s="15"/>
      <c r="J582" s="20"/>
      <c r="K582" s="15"/>
      <c r="L582" s="15"/>
      <c r="M582" s="531" t="str">
        <f>CONCATENATE(IF(OR(L582=phu!$I$1,L582=phu!$I$2,L582=phu!$I$3),"Cam Thành Nam",""),IF(OR(L582=phu!$I$4,L582=phu!$I$5,L582=phu!$I$6,L582=phu!$I$7,L582=phu!$I$8,L582=phu!$I$9,L582=phu!$I$10,L582=phu!$I$11,L582=phu!$I$12,L582=phu!$I$13,L582=phu!$I$14),"Cam Nghĩa",""),IF(OR(L582=phu!$I$15,L582=phu!$I$16,L582=phu!$I$17,L582=phu!$I$18,L582=phu!$I$19,L582=phu!$I$20,L582=phu!$I$21),"Cam Phúc Bắc",""),IF(OR(L582=phu!$I$22,L582=phu!$I$23,L582=phu!$I$24,L582=phu!$I$25),"Cam Phúc Nam",""),IF(OR(L582=phu!$I$26,L582=phu!$I$27,L582=phu!$I$28,L582=phu!$I$29,L582=phu!$I$30,L582=phu!$I$31),"Cam Phú",""),IF(OR(L582=phu!$I$32,L582=phu!$I$33,L582=phu!$I$34,L582=phu!$I$35,L582=phu!$I$36,L582=phu!$I$37),"Cam Lộc",""),IF(OR(L582=phu!$I$38,L582=phu!$I$39,L582=phu!$I$40,L582=phu!$I$41,L582=phu!$I$42,L582=phu!$I$43,L582=phu!$I$44),"Cam Thuận",""),IF(OR(L582=phu!$I$45,L582=phu!$I$46,L582=phu!$I$47,L582=phu!$I$48,L582=phu!$I$49,L582=phu!$I$50,L582=phu!$I$51,L582=phu!$I$52,L582=phu!$I$53),"Cam Linh",""),IF(OR(L582=phu!$I$54,L582=phu!$I$55,L582=phu!$I$56,L582=phu!$I$57,L582=phu!$I$58,L582=phu!$I$59,L582=phu!$I$60,L582=phu!$I$61,L582=phu!$I$62),"Cam Lợi",""),IF(OR(L582=phu!$I$63,L582=phu!$I$64,L582=phu!$I$65,L582=phu!$I$66,L582=phu!$I$67,L582=phu!$I$68,L582=phu!$I$69,L582=phu!$I$70,L582=phu!$I$71),"Ba Ngòi",""),IF(OR(L582=phu!$I$72,L582=phu!$I$73,L582=phu!$I$74,L582=phu!$I$75,L582=phu!$I$76,L582=phu!$I$77,L582=phu!$I$78),"Cam Phước Đông",""),IF(OR(L582=phu!$I$79,L582=phu!$I$80,L582=phu!$I$81,L582=phu!$I$82,L582=phu!$I$83,L582=phu!$I$84),"Cam Thịnh Đông",""),IF(OR(L582=phu!$I$85,L582=phu!$I$86,L582=phu!$I$87,L582=phu!$I$88),"Cam Thịnh Tây",""),IF(OR(L582=phu!$I$89,L582=phu!$I$90),"Cam Lập",""),IF(OR(L582=phu!$I$91,L582=phu!$I$92,L582=phu!$I$93),"Cam Bình",""),IF(OR(L582=phu!$I$94,L582=phu!$I$95,L582=phu!$I$96,L582=phu!$I$97,L582=phu!$I$98,L582=phu!$I$99,L582=phu!$I$100),"Huyện khác",""),IF(OR(L582=phu!$I$101,L582=phu!$I$102),"Tỉnh khác",""))</f>
        <v/>
      </c>
      <c r="N582" s="835" t="str">
        <f t="shared" si="44"/>
        <v/>
      </c>
      <c r="O582" s="20"/>
      <c r="P582" s="20"/>
      <c r="Q582" s="20"/>
      <c r="R582" s="20"/>
      <c r="S582" s="20"/>
      <c r="T582" s="21"/>
      <c r="U582" s="21"/>
      <c r="V582" s="21"/>
      <c r="W582" s="7" t="str">
        <f t="shared" ref="W582:W650" si="47">IF(OR($P$2="",H582=""),"",$P$2-H582)</f>
        <v/>
      </c>
      <c r="X582" s="506" t="str">
        <f t="shared" ref="X582:X650" si="48">IF(OR(AND(C582="",D582="",E582="",F582="",G582="",H582="",J582="",L582="",M582="",O582="",P582="",Q582=""),AND(C582&lt;&gt;"",D582&lt;&gt;"",E582&lt;&gt;"",F582&lt;&gt;"",G582&lt;&gt;"",H582&lt;&gt;"",J582&lt;&gt;"",L582&lt;&gt;"",M582&lt;&gt;"",O582&lt;&gt;"",OR(AND(P582&lt;&gt;"",Q582=""),AND(P582="",Q582&lt;&gt;""),AND(P582&lt;&gt;"",Q582&lt;&gt;"")),OR(AND(K582="X",S582&lt;&gt;""),AND(K582="",S582="")))),"","er")</f>
        <v/>
      </c>
    </row>
    <row r="583" spans="1:24" x14ac:dyDescent="0.25">
      <c r="A583" s="66" t="str">
        <f t="shared" si="45"/>
        <v/>
      </c>
      <c r="B583" s="23" t="str">
        <f t="shared" si="46"/>
        <v/>
      </c>
      <c r="C583" s="15"/>
      <c r="D583" s="16"/>
      <c r="E583" s="17"/>
      <c r="F583" s="18"/>
      <c r="G583" s="18"/>
      <c r="H583" s="19"/>
      <c r="I583" s="15"/>
      <c r="J583" s="20"/>
      <c r="K583" s="15"/>
      <c r="L583" s="15"/>
      <c r="M583" s="531" t="str">
        <f>CONCATENATE(IF(OR(L583=phu!$I$1,L583=phu!$I$2,L583=phu!$I$3),"Cam Thành Nam",""),IF(OR(L583=phu!$I$4,L583=phu!$I$5,L583=phu!$I$6,L583=phu!$I$7,L583=phu!$I$8,L583=phu!$I$9,L583=phu!$I$10,L583=phu!$I$11,L583=phu!$I$12,L583=phu!$I$13,L583=phu!$I$14),"Cam Nghĩa",""),IF(OR(L583=phu!$I$15,L583=phu!$I$16,L583=phu!$I$17,L583=phu!$I$18,L583=phu!$I$19,L583=phu!$I$20,L583=phu!$I$21),"Cam Phúc Bắc",""),IF(OR(L583=phu!$I$22,L583=phu!$I$23,L583=phu!$I$24,L583=phu!$I$25),"Cam Phúc Nam",""),IF(OR(L583=phu!$I$26,L583=phu!$I$27,L583=phu!$I$28,L583=phu!$I$29,L583=phu!$I$30,L583=phu!$I$31),"Cam Phú",""),IF(OR(L583=phu!$I$32,L583=phu!$I$33,L583=phu!$I$34,L583=phu!$I$35,L583=phu!$I$36,L583=phu!$I$37),"Cam Lộc",""),IF(OR(L583=phu!$I$38,L583=phu!$I$39,L583=phu!$I$40,L583=phu!$I$41,L583=phu!$I$42,L583=phu!$I$43,L583=phu!$I$44),"Cam Thuận",""),IF(OR(L583=phu!$I$45,L583=phu!$I$46,L583=phu!$I$47,L583=phu!$I$48,L583=phu!$I$49,L583=phu!$I$50,L583=phu!$I$51,L583=phu!$I$52,L583=phu!$I$53),"Cam Linh",""),IF(OR(L583=phu!$I$54,L583=phu!$I$55,L583=phu!$I$56,L583=phu!$I$57,L583=phu!$I$58,L583=phu!$I$59,L583=phu!$I$60,L583=phu!$I$61,L583=phu!$I$62),"Cam Lợi",""),IF(OR(L583=phu!$I$63,L583=phu!$I$64,L583=phu!$I$65,L583=phu!$I$66,L583=phu!$I$67,L583=phu!$I$68,L583=phu!$I$69,L583=phu!$I$70,L583=phu!$I$71),"Ba Ngòi",""),IF(OR(L583=phu!$I$72,L583=phu!$I$73,L583=phu!$I$74,L583=phu!$I$75,L583=phu!$I$76,L583=phu!$I$77,L583=phu!$I$78),"Cam Phước Đông",""),IF(OR(L583=phu!$I$79,L583=phu!$I$80,L583=phu!$I$81,L583=phu!$I$82,L583=phu!$I$83,L583=phu!$I$84),"Cam Thịnh Đông",""),IF(OR(L583=phu!$I$85,L583=phu!$I$86,L583=phu!$I$87,L583=phu!$I$88),"Cam Thịnh Tây",""),IF(OR(L583=phu!$I$89,L583=phu!$I$90),"Cam Lập",""),IF(OR(L583=phu!$I$91,L583=phu!$I$92,L583=phu!$I$93),"Cam Bình",""),IF(OR(L583=phu!$I$94,L583=phu!$I$95,L583=phu!$I$96,L583=phu!$I$97,L583=phu!$I$98,L583=phu!$I$99,L583=phu!$I$100),"Huyện khác",""),IF(OR(L583=phu!$I$101,L583=phu!$I$102),"Tỉnh khác",""))</f>
        <v/>
      </c>
      <c r="N583" s="835" t="str">
        <f t="shared" ref="N583:N646" si="49">CONCATENATE(IF(OR(M583="Cam Thành Nam",M583="Cam Nghĩa",M583="Cam Phúc Bắc"),"Bắc Cam Ranh",""),IF(OR(M583="Cam Phúc Nam",M583="Cam Phú",M583="Cam Lộc"),"Cam Ranh",""),IF(OR(M583="Cam Thuận",M583="Cam Linh",M583="Cam Lợi"),"Cam Linh",""),IF(OR(M583="Ba Ngòi",M583="Cam Phước Đông"),"Ba Ngòi",""),IF(OR(M583="Cam Thịnh Đông",M583="Cam Thịnh Tây",M583="Cam Lập",M583="Cam Bình"),"Nam Cam Ranh",""),IF(M583="Huyện khác","Huyện khác",""),IF(M583="Tỉnh khác","Tỉnh khác",""))</f>
        <v/>
      </c>
      <c r="O583" s="20"/>
      <c r="P583" s="20"/>
      <c r="Q583" s="20"/>
      <c r="R583" s="20"/>
      <c r="S583" s="20"/>
      <c r="T583" s="21"/>
      <c r="U583" s="21"/>
      <c r="V583" s="21"/>
      <c r="W583" s="7" t="str">
        <f t="shared" si="47"/>
        <v/>
      </c>
      <c r="X583" s="506" t="str">
        <f t="shared" si="48"/>
        <v/>
      </c>
    </row>
    <row r="584" spans="1:24" x14ac:dyDescent="0.25">
      <c r="A584" s="66" t="str">
        <f t="shared" si="45"/>
        <v/>
      </c>
      <c r="B584" s="23" t="str">
        <f t="shared" si="46"/>
        <v/>
      </c>
      <c r="C584" s="15"/>
      <c r="D584" s="16"/>
      <c r="E584" s="17"/>
      <c r="F584" s="18"/>
      <c r="G584" s="18"/>
      <c r="H584" s="19"/>
      <c r="I584" s="15"/>
      <c r="J584" s="20"/>
      <c r="K584" s="15"/>
      <c r="L584" s="15"/>
      <c r="M584" s="531" t="str">
        <f>CONCATENATE(IF(OR(L584=phu!$I$1,L584=phu!$I$2,L584=phu!$I$3),"Cam Thành Nam",""),IF(OR(L584=phu!$I$4,L584=phu!$I$5,L584=phu!$I$6,L584=phu!$I$7,L584=phu!$I$8,L584=phu!$I$9,L584=phu!$I$10,L584=phu!$I$11,L584=phu!$I$12,L584=phu!$I$13,L584=phu!$I$14),"Cam Nghĩa",""),IF(OR(L584=phu!$I$15,L584=phu!$I$16,L584=phu!$I$17,L584=phu!$I$18,L584=phu!$I$19,L584=phu!$I$20,L584=phu!$I$21),"Cam Phúc Bắc",""),IF(OR(L584=phu!$I$22,L584=phu!$I$23,L584=phu!$I$24,L584=phu!$I$25),"Cam Phúc Nam",""),IF(OR(L584=phu!$I$26,L584=phu!$I$27,L584=phu!$I$28,L584=phu!$I$29,L584=phu!$I$30,L584=phu!$I$31),"Cam Phú",""),IF(OR(L584=phu!$I$32,L584=phu!$I$33,L584=phu!$I$34,L584=phu!$I$35,L584=phu!$I$36,L584=phu!$I$37),"Cam Lộc",""),IF(OR(L584=phu!$I$38,L584=phu!$I$39,L584=phu!$I$40,L584=phu!$I$41,L584=phu!$I$42,L584=phu!$I$43,L584=phu!$I$44),"Cam Thuận",""),IF(OR(L584=phu!$I$45,L584=phu!$I$46,L584=phu!$I$47,L584=phu!$I$48,L584=phu!$I$49,L584=phu!$I$50,L584=phu!$I$51,L584=phu!$I$52,L584=phu!$I$53),"Cam Linh",""),IF(OR(L584=phu!$I$54,L584=phu!$I$55,L584=phu!$I$56,L584=phu!$I$57,L584=phu!$I$58,L584=phu!$I$59,L584=phu!$I$60,L584=phu!$I$61,L584=phu!$I$62),"Cam Lợi",""),IF(OR(L584=phu!$I$63,L584=phu!$I$64,L584=phu!$I$65,L584=phu!$I$66,L584=phu!$I$67,L584=phu!$I$68,L584=phu!$I$69,L584=phu!$I$70,L584=phu!$I$71),"Ba Ngòi",""),IF(OR(L584=phu!$I$72,L584=phu!$I$73,L584=phu!$I$74,L584=phu!$I$75,L584=phu!$I$76,L584=phu!$I$77,L584=phu!$I$78),"Cam Phước Đông",""),IF(OR(L584=phu!$I$79,L584=phu!$I$80,L584=phu!$I$81,L584=phu!$I$82,L584=phu!$I$83,L584=phu!$I$84),"Cam Thịnh Đông",""),IF(OR(L584=phu!$I$85,L584=phu!$I$86,L584=phu!$I$87,L584=phu!$I$88),"Cam Thịnh Tây",""),IF(OR(L584=phu!$I$89,L584=phu!$I$90),"Cam Lập",""),IF(OR(L584=phu!$I$91,L584=phu!$I$92,L584=phu!$I$93),"Cam Bình",""),IF(OR(L584=phu!$I$94,L584=phu!$I$95,L584=phu!$I$96,L584=phu!$I$97,L584=phu!$I$98,L584=phu!$I$99,L584=phu!$I$100),"Huyện khác",""),IF(OR(L584=phu!$I$101,L584=phu!$I$102),"Tỉnh khác",""))</f>
        <v/>
      </c>
      <c r="N584" s="835" t="str">
        <f t="shared" si="49"/>
        <v/>
      </c>
      <c r="O584" s="20"/>
      <c r="P584" s="20"/>
      <c r="Q584" s="20"/>
      <c r="R584" s="20"/>
      <c r="S584" s="20"/>
      <c r="T584" s="21"/>
      <c r="U584" s="21"/>
      <c r="V584" s="21"/>
      <c r="W584" s="7" t="str">
        <f t="shared" si="47"/>
        <v/>
      </c>
      <c r="X584" s="506" t="str">
        <f t="shared" si="48"/>
        <v/>
      </c>
    </row>
    <row r="585" spans="1:24" x14ac:dyDescent="0.25">
      <c r="A585" s="66" t="str">
        <f t="shared" si="45"/>
        <v/>
      </c>
      <c r="B585" s="23" t="str">
        <f t="shared" si="46"/>
        <v/>
      </c>
      <c r="C585" s="15"/>
      <c r="D585" s="16"/>
      <c r="E585" s="17"/>
      <c r="F585" s="18"/>
      <c r="G585" s="18"/>
      <c r="H585" s="19"/>
      <c r="I585" s="15"/>
      <c r="J585" s="20"/>
      <c r="K585" s="15"/>
      <c r="L585" s="15"/>
      <c r="M585" s="531" t="str">
        <f>CONCATENATE(IF(OR(L585=phu!$I$1,L585=phu!$I$2,L585=phu!$I$3),"Cam Thành Nam",""),IF(OR(L585=phu!$I$4,L585=phu!$I$5,L585=phu!$I$6,L585=phu!$I$7,L585=phu!$I$8,L585=phu!$I$9,L585=phu!$I$10,L585=phu!$I$11,L585=phu!$I$12,L585=phu!$I$13,L585=phu!$I$14),"Cam Nghĩa",""),IF(OR(L585=phu!$I$15,L585=phu!$I$16,L585=phu!$I$17,L585=phu!$I$18,L585=phu!$I$19,L585=phu!$I$20,L585=phu!$I$21),"Cam Phúc Bắc",""),IF(OR(L585=phu!$I$22,L585=phu!$I$23,L585=phu!$I$24,L585=phu!$I$25),"Cam Phúc Nam",""),IF(OR(L585=phu!$I$26,L585=phu!$I$27,L585=phu!$I$28,L585=phu!$I$29,L585=phu!$I$30,L585=phu!$I$31),"Cam Phú",""),IF(OR(L585=phu!$I$32,L585=phu!$I$33,L585=phu!$I$34,L585=phu!$I$35,L585=phu!$I$36,L585=phu!$I$37),"Cam Lộc",""),IF(OR(L585=phu!$I$38,L585=phu!$I$39,L585=phu!$I$40,L585=phu!$I$41,L585=phu!$I$42,L585=phu!$I$43,L585=phu!$I$44),"Cam Thuận",""),IF(OR(L585=phu!$I$45,L585=phu!$I$46,L585=phu!$I$47,L585=phu!$I$48,L585=phu!$I$49,L585=phu!$I$50,L585=phu!$I$51,L585=phu!$I$52,L585=phu!$I$53),"Cam Linh",""),IF(OR(L585=phu!$I$54,L585=phu!$I$55,L585=phu!$I$56,L585=phu!$I$57,L585=phu!$I$58,L585=phu!$I$59,L585=phu!$I$60,L585=phu!$I$61,L585=phu!$I$62),"Cam Lợi",""),IF(OR(L585=phu!$I$63,L585=phu!$I$64,L585=phu!$I$65,L585=phu!$I$66,L585=phu!$I$67,L585=phu!$I$68,L585=phu!$I$69,L585=phu!$I$70,L585=phu!$I$71),"Ba Ngòi",""),IF(OR(L585=phu!$I$72,L585=phu!$I$73,L585=phu!$I$74,L585=phu!$I$75,L585=phu!$I$76,L585=phu!$I$77,L585=phu!$I$78),"Cam Phước Đông",""),IF(OR(L585=phu!$I$79,L585=phu!$I$80,L585=phu!$I$81,L585=phu!$I$82,L585=phu!$I$83,L585=phu!$I$84),"Cam Thịnh Đông",""),IF(OR(L585=phu!$I$85,L585=phu!$I$86,L585=phu!$I$87,L585=phu!$I$88),"Cam Thịnh Tây",""),IF(OR(L585=phu!$I$89,L585=phu!$I$90),"Cam Lập",""),IF(OR(L585=phu!$I$91,L585=phu!$I$92,L585=phu!$I$93),"Cam Bình",""),IF(OR(L585=phu!$I$94,L585=phu!$I$95,L585=phu!$I$96,L585=phu!$I$97,L585=phu!$I$98,L585=phu!$I$99,L585=phu!$I$100),"Huyện khác",""),IF(OR(L585=phu!$I$101,L585=phu!$I$102),"Tỉnh khác",""))</f>
        <v/>
      </c>
      <c r="N585" s="835" t="str">
        <f t="shared" si="49"/>
        <v/>
      </c>
      <c r="O585" s="20"/>
      <c r="P585" s="20"/>
      <c r="Q585" s="20"/>
      <c r="R585" s="20"/>
      <c r="S585" s="20"/>
      <c r="T585" s="21"/>
      <c r="U585" s="21"/>
      <c r="V585" s="21"/>
      <c r="W585" s="7" t="str">
        <f t="shared" si="47"/>
        <v/>
      </c>
      <c r="X585" s="506" t="str">
        <f t="shared" si="48"/>
        <v/>
      </c>
    </row>
    <row r="586" spans="1:24" x14ac:dyDescent="0.25">
      <c r="A586" s="66" t="str">
        <f t="shared" si="45"/>
        <v/>
      </c>
      <c r="B586" s="23" t="str">
        <f t="shared" si="46"/>
        <v/>
      </c>
      <c r="C586" s="15"/>
      <c r="D586" s="16"/>
      <c r="E586" s="17"/>
      <c r="F586" s="18"/>
      <c r="G586" s="18"/>
      <c r="H586" s="19"/>
      <c r="I586" s="15"/>
      <c r="J586" s="20"/>
      <c r="K586" s="15"/>
      <c r="L586" s="15"/>
      <c r="M586" s="531" t="str">
        <f>CONCATENATE(IF(OR(L586=phu!$I$1,L586=phu!$I$2,L586=phu!$I$3),"Cam Thành Nam",""),IF(OR(L586=phu!$I$4,L586=phu!$I$5,L586=phu!$I$6,L586=phu!$I$7,L586=phu!$I$8,L586=phu!$I$9,L586=phu!$I$10,L586=phu!$I$11,L586=phu!$I$12,L586=phu!$I$13,L586=phu!$I$14),"Cam Nghĩa",""),IF(OR(L586=phu!$I$15,L586=phu!$I$16,L586=phu!$I$17,L586=phu!$I$18,L586=phu!$I$19,L586=phu!$I$20,L586=phu!$I$21),"Cam Phúc Bắc",""),IF(OR(L586=phu!$I$22,L586=phu!$I$23,L586=phu!$I$24,L586=phu!$I$25),"Cam Phúc Nam",""),IF(OR(L586=phu!$I$26,L586=phu!$I$27,L586=phu!$I$28,L586=phu!$I$29,L586=phu!$I$30,L586=phu!$I$31),"Cam Phú",""),IF(OR(L586=phu!$I$32,L586=phu!$I$33,L586=phu!$I$34,L586=phu!$I$35,L586=phu!$I$36,L586=phu!$I$37),"Cam Lộc",""),IF(OR(L586=phu!$I$38,L586=phu!$I$39,L586=phu!$I$40,L586=phu!$I$41,L586=phu!$I$42,L586=phu!$I$43,L586=phu!$I$44),"Cam Thuận",""),IF(OR(L586=phu!$I$45,L586=phu!$I$46,L586=phu!$I$47,L586=phu!$I$48,L586=phu!$I$49,L586=phu!$I$50,L586=phu!$I$51,L586=phu!$I$52,L586=phu!$I$53),"Cam Linh",""),IF(OR(L586=phu!$I$54,L586=phu!$I$55,L586=phu!$I$56,L586=phu!$I$57,L586=phu!$I$58,L586=phu!$I$59,L586=phu!$I$60,L586=phu!$I$61,L586=phu!$I$62),"Cam Lợi",""),IF(OR(L586=phu!$I$63,L586=phu!$I$64,L586=phu!$I$65,L586=phu!$I$66,L586=phu!$I$67,L586=phu!$I$68,L586=phu!$I$69,L586=phu!$I$70,L586=phu!$I$71),"Ba Ngòi",""),IF(OR(L586=phu!$I$72,L586=phu!$I$73,L586=phu!$I$74,L586=phu!$I$75,L586=phu!$I$76,L586=phu!$I$77,L586=phu!$I$78),"Cam Phước Đông",""),IF(OR(L586=phu!$I$79,L586=phu!$I$80,L586=phu!$I$81,L586=phu!$I$82,L586=phu!$I$83,L586=phu!$I$84),"Cam Thịnh Đông",""),IF(OR(L586=phu!$I$85,L586=phu!$I$86,L586=phu!$I$87,L586=phu!$I$88),"Cam Thịnh Tây",""),IF(OR(L586=phu!$I$89,L586=phu!$I$90),"Cam Lập",""),IF(OR(L586=phu!$I$91,L586=phu!$I$92,L586=phu!$I$93),"Cam Bình",""),IF(OR(L586=phu!$I$94,L586=phu!$I$95,L586=phu!$I$96,L586=phu!$I$97,L586=phu!$I$98,L586=phu!$I$99,L586=phu!$I$100),"Huyện khác",""),IF(OR(L586=phu!$I$101,L586=phu!$I$102),"Tỉnh khác",""))</f>
        <v/>
      </c>
      <c r="N586" s="835" t="str">
        <f t="shared" si="49"/>
        <v/>
      </c>
      <c r="O586" s="20"/>
      <c r="P586" s="20"/>
      <c r="Q586" s="20"/>
      <c r="R586" s="20"/>
      <c r="S586" s="20"/>
      <c r="T586" s="21"/>
      <c r="U586" s="21"/>
      <c r="V586" s="21"/>
      <c r="W586" s="7" t="str">
        <f t="shared" si="47"/>
        <v/>
      </c>
      <c r="X586" s="506" t="str">
        <f t="shared" si="48"/>
        <v/>
      </c>
    </row>
    <row r="587" spans="1:24" x14ac:dyDescent="0.25">
      <c r="A587" s="66" t="str">
        <f t="shared" si="45"/>
        <v/>
      </c>
      <c r="B587" s="23" t="str">
        <f t="shared" si="46"/>
        <v/>
      </c>
      <c r="C587" s="15"/>
      <c r="D587" s="16"/>
      <c r="E587" s="17"/>
      <c r="F587" s="18"/>
      <c r="G587" s="18"/>
      <c r="H587" s="19"/>
      <c r="I587" s="15"/>
      <c r="J587" s="20"/>
      <c r="K587" s="15"/>
      <c r="L587" s="15"/>
      <c r="M587" s="531" t="str">
        <f>CONCATENATE(IF(OR(L587=phu!$I$1,L587=phu!$I$2,L587=phu!$I$3),"Cam Thành Nam",""),IF(OR(L587=phu!$I$4,L587=phu!$I$5,L587=phu!$I$6,L587=phu!$I$7,L587=phu!$I$8,L587=phu!$I$9,L587=phu!$I$10,L587=phu!$I$11,L587=phu!$I$12,L587=phu!$I$13,L587=phu!$I$14),"Cam Nghĩa",""),IF(OR(L587=phu!$I$15,L587=phu!$I$16,L587=phu!$I$17,L587=phu!$I$18,L587=phu!$I$19,L587=phu!$I$20,L587=phu!$I$21),"Cam Phúc Bắc",""),IF(OR(L587=phu!$I$22,L587=phu!$I$23,L587=phu!$I$24,L587=phu!$I$25),"Cam Phúc Nam",""),IF(OR(L587=phu!$I$26,L587=phu!$I$27,L587=phu!$I$28,L587=phu!$I$29,L587=phu!$I$30,L587=phu!$I$31),"Cam Phú",""),IF(OR(L587=phu!$I$32,L587=phu!$I$33,L587=phu!$I$34,L587=phu!$I$35,L587=phu!$I$36,L587=phu!$I$37),"Cam Lộc",""),IF(OR(L587=phu!$I$38,L587=phu!$I$39,L587=phu!$I$40,L587=phu!$I$41,L587=phu!$I$42,L587=phu!$I$43,L587=phu!$I$44),"Cam Thuận",""),IF(OR(L587=phu!$I$45,L587=phu!$I$46,L587=phu!$I$47,L587=phu!$I$48,L587=phu!$I$49,L587=phu!$I$50,L587=phu!$I$51,L587=phu!$I$52,L587=phu!$I$53),"Cam Linh",""),IF(OR(L587=phu!$I$54,L587=phu!$I$55,L587=phu!$I$56,L587=phu!$I$57,L587=phu!$I$58,L587=phu!$I$59,L587=phu!$I$60,L587=phu!$I$61,L587=phu!$I$62),"Cam Lợi",""),IF(OR(L587=phu!$I$63,L587=phu!$I$64,L587=phu!$I$65,L587=phu!$I$66,L587=phu!$I$67,L587=phu!$I$68,L587=phu!$I$69,L587=phu!$I$70,L587=phu!$I$71),"Ba Ngòi",""),IF(OR(L587=phu!$I$72,L587=phu!$I$73,L587=phu!$I$74,L587=phu!$I$75,L587=phu!$I$76,L587=phu!$I$77,L587=phu!$I$78),"Cam Phước Đông",""),IF(OR(L587=phu!$I$79,L587=phu!$I$80,L587=phu!$I$81,L587=phu!$I$82,L587=phu!$I$83,L587=phu!$I$84),"Cam Thịnh Đông",""),IF(OR(L587=phu!$I$85,L587=phu!$I$86,L587=phu!$I$87,L587=phu!$I$88),"Cam Thịnh Tây",""),IF(OR(L587=phu!$I$89,L587=phu!$I$90),"Cam Lập",""),IF(OR(L587=phu!$I$91,L587=phu!$I$92,L587=phu!$I$93),"Cam Bình",""),IF(OR(L587=phu!$I$94,L587=phu!$I$95,L587=phu!$I$96,L587=phu!$I$97,L587=phu!$I$98,L587=phu!$I$99,L587=phu!$I$100),"Huyện khác",""),IF(OR(L587=phu!$I$101,L587=phu!$I$102),"Tỉnh khác",""))</f>
        <v/>
      </c>
      <c r="N587" s="835" t="str">
        <f t="shared" si="49"/>
        <v/>
      </c>
      <c r="O587" s="20"/>
      <c r="P587" s="20"/>
      <c r="Q587" s="20"/>
      <c r="R587" s="20"/>
      <c r="S587" s="20"/>
      <c r="T587" s="21"/>
      <c r="U587" s="21"/>
      <c r="V587" s="21"/>
      <c r="W587" s="7" t="str">
        <f t="shared" si="47"/>
        <v/>
      </c>
      <c r="X587" s="506" t="str">
        <f t="shared" si="48"/>
        <v/>
      </c>
    </row>
    <row r="588" spans="1:24" x14ac:dyDescent="0.25">
      <c r="A588" s="66" t="str">
        <f t="shared" si="45"/>
        <v/>
      </c>
      <c r="B588" s="23" t="str">
        <f t="shared" si="46"/>
        <v/>
      </c>
      <c r="C588" s="15"/>
      <c r="D588" s="16"/>
      <c r="E588" s="17"/>
      <c r="F588" s="18"/>
      <c r="G588" s="18"/>
      <c r="H588" s="19"/>
      <c r="I588" s="15"/>
      <c r="J588" s="20"/>
      <c r="K588" s="15"/>
      <c r="L588" s="15"/>
      <c r="M588" s="531" t="str">
        <f>CONCATENATE(IF(OR(L588=phu!$I$1,L588=phu!$I$2,L588=phu!$I$3),"Cam Thành Nam",""),IF(OR(L588=phu!$I$4,L588=phu!$I$5,L588=phu!$I$6,L588=phu!$I$7,L588=phu!$I$8,L588=phu!$I$9,L588=phu!$I$10,L588=phu!$I$11,L588=phu!$I$12,L588=phu!$I$13,L588=phu!$I$14),"Cam Nghĩa",""),IF(OR(L588=phu!$I$15,L588=phu!$I$16,L588=phu!$I$17,L588=phu!$I$18,L588=phu!$I$19,L588=phu!$I$20,L588=phu!$I$21),"Cam Phúc Bắc",""),IF(OR(L588=phu!$I$22,L588=phu!$I$23,L588=phu!$I$24,L588=phu!$I$25),"Cam Phúc Nam",""),IF(OR(L588=phu!$I$26,L588=phu!$I$27,L588=phu!$I$28,L588=phu!$I$29,L588=phu!$I$30,L588=phu!$I$31),"Cam Phú",""),IF(OR(L588=phu!$I$32,L588=phu!$I$33,L588=phu!$I$34,L588=phu!$I$35,L588=phu!$I$36,L588=phu!$I$37),"Cam Lộc",""),IF(OR(L588=phu!$I$38,L588=phu!$I$39,L588=phu!$I$40,L588=phu!$I$41,L588=phu!$I$42,L588=phu!$I$43,L588=phu!$I$44),"Cam Thuận",""),IF(OR(L588=phu!$I$45,L588=phu!$I$46,L588=phu!$I$47,L588=phu!$I$48,L588=phu!$I$49,L588=phu!$I$50,L588=phu!$I$51,L588=phu!$I$52,L588=phu!$I$53),"Cam Linh",""),IF(OR(L588=phu!$I$54,L588=phu!$I$55,L588=phu!$I$56,L588=phu!$I$57,L588=phu!$I$58,L588=phu!$I$59,L588=phu!$I$60,L588=phu!$I$61,L588=phu!$I$62),"Cam Lợi",""),IF(OR(L588=phu!$I$63,L588=phu!$I$64,L588=phu!$I$65,L588=phu!$I$66,L588=phu!$I$67,L588=phu!$I$68,L588=phu!$I$69,L588=phu!$I$70,L588=phu!$I$71),"Ba Ngòi",""),IF(OR(L588=phu!$I$72,L588=phu!$I$73,L588=phu!$I$74,L588=phu!$I$75,L588=phu!$I$76,L588=phu!$I$77,L588=phu!$I$78),"Cam Phước Đông",""),IF(OR(L588=phu!$I$79,L588=phu!$I$80,L588=phu!$I$81,L588=phu!$I$82,L588=phu!$I$83,L588=phu!$I$84),"Cam Thịnh Đông",""),IF(OR(L588=phu!$I$85,L588=phu!$I$86,L588=phu!$I$87,L588=phu!$I$88),"Cam Thịnh Tây",""),IF(OR(L588=phu!$I$89,L588=phu!$I$90),"Cam Lập",""),IF(OR(L588=phu!$I$91,L588=phu!$I$92,L588=phu!$I$93),"Cam Bình",""),IF(OR(L588=phu!$I$94,L588=phu!$I$95,L588=phu!$I$96,L588=phu!$I$97,L588=phu!$I$98,L588=phu!$I$99,L588=phu!$I$100),"Huyện khác",""),IF(OR(L588=phu!$I$101,L588=phu!$I$102),"Tỉnh khác",""))</f>
        <v/>
      </c>
      <c r="N588" s="835" t="str">
        <f t="shared" si="49"/>
        <v/>
      </c>
      <c r="O588" s="20"/>
      <c r="P588" s="20"/>
      <c r="Q588" s="20"/>
      <c r="R588" s="20"/>
      <c r="S588" s="20"/>
      <c r="T588" s="21"/>
      <c r="U588" s="21"/>
      <c r="V588" s="21"/>
      <c r="W588" s="7" t="str">
        <f t="shared" si="47"/>
        <v/>
      </c>
      <c r="X588" s="506" t="str">
        <f t="shared" si="48"/>
        <v/>
      </c>
    </row>
    <row r="589" spans="1:24" x14ac:dyDescent="0.25">
      <c r="A589" s="66" t="str">
        <f t="shared" si="45"/>
        <v/>
      </c>
      <c r="B589" s="23" t="str">
        <f t="shared" si="46"/>
        <v/>
      </c>
      <c r="C589" s="15"/>
      <c r="D589" s="16"/>
      <c r="E589" s="17"/>
      <c r="F589" s="18"/>
      <c r="G589" s="18"/>
      <c r="H589" s="19"/>
      <c r="I589" s="15"/>
      <c r="J589" s="20"/>
      <c r="K589" s="15"/>
      <c r="L589" s="15"/>
      <c r="M589" s="531" t="str">
        <f>CONCATENATE(IF(OR(L589=phu!$I$1,L589=phu!$I$2,L589=phu!$I$3),"Cam Thành Nam",""),IF(OR(L589=phu!$I$4,L589=phu!$I$5,L589=phu!$I$6,L589=phu!$I$7,L589=phu!$I$8,L589=phu!$I$9,L589=phu!$I$10,L589=phu!$I$11,L589=phu!$I$12,L589=phu!$I$13,L589=phu!$I$14),"Cam Nghĩa",""),IF(OR(L589=phu!$I$15,L589=phu!$I$16,L589=phu!$I$17,L589=phu!$I$18,L589=phu!$I$19,L589=phu!$I$20,L589=phu!$I$21),"Cam Phúc Bắc",""),IF(OR(L589=phu!$I$22,L589=phu!$I$23,L589=phu!$I$24,L589=phu!$I$25),"Cam Phúc Nam",""),IF(OR(L589=phu!$I$26,L589=phu!$I$27,L589=phu!$I$28,L589=phu!$I$29,L589=phu!$I$30,L589=phu!$I$31),"Cam Phú",""),IF(OR(L589=phu!$I$32,L589=phu!$I$33,L589=phu!$I$34,L589=phu!$I$35,L589=phu!$I$36,L589=phu!$I$37),"Cam Lộc",""),IF(OR(L589=phu!$I$38,L589=phu!$I$39,L589=phu!$I$40,L589=phu!$I$41,L589=phu!$I$42,L589=phu!$I$43,L589=phu!$I$44),"Cam Thuận",""),IF(OR(L589=phu!$I$45,L589=phu!$I$46,L589=phu!$I$47,L589=phu!$I$48,L589=phu!$I$49,L589=phu!$I$50,L589=phu!$I$51,L589=phu!$I$52,L589=phu!$I$53),"Cam Linh",""),IF(OR(L589=phu!$I$54,L589=phu!$I$55,L589=phu!$I$56,L589=phu!$I$57,L589=phu!$I$58,L589=phu!$I$59,L589=phu!$I$60,L589=phu!$I$61,L589=phu!$I$62),"Cam Lợi",""),IF(OR(L589=phu!$I$63,L589=phu!$I$64,L589=phu!$I$65,L589=phu!$I$66,L589=phu!$I$67,L589=phu!$I$68,L589=phu!$I$69,L589=phu!$I$70,L589=phu!$I$71),"Ba Ngòi",""),IF(OR(L589=phu!$I$72,L589=phu!$I$73,L589=phu!$I$74,L589=phu!$I$75,L589=phu!$I$76,L589=phu!$I$77,L589=phu!$I$78),"Cam Phước Đông",""),IF(OR(L589=phu!$I$79,L589=phu!$I$80,L589=phu!$I$81,L589=phu!$I$82,L589=phu!$I$83,L589=phu!$I$84),"Cam Thịnh Đông",""),IF(OR(L589=phu!$I$85,L589=phu!$I$86,L589=phu!$I$87,L589=phu!$I$88),"Cam Thịnh Tây",""),IF(OR(L589=phu!$I$89,L589=phu!$I$90),"Cam Lập",""),IF(OR(L589=phu!$I$91,L589=phu!$I$92,L589=phu!$I$93),"Cam Bình",""),IF(OR(L589=phu!$I$94,L589=phu!$I$95,L589=phu!$I$96,L589=phu!$I$97,L589=phu!$I$98,L589=phu!$I$99,L589=phu!$I$100),"Huyện khác",""),IF(OR(L589=phu!$I$101,L589=phu!$I$102),"Tỉnh khác",""))</f>
        <v/>
      </c>
      <c r="N589" s="835" t="str">
        <f t="shared" si="49"/>
        <v/>
      </c>
      <c r="O589" s="20"/>
      <c r="P589" s="20"/>
      <c r="Q589" s="20"/>
      <c r="R589" s="20"/>
      <c r="S589" s="20"/>
      <c r="T589" s="21"/>
      <c r="U589" s="21"/>
      <c r="V589" s="21"/>
      <c r="W589" s="7" t="str">
        <f t="shared" si="47"/>
        <v/>
      </c>
      <c r="X589" s="506" t="str">
        <f t="shared" si="48"/>
        <v/>
      </c>
    </row>
    <row r="590" spans="1:24" x14ac:dyDescent="0.25">
      <c r="A590" s="66" t="str">
        <f t="shared" si="45"/>
        <v/>
      </c>
      <c r="B590" s="23" t="str">
        <f t="shared" si="46"/>
        <v/>
      </c>
      <c r="C590" s="15"/>
      <c r="D590" s="16"/>
      <c r="E590" s="17"/>
      <c r="F590" s="18"/>
      <c r="G590" s="18"/>
      <c r="H590" s="19"/>
      <c r="I590" s="15"/>
      <c r="J590" s="20"/>
      <c r="K590" s="15"/>
      <c r="L590" s="15"/>
      <c r="M590" s="531" t="str">
        <f>CONCATENATE(IF(OR(L590=phu!$I$1,L590=phu!$I$2,L590=phu!$I$3),"Cam Thành Nam",""),IF(OR(L590=phu!$I$4,L590=phu!$I$5,L590=phu!$I$6,L590=phu!$I$7,L590=phu!$I$8,L590=phu!$I$9,L590=phu!$I$10,L590=phu!$I$11,L590=phu!$I$12,L590=phu!$I$13,L590=phu!$I$14),"Cam Nghĩa",""),IF(OR(L590=phu!$I$15,L590=phu!$I$16,L590=phu!$I$17,L590=phu!$I$18,L590=phu!$I$19,L590=phu!$I$20,L590=phu!$I$21),"Cam Phúc Bắc",""),IF(OR(L590=phu!$I$22,L590=phu!$I$23,L590=phu!$I$24,L590=phu!$I$25),"Cam Phúc Nam",""),IF(OR(L590=phu!$I$26,L590=phu!$I$27,L590=phu!$I$28,L590=phu!$I$29,L590=phu!$I$30,L590=phu!$I$31),"Cam Phú",""),IF(OR(L590=phu!$I$32,L590=phu!$I$33,L590=phu!$I$34,L590=phu!$I$35,L590=phu!$I$36,L590=phu!$I$37),"Cam Lộc",""),IF(OR(L590=phu!$I$38,L590=phu!$I$39,L590=phu!$I$40,L590=phu!$I$41,L590=phu!$I$42,L590=phu!$I$43,L590=phu!$I$44),"Cam Thuận",""),IF(OR(L590=phu!$I$45,L590=phu!$I$46,L590=phu!$I$47,L590=phu!$I$48,L590=phu!$I$49,L590=phu!$I$50,L590=phu!$I$51,L590=phu!$I$52,L590=phu!$I$53),"Cam Linh",""),IF(OR(L590=phu!$I$54,L590=phu!$I$55,L590=phu!$I$56,L590=phu!$I$57,L590=phu!$I$58,L590=phu!$I$59,L590=phu!$I$60,L590=phu!$I$61,L590=phu!$I$62),"Cam Lợi",""),IF(OR(L590=phu!$I$63,L590=phu!$I$64,L590=phu!$I$65,L590=phu!$I$66,L590=phu!$I$67,L590=phu!$I$68,L590=phu!$I$69,L590=phu!$I$70,L590=phu!$I$71),"Ba Ngòi",""),IF(OR(L590=phu!$I$72,L590=phu!$I$73,L590=phu!$I$74,L590=phu!$I$75,L590=phu!$I$76,L590=phu!$I$77,L590=phu!$I$78),"Cam Phước Đông",""),IF(OR(L590=phu!$I$79,L590=phu!$I$80,L590=phu!$I$81,L590=phu!$I$82,L590=phu!$I$83,L590=phu!$I$84),"Cam Thịnh Đông",""),IF(OR(L590=phu!$I$85,L590=phu!$I$86,L590=phu!$I$87,L590=phu!$I$88),"Cam Thịnh Tây",""),IF(OR(L590=phu!$I$89,L590=phu!$I$90),"Cam Lập",""),IF(OR(L590=phu!$I$91,L590=phu!$I$92,L590=phu!$I$93),"Cam Bình",""),IF(OR(L590=phu!$I$94,L590=phu!$I$95,L590=phu!$I$96,L590=phu!$I$97,L590=phu!$I$98,L590=phu!$I$99,L590=phu!$I$100),"Huyện khác",""),IF(OR(L590=phu!$I$101,L590=phu!$I$102),"Tỉnh khác",""))</f>
        <v/>
      </c>
      <c r="N590" s="835" t="str">
        <f t="shared" si="49"/>
        <v/>
      </c>
      <c r="O590" s="20"/>
      <c r="P590" s="20"/>
      <c r="Q590" s="20"/>
      <c r="R590" s="20"/>
      <c r="S590" s="20"/>
      <c r="T590" s="21"/>
      <c r="U590" s="21"/>
      <c r="V590" s="21"/>
      <c r="W590" s="7" t="str">
        <f t="shared" si="47"/>
        <v/>
      </c>
      <c r="X590" s="506" t="str">
        <f t="shared" si="48"/>
        <v/>
      </c>
    </row>
    <row r="591" spans="1:24" x14ac:dyDescent="0.25">
      <c r="A591" s="66" t="str">
        <f t="shared" si="45"/>
        <v/>
      </c>
      <c r="B591" s="23" t="str">
        <f t="shared" si="46"/>
        <v/>
      </c>
      <c r="C591" s="15"/>
      <c r="D591" s="16"/>
      <c r="E591" s="17"/>
      <c r="F591" s="18"/>
      <c r="G591" s="18"/>
      <c r="H591" s="19"/>
      <c r="I591" s="15"/>
      <c r="J591" s="20"/>
      <c r="K591" s="15"/>
      <c r="L591" s="15"/>
      <c r="M591" s="531" t="str">
        <f>CONCATENATE(IF(OR(L591=phu!$I$1,L591=phu!$I$2,L591=phu!$I$3),"Cam Thành Nam",""),IF(OR(L591=phu!$I$4,L591=phu!$I$5,L591=phu!$I$6,L591=phu!$I$7,L591=phu!$I$8,L591=phu!$I$9,L591=phu!$I$10,L591=phu!$I$11,L591=phu!$I$12,L591=phu!$I$13,L591=phu!$I$14),"Cam Nghĩa",""),IF(OR(L591=phu!$I$15,L591=phu!$I$16,L591=phu!$I$17,L591=phu!$I$18,L591=phu!$I$19,L591=phu!$I$20,L591=phu!$I$21),"Cam Phúc Bắc",""),IF(OR(L591=phu!$I$22,L591=phu!$I$23,L591=phu!$I$24,L591=phu!$I$25),"Cam Phúc Nam",""),IF(OR(L591=phu!$I$26,L591=phu!$I$27,L591=phu!$I$28,L591=phu!$I$29,L591=phu!$I$30,L591=phu!$I$31),"Cam Phú",""),IF(OR(L591=phu!$I$32,L591=phu!$I$33,L591=phu!$I$34,L591=phu!$I$35,L591=phu!$I$36,L591=phu!$I$37),"Cam Lộc",""),IF(OR(L591=phu!$I$38,L591=phu!$I$39,L591=phu!$I$40,L591=phu!$I$41,L591=phu!$I$42,L591=phu!$I$43,L591=phu!$I$44),"Cam Thuận",""),IF(OR(L591=phu!$I$45,L591=phu!$I$46,L591=phu!$I$47,L591=phu!$I$48,L591=phu!$I$49,L591=phu!$I$50,L591=phu!$I$51,L591=phu!$I$52,L591=phu!$I$53),"Cam Linh",""),IF(OR(L591=phu!$I$54,L591=phu!$I$55,L591=phu!$I$56,L591=phu!$I$57,L591=phu!$I$58,L591=phu!$I$59,L591=phu!$I$60,L591=phu!$I$61,L591=phu!$I$62),"Cam Lợi",""),IF(OR(L591=phu!$I$63,L591=phu!$I$64,L591=phu!$I$65,L591=phu!$I$66,L591=phu!$I$67,L591=phu!$I$68,L591=phu!$I$69,L591=phu!$I$70,L591=phu!$I$71),"Ba Ngòi",""),IF(OR(L591=phu!$I$72,L591=phu!$I$73,L591=phu!$I$74,L591=phu!$I$75,L591=phu!$I$76,L591=phu!$I$77,L591=phu!$I$78),"Cam Phước Đông",""),IF(OR(L591=phu!$I$79,L591=phu!$I$80,L591=phu!$I$81,L591=phu!$I$82,L591=phu!$I$83,L591=phu!$I$84),"Cam Thịnh Đông",""),IF(OR(L591=phu!$I$85,L591=phu!$I$86,L591=phu!$I$87,L591=phu!$I$88),"Cam Thịnh Tây",""),IF(OR(L591=phu!$I$89,L591=phu!$I$90),"Cam Lập",""),IF(OR(L591=phu!$I$91,L591=phu!$I$92,L591=phu!$I$93),"Cam Bình",""),IF(OR(L591=phu!$I$94,L591=phu!$I$95,L591=phu!$I$96,L591=phu!$I$97,L591=phu!$I$98,L591=phu!$I$99,L591=phu!$I$100),"Huyện khác",""),IF(OR(L591=phu!$I$101,L591=phu!$I$102),"Tỉnh khác",""))</f>
        <v/>
      </c>
      <c r="N591" s="835" t="str">
        <f t="shared" si="49"/>
        <v/>
      </c>
      <c r="O591" s="20"/>
      <c r="P591" s="20"/>
      <c r="Q591" s="20"/>
      <c r="R591" s="20"/>
      <c r="S591" s="20"/>
      <c r="T591" s="21"/>
      <c r="U591" s="21"/>
      <c r="V591" s="21"/>
      <c r="W591" s="7" t="str">
        <f t="shared" si="47"/>
        <v/>
      </c>
      <c r="X591" s="506" t="str">
        <f t="shared" si="48"/>
        <v/>
      </c>
    </row>
    <row r="592" spans="1:24" x14ac:dyDescent="0.25">
      <c r="A592" s="66" t="str">
        <f t="shared" si="45"/>
        <v/>
      </c>
      <c r="B592" s="23" t="str">
        <f t="shared" si="46"/>
        <v/>
      </c>
      <c r="C592" s="15"/>
      <c r="D592" s="16"/>
      <c r="E592" s="17"/>
      <c r="F592" s="18"/>
      <c r="G592" s="18"/>
      <c r="H592" s="19"/>
      <c r="I592" s="15"/>
      <c r="J592" s="20"/>
      <c r="K592" s="15"/>
      <c r="L592" s="15"/>
      <c r="M592" s="531" t="str">
        <f>CONCATENATE(IF(OR(L592=phu!$I$1,L592=phu!$I$2,L592=phu!$I$3),"Cam Thành Nam",""),IF(OR(L592=phu!$I$4,L592=phu!$I$5,L592=phu!$I$6,L592=phu!$I$7,L592=phu!$I$8,L592=phu!$I$9,L592=phu!$I$10,L592=phu!$I$11,L592=phu!$I$12,L592=phu!$I$13,L592=phu!$I$14),"Cam Nghĩa",""),IF(OR(L592=phu!$I$15,L592=phu!$I$16,L592=phu!$I$17,L592=phu!$I$18,L592=phu!$I$19,L592=phu!$I$20,L592=phu!$I$21),"Cam Phúc Bắc",""),IF(OR(L592=phu!$I$22,L592=phu!$I$23,L592=phu!$I$24,L592=phu!$I$25),"Cam Phúc Nam",""),IF(OR(L592=phu!$I$26,L592=phu!$I$27,L592=phu!$I$28,L592=phu!$I$29,L592=phu!$I$30,L592=phu!$I$31),"Cam Phú",""),IF(OR(L592=phu!$I$32,L592=phu!$I$33,L592=phu!$I$34,L592=phu!$I$35,L592=phu!$I$36,L592=phu!$I$37),"Cam Lộc",""),IF(OR(L592=phu!$I$38,L592=phu!$I$39,L592=phu!$I$40,L592=phu!$I$41,L592=phu!$I$42,L592=phu!$I$43,L592=phu!$I$44),"Cam Thuận",""),IF(OR(L592=phu!$I$45,L592=phu!$I$46,L592=phu!$I$47,L592=phu!$I$48,L592=phu!$I$49,L592=phu!$I$50,L592=phu!$I$51,L592=phu!$I$52,L592=phu!$I$53),"Cam Linh",""),IF(OR(L592=phu!$I$54,L592=phu!$I$55,L592=phu!$I$56,L592=phu!$I$57,L592=phu!$I$58,L592=phu!$I$59,L592=phu!$I$60,L592=phu!$I$61,L592=phu!$I$62),"Cam Lợi",""),IF(OR(L592=phu!$I$63,L592=phu!$I$64,L592=phu!$I$65,L592=phu!$I$66,L592=phu!$I$67,L592=phu!$I$68,L592=phu!$I$69,L592=phu!$I$70,L592=phu!$I$71),"Ba Ngòi",""),IF(OR(L592=phu!$I$72,L592=phu!$I$73,L592=phu!$I$74,L592=phu!$I$75,L592=phu!$I$76,L592=phu!$I$77,L592=phu!$I$78),"Cam Phước Đông",""),IF(OR(L592=phu!$I$79,L592=phu!$I$80,L592=phu!$I$81,L592=phu!$I$82,L592=phu!$I$83,L592=phu!$I$84),"Cam Thịnh Đông",""),IF(OR(L592=phu!$I$85,L592=phu!$I$86,L592=phu!$I$87,L592=phu!$I$88),"Cam Thịnh Tây",""),IF(OR(L592=phu!$I$89,L592=phu!$I$90),"Cam Lập",""),IF(OR(L592=phu!$I$91,L592=phu!$I$92,L592=phu!$I$93),"Cam Bình",""),IF(OR(L592=phu!$I$94,L592=phu!$I$95,L592=phu!$I$96,L592=phu!$I$97,L592=phu!$I$98,L592=phu!$I$99,L592=phu!$I$100),"Huyện khác",""),IF(OR(L592=phu!$I$101,L592=phu!$I$102),"Tỉnh khác",""))</f>
        <v/>
      </c>
      <c r="N592" s="835" t="str">
        <f t="shared" si="49"/>
        <v/>
      </c>
      <c r="O592" s="20"/>
      <c r="P592" s="20"/>
      <c r="Q592" s="20"/>
      <c r="R592" s="20"/>
      <c r="S592" s="20"/>
      <c r="T592" s="21"/>
      <c r="U592" s="21"/>
      <c r="V592" s="21"/>
      <c r="W592" s="7" t="str">
        <f t="shared" si="47"/>
        <v/>
      </c>
      <c r="X592" s="506" t="str">
        <f t="shared" si="48"/>
        <v/>
      </c>
    </row>
    <row r="593" spans="1:24" x14ac:dyDescent="0.25">
      <c r="A593" s="66" t="str">
        <f t="shared" si="45"/>
        <v/>
      </c>
      <c r="B593" s="23" t="str">
        <f t="shared" si="46"/>
        <v/>
      </c>
      <c r="C593" s="15"/>
      <c r="D593" s="16"/>
      <c r="E593" s="17"/>
      <c r="F593" s="18"/>
      <c r="G593" s="18"/>
      <c r="H593" s="19"/>
      <c r="I593" s="15"/>
      <c r="J593" s="20"/>
      <c r="K593" s="15"/>
      <c r="L593" s="15"/>
      <c r="M593" s="531" t="str">
        <f>CONCATENATE(IF(OR(L593=phu!$I$1,L593=phu!$I$2,L593=phu!$I$3),"Cam Thành Nam",""),IF(OR(L593=phu!$I$4,L593=phu!$I$5,L593=phu!$I$6,L593=phu!$I$7,L593=phu!$I$8,L593=phu!$I$9,L593=phu!$I$10,L593=phu!$I$11,L593=phu!$I$12,L593=phu!$I$13,L593=phu!$I$14),"Cam Nghĩa",""),IF(OR(L593=phu!$I$15,L593=phu!$I$16,L593=phu!$I$17,L593=phu!$I$18,L593=phu!$I$19,L593=phu!$I$20,L593=phu!$I$21),"Cam Phúc Bắc",""),IF(OR(L593=phu!$I$22,L593=phu!$I$23,L593=phu!$I$24,L593=phu!$I$25),"Cam Phúc Nam",""),IF(OR(L593=phu!$I$26,L593=phu!$I$27,L593=phu!$I$28,L593=phu!$I$29,L593=phu!$I$30,L593=phu!$I$31),"Cam Phú",""),IF(OR(L593=phu!$I$32,L593=phu!$I$33,L593=phu!$I$34,L593=phu!$I$35,L593=phu!$I$36,L593=phu!$I$37),"Cam Lộc",""),IF(OR(L593=phu!$I$38,L593=phu!$I$39,L593=phu!$I$40,L593=phu!$I$41,L593=phu!$I$42,L593=phu!$I$43,L593=phu!$I$44),"Cam Thuận",""),IF(OR(L593=phu!$I$45,L593=phu!$I$46,L593=phu!$I$47,L593=phu!$I$48,L593=phu!$I$49,L593=phu!$I$50,L593=phu!$I$51,L593=phu!$I$52,L593=phu!$I$53),"Cam Linh",""),IF(OR(L593=phu!$I$54,L593=phu!$I$55,L593=phu!$I$56,L593=phu!$I$57,L593=phu!$I$58,L593=phu!$I$59,L593=phu!$I$60,L593=phu!$I$61,L593=phu!$I$62),"Cam Lợi",""),IF(OR(L593=phu!$I$63,L593=phu!$I$64,L593=phu!$I$65,L593=phu!$I$66,L593=phu!$I$67,L593=phu!$I$68,L593=phu!$I$69,L593=phu!$I$70,L593=phu!$I$71),"Ba Ngòi",""),IF(OR(L593=phu!$I$72,L593=phu!$I$73,L593=phu!$I$74,L593=phu!$I$75,L593=phu!$I$76,L593=phu!$I$77,L593=phu!$I$78),"Cam Phước Đông",""),IF(OR(L593=phu!$I$79,L593=phu!$I$80,L593=phu!$I$81,L593=phu!$I$82,L593=phu!$I$83,L593=phu!$I$84),"Cam Thịnh Đông",""),IF(OR(L593=phu!$I$85,L593=phu!$I$86,L593=phu!$I$87,L593=phu!$I$88),"Cam Thịnh Tây",""),IF(OR(L593=phu!$I$89,L593=phu!$I$90),"Cam Lập",""),IF(OR(L593=phu!$I$91,L593=phu!$I$92,L593=phu!$I$93),"Cam Bình",""),IF(OR(L593=phu!$I$94,L593=phu!$I$95,L593=phu!$I$96,L593=phu!$I$97,L593=phu!$I$98,L593=phu!$I$99,L593=phu!$I$100),"Huyện khác",""),IF(OR(L593=phu!$I$101,L593=phu!$I$102),"Tỉnh khác",""))</f>
        <v/>
      </c>
      <c r="N593" s="835" t="str">
        <f t="shared" si="49"/>
        <v/>
      </c>
      <c r="O593" s="20"/>
      <c r="P593" s="20"/>
      <c r="Q593" s="20"/>
      <c r="R593" s="20"/>
      <c r="S593" s="20"/>
      <c r="T593" s="21"/>
      <c r="U593" s="21"/>
      <c r="V593" s="21"/>
      <c r="W593" s="7" t="str">
        <f t="shared" si="47"/>
        <v/>
      </c>
      <c r="X593" s="506" t="str">
        <f t="shared" si="48"/>
        <v/>
      </c>
    </row>
    <row r="594" spans="1:24" x14ac:dyDescent="0.25">
      <c r="A594" s="66" t="str">
        <f t="shared" si="45"/>
        <v/>
      </c>
      <c r="B594" s="23" t="str">
        <f t="shared" si="46"/>
        <v/>
      </c>
      <c r="C594" s="15"/>
      <c r="D594" s="16"/>
      <c r="E594" s="17"/>
      <c r="F594" s="18"/>
      <c r="G594" s="18"/>
      <c r="H594" s="19"/>
      <c r="I594" s="15"/>
      <c r="J594" s="20"/>
      <c r="K594" s="15"/>
      <c r="L594" s="15"/>
      <c r="M594" s="531" t="str">
        <f>CONCATENATE(IF(OR(L594=phu!$I$1,L594=phu!$I$2,L594=phu!$I$3),"Cam Thành Nam",""),IF(OR(L594=phu!$I$4,L594=phu!$I$5,L594=phu!$I$6,L594=phu!$I$7,L594=phu!$I$8,L594=phu!$I$9,L594=phu!$I$10,L594=phu!$I$11,L594=phu!$I$12,L594=phu!$I$13,L594=phu!$I$14),"Cam Nghĩa",""),IF(OR(L594=phu!$I$15,L594=phu!$I$16,L594=phu!$I$17,L594=phu!$I$18,L594=phu!$I$19,L594=phu!$I$20,L594=phu!$I$21),"Cam Phúc Bắc",""),IF(OR(L594=phu!$I$22,L594=phu!$I$23,L594=phu!$I$24,L594=phu!$I$25),"Cam Phúc Nam",""),IF(OR(L594=phu!$I$26,L594=phu!$I$27,L594=phu!$I$28,L594=phu!$I$29,L594=phu!$I$30,L594=phu!$I$31),"Cam Phú",""),IF(OR(L594=phu!$I$32,L594=phu!$I$33,L594=phu!$I$34,L594=phu!$I$35,L594=phu!$I$36,L594=phu!$I$37),"Cam Lộc",""),IF(OR(L594=phu!$I$38,L594=phu!$I$39,L594=phu!$I$40,L594=phu!$I$41,L594=phu!$I$42,L594=phu!$I$43,L594=phu!$I$44),"Cam Thuận",""),IF(OR(L594=phu!$I$45,L594=phu!$I$46,L594=phu!$I$47,L594=phu!$I$48,L594=phu!$I$49,L594=phu!$I$50,L594=phu!$I$51,L594=phu!$I$52,L594=phu!$I$53),"Cam Linh",""),IF(OR(L594=phu!$I$54,L594=phu!$I$55,L594=phu!$I$56,L594=phu!$I$57,L594=phu!$I$58,L594=phu!$I$59,L594=phu!$I$60,L594=phu!$I$61,L594=phu!$I$62),"Cam Lợi",""),IF(OR(L594=phu!$I$63,L594=phu!$I$64,L594=phu!$I$65,L594=phu!$I$66,L594=phu!$I$67,L594=phu!$I$68,L594=phu!$I$69,L594=phu!$I$70,L594=phu!$I$71),"Ba Ngòi",""),IF(OR(L594=phu!$I$72,L594=phu!$I$73,L594=phu!$I$74,L594=phu!$I$75,L594=phu!$I$76,L594=phu!$I$77,L594=phu!$I$78),"Cam Phước Đông",""),IF(OR(L594=phu!$I$79,L594=phu!$I$80,L594=phu!$I$81,L594=phu!$I$82,L594=phu!$I$83,L594=phu!$I$84),"Cam Thịnh Đông",""),IF(OR(L594=phu!$I$85,L594=phu!$I$86,L594=phu!$I$87,L594=phu!$I$88),"Cam Thịnh Tây",""),IF(OR(L594=phu!$I$89,L594=phu!$I$90),"Cam Lập",""),IF(OR(L594=phu!$I$91,L594=phu!$I$92,L594=phu!$I$93),"Cam Bình",""),IF(OR(L594=phu!$I$94,L594=phu!$I$95,L594=phu!$I$96,L594=phu!$I$97,L594=phu!$I$98,L594=phu!$I$99,L594=phu!$I$100),"Huyện khác",""),IF(OR(L594=phu!$I$101,L594=phu!$I$102),"Tỉnh khác",""))</f>
        <v/>
      </c>
      <c r="N594" s="835" t="str">
        <f t="shared" si="49"/>
        <v/>
      </c>
      <c r="O594" s="20"/>
      <c r="P594" s="20"/>
      <c r="Q594" s="20"/>
      <c r="R594" s="20"/>
      <c r="S594" s="20"/>
      <c r="T594" s="21"/>
      <c r="U594" s="21"/>
      <c r="V594" s="21"/>
      <c r="W594" s="7" t="str">
        <f t="shared" si="47"/>
        <v/>
      </c>
      <c r="X594" s="506" t="str">
        <f t="shared" si="48"/>
        <v/>
      </c>
    </row>
    <row r="595" spans="1:24" x14ac:dyDescent="0.25">
      <c r="A595" s="66" t="str">
        <f t="shared" si="45"/>
        <v/>
      </c>
      <c r="B595" s="23" t="str">
        <f t="shared" si="46"/>
        <v/>
      </c>
      <c r="C595" s="15"/>
      <c r="D595" s="16"/>
      <c r="E595" s="17"/>
      <c r="F595" s="18"/>
      <c r="G595" s="18"/>
      <c r="H595" s="19"/>
      <c r="I595" s="15"/>
      <c r="J595" s="20"/>
      <c r="K595" s="15"/>
      <c r="L595" s="15"/>
      <c r="M595" s="531" t="str">
        <f>CONCATENATE(IF(OR(L595=phu!$I$1,L595=phu!$I$2,L595=phu!$I$3),"Cam Thành Nam",""),IF(OR(L595=phu!$I$4,L595=phu!$I$5,L595=phu!$I$6,L595=phu!$I$7,L595=phu!$I$8,L595=phu!$I$9,L595=phu!$I$10,L595=phu!$I$11,L595=phu!$I$12,L595=phu!$I$13,L595=phu!$I$14),"Cam Nghĩa",""),IF(OR(L595=phu!$I$15,L595=phu!$I$16,L595=phu!$I$17,L595=phu!$I$18,L595=phu!$I$19,L595=phu!$I$20,L595=phu!$I$21),"Cam Phúc Bắc",""),IF(OR(L595=phu!$I$22,L595=phu!$I$23,L595=phu!$I$24,L595=phu!$I$25),"Cam Phúc Nam",""),IF(OR(L595=phu!$I$26,L595=phu!$I$27,L595=phu!$I$28,L595=phu!$I$29,L595=phu!$I$30,L595=phu!$I$31),"Cam Phú",""),IF(OR(L595=phu!$I$32,L595=phu!$I$33,L595=phu!$I$34,L595=phu!$I$35,L595=phu!$I$36,L595=phu!$I$37),"Cam Lộc",""),IF(OR(L595=phu!$I$38,L595=phu!$I$39,L595=phu!$I$40,L595=phu!$I$41,L595=phu!$I$42,L595=phu!$I$43,L595=phu!$I$44),"Cam Thuận",""),IF(OR(L595=phu!$I$45,L595=phu!$I$46,L595=phu!$I$47,L595=phu!$I$48,L595=phu!$I$49,L595=phu!$I$50,L595=phu!$I$51,L595=phu!$I$52,L595=phu!$I$53),"Cam Linh",""),IF(OR(L595=phu!$I$54,L595=phu!$I$55,L595=phu!$I$56,L595=phu!$I$57,L595=phu!$I$58,L595=phu!$I$59,L595=phu!$I$60,L595=phu!$I$61,L595=phu!$I$62),"Cam Lợi",""),IF(OR(L595=phu!$I$63,L595=phu!$I$64,L595=phu!$I$65,L595=phu!$I$66,L595=phu!$I$67,L595=phu!$I$68,L595=phu!$I$69,L595=phu!$I$70,L595=phu!$I$71),"Ba Ngòi",""),IF(OR(L595=phu!$I$72,L595=phu!$I$73,L595=phu!$I$74,L595=phu!$I$75,L595=phu!$I$76,L595=phu!$I$77,L595=phu!$I$78),"Cam Phước Đông",""),IF(OR(L595=phu!$I$79,L595=phu!$I$80,L595=phu!$I$81,L595=phu!$I$82,L595=phu!$I$83,L595=phu!$I$84),"Cam Thịnh Đông",""),IF(OR(L595=phu!$I$85,L595=phu!$I$86,L595=phu!$I$87,L595=phu!$I$88),"Cam Thịnh Tây",""),IF(OR(L595=phu!$I$89,L595=phu!$I$90),"Cam Lập",""),IF(OR(L595=phu!$I$91,L595=phu!$I$92,L595=phu!$I$93),"Cam Bình",""),IF(OR(L595=phu!$I$94,L595=phu!$I$95,L595=phu!$I$96,L595=phu!$I$97,L595=phu!$I$98,L595=phu!$I$99,L595=phu!$I$100),"Huyện khác",""),IF(OR(L595=phu!$I$101,L595=phu!$I$102),"Tỉnh khác",""))</f>
        <v/>
      </c>
      <c r="N595" s="835" t="str">
        <f t="shared" si="49"/>
        <v/>
      </c>
      <c r="O595" s="20"/>
      <c r="P595" s="20"/>
      <c r="Q595" s="20"/>
      <c r="R595" s="20"/>
      <c r="S595" s="20"/>
      <c r="T595" s="21"/>
      <c r="U595" s="21"/>
      <c r="V595" s="21"/>
      <c r="W595" s="7" t="str">
        <f t="shared" si="47"/>
        <v/>
      </c>
      <c r="X595" s="506" t="str">
        <f t="shared" si="48"/>
        <v/>
      </c>
    </row>
    <row r="596" spans="1:24" x14ac:dyDescent="0.25">
      <c r="A596" s="66" t="str">
        <f t="shared" si="45"/>
        <v/>
      </c>
      <c r="B596" s="23" t="str">
        <f t="shared" si="46"/>
        <v/>
      </c>
      <c r="C596" s="15"/>
      <c r="D596" s="16"/>
      <c r="E596" s="17"/>
      <c r="F596" s="18"/>
      <c r="G596" s="18"/>
      <c r="H596" s="19"/>
      <c r="I596" s="15"/>
      <c r="J596" s="20"/>
      <c r="K596" s="15"/>
      <c r="L596" s="15"/>
      <c r="M596" s="531" t="str">
        <f>CONCATENATE(IF(OR(L596=phu!$I$1,L596=phu!$I$2,L596=phu!$I$3),"Cam Thành Nam",""),IF(OR(L596=phu!$I$4,L596=phu!$I$5,L596=phu!$I$6,L596=phu!$I$7,L596=phu!$I$8,L596=phu!$I$9,L596=phu!$I$10,L596=phu!$I$11,L596=phu!$I$12,L596=phu!$I$13,L596=phu!$I$14),"Cam Nghĩa",""),IF(OR(L596=phu!$I$15,L596=phu!$I$16,L596=phu!$I$17,L596=phu!$I$18,L596=phu!$I$19,L596=phu!$I$20,L596=phu!$I$21),"Cam Phúc Bắc",""),IF(OR(L596=phu!$I$22,L596=phu!$I$23,L596=phu!$I$24,L596=phu!$I$25),"Cam Phúc Nam",""),IF(OR(L596=phu!$I$26,L596=phu!$I$27,L596=phu!$I$28,L596=phu!$I$29,L596=phu!$I$30,L596=phu!$I$31),"Cam Phú",""),IF(OR(L596=phu!$I$32,L596=phu!$I$33,L596=phu!$I$34,L596=phu!$I$35,L596=phu!$I$36,L596=phu!$I$37),"Cam Lộc",""),IF(OR(L596=phu!$I$38,L596=phu!$I$39,L596=phu!$I$40,L596=phu!$I$41,L596=phu!$I$42,L596=phu!$I$43,L596=phu!$I$44),"Cam Thuận",""),IF(OR(L596=phu!$I$45,L596=phu!$I$46,L596=phu!$I$47,L596=phu!$I$48,L596=phu!$I$49,L596=phu!$I$50,L596=phu!$I$51,L596=phu!$I$52,L596=phu!$I$53),"Cam Linh",""),IF(OR(L596=phu!$I$54,L596=phu!$I$55,L596=phu!$I$56,L596=phu!$I$57,L596=phu!$I$58,L596=phu!$I$59,L596=phu!$I$60,L596=phu!$I$61,L596=phu!$I$62),"Cam Lợi",""),IF(OR(L596=phu!$I$63,L596=phu!$I$64,L596=phu!$I$65,L596=phu!$I$66,L596=phu!$I$67,L596=phu!$I$68,L596=phu!$I$69,L596=phu!$I$70,L596=phu!$I$71),"Ba Ngòi",""),IF(OR(L596=phu!$I$72,L596=phu!$I$73,L596=phu!$I$74,L596=phu!$I$75,L596=phu!$I$76,L596=phu!$I$77,L596=phu!$I$78),"Cam Phước Đông",""),IF(OR(L596=phu!$I$79,L596=phu!$I$80,L596=phu!$I$81,L596=phu!$I$82,L596=phu!$I$83,L596=phu!$I$84),"Cam Thịnh Đông",""),IF(OR(L596=phu!$I$85,L596=phu!$I$86,L596=phu!$I$87,L596=phu!$I$88),"Cam Thịnh Tây",""),IF(OR(L596=phu!$I$89,L596=phu!$I$90),"Cam Lập",""),IF(OR(L596=phu!$I$91,L596=phu!$I$92,L596=phu!$I$93),"Cam Bình",""),IF(OR(L596=phu!$I$94,L596=phu!$I$95,L596=phu!$I$96,L596=phu!$I$97,L596=phu!$I$98,L596=phu!$I$99,L596=phu!$I$100),"Huyện khác",""),IF(OR(L596=phu!$I$101,L596=phu!$I$102),"Tỉnh khác",""))</f>
        <v/>
      </c>
      <c r="N596" s="835" t="str">
        <f t="shared" si="49"/>
        <v/>
      </c>
      <c r="O596" s="20"/>
      <c r="P596" s="20"/>
      <c r="Q596" s="20"/>
      <c r="R596" s="20"/>
      <c r="S596" s="20"/>
      <c r="T596" s="21"/>
      <c r="U596" s="21"/>
      <c r="V596" s="21"/>
      <c r="W596" s="7" t="str">
        <f t="shared" si="47"/>
        <v/>
      </c>
      <c r="X596" s="506" t="str">
        <f t="shared" si="48"/>
        <v/>
      </c>
    </row>
    <row r="597" spans="1:24" x14ac:dyDescent="0.25">
      <c r="A597" s="66" t="str">
        <f t="shared" si="45"/>
        <v/>
      </c>
      <c r="B597" s="23" t="str">
        <f t="shared" si="46"/>
        <v/>
      </c>
      <c r="C597" s="15"/>
      <c r="D597" s="16"/>
      <c r="E597" s="17"/>
      <c r="F597" s="18"/>
      <c r="G597" s="18"/>
      <c r="H597" s="19"/>
      <c r="I597" s="15"/>
      <c r="J597" s="20"/>
      <c r="K597" s="15"/>
      <c r="L597" s="15"/>
      <c r="M597" s="531" t="str">
        <f>CONCATENATE(IF(OR(L597=phu!$I$1,L597=phu!$I$2,L597=phu!$I$3),"Cam Thành Nam",""),IF(OR(L597=phu!$I$4,L597=phu!$I$5,L597=phu!$I$6,L597=phu!$I$7,L597=phu!$I$8,L597=phu!$I$9,L597=phu!$I$10,L597=phu!$I$11,L597=phu!$I$12,L597=phu!$I$13,L597=phu!$I$14),"Cam Nghĩa",""),IF(OR(L597=phu!$I$15,L597=phu!$I$16,L597=phu!$I$17,L597=phu!$I$18,L597=phu!$I$19,L597=phu!$I$20,L597=phu!$I$21),"Cam Phúc Bắc",""),IF(OR(L597=phu!$I$22,L597=phu!$I$23,L597=phu!$I$24,L597=phu!$I$25),"Cam Phúc Nam",""),IF(OR(L597=phu!$I$26,L597=phu!$I$27,L597=phu!$I$28,L597=phu!$I$29,L597=phu!$I$30,L597=phu!$I$31),"Cam Phú",""),IF(OR(L597=phu!$I$32,L597=phu!$I$33,L597=phu!$I$34,L597=phu!$I$35,L597=phu!$I$36,L597=phu!$I$37),"Cam Lộc",""),IF(OR(L597=phu!$I$38,L597=phu!$I$39,L597=phu!$I$40,L597=phu!$I$41,L597=phu!$I$42,L597=phu!$I$43,L597=phu!$I$44),"Cam Thuận",""),IF(OR(L597=phu!$I$45,L597=phu!$I$46,L597=phu!$I$47,L597=phu!$I$48,L597=phu!$I$49,L597=phu!$I$50,L597=phu!$I$51,L597=phu!$I$52,L597=phu!$I$53),"Cam Linh",""),IF(OR(L597=phu!$I$54,L597=phu!$I$55,L597=phu!$I$56,L597=phu!$I$57,L597=phu!$I$58,L597=phu!$I$59,L597=phu!$I$60,L597=phu!$I$61,L597=phu!$I$62),"Cam Lợi",""),IF(OR(L597=phu!$I$63,L597=phu!$I$64,L597=phu!$I$65,L597=phu!$I$66,L597=phu!$I$67,L597=phu!$I$68,L597=phu!$I$69,L597=phu!$I$70,L597=phu!$I$71),"Ba Ngòi",""),IF(OR(L597=phu!$I$72,L597=phu!$I$73,L597=phu!$I$74,L597=phu!$I$75,L597=phu!$I$76,L597=phu!$I$77,L597=phu!$I$78),"Cam Phước Đông",""),IF(OR(L597=phu!$I$79,L597=phu!$I$80,L597=phu!$I$81,L597=phu!$I$82,L597=phu!$I$83,L597=phu!$I$84),"Cam Thịnh Đông",""),IF(OR(L597=phu!$I$85,L597=phu!$I$86,L597=phu!$I$87,L597=phu!$I$88),"Cam Thịnh Tây",""),IF(OR(L597=phu!$I$89,L597=phu!$I$90),"Cam Lập",""),IF(OR(L597=phu!$I$91,L597=phu!$I$92,L597=phu!$I$93),"Cam Bình",""),IF(OR(L597=phu!$I$94,L597=phu!$I$95,L597=phu!$I$96,L597=phu!$I$97,L597=phu!$I$98,L597=phu!$I$99,L597=phu!$I$100),"Huyện khác",""),IF(OR(L597=phu!$I$101,L597=phu!$I$102),"Tỉnh khác",""))</f>
        <v/>
      </c>
      <c r="N597" s="835" t="str">
        <f t="shared" si="49"/>
        <v/>
      </c>
      <c r="O597" s="20"/>
      <c r="P597" s="20"/>
      <c r="Q597" s="20"/>
      <c r="R597" s="20"/>
      <c r="S597" s="20"/>
      <c r="T597" s="21"/>
      <c r="U597" s="21"/>
      <c r="V597" s="21"/>
      <c r="W597" s="7" t="str">
        <f t="shared" si="47"/>
        <v/>
      </c>
      <c r="X597" s="506" t="str">
        <f t="shared" si="48"/>
        <v/>
      </c>
    </row>
    <row r="598" spans="1:24" x14ac:dyDescent="0.25">
      <c r="A598" s="66" t="str">
        <f t="shared" si="45"/>
        <v/>
      </c>
      <c r="B598" s="23" t="str">
        <f t="shared" si="46"/>
        <v/>
      </c>
      <c r="C598" s="15"/>
      <c r="D598" s="16"/>
      <c r="E598" s="17"/>
      <c r="F598" s="18"/>
      <c r="G598" s="18"/>
      <c r="H598" s="19"/>
      <c r="I598" s="15"/>
      <c r="J598" s="20"/>
      <c r="K598" s="15"/>
      <c r="L598" s="15"/>
      <c r="M598" s="531" t="str">
        <f>CONCATENATE(IF(OR(L598=phu!$I$1,L598=phu!$I$2,L598=phu!$I$3),"Cam Thành Nam",""),IF(OR(L598=phu!$I$4,L598=phu!$I$5,L598=phu!$I$6,L598=phu!$I$7,L598=phu!$I$8,L598=phu!$I$9,L598=phu!$I$10,L598=phu!$I$11,L598=phu!$I$12,L598=phu!$I$13,L598=phu!$I$14),"Cam Nghĩa",""),IF(OR(L598=phu!$I$15,L598=phu!$I$16,L598=phu!$I$17,L598=phu!$I$18,L598=phu!$I$19,L598=phu!$I$20,L598=phu!$I$21),"Cam Phúc Bắc",""),IF(OR(L598=phu!$I$22,L598=phu!$I$23,L598=phu!$I$24,L598=phu!$I$25),"Cam Phúc Nam",""),IF(OR(L598=phu!$I$26,L598=phu!$I$27,L598=phu!$I$28,L598=phu!$I$29,L598=phu!$I$30,L598=phu!$I$31),"Cam Phú",""),IF(OR(L598=phu!$I$32,L598=phu!$I$33,L598=phu!$I$34,L598=phu!$I$35,L598=phu!$I$36,L598=phu!$I$37),"Cam Lộc",""),IF(OR(L598=phu!$I$38,L598=phu!$I$39,L598=phu!$I$40,L598=phu!$I$41,L598=phu!$I$42,L598=phu!$I$43,L598=phu!$I$44),"Cam Thuận",""),IF(OR(L598=phu!$I$45,L598=phu!$I$46,L598=phu!$I$47,L598=phu!$I$48,L598=phu!$I$49,L598=phu!$I$50,L598=phu!$I$51,L598=phu!$I$52,L598=phu!$I$53),"Cam Linh",""),IF(OR(L598=phu!$I$54,L598=phu!$I$55,L598=phu!$I$56,L598=phu!$I$57,L598=phu!$I$58,L598=phu!$I$59,L598=phu!$I$60,L598=phu!$I$61,L598=phu!$I$62),"Cam Lợi",""),IF(OR(L598=phu!$I$63,L598=phu!$I$64,L598=phu!$I$65,L598=phu!$I$66,L598=phu!$I$67,L598=phu!$I$68,L598=phu!$I$69,L598=phu!$I$70,L598=phu!$I$71),"Ba Ngòi",""),IF(OR(L598=phu!$I$72,L598=phu!$I$73,L598=phu!$I$74,L598=phu!$I$75,L598=phu!$I$76,L598=phu!$I$77,L598=phu!$I$78),"Cam Phước Đông",""),IF(OR(L598=phu!$I$79,L598=phu!$I$80,L598=phu!$I$81,L598=phu!$I$82,L598=phu!$I$83,L598=phu!$I$84),"Cam Thịnh Đông",""),IF(OR(L598=phu!$I$85,L598=phu!$I$86,L598=phu!$I$87,L598=phu!$I$88),"Cam Thịnh Tây",""),IF(OR(L598=phu!$I$89,L598=phu!$I$90),"Cam Lập",""),IF(OR(L598=phu!$I$91,L598=phu!$I$92,L598=phu!$I$93),"Cam Bình",""),IF(OR(L598=phu!$I$94,L598=phu!$I$95,L598=phu!$I$96,L598=phu!$I$97,L598=phu!$I$98,L598=phu!$I$99,L598=phu!$I$100),"Huyện khác",""),IF(OR(L598=phu!$I$101,L598=phu!$I$102),"Tỉnh khác",""))</f>
        <v/>
      </c>
      <c r="N598" s="835" t="str">
        <f t="shared" si="49"/>
        <v/>
      </c>
      <c r="O598" s="20"/>
      <c r="P598" s="20"/>
      <c r="Q598" s="20"/>
      <c r="R598" s="20"/>
      <c r="S598" s="20"/>
      <c r="T598" s="21"/>
      <c r="U598" s="21"/>
      <c r="V598" s="21"/>
      <c r="W598" s="7" t="str">
        <f t="shared" si="47"/>
        <v/>
      </c>
      <c r="X598" s="506" t="str">
        <f t="shared" si="48"/>
        <v/>
      </c>
    </row>
    <row r="599" spans="1:24" x14ac:dyDescent="0.25">
      <c r="A599" s="66" t="str">
        <f t="shared" si="45"/>
        <v/>
      </c>
      <c r="B599" s="23" t="str">
        <f t="shared" si="46"/>
        <v/>
      </c>
      <c r="C599" s="15"/>
      <c r="D599" s="16"/>
      <c r="E599" s="17"/>
      <c r="F599" s="18"/>
      <c r="G599" s="18"/>
      <c r="H599" s="19"/>
      <c r="I599" s="15"/>
      <c r="J599" s="20"/>
      <c r="K599" s="15"/>
      <c r="L599" s="15"/>
      <c r="M599" s="531" t="str">
        <f>CONCATENATE(IF(OR(L599=phu!$I$1,L599=phu!$I$2,L599=phu!$I$3),"Cam Thành Nam",""),IF(OR(L599=phu!$I$4,L599=phu!$I$5,L599=phu!$I$6,L599=phu!$I$7,L599=phu!$I$8,L599=phu!$I$9,L599=phu!$I$10,L599=phu!$I$11,L599=phu!$I$12,L599=phu!$I$13,L599=phu!$I$14),"Cam Nghĩa",""),IF(OR(L599=phu!$I$15,L599=phu!$I$16,L599=phu!$I$17,L599=phu!$I$18,L599=phu!$I$19,L599=phu!$I$20,L599=phu!$I$21),"Cam Phúc Bắc",""),IF(OR(L599=phu!$I$22,L599=phu!$I$23,L599=phu!$I$24,L599=phu!$I$25),"Cam Phúc Nam",""),IF(OR(L599=phu!$I$26,L599=phu!$I$27,L599=phu!$I$28,L599=phu!$I$29,L599=phu!$I$30,L599=phu!$I$31),"Cam Phú",""),IF(OR(L599=phu!$I$32,L599=phu!$I$33,L599=phu!$I$34,L599=phu!$I$35,L599=phu!$I$36,L599=phu!$I$37),"Cam Lộc",""),IF(OR(L599=phu!$I$38,L599=phu!$I$39,L599=phu!$I$40,L599=phu!$I$41,L599=phu!$I$42,L599=phu!$I$43,L599=phu!$I$44),"Cam Thuận",""),IF(OR(L599=phu!$I$45,L599=phu!$I$46,L599=phu!$I$47,L599=phu!$I$48,L599=phu!$I$49,L599=phu!$I$50,L599=phu!$I$51,L599=phu!$I$52,L599=phu!$I$53),"Cam Linh",""),IF(OR(L599=phu!$I$54,L599=phu!$I$55,L599=phu!$I$56,L599=phu!$I$57,L599=phu!$I$58,L599=phu!$I$59,L599=phu!$I$60,L599=phu!$I$61,L599=phu!$I$62),"Cam Lợi",""),IF(OR(L599=phu!$I$63,L599=phu!$I$64,L599=phu!$I$65,L599=phu!$I$66,L599=phu!$I$67,L599=phu!$I$68,L599=phu!$I$69,L599=phu!$I$70,L599=phu!$I$71),"Ba Ngòi",""),IF(OR(L599=phu!$I$72,L599=phu!$I$73,L599=phu!$I$74,L599=phu!$I$75,L599=phu!$I$76,L599=phu!$I$77,L599=phu!$I$78),"Cam Phước Đông",""),IF(OR(L599=phu!$I$79,L599=phu!$I$80,L599=phu!$I$81,L599=phu!$I$82,L599=phu!$I$83,L599=phu!$I$84),"Cam Thịnh Đông",""),IF(OR(L599=phu!$I$85,L599=phu!$I$86,L599=phu!$I$87,L599=phu!$I$88),"Cam Thịnh Tây",""),IF(OR(L599=phu!$I$89,L599=phu!$I$90),"Cam Lập",""),IF(OR(L599=phu!$I$91,L599=phu!$I$92,L599=phu!$I$93),"Cam Bình",""),IF(OR(L599=phu!$I$94,L599=phu!$I$95,L599=phu!$I$96,L599=phu!$I$97,L599=phu!$I$98,L599=phu!$I$99,L599=phu!$I$100),"Huyện khác",""),IF(OR(L599=phu!$I$101,L599=phu!$I$102),"Tỉnh khác",""))</f>
        <v/>
      </c>
      <c r="N599" s="835" t="str">
        <f t="shared" si="49"/>
        <v/>
      </c>
      <c r="O599" s="20"/>
      <c r="P599" s="20"/>
      <c r="Q599" s="20"/>
      <c r="R599" s="20"/>
      <c r="S599" s="20"/>
      <c r="T599" s="21"/>
      <c r="U599" s="21"/>
      <c r="V599" s="21"/>
      <c r="W599" s="7" t="str">
        <f t="shared" si="47"/>
        <v/>
      </c>
      <c r="X599" s="506" t="str">
        <f t="shared" si="48"/>
        <v/>
      </c>
    </row>
    <row r="600" spans="1:24" x14ac:dyDescent="0.25">
      <c r="A600" s="66" t="str">
        <f t="shared" si="45"/>
        <v/>
      </c>
      <c r="B600" s="23" t="str">
        <f t="shared" si="46"/>
        <v/>
      </c>
      <c r="C600" s="15"/>
      <c r="D600" s="16"/>
      <c r="E600" s="17"/>
      <c r="F600" s="18"/>
      <c r="G600" s="18"/>
      <c r="H600" s="19"/>
      <c r="I600" s="15"/>
      <c r="J600" s="20"/>
      <c r="K600" s="15"/>
      <c r="L600" s="15"/>
      <c r="M600" s="531" t="str">
        <f>CONCATENATE(IF(OR(L600=phu!$I$1,L600=phu!$I$2,L600=phu!$I$3),"Cam Thành Nam",""),IF(OR(L600=phu!$I$4,L600=phu!$I$5,L600=phu!$I$6,L600=phu!$I$7,L600=phu!$I$8,L600=phu!$I$9,L600=phu!$I$10,L600=phu!$I$11,L600=phu!$I$12,L600=phu!$I$13,L600=phu!$I$14),"Cam Nghĩa",""),IF(OR(L600=phu!$I$15,L600=phu!$I$16,L600=phu!$I$17,L600=phu!$I$18,L600=phu!$I$19,L600=phu!$I$20,L600=phu!$I$21),"Cam Phúc Bắc",""),IF(OR(L600=phu!$I$22,L600=phu!$I$23,L600=phu!$I$24,L600=phu!$I$25),"Cam Phúc Nam",""),IF(OR(L600=phu!$I$26,L600=phu!$I$27,L600=phu!$I$28,L600=phu!$I$29,L600=phu!$I$30,L600=phu!$I$31),"Cam Phú",""),IF(OR(L600=phu!$I$32,L600=phu!$I$33,L600=phu!$I$34,L600=phu!$I$35,L600=phu!$I$36,L600=phu!$I$37),"Cam Lộc",""),IF(OR(L600=phu!$I$38,L600=phu!$I$39,L600=phu!$I$40,L600=phu!$I$41,L600=phu!$I$42,L600=phu!$I$43,L600=phu!$I$44),"Cam Thuận",""),IF(OR(L600=phu!$I$45,L600=phu!$I$46,L600=phu!$I$47,L600=phu!$I$48,L600=phu!$I$49,L600=phu!$I$50,L600=phu!$I$51,L600=phu!$I$52,L600=phu!$I$53),"Cam Linh",""),IF(OR(L600=phu!$I$54,L600=phu!$I$55,L600=phu!$I$56,L600=phu!$I$57,L600=phu!$I$58,L600=phu!$I$59,L600=phu!$I$60,L600=phu!$I$61,L600=phu!$I$62),"Cam Lợi",""),IF(OR(L600=phu!$I$63,L600=phu!$I$64,L600=phu!$I$65,L600=phu!$I$66,L600=phu!$I$67,L600=phu!$I$68,L600=phu!$I$69,L600=phu!$I$70,L600=phu!$I$71),"Ba Ngòi",""),IF(OR(L600=phu!$I$72,L600=phu!$I$73,L600=phu!$I$74,L600=phu!$I$75,L600=phu!$I$76,L600=phu!$I$77,L600=phu!$I$78),"Cam Phước Đông",""),IF(OR(L600=phu!$I$79,L600=phu!$I$80,L600=phu!$I$81,L600=phu!$I$82,L600=phu!$I$83,L600=phu!$I$84),"Cam Thịnh Đông",""),IF(OR(L600=phu!$I$85,L600=phu!$I$86,L600=phu!$I$87,L600=phu!$I$88),"Cam Thịnh Tây",""),IF(OR(L600=phu!$I$89,L600=phu!$I$90),"Cam Lập",""),IF(OR(L600=phu!$I$91,L600=phu!$I$92,L600=phu!$I$93),"Cam Bình",""),IF(OR(L600=phu!$I$94,L600=phu!$I$95,L600=phu!$I$96,L600=phu!$I$97,L600=phu!$I$98,L600=phu!$I$99,L600=phu!$I$100),"Huyện khác",""),IF(OR(L600=phu!$I$101,L600=phu!$I$102),"Tỉnh khác",""))</f>
        <v/>
      </c>
      <c r="N600" s="835" t="str">
        <f t="shared" si="49"/>
        <v/>
      </c>
      <c r="O600" s="20"/>
      <c r="P600" s="20"/>
      <c r="Q600" s="20"/>
      <c r="R600" s="20"/>
      <c r="S600" s="20"/>
      <c r="T600" s="21"/>
      <c r="U600" s="21"/>
      <c r="V600" s="21"/>
      <c r="W600" s="7" t="str">
        <f t="shared" si="47"/>
        <v/>
      </c>
      <c r="X600" s="506" t="str">
        <f t="shared" si="48"/>
        <v/>
      </c>
    </row>
    <row r="601" spans="1:24" x14ac:dyDescent="0.25">
      <c r="A601" s="66" t="str">
        <f t="shared" si="45"/>
        <v/>
      </c>
      <c r="B601" s="23" t="str">
        <f t="shared" si="46"/>
        <v/>
      </c>
      <c r="C601" s="15"/>
      <c r="D601" s="16"/>
      <c r="E601" s="17"/>
      <c r="F601" s="18"/>
      <c r="G601" s="18"/>
      <c r="H601" s="19"/>
      <c r="I601" s="15"/>
      <c r="J601" s="20"/>
      <c r="K601" s="15"/>
      <c r="L601" s="15"/>
      <c r="M601" s="531" t="str">
        <f>CONCATENATE(IF(OR(L601=phu!$I$1,L601=phu!$I$2,L601=phu!$I$3),"Cam Thành Nam",""),IF(OR(L601=phu!$I$4,L601=phu!$I$5,L601=phu!$I$6,L601=phu!$I$7,L601=phu!$I$8,L601=phu!$I$9,L601=phu!$I$10,L601=phu!$I$11,L601=phu!$I$12,L601=phu!$I$13,L601=phu!$I$14),"Cam Nghĩa",""),IF(OR(L601=phu!$I$15,L601=phu!$I$16,L601=phu!$I$17,L601=phu!$I$18,L601=phu!$I$19,L601=phu!$I$20,L601=phu!$I$21),"Cam Phúc Bắc",""),IF(OR(L601=phu!$I$22,L601=phu!$I$23,L601=phu!$I$24,L601=phu!$I$25),"Cam Phúc Nam",""),IF(OR(L601=phu!$I$26,L601=phu!$I$27,L601=phu!$I$28,L601=phu!$I$29,L601=phu!$I$30,L601=phu!$I$31),"Cam Phú",""),IF(OR(L601=phu!$I$32,L601=phu!$I$33,L601=phu!$I$34,L601=phu!$I$35,L601=phu!$I$36,L601=phu!$I$37),"Cam Lộc",""),IF(OR(L601=phu!$I$38,L601=phu!$I$39,L601=phu!$I$40,L601=phu!$I$41,L601=phu!$I$42,L601=phu!$I$43,L601=phu!$I$44),"Cam Thuận",""),IF(OR(L601=phu!$I$45,L601=phu!$I$46,L601=phu!$I$47,L601=phu!$I$48,L601=phu!$I$49,L601=phu!$I$50,L601=phu!$I$51,L601=phu!$I$52,L601=phu!$I$53),"Cam Linh",""),IF(OR(L601=phu!$I$54,L601=phu!$I$55,L601=phu!$I$56,L601=phu!$I$57,L601=phu!$I$58,L601=phu!$I$59,L601=phu!$I$60,L601=phu!$I$61,L601=phu!$I$62),"Cam Lợi",""),IF(OR(L601=phu!$I$63,L601=phu!$I$64,L601=phu!$I$65,L601=phu!$I$66,L601=phu!$I$67,L601=phu!$I$68,L601=phu!$I$69,L601=phu!$I$70,L601=phu!$I$71),"Ba Ngòi",""),IF(OR(L601=phu!$I$72,L601=phu!$I$73,L601=phu!$I$74,L601=phu!$I$75,L601=phu!$I$76,L601=phu!$I$77,L601=phu!$I$78),"Cam Phước Đông",""),IF(OR(L601=phu!$I$79,L601=phu!$I$80,L601=phu!$I$81,L601=phu!$I$82,L601=phu!$I$83,L601=phu!$I$84),"Cam Thịnh Đông",""),IF(OR(L601=phu!$I$85,L601=phu!$I$86,L601=phu!$I$87,L601=phu!$I$88),"Cam Thịnh Tây",""),IF(OR(L601=phu!$I$89,L601=phu!$I$90),"Cam Lập",""),IF(OR(L601=phu!$I$91,L601=phu!$I$92,L601=phu!$I$93),"Cam Bình",""),IF(OR(L601=phu!$I$94,L601=phu!$I$95,L601=phu!$I$96,L601=phu!$I$97,L601=phu!$I$98,L601=phu!$I$99,L601=phu!$I$100),"Huyện khác",""),IF(OR(L601=phu!$I$101,L601=phu!$I$102),"Tỉnh khác",""))</f>
        <v/>
      </c>
      <c r="N601" s="835" t="str">
        <f t="shared" si="49"/>
        <v/>
      </c>
      <c r="O601" s="20"/>
      <c r="P601" s="20"/>
      <c r="Q601" s="20"/>
      <c r="R601" s="20"/>
      <c r="S601" s="20"/>
      <c r="T601" s="21"/>
      <c r="U601" s="21"/>
      <c r="V601" s="21"/>
      <c r="W601" s="7" t="str">
        <f t="shared" si="47"/>
        <v/>
      </c>
      <c r="X601" s="506" t="str">
        <f t="shared" si="48"/>
        <v/>
      </c>
    </row>
    <row r="602" spans="1:24" x14ac:dyDescent="0.25">
      <c r="A602" s="66" t="str">
        <f t="shared" ref="A602:A650" si="50">IF(AND(A601&lt;&gt;"",E602&lt;&gt;""),A601+1,"")</f>
        <v/>
      </c>
      <c r="B602" s="23" t="str">
        <f t="shared" si="46"/>
        <v/>
      </c>
      <c r="C602" s="15"/>
      <c r="D602" s="16"/>
      <c r="E602" s="17"/>
      <c r="F602" s="18"/>
      <c r="G602" s="18"/>
      <c r="H602" s="19"/>
      <c r="I602" s="15"/>
      <c r="J602" s="20"/>
      <c r="K602" s="15"/>
      <c r="L602" s="15"/>
      <c r="M602" s="531" t="str">
        <f>CONCATENATE(IF(OR(L602=phu!$I$1,L602=phu!$I$2,L602=phu!$I$3),"Cam Thành Nam",""),IF(OR(L602=phu!$I$4,L602=phu!$I$5,L602=phu!$I$6,L602=phu!$I$7,L602=phu!$I$8,L602=phu!$I$9,L602=phu!$I$10,L602=phu!$I$11,L602=phu!$I$12,L602=phu!$I$13,L602=phu!$I$14),"Cam Nghĩa",""),IF(OR(L602=phu!$I$15,L602=phu!$I$16,L602=phu!$I$17,L602=phu!$I$18,L602=phu!$I$19,L602=phu!$I$20,L602=phu!$I$21),"Cam Phúc Bắc",""),IF(OR(L602=phu!$I$22,L602=phu!$I$23,L602=phu!$I$24,L602=phu!$I$25),"Cam Phúc Nam",""),IF(OR(L602=phu!$I$26,L602=phu!$I$27,L602=phu!$I$28,L602=phu!$I$29,L602=phu!$I$30,L602=phu!$I$31),"Cam Phú",""),IF(OR(L602=phu!$I$32,L602=phu!$I$33,L602=phu!$I$34,L602=phu!$I$35,L602=phu!$I$36,L602=phu!$I$37),"Cam Lộc",""),IF(OR(L602=phu!$I$38,L602=phu!$I$39,L602=phu!$I$40,L602=phu!$I$41,L602=phu!$I$42,L602=phu!$I$43,L602=phu!$I$44),"Cam Thuận",""),IF(OR(L602=phu!$I$45,L602=phu!$I$46,L602=phu!$I$47,L602=phu!$I$48,L602=phu!$I$49,L602=phu!$I$50,L602=phu!$I$51,L602=phu!$I$52,L602=phu!$I$53),"Cam Linh",""),IF(OR(L602=phu!$I$54,L602=phu!$I$55,L602=phu!$I$56,L602=phu!$I$57,L602=phu!$I$58,L602=phu!$I$59,L602=phu!$I$60,L602=phu!$I$61,L602=phu!$I$62),"Cam Lợi",""),IF(OR(L602=phu!$I$63,L602=phu!$I$64,L602=phu!$I$65,L602=phu!$I$66,L602=phu!$I$67,L602=phu!$I$68,L602=phu!$I$69,L602=phu!$I$70,L602=phu!$I$71),"Ba Ngòi",""),IF(OR(L602=phu!$I$72,L602=phu!$I$73,L602=phu!$I$74,L602=phu!$I$75,L602=phu!$I$76,L602=phu!$I$77,L602=phu!$I$78),"Cam Phước Đông",""),IF(OR(L602=phu!$I$79,L602=phu!$I$80,L602=phu!$I$81,L602=phu!$I$82,L602=phu!$I$83,L602=phu!$I$84),"Cam Thịnh Đông",""),IF(OR(L602=phu!$I$85,L602=phu!$I$86,L602=phu!$I$87,L602=phu!$I$88),"Cam Thịnh Tây",""),IF(OR(L602=phu!$I$89,L602=phu!$I$90),"Cam Lập",""),IF(OR(L602=phu!$I$91,L602=phu!$I$92,L602=phu!$I$93),"Cam Bình",""),IF(OR(L602=phu!$I$94,L602=phu!$I$95,L602=phu!$I$96,L602=phu!$I$97,L602=phu!$I$98,L602=phu!$I$99,L602=phu!$I$100),"Huyện khác",""),IF(OR(L602=phu!$I$101,L602=phu!$I$102),"Tỉnh khác",""))</f>
        <v/>
      </c>
      <c r="N602" s="835" t="str">
        <f t="shared" si="49"/>
        <v/>
      </c>
      <c r="O602" s="20"/>
      <c r="P602" s="20"/>
      <c r="Q602" s="20"/>
      <c r="R602" s="20"/>
      <c r="S602" s="20"/>
      <c r="T602" s="21"/>
      <c r="U602" s="21"/>
      <c r="V602" s="21"/>
      <c r="W602" s="7" t="str">
        <f t="shared" si="47"/>
        <v/>
      </c>
      <c r="X602" s="506" t="str">
        <f t="shared" si="48"/>
        <v/>
      </c>
    </row>
    <row r="603" spans="1:24" x14ac:dyDescent="0.25">
      <c r="A603" s="66" t="str">
        <f t="shared" si="50"/>
        <v/>
      </c>
      <c r="B603" s="23" t="str">
        <f t="shared" si="46"/>
        <v/>
      </c>
      <c r="C603" s="15"/>
      <c r="D603" s="16"/>
      <c r="E603" s="17"/>
      <c r="F603" s="18"/>
      <c r="G603" s="18"/>
      <c r="H603" s="19"/>
      <c r="I603" s="15"/>
      <c r="J603" s="20"/>
      <c r="K603" s="15"/>
      <c r="L603" s="15"/>
      <c r="M603" s="531" t="str">
        <f>CONCATENATE(IF(OR(L603=phu!$I$1,L603=phu!$I$2,L603=phu!$I$3),"Cam Thành Nam",""),IF(OR(L603=phu!$I$4,L603=phu!$I$5,L603=phu!$I$6,L603=phu!$I$7,L603=phu!$I$8,L603=phu!$I$9,L603=phu!$I$10,L603=phu!$I$11,L603=phu!$I$12,L603=phu!$I$13,L603=phu!$I$14),"Cam Nghĩa",""),IF(OR(L603=phu!$I$15,L603=phu!$I$16,L603=phu!$I$17,L603=phu!$I$18,L603=phu!$I$19,L603=phu!$I$20,L603=phu!$I$21),"Cam Phúc Bắc",""),IF(OR(L603=phu!$I$22,L603=phu!$I$23,L603=phu!$I$24,L603=phu!$I$25),"Cam Phúc Nam",""),IF(OR(L603=phu!$I$26,L603=phu!$I$27,L603=phu!$I$28,L603=phu!$I$29,L603=phu!$I$30,L603=phu!$I$31),"Cam Phú",""),IF(OR(L603=phu!$I$32,L603=phu!$I$33,L603=phu!$I$34,L603=phu!$I$35,L603=phu!$I$36,L603=phu!$I$37),"Cam Lộc",""),IF(OR(L603=phu!$I$38,L603=phu!$I$39,L603=phu!$I$40,L603=phu!$I$41,L603=phu!$I$42,L603=phu!$I$43,L603=phu!$I$44),"Cam Thuận",""),IF(OR(L603=phu!$I$45,L603=phu!$I$46,L603=phu!$I$47,L603=phu!$I$48,L603=phu!$I$49,L603=phu!$I$50,L603=phu!$I$51,L603=phu!$I$52,L603=phu!$I$53),"Cam Linh",""),IF(OR(L603=phu!$I$54,L603=phu!$I$55,L603=phu!$I$56,L603=phu!$I$57,L603=phu!$I$58,L603=phu!$I$59,L603=phu!$I$60,L603=phu!$I$61,L603=phu!$I$62),"Cam Lợi",""),IF(OR(L603=phu!$I$63,L603=phu!$I$64,L603=phu!$I$65,L603=phu!$I$66,L603=phu!$I$67,L603=phu!$I$68,L603=phu!$I$69,L603=phu!$I$70,L603=phu!$I$71),"Ba Ngòi",""),IF(OR(L603=phu!$I$72,L603=phu!$I$73,L603=phu!$I$74,L603=phu!$I$75,L603=phu!$I$76,L603=phu!$I$77,L603=phu!$I$78),"Cam Phước Đông",""),IF(OR(L603=phu!$I$79,L603=phu!$I$80,L603=phu!$I$81,L603=phu!$I$82,L603=phu!$I$83,L603=phu!$I$84),"Cam Thịnh Đông",""),IF(OR(L603=phu!$I$85,L603=phu!$I$86,L603=phu!$I$87,L603=phu!$I$88),"Cam Thịnh Tây",""),IF(OR(L603=phu!$I$89,L603=phu!$I$90),"Cam Lập",""),IF(OR(L603=phu!$I$91,L603=phu!$I$92,L603=phu!$I$93),"Cam Bình",""),IF(OR(L603=phu!$I$94,L603=phu!$I$95,L603=phu!$I$96,L603=phu!$I$97,L603=phu!$I$98,L603=phu!$I$99,L603=phu!$I$100),"Huyện khác",""),IF(OR(L603=phu!$I$101,L603=phu!$I$102),"Tỉnh khác",""))</f>
        <v/>
      </c>
      <c r="N603" s="835" t="str">
        <f t="shared" si="49"/>
        <v/>
      </c>
      <c r="O603" s="20"/>
      <c r="P603" s="20"/>
      <c r="Q603" s="20"/>
      <c r="R603" s="20"/>
      <c r="S603" s="20"/>
      <c r="T603" s="21"/>
      <c r="U603" s="21"/>
      <c r="V603" s="21"/>
      <c r="W603" s="7" t="str">
        <f t="shared" si="47"/>
        <v/>
      </c>
      <c r="X603" s="506" t="str">
        <f t="shared" si="48"/>
        <v/>
      </c>
    </row>
    <row r="604" spans="1:24" x14ac:dyDescent="0.25">
      <c r="A604" s="66" t="str">
        <f t="shared" si="50"/>
        <v/>
      </c>
      <c r="B604" s="23" t="str">
        <f t="shared" si="46"/>
        <v/>
      </c>
      <c r="C604" s="15"/>
      <c r="D604" s="16"/>
      <c r="E604" s="17"/>
      <c r="F604" s="18"/>
      <c r="G604" s="18"/>
      <c r="H604" s="19"/>
      <c r="I604" s="15"/>
      <c r="J604" s="20"/>
      <c r="K604" s="15"/>
      <c r="L604" s="15"/>
      <c r="M604" s="531" t="str">
        <f>CONCATENATE(IF(OR(L604=phu!$I$1,L604=phu!$I$2,L604=phu!$I$3),"Cam Thành Nam",""),IF(OR(L604=phu!$I$4,L604=phu!$I$5,L604=phu!$I$6,L604=phu!$I$7,L604=phu!$I$8,L604=phu!$I$9,L604=phu!$I$10,L604=phu!$I$11,L604=phu!$I$12,L604=phu!$I$13,L604=phu!$I$14),"Cam Nghĩa",""),IF(OR(L604=phu!$I$15,L604=phu!$I$16,L604=phu!$I$17,L604=phu!$I$18,L604=phu!$I$19,L604=phu!$I$20,L604=phu!$I$21),"Cam Phúc Bắc",""),IF(OR(L604=phu!$I$22,L604=phu!$I$23,L604=phu!$I$24,L604=phu!$I$25),"Cam Phúc Nam",""),IF(OR(L604=phu!$I$26,L604=phu!$I$27,L604=phu!$I$28,L604=phu!$I$29,L604=phu!$I$30,L604=phu!$I$31),"Cam Phú",""),IF(OR(L604=phu!$I$32,L604=phu!$I$33,L604=phu!$I$34,L604=phu!$I$35,L604=phu!$I$36,L604=phu!$I$37),"Cam Lộc",""),IF(OR(L604=phu!$I$38,L604=phu!$I$39,L604=phu!$I$40,L604=phu!$I$41,L604=phu!$I$42,L604=phu!$I$43,L604=phu!$I$44),"Cam Thuận",""),IF(OR(L604=phu!$I$45,L604=phu!$I$46,L604=phu!$I$47,L604=phu!$I$48,L604=phu!$I$49,L604=phu!$I$50,L604=phu!$I$51,L604=phu!$I$52,L604=phu!$I$53),"Cam Linh",""),IF(OR(L604=phu!$I$54,L604=phu!$I$55,L604=phu!$I$56,L604=phu!$I$57,L604=phu!$I$58,L604=phu!$I$59,L604=phu!$I$60,L604=phu!$I$61,L604=phu!$I$62),"Cam Lợi",""),IF(OR(L604=phu!$I$63,L604=phu!$I$64,L604=phu!$I$65,L604=phu!$I$66,L604=phu!$I$67,L604=phu!$I$68,L604=phu!$I$69,L604=phu!$I$70,L604=phu!$I$71),"Ba Ngòi",""),IF(OR(L604=phu!$I$72,L604=phu!$I$73,L604=phu!$I$74,L604=phu!$I$75,L604=phu!$I$76,L604=phu!$I$77,L604=phu!$I$78),"Cam Phước Đông",""),IF(OR(L604=phu!$I$79,L604=phu!$I$80,L604=phu!$I$81,L604=phu!$I$82,L604=phu!$I$83,L604=phu!$I$84),"Cam Thịnh Đông",""),IF(OR(L604=phu!$I$85,L604=phu!$I$86,L604=phu!$I$87,L604=phu!$I$88),"Cam Thịnh Tây",""),IF(OR(L604=phu!$I$89,L604=phu!$I$90),"Cam Lập",""),IF(OR(L604=phu!$I$91,L604=phu!$I$92,L604=phu!$I$93),"Cam Bình",""),IF(OR(L604=phu!$I$94,L604=phu!$I$95,L604=phu!$I$96,L604=phu!$I$97,L604=phu!$I$98,L604=phu!$I$99,L604=phu!$I$100),"Huyện khác",""),IF(OR(L604=phu!$I$101,L604=phu!$I$102),"Tỉnh khác",""))</f>
        <v/>
      </c>
      <c r="N604" s="835" t="str">
        <f t="shared" si="49"/>
        <v/>
      </c>
      <c r="O604" s="20"/>
      <c r="P604" s="20"/>
      <c r="Q604" s="20"/>
      <c r="R604" s="20"/>
      <c r="S604" s="20"/>
      <c r="T604" s="21"/>
      <c r="U604" s="21"/>
      <c r="V604" s="21"/>
      <c r="W604" s="7" t="str">
        <f t="shared" si="47"/>
        <v/>
      </c>
      <c r="X604" s="506" t="str">
        <f t="shared" si="48"/>
        <v/>
      </c>
    </row>
    <row r="605" spans="1:24" x14ac:dyDescent="0.25">
      <c r="A605" s="66" t="str">
        <f t="shared" si="50"/>
        <v/>
      </c>
      <c r="B605" s="23" t="str">
        <f t="shared" si="46"/>
        <v/>
      </c>
      <c r="C605" s="15"/>
      <c r="D605" s="16"/>
      <c r="E605" s="17"/>
      <c r="F605" s="18"/>
      <c r="G605" s="18"/>
      <c r="H605" s="19"/>
      <c r="I605" s="15"/>
      <c r="J605" s="20"/>
      <c r="K605" s="15"/>
      <c r="L605" s="15"/>
      <c r="M605" s="531" t="str">
        <f>CONCATENATE(IF(OR(L605=phu!$I$1,L605=phu!$I$2,L605=phu!$I$3),"Cam Thành Nam",""),IF(OR(L605=phu!$I$4,L605=phu!$I$5,L605=phu!$I$6,L605=phu!$I$7,L605=phu!$I$8,L605=phu!$I$9,L605=phu!$I$10,L605=phu!$I$11,L605=phu!$I$12,L605=phu!$I$13,L605=phu!$I$14),"Cam Nghĩa",""),IF(OR(L605=phu!$I$15,L605=phu!$I$16,L605=phu!$I$17,L605=phu!$I$18,L605=phu!$I$19,L605=phu!$I$20,L605=phu!$I$21),"Cam Phúc Bắc",""),IF(OR(L605=phu!$I$22,L605=phu!$I$23,L605=phu!$I$24,L605=phu!$I$25),"Cam Phúc Nam",""),IF(OR(L605=phu!$I$26,L605=phu!$I$27,L605=phu!$I$28,L605=phu!$I$29,L605=phu!$I$30,L605=phu!$I$31),"Cam Phú",""),IF(OR(L605=phu!$I$32,L605=phu!$I$33,L605=phu!$I$34,L605=phu!$I$35,L605=phu!$I$36,L605=phu!$I$37),"Cam Lộc",""),IF(OR(L605=phu!$I$38,L605=phu!$I$39,L605=phu!$I$40,L605=phu!$I$41,L605=phu!$I$42,L605=phu!$I$43,L605=phu!$I$44),"Cam Thuận",""),IF(OR(L605=phu!$I$45,L605=phu!$I$46,L605=phu!$I$47,L605=phu!$I$48,L605=phu!$I$49,L605=phu!$I$50,L605=phu!$I$51,L605=phu!$I$52,L605=phu!$I$53),"Cam Linh",""),IF(OR(L605=phu!$I$54,L605=phu!$I$55,L605=phu!$I$56,L605=phu!$I$57,L605=phu!$I$58,L605=phu!$I$59,L605=phu!$I$60,L605=phu!$I$61,L605=phu!$I$62),"Cam Lợi",""),IF(OR(L605=phu!$I$63,L605=phu!$I$64,L605=phu!$I$65,L605=phu!$I$66,L605=phu!$I$67,L605=phu!$I$68,L605=phu!$I$69,L605=phu!$I$70,L605=phu!$I$71),"Ba Ngòi",""),IF(OR(L605=phu!$I$72,L605=phu!$I$73,L605=phu!$I$74,L605=phu!$I$75,L605=phu!$I$76,L605=phu!$I$77,L605=phu!$I$78),"Cam Phước Đông",""),IF(OR(L605=phu!$I$79,L605=phu!$I$80,L605=phu!$I$81,L605=phu!$I$82,L605=phu!$I$83,L605=phu!$I$84),"Cam Thịnh Đông",""),IF(OR(L605=phu!$I$85,L605=phu!$I$86,L605=phu!$I$87,L605=phu!$I$88),"Cam Thịnh Tây",""),IF(OR(L605=phu!$I$89,L605=phu!$I$90),"Cam Lập",""),IF(OR(L605=phu!$I$91,L605=phu!$I$92,L605=phu!$I$93),"Cam Bình",""),IF(OR(L605=phu!$I$94,L605=phu!$I$95,L605=phu!$I$96,L605=phu!$I$97,L605=phu!$I$98,L605=phu!$I$99,L605=phu!$I$100),"Huyện khác",""),IF(OR(L605=phu!$I$101,L605=phu!$I$102),"Tỉnh khác",""))</f>
        <v/>
      </c>
      <c r="N605" s="835" t="str">
        <f t="shared" si="49"/>
        <v/>
      </c>
      <c r="O605" s="20"/>
      <c r="P605" s="20"/>
      <c r="Q605" s="20"/>
      <c r="R605" s="20"/>
      <c r="S605" s="20"/>
      <c r="T605" s="21"/>
      <c r="U605" s="21"/>
      <c r="V605" s="21"/>
      <c r="W605" s="7" t="str">
        <f t="shared" si="47"/>
        <v/>
      </c>
      <c r="X605" s="506" t="str">
        <f t="shared" si="48"/>
        <v/>
      </c>
    </row>
    <row r="606" spans="1:24" x14ac:dyDescent="0.25">
      <c r="A606" s="66" t="str">
        <f t="shared" si="50"/>
        <v/>
      </c>
      <c r="B606" s="23" t="str">
        <f t="shared" si="46"/>
        <v/>
      </c>
      <c r="C606" s="15"/>
      <c r="D606" s="16"/>
      <c r="E606" s="17"/>
      <c r="F606" s="18"/>
      <c r="G606" s="18"/>
      <c r="H606" s="19"/>
      <c r="I606" s="15"/>
      <c r="J606" s="20"/>
      <c r="K606" s="15"/>
      <c r="L606" s="15"/>
      <c r="M606" s="531" t="str">
        <f>CONCATENATE(IF(OR(L606=phu!$I$1,L606=phu!$I$2,L606=phu!$I$3),"Cam Thành Nam",""),IF(OR(L606=phu!$I$4,L606=phu!$I$5,L606=phu!$I$6,L606=phu!$I$7,L606=phu!$I$8,L606=phu!$I$9,L606=phu!$I$10,L606=phu!$I$11,L606=phu!$I$12,L606=phu!$I$13,L606=phu!$I$14),"Cam Nghĩa",""),IF(OR(L606=phu!$I$15,L606=phu!$I$16,L606=phu!$I$17,L606=phu!$I$18,L606=phu!$I$19,L606=phu!$I$20,L606=phu!$I$21),"Cam Phúc Bắc",""),IF(OR(L606=phu!$I$22,L606=phu!$I$23,L606=phu!$I$24,L606=phu!$I$25),"Cam Phúc Nam",""),IF(OR(L606=phu!$I$26,L606=phu!$I$27,L606=phu!$I$28,L606=phu!$I$29,L606=phu!$I$30,L606=phu!$I$31),"Cam Phú",""),IF(OR(L606=phu!$I$32,L606=phu!$I$33,L606=phu!$I$34,L606=phu!$I$35,L606=phu!$I$36,L606=phu!$I$37),"Cam Lộc",""),IF(OR(L606=phu!$I$38,L606=phu!$I$39,L606=phu!$I$40,L606=phu!$I$41,L606=phu!$I$42,L606=phu!$I$43,L606=phu!$I$44),"Cam Thuận",""),IF(OR(L606=phu!$I$45,L606=phu!$I$46,L606=phu!$I$47,L606=phu!$I$48,L606=phu!$I$49,L606=phu!$I$50,L606=phu!$I$51,L606=phu!$I$52,L606=phu!$I$53),"Cam Linh",""),IF(OR(L606=phu!$I$54,L606=phu!$I$55,L606=phu!$I$56,L606=phu!$I$57,L606=phu!$I$58,L606=phu!$I$59,L606=phu!$I$60,L606=phu!$I$61,L606=phu!$I$62),"Cam Lợi",""),IF(OR(L606=phu!$I$63,L606=phu!$I$64,L606=phu!$I$65,L606=phu!$I$66,L606=phu!$I$67,L606=phu!$I$68,L606=phu!$I$69,L606=phu!$I$70,L606=phu!$I$71),"Ba Ngòi",""),IF(OR(L606=phu!$I$72,L606=phu!$I$73,L606=phu!$I$74,L606=phu!$I$75,L606=phu!$I$76,L606=phu!$I$77,L606=phu!$I$78),"Cam Phước Đông",""),IF(OR(L606=phu!$I$79,L606=phu!$I$80,L606=phu!$I$81,L606=phu!$I$82,L606=phu!$I$83,L606=phu!$I$84),"Cam Thịnh Đông",""),IF(OR(L606=phu!$I$85,L606=phu!$I$86,L606=phu!$I$87,L606=phu!$I$88),"Cam Thịnh Tây",""),IF(OR(L606=phu!$I$89,L606=phu!$I$90),"Cam Lập",""),IF(OR(L606=phu!$I$91,L606=phu!$I$92,L606=phu!$I$93),"Cam Bình",""),IF(OR(L606=phu!$I$94,L606=phu!$I$95,L606=phu!$I$96,L606=phu!$I$97,L606=phu!$I$98,L606=phu!$I$99,L606=phu!$I$100),"Huyện khác",""),IF(OR(L606=phu!$I$101,L606=phu!$I$102),"Tỉnh khác",""))</f>
        <v/>
      </c>
      <c r="N606" s="835" t="str">
        <f t="shared" si="49"/>
        <v/>
      </c>
      <c r="O606" s="20"/>
      <c r="P606" s="20"/>
      <c r="Q606" s="20"/>
      <c r="R606" s="20"/>
      <c r="S606" s="20"/>
      <c r="T606" s="21"/>
      <c r="U606" s="21"/>
      <c r="V606" s="21"/>
      <c r="W606" s="7" t="str">
        <f t="shared" si="47"/>
        <v/>
      </c>
      <c r="X606" s="506" t="str">
        <f t="shared" si="48"/>
        <v/>
      </c>
    </row>
    <row r="607" spans="1:24" x14ac:dyDescent="0.25">
      <c r="A607" s="66" t="str">
        <f t="shared" si="50"/>
        <v/>
      </c>
      <c r="B607" s="23" t="str">
        <f t="shared" si="46"/>
        <v/>
      </c>
      <c r="C607" s="15"/>
      <c r="D607" s="16"/>
      <c r="E607" s="17"/>
      <c r="F607" s="18"/>
      <c r="G607" s="18"/>
      <c r="H607" s="19"/>
      <c r="I607" s="15"/>
      <c r="J607" s="20"/>
      <c r="K607" s="15"/>
      <c r="L607" s="15"/>
      <c r="M607" s="531" t="str">
        <f>CONCATENATE(IF(OR(L607=phu!$I$1,L607=phu!$I$2,L607=phu!$I$3),"Cam Thành Nam",""),IF(OR(L607=phu!$I$4,L607=phu!$I$5,L607=phu!$I$6,L607=phu!$I$7,L607=phu!$I$8,L607=phu!$I$9,L607=phu!$I$10,L607=phu!$I$11,L607=phu!$I$12,L607=phu!$I$13,L607=phu!$I$14),"Cam Nghĩa",""),IF(OR(L607=phu!$I$15,L607=phu!$I$16,L607=phu!$I$17,L607=phu!$I$18,L607=phu!$I$19,L607=phu!$I$20,L607=phu!$I$21),"Cam Phúc Bắc",""),IF(OR(L607=phu!$I$22,L607=phu!$I$23,L607=phu!$I$24,L607=phu!$I$25),"Cam Phúc Nam",""),IF(OR(L607=phu!$I$26,L607=phu!$I$27,L607=phu!$I$28,L607=phu!$I$29,L607=phu!$I$30,L607=phu!$I$31),"Cam Phú",""),IF(OR(L607=phu!$I$32,L607=phu!$I$33,L607=phu!$I$34,L607=phu!$I$35,L607=phu!$I$36,L607=phu!$I$37),"Cam Lộc",""),IF(OR(L607=phu!$I$38,L607=phu!$I$39,L607=phu!$I$40,L607=phu!$I$41,L607=phu!$I$42,L607=phu!$I$43,L607=phu!$I$44),"Cam Thuận",""),IF(OR(L607=phu!$I$45,L607=phu!$I$46,L607=phu!$I$47,L607=phu!$I$48,L607=phu!$I$49,L607=phu!$I$50,L607=phu!$I$51,L607=phu!$I$52,L607=phu!$I$53),"Cam Linh",""),IF(OR(L607=phu!$I$54,L607=phu!$I$55,L607=phu!$I$56,L607=phu!$I$57,L607=phu!$I$58,L607=phu!$I$59,L607=phu!$I$60,L607=phu!$I$61,L607=phu!$I$62),"Cam Lợi",""),IF(OR(L607=phu!$I$63,L607=phu!$I$64,L607=phu!$I$65,L607=phu!$I$66,L607=phu!$I$67,L607=phu!$I$68,L607=phu!$I$69,L607=phu!$I$70,L607=phu!$I$71),"Ba Ngòi",""),IF(OR(L607=phu!$I$72,L607=phu!$I$73,L607=phu!$I$74,L607=phu!$I$75,L607=phu!$I$76,L607=phu!$I$77,L607=phu!$I$78),"Cam Phước Đông",""),IF(OR(L607=phu!$I$79,L607=phu!$I$80,L607=phu!$I$81,L607=phu!$I$82,L607=phu!$I$83,L607=phu!$I$84),"Cam Thịnh Đông",""),IF(OR(L607=phu!$I$85,L607=phu!$I$86,L607=phu!$I$87,L607=phu!$I$88),"Cam Thịnh Tây",""),IF(OR(L607=phu!$I$89,L607=phu!$I$90),"Cam Lập",""),IF(OR(L607=phu!$I$91,L607=phu!$I$92,L607=phu!$I$93),"Cam Bình",""),IF(OR(L607=phu!$I$94,L607=phu!$I$95,L607=phu!$I$96,L607=phu!$I$97,L607=phu!$I$98,L607=phu!$I$99,L607=phu!$I$100),"Huyện khác",""),IF(OR(L607=phu!$I$101,L607=phu!$I$102),"Tỉnh khác",""))</f>
        <v/>
      </c>
      <c r="N607" s="835" t="str">
        <f t="shared" si="49"/>
        <v/>
      </c>
      <c r="O607" s="20"/>
      <c r="P607" s="20"/>
      <c r="Q607" s="20"/>
      <c r="R607" s="20"/>
      <c r="S607" s="20"/>
      <c r="T607" s="21"/>
      <c r="U607" s="21"/>
      <c r="V607" s="21"/>
      <c r="W607" s="7" t="str">
        <f t="shared" si="47"/>
        <v/>
      </c>
      <c r="X607" s="506" t="str">
        <f t="shared" si="48"/>
        <v/>
      </c>
    </row>
    <row r="608" spans="1:24" x14ac:dyDescent="0.25">
      <c r="A608" s="66" t="str">
        <f t="shared" si="50"/>
        <v/>
      </c>
      <c r="B608" s="23" t="str">
        <f t="shared" si="46"/>
        <v/>
      </c>
      <c r="C608" s="15"/>
      <c r="D608" s="16"/>
      <c r="E608" s="17"/>
      <c r="F608" s="18"/>
      <c r="G608" s="18"/>
      <c r="H608" s="19"/>
      <c r="I608" s="15"/>
      <c r="J608" s="20"/>
      <c r="K608" s="15"/>
      <c r="L608" s="15"/>
      <c r="M608" s="531" t="str">
        <f>CONCATENATE(IF(OR(L608=phu!$I$1,L608=phu!$I$2,L608=phu!$I$3),"Cam Thành Nam",""),IF(OR(L608=phu!$I$4,L608=phu!$I$5,L608=phu!$I$6,L608=phu!$I$7,L608=phu!$I$8,L608=phu!$I$9,L608=phu!$I$10,L608=phu!$I$11,L608=phu!$I$12,L608=phu!$I$13,L608=phu!$I$14),"Cam Nghĩa",""),IF(OR(L608=phu!$I$15,L608=phu!$I$16,L608=phu!$I$17,L608=phu!$I$18,L608=phu!$I$19,L608=phu!$I$20,L608=phu!$I$21),"Cam Phúc Bắc",""),IF(OR(L608=phu!$I$22,L608=phu!$I$23,L608=phu!$I$24,L608=phu!$I$25),"Cam Phúc Nam",""),IF(OR(L608=phu!$I$26,L608=phu!$I$27,L608=phu!$I$28,L608=phu!$I$29,L608=phu!$I$30,L608=phu!$I$31),"Cam Phú",""),IF(OR(L608=phu!$I$32,L608=phu!$I$33,L608=phu!$I$34,L608=phu!$I$35,L608=phu!$I$36,L608=phu!$I$37),"Cam Lộc",""),IF(OR(L608=phu!$I$38,L608=phu!$I$39,L608=phu!$I$40,L608=phu!$I$41,L608=phu!$I$42,L608=phu!$I$43,L608=phu!$I$44),"Cam Thuận",""),IF(OR(L608=phu!$I$45,L608=phu!$I$46,L608=phu!$I$47,L608=phu!$I$48,L608=phu!$I$49,L608=phu!$I$50,L608=phu!$I$51,L608=phu!$I$52,L608=phu!$I$53),"Cam Linh",""),IF(OR(L608=phu!$I$54,L608=phu!$I$55,L608=phu!$I$56,L608=phu!$I$57,L608=phu!$I$58,L608=phu!$I$59,L608=phu!$I$60,L608=phu!$I$61,L608=phu!$I$62),"Cam Lợi",""),IF(OR(L608=phu!$I$63,L608=phu!$I$64,L608=phu!$I$65,L608=phu!$I$66,L608=phu!$I$67,L608=phu!$I$68,L608=phu!$I$69,L608=phu!$I$70,L608=phu!$I$71),"Ba Ngòi",""),IF(OR(L608=phu!$I$72,L608=phu!$I$73,L608=phu!$I$74,L608=phu!$I$75,L608=phu!$I$76,L608=phu!$I$77,L608=phu!$I$78),"Cam Phước Đông",""),IF(OR(L608=phu!$I$79,L608=phu!$I$80,L608=phu!$I$81,L608=phu!$I$82,L608=phu!$I$83,L608=phu!$I$84),"Cam Thịnh Đông",""),IF(OR(L608=phu!$I$85,L608=phu!$I$86,L608=phu!$I$87,L608=phu!$I$88),"Cam Thịnh Tây",""),IF(OR(L608=phu!$I$89,L608=phu!$I$90),"Cam Lập",""),IF(OR(L608=phu!$I$91,L608=phu!$I$92,L608=phu!$I$93),"Cam Bình",""),IF(OR(L608=phu!$I$94,L608=phu!$I$95,L608=phu!$I$96,L608=phu!$I$97,L608=phu!$I$98,L608=phu!$I$99,L608=phu!$I$100),"Huyện khác",""),IF(OR(L608=phu!$I$101,L608=phu!$I$102),"Tỉnh khác",""))</f>
        <v/>
      </c>
      <c r="N608" s="835" t="str">
        <f t="shared" si="49"/>
        <v/>
      </c>
      <c r="O608" s="20"/>
      <c r="P608" s="20"/>
      <c r="Q608" s="20"/>
      <c r="R608" s="20"/>
      <c r="S608" s="20"/>
      <c r="T608" s="21"/>
      <c r="U608" s="21"/>
      <c r="V608" s="21"/>
      <c r="W608" s="7" t="str">
        <f t="shared" si="47"/>
        <v/>
      </c>
      <c r="X608" s="506" t="str">
        <f t="shared" si="48"/>
        <v/>
      </c>
    </row>
    <row r="609" spans="1:24" x14ac:dyDescent="0.25">
      <c r="A609" s="66" t="str">
        <f t="shared" si="50"/>
        <v/>
      </c>
      <c r="B609" s="23" t="str">
        <f t="shared" si="46"/>
        <v/>
      </c>
      <c r="C609" s="15"/>
      <c r="D609" s="16"/>
      <c r="E609" s="17"/>
      <c r="F609" s="18"/>
      <c r="G609" s="18"/>
      <c r="H609" s="19"/>
      <c r="I609" s="15"/>
      <c r="J609" s="20"/>
      <c r="K609" s="15"/>
      <c r="L609" s="15"/>
      <c r="M609" s="531" t="str">
        <f>CONCATENATE(IF(OR(L609=phu!$I$1,L609=phu!$I$2,L609=phu!$I$3),"Cam Thành Nam",""),IF(OR(L609=phu!$I$4,L609=phu!$I$5,L609=phu!$I$6,L609=phu!$I$7,L609=phu!$I$8,L609=phu!$I$9,L609=phu!$I$10,L609=phu!$I$11,L609=phu!$I$12,L609=phu!$I$13,L609=phu!$I$14),"Cam Nghĩa",""),IF(OR(L609=phu!$I$15,L609=phu!$I$16,L609=phu!$I$17,L609=phu!$I$18,L609=phu!$I$19,L609=phu!$I$20,L609=phu!$I$21),"Cam Phúc Bắc",""),IF(OR(L609=phu!$I$22,L609=phu!$I$23,L609=phu!$I$24,L609=phu!$I$25),"Cam Phúc Nam",""),IF(OR(L609=phu!$I$26,L609=phu!$I$27,L609=phu!$I$28,L609=phu!$I$29,L609=phu!$I$30,L609=phu!$I$31),"Cam Phú",""),IF(OR(L609=phu!$I$32,L609=phu!$I$33,L609=phu!$I$34,L609=phu!$I$35,L609=phu!$I$36,L609=phu!$I$37),"Cam Lộc",""),IF(OR(L609=phu!$I$38,L609=phu!$I$39,L609=phu!$I$40,L609=phu!$I$41,L609=phu!$I$42,L609=phu!$I$43,L609=phu!$I$44),"Cam Thuận",""),IF(OR(L609=phu!$I$45,L609=phu!$I$46,L609=phu!$I$47,L609=phu!$I$48,L609=phu!$I$49,L609=phu!$I$50,L609=phu!$I$51,L609=phu!$I$52,L609=phu!$I$53),"Cam Linh",""),IF(OR(L609=phu!$I$54,L609=phu!$I$55,L609=phu!$I$56,L609=phu!$I$57,L609=phu!$I$58,L609=phu!$I$59,L609=phu!$I$60,L609=phu!$I$61,L609=phu!$I$62),"Cam Lợi",""),IF(OR(L609=phu!$I$63,L609=phu!$I$64,L609=phu!$I$65,L609=phu!$I$66,L609=phu!$I$67,L609=phu!$I$68,L609=phu!$I$69,L609=phu!$I$70,L609=phu!$I$71),"Ba Ngòi",""),IF(OR(L609=phu!$I$72,L609=phu!$I$73,L609=phu!$I$74,L609=phu!$I$75,L609=phu!$I$76,L609=phu!$I$77,L609=phu!$I$78),"Cam Phước Đông",""),IF(OR(L609=phu!$I$79,L609=phu!$I$80,L609=phu!$I$81,L609=phu!$I$82,L609=phu!$I$83,L609=phu!$I$84),"Cam Thịnh Đông",""),IF(OR(L609=phu!$I$85,L609=phu!$I$86,L609=phu!$I$87,L609=phu!$I$88),"Cam Thịnh Tây",""),IF(OR(L609=phu!$I$89,L609=phu!$I$90),"Cam Lập",""),IF(OR(L609=phu!$I$91,L609=phu!$I$92,L609=phu!$I$93),"Cam Bình",""),IF(OR(L609=phu!$I$94,L609=phu!$I$95,L609=phu!$I$96,L609=phu!$I$97,L609=phu!$I$98,L609=phu!$I$99,L609=phu!$I$100),"Huyện khác",""),IF(OR(L609=phu!$I$101,L609=phu!$I$102),"Tỉnh khác",""))</f>
        <v/>
      </c>
      <c r="N609" s="835" t="str">
        <f t="shared" si="49"/>
        <v/>
      </c>
      <c r="O609" s="20"/>
      <c r="P609" s="20"/>
      <c r="Q609" s="20"/>
      <c r="R609" s="20"/>
      <c r="S609" s="20"/>
      <c r="T609" s="21"/>
      <c r="U609" s="21"/>
      <c r="V609" s="21"/>
      <c r="W609" s="7" t="str">
        <f t="shared" si="47"/>
        <v/>
      </c>
      <c r="X609" s="506" t="str">
        <f t="shared" si="48"/>
        <v/>
      </c>
    </row>
    <row r="610" spans="1:24" x14ac:dyDescent="0.25">
      <c r="A610" s="66" t="str">
        <f t="shared" si="50"/>
        <v/>
      </c>
      <c r="B610" s="23" t="str">
        <f t="shared" si="46"/>
        <v/>
      </c>
      <c r="C610" s="15"/>
      <c r="D610" s="16"/>
      <c r="E610" s="17"/>
      <c r="F610" s="18"/>
      <c r="G610" s="18"/>
      <c r="H610" s="19"/>
      <c r="I610" s="15"/>
      <c r="J610" s="20"/>
      <c r="K610" s="15"/>
      <c r="L610" s="15"/>
      <c r="M610" s="531" t="str">
        <f>CONCATENATE(IF(OR(L610=phu!$I$1,L610=phu!$I$2,L610=phu!$I$3),"Cam Thành Nam",""),IF(OR(L610=phu!$I$4,L610=phu!$I$5,L610=phu!$I$6,L610=phu!$I$7,L610=phu!$I$8,L610=phu!$I$9,L610=phu!$I$10,L610=phu!$I$11,L610=phu!$I$12,L610=phu!$I$13,L610=phu!$I$14),"Cam Nghĩa",""),IF(OR(L610=phu!$I$15,L610=phu!$I$16,L610=phu!$I$17,L610=phu!$I$18,L610=phu!$I$19,L610=phu!$I$20,L610=phu!$I$21),"Cam Phúc Bắc",""),IF(OR(L610=phu!$I$22,L610=phu!$I$23,L610=phu!$I$24,L610=phu!$I$25),"Cam Phúc Nam",""),IF(OR(L610=phu!$I$26,L610=phu!$I$27,L610=phu!$I$28,L610=phu!$I$29,L610=phu!$I$30,L610=phu!$I$31),"Cam Phú",""),IF(OR(L610=phu!$I$32,L610=phu!$I$33,L610=phu!$I$34,L610=phu!$I$35,L610=phu!$I$36,L610=phu!$I$37),"Cam Lộc",""),IF(OR(L610=phu!$I$38,L610=phu!$I$39,L610=phu!$I$40,L610=phu!$I$41,L610=phu!$I$42,L610=phu!$I$43,L610=phu!$I$44),"Cam Thuận",""),IF(OR(L610=phu!$I$45,L610=phu!$I$46,L610=phu!$I$47,L610=phu!$I$48,L610=phu!$I$49,L610=phu!$I$50,L610=phu!$I$51,L610=phu!$I$52,L610=phu!$I$53),"Cam Linh",""),IF(OR(L610=phu!$I$54,L610=phu!$I$55,L610=phu!$I$56,L610=phu!$I$57,L610=phu!$I$58,L610=phu!$I$59,L610=phu!$I$60,L610=phu!$I$61,L610=phu!$I$62),"Cam Lợi",""),IF(OR(L610=phu!$I$63,L610=phu!$I$64,L610=phu!$I$65,L610=phu!$I$66,L610=phu!$I$67,L610=phu!$I$68,L610=phu!$I$69,L610=phu!$I$70,L610=phu!$I$71),"Ba Ngòi",""),IF(OR(L610=phu!$I$72,L610=phu!$I$73,L610=phu!$I$74,L610=phu!$I$75,L610=phu!$I$76,L610=phu!$I$77,L610=phu!$I$78),"Cam Phước Đông",""),IF(OR(L610=phu!$I$79,L610=phu!$I$80,L610=phu!$I$81,L610=phu!$I$82,L610=phu!$I$83,L610=phu!$I$84),"Cam Thịnh Đông",""),IF(OR(L610=phu!$I$85,L610=phu!$I$86,L610=phu!$I$87,L610=phu!$I$88),"Cam Thịnh Tây",""),IF(OR(L610=phu!$I$89,L610=phu!$I$90),"Cam Lập",""),IF(OR(L610=phu!$I$91,L610=phu!$I$92,L610=phu!$I$93),"Cam Bình",""),IF(OR(L610=phu!$I$94,L610=phu!$I$95,L610=phu!$I$96,L610=phu!$I$97,L610=phu!$I$98,L610=phu!$I$99,L610=phu!$I$100),"Huyện khác",""),IF(OR(L610=phu!$I$101,L610=phu!$I$102),"Tỉnh khác",""))</f>
        <v/>
      </c>
      <c r="N610" s="835" t="str">
        <f t="shared" si="49"/>
        <v/>
      </c>
      <c r="O610" s="20"/>
      <c r="P610" s="20"/>
      <c r="Q610" s="20"/>
      <c r="R610" s="20"/>
      <c r="S610" s="20"/>
      <c r="T610" s="21"/>
      <c r="U610" s="21"/>
      <c r="V610" s="21"/>
      <c r="W610" s="7" t="str">
        <f t="shared" si="47"/>
        <v/>
      </c>
      <c r="X610" s="506" t="str">
        <f t="shared" si="48"/>
        <v/>
      </c>
    </row>
    <row r="611" spans="1:24" x14ac:dyDescent="0.25">
      <c r="A611" s="66" t="str">
        <f t="shared" si="50"/>
        <v/>
      </c>
      <c r="B611" s="23" t="str">
        <f t="shared" si="46"/>
        <v/>
      </c>
      <c r="C611" s="15"/>
      <c r="D611" s="16"/>
      <c r="E611" s="17"/>
      <c r="F611" s="18"/>
      <c r="G611" s="18"/>
      <c r="H611" s="19"/>
      <c r="I611" s="15"/>
      <c r="J611" s="20"/>
      <c r="K611" s="15"/>
      <c r="L611" s="15"/>
      <c r="M611" s="531" t="str">
        <f>CONCATENATE(IF(OR(L611=phu!$I$1,L611=phu!$I$2,L611=phu!$I$3),"Cam Thành Nam",""),IF(OR(L611=phu!$I$4,L611=phu!$I$5,L611=phu!$I$6,L611=phu!$I$7,L611=phu!$I$8,L611=phu!$I$9,L611=phu!$I$10,L611=phu!$I$11,L611=phu!$I$12,L611=phu!$I$13,L611=phu!$I$14),"Cam Nghĩa",""),IF(OR(L611=phu!$I$15,L611=phu!$I$16,L611=phu!$I$17,L611=phu!$I$18,L611=phu!$I$19,L611=phu!$I$20,L611=phu!$I$21),"Cam Phúc Bắc",""),IF(OR(L611=phu!$I$22,L611=phu!$I$23,L611=phu!$I$24,L611=phu!$I$25),"Cam Phúc Nam",""),IF(OR(L611=phu!$I$26,L611=phu!$I$27,L611=phu!$I$28,L611=phu!$I$29,L611=phu!$I$30,L611=phu!$I$31),"Cam Phú",""),IF(OR(L611=phu!$I$32,L611=phu!$I$33,L611=phu!$I$34,L611=phu!$I$35,L611=phu!$I$36,L611=phu!$I$37),"Cam Lộc",""),IF(OR(L611=phu!$I$38,L611=phu!$I$39,L611=phu!$I$40,L611=phu!$I$41,L611=phu!$I$42,L611=phu!$I$43,L611=phu!$I$44),"Cam Thuận",""),IF(OR(L611=phu!$I$45,L611=phu!$I$46,L611=phu!$I$47,L611=phu!$I$48,L611=phu!$I$49,L611=phu!$I$50,L611=phu!$I$51,L611=phu!$I$52,L611=phu!$I$53),"Cam Linh",""),IF(OR(L611=phu!$I$54,L611=phu!$I$55,L611=phu!$I$56,L611=phu!$I$57,L611=phu!$I$58,L611=phu!$I$59,L611=phu!$I$60,L611=phu!$I$61,L611=phu!$I$62),"Cam Lợi",""),IF(OR(L611=phu!$I$63,L611=phu!$I$64,L611=phu!$I$65,L611=phu!$I$66,L611=phu!$I$67,L611=phu!$I$68,L611=phu!$I$69,L611=phu!$I$70,L611=phu!$I$71),"Ba Ngòi",""),IF(OR(L611=phu!$I$72,L611=phu!$I$73,L611=phu!$I$74,L611=phu!$I$75,L611=phu!$I$76,L611=phu!$I$77,L611=phu!$I$78),"Cam Phước Đông",""),IF(OR(L611=phu!$I$79,L611=phu!$I$80,L611=phu!$I$81,L611=phu!$I$82,L611=phu!$I$83,L611=phu!$I$84),"Cam Thịnh Đông",""),IF(OR(L611=phu!$I$85,L611=phu!$I$86,L611=phu!$I$87,L611=phu!$I$88),"Cam Thịnh Tây",""),IF(OR(L611=phu!$I$89,L611=phu!$I$90),"Cam Lập",""),IF(OR(L611=phu!$I$91,L611=phu!$I$92,L611=phu!$I$93),"Cam Bình",""),IF(OR(L611=phu!$I$94,L611=phu!$I$95,L611=phu!$I$96,L611=phu!$I$97,L611=phu!$I$98,L611=phu!$I$99,L611=phu!$I$100),"Huyện khác",""),IF(OR(L611=phu!$I$101,L611=phu!$I$102),"Tỉnh khác",""))</f>
        <v/>
      </c>
      <c r="N611" s="835" t="str">
        <f t="shared" si="49"/>
        <v/>
      </c>
      <c r="O611" s="20"/>
      <c r="P611" s="20"/>
      <c r="Q611" s="20"/>
      <c r="R611" s="20"/>
      <c r="S611" s="20"/>
      <c r="T611" s="21"/>
      <c r="U611" s="21"/>
      <c r="V611" s="21"/>
      <c r="W611" s="7" t="str">
        <f t="shared" si="47"/>
        <v/>
      </c>
      <c r="X611" s="506" t="str">
        <f t="shared" si="48"/>
        <v/>
      </c>
    </row>
    <row r="612" spans="1:24" x14ac:dyDescent="0.25">
      <c r="A612" s="66" t="str">
        <f t="shared" si="50"/>
        <v/>
      </c>
      <c r="B612" s="23" t="str">
        <f t="shared" si="46"/>
        <v/>
      </c>
      <c r="C612" s="15"/>
      <c r="D612" s="16"/>
      <c r="E612" s="17"/>
      <c r="F612" s="18"/>
      <c r="G612" s="18"/>
      <c r="H612" s="19"/>
      <c r="I612" s="15"/>
      <c r="J612" s="20"/>
      <c r="K612" s="15"/>
      <c r="L612" s="15"/>
      <c r="M612" s="531" t="str">
        <f>CONCATENATE(IF(OR(L612=phu!$I$1,L612=phu!$I$2,L612=phu!$I$3),"Cam Thành Nam",""),IF(OR(L612=phu!$I$4,L612=phu!$I$5,L612=phu!$I$6,L612=phu!$I$7,L612=phu!$I$8,L612=phu!$I$9,L612=phu!$I$10,L612=phu!$I$11,L612=phu!$I$12,L612=phu!$I$13,L612=phu!$I$14),"Cam Nghĩa",""),IF(OR(L612=phu!$I$15,L612=phu!$I$16,L612=phu!$I$17,L612=phu!$I$18,L612=phu!$I$19,L612=phu!$I$20,L612=phu!$I$21),"Cam Phúc Bắc",""),IF(OR(L612=phu!$I$22,L612=phu!$I$23,L612=phu!$I$24,L612=phu!$I$25),"Cam Phúc Nam",""),IF(OR(L612=phu!$I$26,L612=phu!$I$27,L612=phu!$I$28,L612=phu!$I$29,L612=phu!$I$30,L612=phu!$I$31),"Cam Phú",""),IF(OR(L612=phu!$I$32,L612=phu!$I$33,L612=phu!$I$34,L612=phu!$I$35,L612=phu!$I$36,L612=phu!$I$37),"Cam Lộc",""),IF(OR(L612=phu!$I$38,L612=phu!$I$39,L612=phu!$I$40,L612=phu!$I$41,L612=phu!$I$42,L612=phu!$I$43,L612=phu!$I$44),"Cam Thuận",""),IF(OR(L612=phu!$I$45,L612=phu!$I$46,L612=phu!$I$47,L612=phu!$I$48,L612=phu!$I$49,L612=phu!$I$50,L612=phu!$I$51,L612=phu!$I$52,L612=phu!$I$53),"Cam Linh",""),IF(OR(L612=phu!$I$54,L612=phu!$I$55,L612=phu!$I$56,L612=phu!$I$57,L612=phu!$I$58,L612=phu!$I$59,L612=phu!$I$60,L612=phu!$I$61,L612=phu!$I$62),"Cam Lợi",""),IF(OR(L612=phu!$I$63,L612=phu!$I$64,L612=phu!$I$65,L612=phu!$I$66,L612=phu!$I$67,L612=phu!$I$68,L612=phu!$I$69,L612=phu!$I$70,L612=phu!$I$71),"Ba Ngòi",""),IF(OR(L612=phu!$I$72,L612=phu!$I$73,L612=phu!$I$74,L612=phu!$I$75,L612=phu!$I$76,L612=phu!$I$77,L612=phu!$I$78),"Cam Phước Đông",""),IF(OR(L612=phu!$I$79,L612=phu!$I$80,L612=phu!$I$81,L612=phu!$I$82,L612=phu!$I$83,L612=phu!$I$84),"Cam Thịnh Đông",""),IF(OR(L612=phu!$I$85,L612=phu!$I$86,L612=phu!$I$87,L612=phu!$I$88),"Cam Thịnh Tây",""),IF(OR(L612=phu!$I$89,L612=phu!$I$90),"Cam Lập",""),IF(OR(L612=phu!$I$91,L612=phu!$I$92,L612=phu!$I$93),"Cam Bình",""),IF(OR(L612=phu!$I$94,L612=phu!$I$95,L612=phu!$I$96,L612=phu!$I$97,L612=phu!$I$98,L612=phu!$I$99,L612=phu!$I$100),"Huyện khác",""),IF(OR(L612=phu!$I$101,L612=phu!$I$102),"Tỉnh khác",""))</f>
        <v/>
      </c>
      <c r="N612" s="835" t="str">
        <f t="shared" si="49"/>
        <v/>
      </c>
      <c r="O612" s="20"/>
      <c r="P612" s="20"/>
      <c r="Q612" s="20"/>
      <c r="R612" s="20"/>
      <c r="S612" s="20"/>
      <c r="T612" s="21"/>
      <c r="U612" s="21"/>
      <c r="V612" s="21"/>
      <c r="W612" s="7" t="str">
        <f t="shared" si="47"/>
        <v/>
      </c>
      <c r="X612" s="506" t="str">
        <f t="shared" si="48"/>
        <v/>
      </c>
    </row>
    <row r="613" spans="1:24" x14ac:dyDescent="0.25">
      <c r="A613" s="66" t="str">
        <f t="shared" si="50"/>
        <v/>
      </c>
      <c r="B613" s="23" t="str">
        <f t="shared" si="46"/>
        <v/>
      </c>
      <c r="C613" s="15"/>
      <c r="D613" s="16"/>
      <c r="E613" s="17"/>
      <c r="F613" s="18"/>
      <c r="G613" s="18"/>
      <c r="H613" s="19"/>
      <c r="I613" s="15"/>
      <c r="J613" s="20"/>
      <c r="K613" s="15"/>
      <c r="L613" s="15"/>
      <c r="M613" s="531" t="str">
        <f>CONCATENATE(IF(OR(L613=phu!$I$1,L613=phu!$I$2,L613=phu!$I$3),"Cam Thành Nam",""),IF(OR(L613=phu!$I$4,L613=phu!$I$5,L613=phu!$I$6,L613=phu!$I$7,L613=phu!$I$8,L613=phu!$I$9,L613=phu!$I$10,L613=phu!$I$11,L613=phu!$I$12,L613=phu!$I$13,L613=phu!$I$14),"Cam Nghĩa",""),IF(OR(L613=phu!$I$15,L613=phu!$I$16,L613=phu!$I$17,L613=phu!$I$18,L613=phu!$I$19,L613=phu!$I$20,L613=phu!$I$21),"Cam Phúc Bắc",""),IF(OR(L613=phu!$I$22,L613=phu!$I$23,L613=phu!$I$24,L613=phu!$I$25),"Cam Phúc Nam",""),IF(OR(L613=phu!$I$26,L613=phu!$I$27,L613=phu!$I$28,L613=phu!$I$29,L613=phu!$I$30,L613=phu!$I$31),"Cam Phú",""),IF(OR(L613=phu!$I$32,L613=phu!$I$33,L613=phu!$I$34,L613=phu!$I$35,L613=phu!$I$36,L613=phu!$I$37),"Cam Lộc",""),IF(OR(L613=phu!$I$38,L613=phu!$I$39,L613=phu!$I$40,L613=phu!$I$41,L613=phu!$I$42,L613=phu!$I$43,L613=phu!$I$44),"Cam Thuận",""),IF(OR(L613=phu!$I$45,L613=phu!$I$46,L613=phu!$I$47,L613=phu!$I$48,L613=phu!$I$49,L613=phu!$I$50,L613=phu!$I$51,L613=phu!$I$52,L613=phu!$I$53),"Cam Linh",""),IF(OR(L613=phu!$I$54,L613=phu!$I$55,L613=phu!$I$56,L613=phu!$I$57,L613=phu!$I$58,L613=phu!$I$59,L613=phu!$I$60,L613=phu!$I$61,L613=phu!$I$62),"Cam Lợi",""),IF(OR(L613=phu!$I$63,L613=phu!$I$64,L613=phu!$I$65,L613=phu!$I$66,L613=phu!$I$67,L613=phu!$I$68,L613=phu!$I$69,L613=phu!$I$70,L613=phu!$I$71),"Ba Ngòi",""),IF(OR(L613=phu!$I$72,L613=phu!$I$73,L613=phu!$I$74,L613=phu!$I$75,L613=phu!$I$76,L613=phu!$I$77,L613=phu!$I$78),"Cam Phước Đông",""),IF(OR(L613=phu!$I$79,L613=phu!$I$80,L613=phu!$I$81,L613=phu!$I$82,L613=phu!$I$83,L613=phu!$I$84),"Cam Thịnh Đông",""),IF(OR(L613=phu!$I$85,L613=phu!$I$86,L613=phu!$I$87,L613=phu!$I$88),"Cam Thịnh Tây",""),IF(OR(L613=phu!$I$89,L613=phu!$I$90),"Cam Lập",""),IF(OR(L613=phu!$I$91,L613=phu!$I$92,L613=phu!$I$93),"Cam Bình",""),IF(OR(L613=phu!$I$94,L613=phu!$I$95,L613=phu!$I$96,L613=phu!$I$97,L613=phu!$I$98,L613=phu!$I$99,L613=phu!$I$100),"Huyện khác",""),IF(OR(L613=phu!$I$101,L613=phu!$I$102),"Tỉnh khác",""))</f>
        <v/>
      </c>
      <c r="N613" s="835" t="str">
        <f t="shared" si="49"/>
        <v/>
      </c>
      <c r="O613" s="20"/>
      <c r="P613" s="20"/>
      <c r="Q613" s="20"/>
      <c r="R613" s="20"/>
      <c r="S613" s="20"/>
      <c r="T613" s="21"/>
      <c r="U613" s="21"/>
      <c r="V613" s="21"/>
      <c r="W613" s="7" t="str">
        <f t="shared" si="47"/>
        <v/>
      </c>
      <c r="X613" s="506" t="str">
        <f t="shared" si="48"/>
        <v/>
      </c>
    </row>
    <row r="614" spans="1:24" x14ac:dyDescent="0.25">
      <c r="A614" s="66" t="str">
        <f t="shared" si="50"/>
        <v/>
      </c>
      <c r="B614" s="23" t="str">
        <f t="shared" si="46"/>
        <v/>
      </c>
      <c r="C614" s="15"/>
      <c r="D614" s="16"/>
      <c r="E614" s="17"/>
      <c r="F614" s="18"/>
      <c r="G614" s="18"/>
      <c r="H614" s="19"/>
      <c r="I614" s="15"/>
      <c r="J614" s="20"/>
      <c r="K614" s="15"/>
      <c r="L614" s="15"/>
      <c r="M614" s="531" t="str">
        <f>CONCATENATE(IF(OR(L614=phu!$I$1,L614=phu!$I$2,L614=phu!$I$3),"Cam Thành Nam",""),IF(OR(L614=phu!$I$4,L614=phu!$I$5,L614=phu!$I$6,L614=phu!$I$7,L614=phu!$I$8,L614=phu!$I$9,L614=phu!$I$10,L614=phu!$I$11,L614=phu!$I$12,L614=phu!$I$13,L614=phu!$I$14),"Cam Nghĩa",""),IF(OR(L614=phu!$I$15,L614=phu!$I$16,L614=phu!$I$17,L614=phu!$I$18,L614=phu!$I$19,L614=phu!$I$20,L614=phu!$I$21),"Cam Phúc Bắc",""),IF(OR(L614=phu!$I$22,L614=phu!$I$23,L614=phu!$I$24,L614=phu!$I$25),"Cam Phúc Nam",""),IF(OR(L614=phu!$I$26,L614=phu!$I$27,L614=phu!$I$28,L614=phu!$I$29,L614=phu!$I$30,L614=phu!$I$31),"Cam Phú",""),IF(OR(L614=phu!$I$32,L614=phu!$I$33,L614=phu!$I$34,L614=phu!$I$35,L614=phu!$I$36,L614=phu!$I$37),"Cam Lộc",""),IF(OR(L614=phu!$I$38,L614=phu!$I$39,L614=phu!$I$40,L614=phu!$I$41,L614=phu!$I$42,L614=phu!$I$43,L614=phu!$I$44),"Cam Thuận",""),IF(OR(L614=phu!$I$45,L614=phu!$I$46,L614=phu!$I$47,L614=phu!$I$48,L614=phu!$I$49,L614=phu!$I$50,L614=phu!$I$51,L614=phu!$I$52,L614=phu!$I$53),"Cam Linh",""),IF(OR(L614=phu!$I$54,L614=phu!$I$55,L614=phu!$I$56,L614=phu!$I$57,L614=phu!$I$58,L614=phu!$I$59,L614=phu!$I$60,L614=phu!$I$61,L614=phu!$I$62),"Cam Lợi",""),IF(OR(L614=phu!$I$63,L614=phu!$I$64,L614=phu!$I$65,L614=phu!$I$66,L614=phu!$I$67,L614=phu!$I$68,L614=phu!$I$69,L614=phu!$I$70,L614=phu!$I$71),"Ba Ngòi",""),IF(OR(L614=phu!$I$72,L614=phu!$I$73,L614=phu!$I$74,L614=phu!$I$75,L614=phu!$I$76,L614=phu!$I$77,L614=phu!$I$78),"Cam Phước Đông",""),IF(OR(L614=phu!$I$79,L614=phu!$I$80,L614=phu!$I$81,L614=phu!$I$82,L614=phu!$I$83,L614=phu!$I$84),"Cam Thịnh Đông",""),IF(OR(L614=phu!$I$85,L614=phu!$I$86,L614=phu!$I$87,L614=phu!$I$88),"Cam Thịnh Tây",""),IF(OR(L614=phu!$I$89,L614=phu!$I$90),"Cam Lập",""),IF(OR(L614=phu!$I$91,L614=phu!$I$92,L614=phu!$I$93),"Cam Bình",""),IF(OR(L614=phu!$I$94,L614=phu!$I$95,L614=phu!$I$96,L614=phu!$I$97,L614=phu!$I$98,L614=phu!$I$99,L614=phu!$I$100),"Huyện khác",""),IF(OR(L614=phu!$I$101,L614=phu!$I$102),"Tỉnh khác",""))</f>
        <v/>
      </c>
      <c r="N614" s="835" t="str">
        <f t="shared" si="49"/>
        <v/>
      </c>
      <c r="O614" s="20"/>
      <c r="P614" s="20"/>
      <c r="Q614" s="20"/>
      <c r="R614" s="20"/>
      <c r="S614" s="20"/>
      <c r="T614" s="21"/>
      <c r="U614" s="21"/>
      <c r="V614" s="21"/>
      <c r="W614" s="7" t="str">
        <f t="shared" si="47"/>
        <v/>
      </c>
      <c r="X614" s="506" t="str">
        <f t="shared" si="48"/>
        <v/>
      </c>
    </row>
    <row r="615" spans="1:24" x14ac:dyDescent="0.25">
      <c r="A615" s="66" t="str">
        <f t="shared" si="50"/>
        <v/>
      </c>
      <c r="B615" s="23" t="str">
        <f t="shared" si="46"/>
        <v/>
      </c>
      <c r="C615" s="15"/>
      <c r="D615" s="16"/>
      <c r="E615" s="17"/>
      <c r="F615" s="18"/>
      <c r="G615" s="18"/>
      <c r="H615" s="19"/>
      <c r="I615" s="15"/>
      <c r="J615" s="20"/>
      <c r="K615" s="15"/>
      <c r="L615" s="15"/>
      <c r="M615" s="531" t="str">
        <f>CONCATENATE(IF(OR(L615=phu!$I$1,L615=phu!$I$2,L615=phu!$I$3),"Cam Thành Nam",""),IF(OR(L615=phu!$I$4,L615=phu!$I$5,L615=phu!$I$6,L615=phu!$I$7,L615=phu!$I$8,L615=phu!$I$9,L615=phu!$I$10,L615=phu!$I$11,L615=phu!$I$12,L615=phu!$I$13,L615=phu!$I$14),"Cam Nghĩa",""),IF(OR(L615=phu!$I$15,L615=phu!$I$16,L615=phu!$I$17,L615=phu!$I$18,L615=phu!$I$19,L615=phu!$I$20,L615=phu!$I$21),"Cam Phúc Bắc",""),IF(OR(L615=phu!$I$22,L615=phu!$I$23,L615=phu!$I$24,L615=phu!$I$25),"Cam Phúc Nam",""),IF(OR(L615=phu!$I$26,L615=phu!$I$27,L615=phu!$I$28,L615=phu!$I$29,L615=phu!$I$30,L615=phu!$I$31),"Cam Phú",""),IF(OR(L615=phu!$I$32,L615=phu!$I$33,L615=phu!$I$34,L615=phu!$I$35,L615=phu!$I$36,L615=phu!$I$37),"Cam Lộc",""),IF(OR(L615=phu!$I$38,L615=phu!$I$39,L615=phu!$I$40,L615=phu!$I$41,L615=phu!$I$42,L615=phu!$I$43,L615=phu!$I$44),"Cam Thuận",""),IF(OR(L615=phu!$I$45,L615=phu!$I$46,L615=phu!$I$47,L615=phu!$I$48,L615=phu!$I$49,L615=phu!$I$50,L615=phu!$I$51,L615=phu!$I$52,L615=phu!$I$53),"Cam Linh",""),IF(OR(L615=phu!$I$54,L615=phu!$I$55,L615=phu!$I$56,L615=phu!$I$57,L615=phu!$I$58,L615=phu!$I$59,L615=phu!$I$60,L615=phu!$I$61,L615=phu!$I$62),"Cam Lợi",""),IF(OR(L615=phu!$I$63,L615=phu!$I$64,L615=phu!$I$65,L615=phu!$I$66,L615=phu!$I$67,L615=phu!$I$68,L615=phu!$I$69,L615=phu!$I$70,L615=phu!$I$71),"Ba Ngòi",""),IF(OR(L615=phu!$I$72,L615=phu!$I$73,L615=phu!$I$74,L615=phu!$I$75,L615=phu!$I$76,L615=phu!$I$77,L615=phu!$I$78),"Cam Phước Đông",""),IF(OR(L615=phu!$I$79,L615=phu!$I$80,L615=phu!$I$81,L615=phu!$I$82,L615=phu!$I$83,L615=phu!$I$84),"Cam Thịnh Đông",""),IF(OR(L615=phu!$I$85,L615=phu!$I$86,L615=phu!$I$87,L615=phu!$I$88),"Cam Thịnh Tây",""),IF(OR(L615=phu!$I$89,L615=phu!$I$90),"Cam Lập",""),IF(OR(L615=phu!$I$91,L615=phu!$I$92,L615=phu!$I$93),"Cam Bình",""),IF(OR(L615=phu!$I$94,L615=phu!$I$95,L615=phu!$I$96,L615=phu!$I$97,L615=phu!$I$98,L615=phu!$I$99,L615=phu!$I$100),"Huyện khác",""),IF(OR(L615=phu!$I$101,L615=phu!$I$102),"Tỉnh khác",""))</f>
        <v/>
      </c>
      <c r="N615" s="835" t="str">
        <f t="shared" si="49"/>
        <v/>
      </c>
      <c r="O615" s="20"/>
      <c r="P615" s="20"/>
      <c r="Q615" s="20"/>
      <c r="R615" s="20"/>
      <c r="S615" s="20"/>
      <c r="T615" s="21"/>
      <c r="U615" s="21"/>
      <c r="V615" s="21"/>
      <c r="W615" s="7" t="str">
        <f t="shared" si="47"/>
        <v/>
      </c>
      <c r="X615" s="506" t="str">
        <f t="shared" si="48"/>
        <v/>
      </c>
    </row>
    <row r="616" spans="1:24" x14ac:dyDescent="0.25">
      <c r="A616" s="66" t="str">
        <f t="shared" si="50"/>
        <v/>
      </c>
      <c r="B616" s="23" t="str">
        <f t="shared" si="46"/>
        <v/>
      </c>
      <c r="C616" s="15"/>
      <c r="D616" s="16"/>
      <c r="E616" s="17"/>
      <c r="F616" s="18"/>
      <c r="G616" s="18"/>
      <c r="H616" s="19"/>
      <c r="I616" s="15"/>
      <c r="J616" s="20"/>
      <c r="K616" s="15"/>
      <c r="L616" s="15"/>
      <c r="M616" s="531" t="str">
        <f>CONCATENATE(IF(OR(L616=phu!$I$1,L616=phu!$I$2,L616=phu!$I$3),"Cam Thành Nam",""),IF(OR(L616=phu!$I$4,L616=phu!$I$5,L616=phu!$I$6,L616=phu!$I$7,L616=phu!$I$8,L616=phu!$I$9,L616=phu!$I$10,L616=phu!$I$11,L616=phu!$I$12,L616=phu!$I$13,L616=phu!$I$14),"Cam Nghĩa",""),IF(OR(L616=phu!$I$15,L616=phu!$I$16,L616=phu!$I$17,L616=phu!$I$18,L616=phu!$I$19,L616=phu!$I$20,L616=phu!$I$21),"Cam Phúc Bắc",""),IF(OR(L616=phu!$I$22,L616=phu!$I$23,L616=phu!$I$24,L616=phu!$I$25),"Cam Phúc Nam",""),IF(OR(L616=phu!$I$26,L616=phu!$I$27,L616=phu!$I$28,L616=phu!$I$29,L616=phu!$I$30,L616=phu!$I$31),"Cam Phú",""),IF(OR(L616=phu!$I$32,L616=phu!$I$33,L616=phu!$I$34,L616=phu!$I$35,L616=phu!$I$36,L616=phu!$I$37),"Cam Lộc",""),IF(OR(L616=phu!$I$38,L616=phu!$I$39,L616=phu!$I$40,L616=phu!$I$41,L616=phu!$I$42,L616=phu!$I$43,L616=phu!$I$44),"Cam Thuận",""),IF(OR(L616=phu!$I$45,L616=phu!$I$46,L616=phu!$I$47,L616=phu!$I$48,L616=phu!$I$49,L616=phu!$I$50,L616=phu!$I$51,L616=phu!$I$52,L616=phu!$I$53),"Cam Linh",""),IF(OR(L616=phu!$I$54,L616=phu!$I$55,L616=phu!$I$56,L616=phu!$I$57,L616=phu!$I$58,L616=phu!$I$59,L616=phu!$I$60,L616=phu!$I$61,L616=phu!$I$62),"Cam Lợi",""),IF(OR(L616=phu!$I$63,L616=phu!$I$64,L616=phu!$I$65,L616=phu!$I$66,L616=phu!$I$67,L616=phu!$I$68,L616=phu!$I$69,L616=phu!$I$70,L616=phu!$I$71),"Ba Ngòi",""),IF(OR(L616=phu!$I$72,L616=phu!$I$73,L616=phu!$I$74,L616=phu!$I$75,L616=phu!$I$76,L616=phu!$I$77,L616=phu!$I$78),"Cam Phước Đông",""),IF(OR(L616=phu!$I$79,L616=phu!$I$80,L616=phu!$I$81,L616=phu!$I$82,L616=phu!$I$83,L616=phu!$I$84),"Cam Thịnh Đông",""),IF(OR(L616=phu!$I$85,L616=phu!$I$86,L616=phu!$I$87,L616=phu!$I$88),"Cam Thịnh Tây",""),IF(OR(L616=phu!$I$89,L616=phu!$I$90),"Cam Lập",""),IF(OR(L616=phu!$I$91,L616=phu!$I$92,L616=phu!$I$93),"Cam Bình",""),IF(OR(L616=phu!$I$94,L616=phu!$I$95,L616=phu!$I$96,L616=phu!$I$97,L616=phu!$I$98,L616=phu!$I$99,L616=phu!$I$100),"Huyện khác",""),IF(OR(L616=phu!$I$101,L616=phu!$I$102),"Tỉnh khác",""))</f>
        <v/>
      </c>
      <c r="N616" s="835" t="str">
        <f t="shared" si="49"/>
        <v/>
      </c>
      <c r="O616" s="20"/>
      <c r="P616" s="20"/>
      <c r="Q616" s="20"/>
      <c r="R616" s="20"/>
      <c r="S616" s="20"/>
      <c r="T616" s="21"/>
      <c r="U616" s="21"/>
      <c r="V616" s="21"/>
      <c r="W616" s="7" t="str">
        <f t="shared" si="47"/>
        <v/>
      </c>
      <c r="X616" s="506" t="str">
        <f t="shared" si="48"/>
        <v/>
      </c>
    </row>
    <row r="617" spans="1:24" x14ac:dyDescent="0.25">
      <c r="A617" s="66" t="str">
        <f t="shared" si="50"/>
        <v/>
      </c>
      <c r="B617" s="23" t="str">
        <f t="shared" si="46"/>
        <v/>
      </c>
      <c r="C617" s="15"/>
      <c r="D617" s="16"/>
      <c r="E617" s="17"/>
      <c r="F617" s="18"/>
      <c r="G617" s="18"/>
      <c r="H617" s="19"/>
      <c r="I617" s="15"/>
      <c r="J617" s="20"/>
      <c r="K617" s="15"/>
      <c r="L617" s="15"/>
      <c r="M617" s="531" t="str">
        <f>CONCATENATE(IF(OR(L617=phu!$I$1,L617=phu!$I$2,L617=phu!$I$3),"Cam Thành Nam",""),IF(OR(L617=phu!$I$4,L617=phu!$I$5,L617=phu!$I$6,L617=phu!$I$7,L617=phu!$I$8,L617=phu!$I$9,L617=phu!$I$10,L617=phu!$I$11,L617=phu!$I$12,L617=phu!$I$13,L617=phu!$I$14),"Cam Nghĩa",""),IF(OR(L617=phu!$I$15,L617=phu!$I$16,L617=phu!$I$17,L617=phu!$I$18,L617=phu!$I$19,L617=phu!$I$20,L617=phu!$I$21),"Cam Phúc Bắc",""),IF(OR(L617=phu!$I$22,L617=phu!$I$23,L617=phu!$I$24,L617=phu!$I$25),"Cam Phúc Nam",""),IF(OR(L617=phu!$I$26,L617=phu!$I$27,L617=phu!$I$28,L617=phu!$I$29,L617=phu!$I$30,L617=phu!$I$31),"Cam Phú",""),IF(OR(L617=phu!$I$32,L617=phu!$I$33,L617=phu!$I$34,L617=phu!$I$35,L617=phu!$I$36,L617=phu!$I$37),"Cam Lộc",""),IF(OR(L617=phu!$I$38,L617=phu!$I$39,L617=phu!$I$40,L617=phu!$I$41,L617=phu!$I$42,L617=phu!$I$43,L617=phu!$I$44),"Cam Thuận",""),IF(OR(L617=phu!$I$45,L617=phu!$I$46,L617=phu!$I$47,L617=phu!$I$48,L617=phu!$I$49,L617=phu!$I$50,L617=phu!$I$51,L617=phu!$I$52,L617=phu!$I$53),"Cam Linh",""),IF(OR(L617=phu!$I$54,L617=phu!$I$55,L617=phu!$I$56,L617=phu!$I$57,L617=phu!$I$58,L617=phu!$I$59,L617=phu!$I$60,L617=phu!$I$61,L617=phu!$I$62),"Cam Lợi",""),IF(OR(L617=phu!$I$63,L617=phu!$I$64,L617=phu!$I$65,L617=phu!$I$66,L617=phu!$I$67,L617=phu!$I$68,L617=phu!$I$69,L617=phu!$I$70,L617=phu!$I$71),"Ba Ngòi",""),IF(OR(L617=phu!$I$72,L617=phu!$I$73,L617=phu!$I$74,L617=phu!$I$75,L617=phu!$I$76,L617=phu!$I$77,L617=phu!$I$78),"Cam Phước Đông",""),IF(OR(L617=phu!$I$79,L617=phu!$I$80,L617=phu!$I$81,L617=phu!$I$82,L617=phu!$I$83,L617=phu!$I$84),"Cam Thịnh Đông",""),IF(OR(L617=phu!$I$85,L617=phu!$I$86,L617=phu!$I$87,L617=phu!$I$88),"Cam Thịnh Tây",""),IF(OR(L617=phu!$I$89,L617=phu!$I$90),"Cam Lập",""),IF(OR(L617=phu!$I$91,L617=phu!$I$92,L617=phu!$I$93),"Cam Bình",""),IF(OR(L617=phu!$I$94,L617=phu!$I$95,L617=phu!$I$96,L617=phu!$I$97,L617=phu!$I$98,L617=phu!$I$99,L617=phu!$I$100),"Huyện khác",""),IF(OR(L617=phu!$I$101,L617=phu!$I$102),"Tỉnh khác",""))</f>
        <v/>
      </c>
      <c r="N617" s="835" t="str">
        <f t="shared" si="49"/>
        <v/>
      </c>
      <c r="O617" s="20"/>
      <c r="P617" s="20"/>
      <c r="Q617" s="20"/>
      <c r="R617" s="20"/>
      <c r="S617" s="20"/>
      <c r="T617" s="21"/>
      <c r="U617" s="21"/>
      <c r="V617" s="21"/>
      <c r="W617" s="7" t="str">
        <f t="shared" si="47"/>
        <v/>
      </c>
      <c r="X617" s="506" t="str">
        <f t="shared" si="48"/>
        <v/>
      </c>
    </row>
    <row r="618" spans="1:24" x14ac:dyDescent="0.25">
      <c r="A618" s="66" t="str">
        <f t="shared" si="50"/>
        <v/>
      </c>
      <c r="B618" s="23" t="str">
        <f t="shared" si="46"/>
        <v/>
      </c>
      <c r="C618" s="15"/>
      <c r="D618" s="16"/>
      <c r="E618" s="17"/>
      <c r="F618" s="18"/>
      <c r="G618" s="18"/>
      <c r="H618" s="19"/>
      <c r="I618" s="15"/>
      <c r="J618" s="20"/>
      <c r="K618" s="15"/>
      <c r="L618" s="15"/>
      <c r="M618" s="531" t="str">
        <f>CONCATENATE(IF(OR(L618=phu!$I$1,L618=phu!$I$2,L618=phu!$I$3),"Cam Thành Nam",""),IF(OR(L618=phu!$I$4,L618=phu!$I$5,L618=phu!$I$6,L618=phu!$I$7,L618=phu!$I$8,L618=phu!$I$9,L618=phu!$I$10,L618=phu!$I$11,L618=phu!$I$12,L618=phu!$I$13,L618=phu!$I$14),"Cam Nghĩa",""),IF(OR(L618=phu!$I$15,L618=phu!$I$16,L618=phu!$I$17,L618=phu!$I$18,L618=phu!$I$19,L618=phu!$I$20,L618=phu!$I$21),"Cam Phúc Bắc",""),IF(OR(L618=phu!$I$22,L618=phu!$I$23,L618=phu!$I$24,L618=phu!$I$25),"Cam Phúc Nam",""),IF(OR(L618=phu!$I$26,L618=phu!$I$27,L618=phu!$I$28,L618=phu!$I$29,L618=phu!$I$30,L618=phu!$I$31),"Cam Phú",""),IF(OR(L618=phu!$I$32,L618=phu!$I$33,L618=phu!$I$34,L618=phu!$I$35,L618=phu!$I$36,L618=phu!$I$37),"Cam Lộc",""),IF(OR(L618=phu!$I$38,L618=phu!$I$39,L618=phu!$I$40,L618=phu!$I$41,L618=phu!$I$42,L618=phu!$I$43,L618=phu!$I$44),"Cam Thuận",""),IF(OR(L618=phu!$I$45,L618=phu!$I$46,L618=phu!$I$47,L618=phu!$I$48,L618=phu!$I$49,L618=phu!$I$50,L618=phu!$I$51,L618=phu!$I$52,L618=phu!$I$53),"Cam Linh",""),IF(OR(L618=phu!$I$54,L618=phu!$I$55,L618=phu!$I$56,L618=phu!$I$57,L618=phu!$I$58,L618=phu!$I$59,L618=phu!$I$60,L618=phu!$I$61,L618=phu!$I$62),"Cam Lợi",""),IF(OR(L618=phu!$I$63,L618=phu!$I$64,L618=phu!$I$65,L618=phu!$I$66,L618=phu!$I$67,L618=phu!$I$68,L618=phu!$I$69,L618=phu!$I$70,L618=phu!$I$71),"Ba Ngòi",""),IF(OR(L618=phu!$I$72,L618=phu!$I$73,L618=phu!$I$74,L618=phu!$I$75,L618=phu!$I$76,L618=phu!$I$77,L618=phu!$I$78),"Cam Phước Đông",""),IF(OR(L618=phu!$I$79,L618=phu!$I$80,L618=phu!$I$81,L618=phu!$I$82,L618=phu!$I$83,L618=phu!$I$84),"Cam Thịnh Đông",""),IF(OR(L618=phu!$I$85,L618=phu!$I$86,L618=phu!$I$87,L618=phu!$I$88),"Cam Thịnh Tây",""),IF(OR(L618=phu!$I$89,L618=phu!$I$90),"Cam Lập",""),IF(OR(L618=phu!$I$91,L618=phu!$I$92,L618=phu!$I$93),"Cam Bình",""),IF(OR(L618=phu!$I$94,L618=phu!$I$95,L618=phu!$I$96,L618=phu!$I$97,L618=phu!$I$98,L618=phu!$I$99,L618=phu!$I$100),"Huyện khác",""),IF(OR(L618=phu!$I$101,L618=phu!$I$102),"Tỉnh khác",""))</f>
        <v/>
      </c>
      <c r="N618" s="835" t="str">
        <f t="shared" si="49"/>
        <v/>
      </c>
      <c r="O618" s="20"/>
      <c r="P618" s="20"/>
      <c r="Q618" s="20"/>
      <c r="R618" s="20"/>
      <c r="S618" s="20"/>
      <c r="T618" s="21"/>
      <c r="U618" s="21"/>
      <c r="V618" s="21"/>
      <c r="W618" s="7" t="str">
        <f t="shared" si="47"/>
        <v/>
      </c>
      <c r="X618" s="506" t="str">
        <f t="shared" si="48"/>
        <v/>
      </c>
    </row>
    <row r="619" spans="1:24" x14ac:dyDescent="0.25">
      <c r="A619" s="66" t="str">
        <f t="shared" si="50"/>
        <v/>
      </c>
      <c r="B619" s="23" t="str">
        <f t="shared" si="46"/>
        <v/>
      </c>
      <c r="C619" s="15"/>
      <c r="D619" s="16"/>
      <c r="E619" s="17"/>
      <c r="F619" s="18"/>
      <c r="G619" s="18"/>
      <c r="H619" s="19"/>
      <c r="I619" s="15"/>
      <c r="J619" s="20"/>
      <c r="K619" s="15"/>
      <c r="L619" s="15"/>
      <c r="M619" s="531" t="str">
        <f>CONCATENATE(IF(OR(L619=phu!$I$1,L619=phu!$I$2,L619=phu!$I$3),"Cam Thành Nam",""),IF(OR(L619=phu!$I$4,L619=phu!$I$5,L619=phu!$I$6,L619=phu!$I$7,L619=phu!$I$8,L619=phu!$I$9,L619=phu!$I$10,L619=phu!$I$11,L619=phu!$I$12,L619=phu!$I$13,L619=phu!$I$14),"Cam Nghĩa",""),IF(OR(L619=phu!$I$15,L619=phu!$I$16,L619=phu!$I$17,L619=phu!$I$18,L619=phu!$I$19,L619=phu!$I$20,L619=phu!$I$21),"Cam Phúc Bắc",""),IF(OR(L619=phu!$I$22,L619=phu!$I$23,L619=phu!$I$24,L619=phu!$I$25),"Cam Phúc Nam",""),IF(OR(L619=phu!$I$26,L619=phu!$I$27,L619=phu!$I$28,L619=phu!$I$29,L619=phu!$I$30,L619=phu!$I$31),"Cam Phú",""),IF(OR(L619=phu!$I$32,L619=phu!$I$33,L619=phu!$I$34,L619=phu!$I$35,L619=phu!$I$36,L619=phu!$I$37),"Cam Lộc",""),IF(OR(L619=phu!$I$38,L619=phu!$I$39,L619=phu!$I$40,L619=phu!$I$41,L619=phu!$I$42,L619=phu!$I$43,L619=phu!$I$44),"Cam Thuận",""),IF(OR(L619=phu!$I$45,L619=phu!$I$46,L619=phu!$I$47,L619=phu!$I$48,L619=phu!$I$49,L619=phu!$I$50,L619=phu!$I$51,L619=phu!$I$52,L619=phu!$I$53),"Cam Linh",""),IF(OR(L619=phu!$I$54,L619=phu!$I$55,L619=phu!$I$56,L619=phu!$I$57,L619=phu!$I$58,L619=phu!$I$59,L619=phu!$I$60,L619=phu!$I$61,L619=phu!$I$62),"Cam Lợi",""),IF(OR(L619=phu!$I$63,L619=phu!$I$64,L619=phu!$I$65,L619=phu!$I$66,L619=phu!$I$67,L619=phu!$I$68,L619=phu!$I$69,L619=phu!$I$70,L619=phu!$I$71),"Ba Ngòi",""),IF(OR(L619=phu!$I$72,L619=phu!$I$73,L619=phu!$I$74,L619=phu!$I$75,L619=phu!$I$76,L619=phu!$I$77,L619=phu!$I$78),"Cam Phước Đông",""),IF(OR(L619=phu!$I$79,L619=phu!$I$80,L619=phu!$I$81,L619=phu!$I$82,L619=phu!$I$83,L619=phu!$I$84),"Cam Thịnh Đông",""),IF(OR(L619=phu!$I$85,L619=phu!$I$86,L619=phu!$I$87,L619=phu!$I$88),"Cam Thịnh Tây",""),IF(OR(L619=phu!$I$89,L619=phu!$I$90),"Cam Lập",""),IF(OR(L619=phu!$I$91,L619=phu!$I$92,L619=phu!$I$93),"Cam Bình",""),IF(OR(L619=phu!$I$94,L619=phu!$I$95,L619=phu!$I$96,L619=phu!$I$97,L619=phu!$I$98,L619=phu!$I$99,L619=phu!$I$100),"Huyện khác",""),IF(OR(L619=phu!$I$101,L619=phu!$I$102),"Tỉnh khác",""))</f>
        <v/>
      </c>
      <c r="N619" s="835" t="str">
        <f t="shared" si="49"/>
        <v/>
      </c>
      <c r="O619" s="20"/>
      <c r="P619" s="20"/>
      <c r="Q619" s="20"/>
      <c r="R619" s="20"/>
      <c r="S619" s="20"/>
      <c r="T619" s="21"/>
      <c r="U619" s="21"/>
      <c r="V619" s="21"/>
      <c r="W619" s="7" t="str">
        <f t="shared" si="47"/>
        <v/>
      </c>
      <c r="X619" s="506" t="str">
        <f t="shared" si="48"/>
        <v/>
      </c>
    </row>
    <row r="620" spans="1:24" x14ac:dyDescent="0.25">
      <c r="A620" s="66" t="str">
        <f t="shared" si="50"/>
        <v/>
      </c>
      <c r="B620" s="23" t="str">
        <f t="shared" si="46"/>
        <v/>
      </c>
      <c r="C620" s="15"/>
      <c r="D620" s="16"/>
      <c r="E620" s="17"/>
      <c r="F620" s="18"/>
      <c r="G620" s="18"/>
      <c r="H620" s="19"/>
      <c r="I620" s="15"/>
      <c r="J620" s="20"/>
      <c r="K620" s="15"/>
      <c r="L620" s="15"/>
      <c r="M620" s="531" t="str">
        <f>CONCATENATE(IF(OR(L620=phu!$I$1,L620=phu!$I$2,L620=phu!$I$3),"Cam Thành Nam",""),IF(OR(L620=phu!$I$4,L620=phu!$I$5,L620=phu!$I$6,L620=phu!$I$7,L620=phu!$I$8,L620=phu!$I$9,L620=phu!$I$10,L620=phu!$I$11,L620=phu!$I$12,L620=phu!$I$13,L620=phu!$I$14),"Cam Nghĩa",""),IF(OR(L620=phu!$I$15,L620=phu!$I$16,L620=phu!$I$17,L620=phu!$I$18,L620=phu!$I$19,L620=phu!$I$20,L620=phu!$I$21),"Cam Phúc Bắc",""),IF(OR(L620=phu!$I$22,L620=phu!$I$23,L620=phu!$I$24,L620=phu!$I$25),"Cam Phúc Nam",""),IF(OR(L620=phu!$I$26,L620=phu!$I$27,L620=phu!$I$28,L620=phu!$I$29,L620=phu!$I$30,L620=phu!$I$31),"Cam Phú",""),IF(OR(L620=phu!$I$32,L620=phu!$I$33,L620=phu!$I$34,L620=phu!$I$35,L620=phu!$I$36,L620=phu!$I$37),"Cam Lộc",""),IF(OR(L620=phu!$I$38,L620=phu!$I$39,L620=phu!$I$40,L620=phu!$I$41,L620=phu!$I$42,L620=phu!$I$43,L620=phu!$I$44),"Cam Thuận",""),IF(OR(L620=phu!$I$45,L620=phu!$I$46,L620=phu!$I$47,L620=phu!$I$48,L620=phu!$I$49,L620=phu!$I$50,L620=phu!$I$51,L620=phu!$I$52,L620=phu!$I$53),"Cam Linh",""),IF(OR(L620=phu!$I$54,L620=phu!$I$55,L620=phu!$I$56,L620=phu!$I$57,L620=phu!$I$58,L620=phu!$I$59,L620=phu!$I$60,L620=phu!$I$61,L620=phu!$I$62),"Cam Lợi",""),IF(OR(L620=phu!$I$63,L620=phu!$I$64,L620=phu!$I$65,L620=phu!$I$66,L620=phu!$I$67,L620=phu!$I$68,L620=phu!$I$69,L620=phu!$I$70,L620=phu!$I$71),"Ba Ngòi",""),IF(OR(L620=phu!$I$72,L620=phu!$I$73,L620=phu!$I$74,L620=phu!$I$75,L620=phu!$I$76,L620=phu!$I$77,L620=phu!$I$78),"Cam Phước Đông",""),IF(OR(L620=phu!$I$79,L620=phu!$I$80,L620=phu!$I$81,L620=phu!$I$82,L620=phu!$I$83,L620=phu!$I$84),"Cam Thịnh Đông",""),IF(OR(L620=phu!$I$85,L620=phu!$I$86,L620=phu!$I$87,L620=phu!$I$88),"Cam Thịnh Tây",""),IF(OR(L620=phu!$I$89,L620=phu!$I$90),"Cam Lập",""),IF(OR(L620=phu!$I$91,L620=phu!$I$92,L620=phu!$I$93),"Cam Bình",""),IF(OR(L620=phu!$I$94,L620=phu!$I$95,L620=phu!$I$96,L620=phu!$I$97,L620=phu!$I$98,L620=phu!$I$99,L620=phu!$I$100),"Huyện khác",""),IF(OR(L620=phu!$I$101,L620=phu!$I$102),"Tỉnh khác",""))</f>
        <v/>
      </c>
      <c r="N620" s="835" t="str">
        <f t="shared" si="49"/>
        <v/>
      </c>
      <c r="O620" s="20"/>
      <c r="P620" s="20"/>
      <c r="Q620" s="20"/>
      <c r="R620" s="20"/>
      <c r="S620" s="20"/>
      <c r="T620" s="21"/>
      <c r="U620" s="21"/>
      <c r="V620" s="21"/>
      <c r="W620" s="7" t="str">
        <f t="shared" si="47"/>
        <v/>
      </c>
      <c r="X620" s="506" t="str">
        <f t="shared" si="48"/>
        <v/>
      </c>
    </row>
    <row r="621" spans="1:24" x14ac:dyDescent="0.25">
      <c r="A621" s="66" t="str">
        <f t="shared" si="50"/>
        <v/>
      </c>
      <c r="B621" s="23" t="str">
        <f t="shared" si="46"/>
        <v/>
      </c>
      <c r="C621" s="15"/>
      <c r="D621" s="16"/>
      <c r="E621" s="17"/>
      <c r="F621" s="18"/>
      <c r="G621" s="18"/>
      <c r="H621" s="19"/>
      <c r="I621" s="15"/>
      <c r="J621" s="20"/>
      <c r="K621" s="15"/>
      <c r="L621" s="15"/>
      <c r="M621" s="531" t="str">
        <f>CONCATENATE(IF(OR(L621=phu!$I$1,L621=phu!$I$2,L621=phu!$I$3),"Cam Thành Nam",""),IF(OR(L621=phu!$I$4,L621=phu!$I$5,L621=phu!$I$6,L621=phu!$I$7,L621=phu!$I$8,L621=phu!$I$9,L621=phu!$I$10,L621=phu!$I$11,L621=phu!$I$12,L621=phu!$I$13,L621=phu!$I$14),"Cam Nghĩa",""),IF(OR(L621=phu!$I$15,L621=phu!$I$16,L621=phu!$I$17,L621=phu!$I$18,L621=phu!$I$19,L621=phu!$I$20,L621=phu!$I$21),"Cam Phúc Bắc",""),IF(OR(L621=phu!$I$22,L621=phu!$I$23,L621=phu!$I$24,L621=phu!$I$25),"Cam Phúc Nam",""),IF(OR(L621=phu!$I$26,L621=phu!$I$27,L621=phu!$I$28,L621=phu!$I$29,L621=phu!$I$30,L621=phu!$I$31),"Cam Phú",""),IF(OR(L621=phu!$I$32,L621=phu!$I$33,L621=phu!$I$34,L621=phu!$I$35,L621=phu!$I$36,L621=phu!$I$37),"Cam Lộc",""),IF(OR(L621=phu!$I$38,L621=phu!$I$39,L621=phu!$I$40,L621=phu!$I$41,L621=phu!$I$42,L621=phu!$I$43,L621=phu!$I$44),"Cam Thuận",""),IF(OR(L621=phu!$I$45,L621=phu!$I$46,L621=phu!$I$47,L621=phu!$I$48,L621=phu!$I$49,L621=phu!$I$50,L621=phu!$I$51,L621=phu!$I$52,L621=phu!$I$53),"Cam Linh",""),IF(OR(L621=phu!$I$54,L621=phu!$I$55,L621=phu!$I$56,L621=phu!$I$57,L621=phu!$I$58,L621=phu!$I$59,L621=phu!$I$60,L621=phu!$I$61,L621=phu!$I$62),"Cam Lợi",""),IF(OR(L621=phu!$I$63,L621=phu!$I$64,L621=phu!$I$65,L621=phu!$I$66,L621=phu!$I$67,L621=phu!$I$68,L621=phu!$I$69,L621=phu!$I$70,L621=phu!$I$71),"Ba Ngòi",""),IF(OR(L621=phu!$I$72,L621=phu!$I$73,L621=phu!$I$74,L621=phu!$I$75,L621=phu!$I$76,L621=phu!$I$77,L621=phu!$I$78),"Cam Phước Đông",""),IF(OR(L621=phu!$I$79,L621=phu!$I$80,L621=phu!$I$81,L621=phu!$I$82,L621=phu!$I$83,L621=phu!$I$84),"Cam Thịnh Đông",""),IF(OR(L621=phu!$I$85,L621=phu!$I$86,L621=phu!$I$87,L621=phu!$I$88),"Cam Thịnh Tây",""),IF(OR(L621=phu!$I$89,L621=phu!$I$90),"Cam Lập",""),IF(OR(L621=phu!$I$91,L621=phu!$I$92,L621=phu!$I$93),"Cam Bình",""),IF(OR(L621=phu!$I$94,L621=phu!$I$95,L621=phu!$I$96,L621=phu!$I$97,L621=phu!$I$98,L621=phu!$I$99,L621=phu!$I$100),"Huyện khác",""),IF(OR(L621=phu!$I$101,L621=phu!$I$102),"Tỉnh khác",""))</f>
        <v/>
      </c>
      <c r="N621" s="835" t="str">
        <f t="shared" si="49"/>
        <v/>
      </c>
      <c r="O621" s="20"/>
      <c r="P621" s="20"/>
      <c r="Q621" s="20"/>
      <c r="R621" s="20"/>
      <c r="S621" s="20"/>
      <c r="T621" s="21"/>
      <c r="U621" s="21"/>
      <c r="V621" s="21"/>
      <c r="W621" s="7" t="str">
        <f t="shared" si="47"/>
        <v/>
      </c>
      <c r="X621" s="506" t="str">
        <f t="shared" si="48"/>
        <v/>
      </c>
    </row>
    <row r="622" spans="1:24" x14ac:dyDescent="0.25">
      <c r="A622" s="66" t="str">
        <f t="shared" si="50"/>
        <v/>
      </c>
      <c r="B622" s="23" t="str">
        <f t="shared" si="46"/>
        <v/>
      </c>
      <c r="C622" s="15"/>
      <c r="D622" s="16"/>
      <c r="E622" s="17"/>
      <c r="F622" s="18"/>
      <c r="G622" s="18"/>
      <c r="H622" s="19"/>
      <c r="I622" s="15"/>
      <c r="J622" s="20"/>
      <c r="K622" s="15"/>
      <c r="L622" s="15"/>
      <c r="M622" s="531" t="str">
        <f>CONCATENATE(IF(OR(L622=phu!$I$1,L622=phu!$I$2,L622=phu!$I$3),"Cam Thành Nam",""),IF(OR(L622=phu!$I$4,L622=phu!$I$5,L622=phu!$I$6,L622=phu!$I$7,L622=phu!$I$8,L622=phu!$I$9,L622=phu!$I$10,L622=phu!$I$11,L622=phu!$I$12,L622=phu!$I$13,L622=phu!$I$14),"Cam Nghĩa",""),IF(OR(L622=phu!$I$15,L622=phu!$I$16,L622=phu!$I$17,L622=phu!$I$18,L622=phu!$I$19,L622=phu!$I$20,L622=phu!$I$21),"Cam Phúc Bắc",""),IF(OR(L622=phu!$I$22,L622=phu!$I$23,L622=phu!$I$24,L622=phu!$I$25),"Cam Phúc Nam",""),IF(OR(L622=phu!$I$26,L622=phu!$I$27,L622=phu!$I$28,L622=phu!$I$29,L622=phu!$I$30,L622=phu!$I$31),"Cam Phú",""),IF(OR(L622=phu!$I$32,L622=phu!$I$33,L622=phu!$I$34,L622=phu!$I$35,L622=phu!$I$36,L622=phu!$I$37),"Cam Lộc",""),IF(OR(L622=phu!$I$38,L622=phu!$I$39,L622=phu!$I$40,L622=phu!$I$41,L622=phu!$I$42,L622=phu!$I$43,L622=phu!$I$44),"Cam Thuận",""),IF(OR(L622=phu!$I$45,L622=phu!$I$46,L622=phu!$I$47,L622=phu!$I$48,L622=phu!$I$49,L622=phu!$I$50,L622=phu!$I$51,L622=phu!$I$52,L622=phu!$I$53),"Cam Linh",""),IF(OR(L622=phu!$I$54,L622=phu!$I$55,L622=phu!$I$56,L622=phu!$I$57,L622=phu!$I$58,L622=phu!$I$59,L622=phu!$I$60,L622=phu!$I$61,L622=phu!$I$62),"Cam Lợi",""),IF(OR(L622=phu!$I$63,L622=phu!$I$64,L622=phu!$I$65,L622=phu!$I$66,L622=phu!$I$67,L622=phu!$I$68,L622=phu!$I$69,L622=phu!$I$70,L622=phu!$I$71),"Ba Ngòi",""),IF(OR(L622=phu!$I$72,L622=phu!$I$73,L622=phu!$I$74,L622=phu!$I$75,L622=phu!$I$76,L622=phu!$I$77,L622=phu!$I$78),"Cam Phước Đông",""),IF(OR(L622=phu!$I$79,L622=phu!$I$80,L622=phu!$I$81,L622=phu!$I$82,L622=phu!$I$83,L622=phu!$I$84),"Cam Thịnh Đông",""),IF(OR(L622=phu!$I$85,L622=phu!$I$86,L622=phu!$I$87,L622=phu!$I$88),"Cam Thịnh Tây",""),IF(OR(L622=phu!$I$89,L622=phu!$I$90),"Cam Lập",""),IF(OR(L622=phu!$I$91,L622=phu!$I$92,L622=phu!$I$93),"Cam Bình",""),IF(OR(L622=phu!$I$94,L622=phu!$I$95,L622=phu!$I$96,L622=phu!$I$97,L622=phu!$I$98,L622=phu!$I$99,L622=phu!$I$100),"Huyện khác",""),IF(OR(L622=phu!$I$101,L622=phu!$I$102),"Tỉnh khác",""))</f>
        <v/>
      </c>
      <c r="N622" s="835" t="str">
        <f t="shared" si="49"/>
        <v/>
      </c>
      <c r="O622" s="20"/>
      <c r="P622" s="20"/>
      <c r="Q622" s="20"/>
      <c r="R622" s="20"/>
      <c r="S622" s="20"/>
      <c r="T622" s="21"/>
      <c r="U622" s="21"/>
      <c r="V622" s="21"/>
      <c r="W622" s="7" t="str">
        <f t="shared" si="47"/>
        <v/>
      </c>
      <c r="X622" s="506" t="str">
        <f t="shared" si="48"/>
        <v/>
      </c>
    </row>
    <row r="623" spans="1:24" x14ac:dyDescent="0.25">
      <c r="A623" s="66" t="str">
        <f t="shared" si="50"/>
        <v/>
      </c>
      <c r="B623" s="23" t="str">
        <f t="shared" si="46"/>
        <v/>
      </c>
      <c r="C623" s="15"/>
      <c r="D623" s="16"/>
      <c r="E623" s="17"/>
      <c r="F623" s="18"/>
      <c r="G623" s="18"/>
      <c r="H623" s="19"/>
      <c r="I623" s="15"/>
      <c r="J623" s="20"/>
      <c r="K623" s="15"/>
      <c r="L623" s="15"/>
      <c r="M623" s="531" t="str">
        <f>CONCATENATE(IF(OR(L623=phu!$I$1,L623=phu!$I$2,L623=phu!$I$3),"Cam Thành Nam",""),IF(OR(L623=phu!$I$4,L623=phu!$I$5,L623=phu!$I$6,L623=phu!$I$7,L623=phu!$I$8,L623=phu!$I$9,L623=phu!$I$10,L623=phu!$I$11,L623=phu!$I$12,L623=phu!$I$13,L623=phu!$I$14),"Cam Nghĩa",""),IF(OR(L623=phu!$I$15,L623=phu!$I$16,L623=phu!$I$17,L623=phu!$I$18,L623=phu!$I$19,L623=phu!$I$20,L623=phu!$I$21),"Cam Phúc Bắc",""),IF(OR(L623=phu!$I$22,L623=phu!$I$23,L623=phu!$I$24,L623=phu!$I$25),"Cam Phúc Nam",""),IF(OR(L623=phu!$I$26,L623=phu!$I$27,L623=phu!$I$28,L623=phu!$I$29,L623=phu!$I$30,L623=phu!$I$31),"Cam Phú",""),IF(OR(L623=phu!$I$32,L623=phu!$I$33,L623=phu!$I$34,L623=phu!$I$35,L623=phu!$I$36,L623=phu!$I$37),"Cam Lộc",""),IF(OR(L623=phu!$I$38,L623=phu!$I$39,L623=phu!$I$40,L623=phu!$I$41,L623=phu!$I$42,L623=phu!$I$43,L623=phu!$I$44),"Cam Thuận",""),IF(OR(L623=phu!$I$45,L623=phu!$I$46,L623=phu!$I$47,L623=phu!$I$48,L623=phu!$I$49,L623=phu!$I$50,L623=phu!$I$51,L623=phu!$I$52,L623=phu!$I$53),"Cam Linh",""),IF(OR(L623=phu!$I$54,L623=phu!$I$55,L623=phu!$I$56,L623=phu!$I$57,L623=phu!$I$58,L623=phu!$I$59,L623=phu!$I$60,L623=phu!$I$61,L623=phu!$I$62),"Cam Lợi",""),IF(OR(L623=phu!$I$63,L623=phu!$I$64,L623=phu!$I$65,L623=phu!$I$66,L623=phu!$I$67,L623=phu!$I$68,L623=phu!$I$69,L623=phu!$I$70,L623=phu!$I$71),"Ba Ngòi",""),IF(OR(L623=phu!$I$72,L623=phu!$I$73,L623=phu!$I$74,L623=phu!$I$75,L623=phu!$I$76,L623=phu!$I$77,L623=phu!$I$78),"Cam Phước Đông",""),IF(OR(L623=phu!$I$79,L623=phu!$I$80,L623=phu!$I$81,L623=phu!$I$82,L623=phu!$I$83,L623=phu!$I$84),"Cam Thịnh Đông",""),IF(OR(L623=phu!$I$85,L623=phu!$I$86,L623=phu!$I$87,L623=phu!$I$88),"Cam Thịnh Tây",""),IF(OR(L623=phu!$I$89,L623=phu!$I$90),"Cam Lập",""),IF(OR(L623=phu!$I$91,L623=phu!$I$92,L623=phu!$I$93),"Cam Bình",""),IF(OR(L623=phu!$I$94,L623=phu!$I$95,L623=phu!$I$96,L623=phu!$I$97,L623=phu!$I$98,L623=phu!$I$99,L623=phu!$I$100),"Huyện khác",""),IF(OR(L623=phu!$I$101,L623=phu!$I$102),"Tỉnh khác",""))</f>
        <v/>
      </c>
      <c r="N623" s="835" t="str">
        <f t="shared" si="49"/>
        <v/>
      </c>
      <c r="O623" s="20"/>
      <c r="P623" s="20"/>
      <c r="Q623" s="20"/>
      <c r="R623" s="20"/>
      <c r="S623" s="20"/>
      <c r="T623" s="21"/>
      <c r="U623" s="21"/>
      <c r="V623" s="21"/>
      <c r="W623" s="7" t="str">
        <f t="shared" si="47"/>
        <v/>
      </c>
      <c r="X623" s="506" t="str">
        <f t="shared" si="48"/>
        <v/>
      </c>
    </row>
    <row r="624" spans="1:24" x14ac:dyDescent="0.25">
      <c r="A624" s="66" t="str">
        <f t="shared" si="50"/>
        <v/>
      </c>
      <c r="B624" s="23" t="str">
        <f t="shared" si="46"/>
        <v/>
      </c>
      <c r="C624" s="15"/>
      <c r="D624" s="16"/>
      <c r="E624" s="17"/>
      <c r="F624" s="18"/>
      <c r="G624" s="18"/>
      <c r="H624" s="19"/>
      <c r="I624" s="15"/>
      <c r="J624" s="20"/>
      <c r="K624" s="15"/>
      <c r="L624" s="15"/>
      <c r="M624" s="531" t="str">
        <f>CONCATENATE(IF(OR(L624=phu!$I$1,L624=phu!$I$2,L624=phu!$I$3),"Cam Thành Nam",""),IF(OR(L624=phu!$I$4,L624=phu!$I$5,L624=phu!$I$6,L624=phu!$I$7,L624=phu!$I$8,L624=phu!$I$9,L624=phu!$I$10,L624=phu!$I$11,L624=phu!$I$12,L624=phu!$I$13,L624=phu!$I$14),"Cam Nghĩa",""),IF(OR(L624=phu!$I$15,L624=phu!$I$16,L624=phu!$I$17,L624=phu!$I$18,L624=phu!$I$19,L624=phu!$I$20,L624=phu!$I$21),"Cam Phúc Bắc",""),IF(OR(L624=phu!$I$22,L624=phu!$I$23,L624=phu!$I$24,L624=phu!$I$25),"Cam Phúc Nam",""),IF(OR(L624=phu!$I$26,L624=phu!$I$27,L624=phu!$I$28,L624=phu!$I$29,L624=phu!$I$30,L624=phu!$I$31),"Cam Phú",""),IF(OR(L624=phu!$I$32,L624=phu!$I$33,L624=phu!$I$34,L624=phu!$I$35,L624=phu!$I$36,L624=phu!$I$37),"Cam Lộc",""),IF(OR(L624=phu!$I$38,L624=phu!$I$39,L624=phu!$I$40,L624=phu!$I$41,L624=phu!$I$42,L624=phu!$I$43,L624=phu!$I$44),"Cam Thuận",""),IF(OR(L624=phu!$I$45,L624=phu!$I$46,L624=phu!$I$47,L624=phu!$I$48,L624=phu!$I$49,L624=phu!$I$50,L624=phu!$I$51,L624=phu!$I$52,L624=phu!$I$53),"Cam Linh",""),IF(OR(L624=phu!$I$54,L624=phu!$I$55,L624=phu!$I$56,L624=phu!$I$57,L624=phu!$I$58,L624=phu!$I$59,L624=phu!$I$60,L624=phu!$I$61,L624=phu!$I$62),"Cam Lợi",""),IF(OR(L624=phu!$I$63,L624=phu!$I$64,L624=phu!$I$65,L624=phu!$I$66,L624=phu!$I$67,L624=phu!$I$68,L624=phu!$I$69,L624=phu!$I$70,L624=phu!$I$71),"Ba Ngòi",""),IF(OR(L624=phu!$I$72,L624=phu!$I$73,L624=phu!$I$74,L624=phu!$I$75,L624=phu!$I$76,L624=phu!$I$77,L624=phu!$I$78),"Cam Phước Đông",""),IF(OR(L624=phu!$I$79,L624=phu!$I$80,L624=phu!$I$81,L624=phu!$I$82,L624=phu!$I$83,L624=phu!$I$84),"Cam Thịnh Đông",""),IF(OR(L624=phu!$I$85,L624=phu!$I$86,L624=phu!$I$87,L624=phu!$I$88),"Cam Thịnh Tây",""),IF(OR(L624=phu!$I$89,L624=phu!$I$90),"Cam Lập",""),IF(OR(L624=phu!$I$91,L624=phu!$I$92,L624=phu!$I$93),"Cam Bình",""),IF(OR(L624=phu!$I$94,L624=phu!$I$95,L624=phu!$I$96,L624=phu!$I$97,L624=phu!$I$98,L624=phu!$I$99,L624=phu!$I$100),"Huyện khác",""),IF(OR(L624=phu!$I$101,L624=phu!$I$102),"Tỉnh khác",""))</f>
        <v/>
      </c>
      <c r="N624" s="835" t="str">
        <f t="shared" si="49"/>
        <v/>
      </c>
      <c r="O624" s="20"/>
      <c r="P624" s="20"/>
      <c r="Q624" s="20"/>
      <c r="R624" s="20"/>
      <c r="S624" s="20"/>
      <c r="T624" s="21"/>
      <c r="U624" s="21"/>
      <c r="V624" s="21"/>
      <c r="W624" s="7" t="str">
        <f t="shared" si="47"/>
        <v/>
      </c>
      <c r="X624" s="506" t="str">
        <f t="shared" si="48"/>
        <v/>
      </c>
    </row>
    <row r="625" spans="1:24" x14ac:dyDescent="0.25">
      <c r="A625" s="66" t="str">
        <f t="shared" si="50"/>
        <v/>
      </c>
      <c r="B625" s="23" t="str">
        <f t="shared" si="46"/>
        <v/>
      </c>
      <c r="C625" s="15"/>
      <c r="D625" s="16"/>
      <c r="E625" s="17"/>
      <c r="F625" s="18"/>
      <c r="G625" s="18"/>
      <c r="H625" s="19"/>
      <c r="I625" s="15"/>
      <c r="J625" s="20"/>
      <c r="K625" s="15"/>
      <c r="L625" s="15"/>
      <c r="M625" s="531" t="str">
        <f>CONCATENATE(IF(OR(L625=phu!$I$1,L625=phu!$I$2,L625=phu!$I$3),"Cam Thành Nam",""),IF(OR(L625=phu!$I$4,L625=phu!$I$5,L625=phu!$I$6,L625=phu!$I$7,L625=phu!$I$8,L625=phu!$I$9,L625=phu!$I$10,L625=phu!$I$11,L625=phu!$I$12,L625=phu!$I$13,L625=phu!$I$14),"Cam Nghĩa",""),IF(OR(L625=phu!$I$15,L625=phu!$I$16,L625=phu!$I$17,L625=phu!$I$18,L625=phu!$I$19,L625=phu!$I$20,L625=phu!$I$21),"Cam Phúc Bắc",""),IF(OR(L625=phu!$I$22,L625=phu!$I$23,L625=phu!$I$24,L625=phu!$I$25),"Cam Phúc Nam",""),IF(OR(L625=phu!$I$26,L625=phu!$I$27,L625=phu!$I$28,L625=phu!$I$29,L625=phu!$I$30,L625=phu!$I$31),"Cam Phú",""),IF(OR(L625=phu!$I$32,L625=phu!$I$33,L625=phu!$I$34,L625=phu!$I$35,L625=phu!$I$36,L625=phu!$I$37),"Cam Lộc",""),IF(OR(L625=phu!$I$38,L625=phu!$I$39,L625=phu!$I$40,L625=phu!$I$41,L625=phu!$I$42,L625=phu!$I$43,L625=phu!$I$44),"Cam Thuận",""),IF(OR(L625=phu!$I$45,L625=phu!$I$46,L625=phu!$I$47,L625=phu!$I$48,L625=phu!$I$49,L625=phu!$I$50,L625=phu!$I$51,L625=phu!$I$52,L625=phu!$I$53),"Cam Linh",""),IF(OR(L625=phu!$I$54,L625=phu!$I$55,L625=phu!$I$56,L625=phu!$I$57,L625=phu!$I$58,L625=phu!$I$59,L625=phu!$I$60,L625=phu!$I$61,L625=phu!$I$62),"Cam Lợi",""),IF(OR(L625=phu!$I$63,L625=phu!$I$64,L625=phu!$I$65,L625=phu!$I$66,L625=phu!$I$67,L625=phu!$I$68,L625=phu!$I$69,L625=phu!$I$70,L625=phu!$I$71),"Ba Ngòi",""),IF(OR(L625=phu!$I$72,L625=phu!$I$73,L625=phu!$I$74,L625=phu!$I$75,L625=phu!$I$76,L625=phu!$I$77,L625=phu!$I$78),"Cam Phước Đông",""),IF(OR(L625=phu!$I$79,L625=phu!$I$80,L625=phu!$I$81,L625=phu!$I$82,L625=phu!$I$83,L625=phu!$I$84),"Cam Thịnh Đông",""),IF(OR(L625=phu!$I$85,L625=phu!$I$86,L625=phu!$I$87,L625=phu!$I$88),"Cam Thịnh Tây",""),IF(OR(L625=phu!$I$89,L625=phu!$I$90),"Cam Lập",""),IF(OR(L625=phu!$I$91,L625=phu!$I$92,L625=phu!$I$93),"Cam Bình",""),IF(OR(L625=phu!$I$94,L625=phu!$I$95,L625=phu!$I$96,L625=phu!$I$97,L625=phu!$I$98,L625=phu!$I$99,L625=phu!$I$100),"Huyện khác",""),IF(OR(L625=phu!$I$101,L625=phu!$I$102),"Tỉnh khác",""))</f>
        <v/>
      </c>
      <c r="N625" s="835" t="str">
        <f t="shared" si="49"/>
        <v/>
      </c>
      <c r="O625" s="20"/>
      <c r="P625" s="20"/>
      <c r="Q625" s="20"/>
      <c r="R625" s="20"/>
      <c r="S625" s="20"/>
      <c r="T625" s="21"/>
      <c r="U625" s="21"/>
      <c r="V625" s="21"/>
      <c r="W625" s="7" t="str">
        <f t="shared" si="47"/>
        <v/>
      </c>
      <c r="X625" s="506" t="str">
        <f t="shared" si="48"/>
        <v/>
      </c>
    </row>
    <row r="626" spans="1:24" x14ac:dyDescent="0.25">
      <c r="A626" s="66" t="str">
        <f t="shared" si="50"/>
        <v/>
      </c>
      <c r="B626" s="23" t="str">
        <f t="shared" si="46"/>
        <v/>
      </c>
      <c r="C626" s="15"/>
      <c r="D626" s="16"/>
      <c r="E626" s="17"/>
      <c r="F626" s="18"/>
      <c r="G626" s="18"/>
      <c r="H626" s="19"/>
      <c r="I626" s="15"/>
      <c r="J626" s="20"/>
      <c r="K626" s="15"/>
      <c r="L626" s="15"/>
      <c r="M626" s="531" t="str">
        <f>CONCATENATE(IF(OR(L626=phu!$I$1,L626=phu!$I$2,L626=phu!$I$3),"Cam Thành Nam",""),IF(OR(L626=phu!$I$4,L626=phu!$I$5,L626=phu!$I$6,L626=phu!$I$7,L626=phu!$I$8,L626=phu!$I$9,L626=phu!$I$10,L626=phu!$I$11,L626=phu!$I$12,L626=phu!$I$13,L626=phu!$I$14),"Cam Nghĩa",""),IF(OR(L626=phu!$I$15,L626=phu!$I$16,L626=phu!$I$17,L626=phu!$I$18,L626=phu!$I$19,L626=phu!$I$20,L626=phu!$I$21),"Cam Phúc Bắc",""),IF(OR(L626=phu!$I$22,L626=phu!$I$23,L626=phu!$I$24,L626=phu!$I$25),"Cam Phúc Nam",""),IF(OR(L626=phu!$I$26,L626=phu!$I$27,L626=phu!$I$28,L626=phu!$I$29,L626=phu!$I$30,L626=phu!$I$31),"Cam Phú",""),IF(OR(L626=phu!$I$32,L626=phu!$I$33,L626=phu!$I$34,L626=phu!$I$35,L626=phu!$I$36,L626=phu!$I$37),"Cam Lộc",""),IF(OR(L626=phu!$I$38,L626=phu!$I$39,L626=phu!$I$40,L626=phu!$I$41,L626=phu!$I$42,L626=phu!$I$43,L626=phu!$I$44),"Cam Thuận",""),IF(OR(L626=phu!$I$45,L626=phu!$I$46,L626=phu!$I$47,L626=phu!$I$48,L626=phu!$I$49,L626=phu!$I$50,L626=phu!$I$51,L626=phu!$I$52,L626=phu!$I$53),"Cam Linh",""),IF(OR(L626=phu!$I$54,L626=phu!$I$55,L626=phu!$I$56,L626=phu!$I$57,L626=phu!$I$58,L626=phu!$I$59,L626=phu!$I$60,L626=phu!$I$61,L626=phu!$I$62),"Cam Lợi",""),IF(OR(L626=phu!$I$63,L626=phu!$I$64,L626=phu!$I$65,L626=phu!$I$66,L626=phu!$I$67,L626=phu!$I$68,L626=phu!$I$69,L626=phu!$I$70,L626=phu!$I$71),"Ba Ngòi",""),IF(OR(L626=phu!$I$72,L626=phu!$I$73,L626=phu!$I$74,L626=phu!$I$75,L626=phu!$I$76,L626=phu!$I$77,L626=phu!$I$78),"Cam Phước Đông",""),IF(OR(L626=phu!$I$79,L626=phu!$I$80,L626=phu!$I$81,L626=phu!$I$82,L626=phu!$I$83,L626=phu!$I$84),"Cam Thịnh Đông",""),IF(OR(L626=phu!$I$85,L626=phu!$I$86,L626=phu!$I$87,L626=phu!$I$88),"Cam Thịnh Tây",""),IF(OR(L626=phu!$I$89,L626=phu!$I$90),"Cam Lập",""),IF(OR(L626=phu!$I$91,L626=phu!$I$92,L626=phu!$I$93),"Cam Bình",""),IF(OR(L626=phu!$I$94,L626=phu!$I$95,L626=phu!$I$96,L626=phu!$I$97,L626=phu!$I$98,L626=phu!$I$99,L626=phu!$I$100),"Huyện khác",""),IF(OR(L626=phu!$I$101,L626=phu!$I$102),"Tỉnh khác",""))</f>
        <v/>
      </c>
      <c r="N626" s="835" t="str">
        <f t="shared" si="49"/>
        <v/>
      </c>
      <c r="O626" s="20"/>
      <c r="P626" s="20"/>
      <c r="Q626" s="20"/>
      <c r="R626" s="20"/>
      <c r="S626" s="20"/>
      <c r="T626" s="21"/>
      <c r="U626" s="21"/>
      <c r="V626" s="21"/>
      <c r="W626" s="7" t="str">
        <f t="shared" si="47"/>
        <v/>
      </c>
      <c r="X626" s="506" t="str">
        <f t="shared" si="48"/>
        <v/>
      </c>
    </row>
    <row r="627" spans="1:24" x14ac:dyDescent="0.25">
      <c r="A627" s="66" t="str">
        <f t="shared" si="50"/>
        <v/>
      </c>
      <c r="B627" s="23" t="str">
        <f t="shared" si="46"/>
        <v/>
      </c>
      <c r="C627" s="15"/>
      <c r="D627" s="16"/>
      <c r="E627" s="17"/>
      <c r="F627" s="18"/>
      <c r="G627" s="18"/>
      <c r="H627" s="19"/>
      <c r="I627" s="15"/>
      <c r="J627" s="20"/>
      <c r="K627" s="15"/>
      <c r="L627" s="15"/>
      <c r="M627" s="531" t="str">
        <f>CONCATENATE(IF(OR(L627=phu!$I$1,L627=phu!$I$2,L627=phu!$I$3),"Cam Thành Nam",""),IF(OR(L627=phu!$I$4,L627=phu!$I$5,L627=phu!$I$6,L627=phu!$I$7,L627=phu!$I$8,L627=phu!$I$9,L627=phu!$I$10,L627=phu!$I$11,L627=phu!$I$12,L627=phu!$I$13,L627=phu!$I$14),"Cam Nghĩa",""),IF(OR(L627=phu!$I$15,L627=phu!$I$16,L627=phu!$I$17,L627=phu!$I$18,L627=phu!$I$19,L627=phu!$I$20,L627=phu!$I$21),"Cam Phúc Bắc",""),IF(OR(L627=phu!$I$22,L627=phu!$I$23,L627=phu!$I$24,L627=phu!$I$25),"Cam Phúc Nam",""),IF(OR(L627=phu!$I$26,L627=phu!$I$27,L627=phu!$I$28,L627=phu!$I$29,L627=phu!$I$30,L627=phu!$I$31),"Cam Phú",""),IF(OR(L627=phu!$I$32,L627=phu!$I$33,L627=phu!$I$34,L627=phu!$I$35,L627=phu!$I$36,L627=phu!$I$37),"Cam Lộc",""),IF(OR(L627=phu!$I$38,L627=phu!$I$39,L627=phu!$I$40,L627=phu!$I$41,L627=phu!$I$42,L627=phu!$I$43,L627=phu!$I$44),"Cam Thuận",""),IF(OR(L627=phu!$I$45,L627=phu!$I$46,L627=phu!$I$47,L627=phu!$I$48,L627=phu!$I$49,L627=phu!$I$50,L627=phu!$I$51,L627=phu!$I$52,L627=phu!$I$53),"Cam Linh",""),IF(OR(L627=phu!$I$54,L627=phu!$I$55,L627=phu!$I$56,L627=phu!$I$57,L627=phu!$I$58,L627=phu!$I$59,L627=phu!$I$60,L627=phu!$I$61,L627=phu!$I$62),"Cam Lợi",""),IF(OR(L627=phu!$I$63,L627=phu!$I$64,L627=phu!$I$65,L627=phu!$I$66,L627=phu!$I$67,L627=phu!$I$68,L627=phu!$I$69,L627=phu!$I$70,L627=phu!$I$71),"Ba Ngòi",""),IF(OR(L627=phu!$I$72,L627=phu!$I$73,L627=phu!$I$74,L627=phu!$I$75,L627=phu!$I$76,L627=phu!$I$77,L627=phu!$I$78),"Cam Phước Đông",""),IF(OR(L627=phu!$I$79,L627=phu!$I$80,L627=phu!$I$81,L627=phu!$I$82,L627=phu!$I$83,L627=phu!$I$84),"Cam Thịnh Đông",""),IF(OR(L627=phu!$I$85,L627=phu!$I$86,L627=phu!$I$87,L627=phu!$I$88),"Cam Thịnh Tây",""),IF(OR(L627=phu!$I$89,L627=phu!$I$90),"Cam Lập",""),IF(OR(L627=phu!$I$91,L627=phu!$I$92,L627=phu!$I$93),"Cam Bình",""),IF(OR(L627=phu!$I$94,L627=phu!$I$95,L627=phu!$I$96,L627=phu!$I$97,L627=phu!$I$98,L627=phu!$I$99,L627=phu!$I$100),"Huyện khác",""),IF(OR(L627=phu!$I$101,L627=phu!$I$102),"Tỉnh khác",""))</f>
        <v/>
      </c>
      <c r="N627" s="835" t="str">
        <f t="shared" si="49"/>
        <v/>
      </c>
      <c r="O627" s="20"/>
      <c r="P627" s="20"/>
      <c r="Q627" s="20"/>
      <c r="R627" s="20"/>
      <c r="S627" s="20"/>
      <c r="T627" s="21"/>
      <c r="U627" s="21"/>
      <c r="V627" s="21"/>
      <c r="W627" s="7" t="str">
        <f t="shared" si="47"/>
        <v/>
      </c>
      <c r="X627" s="506" t="str">
        <f t="shared" si="48"/>
        <v/>
      </c>
    </row>
    <row r="628" spans="1:24" x14ac:dyDescent="0.25">
      <c r="A628" s="66" t="str">
        <f t="shared" si="50"/>
        <v/>
      </c>
      <c r="B628" s="23" t="str">
        <f t="shared" si="46"/>
        <v/>
      </c>
      <c r="C628" s="15"/>
      <c r="D628" s="16"/>
      <c r="E628" s="17"/>
      <c r="F628" s="18"/>
      <c r="G628" s="18"/>
      <c r="H628" s="19"/>
      <c r="I628" s="15"/>
      <c r="J628" s="20"/>
      <c r="K628" s="15"/>
      <c r="L628" s="15"/>
      <c r="M628" s="531" t="str">
        <f>CONCATENATE(IF(OR(L628=phu!$I$1,L628=phu!$I$2,L628=phu!$I$3),"Cam Thành Nam",""),IF(OR(L628=phu!$I$4,L628=phu!$I$5,L628=phu!$I$6,L628=phu!$I$7,L628=phu!$I$8,L628=phu!$I$9,L628=phu!$I$10,L628=phu!$I$11,L628=phu!$I$12,L628=phu!$I$13,L628=phu!$I$14),"Cam Nghĩa",""),IF(OR(L628=phu!$I$15,L628=phu!$I$16,L628=phu!$I$17,L628=phu!$I$18,L628=phu!$I$19,L628=phu!$I$20,L628=phu!$I$21),"Cam Phúc Bắc",""),IF(OR(L628=phu!$I$22,L628=phu!$I$23,L628=phu!$I$24,L628=phu!$I$25),"Cam Phúc Nam",""),IF(OR(L628=phu!$I$26,L628=phu!$I$27,L628=phu!$I$28,L628=phu!$I$29,L628=phu!$I$30,L628=phu!$I$31),"Cam Phú",""),IF(OR(L628=phu!$I$32,L628=phu!$I$33,L628=phu!$I$34,L628=phu!$I$35,L628=phu!$I$36,L628=phu!$I$37),"Cam Lộc",""),IF(OR(L628=phu!$I$38,L628=phu!$I$39,L628=phu!$I$40,L628=phu!$I$41,L628=phu!$I$42,L628=phu!$I$43,L628=phu!$I$44),"Cam Thuận",""),IF(OR(L628=phu!$I$45,L628=phu!$I$46,L628=phu!$I$47,L628=phu!$I$48,L628=phu!$I$49,L628=phu!$I$50,L628=phu!$I$51,L628=phu!$I$52,L628=phu!$I$53),"Cam Linh",""),IF(OR(L628=phu!$I$54,L628=phu!$I$55,L628=phu!$I$56,L628=phu!$I$57,L628=phu!$I$58,L628=phu!$I$59,L628=phu!$I$60,L628=phu!$I$61,L628=phu!$I$62),"Cam Lợi",""),IF(OR(L628=phu!$I$63,L628=phu!$I$64,L628=phu!$I$65,L628=phu!$I$66,L628=phu!$I$67,L628=phu!$I$68,L628=phu!$I$69,L628=phu!$I$70,L628=phu!$I$71),"Ba Ngòi",""),IF(OR(L628=phu!$I$72,L628=phu!$I$73,L628=phu!$I$74,L628=phu!$I$75,L628=phu!$I$76,L628=phu!$I$77,L628=phu!$I$78),"Cam Phước Đông",""),IF(OR(L628=phu!$I$79,L628=phu!$I$80,L628=phu!$I$81,L628=phu!$I$82,L628=phu!$I$83,L628=phu!$I$84),"Cam Thịnh Đông",""),IF(OR(L628=phu!$I$85,L628=phu!$I$86,L628=phu!$I$87,L628=phu!$I$88),"Cam Thịnh Tây",""),IF(OR(L628=phu!$I$89,L628=phu!$I$90),"Cam Lập",""),IF(OR(L628=phu!$I$91,L628=phu!$I$92,L628=phu!$I$93),"Cam Bình",""),IF(OR(L628=phu!$I$94,L628=phu!$I$95,L628=phu!$I$96,L628=phu!$I$97,L628=phu!$I$98,L628=phu!$I$99,L628=phu!$I$100),"Huyện khác",""),IF(OR(L628=phu!$I$101,L628=phu!$I$102),"Tỉnh khác",""))</f>
        <v/>
      </c>
      <c r="N628" s="835" t="str">
        <f t="shared" si="49"/>
        <v/>
      </c>
      <c r="O628" s="20"/>
      <c r="P628" s="20"/>
      <c r="Q628" s="20"/>
      <c r="R628" s="20"/>
      <c r="S628" s="20"/>
      <c r="T628" s="21"/>
      <c r="U628" s="21"/>
      <c r="V628" s="21"/>
      <c r="W628" s="7" t="str">
        <f t="shared" si="47"/>
        <v/>
      </c>
      <c r="X628" s="506" t="str">
        <f t="shared" si="48"/>
        <v/>
      </c>
    </row>
    <row r="629" spans="1:24" x14ac:dyDescent="0.25">
      <c r="A629" s="66" t="str">
        <f t="shared" si="50"/>
        <v/>
      </c>
      <c r="B629" s="23" t="str">
        <f t="shared" si="46"/>
        <v/>
      </c>
      <c r="C629" s="15"/>
      <c r="D629" s="16"/>
      <c r="E629" s="17"/>
      <c r="F629" s="18"/>
      <c r="G629" s="18"/>
      <c r="H629" s="19"/>
      <c r="I629" s="15"/>
      <c r="J629" s="20"/>
      <c r="K629" s="15"/>
      <c r="L629" s="15"/>
      <c r="M629" s="531" t="str">
        <f>CONCATENATE(IF(OR(L629=phu!$I$1,L629=phu!$I$2,L629=phu!$I$3),"Cam Thành Nam",""),IF(OR(L629=phu!$I$4,L629=phu!$I$5,L629=phu!$I$6,L629=phu!$I$7,L629=phu!$I$8,L629=phu!$I$9,L629=phu!$I$10,L629=phu!$I$11,L629=phu!$I$12,L629=phu!$I$13,L629=phu!$I$14),"Cam Nghĩa",""),IF(OR(L629=phu!$I$15,L629=phu!$I$16,L629=phu!$I$17,L629=phu!$I$18,L629=phu!$I$19,L629=phu!$I$20,L629=phu!$I$21),"Cam Phúc Bắc",""),IF(OR(L629=phu!$I$22,L629=phu!$I$23,L629=phu!$I$24,L629=phu!$I$25),"Cam Phúc Nam",""),IF(OR(L629=phu!$I$26,L629=phu!$I$27,L629=phu!$I$28,L629=phu!$I$29,L629=phu!$I$30,L629=phu!$I$31),"Cam Phú",""),IF(OR(L629=phu!$I$32,L629=phu!$I$33,L629=phu!$I$34,L629=phu!$I$35,L629=phu!$I$36,L629=phu!$I$37),"Cam Lộc",""),IF(OR(L629=phu!$I$38,L629=phu!$I$39,L629=phu!$I$40,L629=phu!$I$41,L629=phu!$I$42,L629=phu!$I$43,L629=phu!$I$44),"Cam Thuận",""),IF(OR(L629=phu!$I$45,L629=phu!$I$46,L629=phu!$I$47,L629=phu!$I$48,L629=phu!$I$49,L629=phu!$I$50,L629=phu!$I$51,L629=phu!$I$52,L629=phu!$I$53),"Cam Linh",""),IF(OR(L629=phu!$I$54,L629=phu!$I$55,L629=phu!$I$56,L629=phu!$I$57,L629=phu!$I$58,L629=phu!$I$59,L629=phu!$I$60,L629=phu!$I$61,L629=phu!$I$62),"Cam Lợi",""),IF(OR(L629=phu!$I$63,L629=phu!$I$64,L629=phu!$I$65,L629=phu!$I$66,L629=phu!$I$67,L629=phu!$I$68,L629=phu!$I$69,L629=phu!$I$70,L629=phu!$I$71),"Ba Ngòi",""),IF(OR(L629=phu!$I$72,L629=phu!$I$73,L629=phu!$I$74,L629=phu!$I$75,L629=phu!$I$76,L629=phu!$I$77,L629=phu!$I$78),"Cam Phước Đông",""),IF(OR(L629=phu!$I$79,L629=phu!$I$80,L629=phu!$I$81,L629=phu!$I$82,L629=phu!$I$83,L629=phu!$I$84),"Cam Thịnh Đông",""),IF(OR(L629=phu!$I$85,L629=phu!$I$86,L629=phu!$I$87,L629=phu!$I$88),"Cam Thịnh Tây",""),IF(OR(L629=phu!$I$89,L629=phu!$I$90),"Cam Lập",""),IF(OR(L629=phu!$I$91,L629=phu!$I$92,L629=phu!$I$93),"Cam Bình",""),IF(OR(L629=phu!$I$94,L629=phu!$I$95,L629=phu!$I$96,L629=phu!$I$97,L629=phu!$I$98,L629=phu!$I$99,L629=phu!$I$100),"Huyện khác",""),IF(OR(L629=phu!$I$101,L629=phu!$I$102),"Tỉnh khác",""))</f>
        <v/>
      </c>
      <c r="N629" s="835" t="str">
        <f t="shared" si="49"/>
        <v/>
      </c>
      <c r="O629" s="20"/>
      <c r="P629" s="20"/>
      <c r="Q629" s="20"/>
      <c r="R629" s="20"/>
      <c r="S629" s="20"/>
      <c r="T629" s="21"/>
      <c r="U629" s="21"/>
      <c r="V629" s="21"/>
      <c r="W629" s="7" t="str">
        <f t="shared" si="47"/>
        <v/>
      </c>
      <c r="X629" s="506" t="str">
        <f t="shared" si="48"/>
        <v/>
      </c>
    </row>
    <row r="630" spans="1:24" x14ac:dyDescent="0.25">
      <c r="A630" s="66" t="str">
        <f t="shared" si="50"/>
        <v/>
      </c>
      <c r="B630" s="23" t="str">
        <f t="shared" si="46"/>
        <v/>
      </c>
      <c r="C630" s="15"/>
      <c r="D630" s="16"/>
      <c r="E630" s="17"/>
      <c r="F630" s="18"/>
      <c r="G630" s="18"/>
      <c r="H630" s="19"/>
      <c r="I630" s="15"/>
      <c r="J630" s="20"/>
      <c r="K630" s="15"/>
      <c r="L630" s="15"/>
      <c r="M630" s="531" t="str">
        <f>CONCATENATE(IF(OR(L630=phu!$I$1,L630=phu!$I$2,L630=phu!$I$3),"Cam Thành Nam",""),IF(OR(L630=phu!$I$4,L630=phu!$I$5,L630=phu!$I$6,L630=phu!$I$7,L630=phu!$I$8,L630=phu!$I$9,L630=phu!$I$10,L630=phu!$I$11,L630=phu!$I$12,L630=phu!$I$13,L630=phu!$I$14),"Cam Nghĩa",""),IF(OR(L630=phu!$I$15,L630=phu!$I$16,L630=phu!$I$17,L630=phu!$I$18,L630=phu!$I$19,L630=phu!$I$20,L630=phu!$I$21),"Cam Phúc Bắc",""),IF(OR(L630=phu!$I$22,L630=phu!$I$23,L630=phu!$I$24,L630=phu!$I$25),"Cam Phúc Nam",""),IF(OR(L630=phu!$I$26,L630=phu!$I$27,L630=phu!$I$28,L630=phu!$I$29,L630=phu!$I$30,L630=phu!$I$31),"Cam Phú",""),IF(OR(L630=phu!$I$32,L630=phu!$I$33,L630=phu!$I$34,L630=phu!$I$35,L630=phu!$I$36,L630=phu!$I$37),"Cam Lộc",""),IF(OR(L630=phu!$I$38,L630=phu!$I$39,L630=phu!$I$40,L630=phu!$I$41,L630=phu!$I$42,L630=phu!$I$43,L630=phu!$I$44),"Cam Thuận",""),IF(OR(L630=phu!$I$45,L630=phu!$I$46,L630=phu!$I$47,L630=phu!$I$48,L630=phu!$I$49,L630=phu!$I$50,L630=phu!$I$51,L630=phu!$I$52,L630=phu!$I$53),"Cam Linh",""),IF(OR(L630=phu!$I$54,L630=phu!$I$55,L630=phu!$I$56,L630=phu!$I$57,L630=phu!$I$58,L630=phu!$I$59,L630=phu!$I$60,L630=phu!$I$61,L630=phu!$I$62),"Cam Lợi",""),IF(OR(L630=phu!$I$63,L630=phu!$I$64,L630=phu!$I$65,L630=phu!$I$66,L630=phu!$I$67,L630=phu!$I$68,L630=phu!$I$69,L630=phu!$I$70,L630=phu!$I$71),"Ba Ngòi",""),IF(OR(L630=phu!$I$72,L630=phu!$I$73,L630=phu!$I$74,L630=phu!$I$75,L630=phu!$I$76,L630=phu!$I$77,L630=phu!$I$78),"Cam Phước Đông",""),IF(OR(L630=phu!$I$79,L630=phu!$I$80,L630=phu!$I$81,L630=phu!$I$82,L630=phu!$I$83,L630=phu!$I$84),"Cam Thịnh Đông",""),IF(OR(L630=phu!$I$85,L630=phu!$I$86,L630=phu!$I$87,L630=phu!$I$88),"Cam Thịnh Tây",""),IF(OR(L630=phu!$I$89,L630=phu!$I$90),"Cam Lập",""),IF(OR(L630=phu!$I$91,L630=phu!$I$92,L630=phu!$I$93),"Cam Bình",""),IF(OR(L630=phu!$I$94,L630=phu!$I$95,L630=phu!$I$96,L630=phu!$I$97,L630=phu!$I$98,L630=phu!$I$99,L630=phu!$I$100),"Huyện khác",""),IF(OR(L630=phu!$I$101,L630=phu!$I$102),"Tỉnh khác",""))</f>
        <v/>
      </c>
      <c r="N630" s="835" t="str">
        <f t="shared" si="49"/>
        <v/>
      </c>
      <c r="O630" s="20"/>
      <c r="P630" s="20"/>
      <c r="Q630" s="20"/>
      <c r="R630" s="20"/>
      <c r="S630" s="20"/>
      <c r="T630" s="21"/>
      <c r="U630" s="21"/>
      <c r="V630" s="21"/>
      <c r="W630" s="7" t="str">
        <f t="shared" si="47"/>
        <v/>
      </c>
      <c r="X630" s="506" t="str">
        <f t="shared" si="48"/>
        <v/>
      </c>
    </row>
    <row r="631" spans="1:24" x14ac:dyDescent="0.25">
      <c r="A631" s="66" t="str">
        <f t="shared" si="50"/>
        <v/>
      </c>
      <c r="B631" s="23" t="str">
        <f t="shared" si="46"/>
        <v/>
      </c>
      <c r="C631" s="15"/>
      <c r="D631" s="16"/>
      <c r="E631" s="17"/>
      <c r="F631" s="18"/>
      <c r="G631" s="18"/>
      <c r="H631" s="19"/>
      <c r="I631" s="15"/>
      <c r="J631" s="20"/>
      <c r="K631" s="15"/>
      <c r="L631" s="15"/>
      <c r="M631" s="531" t="str">
        <f>CONCATENATE(IF(OR(L631=phu!$I$1,L631=phu!$I$2,L631=phu!$I$3),"Cam Thành Nam",""),IF(OR(L631=phu!$I$4,L631=phu!$I$5,L631=phu!$I$6,L631=phu!$I$7,L631=phu!$I$8,L631=phu!$I$9,L631=phu!$I$10,L631=phu!$I$11,L631=phu!$I$12,L631=phu!$I$13,L631=phu!$I$14),"Cam Nghĩa",""),IF(OR(L631=phu!$I$15,L631=phu!$I$16,L631=phu!$I$17,L631=phu!$I$18,L631=phu!$I$19,L631=phu!$I$20,L631=phu!$I$21),"Cam Phúc Bắc",""),IF(OR(L631=phu!$I$22,L631=phu!$I$23,L631=phu!$I$24,L631=phu!$I$25),"Cam Phúc Nam",""),IF(OR(L631=phu!$I$26,L631=phu!$I$27,L631=phu!$I$28,L631=phu!$I$29,L631=phu!$I$30,L631=phu!$I$31),"Cam Phú",""),IF(OR(L631=phu!$I$32,L631=phu!$I$33,L631=phu!$I$34,L631=phu!$I$35,L631=phu!$I$36,L631=phu!$I$37),"Cam Lộc",""),IF(OR(L631=phu!$I$38,L631=phu!$I$39,L631=phu!$I$40,L631=phu!$I$41,L631=phu!$I$42,L631=phu!$I$43,L631=phu!$I$44),"Cam Thuận",""),IF(OR(L631=phu!$I$45,L631=phu!$I$46,L631=phu!$I$47,L631=phu!$I$48,L631=phu!$I$49,L631=phu!$I$50,L631=phu!$I$51,L631=phu!$I$52,L631=phu!$I$53),"Cam Linh",""),IF(OR(L631=phu!$I$54,L631=phu!$I$55,L631=phu!$I$56,L631=phu!$I$57,L631=phu!$I$58,L631=phu!$I$59,L631=phu!$I$60,L631=phu!$I$61,L631=phu!$I$62),"Cam Lợi",""),IF(OR(L631=phu!$I$63,L631=phu!$I$64,L631=phu!$I$65,L631=phu!$I$66,L631=phu!$I$67,L631=phu!$I$68,L631=phu!$I$69,L631=phu!$I$70,L631=phu!$I$71),"Ba Ngòi",""),IF(OR(L631=phu!$I$72,L631=phu!$I$73,L631=phu!$I$74,L631=phu!$I$75,L631=phu!$I$76,L631=phu!$I$77,L631=phu!$I$78),"Cam Phước Đông",""),IF(OR(L631=phu!$I$79,L631=phu!$I$80,L631=phu!$I$81,L631=phu!$I$82,L631=phu!$I$83,L631=phu!$I$84),"Cam Thịnh Đông",""),IF(OR(L631=phu!$I$85,L631=phu!$I$86,L631=phu!$I$87,L631=phu!$I$88),"Cam Thịnh Tây",""),IF(OR(L631=phu!$I$89,L631=phu!$I$90),"Cam Lập",""),IF(OR(L631=phu!$I$91,L631=phu!$I$92,L631=phu!$I$93),"Cam Bình",""),IF(OR(L631=phu!$I$94,L631=phu!$I$95,L631=phu!$I$96,L631=phu!$I$97,L631=phu!$I$98,L631=phu!$I$99,L631=phu!$I$100),"Huyện khác",""),IF(OR(L631=phu!$I$101,L631=phu!$I$102),"Tỉnh khác",""))</f>
        <v/>
      </c>
      <c r="N631" s="835" t="str">
        <f t="shared" si="49"/>
        <v/>
      </c>
      <c r="O631" s="20"/>
      <c r="P631" s="20"/>
      <c r="Q631" s="20"/>
      <c r="R631" s="20"/>
      <c r="S631" s="20"/>
      <c r="T631" s="21"/>
      <c r="U631" s="21"/>
      <c r="V631" s="21"/>
      <c r="W631" s="7" t="str">
        <f t="shared" si="47"/>
        <v/>
      </c>
      <c r="X631" s="506" t="str">
        <f t="shared" si="48"/>
        <v/>
      </c>
    </row>
    <row r="632" spans="1:24" x14ac:dyDescent="0.25">
      <c r="A632" s="66" t="str">
        <f t="shared" si="50"/>
        <v/>
      </c>
      <c r="B632" s="23" t="str">
        <f t="shared" si="46"/>
        <v/>
      </c>
      <c r="C632" s="15"/>
      <c r="D632" s="16"/>
      <c r="E632" s="17"/>
      <c r="F632" s="18"/>
      <c r="G632" s="18"/>
      <c r="H632" s="19"/>
      <c r="I632" s="15"/>
      <c r="J632" s="20"/>
      <c r="K632" s="15"/>
      <c r="L632" s="15"/>
      <c r="M632" s="531" t="str">
        <f>CONCATENATE(IF(OR(L632=phu!$I$1,L632=phu!$I$2,L632=phu!$I$3),"Cam Thành Nam",""),IF(OR(L632=phu!$I$4,L632=phu!$I$5,L632=phu!$I$6,L632=phu!$I$7,L632=phu!$I$8,L632=phu!$I$9,L632=phu!$I$10,L632=phu!$I$11,L632=phu!$I$12,L632=phu!$I$13,L632=phu!$I$14),"Cam Nghĩa",""),IF(OR(L632=phu!$I$15,L632=phu!$I$16,L632=phu!$I$17,L632=phu!$I$18,L632=phu!$I$19,L632=phu!$I$20,L632=phu!$I$21),"Cam Phúc Bắc",""),IF(OR(L632=phu!$I$22,L632=phu!$I$23,L632=phu!$I$24,L632=phu!$I$25),"Cam Phúc Nam",""),IF(OR(L632=phu!$I$26,L632=phu!$I$27,L632=phu!$I$28,L632=phu!$I$29,L632=phu!$I$30,L632=phu!$I$31),"Cam Phú",""),IF(OR(L632=phu!$I$32,L632=phu!$I$33,L632=phu!$I$34,L632=phu!$I$35,L632=phu!$I$36,L632=phu!$I$37),"Cam Lộc",""),IF(OR(L632=phu!$I$38,L632=phu!$I$39,L632=phu!$I$40,L632=phu!$I$41,L632=phu!$I$42,L632=phu!$I$43,L632=phu!$I$44),"Cam Thuận",""),IF(OR(L632=phu!$I$45,L632=phu!$I$46,L632=phu!$I$47,L632=phu!$I$48,L632=phu!$I$49,L632=phu!$I$50,L632=phu!$I$51,L632=phu!$I$52,L632=phu!$I$53),"Cam Linh",""),IF(OR(L632=phu!$I$54,L632=phu!$I$55,L632=phu!$I$56,L632=phu!$I$57,L632=phu!$I$58,L632=phu!$I$59,L632=phu!$I$60,L632=phu!$I$61,L632=phu!$I$62),"Cam Lợi",""),IF(OR(L632=phu!$I$63,L632=phu!$I$64,L632=phu!$I$65,L632=phu!$I$66,L632=phu!$I$67,L632=phu!$I$68,L632=phu!$I$69,L632=phu!$I$70,L632=phu!$I$71),"Ba Ngòi",""),IF(OR(L632=phu!$I$72,L632=phu!$I$73,L632=phu!$I$74,L632=phu!$I$75,L632=phu!$I$76,L632=phu!$I$77,L632=phu!$I$78),"Cam Phước Đông",""),IF(OR(L632=phu!$I$79,L632=phu!$I$80,L632=phu!$I$81,L632=phu!$I$82,L632=phu!$I$83,L632=phu!$I$84),"Cam Thịnh Đông",""),IF(OR(L632=phu!$I$85,L632=phu!$I$86,L632=phu!$I$87,L632=phu!$I$88),"Cam Thịnh Tây",""),IF(OR(L632=phu!$I$89,L632=phu!$I$90),"Cam Lập",""),IF(OR(L632=phu!$I$91,L632=phu!$I$92,L632=phu!$I$93),"Cam Bình",""),IF(OR(L632=phu!$I$94,L632=phu!$I$95,L632=phu!$I$96,L632=phu!$I$97,L632=phu!$I$98,L632=phu!$I$99,L632=phu!$I$100),"Huyện khác",""),IF(OR(L632=phu!$I$101,L632=phu!$I$102),"Tỉnh khác",""))</f>
        <v/>
      </c>
      <c r="N632" s="835" t="str">
        <f t="shared" si="49"/>
        <v/>
      </c>
      <c r="O632" s="20"/>
      <c r="P632" s="20"/>
      <c r="Q632" s="20"/>
      <c r="R632" s="20"/>
      <c r="S632" s="20"/>
      <c r="T632" s="21"/>
      <c r="U632" s="21"/>
      <c r="V632" s="21"/>
      <c r="W632" s="7" t="str">
        <f t="shared" si="47"/>
        <v/>
      </c>
      <c r="X632" s="506" t="str">
        <f t="shared" si="48"/>
        <v/>
      </c>
    </row>
    <row r="633" spans="1:24" x14ac:dyDescent="0.25">
      <c r="A633" s="66" t="str">
        <f t="shared" si="50"/>
        <v/>
      </c>
      <c r="B633" s="23" t="str">
        <f t="shared" si="46"/>
        <v/>
      </c>
      <c r="C633" s="15"/>
      <c r="D633" s="16"/>
      <c r="E633" s="17"/>
      <c r="F633" s="18"/>
      <c r="G633" s="18"/>
      <c r="H633" s="19"/>
      <c r="I633" s="15"/>
      <c r="J633" s="20"/>
      <c r="K633" s="15"/>
      <c r="L633" s="15"/>
      <c r="M633" s="531" t="str">
        <f>CONCATENATE(IF(OR(L633=phu!$I$1,L633=phu!$I$2,L633=phu!$I$3),"Cam Thành Nam",""),IF(OR(L633=phu!$I$4,L633=phu!$I$5,L633=phu!$I$6,L633=phu!$I$7,L633=phu!$I$8,L633=phu!$I$9,L633=phu!$I$10,L633=phu!$I$11,L633=phu!$I$12,L633=phu!$I$13,L633=phu!$I$14),"Cam Nghĩa",""),IF(OR(L633=phu!$I$15,L633=phu!$I$16,L633=phu!$I$17,L633=phu!$I$18,L633=phu!$I$19,L633=phu!$I$20,L633=phu!$I$21),"Cam Phúc Bắc",""),IF(OR(L633=phu!$I$22,L633=phu!$I$23,L633=phu!$I$24,L633=phu!$I$25),"Cam Phúc Nam",""),IF(OR(L633=phu!$I$26,L633=phu!$I$27,L633=phu!$I$28,L633=phu!$I$29,L633=phu!$I$30,L633=phu!$I$31),"Cam Phú",""),IF(OR(L633=phu!$I$32,L633=phu!$I$33,L633=phu!$I$34,L633=phu!$I$35,L633=phu!$I$36,L633=phu!$I$37),"Cam Lộc",""),IF(OR(L633=phu!$I$38,L633=phu!$I$39,L633=phu!$I$40,L633=phu!$I$41,L633=phu!$I$42,L633=phu!$I$43,L633=phu!$I$44),"Cam Thuận",""),IF(OR(L633=phu!$I$45,L633=phu!$I$46,L633=phu!$I$47,L633=phu!$I$48,L633=phu!$I$49,L633=phu!$I$50,L633=phu!$I$51,L633=phu!$I$52,L633=phu!$I$53),"Cam Linh",""),IF(OR(L633=phu!$I$54,L633=phu!$I$55,L633=phu!$I$56,L633=phu!$I$57,L633=phu!$I$58,L633=phu!$I$59,L633=phu!$I$60,L633=phu!$I$61,L633=phu!$I$62),"Cam Lợi",""),IF(OR(L633=phu!$I$63,L633=phu!$I$64,L633=phu!$I$65,L633=phu!$I$66,L633=phu!$I$67,L633=phu!$I$68,L633=phu!$I$69,L633=phu!$I$70,L633=phu!$I$71),"Ba Ngòi",""),IF(OR(L633=phu!$I$72,L633=phu!$I$73,L633=phu!$I$74,L633=phu!$I$75,L633=phu!$I$76,L633=phu!$I$77,L633=phu!$I$78),"Cam Phước Đông",""),IF(OR(L633=phu!$I$79,L633=phu!$I$80,L633=phu!$I$81,L633=phu!$I$82,L633=phu!$I$83,L633=phu!$I$84),"Cam Thịnh Đông",""),IF(OR(L633=phu!$I$85,L633=phu!$I$86,L633=phu!$I$87,L633=phu!$I$88),"Cam Thịnh Tây",""),IF(OR(L633=phu!$I$89,L633=phu!$I$90),"Cam Lập",""),IF(OR(L633=phu!$I$91,L633=phu!$I$92,L633=phu!$I$93),"Cam Bình",""),IF(OR(L633=phu!$I$94,L633=phu!$I$95,L633=phu!$I$96,L633=phu!$I$97,L633=phu!$I$98,L633=phu!$I$99,L633=phu!$I$100),"Huyện khác",""),IF(OR(L633=phu!$I$101,L633=phu!$I$102),"Tỉnh khác",""))</f>
        <v/>
      </c>
      <c r="N633" s="835" t="str">
        <f t="shared" si="49"/>
        <v/>
      </c>
      <c r="O633" s="20"/>
      <c r="P633" s="20"/>
      <c r="Q633" s="20"/>
      <c r="R633" s="20"/>
      <c r="S633" s="20"/>
      <c r="T633" s="21"/>
      <c r="U633" s="21"/>
      <c r="V633" s="21"/>
      <c r="W633" s="7" t="str">
        <f t="shared" si="47"/>
        <v/>
      </c>
      <c r="X633" s="506" t="str">
        <f t="shared" si="48"/>
        <v/>
      </c>
    </row>
    <row r="634" spans="1:24" x14ac:dyDescent="0.25">
      <c r="A634" s="66" t="str">
        <f t="shared" si="50"/>
        <v/>
      </c>
      <c r="B634" s="23" t="str">
        <f t="shared" si="46"/>
        <v/>
      </c>
      <c r="C634" s="15"/>
      <c r="D634" s="16"/>
      <c r="E634" s="17"/>
      <c r="F634" s="18"/>
      <c r="G634" s="18"/>
      <c r="H634" s="19"/>
      <c r="I634" s="15"/>
      <c r="J634" s="20"/>
      <c r="K634" s="15"/>
      <c r="L634" s="15"/>
      <c r="M634" s="531" t="str">
        <f>CONCATENATE(IF(OR(L634=phu!$I$1,L634=phu!$I$2,L634=phu!$I$3),"Cam Thành Nam",""),IF(OR(L634=phu!$I$4,L634=phu!$I$5,L634=phu!$I$6,L634=phu!$I$7,L634=phu!$I$8,L634=phu!$I$9,L634=phu!$I$10,L634=phu!$I$11,L634=phu!$I$12,L634=phu!$I$13,L634=phu!$I$14),"Cam Nghĩa",""),IF(OR(L634=phu!$I$15,L634=phu!$I$16,L634=phu!$I$17,L634=phu!$I$18,L634=phu!$I$19,L634=phu!$I$20,L634=phu!$I$21),"Cam Phúc Bắc",""),IF(OR(L634=phu!$I$22,L634=phu!$I$23,L634=phu!$I$24,L634=phu!$I$25),"Cam Phúc Nam",""),IF(OR(L634=phu!$I$26,L634=phu!$I$27,L634=phu!$I$28,L634=phu!$I$29,L634=phu!$I$30,L634=phu!$I$31),"Cam Phú",""),IF(OR(L634=phu!$I$32,L634=phu!$I$33,L634=phu!$I$34,L634=phu!$I$35,L634=phu!$I$36,L634=phu!$I$37),"Cam Lộc",""),IF(OR(L634=phu!$I$38,L634=phu!$I$39,L634=phu!$I$40,L634=phu!$I$41,L634=phu!$I$42,L634=phu!$I$43,L634=phu!$I$44),"Cam Thuận",""),IF(OR(L634=phu!$I$45,L634=phu!$I$46,L634=phu!$I$47,L634=phu!$I$48,L634=phu!$I$49,L634=phu!$I$50,L634=phu!$I$51,L634=phu!$I$52,L634=phu!$I$53),"Cam Linh",""),IF(OR(L634=phu!$I$54,L634=phu!$I$55,L634=phu!$I$56,L634=phu!$I$57,L634=phu!$I$58,L634=phu!$I$59,L634=phu!$I$60,L634=phu!$I$61,L634=phu!$I$62),"Cam Lợi",""),IF(OR(L634=phu!$I$63,L634=phu!$I$64,L634=phu!$I$65,L634=phu!$I$66,L634=phu!$I$67,L634=phu!$I$68,L634=phu!$I$69,L634=phu!$I$70,L634=phu!$I$71),"Ba Ngòi",""),IF(OR(L634=phu!$I$72,L634=phu!$I$73,L634=phu!$I$74,L634=phu!$I$75,L634=phu!$I$76,L634=phu!$I$77,L634=phu!$I$78),"Cam Phước Đông",""),IF(OR(L634=phu!$I$79,L634=phu!$I$80,L634=phu!$I$81,L634=phu!$I$82,L634=phu!$I$83,L634=phu!$I$84),"Cam Thịnh Đông",""),IF(OR(L634=phu!$I$85,L634=phu!$I$86,L634=phu!$I$87,L634=phu!$I$88),"Cam Thịnh Tây",""),IF(OR(L634=phu!$I$89,L634=phu!$I$90),"Cam Lập",""),IF(OR(L634=phu!$I$91,L634=phu!$I$92,L634=phu!$I$93),"Cam Bình",""),IF(OR(L634=phu!$I$94,L634=phu!$I$95,L634=phu!$I$96,L634=phu!$I$97,L634=phu!$I$98,L634=phu!$I$99,L634=phu!$I$100),"Huyện khác",""),IF(OR(L634=phu!$I$101,L634=phu!$I$102),"Tỉnh khác",""))</f>
        <v/>
      </c>
      <c r="N634" s="835" t="str">
        <f t="shared" si="49"/>
        <v/>
      </c>
      <c r="O634" s="20"/>
      <c r="P634" s="20"/>
      <c r="Q634" s="20"/>
      <c r="R634" s="20"/>
      <c r="S634" s="20"/>
      <c r="T634" s="21"/>
      <c r="U634" s="21"/>
      <c r="V634" s="21"/>
      <c r="W634" s="7" t="str">
        <f t="shared" si="47"/>
        <v/>
      </c>
      <c r="X634" s="506" t="str">
        <f t="shared" si="48"/>
        <v/>
      </c>
    </row>
    <row r="635" spans="1:24" x14ac:dyDescent="0.25">
      <c r="A635" s="66" t="str">
        <f t="shared" si="50"/>
        <v/>
      </c>
      <c r="B635" s="23" t="str">
        <f t="shared" si="46"/>
        <v/>
      </c>
      <c r="C635" s="15"/>
      <c r="D635" s="16"/>
      <c r="E635" s="17"/>
      <c r="F635" s="18"/>
      <c r="G635" s="18"/>
      <c r="H635" s="19"/>
      <c r="I635" s="15"/>
      <c r="J635" s="20"/>
      <c r="K635" s="15"/>
      <c r="L635" s="15"/>
      <c r="M635" s="531" t="str">
        <f>CONCATENATE(IF(OR(L635=phu!$I$1,L635=phu!$I$2,L635=phu!$I$3),"Cam Thành Nam",""),IF(OR(L635=phu!$I$4,L635=phu!$I$5,L635=phu!$I$6,L635=phu!$I$7,L635=phu!$I$8,L635=phu!$I$9,L635=phu!$I$10,L635=phu!$I$11,L635=phu!$I$12,L635=phu!$I$13,L635=phu!$I$14),"Cam Nghĩa",""),IF(OR(L635=phu!$I$15,L635=phu!$I$16,L635=phu!$I$17,L635=phu!$I$18,L635=phu!$I$19,L635=phu!$I$20,L635=phu!$I$21),"Cam Phúc Bắc",""),IF(OR(L635=phu!$I$22,L635=phu!$I$23,L635=phu!$I$24,L635=phu!$I$25),"Cam Phúc Nam",""),IF(OR(L635=phu!$I$26,L635=phu!$I$27,L635=phu!$I$28,L635=phu!$I$29,L635=phu!$I$30,L635=phu!$I$31),"Cam Phú",""),IF(OR(L635=phu!$I$32,L635=phu!$I$33,L635=phu!$I$34,L635=phu!$I$35,L635=phu!$I$36,L635=phu!$I$37),"Cam Lộc",""),IF(OR(L635=phu!$I$38,L635=phu!$I$39,L635=phu!$I$40,L635=phu!$I$41,L635=phu!$I$42,L635=phu!$I$43,L635=phu!$I$44),"Cam Thuận",""),IF(OR(L635=phu!$I$45,L635=phu!$I$46,L635=phu!$I$47,L635=phu!$I$48,L635=phu!$I$49,L635=phu!$I$50,L635=phu!$I$51,L635=phu!$I$52,L635=phu!$I$53),"Cam Linh",""),IF(OR(L635=phu!$I$54,L635=phu!$I$55,L635=phu!$I$56,L635=phu!$I$57,L635=phu!$I$58,L635=phu!$I$59,L635=phu!$I$60,L635=phu!$I$61,L635=phu!$I$62),"Cam Lợi",""),IF(OR(L635=phu!$I$63,L635=phu!$I$64,L635=phu!$I$65,L635=phu!$I$66,L635=phu!$I$67,L635=phu!$I$68,L635=phu!$I$69,L635=phu!$I$70,L635=phu!$I$71),"Ba Ngòi",""),IF(OR(L635=phu!$I$72,L635=phu!$I$73,L635=phu!$I$74,L635=phu!$I$75,L635=phu!$I$76,L635=phu!$I$77,L635=phu!$I$78),"Cam Phước Đông",""),IF(OR(L635=phu!$I$79,L635=phu!$I$80,L635=phu!$I$81,L635=phu!$I$82,L635=phu!$I$83,L635=phu!$I$84),"Cam Thịnh Đông",""),IF(OR(L635=phu!$I$85,L635=phu!$I$86,L635=phu!$I$87,L635=phu!$I$88),"Cam Thịnh Tây",""),IF(OR(L635=phu!$I$89,L635=phu!$I$90),"Cam Lập",""),IF(OR(L635=phu!$I$91,L635=phu!$I$92,L635=phu!$I$93),"Cam Bình",""),IF(OR(L635=phu!$I$94,L635=phu!$I$95,L635=phu!$I$96,L635=phu!$I$97,L635=phu!$I$98,L635=phu!$I$99,L635=phu!$I$100),"Huyện khác",""),IF(OR(L635=phu!$I$101,L635=phu!$I$102),"Tỉnh khác",""))</f>
        <v/>
      </c>
      <c r="N635" s="835" t="str">
        <f t="shared" si="49"/>
        <v/>
      </c>
      <c r="O635" s="20"/>
      <c r="P635" s="20"/>
      <c r="Q635" s="20"/>
      <c r="R635" s="20"/>
      <c r="S635" s="20"/>
      <c r="T635" s="21"/>
      <c r="U635" s="21"/>
      <c r="V635" s="21"/>
      <c r="W635" s="7" t="str">
        <f t="shared" si="47"/>
        <v/>
      </c>
      <c r="X635" s="506" t="str">
        <f t="shared" si="48"/>
        <v/>
      </c>
    </row>
    <row r="636" spans="1:24" x14ac:dyDescent="0.25">
      <c r="A636" s="66" t="str">
        <f t="shared" si="50"/>
        <v/>
      </c>
      <c r="B636" s="23" t="str">
        <f t="shared" si="46"/>
        <v/>
      </c>
      <c r="C636" s="15"/>
      <c r="D636" s="16"/>
      <c r="E636" s="17"/>
      <c r="F636" s="18"/>
      <c r="G636" s="18"/>
      <c r="H636" s="19"/>
      <c r="I636" s="15"/>
      <c r="J636" s="20"/>
      <c r="K636" s="15"/>
      <c r="L636" s="15"/>
      <c r="M636" s="531" t="str">
        <f>CONCATENATE(IF(OR(L636=phu!$I$1,L636=phu!$I$2,L636=phu!$I$3),"Cam Thành Nam",""),IF(OR(L636=phu!$I$4,L636=phu!$I$5,L636=phu!$I$6,L636=phu!$I$7,L636=phu!$I$8,L636=phu!$I$9,L636=phu!$I$10,L636=phu!$I$11,L636=phu!$I$12,L636=phu!$I$13,L636=phu!$I$14),"Cam Nghĩa",""),IF(OR(L636=phu!$I$15,L636=phu!$I$16,L636=phu!$I$17,L636=phu!$I$18,L636=phu!$I$19,L636=phu!$I$20,L636=phu!$I$21),"Cam Phúc Bắc",""),IF(OR(L636=phu!$I$22,L636=phu!$I$23,L636=phu!$I$24,L636=phu!$I$25),"Cam Phúc Nam",""),IF(OR(L636=phu!$I$26,L636=phu!$I$27,L636=phu!$I$28,L636=phu!$I$29,L636=phu!$I$30,L636=phu!$I$31),"Cam Phú",""),IF(OR(L636=phu!$I$32,L636=phu!$I$33,L636=phu!$I$34,L636=phu!$I$35,L636=phu!$I$36,L636=phu!$I$37),"Cam Lộc",""),IF(OR(L636=phu!$I$38,L636=phu!$I$39,L636=phu!$I$40,L636=phu!$I$41,L636=phu!$I$42,L636=phu!$I$43,L636=phu!$I$44),"Cam Thuận",""),IF(OR(L636=phu!$I$45,L636=phu!$I$46,L636=phu!$I$47,L636=phu!$I$48,L636=phu!$I$49,L636=phu!$I$50,L636=phu!$I$51,L636=phu!$I$52,L636=phu!$I$53),"Cam Linh",""),IF(OR(L636=phu!$I$54,L636=phu!$I$55,L636=phu!$I$56,L636=phu!$I$57,L636=phu!$I$58,L636=phu!$I$59,L636=phu!$I$60,L636=phu!$I$61,L636=phu!$I$62),"Cam Lợi",""),IF(OR(L636=phu!$I$63,L636=phu!$I$64,L636=phu!$I$65,L636=phu!$I$66,L636=phu!$I$67,L636=phu!$I$68,L636=phu!$I$69,L636=phu!$I$70,L636=phu!$I$71),"Ba Ngòi",""),IF(OR(L636=phu!$I$72,L636=phu!$I$73,L636=phu!$I$74,L636=phu!$I$75,L636=phu!$I$76,L636=phu!$I$77,L636=phu!$I$78),"Cam Phước Đông",""),IF(OR(L636=phu!$I$79,L636=phu!$I$80,L636=phu!$I$81,L636=phu!$I$82,L636=phu!$I$83,L636=phu!$I$84),"Cam Thịnh Đông",""),IF(OR(L636=phu!$I$85,L636=phu!$I$86,L636=phu!$I$87,L636=phu!$I$88),"Cam Thịnh Tây",""),IF(OR(L636=phu!$I$89,L636=phu!$I$90),"Cam Lập",""),IF(OR(L636=phu!$I$91,L636=phu!$I$92,L636=phu!$I$93),"Cam Bình",""),IF(OR(L636=phu!$I$94,L636=phu!$I$95,L636=phu!$I$96,L636=phu!$I$97,L636=phu!$I$98,L636=phu!$I$99,L636=phu!$I$100),"Huyện khác",""),IF(OR(L636=phu!$I$101,L636=phu!$I$102),"Tỉnh khác",""))</f>
        <v/>
      </c>
      <c r="N636" s="835" t="str">
        <f t="shared" si="49"/>
        <v/>
      </c>
      <c r="O636" s="20"/>
      <c r="P636" s="20"/>
      <c r="Q636" s="20"/>
      <c r="R636" s="20"/>
      <c r="S636" s="20"/>
      <c r="T636" s="21"/>
      <c r="U636" s="21"/>
      <c r="V636" s="21"/>
      <c r="W636" s="7" t="str">
        <f t="shared" si="47"/>
        <v/>
      </c>
      <c r="X636" s="506" t="str">
        <f t="shared" si="48"/>
        <v/>
      </c>
    </row>
    <row r="637" spans="1:24" x14ac:dyDescent="0.25">
      <c r="A637" s="66" t="str">
        <f t="shared" si="50"/>
        <v/>
      </c>
      <c r="B637" s="23" t="str">
        <f t="shared" si="46"/>
        <v/>
      </c>
      <c r="C637" s="15"/>
      <c r="D637" s="16"/>
      <c r="E637" s="17"/>
      <c r="F637" s="18"/>
      <c r="G637" s="18"/>
      <c r="H637" s="19"/>
      <c r="I637" s="15"/>
      <c r="J637" s="20"/>
      <c r="K637" s="15"/>
      <c r="L637" s="15"/>
      <c r="M637" s="531" t="str">
        <f>CONCATENATE(IF(OR(L637=phu!$I$1,L637=phu!$I$2,L637=phu!$I$3),"Cam Thành Nam",""),IF(OR(L637=phu!$I$4,L637=phu!$I$5,L637=phu!$I$6,L637=phu!$I$7,L637=phu!$I$8,L637=phu!$I$9,L637=phu!$I$10,L637=phu!$I$11,L637=phu!$I$12,L637=phu!$I$13,L637=phu!$I$14),"Cam Nghĩa",""),IF(OR(L637=phu!$I$15,L637=phu!$I$16,L637=phu!$I$17,L637=phu!$I$18,L637=phu!$I$19,L637=phu!$I$20,L637=phu!$I$21),"Cam Phúc Bắc",""),IF(OR(L637=phu!$I$22,L637=phu!$I$23,L637=phu!$I$24,L637=phu!$I$25),"Cam Phúc Nam",""),IF(OR(L637=phu!$I$26,L637=phu!$I$27,L637=phu!$I$28,L637=phu!$I$29,L637=phu!$I$30,L637=phu!$I$31),"Cam Phú",""),IF(OR(L637=phu!$I$32,L637=phu!$I$33,L637=phu!$I$34,L637=phu!$I$35,L637=phu!$I$36,L637=phu!$I$37),"Cam Lộc",""),IF(OR(L637=phu!$I$38,L637=phu!$I$39,L637=phu!$I$40,L637=phu!$I$41,L637=phu!$I$42,L637=phu!$I$43,L637=phu!$I$44),"Cam Thuận",""),IF(OR(L637=phu!$I$45,L637=phu!$I$46,L637=phu!$I$47,L637=phu!$I$48,L637=phu!$I$49,L637=phu!$I$50,L637=phu!$I$51,L637=phu!$I$52,L637=phu!$I$53),"Cam Linh",""),IF(OR(L637=phu!$I$54,L637=phu!$I$55,L637=phu!$I$56,L637=phu!$I$57,L637=phu!$I$58,L637=phu!$I$59,L637=phu!$I$60,L637=phu!$I$61,L637=phu!$I$62),"Cam Lợi",""),IF(OR(L637=phu!$I$63,L637=phu!$I$64,L637=phu!$I$65,L637=phu!$I$66,L637=phu!$I$67,L637=phu!$I$68,L637=phu!$I$69,L637=phu!$I$70,L637=phu!$I$71),"Ba Ngòi",""),IF(OR(L637=phu!$I$72,L637=phu!$I$73,L637=phu!$I$74,L637=phu!$I$75,L637=phu!$I$76,L637=phu!$I$77,L637=phu!$I$78),"Cam Phước Đông",""),IF(OR(L637=phu!$I$79,L637=phu!$I$80,L637=phu!$I$81,L637=phu!$I$82,L637=phu!$I$83,L637=phu!$I$84),"Cam Thịnh Đông",""),IF(OR(L637=phu!$I$85,L637=phu!$I$86,L637=phu!$I$87,L637=phu!$I$88),"Cam Thịnh Tây",""),IF(OR(L637=phu!$I$89,L637=phu!$I$90),"Cam Lập",""),IF(OR(L637=phu!$I$91,L637=phu!$I$92,L637=phu!$I$93),"Cam Bình",""),IF(OR(L637=phu!$I$94,L637=phu!$I$95,L637=phu!$I$96,L637=phu!$I$97,L637=phu!$I$98,L637=phu!$I$99,L637=phu!$I$100),"Huyện khác",""),IF(OR(L637=phu!$I$101,L637=phu!$I$102),"Tỉnh khác",""))</f>
        <v/>
      </c>
      <c r="N637" s="835" t="str">
        <f t="shared" si="49"/>
        <v/>
      </c>
      <c r="O637" s="20"/>
      <c r="P637" s="20"/>
      <c r="Q637" s="20"/>
      <c r="R637" s="20"/>
      <c r="S637" s="20"/>
      <c r="T637" s="21"/>
      <c r="U637" s="21"/>
      <c r="V637" s="21"/>
      <c r="W637" s="7" t="str">
        <f t="shared" si="47"/>
        <v/>
      </c>
      <c r="X637" s="506" t="str">
        <f t="shared" si="48"/>
        <v/>
      </c>
    </row>
    <row r="638" spans="1:24" x14ac:dyDescent="0.25">
      <c r="A638" s="66" t="str">
        <f t="shared" si="50"/>
        <v/>
      </c>
      <c r="B638" s="23" t="str">
        <f t="shared" si="46"/>
        <v/>
      </c>
      <c r="C638" s="15"/>
      <c r="D638" s="16"/>
      <c r="E638" s="17"/>
      <c r="F638" s="18"/>
      <c r="G638" s="18"/>
      <c r="H638" s="19"/>
      <c r="I638" s="15"/>
      <c r="J638" s="20"/>
      <c r="K638" s="15"/>
      <c r="L638" s="15"/>
      <c r="M638" s="531" t="str">
        <f>CONCATENATE(IF(OR(L638=phu!$I$1,L638=phu!$I$2,L638=phu!$I$3),"Cam Thành Nam",""),IF(OR(L638=phu!$I$4,L638=phu!$I$5,L638=phu!$I$6,L638=phu!$I$7,L638=phu!$I$8,L638=phu!$I$9,L638=phu!$I$10,L638=phu!$I$11,L638=phu!$I$12,L638=phu!$I$13,L638=phu!$I$14),"Cam Nghĩa",""),IF(OR(L638=phu!$I$15,L638=phu!$I$16,L638=phu!$I$17,L638=phu!$I$18,L638=phu!$I$19,L638=phu!$I$20,L638=phu!$I$21),"Cam Phúc Bắc",""),IF(OR(L638=phu!$I$22,L638=phu!$I$23,L638=phu!$I$24,L638=phu!$I$25),"Cam Phúc Nam",""),IF(OR(L638=phu!$I$26,L638=phu!$I$27,L638=phu!$I$28,L638=phu!$I$29,L638=phu!$I$30,L638=phu!$I$31),"Cam Phú",""),IF(OR(L638=phu!$I$32,L638=phu!$I$33,L638=phu!$I$34,L638=phu!$I$35,L638=phu!$I$36,L638=phu!$I$37),"Cam Lộc",""),IF(OR(L638=phu!$I$38,L638=phu!$I$39,L638=phu!$I$40,L638=phu!$I$41,L638=phu!$I$42,L638=phu!$I$43,L638=phu!$I$44),"Cam Thuận",""),IF(OR(L638=phu!$I$45,L638=phu!$I$46,L638=phu!$I$47,L638=phu!$I$48,L638=phu!$I$49,L638=phu!$I$50,L638=phu!$I$51,L638=phu!$I$52,L638=phu!$I$53),"Cam Linh",""),IF(OR(L638=phu!$I$54,L638=phu!$I$55,L638=phu!$I$56,L638=phu!$I$57,L638=phu!$I$58,L638=phu!$I$59,L638=phu!$I$60,L638=phu!$I$61,L638=phu!$I$62),"Cam Lợi",""),IF(OR(L638=phu!$I$63,L638=phu!$I$64,L638=phu!$I$65,L638=phu!$I$66,L638=phu!$I$67,L638=phu!$I$68,L638=phu!$I$69,L638=phu!$I$70,L638=phu!$I$71),"Ba Ngòi",""),IF(OR(L638=phu!$I$72,L638=phu!$I$73,L638=phu!$I$74,L638=phu!$I$75,L638=phu!$I$76,L638=phu!$I$77,L638=phu!$I$78),"Cam Phước Đông",""),IF(OR(L638=phu!$I$79,L638=phu!$I$80,L638=phu!$I$81,L638=phu!$I$82,L638=phu!$I$83,L638=phu!$I$84),"Cam Thịnh Đông",""),IF(OR(L638=phu!$I$85,L638=phu!$I$86,L638=phu!$I$87,L638=phu!$I$88),"Cam Thịnh Tây",""),IF(OR(L638=phu!$I$89,L638=phu!$I$90),"Cam Lập",""),IF(OR(L638=phu!$I$91,L638=phu!$I$92,L638=phu!$I$93),"Cam Bình",""),IF(OR(L638=phu!$I$94,L638=phu!$I$95,L638=phu!$I$96,L638=phu!$I$97,L638=phu!$I$98,L638=phu!$I$99,L638=phu!$I$100),"Huyện khác",""),IF(OR(L638=phu!$I$101,L638=phu!$I$102),"Tỉnh khác",""))</f>
        <v/>
      </c>
      <c r="N638" s="835" t="str">
        <f t="shared" si="49"/>
        <v/>
      </c>
      <c r="O638" s="20"/>
      <c r="P638" s="20"/>
      <c r="Q638" s="20"/>
      <c r="R638" s="20"/>
      <c r="S638" s="20"/>
      <c r="T638" s="21"/>
      <c r="U638" s="21"/>
      <c r="V638" s="21"/>
      <c r="W638" s="7" t="str">
        <f t="shared" si="47"/>
        <v/>
      </c>
      <c r="X638" s="506" t="str">
        <f t="shared" si="48"/>
        <v/>
      </c>
    </row>
    <row r="639" spans="1:24" x14ac:dyDescent="0.25">
      <c r="A639" s="66" t="str">
        <f t="shared" si="50"/>
        <v/>
      </c>
      <c r="B639" s="23" t="str">
        <f t="shared" si="46"/>
        <v/>
      </c>
      <c r="C639" s="15"/>
      <c r="D639" s="16"/>
      <c r="E639" s="17"/>
      <c r="F639" s="18"/>
      <c r="G639" s="18"/>
      <c r="H639" s="19"/>
      <c r="I639" s="15"/>
      <c r="J639" s="20"/>
      <c r="K639" s="15"/>
      <c r="L639" s="15"/>
      <c r="M639" s="531" t="str">
        <f>CONCATENATE(IF(OR(L639=phu!$I$1,L639=phu!$I$2,L639=phu!$I$3),"Cam Thành Nam",""),IF(OR(L639=phu!$I$4,L639=phu!$I$5,L639=phu!$I$6,L639=phu!$I$7,L639=phu!$I$8,L639=phu!$I$9,L639=phu!$I$10,L639=phu!$I$11,L639=phu!$I$12,L639=phu!$I$13,L639=phu!$I$14),"Cam Nghĩa",""),IF(OR(L639=phu!$I$15,L639=phu!$I$16,L639=phu!$I$17,L639=phu!$I$18,L639=phu!$I$19,L639=phu!$I$20,L639=phu!$I$21),"Cam Phúc Bắc",""),IF(OR(L639=phu!$I$22,L639=phu!$I$23,L639=phu!$I$24,L639=phu!$I$25),"Cam Phúc Nam",""),IF(OR(L639=phu!$I$26,L639=phu!$I$27,L639=phu!$I$28,L639=phu!$I$29,L639=phu!$I$30,L639=phu!$I$31),"Cam Phú",""),IF(OR(L639=phu!$I$32,L639=phu!$I$33,L639=phu!$I$34,L639=phu!$I$35,L639=phu!$I$36,L639=phu!$I$37),"Cam Lộc",""),IF(OR(L639=phu!$I$38,L639=phu!$I$39,L639=phu!$I$40,L639=phu!$I$41,L639=phu!$I$42,L639=phu!$I$43,L639=phu!$I$44),"Cam Thuận",""),IF(OR(L639=phu!$I$45,L639=phu!$I$46,L639=phu!$I$47,L639=phu!$I$48,L639=phu!$I$49,L639=phu!$I$50,L639=phu!$I$51,L639=phu!$I$52,L639=phu!$I$53),"Cam Linh",""),IF(OR(L639=phu!$I$54,L639=phu!$I$55,L639=phu!$I$56,L639=phu!$I$57,L639=phu!$I$58,L639=phu!$I$59,L639=phu!$I$60,L639=phu!$I$61,L639=phu!$I$62),"Cam Lợi",""),IF(OR(L639=phu!$I$63,L639=phu!$I$64,L639=phu!$I$65,L639=phu!$I$66,L639=phu!$I$67,L639=phu!$I$68,L639=phu!$I$69,L639=phu!$I$70,L639=phu!$I$71),"Ba Ngòi",""),IF(OR(L639=phu!$I$72,L639=phu!$I$73,L639=phu!$I$74,L639=phu!$I$75,L639=phu!$I$76,L639=phu!$I$77,L639=phu!$I$78),"Cam Phước Đông",""),IF(OR(L639=phu!$I$79,L639=phu!$I$80,L639=phu!$I$81,L639=phu!$I$82,L639=phu!$I$83,L639=phu!$I$84),"Cam Thịnh Đông",""),IF(OR(L639=phu!$I$85,L639=phu!$I$86,L639=phu!$I$87,L639=phu!$I$88),"Cam Thịnh Tây",""),IF(OR(L639=phu!$I$89,L639=phu!$I$90),"Cam Lập",""),IF(OR(L639=phu!$I$91,L639=phu!$I$92,L639=phu!$I$93),"Cam Bình",""),IF(OR(L639=phu!$I$94,L639=phu!$I$95,L639=phu!$I$96,L639=phu!$I$97,L639=phu!$I$98,L639=phu!$I$99,L639=phu!$I$100),"Huyện khác",""),IF(OR(L639=phu!$I$101,L639=phu!$I$102),"Tỉnh khác",""))</f>
        <v/>
      </c>
      <c r="N639" s="835" t="str">
        <f t="shared" si="49"/>
        <v/>
      </c>
      <c r="O639" s="20"/>
      <c r="P639" s="20"/>
      <c r="Q639" s="20"/>
      <c r="R639" s="20"/>
      <c r="S639" s="20"/>
      <c r="T639" s="21"/>
      <c r="U639" s="21"/>
      <c r="V639" s="21"/>
      <c r="W639" s="7" t="str">
        <f t="shared" si="47"/>
        <v/>
      </c>
      <c r="X639" s="506" t="str">
        <f t="shared" si="48"/>
        <v/>
      </c>
    </row>
    <row r="640" spans="1:24" x14ac:dyDescent="0.25">
      <c r="A640" s="66" t="str">
        <f t="shared" si="50"/>
        <v/>
      </c>
      <c r="B640" s="23" t="str">
        <f t="shared" si="46"/>
        <v/>
      </c>
      <c r="C640" s="15"/>
      <c r="D640" s="16"/>
      <c r="E640" s="17"/>
      <c r="F640" s="18"/>
      <c r="G640" s="18"/>
      <c r="H640" s="19"/>
      <c r="I640" s="15"/>
      <c r="J640" s="20"/>
      <c r="K640" s="15"/>
      <c r="L640" s="15"/>
      <c r="M640" s="531" t="str">
        <f>CONCATENATE(IF(OR(L640=phu!$I$1,L640=phu!$I$2,L640=phu!$I$3),"Cam Thành Nam",""),IF(OR(L640=phu!$I$4,L640=phu!$I$5,L640=phu!$I$6,L640=phu!$I$7,L640=phu!$I$8,L640=phu!$I$9,L640=phu!$I$10,L640=phu!$I$11,L640=phu!$I$12,L640=phu!$I$13,L640=phu!$I$14),"Cam Nghĩa",""),IF(OR(L640=phu!$I$15,L640=phu!$I$16,L640=phu!$I$17,L640=phu!$I$18,L640=phu!$I$19,L640=phu!$I$20,L640=phu!$I$21),"Cam Phúc Bắc",""),IF(OR(L640=phu!$I$22,L640=phu!$I$23,L640=phu!$I$24,L640=phu!$I$25),"Cam Phúc Nam",""),IF(OR(L640=phu!$I$26,L640=phu!$I$27,L640=phu!$I$28,L640=phu!$I$29,L640=phu!$I$30,L640=phu!$I$31),"Cam Phú",""),IF(OR(L640=phu!$I$32,L640=phu!$I$33,L640=phu!$I$34,L640=phu!$I$35,L640=phu!$I$36,L640=phu!$I$37),"Cam Lộc",""),IF(OR(L640=phu!$I$38,L640=phu!$I$39,L640=phu!$I$40,L640=phu!$I$41,L640=phu!$I$42,L640=phu!$I$43,L640=phu!$I$44),"Cam Thuận",""),IF(OR(L640=phu!$I$45,L640=phu!$I$46,L640=phu!$I$47,L640=phu!$I$48,L640=phu!$I$49,L640=phu!$I$50,L640=phu!$I$51,L640=phu!$I$52,L640=phu!$I$53),"Cam Linh",""),IF(OR(L640=phu!$I$54,L640=phu!$I$55,L640=phu!$I$56,L640=phu!$I$57,L640=phu!$I$58,L640=phu!$I$59,L640=phu!$I$60,L640=phu!$I$61,L640=phu!$I$62),"Cam Lợi",""),IF(OR(L640=phu!$I$63,L640=phu!$I$64,L640=phu!$I$65,L640=phu!$I$66,L640=phu!$I$67,L640=phu!$I$68,L640=phu!$I$69,L640=phu!$I$70,L640=phu!$I$71),"Ba Ngòi",""),IF(OR(L640=phu!$I$72,L640=phu!$I$73,L640=phu!$I$74,L640=phu!$I$75,L640=phu!$I$76,L640=phu!$I$77,L640=phu!$I$78),"Cam Phước Đông",""),IF(OR(L640=phu!$I$79,L640=phu!$I$80,L640=phu!$I$81,L640=phu!$I$82,L640=phu!$I$83,L640=phu!$I$84),"Cam Thịnh Đông",""),IF(OR(L640=phu!$I$85,L640=phu!$I$86,L640=phu!$I$87,L640=phu!$I$88),"Cam Thịnh Tây",""),IF(OR(L640=phu!$I$89,L640=phu!$I$90),"Cam Lập",""),IF(OR(L640=phu!$I$91,L640=phu!$I$92,L640=phu!$I$93),"Cam Bình",""),IF(OR(L640=phu!$I$94,L640=phu!$I$95,L640=phu!$I$96,L640=phu!$I$97,L640=phu!$I$98,L640=phu!$I$99,L640=phu!$I$100),"Huyện khác",""),IF(OR(L640=phu!$I$101,L640=phu!$I$102),"Tỉnh khác",""))</f>
        <v/>
      </c>
      <c r="N640" s="835" t="str">
        <f t="shared" si="49"/>
        <v/>
      </c>
      <c r="O640" s="20"/>
      <c r="P640" s="20"/>
      <c r="Q640" s="20"/>
      <c r="R640" s="20"/>
      <c r="S640" s="20"/>
      <c r="T640" s="21"/>
      <c r="U640" s="21"/>
      <c r="V640" s="21"/>
      <c r="W640" s="7" t="str">
        <f t="shared" si="47"/>
        <v/>
      </c>
      <c r="X640" s="506" t="str">
        <f t="shared" si="48"/>
        <v/>
      </c>
    </row>
    <row r="641" spans="1:24" x14ac:dyDescent="0.25">
      <c r="A641" s="66" t="str">
        <f t="shared" si="50"/>
        <v/>
      </c>
      <c r="B641" s="23" t="str">
        <f t="shared" si="46"/>
        <v/>
      </c>
      <c r="C641" s="15"/>
      <c r="D641" s="16"/>
      <c r="E641" s="17"/>
      <c r="F641" s="18"/>
      <c r="G641" s="18"/>
      <c r="H641" s="19"/>
      <c r="I641" s="15"/>
      <c r="J641" s="20"/>
      <c r="K641" s="15"/>
      <c r="L641" s="15"/>
      <c r="M641" s="531" t="str">
        <f>CONCATENATE(IF(OR(L641=phu!$I$1,L641=phu!$I$2,L641=phu!$I$3),"Cam Thành Nam",""),IF(OR(L641=phu!$I$4,L641=phu!$I$5,L641=phu!$I$6,L641=phu!$I$7,L641=phu!$I$8,L641=phu!$I$9,L641=phu!$I$10,L641=phu!$I$11,L641=phu!$I$12,L641=phu!$I$13,L641=phu!$I$14),"Cam Nghĩa",""),IF(OR(L641=phu!$I$15,L641=phu!$I$16,L641=phu!$I$17,L641=phu!$I$18,L641=phu!$I$19,L641=phu!$I$20,L641=phu!$I$21),"Cam Phúc Bắc",""),IF(OR(L641=phu!$I$22,L641=phu!$I$23,L641=phu!$I$24,L641=phu!$I$25),"Cam Phúc Nam",""),IF(OR(L641=phu!$I$26,L641=phu!$I$27,L641=phu!$I$28,L641=phu!$I$29,L641=phu!$I$30,L641=phu!$I$31),"Cam Phú",""),IF(OR(L641=phu!$I$32,L641=phu!$I$33,L641=phu!$I$34,L641=phu!$I$35,L641=phu!$I$36,L641=phu!$I$37),"Cam Lộc",""),IF(OR(L641=phu!$I$38,L641=phu!$I$39,L641=phu!$I$40,L641=phu!$I$41,L641=phu!$I$42,L641=phu!$I$43,L641=phu!$I$44),"Cam Thuận",""),IF(OR(L641=phu!$I$45,L641=phu!$I$46,L641=phu!$I$47,L641=phu!$I$48,L641=phu!$I$49,L641=phu!$I$50,L641=phu!$I$51,L641=phu!$I$52,L641=phu!$I$53),"Cam Linh",""),IF(OR(L641=phu!$I$54,L641=phu!$I$55,L641=phu!$I$56,L641=phu!$I$57,L641=phu!$I$58,L641=phu!$I$59,L641=phu!$I$60,L641=phu!$I$61,L641=phu!$I$62),"Cam Lợi",""),IF(OR(L641=phu!$I$63,L641=phu!$I$64,L641=phu!$I$65,L641=phu!$I$66,L641=phu!$I$67,L641=phu!$I$68,L641=phu!$I$69,L641=phu!$I$70,L641=phu!$I$71),"Ba Ngòi",""),IF(OR(L641=phu!$I$72,L641=phu!$I$73,L641=phu!$I$74,L641=phu!$I$75,L641=phu!$I$76,L641=phu!$I$77,L641=phu!$I$78),"Cam Phước Đông",""),IF(OR(L641=phu!$I$79,L641=phu!$I$80,L641=phu!$I$81,L641=phu!$I$82,L641=phu!$I$83,L641=phu!$I$84),"Cam Thịnh Đông",""),IF(OR(L641=phu!$I$85,L641=phu!$I$86,L641=phu!$I$87,L641=phu!$I$88),"Cam Thịnh Tây",""),IF(OR(L641=phu!$I$89,L641=phu!$I$90),"Cam Lập",""),IF(OR(L641=phu!$I$91,L641=phu!$I$92,L641=phu!$I$93),"Cam Bình",""),IF(OR(L641=phu!$I$94,L641=phu!$I$95,L641=phu!$I$96,L641=phu!$I$97,L641=phu!$I$98,L641=phu!$I$99,L641=phu!$I$100),"Huyện khác",""),IF(OR(L641=phu!$I$101,L641=phu!$I$102),"Tỉnh khác",""))</f>
        <v/>
      </c>
      <c r="N641" s="835" t="str">
        <f t="shared" si="49"/>
        <v/>
      </c>
      <c r="O641" s="20"/>
      <c r="P641" s="20"/>
      <c r="Q641" s="20"/>
      <c r="R641" s="20"/>
      <c r="S641" s="20"/>
      <c r="T641" s="21"/>
      <c r="U641" s="21"/>
      <c r="V641" s="21"/>
      <c r="W641" s="7" t="str">
        <f t="shared" si="47"/>
        <v/>
      </c>
      <c r="X641" s="506" t="str">
        <f t="shared" si="48"/>
        <v/>
      </c>
    </row>
    <row r="642" spans="1:24" x14ac:dyDescent="0.25">
      <c r="A642" s="66" t="str">
        <f t="shared" si="50"/>
        <v/>
      </c>
      <c r="B642" s="23" t="str">
        <f t="shared" si="46"/>
        <v/>
      </c>
      <c r="C642" s="15"/>
      <c r="D642" s="16"/>
      <c r="E642" s="17"/>
      <c r="F642" s="18"/>
      <c r="G642" s="18"/>
      <c r="H642" s="19"/>
      <c r="I642" s="15"/>
      <c r="J642" s="20"/>
      <c r="K642" s="15"/>
      <c r="L642" s="15"/>
      <c r="M642" s="531" t="str">
        <f>CONCATENATE(IF(OR(L642=phu!$I$1,L642=phu!$I$2,L642=phu!$I$3),"Cam Thành Nam",""),IF(OR(L642=phu!$I$4,L642=phu!$I$5,L642=phu!$I$6,L642=phu!$I$7,L642=phu!$I$8,L642=phu!$I$9,L642=phu!$I$10,L642=phu!$I$11,L642=phu!$I$12,L642=phu!$I$13,L642=phu!$I$14),"Cam Nghĩa",""),IF(OR(L642=phu!$I$15,L642=phu!$I$16,L642=phu!$I$17,L642=phu!$I$18,L642=phu!$I$19,L642=phu!$I$20,L642=phu!$I$21),"Cam Phúc Bắc",""),IF(OR(L642=phu!$I$22,L642=phu!$I$23,L642=phu!$I$24,L642=phu!$I$25),"Cam Phúc Nam",""),IF(OR(L642=phu!$I$26,L642=phu!$I$27,L642=phu!$I$28,L642=phu!$I$29,L642=phu!$I$30,L642=phu!$I$31),"Cam Phú",""),IF(OR(L642=phu!$I$32,L642=phu!$I$33,L642=phu!$I$34,L642=phu!$I$35,L642=phu!$I$36,L642=phu!$I$37),"Cam Lộc",""),IF(OR(L642=phu!$I$38,L642=phu!$I$39,L642=phu!$I$40,L642=phu!$I$41,L642=phu!$I$42,L642=phu!$I$43,L642=phu!$I$44),"Cam Thuận",""),IF(OR(L642=phu!$I$45,L642=phu!$I$46,L642=phu!$I$47,L642=phu!$I$48,L642=phu!$I$49,L642=phu!$I$50,L642=phu!$I$51,L642=phu!$I$52,L642=phu!$I$53),"Cam Linh",""),IF(OR(L642=phu!$I$54,L642=phu!$I$55,L642=phu!$I$56,L642=phu!$I$57,L642=phu!$I$58,L642=phu!$I$59,L642=phu!$I$60,L642=phu!$I$61,L642=phu!$I$62),"Cam Lợi",""),IF(OR(L642=phu!$I$63,L642=phu!$I$64,L642=phu!$I$65,L642=phu!$I$66,L642=phu!$I$67,L642=phu!$I$68,L642=phu!$I$69,L642=phu!$I$70,L642=phu!$I$71),"Ba Ngòi",""),IF(OR(L642=phu!$I$72,L642=phu!$I$73,L642=phu!$I$74,L642=phu!$I$75,L642=phu!$I$76,L642=phu!$I$77,L642=phu!$I$78),"Cam Phước Đông",""),IF(OR(L642=phu!$I$79,L642=phu!$I$80,L642=phu!$I$81,L642=phu!$I$82,L642=phu!$I$83,L642=phu!$I$84),"Cam Thịnh Đông",""),IF(OR(L642=phu!$I$85,L642=phu!$I$86,L642=phu!$I$87,L642=phu!$I$88),"Cam Thịnh Tây",""),IF(OR(L642=phu!$I$89,L642=phu!$I$90),"Cam Lập",""),IF(OR(L642=phu!$I$91,L642=phu!$I$92,L642=phu!$I$93),"Cam Bình",""),IF(OR(L642=phu!$I$94,L642=phu!$I$95,L642=phu!$I$96,L642=phu!$I$97,L642=phu!$I$98,L642=phu!$I$99,L642=phu!$I$100),"Huyện khác",""),IF(OR(L642=phu!$I$101,L642=phu!$I$102),"Tỉnh khác",""))</f>
        <v/>
      </c>
      <c r="N642" s="835" t="str">
        <f t="shared" si="49"/>
        <v/>
      </c>
      <c r="O642" s="20"/>
      <c r="P642" s="20"/>
      <c r="Q642" s="20"/>
      <c r="R642" s="20"/>
      <c r="S642" s="20"/>
      <c r="T642" s="21"/>
      <c r="U642" s="21"/>
      <c r="V642" s="21"/>
      <c r="W642" s="7" t="str">
        <f t="shared" si="47"/>
        <v/>
      </c>
      <c r="X642" s="506" t="str">
        <f t="shared" si="48"/>
        <v/>
      </c>
    </row>
    <row r="643" spans="1:24" x14ac:dyDescent="0.25">
      <c r="A643" s="66" t="str">
        <f t="shared" si="50"/>
        <v/>
      </c>
      <c r="B643" s="23" t="str">
        <f t="shared" si="46"/>
        <v/>
      </c>
      <c r="C643" s="15"/>
      <c r="D643" s="16"/>
      <c r="E643" s="17"/>
      <c r="F643" s="18"/>
      <c r="G643" s="18"/>
      <c r="H643" s="19"/>
      <c r="I643" s="15"/>
      <c r="J643" s="20"/>
      <c r="K643" s="15"/>
      <c r="L643" s="15"/>
      <c r="M643" s="531" t="str">
        <f>CONCATENATE(IF(OR(L643=phu!$I$1,L643=phu!$I$2,L643=phu!$I$3),"Cam Thành Nam",""),IF(OR(L643=phu!$I$4,L643=phu!$I$5,L643=phu!$I$6,L643=phu!$I$7,L643=phu!$I$8,L643=phu!$I$9,L643=phu!$I$10,L643=phu!$I$11,L643=phu!$I$12,L643=phu!$I$13,L643=phu!$I$14),"Cam Nghĩa",""),IF(OR(L643=phu!$I$15,L643=phu!$I$16,L643=phu!$I$17,L643=phu!$I$18,L643=phu!$I$19,L643=phu!$I$20,L643=phu!$I$21),"Cam Phúc Bắc",""),IF(OR(L643=phu!$I$22,L643=phu!$I$23,L643=phu!$I$24,L643=phu!$I$25),"Cam Phúc Nam",""),IF(OR(L643=phu!$I$26,L643=phu!$I$27,L643=phu!$I$28,L643=phu!$I$29,L643=phu!$I$30,L643=phu!$I$31),"Cam Phú",""),IF(OR(L643=phu!$I$32,L643=phu!$I$33,L643=phu!$I$34,L643=phu!$I$35,L643=phu!$I$36,L643=phu!$I$37),"Cam Lộc",""),IF(OR(L643=phu!$I$38,L643=phu!$I$39,L643=phu!$I$40,L643=phu!$I$41,L643=phu!$I$42,L643=phu!$I$43,L643=phu!$I$44),"Cam Thuận",""),IF(OR(L643=phu!$I$45,L643=phu!$I$46,L643=phu!$I$47,L643=phu!$I$48,L643=phu!$I$49,L643=phu!$I$50,L643=phu!$I$51,L643=phu!$I$52,L643=phu!$I$53),"Cam Linh",""),IF(OR(L643=phu!$I$54,L643=phu!$I$55,L643=phu!$I$56,L643=phu!$I$57,L643=phu!$I$58,L643=phu!$I$59,L643=phu!$I$60,L643=phu!$I$61,L643=phu!$I$62),"Cam Lợi",""),IF(OR(L643=phu!$I$63,L643=phu!$I$64,L643=phu!$I$65,L643=phu!$I$66,L643=phu!$I$67,L643=phu!$I$68,L643=phu!$I$69,L643=phu!$I$70,L643=phu!$I$71),"Ba Ngòi",""),IF(OR(L643=phu!$I$72,L643=phu!$I$73,L643=phu!$I$74,L643=phu!$I$75,L643=phu!$I$76,L643=phu!$I$77,L643=phu!$I$78),"Cam Phước Đông",""),IF(OR(L643=phu!$I$79,L643=phu!$I$80,L643=phu!$I$81,L643=phu!$I$82,L643=phu!$I$83,L643=phu!$I$84),"Cam Thịnh Đông",""),IF(OR(L643=phu!$I$85,L643=phu!$I$86,L643=phu!$I$87,L643=phu!$I$88),"Cam Thịnh Tây",""),IF(OR(L643=phu!$I$89,L643=phu!$I$90),"Cam Lập",""),IF(OR(L643=phu!$I$91,L643=phu!$I$92,L643=phu!$I$93),"Cam Bình",""),IF(OR(L643=phu!$I$94,L643=phu!$I$95,L643=phu!$I$96,L643=phu!$I$97,L643=phu!$I$98,L643=phu!$I$99,L643=phu!$I$100),"Huyện khác",""),IF(OR(L643=phu!$I$101,L643=phu!$I$102),"Tỉnh khác",""))</f>
        <v/>
      </c>
      <c r="N643" s="835" t="str">
        <f t="shared" si="49"/>
        <v/>
      </c>
      <c r="O643" s="20"/>
      <c r="P643" s="20"/>
      <c r="Q643" s="20"/>
      <c r="R643" s="20"/>
      <c r="S643" s="20"/>
      <c r="T643" s="21"/>
      <c r="U643" s="21"/>
      <c r="V643" s="21"/>
      <c r="W643" s="7" t="str">
        <f t="shared" si="47"/>
        <v/>
      </c>
      <c r="X643" s="506" t="str">
        <f t="shared" si="48"/>
        <v/>
      </c>
    </row>
    <row r="644" spans="1:24" x14ac:dyDescent="0.25">
      <c r="A644" s="66" t="str">
        <f t="shared" si="50"/>
        <v/>
      </c>
      <c r="B644" s="23" t="str">
        <f t="shared" si="46"/>
        <v/>
      </c>
      <c r="C644" s="15"/>
      <c r="D644" s="16"/>
      <c r="E644" s="17"/>
      <c r="F644" s="18"/>
      <c r="G644" s="18"/>
      <c r="H644" s="19"/>
      <c r="I644" s="15"/>
      <c r="J644" s="20"/>
      <c r="K644" s="15"/>
      <c r="L644" s="15"/>
      <c r="M644" s="531" t="str">
        <f>CONCATENATE(IF(OR(L644=phu!$I$1,L644=phu!$I$2,L644=phu!$I$3),"Cam Thành Nam",""),IF(OR(L644=phu!$I$4,L644=phu!$I$5,L644=phu!$I$6,L644=phu!$I$7,L644=phu!$I$8,L644=phu!$I$9,L644=phu!$I$10,L644=phu!$I$11,L644=phu!$I$12,L644=phu!$I$13,L644=phu!$I$14),"Cam Nghĩa",""),IF(OR(L644=phu!$I$15,L644=phu!$I$16,L644=phu!$I$17,L644=phu!$I$18,L644=phu!$I$19,L644=phu!$I$20,L644=phu!$I$21),"Cam Phúc Bắc",""),IF(OR(L644=phu!$I$22,L644=phu!$I$23,L644=phu!$I$24,L644=phu!$I$25),"Cam Phúc Nam",""),IF(OR(L644=phu!$I$26,L644=phu!$I$27,L644=phu!$I$28,L644=phu!$I$29,L644=phu!$I$30,L644=phu!$I$31),"Cam Phú",""),IF(OR(L644=phu!$I$32,L644=phu!$I$33,L644=phu!$I$34,L644=phu!$I$35,L644=phu!$I$36,L644=phu!$I$37),"Cam Lộc",""),IF(OR(L644=phu!$I$38,L644=phu!$I$39,L644=phu!$I$40,L644=phu!$I$41,L644=phu!$I$42,L644=phu!$I$43,L644=phu!$I$44),"Cam Thuận",""),IF(OR(L644=phu!$I$45,L644=phu!$I$46,L644=phu!$I$47,L644=phu!$I$48,L644=phu!$I$49,L644=phu!$I$50,L644=phu!$I$51,L644=phu!$I$52,L644=phu!$I$53),"Cam Linh",""),IF(OR(L644=phu!$I$54,L644=phu!$I$55,L644=phu!$I$56,L644=phu!$I$57,L644=phu!$I$58,L644=phu!$I$59,L644=phu!$I$60,L644=phu!$I$61,L644=phu!$I$62),"Cam Lợi",""),IF(OR(L644=phu!$I$63,L644=phu!$I$64,L644=phu!$I$65,L644=phu!$I$66,L644=phu!$I$67,L644=phu!$I$68,L644=phu!$I$69,L644=phu!$I$70,L644=phu!$I$71),"Ba Ngòi",""),IF(OR(L644=phu!$I$72,L644=phu!$I$73,L644=phu!$I$74,L644=phu!$I$75,L644=phu!$I$76,L644=phu!$I$77,L644=phu!$I$78),"Cam Phước Đông",""),IF(OR(L644=phu!$I$79,L644=phu!$I$80,L644=phu!$I$81,L644=phu!$I$82,L644=phu!$I$83,L644=phu!$I$84),"Cam Thịnh Đông",""),IF(OR(L644=phu!$I$85,L644=phu!$I$86,L644=phu!$I$87,L644=phu!$I$88),"Cam Thịnh Tây",""),IF(OR(L644=phu!$I$89,L644=phu!$I$90),"Cam Lập",""),IF(OR(L644=phu!$I$91,L644=phu!$I$92,L644=phu!$I$93),"Cam Bình",""),IF(OR(L644=phu!$I$94,L644=phu!$I$95,L644=phu!$I$96,L644=phu!$I$97,L644=phu!$I$98,L644=phu!$I$99,L644=phu!$I$100),"Huyện khác",""),IF(OR(L644=phu!$I$101,L644=phu!$I$102),"Tỉnh khác",""))</f>
        <v/>
      </c>
      <c r="N644" s="835" t="str">
        <f t="shared" si="49"/>
        <v/>
      </c>
      <c r="O644" s="20"/>
      <c r="P644" s="20"/>
      <c r="Q644" s="20"/>
      <c r="R644" s="20"/>
      <c r="S644" s="20"/>
      <c r="T644" s="21"/>
      <c r="U644" s="21"/>
      <c r="V644" s="21"/>
      <c r="W644" s="7" t="str">
        <f t="shared" si="47"/>
        <v/>
      </c>
      <c r="X644" s="506" t="str">
        <f t="shared" si="48"/>
        <v/>
      </c>
    </row>
    <row r="645" spans="1:24" x14ac:dyDescent="0.25">
      <c r="A645" s="66" t="str">
        <f t="shared" si="50"/>
        <v/>
      </c>
      <c r="B645" s="23" t="str">
        <f t="shared" si="46"/>
        <v/>
      </c>
      <c r="C645" s="15"/>
      <c r="D645" s="16"/>
      <c r="E645" s="17"/>
      <c r="F645" s="18"/>
      <c r="G645" s="18"/>
      <c r="H645" s="19"/>
      <c r="I645" s="15"/>
      <c r="J645" s="20"/>
      <c r="K645" s="15"/>
      <c r="L645" s="15"/>
      <c r="M645" s="531" t="str">
        <f>CONCATENATE(IF(OR(L645=phu!$I$1,L645=phu!$I$2,L645=phu!$I$3),"Cam Thành Nam",""),IF(OR(L645=phu!$I$4,L645=phu!$I$5,L645=phu!$I$6,L645=phu!$I$7,L645=phu!$I$8,L645=phu!$I$9,L645=phu!$I$10,L645=phu!$I$11,L645=phu!$I$12,L645=phu!$I$13,L645=phu!$I$14),"Cam Nghĩa",""),IF(OR(L645=phu!$I$15,L645=phu!$I$16,L645=phu!$I$17,L645=phu!$I$18,L645=phu!$I$19,L645=phu!$I$20,L645=phu!$I$21),"Cam Phúc Bắc",""),IF(OR(L645=phu!$I$22,L645=phu!$I$23,L645=phu!$I$24,L645=phu!$I$25),"Cam Phúc Nam",""),IF(OR(L645=phu!$I$26,L645=phu!$I$27,L645=phu!$I$28,L645=phu!$I$29,L645=phu!$I$30,L645=phu!$I$31),"Cam Phú",""),IF(OR(L645=phu!$I$32,L645=phu!$I$33,L645=phu!$I$34,L645=phu!$I$35,L645=phu!$I$36,L645=phu!$I$37),"Cam Lộc",""),IF(OR(L645=phu!$I$38,L645=phu!$I$39,L645=phu!$I$40,L645=phu!$I$41,L645=phu!$I$42,L645=phu!$I$43,L645=phu!$I$44),"Cam Thuận",""),IF(OR(L645=phu!$I$45,L645=phu!$I$46,L645=phu!$I$47,L645=phu!$I$48,L645=phu!$I$49,L645=phu!$I$50,L645=phu!$I$51,L645=phu!$I$52,L645=phu!$I$53),"Cam Linh",""),IF(OR(L645=phu!$I$54,L645=phu!$I$55,L645=phu!$I$56,L645=phu!$I$57,L645=phu!$I$58,L645=phu!$I$59,L645=phu!$I$60,L645=phu!$I$61,L645=phu!$I$62),"Cam Lợi",""),IF(OR(L645=phu!$I$63,L645=phu!$I$64,L645=phu!$I$65,L645=phu!$I$66,L645=phu!$I$67,L645=phu!$I$68,L645=phu!$I$69,L645=phu!$I$70,L645=phu!$I$71),"Ba Ngòi",""),IF(OR(L645=phu!$I$72,L645=phu!$I$73,L645=phu!$I$74,L645=phu!$I$75,L645=phu!$I$76,L645=phu!$I$77,L645=phu!$I$78),"Cam Phước Đông",""),IF(OR(L645=phu!$I$79,L645=phu!$I$80,L645=phu!$I$81,L645=phu!$I$82,L645=phu!$I$83,L645=phu!$I$84),"Cam Thịnh Đông",""),IF(OR(L645=phu!$I$85,L645=phu!$I$86,L645=phu!$I$87,L645=phu!$I$88),"Cam Thịnh Tây",""),IF(OR(L645=phu!$I$89,L645=phu!$I$90),"Cam Lập",""),IF(OR(L645=phu!$I$91,L645=phu!$I$92,L645=phu!$I$93),"Cam Bình",""),IF(OR(L645=phu!$I$94,L645=phu!$I$95,L645=phu!$I$96,L645=phu!$I$97,L645=phu!$I$98,L645=phu!$I$99,L645=phu!$I$100),"Huyện khác",""),IF(OR(L645=phu!$I$101,L645=phu!$I$102),"Tỉnh khác",""))</f>
        <v/>
      </c>
      <c r="N645" s="835" t="str">
        <f t="shared" si="49"/>
        <v/>
      </c>
      <c r="O645" s="20"/>
      <c r="P645" s="20"/>
      <c r="Q645" s="20"/>
      <c r="R645" s="20"/>
      <c r="S645" s="20"/>
      <c r="T645" s="21"/>
      <c r="U645" s="21"/>
      <c r="V645" s="21"/>
      <c r="W645" s="7" t="str">
        <f t="shared" si="47"/>
        <v/>
      </c>
      <c r="X645" s="506" t="str">
        <f t="shared" si="48"/>
        <v/>
      </c>
    </row>
    <row r="646" spans="1:24" x14ac:dyDescent="0.25">
      <c r="A646" s="66" t="str">
        <f t="shared" si="50"/>
        <v/>
      </c>
      <c r="B646" s="23" t="str">
        <f t="shared" si="46"/>
        <v/>
      </c>
      <c r="C646" s="15"/>
      <c r="D646" s="16"/>
      <c r="E646" s="17"/>
      <c r="F646" s="18"/>
      <c r="G646" s="18"/>
      <c r="H646" s="19"/>
      <c r="I646" s="15"/>
      <c r="J646" s="20"/>
      <c r="K646" s="15"/>
      <c r="L646" s="15"/>
      <c r="M646" s="531" t="str">
        <f>CONCATENATE(IF(OR(L646=phu!$I$1,L646=phu!$I$2,L646=phu!$I$3),"Cam Thành Nam",""),IF(OR(L646=phu!$I$4,L646=phu!$I$5,L646=phu!$I$6,L646=phu!$I$7,L646=phu!$I$8,L646=phu!$I$9,L646=phu!$I$10,L646=phu!$I$11,L646=phu!$I$12,L646=phu!$I$13,L646=phu!$I$14),"Cam Nghĩa",""),IF(OR(L646=phu!$I$15,L646=phu!$I$16,L646=phu!$I$17,L646=phu!$I$18,L646=phu!$I$19,L646=phu!$I$20,L646=phu!$I$21),"Cam Phúc Bắc",""),IF(OR(L646=phu!$I$22,L646=phu!$I$23,L646=phu!$I$24,L646=phu!$I$25),"Cam Phúc Nam",""),IF(OR(L646=phu!$I$26,L646=phu!$I$27,L646=phu!$I$28,L646=phu!$I$29,L646=phu!$I$30,L646=phu!$I$31),"Cam Phú",""),IF(OR(L646=phu!$I$32,L646=phu!$I$33,L646=phu!$I$34,L646=phu!$I$35,L646=phu!$I$36,L646=phu!$I$37),"Cam Lộc",""),IF(OR(L646=phu!$I$38,L646=phu!$I$39,L646=phu!$I$40,L646=phu!$I$41,L646=phu!$I$42,L646=phu!$I$43,L646=phu!$I$44),"Cam Thuận",""),IF(OR(L646=phu!$I$45,L646=phu!$I$46,L646=phu!$I$47,L646=phu!$I$48,L646=phu!$I$49,L646=phu!$I$50,L646=phu!$I$51,L646=phu!$I$52,L646=phu!$I$53),"Cam Linh",""),IF(OR(L646=phu!$I$54,L646=phu!$I$55,L646=phu!$I$56,L646=phu!$I$57,L646=phu!$I$58,L646=phu!$I$59,L646=phu!$I$60,L646=phu!$I$61,L646=phu!$I$62),"Cam Lợi",""),IF(OR(L646=phu!$I$63,L646=phu!$I$64,L646=phu!$I$65,L646=phu!$I$66,L646=phu!$I$67,L646=phu!$I$68,L646=phu!$I$69,L646=phu!$I$70,L646=phu!$I$71),"Ba Ngòi",""),IF(OR(L646=phu!$I$72,L646=phu!$I$73,L646=phu!$I$74,L646=phu!$I$75,L646=phu!$I$76,L646=phu!$I$77,L646=phu!$I$78),"Cam Phước Đông",""),IF(OR(L646=phu!$I$79,L646=phu!$I$80,L646=phu!$I$81,L646=phu!$I$82,L646=phu!$I$83,L646=phu!$I$84),"Cam Thịnh Đông",""),IF(OR(L646=phu!$I$85,L646=phu!$I$86,L646=phu!$I$87,L646=phu!$I$88),"Cam Thịnh Tây",""),IF(OR(L646=phu!$I$89,L646=phu!$I$90),"Cam Lập",""),IF(OR(L646=phu!$I$91,L646=phu!$I$92,L646=phu!$I$93),"Cam Bình",""),IF(OR(L646=phu!$I$94,L646=phu!$I$95,L646=phu!$I$96,L646=phu!$I$97,L646=phu!$I$98,L646=phu!$I$99,L646=phu!$I$100),"Huyện khác",""),IF(OR(L646=phu!$I$101,L646=phu!$I$102),"Tỉnh khác",""))</f>
        <v/>
      </c>
      <c r="N646" s="835" t="str">
        <f t="shared" si="49"/>
        <v/>
      </c>
      <c r="O646" s="20"/>
      <c r="P646" s="20"/>
      <c r="Q646" s="20"/>
      <c r="R646" s="20"/>
      <c r="S646" s="20"/>
      <c r="T646" s="21"/>
      <c r="U646" s="21"/>
      <c r="V646" s="21"/>
      <c r="W646" s="7" t="str">
        <f t="shared" si="47"/>
        <v/>
      </c>
      <c r="X646" s="506" t="str">
        <f t="shared" si="48"/>
        <v/>
      </c>
    </row>
    <row r="647" spans="1:24" x14ac:dyDescent="0.25">
      <c r="A647" s="66" t="str">
        <f t="shared" si="50"/>
        <v/>
      </c>
      <c r="B647" s="23" t="str">
        <f t="shared" si="46"/>
        <v/>
      </c>
      <c r="C647" s="15"/>
      <c r="D647" s="16"/>
      <c r="E647" s="17"/>
      <c r="F647" s="18"/>
      <c r="G647" s="18"/>
      <c r="H647" s="19"/>
      <c r="I647" s="15"/>
      <c r="J647" s="20"/>
      <c r="K647" s="15"/>
      <c r="L647" s="15"/>
      <c r="M647" s="531" t="str">
        <f>CONCATENATE(IF(OR(L647=phu!$I$1,L647=phu!$I$2,L647=phu!$I$3),"Cam Thành Nam",""),IF(OR(L647=phu!$I$4,L647=phu!$I$5,L647=phu!$I$6,L647=phu!$I$7,L647=phu!$I$8,L647=phu!$I$9,L647=phu!$I$10,L647=phu!$I$11,L647=phu!$I$12,L647=phu!$I$13,L647=phu!$I$14),"Cam Nghĩa",""),IF(OR(L647=phu!$I$15,L647=phu!$I$16,L647=phu!$I$17,L647=phu!$I$18,L647=phu!$I$19,L647=phu!$I$20,L647=phu!$I$21),"Cam Phúc Bắc",""),IF(OR(L647=phu!$I$22,L647=phu!$I$23,L647=phu!$I$24,L647=phu!$I$25),"Cam Phúc Nam",""),IF(OR(L647=phu!$I$26,L647=phu!$I$27,L647=phu!$I$28,L647=phu!$I$29,L647=phu!$I$30,L647=phu!$I$31),"Cam Phú",""),IF(OR(L647=phu!$I$32,L647=phu!$I$33,L647=phu!$I$34,L647=phu!$I$35,L647=phu!$I$36,L647=phu!$I$37),"Cam Lộc",""),IF(OR(L647=phu!$I$38,L647=phu!$I$39,L647=phu!$I$40,L647=phu!$I$41,L647=phu!$I$42,L647=phu!$I$43,L647=phu!$I$44),"Cam Thuận",""),IF(OR(L647=phu!$I$45,L647=phu!$I$46,L647=phu!$I$47,L647=phu!$I$48,L647=phu!$I$49,L647=phu!$I$50,L647=phu!$I$51,L647=phu!$I$52,L647=phu!$I$53),"Cam Linh",""),IF(OR(L647=phu!$I$54,L647=phu!$I$55,L647=phu!$I$56,L647=phu!$I$57,L647=phu!$I$58,L647=phu!$I$59,L647=phu!$I$60,L647=phu!$I$61,L647=phu!$I$62),"Cam Lợi",""),IF(OR(L647=phu!$I$63,L647=phu!$I$64,L647=phu!$I$65,L647=phu!$I$66,L647=phu!$I$67,L647=phu!$I$68,L647=phu!$I$69,L647=phu!$I$70,L647=phu!$I$71),"Ba Ngòi",""),IF(OR(L647=phu!$I$72,L647=phu!$I$73,L647=phu!$I$74,L647=phu!$I$75,L647=phu!$I$76,L647=phu!$I$77,L647=phu!$I$78),"Cam Phước Đông",""),IF(OR(L647=phu!$I$79,L647=phu!$I$80,L647=phu!$I$81,L647=phu!$I$82,L647=phu!$I$83,L647=phu!$I$84),"Cam Thịnh Đông",""),IF(OR(L647=phu!$I$85,L647=phu!$I$86,L647=phu!$I$87,L647=phu!$I$88),"Cam Thịnh Tây",""),IF(OR(L647=phu!$I$89,L647=phu!$I$90),"Cam Lập",""),IF(OR(L647=phu!$I$91,L647=phu!$I$92,L647=phu!$I$93),"Cam Bình",""),IF(OR(L647=phu!$I$94,L647=phu!$I$95,L647=phu!$I$96,L647=phu!$I$97,L647=phu!$I$98,L647=phu!$I$99,L647=phu!$I$100),"Huyện khác",""),IF(OR(L647=phu!$I$101,L647=phu!$I$102),"Tỉnh khác",""))</f>
        <v/>
      </c>
      <c r="N647" s="835" t="str">
        <f t="shared" ref="N647:N650" si="51">CONCATENATE(IF(OR(M647="Cam Thành Nam",M647="Cam Nghĩa",M647="Cam Phúc Bắc"),"Bắc Cam Ranh",""),IF(OR(M647="Cam Phúc Nam",M647="Cam Phú",M647="Cam Lộc"),"Cam Ranh",""),IF(OR(M647="Cam Thuận",M647="Cam Linh",M647="Cam Lợi"),"Cam Linh",""),IF(OR(M647="Ba Ngòi",M647="Cam Phước Đông"),"Ba Ngòi",""),IF(OR(M647="Cam Thịnh Đông",M647="Cam Thịnh Tây",M647="Cam Lập",M647="Cam Bình"),"Nam Cam Ranh",""),IF(M647="Huyện khác","Huyện khác",""),IF(M647="Tỉnh khác","Tỉnh khác",""))</f>
        <v/>
      </c>
      <c r="O647" s="20"/>
      <c r="P647" s="20"/>
      <c r="Q647" s="20"/>
      <c r="R647" s="20"/>
      <c r="S647" s="20"/>
      <c r="T647" s="21"/>
      <c r="U647" s="21"/>
      <c r="V647" s="21"/>
      <c r="W647" s="7" t="str">
        <f t="shared" si="47"/>
        <v/>
      </c>
      <c r="X647" s="506" t="str">
        <f t="shared" si="48"/>
        <v/>
      </c>
    </row>
    <row r="648" spans="1:24" x14ac:dyDescent="0.25">
      <c r="A648" s="66" t="str">
        <f t="shared" si="50"/>
        <v/>
      </c>
      <c r="B648" s="23" t="str">
        <f t="shared" si="46"/>
        <v/>
      </c>
      <c r="C648" s="15"/>
      <c r="D648" s="16"/>
      <c r="E648" s="17"/>
      <c r="F648" s="18"/>
      <c r="G648" s="18"/>
      <c r="H648" s="19"/>
      <c r="I648" s="15"/>
      <c r="J648" s="20"/>
      <c r="K648" s="15"/>
      <c r="L648" s="15"/>
      <c r="M648" s="531" t="str">
        <f>CONCATENATE(IF(OR(L648=phu!$I$1,L648=phu!$I$2,L648=phu!$I$3),"Cam Thành Nam",""),IF(OR(L648=phu!$I$4,L648=phu!$I$5,L648=phu!$I$6,L648=phu!$I$7,L648=phu!$I$8,L648=phu!$I$9,L648=phu!$I$10,L648=phu!$I$11,L648=phu!$I$12,L648=phu!$I$13,L648=phu!$I$14),"Cam Nghĩa",""),IF(OR(L648=phu!$I$15,L648=phu!$I$16,L648=phu!$I$17,L648=phu!$I$18,L648=phu!$I$19,L648=phu!$I$20,L648=phu!$I$21),"Cam Phúc Bắc",""),IF(OR(L648=phu!$I$22,L648=phu!$I$23,L648=phu!$I$24,L648=phu!$I$25),"Cam Phúc Nam",""),IF(OR(L648=phu!$I$26,L648=phu!$I$27,L648=phu!$I$28,L648=phu!$I$29,L648=phu!$I$30,L648=phu!$I$31),"Cam Phú",""),IF(OR(L648=phu!$I$32,L648=phu!$I$33,L648=phu!$I$34,L648=phu!$I$35,L648=phu!$I$36,L648=phu!$I$37),"Cam Lộc",""),IF(OR(L648=phu!$I$38,L648=phu!$I$39,L648=phu!$I$40,L648=phu!$I$41,L648=phu!$I$42,L648=phu!$I$43,L648=phu!$I$44),"Cam Thuận",""),IF(OR(L648=phu!$I$45,L648=phu!$I$46,L648=phu!$I$47,L648=phu!$I$48,L648=phu!$I$49,L648=phu!$I$50,L648=phu!$I$51,L648=phu!$I$52,L648=phu!$I$53),"Cam Linh",""),IF(OR(L648=phu!$I$54,L648=phu!$I$55,L648=phu!$I$56,L648=phu!$I$57,L648=phu!$I$58,L648=phu!$I$59,L648=phu!$I$60,L648=phu!$I$61,L648=phu!$I$62),"Cam Lợi",""),IF(OR(L648=phu!$I$63,L648=phu!$I$64,L648=phu!$I$65,L648=phu!$I$66,L648=phu!$I$67,L648=phu!$I$68,L648=phu!$I$69,L648=phu!$I$70,L648=phu!$I$71),"Ba Ngòi",""),IF(OR(L648=phu!$I$72,L648=phu!$I$73,L648=phu!$I$74,L648=phu!$I$75,L648=phu!$I$76,L648=phu!$I$77,L648=phu!$I$78),"Cam Phước Đông",""),IF(OR(L648=phu!$I$79,L648=phu!$I$80,L648=phu!$I$81,L648=phu!$I$82,L648=phu!$I$83,L648=phu!$I$84),"Cam Thịnh Đông",""),IF(OR(L648=phu!$I$85,L648=phu!$I$86,L648=phu!$I$87,L648=phu!$I$88),"Cam Thịnh Tây",""),IF(OR(L648=phu!$I$89,L648=phu!$I$90),"Cam Lập",""),IF(OR(L648=phu!$I$91,L648=phu!$I$92,L648=phu!$I$93),"Cam Bình",""),IF(OR(L648=phu!$I$94,L648=phu!$I$95,L648=phu!$I$96,L648=phu!$I$97,L648=phu!$I$98,L648=phu!$I$99,L648=phu!$I$100),"Huyện khác",""),IF(OR(L648=phu!$I$101,L648=phu!$I$102),"Tỉnh khác",""))</f>
        <v/>
      </c>
      <c r="N648" s="835" t="str">
        <f t="shared" si="51"/>
        <v/>
      </c>
      <c r="O648" s="20"/>
      <c r="P648" s="20"/>
      <c r="Q648" s="20"/>
      <c r="R648" s="20"/>
      <c r="S648" s="20"/>
      <c r="T648" s="21"/>
      <c r="U648" s="21"/>
      <c r="V648" s="21"/>
      <c r="W648" s="7" t="str">
        <f t="shared" si="47"/>
        <v/>
      </c>
      <c r="X648" s="506" t="str">
        <f t="shared" si="48"/>
        <v/>
      </c>
    </row>
    <row r="649" spans="1:24" x14ac:dyDescent="0.25">
      <c r="A649" s="66" t="str">
        <f t="shared" si="50"/>
        <v/>
      </c>
      <c r="B649" s="23" t="str">
        <f t="shared" si="46"/>
        <v/>
      </c>
      <c r="C649" s="15"/>
      <c r="D649" s="16"/>
      <c r="E649" s="17"/>
      <c r="F649" s="18"/>
      <c r="G649" s="18"/>
      <c r="H649" s="19"/>
      <c r="I649" s="15"/>
      <c r="J649" s="20"/>
      <c r="K649" s="15"/>
      <c r="L649" s="15"/>
      <c r="M649" s="531" t="str">
        <f>CONCATENATE(IF(OR(L649=phu!$I$1,L649=phu!$I$2,L649=phu!$I$3),"Cam Thành Nam",""),IF(OR(L649=phu!$I$4,L649=phu!$I$5,L649=phu!$I$6,L649=phu!$I$7,L649=phu!$I$8,L649=phu!$I$9,L649=phu!$I$10,L649=phu!$I$11,L649=phu!$I$12,L649=phu!$I$13,L649=phu!$I$14),"Cam Nghĩa",""),IF(OR(L649=phu!$I$15,L649=phu!$I$16,L649=phu!$I$17,L649=phu!$I$18,L649=phu!$I$19,L649=phu!$I$20,L649=phu!$I$21),"Cam Phúc Bắc",""),IF(OR(L649=phu!$I$22,L649=phu!$I$23,L649=phu!$I$24,L649=phu!$I$25),"Cam Phúc Nam",""),IF(OR(L649=phu!$I$26,L649=phu!$I$27,L649=phu!$I$28,L649=phu!$I$29,L649=phu!$I$30,L649=phu!$I$31),"Cam Phú",""),IF(OR(L649=phu!$I$32,L649=phu!$I$33,L649=phu!$I$34,L649=phu!$I$35,L649=phu!$I$36,L649=phu!$I$37),"Cam Lộc",""),IF(OR(L649=phu!$I$38,L649=phu!$I$39,L649=phu!$I$40,L649=phu!$I$41,L649=phu!$I$42,L649=phu!$I$43,L649=phu!$I$44),"Cam Thuận",""),IF(OR(L649=phu!$I$45,L649=phu!$I$46,L649=phu!$I$47,L649=phu!$I$48,L649=phu!$I$49,L649=phu!$I$50,L649=phu!$I$51,L649=phu!$I$52,L649=phu!$I$53),"Cam Linh",""),IF(OR(L649=phu!$I$54,L649=phu!$I$55,L649=phu!$I$56,L649=phu!$I$57,L649=phu!$I$58,L649=phu!$I$59,L649=phu!$I$60,L649=phu!$I$61,L649=phu!$I$62),"Cam Lợi",""),IF(OR(L649=phu!$I$63,L649=phu!$I$64,L649=phu!$I$65,L649=phu!$I$66,L649=phu!$I$67,L649=phu!$I$68,L649=phu!$I$69,L649=phu!$I$70,L649=phu!$I$71),"Ba Ngòi",""),IF(OR(L649=phu!$I$72,L649=phu!$I$73,L649=phu!$I$74,L649=phu!$I$75,L649=phu!$I$76,L649=phu!$I$77,L649=phu!$I$78),"Cam Phước Đông",""),IF(OR(L649=phu!$I$79,L649=phu!$I$80,L649=phu!$I$81,L649=phu!$I$82,L649=phu!$I$83,L649=phu!$I$84),"Cam Thịnh Đông",""),IF(OR(L649=phu!$I$85,L649=phu!$I$86,L649=phu!$I$87,L649=phu!$I$88),"Cam Thịnh Tây",""),IF(OR(L649=phu!$I$89,L649=phu!$I$90),"Cam Lập",""),IF(OR(L649=phu!$I$91,L649=phu!$I$92,L649=phu!$I$93),"Cam Bình",""),IF(OR(L649=phu!$I$94,L649=phu!$I$95,L649=phu!$I$96,L649=phu!$I$97,L649=phu!$I$98,L649=phu!$I$99,L649=phu!$I$100),"Huyện khác",""),IF(OR(L649=phu!$I$101,L649=phu!$I$102),"Tỉnh khác",""))</f>
        <v/>
      </c>
      <c r="N649" s="835" t="str">
        <f t="shared" si="51"/>
        <v/>
      </c>
      <c r="O649" s="20"/>
      <c r="P649" s="20"/>
      <c r="Q649" s="20"/>
      <c r="R649" s="20"/>
      <c r="S649" s="20"/>
      <c r="T649" s="21"/>
      <c r="U649" s="21"/>
      <c r="V649" s="21"/>
      <c r="W649" s="7" t="str">
        <f t="shared" si="47"/>
        <v/>
      </c>
      <c r="X649" s="506" t="str">
        <f t="shared" si="48"/>
        <v/>
      </c>
    </row>
    <row r="650" spans="1:24" x14ac:dyDescent="0.25">
      <c r="A650" s="66" t="str">
        <f t="shared" si="50"/>
        <v/>
      </c>
      <c r="B650" s="23" t="str">
        <f t="shared" si="46"/>
        <v/>
      </c>
      <c r="C650" s="15"/>
      <c r="D650" s="16"/>
      <c r="E650" s="17"/>
      <c r="F650" s="18"/>
      <c r="G650" s="18"/>
      <c r="H650" s="19"/>
      <c r="I650" s="15"/>
      <c r="J650" s="20"/>
      <c r="K650" s="15"/>
      <c r="L650" s="15"/>
      <c r="M650" s="531" t="str">
        <f>CONCATENATE(IF(OR(L650=phu!$I$1,L650=phu!$I$2,L650=phu!$I$3),"Cam Thành Nam",""),IF(OR(L650=phu!$I$4,L650=phu!$I$5,L650=phu!$I$6,L650=phu!$I$7,L650=phu!$I$8,L650=phu!$I$9,L650=phu!$I$10,L650=phu!$I$11,L650=phu!$I$12,L650=phu!$I$13,L650=phu!$I$14),"Cam Nghĩa",""),IF(OR(L650=phu!$I$15,L650=phu!$I$16,L650=phu!$I$17,L650=phu!$I$18,L650=phu!$I$19,L650=phu!$I$20,L650=phu!$I$21),"Cam Phúc Bắc",""),IF(OR(L650=phu!$I$22,L650=phu!$I$23,L650=phu!$I$24,L650=phu!$I$25),"Cam Phúc Nam",""),IF(OR(L650=phu!$I$26,L650=phu!$I$27,L650=phu!$I$28,L650=phu!$I$29,L650=phu!$I$30,L650=phu!$I$31),"Cam Phú",""),IF(OR(L650=phu!$I$32,L650=phu!$I$33,L650=phu!$I$34,L650=phu!$I$35,L650=phu!$I$36,L650=phu!$I$37),"Cam Lộc",""),IF(OR(L650=phu!$I$38,L650=phu!$I$39,L650=phu!$I$40,L650=phu!$I$41,L650=phu!$I$42,L650=phu!$I$43,L650=phu!$I$44),"Cam Thuận",""),IF(OR(L650=phu!$I$45,L650=phu!$I$46,L650=phu!$I$47,L650=phu!$I$48,L650=phu!$I$49,L650=phu!$I$50,L650=phu!$I$51,L650=phu!$I$52,L650=phu!$I$53),"Cam Linh",""),IF(OR(L650=phu!$I$54,L650=phu!$I$55,L650=phu!$I$56,L650=phu!$I$57,L650=phu!$I$58,L650=phu!$I$59,L650=phu!$I$60,L650=phu!$I$61,L650=phu!$I$62),"Cam Lợi",""),IF(OR(L650=phu!$I$63,L650=phu!$I$64,L650=phu!$I$65,L650=phu!$I$66,L650=phu!$I$67,L650=phu!$I$68,L650=phu!$I$69,L650=phu!$I$70,L650=phu!$I$71),"Ba Ngòi",""),IF(OR(L650=phu!$I$72,L650=phu!$I$73,L650=phu!$I$74,L650=phu!$I$75,L650=phu!$I$76,L650=phu!$I$77,L650=phu!$I$78),"Cam Phước Đông",""),IF(OR(L650=phu!$I$79,L650=phu!$I$80,L650=phu!$I$81,L650=phu!$I$82,L650=phu!$I$83,L650=phu!$I$84),"Cam Thịnh Đông",""),IF(OR(L650=phu!$I$85,L650=phu!$I$86,L650=phu!$I$87,L650=phu!$I$88),"Cam Thịnh Tây",""),IF(OR(L650=phu!$I$89,L650=phu!$I$90),"Cam Lập",""),IF(OR(L650=phu!$I$91,L650=phu!$I$92,L650=phu!$I$93),"Cam Bình",""),IF(OR(L650=phu!$I$94,L650=phu!$I$95,L650=phu!$I$96,L650=phu!$I$97,L650=phu!$I$98,L650=phu!$I$99,L650=phu!$I$100),"Huyện khác",""),IF(OR(L650=phu!$I$101,L650=phu!$I$102),"Tỉnh khác",""))</f>
        <v/>
      </c>
      <c r="N650" s="835" t="str">
        <f t="shared" si="51"/>
        <v/>
      </c>
      <c r="O650" s="20"/>
      <c r="P650" s="20"/>
      <c r="Q650" s="20"/>
      <c r="R650" s="20"/>
      <c r="S650" s="20"/>
      <c r="T650" s="21"/>
      <c r="U650" s="21"/>
      <c r="V650" s="21"/>
      <c r="W650" s="7" t="str">
        <f t="shared" si="47"/>
        <v/>
      </c>
      <c r="X650" s="506" t="str">
        <f t="shared" si="48"/>
        <v/>
      </c>
    </row>
    <row r="651" spans="1:24" x14ac:dyDescent="0.25">
      <c r="B651" s="64"/>
      <c r="C651" s="64"/>
      <c r="J651" s="64"/>
      <c r="K651" s="504"/>
      <c r="L651" s="504"/>
      <c r="M651" s="550"/>
      <c r="N651" s="550"/>
      <c r="R651" s="64"/>
      <c r="S651" s="64"/>
    </row>
    <row r="652" spans="1:24" x14ac:dyDescent="0.25">
      <c r="B652" s="64"/>
      <c r="C652" s="64"/>
      <c r="J652" s="64"/>
      <c r="K652" s="504"/>
      <c r="L652" s="504"/>
      <c r="M652" s="550"/>
      <c r="N652" s="550"/>
      <c r="R652" s="64"/>
      <c r="S652" s="64"/>
    </row>
    <row r="653" spans="1:24" x14ac:dyDescent="0.25">
      <c r="B653" s="64"/>
      <c r="C653" s="64"/>
      <c r="J653" s="64"/>
      <c r="K653" s="504"/>
      <c r="L653" s="504"/>
      <c r="M653" s="550"/>
      <c r="N653" s="550"/>
      <c r="R653" s="64"/>
      <c r="S653" s="64"/>
    </row>
    <row r="654" spans="1:24" x14ac:dyDescent="0.25">
      <c r="B654" s="64"/>
      <c r="C654" s="64"/>
      <c r="J654" s="64"/>
      <c r="K654" s="504"/>
      <c r="L654" s="504"/>
      <c r="M654" s="550"/>
      <c r="N654" s="550"/>
      <c r="R654" s="64"/>
      <c r="S654" s="64"/>
    </row>
    <row r="655" spans="1:24" x14ac:dyDescent="0.25">
      <c r="B655" s="64"/>
      <c r="C655" s="64"/>
      <c r="J655" s="64"/>
      <c r="K655" s="504"/>
      <c r="L655" s="504"/>
      <c r="M655" s="550"/>
      <c r="N655" s="550"/>
      <c r="R655" s="64"/>
      <c r="S655" s="64"/>
    </row>
    <row r="656" spans="1:24" x14ac:dyDescent="0.25">
      <c r="B656" s="64"/>
      <c r="C656" s="64"/>
      <c r="J656" s="64"/>
      <c r="K656" s="504"/>
      <c r="L656" s="504"/>
      <c r="M656" s="550"/>
      <c r="N656" s="550"/>
      <c r="R656" s="64"/>
      <c r="S656" s="64"/>
    </row>
    <row r="657" spans="2:19" x14ac:dyDescent="0.25">
      <c r="B657" s="64"/>
      <c r="C657" s="64"/>
      <c r="J657" s="64"/>
      <c r="K657" s="504"/>
      <c r="L657" s="504"/>
      <c r="M657" s="550"/>
      <c r="N657" s="550"/>
      <c r="R657" s="64"/>
      <c r="S657" s="64"/>
    </row>
    <row r="658" spans="2:19" x14ac:dyDescent="0.25">
      <c r="B658" s="64"/>
      <c r="C658" s="64"/>
      <c r="J658" s="64"/>
      <c r="K658" s="504"/>
      <c r="L658" s="504"/>
      <c r="M658" s="550"/>
      <c r="N658" s="550"/>
      <c r="R658" s="64"/>
      <c r="S658" s="64"/>
    </row>
    <row r="659" spans="2:19" x14ac:dyDescent="0.25">
      <c r="B659" s="64"/>
      <c r="C659" s="64"/>
      <c r="J659" s="64"/>
      <c r="K659" s="504"/>
      <c r="L659" s="504"/>
      <c r="M659" s="550"/>
      <c r="N659" s="550"/>
      <c r="R659" s="64"/>
      <c r="S659" s="64"/>
    </row>
    <row r="660" spans="2:19" x14ac:dyDescent="0.25">
      <c r="B660" s="64"/>
      <c r="C660" s="64"/>
      <c r="J660" s="64"/>
      <c r="K660" s="504"/>
      <c r="L660" s="504"/>
      <c r="M660" s="550"/>
      <c r="N660" s="550"/>
      <c r="R660" s="64"/>
      <c r="S660" s="64"/>
    </row>
    <row r="661" spans="2:19" x14ac:dyDescent="0.25">
      <c r="B661" s="64"/>
      <c r="C661" s="64"/>
      <c r="J661" s="64"/>
      <c r="K661" s="504"/>
      <c r="L661" s="504"/>
      <c r="M661" s="550"/>
      <c r="N661" s="550"/>
      <c r="R661" s="64"/>
      <c r="S661" s="64"/>
    </row>
    <row r="662" spans="2:19" x14ac:dyDescent="0.25">
      <c r="B662" s="64"/>
      <c r="C662" s="64"/>
      <c r="J662" s="64"/>
      <c r="K662" s="504"/>
      <c r="L662" s="504"/>
      <c r="M662" s="550"/>
      <c r="N662" s="550"/>
      <c r="R662" s="64"/>
      <c r="S662" s="64"/>
    </row>
    <row r="663" spans="2:19" x14ac:dyDescent="0.25">
      <c r="B663" s="64"/>
      <c r="C663" s="64"/>
      <c r="J663" s="64"/>
      <c r="K663" s="504"/>
      <c r="L663" s="504"/>
      <c r="M663" s="550"/>
      <c r="N663" s="550"/>
      <c r="R663" s="64"/>
      <c r="S663" s="64"/>
    </row>
    <row r="664" spans="2:19" x14ac:dyDescent="0.25">
      <c r="B664" s="64"/>
      <c r="C664" s="64"/>
      <c r="J664" s="64"/>
      <c r="K664" s="504"/>
      <c r="L664" s="504"/>
      <c r="M664" s="550"/>
      <c r="N664" s="550"/>
      <c r="R664" s="64"/>
      <c r="S664" s="64"/>
    </row>
    <row r="665" spans="2:19" x14ac:dyDescent="0.25">
      <c r="B665" s="64"/>
      <c r="C665" s="64"/>
      <c r="J665" s="64"/>
      <c r="K665" s="504"/>
      <c r="L665" s="504"/>
      <c r="M665" s="550"/>
      <c r="N665" s="550"/>
      <c r="R665" s="64"/>
      <c r="S665" s="64"/>
    </row>
    <row r="666" spans="2:19" x14ac:dyDescent="0.25">
      <c r="B666" s="64"/>
      <c r="C666" s="64"/>
      <c r="J666" s="64"/>
      <c r="K666" s="504"/>
      <c r="L666" s="504"/>
      <c r="M666" s="550"/>
      <c r="N666" s="550"/>
      <c r="R666" s="64"/>
      <c r="S666" s="64"/>
    </row>
    <row r="667" spans="2:19" x14ac:dyDescent="0.25">
      <c r="B667" s="64"/>
      <c r="C667" s="64"/>
      <c r="J667" s="64"/>
      <c r="K667" s="504"/>
      <c r="L667" s="504"/>
      <c r="M667" s="550"/>
      <c r="N667" s="550"/>
      <c r="R667" s="64"/>
      <c r="S667" s="64"/>
    </row>
    <row r="668" spans="2:19" x14ac:dyDescent="0.25">
      <c r="B668" s="64"/>
      <c r="C668" s="64"/>
      <c r="J668" s="64"/>
      <c r="K668" s="504"/>
      <c r="L668" s="504"/>
      <c r="M668" s="550"/>
      <c r="N668" s="550"/>
      <c r="R668" s="64"/>
      <c r="S668" s="64"/>
    </row>
    <row r="669" spans="2:19" x14ac:dyDescent="0.25">
      <c r="B669" s="64"/>
      <c r="C669" s="64"/>
      <c r="J669" s="64"/>
      <c r="K669" s="504"/>
      <c r="L669" s="504"/>
      <c r="M669" s="550"/>
      <c r="N669" s="550"/>
      <c r="R669" s="64"/>
      <c r="S669" s="64"/>
    </row>
    <row r="670" spans="2:19" x14ac:dyDescent="0.25">
      <c r="B670" s="64"/>
      <c r="C670" s="64"/>
      <c r="J670" s="64"/>
      <c r="K670" s="504"/>
      <c r="L670" s="504"/>
      <c r="M670" s="550"/>
      <c r="N670" s="550"/>
      <c r="R670" s="64"/>
      <c r="S670" s="64"/>
    </row>
    <row r="671" spans="2:19" x14ac:dyDescent="0.25">
      <c r="B671" s="64"/>
      <c r="C671" s="64"/>
      <c r="J671" s="64"/>
      <c r="K671" s="504"/>
      <c r="L671" s="504"/>
      <c r="M671" s="550"/>
      <c r="N671" s="550"/>
      <c r="R671" s="64"/>
      <c r="S671" s="64"/>
    </row>
    <row r="672" spans="2:19" x14ac:dyDescent="0.25">
      <c r="B672" s="64"/>
      <c r="C672" s="64"/>
      <c r="J672" s="64"/>
      <c r="K672" s="504"/>
      <c r="L672" s="504"/>
      <c r="M672" s="550"/>
      <c r="N672" s="550"/>
      <c r="R672" s="64"/>
      <c r="S672" s="64"/>
    </row>
    <row r="673" spans="2:19" x14ac:dyDescent="0.25">
      <c r="B673" s="64"/>
      <c r="C673" s="64"/>
      <c r="J673" s="64"/>
      <c r="K673" s="504"/>
      <c r="L673" s="504"/>
      <c r="M673" s="550"/>
      <c r="N673" s="550"/>
      <c r="R673" s="64"/>
      <c r="S673" s="64"/>
    </row>
    <row r="674" spans="2:19" x14ac:dyDescent="0.25">
      <c r="B674" s="64"/>
      <c r="C674" s="64"/>
      <c r="J674" s="64"/>
      <c r="K674" s="504"/>
      <c r="L674" s="504"/>
      <c r="M674" s="550"/>
      <c r="N674" s="550"/>
      <c r="R674" s="64"/>
      <c r="S674" s="64"/>
    </row>
    <row r="675" spans="2:19" x14ac:dyDescent="0.25">
      <c r="B675" s="64"/>
      <c r="C675" s="64"/>
      <c r="J675" s="64"/>
      <c r="K675" s="504"/>
      <c r="L675" s="504"/>
      <c r="M675" s="550"/>
      <c r="N675" s="550"/>
      <c r="R675" s="64"/>
      <c r="S675" s="64"/>
    </row>
    <row r="676" spans="2:19" x14ac:dyDescent="0.25">
      <c r="B676" s="64"/>
      <c r="C676" s="64"/>
      <c r="J676" s="64"/>
      <c r="K676" s="504"/>
      <c r="L676" s="504"/>
      <c r="M676" s="550"/>
      <c r="N676" s="550"/>
      <c r="R676" s="64"/>
      <c r="S676" s="64"/>
    </row>
    <row r="677" spans="2:19" x14ac:dyDescent="0.25">
      <c r="B677" s="64"/>
      <c r="C677" s="64"/>
      <c r="J677" s="64"/>
      <c r="K677" s="504"/>
      <c r="L677" s="504"/>
      <c r="M677" s="550"/>
      <c r="N677" s="550"/>
      <c r="R677" s="64"/>
      <c r="S677" s="64"/>
    </row>
    <row r="678" spans="2:19" x14ac:dyDescent="0.25">
      <c r="B678" s="64"/>
      <c r="C678" s="64"/>
      <c r="J678" s="64"/>
      <c r="K678" s="504"/>
      <c r="L678" s="504"/>
      <c r="M678" s="550"/>
      <c r="N678" s="550"/>
      <c r="R678" s="64"/>
      <c r="S678" s="64"/>
    </row>
    <row r="679" spans="2:19" x14ac:dyDescent="0.25">
      <c r="B679" s="64"/>
      <c r="C679" s="64"/>
      <c r="J679" s="64"/>
      <c r="K679" s="504"/>
      <c r="L679" s="504"/>
      <c r="M679" s="550"/>
      <c r="N679" s="550"/>
      <c r="R679" s="64"/>
      <c r="S679" s="64"/>
    </row>
    <row r="680" spans="2:19" x14ac:dyDescent="0.25">
      <c r="B680" s="64"/>
      <c r="C680" s="64"/>
      <c r="J680" s="64"/>
      <c r="K680" s="504"/>
      <c r="L680" s="504"/>
      <c r="M680" s="550"/>
      <c r="N680" s="550"/>
      <c r="R680" s="64"/>
      <c r="S680" s="64"/>
    </row>
    <row r="681" spans="2:19" x14ac:dyDescent="0.25">
      <c r="B681" s="64"/>
      <c r="C681" s="64"/>
      <c r="J681" s="64"/>
      <c r="K681" s="504"/>
      <c r="L681" s="504"/>
      <c r="M681" s="550"/>
      <c r="N681" s="550"/>
      <c r="R681" s="64"/>
      <c r="S681" s="64"/>
    </row>
    <row r="682" spans="2:19" x14ac:dyDescent="0.25">
      <c r="B682" s="64"/>
      <c r="C682" s="64"/>
      <c r="J682" s="64"/>
      <c r="K682" s="504"/>
      <c r="L682" s="504"/>
      <c r="M682" s="550"/>
      <c r="N682" s="550"/>
      <c r="R682" s="64"/>
      <c r="S682" s="64"/>
    </row>
    <row r="683" spans="2:19" x14ac:dyDescent="0.25">
      <c r="B683" s="64"/>
      <c r="C683" s="64"/>
      <c r="J683" s="64"/>
      <c r="K683" s="504"/>
      <c r="L683" s="504"/>
      <c r="M683" s="550"/>
      <c r="N683" s="550"/>
      <c r="R683" s="64"/>
      <c r="S683" s="64"/>
    </row>
    <row r="684" spans="2:19" x14ac:dyDescent="0.25">
      <c r="B684" s="64"/>
      <c r="C684" s="64"/>
      <c r="J684" s="64"/>
      <c r="K684" s="504"/>
      <c r="L684" s="504"/>
      <c r="M684" s="550"/>
      <c r="N684" s="550"/>
      <c r="R684" s="64"/>
      <c r="S684" s="64"/>
    </row>
    <row r="685" spans="2:19" x14ac:dyDescent="0.25">
      <c r="B685" s="64"/>
      <c r="C685" s="64"/>
      <c r="J685" s="64"/>
      <c r="K685" s="504"/>
      <c r="L685" s="504"/>
      <c r="M685" s="550"/>
      <c r="N685" s="550"/>
      <c r="R685" s="64"/>
      <c r="S685" s="64"/>
    </row>
    <row r="686" spans="2:19" x14ac:dyDescent="0.25">
      <c r="B686" s="64"/>
      <c r="C686" s="64"/>
      <c r="J686" s="64"/>
      <c r="K686" s="504"/>
      <c r="L686" s="504"/>
      <c r="M686" s="550"/>
      <c r="N686" s="550"/>
      <c r="R686" s="64"/>
      <c r="S686" s="64"/>
    </row>
    <row r="687" spans="2:19" x14ac:dyDescent="0.25">
      <c r="B687" s="64"/>
      <c r="C687" s="64"/>
      <c r="J687" s="64"/>
      <c r="K687" s="504"/>
      <c r="L687" s="504"/>
      <c r="M687" s="550"/>
      <c r="N687" s="550"/>
      <c r="R687" s="64"/>
      <c r="S687" s="64"/>
    </row>
    <row r="688" spans="2:19" x14ac:dyDescent="0.25">
      <c r="B688" s="64"/>
      <c r="C688" s="64"/>
      <c r="J688" s="64"/>
      <c r="K688" s="504"/>
      <c r="L688" s="504"/>
      <c r="M688" s="550"/>
      <c r="N688" s="550"/>
      <c r="R688" s="64"/>
      <c r="S688" s="64"/>
    </row>
    <row r="689" spans="2:19" x14ac:dyDescent="0.25">
      <c r="B689" s="64"/>
      <c r="C689" s="64"/>
      <c r="J689" s="64"/>
      <c r="K689" s="504"/>
      <c r="L689" s="504"/>
      <c r="M689" s="550"/>
      <c r="N689" s="550"/>
      <c r="R689" s="64"/>
      <c r="S689" s="64"/>
    </row>
    <row r="690" spans="2:19" x14ac:dyDescent="0.25">
      <c r="B690" s="64"/>
      <c r="C690" s="64"/>
      <c r="J690" s="64"/>
      <c r="K690" s="504"/>
      <c r="L690" s="504"/>
      <c r="M690" s="550"/>
      <c r="N690" s="550"/>
      <c r="R690" s="64"/>
      <c r="S690" s="64"/>
    </row>
    <row r="691" spans="2:19" x14ac:dyDescent="0.25">
      <c r="B691" s="64"/>
      <c r="C691" s="64"/>
      <c r="J691" s="64"/>
      <c r="K691" s="504"/>
      <c r="L691" s="504"/>
      <c r="M691" s="550"/>
      <c r="N691" s="550"/>
      <c r="R691" s="64"/>
      <c r="S691" s="64"/>
    </row>
    <row r="692" spans="2:19" x14ac:dyDescent="0.25">
      <c r="B692" s="64"/>
      <c r="C692" s="64"/>
      <c r="J692" s="64"/>
      <c r="K692" s="504"/>
      <c r="L692" s="504"/>
      <c r="M692" s="550"/>
      <c r="N692" s="550"/>
      <c r="R692" s="64"/>
      <c r="S692" s="64"/>
    </row>
    <row r="693" spans="2:19" x14ac:dyDescent="0.25">
      <c r="B693" s="64"/>
      <c r="C693" s="64"/>
      <c r="J693" s="64"/>
      <c r="K693" s="504"/>
      <c r="L693" s="504"/>
      <c r="M693" s="550"/>
      <c r="N693" s="550"/>
      <c r="R693" s="64"/>
      <c r="S693" s="64"/>
    </row>
    <row r="694" spans="2:19" x14ac:dyDescent="0.25">
      <c r="B694" s="64"/>
      <c r="C694" s="64"/>
      <c r="J694" s="64"/>
      <c r="K694" s="504"/>
      <c r="L694" s="504"/>
      <c r="M694" s="550"/>
      <c r="N694" s="550"/>
      <c r="R694" s="64"/>
      <c r="S694" s="64"/>
    </row>
    <row r="695" spans="2:19" x14ac:dyDescent="0.25">
      <c r="B695" s="64"/>
      <c r="C695" s="64"/>
      <c r="J695" s="64"/>
      <c r="K695" s="504"/>
      <c r="L695" s="504"/>
      <c r="M695" s="550"/>
      <c r="N695" s="550"/>
      <c r="R695" s="64"/>
      <c r="S695" s="64"/>
    </row>
    <row r="696" spans="2:19" x14ac:dyDescent="0.25">
      <c r="B696" s="64"/>
      <c r="C696" s="64"/>
      <c r="J696" s="64"/>
      <c r="K696" s="504"/>
      <c r="L696" s="504"/>
      <c r="M696" s="550"/>
      <c r="N696" s="550"/>
      <c r="R696" s="64"/>
      <c r="S696" s="64"/>
    </row>
    <row r="697" spans="2:19" x14ac:dyDescent="0.25">
      <c r="B697" s="64"/>
      <c r="C697" s="64"/>
      <c r="J697" s="64"/>
      <c r="K697" s="504"/>
      <c r="L697" s="504"/>
      <c r="M697" s="550"/>
      <c r="N697" s="550"/>
      <c r="R697" s="64"/>
      <c r="S697" s="64"/>
    </row>
    <row r="698" spans="2:19" x14ac:dyDescent="0.25">
      <c r="B698" s="64"/>
      <c r="C698" s="64"/>
      <c r="J698" s="64"/>
      <c r="K698" s="504"/>
      <c r="L698" s="504"/>
      <c r="M698" s="550"/>
      <c r="N698" s="550"/>
      <c r="R698" s="64"/>
      <c r="S698" s="64"/>
    </row>
    <row r="699" spans="2:19" x14ac:dyDescent="0.25">
      <c r="B699" s="64"/>
      <c r="C699" s="64"/>
      <c r="J699" s="64"/>
      <c r="K699" s="504"/>
      <c r="L699" s="504"/>
      <c r="M699" s="550"/>
      <c r="N699" s="550"/>
      <c r="R699" s="64"/>
      <c r="S699" s="64"/>
    </row>
    <row r="700" spans="2:19" x14ac:dyDescent="0.25">
      <c r="B700" s="64"/>
      <c r="C700" s="64"/>
      <c r="J700" s="64"/>
      <c r="K700" s="504"/>
      <c r="L700" s="504"/>
      <c r="M700" s="550"/>
      <c r="N700" s="550"/>
      <c r="R700" s="64"/>
      <c r="S700" s="64"/>
    </row>
    <row r="701" spans="2:19" x14ac:dyDescent="0.25">
      <c r="B701" s="64"/>
      <c r="C701" s="64"/>
      <c r="J701" s="64"/>
      <c r="K701" s="504"/>
      <c r="L701" s="504"/>
      <c r="M701" s="550"/>
      <c r="N701" s="550"/>
      <c r="R701" s="64"/>
      <c r="S701" s="64"/>
    </row>
    <row r="702" spans="2:19" x14ac:dyDescent="0.25">
      <c r="B702" s="64"/>
      <c r="C702" s="64"/>
      <c r="J702" s="64"/>
      <c r="K702" s="504"/>
      <c r="L702" s="504"/>
      <c r="M702" s="550"/>
      <c r="N702" s="550"/>
      <c r="R702" s="64"/>
      <c r="S702" s="64"/>
    </row>
    <row r="703" spans="2:19" x14ac:dyDescent="0.25">
      <c r="B703" s="64"/>
      <c r="C703" s="64"/>
      <c r="J703" s="64"/>
      <c r="K703" s="504"/>
      <c r="L703" s="504"/>
      <c r="M703" s="550"/>
      <c r="N703" s="550"/>
      <c r="R703" s="64"/>
      <c r="S703" s="64"/>
    </row>
    <row r="704" spans="2:19" x14ac:dyDescent="0.25">
      <c r="B704" s="64"/>
      <c r="C704" s="64"/>
      <c r="J704" s="64"/>
      <c r="K704" s="504"/>
      <c r="L704" s="504"/>
      <c r="M704" s="550"/>
      <c r="N704" s="550"/>
      <c r="R704" s="64"/>
      <c r="S704" s="64"/>
    </row>
    <row r="705" spans="2:19" x14ac:dyDescent="0.25">
      <c r="B705" s="64"/>
      <c r="C705" s="64"/>
      <c r="J705" s="64"/>
      <c r="K705" s="504"/>
      <c r="L705" s="504"/>
      <c r="M705" s="550"/>
      <c r="N705" s="550"/>
      <c r="R705" s="64"/>
      <c r="S705" s="64"/>
    </row>
    <row r="706" spans="2:19" x14ac:dyDescent="0.25">
      <c r="B706" s="64"/>
      <c r="C706" s="64"/>
      <c r="J706" s="64"/>
      <c r="K706" s="504"/>
      <c r="L706" s="504"/>
      <c r="M706" s="550"/>
      <c r="N706" s="550"/>
      <c r="R706" s="64"/>
      <c r="S706" s="64"/>
    </row>
    <row r="707" spans="2:19" x14ac:dyDescent="0.25">
      <c r="B707" s="64"/>
      <c r="C707" s="64"/>
      <c r="J707" s="64"/>
      <c r="K707" s="504"/>
      <c r="L707" s="504"/>
      <c r="M707" s="550"/>
      <c r="N707" s="550"/>
      <c r="R707" s="64"/>
      <c r="S707" s="64"/>
    </row>
    <row r="708" spans="2:19" x14ac:dyDescent="0.25">
      <c r="B708" s="64"/>
      <c r="C708" s="64"/>
      <c r="J708" s="64"/>
      <c r="K708" s="504"/>
      <c r="L708" s="504"/>
      <c r="M708" s="550"/>
      <c r="N708" s="550"/>
      <c r="R708" s="64"/>
      <c r="S708" s="64"/>
    </row>
    <row r="709" spans="2:19" x14ac:dyDescent="0.25">
      <c r="B709" s="64"/>
      <c r="C709" s="64"/>
      <c r="J709" s="64"/>
      <c r="K709" s="504"/>
      <c r="L709" s="504"/>
      <c r="M709" s="550"/>
      <c r="N709" s="550"/>
      <c r="R709" s="64"/>
      <c r="S709" s="64"/>
    </row>
    <row r="710" spans="2:19" x14ac:dyDescent="0.25">
      <c r="B710" s="64"/>
      <c r="C710" s="64"/>
      <c r="J710" s="64"/>
      <c r="K710" s="504"/>
      <c r="L710" s="504"/>
      <c r="M710" s="550"/>
      <c r="N710" s="550"/>
      <c r="R710" s="64"/>
      <c r="S710" s="64"/>
    </row>
    <row r="711" spans="2:19" x14ac:dyDescent="0.25">
      <c r="B711" s="64"/>
      <c r="C711" s="64"/>
      <c r="J711" s="64"/>
      <c r="K711" s="504"/>
      <c r="L711" s="504"/>
      <c r="M711" s="550"/>
      <c r="N711" s="550"/>
      <c r="R711" s="64"/>
      <c r="S711" s="64"/>
    </row>
    <row r="712" spans="2:19" x14ac:dyDescent="0.25">
      <c r="B712" s="64"/>
      <c r="C712" s="64"/>
      <c r="J712" s="64"/>
      <c r="K712" s="504"/>
      <c r="L712" s="504"/>
      <c r="M712" s="550"/>
      <c r="N712" s="550"/>
      <c r="R712" s="64"/>
      <c r="S712" s="64"/>
    </row>
    <row r="713" spans="2:19" x14ac:dyDescent="0.25">
      <c r="B713" s="64"/>
      <c r="C713" s="64"/>
      <c r="J713" s="64"/>
      <c r="K713" s="504"/>
      <c r="L713" s="504"/>
      <c r="M713" s="550"/>
      <c r="N713" s="550"/>
      <c r="R713" s="64"/>
      <c r="S713" s="64"/>
    </row>
    <row r="714" spans="2:19" x14ac:dyDescent="0.25">
      <c r="B714" s="64"/>
      <c r="C714" s="64"/>
      <c r="J714" s="64"/>
      <c r="K714" s="504"/>
      <c r="L714" s="504"/>
      <c r="M714" s="550"/>
      <c r="N714" s="550"/>
      <c r="R714" s="64"/>
      <c r="S714" s="64"/>
    </row>
    <row r="715" spans="2:19" x14ac:dyDescent="0.25">
      <c r="B715" s="64"/>
      <c r="C715" s="64"/>
      <c r="J715" s="64"/>
      <c r="K715" s="504"/>
      <c r="L715" s="504"/>
      <c r="M715" s="550"/>
      <c r="N715" s="550"/>
      <c r="R715" s="64"/>
      <c r="S715" s="64"/>
    </row>
    <row r="716" spans="2:19" x14ac:dyDescent="0.25">
      <c r="B716" s="64"/>
      <c r="C716" s="64"/>
      <c r="J716" s="64"/>
      <c r="K716" s="504"/>
      <c r="L716" s="504"/>
      <c r="M716" s="550"/>
      <c r="N716" s="550"/>
      <c r="R716" s="64"/>
      <c r="S716" s="64"/>
    </row>
    <row r="717" spans="2:19" x14ac:dyDescent="0.25">
      <c r="B717" s="64"/>
      <c r="C717" s="64"/>
      <c r="J717" s="64"/>
      <c r="K717" s="504"/>
      <c r="L717" s="504"/>
      <c r="M717" s="550"/>
      <c r="N717" s="550"/>
      <c r="R717" s="64"/>
      <c r="S717" s="64"/>
    </row>
    <row r="718" spans="2:19" x14ac:dyDescent="0.25">
      <c r="B718" s="64"/>
      <c r="C718" s="64"/>
      <c r="J718" s="64"/>
      <c r="K718" s="504"/>
      <c r="L718" s="504"/>
      <c r="M718" s="550"/>
      <c r="N718" s="550"/>
      <c r="R718" s="64"/>
      <c r="S718" s="64"/>
    </row>
    <row r="719" spans="2:19" x14ac:dyDescent="0.25">
      <c r="B719" s="64"/>
      <c r="C719" s="64"/>
      <c r="J719" s="64"/>
      <c r="K719" s="504"/>
      <c r="L719" s="504"/>
      <c r="M719" s="550"/>
      <c r="N719" s="550"/>
      <c r="R719" s="64"/>
      <c r="S719" s="64"/>
    </row>
    <row r="720" spans="2:19" x14ac:dyDescent="0.25">
      <c r="B720" s="64"/>
      <c r="C720" s="64"/>
      <c r="J720" s="64"/>
      <c r="K720" s="504"/>
      <c r="L720" s="504"/>
      <c r="M720" s="550"/>
      <c r="N720" s="550"/>
      <c r="R720" s="64"/>
      <c r="S720" s="64"/>
    </row>
    <row r="721" spans="2:19" x14ac:dyDescent="0.25">
      <c r="B721" s="64"/>
      <c r="C721" s="64"/>
      <c r="J721" s="64"/>
      <c r="K721" s="504"/>
      <c r="L721" s="504"/>
      <c r="M721" s="550"/>
      <c r="N721" s="550"/>
      <c r="R721" s="64"/>
      <c r="S721" s="64"/>
    </row>
    <row r="722" spans="2:19" x14ac:dyDescent="0.25">
      <c r="B722" s="64"/>
      <c r="C722" s="64"/>
      <c r="J722" s="64"/>
      <c r="K722" s="504"/>
      <c r="L722" s="504"/>
      <c r="M722" s="550"/>
      <c r="N722" s="550"/>
      <c r="R722" s="64"/>
      <c r="S722" s="64"/>
    </row>
    <row r="723" spans="2:19" x14ac:dyDescent="0.25">
      <c r="B723" s="64"/>
      <c r="C723" s="64"/>
      <c r="J723" s="64"/>
      <c r="K723" s="504"/>
      <c r="L723" s="504"/>
      <c r="M723" s="550"/>
      <c r="N723" s="550"/>
      <c r="R723" s="64"/>
      <c r="S723" s="64"/>
    </row>
    <row r="724" spans="2:19" x14ac:dyDescent="0.25">
      <c r="B724" s="64"/>
      <c r="C724" s="64"/>
      <c r="J724" s="64"/>
      <c r="K724" s="504"/>
      <c r="L724" s="504"/>
      <c r="M724" s="550"/>
      <c r="N724" s="550"/>
      <c r="R724" s="64"/>
      <c r="S724" s="64"/>
    </row>
    <row r="725" spans="2:19" x14ac:dyDescent="0.25">
      <c r="B725" s="64"/>
      <c r="C725" s="64"/>
      <c r="J725" s="64"/>
      <c r="K725" s="504"/>
      <c r="L725" s="504"/>
      <c r="M725" s="550"/>
      <c r="N725" s="550"/>
      <c r="R725" s="64"/>
      <c r="S725" s="64"/>
    </row>
    <row r="726" spans="2:19" x14ac:dyDescent="0.25">
      <c r="B726" s="64"/>
      <c r="C726" s="64"/>
      <c r="J726" s="64"/>
      <c r="K726" s="504"/>
      <c r="L726" s="504"/>
      <c r="M726" s="550"/>
      <c r="N726" s="550"/>
      <c r="R726" s="64"/>
      <c r="S726" s="64"/>
    </row>
    <row r="727" spans="2:19" x14ac:dyDescent="0.25">
      <c r="B727" s="64"/>
      <c r="C727" s="64"/>
      <c r="J727" s="64"/>
      <c r="K727" s="504"/>
      <c r="L727" s="504"/>
      <c r="M727" s="550"/>
      <c r="N727" s="550"/>
      <c r="R727" s="64"/>
      <c r="S727" s="64"/>
    </row>
    <row r="728" spans="2:19" x14ac:dyDescent="0.25">
      <c r="B728" s="64"/>
      <c r="C728" s="64"/>
      <c r="J728" s="64"/>
      <c r="K728" s="504"/>
      <c r="L728" s="504"/>
      <c r="M728" s="550"/>
      <c r="N728" s="550"/>
      <c r="R728" s="64"/>
      <c r="S728" s="64"/>
    </row>
    <row r="729" spans="2:19" x14ac:dyDescent="0.25">
      <c r="B729" s="64"/>
      <c r="C729" s="64"/>
      <c r="J729" s="64"/>
      <c r="K729" s="504"/>
      <c r="L729" s="504"/>
      <c r="M729" s="550"/>
      <c r="N729" s="550"/>
      <c r="R729" s="64"/>
      <c r="S729" s="64"/>
    </row>
    <row r="730" spans="2:19" x14ac:dyDescent="0.25">
      <c r="B730" s="64"/>
      <c r="C730" s="64"/>
      <c r="J730" s="64"/>
      <c r="K730" s="504"/>
      <c r="L730" s="504"/>
      <c r="M730" s="550"/>
      <c r="N730" s="550"/>
      <c r="R730" s="64"/>
      <c r="S730" s="64"/>
    </row>
    <row r="731" spans="2:19" x14ac:dyDescent="0.25">
      <c r="B731" s="64"/>
      <c r="C731" s="64"/>
      <c r="J731" s="64"/>
      <c r="K731" s="504"/>
      <c r="L731" s="504"/>
      <c r="M731" s="550"/>
      <c r="N731" s="550"/>
      <c r="R731" s="64"/>
      <c r="S731" s="64"/>
    </row>
    <row r="732" spans="2:19" x14ac:dyDescent="0.25">
      <c r="B732" s="64"/>
      <c r="C732" s="64"/>
      <c r="J732" s="64"/>
      <c r="K732" s="504"/>
      <c r="L732" s="504"/>
      <c r="M732" s="550"/>
      <c r="N732" s="550"/>
      <c r="R732" s="64"/>
      <c r="S732" s="64"/>
    </row>
    <row r="733" spans="2:19" x14ac:dyDescent="0.25">
      <c r="B733" s="64"/>
      <c r="C733" s="64"/>
      <c r="J733" s="64"/>
      <c r="K733" s="504"/>
      <c r="L733" s="504"/>
      <c r="M733" s="550"/>
      <c r="N733" s="550"/>
      <c r="R733" s="64"/>
      <c r="S733" s="64"/>
    </row>
    <row r="734" spans="2:19" x14ac:dyDescent="0.25">
      <c r="B734" s="64"/>
      <c r="C734" s="64"/>
      <c r="J734" s="64"/>
      <c r="K734" s="504"/>
      <c r="L734" s="504"/>
      <c r="M734" s="550"/>
      <c r="N734" s="550"/>
      <c r="R734" s="64"/>
      <c r="S734" s="64"/>
    </row>
    <row r="735" spans="2:19" x14ac:dyDescent="0.25">
      <c r="B735" s="64"/>
      <c r="C735" s="64"/>
      <c r="J735" s="64"/>
      <c r="K735" s="504"/>
      <c r="L735" s="504"/>
      <c r="M735" s="550"/>
      <c r="N735" s="550"/>
      <c r="R735" s="64"/>
      <c r="S735" s="64"/>
    </row>
    <row r="736" spans="2:19" x14ac:dyDescent="0.25">
      <c r="B736" s="64"/>
      <c r="C736" s="64"/>
      <c r="J736" s="64"/>
      <c r="K736" s="504"/>
      <c r="L736" s="504"/>
      <c r="M736" s="550"/>
      <c r="N736" s="550"/>
      <c r="R736" s="64"/>
      <c r="S736" s="64"/>
    </row>
    <row r="737" spans="2:19" x14ac:dyDescent="0.25">
      <c r="B737" s="64"/>
      <c r="C737" s="64"/>
      <c r="J737" s="64"/>
      <c r="K737" s="504"/>
      <c r="L737" s="504"/>
      <c r="M737" s="550"/>
      <c r="N737" s="550"/>
      <c r="R737" s="64"/>
      <c r="S737" s="64"/>
    </row>
    <row r="738" spans="2:19" x14ac:dyDescent="0.25">
      <c r="B738" s="64"/>
      <c r="C738" s="64"/>
      <c r="J738" s="64"/>
      <c r="K738" s="504"/>
      <c r="L738" s="504"/>
      <c r="M738" s="550"/>
      <c r="N738" s="550"/>
      <c r="R738" s="64"/>
      <c r="S738" s="64"/>
    </row>
    <row r="739" spans="2:19" x14ac:dyDescent="0.25">
      <c r="B739" s="64"/>
      <c r="C739" s="64"/>
      <c r="J739" s="64"/>
      <c r="K739" s="504"/>
      <c r="L739" s="504"/>
      <c r="M739" s="550"/>
      <c r="N739" s="550"/>
      <c r="R739" s="64"/>
      <c r="S739" s="64"/>
    </row>
    <row r="740" spans="2:19" x14ac:dyDescent="0.25">
      <c r="B740" s="64"/>
      <c r="C740" s="64"/>
      <c r="J740" s="64"/>
      <c r="K740" s="504"/>
      <c r="L740" s="504"/>
      <c r="M740" s="550"/>
      <c r="N740" s="550"/>
      <c r="R740" s="64"/>
      <c r="S740" s="64"/>
    </row>
    <row r="741" spans="2:19" x14ac:dyDescent="0.25">
      <c r="B741" s="64"/>
      <c r="C741" s="64"/>
      <c r="J741" s="64"/>
      <c r="K741" s="504"/>
      <c r="L741" s="504"/>
      <c r="M741" s="550"/>
      <c r="N741" s="550"/>
      <c r="R741" s="64"/>
      <c r="S741" s="64"/>
    </row>
    <row r="742" spans="2:19" x14ac:dyDescent="0.25">
      <c r="B742" s="64"/>
      <c r="C742" s="64"/>
      <c r="J742" s="64"/>
      <c r="K742" s="504"/>
      <c r="L742" s="504"/>
      <c r="M742" s="550"/>
      <c r="N742" s="550"/>
      <c r="R742" s="64"/>
      <c r="S742" s="64"/>
    </row>
    <row r="743" spans="2:19" x14ac:dyDescent="0.25">
      <c r="B743" s="64"/>
      <c r="C743" s="64"/>
      <c r="J743" s="64"/>
      <c r="K743" s="504"/>
      <c r="L743" s="504"/>
      <c r="M743" s="550"/>
      <c r="N743" s="550"/>
      <c r="R743" s="64"/>
      <c r="S743" s="64"/>
    </row>
    <row r="744" spans="2:19" x14ac:dyDescent="0.25">
      <c r="B744" s="64"/>
      <c r="C744" s="64"/>
      <c r="J744" s="64"/>
      <c r="K744" s="504"/>
      <c r="L744" s="504"/>
      <c r="M744" s="550"/>
      <c r="N744" s="550"/>
      <c r="R744" s="64"/>
      <c r="S744" s="64"/>
    </row>
    <row r="745" spans="2:19" x14ac:dyDescent="0.25">
      <c r="B745" s="64"/>
      <c r="C745" s="64"/>
      <c r="J745" s="64"/>
      <c r="K745" s="504"/>
      <c r="L745" s="504"/>
      <c r="M745" s="550"/>
      <c r="N745" s="550"/>
      <c r="R745" s="64"/>
      <c r="S745" s="64"/>
    </row>
    <row r="746" spans="2:19" x14ac:dyDescent="0.25">
      <c r="B746" s="64"/>
      <c r="C746" s="64"/>
      <c r="J746" s="64"/>
      <c r="K746" s="504"/>
      <c r="L746" s="504"/>
      <c r="M746" s="550"/>
      <c r="N746" s="550"/>
      <c r="R746" s="64"/>
      <c r="S746" s="64"/>
    </row>
    <row r="747" spans="2:19" x14ac:dyDescent="0.25">
      <c r="B747" s="64"/>
      <c r="C747" s="64"/>
      <c r="J747" s="64"/>
      <c r="K747" s="504"/>
      <c r="L747" s="504"/>
      <c r="M747" s="550"/>
      <c r="N747" s="550"/>
      <c r="R747" s="64"/>
      <c r="S747" s="64"/>
    </row>
    <row r="748" spans="2:19" x14ac:dyDescent="0.25">
      <c r="B748" s="64"/>
      <c r="C748" s="64"/>
      <c r="J748" s="64"/>
      <c r="K748" s="504"/>
      <c r="L748" s="504"/>
      <c r="M748" s="550"/>
      <c r="N748" s="550"/>
      <c r="R748" s="64"/>
      <c r="S748" s="64"/>
    </row>
    <row r="749" spans="2:19" x14ac:dyDescent="0.25">
      <c r="B749" s="64"/>
      <c r="C749" s="64"/>
      <c r="J749" s="64"/>
      <c r="K749" s="504"/>
      <c r="L749" s="504"/>
      <c r="M749" s="550"/>
      <c r="N749" s="550"/>
      <c r="R749" s="64"/>
      <c r="S749" s="64"/>
    </row>
    <row r="750" spans="2:19" x14ac:dyDescent="0.25">
      <c r="B750" s="64"/>
      <c r="C750" s="64"/>
      <c r="J750" s="64"/>
      <c r="K750" s="504"/>
      <c r="L750" s="504"/>
      <c r="M750" s="550"/>
      <c r="N750" s="550"/>
      <c r="R750" s="64"/>
      <c r="S750" s="64"/>
    </row>
    <row r="751" spans="2:19" x14ac:dyDescent="0.25">
      <c r="B751" s="64"/>
      <c r="C751" s="64"/>
      <c r="J751" s="64"/>
      <c r="K751" s="504"/>
      <c r="L751" s="504"/>
      <c r="M751" s="550"/>
      <c r="N751" s="550"/>
      <c r="R751" s="64"/>
      <c r="S751" s="64"/>
    </row>
    <row r="752" spans="2:19" x14ac:dyDescent="0.25">
      <c r="B752" s="64"/>
      <c r="C752" s="64"/>
      <c r="J752" s="64"/>
      <c r="K752" s="504"/>
      <c r="L752" s="504"/>
      <c r="M752" s="550"/>
      <c r="N752" s="550"/>
      <c r="R752" s="64"/>
      <c r="S752" s="64"/>
    </row>
    <row r="753" spans="2:19" x14ac:dyDescent="0.25">
      <c r="B753" s="64"/>
      <c r="C753" s="64"/>
      <c r="J753" s="64"/>
      <c r="K753" s="504"/>
      <c r="L753" s="504"/>
      <c r="M753" s="550"/>
      <c r="N753" s="550"/>
      <c r="R753" s="64"/>
      <c r="S753" s="64"/>
    </row>
    <row r="754" spans="2:19" x14ac:dyDescent="0.25">
      <c r="B754" s="64"/>
      <c r="C754" s="64"/>
      <c r="J754" s="64"/>
      <c r="K754" s="504"/>
      <c r="L754" s="504"/>
      <c r="M754" s="550"/>
      <c r="N754" s="550"/>
      <c r="R754" s="64"/>
      <c r="S754" s="64"/>
    </row>
    <row r="755" spans="2:19" x14ac:dyDescent="0.25">
      <c r="B755" s="64"/>
      <c r="C755" s="64"/>
      <c r="J755" s="64"/>
      <c r="K755" s="504"/>
      <c r="L755" s="504"/>
      <c r="M755" s="550"/>
      <c r="N755" s="550"/>
      <c r="R755" s="64"/>
      <c r="S755" s="64"/>
    </row>
    <row r="756" spans="2:19" x14ac:dyDescent="0.25">
      <c r="B756" s="64"/>
      <c r="C756" s="64"/>
      <c r="J756" s="64"/>
      <c r="K756" s="504"/>
      <c r="L756" s="504"/>
      <c r="M756" s="550"/>
      <c r="N756" s="550"/>
      <c r="R756" s="64"/>
      <c r="S756" s="64"/>
    </row>
    <row r="757" spans="2:19" x14ac:dyDescent="0.25">
      <c r="B757" s="64"/>
      <c r="C757" s="64"/>
      <c r="J757" s="64"/>
      <c r="K757" s="504"/>
      <c r="L757" s="504"/>
      <c r="M757" s="550"/>
      <c r="N757" s="550"/>
      <c r="R757" s="64"/>
      <c r="S757" s="64"/>
    </row>
    <row r="758" spans="2:19" x14ac:dyDescent="0.25">
      <c r="B758" s="64"/>
      <c r="C758" s="64"/>
      <c r="J758" s="64"/>
      <c r="K758" s="504"/>
      <c r="L758" s="504"/>
      <c r="M758" s="550"/>
      <c r="N758" s="550"/>
      <c r="R758" s="64"/>
      <c r="S758" s="64"/>
    </row>
    <row r="759" spans="2:19" x14ac:dyDescent="0.25">
      <c r="B759" s="64"/>
      <c r="C759" s="64"/>
      <c r="J759" s="64"/>
      <c r="K759" s="504"/>
      <c r="L759" s="504"/>
      <c r="M759" s="550"/>
      <c r="N759" s="550"/>
      <c r="R759" s="64"/>
      <c r="S759" s="64"/>
    </row>
    <row r="760" spans="2:19" x14ac:dyDescent="0.25">
      <c r="B760" s="64"/>
      <c r="C760" s="64"/>
      <c r="J760" s="64"/>
      <c r="K760" s="504"/>
      <c r="L760" s="504"/>
      <c r="M760" s="550"/>
      <c r="N760" s="550"/>
      <c r="R760" s="64"/>
      <c r="S760" s="64"/>
    </row>
    <row r="761" spans="2:19" x14ac:dyDescent="0.25">
      <c r="B761" s="64"/>
      <c r="C761" s="64"/>
      <c r="J761" s="64"/>
      <c r="K761" s="504"/>
      <c r="L761" s="504"/>
      <c r="M761" s="550"/>
      <c r="N761" s="550"/>
      <c r="R761" s="64"/>
      <c r="S761" s="64"/>
    </row>
    <row r="762" spans="2:19" x14ac:dyDescent="0.25">
      <c r="B762" s="64"/>
      <c r="C762" s="64"/>
      <c r="J762" s="64"/>
      <c r="K762" s="504"/>
      <c r="L762" s="504"/>
      <c r="M762" s="550"/>
      <c r="N762" s="550"/>
      <c r="R762" s="64"/>
      <c r="S762" s="64"/>
    </row>
    <row r="763" spans="2:19" x14ac:dyDescent="0.25">
      <c r="B763" s="64"/>
      <c r="C763" s="64"/>
      <c r="J763" s="64"/>
      <c r="K763" s="504"/>
      <c r="L763" s="504"/>
      <c r="M763" s="550"/>
      <c r="N763" s="550"/>
      <c r="R763" s="64"/>
      <c r="S763" s="64"/>
    </row>
    <row r="764" spans="2:19" x14ac:dyDescent="0.25">
      <c r="B764" s="64"/>
      <c r="C764" s="64"/>
      <c r="J764" s="64"/>
      <c r="K764" s="504"/>
      <c r="L764" s="504"/>
      <c r="M764" s="550"/>
      <c r="N764" s="550"/>
      <c r="R764" s="64"/>
      <c r="S764" s="64"/>
    </row>
    <row r="765" spans="2:19" x14ac:dyDescent="0.25">
      <c r="B765" s="64"/>
      <c r="C765" s="64"/>
      <c r="J765" s="64"/>
      <c r="K765" s="504"/>
      <c r="L765" s="504"/>
      <c r="M765" s="550"/>
      <c r="N765" s="550"/>
      <c r="R765" s="64"/>
      <c r="S765" s="64"/>
    </row>
    <row r="766" spans="2:19" x14ac:dyDescent="0.25">
      <c r="B766" s="64"/>
      <c r="C766" s="64"/>
      <c r="J766" s="64"/>
      <c r="K766" s="504"/>
      <c r="L766" s="504"/>
      <c r="M766" s="550"/>
      <c r="N766" s="550"/>
      <c r="R766" s="64"/>
      <c r="S766" s="64"/>
    </row>
    <row r="767" spans="2:19" x14ac:dyDescent="0.25">
      <c r="B767" s="64"/>
      <c r="C767" s="64"/>
      <c r="J767" s="64"/>
      <c r="K767" s="504"/>
      <c r="L767" s="504"/>
      <c r="M767" s="550"/>
      <c r="N767" s="550"/>
      <c r="R767" s="64"/>
      <c r="S767" s="64"/>
    </row>
    <row r="768" spans="2:19" x14ac:dyDescent="0.25">
      <c r="B768" s="64"/>
      <c r="C768" s="64"/>
      <c r="J768" s="64"/>
      <c r="K768" s="504"/>
      <c r="L768" s="504"/>
      <c r="M768" s="550"/>
      <c r="N768" s="550"/>
      <c r="R768" s="64"/>
      <c r="S768" s="64"/>
    </row>
    <row r="769" spans="2:19" x14ac:dyDescent="0.25">
      <c r="B769" s="64"/>
      <c r="C769" s="64"/>
      <c r="J769" s="64"/>
      <c r="K769" s="504"/>
      <c r="L769" s="504"/>
      <c r="M769" s="550"/>
      <c r="N769" s="550"/>
      <c r="R769" s="64"/>
      <c r="S769" s="64"/>
    </row>
    <row r="770" spans="2:19" x14ac:dyDescent="0.25">
      <c r="B770" s="64"/>
      <c r="C770" s="64"/>
      <c r="J770" s="64"/>
      <c r="K770" s="504"/>
      <c r="L770" s="504"/>
      <c r="M770" s="550"/>
      <c r="N770" s="550"/>
      <c r="R770" s="64"/>
      <c r="S770" s="64"/>
    </row>
    <row r="771" spans="2:19" x14ac:dyDescent="0.25">
      <c r="B771" s="64"/>
      <c r="C771" s="64"/>
      <c r="J771" s="64"/>
      <c r="K771" s="504"/>
      <c r="L771" s="504"/>
      <c r="M771" s="550"/>
      <c r="N771" s="550"/>
      <c r="R771" s="64"/>
      <c r="S771" s="64"/>
    </row>
    <row r="772" spans="2:19" x14ac:dyDescent="0.25">
      <c r="B772" s="64"/>
      <c r="C772" s="64"/>
      <c r="J772" s="64"/>
      <c r="K772" s="504"/>
      <c r="L772" s="504"/>
      <c r="M772" s="550"/>
      <c r="N772" s="550"/>
      <c r="R772" s="64"/>
      <c r="S772" s="64"/>
    </row>
    <row r="773" spans="2:19" x14ac:dyDescent="0.25">
      <c r="B773" s="64"/>
      <c r="C773" s="64"/>
      <c r="J773" s="64"/>
      <c r="K773" s="504"/>
      <c r="L773" s="504"/>
      <c r="M773" s="550"/>
      <c r="N773" s="550"/>
      <c r="R773" s="64"/>
      <c r="S773" s="64"/>
    </row>
    <row r="774" spans="2:19" x14ac:dyDescent="0.25">
      <c r="B774" s="64"/>
      <c r="C774" s="64"/>
      <c r="J774" s="64"/>
      <c r="K774" s="504"/>
      <c r="L774" s="504"/>
      <c r="M774" s="550"/>
      <c r="N774" s="550"/>
      <c r="R774" s="64"/>
      <c r="S774" s="64"/>
    </row>
    <row r="775" spans="2:19" x14ac:dyDescent="0.25">
      <c r="B775" s="64"/>
      <c r="C775" s="64"/>
      <c r="J775" s="64"/>
      <c r="K775" s="504"/>
      <c r="L775" s="504"/>
      <c r="M775" s="550"/>
      <c r="N775" s="550"/>
      <c r="R775" s="64"/>
      <c r="S775" s="64"/>
    </row>
    <row r="776" spans="2:19" x14ac:dyDescent="0.25">
      <c r="B776" s="64"/>
      <c r="C776" s="64"/>
      <c r="J776" s="64"/>
      <c r="K776" s="504"/>
      <c r="L776" s="504"/>
      <c r="M776" s="550"/>
      <c r="N776" s="550"/>
      <c r="R776" s="64"/>
      <c r="S776" s="64"/>
    </row>
    <row r="777" spans="2:19" x14ac:dyDescent="0.25">
      <c r="B777" s="64"/>
      <c r="C777" s="64"/>
      <c r="J777" s="64"/>
      <c r="K777" s="504"/>
      <c r="L777" s="504"/>
      <c r="M777" s="550"/>
      <c r="N777" s="550"/>
      <c r="R777" s="64"/>
      <c r="S777" s="64"/>
    </row>
    <row r="778" spans="2:19" x14ac:dyDescent="0.25">
      <c r="B778" s="64"/>
      <c r="C778" s="64"/>
      <c r="J778" s="64"/>
      <c r="K778" s="504"/>
      <c r="L778" s="504"/>
      <c r="M778" s="550"/>
      <c r="N778" s="550"/>
      <c r="R778" s="64"/>
      <c r="S778" s="64"/>
    </row>
    <row r="779" spans="2:19" x14ac:dyDescent="0.25">
      <c r="B779" s="64"/>
      <c r="C779" s="64"/>
      <c r="J779" s="64"/>
      <c r="K779" s="504"/>
      <c r="L779" s="504"/>
      <c r="M779" s="550"/>
      <c r="N779" s="550"/>
      <c r="R779" s="64"/>
      <c r="S779" s="64"/>
    </row>
    <row r="780" spans="2:19" x14ac:dyDescent="0.25">
      <c r="B780" s="64"/>
      <c r="C780" s="64"/>
      <c r="J780" s="64"/>
      <c r="K780" s="504"/>
      <c r="L780" s="504"/>
      <c r="M780" s="550"/>
      <c r="N780" s="550"/>
      <c r="R780" s="64"/>
      <c r="S780" s="64"/>
    </row>
    <row r="781" spans="2:19" x14ac:dyDescent="0.25">
      <c r="B781" s="64"/>
      <c r="C781" s="64"/>
      <c r="J781" s="64"/>
      <c r="K781" s="504"/>
      <c r="L781" s="504"/>
      <c r="M781" s="550"/>
      <c r="N781" s="550"/>
      <c r="R781" s="64"/>
      <c r="S781" s="64"/>
    </row>
    <row r="782" spans="2:19" x14ac:dyDescent="0.25">
      <c r="B782" s="64"/>
      <c r="C782" s="64"/>
      <c r="J782" s="64"/>
      <c r="K782" s="504"/>
      <c r="L782" s="504"/>
      <c r="M782" s="550"/>
      <c r="N782" s="550"/>
      <c r="R782" s="64"/>
      <c r="S782" s="64"/>
    </row>
    <row r="783" spans="2:19" x14ac:dyDescent="0.25">
      <c r="B783" s="64"/>
      <c r="C783" s="64"/>
      <c r="J783" s="64"/>
      <c r="K783" s="504"/>
      <c r="L783" s="504"/>
      <c r="M783" s="550"/>
      <c r="N783" s="550"/>
      <c r="R783" s="64"/>
      <c r="S783" s="64"/>
    </row>
    <row r="784" spans="2:19" x14ac:dyDescent="0.25">
      <c r="B784" s="64"/>
      <c r="C784" s="64"/>
      <c r="J784" s="64"/>
      <c r="K784" s="504"/>
      <c r="L784" s="504"/>
      <c r="M784" s="550"/>
      <c r="N784" s="550"/>
      <c r="R784" s="64"/>
      <c r="S784" s="64"/>
    </row>
    <row r="785" spans="2:19" x14ac:dyDescent="0.25">
      <c r="B785" s="64"/>
      <c r="C785" s="64"/>
      <c r="J785" s="64"/>
      <c r="K785" s="504"/>
      <c r="L785" s="504"/>
      <c r="M785" s="550"/>
      <c r="N785" s="550"/>
      <c r="R785" s="64"/>
      <c r="S785" s="64"/>
    </row>
    <row r="786" spans="2:19" x14ac:dyDescent="0.25">
      <c r="B786" s="64"/>
      <c r="C786" s="64"/>
      <c r="J786" s="64"/>
      <c r="K786" s="504"/>
      <c r="L786" s="504"/>
      <c r="M786" s="550"/>
      <c r="N786" s="550"/>
      <c r="R786" s="64"/>
      <c r="S786" s="64"/>
    </row>
    <row r="787" spans="2:19" x14ac:dyDescent="0.25">
      <c r="B787" s="64"/>
      <c r="C787" s="64"/>
      <c r="J787" s="64"/>
      <c r="K787" s="504"/>
      <c r="L787" s="504"/>
      <c r="M787" s="550"/>
      <c r="N787" s="550"/>
      <c r="R787" s="64"/>
      <c r="S787" s="64"/>
    </row>
    <row r="788" spans="2:19" x14ac:dyDescent="0.25">
      <c r="B788" s="64"/>
      <c r="C788" s="64"/>
      <c r="J788" s="64"/>
      <c r="K788" s="504"/>
      <c r="L788" s="504"/>
      <c r="M788" s="550"/>
      <c r="N788" s="550"/>
      <c r="R788" s="64"/>
      <c r="S788" s="64"/>
    </row>
    <row r="789" spans="2:19" x14ac:dyDescent="0.25">
      <c r="B789" s="64"/>
      <c r="C789" s="64"/>
      <c r="J789" s="64"/>
      <c r="K789" s="504"/>
      <c r="L789" s="504"/>
      <c r="M789" s="550"/>
      <c r="N789" s="550"/>
      <c r="R789" s="64"/>
      <c r="S789" s="64"/>
    </row>
    <row r="790" spans="2:19" x14ac:dyDescent="0.25">
      <c r="B790" s="64"/>
      <c r="C790" s="64"/>
      <c r="J790" s="64"/>
      <c r="K790" s="504"/>
      <c r="L790" s="504"/>
      <c r="M790" s="550"/>
      <c r="N790" s="550"/>
      <c r="R790" s="64"/>
      <c r="S790" s="64"/>
    </row>
    <row r="791" spans="2:19" x14ac:dyDescent="0.25">
      <c r="B791" s="64"/>
      <c r="C791" s="64"/>
      <c r="J791" s="64"/>
      <c r="K791" s="504"/>
      <c r="L791" s="504"/>
      <c r="M791" s="550"/>
      <c r="N791" s="550"/>
      <c r="R791" s="64"/>
      <c r="S791" s="64"/>
    </row>
    <row r="792" spans="2:19" x14ac:dyDescent="0.25">
      <c r="B792" s="64"/>
      <c r="C792" s="64"/>
      <c r="J792" s="64"/>
      <c r="K792" s="504"/>
      <c r="L792" s="504"/>
      <c r="M792" s="550"/>
      <c r="N792" s="550"/>
      <c r="R792" s="64"/>
      <c r="S792" s="64"/>
    </row>
    <row r="793" spans="2:19" x14ac:dyDescent="0.25">
      <c r="B793" s="64"/>
      <c r="C793" s="64"/>
      <c r="J793" s="64"/>
      <c r="K793" s="504"/>
      <c r="L793" s="504"/>
      <c r="M793" s="550"/>
      <c r="N793" s="550"/>
      <c r="R793" s="64"/>
      <c r="S793" s="64"/>
    </row>
    <row r="794" spans="2:19" x14ac:dyDescent="0.25">
      <c r="B794" s="64"/>
      <c r="C794" s="64"/>
      <c r="J794" s="64"/>
      <c r="K794" s="504"/>
      <c r="L794" s="504"/>
      <c r="M794" s="550"/>
      <c r="N794" s="550"/>
      <c r="R794" s="64"/>
      <c r="S794" s="64"/>
    </row>
    <row r="795" spans="2:19" x14ac:dyDescent="0.25">
      <c r="B795" s="64"/>
      <c r="C795" s="64"/>
      <c r="J795" s="64"/>
      <c r="K795" s="504"/>
      <c r="L795" s="504"/>
      <c r="M795" s="550"/>
      <c r="N795" s="550"/>
      <c r="R795" s="64"/>
      <c r="S795" s="64"/>
    </row>
    <row r="796" spans="2:19" x14ac:dyDescent="0.25">
      <c r="B796" s="64"/>
      <c r="C796" s="64"/>
      <c r="J796" s="64"/>
      <c r="K796" s="504"/>
      <c r="L796" s="504"/>
      <c r="M796" s="550"/>
      <c r="N796" s="550"/>
      <c r="R796" s="64"/>
      <c r="S796" s="64"/>
    </row>
    <row r="797" spans="2:19" x14ac:dyDescent="0.25">
      <c r="B797" s="64"/>
      <c r="C797" s="64"/>
      <c r="J797" s="64"/>
      <c r="K797" s="504"/>
      <c r="L797" s="504"/>
      <c r="M797" s="550"/>
      <c r="N797" s="550"/>
      <c r="R797" s="64"/>
      <c r="S797" s="64"/>
    </row>
    <row r="798" spans="2:19" x14ac:dyDescent="0.25">
      <c r="B798" s="64"/>
      <c r="C798" s="64"/>
      <c r="J798" s="64"/>
      <c r="K798" s="504"/>
      <c r="L798" s="504"/>
      <c r="M798" s="550"/>
      <c r="N798" s="550"/>
      <c r="R798" s="64"/>
      <c r="S798" s="64"/>
    </row>
    <row r="799" spans="2:19" x14ac:dyDescent="0.25">
      <c r="B799" s="64"/>
      <c r="C799" s="64"/>
      <c r="J799" s="64"/>
      <c r="K799" s="504"/>
      <c r="L799" s="504"/>
      <c r="M799" s="550"/>
      <c r="N799" s="550"/>
      <c r="R799" s="64"/>
      <c r="S799" s="64"/>
    </row>
    <row r="800" spans="2:19" x14ac:dyDescent="0.25">
      <c r="B800" s="64"/>
      <c r="C800" s="64"/>
      <c r="J800" s="64"/>
      <c r="K800" s="504"/>
      <c r="L800" s="504"/>
      <c r="M800" s="550"/>
      <c r="N800" s="550"/>
      <c r="R800" s="64"/>
      <c r="S800" s="64"/>
    </row>
    <row r="801" spans="2:19" x14ac:dyDescent="0.25">
      <c r="B801" s="64"/>
      <c r="C801" s="64"/>
      <c r="J801" s="64"/>
      <c r="K801" s="504"/>
      <c r="L801" s="504"/>
      <c r="M801" s="550"/>
      <c r="N801" s="550"/>
      <c r="R801" s="64"/>
      <c r="S801" s="64"/>
    </row>
    <row r="802" spans="2:19" x14ac:dyDescent="0.25">
      <c r="B802" s="64"/>
      <c r="C802" s="64"/>
      <c r="J802" s="64"/>
      <c r="K802" s="504"/>
      <c r="L802" s="504"/>
      <c r="M802" s="550"/>
      <c r="N802" s="550"/>
      <c r="R802" s="64"/>
      <c r="S802" s="64"/>
    </row>
    <row r="803" spans="2:19" x14ac:dyDescent="0.25">
      <c r="B803" s="64"/>
      <c r="C803" s="64"/>
      <c r="J803" s="64"/>
      <c r="K803" s="504"/>
      <c r="L803" s="504"/>
      <c r="M803" s="550"/>
      <c r="N803" s="550"/>
      <c r="R803" s="64"/>
      <c r="S803" s="64"/>
    </row>
    <row r="804" spans="2:19" x14ac:dyDescent="0.25">
      <c r="B804" s="64"/>
      <c r="C804" s="64"/>
      <c r="J804" s="64"/>
      <c r="K804" s="504"/>
      <c r="L804" s="504"/>
      <c r="M804" s="550"/>
      <c r="N804" s="550"/>
      <c r="R804" s="64"/>
      <c r="S804" s="64"/>
    </row>
    <row r="805" spans="2:19" x14ac:dyDescent="0.25">
      <c r="B805" s="64"/>
      <c r="C805" s="64"/>
      <c r="J805" s="64"/>
      <c r="K805" s="504"/>
      <c r="L805" s="504"/>
      <c r="M805" s="550"/>
      <c r="N805" s="550"/>
      <c r="R805" s="64"/>
      <c r="S805" s="64"/>
    </row>
    <row r="806" spans="2:19" x14ac:dyDescent="0.25">
      <c r="B806" s="64"/>
      <c r="C806" s="64"/>
      <c r="J806" s="64"/>
      <c r="K806" s="504"/>
      <c r="L806" s="504"/>
      <c r="M806" s="550"/>
      <c r="N806" s="550"/>
      <c r="R806" s="64"/>
      <c r="S806" s="64"/>
    </row>
    <row r="807" spans="2:19" x14ac:dyDescent="0.25">
      <c r="B807" s="64"/>
      <c r="C807" s="64"/>
      <c r="J807" s="64"/>
      <c r="K807" s="504"/>
      <c r="L807" s="504"/>
      <c r="M807" s="550"/>
      <c r="N807" s="550"/>
      <c r="R807" s="64"/>
      <c r="S807" s="64"/>
    </row>
    <row r="808" spans="2:19" x14ac:dyDescent="0.25">
      <c r="B808" s="64"/>
      <c r="C808" s="64"/>
      <c r="J808" s="64"/>
      <c r="K808" s="504"/>
      <c r="L808" s="504"/>
      <c r="M808" s="550"/>
      <c r="N808" s="550"/>
      <c r="R808" s="64"/>
      <c r="S808" s="64"/>
    </row>
    <row r="809" spans="2:19" x14ac:dyDescent="0.25">
      <c r="B809" s="64"/>
      <c r="C809" s="64"/>
      <c r="J809" s="64"/>
      <c r="K809" s="504"/>
      <c r="L809" s="504"/>
      <c r="M809" s="550"/>
      <c r="N809" s="550"/>
      <c r="R809" s="64"/>
      <c r="S809" s="64"/>
    </row>
    <row r="810" spans="2:19" x14ac:dyDescent="0.25">
      <c r="B810" s="64"/>
      <c r="C810" s="64"/>
      <c r="J810" s="64"/>
      <c r="K810" s="504"/>
      <c r="L810" s="504"/>
      <c r="M810" s="550"/>
      <c r="N810" s="550"/>
      <c r="R810" s="64"/>
      <c r="S810" s="64"/>
    </row>
    <row r="811" spans="2:19" x14ac:dyDescent="0.25">
      <c r="B811" s="64"/>
      <c r="C811" s="64"/>
      <c r="J811" s="64"/>
      <c r="K811" s="504"/>
      <c r="L811" s="504"/>
      <c r="M811" s="550"/>
      <c r="N811" s="550"/>
      <c r="R811" s="64"/>
      <c r="S811" s="64"/>
    </row>
    <row r="812" spans="2:19" x14ac:dyDescent="0.25">
      <c r="B812" s="64"/>
      <c r="C812" s="64"/>
      <c r="J812" s="64"/>
      <c r="K812" s="504"/>
      <c r="L812" s="504"/>
      <c r="M812" s="550"/>
      <c r="N812" s="550"/>
      <c r="R812" s="64"/>
      <c r="S812" s="64"/>
    </row>
    <row r="813" spans="2:19" x14ac:dyDescent="0.25">
      <c r="B813" s="64"/>
      <c r="C813" s="64"/>
      <c r="J813" s="64"/>
      <c r="K813" s="504"/>
      <c r="L813" s="504"/>
      <c r="M813" s="550"/>
      <c r="N813" s="550"/>
      <c r="R813" s="64"/>
      <c r="S813" s="64"/>
    </row>
    <row r="814" spans="2:19" x14ac:dyDescent="0.25">
      <c r="B814" s="64"/>
      <c r="C814" s="64"/>
      <c r="J814" s="64"/>
      <c r="K814" s="504"/>
      <c r="L814" s="504"/>
      <c r="M814" s="550"/>
      <c r="N814" s="550"/>
      <c r="R814" s="64"/>
      <c r="S814" s="64"/>
    </row>
    <row r="815" spans="2:19" x14ac:dyDescent="0.25">
      <c r="B815" s="64"/>
      <c r="C815" s="64"/>
      <c r="J815" s="64"/>
      <c r="K815" s="504"/>
      <c r="L815" s="504"/>
      <c r="M815" s="550"/>
      <c r="N815" s="550"/>
      <c r="R815" s="64"/>
      <c r="S815" s="64"/>
    </row>
    <row r="816" spans="2:19" x14ac:dyDescent="0.25">
      <c r="B816" s="64"/>
      <c r="C816" s="64"/>
      <c r="J816" s="64"/>
      <c r="K816" s="504"/>
      <c r="L816" s="504"/>
      <c r="M816" s="550"/>
      <c r="N816" s="550"/>
      <c r="R816" s="64"/>
      <c r="S816" s="64"/>
    </row>
    <row r="817" spans="2:19" x14ac:dyDescent="0.25">
      <c r="B817" s="64"/>
      <c r="C817" s="64"/>
      <c r="J817" s="64"/>
      <c r="K817" s="504"/>
      <c r="L817" s="504"/>
      <c r="M817" s="550"/>
      <c r="N817" s="550"/>
      <c r="R817" s="64"/>
      <c r="S817" s="64"/>
    </row>
    <row r="818" spans="2:19" x14ac:dyDescent="0.25">
      <c r="B818" s="64"/>
      <c r="C818" s="64"/>
      <c r="J818" s="64"/>
      <c r="K818" s="504"/>
      <c r="L818" s="504"/>
      <c r="M818" s="550"/>
      <c r="N818" s="550"/>
      <c r="R818" s="64"/>
      <c r="S818" s="64"/>
    </row>
    <row r="819" spans="2:19" x14ac:dyDescent="0.25">
      <c r="B819" s="64"/>
      <c r="C819" s="64"/>
      <c r="J819" s="64"/>
      <c r="K819" s="504"/>
      <c r="L819" s="504"/>
      <c r="M819" s="550"/>
      <c r="N819" s="550"/>
      <c r="R819" s="64"/>
      <c r="S819" s="64"/>
    </row>
    <row r="820" spans="2:19" x14ac:dyDescent="0.25">
      <c r="B820" s="64"/>
      <c r="C820" s="64"/>
      <c r="J820" s="64"/>
      <c r="K820" s="504"/>
      <c r="L820" s="504"/>
      <c r="M820" s="550"/>
      <c r="N820" s="550"/>
      <c r="R820" s="64"/>
      <c r="S820" s="64"/>
    </row>
    <row r="821" spans="2:19" x14ac:dyDescent="0.25">
      <c r="B821" s="64"/>
      <c r="C821" s="64"/>
      <c r="J821" s="64"/>
      <c r="K821" s="504"/>
      <c r="L821" s="504"/>
      <c r="M821" s="550"/>
      <c r="N821" s="550"/>
      <c r="R821" s="64"/>
      <c r="S821" s="64"/>
    </row>
    <row r="822" spans="2:19" x14ac:dyDescent="0.25">
      <c r="B822" s="64"/>
      <c r="C822" s="64"/>
      <c r="J822" s="64"/>
      <c r="K822" s="504"/>
      <c r="L822" s="504"/>
      <c r="M822" s="550"/>
      <c r="N822" s="550"/>
      <c r="R822" s="64"/>
      <c r="S822" s="64"/>
    </row>
    <row r="823" spans="2:19" x14ac:dyDescent="0.25">
      <c r="B823" s="64"/>
      <c r="C823" s="64"/>
      <c r="J823" s="64"/>
      <c r="K823" s="504"/>
      <c r="L823" s="504"/>
      <c r="M823" s="550"/>
      <c r="N823" s="550"/>
      <c r="R823" s="64"/>
      <c r="S823" s="64"/>
    </row>
    <row r="824" spans="2:19" x14ac:dyDescent="0.25">
      <c r="B824" s="64"/>
      <c r="C824" s="64"/>
      <c r="J824" s="64"/>
      <c r="K824" s="504"/>
      <c r="L824" s="504"/>
      <c r="M824" s="550"/>
      <c r="N824" s="550"/>
      <c r="R824" s="64"/>
      <c r="S824" s="64"/>
    </row>
    <row r="825" spans="2:19" x14ac:dyDescent="0.25">
      <c r="B825" s="64"/>
      <c r="C825" s="64"/>
      <c r="J825" s="64"/>
      <c r="K825" s="504"/>
      <c r="L825" s="504"/>
      <c r="M825" s="550"/>
      <c r="N825" s="550"/>
      <c r="R825" s="64"/>
      <c r="S825" s="64"/>
    </row>
    <row r="826" spans="2:19" x14ac:dyDescent="0.25">
      <c r="B826" s="64"/>
      <c r="C826" s="64"/>
      <c r="J826" s="64"/>
      <c r="K826" s="504"/>
      <c r="L826" s="504"/>
      <c r="M826" s="550"/>
      <c r="N826" s="550"/>
      <c r="R826" s="64"/>
      <c r="S826" s="64"/>
    </row>
    <row r="827" spans="2:19" x14ac:dyDescent="0.25">
      <c r="B827" s="64"/>
      <c r="C827" s="64"/>
      <c r="J827" s="64"/>
      <c r="K827" s="504"/>
      <c r="L827" s="504"/>
      <c r="M827" s="550"/>
      <c r="N827" s="550"/>
      <c r="R827" s="64"/>
      <c r="S827" s="64"/>
    </row>
    <row r="828" spans="2:19" x14ac:dyDescent="0.25">
      <c r="B828" s="64"/>
      <c r="C828" s="64"/>
      <c r="J828" s="64"/>
      <c r="K828" s="504"/>
      <c r="L828" s="504"/>
      <c r="M828" s="550"/>
      <c r="N828" s="550"/>
      <c r="R828" s="64"/>
      <c r="S828" s="64"/>
    </row>
    <row r="829" spans="2:19" x14ac:dyDescent="0.25">
      <c r="B829" s="64"/>
      <c r="C829" s="64"/>
      <c r="J829" s="64"/>
      <c r="K829" s="504"/>
      <c r="L829" s="504"/>
      <c r="M829" s="550"/>
      <c r="N829" s="550"/>
      <c r="R829" s="64"/>
      <c r="S829" s="64"/>
    </row>
    <row r="830" spans="2:19" x14ac:dyDescent="0.25">
      <c r="B830" s="64"/>
      <c r="C830" s="64"/>
      <c r="J830" s="64"/>
      <c r="K830" s="504"/>
      <c r="L830" s="504"/>
      <c r="M830" s="550"/>
      <c r="N830" s="550"/>
      <c r="R830" s="64"/>
      <c r="S830" s="64"/>
    </row>
    <row r="831" spans="2:19" x14ac:dyDescent="0.25">
      <c r="B831" s="64"/>
      <c r="C831" s="64"/>
      <c r="J831" s="64"/>
      <c r="K831" s="504"/>
      <c r="L831" s="504"/>
      <c r="M831" s="550"/>
      <c r="N831" s="550"/>
      <c r="R831" s="64"/>
      <c r="S831" s="64"/>
    </row>
    <row r="832" spans="2:19" x14ac:dyDescent="0.25">
      <c r="B832" s="64"/>
      <c r="C832" s="64"/>
      <c r="J832" s="64"/>
      <c r="K832" s="504"/>
      <c r="L832" s="504"/>
      <c r="M832" s="550"/>
      <c r="N832" s="550"/>
      <c r="R832" s="64"/>
      <c r="S832" s="64"/>
    </row>
    <row r="833" spans="2:19" x14ac:dyDescent="0.25">
      <c r="B833" s="64"/>
      <c r="C833" s="64"/>
      <c r="J833" s="64"/>
      <c r="K833" s="504"/>
      <c r="L833" s="504"/>
      <c r="M833" s="550"/>
      <c r="N833" s="550"/>
      <c r="R833" s="64"/>
      <c r="S833" s="64"/>
    </row>
    <row r="834" spans="2:19" x14ac:dyDescent="0.25">
      <c r="B834" s="64"/>
      <c r="C834" s="64"/>
      <c r="J834" s="64"/>
      <c r="K834" s="504"/>
      <c r="L834" s="504"/>
      <c r="M834" s="550"/>
      <c r="N834" s="550"/>
      <c r="R834" s="64"/>
      <c r="S834" s="64"/>
    </row>
    <row r="835" spans="2:19" x14ac:dyDescent="0.25">
      <c r="B835" s="64"/>
      <c r="C835" s="64"/>
      <c r="J835" s="64"/>
      <c r="K835" s="504"/>
      <c r="L835" s="504"/>
      <c r="M835" s="550"/>
      <c r="N835" s="550"/>
      <c r="R835" s="64"/>
      <c r="S835" s="64"/>
    </row>
    <row r="836" spans="2:19" x14ac:dyDescent="0.25">
      <c r="B836" s="64"/>
      <c r="C836" s="64"/>
      <c r="J836" s="64"/>
      <c r="K836" s="504"/>
      <c r="L836" s="504"/>
      <c r="M836" s="550"/>
      <c r="N836" s="550"/>
      <c r="R836" s="64"/>
      <c r="S836" s="64"/>
    </row>
    <row r="837" spans="2:19" x14ac:dyDescent="0.25">
      <c r="B837" s="64"/>
      <c r="C837" s="64"/>
      <c r="J837" s="64"/>
      <c r="K837" s="504"/>
      <c r="L837" s="504"/>
      <c r="M837" s="550"/>
      <c r="N837" s="550"/>
      <c r="R837" s="64"/>
      <c r="S837" s="64"/>
    </row>
    <row r="838" spans="2:19" x14ac:dyDescent="0.25">
      <c r="B838" s="64"/>
      <c r="C838" s="64"/>
      <c r="J838" s="64"/>
      <c r="K838" s="504"/>
      <c r="L838" s="504"/>
      <c r="M838" s="550"/>
      <c r="N838" s="550"/>
      <c r="R838" s="64"/>
      <c r="S838" s="64"/>
    </row>
    <row r="839" spans="2:19" x14ac:dyDescent="0.25">
      <c r="B839" s="64"/>
      <c r="C839" s="64"/>
      <c r="J839" s="64"/>
      <c r="K839" s="504"/>
      <c r="L839" s="504"/>
      <c r="M839" s="550"/>
      <c r="N839" s="550"/>
      <c r="R839" s="64"/>
      <c r="S839" s="64"/>
    </row>
    <row r="840" spans="2:19" x14ac:dyDescent="0.25">
      <c r="B840" s="64"/>
      <c r="C840" s="64"/>
      <c r="J840" s="64"/>
      <c r="K840" s="504"/>
      <c r="L840" s="504"/>
      <c r="M840" s="550"/>
      <c r="N840" s="550"/>
      <c r="R840" s="64"/>
      <c r="S840" s="64"/>
    </row>
    <row r="841" spans="2:19" x14ac:dyDescent="0.25">
      <c r="B841" s="64"/>
      <c r="C841" s="64"/>
      <c r="J841" s="64"/>
      <c r="K841" s="504"/>
      <c r="L841" s="504"/>
      <c r="M841" s="550"/>
      <c r="N841" s="550"/>
      <c r="R841" s="64"/>
      <c r="S841" s="64"/>
    </row>
    <row r="842" spans="2:19" x14ac:dyDescent="0.25">
      <c r="B842" s="64"/>
      <c r="C842" s="64"/>
      <c r="J842" s="64"/>
      <c r="K842" s="504"/>
      <c r="L842" s="504"/>
      <c r="M842" s="550"/>
      <c r="N842" s="550"/>
      <c r="R842" s="64"/>
      <c r="S842" s="64"/>
    </row>
    <row r="843" spans="2:19" x14ac:dyDescent="0.25">
      <c r="B843" s="64"/>
      <c r="C843" s="64"/>
      <c r="J843" s="64"/>
      <c r="K843" s="504"/>
      <c r="L843" s="504"/>
      <c r="M843" s="550"/>
      <c r="N843" s="550"/>
      <c r="R843" s="64"/>
      <c r="S843" s="64"/>
    </row>
    <row r="844" spans="2:19" x14ac:dyDescent="0.25">
      <c r="B844" s="64"/>
      <c r="C844" s="64"/>
      <c r="J844" s="64"/>
      <c r="K844" s="504"/>
      <c r="L844" s="504"/>
      <c r="M844" s="550"/>
      <c r="N844" s="550"/>
      <c r="R844" s="64"/>
      <c r="S844" s="64"/>
    </row>
    <row r="845" spans="2:19" x14ac:dyDescent="0.25">
      <c r="B845" s="64"/>
      <c r="C845" s="64"/>
      <c r="J845" s="64"/>
      <c r="K845" s="504"/>
      <c r="L845" s="504"/>
      <c r="M845" s="550"/>
      <c r="N845" s="550"/>
      <c r="R845" s="64"/>
      <c r="S845" s="64"/>
    </row>
    <row r="846" spans="2:19" x14ac:dyDescent="0.25">
      <c r="B846" s="64"/>
      <c r="C846" s="64"/>
      <c r="J846" s="64"/>
      <c r="K846" s="504"/>
      <c r="L846" s="504"/>
      <c r="M846" s="550"/>
      <c r="N846" s="550"/>
      <c r="R846" s="64"/>
      <c r="S846" s="64"/>
    </row>
    <row r="847" spans="2:19" x14ac:dyDescent="0.25">
      <c r="B847" s="64"/>
      <c r="C847" s="64"/>
      <c r="J847" s="64"/>
      <c r="K847" s="504"/>
      <c r="L847" s="504"/>
      <c r="M847" s="550"/>
      <c r="N847" s="550"/>
      <c r="R847" s="64"/>
      <c r="S847" s="64"/>
    </row>
    <row r="848" spans="2:19" x14ac:dyDescent="0.25">
      <c r="B848" s="64"/>
      <c r="C848" s="64"/>
      <c r="J848" s="64"/>
      <c r="K848" s="504"/>
      <c r="L848" s="504"/>
      <c r="M848" s="550"/>
      <c r="N848" s="550"/>
      <c r="R848" s="64"/>
      <c r="S848" s="64"/>
    </row>
    <row r="849" spans="2:19" x14ac:dyDescent="0.25">
      <c r="B849" s="64"/>
      <c r="C849" s="64"/>
      <c r="J849" s="64"/>
      <c r="K849" s="504"/>
      <c r="L849" s="504"/>
      <c r="M849" s="550"/>
      <c r="N849" s="550"/>
      <c r="R849" s="64"/>
      <c r="S849" s="64"/>
    </row>
    <row r="850" spans="2:19" x14ac:dyDescent="0.25">
      <c r="B850" s="64"/>
      <c r="C850" s="64"/>
      <c r="J850" s="64"/>
      <c r="K850" s="504"/>
      <c r="L850" s="504"/>
      <c r="M850" s="550"/>
      <c r="N850" s="550"/>
      <c r="R850" s="64"/>
      <c r="S850" s="64"/>
    </row>
    <row r="851" spans="2:19" x14ac:dyDescent="0.25">
      <c r="B851" s="64"/>
      <c r="C851" s="64"/>
      <c r="J851" s="64"/>
      <c r="K851" s="504"/>
      <c r="L851" s="504"/>
      <c r="M851" s="550"/>
      <c r="N851" s="550"/>
      <c r="R851" s="64"/>
      <c r="S851" s="64"/>
    </row>
    <row r="852" spans="2:19" x14ac:dyDescent="0.25">
      <c r="B852" s="64"/>
      <c r="C852" s="64"/>
      <c r="J852" s="64"/>
      <c r="K852" s="504"/>
      <c r="L852" s="504"/>
      <c r="M852" s="550"/>
      <c r="N852" s="550"/>
      <c r="R852" s="64"/>
      <c r="S852" s="64"/>
    </row>
    <row r="853" spans="2:19" x14ac:dyDescent="0.25">
      <c r="B853" s="64"/>
      <c r="C853" s="64"/>
      <c r="J853" s="64"/>
      <c r="K853" s="504"/>
      <c r="L853" s="504"/>
      <c r="M853" s="550"/>
      <c r="N853" s="550"/>
      <c r="R853" s="64"/>
      <c r="S853" s="64"/>
    </row>
    <row r="854" spans="2:19" x14ac:dyDescent="0.25">
      <c r="B854" s="64"/>
      <c r="C854" s="64"/>
      <c r="J854" s="64"/>
      <c r="K854" s="504"/>
      <c r="L854" s="504"/>
      <c r="M854" s="550"/>
      <c r="N854" s="550"/>
      <c r="R854" s="64"/>
      <c r="S854" s="64"/>
    </row>
    <row r="855" spans="2:19" x14ac:dyDescent="0.25">
      <c r="B855" s="64"/>
      <c r="C855" s="64"/>
      <c r="J855" s="64"/>
      <c r="K855" s="504"/>
      <c r="L855" s="504"/>
      <c r="M855" s="550"/>
      <c r="N855" s="550"/>
      <c r="R855" s="64"/>
      <c r="S855" s="64"/>
    </row>
    <row r="856" spans="2:19" x14ac:dyDescent="0.25">
      <c r="B856" s="64"/>
      <c r="C856" s="64"/>
      <c r="J856" s="64"/>
      <c r="K856" s="504"/>
      <c r="L856" s="504"/>
      <c r="M856" s="550"/>
      <c r="N856" s="550"/>
      <c r="R856" s="64"/>
      <c r="S856" s="64"/>
    </row>
    <row r="857" spans="2:19" x14ac:dyDescent="0.25">
      <c r="B857" s="64"/>
      <c r="C857" s="64"/>
      <c r="J857" s="64"/>
      <c r="K857" s="504"/>
      <c r="L857" s="504"/>
      <c r="M857" s="550"/>
      <c r="N857" s="550"/>
      <c r="R857" s="64"/>
      <c r="S857" s="64"/>
    </row>
    <row r="858" spans="2:19" x14ac:dyDescent="0.25">
      <c r="B858" s="64"/>
      <c r="C858" s="64"/>
      <c r="J858" s="64"/>
      <c r="K858" s="504"/>
      <c r="L858" s="504"/>
      <c r="M858" s="550"/>
      <c r="N858" s="550"/>
      <c r="R858" s="64"/>
      <c r="S858" s="64"/>
    </row>
    <row r="859" spans="2:19" x14ac:dyDescent="0.25">
      <c r="B859" s="64"/>
      <c r="C859" s="64"/>
      <c r="J859" s="64"/>
      <c r="K859" s="504"/>
      <c r="L859" s="504"/>
      <c r="M859" s="550"/>
      <c r="N859" s="550"/>
      <c r="R859" s="64"/>
      <c r="S859" s="64"/>
    </row>
    <row r="860" spans="2:19" x14ac:dyDescent="0.25">
      <c r="B860" s="64"/>
      <c r="C860" s="64"/>
      <c r="J860" s="64"/>
      <c r="K860" s="504"/>
      <c r="L860" s="504"/>
      <c r="M860" s="550"/>
      <c r="N860" s="550"/>
      <c r="R860" s="64"/>
      <c r="S860" s="64"/>
    </row>
    <row r="861" spans="2:19" x14ac:dyDescent="0.25">
      <c r="B861" s="64"/>
      <c r="C861" s="64"/>
      <c r="J861" s="64"/>
      <c r="K861" s="504"/>
      <c r="L861" s="504"/>
      <c r="M861" s="550"/>
      <c r="N861" s="550"/>
      <c r="R861" s="64"/>
      <c r="S861" s="64"/>
    </row>
    <row r="862" spans="2:19" x14ac:dyDescent="0.25">
      <c r="B862" s="64"/>
      <c r="C862" s="64"/>
      <c r="J862" s="64"/>
      <c r="K862" s="504"/>
      <c r="L862" s="504"/>
      <c r="M862" s="550"/>
      <c r="N862" s="550"/>
      <c r="R862" s="64"/>
      <c r="S862" s="64"/>
    </row>
    <row r="863" spans="2:19" x14ac:dyDescent="0.25">
      <c r="B863" s="64"/>
      <c r="C863" s="64"/>
      <c r="J863" s="64"/>
      <c r="K863" s="504"/>
      <c r="L863" s="504"/>
      <c r="M863" s="550"/>
      <c r="N863" s="550"/>
      <c r="R863" s="64"/>
      <c r="S863" s="64"/>
    </row>
    <row r="864" spans="2:19" x14ac:dyDescent="0.25">
      <c r="B864" s="64"/>
      <c r="C864" s="64"/>
      <c r="J864" s="64"/>
      <c r="K864" s="504"/>
      <c r="L864" s="504"/>
      <c r="M864" s="550"/>
      <c r="N864" s="550"/>
      <c r="R864" s="64"/>
      <c r="S864" s="64"/>
    </row>
    <row r="865" spans="2:19" x14ac:dyDescent="0.25">
      <c r="B865" s="64"/>
      <c r="C865" s="64"/>
      <c r="J865" s="64"/>
      <c r="K865" s="504"/>
      <c r="L865" s="504"/>
      <c r="M865" s="550"/>
      <c r="N865" s="550"/>
      <c r="R865" s="64"/>
      <c r="S865" s="64"/>
    </row>
    <row r="866" spans="2:19" x14ac:dyDescent="0.25">
      <c r="B866" s="64"/>
      <c r="C866" s="64"/>
      <c r="J866" s="64"/>
      <c r="K866" s="504"/>
      <c r="L866" s="504"/>
      <c r="M866" s="550"/>
      <c r="N866" s="550"/>
      <c r="R866" s="64"/>
      <c r="S866" s="64"/>
    </row>
    <row r="867" spans="2:19" x14ac:dyDescent="0.25">
      <c r="B867" s="64"/>
      <c r="C867" s="64"/>
      <c r="J867" s="64"/>
      <c r="K867" s="504"/>
      <c r="L867" s="504"/>
      <c r="M867" s="550"/>
      <c r="N867" s="550"/>
      <c r="R867" s="64"/>
      <c r="S867" s="64"/>
    </row>
    <row r="868" spans="2:19" x14ac:dyDescent="0.25">
      <c r="B868" s="64"/>
      <c r="C868" s="64"/>
      <c r="J868" s="64"/>
      <c r="K868" s="504"/>
      <c r="L868" s="504"/>
      <c r="M868" s="550"/>
      <c r="N868" s="550"/>
      <c r="R868" s="64"/>
      <c r="S868" s="64"/>
    </row>
    <row r="869" spans="2:19" x14ac:dyDescent="0.25">
      <c r="B869" s="64"/>
      <c r="C869" s="64"/>
      <c r="J869" s="64"/>
      <c r="K869" s="504"/>
      <c r="L869" s="504"/>
      <c r="M869" s="550"/>
      <c r="N869" s="550"/>
      <c r="R869" s="64"/>
      <c r="S869" s="64"/>
    </row>
    <row r="870" spans="2:19" x14ac:dyDescent="0.25">
      <c r="B870" s="64"/>
      <c r="C870" s="64"/>
      <c r="J870" s="64"/>
      <c r="K870" s="504"/>
      <c r="L870" s="504"/>
      <c r="M870" s="550"/>
      <c r="N870" s="550"/>
      <c r="R870" s="64"/>
      <c r="S870" s="64"/>
    </row>
    <row r="871" spans="2:19" x14ac:dyDescent="0.25">
      <c r="B871" s="64"/>
      <c r="C871" s="64"/>
      <c r="J871" s="64"/>
      <c r="K871" s="504"/>
      <c r="L871" s="504"/>
      <c r="M871" s="550"/>
      <c r="N871" s="550"/>
      <c r="R871" s="64"/>
      <c r="S871" s="64"/>
    </row>
    <row r="872" spans="2:19" x14ac:dyDescent="0.25">
      <c r="B872" s="64"/>
      <c r="C872" s="64"/>
      <c r="J872" s="64"/>
      <c r="K872" s="504"/>
      <c r="L872" s="504"/>
      <c r="M872" s="550"/>
      <c r="N872" s="550"/>
      <c r="R872" s="64"/>
      <c r="S872" s="64"/>
    </row>
    <row r="873" spans="2:19" x14ac:dyDescent="0.25">
      <c r="B873" s="64"/>
      <c r="C873" s="64"/>
      <c r="J873" s="64"/>
      <c r="K873" s="504"/>
      <c r="L873" s="504"/>
      <c r="M873" s="550"/>
      <c r="N873" s="550"/>
      <c r="R873" s="64"/>
      <c r="S873" s="64"/>
    </row>
    <row r="874" spans="2:19" x14ac:dyDescent="0.25">
      <c r="B874" s="64"/>
      <c r="C874" s="64"/>
      <c r="J874" s="64"/>
      <c r="K874" s="504"/>
      <c r="L874" s="504"/>
      <c r="M874" s="550"/>
      <c r="N874" s="550"/>
      <c r="R874" s="64"/>
      <c r="S874" s="64"/>
    </row>
    <row r="875" spans="2:19" x14ac:dyDescent="0.25">
      <c r="B875" s="64"/>
      <c r="C875" s="64"/>
      <c r="J875" s="64"/>
      <c r="K875" s="504"/>
      <c r="L875" s="504"/>
      <c r="M875" s="550"/>
      <c r="N875" s="550"/>
      <c r="R875" s="64"/>
      <c r="S875" s="64"/>
    </row>
    <row r="876" spans="2:19" x14ac:dyDescent="0.25">
      <c r="B876" s="64"/>
      <c r="C876" s="64"/>
      <c r="J876" s="64"/>
      <c r="K876" s="504"/>
      <c r="L876" s="504"/>
      <c r="M876" s="550"/>
      <c r="N876" s="550"/>
      <c r="R876" s="64"/>
      <c r="S876" s="64"/>
    </row>
    <row r="877" spans="2:19" x14ac:dyDescent="0.25">
      <c r="B877" s="64"/>
      <c r="C877" s="64"/>
      <c r="J877" s="64"/>
      <c r="K877" s="504"/>
      <c r="L877" s="504"/>
      <c r="M877" s="550"/>
      <c r="N877" s="550"/>
      <c r="R877" s="64"/>
      <c r="S877" s="64"/>
    </row>
    <row r="878" spans="2:19" x14ac:dyDescent="0.25">
      <c r="B878" s="64"/>
      <c r="C878" s="64"/>
      <c r="J878" s="64"/>
      <c r="K878" s="504"/>
      <c r="L878" s="504"/>
      <c r="M878" s="550"/>
      <c r="N878" s="550"/>
      <c r="R878" s="64"/>
      <c r="S878" s="64"/>
    </row>
    <row r="879" spans="2:19" x14ac:dyDescent="0.25">
      <c r="B879" s="64"/>
      <c r="C879" s="64"/>
      <c r="J879" s="64"/>
      <c r="K879" s="504"/>
      <c r="L879" s="504"/>
      <c r="M879" s="550"/>
      <c r="N879" s="550"/>
      <c r="R879" s="64"/>
      <c r="S879" s="64"/>
    </row>
    <row r="880" spans="2:19" x14ac:dyDescent="0.25">
      <c r="B880" s="64"/>
      <c r="C880" s="64"/>
      <c r="J880" s="64"/>
      <c r="K880" s="504"/>
      <c r="L880" s="504"/>
      <c r="M880" s="550"/>
      <c r="N880" s="550"/>
      <c r="R880" s="64"/>
      <c r="S880" s="64"/>
    </row>
    <row r="881" spans="2:19" x14ac:dyDescent="0.25">
      <c r="B881" s="64"/>
      <c r="C881" s="64"/>
      <c r="J881" s="64"/>
      <c r="K881" s="504"/>
      <c r="L881" s="504"/>
      <c r="M881" s="550"/>
      <c r="N881" s="550"/>
      <c r="R881" s="64"/>
      <c r="S881" s="64"/>
    </row>
    <row r="882" spans="2:19" x14ac:dyDescent="0.25">
      <c r="B882" s="64"/>
      <c r="C882" s="64"/>
      <c r="J882" s="64"/>
      <c r="K882" s="504"/>
      <c r="L882" s="504"/>
      <c r="M882" s="550"/>
      <c r="N882" s="550"/>
      <c r="R882" s="64"/>
      <c r="S882" s="64"/>
    </row>
    <row r="883" spans="2:19" x14ac:dyDescent="0.25">
      <c r="B883" s="64"/>
      <c r="C883" s="64"/>
      <c r="J883" s="64"/>
      <c r="K883" s="504"/>
      <c r="L883" s="504"/>
      <c r="M883" s="550"/>
      <c r="N883" s="550"/>
      <c r="R883" s="64"/>
      <c r="S883" s="64"/>
    </row>
    <row r="884" spans="2:19" x14ac:dyDescent="0.25">
      <c r="B884" s="64"/>
      <c r="C884" s="64"/>
      <c r="J884" s="64"/>
      <c r="K884" s="504"/>
      <c r="L884" s="504"/>
      <c r="M884" s="550"/>
      <c r="N884" s="550"/>
      <c r="R884" s="64"/>
      <c r="S884" s="64"/>
    </row>
    <row r="885" spans="2:19" x14ac:dyDescent="0.25">
      <c r="B885" s="64"/>
      <c r="C885" s="64"/>
      <c r="J885" s="64"/>
      <c r="K885" s="504"/>
      <c r="L885" s="504"/>
      <c r="M885" s="550"/>
      <c r="N885" s="550"/>
      <c r="R885" s="64"/>
      <c r="S885" s="64"/>
    </row>
    <row r="886" spans="2:19" x14ac:dyDescent="0.25">
      <c r="B886" s="64"/>
      <c r="C886" s="64"/>
      <c r="J886" s="64"/>
      <c r="K886" s="504"/>
      <c r="L886" s="504"/>
      <c r="M886" s="550"/>
      <c r="N886" s="550"/>
      <c r="R886" s="64"/>
      <c r="S886" s="64"/>
    </row>
    <row r="887" spans="2:19" x14ac:dyDescent="0.25">
      <c r="B887" s="64"/>
      <c r="C887" s="64"/>
      <c r="J887" s="64"/>
      <c r="K887" s="504"/>
      <c r="L887" s="504"/>
      <c r="M887" s="550"/>
      <c r="N887" s="550"/>
      <c r="R887" s="64"/>
      <c r="S887" s="64"/>
    </row>
    <row r="888" spans="2:19" x14ac:dyDescent="0.25">
      <c r="B888" s="64"/>
      <c r="C888" s="64"/>
      <c r="J888" s="64"/>
      <c r="K888" s="504"/>
      <c r="L888" s="504"/>
      <c r="M888" s="550"/>
      <c r="N888" s="550"/>
      <c r="R888" s="64"/>
      <c r="S888" s="64"/>
    </row>
    <row r="889" spans="2:19" x14ac:dyDescent="0.25">
      <c r="B889" s="64"/>
      <c r="C889" s="64"/>
      <c r="J889" s="64"/>
      <c r="K889" s="504"/>
      <c r="L889" s="504"/>
      <c r="M889" s="550"/>
      <c r="N889" s="550"/>
      <c r="R889" s="64"/>
      <c r="S889" s="64"/>
    </row>
    <row r="890" spans="2:19" x14ac:dyDescent="0.25">
      <c r="B890" s="64"/>
      <c r="C890" s="64"/>
      <c r="J890" s="64"/>
      <c r="K890" s="504"/>
      <c r="L890" s="504"/>
      <c r="M890" s="550"/>
      <c r="N890" s="550"/>
      <c r="R890" s="64"/>
      <c r="S890" s="64"/>
    </row>
    <row r="891" spans="2:19" x14ac:dyDescent="0.25">
      <c r="B891" s="64"/>
      <c r="C891" s="64"/>
      <c r="J891" s="64"/>
      <c r="K891" s="504"/>
      <c r="L891" s="504"/>
      <c r="M891" s="550"/>
      <c r="N891" s="550"/>
      <c r="R891" s="64"/>
      <c r="S891" s="64"/>
    </row>
    <row r="892" spans="2:19" x14ac:dyDescent="0.25">
      <c r="B892" s="64"/>
      <c r="C892" s="64"/>
      <c r="J892" s="64"/>
      <c r="K892" s="504"/>
      <c r="L892" s="504"/>
      <c r="M892" s="550"/>
      <c r="N892" s="550"/>
      <c r="R892" s="64"/>
      <c r="S892" s="64"/>
    </row>
    <row r="893" spans="2:19" x14ac:dyDescent="0.25">
      <c r="B893" s="64"/>
      <c r="C893" s="64"/>
      <c r="J893" s="64"/>
      <c r="K893" s="504"/>
      <c r="L893" s="504"/>
      <c r="M893" s="550"/>
      <c r="N893" s="550"/>
      <c r="R893" s="64"/>
      <c r="S893" s="64"/>
    </row>
    <row r="894" spans="2:19" x14ac:dyDescent="0.25">
      <c r="B894" s="64"/>
      <c r="C894" s="64"/>
      <c r="J894" s="64"/>
      <c r="K894" s="504"/>
      <c r="L894" s="504"/>
      <c r="M894" s="550"/>
      <c r="N894" s="550"/>
      <c r="R894" s="64"/>
      <c r="S894" s="64"/>
    </row>
    <row r="895" spans="2:19" x14ac:dyDescent="0.25">
      <c r="B895" s="64"/>
      <c r="C895" s="64"/>
      <c r="J895" s="64"/>
      <c r="K895" s="504"/>
      <c r="L895" s="504"/>
      <c r="M895" s="550"/>
      <c r="N895" s="550"/>
      <c r="R895" s="64"/>
      <c r="S895" s="64"/>
    </row>
    <row r="896" spans="2:19" x14ac:dyDescent="0.25">
      <c r="B896" s="64"/>
      <c r="C896" s="64"/>
      <c r="J896" s="64"/>
      <c r="K896" s="504"/>
      <c r="L896" s="504"/>
      <c r="M896" s="550"/>
      <c r="N896" s="550"/>
      <c r="R896" s="64"/>
      <c r="S896" s="64"/>
    </row>
    <row r="897" spans="2:19" x14ac:dyDescent="0.25">
      <c r="B897" s="64"/>
      <c r="C897" s="64"/>
      <c r="J897" s="64"/>
      <c r="K897" s="504"/>
      <c r="L897" s="504"/>
      <c r="M897" s="550"/>
      <c r="N897" s="550"/>
      <c r="R897" s="64"/>
      <c r="S897" s="64"/>
    </row>
    <row r="898" spans="2:19" x14ac:dyDescent="0.25">
      <c r="B898" s="64"/>
      <c r="C898" s="64"/>
      <c r="J898" s="64"/>
      <c r="K898" s="504"/>
      <c r="L898" s="504"/>
      <c r="M898" s="550"/>
      <c r="N898" s="550"/>
      <c r="R898" s="64"/>
      <c r="S898" s="64"/>
    </row>
    <row r="899" spans="2:19" x14ac:dyDescent="0.25">
      <c r="B899" s="64"/>
      <c r="C899" s="64"/>
      <c r="J899" s="64"/>
      <c r="K899" s="504"/>
      <c r="L899" s="504"/>
      <c r="M899" s="550"/>
      <c r="N899" s="550"/>
      <c r="R899" s="64"/>
      <c r="S899" s="64"/>
    </row>
    <row r="900" spans="2:19" x14ac:dyDescent="0.25">
      <c r="B900" s="64"/>
      <c r="C900" s="64"/>
      <c r="J900" s="64"/>
      <c r="K900" s="504"/>
      <c r="L900" s="504"/>
      <c r="M900" s="550"/>
      <c r="N900" s="550"/>
      <c r="R900" s="64"/>
      <c r="S900" s="64"/>
    </row>
    <row r="901" spans="2:19" x14ac:dyDescent="0.25">
      <c r="B901" s="64"/>
      <c r="C901" s="64"/>
      <c r="J901" s="64"/>
      <c r="K901" s="504"/>
      <c r="L901" s="504"/>
      <c r="M901" s="550"/>
      <c r="N901" s="550"/>
      <c r="R901" s="64"/>
      <c r="S901" s="64"/>
    </row>
    <row r="902" spans="2:19" x14ac:dyDescent="0.25">
      <c r="B902" s="64"/>
      <c r="C902" s="64"/>
      <c r="J902" s="64"/>
      <c r="K902" s="504"/>
      <c r="L902" s="504"/>
      <c r="M902" s="550"/>
      <c r="N902" s="550"/>
      <c r="R902" s="64"/>
      <c r="S902" s="64"/>
    </row>
    <row r="903" spans="2:19" x14ac:dyDescent="0.25">
      <c r="B903" s="64"/>
      <c r="C903" s="64"/>
      <c r="J903" s="64"/>
      <c r="K903" s="504"/>
      <c r="L903" s="504"/>
      <c r="M903" s="550"/>
      <c r="N903" s="550"/>
      <c r="R903" s="64"/>
      <c r="S903" s="64"/>
    </row>
    <row r="904" spans="2:19" x14ac:dyDescent="0.25">
      <c r="B904" s="64"/>
      <c r="C904" s="64"/>
      <c r="J904" s="64"/>
      <c r="K904" s="504"/>
      <c r="L904" s="504"/>
      <c r="M904" s="550"/>
      <c r="N904" s="550"/>
      <c r="R904" s="64"/>
      <c r="S904" s="64"/>
    </row>
    <row r="905" spans="2:19" x14ac:dyDescent="0.25">
      <c r="B905" s="64"/>
      <c r="C905" s="64"/>
      <c r="J905" s="64"/>
      <c r="K905" s="504"/>
      <c r="L905" s="504"/>
      <c r="M905" s="550"/>
      <c r="N905" s="550"/>
      <c r="R905" s="64"/>
      <c r="S905" s="64"/>
    </row>
    <row r="906" spans="2:19" x14ac:dyDescent="0.25">
      <c r="B906" s="64"/>
      <c r="C906" s="64"/>
      <c r="J906" s="64"/>
      <c r="K906" s="504"/>
      <c r="L906" s="504"/>
      <c r="M906" s="550"/>
      <c r="N906" s="550"/>
      <c r="R906" s="64"/>
      <c r="S906" s="64"/>
    </row>
    <row r="907" spans="2:19" x14ac:dyDescent="0.25">
      <c r="B907" s="64"/>
      <c r="C907" s="64"/>
      <c r="J907" s="64"/>
      <c r="K907" s="504"/>
      <c r="L907" s="504"/>
      <c r="M907" s="550"/>
      <c r="N907" s="550"/>
      <c r="R907" s="64"/>
      <c r="S907" s="64"/>
    </row>
    <row r="908" spans="2:19" x14ac:dyDescent="0.25">
      <c r="B908" s="64"/>
      <c r="C908" s="64"/>
      <c r="J908" s="64"/>
      <c r="K908" s="504"/>
      <c r="L908" s="504"/>
      <c r="M908" s="550"/>
      <c r="N908" s="550"/>
      <c r="R908" s="64"/>
      <c r="S908" s="64"/>
    </row>
    <row r="909" spans="2:19" x14ac:dyDescent="0.25">
      <c r="B909" s="64"/>
      <c r="C909" s="64"/>
      <c r="J909" s="64"/>
      <c r="K909" s="504"/>
      <c r="L909" s="504"/>
      <c r="M909" s="550"/>
      <c r="N909" s="550"/>
      <c r="R909" s="64"/>
      <c r="S909" s="64"/>
    </row>
    <row r="910" spans="2:19" x14ac:dyDescent="0.25">
      <c r="B910" s="64"/>
      <c r="C910" s="64"/>
      <c r="J910" s="64"/>
      <c r="K910" s="504"/>
      <c r="L910" s="504"/>
      <c r="M910" s="550"/>
      <c r="N910" s="550"/>
      <c r="R910" s="64"/>
      <c r="S910" s="64"/>
    </row>
    <row r="911" spans="2:19" x14ac:dyDescent="0.25">
      <c r="B911" s="64"/>
      <c r="C911" s="64"/>
      <c r="J911" s="64"/>
      <c r="K911" s="504"/>
      <c r="L911" s="504"/>
      <c r="M911" s="550"/>
      <c r="N911" s="550"/>
      <c r="R911" s="64"/>
      <c r="S911" s="64"/>
    </row>
    <row r="912" spans="2:19" x14ac:dyDescent="0.25">
      <c r="B912" s="64"/>
      <c r="C912" s="64"/>
      <c r="J912" s="64"/>
      <c r="K912" s="504"/>
      <c r="L912" s="504"/>
      <c r="M912" s="550"/>
      <c r="N912" s="550"/>
      <c r="R912" s="64"/>
      <c r="S912" s="64"/>
    </row>
    <row r="913" spans="2:19" x14ac:dyDescent="0.25">
      <c r="B913" s="64"/>
      <c r="C913" s="64"/>
      <c r="J913" s="64"/>
      <c r="K913" s="504"/>
      <c r="L913" s="504"/>
      <c r="M913" s="550"/>
      <c r="N913" s="550"/>
      <c r="R913" s="64"/>
      <c r="S913" s="64"/>
    </row>
    <row r="914" spans="2:19" x14ac:dyDescent="0.25">
      <c r="B914" s="64"/>
      <c r="C914" s="64"/>
      <c r="J914" s="64"/>
      <c r="K914" s="504"/>
      <c r="L914" s="504"/>
      <c r="M914" s="550"/>
      <c r="N914" s="550"/>
      <c r="R914" s="64"/>
      <c r="S914" s="64"/>
    </row>
    <row r="915" spans="2:19" x14ac:dyDescent="0.25">
      <c r="B915" s="64"/>
      <c r="C915" s="64"/>
      <c r="J915" s="64"/>
      <c r="K915" s="504"/>
      <c r="L915" s="504"/>
      <c r="M915" s="550"/>
      <c r="N915" s="550"/>
      <c r="R915" s="64"/>
      <c r="S915" s="64"/>
    </row>
    <row r="916" spans="2:19" x14ac:dyDescent="0.25">
      <c r="B916" s="64"/>
      <c r="C916" s="64"/>
      <c r="J916" s="64"/>
      <c r="K916" s="504"/>
      <c r="L916" s="504"/>
      <c r="M916" s="550"/>
      <c r="N916" s="550"/>
      <c r="R916" s="64"/>
      <c r="S916" s="64"/>
    </row>
    <row r="917" spans="2:19" x14ac:dyDescent="0.25">
      <c r="B917" s="64"/>
      <c r="C917" s="64"/>
      <c r="J917" s="64"/>
      <c r="K917" s="504"/>
      <c r="L917" s="504"/>
      <c r="M917" s="550"/>
      <c r="N917" s="550"/>
      <c r="R917" s="64"/>
      <c r="S917" s="64"/>
    </row>
    <row r="918" spans="2:19" x14ac:dyDescent="0.25">
      <c r="B918" s="64"/>
      <c r="C918" s="64"/>
      <c r="J918" s="64"/>
      <c r="K918" s="504"/>
      <c r="L918" s="504"/>
      <c r="M918" s="550"/>
      <c r="N918" s="550"/>
      <c r="R918" s="64"/>
      <c r="S918" s="64"/>
    </row>
    <row r="919" spans="2:19" x14ac:dyDescent="0.25">
      <c r="B919" s="64"/>
      <c r="C919" s="64"/>
      <c r="J919" s="64"/>
      <c r="K919" s="504"/>
      <c r="L919" s="504"/>
      <c r="M919" s="550"/>
      <c r="N919" s="550"/>
      <c r="R919" s="64"/>
      <c r="S919" s="64"/>
    </row>
    <row r="920" spans="2:19" x14ac:dyDescent="0.25">
      <c r="B920" s="64"/>
      <c r="C920" s="64"/>
      <c r="J920" s="64"/>
      <c r="K920" s="504"/>
      <c r="L920" s="504"/>
      <c r="M920" s="550"/>
      <c r="N920" s="550"/>
      <c r="R920" s="64"/>
      <c r="S920" s="64"/>
    </row>
    <row r="921" spans="2:19" x14ac:dyDescent="0.25">
      <c r="B921" s="64"/>
      <c r="C921" s="64"/>
      <c r="J921" s="64"/>
      <c r="K921" s="504"/>
      <c r="L921" s="504"/>
      <c r="M921" s="550"/>
      <c r="N921" s="550"/>
      <c r="R921" s="64"/>
      <c r="S921" s="64"/>
    </row>
    <row r="922" spans="2:19" x14ac:dyDescent="0.25">
      <c r="B922" s="64"/>
      <c r="C922" s="64"/>
      <c r="J922" s="64"/>
      <c r="K922" s="504"/>
      <c r="L922" s="504"/>
      <c r="M922" s="550"/>
      <c r="N922" s="550"/>
      <c r="R922" s="64"/>
      <c r="S922" s="64"/>
    </row>
    <row r="923" spans="2:19" x14ac:dyDescent="0.25">
      <c r="B923" s="64"/>
      <c r="C923" s="64"/>
      <c r="J923" s="64"/>
      <c r="K923" s="504"/>
      <c r="L923" s="504"/>
      <c r="M923" s="550"/>
      <c r="N923" s="550"/>
      <c r="R923" s="64"/>
      <c r="S923" s="64"/>
    </row>
    <row r="924" spans="2:19" x14ac:dyDescent="0.25">
      <c r="B924" s="64"/>
      <c r="C924" s="64"/>
      <c r="J924" s="64"/>
      <c r="K924" s="504"/>
      <c r="L924" s="504"/>
      <c r="M924" s="550"/>
      <c r="N924" s="550"/>
      <c r="R924" s="64"/>
      <c r="S924" s="64"/>
    </row>
    <row r="925" spans="2:19" x14ac:dyDescent="0.25">
      <c r="B925" s="64"/>
      <c r="C925" s="64"/>
      <c r="J925" s="64"/>
      <c r="K925" s="504"/>
      <c r="L925" s="504"/>
      <c r="M925" s="550"/>
      <c r="N925" s="550"/>
      <c r="R925" s="64"/>
      <c r="S925" s="64"/>
    </row>
    <row r="926" spans="2:19" x14ac:dyDescent="0.25">
      <c r="B926" s="64"/>
      <c r="C926" s="64"/>
      <c r="J926" s="64"/>
      <c r="K926" s="504"/>
      <c r="L926" s="504"/>
      <c r="M926" s="550"/>
      <c r="N926" s="550"/>
      <c r="R926" s="64"/>
      <c r="S926" s="64"/>
    </row>
    <row r="927" spans="2:19" x14ac:dyDescent="0.25">
      <c r="B927" s="64"/>
      <c r="C927" s="64"/>
      <c r="J927" s="64"/>
      <c r="K927" s="504"/>
      <c r="L927" s="504"/>
      <c r="M927" s="550"/>
      <c r="N927" s="550"/>
      <c r="R927" s="64"/>
      <c r="S927" s="64"/>
    </row>
    <row r="928" spans="2:19" x14ac:dyDescent="0.25">
      <c r="B928" s="64"/>
      <c r="C928" s="64"/>
      <c r="J928" s="64"/>
      <c r="K928" s="504"/>
      <c r="L928" s="504"/>
      <c r="M928" s="550"/>
      <c r="N928" s="550"/>
      <c r="R928" s="64"/>
      <c r="S928" s="64"/>
    </row>
    <row r="929" spans="2:19" x14ac:dyDescent="0.25">
      <c r="B929" s="64"/>
      <c r="C929" s="64"/>
      <c r="J929" s="64"/>
      <c r="K929" s="504"/>
      <c r="L929" s="504"/>
      <c r="M929" s="550"/>
      <c r="N929" s="550"/>
      <c r="R929" s="64"/>
      <c r="S929" s="64"/>
    </row>
    <row r="930" spans="2:19" x14ac:dyDescent="0.25">
      <c r="B930" s="64"/>
      <c r="C930" s="64"/>
      <c r="J930" s="64"/>
      <c r="K930" s="504"/>
      <c r="L930" s="504"/>
      <c r="M930" s="550"/>
      <c r="N930" s="550"/>
      <c r="R930" s="64"/>
      <c r="S930" s="64"/>
    </row>
    <row r="931" spans="2:19" x14ac:dyDescent="0.25">
      <c r="B931" s="64"/>
      <c r="C931" s="64"/>
      <c r="J931" s="64"/>
      <c r="K931" s="504"/>
      <c r="L931" s="504"/>
      <c r="M931" s="550"/>
      <c r="N931" s="550"/>
      <c r="R931" s="64"/>
      <c r="S931" s="64"/>
    </row>
    <row r="932" spans="2:19" x14ac:dyDescent="0.25">
      <c r="B932" s="64"/>
      <c r="C932" s="64"/>
      <c r="J932" s="64"/>
      <c r="K932" s="504"/>
      <c r="L932" s="504"/>
      <c r="M932" s="550"/>
      <c r="N932" s="550"/>
      <c r="R932" s="64"/>
      <c r="S932" s="64"/>
    </row>
    <row r="933" spans="2:19" x14ac:dyDescent="0.25">
      <c r="B933" s="64"/>
      <c r="C933" s="64"/>
      <c r="J933" s="64"/>
      <c r="K933" s="504"/>
      <c r="L933" s="504"/>
      <c r="M933" s="550"/>
      <c r="N933" s="550"/>
      <c r="R933" s="64"/>
      <c r="S933" s="64"/>
    </row>
    <row r="934" spans="2:19" x14ac:dyDescent="0.25">
      <c r="B934" s="64"/>
      <c r="C934" s="64"/>
      <c r="J934" s="64"/>
      <c r="K934" s="504"/>
      <c r="L934" s="504"/>
      <c r="M934" s="550"/>
      <c r="N934" s="550"/>
      <c r="R934" s="64"/>
      <c r="S934" s="64"/>
    </row>
    <row r="935" spans="2:19" x14ac:dyDescent="0.25">
      <c r="B935" s="64"/>
      <c r="C935" s="64"/>
      <c r="J935" s="64"/>
      <c r="K935" s="504"/>
      <c r="L935" s="504"/>
      <c r="M935" s="550"/>
      <c r="N935" s="550"/>
      <c r="R935" s="64"/>
      <c r="S935" s="64"/>
    </row>
    <row r="936" spans="2:19" x14ac:dyDescent="0.25">
      <c r="B936" s="64"/>
      <c r="C936" s="64"/>
      <c r="J936" s="64"/>
      <c r="K936" s="504"/>
      <c r="L936" s="504"/>
      <c r="M936" s="550"/>
      <c r="N936" s="550"/>
      <c r="R936" s="64"/>
      <c r="S936" s="64"/>
    </row>
    <row r="937" spans="2:19" x14ac:dyDescent="0.25">
      <c r="B937" s="64"/>
      <c r="C937" s="64"/>
      <c r="J937" s="64"/>
      <c r="K937" s="504"/>
      <c r="L937" s="504"/>
      <c r="M937" s="550"/>
      <c r="N937" s="550"/>
      <c r="R937" s="64"/>
      <c r="S937" s="64"/>
    </row>
    <row r="938" spans="2:19" x14ac:dyDescent="0.25">
      <c r="B938" s="64"/>
      <c r="C938" s="64"/>
      <c r="J938" s="64"/>
      <c r="K938" s="504"/>
      <c r="L938" s="504"/>
      <c r="M938" s="550"/>
      <c r="N938" s="550"/>
      <c r="R938" s="64"/>
      <c r="S938" s="64"/>
    </row>
    <row r="939" spans="2:19" x14ac:dyDescent="0.25">
      <c r="B939" s="64"/>
      <c r="C939" s="64"/>
      <c r="J939" s="64"/>
      <c r="K939" s="504"/>
      <c r="L939" s="504"/>
      <c r="M939" s="550"/>
      <c r="N939" s="550"/>
      <c r="R939" s="64"/>
      <c r="S939" s="64"/>
    </row>
    <row r="940" spans="2:19" x14ac:dyDescent="0.25">
      <c r="B940" s="64"/>
      <c r="C940" s="64"/>
      <c r="J940" s="64"/>
      <c r="K940" s="504"/>
      <c r="L940" s="504"/>
      <c r="M940" s="550"/>
      <c r="N940" s="550"/>
      <c r="R940" s="64"/>
      <c r="S940" s="64"/>
    </row>
    <row r="941" spans="2:19" x14ac:dyDescent="0.25">
      <c r="B941" s="64"/>
      <c r="C941" s="64"/>
      <c r="J941" s="64"/>
      <c r="K941" s="504"/>
      <c r="L941" s="504"/>
      <c r="M941" s="550"/>
      <c r="N941" s="550"/>
      <c r="R941" s="64"/>
      <c r="S941" s="64"/>
    </row>
    <row r="942" spans="2:19" x14ac:dyDescent="0.25">
      <c r="B942" s="64"/>
      <c r="C942" s="64"/>
      <c r="J942" s="64"/>
      <c r="K942" s="504"/>
      <c r="L942" s="504"/>
      <c r="M942" s="550"/>
      <c r="N942" s="550"/>
      <c r="R942" s="64"/>
      <c r="S942" s="64"/>
    </row>
    <row r="943" spans="2:19" x14ac:dyDescent="0.25">
      <c r="B943" s="64"/>
      <c r="C943" s="64"/>
      <c r="J943" s="64"/>
      <c r="K943" s="504"/>
      <c r="L943" s="504"/>
      <c r="M943" s="550"/>
      <c r="N943" s="550"/>
      <c r="R943" s="64"/>
      <c r="S943" s="64"/>
    </row>
    <row r="944" spans="2:19" x14ac:dyDescent="0.25">
      <c r="B944" s="64"/>
      <c r="C944" s="64"/>
      <c r="J944" s="64"/>
      <c r="K944" s="504"/>
      <c r="L944" s="504"/>
      <c r="M944" s="550"/>
      <c r="N944" s="550"/>
      <c r="R944" s="64"/>
      <c r="S944" s="64"/>
    </row>
    <row r="945" spans="2:19" x14ac:dyDescent="0.25">
      <c r="B945" s="64"/>
      <c r="C945" s="64"/>
      <c r="J945" s="64"/>
      <c r="K945" s="504"/>
      <c r="L945" s="504"/>
      <c r="M945" s="550"/>
      <c r="N945" s="550"/>
      <c r="R945" s="64"/>
      <c r="S945" s="64"/>
    </row>
    <row r="946" spans="2:19" x14ac:dyDescent="0.25">
      <c r="B946" s="64"/>
      <c r="C946" s="64"/>
      <c r="J946" s="64"/>
      <c r="K946" s="504"/>
      <c r="L946" s="504"/>
      <c r="M946" s="550"/>
      <c r="N946" s="550"/>
      <c r="R946" s="64"/>
      <c r="S946" s="64"/>
    </row>
    <row r="947" spans="2:19" x14ac:dyDescent="0.25">
      <c r="B947" s="64"/>
      <c r="C947" s="64"/>
      <c r="J947" s="64"/>
      <c r="K947" s="504"/>
      <c r="L947" s="504"/>
      <c r="M947" s="550"/>
      <c r="N947" s="550"/>
      <c r="R947" s="64"/>
      <c r="S947" s="64"/>
    </row>
    <row r="948" spans="2:19" x14ac:dyDescent="0.25">
      <c r="B948" s="64"/>
      <c r="C948" s="64"/>
      <c r="J948" s="64"/>
      <c r="K948" s="504"/>
      <c r="L948" s="504"/>
      <c r="M948" s="550"/>
      <c r="N948" s="550"/>
      <c r="R948" s="64"/>
      <c r="S948" s="64"/>
    </row>
    <row r="949" spans="2:19" x14ac:dyDescent="0.25">
      <c r="B949" s="64"/>
      <c r="C949" s="64"/>
      <c r="J949" s="64"/>
      <c r="K949" s="504"/>
      <c r="L949" s="504"/>
      <c r="M949" s="550"/>
      <c r="N949" s="550"/>
      <c r="R949" s="64"/>
      <c r="S949" s="64"/>
    </row>
    <row r="950" spans="2:19" x14ac:dyDescent="0.25">
      <c r="B950" s="64"/>
      <c r="C950" s="64"/>
      <c r="J950" s="64"/>
      <c r="K950" s="504"/>
      <c r="L950" s="504"/>
      <c r="M950" s="550"/>
      <c r="N950" s="550"/>
      <c r="R950" s="64"/>
      <c r="S950" s="64"/>
    </row>
    <row r="951" spans="2:19" x14ac:dyDescent="0.25">
      <c r="B951" s="64"/>
      <c r="C951" s="64"/>
      <c r="J951" s="64"/>
      <c r="K951" s="504"/>
      <c r="L951" s="504"/>
      <c r="M951" s="550"/>
      <c r="N951" s="550"/>
      <c r="R951" s="64"/>
      <c r="S951" s="64"/>
    </row>
    <row r="952" spans="2:19" x14ac:dyDescent="0.25">
      <c r="B952" s="64"/>
      <c r="C952" s="64"/>
      <c r="J952" s="64"/>
      <c r="K952" s="504"/>
      <c r="L952" s="504"/>
      <c r="M952" s="550"/>
      <c r="N952" s="550"/>
      <c r="R952" s="64"/>
      <c r="S952" s="64"/>
    </row>
    <row r="953" spans="2:19" x14ac:dyDescent="0.25">
      <c r="B953" s="64"/>
      <c r="C953" s="64"/>
      <c r="J953" s="64"/>
      <c r="K953" s="504"/>
      <c r="L953" s="504"/>
      <c r="M953" s="550"/>
      <c r="N953" s="550"/>
      <c r="R953" s="64"/>
      <c r="S953" s="64"/>
    </row>
    <row r="954" spans="2:19" x14ac:dyDescent="0.25">
      <c r="B954" s="64"/>
      <c r="C954" s="64"/>
      <c r="J954" s="64"/>
      <c r="K954" s="504"/>
      <c r="L954" s="504"/>
      <c r="M954" s="550"/>
      <c r="N954" s="550"/>
      <c r="R954" s="64"/>
      <c r="S954" s="64"/>
    </row>
    <row r="955" spans="2:19" x14ac:dyDescent="0.25">
      <c r="B955" s="64"/>
      <c r="C955" s="64"/>
      <c r="J955" s="64"/>
      <c r="K955" s="504"/>
      <c r="L955" s="504"/>
      <c r="M955" s="550"/>
      <c r="N955" s="550"/>
      <c r="R955" s="64"/>
      <c r="S955" s="64"/>
    </row>
    <row r="956" spans="2:19" x14ac:dyDescent="0.25">
      <c r="B956" s="64"/>
      <c r="C956" s="64"/>
      <c r="J956" s="64"/>
      <c r="K956" s="504"/>
      <c r="L956" s="504"/>
      <c r="M956" s="550"/>
      <c r="N956" s="550"/>
      <c r="R956" s="64"/>
      <c r="S956" s="64"/>
    </row>
    <row r="957" spans="2:19" x14ac:dyDescent="0.25">
      <c r="B957" s="64"/>
      <c r="C957" s="64"/>
      <c r="J957" s="64"/>
      <c r="K957" s="504"/>
      <c r="L957" s="504"/>
      <c r="M957" s="550"/>
      <c r="N957" s="550"/>
      <c r="R957" s="64"/>
      <c r="S957" s="64"/>
    </row>
    <row r="958" spans="2:19" x14ac:dyDescent="0.25">
      <c r="B958" s="64"/>
      <c r="C958" s="64"/>
      <c r="J958" s="64"/>
      <c r="K958" s="504"/>
      <c r="L958" s="504"/>
      <c r="M958" s="550"/>
      <c r="N958" s="550"/>
      <c r="R958" s="64"/>
      <c r="S958" s="64"/>
    </row>
    <row r="959" spans="2:19" x14ac:dyDescent="0.25">
      <c r="B959" s="64"/>
      <c r="C959" s="64"/>
      <c r="J959" s="64"/>
      <c r="K959" s="504"/>
      <c r="L959" s="504"/>
      <c r="M959" s="550"/>
      <c r="N959" s="550"/>
      <c r="R959" s="64"/>
      <c r="S959" s="64"/>
    </row>
    <row r="960" spans="2:19" x14ac:dyDescent="0.25">
      <c r="B960" s="64"/>
      <c r="C960" s="64"/>
      <c r="J960" s="64"/>
      <c r="K960" s="504"/>
      <c r="L960" s="504"/>
      <c r="M960" s="550"/>
      <c r="N960" s="550"/>
      <c r="R960" s="64"/>
      <c r="S960" s="64"/>
    </row>
    <row r="961" spans="2:19" x14ac:dyDescent="0.25">
      <c r="B961" s="64"/>
      <c r="C961" s="64"/>
      <c r="J961" s="64"/>
      <c r="K961" s="504"/>
      <c r="L961" s="504"/>
      <c r="M961" s="550"/>
      <c r="N961" s="550"/>
      <c r="R961" s="64"/>
      <c r="S961" s="64"/>
    </row>
    <row r="962" spans="2:19" x14ac:dyDescent="0.25">
      <c r="B962" s="64"/>
      <c r="C962" s="64"/>
      <c r="J962" s="64"/>
      <c r="K962" s="504"/>
      <c r="L962" s="504"/>
      <c r="M962" s="550"/>
      <c r="N962" s="550"/>
      <c r="R962" s="64"/>
      <c r="S962" s="64"/>
    </row>
    <row r="963" spans="2:19" x14ac:dyDescent="0.25">
      <c r="B963" s="64"/>
      <c r="C963" s="64"/>
      <c r="J963" s="64"/>
      <c r="K963" s="504"/>
      <c r="L963" s="504"/>
      <c r="M963" s="550"/>
      <c r="N963" s="550"/>
      <c r="R963" s="64"/>
      <c r="S963" s="64"/>
    </row>
    <row r="964" spans="2:19" x14ac:dyDescent="0.25">
      <c r="B964" s="64"/>
      <c r="C964" s="64"/>
      <c r="J964" s="64"/>
      <c r="K964" s="504"/>
      <c r="L964" s="504"/>
      <c r="M964" s="550"/>
      <c r="N964" s="550"/>
      <c r="R964" s="64"/>
      <c r="S964" s="64"/>
    </row>
    <row r="965" spans="2:19" x14ac:dyDescent="0.25">
      <c r="B965" s="64"/>
      <c r="C965" s="64"/>
      <c r="J965" s="64"/>
      <c r="K965" s="504"/>
      <c r="L965" s="504"/>
      <c r="M965" s="550"/>
      <c r="N965" s="550"/>
      <c r="R965" s="64"/>
      <c r="S965" s="64"/>
    </row>
    <row r="966" spans="2:19" x14ac:dyDescent="0.25">
      <c r="B966" s="64"/>
      <c r="C966" s="64"/>
      <c r="J966" s="64"/>
      <c r="K966" s="504"/>
      <c r="L966" s="504"/>
      <c r="M966" s="550"/>
      <c r="N966" s="550"/>
      <c r="R966" s="64"/>
      <c r="S966" s="64"/>
    </row>
    <row r="967" spans="2:19" x14ac:dyDescent="0.25">
      <c r="B967" s="64"/>
      <c r="C967" s="64"/>
      <c r="J967" s="64"/>
      <c r="K967" s="504"/>
      <c r="L967" s="504"/>
      <c r="M967" s="550"/>
      <c r="N967" s="550"/>
      <c r="R967" s="64"/>
      <c r="S967" s="64"/>
    </row>
    <row r="968" spans="2:19" x14ac:dyDescent="0.25">
      <c r="B968" s="64"/>
      <c r="C968" s="64"/>
      <c r="J968" s="64"/>
      <c r="K968" s="504"/>
      <c r="L968" s="504"/>
      <c r="M968" s="550"/>
      <c r="N968" s="550"/>
      <c r="R968" s="64"/>
      <c r="S968" s="64"/>
    </row>
    <row r="969" spans="2:19" x14ac:dyDescent="0.25">
      <c r="B969" s="64"/>
      <c r="C969" s="64"/>
      <c r="J969" s="64"/>
      <c r="K969" s="504"/>
      <c r="L969" s="504"/>
      <c r="M969" s="550"/>
      <c r="N969" s="550"/>
      <c r="R969" s="64"/>
      <c r="S969" s="64"/>
    </row>
    <row r="970" spans="2:19" x14ac:dyDescent="0.25">
      <c r="B970" s="64"/>
      <c r="C970" s="64"/>
      <c r="J970" s="64"/>
      <c r="K970" s="504"/>
      <c r="L970" s="504"/>
      <c r="M970" s="550"/>
      <c r="N970" s="550"/>
      <c r="R970" s="64"/>
      <c r="S970" s="64"/>
    </row>
    <row r="971" spans="2:19" x14ac:dyDescent="0.25">
      <c r="B971" s="64"/>
      <c r="C971" s="64"/>
      <c r="J971" s="64"/>
      <c r="K971" s="504"/>
      <c r="L971" s="504"/>
      <c r="M971" s="550"/>
      <c r="N971" s="550"/>
      <c r="R971" s="64"/>
      <c r="S971" s="64"/>
    </row>
    <row r="972" spans="2:19" x14ac:dyDescent="0.25">
      <c r="B972" s="64"/>
      <c r="C972" s="64"/>
      <c r="J972" s="64"/>
      <c r="K972" s="504"/>
      <c r="L972" s="504"/>
      <c r="M972" s="550"/>
      <c r="N972" s="550"/>
      <c r="R972" s="64"/>
      <c r="S972" s="64"/>
    </row>
    <row r="973" spans="2:19" x14ac:dyDescent="0.25">
      <c r="B973" s="64"/>
      <c r="C973" s="64"/>
      <c r="J973" s="64"/>
      <c r="K973" s="504"/>
      <c r="L973" s="504"/>
      <c r="M973" s="550"/>
      <c r="N973" s="550"/>
      <c r="R973" s="64"/>
      <c r="S973" s="64"/>
    </row>
    <row r="974" spans="2:19" x14ac:dyDescent="0.25">
      <c r="B974" s="64"/>
      <c r="C974" s="64"/>
      <c r="J974" s="64"/>
      <c r="K974" s="504"/>
      <c r="L974" s="504"/>
      <c r="M974" s="550"/>
      <c r="N974" s="550"/>
      <c r="R974" s="64"/>
      <c r="S974" s="64"/>
    </row>
    <row r="975" spans="2:19" x14ac:dyDescent="0.25">
      <c r="B975" s="64"/>
      <c r="C975" s="64"/>
      <c r="J975" s="64"/>
      <c r="K975" s="504"/>
      <c r="L975" s="504"/>
      <c r="M975" s="550"/>
      <c r="N975" s="550"/>
      <c r="R975" s="64"/>
      <c r="S975" s="64"/>
    </row>
    <row r="976" spans="2:19" x14ac:dyDescent="0.25">
      <c r="B976" s="64"/>
      <c r="C976" s="64"/>
      <c r="J976" s="64"/>
      <c r="K976" s="504"/>
      <c r="L976" s="504"/>
      <c r="M976" s="550"/>
      <c r="N976" s="550"/>
      <c r="R976" s="64"/>
      <c r="S976" s="64"/>
    </row>
    <row r="977" spans="2:19" x14ac:dyDescent="0.25">
      <c r="B977" s="64"/>
      <c r="C977" s="64"/>
      <c r="J977" s="64"/>
      <c r="K977" s="504"/>
      <c r="L977" s="504"/>
      <c r="M977" s="550"/>
      <c r="N977" s="550"/>
      <c r="R977" s="64"/>
      <c r="S977" s="64"/>
    </row>
    <row r="978" spans="2:19" x14ac:dyDescent="0.25">
      <c r="B978" s="64"/>
      <c r="C978" s="64"/>
      <c r="J978" s="64"/>
      <c r="K978" s="504"/>
      <c r="L978" s="504"/>
      <c r="M978" s="550"/>
      <c r="N978" s="550"/>
      <c r="R978" s="64"/>
      <c r="S978" s="64"/>
    </row>
    <row r="979" spans="2:19" x14ac:dyDescent="0.25">
      <c r="B979" s="64"/>
      <c r="C979" s="64"/>
      <c r="J979" s="64"/>
      <c r="K979" s="504"/>
      <c r="L979" s="504"/>
      <c r="M979" s="550"/>
      <c r="N979" s="550"/>
      <c r="R979" s="64"/>
      <c r="S979" s="64"/>
    </row>
    <row r="980" spans="2:19" x14ac:dyDescent="0.25">
      <c r="B980" s="64"/>
      <c r="C980" s="64"/>
      <c r="J980" s="64"/>
      <c r="K980" s="504"/>
      <c r="L980" s="504"/>
      <c r="M980" s="550"/>
      <c r="N980" s="550"/>
      <c r="R980" s="64"/>
      <c r="S980" s="64"/>
    </row>
    <row r="981" spans="2:19" x14ac:dyDescent="0.25">
      <c r="B981" s="64"/>
      <c r="C981" s="64"/>
      <c r="J981" s="64"/>
      <c r="K981" s="504"/>
      <c r="L981" s="504"/>
      <c r="M981" s="550"/>
      <c r="N981" s="550"/>
      <c r="R981" s="64"/>
      <c r="S981" s="64"/>
    </row>
    <row r="982" spans="2:19" x14ac:dyDescent="0.25">
      <c r="B982" s="64"/>
      <c r="C982" s="64"/>
      <c r="J982" s="64"/>
      <c r="K982" s="504"/>
      <c r="L982" s="504"/>
      <c r="M982" s="550"/>
      <c r="N982" s="550"/>
      <c r="R982" s="64"/>
      <c r="S982" s="64"/>
    </row>
    <row r="983" spans="2:19" x14ac:dyDescent="0.25">
      <c r="B983" s="64"/>
      <c r="C983" s="64"/>
      <c r="J983" s="64"/>
      <c r="K983" s="504"/>
      <c r="L983" s="504"/>
      <c r="M983" s="550"/>
      <c r="N983" s="550"/>
      <c r="R983" s="64"/>
      <c r="S983" s="64"/>
    </row>
    <row r="984" spans="2:19" x14ac:dyDescent="0.25">
      <c r="B984" s="64"/>
      <c r="C984" s="64"/>
      <c r="J984" s="64"/>
      <c r="K984" s="504"/>
      <c r="L984" s="504"/>
      <c r="M984" s="550"/>
      <c r="N984" s="550"/>
      <c r="R984" s="64"/>
      <c r="S984" s="64"/>
    </row>
    <row r="985" spans="2:19" x14ac:dyDescent="0.25">
      <c r="B985" s="64"/>
      <c r="C985" s="64"/>
      <c r="J985" s="64"/>
      <c r="K985" s="504"/>
      <c r="L985" s="504"/>
      <c r="M985" s="550"/>
      <c r="N985" s="550"/>
      <c r="R985" s="64"/>
      <c r="S985" s="64"/>
    </row>
    <row r="986" spans="2:19" x14ac:dyDescent="0.25">
      <c r="B986" s="64"/>
      <c r="C986" s="64"/>
      <c r="J986" s="64"/>
      <c r="K986" s="504"/>
      <c r="L986" s="504"/>
      <c r="M986" s="550"/>
      <c r="N986" s="550"/>
      <c r="R986" s="64"/>
      <c r="S986" s="64"/>
    </row>
    <row r="987" spans="2:19" x14ac:dyDescent="0.25">
      <c r="B987" s="64"/>
      <c r="C987" s="64"/>
      <c r="J987" s="64"/>
      <c r="K987" s="504"/>
      <c r="L987" s="504"/>
      <c r="M987" s="550"/>
      <c r="N987" s="550"/>
      <c r="R987" s="64"/>
      <c r="S987" s="64"/>
    </row>
    <row r="988" spans="2:19" x14ac:dyDescent="0.25">
      <c r="B988" s="64"/>
      <c r="C988" s="64"/>
      <c r="J988" s="64"/>
      <c r="K988" s="504"/>
      <c r="L988" s="504"/>
      <c r="M988" s="550"/>
      <c r="N988" s="550"/>
      <c r="R988" s="64"/>
      <c r="S988" s="64"/>
    </row>
    <row r="989" spans="2:19" x14ac:dyDescent="0.25">
      <c r="B989" s="64"/>
      <c r="C989" s="64"/>
      <c r="J989" s="64"/>
      <c r="K989" s="504"/>
      <c r="L989" s="504"/>
      <c r="M989" s="550"/>
      <c r="N989" s="550"/>
      <c r="R989" s="64"/>
      <c r="S989" s="64"/>
    </row>
    <row r="990" spans="2:19" x14ac:dyDescent="0.25">
      <c r="B990" s="64"/>
      <c r="C990" s="64"/>
      <c r="J990" s="64"/>
      <c r="K990" s="504"/>
      <c r="L990" s="504"/>
      <c r="M990" s="550"/>
      <c r="N990" s="550"/>
      <c r="R990" s="64"/>
      <c r="S990" s="64"/>
    </row>
    <row r="991" spans="2:19" x14ac:dyDescent="0.25">
      <c r="B991" s="64"/>
      <c r="C991" s="64"/>
      <c r="J991" s="64"/>
      <c r="K991" s="504"/>
      <c r="L991" s="504"/>
      <c r="M991" s="550"/>
      <c r="N991" s="550"/>
      <c r="R991" s="64"/>
      <c r="S991" s="64"/>
    </row>
    <row r="992" spans="2:19" x14ac:dyDescent="0.25">
      <c r="B992" s="64"/>
      <c r="C992" s="64"/>
      <c r="J992" s="64"/>
      <c r="K992" s="504"/>
      <c r="L992" s="504"/>
      <c r="M992" s="550"/>
      <c r="N992" s="550"/>
      <c r="R992" s="64"/>
      <c r="S992" s="64"/>
    </row>
    <row r="993" spans="2:19" x14ac:dyDescent="0.25">
      <c r="B993" s="64"/>
      <c r="C993" s="64"/>
      <c r="J993" s="64"/>
      <c r="K993" s="504"/>
      <c r="L993" s="504"/>
      <c r="M993" s="550"/>
      <c r="N993" s="550"/>
      <c r="R993" s="64"/>
      <c r="S993" s="64"/>
    </row>
    <row r="994" spans="2:19" x14ac:dyDescent="0.25">
      <c r="B994" s="64"/>
      <c r="C994" s="64"/>
      <c r="J994" s="64"/>
      <c r="K994" s="504"/>
      <c r="L994" s="504"/>
      <c r="M994" s="550"/>
      <c r="N994" s="550"/>
      <c r="R994" s="64"/>
      <c r="S994" s="64"/>
    </row>
    <row r="995" spans="2:19" x14ac:dyDescent="0.25">
      <c r="B995" s="64"/>
      <c r="C995" s="64"/>
      <c r="J995" s="64"/>
      <c r="K995" s="504"/>
      <c r="L995" s="504"/>
      <c r="M995" s="550"/>
      <c r="N995" s="550"/>
      <c r="R995" s="64"/>
      <c r="S995" s="64"/>
    </row>
    <row r="996" spans="2:19" x14ac:dyDescent="0.25">
      <c r="B996" s="64"/>
      <c r="C996" s="64"/>
      <c r="J996" s="64"/>
      <c r="K996" s="504"/>
      <c r="L996" s="504"/>
      <c r="M996" s="550"/>
      <c r="N996" s="550"/>
      <c r="R996" s="64"/>
      <c r="S996" s="64"/>
    </row>
    <row r="997" spans="2:19" x14ac:dyDescent="0.25">
      <c r="B997" s="64"/>
      <c r="C997" s="64"/>
      <c r="J997" s="64"/>
      <c r="K997" s="504"/>
      <c r="L997" s="504"/>
      <c r="M997" s="550"/>
      <c r="N997" s="550"/>
      <c r="R997" s="64"/>
      <c r="S997" s="64"/>
    </row>
    <row r="998" spans="2:19" x14ac:dyDescent="0.25">
      <c r="B998" s="64"/>
      <c r="C998" s="64"/>
      <c r="J998" s="64"/>
      <c r="K998" s="504"/>
      <c r="L998" s="504"/>
      <c r="M998" s="550"/>
      <c r="N998" s="550"/>
      <c r="R998" s="64"/>
      <c r="S998" s="64"/>
    </row>
    <row r="999" spans="2:19" x14ac:dyDescent="0.25">
      <c r="B999" s="64"/>
      <c r="C999" s="64"/>
      <c r="J999" s="64"/>
      <c r="K999" s="504"/>
      <c r="L999" s="504"/>
      <c r="M999" s="550"/>
      <c r="N999" s="550"/>
      <c r="R999" s="64"/>
      <c r="S999" s="64"/>
    </row>
    <row r="1000" spans="2:19" x14ac:dyDescent="0.25">
      <c r="B1000" s="64"/>
      <c r="C1000" s="64"/>
      <c r="J1000" s="64"/>
      <c r="K1000" s="504"/>
      <c r="L1000" s="504"/>
      <c r="M1000" s="550"/>
      <c r="N1000" s="550"/>
      <c r="R1000" s="64"/>
      <c r="S1000" s="64"/>
    </row>
    <row r="1001" spans="2:19" x14ac:dyDescent="0.25">
      <c r="B1001" s="64"/>
      <c r="C1001" s="64"/>
      <c r="J1001" s="64"/>
      <c r="K1001" s="504"/>
      <c r="L1001" s="504"/>
      <c r="M1001" s="550"/>
      <c r="N1001" s="550"/>
      <c r="R1001" s="64"/>
      <c r="S1001" s="64"/>
    </row>
    <row r="1002" spans="2:19" x14ac:dyDescent="0.25">
      <c r="B1002" s="64"/>
      <c r="C1002" s="64"/>
      <c r="J1002" s="64"/>
      <c r="K1002" s="504"/>
      <c r="L1002" s="504"/>
      <c r="M1002" s="550"/>
      <c r="N1002" s="550"/>
      <c r="R1002" s="64"/>
      <c r="S1002" s="64"/>
    </row>
    <row r="1003" spans="2:19" x14ac:dyDescent="0.25">
      <c r="B1003" s="64"/>
      <c r="C1003" s="64"/>
      <c r="J1003" s="64"/>
      <c r="K1003" s="504"/>
      <c r="L1003" s="504"/>
      <c r="M1003" s="550"/>
      <c r="N1003" s="550"/>
      <c r="R1003" s="64"/>
      <c r="S1003" s="64"/>
    </row>
    <row r="1004" spans="2:19" x14ac:dyDescent="0.25">
      <c r="B1004" s="64"/>
      <c r="C1004" s="64"/>
      <c r="J1004" s="64"/>
      <c r="K1004" s="504"/>
      <c r="L1004" s="504"/>
      <c r="M1004" s="550"/>
      <c r="N1004" s="550"/>
      <c r="R1004" s="64"/>
      <c r="S1004" s="64"/>
    </row>
    <row r="1005" spans="2:19" x14ac:dyDescent="0.25">
      <c r="B1005" s="64"/>
      <c r="C1005" s="64"/>
      <c r="J1005" s="64"/>
      <c r="K1005" s="504"/>
      <c r="L1005" s="504"/>
      <c r="M1005" s="550"/>
      <c r="N1005" s="550"/>
      <c r="R1005" s="64"/>
      <c r="S1005" s="64"/>
    </row>
    <row r="1006" spans="2:19" x14ac:dyDescent="0.25">
      <c r="B1006" s="64"/>
      <c r="C1006" s="64"/>
      <c r="J1006" s="64"/>
      <c r="K1006" s="504"/>
      <c r="L1006" s="504"/>
      <c r="M1006" s="550"/>
      <c r="N1006" s="550"/>
      <c r="R1006" s="64"/>
      <c r="S1006" s="64"/>
    </row>
    <row r="1007" spans="2:19" x14ac:dyDescent="0.25">
      <c r="B1007" s="64"/>
      <c r="C1007" s="64"/>
      <c r="J1007" s="64"/>
      <c r="K1007" s="504"/>
      <c r="L1007" s="504"/>
      <c r="M1007" s="550"/>
      <c r="N1007" s="550"/>
      <c r="R1007" s="64"/>
      <c r="S1007" s="64"/>
    </row>
    <row r="1008" spans="2:19" x14ac:dyDescent="0.25">
      <c r="B1008" s="64"/>
      <c r="C1008" s="64"/>
      <c r="J1008" s="64"/>
      <c r="K1008" s="504"/>
      <c r="L1008" s="504"/>
      <c r="M1008" s="550"/>
      <c r="N1008" s="550"/>
      <c r="R1008" s="64"/>
      <c r="S1008" s="64"/>
    </row>
    <row r="1009" spans="2:14" x14ac:dyDescent="0.25">
      <c r="B1009" s="64"/>
      <c r="C1009" s="64"/>
      <c r="J1009" s="64"/>
      <c r="K1009" s="504"/>
      <c r="L1009" s="504"/>
      <c r="M1009" s="550"/>
      <c r="N1009" s="550"/>
    </row>
    <row r="1010" spans="2:14" x14ac:dyDescent="0.25">
      <c r="B1010" s="64"/>
      <c r="C1010" s="64"/>
      <c r="J1010" s="64"/>
      <c r="K1010" s="504"/>
      <c r="L1010" s="504"/>
      <c r="M1010" s="550"/>
      <c r="N1010" s="550"/>
    </row>
    <row r="1011" spans="2:14" x14ac:dyDescent="0.25">
      <c r="B1011" s="64"/>
      <c r="C1011" s="64"/>
      <c r="J1011" s="64"/>
      <c r="K1011" s="504"/>
      <c r="L1011" s="504"/>
      <c r="M1011" s="550"/>
      <c r="N1011" s="550"/>
    </row>
    <row r="1012" spans="2:14" x14ac:dyDescent="0.25">
      <c r="B1012" s="64"/>
      <c r="C1012" s="64"/>
      <c r="J1012" s="64"/>
      <c r="K1012" s="504"/>
      <c r="L1012" s="504"/>
      <c r="M1012" s="550"/>
      <c r="N1012" s="550"/>
    </row>
    <row r="1013" spans="2:14" x14ac:dyDescent="0.25">
      <c r="B1013" s="64"/>
      <c r="C1013" s="64"/>
      <c r="J1013" s="64"/>
      <c r="K1013" s="504"/>
      <c r="L1013" s="504"/>
      <c r="M1013" s="550"/>
      <c r="N1013" s="550"/>
    </row>
    <row r="1014" spans="2:14" x14ac:dyDescent="0.25">
      <c r="B1014" s="64"/>
      <c r="C1014" s="64"/>
      <c r="J1014" s="64"/>
      <c r="K1014" s="504"/>
      <c r="L1014" s="504"/>
      <c r="M1014" s="550"/>
      <c r="N1014" s="550"/>
    </row>
    <row r="1015" spans="2:14" x14ac:dyDescent="0.25">
      <c r="B1015" s="64"/>
      <c r="C1015" s="64"/>
      <c r="J1015" s="64"/>
      <c r="K1015" s="504"/>
      <c r="L1015" s="504"/>
      <c r="M1015" s="550"/>
      <c r="N1015" s="550"/>
    </row>
    <row r="1016" spans="2:14" x14ac:dyDescent="0.25">
      <c r="B1016" s="64"/>
      <c r="C1016" s="64"/>
      <c r="J1016" s="64"/>
      <c r="K1016" s="504"/>
      <c r="L1016" s="504"/>
      <c r="M1016" s="550"/>
      <c r="N1016" s="550"/>
    </row>
    <row r="1017" spans="2:14" x14ac:dyDescent="0.25">
      <c r="B1017" s="64"/>
      <c r="C1017" s="64"/>
      <c r="J1017" s="64"/>
      <c r="K1017" s="504"/>
      <c r="L1017" s="504"/>
      <c r="M1017" s="550"/>
      <c r="N1017" s="550"/>
    </row>
    <row r="1018" spans="2:14" x14ac:dyDescent="0.25">
      <c r="B1018" s="64"/>
      <c r="C1018" s="64"/>
      <c r="J1018" s="64"/>
      <c r="K1018" s="504"/>
      <c r="L1018" s="504"/>
      <c r="M1018" s="550"/>
      <c r="N1018" s="550"/>
    </row>
    <row r="1019" spans="2:14" x14ac:dyDescent="0.25">
      <c r="B1019" s="64"/>
      <c r="C1019" s="64"/>
      <c r="J1019" s="64"/>
      <c r="K1019" s="504"/>
      <c r="L1019" s="504"/>
      <c r="M1019" s="550"/>
      <c r="N1019" s="550"/>
    </row>
    <row r="1020" spans="2:14" x14ac:dyDescent="0.25">
      <c r="B1020" s="64"/>
      <c r="C1020" s="64"/>
      <c r="J1020" s="64"/>
      <c r="K1020" s="504"/>
      <c r="L1020" s="504"/>
      <c r="M1020" s="550"/>
      <c r="N1020" s="550"/>
    </row>
    <row r="1021" spans="2:14" x14ac:dyDescent="0.25">
      <c r="B1021" s="64"/>
      <c r="C1021" s="64"/>
      <c r="J1021" s="64"/>
      <c r="K1021" s="504"/>
      <c r="L1021" s="504"/>
      <c r="M1021" s="550"/>
      <c r="N1021" s="550"/>
    </row>
    <row r="1022" spans="2:14" x14ac:dyDescent="0.25">
      <c r="B1022" s="64"/>
      <c r="C1022" s="64"/>
      <c r="J1022" s="64"/>
      <c r="K1022" s="504"/>
      <c r="L1022" s="504"/>
      <c r="M1022" s="550"/>
      <c r="N1022" s="550"/>
    </row>
    <row r="1023" spans="2:14" x14ac:dyDescent="0.25">
      <c r="B1023" s="64"/>
      <c r="C1023" s="64"/>
      <c r="J1023" s="64"/>
      <c r="K1023" s="504"/>
      <c r="L1023" s="504"/>
      <c r="M1023" s="550"/>
      <c r="N1023" s="550"/>
    </row>
    <row r="1024" spans="2:14" x14ac:dyDescent="0.25">
      <c r="B1024" s="64"/>
      <c r="C1024" s="64"/>
      <c r="J1024" s="64"/>
      <c r="K1024" s="504"/>
      <c r="L1024" s="504"/>
      <c r="M1024" s="550"/>
      <c r="N1024" s="550"/>
    </row>
    <row r="1025" spans="2:14" x14ac:dyDescent="0.25">
      <c r="B1025" s="64"/>
      <c r="C1025" s="64"/>
      <c r="J1025" s="64"/>
      <c r="K1025" s="504"/>
      <c r="L1025" s="504"/>
      <c r="M1025" s="550"/>
      <c r="N1025" s="550"/>
    </row>
    <row r="1026" spans="2:14" x14ac:dyDescent="0.25">
      <c r="B1026" s="64"/>
      <c r="C1026" s="64"/>
      <c r="J1026" s="64"/>
      <c r="K1026" s="504"/>
      <c r="L1026" s="504"/>
      <c r="M1026" s="550"/>
      <c r="N1026" s="550"/>
    </row>
    <row r="1027" spans="2:14" x14ac:dyDescent="0.25">
      <c r="B1027" s="64"/>
      <c r="C1027" s="64"/>
      <c r="J1027" s="64"/>
      <c r="K1027" s="504"/>
      <c r="L1027" s="504"/>
      <c r="M1027" s="550"/>
      <c r="N1027" s="550"/>
    </row>
    <row r="1028" spans="2:14" x14ac:dyDescent="0.25">
      <c r="B1028" s="64"/>
      <c r="C1028" s="64"/>
      <c r="J1028" s="64"/>
      <c r="K1028" s="504"/>
      <c r="L1028" s="504"/>
      <c r="M1028" s="550"/>
      <c r="N1028" s="550"/>
    </row>
    <row r="1029" spans="2:14" x14ac:dyDescent="0.25">
      <c r="B1029" s="64"/>
      <c r="C1029" s="64"/>
      <c r="J1029" s="64"/>
      <c r="K1029" s="504"/>
      <c r="L1029" s="504"/>
      <c r="M1029" s="550"/>
      <c r="N1029" s="550"/>
    </row>
    <row r="1030" spans="2:14" x14ac:dyDescent="0.25">
      <c r="B1030" s="64"/>
      <c r="C1030" s="64"/>
      <c r="J1030" s="64"/>
      <c r="K1030" s="504"/>
      <c r="L1030" s="504"/>
      <c r="M1030" s="550"/>
      <c r="N1030" s="550"/>
    </row>
    <row r="1031" spans="2:14" x14ac:dyDescent="0.25">
      <c r="B1031" s="64"/>
      <c r="C1031" s="64"/>
      <c r="J1031" s="64"/>
      <c r="K1031" s="504"/>
      <c r="L1031" s="504"/>
      <c r="M1031" s="550"/>
      <c r="N1031" s="550"/>
    </row>
    <row r="1032" spans="2:14" x14ac:dyDescent="0.25">
      <c r="B1032" s="64"/>
      <c r="C1032" s="64"/>
      <c r="J1032" s="64"/>
      <c r="K1032" s="504"/>
      <c r="L1032" s="504"/>
      <c r="M1032" s="550"/>
      <c r="N1032" s="550"/>
    </row>
    <row r="1033" spans="2:14" x14ac:dyDescent="0.25">
      <c r="B1033" s="64"/>
      <c r="C1033" s="64"/>
      <c r="J1033" s="64"/>
      <c r="K1033" s="504"/>
      <c r="L1033" s="504"/>
      <c r="M1033" s="550"/>
      <c r="N1033" s="550"/>
    </row>
    <row r="1034" spans="2:14" x14ac:dyDescent="0.25">
      <c r="B1034" s="64"/>
      <c r="C1034" s="64"/>
      <c r="J1034" s="64"/>
      <c r="K1034" s="504"/>
      <c r="L1034" s="504"/>
      <c r="M1034" s="550"/>
      <c r="N1034" s="550"/>
    </row>
    <row r="1035" spans="2:14" x14ac:dyDescent="0.25">
      <c r="B1035" s="64"/>
      <c r="C1035" s="64"/>
      <c r="J1035" s="64"/>
      <c r="K1035" s="504"/>
      <c r="L1035" s="504"/>
      <c r="M1035" s="550"/>
      <c r="N1035" s="550"/>
    </row>
    <row r="1036" spans="2:14" x14ac:dyDescent="0.25">
      <c r="B1036" s="64"/>
      <c r="C1036" s="64"/>
      <c r="J1036" s="64"/>
      <c r="K1036" s="504"/>
      <c r="L1036" s="504"/>
      <c r="M1036" s="550"/>
      <c r="N1036" s="550"/>
    </row>
    <row r="1037" spans="2:14" x14ac:dyDescent="0.25">
      <c r="B1037" s="64"/>
      <c r="C1037" s="64"/>
      <c r="J1037" s="64"/>
      <c r="K1037" s="504"/>
      <c r="L1037" s="504"/>
      <c r="M1037" s="550"/>
      <c r="N1037" s="550"/>
    </row>
    <row r="1038" spans="2:14" x14ac:dyDescent="0.25">
      <c r="B1038" s="64"/>
      <c r="C1038" s="64"/>
      <c r="J1038" s="64"/>
      <c r="K1038" s="504"/>
      <c r="L1038" s="504"/>
      <c r="M1038" s="550"/>
      <c r="N1038" s="550"/>
    </row>
    <row r="1039" spans="2:14" x14ac:dyDescent="0.25">
      <c r="B1039" s="64"/>
      <c r="C1039" s="64"/>
      <c r="J1039" s="64"/>
      <c r="K1039" s="504"/>
      <c r="L1039" s="504"/>
      <c r="M1039" s="550"/>
      <c r="N1039" s="550"/>
    </row>
    <row r="1040" spans="2:14" x14ac:dyDescent="0.25">
      <c r="B1040" s="64"/>
      <c r="C1040" s="64"/>
      <c r="J1040" s="64"/>
      <c r="K1040" s="504"/>
      <c r="L1040" s="504"/>
      <c r="M1040" s="550"/>
      <c r="N1040" s="550"/>
    </row>
    <row r="1041" spans="2:14" x14ac:dyDescent="0.25">
      <c r="B1041" s="64"/>
      <c r="C1041" s="64"/>
      <c r="J1041" s="64"/>
      <c r="K1041" s="504"/>
      <c r="L1041" s="504"/>
      <c r="M1041" s="550"/>
      <c r="N1041" s="550"/>
    </row>
    <row r="1042" spans="2:14" x14ac:dyDescent="0.25">
      <c r="B1042" s="64"/>
      <c r="C1042" s="64"/>
      <c r="J1042" s="64"/>
      <c r="K1042" s="504"/>
      <c r="L1042" s="504"/>
      <c r="M1042" s="550"/>
      <c r="N1042" s="550"/>
    </row>
    <row r="1043" spans="2:14" x14ac:dyDescent="0.25">
      <c r="B1043" s="64"/>
      <c r="C1043" s="64"/>
      <c r="J1043" s="64"/>
      <c r="K1043" s="504"/>
      <c r="L1043" s="504"/>
      <c r="M1043" s="550"/>
      <c r="N1043" s="550"/>
    </row>
    <row r="1044" spans="2:14" x14ac:dyDescent="0.25">
      <c r="B1044" s="64"/>
      <c r="C1044" s="64"/>
      <c r="J1044" s="64"/>
      <c r="K1044" s="504"/>
      <c r="L1044" s="504"/>
      <c r="M1044" s="550"/>
      <c r="N1044" s="550"/>
    </row>
    <row r="1045" spans="2:14" x14ac:dyDescent="0.25">
      <c r="B1045" s="64"/>
      <c r="C1045" s="64"/>
      <c r="J1045" s="64"/>
      <c r="K1045" s="504"/>
      <c r="L1045" s="504"/>
      <c r="M1045" s="550"/>
      <c r="N1045" s="550"/>
    </row>
    <row r="1046" spans="2:14" x14ac:dyDescent="0.25">
      <c r="B1046" s="64"/>
      <c r="C1046" s="64"/>
      <c r="J1046" s="64"/>
      <c r="K1046" s="504"/>
      <c r="L1046" s="504"/>
      <c r="M1046" s="550"/>
      <c r="N1046" s="550"/>
    </row>
    <row r="1047" spans="2:14" x14ac:dyDescent="0.25">
      <c r="B1047" s="64"/>
      <c r="C1047" s="64"/>
      <c r="J1047" s="64"/>
      <c r="K1047" s="504"/>
      <c r="L1047" s="504"/>
      <c r="M1047" s="550"/>
      <c r="N1047" s="550"/>
    </row>
    <row r="1048" spans="2:14" x14ac:dyDescent="0.25">
      <c r="B1048" s="64"/>
      <c r="C1048" s="64"/>
      <c r="J1048" s="64"/>
      <c r="K1048" s="504"/>
      <c r="L1048" s="504"/>
      <c r="M1048" s="550"/>
      <c r="N1048" s="550"/>
    </row>
    <row r="1049" spans="2:14" x14ac:dyDescent="0.25">
      <c r="B1049" s="64"/>
      <c r="C1049" s="64"/>
      <c r="J1049" s="64"/>
      <c r="K1049" s="504"/>
      <c r="L1049" s="504"/>
      <c r="M1049" s="550"/>
      <c r="N1049" s="550"/>
    </row>
    <row r="1050" spans="2:14" x14ac:dyDescent="0.25">
      <c r="B1050" s="64"/>
      <c r="C1050" s="64"/>
      <c r="J1050" s="64"/>
      <c r="K1050" s="504"/>
      <c r="L1050" s="504"/>
      <c r="M1050" s="550"/>
      <c r="N1050" s="550"/>
    </row>
    <row r="1051" spans="2:14" x14ac:dyDescent="0.25">
      <c r="B1051" s="64"/>
      <c r="C1051" s="64"/>
      <c r="J1051" s="64"/>
      <c r="K1051" s="504"/>
      <c r="L1051" s="504"/>
      <c r="M1051" s="550"/>
      <c r="N1051" s="550"/>
    </row>
    <row r="1052" spans="2:14" x14ac:dyDescent="0.25">
      <c r="B1052" s="64"/>
      <c r="C1052" s="64"/>
      <c r="J1052" s="64"/>
      <c r="K1052" s="504"/>
      <c r="L1052" s="504"/>
      <c r="M1052" s="550"/>
      <c r="N1052" s="550"/>
    </row>
    <row r="1053" spans="2:14" x14ac:dyDescent="0.25">
      <c r="B1053" s="64"/>
      <c r="C1053" s="64"/>
      <c r="J1053" s="64"/>
      <c r="K1053" s="504"/>
      <c r="L1053" s="504"/>
      <c r="M1053" s="550"/>
      <c r="N1053" s="550"/>
    </row>
    <row r="1054" spans="2:14" x14ac:dyDescent="0.25">
      <c r="B1054" s="64"/>
      <c r="C1054" s="64"/>
      <c r="J1054" s="64"/>
      <c r="K1054" s="504"/>
      <c r="L1054" s="504"/>
      <c r="M1054" s="550"/>
      <c r="N1054" s="550"/>
    </row>
    <row r="1055" spans="2:14" x14ac:dyDescent="0.25">
      <c r="B1055" s="64"/>
      <c r="C1055" s="64"/>
      <c r="J1055" s="64"/>
      <c r="K1055" s="504"/>
      <c r="L1055" s="504"/>
      <c r="M1055" s="550"/>
      <c r="N1055" s="550"/>
    </row>
    <row r="1056" spans="2:14" x14ac:dyDescent="0.25">
      <c r="B1056" s="64"/>
      <c r="C1056" s="64"/>
      <c r="J1056" s="64"/>
      <c r="K1056" s="504"/>
      <c r="L1056" s="504"/>
      <c r="M1056" s="550"/>
      <c r="N1056" s="550"/>
    </row>
    <row r="1057" spans="2:14" x14ac:dyDescent="0.25">
      <c r="B1057" s="64"/>
      <c r="C1057" s="64"/>
      <c r="J1057" s="64"/>
      <c r="K1057" s="504"/>
      <c r="L1057" s="504"/>
      <c r="M1057" s="550"/>
      <c r="N1057" s="550"/>
    </row>
    <row r="1058" spans="2:14" x14ac:dyDescent="0.25">
      <c r="B1058" s="64"/>
      <c r="C1058" s="64"/>
      <c r="J1058" s="64"/>
      <c r="K1058" s="504"/>
      <c r="L1058" s="504"/>
      <c r="M1058" s="550"/>
      <c r="N1058" s="550"/>
    </row>
    <row r="1059" spans="2:14" x14ac:dyDescent="0.25">
      <c r="B1059" s="64"/>
      <c r="C1059" s="64"/>
      <c r="J1059" s="64"/>
      <c r="K1059" s="504"/>
      <c r="L1059" s="504"/>
      <c r="M1059" s="550"/>
      <c r="N1059" s="550"/>
    </row>
    <row r="1060" spans="2:14" x14ac:dyDescent="0.25">
      <c r="B1060" s="64"/>
      <c r="C1060" s="64"/>
      <c r="J1060" s="64"/>
      <c r="K1060" s="504"/>
      <c r="L1060" s="504"/>
      <c r="M1060" s="550"/>
      <c r="N1060" s="550"/>
    </row>
    <row r="1061" spans="2:14" x14ac:dyDescent="0.25">
      <c r="B1061" s="64"/>
      <c r="C1061" s="64"/>
      <c r="J1061" s="64"/>
      <c r="K1061" s="504"/>
      <c r="L1061" s="504"/>
      <c r="M1061" s="550"/>
      <c r="N1061" s="550"/>
    </row>
    <row r="1062" spans="2:14" x14ac:dyDescent="0.25">
      <c r="B1062" s="64"/>
      <c r="C1062" s="64"/>
      <c r="J1062" s="64"/>
      <c r="K1062" s="504"/>
      <c r="L1062" s="504"/>
      <c r="M1062" s="550"/>
      <c r="N1062" s="550"/>
    </row>
    <row r="1063" spans="2:14" x14ac:dyDescent="0.25">
      <c r="B1063" s="64"/>
      <c r="C1063" s="64"/>
      <c r="J1063" s="64"/>
      <c r="K1063" s="504"/>
      <c r="L1063" s="504"/>
      <c r="M1063" s="550"/>
      <c r="N1063" s="550"/>
    </row>
    <row r="1064" spans="2:14" x14ac:dyDescent="0.25">
      <c r="B1064" s="64"/>
      <c r="C1064" s="64"/>
      <c r="J1064" s="64"/>
      <c r="K1064" s="504"/>
      <c r="L1064" s="504"/>
      <c r="M1064" s="550"/>
      <c r="N1064" s="550"/>
    </row>
    <row r="1065" spans="2:14" x14ac:dyDescent="0.25">
      <c r="B1065" s="64"/>
      <c r="C1065" s="64"/>
      <c r="J1065" s="64"/>
      <c r="K1065" s="504"/>
      <c r="L1065" s="504"/>
      <c r="M1065" s="550"/>
      <c r="N1065" s="550"/>
    </row>
    <row r="1066" spans="2:14" x14ac:dyDescent="0.25">
      <c r="B1066" s="64"/>
      <c r="C1066" s="64"/>
      <c r="J1066" s="64"/>
      <c r="K1066" s="504"/>
      <c r="L1066" s="504"/>
      <c r="M1066" s="550"/>
      <c r="N1066" s="550"/>
    </row>
    <row r="1067" spans="2:14" x14ac:dyDescent="0.25">
      <c r="B1067" s="64"/>
      <c r="C1067" s="64"/>
      <c r="J1067" s="64"/>
      <c r="K1067" s="504"/>
      <c r="L1067" s="504"/>
      <c r="M1067" s="550"/>
      <c r="N1067" s="550"/>
    </row>
    <row r="1068" spans="2:14" x14ac:dyDescent="0.25">
      <c r="B1068" s="64"/>
      <c r="C1068" s="64"/>
      <c r="J1068" s="64"/>
      <c r="K1068" s="504"/>
      <c r="L1068" s="504"/>
      <c r="M1068" s="550"/>
      <c r="N1068" s="550"/>
    </row>
    <row r="1069" spans="2:14" x14ac:dyDescent="0.25">
      <c r="B1069" s="64"/>
      <c r="C1069" s="64"/>
      <c r="J1069" s="64"/>
      <c r="K1069" s="504"/>
      <c r="L1069" s="504"/>
      <c r="M1069" s="550"/>
      <c r="N1069" s="550"/>
    </row>
    <row r="1070" spans="2:14" x14ac:dyDescent="0.25">
      <c r="B1070" s="64"/>
      <c r="C1070" s="64"/>
      <c r="J1070" s="64"/>
      <c r="K1070" s="504"/>
      <c r="L1070" s="504"/>
      <c r="M1070" s="550"/>
      <c r="N1070" s="550"/>
    </row>
    <row r="1071" spans="2:14" x14ac:dyDescent="0.25">
      <c r="B1071" s="64"/>
      <c r="C1071" s="64"/>
      <c r="J1071" s="64"/>
      <c r="K1071" s="504"/>
      <c r="L1071" s="504"/>
      <c r="M1071" s="550"/>
      <c r="N1071" s="550"/>
    </row>
    <row r="1072" spans="2:14" x14ac:dyDescent="0.25">
      <c r="B1072" s="64"/>
      <c r="C1072" s="64"/>
      <c r="J1072" s="64"/>
      <c r="K1072" s="504"/>
      <c r="L1072" s="504"/>
      <c r="M1072" s="550"/>
      <c r="N1072" s="550"/>
    </row>
    <row r="1073" spans="2:14" x14ac:dyDescent="0.25">
      <c r="B1073" s="64"/>
      <c r="C1073" s="64"/>
      <c r="J1073" s="64"/>
      <c r="K1073" s="504"/>
      <c r="L1073" s="504"/>
      <c r="M1073" s="550"/>
      <c r="N1073" s="550"/>
    </row>
    <row r="1074" spans="2:14" x14ac:dyDescent="0.25">
      <c r="B1074" s="64"/>
      <c r="C1074" s="64"/>
      <c r="J1074" s="64"/>
      <c r="K1074" s="504"/>
      <c r="L1074" s="504"/>
      <c r="M1074" s="550"/>
      <c r="N1074" s="550"/>
    </row>
    <row r="1075" spans="2:14" x14ac:dyDescent="0.25">
      <c r="B1075" s="64"/>
      <c r="C1075" s="64"/>
      <c r="J1075" s="64"/>
      <c r="K1075" s="504"/>
      <c r="L1075" s="504"/>
      <c r="M1075" s="550"/>
      <c r="N1075" s="550"/>
    </row>
    <row r="1076" spans="2:14" x14ac:dyDescent="0.25">
      <c r="B1076" s="64"/>
      <c r="C1076" s="64"/>
      <c r="J1076" s="64"/>
      <c r="K1076" s="504"/>
      <c r="L1076" s="504"/>
      <c r="M1076" s="550"/>
      <c r="N1076" s="550"/>
    </row>
    <row r="1077" spans="2:14" x14ac:dyDescent="0.25">
      <c r="B1077" s="64"/>
      <c r="C1077" s="64"/>
      <c r="J1077" s="64"/>
      <c r="K1077" s="504"/>
      <c r="L1077" s="504"/>
      <c r="M1077" s="550"/>
      <c r="N1077" s="550"/>
    </row>
    <row r="1078" spans="2:14" x14ac:dyDescent="0.25">
      <c r="B1078" s="64"/>
      <c r="C1078" s="64"/>
      <c r="J1078" s="64"/>
      <c r="K1078" s="504"/>
      <c r="L1078" s="504"/>
      <c r="M1078" s="550"/>
      <c r="N1078" s="550"/>
    </row>
    <row r="1079" spans="2:14" x14ac:dyDescent="0.25">
      <c r="B1079" s="64"/>
      <c r="C1079" s="64"/>
      <c r="J1079" s="64"/>
      <c r="K1079" s="504"/>
      <c r="L1079" s="504"/>
      <c r="M1079" s="550"/>
      <c r="N1079" s="550"/>
    </row>
    <row r="1080" spans="2:14" x14ac:dyDescent="0.25">
      <c r="B1080" s="64"/>
      <c r="C1080" s="64"/>
      <c r="J1080" s="64"/>
      <c r="K1080" s="504"/>
      <c r="L1080" s="504"/>
      <c r="M1080" s="550"/>
      <c r="N1080" s="550"/>
    </row>
    <row r="1081" spans="2:14" x14ac:dyDescent="0.25">
      <c r="B1081" s="64"/>
      <c r="C1081" s="64"/>
      <c r="J1081" s="64"/>
      <c r="K1081" s="504"/>
      <c r="L1081" s="504"/>
      <c r="M1081" s="550"/>
      <c r="N1081" s="550"/>
    </row>
    <row r="1082" spans="2:14" x14ac:dyDescent="0.25">
      <c r="B1082" s="64"/>
      <c r="C1082" s="64"/>
      <c r="J1082" s="64"/>
      <c r="K1082" s="504"/>
      <c r="L1082" s="504"/>
      <c r="M1082" s="550"/>
      <c r="N1082" s="550"/>
    </row>
    <row r="1083" spans="2:14" x14ac:dyDescent="0.25">
      <c r="B1083" s="64"/>
      <c r="C1083" s="64"/>
      <c r="J1083" s="64"/>
      <c r="K1083" s="504"/>
      <c r="L1083" s="504"/>
      <c r="M1083" s="550"/>
      <c r="N1083" s="550"/>
    </row>
    <row r="1084" spans="2:14" x14ac:dyDescent="0.25">
      <c r="B1084" s="64"/>
      <c r="C1084" s="64"/>
      <c r="J1084" s="64"/>
      <c r="K1084" s="504"/>
      <c r="L1084" s="504"/>
      <c r="M1084" s="550"/>
      <c r="N1084" s="550"/>
    </row>
    <row r="1085" spans="2:14" x14ac:dyDescent="0.25">
      <c r="B1085" s="64"/>
      <c r="C1085" s="64"/>
      <c r="J1085" s="64"/>
      <c r="K1085" s="504"/>
      <c r="L1085" s="504"/>
      <c r="M1085" s="550"/>
      <c r="N1085" s="550"/>
    </row>
    <row r="1086" spans="2:14" x14ac:dyDescent="0.25">
      <c r="B1086" s="64"/>
      <c r="C1086" s="64"/>
      <c r="J1086" s="64"/>
      <c r="K1086" s="504"/>
      <c r="L1086" s="504"/>
      <c r="M1086" s="550"/>
      <c r="N1086" s="550"/>
    </row>
    <row r="1087" spans="2:14" x14ac:dyDescent="0.25">
      <c r="B1087" s="64"/>
      <c r="C1087" s="64"/>
      <c r="J1087" s="64"/>
      <c r="K1087" s="504"/>
      <c r="L1087" s="504"/>
      <c r="M1087" s="550"/>
      <c r="N1087" s="550"/>
    </row>
    <row r="1088" spans="2:14" x14ac:dyDescent="0.25">
      <c r="B1088" s="64"/>
      <c r="C1088" s="64"/>
      <c r="J1088" s="64"/>
      <c r="K1088" s="504"/>
      <c r="L1088" s="504"/>
      <c r="M1088" s="550"/>
      <c r="N1088" s="550"/>
    </row>
    <row r="1089" spans="2:14" x14ac:dyDescent="0.25">
      <c r="B1089" s="64"/>
      <c r="C1089" s="64"/>
      <c r="J1089" s="64"/>
      <c r="K1089" s="504"/>
      <c r="L1089" s="504"/>
      <c r="M1089" s="550"/>
      <c r="N1089" s="550"/>
    </row>
    <row r="1090" spans="2:14" x14ac:dyDescent="0.25">
      <c r="B1090" s="64"/>
      <c r="C1090" s="64"/>
      <c r="J1090" s="64"/>
      <c r="K1090" s="504"/>
      <c r="L1090" s="504"/>
      <c r="M1090" s="550"/>
      <c r="N1090" s="550"/>
    </row>
    <row r="1091" spans="2:14" x14ac:dyDescent="0.25">
      <c r="B1091" s="64"/>
      <c r="C1091" s="64"/>
      <c r="J1091" s="64"/>
      <c r="K1091" s="504"/>
      <c r="L1091" s="504"/>
      <c r="M1091" s="550"/>
      <c r="N1091" s="550"/>
    </row>
    <row r="1092" spans="2:14" x14ac:dyDescent="0.25">
      <c r="B1092" s="64"/>
      <c r="C1092" s="64"/>
      <c r="J1092" s="64"/>
      <c r="K1092" s="504"/>
      <c r="L1092" s="504"/>
      <c r="M1092" s="550"/>
      <c r="N1092" s="550"/>
    </row>
    <row r="1093" spans="2:14" x14ac:dyDescent="0.25">
      <c r="B1093" s="64"/>
      <c r="C1093" s="64"/>
      <c r="J1093" s="64"/>
      <c r="K1093" s="504"/>
      <c r="L1093" s="504"/>
      <c r="M1093" s="550"/>
      <c r="N1093" s="550"/>
    </row>
    <row r="1094" spans="2:14" x14ac:dyDescent="0.25">
      <c r="B1094" s="64"/>
      <c r="C1094" s="64"/>
      <c r="J1094" s="64"/>
      <c r="K1094" s="504"/>
      <c r="L1094" s="504"/>
      <c r="M1094" s="550"/>
      <c r="N1094" s="550"/>
    </row>
    <row r="1095" spans="2:14" x14ac:dyDescent="0.25">
      <c r="B1095" s="64"/>
      <c r="C1095" s="64"/>
      <c r="J1095" s="64"/>
      <c r="K1095" s="504"/>
      <c r="L1095" s="504"/>
      <c r="M1095" s="550"/>
      <c r="N1095" s="550"/>
    </row>
    <row r="1096" spans="2:14" x14ac:dyDescent="0.25">
      <c r="B1096" s="64"/>
      <c r="C1096" s="64"/>
      <c r="J1096" s="64"/>
      <c r="K1096" s="504"/>
      <c r="L1096" s="504"/>
      <c r="M1096" s="550"/>
      <c r="N1096" s="550"/>
    </row>
    <row r="1097" spans="2:14" x14ac:dyDescent="0.25">
      <c r="B1097" s="64"/>
      <c r="C1097" s="64"/>
      <c r="J1097" s="64"/>
      <c r="K1097" s="504"/>
      <c r="L1097" s="504"/>
      <c r="M1097" s="550"/>
      <c r="N1097" s="550"/>
    </row>
    <row r="1098" spans="2:14" x14ac:dyDescent="0.25">
      <c r="B1098" s="64"/>
      <c r="C1098" s="64"/>
      <c r="J1098" s="64"/>
      <c r="K1098" s="504"/>
      <c r="L1098" s="504"/>
      <c r="M1098" s="550"/>
      <c r="N1098" s="550"/>
    </row>
    <row r="1099" spans="2:14" x14ac:dyDescent="0.25">
      <c r="B1099" s="64"/>
      <c r="C1099" s="64"/>
      <c r="J1099" s="64"/>
      <c r="K1099" s="504"/>
      <c r="L1099" s="504"/>
      <c r="M1099" s="550"/>
      <c r="N1099" s="550"/>
    </row>
    <row r="1100" spans="2:14" x14ac:dyDescent="0.25">
      <c r="B1100" s="64"/>
      <c r="C1100" s="64"/>
      <c r="J1100" s="64"/>
      <c r="K1100" s="504"/>
      <c r="L1100" s="504"/>
      <c r="M1100" s="550"/>
      <c r="N1100" s="550"/>
    </row>
    <row r="1101" spans="2:14" x14ac:dyDescent="0.25">
      <c r="B1101" s="64"/>
      <c r="C1101" s="64"/>
      <c r="J1101" s="64"/>
      <c r="K1101" s="504"/>
      <c r="L1101" s="504"/>
      <c r="M1101" s="550"/>
      <c r="N1101" s="550"/>
    </row>
    <row r="1102" spans="2:14" x14ac:dyDescent="0.25">
      <c r="B1102" s="64"/>
      <c r="C1102" s="64"/>
      <c r="J1102" s="64"/>
      <c r="K1102" s="504"/>
      <c r="L1102" s="504"/>
      <c r="M1102" s="550"/>
      <c r="N1102" s="550"/>
    </row>
    <row r="1103" spans="2:14" x14ac:dyDescent="0.25">
      <c r="B1103" s="64"/>
      <c r="C1103" s="64"/>
      <c r="J1103" s="64"/>
      <c r="K1103" s="504"/>
      <c r="L1103" s="504"/>
      <c r="M1103" s="550"/>
      <c r="N1103" s="550"/>
    </row>
    <row r="1104" spans="2:14" x14ac:dyDescent="0.25">
      <c r="B1104" s="64"/>
      <c r="C1104" s="64"/>
      <c r="J1104" s="64"/>
      <c r="K1104" s="504"/>
      <c r="L1104" s="504"/>
      <c r="M1104" s="550"/>
      <c r="N1104" s="550"/>
    </row>
    <row r="1105" spans="2:14" x14ac:dyDescent="0.25">
      <c r="B1105" s="64"/>
      <c r="C1105" s="64"/>
      <c r="J1105" s="64"/>
      <c r="K1105" s="504"/>
      <c r="L1105" s="504"/>
      <c r="M1105" s="550"/>
      <c r="N1105" s="550"/>
    </row>
    <row r="1106" spans="2:14" x14ac:dyDescent="0.25">
      <c r="B1106" s="64"/>
      <c r="C1106" s="64"/>
      <c r="J1106" s="64"/>
      <c r="K1106" s="504"/>
      <c r="L1106" s="504"/>
      <c r="M1106" s="550"/>
      <c r="N1106" s="550"/>
    </row>
    <row r="1107" spans="2:14" x14ac:dyDescent="0.25">
      <c r="B1107" s="64"/>
      <c r="C1107" s="64"/>
      <c r="J1107" s="64"/>
      <c r="K1107" s="504"/>
      <c r="L1107" s="504"/>
      <c r="M1107" s="550"/>
      <c r="N1107" s="550"/>
    </row>
    <row r="1108" spans="2:14" x14ac:dyDescent="0.25">
      <c r="B1108" s="64"/>
      <c r="C1108" s="64"/>
      <c r="J1108" s="64"/>
      <c r="K1108" s="504"/>
      <c r="L1108" s="504"/>
      <c r="M1108" s="550"/>
      <c r="N1108" s="550"/>
    </row>
    <row r="1109" spans="2:14" x14ac:dyDescent="0.25">
      <c r="B1109" s="64"/>
      <c r="C1109" s="64"/>
      <c r="J1109" s="64"/>
      <c r="K1109" s="504"/>
      <c r="L1109" s="504"/>
      <c r="M1109" s="550"/>
      <c r="N1109" s="550"/>
    </row>
    <row r="1110" spans="2:14" x14ac:dyDescent="0.25">
      <c r="B1110" s="64"/>
      <c r="C1110" s="64"/>
      <c r="J1110" s="64"/>
      <c r="K1110" s="504"/>
      <c r="L1110" s="504"/>
      <c r="M1110" s="550"/>
      <c r="N1110" s="550"/>
    </row>
    <row r="1111" spans="2:14" x14ac:dyDescent="0.25">
      <c r="B1111" s="64"/>
      <c r="C1111" s="64"/>
      <c r="J1111" s="64"/>
      <c r="K1111" s="504"/>
      <c r="L1111" s="504"/>
      <c r="M1111" s="550"/>
      <c r="N1111" s="550"/>
    </row>
    <row r="1112" spans="2:14" x14ac:dyDescent="0.25">
      <c r="B1112" s="64"/>
      <c r="C1112" s="64"/>
      <c r="J1112" s="64"/>
      <c r="K1112" s="504"/>
      <c r="L1112" s="504"/>
      <c r="M1112" s="550"/>
      <c r="N1112" s="550"/>
    </row>
    <row r="1113" spans="2:14" x14ac:dyDescent="0.25">
      <c r="B1113" s="64"/>
      <c r="C1113" s="64"/>
      <c r="J1113" s="64"/>
      <c r="K1113" s="504"/>
      <c r="L1113" s="504"/>
      <c r="M1113" s="550"/>
      <c r="N1113" s="550"/>
    </row>
    <row r="1114" spans="2:14" x14ac:dyDescent="0.25">
      <c r="B1114" s="64"/>
      <c r="C1114" s="64"/>
      <c r="J1114" s="64"/>
      <c r="K1114" s="504"/>
      <c r="L1114" s="504"/>
      <c r="M1114" s="550"/>
      <c r="N1114" s="550"/>
    </row>
    <row r="1115" spans="2:14" x14ac:dyDescent="0.25">
      <c r="B1115" s="64"/>
      <c r="C1115" s="64"/>
      <c r="J1115" s="64"/>
      <c r="K1115" s="504"/>
      <c r="L1115" s="504"/>
      <c r="M1115" s="550"/>
      <c r="N1115" s="550"/>
    </row>
    <row r="1116" spans="2:14" x14ac:dyDescent="0.25">
      <c r="B1116" s="64"/>
      <c r="C1116" s="64"/>
      <c r="J1116" s="64"/>
      <c r="K1116" s="504"/>
      <c r="L1116" s="504"/>
      <c r="M1116" s="550"/>
      <c r="N1116" s="550"/>
    </row>
    <row r="1117" spans="2:14" x14ac:dyDescent="0.25">
      <c r="B1117" s="64"/>
      <c r="C1117" s="64"/>
      <c r="J1117" s="64"/>
      <c r="K1117" s="504"/>
      <c r="L1117" s="504"/>
      <c r="M1117" s="550"/>
      <c r="N1117" s="550"/>
    </row>
    <row r="1118" spans="2:14" x14ac:dyDescent="0.25">
      <c r="B1118" s="64"/>
      <c r="C1118" s="64"/>
      <c r="J1118" s="64"/>
      <c r="K1118" s="504"/>
      <c r="L1118" s="504"/>
      <c r="M1118" s="550"/>
      <c r="N1118" s="550"/>
    </row>
    <row r="1119" spans="2:14" x14ac:dyDescent="0.25">
      <c r="B1119" s="64"/>
      <c r="C1119" s="64"/>
      <c r="J1119" s="64"/>
      <c r="K1119" s="504"/>
      <c r="L1119" s="504"/>
      <c r="M1119" s="550"/>
      <c r="N1119" s="550"/>
    </row>
    <row r="1120" spans="2:14" x14ac:dyDescent="0.25">
      <c r="B1120" s="64"/>
      <c r="C1120" s="64"/>
      <c r="J1120" s="64"/>
      <c r="K1120" s="504"/>
      <c r="L1120" s="504"/>
      <c r="M1120" s="550"/>
      <c r="N1120" s="550"/>
    </row>
    <row r="1121" spans="2:14" x14ac:dyDescent="0.25">
      <c r="B1121" s="64"/>
      <c r="C1121" s="64"/>
      <c r="J1121" s="64"/>
      <c r="K1121" s="504"/>
      <c r="L1121" s="504"/>
      <c r="M1121" s="550"/>
      <c r="N1121" s="550"/>
    </row>
    <row r="1122" spans="2:14" x14ac:dyDescent="0.25">
      <c r="B1122" s="64"/>
      <c r="C1122" s="64"/>
      <c r="J1122" s="64"/>
      <c r="K1122" s="504"/>
      <c r="L1122" s="504"/>
      <c r="M1122" s="550"/>
      <c r="N1122" s="550"/>
    </row>
    <row r="1123" spans="2:14" x14ac:dyDescent="0.25">
      <c r="B1123" s="64"/>
      <c r="C1123" s="64"/>
      <c r="J1123" s="64"/>
      <c r="K1123" s="504"/>
      <c r="L1123" s="504"/>
      <c r="M1123" s="550"/>
      <c r="N1123" s="550"/>
    </row>
    <row r="1124" spans="2:14" x14ac:dyDescent="0.25">
      <c r="B1124" s="64"/>
      <c r="C1124" s="64"/>
      <c r="J1124" s="64"/>
      <c r="K1124" s="504"/>
      <c r="L1124" s="504"/>
      <c r="M1124" s="550"/>
      <c r="N1124" s="550"/>
    </row>
    <row r="1125" spans="2:14" x14ac:dyDescent="0.25">
      <c r="B1125" s="64"/>
      <c r="C1125" s="64"/>
      <c r="J1125" s="64"/>
      <c r="K1125" s="504"/>
      <c r="L1125" s="504"/>
      <c r="M1125" s="550"/>
      <c r="N1125" s="550"/>
    </row>
    <row r="1126" spans="2:14" x14ac:dyDescent="0.25">
      <c r="B1126" s="64"/>
      <c r="C1126" s="64"/>
      <c r="J1126" s="64"/>
      <c r="K1126" s="504"/>
      <c r="L1126" s="504"/>
      <c r="M1126" s="550"/>
      <c r="N1126" s="550"/>
    </row>
    <row r="1127" spans="2:14" x14ac:dyDescent="0.25">
      <c r="B1127" s="64"/>
      <c r="C1127" s="64"/>
      <c r="J1127" s="64"/>
      <c r="K1127" s="504"/>
      <c r="L1127" s="504"/>
      <c r="M1127" s="550"/>
      <c r="N1127" s="550"/>
    </row>
    <row r="1128" spans="2:14" x14ac:dyDescent="0.25">
      <c r="B1128" s="64"/>
      <c r="C1128" s="64"/>
      <c r="J1128" s="64"/>
      <c r="K1128" s="504"/>
      <c r="L1128" s="504"/>
      <c r="M1128" s="550"/>
      <c r="N1128" s="550"/>
    </row>
    <row r="1129" spans="2:14" x14ac:dyDescent="0.25">
      <c r="B1129" s="64"/>
      <c r="C1129" s="64"/>
      <c r="J1129" s="64"/>
      <c r="K1129" s="504"/>
      <c r="L1129" s="504"/>
      <c r="M1129" s="550"/>
      <c r="N1129" s="550"/>
    </row>
    <row r="1130" spans="2:14" x14ac:dyDescent="0.25">
      <c r="B1130" s="64"/>
      <c r="C1130" s="64"/>
      <c r="J1130" s="64"/>
      <c r="K1130" s="504"/>
      <c r="L1130" s="504"/>
      <c r="M1130" s="550"/>
      <c r="N1130" s="550"/>
    </row>
    <row r="1131" spans="2:14" x14ac:dyDescent="0.25">
      <c r="B1131" s="64"/>
      <c r="C1131" s="64"/>
      <c r="J1131" s="64"/>
      <c r="K1131" s="504"/>
      <c r="L1131" s="504"/>
      <c r="M1131" s="550"/>
      <c r="N1131" s="550"/>
    </row>
    <row r="1132" spans="2:14" x14ac:dyDescent="0.25">
      <c r="B1132" s="64"/>
      <c r="C1132" s="64"/>
      <c r="J1132" s="64"/>
      <c r="K1132" s="504"/>
      <c r="L1132" s="504"/>
      <c r="M1132" s="550"/>
      <c r="N1132" s="550"/>
    </row>
    <row r="1133" spans="2:14" x14ac:dyDescent="0.25">
      <c r="B1133" s="64"/>
      <c r="C1133" s="64"/>
      <c r="J1133" s="64"/>
      <c r="K1133" s="504"/>
      <c r="L1133" s="504"/>
      <c r="M1133" s="550"/>
      <c r="N1133" s="550"/>
    </row>
    <row r="1134" spans="2:14" x14ac:dyDescent="0.25">
      <c r="B1134" s="64"/>
      <c r="C1134" s="64"/>
      <c r="J1134" s="64"/>
      <c r="K1134" s="504"/>
      <c r="L1134" s="504"/>
      <c r="M1134" s="550"/>
      <c r="N1134" s="550"/>
    </row>
    <row r="1135" spans="2:14" x14ac:dyDescent="0.25">
      <c r="B1135" s="64"/>
      <c r="C1135" s="64"/>
      <c r="J1135" s="64"/>
      <c r="K1135" s="504"/>
      <c r="L1135" s="504"/>
      <c r="M1135" s="550"/>
      <c r="N1135" s="550"/>
    </row>
    <row r="1136" spans="2:14" x14ac:dyDescent="0.25">
      <c r="B1136" s="64"/>
      <c r="C1136" s="64"/>
      <c r="J1136" s="64"/>
      <c r="K1136" s="504"/>
      <c r="L1136" s="504"/>
      <c r="M1136" s="550"/>
      <c r="N1136" s="550"/>
    </row>
    <row r="1137" spans="2:14" x14ac:dyDescent="0.25">
      <c r="B1137" s="64"/>
      <c r="C1137" s="64"/>
      <c r="J1137" s="64"/>
      <c r="K1137" s="504"/>
      <c r="L1137" s="504"/>
      <c r="M1137" s="550"/>
      <c r="N1137" s="550"/>
    </row>
    <row r="1138" spans="2:14" x14ac:dyDescent="0.25">
      <c r="B1138" s="64"/>
      <c r="C1138" s="64"/>
      <c r="J1138" s="64"/>
      <c r="K1138" s="504"/>
      <c r="L1138" s="504"/>
      <c r="M1138" s="550"/>
      <c r="N1138" s="550"/>
    </row>
    <row r="1139" spans="2:14" x14ac:dyDescent="0.25">
      <c r="B1139" s="64"/>
      <c r="C1139" s="64"/>
      <c r="J1139" s="64"/>
      <c r="K1139" s="504"/>
      <c r="L1139" s="504"/>
      <c r="M1139" s="550"/>
      <c r="N1139" s="550"/>
    </row>
    <row r="1140" spans="2:14" x14ac:dyDescent="0.25">
      <c r="B1140" s="64"/>
      <c r="C1140" s="64"/>
      <c r="J1140" s="64"/>
      <c r="K1140" s="504"/>
      <c r="L1140" s="504"/>
      <c r="M1140" s="550"/>
      <c r="N1140" s="550"/>
    </row>
    <row r="1141" spans="2:14" x14ac:dyDescent="0.25">
      <c r="B1141" s="64"/>
      <c r="C1141" s="64"/>
      <c r="J1141" s="64"/>
      <c r="K1141" s="504"/>
      <c r="L1141" s="504"/>
      <c r="M1141" s="550"/>
      <c r="N1141" s="550"/>
    </row>
    <row r="1142" spans="2:14" x14ac:dyDescent="0.25">
      <c r="B1142" s="64"/>
      <c r="C1142" s="64"/>
      <c r="J1142" s="64"/>
      <c r="K1142" s="504"/>
      <c r="L1142" s="504"/>
      <c r="M1142" s="550"/>
      <c r="N1142" s="550"/>
    </row>
    <row r="1143" spans="2:14" x14ac:dyDescent="0.25">
      <c r="B1143" s="64"/>
      <c r="C1143" s="64"/>
      <c r="J1143" s="64"/>
      <c r="K1143" s="504"/>
      <c r="L1143" s="504"/>
      <c r="M1143" s="550"/>
      <c r="N1143" s="550"/>
    </row>
    <row r="1144" spans="2:14" x14ac:dyDescent="0.25">
      <c r="B1144" s="64"/>
      <c r="C1144" s="64"/>
      <c r="J1144" s="64"/>
      <c r="K1144" s="504"/>
      <c r="L1144" s="504"/>
      <c r="M1144" s="550"/>
      <c r="N1144" s="550"/>
    </row>
    <row r="1145" spans="2:14" x14ac:dyDescent="0.25">
      <c r="B1145" s="64"/>
      <c r="C1145" s="64"/>
      <c r="J1145" s="64"/>
      <c r="K1145" s="504"/>
      <c r="L1145" s="504"/>
      <c r="M1145" s="550"/>
      <c r="N1145" s="550"/>
    </row>
    <row r="1146" spans="2:14" x14ac:dyDescent="0.25">
      <c r="B1146" s="64"/>
      <c r="C1146" s="64"/>
      <c r="J1146" s="64"/>
      <c r="K1146" s="504"/>
      <c r="L1146" s="504"/>
      <c r="M1146" s="550"/>
      <c r="N1146" s="550"/>
    </row>
    <row r="1147" spans="2:14" x14ac:dyDescent="0.25">
      <c r="B1147" s="64"/>
      <c r="C1147" s="64"/>
      <c r="J1147" s="64"/>
      <c r="K1147" s="504"/>
      <c r="L1147" s="504"/>
      <c r="M1147" s="550"/>
      <c r="N1147" s="550"/>
    </row>
    <row r="1148" spans="2:14" x14ac:dyDescent="0.25">
      <c r="B1148" s="64"/>
      <c r="C1148" s="64"/>
      <c r="J1148" s="64"/>
      <c r="K1148" s="504"/>
      <c r="L1148" s="504"/>
      <c r="M1148" s="550"/>
      <c r="N1148" s="550"/>
    </row>
    <row r="1149" spans="2:14" x14ac:dyDescent="0.25">
      <c r="B1149" s="64"/>
      <c r="C1149" s="64"/>
      <c r="J1149" s="64"/>
      <c r="K1149" s="504"/>
      <c r="L1149" s="504"/>
      <c r="M1149" s="550"/>
      <c r="N1149" s="550"/>
    </row>
    <row r="1150" spans="2:14" x14ac:dyDescent="0.25">
      <c r="B1150" s="64"/>
      <c r="C1150" s="64"/>
      <c r="J1150" s="64"/>
      <c r="K1150" s="504"/>
      <c r="L1150" s="504"/>
      <c r="M1150" s="550"/>
      <c r="N1150" s="550"/>
    </row>
    <row r="1151" spans="2:14" x14ac:dyDescent="0.25">
      <c r="B1151" s="64"/>
      <c r="C1151" s="64"/>
      <c r="J1151" s="64"/>
      <c r="K1151" s="504"/>
      <c r="L1151" s="504"/>
      <c r="M1151" s="550"/>
      <c r="N1151" s="550"/>
    </row>
    <row r="1152" spans="2:14" x14ac:dyDescent="0.25">
      <c r="B1152" s="64"/>
      <c r="C1152" s="64"/>
      <c r="J1152" s="64"/>
      <c r="K1152" s="504"/>
      <c r="L1152" s="504"/>
      <c r="M1152" s="550"/>
      <c r="N1152" s="550"/>
    </row>
    <row r="1153" spans="2:14" x14ac:dyDescent="0.25">
      <c r="B1153" s="64"/>
      <c r="C1153" s="64"/>
      <c r="J1153" s="64"/>
      <c r="K1153" s="504"/>
      <c r="L1153" s="504"/>
      <c r="M1153" s="550"/>
      <c r="N1153" s="550"/>
    </row>
    <row r="1154" spans="2:14" x14ac:dyDescent="0.25">
      <c r="B1154" s="64"/>
      <c r="C1154" s="64"/>
      <c r="J1154" s="64"/>
      <c r="K1154" s="504"/>
      <c r="L1154" s="504"/>
      <c r="M1154" s="550"/>
      <c r="N1154" s="550"/>
    </row>
    <row r="1155" spans="2:14" x14ac:dyDescent="0.25">
      <c r="B1155" s="64"/>
      <c r="C1155" s="64"/>
      <c r="J1155" s="64"/>
      <c r="K1155" s="504"/>
      <c r="L1155" s="504"/>
      <c r="M1155" s="550"/>
      <c r="N1155" s="550"/>
    </row>
    <row r="1156" spans="2:14" x14ac:dyDescent="0.25">
      <c r="B1156" s="64"/>
      <c r="C1156" s="64"/>
      <c r="J1156" s="64"/>
      <c r="K1156" s="504"/>
      <c r="L1156" s="504"/>
      <c r="M1156" s="550"/>
      <c r="N1156" s="550"/>
    </row>
    <row r="1157" spans="2:14" x14ac:dyDescent="0.25">
      <c r="B1157" s="64"/>
      <c r="C1157" s="64"/>
      <c r="J1157" s="64"/>
      <c r="K1157" s="504"/>
      <c r="L1157" s="504"/>
      <c r="M1157" s="550"/>
      <c r="N1157" s="550"/>
    </row>
    <row r="1158" spans="2:14" x14ac:dyDescent="0.25">
      <c r="B1158" s="64"/>
      <c r="C1158" s="64"/>
      <c r="J1158" s="64"/>
      <c r="K1158" s="504"/>
      <c r="L1158" s="504"/>
      <c r="M1158" s="550"/>
      <c r="N1158" s="550"/>
    </row>
    <row r="1159" spans="2:14" x14ac:dyDescent="0.25">
      <c r="B1159" s="64"/>
      <c r="C1159" s="64"/>
      <c r="J1159" s="64"/>
      <c r="K1159" s="504"/>
      <c r="L1159" s="504"/>
      <c r="M1159" s="550"/>
      <c r="N1159" s="550"/>
    </row>
    <row r="1160" spans="2:14" x14ac:dyDescent="0.25">
      <c r="B1160" s="64"/>
      <c r="C1160" s="64"/>
      <c r="J1160" s="64"/>
      <c r="K1160" s="504"/>
      <c r="L1160" s="504"/>
      <c r="M1160" s="550"/>
      <c r="N1160" s="550"/>
    </row>
    <row r="1161" spans="2:14" x14ac:dyDescent="0.25">
      <c r="B1161" s="64"/>
      <c r="C1161" s="64"/>
      <c r="J1161" s="64"/>
      <c r="K1161" s="504"/>
      <c r="L1161" s="504"/>
      <c r="M1161" s="550"/>
      <c r="N1161" s="550"/>
    </row>
    <row r="1162" spans="2:14" x14ac:dyDescent="0.25">
      <c r="B1162" s="64"/>
      <c r="C1162" s="64"/>
      <c r="J1162" s="64"/>
      <c r="K1162" s="504"/>
      <c r="L1162" s="504"/>
      <c r="M1162" s="550"/>
      <c r="N1162" s="550"/>
    </row>
    <row r="1163" spans="2:14" x14ac:dyDescent="0.25">
      <c r="B1163" s="64"/>
      <c r="C1163" s="64"/>
      <c r="J1163" s="64"/>
      <c r="K1163" s="504"/>
      <c r="L1163" s="504"/>
      <c r="M1163" s="550"/>
      <c r="N1163" s="550"/>
    </row>
    <row r="1164" spans="2:14" x14ac:dyDescent="0.25">
      <c r="B1164" s="64"/>
      <c r="C1164" s="64"/>
      <c r="J1164" s="64"/>
      <c r="K1164" s="504"/>
      <c r="L1164" s="504"/>
      <c r="M1164" s="550"/>
      <c r="N1164" s="550"/>
    </row>
    <row r="1165" spans="2:14" x14ac:dyDescent="0.25">
      <c r="B1165" s="64"/>
      <c r="C1165" s="64"/>
      <c r="J1165" s="64"/>
      <c r="K1165" s="504"/>
      <c r="L1165" s="504"/>
      <c r="M1165" s="550"/>
      <c r="N1165" s="550"/>
    </row>
    <row r="1166" spans="2:14" x14ac:dyDescent="0.25">
      <c r="B1166" s="64"/>
      <c r="C1166" s="64"/>
      <c r="J1166" s="64"/>
      <c r="K1166" s="504"/>
      <c r="L1166" s="504"/>
      <c r="M1166" s="550"/>
      <c r="N1166" s="550"/>
    </row>
    <row r="1167" spans="2:14" x14ac:dyDescent="0.25">
      <c r="B1167" s="64"/>
      <c r="C1167" s="64"/>
      <c r="J1167" s="64"/>
      <c r="K1167" s="504"/>
      <c r="L1167" s="504"/>
      <c r="M1167" s="550"/>
      <c r="N1167" s="550"/>
    </row>
    <row r="1168" spans="2:14" x14ac:dyDescent="0.25">
      <c r="B1168" s="64"/>
      <c r="C1168" s="64"/>
      <c r="J1168" s="64"/>
      <c r="K1168" s="504"/>
      <c r="L1168" s="504"/>
      <c r="M1168" s="550"/>
      <c r="N1168" s="550"/>
    </row>
    <row r="1169" spans="2:14" x14ac:dyDescent="0.25">
      <c r="B1169" s="64"/>
      <c r="C1169" s="64"/>
      <c r="J1169" s="64"/>
      <c r="K1169" s="504"/>
      <c r="L1169" s="504"/>
      <c r="M1169" s="550"/>
      <c r="N1169" s="550"/>
    </row>
    <row r="1170" spans="2:14" x14ac:dyDescent="0.25">
      <c r="B1170" s="64"/>
      <c r="C1170" s="64"/>
      <c r="J1170" s="64"/>
      <c r="K1170" s="504"/>
      <c r="L1170" s="504"/>
      <c r="M1170" s="550"/>
      <c r="N1170" s="550"/>
    </row>
    <row r="1171" spans="2:14" x14ac:dyDescent="0.25">
      <c r="B1171" s="64"/>
      <c r="C1171" s="64"/>
      <c r="J1171" s="64"/>
      <c r="K1171" s="504"/>
      <c r="L1171" s="504"/>
      <c r="M1171" s="550"/>
      <c r="N1171" s="550"/>
    </row>
    <row r="1172" spans="2:14" x14ac:dyDescent="0.25">
      <c r="B1172" s="64"/>
      <c r="C1172" s="64"/>
      <c r="J1172" s="64"/>
      <c r="K1172" s="504"/>
      <c r="L1172" s="504"/>
      <c r="M1172" s="550"/>
      <c r="N1172" s="550"/>
    </row>
    <row r="1173" spans="2:14" x14ac:dyDescent="0.25">
      <c r="B1173" s="64"/>
      <c r="C1173" s="64"/>
      <c r="J1173" s="64"/>
      <c r="K1173" s="504"/>
      <c r="L1173" s="504"/>
      <c r="M1173" s="550"/>
      <c r="N1173" s="550"/>
    </row>
    <row r="1174" spans="2:14" x14ac:dyDescent="0.25">
      <c r="B1174" s="64"/>
      <c r="C1174" s="64"/>
      <c r="J1174" s="64"/>
      <c r="K1174" s="504"/>
      <c r="L1174" s="504"/>
      <c r="M1174" s="550"/>
      <c r="N1174" s="550"/>
    </row>
    <row r="1175" spans="2:14" x14ac:dyDescent="0.25">
      <c r="B1175" s="64"/>
      <c r="C1175" s="64"/>
      <c r="J1175" s="64"/>
      <c r="K1175" s="504"/>
      <c r="L1175" s="504"/>
      <c r="M1175" s="550"/>
      <c r="N1175" s="550"/>
    </row>
    <row r="1176" spans="2:14" x14ac:dyDescent="0.25">
      <c r="B1176" s="64"/>
      <c r="C1176" s="64"/>
      <c r="J1176" s="64"/>
      <c r="K1176" s="504"/>
      <c r="L1176" s="504"/>
      <c r="M1176" s="550"/>
      <c r="N1176" s="550"/>
    </row>
    <row r="1177" spans="2:14" x14ac:dyDescent="0.25">
      <c r="B1177" s="64"/>
      <c r="C1177" s="64"/>
      <c r="J1177" s="64"/>
      <c r="K1177" s="504"/>
      <c r="L1177" s="504"/>
      <c r="M1177" s="550"/>
      <c r="N1177" s="550"/>
    </row>
    <row r="1178" spans="2:14" x14ac:dyDescent="0.25">
      <c r="B1178" s="64"/>
      <c r="C1178" s="64"/>
      <c r="J1178" s="64"/>
      <c r="K1178" s="504"/>
      <c r="L1178" s="504"/>
      <c r="M1178" s="550"/>
      <c r="N1178" s="550"/>
    </row>
    <row r="1179" spans="2:14" x14ac:dyDescent="0.25">
      <c r="B1179" s="64"/>
      <c r="C1179" s="64"/>
      <c r="J1179" s="64"/>
      <c r="K1179" s="504"/>
      <c r="L1179" s="504"/>
      <c r="M1179" s="550"/>
      <c r="N1179" s="550"/>
    </row>
    <row r="1180" spans="2:14" x14ac:dyDescent="0.25">
      <c r="B1180" s="64"/>
      <c r="C1180" s="64"/>
      <c r="J1180" s="64"/>
      <c r="K1180" s="504"/>
      <c r="L1180" s="504"/>
      <c r="M1180" s="550"/>
      <c r="N1180" s="550"/>
    </row>
    <row r="1181" spans="2:14" x14ac:dyDescent="0.25">
      <c r="B1181" s="64"/>
      <c r="C1181" s="64"/>
      <c r="J1181" s="64"/>
      <c r="K1181" s="504"/>
      <c r="L1181" s="504"/>
      <c r="M1181" s="550"/>
      <c r="N1181" s="550"/>
    </row>
    <row r="1182" spans="2:14" x14ac:dyDescent="0.25">
      <c r="B1182" s="64"/>
      <c r="C1182" s="64"/>
      <c r="J1182" s="64"/>
      <c r="K1182" s="504"/>
      <c r="L1182" s="504"/>
      <c r="M1182" s="550"/>
      <c r="N1182" s="550"/>
    </row>
    <row r="1183" spans="2:14" x14ac:dyDescent="0.25">
      <c r="B1183" s="64"/>
      <c r="C1183" s="64"/>
      <c r="J1183" s="64"/>
      <c r="K1183" s="504"/>
      <c r="L1183" s="504"/>
      <c r="M1183" s="550"/>
      <c r="N1183" s="550"/>
    </row>
    <row r="1184" spans="2:14" x14ac:dyDescent="0.25">
      <c r="B1184" s="64"/>
      <c r="C1184" s="64"/>
      <c r="J1184" s="64"/>
      <c r="K1184" s="504"/>
      <c r="L1184" s="504"/>
      <c r="M1184" s="550"/>
      <c r="N1184" s="550"/>
    </row>
    <row r="1185" spans="2:14" x14ac:dyDescent="0.25">
      <c r="B1185" s="64"/>
      <c r="C1185" s="64"/>
      <c r="J1185" s="64"/>
      <c r="K1185" s="504"/>
      <c r="L1185" s="504"/>
      <c r="M1185" s="550"/>
      <c r="N1185" s="550"/>
    </row>
    <row r="1186" spans="2:14" x14ac:dyDescent="0.25">
      <c r="B1186" s="64"/>
      <c r="C1186" s="64"/>
      <c r="J1186" s="64"/>
      <c r="K1186" s="504"/>
      <c r="L1186" s="504"/>
      <c r="M1186" s="550"/>
      <c r="N1186" s="550"/>
    </row>
    <row r="1187" spans="2:14" x14ac:dyDescent="0.25">
      <c r="B1187" s="64"/>
      <c r="C1187" s="64"/>
      <c r="J1187" s="64"/>
      <c r="K1187" s="504"/>
      <c r="L1187" s="504"/>
      <c r="M1187" s="550"/>
      <c r="N1187" s="550"/>
    </row>
    <row r="1188" spans="2:14" x14ac:dyDescent="0.25">
      <c r="B1188" s="64"/>
      <c r="C1188" s="64"/>
      <c r="J1188" s="64"/>
      <c r="K1188" s="504"/>
      <c r="L1188" s="504"/>
      <c r="M1188" s="550"/>
      <c r="N1188" s="550"/>
    </row>
    <row r="1189" spans="2:14" x14ac:dyDescent="0.25">
      <c r="B1189" s="64"/>
      <c r="C1189" s="64"/>
      <c r="J1189" s="64"/>
      <c r="K1189" s="504"/>
      <c r="L1189" s="504"/>
      <c r="M1189" s="550"/>
      <c r="N1189" s="550"/>
    </row>
    <row r="1190" spans="2:14" x14ac:dyDescent="0.25">
      <c r="B1190" s="64"/>
      <c r="C1190" s="64"/>
      <c r="J1190" s="64"/>
      <c r="K1190" s="504"/>
      <c r="L1190" s="504"/>
      <c r="M1190" s="550"/>
      <c r="N1190" s="550"/>
    </row>
    <row r="1191" spans="2:14" x14ac:dyDescent="0.25">
      <c r="B1191" s="64"/>
      <c r="C1191" s="64"/>
      <c r="J1191" s="64"/>
      <c r="K1191" s="504"/>
      <c r="L1191" s="504"/>
      <c r="M1191" s="550"/>
      <c r="N1191" s="550"/>
    </row>
    <row r="1192" spans="2:14" x14ac:dyDescent="0.25">
      <c r="B1192" s="64"/>
      <c r="C1192" s="64"/>
      <c r="J1192" s="64"/>
      <c r="K1192" s="504"/>
      <c r="L1192" s="504"/>
      <c r="M1192" s="550"/>
      <c r="N1192" s="550"/>
    </row>
    <row r="1193" spans="2:14" x14ac:dyDescent="0.25">
      <c r="B1193" s="64"/>
      <c r="C1193" s="64"/>
      <c r="J1193" s="64"/>
      <c r="K1193" s="504"/>
      <c r="L1193" s="504"/>
      <c r="M1193" s="550"/>
      <c r="N1193" s="550"/>
    </row>
    <row r="1194" spans="2:14" x14ac:dyDescent="0.25">
      <c r="B1194" s="64"/>
      <c r="C1194" s="64"/>
      <c r="J1194" s="64"/>
      <c r="K1194" s="504"/>
      <c r="L1194" s="504"/>
      <c r="M1194" s="550"/>
      <c r="N1194" s="550"/>
    </row>
    <row r="1195" spans="2:14" x14ac:dyDescent="0.25">
      <c r="B1195" s="64"/>
      <c r="C1195" s="64"/>
      <c r="J1195" s="64"/>
      <c r="K1195" s="504"/>
      <c r="L1195" s="504"/>
      <c r="M1195" s="550"/>
      <c r="N1195" s="550"/>
    </row>
    <row r="1196" spans="2:14" x14ac:dyDescent="0.25">
      <c r="B1196" s="64"/>
      <c r="C1196" s="64"/>
      <c r="J1196" s="64"/>
      <c r="K1196" s="504"/>
      <c r="L1196" s="504"/>
      <c r="M1196" s="550"/>
      <c r="N1196" s="550"/>
    </row>
    <row r="1197" spans="2:14" x14ac:dyDescent="0.25">
      <c r="B1197" s="64"/>
      <c r="C1197" s="64"/>
      <c r="J1197" s="64"/>
      <c r="K1197" s="504"/>
      <c r="L1197" s="504"/>
      <c r="M1197" s="550"/>
      <c r="N1197" s="550"/>
    </row>
    <row r="1198" spans="2:14" x14ac:dyDescent="0.25">
      <c r="B1198" s="64"/>
      <c r="C1198" s="64"/>
      <c r="J1198" s="64"/>
      <c r="K1198" s="504"/>
      <c r="L1198" s="504"/>
      <c r="M1198" s="550"/>
      <c r="N1198" s="550"/>
    </row>
    <row r="1199" spans="2:14" x14ac:dyDescent="0.25">
      <c r="B1199" s="64"/>
      <c r="C1199" s="64"/>
      <c r="J1199" s="64"/>
      <c r="K1199" s="504"/>
      <c r="L1199" s="504"/>
      <c r="M1199" s="550"/>
      <c r="N1199" s="550"/>
    </row>
    <row r="1200" spans="2:14" x14ac:dyDescent="0.25">
      <c r="B1200" s="64"/>
      <c r="C1200" s="64"/>
      <c r="J1200" s="64"/>
      <c r="K1200" s="504"/>
      <c r="L1200" s="504"/>
      <c r="M1200" s="550"/>
      <c r="N1200" s="550"/>
    </row>
    <row r="1201" spans="2:14" x14ac:dyDescent="0.25">
      <c r="B1201" s="64"/>
      <c r="C1201" s="64"/>
      <c r="J1201" s="64"/>
      <c r="K1201" s="504"/>
      <c r="L1201" s="504"/>
      <c r="M1201" s="550"/>
      <c r="N1201" s="550"/>
    </row>
    <row r="1202" spans="2:14" x14ac:dyDescent="0.25">
      <c r="B1202" s="64"/>
      <c r="C1202" s="64"/>
      <c r="J1202" s="64"/>
      <c r="K1202" s="504"/>
      <c r="L1202" s="504"/>
      <c r="M1202" s="550"/>
      <c r="N1202" s="550"/>
    </row>
    <row r="1203" spans="2:14" x14ac:dyDescent="0.25">
      <c r="B1203" s="64"/>
      <c r="C1203" s="64"/>
      <c r="J1203" s="64"/>
      <c r="K1203" s="504"/>
      <c r="L1203" s="504"/>
      <c r="M1203" s="550"/>
      <c r="N1203" s="550"/>
    </row>
    <row r="1204" spans="2:14" x14ac:dyDescent="0.25">
      <c r="B1204" s="64"/>
      <c r="C1204" s="64"/>
      <c r="J1204" s="64"/>
      <c r="K1204" s="504"/>
      <c r="L1204" s="504"/>
      <c r="M1204" s="550"/>
      <c r="N1204" s="550"/>
    </row>
    <row r="1205" spans="2:14" x14ac:dyDescent="0.25">
      <c r="B1205" s="64"/>
      <c r="C1205" s="64"/>
      <c r="J1205" s="64"/>
      <c r="K1205" s="504"/>
      <c r="L1205" s="504"/>
      <c r="M1205" s="550"/>
      <c r="N1205" s="550"/>
    </row>
    <row r="1206" spans="2:14" x14ac:dyDescent="0.25">
      <c r="B1206" s="64"/>
      <c r="C1206" s="64"/>
      <c r="J1206" s="64"/>
      <c r="K1206" s="504"/>
      <c r="L1206" s="504"/>
      <c r="M1206" s="550"/>
      <c r="N1206" s="550"/>
    </row>
    <row r="1207" spans="2:14" x14ac:dyDescent="0.25">
      <c r="B1207" s="64"/>
      <c r="C1207" s="64"/>
      <c r="J1207" s="64"/>
      <c r="K1207" s="504"/>
      <c r="L1207" s="504"/>
      <c r="M1207" s="550"/>
      <c r="N1207" s="550"/>
    </row>
    <row r="1208" spans="2:14" x14ac:dyDescent="0.25">
      <c r="B1208" s="64"/>
      <c r="C1208" s="64"/>
      <c r="J1208" s="64"/>
      <c r="K1208" s="504"/>
      <c r="L1208" s="504"/>
      <c r="M1208" s="550"/>
      <c r="N1208" s="550"/>
    </row>
    <row r="1209" spans="2:14" x14ac:dyDescent="0.25">
      <c r="B1209" s="64"/>
      <c r="C1209" s="64"/>
      <c r="J1209" s="64"/>
      <c r="K1209" s="504"/>
      <c r="L1209" s="504"/>
      <c r="M1209" s="550"/>
      <c r="N1209" s="550"/>
    </row>
    <row r="1210" spans="2:14" x14ac:dyDescent="0.25">
      <c r="B1210" s="64"/>
      <c r="C1210" s="64"/>
      <c r="J1210" s="64"/>
      <c r="K1210" s="504"/>
      <c r="L1210" s="504"/>
      <c r="M1210" s="550"/>
      <c r="N1210" s="550"/>
    </row>
    <row r="1211" spans="2:14" x14ac:dyDescent="0.25">
      <c r="B1211" s="64"/>
      <c r="C1211" s="64"/>
      <c r="J1211" s="64"/>
      <c r="K1211" s="504"/>
      <c r="L1211" s="504"/>
      <c r="M1211" s="550"/>
      <c r="N1211" s="550"/>
    </row>
    <row r="1212" spans="2:14" x14ac:dyDescent="0.25">
      <c r="B1212" s="64"/>
      <c r="C1212" s="64"/>
      <c r="J1212" s="64"/>
      <c r="K1212" s="504"/>
      <c r="L1212" s="504"/>
      <c r="M1212" s="550"/>
      <c r="N1212" s="550"/>
    </row>
    <row r="1213" spans="2:14" x14ac:dyDescent="0.25">
      <c r="B1213" s="64"/>
      <c r="C1213" s="64"/>
      <c r="J1213" s="64"/>
      <c r="K1213" s="504"/>
      <c r="L1213" s="504"/>
      <c r="M1213" s="550"/>
      <c r="N1213" s="550"/>
    </row>
    <row r="1214" spans="2:14" x14ac:dyDescent="0.25">
      <c r="B1214" s="64"/>
      <c r="C1214" s="64"/>
      <c r="J1214" s="64"/>
      <c r="K1214" s="504"/>
      <c r="L1214" s="504"/>
      <c r="M1214" s="550"/>
      <c r="N1214" s="550"/>
    </row>
    <row r="1215" spans="2:14" x14ac:dyDescent="0.25">
      <c r="B1215" s="64"/>
      <c r="C1215" s="64"/>
      <c r="J1215" s="64"/>
      <c r="K1215" s="504"/>
      <c r="L1215" s="504"/>
      <c r="M1215" s="550"/>
      <c r="N1215" s="550"/>
    </row>
    <row r="1216" spans="2:14" x14ac:dyDescent="0.25">
      <c r="B1216" s="64"/>
      <c r="C1216" s="64"/>
      <c r="J1216" s="64"/>
      <c r="K1216" s="504"/>
      <c r="L1216" s="504"/>
      <c r="M1216" s="550"/>
      <c r="N1216" s="550"/>
    </row>
    <row r="1217" spans="2:14" x14ac:dyDescent="0.25">
      <c r="B1217" s="64"/>
      <c r="C1217" s="64"/>
      <c r="J1217" s="64"/>
      <c r="K1217" s="504"/>
      <c r="L1217" s="504"/>
      <c r="M1217" s="550"/>
      <c r="N1217" s="550"/>
    </row>
    <row r="1218" spans="2:14" x14ac:dyDescent="0.25">
      <c r="B1218" s="64"/>
      <c r="C1218" s="64"/>
      <c r="J1218" s="64"/>
      <c r="K1218" s="504"/>
      <c r="L1218" s="504"/>
      <c r="M1218" s="550"/>
      <c r="N1218" s="550"/>
    </row>
    <row r="1219" spans="2:14" x14ac:dyDescent="0.25">
      <c r="B1219" s="64"/>
      <c r="C1219" s="64"/>
      <c r="J1219" s="64"/>
      <c r="K1219" s="504"/>
      <c r="L1219" s="504"/>
      <c r="M1219" s="550"/>
      <c r="N1219" s="550"/>
    </row>
    <row r="1220" spans="2:14" x14ac:dyDescent="0.25">
      <c r="B1220" s="64"/>
      <c r="C1220" s="64"/>
      <c r="J1220" s="64"/>
      <c r="K1220" s="504"/>
      <c r="L1220" s="504"/>
      <c r="M1220" s="550"/>
      <c r="N1220" s="550"/>
    </row>
    <row r="1221" spans="2:14" x14ac:dyDescent="0.25">
      <c r="B1221" s="64"/>
      <c r="C1221" s="64"/>
      <c r="J1221" s="64"/>
      <c r="K1221" s="504"/>
      <c r="L1221" s="504"/>
      <c r="M1221" s="550"/>
      <c r="N1221" s="550"/>
    </row>
    <row r="1222" spans="2:14" x14ac:dyDescent="0.25">
      <c r="B1222" s="64"/>
      <c r="C1222" s="64"/>
      <c r="J1222" s="64"/>
      <c r="K1222" s="504"/>
      <c r="L1222" s="504"/>
      <c r="M1222" s="550"/>
      <c r="N1222" s="550"/>
    </row>
    <row r="1223" spans="2:14" x14ac:dyDescent="0.25">
      <c r="B1223" s="64"/>
      <c r="C1223" s="64"/>
      <c r="J1223" s="64"/>
      <c r="K1223" s="504"/>
      <c r="L1223" s="504"/>
      <c r="M1223" s="550"/>
      <c r="N1223" s="550"/>
    </row>
    <row r="1224" spans="2:14" x14ac:dyDescent="0.25">
      <c r="B1224" s="64"/>
      <c r="C1224" s="64"/>
      <c r="J1224" s="64"/>
      <c r="K1224" s="504"/>
      <c r="L1224" s="504"/>
      <c r="M1224" s="550"/>
      <c r="N1224" s="550"/>
    </row>
    <row r="1225" spans="2:14" x14ac:dyDescent="0.25">
      <c r="B1225" s="64"/>
      <c r="C1225" s="64"/>
      <c r="J1225" s="64"/>
      <c r="K1225" s="504"/>
      <c r="L1225" s="504"/>
      <c r="M1225" s="550"/>
      <c r="N1225" s="550"/>
    </row>
    <row r="1226" spans="2:14" x14ac:dyDescent="0.25">
      <c r="B1226" s="64"/>
      <c r="C1226" s="64"/>
      <c r="J1226" s="64"/>
      <c r="K1226" s="504"/>
      <c r="L1226" s="504"/>
      <c r="M1226" s="550"/>
      <c r="N1226" s="550"/>
    </row>
    <row r="1227" spans="2:14" x14ac:dyDescent="0.25">
      <c r="B1227" s="64"/>
      <c r="C1227" s="64"/>
      <c r="J1227" s="64"/>
      <c r="K1227" s="504"/>
      <c r="L1227" s="504"/>
      <c r="M1227" s="550"/>
      <c r="N1227" s="550"/>
    </row>
    <row r="1228" spans="2:14" x14ac:dyDescent="0.25">
      <c r="B1228" s="64"/>
      <c r="C1228" s="64"/>
      <c r="J1228" s="64"/>
      <c r="K1228" s="504"/>
      <c r="L1228" s="504"/>
      <c r="M1228" s="550"/>
      <c r="N1228" s="550"/>
    </row>
    <row r="1229" spans="2:14" x14ac:dyDescent="0.25">
      <c r="B1229" s="64"/>
      <c r="C1229" s="64"/>
      <c r="J1229" s="64"/>
      <c r="K1229" s="504"/>
      <c r="L1229" s="504"/>
      <c r="M1229" s="550"/>
      <c r="N1229" s="550"/>
    </row>
    <row r="1230" spans="2:14" x14ac:dyDescent="0.25">
      <c r="B1230" s="64"/>
      <c r="C1230" s="64"/>
      <c r="J1230" s="64"/>
      <c r="K1230" s="504"/>
      <c r="L1230" s="504"/>
      <c r="M1230" s="550"/>
      <c r="N1230" s="550"/>
    </row>
    <row r="1231" spans="2:14" x14ac:dyDescent="0.25">
      <c r="B1231" s="64"/>
      <c r="C1231" s="64"/>
      <c r="J1231" s="64"/>
      <c r="K1231" s="504"/>
      <c r="L1231" s="504"/>
      <c r="M1231" s="550"/>
      <c r="N1231" s="550"/>
    </row>
    <row r="1232" spans="2:14" x14ac:dyDescent="0.25">
      <c r="B1232" s="64"/>
      <c r="C1232" s="64"/>
      <c r="J1232" s="64"/>
      <c r="K1232" s="504"/>
      <c r="L1232" s="504"/>
      <c r="M1232" s="550"/>
      <c r="N1232" s="550"/>
    </row>
    <row r="1233" spans="2:14" x14ac:dyDescent="0.25">
      <c r="B1233" s="64"/>
      <c r="C1233" s="64"/>
      <c r="J1233" s="64"/>
      <c r="K1233" s="504"/>
      <c r="L1233" s="504"/>
      <c r="M1233" s="550"/>
      <c r="N1233" s="550"/>
    </row>
    <row r="1234" spans="2:14" x14ac:dyDescent="0.25">
      <c r="B1234" s="64"/>
      <c r="C1234" s="64"/>
      <c r="J1234" s="64"/>
      <c r="K1234" s="504"/>
      <c r="L1234" s="504"/>
      <c r="M1234" s="550"/>
      <c r="N1234" s="550"/>
    </row>
    <row r="1235" spans="2:14" x14ac:dyDescent="0.25">
      <c r="B1235" s="64"/>
      <c r="C1235" s="64"/>
      <c r="J1235" s="64"/>
      <c r="K1235" s="504"/>
      <c r="L1235" s="504"/>
      <c r="M1235" s="550"/>
      <c r="N1235" s="550"/>
    </row>
    <row r="1236" spans="2:14" x14ac:dyDescent="0.25">
      <c r="B1236" s="64"/>
      <c r="C1236" s="64"/>
      <c r="J1236" s="64"/>
      <c r="K1236" s="504"/>
      <c r="L1236" s="504"/>
      <c r="M1236" s="550"/>
      <c r="N1236" s="550"/>
    </row>
    <row r="1237" spans="2:14" x14ac:dyDescent="0.25">
      <c r="B1237" s="64"/>
      <c r="C1237" s="64"/>
      <c r="J1237" s="64"/>
      <c r="K1237" s="504"/>
      <c r="L1237" s="504"/>
      <c r="M1237" s="550"/>
      <c r="N1237" s="550"/>
    </row>
    <row r="1238" spans="2:14" x14ac:dyDescent="0.25">
      <c r="B1238" s="64"/>
      <c r="C1238" s="64"/>
      <c r="J1238" s="64"/>
      <c r="K1238" s="504"/>
      <c r="L1238" s="504"/>
      <c r="M1238" s="550"/>
      <c r="N1238" s="550"/>
    </row>
    <row r="1239" spans="2:14" x14ac:dyDescent="0.25">
      <c r="B1239" s="64"/>
      <c r="C1239" s="64"/>
      <c r="J1239" s="64"/>
      <c r="K1239" s="504"/>
      <c r="L1239" s="504"/>
      <c r="M1239" s="550"/>
      <c r="N1239" s="550"/>
    </row>
    <row r="1240" spans="2:14" x14ac:dyDescent="0.25">
      <c r="B1240" s="64"/>
      <c r="C1240" s="64"/>
      <c r="J1240" s="64"/>
      <c r="K1240" s="504"/>
      <c r="L1240" s="504"/>
      <c r="M1240" s="550"/>
      <c r="N1240" s="550"/>
    </row>
    <row r="1241" spans="2:14" x14ac:dyDescent="0.25">
      <c r="B1241" s="64"/>
      <c r="C1241" s="64"/>
      <c r="J1241" s="64"/>
      <c r="K1241" s="504"/>
      <c r="L1241" s="504"/>
      <c r="M1241" s="550"/>
      <c r="N1241" s="550"/>
    </row>
    <row r="1242" spans="2:14" x14ac:dyDescent="0.25">
      <c r="B1242" s="64"/>
      <c r="C1242" s="64"/>
      <c r="J1242" s="64"/>
      <c r="K1242" s="504"/>
      <c r="L1242" s="504"/>
      <c r="M1242" s="550"/>
      <c r="N1242" s="550"/>
    </row>
    <row r="1243" spans="2:14" x14ac:dyDescent="0.25">
      <c r="B1243" s="64"/>
      <c r="C1243" s="64"/>
      <c r="J1243" s="64"/>
      <c r="K1243" s="504"/>
      <c r="L1243" s="504"/>
      <c r="M1243" s="550"/>
      <c r="N1243" s="550"/>
    </row>
    <row r="1244" spans="2:14" x14ac:dyDescent="0.25">
      <c r="B1244" s="64"/>
      <c r="C1244" s="64"/>
      <c r="J1244" s="64"/>
      <c r="K1244" s="504"/>
      <c r="L1244" s="504"/>
      <c r="M1244" s="550"/>
      <c r="N1244" s="550"/>
    </row>
    <row r="1245" spans="2:14" x14ac:dyDescent="0.25">
      <c r="B1245" s="64"/>
      <c r="C1245" s="64"/>
      <c r="J1245" s="64"/>
      <c r="K1245" s="504"/>
      <c r="L1245" s="504"/>
      <c r="M1245" s="550"/>
      <c r="N1245" s="550"/>
    </row>
    <row r="1246" spans="2:14" x14ac:dyDescent="0.25">
      <c r="B1246" s="64"/>
      <c r="C1246" s="64"/>
      <c r="J1246" s="64"/>
      <c r="K1246" s="504"/>
      <c r="L1246" s="504"/>
      <c r="M1246" s="550"/>
      <c r="N1246" s="550"/>
    </row>
    <row r="1247" spans="2:14" x14ac:dyDescent="0.25">
      <c r="B1247" s="64"/>
      <c r="C1247" s="64"/>
      <c r="J1247" s="64"/>
      <c r="K1247" s="504"/>
      <c r="L1247" s="504"/>
      <c r="M1247" s="550"/>
      <c r="N1247" s="550"/>
    </row>
    <row r="1248" spans="2:14" x14ac:dyDescent="0.25">
      <c r="B1248" s="64"/>
      <c r="C1248" s="64"/>
      <c r="J1248" s="64"/>
      <c r="K1248" s="504"/>
      <c r="L1248" s="504"/>
      <c r="M1248" s="550"/>
      <c r="N1248" s="550"/>
    </row>
    <row r="1249" spans="2:14" x14ac:dyDescent="0.25">
      <c r="B1249" s="64"/>
      <c r="C1249" s="64"/>
      <c r="J1249" s="64"/>
      <c r="K1249" s="504"/>
      <c r="L1249" s="504"/>
      <c r="M1249" s="550"/>
      <c r="N1249" s="550"/>
    </row>
    <row r="1250" spans="2:14" x14ac:dyDescent="0.25">
      <c r="B1250" s="64"/>
      <c r="C1250" s="64"/>
      <c r="J1250" s="64"/>
      <c r="K1250" s="504"/>
      <c r="L1250" s="504"/>
      <c r="M1250" s="550"/>
      <c r="N1250" s="550"/>
    </row>
    <row r="1251" spans="2:14" x14ac:dyDescent="0.25">
      <c r="B1251" s="64"/>
      <c r="C1251" s="64"/>
      <c r="J1251" s="64"/>
      <c r="K1251" s="504"/>
      <c r="L1251" s="504"/>
      <c r="M1251" s="550"/>
      <c r="N1251" s="550"/>
    </row>
    <row r="1252" spans="2:14" x14ac:dyDescent="0.25">
      <c r="B1252" s="64"/>
      <c r="C1252" s="64"/>
      <c r="J1252" s="64"/>
      <c r="K1252" s="504"/>
      <c r="L1252" s="504"/>
      <c r="M1252" s="550"/>
      <c r="N1252" s="550"/>
    </row>
    <row r="1253" spans="2:14" x14ac:dyDescent="0.25">
      <c r="B1253" s="64"/>
      <c r="C1253" s="64"/>
      <c r="J1253" s="64"/>
      <c r="K1253" s="504"/>
      <c r="L1253" s="504"/>
      <c r="M1253" s="550"/>
      <c r="N1253" s="550"/>
    </row>
    <row r="1254" spans="2:14" x14ac:dyDescent="0.25">
      <c r="B1254" s="64"/>
      <c r="C1254" s="64"/>
      <c r="J1254" s="64"/>
      <c r="K1254" s="504"/>
      <c r="L1254" s="504"/>
      <c r="M1254" s="550"/>
      <c r="N1254" s="550"/>
    </row>
    <row r="1255" spans="2:14" x14ac:dyDescent="0.25">
      <c r="B1255" s="64"/>
      <c r="C1255" s="64"/>
      <c r="J1255" s="64"/>
      <c r="K1255" s="504"/>
      <c r="L1255" s="504"/>
      <c r="M1255" s="550"/>
      <c r="N1255" s="550"/>
    </row>
    <row r="1256" spans="2:14" x14ac:dyDescent="0.25">
      <c r="B1256" s="64"/>
      <c r="C1256" s="64"/>
      <c r="J1256" s="64"/>
      <c r="K1256" s="504"/>
      <c r="L1256" s="504"/>
      <c r="M1256" s="550"/>
      <c r="N1256" s="550"/>
    </row>
    <row r="1257" spans="2:14" x14ac:dyDescent="0.25">
      <c r="B1257" s="64"/>
      <c r="C1257" s="64"/>
      <c r="J1257" s="64"/>
      <c r="K1257" s="504"/>
      <c r="L1257" s="504"/>
      <c r="M1257" s="550"/>
      <c r="N1257" s="550"/>
    </row>
    <row r="1258" spans="2:14" x14ac:dyDescent="0.25">
      <c r="B1258" s="64"/>
      <c r="C1258" s="64"/>
      <c r="J1258" s="64"/>
      <c r="K1258" s="504"/>
      <c r="L1258" s="504"/>
      <c r="M1258" s="550"/>
      <c r="N1258" s="550"/>
    </row>
    <row r="1259" spans="2:14" x14ac:dyDescent="0.25">
      <c r="B1259" s="64"/>
      <c r="C1259" s="64"/>
      <c r="J1259" s="64"/>
      <c r="K1259" s="504"/>
      <c r="L1259" s="504"/>
      <c r="M1259" s="550"/>
      <c r="N1259" s="550"/>
    </row>
    <row r="1260" spans="2:14" x14ac:dyDescent="0.25">
      <c r="B1260" s="64"/>
      <c r="C1260" s="64"/>
      <c r="J1260" s="64"/>
      <c r="K1260" s="504"/>
      <c r="L1260" s="504"/>
      <c r="M1260" s="550"/>
      <c r="N1260" s="550"/>
    </row>
    <row r="1261" spans="2:14" x14ac:dyDescent="0.25">
      <c r="B1261" s="64"/>
      <c r="C1261" s="64"/>
      <c r="J1261" s="64"/>
      <c r="K1261" s="504"/>
      <c r="L1261" s="504"/>
      <c r="M1261" s="550"/>
      <c r="N1261" s="550"/>
    </row>
    <row r="1262" spans="2:14" x14ac:dyDescent="0.25">
      <c r="B1262" s="64"/>
      <c r="C1262" s="64"/>
      <c r="J1262" s="64"/>
      <c r="K1262" s="504"/>
      <c r="L1262" s="504"/>
      <c r="M1262" s="550"/>
      <c r="N1262" s="550"/>
    </row>
    <row r="1263" spans="2:14" x14ac:dyDescent="0.25">
      <c r="B1263" s="64"/>
      <c r="C1263" s="64"/>
      <c r="J1263" s="64"/>
      <c r="K1263" s="504"/>
      <c r="L1263" s="504"/>
      <c r="M1263" s="550"/>
      <c r="N1263" s="550"/>
    </row>
    <row r="1264" spans="2:14" x14ac:dyDescent="0.25">
      <c r="B1264" s="64"/>
      <c r="C1264" s="64"/>
      <c r="J1264" s="64"/>
      <c r="K1264" s="504"/>
      <c r="L1264" s="504"/>
      <c r="M1264" s="550"/>
      <c r="N1264" s="550"/>
    </row>
    <row r="1265" spans="2:14" x14ac:dyDescent="0.25">
      <c r="B1265" s="64"/>
      <c r="C1265" s="64"/>
      <c r="J1265" s="64"/>
      <c r="K1265" s="504"/>
      <c r="L1265" s="504"/>
      <c r="M1265" s="550"/>
      <c r="N1265" s="550"/>
    </row>
    <row r="1266" spans="2:14" x14ac:dyDescent="0.25">
      <c r="B1266" s="64"/>
      <c r="C1266" s="64"/>
      <c r="J1266" s="64"/>
      <c r="K1266" s="504"/>
      <c r="L1266" s="504"/>
      <c r="M1266" s="550"/>
      <c r="N1266" s="550"/>
    </row>
    <row r="1267" spans="2:14" x14ac:dyDescent="0.25">
      <c r="B1267" s="64"/>
      <c r="C1267" s="64"/>
      <c r="J1267" s="64"/>
      <c r="K1267" s="504"/>
      <c r="L1267" s="504"/>
      <c r="M1267" s="550"/>
      <c r="N1267" s="550"/>
    </row>
    <row r="1268" spans="2:14" x14ac:dyDescent="0.25">
      <c r="B1268" s="64"/>
      <c r="C1268" s="64"/>
      <c r="J1268" s="64"/>
      <c r="K1268" s="504"/>
      <c r="L1268" s="504"/>
      <c r="M1268" s="550"/>
      <c r="N1268" s="550"/>
    </row>
    <row r="1269" spans="2:14" x14ac:dyDescent="0.25">
      <c r="B1269" s="64"/>
      <c r="C1269" s="64"/>
      <c r="J1269" s="64"/>
      <c r="K1269" s="504"/>
      <c r="L1269" s="504"/>
      <c r="M1269" s="550"/>
      <c r="N1269" s="550"/>
    </row>
    <row r="1270" spans="2:14" x14ac:dyDescent="0.25">
      <c r="B1270" s="64"/>
      <c r="C1270" s="64"/>
      <c r="J1270" s="64"/>
      <c r="K1270" s="504"/>
      <c r="L1270" s="504"/>
      <c r="M1270" s="550"/>
      <c r="N1270" s="550"/>
    </row>
    <row r="1271" spans="2:14" x14ac:dyDescent="0.25">
      <c r="B1271" s="64"/>
      <c r="C1271" s="64"/>
      <c r="J1271" s="64"/>
      <c r="K1271" s="504"/>
      <c r="L1271" s="504"/>
      <c r="M1271" s="550"/>
      <c r="N1271" s="550"/>
    </row>
    <row r="1272" spans="2:14" x14ac:dyDescent="0.25">
      <c r="B1272" s="64"/>
      <c r="C1272" s="64"/>
      <c r="J1272" s="64"/>
      <c r="K1272" s="504"/>
      <c r="L1272" s="504"/>
      <c r="M1272" s="550"/>
      <c r="N1272" s="550"/>
    </row>
    <row r="1273" spans="2:14" x14ac:dyDescent="0.25">
      <c r="B1273" s="64"/>
      <c r="C1273" s="64"/>
      <c r="J1273" s="64"/>
      <c r="K1273" s="504"/>
      <c r="L1273" s="504"/>
      <c r="M1273" s="550"/>
      <c r="N1273" s="550"/>
    </row>
    <row r="1274" spans="2:14" x14ac:dyDescent="0.25">
      <c r="B1274" s="64"/>
      <c r="C1274" s="64"/>
      <c r="J1274" s="64"/>
      <c r="K1274" s="504"/>
      <c r="L1274" s="504"/>
      <c r="M1274" s="550"/>
      <c r="N1274" s="550"/>
    </row>
    <row r="1275" spans="2:14" x14ac:dyDescent="0.25">
      <c r="B1275" s="64"/>
      <c r="C1275" s="64"/>
      <c r="J1275" s="64"/>
      <c r="K1275" s="504"/>
      <c r="L1275" s="504"/>
      <c r="M1275" s="550"/>
      <c r="N1275" s="550"/>
    </row>
    <row r="1276" spans="2:14" x14ac:dyDescent="0.25">
      <c r="B1276" s="64"/>
      <c r="C1276" s="64"/>
      <c r="J1276" s="64"/>
      <c r="K1276" s="504"/>
      <c r="L1276" s="504"/>
      <c r="M1276" s="550"/>
      <c r="N1276" s="550"/>
    </row>
    <row r="1277" spans="2:14" x14ac:dyDescent="0.25">
      <c r="B1277" s="64"/>
      <c r="C1277" s="64"/>
      <c r="J1277" s="64"/>
      <c r="K1277" s="504"/>
      <c r="L1277" s="504"/>
      <c r="M1277" s="550"/>
      <c r="N1277" s="550"/>
    </row>
    <row r="1278" spans="2:14" x14ac:dyDescent="0.25">
      <c r="B1278" s="64"/>
      <c r="C1278" s="64"/>
      <c r="J1278" s="64"/>
      <c r="K1278" s="504"/>
      <c r="L1278" s="504"/>
      <c r="M1278" s="550"/>
      <c r="N1278" s="550"/>
    </row>
    <row r="1279" spans="2:14" x14ac:dyDescent="0.25">
      <c r="B1279" s="64"/>
      <c r="C1279" s="64"/>
      <c r="J1279" s="64"/>
      <c r="K1279" s="504"/>
      <c r="L1279" s="504"/>
      <c r="M1279" s="550"/>
      <c r="N1279" s="550"/>
    </row>
    <row r="1280" spans="2:14" x14ac:dyDescent="0.25">
      <c r="B1280" s="64"/>
      <c r="C1280" s="64"/>
      <c r="J1280" s="64"/>
      <c r="K1280" s="504"/>
      <c r="L1280" s="504"/>
      <c r="M1280" s="550"/>
      <c r="N1280" s="550"/>
    </row>
    <row r="1281" spans="2:14" x14ac:dyDescent="0.25">
      <c r="B1281" s="64"/>
      <c r="C1281" s="64"/>
      <c r="J1281" s="64"/>
      <c r="K1281" s="504"/>
      <c r="L1281" s="504"/>
      <c r="M1281" s="550"/>
      <c r="N1281" s="550"/>
    </row>
    <row r="1282" spans="2:14" x14ac:dyDescent="0.25">
      <c r="B1282" s="64"/>
      <c r="C1282" s="64"/>
      <c r="J1282" s="64"/>
      <c r="K1282" s="504"/>
      <c r="L1282" s="504"/>
      <c r="M1282" s="550"/>
      <c r="N1282" s="550"/>
    </row>
    <row r="1283" spans="2:14" x14ac:dyDescent="0.25">
      <c r="B1283" s="64"/>
      <c r="C1283" s="64"/>
      <c r="J1283" s="64"/>
      <c r="K1283" s="504"/>
      <c r="L1283" s="504"/>
      <c r="M1283" s="550"/>
      <c r="N1283" s="550"/>
    </row>
    <row r="1284" spans="2:14" x14ac:dyDescent="0.25">
      <c r="B1284" s="64"/>
      <c r="C1284" s="64"/>
      <c r="J1284" s="64"/>
      <c r="K1284" s="504"/>
      <c r="L1284" s="504"/>
      <c r="M1284" s="550"/>
      <c r="N1284" s="550"/>
    </row>
    <row r="1285" spans="2:14" x14ac:dyDescent="0.25">
      <c r="B1285" s="64"/>
      <c r="C1285" s="64"/>
      <c r="J1285" s="64"/>
      <c r="K1285" s="504"/>
      <c r="L1285" s="504"/>
      <c r="M1285" s="550"/>
      <c r="N1285" s="550"/>
    </row>
    <row r="1286" spans="2:14" x14ac:dyDescent="0.25">
      <c r="B1286" s="64"/>
      <c r="C1286" s="64"/>
      <c r="J1286" s="64"/>
      <c r="K1286" s="504"/>
      <c r="L1286" s="504"/>
      <c r="M1286" s="550"/>
      <c r="N1286" s="550"/>
    </row>
    <row r="1287" spans="2:14" x14ac:dyDescent="0.25">
      <c r="B1287" s="64"/>
      <c r="C1287" s="64"/>
      <c r="J1287" s="64"/>
      <c r="K1287" s="504"/>
      <c r="L1287" s="504"/>
      <c r="M1287" s="550"/>
      <c r="N1287" s="550"/>
    </row>
    <row r="1288" spans="2:14" x14ac:dyDescent="0.25">
      <c r="B1288" s="64"/>
      <c r="C1288" s="64"/>
      <c r="J1288" s="64"/>
      <c r="K1288" s="504"/>
      <c r="L1288" s="504"/>
      <c r="M1288" s="550"/>
      <c r="N1288" s="550"/>
    </row>
    <row r="1289" spans="2:14" x14ac:dyDescent="0.25">
      <c r="B1289" s="64"/>
      <c r="C1289" s="64"/>
      <c r="J1289" s="64"/>
      <c r="K1289" s="504"/>
      <c r="L1289" s="504"/>
      <c r="M1289" s="550"/>
      <c r="N1289" s="550"/>
    </row>
    <row r="1290" spans="2:14" x14ac:dyDescent="0.25">
      <c r="B1290" s="64"/>
      <c r="C1290" s="64"/>
      <c r="J1290" s="64"/>
      <c r="K1290" s="504"/>
      <c r="L1290" s="504"/>
      <c r="M1290" s="550"/>
      <c r="N1290" s="550"/>
    </row>
    <row r="1291" spans="2:14" x14ac:dyDescent="0.25">
      <c r="B1291" s="64"/>
      <c r="C1291" s="64"/>
      <c r="J1291" s="64"/>
      <c r="K1291" s="504"/>
      <c r="L1291" s="504"/>
      <c r="M1291" s="550"/>
      <c r="N1291" s="550"/>
    </row>
    <row r="1292" spans="2:14" x14ac:dyDescent="0.25">
      <c r="B1292" s="64"/>
      <c r="C1292" s="64"/>
      <c r="J1292" s="64"/>
      <c r="K1292" s="504"/>
      <c r="L1292" s="504"/>
      <c r="M1292" s="550"/>
      <c r="N1292" s="550"/>
    </row>
    <row r="1293" spans="2:14" x14ac:dyDescent="0.25">
      <c r="B1293" s="64"/>
      <c r="C1293" s="64"/>
      <c r="J1293" s="64"/>
      <c r="K1293" s="504"/>
      <c r="L1293" s="504"/>
      <c r="M1293" s="550"/>
      <c r="N1293" s="550"/>
    </row>
    <row r="1294" spans="2:14" x14ac:dyDescent="0.25">
      <c r="B1294" s="64"/>
      <c r="C1294" s="64"/>
      <c r="J1294" s="64"/>
      <c r="K1294" s="504"/>
      <c r="L1294" s="504"/>
      <c r="M1294" s="550"/>
      <c r="N1294" s="550"/>
    </row>
    <row r="1295" spans="2:14" x14ac:dyDescent="0.25">
      <c r="B1295" s="64"/>
      <c r="C1295" s="64"/>
      <c r="J1295" s="64"/>
      <c r="K1295" s="504"/>
      <c r="L1295" s="504"/>
      <c r="M1295" s="550"/>
      <c r="N1295" s="550"/>
    </row>
    <row r="1296" spans="2:14" x14ac:dyDescent="0.25">
      <c r="B1296" s="64"/>
      <c r="C1296" s="64"/>
      <c r="J1296" s="64"/>
      <c r="K1296" s="504"/>
      <c r="L1296" s="504"/>
      <c r="M1296" s="550"/>
      <c r="N1296" s="550"/>
    </row>
    <row r="1297" spans="2:14" x14ac:dyDescent="0.25">
      <c r="B1297" s="64"/>
      <c r="C1297" s="64"/>
      <c r="J1297" s="64"/>
      <c r="K1297" s="504"/>
      <c r="L1297" s="504"/>
      <c r="M1297" s="550"/>
      <c r="N1297" s="550"/>
    </row>
    <row r="1298" spans="2:14" x14ac:dyDescent="0.25">
      <c r="B1298" s="64"/>
      <c r="C1298" s="64"/>
      <c r="J1298" s="64"/>
      <c r="K1298" s="504"/>
      <c r="L1298" s="504"/>
      <c r="M1298" s="550"/>
      <c r="N1298" s="550"/>
    </row>
    <row r="1299" spans="2:14" x14ac:dyDescent="0.25">
      <c r="B1299" s="64"/>
      <c r="C1299" s="64"/>
      <c r="J1299" s="64"/>
      <c r="K1299" s="504"/>
      <c r="L1299" s="504"/>
      <c r="M1299" s="550"/>
      <c r="N1299" s="550"/>
    </row>
    <row r="1300" spans="2:14" x14ac:dyDescent="0.25">
      <c r="B1300" s="64"/>
      <c r="C1300" s="64"/>
      <c r="J1300" s="64"/>
      <c r="K1300" s="504"/>
      <c r="L1300" s="504"/>
      <c r="M1300" s="550"/>
      <c r="N1300" s="550"/>
    </row>
    <row r="1301" spans="2:14" x14ac:dyDescent="0.25">
      <c r="B1301" s="64"/>
      <c r="C1301" s="64"/>
      <c r="J1301" s="64"/>
      <c r="K1301" s="504"/>
      <c r="L1301" s="504"/>
      <c r="M1301" s="550"/>
      <c r="N1301" s="550"/>
    </row>
    <row r="1302" spans="2:14" x14ac:dyDescent="0.25">
      <c r="B1302" s="64"/>
      <c r="C1302" s="64"/>
      <c r="J1302" s="64"/>
      <c r="K1302" s="504"/>
      <c r="L1302" s="504"/>
      <c r="M1302" s="550"/>
      <c r="N1302" s="550"/>
    </row>
    <row r="1303" spans="2:14" x14ac:dyDescent="0.25">
      <c r="B1303" s="64"/>
      <c r="C1303" s="64"/>
      <c r="J1303" s="64"/>
      <c r="K1303" s="504"/>
      <c r="L1303" s="504"/>
      <c r="M1303" s="550"/>
      <c r="N1303" s="550"/>
    </row>
    <row r="1304" spans="2:14" x14ac:dyDescent="0.25">
      <c r="B1304" s="64"/>
      <c r="C1304" s="64"/>
      <c r="J1304" s="64"/>
      <c r="K1304" s="504"/>
      <c r="L1304" s="504"/>
      <c r="M1304" s="550"/>
      <c r="N1304" s="550"/>
    </row>
    <row r="1305" spans="2:14" x14ac:dyDescent="0.25">
      <c r="B1305" s="64"/>
      <c r="C1305" s="64"/>
      <c r="J1305" s="64"/>
      <c r="K1305" s="504"/>
      <c r="L1305" s="504"/>
      <c r="M1305" s="550"/>
      <c r="N1305" s="550"/>
    </row>
    <row r="1306" spans="2:14" x14ac:dyDescent="0.25">
      <c r="B1306" s="64"/>
      <c r="C1306" s="64"/>
      <c r="J1306" s="64"/>
      <c r="K1306" s="504"/>
      <c r="L1306" s="504"/>
      <c r="M1306" s="550"/>
      <c r="N1306" s="550"/>
    </row>
    <row r="1307" spans="2:14" x14ac:dyDescent="0.25">
      <c r="B1307" s="64"/>
      <c r="C1307" s="64"/>
      <c r="J1307" s="64"/>
      <c r="K1307" s="504"/>
      <c r="L1307" s="504"/>
      <c r="M1307" s="550"/>
      <c r="N1307" s="550"/>
    </row>
    <row r="1308" spans="2:14" x14ac:dyDescent="0.25">
      <c r="B1308" s="64"/>
      <c r="C1308" s="64"/>
      <c r="J1308" s="64"/>
      <c r="K1308" s="504"/>
      <c r="L1308" s="504"/>
      <c r="M1308" s="550"/>
      <c r="N1308" s="550"/>
    </row>
    <row r="1309" spans="2:14" x14ac:dyDescent="0.25">
      <c r="B1309" s="64"/>
      <c r="C1309" s="64"/>
      <c r="J1309" s="64"/>
      <c r="K1309" s="504"/>
      <c r="L1309" s="504"/>
      <c r="M1309" s="550"/>
      <c r="N1309" s="550"/>
    </row>
    <row r="1310" spans="2:14" x14ac:dyDescent="0.25">
      <c r="B1310" s="64"/>
      <c r="C1310" s="64"/>
      <c r="J1310" s="64"/>
      <c r="K1310" s="504"/>
      <c r="L1310" s="504"/>
      <c r="M1310" s="550"/>
      <c r="N1310" s="550"/>
    </row>
    <row r="1311" spans="2:14" x14ac:dyDescent="0.25">
      <c r="B1311" s="64"/>
      <c r="C1311" s="64"/>
      <c r="J1311" s="64"/>
      <c r="K1311" s="504"/>
      <c r="L1311" s="504"/>
      <c r="M1311" s="550"/>
      <c r="N1311" s="550"/>
    </row>
    <row r="1312" spans="2:14" x14ac:dyDescent="0.25">
      <c r="B1312" s="64"/>
      <c r="C1312" s="64"/>
      <c r="J1312" s="64"/>
      <c r="K1312" s="504"/>
      <c r="L1312" s="504"/>
      <c r="M1312" s="550"/>
      <c r="N1312" s="550"/>
    </row>
    <row r="1313" spans="2:14" x14ac:dyDescent="0.25">
      <c r="B1313" s="64"/>
      <c r="C1313" s="64"/>
      <c r="J1313" s="64"/>
      <c r="K1313" s="504"/>
      <c r="L1313" s="504"/>
      <c r="M1313" s="550"/>
      <c r="N1313" s="550"/>
    </row>
    <row r="1314" spans="2:14" x14ac:dyDescent="0.25">
      <c r="B1314" s="64"/>
      <c r="C1314" s="64"/>
      <c r="J1314" s="64"/>
      <c r="K1314" s="504"/>
      <c r="L1314" s="504"/>
      <c r="M1314" s="550"/>
      <c r="N1314" s="550"/>
    </row>
    <row r="1315" spans="2:14" x14ac:dyDescent="0.25">
      <c r="B1315" s="64"/>
      <c r="C1315" s="64"/>
      <c r="J1315" s="64"/>
      <c r="K1315" s="504"/>
      <c r="L1315" s="504"/>
      <c r="M1315" s="550"/>
      <c r="N1315" s="550"/>
    </row>
    <row r="1316" spans="2:14" x14ac:dyDescent="0.25">
      <c r="B1316" s="64"/>
      <c r="C1316" s="64"/>
      <c r="J1316" s="64"/>
      <c r="K1316" s="504"/>
      <c r="L1316" s="504"/>
      <c r="M1316" s="550"/>
      <c r="N1316" s="550"/>
    </row>
    <row r="1317" spans="2:14" x14ac:dyDescent="0.25">
      <c r="B1317" s="64"/>
      <c r="C1317" s="64"/>
      <c r="J1317" s="64"/>
      <c r="K1317" s="504"/>
      <c r="L1317" s="504"/>
      <c r="M1317" s="550"/>
      <c r="N1317" s="550"/>
    </row>
    <row r="1318" spans="2:14" x14ac:dyDescent="0.25">
      <c r="B1318" s="64"/>
      <c r="C1318" s="64"/>
      <c r="J1318" s="64"/>
      <c r="K1318" s="504"/>
      <c r="L1318" s="504"/>
      <c r="M1318" s="550"/>
      <c r="N1318" s="550"/>
    </row>
    <row r="1319" spans="2:14" x14ac:dyDescent="0.25">
      <c r="B1319" s="64"/>
      <c r="C1319" s="64"/>
      <c r="J1319" s="64"/>
      <c r="K1319" s="504"/>
      <c r="L1319" s="504"/>
      <c r="M1319" s="550"/>
      <c r="N1319" s="550"/>
    </row>
    <row r="1320" spans="2:14" x14ac:dyDescent="0.25">
      <c r="B1320" s="64"/>
      <c r="C1320" s="64"/>
      <c r="J1320" s="64"/>
      <c r="K1320" s="504"/>
      <c r="L1320" s="504"/>
      <c r="M1320" s="550"/>
      <c r="N1320" s="550"/>
    </row>
    <row r="1321" spans="2:14" x14ac:dyDescent="0.25">
      <c r="B1321" s="64"/>
      <c r="C1321" s="64"/>
      <c r="J1321" s="64"/>
      <c r="K1321" s="504"/>
      <c r="L1321" s="504"/>
      <c r="M1321" s="550"/>
      <c r="N1321" s="550"/>
    </row>
    <row r="1322" spans="2:14" x14ac:dyDescent="0.25">
      <c r="B1322" s="64"/>
      <c r="C1322" s="64"/>
      <c r="J1322" s="64"/>
      <c r="K1322" s="504"/>
      <c r="L1322" s="504"/>
      <c r="M1322" s="550"/>
      <c r="N1322" s="550"/>
    </row>
    <row r="1323" spans="2:14" x14ac:dyDescent="0.25">
      <c r="B1323" s="64"/>
      <c r="C1323" s="64"/>
      <c r="J1323" s="64"/>
      <c r="K1323" s="504"/>
      <c r="L1323" s="504"/>
      <c r="M1323" s="550"/>
      <c r="N1323" s="550"/>
    </row>
    <row r="1324" spans="2:14" x14ac:dyDescent="0.25">
      <c r="B1324" s="64"/>
      <c r="C1324" s="64"/>
      <c r="J1324" s="64"/>
      <c r="K1324" s="504"/>
      <c r="L1324" s="504"/>
      <c r="M1324" s="550"/>
      <c r="N1324" s="550"/>
    </row>
    <row r="1325" spans="2:14" x14ac:dyDescent="0.25">
      <c r="B1325" s="64"/>
      <c r="C1325" s="64"/>
      <c r="J1325" s="64"/>
      <c r="K1325" s="504"/>
      <c r="L1325" s="504"/>
      <c r="M1325" s="550"/>
      <c r="N1325" s="550"/>
    </row>
    <row r="1326" spans="2:14" x14ac:dyDescent="0.25">
      <c r="B1326" s="64"/>
      <c r="C1326" s="64"/>
      <c r="J1326" s="64"/>
      <c r="K1326" s="504"/>
      <c r="L1326" s="504"/>
      <c r="M1326" s="550"/>
      <c r="N1326" s="550"/>
    </row>
    <row r="1327" spans="2:14" x14ac:dyDescent="0.25">
      <c r="B1327" s="64"/>
      <c r="C1327" s="64"/>
      <c r="J1327" s="64"/>
      <c r="K1327" s="504"/>
      <c r="L1327" s="504"/>
      <c r="M1327" s="550"/>
      <c r="N1327" s="550"/>
    </row>
    <row r="1328" spans="2:14" x14ac:dyDescent="0.25">
      <c r="B1328" s="64"/>
      <c r="C1328" s="64"/>
      <c r="J1328" s="64"/>
      <c r="K1328" s="504"/>
      <c r="L1328" s="504"/>
      <c r="M1328" s="550"/>
      <c r="N1328" s="550"/>
    </row>
    <row r="1329" spans="2:14" x14ac:dyDescent="0.25">
      <c r="B1329" s="64"/>
      <c r="C1329" s="64"/>
      <c r="J1329" s="64"/>
      <c r="K1329" s="504"/>
      <c r="L1329" s="504"/>
      <c r="M1329" s="550"/>
      <c r="N1329" s="550"/>
    </row>
    <row r="1330" spans="2:14" x14ac:dyDescent="0.25">
      <c r="B1330" s="64"/>
      <c r="C1330" s="64"/>
      <c r="J1330" s="64"/>
      <c r="K1330" s="504"/>
      <c r="L1330" s="504"/>
      <c r="M1330" s="550"/>
      <c r="N1330" s="550"/>
    </row>
    <row r="1331" spans="2:14" x14ac:dyDescent="0.25">
      <c r="B1331" s="64"/>
      <c r="C1331" s="64"/>
      <c r="J1331" s="64"/>
      <c r="K1331" s="504"/>
      <c r="L1331" s="504"/>
      <c r="M1331" s="550"/>
      <c r="N1331" s="550"/>
    </row>
    <row r="1332" spans="2:14" x14ac:dyDescent="0.25">
      <c r="B1332" s="64"/>
      <c r="C1332" s="64"/>
      <c r="J1332" s="64"/>
      <c r="K1332" s="504"/>
      <c r="L1332" s="504"/>
      <c r="M1332" s="550"/>
      <c r="N1332" s="550"/>
    </row>
    <row r="1333" spans="2:14" x14ac:dyDescent="0.25">
      <c r="B1333" s="64"/>
      <c r="C1333" s="64"/>
      <c r="J1333" s="64"/>
      <c r="K1333" s="504"/>
      <c r="L1333" s="504"/>
      <c r="M1333" s="550"/>
      <c r="N1333" s="550"/>
    </row>
    <row r="1334" spans="2:14" x14ac:dyDescent="0.25">
      <c r="B1334" s="64"/>
      <c r="C1334" s="64"/>
      <c r="J1334" s="64"/>
      <c r="K1334" s="504"/>
      <c r="L1334" s="504"/>
      <c r="M1334" s="550"/>
      <c r="N1334" s="550"/>
    </row>
    <row r="1335" spans="2:14" x14ac:dyDescent="0.25">
      <c r="B1335" s="64"/>
      <c r="C1335" s="64"/>
      <c r="J1335" s="64"/>
      <c r="K1335" s="504"/>
      <c r="L1335" s="504"/>
      <c r="M1335" s="550"/>
      <c r="N1335" s="550"/>
    </row>
    <row r="1336" spans="2:14" x14ac:dyDescent="0.25">
      <c r="B1336" s="64"/>
      <c r="C1336" s="64"/>
      <c r="J1336" s="64"/>
      <c r="K1336" s="504"/>
      <c r="L1336" s="504"/>
      <c r="M1336" s="550"/>
      <c r="N1336" s="550"/>
    </row>
    <row r="1337" spans="2:14" x14ac:dyDescent="0.25">
      <c r="B1337" s="64"/>
      <c r="C1337" s="64"/>
      <c r="J1337" s="64"/>
      <c r="K1337" s="504"/>
      <c r="L1337" s="504"/>
      <c r="M1337" s="550"/>
      <c r="N1337" s="550"/>
    </row>
    <row r="1338" spans="2:14" x14ac:dyDescent="0.25">
      <c r="B1338" s="64"/>
      <c r="C1338" s="64"/>
      <c r="J1338" s="64"/>
      <c r="K1338" s="504"/>
      <c r="L1338" s="504"/>
      <c r="M1338" s="550"/>
      <c r="N1338" s="550"/>
    </row>
    <row r="1339" spans="2:14" x14ac:dyDescent="0.25">
      <c r="B1339" s="64"/>
      <c r="C1339" s="64"/>
      <c r="J1339" s="64"/>
      <c r="K1339" s="504"/>
      <c r="L1339" s="504"/>
      <c r="M1339" s="550"/>
      <c r="N1339" s="550"/>
    </row>
    <row r="1340" spans="2:14" x14ac:dyDescent="0.25">
      <c r="B1340" s="64"/>
      <c r="C1340" s="64"/>
      <c r="J1340" s="64"/>
      <c r="K1340" s="504"/>
      <c r="L1340" s="504"/>
      <c r="M1340" s="550"/>
      <c r="N1340" s="550"/>
    </row>
    <row r="1341" spans="2:14" x14ac:dyDescent="0.25">
      <c r="B1341" s="64"/>
      <c r="C1341" s="64"/>
      <c r="J1341" s="64"/>
      <c r="K1341" s="504"/>
      <c r="L1341" s="504"/>
      <c r="M1341" s="550"/>
      <c r="N1341" s="550"/>
    </row>
    <row r="1342" spans="2:14" x14ac:dyDescent="0.25">
      <c r="B1342" s="64"/>
      <c r="C1342" s="64"/>
      <c r="J1342" s="64"/>
      <c r="K1342" s="504"/>
      <c r="L1342" s="504"/>
      <c r="M1342" s="550"/>
      <c r="N1342" s="550"/>
    </row>
    <row r="1343" spans="2:14" x14ac:dyDescent="0.25">
      <c r="B1343" s="64"/>
      <c r="C1343" s="64"/>
      <c r="J1343" s="64"/>
      <c r="K1343" s="504"/>
      <c r="L1343" s="504"/>
      <c r="M1343" s="550"/>
      <c r="N1343" s="550"/>
    </row>
    <row r="1344" spans="2:14" x14ac:dyDescent="0.25">
      <c r="B1344" s="64"/>
      <c r="C1344" s="64"/>
      <c r="J1344" s="64"/>
      <c r="K1344" s="504"/>
      <c r="L1344" s="504"/>
      <c r="M1344" s="550"/>
      <c r="N1344" s="550"/>
    </row>
    <row r="1345" spans="2:14" x14ac:dyDescent="0.25">
      <c r="B1345" s="64"/>
      <c r="C1345" s="64"/>
      <c r="J1345" s="64"/>
      <c r="K1345" s="504"/>
      <c r="L1345" s="504"/>
      <c r="M1345" s="550"/>
      <c r="N1345" s="550"/>
    </row>
    <row r="1346" spans="2:14" x14ac:dyDescent="0.25">
      <c r="B1346" s="64"/>
      <c r="C1346" s="64"/>
      <c r="J1346" s="64"/>
      <c r="K1346" s="504"/>
      <c r="L1346" s="504"/>
      <c r="M1346" s="550"/>
      <c r="N1346" s="550"/>
    </row>
    <row r="1347" spans="2:14" x14ac:dyDescent="0.25">
      <c r="B1347" s="64"/>
      <c r="C1347" s="64"/>
      <c r="J1347" s="64"/>
      <c r="K1347" s="504"/>
      <c r="L1347" s="504"/>
      <c r="M1347" s="550"/>
      <c r="N1347" s="550"/>
    </row>
    <row r="1348" spans="2:14" x14ac:dyDescent="0.25">
      <c r="B1348" s="64"/>
      <c r="C1348" s="64"/>
      <c r="J1348" s="64"/>
      <c r="K1348" s="504"/>
      <c r="L1348" s="504"/>
      <c r="M1348" s="550"/>
      <c r="N1348" s="550"/>
    </row>
    <row r="1349" spans="2:14" x14ac:dyDescent="0.25">
      <c r="B1349" s="64"/>
      <c r="C1349" s="64"/>
      <c r="J1349" s="64"/>
      <c r="K1349" s="504"/>
      <c r="L1349" s="504"/>
      <c r="M1349" s="550"/>
      <c r="N1349" s="550"/>
    </row>
    <row r="1350" spans="2:14" x14ac:dyDescent="0.25">
      <c r="B1350" s="64"/>
      <c r="C1350" s="64"/>
      <c r="J1350" s="64"/>
      <c r="K1350" s="504"/>
      <c r="L1350" s="504"/>
      <c r="M1350" s="550"/>
      <c r="N1350" s="550"/>
    </row>
    <row r="1351" spans="2:14" x14ac:dyDescent="0.25">
      <c r="B1351" s="64"/>
      <c r="C1351" s="64"/>
      <c r="J1351" s="64"/>
      <c r="K1351" s="504"/>
      <c r="L1351" s="504"/>
      <c r="M1351" s="550"/>
      <c r="N1351" s="550"/>
    </row>
    <row r="1352" spans="2:14" x14ac:dyDescent="0.25">
      <c r="B1352" s="64"/>
      <c r="C1352" s="64"/>
      <c r="J1352" s="64"/>
      <c r="K1352" s="504"/>
      <c r="L1352" s="504"/>
      <c r="M1352" s="550"/>
      <c r="N1352" s="550"/>
    </row>
    <row r="1353" spans="2:14" x14ac:dyDescent="0.25">
      <c r="B1353" s="64"/>
      <c r="C1353" s="64"/>
      <c r="J1353" s="64"/>
      <c r="K1353" s="504"/>
      <c r="L1353" s="504"/>
      <c r="M1353" s="550"/>
      <c r="N1353" s="550"/>
    </row>
    <row r="1354" spans="2:14" x14ac:dyDescent="0.25">
      <c r="B1354" s="64"/>
      <c r="C1354" s="64"/>
      <c r="J1354" s="64"/>
      <c r="K1354" s="504"/>
      <c r="L1354" s="504"/>
      <c r="M1354" s="550"/>
      <c r="N1354" s="550"/>
    </row>
    <row r="1355" spans="2:14" x14ac:dyDescent="0.25">
      <c r="B1355" s="64"/>
      <c r="C1355" s="64"/>
      <c r="J1355" s="64"/>
      <c r="K1355" s="504"/>
      <c r="L1355" s="504"/>
      <c r="M1355" s="550"/>
      <c r="N1355" s="550"/>
    </row>
    <row r="1356" spans="2:14" x14ac:dyDescent="0.25">
      <c r="B1356" s="64"/>
      <c r="C1356" s="64"/>
      <c r="J1356" s="64"/>
      <c r="K1356" s="504"/>
      <c r="L1356" s="504"/>
      <c r="M1356" s="550"/>
      <c r="N1356" s="550"/>
    </row>
    <row r="1357" spans="2:14" x14ac:dyDescent="0.25">
      <c r="B1357" s="64"/>
      <c r="C1357" s="64"/>
      <c r="J1357" s="64"/>
      <c r="K1357" s="504"/>
      <c r="L1357" s="504"/>
      <c r="M1357" s="550"/>
      <c r="N1357" s="550"/>
    </row>
    <row r="1358" spans="2:14" x14ac:dyDescent="0.25">
      <c r="B1358" s="64"/>
      <c r="C1358" s="64"/>
      <c r="J1358" s="64"/>
      <c r="K1358" s="504"/>
      <c r="L1358" s="504"/>
      <c r="M1358" s="550"/>
      <c r="N1358" s="550"/>
    </row>
    <row r="1359" spans="2:14" x14ac:dyDescent="0.25">
      <c r="B1359" s="64"/>
      <c r="C1359" s="64"/>
      <c r="J1359" s="64"/>
      <c r="K1359" s="504"/>
      <c r="L1359" s="504"/>
      <c r="M1359" s="550"/>
      <c r="N1359" s="550"/>
    </row>
    <row r="1360" spans="2:14" x14ac:dyDescent="0.25">
      <c r="B1360" s="64"/>
      <c r="C1360" s="64"/>
      <c r="J1360" s="64"/>
      <c r="K1360" s="504"/>
      <c r="L1360" s="504"/>
      <c r="M1360" s="550"/>
      <c r="N1360" s="550"/>
    </row>
    <row r="1361" spans="2:14" x14ac:dyDescent="0.25">
      <c r="B1361" s="64"/>
      <c r="C1361" s="64"/>
      <c r="J1361" s="64"/>
      <c r="K1361" s="504"/>
      <c r="L1361" s="504"/>
      <c r="M1361" s="550"/>
      <c r="N1361" s="550"/>
    </row>
    <row r="1362" spans="2:14" x14ac:dyDescent="0.25">
      <c r="B1362" s="64"/>
      <c r="C1362" s="64"/>
      <c r="J1362" s="64"/>
      <c r="K1362" s="504"/>
      <c r="L1362" s="504"/>
      <c r="M1362" s="550"/>
      <c r="N1362" s="550"/>
    </row>
    <row r="1363" spans="2:14" x14ac:dyDescent="0.25">
      <c r="B1363" s="64"/>
      <c r="C1363" s="64"/>
      <c r="J1363" s="64"/>
      <c r="K1363" s="504"/>
      <c r="L1363" s="504"/>
      <c r="M1363" s="550"/>
      <c r="N1363" s="550"/>
    </row>
    <row r="1364" spans="2:14" x14ac:dyDescent="0.25">
      <c r="B1364" s="64"/>
      <c r="C1364" s="64"/>
      <c r="J1364" s="64"/>
      <c r="K1364" s="504"/>
      <c r="L1364" s="504"/>
      <c r="M1364" s="550"/>
      <c r="N1364" s="550"/>
    </row>
    <row r="1365" spans="2:14" x14ac:dyDescent="0.25">
      <c r="B1365" s="64"/>
      <c r="C1365" s="64"/>
      <c r="J1365" s="64"/>
      <c r="K1365" s="504"/>
      <c r="L1365" s="504"/>
      <c r="M1365" s="550"/>
      <c r="N1365" s="550"/>
    </row>
    <row r="1366" spans="2:14" x14ac:dyDescent="0.25">
      <c r="B1366" s="64"/>
      <c r="C1366" s="64"/>
      <c r="J1366" s="64"/>
      <c r="K1366" s="504"/>
      <c r="L1366" s="504"/>
      <c r="M1366" s="550"/>
      <c r="N1366" s="550"/>
    </row>
    <row r="1367" spans="2:14" x14ac:dyDescent="0.25">
      <c r="B1367" s="64"/>
      <c r="C1367" s="64"/>
      <c r="J1367" s="64"/>
      <c r="K1367" s="504"/>
      <c r="L1367" s="504"/>
      <c r="M1367" s="550"/>
      <c r="N1367" s="550"/>
    </row>
    <row r="1368" spans="2:14" x14ac:dyDescent="0.25">
      <c r="B1368" s="64"/>
      <c r="C1368" s="64"/>
      <c r="J1368" s="64"/>
      <c r="K1368" s="504"/>
      <c r="L1368" s="504"/>
      <c r="M1368" s="550"/>
      <c r="N1368" s="550"/>
    </row>
    <row r="1369" spans="2:14" x14ac:dyDescent="0.25">
      <c r="B1369" s="64"/>
      <c r="C1369" s="64"/>
      <c r="J1369" s="64"/>
      <c r="K1369" s="504"/>
      <c r="L1369" s="504"/>
      <c r="M1369" s="550"/>
      <c r="N1369" s="550"/>
    </row>
    <row r="1370" spans="2:14" x14ac:dyDescent="0.25">
      <c r="B1370" s="64"/>
      <c r="C1370" s="64"/>
      <c r="J1370" s="64"/>
      <c r="K1370" s="504"/>
      <c r="L1370" s="504"/>
      <c r="M1370" s="550"/>
      <c r="N1370" s="550"/>
    </row>
    <row r="1371" spans="2:14" x14ac:dyDescent="0.25">
      <c r="B1371" s="64"/>
      <c r="C1371" s="64"/>
      <c r="J1371" s="64"/>
      <c r="K1371" s="504"/>
      <c r="L1371" s="504"/>
      <c r="M1371" s="550"/>
      <c r="N1371" s="550"/>
    </row>
    <row r="1372" spans="2:14" x14ac:dyDescent="0.25">
      <c r="B1372" s="64"/>
      <c r="C1372" s="64"/>
      <c r="J1372" s="64"/>
      <c r="K1372" s="504"/>
      <c r="L1372" s="504"/>
      <c r="M1372" s="550"/>
      <c r="N1372" s="550"/>
    </row>
    <row r="1373" spans="2:14" x14ac:dyDescent="0.25">
      <c r="B1373" s="64"/>
      <c r="C1373" s="64"/>
      <c r="J1373" s="64"/>
      <c r="K1373" s="504"/>
      <c r="L1373" s="504"/>
      <c r="M1373" s="550"/>
      <c r="N1373" s="550"/>
    </row>
    <row r="1374" spans="2:14" x14ac:dyDescent="0.25">
      <c r="B1374" s="64"/>
      <c r="C1374" s="64"/>
      <c r="J1374" s="64"/>
      <c r="K1374" s="504"/>
      <c r="L1374" s="504"/>
      <c r="M1374" s="550"/>
      <c r="N1374" s="550"/>
    </row>
    <row r="1375" spans="2:14" x14ac:dyDescent="0.25">
      <c r="B1375" s="64"/>
      <c r="C1375" s="64"/>
      <c r="J1375" s="64"/>
      <c r="K1375" s="504"/>
      <c r="L1375" s="504"/>
      <c r="M1375" s="550"/>
      <c r="N1375" s="550"/>
    </row>
    <row r="1376" spans="2:14" x14ac:dyDescent="0.25">
      <c r="B1376" s="64"/>
      <c r="C1376" s="64"/>
      <c r="J1376" s="64"/>
      <c r="K1376" s="504"/>
      <c r="L1376" s="504"/>
      <c r="M1376" s="550"/>
      <c r="N1376" s="550"/>
    </row>
    <row r="1377" spans="2:14" x14ac:dyDescent="0.25">
      <c r="B1377" s="64"/>
      <c r="C1377" s="64"/>
      <c r="J1377" s="64"/>
      <c r="K1377" s="504"/>
      <c r="L1377" s="504"/>
      <c r="M1377" s="550"/>
      <c r="N1377" s="550"/>
    </row>
    <row r="1378" spans="2:14" x14ac:dyDescent="0.25">
      <c r="B1378" s="64"/>
      <c r="C1378" s="64"/>
      <c r="J1378" s="64"/>
      <c r="K1378" s="504"/>
      <c r="L1378" s="504"/>
      <c r="M1378" s="550"/>
      <c r="N1378" s="550"/>
    </row>
    <row r="1379" spans="2:14" x14ac:dyDescent="0.25">
      <c r="B1379" s="64"/>
      <c r="C1379" s="64"/>
      <c r="J1379" s="64"/>
      <c r="K1379" s="504"/>
      <c r="L1379" s="504"/>
      <c r="M1379" s="550"/>
      <c r="N1379" s="550"/>
    </row>
    <row r="1380" spans="2:14" x14ac:dyDescent="0.25">
      <c r="B1380" s="64"/>
      <c r="C1380" s="64"/>
      <c r="J1380" s="64"/>
      <c r="K1380" s="504"/>
      <c r="L1380" s="504"/>
      <c r="M1380" s="550"/>
      <c r="N1380" s="550"/>
    </row>
    <row r="1381" spans="2:14" x14ac:dyDescent="0.25">
      <c r="B1381" s="64"/>
      <c r="C1381" s="64"/>
      <c r="J1381" s="64"/>
      <c r="K1381" s="504"/>
      <c r="L1381" s="504"/>
      <c r="M1381" s="550"/>
      <c r="N1381" s="550"/>
    </row>
    <row r="1382" spans="2:14" x14ac:dyDescent="0.25">
      <c r="B1382" s="64"/>
      <c r="C1382" s="64"/>
      <c r="J1382" s="64"/>
      <c r="K1382" s="504"/>
      <c r="L1382" s="504"/>
      <c r="M1382" s="550"/>
      <c r="N1382" s="550"/>
    </row>
    <row r="1383" spans="2:14" x14ac:dyDescent="0.25">
      <c r="B1383" s="64"/>
      <c r="C1383" s="64"/>
      <c r="J1383" s="64"/>
      <c r="K1383" s="504"/>
      <c r="L1383" s="504"/>
      <c r="M1383" s="550"/>
      <c r="N1383" s="550"/>
    </row>
    <row r="1384" spans="2:14" x14ac:dyDescent="0.25">
      <c r="B1384" s="64"/>
      <c r="C1384" s="64"/>
      <c r="J1384" s="64"/>
      <c r="K1384" s="504"/>
      <c r="L1384" s="504"/>
      <c r="M1384" s="550"/>
      <c r="N1384" s="550"/>
    </row>
    <row r="1385" spans="2:14" x14ac:dyDescent="0.25">
      <c r="B1385" s="64"/>
      <c r="C1385" s="64"/>
      <c r="J1385" s="64"/>
      <c r="K1385" s="504"/>
      <c r="L1385" s="504"/>
      <c r="M1385" s="550"/>
      <c r="N1385" s="550"/>
    </row>
    <row r="1386" spans="2:14" x14ac:dyDescent="0.25">
      <c r="B1386" s="64"/>
      <c r="C1386" s="64"/>
      <c r="J1386" s="64"/>
      <c r="K1386" s="504"/>
      <c r="L1386" s="504"/>
      <c r="M1386" s="550"/>
      <c r="N1386" s="550"/>
    </row>
    <row r="1387" spans="2:14" x14ac:dyDescent="0.25">
      <c r="B1387" s="64"/>
      <c r="C1387" s="64"/>
      <c r="J1387" s="64"/>
      <c r="K1387" s="504"/>
      <c r="L1387" s="504"/>
      <c r="M1387" s="550"/>
      <c r="N1387" s="550"/>
    </row>
    <row r="1388" spans="2:14" x14ac:dyDescent="0.25">
      <c r="B1388" s="64"/>
      <c r="C1388" s="64"/>
      <c r="J1388" s="64"/>
      <c r="K1388" s="504"/>
      <c r="L1388" s="504"/>
      <c r="M1388" s="550"/>
      <c r="N1388" s="550"/>
    </row>
    <row r="1389" spans="2:14" x14ac:dyDescent="0.25">
      <c r="B1389" s="64"/>
      <c r="C1389" s="64"/>
      <c r="J1389" s="64"/>
      <c r="K1389" s="504"/>
      <c r="L1389" s="504"/>
      <c r="M1389" s="550"/>
      <c r="N1389" s="550"/>
    </row>
    <row r="1390" spans="2:14" x14ac:dyDescent="0.25">
      <c r="B1390" s="64"/>
      <c r="C1390" s="64"/>
      <c r="J1390" s="64"/>
      <c r="K1390" s="504"/>
      <c r="L1390" s="504"/>
      <c r="M1390" s="550"/>
      <c r="N1390" s="550"/>
    </row>
    <row r="1391" spans="2:14" x14ac:dyDescent="0.25">
      <c r="B1391" s="64"/>
      <c r="C1391" s="64"/>
      <c r="J1391" s="64"/>
      <c r="K1391" s="504"/>
      <c r="L1391" s="504"/>
      <c r="M1391" s="550"/>
      <c r="N1391" s="550"/>
    </row>
    <row r="1392" spans="2:14" x14ac:dyDescent="0.25">
      <c r="B1392" s="64"/>
      <c r="C1392" s="64"/>
      <c r="J1392" s="64"/>
      <c r="K1392" s="504"/>
      <c r="L1392" s="504"/>
      <c r="M1392" s="550"/>
      <c r="N1392" s="550"/>
    </row>
    <row r="1393" spans="2:14" x14ac:dyDescent="0.25">
      <c r="B1393" s="64"/>
      <c r="C1393" s="64"/>
      <c r="J1393" s="64"/>
      <c r="K1393" s="504"/>
      <c r="L1393" s="504"/>
      <c r="M1393" s="550"/>
      <c r="N1393" s="550"/>
    </row>
    <row r="1394" spans="2:14" x14ac:dyDescent="0.25">
      <c r="B1394" s="64"/>
      <c r="C1394" s="64"/>
      <c r="J1394" s="64"/>
      <c r="K1394" s="504"/>
      <c r="L1394" s="504"/>
      <c r="M1394" s="550"/>
      <c r="N1394" s="550"/>
    </row>
    <row r="1395" spans="2:14" x14ac:dyDescent="0.25">
      <c r="B1395" s="64"/>
      <c r="C1395" s="64"/>
      <c r="J1395" s="64"/>
      <c r="K1395" s="504"/>
      <c r="L1395" s="504"/>
      <c r="M1395" s="550"/>
      <c r="N1395" s="550"/>
    </row>
    <row r="1396" spans="2:14" x14ac:dyDescent="0.25">
      <c r="B1396" s="64"/>
      <c r="C1396" s="64"/>
      <c r="J1396" s="64"/>
      <c r="K1396" s="504"/>
      <c r="L1396" s="504"/>
      <c r="M1396" s="550"/>
      <c r="N1396" s="550"/>
    </row>
    <row r="1397" spans="2:14" x14ac:dyDescent="0.25">
      <c r="B1397" s="64"/>
      <c r="C1397" s="64"/>
      <c r="J1397" s="64"/>
      <c r="K1397" s="504"/>
      <c r="L1397" s="504"/>
      <c r="M1397" s="550"/>
      <c r="N1397" s="550"/>
    </row>
    <row r="1398" spans="2:14" x14ac:dyDescent="0.25">
      <c r="B1398" s="64"/>
      <c r="C1398" s="64"/>
      <c r="J1398" s="64"/>
      <c r="K1398" s="504"/>
      <c r="L1398" s="504"/>
      <c r="M1398" s="550"/>
      <c r="N1398" s="550"/>
    </row>
    <row r="1399" spans="2:14" x14ac:dyDescent="0.25">
      <c r="B1399" s="64"/>
      <c r="C1399" s="64"/>
      <c r="J1399" s="64"/>
      <c r="K1399" s="504"/>
      <c r="L1399" s="504"/>
      <c r="M1399" s="550"/>
      <c r="N1399" s="550"/>
    </row>
    <row r="1400" spans="2:14" x14ac:dyDescent="0.25">
      <c r="B1400" s="64"/>
      <c r="C1400" s="64"/>
      <c r="J1400" s="64"/>
      <c r="K1400" s="504"/>
      <c r="L1400" s="504"/>
      <c r="M1400" s="550"/>
      <c r="N1400" s="550"/>
    </row>
    <row r="1401" spans="2:14" x14ac:dyDescent="0.25">
      <c r="B1401" s="64"/>
      <c r="C1401" s="64"/>
      <c r="J1401" s="64"/>
      <c r="K1401" s="504"/>
      <c r="L1401" s="504"/>
      <c r="M1401" s="550"/>
      <c r="N1401" s="550"/>
    </row>
    <row r="1402" spans="2:14" x14ac:dyDescent="0.25">
      <c r="B1402" s="64"/>
      <c r="C1402" s="64"/>
      <c r="J1402" s="64"/>
      <c r="K1402" s="504"/>
      <c r="L1402" s="504"/>
      <c r="M1402" s="550"/>
      <c r="N1402" s="550"/>
    </row>
    <row r="1403" spans="2:14" x14ac:dyDescent="0.25">
      <c r="B1403" s="64"/>
      <c r="C1403" s="64"/>
      <c r="J1403" s="64"/>
      <c r="K1403" s="504"/>
      <c r="L1403" s="504"/>
      <c r="M1403" s="550"/>
      <c r="N1403" s="550"/>
    </row>
    <row r="1404" spans="2:14" x14ac:dyDescent="0.25">
      <c r="B1404" s="64"/>
      <c r="C1404" s="64"/>
      <c r="J1404" s="64"/>
      <c r="K1404" s="504"/>
      <c r="L1404" s="504"/>
      <c r="M1404" s="550"/>
      <c r="N1404" s="550"/>
    </row>
    <row r="1405" spans="2:14" x14ac:dyDescent="0.25">
      <c r="B1405" s="64"/>
      <c r="C1405" s="64"/>
      <c r="J1405" s="64"/>
      <c r="K1405" s="504"/>
      <c r="L1405" s="504"/>
      <c r="M1405" s="550"/>
      <c r="N1405" s="550"/>
    </row>
    <row r="1406" spans="2:14" x14ac:dyDescent="0.25">
      <c r="B1406" s="64"/>
      <c r="C1406" s="64"/>
      <c r="J1406" s="64"/>
      <c r="K1406" s="504"/>
      <c r="L1406" s="504"/>
      <c r="M1406" s="550"/>
      <c r="N1406" s="550"/>
    </row>
    <row r="1407" spans="2:14" x14ac:dyDescent="0.25">
      <c r="B1407" s="64"/>
      <c r="C1407" s="64"/>
      <c r="J1407" s="64"/>
      <c r="K1407" s="504"/>
      <c r="L1407" s="504"/>
      <c r="M1407" s="550"/>
      <c r="N1407" s="550"/>
    </row>
    <row r="1408" spans="2:14" x14ac:dyDescent="0.25">
      <c r="B1408" s="64"/>
      <c r="C1408" s="64"/>
      <c r="J1408" s="64"/>
      <c r="K1408" s="504"/>
      <c r="L1408" s="504"/>
      <c r="M1408" s="550"/>
      <c r="N1408" s="550"/>
    </row>
    <row r="1409" spans="2:14" x14ac:dyDescent="0.25">
      <c r="B1409" s="64"/>
      <c r="C1409" s="64"/>
      <c r="J1409" s="64"/>
      <c r="K1409" s="504"/>
      <c r="L1409" s="504"/>
      <c r="M1409" s="550"/>
      <c r="N1409" s="550"/>
    </row>
    <row r="1410" spans="2:14" x14ac:dyDescent="0.25">
      <c r="B1410" s="64"/>
      <c r="C1410" s="64"/>
      <c r="J1410" s="64"/>
      <c r="K1410" s="504"/>
      <c r="L1410" s="504"/>
      <c r="M1410" s="550"/>
      <c r="N1410" s="550"/>
    </row>
    <row r="1411" spans="2:14" x14ac:dyDescent="0.25">
      <c r="B1411" s="64"/>
      <c r="C1411" s="64"/>
      <c r="J1411" s="64"/>
      <c r="K1411" s="504"/>
      <c r="L1411" s="504"/>
      <c r="M1411" s="550"/>
      <c r="N1411" s="550"/>
    </row>
    <row r="1412" spans="2:14" x14ac:dyDescent="0.25">
      <c r="B1412" s="64"/>
      <c r="C1412" s="64"/>
      <c r="J1412" s="64"/>
      <c r="K1412" s="504"/>
      <c r="L1412" s="504"/>
      <c r="M1412" s="550"/>
      <c r="N1412" s="550"/>
    </row>
    <row r="1413" spans="2:14" x14ac:dyDescent="0.25">
      <c r="B1413" s="64"/>
      <c r="C1413" s="64"/>
      <c r="J1413" s="64"/>
      <c r="K1413" s="504"/>
      <c r="L1413" s="504"/>
      <c r="M1413" s="550"/>
      <c r="N1413" s="550"/>
    </row>
    <row r="1414" spans="2:14" x14ac:dyDescent="0.25">
      <c r="B1414" s="64"/>
      <c r="C1414" s="64"/>
      <c r="J1414" s="64"/>
      <c r="K1414" s="504"/>
      <c r="L1414" s="504"/>
      <c r="M1414" s="550"/>
      <c r="N1414" s="550"/>
    </row>
    <row r="1415" spans="2:14" x14ac:dyDescent="0.25">
      <c r="B1415" s="64"/>
      <c r="C1415" s="64"/>
      <c r="J1415" s="64"/>
      <c r="K1415" s="504"/>
      <c r="L1415" s="504"/>
      <c r="M1415" s="550"/>
      <c r="N1415" s="550"/>
    </row>
    <row r="1416" spans="2:14" x14ac:dyDescent="0.25">
      <c r="B1416" s="64"/>
      <c r="C1416" s="64"/>
      <c r="J1416" s="64"/>
      <c r="K1416" s="504"/>
      <c r="L1416" s="504"/>
      <c r="M1416" s="550"/>
      <c r="N1416" s="550"/>
    </row>
    <row r="1417" spans="2:14" x14ac:dyDescent="0.25">
      <c r="B1417" s="64"/>
      <c r="C1417" s="64"/>
      <c r="J1417" s="64"/>
      <c r="K1417" s="504"/>
      <c r="L1417" s="504"/>
      <c r="M1417" s="550"/>
      <c r="N1417" s="550"/>
    </row>
    <row r="1418" spans="2:14" x14ac:dyDescent="0.25">
      <c r="B1418" s="64"/>
      <c r="C1418" s="64"/>
      <c r="J1418" s="64"/>
      <c r="K1418" s="504"/>
      <c r="L1418" s="504"/>
      <c r="M1418" s="550"/>
      <c r="N1418" s="550"/>
    </row>
    <row r="1419" spans="2:14" x14ac:dyDescent="0.25">
      <c r="B1419" s="64"/>
      <c r="C1419" s="64"/>
      <c r="J1419" s="64"/>
      <c r="K1419" s="504"/>
      <c r="L1419" s="504"/>
      <c r="M1419" s="550"/>
      <c r="N1419" s="550"/>
    </row>
    <row r="1420" spans="2:14" x14ac:dyDescent="0.25">
      <c r="B1420" s="64"/>
      <c r="C1420" s="64"/>
      <c r="J1420" s="64"/>
      <c r="K1420" s="504"/>
      <c r="L1420" s="504"/>
      <c r="M1420" s="550"/>
      <c r="N1420" s="550"/>
    </row>
    <row r="1421" spans="2:14" x14ac:dyDescent="0.25">
      <c r="B1421" s="64"/>
      <c r="C1421" s="64"/>
      <c r="J1421" s="64"/>
      <c r="K1421" s="504"/>
      <c r="L1421" s="504"/>
      <c r="M1421" s="550"/>
      <c r="N1421" s="550"/>
    </row>
    <row r="1422" spans="2:14" x14ac:dyDescent="0.25">
      <c r="B1422" s="64"/>
      <c r="C1422" s="64"/>
      <c r="J1422" s="64"/>
      <c r="K1422" s="504"/>
      <c r="L1422" s="504"/>
      <c r="M1422" s="550"/>
      <c r="N1422" s="550"/>
    </row>
    <row r="1423" spans="2:14" x14ac:dyDescent="0.25">
      <c r="B1423" s="64"/>
      <c r="C1423" s="64"/>
      <c r="J1423" s="64"/>
      <c r="K1423" s="504"/>
      <c r="L1423" s="504"/>
      <c r="M1423" s="550"/>
      <c r="N1423" s="550"/>
    </row>
    <row r="1424" spans="2:14" x14ac:dyDescent="0.25">
      <c r="B1424" s="64"/>
      <c r="C1424" s="64"/>
      <c r="J1424" s="64"/>
      <c r="K1424" s="504"/>
      <c r="L1424" s="504"/>
      <c r="M1424" s="550"/>
      <c r="N1424" s="550"/>
    </row>
    <row r="1425" spans="2:14" x14ac:dyDescent="0.25">
      <c r="B1425" s="64"/>
      <c r="C1425" s="64"/>
      <c r="J1425" s="64"/>
      <c r="K1425" s="504"/>
      <c r="L1425" s="504"/>
      <c r="M1425" s="550"/>
      <c r="N1425" s="550"/>
    </row>
    <row r="1426" spans="2:14" x14ac:dyDescent="0.25">
      <c r="B1426" s="64"/>
      <c r="C1426" s="64"/>
      <c r="J1426" s="64"/>
      <c r="K1426" s="504"/>
      <c r="L1426" s="504"/>
      <c r="M1426" s="550"/>
      <c r="N1426" s="550"/>
    </row>
    <row r="1427" spans="2:14" x14ac:dyDescent="0.25">
      <c r="B1427" s="64"/>
      <c r="C1427" s="64"/>
      <c r="J1427" s="64"/>
      <c r="K1427" s="504"/>
      <c r="L1427" s="504"/>
      <c r="M1427" s="550"/>
      <c r="N1427" s="550"/>
    </row>
    <row r="1428" spans="2:14" x14ac:dyDescent="0.25">
      <c r="B1428" s="64"/>
      <c r="C1428" s="64"/>
      <c r="J1428" s="64"/>
      <c r="K1428" s="504"/>
      <c r="L1428" s="504"/>
      <c r="M1428" s="550"/>
      <c r="N1428" s="550"/>
    </row>
    <row r="1429" spans="2:14" x14ac:dyDescent="0.25">
      <c r="B1429" s="64"/>
      <c r="C1429" s="64"/>
      <c r="J1429" s="64"/>
      <c r="K1429" s="504"/>
      <c r="L1429" s="504"/>
      <c r="M1429" s="550"/>
      <c r="N1429" s="550"/>
    </row>
    <row r="1430" spans="2:14" x14ac:dyDescent="0.25">
      <c r="B1430" s="64"/>
      <c r="C1430" s="64"/>
      <c r="J1430" s="64"/>
      <c r="K1430" s="504"/>
      <c r="L1430" s="504"/>
      <c r="M1430" s="550"/>
      <c r="N1430" s="550"/>
    </row>
    <row r="1431" spans="2:14" x14ac:dyDescent="0.25">
      <c r="B1431" s="64"/>
      <c r="C1431" s="64"/>
      <c r="J1431" s="64"/>
      <c r="K1431" s="504"/>
      <c r="L1431" s="504"/>
      <c r="M1431" s="550"/>
      <c r="N1431" s="550"/>
    </row>
    <row r="1432" spans="2:14" x14ac:dyDescent="0.25">
      <c r="B1432" s="64"/>
      <c r="C1432" s="64"/>
      <c r="J1432" s="64"/>
      <c r="K1432" s="504"/>
      <c r="L1432" s="504"/>
      <c r="M1432" s="550"/>
      <c r="N1432" s="550"/>
    </row>
    <row r="1433" spans="2:14" x14ac:dyDescent="0.25">
      <c r="B1433" s="64"/>
      <c r="C1433" s="64"/>
      <c r="J1433" s="64"/>
      <c r="K1433" s="504"/>
      <c r="L1433" s="504"/>
      <c r="M1433" s="550"/>
      <c r="N1433" s="550"/>
    </row>
    <row r="1434" spans="2:14" x14ac:dyDescent="0.25">
      <c r="B1434" s="64"/>
      <c r="C1434" s="64"/>
      <c r="J1434" s="64"/>
      <c r="K1434" s="504"/>
      <c r="L1434" s="504"/>
      <c r="M1434" s="550"/>
      <c r="N1434" s="550"/>
    </row>
    <row r="1435" spans="2:14" x14ac:dyDescent="0.25">
      <c r="B1435" s="64"/>
      <c r="C1435" s="64"/>
      <c r="J1435" s="64"/>
      <c r="K1435" s="504"/>
      <c r="L1435" s="504"/>
      <c r="M1435" s="550"/>
      <c r="N1435" s="550"/>
    </row>
    <row r="1436" spans="2:14" x14ac:dyDescent="0.25">
      <c r="B1436" s="64"/>
      <c r="C1436" s="64"/>
      <c r="J1436" s="64"/>
      <c r="K1436" s="504"/>
      <c r="L1436" s="504"/>
      <c r="M1436" s="550"/>
      <c r="N1436" s="550"/>
    </row>
    <row r="1437" spans="2:14" x14ac:dyDescent="0.25">
      <c r="B1437" s="64"/>
      <c r="C1437" s="64"/>
      <c r="J1437" s="64"/>
      <c r="K1437" s="504"/>
      <c r="L1437" s="504"/>
      <c r="M1437" s="550"/>
      <c r="N1437" s="550"/>
    </row>
    <row r="1438" spans="2:14" x14ac:dyDescent="0.25">
      <c r="B1438" s="64"/>
      <c r="C1438" s="64"/>
      <c r="J1438" s="64"/>
      <c r="K1438" s="504"/>
      <c r="L1438" s="504"/>
      <c r="M1438" s="550"/>
      <c r="N1438" s="550"/>
    </row>
    <row r="1439" spans="2:14" x14ac:dyDescent="0.25">
      <c r="B1439" s="64"/>
      <c r="C1439" s="64"/>
      <c r="J1439" s="64"/>
      <c r="K1439" s="504"/>
      <c r="L1439" s="504"/>
      <c r="M1439" s="550"/>
      <c r="N1439" s="550"/>
    </row>
    <row r="1440" spans="2:14" x14ac:dyDescent="0.25">
      <c r="B1440" s="64"/>
      <c r="C1440" s="64"/>
      <c r="J1440" s="64"/>
      <c r="K1440" s="504"/>
      <c r="L1440" s="504"/>
      <c r="M1440" s="550"/>
      <c r="N1440" s="550"/>
    </row>
    <row r="1441" spans="2:14" x14ac:dyDescent="0.25">
      <c r="B1441" s="64"/>
      <c r="C1441" s="64"/>
      <c r="J1441" s="64"/>
      <c r="K1441" s="504"/>
      <c r="L1441" s="504"/>
      <c r="M1441" s="550"/>
      <c r="N1441" s="550"/>
    </row>
    <row r="1442" spans="2:14" x14ac:dyDescent="0.25">
      <c r="B1442" s="64"/>
      <c r="C1442" s="64"/>
      <c r="J1442" s="64"/>
      <c r="K1442" s="504"/>
      <c r="L1442" s="504"/>
      <c r="M1442" s="550"/>
      <c r="N1442" s="550"/>
    </row>
    <row r="1443" spans="2:14" x14ac:dyDescent="0.25">
      <c r="B1443" s="64"/>
      <c r="C1443" s="64"/>
      <c r="J1443" s="64"/>
      <c r="K1443" s="504"/>
      <c r="L1443" s="504"/>
      <c r="M1443" s="550"/>
      <c r="N1443" s="550"/>
    </row>
    <row r="1444" spans="2:14" x14ac:dyDescent="0.25">
      <c r="B1444" s="64"/>
      <c r="C1444" s="64"/>
      <c r="J1444" s="64"/>
      <c r="K1444" s="504"/>
      <c r="L1444" s="504"/>
      <c r="M1444" s="550"/>
      <c r="N1444" s="550"/>
    </row>
    <row r="1445" spans="2:14" x14ac:dyDescent="0.25">
      <c r="B1445" s="64"/>
      <c r="C1445" s="64"/>
      <c r="J1445" s="64"/>
      <c r="K1445" s="504"/>
      <c r="L1445" s="504"/>
      <c r="M1445" s="550"/>
      <c r="N1445" s="550"/>
    </row>
    <row r="1446" spans="2:14" x14ac:dyDescent="0.25">
      <c r="B1446" s="64"/>
      <c r="C1446" s="64"/>
      <c r="J1446" s="64"/>
      <c r="K1446" s="504"/>
      <c r="L1446" s="504"/>
      <c r="M1446" s="550"/>
      <c r="N1446" s="550"/>
    </row>
    <row r="1447" spans="2:14" x14ac:dyDescent="0.25">
      <c r="B1447" s="64"/>
      <c r="C1447" s="64"/>
      <c r="J1447" s="64"/>
      <c r="K1447" s="504"/>
      <c r="L1447" s="504"/>
      <c r="M1447" s="550"/>
      <c r="N1447" s="550"/>
    </row>
    <row r="1448" spans="2:14" x14ac:dyDescent="0.25">
      <c r="B1448" s="64"/>
      <c r="C1448" s="64"/>
      <c r="J1448" s="64"/>
      <c r="K1448" s="504"/>
      <c r="L1448" s="504"/>
      <c r="M1448" s="550"/>
      <c r="N1448" s="550"/>
    </row>
    <row r="1449" spans="2:14" x14ac:dyDescent="0.25">
      <c r="B1449" s="64"/>
      <c r="C1449" s="64"/>
      <c r="J1449" s="64"/>
      <c r="K1449" s="504"/>
      <c r="L1449" s="504"/>
      <c r="M1449" s="550"/>
      <c r="N1449" s="550"/>
    </row>
    <row r="1450" spans="2:14" x14ac:dyDescent="0.25">
      <c r="B1450" s="64"/>
      <c r="C1450" s="64"/>
      <c r="J1450" s="64"/>
      <c r="K1450" s="504"/>
      <c r="L1450" s="504"/>
      <c r="M1450" s="550"/>
      <c r="N1450" s="550"/>
    </row>
    <row r="1451" spans="2:14" x14ac:dyDescent="0.25">
      <c r="B1451" s="64"/>
      <c r="C1451" s="64"/>
      <c r="J1451" s="64"/>
      <c r="K1451" s="504"/>
      <c r="L1451" s="504"/>
      <c r="M1451" s="550"/>
      <c r="N1451" s="550"/>
    </row>
    <row r="1452" spans="2:14" x14ac:dyDescent="0.25">
      <c r="B1452" s="64"/>
      <c r="C1452" s="64"/>
      <c r="J1452" s="64"/>
      <c r="K1452" s="504"/>
      <c r="L1452" s="504"/>
      <c r="M1452" s="550"/>
      <c r="N1452" s="550"/>
    </row>
    <row r="1453" spans="2:14" x14ac:dyDescent="0.25">
      <c r="B1453" s="64"/>
      <c r="C1453" s="64"/>
      <c r="J1453" s="64"/>
      <c r="K1453" s="504"/>
      <c r="L1453" s="504"/>
      <c r="M1453" s="550"/>
      <c r="N1453" s="550"/>
    </row>
    <row r="1454" spans="2:14" x14ac:dyDescent="0.25">
      <c r="B1454" s="64"/>
      <c r="C1454" s="64"/>
      <c r="J1454" s="64"/>
      <c r="K1454" s="504"/>
      <c r="L1454" s="504"/>
      <c r="M1454" s="550"/>
      <c r="N1454" s="550"/>
    </row>
    <row r="1455" spans="2:14" x14ac:dyDescent="0.25">
      <c r="B1455" s="64"/>
      <c r="C1455" s="64"/>
      <c r="J1455" s="64"/>
      <c r="K1455" s="504"/>
      <c r="L1455" s="504"/>
      <c r="M1455" s="550"/>
      <c r="N1455" s="550"/>
    </row>
    <row r="1456" spans="2:14" x14ac:dyDescent="0.25">
      <c r="B1456" s="64"/>
      <c r="C1456" s="64"/>
      <c r="J1456" s="64"/>
      <c r="K1456" s="504"/>
      <c r="L1456" s="504"/>
      <c r="M1456" s="550"/>
      <c r="N1456" s="550"/>
    </row>
    <row r="1457" spans="2:14" x14ac:dyDescent="0.25">
      <c r="B1457" s="64"/>
      <c r="C1457" s="64"/>
      <c r="J1457" s="64"/>
      <c r="K1457" s="504"/>
      <c r="L1457" s="504"/>
      <c r="M1457" s="550"/>
      <c r="N1457" s="550"/>
    </row>
    <row r="1458" spans="2:14" x14ac:dyDescent="0.25">
      <c r="B1458" s="64"/>
      <c r="C1458" s="64"/>
      <c r="J1458" s="64"/>
      <c r="K1458" s="504"/>
      <c r="L1458" s="504"/>
      <c r="M1458" s="550"/>
      <c r="N1458" s="550"/>
    </row>
    <row r="1459" spans="2:14" x14ac:dyDescent="0.25">
      <c r="B1459" s="64"/>
      <c r="C1459" s="64"/>
      <c r="J1459" s="64"/>
      <c r="K1459" s="504"/>
      <c r="L1459" s="504"/>
      <c r="M1459" s="550"/>
      <c r="N1459" s="550"/>
    </row>
    <row r="1460" spans="2:14" x14ac:dyDescent="0.25">
      <c r="B1460" s="64"/>
      <c r="C1460" s="64"/>
      <c r="J1460" s="64"/>
      <c r="K1460" s="504"/>
      <c r="L1460" s="504"/>
      <c r="M1460" s="550"/>
      <c r="N1460" s="550"/>
    </row>
    <row r="1461" spans="2:14" x14ac:dyDescent="0.25">
      <c r="B1461" s="64"/>
      <c r="C1461" s="64"/>
      <c r="J1461" s="64"/>
      <c r="K1461" s="504"/>
      <c r="L1461" s="504"/>
      <c r="M1461" s="550"/>
      <c r="N1461" s="550"/>
    </row>
    <row r="1462" spans="2:14" x14ac:dyDescent="0.25">
      <c r="B1462" s="64"/>
      <c r="C1462" s="64"/>
      <c r="J1462" s="64"/>
      <c r="K1462" s="504"/>
      <c r="L1462" s="504"/>
      <c r="M1462" s="550"/>
      <c r="N1462" s="550"/>
    </row>
    <row r="1463" spans="2:14" x14ac:dyDescent="0.25">
      <c r="B1463" s="64"/>
      <c r="C1463" s="64"/>
      <c r="J1463" s="64"/>
      <c r="K1463" s="504"/>
      <c r="L1463" s="504"/>
      <c r="M1463" s="550"/>
      <c r="N1463" s="550"/>
    </row>
    <row r="1464" spans="2:14" x14ac:dyDescent="0.25">
      <c r="B1464" s="64"/>
      <c r="C1464" s="64"/>
      <c r="J1464" s="64"/>
      <c r="K1464" s="504"/>
      <c r="L1464" s="504"/>
      <c r="M1464" s="550"/>
      <c r="N1464" s="550"/>
    </row>
    <row r="1465" spans="2:14" x14ac:dyDescent="0.25">
      <c r="B1465" s="64"/>
      <c r="C1465" s="64"/>
      <c r="J1465" s="64"/>
      <c r="K1465" s="504"/>
      <c r="L1465" s="504"/>
      <c r="M1465" s="550"/>
      <c r="N1465" s="550"/>
    </row>
    <row r="1466" spans="2:14" x14ac:dyDescent="0.25">
      <c r="B1466" s="64"/>
      <c r="C1466" s="64"/>
      <c r="J1466" s="64"/>
      <c r="K1466" s="504"/>
      <c r="L1466" s="504"/>
      <c r="M1466" s="550"/>
      <c r="N1466" s="550"/>
    </row>
    <row r="1467" spans="2:14" x14ac:dyDescent="0.25">
      <c r="B1467" s="64"/>
      <c r="C1467" s="64"/>
      <c r="J1467" s="64"/>
      <c r="K1467" s="504"/>
      <c r="L1467" s="504"/>
      <c r="M1467" s="550"/>
      <c r="N1467" s="550"/>
    </row>
    <row r="1468" spans="2:14" x14ac:dyDescent="0.25">
      <c r="B1468" s="64"/>
      <c r="C1468" s="64"/>
      <c r="J1468" s="64"/>
      <c r="K1468" s="504"/>
      <c r="L1468" s="504"/>
      <c r="M1468" s="550"/>
      <c r="N1468" s="550"/>
    </row>
    <row r="1469" spans="2:14" x14ac:dyDescent="0.25">
      <c r="B1469" s="64"/>
      <c r="C1469" s="64"/>
      <c r="J1469" s="64"/>
      <c r="K1469" s="504"/>
      <c r="L1469" s="504"/>
      <c r="M1469" s="550"/>
      <c r="N1469" s="550"/>
    </row>
    <row r="1470" spans="2:14" x14ac:dyDescent="0.25">
      <c r="B1470" s="64"/>
      <c r="C1470" s="64"/>
      <c r="J1470" s="64"/>
      <c r="K1470" s="504"/>
      <c r="L1470" s="504"/>
      <c r="M1470" s="550"/>
      <c r="N1470" s="550"/>
    </row>
    <row r="1471" spans="2:14" x14ac:dyDescent="0.25">
      <c r="B1471" s="64"/>
      <c r="C1471" s="64"/>
      <c r="J1471" s="64"/>
      <c r="K1471" s="504"/>
      <c r="L1471" s="504"/>
      <c r="M1471" s="550"/>
      <c r="N1471" s="550"/>
    </row>
    <row r="1472" spans="2:14" x14ac:dyDescent="0.25">
      <c r="B1472" s="64"/>
      <c r="C1472" s="64"/>
      <c r="J1472" s="64"/>
      <c r="K1472" s="504"/>
      <c r="L1472" s="504"/>
      <c r="M1472" s="550"/>
      <c r="N1472" s="550"/>
    </row>
    <row r="1473" spans="2:14" x14ac:dyDescent="0.25">
      <c r="B1473" s="64"/>
      <c r="C1473" s="64"/>
      <c r="J1473" s="64"/>
      <c r="K1473" s="504"/>
      <c r="L1473" s="504"/>
      <c r="M1473" s="550"/>
      <c r="N1473" s="550"/>
    </row>
    <row r="1474" spans="2:14" x14ac:dyDescent="0.25">
      <c r="B1474" s="64"/>
      <c r="C1474" s="64"/>
      <c r="J1474" s="64"/>
      <c r="K1474" s="504"/>
      <c r="L1474" s="504"/>
      <c r="M1474" s="550"/>
      <c r="N1474" s="550"/>
    </row>
    <row r="1475" spans="2:14" x14ac:dyDescent="0.25">
      <c r="B1475" s="64"/>
      <c r="C1475" s="64"/>
      <c r="J1475" s="64"/>
      <c r="K1475" s="504"/>
      <c r="L1475" s="504"/>
      <c r="M1475" s="550"/>
      <c r="N1475" s="550"/>
    </row>
    <row r="1476" spans="2:14" x14ac:dyDescent="0.25">
      <c r="B1476" s="64"/>
      <c r="C1476" s="64"/>
      <c r="J1476" s="64"/>
      <c r="K1476" s="504"/>
      <c r="L1476" s="504"/>
      <c r="M1476" s="550"/>
      <c r="N1476" s="550"/>
    </row>
    <row r="1477" spans="2:14" x14ac:dyDescent="0.25">
      <c r="B1477" s="64"/>
      <c r="C1477" s="64"/>
      <c r="J1477" s="64"/>
      <c r="K1477" s="504"/>
      <c r="L1477" s="504"/>
      <c r="M1477" s="550"/>
      <c r="N1477" s="550"/>
    </row>
    <row r="1478" spans="2:14" x14ac:dyDescent="0.25">
      <c r="B1478" s="64"/>
      <c r="C1478" s="64"/>
      <c r="J1478" s="64"/>
      <c r="K1478" s="504"/>
      <c r="L1478" s="504"/>
      <c r="M1478" s="550"/>
      <c r="N1478" s="550"/>
    </row>
    <row r="1479" spans="2:14" x14ac:dyDescent="0.25">
      <c r="B1479" s="64"/>
      <c r="C1479" s="64"/>
      <c r="J1479" s="64"/>
      <c r="K1479" s="504"/>
      <c r="L1479" s="504"/>
      <c r="M1479" s="550"/>
      <c r="N1479" s="550"/>
    </row>
    <row r="1480" spans="2:14" x14ac:dyDescent="0.25">
      <c r="B1480" s="64"/>
      <c r="C1480" s="64"/>
      <c r="J1480" s="64"/>
      <c r="K1480" s="504"/>
      <c r="L1480" s="504"/>
      <c r="M1480" s="550"/>
      <c r="N1480" s="550"/>
    </row>
    <row r="1481" spans="2:14" x14ac:dyDescent="0.25">
      <c r="B1481" s="64"/>
      <c r="C1481" s="64"/>
      <c r="J1481" s="64"/>
      <c r="K1481" s="504"/>
      <c r="L1481" s="504"/>
      <c r="M1481" s="550"/>
      <c r="N1481" s="550"/>
    </row>
    <row r="1482" spans="2:14" x14ac:dyDescent="0.25">
      <c r="B1482" s="64"/>
      <c r="C1482" s="64"/>
      <c r="J1482" s="64"/>
      <c r="K1482" s="504"/>
      <c r="L1482" s="504"/>
      <c r="M1482" s="550"/>
      <c r="N1482" s="550"/>
    </row>
    <row r="1483" spans="2:14" x14ac:dyDescent="0.25">
      <c r="B1483" s="64"/>
      <c r="C1483" s="64"/>
      <c r="J1483" s="64"/>
      <c r="K1483" s="504"/>
      <c r="L1483" s="504"/>
      <c r="M1483" s="550"/>
      <c r="N1483" s="550"/>
    </row>
    <row r="1484" spans="2:14" x14ac:dyDescent="0.25">
      <c r="B1484" s="64"/>
      <c r="C1484" s="64"/>
      <c r="J1484" s="64"/>
      <c r="K1484" s="504"/>
      <c r="L1484" s="504"/>
      <c r="M1484" s="550"/>
      <c r="N1484" s="550"/>
    </row>
    <row r="1485" spans="2:14" x14ac:dyDescent="0.25">
      <c r="B1485" s="64"/>
      <c r="C1485" s="64"/>
      <c r="J1485" s="64"/>
      <c r="K1485" s="504"/>
      <c r="L1485" s="504"/>
      <c r="M1485" s="550"/>
      <c r="N1485" s="550"/>
    </row>
    <row r="1486" spans="2:14" x14ac:dyDescent="0.25">
      <c r="B1486" s="64"/>
      <c r="C1486" s="64"/>
      <c r="J1486" s="64"/>
      <c r="K1486" s="504"/>
      <c r="L1486" s="504"/>
      <c r="M1486" s="550"/>
      <c r="N1486" s="550"/>
    </row>
    <row r="1487" spans="2:14" x14ac:dyDescent="0.25">
      <c r="B1487" s="64"/>
      <c r="C1487" s="64"/>
      <c r="J1487" s="64"/>
      <c r="K1487" s="504"/>
      <c r="L1487" s="504"/>
      <c r="M1487" s="550"/>
      <c r="N1487" s="550"/>
    </row>
    <row r="1488" spans="2:14" x14ac:dyDescent="0.25">
      <c r="B1488" s="64"/>
      <c r="C1488" s="64"/>
      <c r="J1488" s="64"/>
      <c r="K1488" s="504"/>
      <c r="L1488" s="504"/>
      <c r="M1488" s="550"/>
      <c r="N1488" s="550"/>
    </row>
    <row r="1489" spans="2:14" x14ac:dyDescent="0.25">
      <c r="B1489" s="64"/>
      <c r="C1489" s="64"/>
      <c r="J1489" s="64"/>
      <c r="K1489" s="504"/>
      <c r="L1489" s="504"/>
      <c r="M1489" s="550"/>
      <c r="N1489" s="550"/>
    </row>
    <row r="1490" spans="2:14" x14ac:dyDescent="0.25">
      <c r="B1490" s="64"/>
      <c r="C1490" s="64"/>
      <c r="J1490" s="64"/>
      <c r="K1490" s="504"/>
      <c r="L1490" s="504"/>
      <c r="M1490" s="550"/>
      <c r="N1490" s="550"/>
    </row>
    <row r="1491" spans="2:14" x14ac:dyDescent="0.25">
      <c r="B1491" s="64"/>
      <c r="C1491" s="64"/>
      <c r="J1491" s="64"/>
      <c r="K1491" s="504"/>
      <c r="L1491" s="504"/>
      <c r="M1491" s="550"/>
      <c r="N1491" s="550"/>
    </row>
    <row r="1492" spans="2:14" x14ac:dyDescent="0.25">
      <c r="B1492" s="64"/>
      <c r="C1492" s="64"/>
      <c r="J1492" s="64"/>
      <c r="K1492" s="504"/>
      <c r="L1492" s="504"/>
      <c r="M1492" s="550"/>
      <c r="N1492" s="550"/>
    </row>
    <row r="1493" spans="2:14" x14ac:dyDescent="0.25">
      <c r="B1493" s="64"/>
      <c r="C1493" s="64"/>
      <c r="J1493" s="64"/>
      <c r="K1493" s="504"/>
      <c r="L1493" s="504"/>
      <c r="M1493" s="550"/>
      <c r="N1493" s="550"/>
    </row>
    <row r="1494" spans="2:14" x14ac:dyDescent="0.25">
      <c r="B1494" s="64"/>
      <c r="C1494" s="64"/>
      <c r="J1494" s="64"/>
      <c r="K1494" s="504"/>
      <c r="L1494" s="504"/>
      <c r="M1494" s="550"/>
      <c r="N1494" s="550"/>
    </row>
    <row r="1495" spans="2:14" x14ac:dyDescent="0.25">
      <c r="B1495" s="64"/>
      <c r="C1495" s="64"/>
      <c r="J1495" s="64"/>
      <c r="K1495" s="504"/>
      <c r="L1495" s="504"/>
      <c r="M1495" s="550"/>
      <c r="N1495" s="550"/>
    </row>
    <row r="1496" spans="2:14" x14ac:dyDescent="0.25">
      <c r="B1496" s="64"/>
      <c r="C1496" s="64"/>
      <c r="J1496" s="64"/>
      <c r="K1496" s="504"/>
      <c r="L1496" s="504"/>
      <c r="M1496" s="550"/>
      <c r="N1496" s="550"/>
    </row>
    <row r="1497" spans="2:14" x14ac:dyDescent="0.25">
      <c r="B1497" s="64"/>
      <c r="C1497" s="64"/>
      <c r="J1497" s="64"/>
      <c r="K1497" s="504"/>
      <c r="L1497" s="504"/>
      <c r="M1497" s="550"/>
      <c r="N1497" s="550"/>
    </row>
    <row r="1498" spans="2:14" x14ac:dyDescent="0.25">
      <c r="B1498" s="64"/>
      <c r="C1498" s="64"/>
      <c r="J1498" s="64"/>
      <c r="K1498" s="504"/>
      <c r="L1498" s="504"/>
      <c r="M1498" s="550"/>
      <c r="N1498" s="550"/>
    </row>
    <row r="1499" spans="2:14" x14ac:dyDescent="0.25">
      <c r="B1499" s="64"/>
      <c r="C1499" s="64"/>
      <c r="J1499" s="64"/>
      <c r="K1499" s="504"/>
      <c r="L1499" s="504"/>
      <c r="M1499" s="550"/>
      <c r="N1499" s="550"/>
    </row>
    <row r="1500" spans="2:14" x14ac:dyDescent="0.25">
      <c r="B1500" s="64"/>
      <c r="C1500" s="64"/>
      <c r="J1500" s="64"/>
      <c r="K1500" s="504"/>
      <c r="L1500" s="504"/>
      <c r="M1500" s="550"/>
      <c r="N1500" s="550"/>
    </row>
    <row r="1501" spans="2:14" x14ac:dyDescent="0.25">
      <c r="B1501" s="64"/>
      <c r="C1501" s="64"/>
      <c r="J1501" s="64"/>
      <c r="K1501" s="504"/>
      <c r="L1501" s="504"/>
      <c r="M1501" s="550"/>
      <c r="N1501" s="550"/>
    </row>
    <row r="1502" spans="2:14" x14ac:dyDescent="0.25">
      <c r="B1502" s="64"/>
      <c r="C1502" s="64"/>
      <c r="J1502" s="64"/>
      <c r="K1502" s="504"/>
      <c r="L1502" s="504"/>
      <c r="M1502" s="550"/>
      <c r="N1502" s="550"/>
    </row>
    <row r="1503" spans="2:14" x14ac:dyDescent="0.25">
      <c r="B1503" s="64"/>
      <c r="C1503" s="64"/>
      <c r="J1503" s="64"/>
      <c r="K1503" s="504"/>
      <c r="L1503" s="504"/>
      <c r="M1503" s="550"/>
      <c r="N1503" s="550"/>
    </row>
    <row r="1504" spans="2:14" x14ac:dyDescent="0.25">
      <c r="B1504" s="64"/>
      <c r="C1504" s="64"/>
      <c r="J1504" s="64"/>
      <c r="K1504" s="504"/>
      <c r="L1504" s="504"/>
      <c r="M1504" s="550"/>
      <c r="N1504" s="550"/>
    </row>
    <row r="1505" spans="2:14" x14ac:dyDescent="0.25">
      <c r="B1505" s="64"/>
      <c r="C1505" s="64"/>
      <c r="J1505" s="64"/>
      <c r="K1505" s="504"/>
      <c r="L1505" s="504"/>
      <c r="M1505" s="550"/>
      <c r="N1505" s="550"/>
    </row>
    <row r="1506" spans="2:14" x14ac:dyDescent="0.25">
      <c r="B1506" s="64"/>
      <c r="C1506" s="64"/>
      <c r="J1506" s="64"/>
      <c r="K1506" s="504"/>
      <c r="L1506" s="504"/>
      <c r="M1506" s="550"/>
      <c r="N1506" s="550"/>
    </row>
    <row r="1507" spans="2:14" x14ac:dyDescent="0.25">
      <c r="B1507" s="64"/>
      <c r="C1507" s="64"/>
      <c r="J1507" s="64"/>
      <c r="K1507" s="504"/>
      <c r="L1507" s="504"/>
      <c r="M1507" s="550"/>
      <c r="N1507" s="550"/>
    </row>
    <row r="1508" spans="2:14" x14ac:dyDescent="0.25">
      <c r="B1508" s="64"/>
      <c r="C1508" s="64"/>
      <c r="J1508" s="64"/>
      <c r="K1508" s="504"/>
      <c r="L1508" s="504"/>
      <c r="M1508" s="550"/>
      <c r="N1508" s="550"/>
    </row>
    <row r="1509" spans="2:14" x14ac:dyDescent="0.25">
      <c r="B1509" s="64"/>
      <c r="C1509" s="64"/>
      <c r="J1509" s="64"/>
      <c r="K1509" s="504"/>
      <c r="L1509" s="504"/>
      <c r="M1509" s="550"/>
      <c r="N1509" s="550"/>
    </row>
    <row r="1510" spans="2:14" x14ac:dyDescent="0.25">
      <c r="B1510" s="64"/>
      <c r="C1510" s="64"/>
      <c r="J1510" s="64"/>
      <c r="K1510" s="504"/>
      <c r="L1510" s="504"/>
      <c r="M1510" s="550"/>
      <c r="N1510" s="550"/>
    </row>
    <row r="1511" spans="2:14" x14ac:dyDescent="0.25">
      <c r="B1511" s="64"/>
      <c r="C1511" s="64"/>
      <c r="J1511" s="64"/>
      <c r="K1511" s="504"/>
      <c r="L1511" s="504"/>
      <c r="M1511" s="550"/>
      <c r="N1511" s="550"/>
    </row>
    <row r="1512" spans="2:14" x14ac:dyDescent="0.25">
      <c r="B1512" s="64"/>
      <c r="C1512" s="64"/>
      <c r="J1512" s="64"/>
      <c r="K1512" s="504"/>
      <c r="L1512" s="504"/>
      <c r="M1512" s="550"/>
      <c r="N1512" s="550"/>
    </row>
    <row r="1513" spans="2:14" x14ac:dyDescent="0.25">
      <c r="B1513" s="64"/>
      <c r="C1513" s="64"/>
      <c r="J1513" s="64"/>
      <c r="K1513" s="504"/>
      <c r="L1513" s="504"/>
      <c r="M1513" s="550"/>
      <c r="N1513" s="550"/>
    </row>
    <row r="1514" spans="2:14" x14ac:dyDescent="0.25">
      <c r="B1514" s="64"/>
      <c r="C1514" s="64"/>
      <c r="J1514" s="64"/>
      <c r="K1514" s="504"/>
      <c r="L1514" s="504"/>
      <c r="M1514" s="550"/>
      <c r="N1514" s="550"/>
    </row>
    <row r="1515" spans="2:14" x14ac:dyDescent="0.25">
      <c r="B1515" s="64"/>
      <c r="C1515" s="64"/>
      <c r="J1515" s="64"/>
      <c r="K1515" s="504"/>
      <c r="L1515" s="504"/>
      <c r="M1515" s="550"/>
      <c r="N1515" s="550"/>
    </row>
    <row r="1516" spans="2:14" x14ac:dyDescent="0.25">
      <c r="B1516" s="64"/>
      <c r="C1516" s="64"/>
      <c r="J1516" s="64"/>
      <c r="K1516" s="504"/>
      <c r="L1516" s="504"/>
      <c r="M1516" s="550"/>
      <c r="N1516" s="550"/>
    </row>
    <row r="1517" spans="2:14" x14ac:dyDescent="0.25">
      <c r="B1517" s="64"/>
      <c r="C1517" s="64"/>
      <c r="J1517" s="64"/>
      <c r="K1517" s="504"/>
      <c r="L1517" s="504"/>
      <c r="M1517" s="550"/>
      <c r="N1517" s="550"/>
    </row>
    <row r="1518" spans="2:14" x14ac:dyDescent="0.25">
      <c r="B1518" s="64"/>
      <c r="C1518" s="64"/>
      <c r="J1518" s="64"/>
      <c r="K1518" s="504"/>
      <c r="L1518" s="504"/>
      <c r="M1518" s="550"/>
      <c r="N1518" s="550"/>
    </row>
    <row r="1519" spans="2:14" x14ac:dyDescent="0.25">
      <c r="B1519" s="64"/>
      <c r="C1519" s="64"/>
      <c r="J1519" s="64"/>
      <c r="K1519" s="504"/>
      <c r="L1519" s="504"/>
      <c r="M1519" s="550"/>
      <c r="N1519" s="550"/>
    </row>
    <row r="1520" spans="2:14" x14ac:dyDescent="0.25">
      <c r="B1520" s="64"/>
      <c r="C1520" s="64"/>
      <c r="J1520" s="64"/>
      <c r="K1520" s="504"/>
      <c r="L1520" s="504"/>
      <c r="M1520" s="550"/>
      <c r="N1520" s="550"/>
    </row>
    <row r="1521" spans="2:14" x14ac:dyDescent="0.25">
      <c r="B1521" s="64"/>
      <c r="C1521" s="64"/>
      <c r="J1521" s="64"/>
      <c r="K1521" s="504"/>
      <c r="L1521" s="504"/>
      <c r="M1521" s="550"/>
      <c r="N1521" s="550"/>
    </row>
    <row r="1522" spans="2:14" x14ac:dyDescent="0.25">
      <c r="B1522" s="64"/>
      <c r="C1522" s="64"/>
      <c r="J1522" s="64"/>
      <c r="K1522" s="504"/>
      <c r="L1522" s="504"/>
      <c r="M1522" s="550"/>
      <c r="N1522" s="550"/>
    </row>
    <row r="1523" spans="2:14" x14ac:dyDescent="0.25">
      <c r="B1523" s="64"/>
      <c r="C1523" s="64"/>
      <c r="J1523" s="64"/>
      <c r="K1523" s="504"/>
      <c r="L1523" s="504"/>
      <c r="M1523" s="550"/>
      <c r="N1523" s="550"/>
    </row>
    <row r="1524" spans="2:14" x14ac:dyDescent="0.25">
      <c r="B1524" s="64"/>
      <c r="C1524" s="64"/>
      <c r="J1524" s="64"/>
      <c r="K1524" s="504"/>
      <c r="L1524" s="504"/>
      <c r="M1524" s="550"/>
      <c r="N1524" s="550"/>
    </row>
    <row r="1525" spans="2:14" x14ac:dyDescent="0.25">
      <c r="B1525" s="64"/>
      <c r="C1525" s="64"/>
      <c r="J1525" s="64"/>
      <c r="K1525" s="504"/>
      <c r="L1525" s="504"/>
      <c r="M1525" s="550"/>
      <c r="N1525" s="550"/>
    </row>
    <row r="1526" spans="2:14" x14ac:dyDescent="0.25">
      <c r="B1526" s="64"/>
      <c r="C1526" s="64"/>
      <c r="J1526" s="64"/>
      <c r="K1526" s="504"/>
      <c r="L1526" s="504"/>
      <c r="M1526" s="550"/>
      <c r="N1526" s="550"/>
    </row>
    <row r="1527" spans="2:14" x14ac:dyDescent="0.25">
      <c r="B1527" s="64"/>
      <c r="C1527" s="64"/>
      <c r="J1527" s="64"/>
      <c r="K1527" s="504"/>
      <c r="L1527" s="504"/>
      <c r="M1527" s="550"/>
      <c r="N1527" s="550"/>
    </row>
    <row r="1528" spans="2:14" x14ac:dyDescent="0.25">
      <c r="B1528" s="64"/>
      <c r="C1528" s="64"/>
      <c r="J1528" s="64"/>
      <c r="K1528" s="504"/>
      <c r="L1528" s="504"/>
      <c r="M1528" s="550"/>
      <c r="N1528" s="550"/>
    </row>
    <row r="1529" spans="2:14" x14ac:dyDescent="0.25">
      <c r="B1529" s="64"/>
      <c r="C1529" s="64"/>
      <c r="J1529" s="64"/>
      <c r="K1529" s="504"/>
      <c r="L1529" s="504"/>
      <c r="M1529" s="550"/>
      <c r="N1529" s="550"/>
    </row>
    <row r="1530" spans="2:14" x14ac:dyDescent="0.25">
      <c r="B1530" s="64"/>
      <c r="C1530" s="64"/>
      <c r="J1530" s="64"/>
      <c r="K1530" s="504"/>
      <c r="L1530" s="504"/>
      <c r="M1530" s="550"/>
      <c r="N1530" s="550"/>
    </row>
    <row r="1531" spans="2:14" x14ac:dyDescent="0.25">
      <c r="B1531" s="64"/>
      <c r="C1531" s="64"/>
      <c r="J1531" s="64"/>
      <c r="K1531" s="504"/>
      <c r="L1531" s="504"/>
      <c r="M1531" s="550"/>
      <c r="N1531" s="550"/>
    </row>
    <row r="1532" spans="2:14" x14ac:dyDescent="0.25">
      <c r="B1532" s="64"/>
      <c r="C1532" s="64"/>
      <c r="J1532" s="64"/>
      <c r="K1532" s="504"/>
      <c r="L1532" s="504"/>
      <c r="M1532" s="550"/>
      <c r="N1532" s="550"/>
    </row>
    <row r="1533" spans="2:14" x14ac:dyDescent="0.25">
      <c r="B1533" s="64"/>
      <c r="C1533" s="64"/>
      <c r="J1533" s="64"/>
      <c r="K1533" s="504"/>
      <c r="L1533" s="504"/>
      <c r="M1533" s="550"/>
      <c r="N1533" s="550"/>
    </row>
    <row r="1534" spans="2:14" x14ac:dyDescent="0.25">
      <c r="B1534" s="64"/>
      <c r="C1534" s="64"/>
      <c r="J1534" s="64"/>
      <c r="K1534" s="504"/>
      <c r="L1534" s="504"/>
      <c r="M1534" s="550"/>
      <c r="N1534" s="550"/>
    </row>
    <row r="1535" spans="2:14" x14ac:dyDescent="0.25">
      <c r="B1535" s="64"/>
      <c r="C1535" s="64"/>
      <c r="J1535" s="64"/>
      <c r="K1535" s="504"/>
      <c r="L1535" s="504"/>
      <c r="M1535" s="550"/>
      <c r="N1535" s="550"/>
    </row>
    <row r="1536" spans="2:14" x14ac:dyDescent="0.25">
      <c r="B1536" s="64"/>
      <c r="C1536" s="64"/>
      <c r="J1536" s="64"/>
      <c r="K1536" s="504"/>
      <c r="L1536" s="504"/>
      <c r="M1536" s="550"/>
      <c r="N1536" s="550"/>
    </row>
    <row r="1537" spans="2:14" x14ac:dyDescent="0.25">
      <c r="B1537" s="64"/>
      <c r="C1537" s="64"/>
      <c r="J1537" s="64"/>
      <c r="K1537" s="504"/>
      <c r="L1537" s="504"/>
      <c r="M1537" s="550"/>
      <c r="N1537" s="550"/>
    </row>
    <row r="1538" spans="2:14" x14ac:dyDescent="0.25">
      <c r="B1538" s="64"/>
      <c r="C1538" s="64"/>
      <c r="J1538" s="64"/>
      <c r="K1538" s="504"/>
      <c r="L1538" s="504"/>
      <c r="M1538" s="550"/>
      <c r="N1538" s="550"/>
    </row>
    <row r="1539" spans="2:14" x14ac:dyDescent="0.25">
      <c r="B1539" s="64"/>
      <c r="C1539" s="64"/>
      <c r="J1539" s="64"/>
      <c r="K1539" s="504"/>
      <c r="L1539" s="504"/>
      <c r="M1539" s="550"/>
      <c r="N1539" s="550"/>
    </row>
    <row r="1540" spans="2:14" x14ac:dyDescent="0.25">
      <c r="B1540" s="64"/>
      <c r="C1540" s="64"/>
      <c r="J1540" s="64"/>
      <c r="K1540" s="504"/>
      <c r="L1540" s="504"/>
      <c r="M1540" s="550"/>
      <c r="N1540" s="550"/>
    </row>
    <row r="1541" spans="2:14" x14ac:dyDescent="0.25">
      <c r="B1541" s="64"/>
      <c r="C1541" s="64"/>
      <c r="J1541" s="64"/>
      <c r="K1541" s="504"/>
      <c r="L1541" s="504"/>
      <c r="M1541" s="550"/>
      <c r="N1541" s="550"/>
    </row>
    <row r="1542" spans="2:14" x14ac:dyDescent="0.25">
      <c r="B1542" s="64"/>
      <c r="C1542" s="64"/>
      <c r="J1542" s="64"/>
      <c r="K1542" s="504"/>
      <c r="L1542" s="504"/>
      <c r="M1542" s="550"/>
      <c r="N1542" s="550"/>
    </row>
    <row r="1543" spans="2:14" x14ac:dyDescent="0.25">
      <c r="B1543" s="64"/>
      <c r="C1543" s="64"/>
      <c r="J1543" s="64"/>
      <c r="K1543" s="504"/>
      <c r="L1543" s="504"/>
      <c r="M1543" s="550"/>
      <c r="N1543" s="550"/>
    </row>
    <row r="1544" spans="2:14" x14ac:dyDescent="0.25">
      <c r="B1544" s="64"/>
      <c r="C1544" s="64"/>
      <c r="J1544" s="64"/>
      <c r="K1544" s="504"/>
      <c r="L1544" s="504"/>
      <c r="M1544" s="550"/>
      <c r="N1544" s="550"/>
    </row>
    <row r="1545" spans="2:14" x14ac:dyDescent="0.25">
      <c r="B1545" s="64"/>
      <c r="C1545" s="64"/>
      <c r="J1545" s="64"/>
      <c r="K1545" s="504"/>
      <c r="L1545" s="504"/>
      <c r="M1545" s="550"/>
      <c r="N1545" s="550"/>
    </row>
    <row r="1546" spans="2:14" x14ac:dyDescent="0.25">
      <c r="B1546" s="64"/>
      <c r="C1546" s="64"/>
      <c r="J1546" s="64"/>
      <c r="K1546" s="504"/>
      <c r="L1546" s="504"/>
      <c r="M1546" s="550"/>
      <c r="N1546" s="550"/>
    </row>
    <row r="1547" spans="2:14" x14ac:dyDescent="0.25">
      <c r="B1547" s="64"/>
      <c r="C1547" s="64"/>
      <c r="J1547" s="64"/>
      <c r="K1547" s="504"/>
      <c r="L1547" s="504"/>
      <c r="M1547" s="550"/>
      <c r="N1547" s="550"/>
    </row>
    <row r="1548" spans="2:14" x14ac:dyDescent="0.25">
      <c r="B1548" s="64"/>
      <c r="C1548" s="64"/>
      <c r="J1548" s="64"/>
      <c r="K1548" s="504"/>
      <c r="L1548" s="504"/>
      <c r="M1548" s="550"/>
      <c r="N1548" s="550"/>
    </row>
    <row r="1549" spans="2:14" x14ac:dyDescent="0.25">
      <c r="B1549" s="64"/>
      <c r="C1549" s="64"/>
      <c r="J1549" s="64"/>
      <c r="K1549" s="504"/>
      <c r="L1549" s="504"/>
      <c r="M1549" s="550"/>
      <c r="N1549" s="550"/>
    </row>
    <row r="1550" spans="2:14" x14ac:dyDescent="0.25">
      <c r="B1550" s="64"/>
      <c r="C1550" s="64"/>
      <c r="J1550" s="64"/>
      <c r="K1550" s="504"/>
      <c r="L1550" s="504"/>
      <c r="M1550" s="550"/>
      <c r="N1550" s="550"/>
    </row>
    <row r="1551" spans="2:14" x14ac:dyDescent="0.25">
      <c r="B1551" s="64"/>
      <c r="C1551" s="64"/>
      <c r="J1551" s="64"/>
      <c r="K1551" s="504"/>
      <c r="L1551" s="504"/>
      <c r="M1551" s="550"/>
      <c r="N1551" s="550"/>
    </row>
    <row r="1552" spans="2:14" x14ac:dyDescent="0.25">
      <c r="B1552" s="64"/>
      <c r="C1552" s="64"/>
      <c r="J1552" s="64"/>
      <c r="K1552" s="504"/>
      <c r="L1552" s="504"/>
      <c r="M1552" s="550"/>
      <c r="N1552" s="550"/>
    </row>
    <row r="1553" spans="2:14" x14ac:dyDescent="0.25">
      <c r="B1553" s="64"/>
      <c r="C1553" s="64"/>
      <c r="J1553" s="64"/>
      <c r="K1553" s="504"/>
      <c r="L1553" s="504"/>
      <c r="M1553" s="550"/>
      <c r="N1553" s="550"/>
    </row>
    <row r="1554" spans="2:14" x14ac:dyDescent="0.25">
      <c r="B1554" s="64"/>
      <c r="C1554" s="64"/>
      <c r="J1554" s="64"/>
      <c r="K1554" s="504"/>
      <c r="L1554" s="504"/>
      <c r="M1554" s="550"/>
      <c r="N1554" s="550"/>
    </row>
    <row r="1555" spans="2:14" x14ac:dyDescent="0.25">
      <c r="B1555" s="64"/>
      <c r="C1555" s="64"/>
      <c r="J1555" s="64"/>
      <c r="K1555" s="504"/>
      <c r="L1555" s="504"/>
      <c r="M1555" s="550"/>
      <c r="N1555" s="550"/>
    </row>
    <row r="1556" spans="2:14" x14ac:dyDescent="0.25">
      <c r="B1556" s="64"/>
      <c r="C1556" s="64"/>
      <c r="J1556" s="64"/>
      <c r="K1556" s="504"/>
      <c r="L1556" s="504"/>
      <c r="M1556" s="550"/>
      <c r="N1556" s="550"/>
    </row>
    <row r="1557" spans="2:14" x14ac:dyDescent="0.25">
      <c r="B1557" s="64"/>
      <c r="C1557" s="64"/>
      <c r="J1557" s="64"/>
      <c r="K1557" s="504"/>
      <c r="L1557" s="504"/>
      <c r="M1557" s="550"/>
      <c r="N1557" s="550"/>
    </row>
    <row r="1558" spans="2:14" x14ac:dyDescent="0.25">
      <c r="B1558" s="64"/>
      <c r="C1558" s="64"/>
      <c r="J1558" s="64"/>
      <c r="K1558" s="504"/>
      <c r="L1558" s="504"/>
      <c r="M1558" s="550"/>
      <c r="N1558" s="550"/>
    </row>
    <row r="1559" spans="2:14" x14ac:dyDescent="0.25">
      <c r="B1559" s="64"/>
      <c r="C1559" s="64"/>
      <c r="J1559" s="64"/>
      <c r="K1559" s="504"/>
      <c r="L1559" s="504"/>
      <c r="M1559" s="550"/>
      <c r="N1559" s="550"/>
    </row>
    <row r="1560" spans="2:14" x14ac:dyDescent="0.25">
      <c r="B1560" s="64"/>
      <c r="C1560" s="64"/>
      <c r="J1560" s="64"/>
      <c r="K1560" s="504"/>
      <c r="L1560" s="504"/>
      <c r="M1560" s="550"/>
      <c r="N1560" s="550"/>
    </row>
    <row r="1561" spans="2:14" x14ac:dyDescent="0.25">
      <c r="B1561" s="64"/>
      <c r="C1561" s="64"/>
      <c r="J1561" s="64"/>
      <c r="K1561" s="504"/>
      <c r="L1561" s="504"/>
      <c r="M1561" s="550"/>
      <c r="N1561" s="550"/>
    </row>
    <row r="1562" spans="2:14" x14ac:dyDescent="0.25">
      <c r="B1562" s="64"/>
      <c r="C1562" s="64"/>
      <c r="J1562" s="64"/>
      <c r="K1562" s="504"/>
      <c r="L1562" s="504"/>
      <c r="M1562" s="550"/>
      <c r="N1562" s="550"/>
    </row>
    <row r="1563" spans="2:14" x14ac:dyDescent="0.25">
      <c r="B1563" s="64"/>
      <c r="C1563" s="64"/>
      <c r="J1563" s="64"/>
      <c r="K1563" s="504"/>
      <c r="L1563" s="504"/>
      <c r="M1563" s="550"/>
      <c r="N1563" s="550"/>
    </row>
    <row r="1564" spans="2:14" x14ac:dyDescent="0.25">
      <c r="B1564" s="64"/>
      <c r="C1564" s="64"/>
      <c r="J1564" s="64"/>
      <c r="K1564" s="504"/>
      <c r="L1564" s="504"/>
      <c r="M1564" s="550"/>
      <c r="N1564" s="550"/>
    </row>
    <row r="1565" spans="2:14" x14ac:dyDescent="0.25">
      <c r="B1565" s="64"/>
      <c r="C1565" s="64"/>
      <c r="J1565" s="64"/>
      <c r="K1565" s="504"/>
      <c r="L1565" s="504"/>
      <c r="M1565" s="550"/>
      <c r="N1565" s="550"/>
    </row>
    <row r="1566" spans="2:14" x14ac:dyDescent="0.25">
      <c r="B1566" s="64"/>
      <c r="C1566" s="64"/>
      <c r="J1566" s="64"/>
      <c r="K1566" s="504"/>
      <c r="L1566" s="504"/>
      <c r="M1566" s="550"/>
      <c r="N1566" s="550"/>
    </row>
    <row r="1567" spans="2:14" x14ac:dyDescent="0.25">
      <c r="B1567" s="64"/>
      <c r="C1567" s="64"/>
      <c r="J1567" s="64"/>
      <c r="K1567" s="504"/>
      <c r="L1567" s="504"/>
      <c r="M1567" s="550"/>
      <c r="N1567" s="550"/>
    </row>
    <row r="1568" spans="2:14" x14ac:dyDescent="0.25">
      <c r="B1568" s="64"/>
      <c r="C1568" s="64"/>
      <c r="J1568" s="64"/>
      <c r="K1568" s="504"/>
      <c r="L1568" s="504"/>
      <c r="M1568" s="550"/>
      <c r="N1568" s="550"/>
    </row>
    <row r="1569" spans="2:14" x14ac:dyDescent="0.25">
      <c r="B1569" s="64"/>
      <c r="C1569" s="64"/>
      <c r="J1569" s="64"/>
      <c r="K1569" s="504"/>
      <c r="L1569" s="504"/>
      <c r="M1569" s="550"/>
      <c r="N1569" s="550"/>
    </row>
    <row r="1570" spans="2:14" x14ac:dyDescent="0.25">
      <c r="B1570" s="64"/>
      <c r="C1570" s="64"/>
      <c r="J1570" s="64"/>
      <c r="K1570" s="504"/>
      <c r="L1570" s="504"/>
      <c r="M1570" s="550"/>
      <c r="N1570" s="550"/>
    </row>
    <row r="1571" spans="2:14" x14ac:dyDescent="0.25">
      <c r="B1571" s="64"/>
      <c r="C1571" s="64"/>
      <c r="J1571" s="64"/>
      <c r="K1571" s="504"/>
      <c r="L1571" s="504"/>
      <c r="M1571" s="550"/>
      <c r="N1571" s="550"/>
    </row>
    <row r="1572" spans="2:14" x14ac:dyDescent="0.25">
      <c r="B1572" s="64"/>
      <c r="C1572" s="64"/>
      <c r="J1572" s="64"/>
      <c r="K1572" s="504"/>
      <c r="L1572" s="504"/>
      <c r="M1572" s="550"/>
      <c r="N1572" s="550"/>
    </row>
    <row r="1573" spans="2:14" x14ac:dyDescent="0.25">
      <c r="B1573" s="64"/>
      <c r="C1573" s="64"/>
      <c r="J1573" s="64"/>
      <c r="K1573" s="504"/>
      <c r="L1573" s="504"/>
      <c r="M1573" s="550"/>
      <c r="N1573" s="550"/>
    </row>
    <row r="1574" spans="2:14" x14ac:dyDescent="0.25">
      <c r="B1574" s="64"/>
      <c r="C1574" s="64"/>
      <c r="J1574" s="64"/>
      <c r="K1574" s="504"/>
      <c r="L1574" s="504"/>
      <c r="M1574" s="550"/>
      <c r="N1574" s="550"/>
    </row>
    <row r="1575" spans="2:14" x14ac:dyDescent="0.25">
      <c r="B1575" s="64"/>
      <c r="C1575" s="64"/>
      <c r="J1575" s="64"/>
      <c r="K1575" s="504"/>
      <c r="L1575" s="504"/>
      <c r="M1575" s="550"/>
      <c r="N1575" s="550"/>
    </row>
    <row r="1576" spans="2:14" x14ac:dyDescent="0.25">
      <c r="B1576" s="64"/>
      <c r="C1576" s="64"/>
      <c r="J1576" s="64"/>
      <c r="K1576" s="504"/>
      <c r="L1576" s="504"/>
      <c r="M1576" s="550"/>
      <c r="N1576" s="550"/>
    </row>
    <row r="1577" spans="2:14" x14ac:dyDescent="0.25">
      <c r="B1577" s="64"/>
      <c r="C1577" s="64"/>
      <c r="J1577" s="64"/>
      <c r="K1577" s="504"/>
      <c r="L1577" s="504"/>
      <c r="M1577" s="550"/>
      <c r="N1577" s="550"/>
    </row>
    <row r="1578" spans="2:14" x14ac:dyDescent="0.25">
      <c r="B1578" s="64"/>
      <c r="C1578" s="64"/>
      <c r="J1578" s="64"/>
      <c r="K1578" s="504"/>
      <c r="L1578" s="504"/>
      <c r="M1578" s="550"/>
      <c r="N1578" s="550"/>
    </row>
    <row r="1579" spans="2:14" x14ac:dyDescent="0.25">
      <c r="B1579" s="64"/>
      <c r="C1579" s="64"/>
      <c r="J1579" s="64"/>
      <c r="K1579" s="504"/>
      <c r="L1579" s="504"/>
      <c r="M1579" s="550"/>
      <c r="N1579" s="550"/>
    </row>
    <row r="1580" spans="2:14" x14ac:dyDescent="0.25">
      <c r="B1580" s="64"/>
      <c r="C1580" s="64"/>
      <c r="J1580" s="64"/>
      <c r="K1580" s="504"/>
      <c r="L1580" s="504"/>
      <c r="M1580" s="550"/>
      <c r="N1580" s="550"/>
    </row>
    <row r="1581" spans="2:14" x14ac:dyDescent="0.25">
      <c r="B1581" s="64"/>
      <c r="C1581" s="64"/>
      <c r="J1581" s="64"/>
      <c r="K1581" s="504"/>
      <c r="L1581" s="504"/>
      <c r="M1581" s="550"/>
      <c r="N1581" s="550"/>
    </row>
    <row r="1582" spans="2:14" x14ac:dyDescent="0.25">
      <c r="B1582" s="64"/>
      <c r="C1582" s="64"/>
      <c r="J1582" s="64"/>
      <c r="K1582" s="504"/>
      <c r="L1582" s="504"/>
      <c r="M1582" s="550"/>
      <c r="N1582" s="550"/>
    </row>
    <row r="1583" spans="2:14" x14ac:dyDescent="0.25">
      <c r="B1583" s="64"/>
      <c r="C1583" s="64"/>
      <c r="J1583" s="64"/>
      <c r="K1583" s="504"/>
      <c r="L1583" s="504"/>
      <c r="M1583" s="550"/>
      <c r="N1583" s="550"/>
    </row>
    <row r="1584" spans="2:14" x14ac:dyDescent="0.25">
      <c r="B1584" s="64"/>
      <c r="C1584" s="64"/>
      <c r="J1584" s="64"/>
      <c r="K1584" s="504"/>
      <c r="L1584" s="504"/>
      <c r="M1584" s="550"/>
      <c r="N1584" s="550"/>
    </row>
    <row r="1585" spans="2:14" x14ac:dyDescent="0.25">
      <c r="B1585" s="64"/>
      <c r="C1585" s="64"/>
      <c r="J1585" s="64"/>
      <c r="K1585" s="504"/>
      <c r="L1585" s="504"/>
      <c r="M1585" s="550"/>
      <c r="N1585" s="550"/>
    </row>
    <row r="1586" spans="2:14" x14ac:dyDescent="0.25">
      <c r="B1586" s="64"/>
      <c r="C1586" s="64"/>
      <c r="J1586" s="64"/>
      <c r="K1586" s="504"/>
      <c r="L1586" s="504"/>
      <c r="M1586" s="550"/>
      <c r="N1586" s="550"/>
    </row>
    <row r="1587" spans="2:14" x14ac:dyDescent="0.25">
      <c r="B1587" s="64"/>
      <c r="C1587" s="64"/>
      <c r="J1587" s="64"/>
      <c r="K1587" s="504"/>
      <c r="L1587" s="504"/>
      <c r="M1587" s="550"/>
      <c r="N1587" s="550"/>
    </row>
    <row r="1588" spans="2:14" x14ac:dyDescent="0.25">
      <c r="B1588" s="64"/>
      <c r="C1588" s="64"/>
      <c r="J1588" s="64"/>
      <c r="K1588" s="504"/>
      <c r="L1588" s="504"/>
      <c r="M1588" s="550"/>
      <c r="N1588" s="550"/>
    </row>
    <row r="1589" spans="2:14" x14ac:dyDescent="0.25">
      <c r="B1589" s="64"/>
      <c r="C1589" s="64"/>
      <c r="J1589" s="64"/>
      <c r="K1589" s="504"/>
      <c r="L1589" s="504"/>
      <c r="M1589" s="550"/>
      <c r="N1589" s="550"/>
    </row>
    <row r="1590" spans="2:14" x14ac:dyDescent="0.25">
      <c r="B1590" s="64"/>
      <c r="C1590" s="64"/>
      <c r="J1590" s="64"/>
      <c r="K1590" s="504"/>
      <c r="L1590" s="504"/>
      <c r="M1590" s="550"/>
      <c r="N1590" s="550"/>
    </row>
    <row r="1591" spans="2:14" x14ac:dyDescent="0.25">
      <c r="B1591" s="64"/>
      <c r="C1591" s="64"/>
      <c r="J1591" s="64"/>
      <c r="K1591" s="504"/>
      <c r="L1591" s="504"/>
      <c r="M1591" s="550"/>
      <c r="N1591" s="550"/>
    </row>
    <row r="1592" spans="2:14" x14ac:dyDescent="0.25">
      <c r="B1592" s="64"/>
      <c r="C1592" s="64"/>
      <c r="J1592" s="64"/>
      <c r="K1592" s="504"/>
      <c r="L1592" s="504"/>
      <c r="M1592" s="550"/>
      <c r="N1592" s="550"/>
    </row>
    <row r="1593" spans="2:14" x14ac:dyDescent="0.25">
      <c r="B1593" s="64"/>
      <c r="C1593" s="64"/>
      <c r="J1593" s="64"/>
      <c r="K1593" s="504"/>
      <c r="L1593" s="504"/>
      <c r="M1593" s="550"/>
      <c r="N1593" s="550"/>
    </row>
    <row r="1594" spans="2:14" x14ac:dyDescent="0.25">
      <c r="B1594" s="64"/>
      <c r="C1594" s="64"/>
      <c r="J1594" s="64"/>
      <c r="K1594" s="504"/>
      <c r="L1594" s="504"/>
      <c r="M1594" s="550"/>
      <c r="N1594" s="550"/>
    </row>
    <row r="1595" spans="2:14" x14ac:dyDescent="0.25">
      <c r="B1595" s="64"/>
      <c r="C1595" s="64"/>
      <c r="J1595" s="64"/>
      <c r="K1595" s="504"/>
      <c r="L1595" s="504"/>
      <c r="M1595" s="550"/>
      <c r="N1595" s="550"/>
    </row>
    <row r="1596" spans="2:14" x14ac:dyDescent="0.25">
      <c r="B1596" s="64"/>
      <c r="C1596" s="64"/>
      <c r="J1596" s="64"/>
      <c r="K1596" s="504"/>
      <c r="L1596" s="504"/>
      <c r="M1596" s="550"/>
      <c r="N1596" s="550"/>
    </row>
    <row r="1597" spans="2:14" x14ac:dyDescent="0.25">
      <c r="B1597" s="64"/>
      <c r="C1597" s="64"/>
      <c r="J1597" s="64"/>
      <c r="K1597" s="504"/>
      <c r="L1597" s="504"/>
      <c r="M1597" s="550"/>
      <c r="N1597" s="550"/>
    </row>
    <row r="1598" spans="2:14" x14ac:dyDescent="0.25">
      <c r="B1598" s="64"/>
      <c r="C1598" s="64"/>
      <c r="J1598" s="64"/>
      <c r="K1598" s="504"/>
      <c r="L1598" s="504"/>
      <c r="M1598" s="550"/>
      <c r="N1598" s="550"/>
    </row>
    <row r="1599" spans="2:14" x14ac:dyDescent="0.25">
      <c r="B1599" s="64"/>
      <c r="C1599" s="64"/>
      <c r="J1599" s="64"/>
      <c r="K1599" s="504"/>
      <c r="L1599" s="504"/>
      <c r="M1599" s="550"/>
      <c r="N1599" s="550"/>
    </row>
    <row r="1600" spans="2:14" x14ac:dyDescent="0.25">
      <c r="B1600" s="64"/>
      <c r="C1600" s="64"/>
      <c r="J1600" s="64"/>
      <c r="K1600" s="504"/>
      <c r="L1600" s="504"/>
      <c r="M1600" s="550"/>
      <c r="N1600" s="550"/>
    </row>
    <row r="1601" spans="2:14" x14ac:dyDescent="0.25">
      <c r="B1601" s="64"/>
      <c r="C1601" s="64"/>
      <c r="J1601" s="64"/>
      <c r="K1601" s="504"/>
      <c r="L1601" s="504"/>
      <c r="M1601" s="550"/>
      <c r="N1601" s="550"/>
    </row>
    <row r="1602" spans="2:14" x14ac:dyDescent="0.25">
      <c r="B1602" s="64"/>
      <c r="C1602" s="64"/>
      <c r="J1602" s="64"/>
      <c r="K1602" s="504"/>
      <c r="L1602" s="504"/>
      <c r="M1602" s="550"/>
      <c r="N1602" s="550"/>
    </row>
    <row r="1603" spans="2:14" x14ac:dyDescent="0.25">
      <c r="B1603" s="64"/>
      <c r="C1603" s="64"/>
      <c r="J1603" s="64"/>
      <c r="K1603" s="504"/>
      <c r="L1603" s="504"/>
      <c r="M1603" s="550"/>
      <c r="N1603" s="550"/>
    </row>
    <row r="1604" spans="2:14" x14ac:dyDescent="0.25">
      <c r="B1604" s="64"/>
      <c r="C1604" s="64"/>
      <c r="J1604" s="64"/>
      <c r="K1604" s="504"/>
      <c r="L1604" s="504"/>
      <c r="M1604" s="550"/>
      <c r="N1604" s="550"/>
    </row>
    <row r="1605" spans="2:14" x14ac:dyDescent="0.25">
      <c r="B1605" s="64"/>
      <c r="C1605" s="64"/>
      <c r="J1605" s="64"/>
      <c r="K1605" s="504"/>
      <c r="L1605" s="504"/>
      <c r="M1605" s="550"/>
      <c r="N1605" s="550"/>
    </row>
    <row r="1606" spans="2:14" x14ac:dyDescent="0.25">
      <c r="B1606" s="64"/>
      <c r="C1606" s="64"/>
      <c r="J1606" s="64"/>
      <c r="K1606" s="504"/>
      <c r="L1606" s="504"/>
      <c r="M1606" s="550"/>
      <c r="N1606" s="550"/>
    </row>
    <row r="1607" spans="2:14" x14ac:dyDescent="0.25">
      <c r="B1607" s="64"/>
      <c r="C1607" s="64"/>
      <c r="J1607" s="64"/>
      <c r="K1607" s="504"/>
      <c r="L1607" s="504"/>
      <c r="M1607" s="550"/>
      <c r="N1607" s="550"/>
    </row>
    <row r="1608" spans="2:14" x14ac:dyDescent="0.25">
      <c r="B1608" s="64"/>
      <c r="C1608" s="64"/>
      <c r="J1608" s="64"/>
      <c r="K1608" s="504"/>
      <c r="L1608" s="504"/>
      <c r="M1608" s="550"/>
      <c r="N1608" s="550"/>
    </row>
    <row r="1609" spans="2:14" x14ac:dyDescent="0.25">
      <c r="B1609" s="64"/>
      <c r="C1609" s="64"/>
      <c r="J1609" s="64"/>
      <c r="K1609" s="504"/>
      <c r="L1609" s="504"/>
      <c r="M1609" s="550"/>
      <c r="N1609" s="550"/>
    </row>
    <row r="1610" spans="2:14" x14ac:dyDescent="0.25">
      <c r="B1610" s="64"/>
      <c r="C1610" s="64"/>
      <c r="J1610" s="64"/>
      <c r="K1610" s="504"/>
      <c r="L1610" s="504"/>
      <c r="M1610" s="550"/>
      <c r="N1610" s="550"/>
    </row>
    <row r="1611" spans="2:14" x14ac:dyDescent="0.25">
      <c r="B1611" s="64"/>
      <c r="C1611" s="64"/>
      <c r="J1611" s="64"/>
      <c r="K1611" s="504"/>
      <c r="L1611" s="504"/>
      <c r="M1611" s="550"/>
      <c r="N1611" s="550"/>
    </row>
    <row r="1612" spans="2:14" x14ac:dyDescent="0.25">
      <c r="B1612" s="64"/>
      <c r="C1612" s="64"/>
      <c r="J1612" s="64"/>
      <c r="K1612" s="504"/>
      <c r="L1612" s="504"/>
      <c r="M1612" s="550"/>
      <c r="N1612" s="550"/>
    </row>
    <row r="1613" spans="2:14" x14ac:dyDescent="0.25">
      <c r="B1613" s="64"/>
      <c r="C1613" s="64"/>
      <c r="J1613" s="64"/>
      <c r="K1613" s="504"/>
      <c r="L1613" s="504"/>
      <c r="M1613" s="550"/>
      <c r="N1613" s="550"/>
    </row>
    <row r="1614" spans="2:14" x14ac:dyDescent="0.25">
      <c r="B1614" s="64"/>
      <c r="C1614" s="64"/>
      <c r="J1614" s="64"/>
      <c r="K1614" s="504"/>
      <c r="L1614" s="504"/>
      <c r="M1614" s="550"/>
      <c r="N1614" s="550"/>
    </row>
    <row r="1615" spans="2:14" x14ac:dyDescent="0.25">
      <c r="B1615" s="64"/>
      <c r="C1615" s="64"/>
      <c r="J1615" s="64"/>
      <c r="K1615" s="504"/>
      <c r="L1615" s="504"/>
      <c r="M1615" s="550"/>
      <c r="N1615" s="550"/>
    </row>
    <row r="1616" spans="2:14" x14ac:dyDescent="0.25">
      <c r="B1616" s="64"/>
      <c r="C1616" s="64"/>
      <c r="J1616" s="64"/>
      <c r="K1616" s="504"/>
      <c r="L1616" s="504"/>
      <c r="M1616" s="550"/>
      <c r="N1616" s="550"/>
    </row>
    <row r="1617" spans="2:14" x14ac:dyDescent="0.25">
      <c r="B1617" s="64"/>
      <c r="C1617" s="64"/>
      <c r="J1617" s="64"/>
      <c r="K1617" s="504"/>
      <c r="L1617" s="504"/>
      <c r="M1617" s="550"/>
      <c r="N1617" s="550"/>
    </row>
    <row r="1618" spans="2:14" x14ac:dyDescent="0.25">
      <c r="B1618" s="64"/>
      <c r="C1618" s="64"/>
      <c r="J1618" s="64"/>
      <c r="K1618" s="504"/>
      <c r="L1618" s="504"/>
      <c r="M1618" s="550"/>
      <c r="N1618" s="550"/>
    </row>
    <row r="1619" spans="2:14" x14ac:dyDescent="0.25">
      <c r="B1619" s="64"/>
      <c r="C1619" s="64"/>
      <c r="J1619" s="64"/>
      <c r="K1619" s="504"/>
      <c r="L1619" s="504"/>
      <c r="M1619" s="550"/>
      <c r="N1619" s="550"/>
    </row>
    <row r="1620" spans="2:14" x14ac:dyDescent="0.25">
      <c r="B1620" s="64"/>
      <c r="C1620" s="64"/>
      <c r="J1620" s="64"/>
      <c r="K1620" s="504"/>
      <c r="L1620" s="504"/>
      <c r="M1620" s="550"/>
      <c r="N1620" s="550"/>
    </row>
    <row r="1621" spans="2:14" x14ac:dyDescent="0.25">
      <c r="B1621" s="64"/>
      <c r="C1621" s="64"/>
      <c r="J1621" s="64"/>
      <c r="K1621" s="504"/>
      <c r="L1621" s="504"/>
      <c r="M1621" s="550"/>
      <c r="N1621" s="550"/>
    </row>
    <row r="1622" spans="2:14" x14ac:dyDescent="0.25">
      <c r="B1622" s="64"/>
      <c r="C1622" s="64"/>
      <c r="J1622" s="64"/>
      <c r="K1622" s="504"/>
      <c r="L1622" s="504"/>
      <c r="M1622" s="550"/>
      <c r="N1622" s="550"/>
    </row>
    <row r="1623" spans="2:14" x14ac:dyDescent="0.25">
      <c r="B1623" s="64"/>
      <c r="C1623" s="64"/>
      <c r="J1623" s="64"/>
      <c r="K1623" s="504"/>
      <c r="L1623" s="504"/>
      <c r="M1623" s="550"/>
      <c r="N1623" s="550"/>
    </row>
    <row r="1624" spans="2:14" x14ac:dyDescent="0.25">
      <c r="B1624" s="64"/>
      <c r="C1624" s="64"/>
      <c r="J1624" s="64"/>
      <c r="K1624" s="504"/>
      <c r="L1624" s="504"/>
      <c r="M1624" s="550"/>
      <c r="N1624" s="550"/>
    </row>
    <row r="1625" spans="2:14" x14ac:dyDescent="0.25">
      <c r="B1625" s="64"/>
      <c r="C1625" s="64"/>
      <c r="J1625" s="64"/>
      <c r="K1625" s="504"/>
      <c r="L1625" s="504"/>
      <c r="M1625" s="550"/>
      <c r="N1625" s="550"/>
    </row>
    <row r="1626" spans="2:14" x14ac:dyDescent="0.25">
      <c r="B1626" s="64"/>
      <c r="C1626" s="64"/>
      <c r="J1626" s="64"/>
      <c r="K1626" s="504"/>
      <c r="L1626" s="504"/>
      <c r="M1626" s="550"/>
      <c r="N1626" s="550"/>
    </row>
    <row r="1627" spans="2:14" x14ac:dyDescent="0.25">
      <c r="B1627" s="64"/>
      <c r="C1627" s="64"/>
      <c r="J1627" s="64"/>
      <c r="K1627" s="504"/>
      <c r="L1627" s="504"/>
      <c r="M1627" s="550"/>
      <c r="N1627" s="550"/>
    </row>
    <row r="1628" spans="2:14" x14ac:dyDescent="0.25">
      <c r="B1628" s="64"/>
      <c r="C1628" s="64"/>
      <c r="J1628" s="64"/>
      <c r="K1628" s="504"/>
      <c r="L1628" s="504"/>
      <c r="M1628" s="550"/>
      <c r="N1628" s="550"/>
    </row>
    <row r="1629" spans="2:14" x14ac:dyDescent="0.25">
      <c r="B1629" s="64"/>
      <c r="C1629" s="64"/>
      <c r="J1629" s="64"/>
      <c r="K1629" s="504"/>
      <c r="L1629" s="504"/>
      <c r="M1629" s="550"/>
      <c r="N1629" s="550"/>
    </row>
    <row r="1630" spans="2:14" x14ac:dyDescent="0.25">
      <c r="B1630" s="64"/>
      <c r="C1630" s="64"/>
      <c r="J1630" s="64"/>
      <c r="K1630" s="504"/>
      <c r="L1630" s="504"/>
      <c r="M1630" s="550"/>
      <c r="N1630" s="550"/>
    </row>
    <row r="1631" spans="2:14" x14ac:dyDescent="0.25">
      <c r="B1631" s="64"/>
      <c r="C1631" s="64"/>
      <c r="J1631" s="64"/>
      <c r="K1631" s="504"/>
      <c r="L1631" s="504"/>
      <c r="M1631" s="550"/>
      <c r="N1631" s="550"/>
    </row>
    <row r="1632" spans="2:14" x14ac:dyDescent="0.25">
      <c r="B1632" s="64"/>
      <c r="C1632" s="64"/>
      <c r="J1632" s="64"/>
      <c r="K1632" s="504"/>
      <c r="L1632" s="504"/>
      <c r="M1632" s="550"/>
      <c r="N1632" s="550"/>
    </row>
    <row r="1633" spans="2:14" x14ac:dyDescent="0.25">
      <c r="B1633" s="64"/>
      <c r="C1633" s="64"/>
      <c r="J1633" s="64"/>
      <c r="K1633" s="504"/>
      <c r="L1633" s="504"/>
      <c r="M1633" s="550"/>
      <c r="N1633" s="550"/>
    </row>
    <row r="1634" spans="2:14" x14ac:dyDescent="0.25">
      <c r="B1634" s="64"/>
      <c r="C1634" s="64"/>
      <c r="J1634" s="64"/>
      <c r="K1634" s="504"/>
      <c r="L1634" s="504"/>
      <c r="M1634" s="550"/>
      <c r="N1634" s="550"/>
    </row>
    <row r="1635" spans="2:14" x14ac:dyDescent="0.25">
      <c r="B1635" s="64"/>
      <c r="C1635" s="64"/>
      <c r="J1635" s="64"/>
      <c r="K1635" s="504"/>
      <c r="L1635" s="504"/>
      <c r="M1635" s="550"/>
      <c r="N1635" s="550"/>
    </row>
    <row r="1636" spans="2:14" x14ac:dyDescent="0.25">
      <c r="B1636" s="64"/>
      <c r="C1636" s="64"/>
      <c r="J1636" s="64"/>
      <c r="K1636" s="504"/>
      <c r="L1636" s="504"/>
      <c r="M1636" s="550"/>
      <c r="N1636" s="550"/>
    </row>
    <row r="1637" spans="2:14" x14ac:dyDescent="0.25">
      <c r="B1637" s="64"/>
      <c r="C1637" s="64"/>
      <c r="J1637" s="64"/>
      <c r="K1637" s="504"/>
      <c r="L1637" s="504"/>
      <c r="M1637" s="550"/>
      <c r="N1637" s="550"/>
    </row>
    <row r="1638" spans="2:14" x14ac:dyDescent="0.25">
      <c r="B1638" s="64"/>
      <c r="C1638" s="64"/>
      <c r="J1638" s="64"/>
      <c r="K1638" s="504"/>
      <c r="L1638" s="504"/>
      <c r="M1638" s="550"/>
      <c r="N1638" s="550"/>
    </row>
    <row r="1639" spans="2:14" x14ac:dyDescent="0.25">
      <c r="B1639" s="64"/>
      <c r="C1639" s="64"/>
      <c r="J1639" s="64"/>
      <c r="K1639" s="504"/>
      <c r="L1639" s="504"/>
      <c r="M1639" s="550"/>
      <c r="N1639" s="550"/>
    </row>
    <row r="1640" spans="2:14" x14ac:dyDescent="0.25">
      <c r="B1640" s="64"/>
      <c r="C1640" s="64"/>
      <c r="J1640" s="64"/>
      <c r="K1640" s="504"/>
      <c r="L1640" s="504"/>
      <c r="M1640" s="550"/>
      <c r="N1640" s="550"/>
    </row>
    <row r="1641" spans="2:14" x14ac:dyDescent="0.25">
      <c r="B1641" s="64"/>
      <c r="C1641" s="64"/>
      <c r="J1641" s="64"/>
      <c r="K1641" s="504"/>
      <c r="L1641" s="504"/>
      <c r="M1641" s="550"/>
      <c r="N1641" s="550"/>
    </row>
    <row r="1642" spans="2:14" x14ac:dyDescent="0.25">
      <c r="B1642" s="64"/>
      <c r="C1642" s="64"/>
      <c r="J1642" s="64"/>
      <c r="K1642" s="504"/>
      <c r="L1642" s="504"/>
      <c r="M1642" s="550"/>
      <c r="N1642" s="550"/>
    </row>
    <row r="1643" spans="2:14" x14ac:dyDescent="0.25">
      <c r="B1643" s="64"/>
      <c r="C1643" s="64"/>
      <c r="J1643" s="64"/>
      <c r="K1643" s="504"/>
      <c r="L1643" s="504"/>
      <c r="M1643" s="550"/>
      <c r="N1643" s="550"/>
    </row>
    <row r="1644" spans="2:14" x14ac:dyDescent="0.25">
      <c r="B1644" s="64"/>
      <c r="C1644" s="64"/>
      <c r="J1644" s="64"/>
      <c r="K1644" s="504"/>
      <c r="L1644" s="504"/>
      <c r="M1644" s="550"/>
      <c r="N1644" s="550"/>
    </row>
    <row r="1645" spans="2:14" x14ac:dyDescent="0.25">
      <c r="B1645" s="64"/>
      <c r="C1645" s="64"/>
      <c r="J1645" s="64"/>
      <c r="K1645" s="504"/>
      <c r="L1645" s="504"/>
      <c r="M1645" s="550"/>
      <c r="N1645" s="550"/>
    </row>
    <row r="1646" spans="2:14" x14ac:dyDescent="0.25">
      <c r="B1646" s="64"/>
      <c r="C1646" s="64"/>
      <c r="J1646" s="64"/>
      <c r="K1646" s="504"/>
      <c r="L1646" s="504"/>
      <c r="M1646" s="550"/>
      <c r="N1646" s="550"/>
    </row>
    <row r="1647" spans="2:14" x14ac:dyDescent="0.25">
      <c r="B1647" s="64"/>
      <c r="C1647" s="64"/>
      <c r="J1647" s="64"/>
      <c r="K1647" s="504"/>
      <c r="L1647" s="504"/>
      <c r="M1647" s="550"/>
      <c r="N1647" s="550"/>
    </row>
    <row r="1648" spans="2:14" x14ac:dyDescent="0.25">
      <c r="B1648" s="64"/>
      <c r="C1648" s="64"/>
      <c r="J1648" s="64"/>
      <c r="K1648" s="504"/>
      <c r="L1648" s="504"/>
      <c r="M1648" s="550"/>
      <c r="N1648" s="550"/>
    </row>
    <row r="1649" spans="2:14" x14ac:dyDescent="0.25">
      <c r="B1649" s="64"/>
      <c r="C1649" s="64"/>
      <c r="J1649" s="64"/>
      <c r="K1649" s="504"/>
      <c r="L1649" s="504"/>
      <c r="M1649" s="550"/>
      <c r="N1649" s="550"/>
    </row>
    <row r="1650" spans="2:14" x14ac:dyDescent="0.25">
      <c r="B1650" s="64"/>
      <c r="C1650" s="64"/>
      <c r="J1650" s="64"/>
      <c r="K1650" s="504"/>
      <c r="L1650" s="504"/>
      <c r="M1650" s="550"/>
      <c r="N1650" s="550"/>
    </row>
    <row r="1651" spans="2:14" x14ac:dyDescent="0.25">
      <c r="B1651" s="64"/>
      <c r="C1651" s="64"/>
      <c r="J1651" s="64"/>
      <c r="K1651" s="504"/>
      <c r="L1651" s="504"/>
      <c r="M1651" s="550"/>
      <c r="N1651" s="550"/>
    </row>
    <row r="1652" spans="2:14" x14ac:dyDescent="0.25">
      <c r="B1652" s="64"/>
      <c r="C1652" s="64"/>
      <c r="J1652" s="64"/>
      <c r="K1652" s="504"/>
      <c r="L1652" s="504"/>
      <c r="M1652" s="550"/>
      <c r="N1652" s="550"/>
    </row>
    <row r="1653" spans="2:14" x14ac:dyDescent="0.25">
      <c r="B1653" s="64"/>
      <c r="C1653" s="64"/>
      <c r="J1653" s="64"/>
      <c r="K1653" s="504"/>
      <c r="L1653" s="504"/>
      <c r="M1653" s="550"/>
      <c r="N1653" s="550"/>
    </row>
    <row r="1654" spans="2:14" x14ac:dyDescent="0.25">
      <c r="B1654" s="64"/>
      <c r="C1654" s="64"/>
      <c r="J1654" s="64"/>
      <c r="K1654" s="504"/>
      <c r="L1654" s="504"/>
      <c r="M1654" s="550"/>
      <c r="N1654" s="550"/>
    </row>
    <row r="1655" spans="2:14" x14ac:dyDescent="0.25">
      <c r="B1655" s="64"/>
      <c r="C1655" s="64"/>
      <c r="J1655" s="64"/>
      <c r="K1655" s="504"/>
      <c r="L1655" s="504"/>
      <c r="M1655" s="550"/>
      <c r="N1655" s="550"/>
    </row>
    <row r="1656" spans="2:14" x14ac:dyDescent="0.25">
      <c r="B1656" s="64"/>
      <c r="C1656" s="64"/>
      <c r="J1656" s="64"/>
      <c r="K1656" s="504"/>
      <c r="L1656" s="504"/>
      <c r="M1656" s="550"/>
      <c r="N1656" s="550"/>
    </row>
    <row r="1657" spans="2:14" x14ac:dyDescent="0.25">
      <c r="B1657" s="64"/>
      <c r="C1657" s="64"/>
      <c r="J1657" s="64"/>
      <c r="K1657" s="504"/>
      <c r="L1657" s="504"/>
      <c r="M1657" s="550"/>
      <c r="N1657" s="550"/>
    </row>
    <row r="1658" spans="2:14" x14ac:dyDescent="0.25">
      <c r="B1658" s="64"/>
      <c r="C1658" s="64"/>
      <c r="J1658" s="64"/>
      <c r="K1658" s="504"/>
      <c r="L1658" s="504"/>
      <c r="M1658" s="550"/>
      <c r="N1658" s="550"/>
    </row>
    <row r="1659" spans="2:14" x14ac:dyDescent="0.25">
      <c r="B1659" s="64"/>
      <c r="C1659" s="64"/>
      <c r="J1659" s="64"/>
      <c r="K1659" s="504"/>
      <c r="L1659" s="504"/>
      <c r="M1659" s="550"/>
      <c r="N1659" s="550"/>
    </row>
    <row r="1660" spans="2:14" x14ac:dyDescent="0.25">
      <c r="B1660" s="64"/>
      <c r="C1660" s="64"/>
      <c r="J1660" s="64"/>
      <c r="K1660" s="504"/>
      <c r="L1660" s="504"/>
      <c r="M1660" s="550"/>
      <c r="N1660" s="550"/>
    </row>
    <row r="1661" spans="2:14" x14ac:dyDescent="0.25">
      <c r="B1661" s="64"/>
      <c r="C1661" s="64"/>
      <c r="J1661" s="64"/>
      <c r="K1661" s="504"/>
      <c r="L1661" s="504"/>
      <c r="M1661" s="550"/>
      <c r="N1661" s="550"/>
    </row>
    <row r="1662" spans="2:14" x14ac:dyDescent="0.25">
      <c r="B1662" s="64"/>
      <c r="C1662" s="64"/>
      <c r="J1662" s="64"/>
      <c r="K1662" s="504"/>
      <c r="L1662" s="504"/>
      <c r="M1662" s="550"/>
      <c r="N1662" s="550"/>
    </row>
    <row r="1663" spans="2:14" x14ac:dyDescent="0.25">
      <c r="B1663" s="64"/>
      <c r="C1663" s="64"/>
      <c r="J1663" s="64"/>
      <c r="K1663" s="504"/>
      <c r="L1663" s="504"/>
      <c r="M1663" s="550"/>
      <c r="N1663" s="550"/>
    </row>
    <row r="1664" spans="2:14" x14ac:dyDescent="0.25">
      <c r="B1664" s="64"/>
      <c r="C1664" s="64"/>
      <c r="J1664" s="64"/>
      <c r="K1664" s="504"/>
      <c r="L1664" s="504"/>
      <c r="M1664" s="550"/>
      <c r="N1664" s="550"/>
    </row>
    <row r="1665" spans="2:14" x14ac:dyDescent="0.25">
      <c r="B1665" s="64"/>
      <c r="C1665" s="64"/>
      <c r="J1665" s="64"/>
      <c r="K1665" s="504"/>
      <c r="L1665" s="504"/>
      <c r="M1665" s="550"/>
      <c r="N1665" s="550"/>
    </row>
    <row r="1666" spans="2:14" x14ac:dyDescent="0.25">
      <c r="B1666" s="64"/>
      <c r="C1666" s="64"/>
      <c r="J1666" s="64"/>
      <c r="K1666" s="504"/>
      <c r="L1666" s="504"/>
      <c r="M1666" s="550"/>
      <c r="N1666" s="550"/>
    </row>
    <row r="1667" spans="2:14" x14ac:dyDescent="0.25">
      <c r="B1667" s="64"/>
      <c r="C1667" s="64"/>
      <c r="J1667" s="64"/>
      <c r="K1667" s="504"/>
      <c r="L1667" s="504"/>
      <c r="M1667" s="550"/>
      <c r="N1667" s="550"/>
    </row>
    <row r="1668" spans="2:14" x14ac:dyDescent="0.25">
      <c r="B1668" s="64"/>
      <c r="C1668" s="64"/>
      <c r="J1668" s="64"/>
      <c r="K1668" s="504"/>
      <c r="L1668" s="504"/>
      <c r="M1668" s="550"/>
      <c r="N1668" s="550"/>
    </row>
    <row r="1669" spans="2:14" x14ac:dyDescent="0.25">
      <c r="B1669" s="64"/>
      <c r="C1669" s="64"/>
      <c r="J1669" s="64"/>
      <c r="K1669" s="504"/>
      <c r="L1669" s="504"/>
      <c r="M1669" s="550"/>
      <c r="N1669" s="550"/>
    </row>
    <row r="1670" spans="2:14" x14ac:dyDescent="0.25">
      <c r="B1670" s="64"/>
      <c r="C1670" s="64"/>
      <c r="J1670" s="64"/>
      <c r="K1670" s="504"/>
      <c r="L1670" s="504"/>
      <c r="M1670" s="550"/>
      <c r="N1670" s="550"/>
    </row>
    <row r="1671" spans="2:14" x14ac:dyDescent="0.25">
      <c r="B1671" s="64"/>
      <c r="C1671" s="64"/>
      <c r="J1671" s="64"/>
      <c r="K1671" s="504"/>
      <c r="L1671" s="504"/>
      <c r="M1671" s="550"/>
      <c r="N1671" s="550"/>
    </row>
    <row r="1672" spans="2:14" x14ac:dyDescent="0.25">
      <c r="B1672" s="64"/>
      <c r="C1672" s="64"/>
      <c r="J1672" s="64"/>
      <c r="K1672" s="504"/>
      <c r="L1672" s="504"/>
      <c r="M1672" s="550"/>
      <c r="N1672" s="550"/>
    </row>
    <row r="1673" spans="2:14" x14ac:dyDescent="0.25">
      <c r="B1673" s="64"/>
      <c r="C1673" s="64"/>
      <c r="J1673" s="64"/>
      <c r="K1673" s="504"/>
      <c r="L1673" s="504"/>
      <c r="M1673" s="550"/>
      <c r="N1673" s="550"/>
    </row>
    <row r="1674" spans="2:14" x14ac:dyDescent="0.25">
      <c r="B1674" s="64"/>
      <c r="C1674" s="64"/>
      <c r="J1674" s="64"/>
      <c r="K1674" s="504"/>
      <c r="L1674" s="504"/>
      <c r="M1674" s="550"/>
      <c r="N1674" s="550"/>
    </row>
    <row r="1675" spans="2:14" x14ac:dyDescent="0.25">
      <c r="B1675" s="64"/>
      <c r="C1675" s="64"/>
      <c r="J1675" s="64"/>
      <c r="K1675" s="504"/>
      <c r="L1675" s="504"/>
      <c r="M1675" s="550"/>
      <c r="N1675" s="550"/>
    </row>
    <row r="1676" spans="2:14" x14ac:dyDescent="0.25">
      <c r="B1676" s="64"/>
      <c r="C1676" s="64"/>
      <c r="J1676" s="64"/>
      <c r="K1676" s="504"/>
      <c r="L1676" s="504"/>
      <c r="M1676" s="550"/>
      <c r="N1676" s="550"/>
    </row>
    <row r="1677" spans="2:14" x14ac:dyDescent="0.25">
      <c r="B1677" s="64"/>
      <c r="C1677" s="64"/>
      <c r="J1677" s="64"/>
      <c r="K1677" s="504"/>
      <c r="L1677" s="504"/>
      <c r="M1677" s="550"/>
      <c r="N1677" s="550"/>
    </row>
    <row r="1678" spans="2:14" x14ac:dyDescent="0.25">
      <c r="B1678" s="64"/>
      <c r="C1678" s="64"/>
      <c r="J1678" s="64"/>
      <c r="K1678" s="504"/>
      <c r="L1678" s="504"/>
      <c r="M1678" s="550"/>
      <c r="N1678" s="550"/>
    </row>
    <row r="1679" spans="2:14" x14ac:dyDescent="0.25">
      <c r="B1679" s="64"/>
      <c r="C1679" s="64"/>
      <c r="J1679" s="64"/>
      <c r="K1679" s="504"/>
      <c r="L1679" s="504"/>
      <c r="M1679" s="550"/>
      <c r="N1679" s="550"/>
    </row>
    <row r="1680" spans="2:14" x14ac:dyDescent="0.25">
      <c r="B1680" s="64"/>
      <c r="C1680" s="64"/>
      <c r="J1680" s="64"/>
      <c r="K1680" s="504"/>
      <c r="L1680" s="504"/>
      <c r="M1680" s="550"/>
      <c r="N1680" s="550"/>
    </row>
    <row r="1681" spans="2:14" x14ac:dyDescent="0.25">
      <c r="B1681" s="64"/>
      <c r="C1681" s="64"/>
      <c r="J1681" s="64"/>
      <c r="K1681" s="504"/>
      <c r="L1681" s="504"/>
      <c r="M1681" s="550"/>
      <c r="N1681" s="550"/>
    </row>
    <row r="1682" spans="2:14" x14ac:dyDescent="0.25">
      <c r="B1682" s="64"/>
      <c r="C1682" s="64"/>
      <c r="J1682" s="64"/>
      <c r="K1682" s="504"/>
      <c r="L1682" s="504"/>
      <c r="M1682" s="550"/>
      <c r="N1682" s="550"/>
    </row>
    <row r="1683" spans="2:14" x14ac:dyDescent="0.25">
      <c r="B1683" s="64"/>
      <c r="C1683" s="64"/>
      <c r="J1683" s="64"/>
      <c r="K1683" s="504"/>
      <c r="L1683" s="504"/>
      <c r="M1683" s="550"/>
      <c r="N1683" s="550"/>
    </row>
    <row r="1684" spans="2:14" x14ac:dyDescent="0.25">
      <c r="B1684" s="64"/>
      <c r="C1684" s="64"/>
      <c r="J1684" s="64"/>
      <c r="K1684" s="504"/>
      <c r="L1684" s="504"/>
      <c r="M1684" s="550"/>
      <c r="N1684" s="550"/>
    </row>
    <row r="1685" spans="2:14" x14ac:dyDescent="0.25">
      <c r="B1685" s="64"/>
      <c r="C1685" s="64"/>
      <c r="J1685" s="64"/>
      <c r="K1685" s="504"/>
      <c r="L1685" s="504"/>
      <c r="M1685" s="550"/>
      <c r="N1685" s="550"/>
    </row>
    <row r="1686" spans="2:14" x14ac:dyDescent="0.25">
      <c r="B1686" s="64"/>
      <c r="C1686" s="64"/>
      <c r="J1686" s="64"/>
      <c r="K1686" s="504"/>
      <c r="L1686" s="504"/>
      <c r="M1686" s="550"/>
      <c r="N1686" s="550"/>
    </row>
    <row r="1687" spans="2:14" x14ac:dyDescent="0.25">
      <c r="B1687" s="64"/>
      <c r="C1687" s="64"/>
      <c r="J1687" s="64"/>
      <c r="K1687" s="504"/>
      <c r="L1687" s="504"/>
      <c r="M1687" s="550"/>
      <c r="N1687" s="550"/>
    </row>
    <row r="1688" spans="2:14" x14ac:dyDescent="0.25">
      <c r="B1688" s="64"/>
      <c r="C1688" s="64"/>
      <c r="J1688" s="64"/>
      <c r="K1688" s="504"/>
      <c r="L1688" s="504"/>
      <c r="M1688" s="550"/>
      <c r="N1688" s="550"/>
    </row>
    <row r="1689" spans="2:14" x14ac:dyDescent="0.25">
      <c r="B1689" s="64"/>
      <c r="C1689" s="64"/>
      <c r="J1689" s="64"/>
      <c r="K1689" s="504"/>
      <c r="L1689" s="504"/>
      <c r="M1689" s="550"/>
      <c r="N1689" s="550"/>
    </row>
    <row r="1690" spans="2:14" x14ac:dyDescent="0.25">
      <c r="B1690" s="64"/>
      <c r="C1690" s="64"/>
      <c r="J1690" s="64"/>
      <c r="K1690" s="504"/>
      <c r="L1690" s="504"/>
      <c r="M1690" s="550"/>
      <c r="N1690" s="550"/>
    </row>
    <row r="1691" spans="2:14" x14ac:dyDescent="0.25">
      <c r="B1691" s="64"/>
      <c r="C1691" s="64"/>
      <c r="J1691" s="64"/>
      <c r="K1691" s="504"/>
      <c r="L1691" s="504"/>
      <c r="M1691" s="550"/>
      <c r="N1691" s="550"/>
    </row>
    <row r="1692" spans="2:14" x14ac:dyDescent="0.25">
      <c r="B1692" s="64"/>
      <c r="C1692" s="64"/>
      <c r="J1692" s="64"/>
      <c r="K1692" s="504"/>
      <c r="L1692" s="504"/>
      <c r="M1692" s="550"/>
      <c r="N1692" s="550"/>
    </row>
    <row r="1693" spans="2:14" x14ac:dyDescent="0.25">
      <c r="B1693" s="64"/>
      <c r="C1693" s="64"/>
      <c r="J1693" s="64"/>
      <c r="K1693" s="504"/>
      <c r="L1693" s="504"/>
      <c r="M1693" s="550"/>
      <c r="N1693" s="550"/>
    </row>
    <row r="1694" spans="2:14" x14ac:dyDescent="0.25">
      <c r="B1694" s="64"/>
      <c r="C1694" s="64"/>
      <c r="J1694" s="64"/>
      <c r="K1694" s="504"/>
      <c r="L1694" s="504"/>
      <c r="M1694" s="550"/>
      <c r="N1694" s="550"/>
    </row>
    <row r="1695" spans="2:14" x14ac:dyDescent="0.25">
      <c r="B1695" s="64"/>
      <c r="C1695" s="64"/>
      <c r="J1695" s="64"/>
      <c r="K1695" s="504"/>
      <c r="L1695" s="504"/>
      <c r="M1695" s="550"/>
      <c r="N1695" s="550"/>
    </row>
    <row r="1696" spans="2:14" x14ac:dyDescent="0.25">
      <c r="B1696" s="64"/>
      <c r="C1696" s="64"/>
      <c r="J1696" s="64"/>
      <c r="K1696" s="504"/>
      <c r="L1696" s="504"/>
      <c r="M1696" s="550"/>
      <c r="N1696" s="550"/>
    </row>
    <row r="1697" spans="2:14" x14ac:dyDescent="0.25">
      <c r="B1697" s="64"/>
      <c r="C1697" s="64"/>
      <c r="J1697" s="64"/>
      <c r="K1697" s="504"/>
      <c r="L1697" s="504"/>
      <c r="M1697" s="550"/>
      <c r="N1697" s="550"/>
    </row>
    <row r="1698" spans="2:14" x14ac:dyDescent="0.25">
      <c r="B1698" s="64"/>
      <c r="C1698" s="64"/>
      <c r="J1698" s="64"/>
      <c r="K1698" s="504"/>
      <c r="L1698" s="504"/>
      <c r="M1698" s="550"/>
      <c r="N1698" s="550"/>
    </row>
    <row r="1699" spans="2:14" x14ac:dyDescent="0.25">
      <c r="B1699" s="64"/>
      <c r="C1699" s="64"/>
      <c r="J1699" s="64"/>
      <c r="K1699" s="504"/>
      <c r="L1699" s="504"/>
      <c r="M1699" s="550"/>
      <c r="N1699" s="550"/>
    </row>
    <row r="1700" spans="2:14" x14ac:dyDescent="0.25">
      <c r="B1700" s="64"/>
      <c r="C1700" s="64"/>
      <c r="J1700" s="64"/>
      <c r="K1700" s="504"/>
      <c r="L1700" s="504"/>
      <c r="M1700" s="550"/>
      <c r="N1700" s="550"/>
    </row>
    <row r="1701" spans="2:14" x14ac:dyDescent="0.25">
      <c r="B1701" s="64"/>
      <c r="C1701" s="64"/>
      <c r="J1701" s="64"/>
      <c r="K1701" s="504"/>
      <c r="L1701" s="504"/>
      <c r="M1701" s="550"/>
      <c r="N1701" s="550"/>
    </row>
    <row r="1702" spans="2:14" x14ac:dyDescent="0.25">
      <c r="B1702" s="64"/>
      <c r="C1702" s="64"/>
      <c r="J1702" s="64"/>
      <c r="K1702" s="504"/>
      <c r="L1702" s="504"/>
      <c r="M1702" s="550"/>
      <c r="N1702" s="550"/>
    </row>
    <row r="1703" spans="2:14" x14ac:dyDescent="0.25">
      <c r="B1703" s="64"/>
      <c r="C1703" s="64"/>
      <c r="J1703" s="64"/>
      <c r="K1703" s="504"/>
      <c r="L1703" s="504"/>
      <c r="M1703" s="550"/>
      <c r="N1703" s="550"/>
    </row>
    <row r="1704" spans="2:14" x14ac:dyDescent="0.25">
      <c r="B1704" s="64"/>
      <c r="C1704" s="64"/>
      <c r="J1704" s="64"/>
      <c r="K1704" s="504"/>
      <c r="L1704" s="504"/>
      <c r="M1704" s="550"/>
      <c r="N1704" s="550"/>
    </row>
    <row r="1705" spans="2:14" x14ac:dyDescent="0.25">
      <c r="B1705" s="64"/>
      <c r="C1705" s="64"/>
      <c r="J1705" s="64"/>
      <c r="K1705" s="504"/>
      <c r="L1705" s="504"/>
      <c r="M1705" s="550"/>
      <c r="N1705" s="550"/>
    </row>
    <row r="1706" spans="2:14" x14ac:dyDescent="0.25">
      <c r="B1706" s="64"/>
      <c r="C1706" s="64"/>
      <c r="J1706" s="64"/>
      <c r="K1706" s="504"/>
      <c r="L1706" s="504"/>
      <c r="M1706" s="550"/>
      <c r="N1706" s="550"/>
    </row>
    <row r="1707" spans="2:14" x14ac:dyDescent="0.25">
      <c r="B1707" s="64"/>
      <c r="C1707" s="64"/>
      <c r="J1707" s="64"/>
      <c r="K1707" s="504"/>
      <c r="L1707" s="504"/>
      <c r="M1707" s="550"/>
      <c r="N1707" s="550"/>
    </row>
    <row r="1708" spans="2:14" x14ac:dyDescent="0.25">
      <c r="B1708" s="64"/>
      <c r="C1708" s="64"/>
      <c r="J1708" s="64"/>
      <c r="K1708" s="504"/>
      <c r="L1708" s="504"/>
      <c r="M1708" s="550"/>
      <c r="N1708" s="550"/>
    </row>
    <row r="1709" spans="2:14" x14ac:dyDescent="0.25">
      <c r="B1709" s="64"/>
      <c r="C1709" s="64"/>
      <c r="J1709" s="64"/>
      <c r="K1709" s="504"/>
      <c r="L1709" s="504"/>
      <c r="M1709" s="550"/>
      <c r="N1709" s="550"/>
    </row>
    <row r="1710" spans="2:14" x14ac:dyDescent="0.25">
      <c r="B1710" s="64"/>
      <c r="C1710" s="64"/>
      <c r="J1710" s="64"/>
      <c r="K1710" s="504"/>
      <c r="L1710" s="504"/>
      <c r="M1710" s="550"/>
      <c r="N1710" s="550"/>
    </row>
    <row r="1711" spans="2:14" x14ac:dyDescent="0.25">
      <c r="B1711" s="64"/>
      <c r="C1711" s="64"/>
      <c r="J1711" s="64"/>
      <c r="K1711" s="504"/>
      <c r="L1711" s="504"/>
      <c r="M1711" s="550"/>
      <c r="N1711" s="550"/>
    </row>
    <row r="1712" spans="2:14" x14ac:dyDescent="0.25">
      <c r="B1712" s="64"/>
      <c r="C1712" s="64"/>
      <c r="J1712" s="64"/>
      <c r="K1712" s="504"/>
      <c r="L1712" s="504"/>
      <c r="M1712" s="550"/>
      <c r="N1712" s="550"/>
    </row>
    <row r="1713" spans="2:14" x14ac:dyDescent="0.25">
      <c r="B1713" s="64"/>
      <c r="C1713" s="64"/>
      <c r="J1713" s="64"/>
      <c r="K1713" s="504"/>
      <c r="L1713" s="504"/>
      <c r="M1713" s="550"/>
      <c r="N1713" s="550"/>
    </row>
    <row r="1714" spans="2:14" x14ac:dyDescent="0.25">
      <c r="B1714" s="64"/>
      <c r="C1714" s="64"/>
      <c r="J1714" s="64"/>
      <c r="K1714" s="504"/>
      <c r="L1714" s="504"/>
      <c r="M1714" s="550"/>
      <c r="N1714" s="550"/>
    </row>
    <row r="1715" spans="2:14" x14ac:dyDescent="0.25">
      <c r="B1715" s="64"/>
      <c r="C1715" s="64"/>
      <c r="J1715" s="64"/>
      <c r="K1715" s="504"/>
      <c r="L1715" s="504"/>
      <c r="M1715" s="550"/>
      <c r="N1715" s="550"/>
    </row>
    <row r="1716" spans="2:14" x14ac:dyDescent="0.25">
      <c r="B1716" s="64"/>
      <c r="C1716" s="64"/>
      <c r="J1716" s="64"/>
      <c r="K1716" s="504"/>
      <c r="L1716" s="504"/>
      <c r="M1716" s="550"/>
      <c r="N1716" s="550"/>
    </row>
    <row r="1717" spans="2:14" x14ac:dyDescent="0.25">
      <c r="B1717" s="64"/>
      <c r="C1717" s="64"/>
      <c r="J1717" s="64"/>
      <c r="K1717" s="504"/>
      <c r="L1717" s="504"/>
      <c r="M1717" s="550"/>
      <c r="N1717" s="550"/>
    </row>
    <row r="1718" spans="2:14" x14ac:dyDescent="0.25">
      <c r="B1718" s="64"/>
      <c r="C1718" s="64"/>
      <c r="J1718" s="64"/>
      <c r="K1718" s="504"/>
      <c r="L1718" s="504"/>
      <c r="M1718" s="550"/>
      <c r="N1718" s="550"/>
    </row>
    <row r="1719" spans="2:14" x14ac:dyDescent="0.25">
      <c r="B1719" s="64"/>
      <c r="C1719" s="64"/>
      <c r="J1719" s="64"/>
      <c r="K1719" s="504"/>
      <c r="L1719" s="504"/>
      <c r="M1719" s="550"/>
      <c r="N1719" s="550"/>
    </row>
    <row r="1720" spans="2:14" x14ac:dyDescent="0.25">
      <c r="B1720" s="64"/>
      <c r="C1720" s="64"/>
      <c r="J1720" s="64"/>
      <c r="K1720" s="504"/>
      <c r="L1720" s="504"/>
      <c r="M1720" s="550"/>
      <c r="N1720" s="550"/>
    </row>
    <row r="1721" spans="2:14" x14ac:dyDescent="0.25">
      <c r="B1721" s="64"/>
      <c r="C1721" s="64"/>
      <c r="J1721" s="64"/>
      <c r="K1721" s="504"/>
      <c r="L1721" s="504"/>
      <c r="M1721" s="550"/>
      <c r="N1721" s="550"/>
    </row>
    <row r="1722" spans="2:14" x14ac:dyDescent="0.25">
      <c r="B1722" s="64"/>
      <c r="C1722" s="64"/>
      <c r="J1722" s="64"/>
      <c r="K1722" s="504"/>
      <c r="L1722" s="504"/>
      <c r="M1722" s="550"/>
      <c r="N1722" s="550"/>
    </row>
    <row r="1723" spans="2:14" x14ac:dyDescent="0.25">
      <c r="B1723" s="64"/>
      <c r="C1723" s="64"/>
      <c r="J1723" s="64"/>
      <c r="K1723" s="504"/>
      <c r="L1723" s="504"/>
      <c r="M1723" s="550"/>
      <c r="N1723" s="550"/>
    </row>
    <row r="1724" spans="2:14" x14ac:dyDescent="0.25">
      <c r="B1724" s="64"/>
      <c r="C1724" s="64"/>
      <c r="J1724" s="64"/>
      <c r="K1724" s="504"/>
      <c r="L1724" s="504"/>
      <c r="M1724" s="550"/>
      <c r="N1724" s="550"/>
    </row>
    <row r="1725" spans="2:14" x14ac:dyDescent="0.25">
      <c r="B1725" s="64"/>
      <c r="C1725" s="64"/>
      <c r="J1725" s="64"/>
      <c r="K1725" s="504"/>
      <c r="L1725" s="504"/>
      <c r="M1725" s="550"/>
      <c r="N1725" s="550"/>
    </row>
    <row r="1726" spans="2:14" x14ac:dyDescent="0.25">
      <c r="B1726" s="64"/>
      <c r="C1726" s="64"/>
      <c r="J1726" s="64"/>
      <c r="K1726" s="504"/>
      <c r="L1726" s="504"/>
      <c r="M1726" s="550"/>
      <c r="N1726" s="550"/>
    </row>
    <row r="1727" spans="2:14" x14ac:dyDescent="0.25">
      <c r="B1727" s="64"/>
      <c r="C1727" s="64"/>
      <c r="J1727" s="64"/>
      <c r="K1727" s="504"/>
      <c r="L1727" s="504"/>
      <c r="M1727" s="550"/>
      <c r="N1727" s="550"/>
    </row>
    <row r="1728" spans="2:14" x14ac:dyDescent="0.25">
      <c r="B1728" s="64"/>
      <c r="C1728" s="64"/>
      <c r="J1728" s="64"/>
      <c r="K1728" s="504"/>
      <c r="L1728" s="504"/>
      <c r="M1728" s="550"/>
      <c r="N1728" s="550"/>
    </row>
    <row r="1729" spans="2:14" x14ac:dyDescent="0.25">
      <c r="B1729" s="64"/>
      <c r="C1729" s="64"/>
      <c r="J1729" s="64"/>
      <c r="K1729" s="504"/>
      <c r="L1729" s="504"/>
      <c r="M1729" s="550"/>
      <c r="N1729" s="550"/>
    </row>
    <row r="1730" spans="2:14" x14ac:dyDescent="0.25">
      <c r="B1730" s="64"/>
      <c r="C1730" s="64"/>
      <c r="J1730" s="64"/>
      <c r="K1730" s="504"/>
      <c r="L1730" s="504"/>
      <c r="M1730" s="550"/>
      <c r="N1730" s="550"/>
    </row>
    <row r="1731" spans="2:14" x14ac:dyDescent="0.25">
      <c r="B1731" s="64"/>
      <c r="C1731" s="64"/>
      <c r="J1731" s="64"/>
      <c r="K1731" s="504"/>
      <c r="L1731" s="504"/>
      <c r="M1731" s="550"/>
      <c r="N1731" s="550"/>
    </row>
    <row r="1732" spans="2:14" x14ac:dyDescent="0.25">
      <c r="B1732" s="64"/>
      <c r="C1732" s="64"/>
      <c r="J1732" s="64"/>
      <c r="K1732" s="504"/>
      <c r="L1732" s="504"/>
      <c r="M1732" s="550"/>
      <c r="N1732" s="550"/>
    </row>
    <row r="1733" spans="2:14" x14ac:dyDescent="0.25">
      <c r="B1733" s="64"/>
      <c r="C1733" s="64"/>
      <c r="J1733" s="64"/>
      <c r="K1733" s="504"/>
      <c r="L1733" s="504"/>
      <c r="M1733" s="550"/>
      <c r="N1733" s="550"/>
    </row>
    <row r="1734" spans="2:14" x14ac:dyDescent="0.25">
      <c r="B1734" s="64"/>
      <c r="C1734" s="64"/>
      <c r="J1734" s="64"/>
      <c r="K1734" s="504"/>
      <c r="L1734" s="504"/>
      <c r="M1734" s="550"/>
      <c r="N1734" s="550"/>
    </row>
    <row r="1735" spans="2:14" x14ac:dyDescent="0.25">
      <c r="B1735" s="64"/>
      <c r="C1735" s="64"/>
      <c r="J1735" s="64"/>
      <c r="K1735" s="504"/>
      <c r="L1735" s="504"/>
      <c r="M1735" s="550"/>
      <c r="N1735" s="550"/>
    </row>
    <row r="1736" spans="2:14" x14ac:dyDescent="0.25">
      <c r="B1736" s="64"/>
      <c r="C1736" s="64"/>
      <c r="J1736" s="64"/>
      <c r="K1736" s="504"/>
      <c r="L1736" s="504"/>
      <c r="M1736" s="550"/>
      <c r="N1736" s="550"/>
    </row>
    <row r="1737" spans="2:14" x14ac:dyDescent="0.25">
      <c r="B1737" s="64"/>
      <c r="C1737" s="64"/>
      <c r="J1737" s="64"/>
      <c r="K1737" s="504"/>
      <c r="L1737" s="504"/>
      <c r="M1737" s="550"/>
      <c r="N1737" s="550"/>
    </row>
    <row r="1738" spans="2:14" x14ac:dyDescent="0.25">
      <c r="B1738" s="64"/>
      <c r="C1738" s="64"/>
      <c r="J1738" s="64"/>
      <c r="K1738" s="504"/>
      <c r="L1738" s="504"/>
      <c r="M1738" s="550"/>
      <c r="N1738" s="550"/>
    </row>
    <row r="1739" spans="2:14" x14ac:dyDescent="0.25">
      <c r="B1739" s="64"/>
      <c r="C1739" s="64"/>
      <c r="J1739" s="64"/>
      <c r="K1739" s="504"/>
      <c r="L1739" s="504"/>
      <c r="M1739" s="550"/>
      <c r="N1739" s="550"/>
    </row>
    <row r="1740" spans="2:14" x14ac:dyDescent="0.25">
      <c r="B1740" s="64"/>
      <c r="C1740" s="64"/>
      <c r="J1740" s="64"/>
      <c r="K1740" s="504"/>
      <c r="L1740" s="504"/>
      <c r="M1740" s="550"/>
      <c r="N1740" s="550"/>
    </row>
    <row r="1741" spans="2:14" x14ac:dyDescent="0.25">
      <c r="B1741" s="64"/>
      <c r="C1741" s="64"/>
      <c r="J1741" s="64"/>
      <c r="K1741" s="504"/>
      <c r="L1741" s="504"/>
      <c r="M1741" s="550"/>
      <c r="N1741" s="550"/>
    </row>
    <row r="1742" spans="2:14" x14ac:dyDescent="0.25">
      <c r="B1742" s="64"/>
      <c r="C1742" s="64"/>
      <c r="J1742" s="64"/>
      <c r="K1742" s="504"/>
      <c r="L1742" s="504"/>
      <c r="M1742" s="550"/>
      <c r="N1742" s="550"/>
    </row>
    <row r="1743" spans="2:14" x14ac:dyDescent="0.25">
      <c r="B1743" s="64"/>
      <c r="C1743" s="64"/>
      <c r="J1743" s="64"/>
      <c r="K1743" s="504"/>
      <c r="L1743" s="504"/>
      <c r="M1743" s="550"/>
      <c r="N1743" s="550"/>
    </row>
    <row r="1744" spans="2:14" x14ac:dyDescent="0.25">
      <c r="B1744" s="64"/>
      <c r="C1744" s="64"/>
      <c r="J1744" s="64"/>
      <c r="K1744" s="504"/>
      <c r="L1744" s="504"/>
      <c r="M1744" s="550"/>
      <c r="N1744" s="550"/>
    </row>
    <row r="1745" spans="2:14" x14ac:dyDescent="0.25">
      <c r="B1745" s="64"/>
      <c r="C1745" s="64"/>
      <c r="J1745" s="64"/>
      <c r="K1745" s="504"/>
      <c r="L1745" s="504"/>
      <c r="M1745" s="550"/>
      <c r="N1745" s="550"/>
    </row>
    <row r="1746" spans="2:14" x14ac:dyDescent="0.25">
      <c r="B1746" s="64"/>
      <c r="C1746" s="64"/>
      <c r="J1746" s="64"/>
      <c r="K1746" s="504"/>
      <c r="L1746" s="504"/>
      <c r="M1746" s="550"/>
      <c r="N1746" s="550"/>
    </row>
    <row r="1747" spans="2:14" x14ac:dyDescent="0.25">
      <c r="B1747" s="64"/>
      <c r="C1747" s="64"/>
      <c r="J1747" s="64"/>
      <c r="K1747" s="504"/>
      <c r="L1747" s="504"/>
      <c r="M1747" s="550"/>
      <c r="N1747" s="550"/>
    </row>
    <row r="1748" spans="2:14" x14ac:dyDescent="0.25">
      <c r="B1748" s="64"/>
      <c r="C1748" s="64"/>
      <c r="J1748" s="64"/>
      <c r="K1748" s="504"/>
      <c r="L1748" s="504"/>
      <c r="M1748" s="550"/>
      <c r="N1748" s="550"/>
    </row>
    <row r="1749" spans="2:14" x14ac:dyDescent="0.25">
      <c r="B1749" s="64"/>
      <c r="C1749" s="64"/>
      <c r="J1749" s="64"/>
      <c r="K1749" s="504"/>
      <c r="L1749" s="504"/>
      <c r="M1749" s="550"/>
      <c r="N1749" s="550"/>
    </row>
    <row r="1750" spans="2:14" x14ac:dyDescent="0.25">
      <c r="B1750" s="64"/>
      <c r="C1750" s="64"/>
      <c r="J1750" s="64"/>
      <c r="K1750" s="504"/>
      <c r="L1750" s="504"/>
      <c r="M1750" s="550"/>
      <c r="N1750" s="550"/>
    </row>
    <row r="1751" spans="2:14" x14ac:dyDescent="0.25">
      <c r="B1751" s="64"/>
      <c r="C1751" s="64"/>
      <c r="J1751" s="64"/>
      <c r="K1751" s="504"/>
      <c r="L1751" s="504"/>
      <c r="M1751" s="550"/>
      <c r="N1751" s="550"/>
    </row>
    <row r="1752" spans="2:14" x14ac:dyDescent="0.25">
      <c r="B1752" s="64"/>
      <c r="C1752" s="64"/>
      <c r="J1752" s="64"/>
      <c r="K1752" s="504"/>
      <c r="L1752" s="504"/>
      <c r="M1752" s="550"/>
      <c r="N1752" s="550"/>
    </row>
    <row r="1753" spans="2:14" x14ac:dyDescent="0.25">
      <c r="B1753" s="64"/>
      <c r="C1753" s="64"/>
      <c r="J1753" s="64"/>
      <c r="K1753" s="504"/>
      <c r="L1753" s="504"/>
      <c r="M1753" s="550"/>
      <c r="N1753" s="550"/>
    </row>
    <row r="1754" spans="2:14" x14ac:dyDescent="0.25">
      <c r="B1754" s="64"/>
      <c r="C1754" s="64"/>
      <c r="J1754" s="64"/>
      <c r="K1754" s="504"/>
      <c r="L1754" s="504"/>
      <c r="M1754" s="550"/>
      <c r="N1754" s="550"/>
    </row>
    <row r="1755" spans="2:14" x14ac:dyDescent="0.25">
      <c r="B1755" s="64"/>
      <c r="C1755" s="64"/>
      <c r="J1755" s="64"/>
      <c r="K1755" s="504"/>
      <c r="L1755" s="504"/>
      <c r="M1755" s="550"/>
      <c r="N1755" s="550"/>
    </row>
    <row r="1756" spans="2:14" x14ac:dyDescent="0.25">
      <c r="B1756" s="64"/>
      <c r="C1756" s="64"/>
      <c r="J1756" s="64"/>
      <c r="K1756" s="504"/>
      <c r="L1756" s="504"/>
      <c r="M1756" s="550"/>
      <c r="N1756" s="550"/>
    </row>
    <row r="1757" spans="2:14" x14ac:dyDescent="0.25">
      <c r="B1757" s="64"/>
      <c r="C1757" s="64"/>
      <c r="J1757" s="64"/>
      <c r="K1757" s="504"/>
      <c r="L1757" s="504"/>
      <c r="M1757" s="550"/>
      <c r="N1757" s="550"/>
    </row>
    <row r="1758" spans="2:14" x14ac:dyDescent="0.25">
      <c r="B1758" s="64"/>
      <c r="C1758" s="64"/>
      <c r="J1758" s="64"/>
      <c r="K1758" s="504"/>
      <c r="L1758" s="504"/>
      <c r="M1758" s="550"/>
      <c r="N1758" s="550"/>
    </row>
    <row r="1759" spans="2:14" x14ac:dyDescent="0.25">
      <c r="B1759" s="64"/>
      <c r="C1759" s="64"/>
      <c r="J1759" s="64"/>
      <c r="K1759" s="504"/>
      <c r="L1759" s="504"/>
      <c r="M1759" s="550"/>
      <c r="N1759" s="550"/>
    </row>
    <row r="1760" spans="2:14" x14ac:dyDescent="0.25">
      <c r="B1760" s="64"/>
      <c r="C1760" s="64"/>
      <c r="J1760" s="64"/>
      <c r="K1760" s="504"/>
      <c r="L1760" s="504"/>
      <c r="M1760" s="550"/>
      <c r="N1760" s="550"/>
    </row>
    <row r="1761" spans="2:14" x14ac:dyDescent="0.25">
      <c r="B1761" s="64"/>
      <c r="C1761" s="64"/>
      <c r="J1761" s="64"/>
      <c r="K1761" s="504"/>
      <c r="L1761" s="504"/>
      <c r="M1761" s="550"/>
      <c r="N1761" s="550"/>
    </row>
    <row r="1762" spans="2:14" x14ac:dyDescent="0.25">
      <c r="B1762" s="64"/>
      <c r="C1762" s="64"/>
      <c r="J1762" s="64"/>
      <c r="K1762" s="504"/>
      <c r="L1762" s="504"/>
      <c r="M1762" s="550"/>
      <c r="N1762" s="550"/>
    </row>
    <row r="1763" spans="2:14" x14ac:dyDescent="0.25">
      <c r="B1763" s="64"/>
      <c r="C1763" s="64"/>
      <c r="J1763" s="64"/>
      <c r="K1763" s="504"/>
      <c r="L1763" s="504"/>
      <c r="M1763" s="550"/>
      <c r="N1763" s="550"/>
    </row>
    <row r="1764" spans="2:14" x14ac:dyDescent="0.25">
      <c r="B1764" s="64"/>
      <c r="C1764" s="64"/>
      <c r="J1764" s="64"/>
      <c r="K1764" s="504"/>
      <c r="L1764" s="504"/>
      <c r="M1764" s="550"/>
      <c r="N1764" s="550"/>
    </row>
    <row r="1765" spans="2:14" x14ac:dyDescent="0.25">
      <c r="B1765" s="64"/>
      <c r="C1765" s="64"/>
      <c r="J1765" s="64"/>
      <c r="K1765" s="504"/>
      <c r="L1765" s="504"/>
      <c r="M1765" s="550"/>
      <c r="N1765" s="550"/>
    </row>
    <row r="1766" spans="2:14" x14ac:dyDescent="0.25">
      <c r="B1766" s="64"/>
      <c r="C1766" s="64"/>
      <c r="J1766" s="64"/>
      <c r="K1766" s="504"/>
      <c r="L1766" s="504"/>
      <c r="M1766" s="550"/>
      <c r="N1766" s="550"/>
    </row>
    <row r="1767" spans="2:14" x14ac:dyDescent="0.25">
      <c r="B1767" s="64"/>
      <c r="C1767" s="64"/>
      <c r="J1767" s="64"/>
      <c r="K1767" s="504"/>
      <c r="L1767" s="504"/>
      <c r="M1767" s="550"/>
      <c r="N1767" s="550"/>
    </row>
    <row r="1768" spans="2:14" x14ac:dyDescent="0.25">
      <c r="B1768" s="64"/>
      <c r="C1768" s="64"/>
      <c r="J1768" s="64"/>
      <c r="K1768" s="504"/>
      <c r="L1768" s="504"/>
      <c r="M1768" s="550"/>
      <c r="N1768" s="550"/>
    </row>
    <row r="1769" spans="2:14" x14ac:dyDescent="0.25">
      <c r="B1769" s="64"/>
      <c r="C1769" s="64"/>
      <c r="J1769" s="64"/>
      <c r="K1769" s="504"/>
      <c r="L1769" s="504"/>
      <c r="M1769" s="550"/>
      <c r="N1769" s="550"/>
    </row>
    <row r="1770" spans="2:14" x14ac:dyDescent="0.25">
      <c r="B1770" s="64"/>
      <c r="C1770" s="64"/>
      <c r="J1770" s="64"/>
      <c r="K1770" s="504"/>
      <c r="L1770" s="504"/>
      <c r="M1770" s="550"/>
      <c r="N1770" s="550"/>
    </row>
    <row r="1771" spans="2:14" x14ac:dyDescent="0.25">
      <c r="B1771" s="64"/>
      <c r="C1771" s="64"/>
      <c r="J1771" s="64"/>
      <c r="K1771" s="504"/>
      <c r="L1771" s="504"/>
      <c r="M1771" s="550"/>
      <c r="N1771" s="550"/>
    </row>
    <row r="1772" spans="2:14" x14ac:dyDescent="0.25">
      <c r="B1772" s="64"/>
      <c r="C1772" s="64"/>
      <c r="J1772" s="64"/>
      <c r="K1772" s="504"/>
      <c r="L1772" s="504"/>
      <c r="M1772" s="550"/>
      <c r="N1772" s="550"/>
    </row>
    <row r="1773" spans="2:14" x14ac:dyDescent="0.25">
      <c r="B1773" s="64"/>
      <c r="C1773" s="64"/>
      <c r="J1773" s="64"/>
      <c r="K1773" s="504"/>
      <c r="L1773" s="504"/>
      <c r="M1773" s="550"/>
      <c r="N1773" s="550"/>
    </row>
    <row r="1774" spans="2:14" x14ac:dyDescent="0.25">
      <c r="B1774" s="64"/>
      <c r="C1774" s="64"/>
      <c r="J1774" s="64"/>
      <c r="K1774" s="504"/>
      <c r="L1774" s="504"/>
      <c r="M1774" s="550"/>
      <c r="N1774" s="550"/>
    </row>
    <row r="1775" spans="2:14" x14ac:dyDescent="0.25">
      <c r="B1775" s="64"/>
      <c r="C1775" s="64"/>
      <c r="J1775" s="64"/>
      <c r="K1775" s="504"/>
      <c r="L1775" s="504"/>
      <c r="M1775" s="550"/>
      <c r="N1775" s="550"/>
    </row>
    <row r="1776" spans="2:14" x14ac:dyDescent="0.25">
      <c r="B1776" s="64"/>
      <c r="C1776" s="64"/>
      <c r="J1776" s="64"/>
      <c r="K1776" s="504"/>
      <c r="L1776" s="504"/>
      <c r="M1776" s="550"/>
      <c r="N1776" s="550"/>
    </row>
    <row r="1777" spans="2:14" x14ac:dyDescent="0.25">
      <c r="B1777" s="64"/>
      <c r="C1777" s="64"/>
      <c r="J1777" s="64"/>
      <c r="K1777" s="504"/>
      <c r="L1777" s="504"/>
      <c r="M1777" s="550"/>
      <c r="N1777" s="550"/>
    </row>
    <row r="1778" spans="2:14" x14ac:dyDescent="0.25">
      <c r="B1778" s="64"/>
      <c r="C1778" s="64"/>
      <c r="J1778" s="64"/>
      <c r="K1778" s="504"/>
      <c r="L1778" s="504"/>
      <c r="M1778" s="550"/>
      <c r="N1778" s="550"/>
    </row>
    <row r="1779" spans="2:14" x14ac:dyDescent="0.25">
      <c r="B1779" s="64"/>
      <c r="C1779" s="64"/>
      <c r="J1779" s="64"/>
      <c r="K1779" s="504"/>
      <c r="L1779" s="504"/>
      <c r="M1779" s="550"/>
      <c r="N1779" s="550"/>
    </row>
    <row r="1780" spans="2:14" x14ac:dyDescent="0.25">
      <c r="B1780" s="64"/>
      <c r="C1780" s="64"/>
      <c r="J1780" s="64"/>
      <c r="K1780" s="504"/>
      <c r="L1780" s="504"/>
      <c r="M1780" s="550"/>
      <c r="N1780" s="550"/>
    </row>
    <row r="1781" spans="2:14" x14ac:dyDescent="0.25">
      <c r="B1781" s="64"/>
      <c r="C1781" s="64"/>
      <c r="J1781" s="64"/>
      <c r="K1781" s="504"/>
      <c r="L1781" s="504"/>
      <c r="M1781" s="550"/>
      <c r="N1781" s="550"/>
    </row>
    <row r="1782" spans="2:14" x14ac:dyDescent="0.25">
      <c r="B1782" s="64"/>
      <c r="C1782" s="64"/>
      <c r="J1782" s="64"/>
      <c r="K1782" s="504"/>
      <c r="L1782" s="504"/>
      <c r="M1782" s="550"/>
      <c r="N1782" s="550"/>
    </row>
    <row r="1783" spans="2:14" x14ac:dyDescent="0.25">
      <c r="B1783" s="64"/>
      <c r="C1783" s="64"/>
      <c r="J1783" s="64"/>
      <c r="K1783" s="504"/>
      <c r="L1783" s="504"/>
      <c r="M1783" s="550"/>
      <c r="N1783" s="550"/>
    </row>
    <row r="1784" spans="2:14" x14ac:dyDescent="0.25">
      <c r="B1784" s="64"/>
      <c r="C1784" s="64"/>
      <c r="J1784" s="64"/>
      <c r="K1784" s="504"/>
      <c r="L1784" s="504"/>
      <c r="M1784" s="550"/>
      <c r="N1784" s="550"/>
    </row>
    <row r="1785" spans="2:14" x14ac:dyDescent="0.25">
      <c r="B1785" s="64"/>
      <c r="C1785" s="64"/>
      <c r="J1785" s="64"/>
      <c r="K1785" s="504"/>
      <c r="L1785" s="504"/>
      <c r="M1785" s="550"/>
      <c r="N1785" s="550"/>
    </row>
    <row r="1786" spans="2:14" x14ac:dyDescent="0.25">
      <c r="B1786" s="64"/>
      <c r="C1786" s="64"/>
      <c r="J1786" s="64"/>
      <c r="K1786" s="504"/>
      <c r="L1786" s="504"/>
      <c r="M1786" s="550"/>
      <c r="N1786" s="550"/>
    </row>
    <row r="1787" spans="2:14" x14ac:dyDescent="0.25">
      <c r="B1787" s="64"/>
      <c r="C1787" s="64"/>
      <c r="J1787" s="64"/>
      <c r="K1787" s="504"/>
      <c r="L1787" s="504"/>
      <c r="M1787" s="550"/>
      <c r="N1787" s="550"/>
    </row>
    <row r="1788" spans="2:14" x14ac:dyDescent="0.25">
      <c r="B1788" s="64"/>
      <c r="C1788" s="64"/>
      <c r="J1788" s="64"/>
      <c r="K1788" s="504"/>
      <c r="L1788" s="504"/>
      <c r="M1788" s="550"/>
      <c r="N1788" s="550"/>
    </row>
    <row r="1789" spans="2:14" x14ac:dyDescent="0.25">
      <c r="B1789" s="64"/>
      <c r="C1789" s="64"/>
      <c r="J1789" s="64"/>
      <c r="K1789" s="504"/>
      <c r="L1789" s="504"/>
      <c r="M1789" s="550"/>
      <c r="N1789" s="550"/>
    </row>
    <row r="1790" spans="2:14" x14ac:dyDescent="0.25">
      <c r="B1790" s="64"/>
      <c r="C1790" s="64"/>
      <c r="J1790" s="64"/>
      <c r="K1790" s="504"/>
      <c r="L1790" s="504"/>
      <c r="M1790" s="550"/>
      <c r="N1790" s="550"/>
    </row>
    <row r="1791" spans="2:14" x14ac:dyDescent="0.25">
      <c r="B1791" s="64"/>
      <c r="C1791" s="64"/>
      <c r="J1791" s="64"/>
      <c r="K1791" s="504"/>
      <c r="L1791" s="504"/>
      <c r="M1791" s="550"/>
      <c r="N1791" s="550"/>
    </row>
    <row r="1792" spans="2:14" x14ac:dyDescent="0.25">
      <c r="B1792" s="64"/>
      <c r="C1792" s="64"/>
      <c r="J1792" s="64"/>
      <c r="K1792" s="504"/>
      <c r="L1792" s="504"/>
      <c r="M1792" s="550"/>
      <c r="N1792" s="550"/>
    </row>
    <row r="1793" spans="2:14" x14ac:dyDescent="0.25">
      <c r="B1793" s="64"/>
      <c r="C1793" s="64"/>
      <c r="J1793" s="64"/>
      <c r="K1793" s="504"/>
      <c r="L1793" s="504"/>
      <c r="M1793" s="550"/>
      <c r="N1793" s="550"/>
    </row>
    <row r="1794" spans="2:14" x14ac:dyDescent="0.25">
      <c r="B1794" s="64"/>
      <c r="C1794" s="64"/>
      <c r="J1794" s="64"/>
      <c r="K1794" s="504"/>
      <c r="L1794" s="504"/>
      <c r="M1794" s="550"/>
      <c r="N1794" s="550"/>
    </row>
    <row r="1795" spans="2:14" x14ac:dyDescent="0.25">
      <c r="B1795" s="64"/>
      <c r="C1795" s="64"/>
      <c r="J1795" s="64"/>
      <c r="K1795" s="504"/>
      <c r="L1795" s="504"/>
      <c r="M1795" s="550"/>
      <c r="N1795" s="550"/>
    </row>
    <row r="1796" spans="2:14" x14ac:dyDescent="0.25">
      <c r="B1796" s="64"/>
      <c r="C1796" s="64"/>
      <c r="J1796" s="64"/>
      <c r="K1796" s="504"/>
      <c r="L1796" s="504"/>
      <c r="M1796" s="550"/>
      <c r="N1796" s="550"/>
    </row>
    <row r="1797" spans="2:14" x14ac:dyDescent="0.25">
      <c r="B1797" s="64"/>
      <c r="C1797" s="64"/>
      <c r="J1797" s="64"/>
      <c r="K1797" s="504"/>
      <c r="L1797" s="504"/>
      <c r="M1797" s="550"/>
      <c r="N1797" s="550"/>
    </row>
    <row r="1798" spans="2:14" x14ac:dyDescent="0.25">
      <c r="B1798" s="64"/>
      <c r="C1798" s="64"/>
      <c r="J1798" s="64"/>
      <c r="K1798" s="504"/>
      <c r="L1798" s="504"/>
      <c r="M1798" s="550"/>
      <c r="N1798" s="550"/>
    </row>
    <row r="1799" spans="2:14" x14ac:dyDescent="0.25">
      <c r="B1799" s="64"/>
      <c r="C1799" s="64"/>
      <c r="J1799" s="64"/>
      <c r="K1799" s="504"/>
      <c r="L1799" s="504"/>
      <c r="M1799" s="550"/>
      <c r="N1799" s="550"/>
    </row>
    <row r="1800" spans="2:14" x14ac:dyDescent="0.25">
      <c r="B1800" s="64"/>
      <c r="C1800" s="64"/>
      <c r="J1800" s="64"/>
      <c r="K1800" s="504"/>
      <c r="L1800" s="504"/>
      <c r="M1800" s="550"/>
      <c r="N1800" s="550"/>
    </row>
    <row r="1801" spans="2:14" x14ac:dyDescent="0.25">
      <c r="B1801" s="64"/>
      <c r="C1801" s="64"/>
      <c r="J1801" s="64"/>
      <c r="K1801" s="504"/>
      <c r="L1801" s="504"/>
      <c r="M1801" s="550"/>
      <c r="N1801" s="550"/>
    </row>
    <row r="1802" spans="2:14" x14ac:dyDescent="0.25">
      <c r="B1802" s="64"/>
      <c r="C1802" s="64"/>
      <c r="J1802" s="64"/>
      <c r="K1802" s="504"/>
      <c r="L1802" s="504"/>
      <c r="M1802" s="550"/>
      <c r="N1802" s="550"/>
    </row>
    <row r="1803" spans="2:14" x14ac:dyDescent="0.25">
      <c r="B1803" s="64"/>
      <c r="C1803" s="64"/>
      <c r="J1803" s="64"/>
      <c r="K1803" s="504"/>
      <c r="L1803" s="504"/>
      <c r="M1803" s="550"/>
      <c r="N1803" s="550"/>
    </row>
    <row r="1804" spans="2:14" x14ac:dyDescent="0.25">
      <c r="B1804" s="64"/>
      <c r="C1804" s="64"/>
      <c r="J1804" s="64"/>
      <c r="K1804" s="504"/>
      <c r="L1804" s="504"/>
      <c r="M1804" s="550"/>
      <c r="N1804" s="550"/>
    </row>
    <row r="1805" spans="2:14" x14ac:dyDescent="0.25">
      <c r="B1805" s="64"/>
      <c r="C1805" s="64"/>
      <c r="J1805" s="64"/>
      <c r="K1805" s="504"/>
      <c r="L1805" s="504"/>
      <c r="M1805" s="550"/>
      <c r="N1805" s="550"/>
    </row>
    <row r="1806" spans="2:14" x14ac:dyDescent="0.25">
      <c r="B1806" s="64"/>
      <c r="C1806" s="64"/>
      <c r="J1806" s="64"/>
      <c r="K1806" s="504"/>
      <c r="L1806" s="504"/>
      <c r="M1806" s="550"/>
      <c r="N1806" s="550"/>
    </row>
    <row r="1807" spans="2:14" x14ac:dyDescent="0.25">
      <c r="B1807" s="64"/>
      <c r="C1807" s="64"/>
      <c r="J1807" s="64"/>
      <c r="K1807" s="504"/>
      <c r="L1807" s="504"/>
      <c r="M1807" s="550"/>
      <c r="N1807" s="550"/>
    </row>
    <row r="1808" spans="2:14" x14ac:dyDescent="0.25">
      <c r="B1808" s="64"/>
      <c r="C1808" s="64"/>
      <c r="J1808" s="64"/>
      <c r="K1808" s="504"/>
      <c r="L1808" s="504"/>
      <c r="M1808" s="550"/>
      <c r="N1808" s="550"/>
    </row>
    <row r="1809" spans="2:14" x14ac:dyDescent="0.25">
      <c r="B1809" s="64"/>
      <c r="C1809" s="64"/>
      <c r="J1809" s="64"/>
      <c r="K1809" s="504"/>
      <c r="L1809" s="504"/>
      <c r="M1809" s="550"/>
      <c r="N1809" s="550"/>
    </row>
    <row r="1810" spans="2:14" x14ac:dyDescent="0.25">
      <c r="B1810" s="64"/>
      <c r="C1810" s="64"/>
      <c r="J1810" s="64"/>
      <c r="K1810" s="504"/>
      <c r="L1810" s="504"/>
      <c r="M1810" s="550"/>
      <c r="N1810" s="550"/>
    </row>
    <row r="1811" spans="2:14" x14ac:dyDescent="0.25">
      <c r="B1811" s="64"/>
      <c r="C1811" s="64"/>
      <c r="J1811" s="64"/>
      <c r="K1811" s="504"/>
      <c r="L1811" s="504"/>
      <c r="M1811" s="550"/>
      <c r="N1811" s="550"/>
    </row>
    <row r="1812" spans="2:14" x14ac:dyDescent="0.25">
      <c r="B1812" s="64"/>
      <c r="C1812" s="64"/>
      <c r="J1812" s="64"/>
      <c r="K1812" s="504"/>
      <c r="L1812" s="504"/>
      <c r="M1812" s="550"/>
      <c r="N1812" s="550"/>
    </row>
    <row r="1813" spans="2:14" x14ac:dyDescent="0.25">
      <c r="B1813" s="64"/>
      <c r="C1813" s="64"/>
      <c r="J1813" s="64"/>
      <c r="K1813" s="504"/>
      <c r="L1813" s="504"/>
      <c r="M1813" s="550"/>
      <c r="N1813" s="550"/>
    </row>
    <row r="1814" spans="2:14" x14ac:dyDescent="0.25">
      <c r="B1814" s="64"/>
      <c r="C1814" s="64"/>
      <c r="J1814" s="64"/>
      <c r="K1814" s="504"/>
      <c r="L1814" s="504"/>
      <c r="M1814" s="550"/>
      <c r="N1814" s="550"/>
    </row>
    <row r="1815" spans="2:14" x14ac:dyDescent="0.25">
      <c r="B1815" s="64"/>
      <c r="C1815" s="64"/>
      <c r="J1815" s="64"/>
      <c r="K1815" s="504"/>
      <c r="L1815" s="504"/>
      <c r="M1815" s="550"/>
      <c r="N1815" s="550"/>
    </row>
    <row r="1816" spans="2:14" x14ac:dyDescent="0.25">
      <c r="B1816" s="64"/>
      <c r="C1816" s="64"/>
      <c r="J1816" s="64"/>
      <c r="K1816" s="504"/>
      <c r="L1816" s="504"/>
      <c r="M1816" s="550"/>
      <c r="N1816" s="550"/>
    </row>
    <row r="1817" spans="2:14" x14ac:dyDescent="0.25">
      <c r="B1817" s="64"/>
      <c r="C1817" s="64"/>
      <c r="J1817" s="64"/>
      <c r="K1817" s="504"/>
      <c r="L1817" s="504"/>
      <c r="M1817" s="550"/>
      <c r="N1817" s="550"/>
    </row>
    <row r="1818" spans="2:14" x14ac:dyDescent="0.25">
      <c r="B1818" s="64"/>
      <c r="C1818" s="64"/>
      <c r="J1818" s="64"/>
      <c r="K1818" s="504"/>
      <c r="L1818" s="504"/>
      <c r="M1818" s="550"/>
      <c r="N1818" s="550"/>
    </row>
    <row r="1819" spans="2:14" x14ac:dyDescent="0.25">
      <c r="B1819" s="64"/>
      <c r="C1819" s="64"/>
      <c r="J1819" s="64"/>
      <c r="K1819" s="504"/>
      <c r="L1819" s="504"/>
      <c r="M1819" s="550"/>
      <c r="N1819" s="550"/>
    </row>
    <row r="1820" spans="2:14" x14ac:dyDescent="0.25">
      <c r="B1820" s="64"/>
      <c r="C1820" s="64"/>
      <c r="J1820" s="64"/>
      <c r="K1820" s="504"/>
      <c r="L1820" s="504"/>
      <c r="M1820" s="550"/>
      <c r="N1820" s="550"/>
    </row>
    <row r="1821" spans="2:14" x14ac:dyDescent="0.25">
      <c r="B1821" s="64"/>
      <c r="C1821" s="64"/>
      <c r="J1821" s="64"/>
      <c r="K1821" s="504"/>
      <c r="L1821" s="504"/>
      <c r="M1821" s="550"/>
      <c r="N1821" s="550"/>
    </row>
    <row r="1822" spans="2:14" x14ac:dyDescent="0.25">
      <c r="B1822" s="64"/>
      <c r="C1822" s="64"/>
      <c r="J1822" s="64"/>
      <c r="K1822" s="504"/>
      <c r="L1822" s="504"/>
      <c r="M1822" s="550"/>
      <c r="N1822" s="550"/>
    </row>
    <row r="1823" spans="2:14" x14ac:dyDescent="0.25">
      <c r="B1823" s="64"/>
      <c r="C1823" s="64"/>
      <c r="J1823" s="64"/>
      <c r="K1823" s="504"/>
      <c r="L1823" s="504"/>
      <c r="M1823" s="550"/>
      <c r="N1823" s="550"/>
    </row>
    <row r="1824" spans="2:14" x14ac:dyDescent="0.25">
      <c r="B1824" s="64"/>
      <c r="C1824" s="64"/>
      <c r="J1824" s="64"/>
      <c r="K1824" s="504"/>
      <c r="L1824" s="504"/>
      <c r="M1824" s="550"/>
      <c r="N1824" s="550"/>
    </row>
    <row r="1825" spans="2:14" x14ac:dyDescent="0.25">
      <c r="B1825" s="64"/>
      <c r="C1825" s="64"/>
      <c r="J1825" s="64"/>
      <c r="K1825" s="504"/>
      <c r="L1825" s="504"/>
      <c r="M1825" s="550"/>
      <c r="N1825" s="550"/>
    </row>
    <row r="1826" spans="2:14" x14ac:dyDescent="0.25">
      <c r="B1826" s="64"/>
      <c r="C1826" s="64"/>
      <c r="J1826" s="64"/>
      <c r="K1826" s="504"/>
      <c r="L1826" s="504"/>
      <c r="M1826" s="550"/>
      <c r="N1826" s="550"/>
    </row>
    <row r="1827" spans="2:14" x14ac:dyDescent="0.25">
      <c r="B1827" s="64"/>
      <c r="C1827" s="64"/>
      <c r="J1827" s="64"/>
      <c r="K1827" s="504"/>
      <c r="L1827" s="504"/>
      <c r="M1827" s="550"/>
      <c r="N1827" s="550"/>
    </row>
    <row r="1828" spans="2:14" x14ac:dyDescent="0.25">
      <c r="B1828" s="64"/>
      <c r="C1828" s="64"/>
      <c r="J1828" s="64"/>
      <c r="K1828" s="504"/>
      <c r="L1828" s="504"/>
      <c r="M1828" s="550"/>
      <c r="N1828" s="550"/>
    </row>
    <row r="1829" spans="2:14" x14ac:dyDescent="0.25">
      <c r="B1829" s="64"/>
      <c r="C1829" s="64"/>
      <c r="J1829" s="64"/>
      <c r="K1829" s="504"/>
      <c r="L1829" s="504"/>
      <c r="M1829" s="550"/>
      <c r="N1829" s="550"/>
    </row>
    <row r="1830" spans="2:14" x14ac:dyDescent="0.25">
      <c r="B1830" s="64"/>
      <c r="C1830" s="64"/>
      <c r="J1830" s="64"/>
      <c r="K1830" s="504"/>
      <c r="L1830" s="504"/>
      <c r="M1830" s="550"/>
      <c r="N1830" s="550"/>
    </row>
    <row r="1831" spans="2:14" x14ac:dyDescent="0.25">
      <c r="B1831" s="64"/>
      <c r="C1831" s="64"/>
      <c r="J1831" s="64"/>
      <c r="K1831" s="504"/>
      <c r="L1831" s="504"/>
      <c r="M1831" s="550"/>
      <c r="N1831" s="550"/>
    </row>
    <row r="1832" spans="2:14" x14ac:dyDescent="0.25">
      <c r="B1832" s="64"/>
      <c r="C1832" s="64"/>
      <c r="J1832" s="64"/>
      <c r="K1832" s="504"/>
      <c r="L1832" s="504"/>
      <c r="M1832" s="550"/>
      <c r="N1832" s="550"/>
    </row>
    <row r="1833" spans="2:14" x14ac:dyDescent="0.25">
      <c r="B1833" s="64"/>
      <c r="C1833" s="64"/>
      <c r="J1833" s="64"/>
      <c r="K1833" s="504"/>
      <c r="L1833" s="504"/>
      <c r="M1833" s="550"/>
      <c r="N1833" s="550"/>
    </row>
    <row r="1834" spans="2:14" x14ac:dyDescent="0.25">
      <c r="B1834" s="64"/>
      <c r="C1834" s="64"/>
      <c r="J1834" s="64"/>
      <c r="K1834" s="504"/>
      <c r="L1834" s="504"/>
      <c r="M1834" s="550"/>
      <c r="N1834" s="550"/>
    </row>
    <row r="1835" spans="2:14" x14ac:dyDescent="0.25">
      <c r="B1835" s="64"/>
      <c r="C1835" s="64"/>
      <c r="J1835" s="64"/>
      <c r="K1835" s="504"/>
      <c r="L1835" s="504"/>
      <c r="M1835" s="550"/>
      <c r="N1835" s="550"/>
    </row>
    <row r="1836" spans="2:14" x14ac:dyDescent="0.25">
      <c r="B1836" s="64"/>
      <c r="C1836" s="64"/>
      <c r="J1836" s="64"/>
      <c r="K1836" s="504"/>
      <c r="L1836" s="504"/>
      <c r="M1836" s="550"/>
      <c r="N1836" s="550"/>
    </row>
    <row r="1837" spans="2:14" x14ac:dyDescent="0.25">
      <c r="B1837" s="64"/>
      <c r="C1837" s="64"/>
      <c r="J1837" s="64"/>
      <c r="K1837" s="504"/>
      <c r="L1837" s="504"/>
      <c r="M1837" s="550"/>
      <c r="N1837" s="550"/>
    </row>
    <row r="1838" spans="2:14" x14ac:dyDescent="0.25">
      <c r="B1838" s="64"/>
      <c r="C1838" s="64"/>
      <c r="J1838" s="64"/>
      <c r="K1838" s="504"/>
      <c r="L1838" s="504"/>
      <c r="M1838" s="550"/>
      <c r="N1838" s="550"/>
    </row>
    <row r="1839" spans="2:14" x14ac:dyDescent="0.25">
      <c r="B1839" s="64"/>
      <c r="C1839" s="64"/>
      <c r="J1839" s="64"/>
      <c r="K1839" s="504"/>
      <c r="L1839" s="504"/>
      <c r="M1839" s="550"/>
      <c r="N1839" s="550"/>
    </row>
    <row r="1840" spans="2:14" x14ac:dyDescent="0.25">
      <c r="B1840" s="64"/>
      <c r="C1840" s="64"/>
      <c r="J1840" s="64"/>
      <c r="K1840" s="504"/>
      <c r="L1840" s="504"/>
      <c r="M1840" s="550"/>
      <c r="N1840" s="550"/>
    </row>
    <row r="1841" spans="2:14" x14ac:dyDescent="0.25">
      <c r="B1841" s="64"/>
      <c r="C1841" s="64"/>
      <c r="J1841" s="64"/>
      <c r="K1841" s="504"/>
      <c r="L1841" s="504"/>
      <c r="M1841" s="550"/>
      <c r="N1841" s="550"/>
    </row>
    <row r="1842" spans="2:14" x14ac:dyDescent="0.25">
      <c r="B1842" s="64"/>
      <c r="C1842" s="64"/>
      <c r="J1842" s="64"/>
      <c r="K1842" s="504"/>
      <c r="L1842" s="504"/>
      <c r="M1842" s="550"/>
      <c r="N1842" s="550"/>
    </row>
    <row r="1843" spans="2:14" x14ac:dyDescent="0.25">
      <c r="B1843" s="64"/>
      <c r="C1843" s="64"/>
      <c r="J1843" s="64"/>
      <c r="K1843" s="504"/>
      <c r="L1843" s="504"/>
      <c r="M1843" s="550"/>
      <c r="N1843" s="550"/>
    </row>
    <row r="1844" spans="2:14" x14ac:dyDescent="0.25">
      <c r="B1844" s="64"/>
      <c r="C1844" s="64"/>
      <c r="J1844" s="64"/>
      <c r="K1844" s="504"/>
      <c r="L1844" s="504"/>
      <c r="M1844" s="550"/>
      <c r="N1844" s="550"/>
    </row>
    <row r="1845" spans="2:14" x14ac:dyDescent="0.25">
      <c r="B1845" s="64"/>
      <c r="C1845" s="64"/>
      <c r="J1845" s="64"/>
      <c r="K1845" s="504"/>
      <c r="L1845" s="504"/>
      <c r="M1845" s="550"/>
      <c r="N1845" s="550"/>
    </row>
    <row r="1846" spans="2:14" x14ac:dyDescent="0.25">
      <c r="B1846" s="64"/>
      <c r="C1846" s="64"/>
      <c r="J1846" s="64"/>
      <c r="K1846" s="504"/>
      <c r="L1846" s="504"/>
      <c r="M1846" s="550"/>
      <c r="N1846" s="550"/>
    </row>
    <row r="1847" spans="2:14" x14ac:dyDescent="0.25">
      <c r="B1847" s="64"/>
      <c r="C1847" s="64"/>
      <c r="J1847" s="64"/>
      <c r="K1847" s="504"/>
      <c r="L1847" s="504"/>
      <c r="M1847" s="550"/>
      <c r="N1847" s="550"/>
    </row>
    <row r="1848" spans="2:14" x14ac:dyDescent="0.25">
      <c r="B1848" s="64"/>
      <c r="C1848" s="64"/>
      <c r="J1848" s="64"/>
      <c r="K1848" s="504"/>
      <c r="L1848" s="504"/>
      <c r="M1848" s="550"/>
      <c r="N1848" s="550"/>
    </row>
    <row r="1849" spans="2:14" x14ac:dyDescent="0.25">
      <c r="B1849" s="64"/>
      <c r="C1849" s="64"/>
      <c r="J1849" s="64"/>
      <c r="K1849" s="504"/>
      <c r="L1849" s="504"/>
      <c r="M1849" s="550"/>
      <c r="N1849" s="550"/>
    </row>
    <row r="1850" spans="2:14" x14ac:dyDescent="0.25">
      <c r="B1850" s="64"/>
      <c r="C1850" s="64"/>
      <c r="J1850" s="64"/>
      <c r="K1850" s="504"/>
      <c r="L1850" s="504"/>
      <c r="M1850" s="550"/>
      <c r="N1850" s="550"/>
    </row>
    <row r="1851" spans="2:14" x14ac:dyDescent="0.25">
      <c r="B1851" s="64"/>
      <c r="C1851" s="64"/>
      <c r="J1851" s="64"/>
      <c r="K1851" s="504"/>
      <c r="L1851" s="504"/>
      <c r="M1851" s="550"/>
      <c r="N1851" s="550"/>
    </row>
    <row r="1852" spans="2:14" x14ac:dyDescent="0.25">
      <c r="B1852" s="64"/>
      <c r="C1852" s="64"/>
      <c r="J1852" s="64"/>
      <c r="K1852" s="504"/>
      <c r="L1852" s="504"/>
      <c r="M1852" s="550"/>
      <c r="N1852" s="550"/>
    </row>
    <row r="1853" spans="2:14" x14ac:dyDescent="0.25">
      <c r="B1853" s="64"/>
      <c r="C1853" s="64"/>
      <c r="J1853" s="64"/>
      <c r="K1853" s="504"/>
      <c r="L1853" s="504"/>
      <c r="M1853" s="550"/>
      <c r="N1853" s="550"/>
    </row>
    <row r="1854" spans="2:14" x14ac:dyDescent="0.25">
      <c r="B1854" s="64"/>
      <c r="C1854" s="64"/>
      <c r="J1854" s="64"/>
      <c r="K1854" s="504"/>
      <c r="L1854" s="504"/>
      <c r="M1854" s="550"/>
      <c r="N1854" s="550"/>
    </row>
    <row r="1855" spans="2:14" x14ac:dyDescent="0.25">
      <c r="B1855" s="64"/>
      <c r="C1855" s="64"/>
      <c r="J1855" s="64"/>
      <c r="K1855" s="504"/>
      <c r="L1855" s="504"/>
      <c r="M1855" s="550"/>
      <c r="N1855" s="550"/>
    </row>
    <row r="1856" spans="2:14" x14ac:dyDescent="0.25">
      <c r="B1856" s="64"/>
      <c r="C1856" s="64"/>
      <c r="J1856" s="64"/>
      <c r="K1856" s="504"/>
      <c r="L1856" s="504"/>
      <c r="M1856" s="550"/>
      <c r="N1856" s="550"/>
    </row>
    <row r="1857" spans="2:14" x14ac:dyDescent="0.25">
      <c r="B1857" s="64"/>
      <c r="C1857" s="64"/>
      <c r="J1857" s="64"/>
      <c r="K1857" s="504"/>
      <c r="L1857" s="504"/>
      <c r="M1857" s="550"/>
      <c r="N1857" s="550"/>
    </row>
    <row r="1858" spans="2:14" x14ac:dyDescent="0.25">
      <c r="B1858" s="64"/>
      <c r="C1858" s="64"/>
      <c r="J1858" s="64"/>
      <c r="K1858" s="504"/>
      <c r="L1858" s="504"/>
      <c r="M1858" s="550"/>
      <c r="N1858" s="550"/>
    </row>
    <row r="1859" spans="2:14" x14ac:dyDescent="0.25">
      <c r="B1859" s="64"/>
      <c r="C1859" s="64"/>
      <c r="J1859" s="64"/>
      <c r="K1859" s="504"/>
      <c r="L1859" s="504"/>
      <c r="M1859" s="550"/>
      <c r="N1859" s="550"/>
    </row>
    <row r="1860" spans="2:14" x14ac:dyDescent="0.25">
      <c r="B1860" s="64"/>
      <c r="C1860" s="64"/>
      <c r="J1860" s="64"/>
      <c r="K1860" s="504"/>
      <c r="L1860" s="504"/>
      <c r="M1860" s="550"/>
      <c r="N1860" s="550"/>
    </row>
    <row r="1861" spans="2:14" x14ac:dyDescent="0.25">
      <c r="B1861" s="64"/>
      <c r="C1861" s="64"/>
      <c r="J1861" s="64"/>
      <c r="K1861" s="504"/>
      <c r="L1861" s="504"/>
      <c r="M1861" s="550"/>
      <c r="N1861" s="550"/>
    </row>
    <row r="1862" spans="2:14" x14ac:dyDescent="0.25">
      <c r="B1862" s="64"/>
      <c r="C1862" s="64"/>
      <c r="J1862" s="64"/>
      <c r="K1862" s="504"/>
      <c r="L1862" s="504"/>
      <c r="M1862" s="550"/>
      <c r="N1862" s="550"/>
    </row>
    <row r="1863" spans="2:14" x14ac:dyDescent="0.25">
      <c r="B1863" s="64"/>
      <c r="C1863" s="64"/>
      <c r="J1863" s="64"/>
      <c r="K1863" s="504"/>
      <c r="L1863" s="504"/>
      <c r="M1863" s="550"/>
      <c r="N1863" s="550"/>
    </row>
    <row r="1864" spans="2:14" x14ac:dyDescent="0.25">
      <c r="B1864" s="64"/>
      <c r="C1864" s="64"/>
      <c r="J1864" s="64"/>
      <c r="K1864" s="504"/>
      <c r="L1864" s="504"/>
      <c r="M1864" s="550"/>
      <c r="N1864" s="550"/>
    </row>
    <row r="1865" spans="2:14" x14ac:dyDescent="0.25">
      <c r="B1865" s="64"/>
      <c r="C1865" s="64"/>
      <c r="J1865" s="64"/>
      <c r="K1865" s="504"/>
      <c r="L1865" s="504"/>
      <c r="M1865" s="550"/>
      <c r="N1865" s="550"/>
    </row>
    <row r="1866" spans="2:14" x14ac:dyDescent="0.25">
      <c r="B1866" s="64"/>
      <c r="C1866" s="64"/>
      <c r="J1866" s="64"/>
      <c r="K1866" s="504"/>
      <c r="L1866" s="504"/>
      <c r="M1866" s="550"/>
      <c r="N1866" s="550"/>
    </row>
    <row r="1867" spans="2:14" x14ac:dyDescent="0.25">
      <c r="B1867" s="64"/>
      <c r="C1867" s="64"/>
      <c r="J1867" s="64"/>
      <c r="K1867" s="504"/>
      <c r="L1867" s="504"/>
      <c r="M1867" s="550"/>
      <c r="N1867" s="550"/>
    </row>
    <row r="1868" spans="2:14" x14ac:dyDescent="0.25">
      <c r="B1868" s="64"/>
      <c r="C1868" s="64"/>
      <c r="J1868" s="64"/>
      <c r="K1868" s="504"/>
      <c r="L1868" s="504"/>
      <c r="M1868" s="550"/>
      <c r="N1868" s="550"/>
    </row>
    <row r="1869" spans="2:14" x14ac:dyDescent="0.25">
      <c r="B1869" s="64"/>
      <c r="C1869" s="64"/>
      <c r="J1869" s="64"/>
      <c r="K1869" s="504"/>
      <c r="L1869" s="504"/>
      <c r="M1869" s="550"/>
      <c r="N1869" s="550"/>
    </row>
    <row r="1870" spans="2:14" x14ac:dyDescent="0.25">
      <c r="B1870" s="64"/>
      <c r="C1870" s="64"/>
      <c r="J1870" s="64"/>
      <c r="K1870" s="504"/>
      <c r="L1870" s="504"/>
      <c r="M1870" s="550"/>
      <c r="N1870" s="550"/>
    </row>
    <row r="1871" spans="2:14" x14ac:dyDescent="0.25">
      <c r="B1871" s="64"/>
      <c r="C1871" s="64"/>
      <c r="J1871" s="64"/>
      <c r="K1871" s="504"/>
      <c r="L1871" s="504"/>
      <c r="M1871" s="550"/>
      <c r="N1871" s="550"/>
    </row>
    <row r="1872" spans="2:14" x14ac:dyDescent="0.25">
      <c r="B1872" s="64"/>
      <c r="C1872" s="64"/>
      <c r="J1872" s="64"/>
      <c r="K1872" s="504"/>
      <c r="L1872" s="504"/>
      <c r="M1872" s="550"/>
      <c r="N1872" s="550"/>
    </row>
    <row r="1873" spans="2:14" x14ac:dyDescent="0.25">
      <c r="B1873" s="64"/>
      <c r="C1873" s="64"/>
      <c r="J1873" s="64"/>
      <c r="K1873" s="504"/>
      <c r="L1873" s="504"/>
      <c r="M1873" s="550"/>
      <c r="N1873" s="550"/>
    </row>
    <row r="1874" spans="2:14" x14ac:dyDescent="0.25">
      <c r="B1874" s="64"/>
      <c r="C1874" s="64"/>
      <c r="J1874" s="64"/>
      <c r="K1874" s="504"/>
      <c r="L1874" s="504"/>
      <c r="M1874" s="550"/>
      <c r="N1874" s="550"/>
    </row>
    <row r="1875" spans="2:14" x14ac:dyDescent="0.25">
      <c r="B1875" s="64"/>
      <c r="C1875" s="64"/>
      <c r="J1875" s="64"/>
      <c r="K1875" s="504"/>
      <c r="L1875" s="504"/>
      <c r="M1875" s="550"/>
      <c r="N1875" s="550"/>
    </row>
    <row r="1876" spans="2:14" x14ac:dyDescent="0.25">
      <c r="B1876" s="64"/>
      <c r="C1876" s="64"/>
      <c r="J1876" s="64"/>
      <c r="K1876" s="504"/>
      <c r="L1876" s="504"/>
      <c r="M1876" s="550"/>
      <c r="N1876" s="550"/>
    </row>
    <row r="1877" spans="2:14" x14ac:dyDescent="0.25">
      <c r="B1877" s="64"/>
      <c r="C1877" s="64"/>
      <c r="J1877" s="64"/>
      <c r="K1877" s="504"/>
      <c r="L1877" s="504"/>
      <c r="M1877" s="550"/>
      <c r="N1877" s="550"/>
    </row>
    <row r="1878" spans="2:14" x14ac:dyDescent="0.25">
      <c r="B1878" s="64"/>
      <c r="C1878" s="64"/>
      <c r="J1878" s="64"/>
      <c r="K1878" s="504"/>
      <c r="L1878" s="504"/>
      <c r="M1878" s="550"/>
      <c r="N1878" s="550"/>
    </row>
    <row r="1879" spans="2:14" x14ac:dyDescent="0.25">
      <c r="B1879" s="64"/>
      <c r="C1879" s="64"/>
      <c r="J1879" s="64"/>
      <c r="K1879" s="504"/>
      <c r="L1879" s="504"/>
      <c r="M1879" s="550"/>
      <c r="N1879" s="550"/>
    </row>
    <row r="1880" spans="2:14" x14ac:dyDescent="0.25">
      <c r="B1880" s="64"/>
      <c r="C1880" s="64"/>
      <c r="J1880" s="64"/>
      <c r="K1880" s="504"/>
      <c r="L1880" s="504"/>
      <c r="M1880" s="550"/>
      <c r="N1880" s="550"/>
    </row>
    <row r="1881" spans="2:14" x14ac:dyDescent="0.25">
      <c r="B1881" s="64"/>
      <c r="C1881" s="64"/>
      <c r="J1881" s="64"/>
      <c r="K1881" s="504"/>
      <c r="L1881" s="504"/>
      <c r="M1881" s="550"/>
      <c r="N1881" s="550"/>
    </row>
    <row r="1882" spans="2:14" x14ac:dyDescent="0.25">
      <c r="B1882" s="64"/>
      <c r="C1882" s="64"/>
      <c r="J1882" s="64"/>
      <c r="K1882" s="504"/>
      <c r="L1882" s="504"/>
      <c r="M1882" s="550"/>
      <c r="N1882" s="550"/>
    </row>
    <row r="1883" spans="2:14" x14ac:dyDescent="0.25">
      <c r="B1883" s="64"/>
      <c r="C1883" s="64"/>
      <c r="J1883" s="64"/>
      <c r="K1883" s="504"/>
      <c r="L1883" s="504"/>
      <c r="M1883" s="550"/>
      <c r="N1883" s="550"/>
    </row>
    <row r="1884" spans="2:14" x14ac:dyDescent="0.25">
      <c r="B1884" s="64"/>
      <c r="C1884" s="64"/>
      <c r="J1884" s="64"/>
      <c r="K1884" s="504"/>
      <c r="L1884" s="504"/>
      <c r="M1884" s="550"/>
      <c r="N1884" s="550"/>
    </row>
    <row r="1885" spans="2:14" x14ac:dyDescent="0.25">
      <c r="B1885" s="64"/>
      <c r="C1885" s="64"/>
      <c r="J1885" s="64"/>
      <c r="K1885" s="504"/>
      <c r="L1885" s="504"/>
      <c r="M1885" s="550"/>
      <c r="N1885" s="550"/>
    </row>
    <row r="1886" spans="2:14" x14ac:dyDescent="0.25">
      <c r="B1886" s="64"/>
      <c r="C1886" s="64"/>
      <c r="J1886" s="64"/>
      <c r="K1886" s="504"/>
      <c r="L1886" s="504"/>
      <c r="M1886" s="550"/>
      <c r="N1886" s="550"/>
    </row>
    <row r="1887" spans="2:14" x14ac:dyDescent="0.25">
      <c r="B1887" s="64"/>
      <c r="C1887" s="64"/>
      <c r="J1887" s="64"/>
      <c r="K1887" s="504"/>
      <c r="L1887" s="504"/>
      <c r="M1887" s="550"/>
      <c r="N1887" s="550"/>
    </row>
    <row r="1888" spans="2:14" x14ac:dyDescent="0.25">
      <c r="B1888" s="64"/>
      <c r="C1888" s="64"/>
      <c r="J1888" s="64"/>
      <c r="K1888" s="504"/>
      <c r="L1888" s="504"/>
      <c r="M1888" s="550"/>
      <c r="N1888" s="550"/>
    </row>
    <row r="1889" spans="2:14" x14ac:dyDescent="0.25">
      <c r="B1889" s="64"/>
      <c r="C1889" s="64"/>
      <c r="J1889" s="64"/>
      <c r="K1889" s="504"/>
      <c r="L1889" s="504"/>
      <c r="M1889" s="550"/>
      <c r="N1889" s="550"/>
    </row>
    <row r="1890" spans="2:14" x14ac:dyDescent="0.25">
      <c r="B1890" s="64"/>
      <c r="C1890" s="64"/>
      <c r="J1890" s="64"/>
      <c r="K1890" s="504"/>
      <c r="L1890" s="504"/>
      <c r="M1890" s="550"/>
      <c r="N1890" s="550"/>
    </row>
    <row r="1891" spans="2:14" x14ac:dyDescent="0.25">
      <c r="B1891" s="64"/>
      <c r="C1891" s="64"/>
      <c r="J1891" s="64"/>
      <c r="K1891" s="504"/>
      <c r="L1891" s="504"/>
      <c r="M1891" s="550"/>
      <c r="N1891" s="550"/>
    </row>
    <row r="1892" spans="2:14" x14ac:dyDescent="0.25">
      <c r="B1892" s="64"/>
      <c r="C1892" s="64"/>
      <c r="J1892" s="64"/>
      <c r="K1892" s="504"/>
      <c r="L1892" s="504"/>
      <c r="M1892" s="550"/>
      <c r="N1892" s="550"/>
    </row>
    <row r="1893" spans="2:14" x14ac:dyDescent="0.25">
      <c r="B1893" s="64"/>
      <c r="C1893" s="64"/>
      <c r="J1893" s="64"/>
      <c r="K1893" s="504"/>
      <c r="L1893" s="504"/>
      <c r="M1893" s="550"/>
      <c r="N1893" s="550"/>
    </row>
    <row r="1894" spans="2:14" x14ac:dyDescent="0.25">
      <c r="B1894" s="64"/>
      <c r="C1894" s="64"/>
      <c r="J1894" s="64"/>
      <c r="K1894" s="504"/>
      <c r="L1894" s="504"/>
      <c r="M1894" s="550"/>
      <c r="N1894" s="550"/>
    </row>
    <row r="1895" spans="2:14" x14ac:dyDescent="0.25">
      <c r="B1895" s="64"/>
      <c r="C1895" s="64"/>
      <c r="J1895" s="64"/>
      <c r="K1895" s="504"/>
      <c r="L1895" s="504"/>
      <c r="M1895" s="550"/>
      <c r="N1895" s="550"/>
    </row>
    <row r="1896" spans="2:14" x14ac:dyDescent="0.25">
      <c r="B1896" s="64"/>
      <c r="C1896" s="64"/>
      <c r="J1896" s="64"/>
      <c r="K1896" s="504"/>
      <c r="L1896" s="504"/>
      <c r="M1896" s="550"/>
      <c r="N1896" s="550"/>
    </row>
    <row r="1897" spans="2:14" x14ac:dyDescent="0.25">
      <c r="B1897" s="64"/>
      <c r="C1897" s="64"/>
      <c r="J1897" s="64"/>
      <c r="K1897" s="504"/>
      <c r="L1897" s="504"/>
      <c r="M1897" s="550"/>
      <c r="N1897" s="550"/>
    </row>
    <row r="1898" spans="2:14" x14ac:dyDescent="0.25">
      <c r="B1898" s="64"/>
      <c r="C1898" s="64"/>
      <c r="J1898" s="64"/>
      <c r="K1898" s="504"/>
      <c r="L1898" s="504"/>
      <c r="M1898" s="550"/>
      <c r="N1898" s="550"/>
    </row>
    <row r="1899" spans="2:14" x14ac:dyDescent="0.25">
      <c r="B1899" s="64"/>
      <c r="C1899" s="64"/>
      <c r="J1899" s="64"/>
      <c r="K1899" s="504"/>
      <c r="L1899" s="504"/>
      <c r="M1899" s="550"/>
      <c r="N1899" s="550"/>
    </row>
    <row r="1900" spans="2:14" x14ac:dyDescent="0.25">
      <c r="B1900" s="64"/>
      <c r="C1900" s="64"/>
      <c r="J1900" s="64"/>
      <c r="K1900" s="504"/>
      <c r="L1900" s="504"/>
      <c r="M1900" s="550"/>
      <c r="N1900" s="550"/>
    </row>
    <row r="1901" spans="2:14" x14ac:dyDescent="0.25">
      <c r="B1901" s="64"/>
      <c r="C1901" s="64"/>
      <c r="J1901" s="64"/>
      <c r="K1901" s="504"/>
      <c r="L1901" s="504"/>
      <c r="M1901" s="550"/>
      <c r="N1901" s="550"/>
    </row>
    <row r="1902" spans="2:14" x14ac:dyDescent="0.25">
      <c r="B1902" s="64"/>
      <c r="C1902" s="64"/>
      <c r="J1902" s="64"/>
      <c r="K1902" s="504"/>
      <c r="L1902" s="504"/>
      <c r="M1902" s="550"/>
      <c r="N1902" s="550"/>
    </row>
    <row r="1903" spans="2:14" x14ac:dyDescent="0.25">
      <c r="B1903" s="64"/>
      <c r="C1903" s="64"/>
      <c r="J1903" s="64"/>
      <c r="K1903" s="504"/>
      <c r="L1903" s="504"/>
      <c r="M1903" s="550"/>
      <c r="N1903" s="550"/>
    </row>
    <row r="1904" spans="2:14" x14ac:dyDescent="0.25">
      <c r="B1904" s="64"/>
      <c r="C1904" s="64"/>
      <c r="J1904" s="64"/>
      <c r="K1904" s="504"/>
      <c r="L1904" s="504"/>
      <c r="M1904" s="550"/>
      <c r="N1904" s="550"/>
    </row>
    <row r="1905" spans="2:14" x14ac:dyDescent="0.25">
      <c r="B1905" s="64"/>
      <c r="C1905" s="64"/>
      <c r="J1905" s="64"/>
      <c r="K1905" s="504"/>
      <c r="L1905" s="504"/>
      <c r="M1905" s="550"/>
      <c r="N1905" s="550"/>
    </row>
    <row r="1906" spans="2:14" x14ac:dyDescent="0.25">
      <c r="B1906" s="64"/>
      <c r="C1906" s="64"/>
      <c r="J1906" s="64"/>
      <c r="K1906" s="504"/>
      <c r="L1906" s="504"/>
      <c r="M1906" s="550"/>
      <c r="N1906" s="550"/>
    </row>
    <row r="1907" spans="2:14" x14ac:dyDescent="0.25">
      <c r="B1907" s="64"/>
      <c r="C1907" s="64"/>
      <c r="J1907" s="64"/>
      <c r="K1907" s="504"/>
      <c r="L1907" s="504"/>
      <c r="M1907" s="550"/>
      <c r="N1907" s="550"/>
    </row>
    <row r="1908" spans="2:14" x14ac:dyDescent="0.25">
      <c r="B1908" s="64"/>
      <c r="C1908" s="64"/>
      <c r="J1908" s="64"/>
      <c r="K1908" s="504"/>
      <c r="L1908" s="504"/>
      <c r="M1908" s="550"/>
      <c r="N1908" s="550"/>
    </row>
    <row r="1909" spans="2:14" x14ac:dyDescent="0.25">
      <c r="B1909" s="64"/>
      <c r="C1909" s="64"/>
    </row>
    <row r="1910" spans="2:14" x14ac:dyDescent="0.25">
      <c r="B1910" s="64"/>
      <c r="C1910" s="64"/>
    </row>
    <row r="1911" spans="2:14" x14ac:dyDescent="0.25">
      <c r="B1911" s="64"/>
      <c r="C1911" s="64"/>
    </row>
    <row r="1912" spans="2:14" x14ac:dyDescent="0.25">
      <c r="B1912" s="64"/>
      <c r="C1912" s="64"/>
    </row>
    <row r="1913" spans="2:14" x14ac:dyDescent="0.25">
      <c r="B1913" s="64"/>
      <c r="C1913" s="64"/>
    </row>
    <row r="1914" spans="2:14" x14ac:dyDescent="0.25">
      <c r="B1914" s="64"/>
      <c r="C1914" s="64"/>
    </row>
    <row r="1915" spans="2:14" x14ac:dyDescent="0.25">
      <c r="B1915" s="64"/>
      <c r="C1915" s="64"/>
    </row>
    <row r="1916" spans="2:14" x14ac:dyDescent="0.25">
      <c r="B1916" s="64"/>
      <c r="C1916" s="64"/>
    </row>
    <row r="1917" spans="2:14" x14ac:dyDescent="0.25">
      <c r="B1917" s="64"/>
      <c r="C1917" s="64"/>
    </row>
    <row r="1918" spans="2:14" x14ac:dyDescent="0.25">
      <c r="B1918" s="64"/>
      <c r="C1918" s="64"/>
    </row>
    <row r="1919" spans="2:14" x14ac:dyDescent="0.25">
      <c r="B1919" s="64"/>
      <c r="C1919" s="64"/>
    </row>
    <row r="1920" spans="2:14" x14ac:dyDescent="0.25">
      <c r="B1920" s="64"/>
      <c r="C1920" s="64"/>
    </row>
    <row r="1921" spans="2:3" x14ac:dyDescent="0.25">
      <c r="B1921" s="64"/>
      <c r="C1921" s="64"/>
    </row>
    <row r="1922" spans="2:3" x14ac:dyDescent="0.25">
      <c r="B1922" s="64"/>
      <c r="C1922" s="64"/>
    </row>
    <row r="1923" spans="2:3" x14ac:dyDescent="0.25">
      <c r="B1923" s="64"/>
      <c r="C1923" s="64"/>
    </row>
    <row r="1924" spans="2:3" x14ac:dyDescent="0.25">
      <c r="B1924" s="64"/>
      <c r="C1924" s="64"/>
    </row>
    <row r="1925" spans="2:3" x14ac:dyDescent="0.25">
      <c r="B1925" s="64"/>
      <c r="C1925" s="64"/>
    </row>
    <row r="1926" spans="2:3" x14ac:dyDescent="0.25">
      <c r="B1926" s="64"/>
      <c r="C1926" s="64"/>
    </row>
    <row r="1927" spans="2:3" x14ac:dyDescent="0.25">
      <c r="B1927" s="64"/>
      <c r="C1927" s="64"/>
    </row>
    <row r="1928" spans="2:3" x14ac:dyDescent="0.25">
      <c r="B1928" s="64"/>
      <c r="C1928" s="64"/>
    </row>
    <row r="1929" spans="2:3" x14ac:dyDescent="0.25">
      <c r="B1929" s="64"/>
      <c r="C1929" s="64"/>
    </row>
    <row r="1930" spans="2:3" x14ac:dyDescent="0.25">
      <c r="B1930" s="64"/>
      <c r="C1930" s="64"/>
    </row>
    <row r="1931" spans="2:3" x14ac:dyDescent="0.25">
      <c r="B1931" s="64"/>
      <c r="C1931" s="64"/>
    </row>
    <row r="1932" spans="2:3" x14ac:dyDescent="0.25">
      <c r="B1932" s="64"/>
      <c r="C1932" s="64"/>
    </row>
    <row r="1933" spans="2:3" x14ac:dyDescent="0.25">
      <c r="B1933" s="64"/>
      <c r="C1933" s="64"/>
    </row>
    <row r="1934" spans="2:3" x14ac:dyDescent="0.25">
      <c r="B1934" s="64"/>
      <c r="C1934" s="64"/>
    </row>
    <row r="1935" spans="2:3" x14ac:dyDescent="0.25">
      <c r="B1935" s="64"/>
      <c r="C1935" s="64"/>
    </row>
    <row r="1936" spans="2:3" x14ac:dyDescent="0.25">
      <c r="B1936" s="64"/>
      <c r="C1936" s="64"/>
    </row>
    <row r="1937" spans="2:3" x14ac:dyDescent="0.25">
      <c r="B1937" s="64"/>
      <c r="C1937" s="64"/>
    </row>
    <row r="1938" spans="2:3" x14ac:dyDescent="0.25">
      <c r="B1938" s="64"/>
      <c r="C1938" s="64"/>
    </row>
    <row r="1939" spans="2:3" x14ac:dyDescent="0.25">
      <c r="B1939" s="64"/>
      <c r="C1939" s="64"/>
    </row>
    <row r="1940" spans="2:3" x14ac:dyDescent="0.25">
      <c r="B1940" s="64"/>
      <c r="C1940" s="64"/>
    </row>
    <row r="1941" spans="2:3" x14ac:dyDescent="0.25">
      <c r="B1941" s="64"/>
      <c r="C1941" s="64"/>
    </row>
    <row r="1942" spans="2:3" x14ac:dyDescent="0.25">
      <c r="B1942" s="64"/>
      <c r="C1942" s="64"/>
    </row>
    <row r="1943" spans="2:3" x14ac:dyDescent="0.25">
      <c r="B1943" s="64"/>
      <c r="C1943" s="64"/>
    </row>
    <row r="1944" spans="2:3" x14ac:dyDescent="0.25">
      <c r="B1944" s="64"/>
      <c r="C1944" s="64"/>
    </row>
    <row r="1945" spans="2:3" x14ac:dyDescent="0.25">
      <c r="B1945" s="64"/>
      <c r="C1945" s="64"/>
    </row>
    <row r="1946" spans="2:3" x14ac:dyDescent="0.25">
      <c r="B1946" s="64"/>
      <c r="C1946" s="64"/>
    </row>
    <row r="1947" spans="2:3" x14ac:dyDescent="0.25">
      <c r="B1947" s="64"/>
      <c r="C1947" s="64"/>
    </row>
    <row r="1948" spans="2:3" x14ac:dyDescent="0.25">
      <c r="B1948" s="64"/>
      <c r="C1948" s="64"/>
    </row>
    <row r="1949" spans="2:3" x14ac:dyDescent="0.25">
      <c r="B1949" s="64"/>
      <c r="C1949" s="64"/>
    </row>
    <row r="1950" spans="2:3" x14ac:dyDescent="0.25">
      <c r="B1950" s="64"/>
      <c r="C1950" s="64"/>
    </row>
    <row r="1951" spans="2:3" x14ac:dyDescent="0.25">
      <c r="B1951" s="64"/>
      <c r="C1951" s="64"/>
    </row>
    <row r="1952" spans="2:3" x14ac:dyDescent="0.25">
      <c r="B1952" s="64"/>
      <c r="C1952" s="64"/>
    </row>
    <row r="1953" spans="2:3" x14ac:dyDescent="0.25">
      <c r="B1953" s="64"/>
      <c r="C1953" s="64"/>
    </row>
    <row r="1954" spans="2:3" x14ac:dyDescent="0.25">
      <c r="B1954" s="64"/>
      <c r="C1954" s="64"/>
    </row>
    <row r="1955" spans="2:3" x14ac:dyDescent="0.25">
      <c r="B1955" s="64"/>
      <c r="C1955" s="64"/>
    </row>
    <row r="1956" spans="2:3" x14ac:dyDescent="0.25">
      <c r="B1956" s="64"/>
      <c r="C1956" s="64"/>
    </row>
    <row r="1957" spans="2:3" x14ac:dyDescent="0.25">
      <c r="B1957" s="64"/>
      <c r="C1957" s="64"/>
    </row>
    <row r="1958" spans="2:3" x14ac:dyDescent="0.25">
      <c r="B1958" s="64"/>
      <c r="C1958" s="64"/>
    </row>
    <row r="1959" spans="2:3" x14ac:dyDescent="0.25">
      <c r="B1959" s="64"/>
      <c r="C1959" s="64"/>
    </row>
    <row r="1960" spans="2:3" x14ac:dyDescent="0.25">
      <c r="B1960" s="64"/>
      <c r="C1960" s="64"/>
    </row>
    <row r="1961" spans="2:3" x14ac:dyDescent="0.25">
      <c r="B1961" s="64"/>
      <c r="C1961" s="64"/>
    </row>
    <row r="1962" spans="2:3" x14ac:dyDescent="0.25">
      <c r="B1962" s="64"/>
      <c r="C1962" s="64"/>
    </row>
    <row r="1963" spans="2:3" x14ac:dyDescent="0.25">
      <c r="B1963" s="64"/>
      <c r="C1963" s="64"/>
    </row>
    <row r="1964" spans="2:3" x14ac:dyDescent="0.25">
      <c r="B1964" s="64"/>
      <c r="C1964" s="64"/>
    </row>
    <row r="1965" spans="2:3" x14ac:dyDescent="0.25">
      <c r="B1965" s="64"/>
      <c r="C1965" s="64"/>
    </row>
    <row r="1966" spans="2:3" x14ac:dyDescent="0.25">
      <c r="B1966" s="64"/>
      <c r="C1966" s="64"/>
    </row>
    <row r="1967" spans="2:3" x14ac:dyDescent="0.25">
      <c r="B1967" s="64"/>
      <c r="C1967" s="64"/>
    </row>
    <row r="1968" spans="2:3" x14ac:dyDescent="0.25">
      <c r="B1968" s="64"/>
      <c r="C1968" s="64"/>
    </row>
    <row r="1969" spans="2:3" x14ac:dyDescent="0.25">
      <c r="B1969" s="64"/>
      <c r="C1969" s="64"/>
    </row>
    <row r="1970" spans="2:3" x14ac:dyDescent="0.25">
      <c r="B1970" s="64"/>
      <c r="C1970" s="64"/>
    </row>
    <row r="1971" spans="2:3" x14ac:dyDescent="0.25">
      <c r="B1971" s="64"/>
      <c r="C1971" s="64"/>
    </row>
    <row r="1972" spans="2:3" x14ac:dyDescent="0.25">
      <c r="B1972" s="64"/>
      <c r="C1972" s="64"/>
    </row>
    <row r="1973" spans="2:3" x14ac:dyDescent="0.25">
      <c r="B1973" s="64"/>
      <c r="C1973" s="64"/>
    </row>
    <row r="1974" spans="2:3" x14ac:dyDescent="0.25">
      <c r="B1974" s="64"/>
      <c r="C1974" s="64"/>
    </row>
    <row r="1975" spans="2:3" x14ac:dyDescent="0.25">
      <c r="B1975" s="64"/>
      <c r="C1975" s="64"/>
    </row>
    <row r="1976" spans="2:3" x14ac:dyDescent="0.25">
      <c r="B1976" s="64"/>
      <c r="C1976" s="64"/>
    </row>
    <row r="1977" spans="2:3" x14ac:dyDescent="0.25">
      <c r="B1977" s="64"/>
      <c r="C1977" s="64"/>
    </row>
    <row r="1978" spans="2:3" x14ac:dyDescent="0.25">
      <c r="B1978" s="64"/>
      <c r="C1978" s="64"/>
    </row>
    <row r="1979" spans="2:3" x14ac:dyDescent="0.25">
      <c r="B1979" s="64"/>
      <c r="C1979" s="64"/>
    </row>
    <row r="1980" spans="2:3" x14ac:dyDescent="0.25">
      <c r="B1980" s="64"/>
      <c r="C1980" s="64"/>
    </row>
    <row r="1981" spans="2:3" x14ac:dyDescent="0.25">
      <c r="B1981" s="64"/>
      <c r="C1981" s="64"/>
    </row>
    <row r="1982" spans="2:3" x14ac:dyDescent="0.25">
      <c r="B1982" s="64"/>
      <c r="C1982" s="64"/>
    </row>
    <row r="1983" spans="2:3" x14ac:dyDescent="0.25">
      <c r="B1983" s="64"/>
      <c r="C1983" s="64"/>
    </row>
    <row r="1984" spans="2:3" x14ac:dyDescent="0.25">
      <c r="B1984" s="64"/>
      <c r="C1984" s="64"/>
    </row>
    <row r="1985" spans="2:3" x14ac:dyDescent="0.25">
      <c r="B1985" s="64"/>
      <c r="C1985" s="64"/>
    </row>
    <row r="1986" spans="2:3" x14ac:dyDescent="0.25">
      <c r="B1986" s="64"/>
      <c r="C1986" s="64"/>
    </row>
    <row r="1987" spans="2:3" x14ac:dyDescent="0.25">
      <c r="B1987" s="64"/>
      <c r="C1987" s="64"/>
    </row>
    <row r="1988" spans="2:3" x14ac:dyDescent="0.25">
      <c r="B1988" s="64"/>
      <c r="C1988" s="64"/>
    </row>
    <row r="1989" spans="2:3" x14ac:dyDescent="0.25">
      <c r="B1989" s="64"/>
      <c r="C1989" s="64"/>
    </row>
    <row r="1990" spans="2:3" x14ac:dyDescent="0.25">
      <c r="B1990" s="64"/>
      <c r="C1990" s="64"/>
    </row>
    <row r="1991" spans="2:3" x14ac:dyDescent="0.25">
      <c r="B1991" s="64"/>
      <c r="C1991" s="64"/>
    </row>
    <row r="1992" spans="2:3" x14ac:dyDescent="0.25">
      <c r="B1992" s="64"/>
      <c r="C1992" s="64"/>
    </row>
    <row r="1993" spans="2:3" x14ac:dyDescent="0.25">
      <c r="B1993" s="64"/>
      <c r="C1993" s="64"/>
    </row>
    <row r="1994" spans="2:3" x14ac:dyDescent="0.25">
      <c r="B1994" s="64"/>
      <c r="C1994" s="64"/>
    </row>
    <row r="1995" spans="2:3" x14ac:dyDescent="0.25">
      <c r="B1995" s="64"/>
      <c r="C1995" s="64"/>
    </row>
    <row r="1996" spans="2:3" x14ac:dyDescent="0.25">
      <c r="B1996" s="64"/>
      <c r="C1996" s="64"/>
    </row>
    <row r="1997" spans="2:3" x14ac:dyDescent="0.25">
      <c r="B1997" s="64"/>
      <c r="C1997" s="64"/>
    </row>
    <row r="1998" spans="2:3" x14ac:dyDescent="0.25">
      <c r="B1998" s="64"/>
      <c r="C1998" s="64"/>
    </row>
    <row r="1999" spans="2:3" x14ac:dyDescent="0.25">
      <c r="B1999" s="64"/>
      <c r="C1999" s="64"/>
    </row>
    <row r="2000" spans="2:3" x14ac:dyDescent="0.25">
      <c r="B2000" s="64"/>
      <c r="C2000" s="64"/>
    </row>
    <row r="2001" spans="2:3" x14ac:dyDescent="0.25">
      <c r="B2001" s="64"/>
      <c r="C2001" s="64"/>
    </row>
    <row r="2002" spans="2:3" x14ac:dyDescent="0.25">
      <c r="B2002" s="64"/>
      <c r="C2002" s="64"/>
    </row>
    <row r="2003" spans="2:3" x14ac:dyDescent="0.25">
      <c r="B2003" s="64"/>
      <c r="C2003" s="64"/>
    </row>
    <row r="2004" spans="2:3" x14ac:dyDescent="0.25">
      <c r="B2004" s="64"/>
      <c r="C2004" s="64"/>
    </row>
    <row r="2005" spans="2:3" x14ac:dyDescent="0.25">
      <c r="B2005" s="64"/>
      <c r="C2005" s="64"/>
    </row>
    <row r="2006" spans="2:3" x14ac:dyDescent="0.25">
      <c r="B2006" s="64"/>
      <c r="C2006" s="64"/>
    </row>
    <row r="2007" spans="2:3" x14ac:dyDescent="0.25">
      <c r="B2007" s="64"/>
      <c r="C2007" s="64"/>
    </row>
    <row r="2008" spans="2:3" x14ac:dyDescent="0.25">
      <c r="B2008" s="64"/>
      <c r="C2008" s="64"/>
    </row>
    <row r="2009" spans="2:3" x14ac:dyDescent="0.25">
      <c r="B2009" s="64"/>
      <c r="C2009" s="64"/>
    </row>
    <row r="2010" spans="2:3" x14ac:dyDescent="0.25">
      <c r="B2010" s="64"/>
      <c r="C2010" s="64"/>
    </row>
    <row r="2011" spans="2:3" x14ac:dyDescent="0.25">
      <c r="B2011" s="64"/>
      <c r="C2011" s="64"/>
    </row>
    <row r="2012" spans="2:3" x14ac:dyDescent="0.25">
      <c r="B2012" s="64"/>
      <c r="C2012" s="64"/>
    </row>
    <row r="2013" spans="2:3" x14ac:dyDescent="0.25">
      <c r="B2013" s="64"/>
      <c r="C2013" s="64"/>
    </row>
    <row r="2014" spans="2:3" x14ac:dyDescent="0.25">
      <c r="B2014" s="64"/>
      <c r="C2014" s="64"/>
    </row>
    <row r="2015" spans="2:3" x14ac:dyDescent="0.25">
      <c r="B2015" s="64"/>
      <c r="C2015" s="64"/>
    </row>
    <row r="2016" spans="2:3" x14ac:dyDescent="0.25">
      <c r="B2016" s="64"/>
      <c r="C2016" s="64"/>
    </row>
    <row r="2017" spans="2:3" x14ac:dyDescent="0.25">
      <c r="B2017" s="64"/>
      <c r="C2017" s="64"/>
    </row>
    <row r="2018" spans="2:3" x14ac:dyDescent="0.25">
      <c r="B2018" s="64"/>
      <c r="C2018" s="64"/>
    </row>
    <row r="2019" spans="2:3" x14ac:dyDescent="0.25">
      <c r="B2019" s="64"/>
      <c r="C2019" s="64"/>
    </row>
    <row r="2020" spans="2:3" x14ac:dyDescent="0.25">
      <c r="B2020" s="64"/>
      <c r="C2020" s="64"/>
    </row>
    <row r="2021" spans="2:3" x14ac:dyDescent="0.25">
      <c r="B2021" s="64"/>
      <c r="C2021" s="64"/>
    </row>
    <row r="2022" spans="2:3" x14ac:dyDescent="0.25">
      <c r="B2022" s="64"/>
      <c r="C2022" s="64"/>
    </row>
    <row r="2023" spans="2:3" x14ac:dyDescent="0.25">
      <c r="B2023" s="64"/>
      <c r="C2023" s="64"/>
    </row>
    <row r="2024" spans="2:3" x14ac:dyDescent="0.25">
      <c r="B2024" s="64"/>
      <c r="C2024" s="64"/>
    </row>
    <row r="2025" spans="2:3" x14ac:dyDescent="0.25">
      <c r="B2025" s="64"/>
      <c r="C2025" s="64"/>
    </row>
    <row r="2026" spans="2:3" x14ac:dyDescent="0.25">
      <c r="B2026" s="64"/>
      <c r="C2026" s="64"/>
    </row>
    <row r="2027" spans="2:3" x14ac:dyDescent="0.25">
      <c r="B2027" s="64"/>
      <c r="C2027" s="64"/>
    </row>
    <row r="2028" spans="2:3" x14ac:dyDescent="0.25">
      <c r="B2028" s="64"/>
      <c r="C2028" s="64"/>
    </row>
    <row r="2029" spans="2:3" x14ac:dyDescent="0.25">
      <c r="B2029" s="64"/>
      <c r="C2029" s="64"/>
    </row>
    <row r="2030" spans="2:3" x14ac:dyDescent="0.25">
      <c r="B2030" s="64"/>
      <c r="C2030" s="64"/>
    </row>
    <row r="2031" spans="2:3" x14ac:dyDescent="0.25">
      <c r="B2031" s="64"/>
      <c r="C2031" s="64"/>
    </row>
    <row r="2032" spans="2:3" x14ac:dyDescent="0.25">
      <c r="B2032" s="64"/>
      <c r="C2032" s="64"/>
    </row>
    <row r="2033" spans="2:3" x14ac:dyDescent="0.25">
      <c r="B2033" s="64"/>
      <c r="C2033" s="64"/>
    </row>
    <row r="2034" spans="2:3" x14ac:dyDescent="0.25">
      <c r="B2034" s="64"/>
      <c r="C2034" s="64"/>
    </row>
    <row r="2035" spans="2:3" x14ac:dyDescent="0.25">
      <c r="B2035" s="64"/>
      <c r="C2035" s="64"/>
    </row>
    <row r="2036" spans="2:3" x14ac:dyDescent="0.25">
      <c r="B2036" s="64"/>
      <c r="C2036" s="64"/>
    </row>
    <row r="2037" spans="2:3" x14ac:dyDescent="0.25">
      <c r="B2037" s="64"/>
      <c r="C2037" s="64"/>
    </row>
    <row r="2038" spans="2:3" x14ac:dyDescent="0.25">
      <c r="B2038" s="64"/>
      <c r="C2038" s="64"/>
    </row>
    <row r="2039" spans="2:3" x14ac:dyDescent="0.25">
      <c r="B2039" s="64"/>
      <c r="C2039" s="64"/>
    </row>
    <row r="2040" spans="2:3" x14ac:dyDescent="0.25">
      <c r="B2040" s="64"/>
      <c r="C2040" s="64"/>
    </row>
    <row r="2041" spans="2:3" x14ac:dyDescent="0.25">
      <c r="B2041" s="64"/>
      <c r="C2041" s="64"/>
    </row>
    <row r="2042" spans="2:3" x14ac:dyDescent="0.25">
      <c r="B2042" s="64"/>
      <c r="C2042" s="64"/>
    </row>
    <row r="2043" spans="2:3" x14ac:dyDescent="0.25">
      <c r="B2043" s="64"/>
      <c r="C2043" s="64"/>
    </row>
    <row r="2044" spans="2:3" x14ac:dyDescent="0.25">
      <c r="B2044" s="64"/>
      <c r="C2044" s="64"/>
    </row>
    <row r="2045" spans="2:3" x14ac:dyDescent="0.25">
      <c r="B2045" s="64"/>
      <c r="C2045" s="64"/>
    </row>
    <row r="2046" spans="2:3" x14ac:dyDescent="0.25">
      <c r="B2046" s="64"/>
      <c r="C2046" s="64"/>
    </row>
    <row r="2047" spans="2:3" x14ac:dyDescent="0.25">
      <c r="B2047" s="64"/>
      <c r="C2047" s="64"/>
    </row>
    <row r="2048" spans="2:3" x14ac:dyDescent="0.25">
      <c r="B2048" s="64"/>
      <c r="C2048" s="64"/>
    </row>
    <row r="2049" spans="2:3" x14ac:dyDescent="0.25">
      <c r="B2049" s="64"/>
      <c r="C2049" s="64"/>
    </row>
    <row r="2050" spans="2:3" x14ac:dyDescent="0.25">
      <c r="B2050" s="64"/>
      <c r="C2050" s="64"/>
    </row>
    <row r="2051" spans="2:3" x14ac:dyDescent="0.25">
      <c r="B2051" s="64"/>
      <c r="C2051" s="64"/>
    </row>
    <row r="2052" spans="2:3" x14ac:dyDescent="0.25">
      <c r="B2052" s="64"/>
      <c r="C2052" s="64"/>
    </row>
    <row r="2053" spans="2:3" x14ac:dyDescent="0.25">
      <c r="B2053" s="64"/>
      <c r="C2053" s="64"/>
    </row>
    <row r="2054" spans="2:3" x14ac:dyDescent="0.25">
      <c r="B2054" s="64"/>
      <c r="C2054" s="64"/>
    </row>
    <row r="2055" spans="2:3" x14ac:dyDescent="0.25">
      <c r="B2055" s="64"/>
      <c r="C2055" s="64"/>
    </row>
    <row r="2056" spans="2:3" x14ac:dyDescent="0.25">
      <c r="B2056" s="64"/>
      <c r="C2056" s="64"/>
    </row>
    <row r="2057" spans="2:3" x14ac:dyDescent="0.25">
      <c r="B2057" s="64"/>
      <c r="C2057" s="64"/>
    </row>
    <row r="2058" spans="2:3" x14ac:dyDescent="0.25">
      <c r="B2058" s="64"/>
      <c r="C2058" s="64"/>
    </row>
    <row r="2059" spans="2:3" x14ac:dyDescent="0.25">
      <c r="B2059" s="64"/>
      <c r="C2059" s="64"/>
    </row>
    <row r="2060" spans="2:3" x14ac:dyDescent="0.25">
      <c r="B2060" s="64"/>
      <c r="C2060" s="64"/>
    </row>
    <row r="2061" spans="2:3" x14ac:dyDescent="0.25">
      <c r="B2061" s="64"/>
      <c r="C2061" s="64"/>
    </row>
    <row r="2062" spans="2:3" x14ac:dyDescent="0.25">
      <c r="B2062" s="64"/>
      <c r="C2062" s="64"/>
    </row>
    <row r="2063" spans="2:3" x14ac:dyDescent="0.25">
      <c r="B2063" s="64"/>
      <c r="C2063" s="64"/>
    </row>
    <row r="2064" spans="2:3" x14ac:dyDescent="0.25">
      <c r="B2064" s="64"/>
      <c r="C2064" s="64"/>
    </row>
    <row r="2065" spans="2:3" x14ac:dyDescent="0.25">
      <c r="B2065" s="64"/>
      <c r="C2065" s="64"/>
    </row>
    <row r="2066" spans="2:3" x14ac:dyDescent="0.25">
      <c r="B2066" s="64"/>
      <c r="C2066" s="64"/>
    </row>
    <row r="2067" spans="2:3" x14ac:dyDescent="0.25">
      <c r="B2067" s="64"/>
      <c r="C2067" s="64"/>
    </row>
    <row r="2068" spans="2:3" x14ac:dyDescent="0.25">
      <c r="B2068" s="64"/>
      <c r="C2068" s="64"/>
    </row>
    <row r="2069" spans="2:3" x14ac:dyDescent="0.25">
      <c r="B2069" s="64"/>
      <c r="C2069" s="64"/>
    </row>
    <row r="2070" spans="2:3" x14ac:dyDescent="0.25">
      <c r="B2070" s="64"/>
      <c r="C2070" s="64"/>
    </row>
    <row r="2071" spans="2:3" x14ac:dyDescent="0.25">
      <c r="B2071" s="64"/>
      <c r="C2071" s="64"/>
    </row>
    <row r="2072" spans="2:3" x14ac:dyDescent="0.25">
      <c r="B2072" s="64"/>
      <c r="C2072" s="64"/>
    </row>
    <row r="2073" spans="2:3" x14ac:dyDescent="0.25">
      <c r="B2073" s="64"/>
      <c r="C2073" s="64"/>
    </row>
    <row r="2074" spans="2:3" x14ac:dyDescent="0.25">
      <c r="B2074" s="64"/>
      <c r="C2074" s="64"/>
    </row>
    <row r="2075" spans="2:3" x14ac:dyDescent="0.25">
      <c r="B2075" s="64"/>
      <c r="C2075" s="64"/>
    </row>
    <row r="2076" spans="2:3" x14ac:dyDescent="0.25">
      <c r="B2076" s="64"/>
      <c r="C2076" s="64"/>
    </row>
    <row r="2077" spans="2:3" x14ac:dyDescent="0.25">
      <c r="B2077" s="64"/>
      <c r="C2077" s="64"/>
    </row>
    <row r="2078" spans="2:3" x14ac:dyDescent="0.25">
      <c r="B2078" s="64"/>
      <c r="C2078" s="64"/>
    </row>
    <row r="2079" spans="2:3" x14ac:dyDescent="0.25">
      <c r="B2079" s="64"/>
      <c r="C2079" s="64"/>
    </row>
    <row r="2080" spans="2:3" x14ac:dyDescent="0.25">
      <c r="B2080" s="64"/>
      <c r="C2080" s="64"/>
    </row>
    <row r="2081" spans="2:3" x14ac:dyDescent="0.25">
      <c r="B2081" s="64"/>
      <c r="C2081" s="64"/>
    </row>
    <row r="2082" spans="2:3" x14ac:dyDescent="0.25">
      <c r="B2082" s="64"/>
      <c r="C2082" s="64"/>
    </row>
    <row r="2083" spans="2:3" x14ac:dyDescent="0.25">
      <c r="B2083" s="64"/>
      <c r="C2083" s="64"/>
    </row>
    <row r="2084" spans="2:3" x14ac:dyDescent="0.25">
      <c r="B2084" s="64"/>
      <c r="C2084" s="64"/>
    </row>
    <row r="2085" spans="2:3" x14ac:dyDescent="0.25">
      <c r="B2085" s="64"/>
      <c r="C2085" s="64"/>
    </row>
    <row r="2086" spans="2:3" x14ac:dyDescent="0.25">
      <c r="B2086" s="64"/>
      <c r="C2086" s="64"/>
    </row>
    <row r="2087" spans="2:3" x14ac:dyDescent="0.25">
      <c r="B2087" s="64"/>
      <c r="C2087" s="64"/>
    </row>
    <row r="2088" spans="2:3" x14ac:dyDescent="0.25">
      <c r="B2088" s="64"/>
      <c r="C2088" s="64"/>
    </row>
    <row r="2089" spans="2:3" x14ac:dyDescent="0.25">
      <c r="B2089" s="64"/>
      <c r="C2089" s="64"/>
    </row>
    <row r="2090" spans="2:3" x14ac:dyDescent="0.25">
      <c r="B2090" s="64"/>
      <c r="C2090" s="64"/>
    </row>
    <row r="2091" spans="2:3" x14ac:dyDescent="0.25">
      <c r="B2091" s="64"/>
      <c r="C2091" s="64"/>
    </row>
    <row r="2092" spans="2:3" x14ac:dyDescent="0.25">
      <c r="B2092" s="64"/>
      <c r="C2092" s="64"/>
    </row>
    <row r="2093" spans="2:3" x14ac:dyDescent="0.25">
      <c r="B2093" s="64"/>
      <c r="C2093" s="64"/>
    </row>
    <row r="2094" spans="2:3" x14ac:dyDescent="0.25">
      <c r="B2094" s="64"/>
      <c r="C2094" s="64"/>
    </row>
    <row r="2095" spans="2:3" x14ac:dyDescent="0.25">
      <c r="B2095" s="64"/>
      <c r="C2095" s="64"/>
    </row>
    <row r="2096" spans="2:3" x14ac:dyDescent="0.25">
      <c r="B2096" s="64"/>
      <c r="C2096" s="64"/>
    </row>
    <row r="2097" spans="2:3" x14ac:dyDescent="0.25">
      <c r="B2097" s="64"/>
      <c r="C2097" s="64"/>
    </row>
    <row r="2098" spans="2:3" x14ac:dyDescent="0.25">
      <c r="B2098" s="64"/>
      <c r="C2098" s="64"/>
    </row>
    <row r="2099" spans="2:3" x14ac:dyDescent="0.25">
      <c r="B2099" s="64"/>
      <c r="C2099" s="64"/>
    </row>
    <row r="2100" spans="2:3" x14ac:dyDescent="0.25">
      <c r="B2100" s="64"/>
      <c r="C2100" s="64"/>
    </row>
    <row r="2101" spans="2:3" x14ac:dyDescent="0.25">
      <c r="B2101" s="64"/>
      <c r="C2101" s="64"/>
    </row>
    <row r="2102" spans="2:3" x14ac:dyDescent="0.25">
      <c r="B2102" s="64"/>
      <c r="C2102" s="64"/>
    </row>
    <row r="2103" spans="2:3" x14ac:dyDescent="0.25">
      <c r="B2103" s="64"/>
      <c r="C2103" s="64"/>
    </row>
    <row r="2104" spans="2:3" x14ac:dyDescent="0.25">
      <c r="B2104" s="64"/>
      <c r="C2104" s="64"/>
    </row>
    <row r="2105" spans="2:3" x14ac:dyDescent="0.25">
      <c r="B2105" s="64"/>
      <c r="C2105" s="64"/>
    </row>
    <row r="2106" spans="2:3" x14ac:dyDescent="0.25">
      <c r="B2106" s="64"/>
      <c r="C2106" s="64"/>
    </row>
    <row r="2107" spans="2:3" x14ac:dyDescent="0.25">
      <c r="B2107" s="64"/>
      <c r="C2107" s="64"/>
    </row>
    <row r="2108" spans="2:3" x14ac:dyDescent="0.25">
      <c r="B2108" s="64"/>
      <c r="C2108" s="64"/>
    </row>
    <row r="2109" spans="2:3" x14ac:dyDescent="0.25">
      <c r="B2109" s="64"/>
      <c r="C2109" s="64"/>
    </row>
    <row r="2110" spans="2:3" x14ac:dyDescent="0.25">
      <c r="B2110" s="64"/>
      <c r="C2110" s="64"/>
    </row>
    <row r="2111" spans="2:3" x14ac:dyDescent="0.25">
      <c r="B2111" s="64"/>
      <c r="C2111" s="64"/>
    </row>
    <row r="2112" spans="2:3" x14ac:dyDescent="0.25">
      <c r="B2112" s="64"/>
      <c r="C2112" s="64"/>
    </row>
    <row r="2113" spans="2:3" x14ac:dyDescent="0.25">
      <c r="B2113" s="64"/>
      <c r="C2113" s="64"/>
    </row>
    <row r="2114" spans="2:3" x14ac:dyDescent="0.25">
      <c r="B2114" s="64"/>
      <c r="C2114" s="64"/>
    </row>
    <row r="2115" spans="2:3" x14ac:dyDescent="0.25">
      <c r="B2115" s="64"/>
      <c r="C2115" s="64"/>
    </row>
    <row r="2116" spans="2:3" x14ac:dyDescent="0.25">
      <c r="B2116" s="64"/>
      <c r="C2116" s="64"/>
    </row>
    <row r="2117" spans="2:3" x14ac:dyDescent="0.25">
      <c r="B2117" s="64"/>
      <c r="C2117" s="64"/>
    </row>
    <row r="2118" spans="2:3" x14ac:dyDescent="0.25">
      <c r="B2118" s="64"/>
      <c r="C2118" s="64"/>
    </row>
    <row r="2119" spans="2:3" x14ac:dyDescent="0.25">
      <c r="B2119" s="64"/>
      <c r="C2119" s="64"/>
    </row>
    <row r="2120" spans="2:3" x14ac:dyDescent="0.25">
      <c r="B2120" s="64"/>
      <c r="C2120" s="64"/>
    </row>
    <row r="2121" spans="2:3" x14ac:dyDescent="0.25">
      <c r="B2121" s="64"/>
      <c r="C2121" s="64"/>
    </row>
    <row r="2122" spans="2:3" x14ac:dyDescent="0.25">
      <c r="B2122" s="64"/>
      <c r="C2122" s="64"/>
    </row>
    <row r="2123" spans="2:3" x14ac:dyDescent="0.25">
      <c r="B2123" s="64"/>
      <c r="C2123" s="64"/>
    </row>
    <row r="2124" spans="2:3" x14ac:dyDescent="0.25">
      <c r="B2124" s="64"/>
      <c r="C2124" s="64"/>
    </row>
    <row r="2125" spans="2:3" x14ac:dyDescent="0.25">
      <c r="B2125" s="64"/>
      <c r="C2125" s="64"/>
    </row>
    <row r="2126" spans="2:3" x14ac:dyDescent="0.25">
      <c r="B2126" s="64"/>
      <c r="C2126" s="64"/>
    </row>
    <row r="2127" spans="2:3" x14ac:dyDescent="0.25">
      <c r="B2127" s="64"/>
      <c r="C2127" s="64"/>
    </row>
    <row r="2128" spans="2:3" x14ac:dyDescent="0.25">
      <c r="B2128" s="64"/>
      <c r="C2128" s="64"/>
    </row>
    <row r="2129" spans="2:3" x14ac:dyDescent="0.25">
      <c r="B2129" s="64"/>
      <c r="C2129" s="64"/>
    </row>
    <row r="2130" spans="2:3" x14ac:dyDescent="0.25">
      <c r="B2130" s="64"/>
      <c r="C2130" s="64"/>
    </row>
    <row r="2131" spans="2:3" x14ac:dyDescent="0.25">
      <c r="B2131" s="64"/>
      <c r="C2131" s="64"/>
    </row>
    <row r="2132" spans="2:3" x14ac:dyDescent="0.25">
      <c r="B2132" s="64"/>
      <c r="C2132" s="64"/>
    </row>
    <row r="2133" spans="2:3" x14ac:dyDescent="0.25">
      <c r="B2133" s="64"/>
      <c r="C2133" s="64"/>
    </row>
    <row r="2134" spans="2:3" x14ac:dyDescent="0.25">
      <c r="B2134" s="64"/>
      <c r="C2134" s="64"/>
    </row>
    <row r="2135" spans="2:3" x14ac:dyDescent="0.25">
      <c r="B2135" s="64"/>
      <c r="C2135" s="64"/>
    </row>
    <row r="2136" spans="2:3" x14ac:dyDescent="0.25">
      <c r="B2136" s="64"/>
      <c r="C2136" s="64"/>
    </row>
    <row r="2137" spans="2:3" x14ac:dyDescent="0.25">
      <c r="B2137" s="64"/>
      <c r="C2137" s="64"/>
    </row>
    <row r="2138" spans="2:3" x14ac:dyDescent="0.25">
      <c r="B2138" s="64"/>
      <c r="C2138" s="64"/>
    </row>
    <row r="2139" spans="2:3" x14ac:dyDescent="0.25">
      <c r="B2139" s="64"/>
      <c r="C2139" s="64"/>
    </row>
    <row r="2140" spans="2:3" x14ac:dyDescent="0.25">
      <c r="B2140" s="64"/>
      <c r="C2140" s="64"/>
    </row>
    <row r="2141" spans="2:3" x14ac:dyDescent="0.25">
      <c r="B2141" s="64"/>
      <c r="C2141" s="64"/>
    </row>
    <row r="2142" spans="2:3" x14ac:dyDescent="0.25">
      <c r="B2142" s="64"/>
      <c r="C2142" s="64"/>
    </row>
    <row r="2143" spans="2:3" x14ac:dyDescent="0.25">
      <c r="B2143" s="64"/>
      <c r="C2143" s="64"/>
    </row>
    <row r="2144" spans="2:3" x14ac:dyDescent="0.25">
      <c r="B2144" s="64"/>
      <c r="C2144" s="64"/>
    </row>
    <row r="2145" spans="2:3" x14ac:dyDescent="0.25">
      <c r="B2145" s="64"/>
      <c r="C2145" s="64"/>
    </row>
    <row r="2146" spans="2:3" x14ac:dyDescent="0.25">
      <c r="B2146" s="64"/>
      <c r="C2146" s="64"/>
    </row>
    <row r="2147" spans="2:3" x14ac:dyDescent="0.25">
      <c r="B2147" s="64"/>
      <c r="C2147" s="64"/>
    </row>
    <row r="2148" spans="2:3" x14ac:dyDescent="0.25">
      <c r="B2148" s="64"/>
      <c r="C2148" s="64"/>
    </row>
    <row r="2149" spans="2:3" x14ac:dyDescent="0.25">
      <c r="B2149" s="64"/>
      <c r="C2149" s="64"/>
    </row>
    <row r="2150" spans="2:3" x14ac:dyDescent="0.25">
      <c r="B2150" s="64"/>
      <c r="C2150" s="64"/>
    </row>
    <row r="2151" spans="2:3" x14ac:dyDescent="0.25">
      <c r="B2151" s="64"/>
      <c r="C2151" s="64"/>
    </row>
    <row r="2152" spans="2:3" x14ac:dyDescent="0.25">
      <c r="B2152" s="64"/>
      <c r="C2152" s="64"/>
    </row>
    <row r="2153" spans="2:3" x14ac:dyDescent="0.25">
      <c r="B2153" s="64"/>
      <c r="C2153" s="64"/>
    </row>
    <row r="2154" spans="2:3" x14ac:dyDescent="0.25">
      <c r="B2154" s="64"/>
      <c r="C2154" s="64"/>
    </row>
    <row r="2155" spans="2:3" x14ac:dyDescent="0.25">
      <c r="B2155" s="64"/>
      <c r="C2155" s="64"/>
    </row>
    <row r="2156" spans="2:3" x14ac:dyDescent="0.25">
      <c r="B2156" s="64"/>
      <c r="C2156" s="64"/>
    </row>
    <row r="2157" spans="2:3" x14ac:dyDescent="0.25">
      <c r="B2157" s="64"/>
      <c r="C2157" s="64"/>
    </row>
    <row r="2158" spans="2:3" x14ac:dyDescent="0.25">
      <c r="B2158" s="64"/>
      <c r="C2158" s="64"/>
    </row>
    <row r="2159" spans="2:3" x14ac:dyDescent="0.25">
      <c r="B2159" s="64"/>
      <c r="C2159" s="64"/>
    </row>
    <row r="2160" spans="2:3" x14ac:dyDescent="0.25">
      <c r="B2160" s="64"/>
      <c r="C2160" s="64"/>
    </row>
    <row r="2161" spans="2:3" x14ac:dyDescent="0.25">
      <c r="B2161" s="64"/>
      <c r="C2161" s="64"/>
    </row>
    <row r="2162" spans="2:3" x14ac:dyDescent="0.25">
      <c r="B2162" s="64"/>
      <c r="C2162" s="64"/>
    </row>
    <row r="2163" spans="2:3" x14ac:dyDescent="0.25">
      <c r="B2163" s="64"/>
      <c r="C2163" s="64"/>
    </row>
    <row r="2164" spans="2:3" x14ac:dyDescent="0.25">
      <c r="B2164" s="64"/>
      <c r="C2164" s="64"/>
    </row>
    <row r="2165" spans="2:3" x14ac:dyDescent="0.25">
      <c r="B2165" s="64"/>
      <c r="C2165" s="64"/>
    </row>
    <row r="2166" spans="2:3" x14ac:dyDescent="0.25">
      <c r="B2166" s="64"/>
      <c r="C2166" s="64"/>
    </row>
    <row r="2167" spans="2:3" x14ac:dyDescent="0.25">
      <c r="B2167" s="64"/>
      <c r="C2167" s="64"/>
    </row>
    <row r="2168" spans="2:3" x14ac:dyDescent="0.25">
      <c r="B2168" s="64"/>
      <c r="C2168" s="64"/>
    </row>
    <row r="2169" spans="2:3" x14ac:dyDescent="0.25">
      <c r="B2169" s="64"/>
      <c r="C2169" s="64"/>
    </row>
    <row r="2170" spans="2:3" x14ac:dyDescent="0.25">
      <c r="B2170" s="64"/>
      <c r="C2170" s="64"/>
    </row>
    <row r="2171" spans="2:3" x14ac:dyDescent="0.25">
      <c r="B2171" s="64"/>
      <c r="C2171" s="64"/>
    </row>
    <row r="2172" spans="2:3" x14ac:dyDescent="0.25">
      <c r="B2172" s="64"/>
      <c r="C2172" s="64"/>
    </row>
    <row r="2173" spans="2:3" x14ac:dyDescent="0.25">
      <c r="B2173" s="64"/>
      <c r="C2173" s="64"/>
    </row>
    <row r="2174" spans="2:3" x14ac:dyDescent="0.25">
      <c r="B2174" s="64"/>
      <c r="C2174" s="64"/>
    </row>
    <row r="2175" spans="2:3" x14ac:dyDescent="0.25">
      <c r="B2175" s="64"/>
      <c r="C2175" s="64"/>
    </row>
    <row r="2176" spans="2:3" x14ac:dyDescent="0.25">
      <c r="B2176" s="64"/>
      <c r="C2176" s="64"/>
    </row>
    <row r="2177" spans="2:3" x14ac:dyDescent="0.25">
      <c r="B2177" s="64"/>
      <c r="C2177" s="64"/>
    </row>
    <row r="2178" spans="2:3" x14ac:dyDescent="0.25">
      <c r="B2178" s="64"/>
      <c r="C2178" s="64"/>
    </row>
    <row r="2179" spans="2:3" x14ac:dyDescent="0.25">
      <c r="B2179" s="64"/>
      <c r="C2179" s="64"/>
    </row>
    <row r="2180" spans="2:3" x14ac:dyDescent="0.25">
      <c r="B2180" s="64"/>
      <c r="C2180" s="64"/>
    </row>
    <row r="2181" spans="2:3" x14ac:dyDescent="0.25">
      <c r="B2181" s="64"/>
      <c r="C2181" s="64"/>
    </row>
    <row r="2182" spans="2:3" x14ac:dyDescent="0.25">
      <c r="B2182" s="64"/>
      <c r="C2182" s="64"/>
    </row>
    <row r="2183" spans="2:3" x14ac:dyDescent="0.25">
      <c r="B2183" s="64"/>
      <c r="C2183" s="64"/>
    </row>
    <row r="2184" spans="2:3" x14ac:dyDescent="0.25">
      <c r="B2184" s="64"/>
      <c r="C2184" s="64"/>
    </row>
    <row r="2185" spans="2:3" x14ac:dyDescent="0.25">
      <c r="B2185" s="64"/>
      <c r="C2185" s="64"/>
    </row>
    <row r="2186" spans="2:3" x14ac:dyDescent="0.25">
      <c r="B2186" s="64"/>
      <c r="C2186" s="64"/>
    </row>
    <row r="2187" spans="2:3" x14ac:dyDescent="0.25">
      <c r="B2187" s="64"/>
      <c r="C2187" s="64"/>
    </row>
    <row r="2188" spans="2:3" x14ac:dyDescent="0.25">
      <c r="B2188" s="64"/>
      <c r="C2188" s="64"/>
    </row>
    <row r="2189" spans="2:3" x14ac:dyDescent="0.25">
      <c r="B2189" s="64"/>
      <c r="C2189" s="64"/>
    </row>
    <row r="2190" spans="2:3" x14ac:dyDescent="0.25">
      <c r="B2190" s="64"/>
      <c r="C2190" s="64"/>
    </row>
    <row r="2191" spans="2:3" x14ac:dyDescent="0.25">
      <c r="B2191" s="64"/>
      <c r="C2191" s="64"/>
    </row>
    <row r="2192" spans="2:3" x14ac:dyDescent="0.25">
      <c r="B2192" s="64"/>
      <c r="C2192" s="64"/>
    </row>
    <row r="2193" spans="2:3" x14ac:dyDescent="0.25">
      <c r="B2193" s="64"/>
      <c r="C2193" s="64"/>
    </row>
    <row r="2194" spans="2:3" x14ac:dyDescent="0.25">
      <c r="B2194" s="64"/>
      <c r="C2194" s="64"/>
    </row>
    <row r="2195" spans="2:3" x14ac:dyDescent="0.25">
      <c r="B2195" s="64"/>
      <c r="C2195" s="64"/>
    </row>
    <row r="2196" spans="2:3" x14ac:dyDescent="0.25">
      <c r="B2196" s="64"/>
      <c r="C2196" s="64"/>
    </row>
    <row r="2197" spans="2:3" x14ac:dyDescent="0.25">
      <c r="B2197" s="64"/>
      <c r="C2197" s="64"/>
    </row>
    <row r="2198" spans="2:3" x14ac:dyDescent="0.25">
      <c r="B2198" s="64"/>
      <c r="C2198" s="64"/>
    </row>
    <row r="2199" spans="2:3" x14ac:dyDescent="0.25">
      <c r="B2199" s="64"/>
      <c r="C2199" s="64"/>
    </row>
    <row r="2200" spans="2:3" x14ac:dyDescent="0.25">
      <c r="B2200" s="64"/>
      <c r="C2200" s="64"/>
    </row>
    <row r="2201" spans="2:3" x14ac:dyDescent="0.25">
      <c r="B2201" s="64"/>
      <c r="C2201" s="64"/>
    </row>
    <row r="2202" spans="2:3" x14ac:dyDescent="0.25">
      <c r="B2202" s="64"/>
      <c r="C2202" s="64"/>
    </row>
    <row r="2203" spans="2:3" x14ac:dyDescent="0.25">
      <c r="B2203" s="64"/>
      <c r="C2203" s="64"/>
    </row>
    <row r="2204" spans="2:3" x14ac:dyDescent="0.25">
      <c r="B2204" s="64"/>
      <c r="C2204" s="64"/>
    </row>
    <row r="2205" spans="2:3" x14ac:dyDescent="0.25">
      <c r="B2205" s="64"/>
      <c r="C2205" s="64"/>
    </row>
    <row r="2206" spans="2:3" x14ac:dyDescent="0.25">
      <c r="B2206" s="64"/>
      <c r="C2206" s="64"/>
    </row>
    <row r="2207" spans="2:3" x14ac:dyDescent="0.25">
      <c r="B2207" s="64"/>
      <c r="C2207" s="64"/>
    </row>
    <row r="2208" spans="2:3" x14ac:dyDescent="0.25">
      <c r="B2208" s="64"/>
      <c r="C2208" s="64"/>
    </row>
    <row r="2209" spans="2:3" x14ac:dyDescent="0.25">
      <c r="B2209" s="64"/>
      <c r="C2209" s="64"/>
    </row>
    <row r="2210" spans="2:3" x14ac:dyDescent="0.25">
      <c r="B2210" s="64"/>
      <c r="C2210" s="64"/>
    </row>
    <row r="2211" spans="2:3" x14ac:dyDescent="0.25">
      <c r="B2211" s="64"/>
      <c r="C2211" s="64"/>
    </row>
    <row r="2212" spans="2:3" x14ac:dyDescent="0.25">
      <c r="B2212" s="64"/>
      <c r="C2212" s="64"/>
    </row>
    <row r="2213" spans="2:3" x14ac:dyDescent="0.25">
      <c r="B2213" s="64"/>
      <c r="C2213" s="64"/>
    </row>
    <row r="2214" spans="2:3" x14ac:dyDescent="0.25">
      <c r="B2214" s="64"/>
      <c r="C2214" s="64"/>
    </row>
    <row r="2215" spans="2:3" x14ac:dyDescent="0.25">
      <c r="B2215" s="64"/>
      <c r="C2215" s="64"/>
    </row>
    <row r="2216" spans="2:3" x14ac:dyDescent="0.25">
      <c r="B2216" s="64"/>
      <c r="C2216" s="64"/>
    </row>
    <row r="2217" spans="2:3" x14ac:dyDescent="0.25">
      <c r="B2217" s="64"/>
      <c r="C2217" s="64"/>
    </row>
    <row r="2218" spans="2:3" x14ac:dyDescent="0.25">
      <c r="B2218" s="64"/>
      <c r="C2218" s="64"/>
    </row>
    <row r="2219" spans="2:3" x14ac:dyDescent="0.25">
      <c r="B2219" s="64"/>
      <c r="C2219" s="64"/>
    </row>
    <row r="2220" spans="2:3" x14ac:dyDescent="0.25">
      <c r="B2220" s="64"/>
      <c r="C2220" s="64"/>
    </row>
    <row r="2221" spans="2:3" x14ac:dyDescent="0.25">
      <c r="B2221" s="64"/>
      <c r="C2221" s="64"/>
    </row>
    <row r="2222" spans="2:3" x14ac:dyDescent="0.25">
      <c r="B2222" s="64"/>
      <c r="C2222" s="64"/>
    </row>
    <row r="2223" spans="2:3" x14ac:dyDescent="0.25">
      <c r="B2223" s="64"/>
      <c r="C2223" s="64"/>
    </row>
    <row r="2224" spans="2:3" x14ac:dyDescent="0.25">
      <c r="B2224" s="64"/>
      <c r="C2224" s="64"/>
    </row>
    <row r="2225" spans="2:3" x14ac:dyDescent="0.25">
      <c r="B2225" s="64"/>
      <c r="C2225" s="64"/>
    </row>
    <row r="2226" spans="2:3" x14ac:dyDescent="0.25">
      <c r="B2226" s="64"/>
      <c r="C2226" s="64"/>
    </row>
    <row r="2227" spans="2:3" x14ac:dyDescent="0.25">
      <c r="B2227" s="64"/>
      <c r="C2227" s="64"/>
    </row>
    <row r="2228" spans="2:3" x14ac:dyDescent="0.25">
      <c r="B2228" s="64"/>
      <c r="C2228" s="64"/>
    </row>
    <row r="2229" spans="2:3" x14ac:dyDescent="0.25">
      <c r="B2229" s="64"/>
      <c r="C2229" s="64"/>
    </row>
    <row r="2230" spans="2:3" x14ac:dyDescent="0.25">
      <c r="B2230" s="64"/>
      <c r="C2230" s="64"/>
    </row>
    <row r="2231" spans="2:3" x14ac:dyDescent="0.25">
      <c r="B2231" s="64"/>
      <c r="C2231" s="64"/>
    </row>
    <row r="2232" spans="2:3" x14ac:dyDescent="0.25">
      <c r="B2232" s="64"/>
      <c r="C2232" s="64"/>
    </row>
    <row r="2233" spans="2:3" x14ac:dyDescent="0.25">
      <c r="B2233" s="64"/>
      <c r="C2233" s="64"/>
    </row>
    <row r="2234" spans="2:3" x14ac:dyDescent="0.25">
      <c r="B2234" s="64"/>
      <c r="C2234" s="64"/>
    </row>
    <row r="2235" spans="2:3" x14ac:dyDescent="0.25">
      <c r="B2235" s="64"/>
      <c r="C2235" s="64"/>
    </row>
    <row r="2236" spans="2:3" x14ac:dyDescent="0.25">
      <c r="B2236" s="64"/>
      <c r="C2236" s="64"/>
    </row>
    <row r="2237" spans="2:3" x14ac:dyDescent="0.25">
      <c r="B2237" s="64"/>
      <c r="C2237" s="64"/>
    </row>
    <row r="2238" spans="2:3" x14ac:dyDescent="0.25">
      <c r="B2238" s="64"/>
      <c r="C2238" s="64"/>
    </row>
    <row r="2239" spans="2:3" x14ac:dyDescent="0.25">
      <c r="B2239" s="64"/>
      <c r="C2239" s="64"/>
    </row>
    <row r="2240" spans="2:3" x14ac:dyDescent="0.25">
      <c r="B2240" s="64"/>
      <c r="C2240" s="64"/>
    </row>
    <row r="2241" spans="2:3" x14ac:dyDescent="0.25">
      <c r="B2241" s="64"/>
      <c r="C2241" s="64"/>
    </row>
    <row r="2242" spans="2:3" x14ac:dyDescent="0.25">
      <c r="B2242" s="64"/>
      <c r="C2242" s="64"/>
    </row>
    <row r="2243" spans="2:3" x14ac:dyDescent="0.25">
      <c r="B2243" s="64"/>
      <c r="C2243" s="64"/>
    </row>
    <row r="2244" spans="2:3" x14ac:dyDescent="0.25">
      <c r="B2244" s="64"/>
      <c r="C2244" s="64"/>
    </row>
    <row r="2245" spans="2:3" x14ac:dyDescent="0.25">
      <c r="B2245" s="64"/>
      <c r="C2245" s="64"/>
    </row>
    <row r="2246" spans="2:3" x14ac:dyDescent="0.25">
      <c r="B2246" s="64"/>
      <c r="C2246" s="64"/>
    </row>
    <row r="2247" spans="2:3" x14ac:dyDescent="0.25">
      <c r="B2247" s="64"/>
      <c r="C2247" s="64"/>
    </row>
    <row r="2248" spans="2:3" x14ac:dyDescent="0.25">
      <c r="B2248" s="64"/>
      <c r="C2248" s="64"/>
    </row>
    <row r="2249" spans="2:3" x14ac:dyDescent="0.25">
      <c r="B2249" s="64"/>
      <c r="C2249" s="64"/>
    </row>
    <row r="2250" spans="2:3" x14ac:dyDescent="0.25">
      <c r="B2250" s="64"/>
      <c r="C2250" s="64"/>
    </row>
    <row r="2251" spans="2:3" x14ac:dyDescent="0.25">
      <c r="B2251" s="64"/>
      <c r="C2251" s="64"/>
    </row>
    <row r="2252" spans="2:3" x14ac:dyDescent="0.25">
      <c r="B2252" s="64"/>
      <c r="C2252" s="64"/>
    </row>
    <row r="2253" spans="2:3" x14ac:dyDescent="0.25">
      <c r="B2253" s="64"/>
      <c r="C2253" s="64"/>
    </row>
    <row r="2254" spans="2:3" x14ac:dyDescent="0.25">
      <c r="B2254" s="64"/>
      <c r="C2254" s="64"/>
    </row>
    <row r="2255" spans="2:3" x14ac:dyDescent="0.25">
      <c r="B2255" s="64"/>
      <c r="C2255" s="64"/>
    </row>
    <row r="2256" spans="2:3" x14ac:dyDescent="0.25">
      <c r="B2256" s="64"/>
      <c r="C2256" s="64"/>
    </row>
    <row r="2257" spans="2:3" x14ac:dyDescent="0.25">
      <c r="B2257" s="64"/>
      <c r="C2257" s="64"/>
    </row>
    <row r="2258" spans="2:3" x14ac:dyDescent="0.25">
      <c r="B2258" s="64"/>
      <c r="C2258" s="64"/>
    </row>
    <row r="2259" spans="2:3" x14ac:dyDescent="0.25">
      <c r="B2259" s="64"/>
      <c r="C2259" s="64"/>
    </row>
    <row r="2260" spans="2:3" x14ac:dyDescent="0.25">
      <c r="B2260" s="64"/>
      <c r="C2260" s="64"/>
    </row>
    <row r="2261" spans="2:3" x14ac:dyDescent="0.25">
      <c r="B2261" s="64"/>
      <c r="C2261" s="64"/>
    </row>
    <row r="2262" spans="2:3" x14ac:dyDescent="0.25">
      <c r="B2262" s="64"/>
      <c r="C2262" s="64"/>
    </row>
    <row r="2263" spans="2:3" x14ac:dyDescent="0.25">
      <c r="B2263" s="64"/>
      <c r="C2263" s="64"/>
    </row>
    <row r="2264" spans="2:3" x14ac:dyDescent="0.25">
      <c r="B2264" s="64"/>
      <c r="C2264" s="64"/>
    </row>
    <row r="2265" spans="2:3" x14ac:dyDescent="0.25">
      <c r="B2265" s="64"/>
      <c r="C2265" s="64"/>
    </row>
    <row r="2266" spans="2:3" x14ac:dyDescent="0.25">
      <c r="B2266" s="64"/>
      <c r="C2266" s="64"/>
    </row>
    <row r="2267" spans="2:3" x14ac:dyDescent="0.25">
      <c r="B2267" s="64"/>
      <c r="C2267" s="64"/>
    </row>
    <row r="2268" spans="2:3" x14ac:dyDescent="0.25">
      <c r="B2268" s="64"/>
      <c r="C2268" s="64"/>
    </row>
    <row r="2269" spans="2:3" x14ac:dyDescent="0.25">
      <c r="B2269" s="64"/>
      <c r="C2269" s="64"/>
    </row>
    <row r="2270" spans="2:3" x14ac:dyDescent="0.25">
      <c r="B2270" s="64"/>
      <c r="C2270" s="64"/>
    </row>
    <row r="2271" spans="2:3" x14ac:dyDescent="0.25">
      <c r="B2271" s="64"/>
      <c r="C2271" s="64"/>
    </row>
    <row r="2272" spans="2:3" x14ac:dyDescent="0.25">
      <c r="B2272" s="64"/>
      <c r="C2272" s="64"/>
    </row>
    <row r="2273" spans="2:3" x14ac:dyDescent="0.25">
      <c r="B2273" s="64"/>
      <c r="C2273" s="64"/>
    </row>
    <row r="2274" spans="2:3" x14ac:dyDescent="0.25">
      <c r="B2274" s="64"/>
      <c r="C2274" s="64"/>
    </row>
    <row r="2275" spans="2:3" x14ac:dyDescent="0.25">
      <c r="B2275" s="64"/>
      <c r="C2275" s="64"/>
    </row>
    <row r="2276" spans="2:3" x14ac:dyDescent="0.25">
      <c r="B2276" s="64"/>
      <c r="C2276" s="64"/>
    </row>
    <row r="2277" spans="2:3" x14ac:dyDescent="0.25">
      <c r="B2277" s="64"/>
      <c r="C2277" s="64"/>
    </row>
    <row r="2278" spans="2:3" x14ac:dyDescent="0.25">
      <c r="B2278" s="64"/>
      <c r="C2278" s="64"/>
    </row>
    <row r="2279" spans="2:3" x14ac:dyDescent="0.25">
      <c r="B2279" s="64"/>
      <c r="C2279" s="64"/>
    </row>
    <row r="2280" spans="2:3" x14ac:dyDescent="0.25">
      <c r="B2280" s="64"/>
      <c r="C2280" s="64"/>
    </row>
    <row r="2281" spans="2:3" x14ac:dyDescent="0.25">
      <c r="B2281" s="64"/>
      <c r="C2281" s="64"/>
    </row>
    <row r="2282" spans="2:3" x14ac:dyDescent="0.25">
      <c r="B2282" s="64"/>
      <c r="C2282" s="64"/>
    </row>
    <row r="2283" spans="2:3" x14ac:dyDescent="0.25">
      <c r="B2283" s="64"/>
      <c r="C2283" s="64"/>
    </row>
    <row r="2284" spans="2:3" x14ac:dyDescent="0.25">
      <c r="B2284" s="64"/>
      <c r="C2284" s="64"/>
    </row>
    <row r="2285" spans="2:3" x14ac:dyDescent="0.25">
      <c r="B2285" s="64"/>
      <c r="C2285" s="64"/>
    </row>
    <row r="2286" spans="2:3" x14ac:dyDescent="0.25">
      <c r="B2286" s="64"/>
      <c r="C2286" s="64"/>
    </row>
    <row r="2287" spans="2:3" x14ac:dyDescent="0.25">
      <c r="B2287" s="64"/>
      <c r="C2287" s="64"/>
    </row>
    <row r="2288" spans="2:3" x14ac:dyDescent="0.25">
      <c r="B2288" s="64"/>
      <c r="C2288" s="64"/>
    </row>
    <row r="2289" spans="2:3" x14ac:dyDescent="0.25">
      <c r="B2289" s="64"/>
      <c r="C2289" s="64"/>
    </row>
    <row r="2290" spans="2:3" x14ac:dyDescent="0.25">
      <c r="B2290" s="64"/>
      <c r="C2290" s="64"/>
    </row>
    <row r="2291" spans="2:3" x14ac:dyDescent="0.25">
      <c r="B2291" s="64"/>
      <c r="C2291" s="64"/>
    </row>
    <row r="2292" spans="2:3" x14ac:dyDescent="0.25">
      <c r="B2292" s="64"/>
      <c r="C2292" s="64"/>
    </row>
    <row r="2293" spans="2:3" x14ac:dyDescent="0.25">
      <c r="B2293" s="64"/>
      <c r="C2293" s="64"/>
    </row>
    <row r="2294" spans="2:3" x14ac:dyDescent="0.25">
      <c r="B2294" s="64"/>
      <c r="C2294" s="64"/>
    </row>
    <row r="2295" spans="2:3" x14ac:dyDescent="0.25">
      <c r="B2295" s="64"/>
      <c r="C2295" s="64"/>
    </row>
    <row r="2296" spans="2:3" x14ac:dyDescent="0.25">
      <c r="B2296" s="64"/>
      <c r="C2296" s="64"/>
    </row>
    <row r="2297" spans="2:3" x14ac:dyDescent="0.25">
      <c r="B2297" s="64"/>
      <c r="C2297" s="64"/>
    </row>
    <row r="2298" spans="2:3" x14ac:dyDescent="0.25">
      <c r="B2298" s="64"/>
      <c r="C2298" s="64"/>
    </row>
    <row r="2299" spans="2:3" x14ac:dyDescent="0.25">
      <c r="B2299" s="64"/>
      <c r="C2299" s="64"/>
    </row>
    <row r="2300" spans="2:3" x14ac:dyDescent="0.25">
      <c r="B2300" s="64"/>
      <c r="C2300" s="64"/>
    </row>
    <row r="2301" spans="2:3" x14ac:dyDescent="0.25">
      <c r="B2301" s="64"/>
      <c r="C2301" s="64"/>
    </row>
    <row r="2302" spans="2:3" x14ac:dyDescent="0.25">
      <c r="B2302" s="64"/>
      <c r="C2302" s="64"/>
    </row>
    <row r="2303" spans="2:3" x14ac:dyDescent="0.25">
      <c r="B2303" s="64"/>
      <c r="C2303" s="64"/>
    </row>
    <row r="2304" spans="2:3" x14ac:dyDescent="0.25">
      <c r="B2304" s="64"/>
      <c r="C2304" s="64"/>
    </row>
    <row r="2305" spans="2:3" x14ac:dyDescent="0.25">
      <c r="B2305" s="64"/>
      <c r="C2305" s="64"/>
    </row>
    <row r="2306" spans="2:3" x14ac:dyDescent="0.25">
      <c r="B2306" s="64"/>
      <c r="C2306" s="64"/>
    </row>
    <row r="2307" spans="2:3" x14ac:dyDescent="0.25">
      <c r="B2307" s="64"/>
      <c r="C2307" s="64"/>
    </row>
    <row r="2308" spans="2:3" x14ac:dyDescent="0.25">
      <c r="B2308" s="64"/>
      <c r="C2308" s="64"/>
    </row>
    <row r="2309" spans="2:3" x14ac:dyDescent="0.25">
      <c r="B2309" s="64"/>
      <c r="C2309" s="64"/>
    </row>
    <row r="2310" spans="2:3" x14ac:dyDescent="0.25">
      <c r="B2310" s="64"/>
      <c r="C2310" s="64"/>
    </row>
    <row r="2311" spans="2:3" x14ac:dyDescent="0.25">
      <c r="B2311" s="64"/>
      <c r="C2311" s="64"/>
    </row>
    <row r="2312" spans="2:3" x14ac:dyDescent="0.25">
      <c r="B2312" s="64"/>
      <c r="C2312" s="64"/>
    </row>
    <row r="2313" spans="2:3" x14ac:dyDescent="0.25">
      <c r="B2313" s="64"/>
      <c r="C2313" s="64"/>
    </row>
    <row r="2314" spans="2:3" x14ac:dyDescent="0.25">
      <c r="B2314" s="64"/>
      <c r="C2314" s="64"/>
    </row>
    <row r="2315" spans="2:3" x14ac:dyDescent="0.25">
      <c r="B2315" s="64"/>
      <c r="C2315" s="64"/>
    </row>
    <row r="2316" spans="2:3" x14ac:dyDescent="0.25">
      <c r="B2316" s="64"/>
      <c r="C2316" s="64"/>
    </row>
    <row r="2317" spans="2:3" x14ac:dyDescent="0.25">
      <c r="B2317" s="64"/>
      <c r="C2317" s="64"/>
    </row>
    <row r="2318" spans="2:3" x14ac:dyDescent="0.25">
      <c r="B2318" s="64"/>
      <c r="C2318" s="64"/>
    </row>
    <row r="2319" spans="2:3" x14ac:dyDescent="0.25">
      <c r="B2319" s="64"/>
      <c r="C2319" s="64"/>
    </row>
    <row r="2320" spans="2:3" x14ac:dyDescent="0.25">
      <c r="B2320" s="64"/>
      <c r="C2320" s="64"/>
    </row>
    <row r="2321" spans="2:3" x14ac:dyDescent="0.25">
      <c r="B2321" s="64"/>
      <c r="C2321" s="64"/>
    </row>
    <row r="2322" spans="2:3" x14ac:dyDescent="0.25">
      <c r="B2322" s="64"/>
      <c r="C2322" s="64"/>
    </row>
    <row r="2323" spans="2:3" x14ac:dyDescent="0.25">
      <c r="B2323" s="64"/>
      <c r="C2323" s="64"/>
    </row>
    <row r="2324" spans="2:3" x14ac:dyDescent="0.25">
      <c r="B2324" s="64"/>
      <c r="C2324" s="64"/>
    </row>
    <row r="2325" spans="2:3" x14ac:dyDescent="0.25">
      <c r="B2325" s="64"/>
      <c r="C2325" s="64"/>
    </row>
    <row r="2326" spans="2:3" x14ac:dyDescent="0.25">
      <c r="B2326" s="64"/>
      <c r="C2326" s="64"/>
    </row>
    <row r="2327" spans="2:3" x14ac:dyDescent="0.25">
      <c r="B2327" s="64"/>
      <c r="C2327" s="64"/>
    </row>
    <row r="2328" spans="2:3" x14ac:dyDescent="0.25">
      <c r="B2328" s="64"/>
      <c r="C2328" s="64"/>
    </row>
    <row r="2329" spans="2:3" x14ac:dyDescent="0.25">
      <c r="B2329" s="64"/>
      <c r="C2329" s="64"/>
    </row>
    <row r="2330" spans="2:3" x14ac:dyDescent="0.25">
      <c r="B2330" s="64"/>
      <c r="C2330" s="64"/>
    </row>
    <row r="2331" spans="2:3" x14ac:dyDescent="0.25">
      <c r="B2331" s="64"/>
      <c r="C2331" s="64"/>
    </row>
    <row r="2332" spans="2:3" x14ac:dyDescent="0.25">
      <c r="B2332" s="64"/>
      <c r="C2332" s="64"/>
    </row>
    <row r="2333" spans="2:3" x14ac:dyDescent="0.25">
      <c r="B2333" s="64"/>
      <c r="C2333" s="64"/>
    </row>
    <row r="2334" spans="2:3" x14ac:dyDescent="0.25">
      <c r="B2334" s="64"/>
      <c r="C2334" s="64"/>
    </row>
    <row r="2335" spans="2:3" x14ac:dyDescent="0.25">
      <c r="B2335" s="64"/>
      <c r="C2335" s="64"/>
    </row>
    <row r="2336" spans="2:3" x14ac:dyDescent="0.25">
      <c r="B2336" s="64"/>
      <c r="C2336" s="64"/>
    </row>
    <row r="2337" spans="2:3" x14ac:dyDescent="0.25">
      <c r="B2337" s="64"/>
      <c r="C2337" s="64"/>
    </row>
    <row r="2338" spans="2:3" x14ac:dyDescent="0.25">
      <c r="B2338" s="64"/>
      <c r="C2338" s="64"/>
    </row>
    <row r="2339" spans="2:3" x14ac:dyDescent="0.25">
      <c r="B2339" s="64"/>
      <c r="C2339" s="64"/>
    </row>
    <row r="2340" spans="2:3" x14ac:dyDescent="0.25">
      <c r="B2340" s="64"/>
      <c r="C2340" s="64"/>
    </row>
    <row r="2341" spans="2:3" x14ac:dyDescent="0.25">
      <c r="B2341" s="64"/>
      <c r="C2341" s="64"/>
    </row>
    <row r="2342" spans="2:3" x14ac:dyDescent="0.25">
      <c r="B2342" s="64"/>
      <c r="C2342" s="64"/>
    </row>
    <row r="2343" spans="2:3" x14ac:dyDescent="0.25">
      <c r="B2343" s="64"/>
      <c r="C2343" s="64"/>
    </row>
    <row r="2344" spans="2:3" x14ac:dyDescent="0.25">
      <c r="B2344" s="64"/>
      <c r="C2344" s="64"/>
    </row>
    <row r="2345" spans="2:3" x14ac:dyDescent="0.25">
      <c r="B2345" s="64"/>
      <c r="C2345" s="64"/>
    </row>
    <row r="2346" spans="2:3" x14ac:dyDescent="0.25">
      <c r="B2346" s="64"/>
      <c r="C2346" s="64"/>
    </row>
    <row r="2347" spans="2:3" x14ac:dyDescent="0.25">
      <c r="B2347" s="64"/>
      <c r="C2347" s="64"/>
    </row>
    <row r="2348" spans="2:3" x14ac:dyDescent="0.25">
      <c r="B2348" s="64"/>
      <c r="C2348" s="64"/>
    </row>
    <row r="2349" spans="2:3" x14ac:dyDescent="0.25">
      <c r="B2349" s="64"/>
      <c r="C2349" s="64"/>
    </row>
    <row r="2350" spans="2:3" x14ac:dyDescent="0.25">
      <c r="B2350" s="64"/>
      <c r="C2350" s="64"/>
    </row>
    <row r="2351" spans="2:3" x14ac:dyDescent="0.25">
      <c r="B2351" s="64"/>
      <c r="C2351" s="64"/>
    </row>
    <row r="2352" spans="2:3" x14ac:dyDescent="0.25">
      <c r="B2352" s="64"/>
      <c r="C2352" s="64"/>
    </row>
    <row r="2353" spans="2:3" x14ac:dyDescent="0.25">
      <c r="B2353" s="64"/>
      <c r="C2353" s="64"/>
    </row>
    <row r="2354" spans="2:3" x14ac:dyDescent="0.25">
      <c r="B2354" s="64"/>
      <c r="C2354" s="64"/>
    </row>
    <row r="2355" spans="2:3" x14ac:dyDescent="0.25">
      <c r="B2355" s="64"/>
      <c r="C2355" s="64"/>
    </row>
    <row r="2356" spans="2:3" x14ac:dyDescent="0.25">
      <c r="B2356" s="64"/>
      <c r="C2356" s="64"/>
    </row>
    <row r="2357" spans="2:3" x14ac:dyDescent="0.25">
      <c r="B2357" s="64"/>
      <c r="C2357" s="64"/>
    </row>
    <row r="2358" spans="2:3" x14ac:dyDescent="0.25">
      <c r="B2358" s="64"/>
      <c r="C2358" s="64"/>
    </row>
    <row r="2359" spans="2:3" x14ac:dyDescent="0.25">
      <c r="B2359" s="64"/>
      <c r="C2359" s="64"/>
    </row>
    <row r="2360" spans="2:3" x14ac:dyDescent="0.25">
      <c r="B2360" s="64"/>
      <c r="C2360" s="64"/>
    </row>
    <row r="2361" spans="2:3" x14ac:dyDescent="0.25">
      <c r="B2361" s="64"/>
      <c r="C2361" s="64"/>
    </row>
    <row r="2362" spans="2:3" x14ac:dyDescent="0.25">
      <c r="B2362" s="64"/>
      <c r="C2362" s="64"/>
    </row>
    <row r="2363" spans="2:3" x14ac:dyDescent="0.25">
      <c r="B2363" s="64"/>
      <c r="C2363" s="64"/>
    </row>
    <row r="2364" spans="2:3" x14ac:dyDescent="0.25">
      <c r="B2364" s="64"/>
      <c r="C2364" s="64"/>
    </row>
    <row r="2365" spans="2:3" x14ac:dyDescent="0.25">
      <c r="B2365" s="64"/>
      <c r="C2365" s="64"/>
    </row>
    <row r="2366" spans="2:3" x14ac:dyDescent="0.25">
      <c r="B2366" s="64"/>
      <c r="C2366" s="64"/>
    </row>
    <row r="2367" spans="2:3" x14ac:dyDescent="0.25">
      <c r="B2367" s="64"/>
      <c r="C2367" s="64"/>
    </row>
    <row r="2368" spans="2:3" x14ac:dyDescent="0.25">
      <c r="B2368" s="64"/>
      <c r="C2368" s="64"/>
    </row>
    <row r="2369" spans="2:3" x14ac:dyDescent="0.25">
      <c r="B2369" s="64"/>
      <c r="C2369" s="64"/>
    </row>
    <row r="2370" spans="2:3" x14ac:dyDescent="0.25">
      <c r="B2370" s="64"/>
      <c r="C2370" s="64"/>
    </row>
    <row r="2371" spans="2:3" x14ac:dyDescent="0.25">
      <c r="B2371" s="64"/>
      <c r="C2371" s="64"/>
    </row>
    <row r="2372" spans="2:3" x14ac:dyDescent="0.25">
      <c r="B2372" s="64"/>
      <c r="C2372" s="64"/>
    </row>
    <row r="2373" spans="2:3" x14ac:dyDescent="0.25">
      <c r="B2373" s="64"/>
      <c r="C2373" s="64"/>
    </row>
    <row r="2374" spans="2:3" x14ac:dyDescent="0.25">
      <c r="B2374" s="64"/>
      <c r="C2374" s="64"/>
    </row>
    <row r="2375" spans="2:3" x14ac:dyDescent="0.25">
      <c r="B2375" s="64"/>
      <c r="C2375" s="64"/>
    </row>
    <row r="2376" spans="2:3" x14ac:dyDescent="0.25">
      <c r="B2376" s="64"/>
      <c r="C2376" s="64"/>
    </row>
    <row r="2377" spans="2:3" x14ac:dyDescent="0.25">
      <c r="B2377" s="64"/>
      <c r="C2377" s="64"/>
    </row>
    <row r="2378" spans="2:3" x14ac:dyDescent="0.25">
      <c r="B2378" s="64"/>
      <c r="C2378" s="64"/>
    </row>
    <row r="2379" spans="2:3" x14ac:dyDescent="0.25">
      <c r="B2379" s="64"/>
      <c r="C2379" s="64"/>
    </row>
    <row r="2380" spans="2:3" x14ac:dyDescent="0.25">
      <c r="B2380" s="64"/>
      <c r="C2380" s="64"/>
    </row>
  </sheetData>
  <sheetProtection algorithmName="SHA-512" hashValue="MTjrZhdWPklugbduVJrmTqd1MKd9G8ZR1S8DFsp+f39ENzMzU/dYsKS8zJUKMJxGYmCFA5aOzMX1UAyAnTE0hg==" saltValue="1ekUzwdtNl/92nh3ogXHlQ==" spinCount="100000" sheet="1" formatCells="0" formatColumns="0" formatRows="0" autoFilter="0"/>
  <autoFilter ref="L5:N5"/>
  <mergeCells count="20">
    <mergeCell ref="A1:E1"/>
    <mergeCell ref="A2:E2"/>
    <mergeCell ref="A4:A5"/>
    <mergeCell ref="B4:B5"/>
    <mergeCell ref="C4:C5"/>
    <mergeCell ref="D4:D5"/>
    <mergeCell ref="E4:E5"/>
    <mergeCell ref="F4:H4"/>
    <mergeCell ref="I4:I5"/>
    <mergeCell ref="J4:J5"/>
    <mergeCell ref="L4:O4"/>
    <mergeCell ref="L2:O2"/>
    <mergeCell ref="K4:K5"/>
    <mergeCell ref="P4:P5"/>
    <mergeCell ref="Q4:Q5"/>
    <mergeCell ref="R4:R5"/>
    <mergeCell ref="S4:S5"/>
    <mergeCell ref="V4:V5"/>
    <mergeCell ref="T4:T5"/>
    <mergeCell ref="U4:U5"/>
  </mergeCells>
  <conditionalFormatting sqref="L2">
    <cfRule type="cellIs" dxfId="142" priority="11" stopIfTrue="1" operator="between">
      <formula>"Còn lỗi!"</formula>
      <formula>"Còn lỗi!"</formula>
    </cfRule>
    <cfRule type="cellIs" dxfId="141" priority="12" stopIfTrue="1" operator="between">
      <formula>"Hoàn thành!"</formula>
      <formula>"Hoàn thành!"</formula>
    </cfRule>
    <cfRule type="cellIs" dxfId="140" priority="13" stopIfTrue="1" operator="between">
      <formula>"Nhập danh sách học sinh!"</formula>
      <formula>"Nhập danh sách học sinh!"</formula>
    </cfRule>
  </conditionalFormatting>
  <conditionalFormatting sqref="E6:E650">
    <cfRule type="cellIs" dxfId="139" priority="10" stopIfTrue="1" operator="between">
      <formula>""</formula>
      <formula>""</formula>
    </cfRule>
  </conditionalFormatting>
  <conditionalFormatting sqref="M6:N650">
    <cfRule type="cellIs" dxfId="138" priority="1" operator="between">
      <formula>"Tỉnh khác"</formula>
      <formula>"Tỉnh khác"</formula>
    </cfRule>
    <cfRule type="cellIs" dxfId="137" priority="2" operator="between">
      <formula>"Huyện khác"</formula>
      <formula>"Huyện khác"</formula>
    </cfRule>
  </conditionalFormatting>
  <dataValidations count="3">
    <dataValidation type="list" allowBlank="1" showInputMessage="1" showErrorMessage="1" sqref="B4:B5">
      <formula1>"5-6 tuổi,4-5 tuổi,3-4 tuổi,25-36tháng,13-24ttháng"</formula1>
    </dataValidation>
    <dataValidation type="list" allowBlank="1" showInputMessage="1" showErrorMessage="1" sqref="C6:C650">
      <formula1>"1,2,3,4,5,6,Cơm,Cháo,Bột"</formula1>
    </dataValidation>
    <dataValidation type="list" allowBlank="1" showInputMessage="1" showErrorMessage="1" sqref="I6:I505 K6:K650">
      <formula1>"X"</formula1>
    </dataValidation>
  </dataValidations>
  <pageMargins left="0" right="0" top="0.2" bottom="0.2" header="0.05" footer="0.05"/>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S32"/>
  <sheetViews>
    <sheetView showGridLines="0" showZeros="0" workbookViewId="0">
      <selection activeCell="D14" sqref="D14"/>
    </sheetView>
  </sheetViews>
  <sheetFormatPr defaultRowHeight="15.75" x14ac:dyDescent="0.25"/>
  <cols>
    <col min="1" max="1" width="16.875" style="29" customWidth="1"/>
    <col min="2" max="10" width="6.875" style="29" customWidth="1"/>
    <col min="11" max="11" width="8.25" style="29" customWidth="1"/>
    <col min="12" max="12" width="4.125" style="29" customWidth="1"/>
    <col min="13" max="13" width="22.125" style="29" customWidth="1"/>
    <col min="14" max="15" width="10.125" style="30" customWidth="1"/>
    <col min="16" max="16" width="11.25" style="30" customWidth="1"/>
    <col min="17" max="17" width="10.125" style="30" customWidth="1"/>
    <col min="18" max="18" width="8.875" style="29" customWidth="1"/>
    <col min="19" max="19" width="1.375" style="29" customWidth="1"/>
    <col min="20" max="256" width="9" style="29"/>
    <col min="257" max="257" width="15.5" style="29" customWidth="1"/>
    <col min="258" max="266" width="6.875" style="29" customWidth="1"/>
    <col min="267" max="267" width="8.25" style="29" customWidth="1"/>
    <col min="268" max="268" width="4.125" style="29" customWidth="1"/>
    <col min="269" max="269" width="21" style="29" customWidth="1"/>
    <col min="270" max="271" width="10.125" style="29" customWidth="1"/>
    <col min="272" max="272" width="11.25" style="29" customWidth="1"/>
    <col min="273" max="273" width="10.125" style="29" customWidth="1"/>
    <col min="274" max="274" width="8.875" style="29" customWidth="1"/>
    <col min="275" max="275" width="1.375" style="29" customWidth="1"/>
    <col min="276" max="512" width="9" style="29"/>
    <col min="513" max="513" width="15.5" style="29" customWidth="1"/>
    <col min="514" max="522" width="6.875" style="29" customWidth="1"/>
    <col min="523" max="523" width="8.25" style="29" customWidth="1"/>
    <col min="524" max="524" width="4.125" style="29" customWidth="1"/>
    <col min="525" max="525" width="21" style="29" customWidth="1"/>
    <col min="526" max="527" width="10.125" style="29" customWidth="1"/>
    <col min="528" max="528" width="11.25" style="29" customWidth="1"/>
    <col min="529" max="529" width="10.125" style="29" customWidth="1"/>
    <col min="530" max="530" width="8.875" style="29" customWidth="1"/>
    <col min="531" max="531" width="1.375" style="29" customWidth="1"/>
    <col min="532" max="768" width="9" style="29"/>
    <col min="769" max="769" width="15.5" style="29" customWidth="1"/>
    <col min="770" max="778" width="6.875" style="29" customWidth="1"/>
    <col min="779" max="779" width="8.25" style="29" customWidth="1"/>
    <col min="780" max="780" width="4.125" style="29" customWidth="1"/>
    <col min="781" max="781" width="21" style="29" customWidth="1"/>
    <col min="782" max="783" width="10.125" style="29" customWidth="1"/>
    <col min="784" max="784" width="11.25" style="29" customWidth="1"/>
    <col min="785" max="785" width="10.125" style="29" customWidth="1"/>
    <col min="786" max="786" width="8.875" style="29" customWidth="1"/>
    <col min="787" max="787" width="1.375" style="29" customWidth="1"/>
    <col min="788" max="1024" width="9" style="29"/>
    <col min="1025" max="1025" width="15.5" style="29" customWidth="1"/>
    <col min="1026" max="1034" width="6.875" style="29" customWidth="1"/>
    <col min="1035" max="1035" width="8.25" style="29" customWidth="1"/>
    <col min="1036" max="1036" width="4.125" style="29" customWidth="1"/>
    <col min="1037" max="1037" width="21" style="29" customWidth="1"/>
    <col min="1038" max="1039" width="10.125" style="29" customWidth="1"/>
    <col min="1040" max="1040" width="11.25" style="29" customWidth="1"/>
    <col min="1041" max="1041" width="10.125" style="29" customWidth="1"/>
    <col min="1042" max="1042" width="8.875" style="29" customWidth="1"/>
    <col min="1043" max="1043" width="1.375" style="29" customWidth="1"/>
    <col min="1044" max="1280" width="9" style="29"/>
    <col min="1281" max="1281" width="15.5" style="29" customWidth="1"/>
    <col min="1282" max="1290" width="6.875" style="29" customWidth="1"/>
    <col min="1291" max="1291" width="8.25" style="29" customWidth="1"/>
    <col min="1292" max="1292" width="4.125" style="29" customWidth="1"/>
    <col min="1293" max="1293" width="21" style="29" customWidth="1"/>
    <col min="1294" max="1295" width="10.125" style="29" customWidth="1"/>
    <col min="1296" max="1296" width="11.25" style="29" customWidth="1"/>
    <col min="1297" max="1297" width="10.125" style="29" customWidth="1"/>
    <col min="1298" max="1298" width="8.875" style="29" customWidth="1"/>
    <col min="1299" max="1299" width="1.375" style="29" customWidth="1"/>
    <col min="1300" max="1536" width="9" style="29"/>
    <col min="1537" max="1537" width="15.5" style="29" customWidth="1"/>
    <col min="1538" max="1546" width="6.875" style="29" customWidth="1"/>
    <col min="1547" max="1547" width="8.25" style="29" customWidth="1"/>
    <col min="1548" max="1548" width="4.125" style="29" customWidth="1"/>
    <col min="1549" max="1549" width="21" style="29" customWidth="1"/>
    <col min="1550" max="1551" width="10.125" style="29" customWidth="1"/>
    <col min="1552" max="1552" width="11.25" style="29" customWidth="1"/>
    <col min="1553" max="1553" width="10.125" style="29" customWidth="1"/>
    <col min="1554" max="1554" width="8.875" style="29" customWidth="1"/>
    <col min="1555" max="1555" width="1.375" style="29" customWidth="1"/>
    <col min="1556" max="1792" width="9" style="29"/>
    <col min="1793" max="1793" width="15.5" style="29" customWidth="1"/>
    <col min="1794" max="1802" width="6.875" style="29" customWidth="1"/>
    <col min="1803" max="1803" width="8.25" style="29" customWidth="1"/>
    <col min="1804" max="1804" width="4.125" style="29" customWidth="1"/>
    <col min="1805" max="1805" width="21" style="29" customWidth="1"/>
    <col min="1806" max="1807" width="10.125" style="29" customWidth="1"/>
    <col min="1808" max="1808" width="11.25" style="29" customWidth="1"/>
    <col min="1809" max="1809" width="10.125" style="29" customWidth="1"/>
    <col min="1810" max="1810" width="8.875" style="29" customWidth="1"/>
    <col min="1811" max="1811" width="1.375" style="29" customWidth="1"/>
    <col min="1812" max="2048" width="9" style="29"/>
    <col min="2049" max="2049" width="15.5" style="29" customWidth="1"/>
    <col min="2050" max="2058" width="6.875" style="29" customWidth="1"/>
    <col min="2059" max="2059" width="8.25" style="29" customWidth="1"/>
    <col min="2060" max="2060" width="4.125" style="29" customWidth="1"/>
    <col min="2061" max="2061" width="21" style="29" customWidth="1"/>
    <col min="2062" max="2063" width="10.125" style="29" customWidth="1"/>
    <col min="2064" max="2064" width="11.25" style="29" customWidth="1"/>
    <col min="2065" max="2065" width="10.125" style="29" customWidth="1"/>
    <col min="2066" max="2066" width="8.875" style="29" customWidth="1"/>
    <col min="2067" max="2067" width="1.375" style="29" customWidth="1"/>
    <col min="2068" max="2304" width="9" style="29"/>
    <col min="2305" max="2305" width="15.5" style="29" customWidth="1"/>
    <col min="2306" max="2314" width="6.875" style="29" customWidth="1"/>
    <col min="2315" max="2315" width="8.25" style="29" customWidth="1"/>
    <col min="2316" max="2316" width="4.125" style="29" customWidth="1"/>
    <col min="2317" max="2317" width="21" style="29" customWidth="1"/>
    <col min="2318" max="2319" width="10.125" style="29" customWidth="1"/>
    <col min="2320" max="2320" width="11.25" style="29" customWidth="1"/>
    <col min="2321" max="2321" width="10.125" style="29" customWidth="1"/>
    <col min="2322" max="2322" width="8.875" style="29" customWidth="1"/>
    <col min="2323" max="2323" width="1.375" style="29" customWidth="1"/>
    <col min="2324" max="2560" width="9" style="29"/>
    <col min="2561" max="2561" width="15.5" style="29" customWidth="1"/>
    <col min="2562" max="2570" width="6.875" style="29" customWidth="1"/>
    <col min="2571" max="2571" width="8.25" style="29" customWidth="1"/>
    <col min="2572" max="2572" width="4.125" style="29" customWidth="1"/>
    <col min="2573" max="2573" width="21" style="29" customWidth="1"/>
    <col min="2574" max="2575" width="10.125" style="29" customWidth="1"/>
    <col min="2576" max="2576" width="11.25" style="29" customWidth="1"/>
    <col min="2577" max="2577" width="10.125" style="29" customWidth="1"/>
    <col min="2578" max="2578" width="8.875" style="29" customWidth="1"/>
    <col min="2579" max="2579" width="1.375" style="29" customWidth="1"/>
    <col min="2580" max="2816" width="9" style="29"/>
    <col min="2817" max="2817" width="15.5" style="29" customWidth="1"/>
    <col min="2818" max="2826" width="6.875" style="29" customWidth="1"/>
    <col min="2827" max="2827" width="8.25" style="29" customWidth="1"/>
    <col min="2828" max="2828" width="4.125" style="29" customWidth="1"/>
    <col min="2829" max="2829" width="21" style="29" customWidth="1"/>
    <col min="2830" max="2831" width="10.125" style="29" customWidth="1"/>
    <col min="2832" max="2832" width="11.25" style="29" customWidth="1"/>
    <col min="2833" max="2833" width="10.125" style="29" customWidth="1"/>
    <col min="2834" max="2834" width="8.875" style="29" customWidth="1"/>
    <col min="2835" max="2835" width="1.375" style="29" customWidth="1"/>
    <col min="2836" max="3072" width="9" style="29"/>
    <col min="3073" max="3073" width="15.5" style="29" customWidth="1"/>
    <col min="3074" max="3082" width="6.875" style="29" customWidth="1"/>
    <col min="3083" max="3083" width="8.25" style="29" customWidth="1"/>
    <col min="3084" max="3084" width="4.125" style="29" customWidth="1"/>
    <col min="3085" max="3085" width="21" style="29" customWidth="1"/>
    <col min="3086" max="3087" width="10.125" style="29" customWidth="1"/>
    <col min="3088" max="3088" width="11.25" style="29" customWidth="1"/>
    <col min="3089" max="3089" width="10.125" style="29" customWidth="1"/>
    <col min="3090" max="3090" width="8.875" style="29" customWidth="1"/>
    <col min="3091" max="3091" width="1.375" style="29" customWidth="1"/>
    <col min="3092" max="3328" width="9" style="29"/>
    <col min="3329" max="3329" width="15.5" style="29" customWidth="1"/>
    <col min="3330" max="3338" width="6.875" style="29" customWidth="1"/>
    <col min="3339" max="3339" width="8.25" style="29" customWidth="1"/>
    <col min="3340" max="3340" width="4.125" style="29" customWidth="1"/>
    <col min="3341" max="3341" width="21" style="29" customWidth="1"/>
    <col min="3342" max="3343" width="10.125" style="29" customWidth="1"/>
    <col min="3344" max="3344" width="11.25" style="29" customWidth="1"/>
    <col min="3345" max="3345" width="10.125" style="29" customWidth="1"/>
    <col min="3346" max="3346" width="8.875" style="29" customWidth="1"/>
    <col min="3347" max="3347" width="1.375" style="29" customWidth="1"/>
    <col min="3348" max="3584" width="9" style="29"/>
    <col min="3585" max="3585" width="15.5" style="29" customWidth="1"/>
    <col min="3586" max="3594" width="6.875" style="29" customWidth="1"/>
    <col min="3595" max="3595" width="8.25" style="29" customWidth="1"/>
    <col min="3596" max="3596" width="4.125" style="29" customWidth="1"/>
    <col min="3597" max="3597" width="21" style="29" customWidth="1"/>
    <col min="3598" max="3599" width="10.125" style="29" customWidth="1"/>
    <col min="3600" max="3600" width="11.25" style="29" customWidth="1"/>
    <col min="3601" max="3601" width="10.125" style="29" customWidth="1"/>
    <col min="3602" max="3602" width="8.875" style="29" customWidth="1"/>
    <col min="3603" max="3603" width="1.375" style="29" customWidth="1"/>
    <col min="3604" max="3840" width="9" style="29"/>
    <col min="3841" max="3841" width="15.5" style="29" customWidth="1"/>
    <col min="3842" max="3850" width="6.875" style="29" customWidth="1"/>
    <col min="3851" max="3851" width="8.25" style="29" customWidth="1"/>
    <col min="3852" max="3852" width="4.125" style="29" customWidth="1"/>
    <col min="3853" max="3853" width="21" style="29" customWidth="1"/>
    <col min="3854" max="3855" width="10.125" style="29" customWidth="1"/>
    <col min="3856" max="3856" width="11.25" style="29" customWidth="1"/>
    <col min="3857" max="3857" width="10.125" style="29" customWidth="1"/>
    <col min="3858" max="3858" width="8.875" style="29" customWidth="1"/>
    <col min="3859" max="3859" width="1.375" style="29" customWidth="1"/>
    <col min="3860" max="4096" width="9" style="29"/>
    <col min="4097" max="4097" width="15.5" style="29" customWidth="1"/>
    <col min="4098" max="4106" width="6.875" style="29" customWidth="1"/>
    <col min="4107" max="4107" width="8.25" style="29" customWidth="1"/>
    <col min="4108" max="4108" width="4.125" style="29" customWidth="1"/>
    <col min="4109" max="4109" width="21" style="29" customWidth="1"/>
    <col min="4110" max="4111" width="10.125" style="29" customWidth="1"/>
    <col min="4112" max="4112" width="11.25" style="29" customWidth="1"/>
    <col min="4113" max="4113" width="10.125" style="29" customWidth="1"/>
    <col min="4114" max="4114" width="8.875" style="29" customWidth="1"/>
    <col min="4115" max="4115" width="1.375" style="29" customWidth="1"/>
    <col min="4116" max="4352" width="9" style="29"/>
    <col min="4353" max="4353" width="15.5" style="29" customWidth="1"/>
    <col min="4354" max="4362" width="6.875" style="29" customWidth="1"/>
    <col min="4363" max="4363" width="8.25" style="29" customWidth="1"/>
    <col min="4364" max="4364" width="4.125" style="29" customWidth="1"/>
    <col min="4365" max="4365" width="21" style="29" customWidth="1"/>
    <col min="4366" max="4367" width="10.125" style="29" customWidth="1"/>
    <col min="4368" max="4368" width="11.25" style="29" customWidth="1"/>
    <col min="4369" max="4369" width="10.125" style="29" customWidth="1"/>
    <col min="4370" max="4370" width="8.875" style="29" customWidth="1"/>
    <col min="4371" max="4371" width="1.375" style="29" customWidth="1"/>
    <col min="4372" max="4608" width="9" style="29"/>
    <col min="4609" max="4609" width="15.5" style="29" customWidth="1"/>
    <col min="4610" max="4618" width="6.875" style="29" customWidth="1"/>
    <col min="4619" max="4619" width="8.25" style="29" customWidth="1"/>
    <col min="4620" max="4620" width="4.125" style="29" customWidth="1"/>
    <col min="4621" max="4621" width="21" style="29" customWidth="1"/>
    <col min="4622" max="4623" width="10.125" style="29" customWidth="1"/>
    <col min="4624" max="4624" width="11.25" style="29" customWidth="1"/>
    <col min="4625" max="4625" width="10.125" style="29" customWidth="1"/>
    <col min="4626" max="4626" width="8.875" style="29" customWidth="1"/>
    <col min="4627" max="4627" width="1.375" style="29" customWidth="1"/>
    <col min="4628" max="4864" width="9" style="29"/>
    <col min="4865" max="4865" width="15.5" style="29" customWidth="1"/>
    <col min="4866" max="4874" width="6.875" style="29" customWidth="1"/>
    <col min="4875" max="4875" width="8.25" style="29" customWidth="1"/>
    <col min="4876" max="4876" width="4.125" style="29" customWidth="1"/>
    <col min="4877" max="4877" width="21" style="29" customWidth="1"/>
    <col min="4878" max="4879" width="10.125" style="29" customWidth="1"/>
    <col min="4880" max="4880" width="11.25" style="29" customWidth="1"/>
    <col min="4881" max="4881" width="10.125" style="29" customWidth="1"/>
    <col min="4882" max="4882" width="8.875" style="29" customWidth="1"/>
    <col min="4883" max="4883" width="1.375" style="29" customWidth="1"/>
    <col min="4884" max="5120" width="9" style="29"/>
    <col min="5121" max="5121" width="15.5" style="29" customWidth="1"/>
    <col min="5122" max="5130" width="6.875" style="29" customWidth="1"/>
    <col min="5131" max="5131" width="8.25" style="29" customWidth="1"/>
    <col min="5132" max="5132" width="4.125" style="29" customWidth="1"/>
    <col min="5133" max="5133" width="21" style="29" customWidth="1"/>
    <col min="5134" max="5135" width="10.125" style="29" customWidth="1"/>
    <col min="5136" max="5136" width="11.25" style="29" customWidth="1"/>
    <col min="5137" max="5137" width="10.125" style="29" customWidth="1"/>
    <col min="5138" max="5138" width="8.875" style="29" customWidth="1"/>
    <col min="5139" max="5139" width="1.375" style="29" customWidth="1"/>
    <col min="5140" max="5376" width="9" style="29"/>
    <col min="5377" max="5377" width="15.5" style="29" customWidth="1"/>
    <col min="5378" max="5386" width="6.875" style="29" customWidth="1"/>
    <col min="5387" max="5387" width="8.25" style="29" customWidth="1"/>
    <col min="5388" max="5388" width="4.125" style="29" customWidth="1"/>
    <col min="5389" max="5389" width="21" style="29" customWidth="1"/>
    <col min="5390" max="5391" width="10.125" style="29" customWidth="1"/>
    <col min="5392" max="5392" width="11.25" style="29" customWidth="1"/>
    <col min="5393" max="5393" width="10.125" style="29" customWidth="1"/>
    <col min="5394" max="5394" width="8.875" style="29" customWidth="1"/>
    <col min="5395" max="5395" width="1.375" style="29" customWidth="1"/>
    <col min="5396" max="5632" width="9" style="29"/>
    <col min="5633" max="5633" width="15.5" style="29" customWidth="1"/>
    <col min="5634" max="5642" width="6.875" style="29" customWidth="1"/>
    <col min="5643" max="5643" width="8.25" style="29" customWidth="1"/>
    <col min="5644" max="5644" width="4.125" style="29" customWidth="1"/>
    <col min="5645" max="5645" width="21" style="29" customWidth="1"/>
    <col min="5646" max="5647" width="10.125" style="29" customWidth="1"/>
    <col min="5648" max="5648" width="11.25" style="29" customWidth="1"/>
    <col min="5649" max="5649" width="10.125" style="29" customWidth="1"/>
    <col min="5650" max="5650" width="8.875" style="29" customWidth="1"/>
    <col min="5651" max="5651" width="1.375" style="29" customWidth="1"/>
    <col min="5652" max="5888" width="9" style="29"/>
    <col min="5889" max="5889" width="15.5" style="29" customWidth="1"/>
    <col min="5890" max="5898" width="6.875" style="29" customWidth="1"/>
    <col min="5899" max="5899" width="8.25" style="29" customWidth="1"/>
    <col min="5900" max="5900" width="4.125" style="29" customWidth="1"/>
    <col min="5901" max="5901" width="21" style="29" customWidth="1"/>
    <col min="5902" max="5903" width="10.125" style="29" customWidth="1"/>
    <col min="5904" max="5904" width="11.25" style="29" customWidth="1"/>
    <col min="5905" max="5905" width="10.125" style="29" customWidth="1"/>
    <col min="5906" max="5906" width="8.875" style="29" customWidth="1"/>
    <col min="5907" max="5907" width="1.375" style="29" customWidth="1"/>
    <col min="5908" max="6144" width="9" style="29"/>
    <col min="6145" max="6145" width="15.5" style="29" customWidth="1"/>
    <col min="6146" max="6154" width="6.875" style="29" customWidth="1"/>
    <col min="6155" max="6155" width="8.25" style="29" customWidth="1"/>
    <col min="6156" max="6156" width="4.125" style="29" customWidth="1"/>
    <col min="6157" max="6157" width="21" style="29" customWidth="1"/>
    <col min="6158" max="6159" width="10.125" style="29" customWidth="1"/>
    <col min="6160" max="6160" width="11.25" style="29" customWidth="1"/>
    <col min="6161" max="6161" width="10.125" style="29" customWidth="1"/>
    <col min="6162" max="6162" width="8.875" style="29" customWidth="1"/>
    <col min="6163" max="6163" width="1.375" style="29" customWidth="1"/>
    <col min="6164" max="6400" width="9" style="29"/>
    <col min="6401" max="6401" width="15.5" style="29" customWidth="1"/>
    <col min="6402" max="6410" width="6.875" style="29" customWidth="1"/>
    <col min="6411" max="6411" width="8.25" style="29" customWidth="1"/>
    <col min="6412" max="6412" width="4.125" style="29" customWidth="1"/>
    <col min="6413" max="6413" width="21" style="29" customWidth="1"/>
    <col min="6414" max="6415" width="10.125" style="29" customWidth="1"/>
    <col min="6416" max="6416" width="11.25" style="29" customWidth="1"/>
    <col min="6417" max="6417" width="10.125" style="29" customWidth="1"/>
    <col min="6418" max="6418" width="8.875" style="29" customWidth="1"/>
    <col min="6419" max="6419" width="1.375" style="29" customWidth="1"/>
    <col min="6420" max="6656" width="9" style="29"/>
    <col min="6657" max="6657" width="15.5" style="29" customWidth="1"/>
    <col min="6658" max="6666" width="6.875" style="29" customWidth="1"/>
    <col min="6667" max="6667" width="8.25" style="29" customWidth="1"/>
    <col min="6668" max="6668" width="4.125" style="29" customWidth="1"/>
    <col min="6669" max="6669" width="21" style="29" customWidth="1"/>
    <col min="6670" max="6671" width="10.125" style="29" customWidth="1"/>
    <col min="6672" max="6672" width="11.25" style="29" customWidth="1"/>
    <col min="6673" max="6673" width="10.125" style="29" customWidth="1"/>
    <col min="6674" max="6674" width="8.875" style="29" customWidth="1"/>
    <col min="6675" max="6675" width="1.375" style="29" customWidth="1"/>
    <col min="6676" max="6912" width="9" style="29"/>
    <col min="6913" max="6913" width="15.5" style="29" customWidth="1"/>
    <col min="6914" max="6922" width="6.875" style="29" customWidth="1"/>
    <col min="6923" max="6923" width="8.25" style="29" customWidth="1"/>
    <col min="6924" max="6924" width="4.125" style="29" customWidth="1"/>
    <col min="6925" max="6925" width="21" style="29" customWidth="1"/>
    <col min="6926" max="6927" width="10.125" style="29" customWidth="1"/>
    <col min="6928" max="6928" width="11.25" style="29" customWidth="1"/>
    <col min="6929" max="6929" width="10.125" style="29" customWidth="1"/>
    <col min="6930" max="6930" width="8.875" style="29" customWidth="1"/>
    <col min="6931" max="6931" width="1.375" style="29" customWidth="1"/>
    <col min="6932" max="7168" width="9" style="29"/>
    <col min="7169" max="7169" width="15.5" style="29" customWidth="1"/>
    <col min="7170" max="7178" width="6.875" style="29" customWidth="1"/>
    <col min="7179" max="7179" width="8.25" style="29" customWidth="1"/>
    <col min="7180" max="7180" width="4.125" style="29" customWidth="1"/>
    <col min="7181" max="7181" width="21" style="29" customWidth="1"/>
    <col min="7182" max="7183" width="10.125" style="29" customWidth="1"/>
    <col min="7184" max="7184" width="11.25" style="29" customWidth="1"/>
    <col min="7185" max="7185" width="10.125" style="29" customWidth="1"/>
    <col min="7186" max="7186" width="8.875" style="29" customWidth="1"/>
    <col min="7187" max="7187" width="1.375" style="29" customWidth="1"/>
    <col min="7188" max="7424" width="9" style="29"/>
    <col min="7425" max="7425" width="15.5" style="29" customWidth="1"/>
    <col min="7426" max="7434" width="6.875" style="29" customWidth="1"/>
    <col min="7435" max="7435" width="8.25" style="29" customWidth="1"/>
    <col min="7436" max="7436" width="4.125" style="29" customWidth="1"/>
    <col min="7437" max="7437" width="21" style="29" customWidth="1"/>
    <col min="7438" max="7439" width="10.125" style="29" customWidth="1"/>
    <col min="7440" max="7440" width="11.25" style="29" customWidth="1"/>
    <col min="7441" max="7441" width="10.125" style="29" customWidth="1"/>
    <col min="7442" max="7442" width="8.875" style="29" customWidth="1"/>
    <col min="7443" max="7443" width="1.375" style="29" customWidth="1"/>
    <col min="7444" max="7680" width="9" style="29"/>
    <col min="7681" max="7681" width="15.5" style="29" customWidth="1"/>
    <col min="7682" max="7690" width="6.875" style="29" customWidth="1"/>
    <col min="7691" max="7691" width="8.25" style="29" customWidth="1"/>
    <col min="7692" max="7692" width="4.125" style="29" customWidth="1"/>
    <col min="7693" max="7693" width="21" style="29" customWidth="1"/>
    <col min="7694" max="7695" width="10.125" style="29" customWidth="1"/>
    <col min="7696" max="7696" width="11.25" style="29" customWidth="1"/>
    <col min="7697" max="7697" width="10.125" style="29" customWidth="1"/>
    <col min="7698" max="7698" width="8.875" style="29" customWidth="1"/>
    <col min="7699" max="7699" width="1.375" style="29" customWidth="1"/>
    <col min="7700" max="7936" width="9" style="29"/>
    <col min="7937" max="7937" width="15.5" style="29" customWidth="1"/>
    <col min="7938" max="7946" width="6.875" style="29" customWidth="1"/>
    <col min="7947" max="7947" width="8.25" style="29" customWidth="1"/>
    <col min="7948" max="7948" width="4.125" style="29" customWidth="1"/>
    <col min="7949" max="7949" width="21" style="29" customWidth="1"/>
    <col min="7950" max="7951" width="10.125" style="29" customWidth="1"/>
    <col min="7952" max="7952" width="11.25" style="29" customWidth="1"/>
    <col min="7953" max="7953" width="10.125" style="29" customWidth="1"/>
    <col min="7954" max="7954" width="8.875" style="29" customWidth="1"/>
    <col min="7955" max="7955" width="1.375" style="29" customWidth="1"/>
    <col min="7956" max="8192" width="9" style="29"/>
    <col min="8193" max="8193" width="15.5" style="29" customWidth="1"/>
    <col min="8194" max="8202" width="6.875" style="29" customWidth="1"/>
    <col min="8203" max="8203" width="8.25" style="29" customWidth="1"/>
    <col min="8204" max="8204" width="4.125" style="29" customWidth="1"/>
    <col min="8205" max="8205" width="21" style="29" customWidth="1"/>
    <col min="8206" max="8207" width="10.125" style="29" customWidth="1"/>
    <col min="8208" max="8208" width="11.25" style="29" customWidth="1"/>
    <col min="8209" max="8209" width="10.125" style="29" customWidth="1"/>
    <col min="8210" max="8210" width="8.875" style="29" customWidth="1"/>
    <col min="8211" max="8211" width="1.375" style="29" customWidth="1"/>
    <col min="8212" max="8448" width="9" style="29"/>
    <col min="8449" max="8449" width="15.5" style="29" customWidth="1"/>
    <col min="8450" max="8458" width="6.875" style="29" customWidth="1"/>
    <col min="8459" max="8459" width="8.25" style="29" customWidth="1"/>
    <col min="8460" max="8460" width="4.125" style="29" customWidth="1"/>
    <col min="8461" max="8461" width="21" style="29" customWidth="1"/>
    <col min="8462" max="8463" width="10.125" style="29" customWidth="1"/>
    <col min="8464" max="8464" width="11.25" style="29" customWidth="1"/>
    <col min="8465" max="8465" width="10.125" style="29" customWidth="1"/>
    <col min="8466" max="8466" width="8.875" style="29" customWidth="1"/>
    <col min="8467" max="8467" width="1.375" style="29" customWidth="1"/>
    <col min="8468" max="8704" width="9" style="29"/>
    <col min="8705" max="8705" width="15.5" style="29" customWidth="1"/>
    <col min="8706" max="8714" width="6.875" style="29" customWidth="1"/>
    <col min="8715" max="8715" width="8.25" style="29" customWidth="1"/>
    <col min="8716" max="8716" width="4.125" style="29" customWidth="1"/>
    <col min="8717" max="8717" width="21" style="29" customWidth="1"/>
    <col min="8718" max="8719" width="10.125" style="29" customWidth="1"/>
    <col min="8720" max="8720" width="11.25" style="29" customWidth="1"/>
    <col min="8721" max="8721" width="10.125" style="29" customWidth="1"/>
    <col min="8722" max="8722" width="8.875" style="29" customWidth="1"/>
    <col min="8723" max="8723" width="1.375" style="29" customWidth="1"/>
    <col min="8724" max="8960" width="9" style="29"/>
    <col min="8961" max="8961" width="15.5" style="29" customWidth="1"/>
    <col min="8962" max="8970" width="6.875" style="29" customWidth="1"/>
    <col min="8971" max="8971" width="8.25" style="29" customWidth="1"/>
    <col min="8972" max="8972" width="4.125" style="29" customWidth="1"/>
    <col min="8973" max="8973" width="21" style="29" customWidth="1"/>
    <col min="8974" max="8975" width="10.125" style="29" customWidth="1"/>
    <col min="8976" max="8976" width="11.25" style="29" customWidth="1"/>
    <col min="8977" max="8977" width="10.125" style="29" customWidth="1"/>
    <col min="8978" max="8978" width="8.875" style="29" customWidth="1"/>
    <col min="8979" max="8979" width="1.375" style="29" customWidth="1"/>
    <col min="8980" max="9216" width="9" style="29"/>
    <col min="9217" max="9217" width="15.5" style="29" customWidth="1"/>
    <col min="9218" max="9226" width="6.875" style="29" customWidth="1"/>
    <col min="9227" max="9227" width="8.25" style="29" customWidth="1"/>
    <col min="9228" max="9228" width="4.125" style="29" customWidth="1"/>
    <col min="9229" max="9229" width="21" style="29" customWidth="1"/>
    <col min="9230" max="9231" width="10.125" style="29" customWidth="1"/>
    <col min="9232" max="9232" width="11.25" style="29" customWidth="1"/>
    <col min="9233" max="9233" width="10.125" style="29" customWidth="1"/>
    <col min="9234" max="9234" width="8.875" style="29" customWidth="1"/>
    <col min="9235" max="9235" width="1.375" style="29" customWidth="1"/>
    <col min="9236" max="9472" width="9" style="29"/>
    <col min="9473" max="9473" width="15.5" style="29" customWidth="1"/>
    <col min="9474" max="9482" width="6.875" style="29" customWidth="1"/>
    <col min="9483" max="9483" width="8.25" style="29" customWidth="1"/>
    <col min="9484" max="9484" width="4.125" style="29" customWidth="1"/>
    <col min="9485" max="9485" width="21" style="29" customWidth="1"/>
    <col min="9486" max="9487" width="10.125" style="29" customWidth="1"/>
    <col min="9488" max="9488" width="11.25" style="29" customWidth="1"/>
    <col min="9489" max="9489" width="10.125" style="29" customWidth="1"/>
    <col min="9490" max="9490" width="8.875" style="29" customWidth="1"/>
    <col min="9491" max="9491" width="1.375" style="29" customWidth="1"/>
    <col min="9492" max="9728" width="9" style="29"/>
    <col min="9729" max="9729" width="15.5" style="29" customWidth="1"/>
    <col min="9730" max="9738" width="6.875" style="29" customWidth="1"/>
    <col min="9739" max="9739" width="8.25" style="29" customWidth="1"/>
    <col min="9740" max="9740" width="4.125" style="29" customWidth="1"/>
    <col min="9741" max="9741" width="21" style="29" customWidth="1"/>
    <col min="9742" max="9743" width="10.125" style="29" customWidth="1"/>
    <col min="9744" max="9744" width="11.25" style="29" customWidth="1"/>
    <col min="9745" max="9745" width="10.125" style="29" customWidth="1"/>
    <col min="9746" max="9746" width="8.875" style="29" customWidth="1"/>
    <col min="9747" max="9747" width="1.375" style="29" customWidth="1"/>
    <col min="9748" max="9984" width="9" style="29"/>
    <col min="9985" max="9985" width="15.5" style="29" customWidth="1"/>
    <col min="9986" max="9994" width="6.875" style="29" customWidth="1"/>
    <col min="9995" max="9995" width="8.25" style="29" customWidth="1"/>
    <col min="9996" max="9996" width="4.125" style="29" customWidth="1"/>
    <col min="9997" max="9997" width="21" style="29" customWidth="1"/>
    <col min="9998" max="9999" width="10.125" style="29" customWidth="1"/>
    <col min="10000" max="10000" width="11.25" style="29" customWidth="1"/>
    <col min="10001" max="10001" width="10.125" style="29" customWidth="1"/>
    <col min="10002" max="10002" width="8.875" style="29" customWidth="1"/>
    <col min="10003" max="10003" width="1.375" style="29" customWidth="1"/>
    <col min="10004" max="10240" width="9" style="29"/>
    <col min="10241" max="10241" width="15.5" style="29" customWidth="1"/>
    <col min="10242" max="10250" width="6.875" style="29" customWidth="1"/>
    <col min="10251" max="10251" width="8.25" style="29" customWidth="1"/>
    <col min="10252" max="10252" width="4.125" style="29" customWidth="1"/>
    <col min="10253" max="10253" width="21" style="29" customWidth="1"/>
    <col min="10254" max="10255" width="10.125" style="29" customWidth="1"/>
    <col min="10256" max="10256" width="11.25" style="29" customWidth="1"/>
    <col min="10257" max="10257" width="10.125" style="29" customWidth="1"/>
    <col min="10258" max="10258" width="8.875" style="29" customWidth="1"/>
    <col min="10259" max="10259" width="1.375" style="29" customWidth="1"/>
    <col min="10260" max="10496" width="9" style="29"/>
    <col min="10497" max="10497" width="15.5" style="29" customWidth="1"/>
    <col min="10498" max="10506" width="6.875" style="29" customWidth="1"/>
    <col min="10507" max="10507" width="8.25" style="29" customWidth="1"/>
    <col min="10508" max="10508" width="4.125" style="29" customWidth="1"/>
    <col min="10509" max="10509" width="21" style="29" customWidth="1"/>
    <col min="10510" max="10511" width="10.125" style="29" customWidth="1"/>
    <col min="10512" max="10512" width="11.25" style="29" customWidth="1"/>
    <col min="10513" max="10513" width="10.125" style="29" customWidth="1"/>
    <col min="10514" max="10514" width="8.875" style="29" customWidth="1"/>
    <col min="10515" max="10515" width="1.375" style="29" customWidth="1"/>
    <col min="10516" max="10752" width="9" style="29"/>
    <col min="10753" max="10753" width="15.5" style="29" customWidth="1"/>
    <col min="10754" max="10762" width="6.875" style="29" customWidth="1"/>
    <col min="10763" max="10763" width="8.25" style="29" customWidth="1"/>
    <col min="10764" max="10764" width="4.125" style="29" customWidth="1"/>
    <col min="10765" max="10765" width="21" style="29" customWidth="1"/>
    <col min="10766" max="10767" width="10.125" style="29" customWidth="1"/>
    <col min="10768" max="10768" width="11.25" style="29" customWidth="1"/>
    <col min="10769" max="10769" width="10.125" style="29" customWidth="1"/>
    <col min="10770" max="10770" width="8.875" style="29" customWidth="1"/>
    <col min="10771" max="10771" width="1.375" style="29" customWidth="1"/>
    <col min="10772" max="11008" width="9" style="29"/>
    <col min="11009" max="11009" width="15.5" style="29" customWidth="1"/>
    <col min="11010" max="11018" width="6.875" style="29" customWidth="1"/>
    <col min="11019" max="11019" width="8.25" style="29" customWidth="1"/>
    <col min="11020" max="11020" width="4.125" style="29" customWidth="1"/>
    <col min="11021" max="11021" width="21" style="29" customWidth="1"/>
    <col min="11022" max="11023" width="10.125" style="29" customWidth="1"/>
    <col min="11024" max="11024" width="11.25" style="29" customWidth="1"/>
    <col min="11025" max="11025" width="10.125" style="29" customWidth="1"/>
    <col min="11026" max="11026" width="8.875" style="29" customWidth="1"/>
    <col min="11027" max="11027" width="1.375" style="29" customWidth="1"/>
    <col min="11028" max="11264" width="9" style="29"/>
    <col min="11265" max="11265" width="15.5" style="29" customWidth="1"/>
    <col min="11266" max="11274" width="6.875" style="29" customWidth="1"/>
    <col min="11275" max="11275" width="8.25" style="29" customWidth="1"/>
    <col min="11276" max="11276" width="4.125" style="29" customWidth="1"/>
    <col min="11277" max="11277" width="21" style="29" customWidth="1"/>
    <col min="11278" max="11279" width="10.125" style="29" customWidth="1"/>
    <col min="11280" max="11280" width="11.25" style="29" customWidth="1"/>
    <col min="11281" max="11281" width="10.125" style="29" customWidth="1"/>
    <col min="11282" max="11282" width="8.875" style="29" customWidth="1"/>
    <col min="11283" max="11283" width="1.375" style="29" customWidth="1"/>
    <col min="11284" max="11520" width="9" style="29"/>
    <col min="11521" max="11521" width="15.5" style="29" customWidth="1"/>
    <col min="11522" max="11530" width="6.875" style="29" customWidth="1"/>
    <col min="11531" max="11531" width="8.25" style="29" customWidth="1"/>
    <col min="11532" max="11532" width="4.125" style="29" customWidth="1"/>
    <col min="11533" max="11533" width="21" style="29" customWidth="1"/>
    <col min="11534" max="11535" width="10.125" style="29" customWidth="1"/>
    <col min="11536" max="11536" width="11.25" style="29" customWidth="1"/>
    <col min="11537" max="11537" width="10.125" style="29" customWidth="1"/>
    <col min="11538" max="11538" width="8.875" style="29" customWidth="1"/>
    <col min="11539" max="11539" width="1.375" style="29" customWidth="1"/>
    <col min="11540" max="11776" width="9" style="29"/>
    <col min="11777" max="11777" width="15.5" style="29" customWidth="1"/>
    <col min="11778" max="11786" width="6.875" style="29" customWidth="1"/>
    <col min="11787" max="11787" width="8.25" style="29" customWidth="1"/>
    <col min="11788" max="11788" width="4.125" style="29" customWidth="1"/>
    <col min="11789" max="11789" width="21" style="29" customWidth="1"/>
    <col min="11790" max="11791" width="10.125" style="29" customWidth="1"/>
    <col min="11792" max="11792" width="11.25" style="29" customWidth="1"/>
    <col min="11793" max="11793" width="10.125" style="29" customWidth="1"/>
    <col min="11794" max="11794" width="8.875" style="29" customWidth="1"/>
    <col min="11795" max="11795" width="1.375" style="29" customWidth="1"/>
    <col min="11796" max="12032" width="9" style="29"/>
    <col min="12033" max="12033" width="15.5" style="29" customWidth="1"/>
    <col min="12034" max="12042" width="6.875" style="29" customWidth="1"/>
    <col min="12043" max="12043" width="8.25" style="29" customWidth="1"/>
    <col min="12044" max="12044" width="4.125" style="29" customWidth="1"/>
    <col min="12045" max="12045" width="21" style="29" customWidth="1"/>
    <col min="12046" max="12047" width="10.125" style="29" customWidth="1"/>
    <col min="12048" max="12048" width="11.25" style="29" customWidth="1"/>
    <col min="12049" max="12049" width="10.125" style="29" customWidth="1"/>
    <col min="12050" max="12050" width="8.875" style="29" customWidth="1"/>
    <col min="12051" max="12051" width="1.375" style="29" customWidth="1"/>
    <col min="12052" max="12288" width="9" style="29"/>
    <col min="12289" max="12289" width="15.5" style="29" customWidth="1"/>
    <col min="12290" max="12298" width="6.875" style="29" customWidth="1"/>
    <col min="12299" max="12299" width="8.25" style="29" customWidth="1"/>
    <col min="12300" max="12300" width="4.125" style="29" customWidth="1"/>
    <col min="12301" max="12301" width="21" style="29" customWidth="1"/>
    <col min="12302" max="12303" width="10.125" style="29" customWidth="1"/>
    <col min="12304" max="12304" width="11.25" style="29" customWidth="1"/>
    <col min="12305" max="12305" width="10.125" style="29" customWidth="1"/>
    <col min="12306" max="12306" width="8.875" style="29" customWidth="1"/>
    <col min="12307" max="12307" width="1.375" style="29" customWidth="1"/>
    <col min="12308" max="12544" width="9" style="29"/>
    <col min="12545" max="12545" width="15.5" style="29" customWidth="1"/>
    <col min="12546" max="12554" width="6.875" style="29" customWidth="1"/>
    <col min="12555" max="12555" width="8.25" style="29" customWidth="1"/>
    <col min="12556" max="12556" width="4.125" style="29" customWidth="1"/>
    <col min="12557" max="12557" width="21" style="29" customWidth="1"/>
    <col min="12558" max="12559" width="10.125" style="29" customWidth="1"/>
    <col min="12560" max="12560" width="11.25" style="29" customWidth="1"/>
    <col min="12561" max="12561" width="10.125" style="29" customWidth="1"/>
    <col min="12562" max="12562" width="8.875" style="29" customWidth="1"/>
    <col min="12563" max="12563" width="1.375" style="29" customWidth="1"/>
    <col min="12564" max="12800" width="9" style="29"/>
    <col min="12801" max="12801" width="15.5" style="29" customWidth="1"/>
    <col min="12802" max="12810" width="6.875" style="29" customWidth="1"/>
    <col min="12811" max="12811" width="8.25" style="29" customWidth="1"/>
    <col min="12812" max="12812" width="4.125" style="29" customWidth="1"/>
    <col min="12813" max="12813" width="21" style="29" customWidth="1"/>
    <col min="12814" max="12815" width="10.125" style="29" customWidth="1"/>
    <col min="12816" max="12816" width="11.25" style="29" customWidth="1"/>
    <col min="12817" max="12817" width="10.125" style="29" customWidth="1"/>
    <col min="12818" max="12818" width="8.875" style="29" customWidth="1"/>
    <col min="12819" max="12819" width="1.375" style="29" customWidth="1"/>
    <col min="12820" max="13056" width="9" style="29"/>
    <col min="13057" max="13057" width="15.5" style="29" customWidth="1"/>
    <col min="13058" max="13066" width="6.875" style="29" customWidth="1"/>
    <col min="13067" max="13067" width="8.25" style="29" customWidth="1"/>
    <col min="13068" max="13068" width="4.125" style="29" customWidth="1"/>
    <col min="13069" max="13069" width="21" style="29" customWidth="1"/>
    <col min="13070" max="13071" width="10.125" style="29" customWidth="1"/>
    <col min="13072" max="13072" width="11.25" style="29" customWidth="1"/>
    <col min="13073" max="13073" width="10.125" style="29" customWidth="1"/>
    <col min="13074" max="13074" width="8.875" style="29" customWidth="1"/>
    <col min="13075" max="13075" width="1.375" style="29" customWidth="1"/>
    <col min="13076" max="13312" width="9" style="29"/>
    <col min="13313" max="13313" width="15.5" style="29" customWidth="1"/>
    <col min="13314" max="13322" width="6.875" style="29" customWidth="1"/>
    <col min="13323" max="13323" width="8.25" style="29" customWidth="1"/>
    <col min="13324" max="13324" width="4.125" style="29" customWidth="1"/>
    <col min="13325" max="13325" width="21" style="29" customWidth="1"/>
    <col min="13326" max="13327" width="10.125" style="29" customWidth="1"/>
    <col min="13328" max="13328" width="11.25" style="29" customWidth="1"/>
    <col min="13329" max="13329" width="10.125" style="29" customWidth="1"/>
    <col min="13330" max="13330" width="8.875" style="29" customWidth="1"/>
    <col min="13331" max="13331" width="1.375" style="29" customWidth="1"/>
    <col min="13332" max="13568" width="9" style="29"/>
    <col min="13569" max="13569" width="15.5" style="29" customWidth="1"/>
    <col min="13570" max="13578" width="6.875" style="29" customWidth="1"/>
    <col min="13579" max="13579" width="8.25" style="29" customWidth="1"/>
    <col min="13580" max="13580" width="4.125" style="29" customWidth="1"/>
    <col min="13581" max="13581" width="21" style="29" customWidth="1"/>
    <col min="13582" max="13583" width="10.125" style="29" customWidth="1"/>
    <col min="13584" max="13584" width="11.25" style="29" customWidth="1"/>
    <col min="13585" max="13585" width="10.125" style="29" customWidth="1"/>
    <col min="13586" max="13586" width="8.875" style="29" customWidth="1"/>
    <col min="13587" max="13587" width="1.375" style="29" customWidth="1"/>
    <col min="13588" max="13824" width="9" style="29"/>
    <col min="13825" max="13825" width="15.5" style="29" customWidth="1"/>
    <col min="13826" max="13834" width="6.875" style="29" customWidth="1"/>
    <col min="13835" max="13835" width="8.25" style="29" customWidth="1"/>
    <col min="13836" max="13836" width="4.125" style="29" customWidth="1"/>
    <col min="13837" max="13837" width="21" style="29" customWidth="1"/>
    <col min="13838" max="13839" width="10.125" style="29" customWidth="1"/>
    <col min="13840" max="13840" width="11.25" style="29" customWidth="1"/>
    <col min="13841" max="13841" width="10.125" style="29" customWidth="1"/>
    <col min="13842" max="13842" width="8.875" style="29" customWidth="1"/>
    <col min="13843" max="13843" width="1.375" style="29" customWidth="1"/>
    <col min="13844" max="14080" width="9" style="29"/>
    <col min="14081" max="14081" width="15.5" style="29" customWidth="1"/>
    <col min="14082" max="14090" width="6.875" style="29" customWidth="1"/>
    <col min="14091" max="14091" width="8.25" style="29" customWidth="1"/>
    <col min="14092" max="14092" width="4.125" style="29" customWidth="1"/>
    <col min="14093" max="14093" width="21" style="29" customWidth="1"/>
    <col min="14094" max="14095" width="10.125" style="29" customWidth="1"/>
    <col min="14096" max="14096" width="11.25" style="29" customWidth="1"/>
    <col min="14097" max="14097" width="10.125" style="29" customWidth="1"/>
    <col min="14098" max="14098" width="8.875" style="29" customWidth="1"/>
    <col min="14099" max="14099" width="1.375" style="29" customWidth="1"/>
    <col min="14100" max="14336" width="9" style="29"/>
    <col min="14337" max="14337" width="15.5" style="29" customWidth="1"/>
    <col min="14338" max="14346" width="6.875" style="29" customWidth="1"/>
    <col min="14347" max="14347" width="8.25" style="29" customWidth="1"/>
    <col min="14348" max="14348" width="4.125" style="29" customWidth="1"/>
    <col min="14349" max="14349" width="21" style="29" customWidth="1"/>
    <col min="14350" max="14351" width="10.125" style="29" customWidth="1"/>
    <col min="14352" max="14352" width="11.25" style="29" customWidth="1"/>
    <col min="14353" max="14353" width="10.125" style="29" customWidth="1"/>
    <col min="14354" max="14354" width="8.875" style="29" customWidth="1"/>
    <col min="14355" max="14355" width="1.375" style="29" customWidth="1"/>
    <col min="14356" max="14592" width="9" style="29"/>
    <col min="14593" max="14593" width="15.5" style="29" customWidth="1"/>
    <col min="14594" max="14602" width="6.875" style="29" customWidth="1"/>
    <col min="14603" max="14603" width="8.25" style="29" customWidth="1"/>
    <col min="14604" max="14604" width="4.125" style="29" customWidth="1"/>
    <col min="14605" max="14605" width="21" style="29" customWidth="1"/>
    <col min="14606" max="14607" width="10.125" style="29" customWidth="1"/>
    <col min="14608" max="14608" width="11.25" style="29" customWidth="1"/>
    <col min="14609" max="14609" width="10.125" style="29" customWidth="1"/>
    <col min="14610" max="14610" width="8.875" style="29" customWidth="1"/>
    <col min="14611" max="14611" width="1.375" style="29" customWidth="1"/>
    <col min="14612" max="14848" width="9" style="29"/>
    <col min="14849" max="14849" width="15.5" style="29" customWidth="1"/>
    <col min="14850" max="14858" width="6.875" style="29" customWidth="1"/>
    <col min="14859" max="14859" width="8.25" style="29" customWidth="1"/>
    <col min="14860" max="14860" width="4.125" style="29" customWidth="1"/>
    <col min="14861" max="14861" width="21" style="29" customWidth="1"/>
    <col min="14862" max="14863" width="10.125" style="29" customWidth="1"/>
    <col min="14864" max="14864" width="11.25" style="29" customWidth="1"/>
    <col min="14865" max="14865" width="10.125" style="29" customWidth="1"/>
    <col min="14866" max="14866" width="8.875" style="29" customWidth="1"/>
    <col min="14867" max="14867" width="1.375" style="29" customWidth="1"/>
    <col min="14868" max="15104" width="9" style="29"/>
    <col min="15105" max="15105" width="15.5" style="29" customWidth="1"/>
    <col min="15106" max="15114" width="6.875" style="29" customWidth="1"/>
    <col min="15115" max="15115" width="8.25" style="29" customWidth="1"/>
    <col min="15116" max="15116" width="4.125" style="29" customWidth="1"/>
    <col min="15117" max="15117" width="21" style="29" customWidth="1"/>
    <col min="15118" max="15119" width="10.125" style="29" customWidth="1"/>
    <col min="15120" max="15120" width="11.25" style="29" customWidth="1"/>
    <col min="15121" max="15121" width="10.125" style="29" customWidth="1"/>
    <col min="15122" max="15122" width="8.875" style="29" customWidth="1"/>
    <col min="15123" max="15123" width="1.375" style="29" customWidth="1"/>
    <col min="15124" max="15360" width="9" style="29"/>
    <col min="15361" max="15361" width="15.5" style="29" customWidth="1"/>
    <col min="15362" max="15370" width="6.875" style="29" customWidth="1"/>
    <col min="15371" max="15371" width="8.25" style="29" customWidth="1"/>
    <col min="15372" max="15372" width="4.125" style="29" customWidth="1"/>
    <col min="15373" max="15373" width="21" style="29" customWidth="1"/>
    <col min="15374" max="15375" width="10.125" style="29" customWidth="1"/>
    <col min="15376" max="15376" width="11.25" style="29" customWidth="1"/>
    <col min="15377" max="15377" width="10.125" style="29" customWidth="1"/>
    <col min="15378" max="15378" width="8.875" style="29" customWidth="1"/>
    <col min="15379" max="15379" width="1.375" style="29" customWidth="1"/>
    <col min="15380" max="15616" width="9" style="29"/>
    <col min="15617" max="15617" width="15.5" style="29" customWidth="1"/>
    <col min="15618" max="15626" width="6.875" style="29" customWidth="1"/>
    <col min="15627" max="15627" width="8.25" style="29" customWidth="1"/>
    <col min="15628" max="15628" width="4.125" style="29" customWidth="1"/>
    <col min="15629" max="15629" width="21" style="29" customWidth="1"/>
    <col min="15630" max="15631" width="10.125" style="29" customWidth="1"/>
    <col min="15632" max="15632" width="11.25" style="29" customWidth="1"/>
    <col min="15633" max="15633" width="10.125" style="29" customWidth="1"/>
    <col min="15634" max="15634" width="8.875" style="29" customWidth="1"/>
    <col min="15635" max="15635" width="1.375" style="29" customWidth="1"/>
    <col min="15636" max="15872" width="9" style="29"/>
    <col min="15873" max="15873" width="15.5" style="29" customWidth="1"/>
    <col min="15874" max="15882" width="6.875" style="29" customWidth="1"/>
    <col min="15883" max="15883" width="8.25" style="29" customWidth="1"/>
    <col min="15884" max="15884" width="4.125" style="29" customWidth="1"/>
    <col min="15885" max="15885" width="21" style="29" customWidth="1"/>
    <col min="15886" max="15887" width="10.125" style="29" customWidth="1"/>
    <col min="15888" max="15888" width="11.25" style="29" customWidth="1"/>
    <col min="15889" max="15889" width="10.125" style="29" customWidth="1"/>
    <col min="15890" max="15890" width="8.875" style="29" customWidth="1"/>
    <col min="15891" max="15891" width="1.375" style="29" customWidth="1"/>
    <col min="15892" max="16128" width="9" style="29"/>
    <col min="16129" max="16129" width="15.5" style="29" customWidth="1"/>
    <col min="16130" max="16138" width="6.875" style="29" customWidth="1"/>
    <col min="16139" max="16139" width="8.25" style="29" customWidth="1"/>
    <col min="16140" max="16140" width="4.125" style="29" customWidth="1"/>
    <col min="16141" max="16141" width="21" style="29" customWidth="1"/>
    <col min="16142" max="16143" width="10.125" style="29" customWidth="1"/>
    <col min="16144" max="16144" width="11.25" style="29" customWidth="1"/>
    <col min="16145" max="16145" width="10.125" style="29" customWidth="1"/>
    <col min="16146" max="16146" width="8.875" style="29" customWidth="1"/>
    <col min="16147" max="16147" width="1.375" style="29" customWidth="1"/>
    <col min="16148" max="16384" width="9" style="29"/>
  </cols>
  <sheetData>
    <row r="1" spans="1:18" x14ac:dyDescent="0.25">
      <c r="A1" s="808" t="str">
        <f>Chinh!$A$1</f>
        <v>UBND PHƯỜNG CAM LINH</v>
      </c>
      <c r="B1" s="808"/>
      <c r="C1" s="808"/>
      <c r="D1" s="808"/>
    </row>
    <row r="2" spans="1:18" x14ac:dyDescent="0.25">
      <c r="A2" s="618" t="str">
        <f>IF(Chinh!$I$9&lt;&gt;"",Chinh!$A$2,"")</f>
        <v/>
      </c>
      <c r="B2" s="618"/>
      <c r="C2" s="618"/>
      <c r="D2" s="618"/>
      <c r="M2" s="680" t="str">
        <f>IF(S19="Nhập liệu!","Nhập số Tổng HS lớp 5, Hoàn thành CTTH năm qua và tiếp tục vào trường THCS!",IF(S19="er","Còn lỗi!","Hoàn thành!"))</f>
        <v>Nhập số Tổng HS lớp 5, Hoàn thành CTTH năm qua và tiếp tục vào trường THCS!</v>
      </c>
      <c r="N2" s="680"/>
      <c r="O2" s="680"/>
      <c r="P2" s="680"/>
      <c r="Q2" s="680"/>
      <c r="R2" s="680"/>
    </row>
    <row r="3" spans="1:18" ht="22.5" customHeight="1" x14ac:dyDescent="0.25">
      <c r="A3" s="31" t="str">
        <f>"THỐNG KÊ ĐỘ TUỔI HỌC SINH TOÀN TRƯỜNG THEO XÃ,PHƯỜNG "&amp;"NĂM HỌC "&amp;Chinh!$H$5</f>
        <v>THỐNG KÊ ĐỘ TUỔI HỌC SINH TOÀN TRƯỜNG THEO XÃ,PHƯỜNG NĂM HỌC 2025-2026</v>
      </c>
      <c r="M3" s="32" t="s">
        <v>234</v>
      </c>
    </row>
    <row r="5" spans="1:18" x14ac:dyDescent="0.25">
      <c r="A5" s="38" t="s">
        <v>235</v>
      </c>
      <c r="B5" s="273">
        <f>IF(Chinh!$H$5="","",Chinh!$Q$4-TuoiTH!B6)</f>
        <v>2019</v>
      </c>
      <c r="C5" s="273">
        <f>IF(Chinh!$H$5="","",Chinh!$Q$4-TuoiTH!C6)</f>
        <v>2018</v>
      </c>
      <c r="D5" s="273">
        <f>IF(Chinh!$H$5="","",Chinh!$Q$4-TuoiTH!D6)</f>
        <v>2017</v>
      </c>
      <c r="E5" s="273">
        <f>IF(Chinh!$H$5="","",Chinh!$Q$4-TuoiTH!E6)</f>
        <v>2016</v>
      </c>
      <c r="F5" s="273">
        <f>IF(Chinh!$H$5="","",Chinh!$Q$4-TuoiTH!F6)</f>
        <v>2015</v>
      </c>
      <c r="G5" s="273">
        <f>IF(Chinh!$H$5="","",Chinh!$Q$4-TuoiTH!G6)</f>
        <v>2014</v>
      </c>
      <c r="H5" s="273">
        <f>IF(Chinh!$H$5="","",Chinh!$Q$4-TuoiTH!H6)</f>
        <v>2013</v>
      </c>
      <c r="I5" s="273">
        <f>IF(Chinh!$H$5="","",Chinh!$Q$4-TuoiTH!I6)</f>
        <v>2012</v>
      </c>
      <c r="J5" s="273">
        <f>IF(Chinh!$H$5="","",Chinh!$Q$4-TuoiTH!J6)</f>
        <v>2011</v>
      </c>
      <c r="K5" s="620" t="s">
        <v>236</v>
      </c>
      <c r="M5" s="46"/>
      <c r="N5" s="272" t="str">
        <f>"Lớp 1"</f>
        <v>Lớp 1</v>
      </c>
      <c r="O5" s="272" t="str">
        <f>"Lớp 2"</f>
        <v>Lớp 2</v>
      </c>
      <c r="P5" s="272" t="str">
        <f>"Lớp 3"</f>
        <v>Lớp 3</v>
      </c>
      <c r="Q5" s="272" t="str">
        <f>"Lớp 4"</f>
        <v>Lớp 4</v>
      </c>
      <c r="R5" s="272" t="str">
        <f>"Lớp 5"</f>
        <v>Lớp 5</v>
      </c>
    </row>
    <row r="6" spans="1:18" x14ac:dyDescent="0.25">
      <c r="A6" s="38" t="s">
        <v>237</v>
      </c>
      <c r="B6" s="39">
        <f>6</f>
        <v>6</v>
      </c>
      <c r="C6" s="39">
        <f>7</f>
        <v>7</v>
      </c>
      <c r="D6" s="39">
        <f>8</f>
        <v>8</v>
      </c>
      <c r="E6" s="39">
        <f>9</f>
        <v>9</v>
      </c>
      <c r="F6" s="39">
        <f>10</f>
        <v>10</v>
      </c>
      <c r="G6" s="39">
        <f>11</f>
        <v>11</v>
      </c>
      <c r="H6" s="39">
        <f>12</f>
        <v>12</v>
      </c>
      <c r="I6" s="39">
        <f>13</f>
        <v>13</v>
      </c>
      <c r="J6" s="39">
        <f>14</f>
        <v>14</v>
      </c>
      <c r="K6" s="620"/>
      <c r="M6" s="40" t="str">
        <f>"Tổng số HS trường: "&amp; SUM(N6:R6)</f>
        <v>Tổng số HS trường: 4</v>
      </c>
      <c r="N6" s="41">
        <f>SUM(N7:N16)</f>
        <v>0</v>
      </c>
      <c r="O6" s="41">
        <f>SUM(O7:O16)</f>
        <v>0</v>
      </c>
      <c r="P6" s="41">
        <f>SUM(P7:P16)</f>
        <v>1</v>
      </c>
      <c r="Q6" s="41">
        <f>SUM(Q7:Q16)</f>
        <v>1</v>
      </c>
      <c r="R6" s="41">
        <f>SUM(R7:R16)</f>
        <v>2</v>
      </c>
    </row>
    <row r="7" spans="1:18" x14ac:dyDescent="0.25">
      <c r="A7" s="38" t="s">
        <v>238</v>
      </c>
      <c r="B7" s="42">
        <f>B14+B18+B22+B25+B30+B31+B32</f>
        <v>0</v>
      </c>
      <c r="C7" s="42">
        <f t="shared" ref="C7:J7" si="0">C14+C18+C22+C25+C30+C31+C32</f>
        <v>0</v>
      </c>
      <c r="D7" s="42">
        <f t="shared" si="0"/>
        <v>0</v>
      </c>
      <c r="E7" s="42">
        <f t="shared" si="0"/>
        <v>1</v>
      </c>
      <c r="F7" s="42">
        <f t="shared" si="0"/>
        <v>1</v>
      </c>
      <c r="G7" s="42">
        <f t="shared" si="0"/>
        <v>2</v>
      </c>
      <c r="H7" s="42">
        <f t="shared" si="0"/>
        <v>0</v>
      </c>
      <c r="I7" s="42">
        <f t="shared" si="0"/>
        <v>0</v>
      </c>
      <c r="J7" s="42">
        <f t="shared" si="0"/>
        <v>0</v>
      </c>
      <c r="K7" s="790">
        <f>IF(SUM(B7:J7)=(K14+K18+K22+K25+K30+K31+K32),SUM(B7:J7),"er")</f>
        <v>4</v>
      </c>
      <c r="M7" s="43">
        <f>B6</f>
        <v>6</v>
      </c>
      <c r="N7" s="44">
        <f>SUMPRODUCT(--(TH!$Z$6:$Z$15000=6),--(TH!$B$6:$B$15000=1))</f>
        <v>0</v>
      </c>
      <c r="O7" s="44">
        <f>SUMPRODUCT(--(TH!$Z$6:$Z$15000=6),--(TH!$B$6:$B$15000=2))</f>
        <v>0</v>
      </c>
      <c r="P7" s="44">
        <f>SUMPRODUCT(--(TH!$Z$6:$Z$15000=6),--(TH!$B$6:$B$15000=3))</f>
        <v>0</v>
      </c>
      <c r="Q7" s="44">
        <f>SUMPRODUCT(--(TH!$Z$6:$Z$15000=6),--(TH!$B$6:$B$15000=4))</f>
        <v>0</v>
      </c>
      <c r="R7" s="44">
        <f>SUMPRODUCT(--(TH!$Z$6:$Z$15000=6),--(TH!$B$6:$B$15000=5))</f>
        <v>0</v>
      </c>
    </row>
    <row r="8" spans="1:18" x14ac:dyDescent="0.25">
      <c r="A8" s="38" t="s">
        <v>239</v>
      </c>
      <c r="B8" s="45">
        <f>SUMPRODUCT(--(TH!$Z$6:$Z$15000=6),--(TH!$I$6:$I$15000="X"))</f>
        <v>0</v>
      </c>
      <c r="C8" s="45">
        <f>SUMPRODUCT(--(TH!$Z$6:$Z$15000=7),--(TH!$I$6:$I$15000="X"))</f>
        <v>0</v>
      </c>
      <c r="D8" s="45">
        <f>SUMPRODUCT(--(TH!$Z$6:$Z$15000=8),--(TH!$I$6:$I$15000="X"))</f>
        <v>0</v>
      </c>
      <c r="E8" s="45">
        <f>SUMPRODUCT(--(TH!$Z$6:$Z$15000=9),--(TH!$I$6:$I$15000="X"))</f>
        <v>1</v>
      </c>
      <c r="F8" s="45">
        <f>SUMPRODUCT(--(TH!$Z$6:$Z$15000=10),--(TH!$I$6:$I$15000="X"))</f>
        <v>0</v>
      </c>
      <c r="G8" s="45">
        <f>SUMPRODUCT(--(TH!$Z$6:$Z$15000=11),--(TH!$I$6:$I$15000="X"))</f>
        <v>0</v>
      </c>
      <c r="H8" s="45">
        <f>SUMPRODUCT(--(TH!$Z$6:$Z$15000=12),--(TH!$I$6:$I$15000="X"))</f>
        <v>0</v>
      </c>
      <c r="I8" s="45">
        <f>SUMPRODUCT(--(TH!$Z$6:$Z$15000=13),--(TH!$I$6:$I$15000="X"))</f>
        <v>0</v>
      </c>
      <c r="J8" s="45">
        <f>SUMPRODUCT(--(TH!$Z$6:$Z$15000=14),--(TH!$I$6:$I$15000="X"))</f>
        <v>0</v>
      </c>
      <c r="K8" s="42">
        <f>SUM(B8:J8)</f>
        <v>1</v>
      </c>
      <c r="M8" s="43">
        <f>C6</f>
        <v>7</v>
      </c>
      <c r="N8" s="44">
        <f>SUMPRODUCT(--(TH!$Z$6:$Z$15000=7),--(TH!$B$6:$B$15000=1))</f>
        <v>0</v>
      </c>
      <c r="O8" s="44">
        <f>SUMPRODUCT(--(TH!$Z$6:$Z$15000=7),--(TH!$B$6:$B$15000=2))</f>
        <v>0</v>
      </c>
      <c r="P8" s="44">
        <f>SUMPRODUCT(--(TH!$Z$6:$Z$15000=7),--(TH!$B$6:$B$15000=3))</f>
        <v>0</v>
      </c>
      <c r="Q8" s="44">
        <f>SUMPRODUCT(--(TH!$Z$6:$Z$15000=7),--(TH!$B$6:$B$15000=4))</f>
        <v>0</v>
      </c>
      <c r="R8" s="44">
        <f>SUMPRODUCT(--(TH!$Z$6:$Z$15000=7),--(TH!$B$6:$B$15000=5))</f>
        <v>0</v>
      </c>
    </row>
    <row r="9" spans="1:18" x14ac:dyDescent="0.25">
      <c r="A9" s="38" t="s">
        <v>220</v>
      </c>
      <c r="B9" s="45">
        <f>SUMPRODUCT(--(TH!$Z$6:$Z$15000=6),--(TH!$J$6:$J$15000&lt;&gt;"Kinh"))</f>
        <v>0</v>
      </c>
      <c r="C9" s="45">
        <f>SUMPRODUCT(--(TH!$Z$6:$Z$15000=7),--(TH!$J$6:$J$15000&lt;&gt;"Kinh"))</f>
        <v>0</v>
      </c>
      <c r="D9" s="45">
        <f>SUMPRODUCT(--(TH!$Z$6:$Z$15000=8),--(TH!$J$6:$J$15000&lt;&gt;"Kinh"))</f>
        <v>0</v>
      </c>
      <c r="E9" s="45">
        <f>SUMPRODUCT(--(TH!$Z$6:$Z$15000=9),--(TH!$J$6:$J$15000&lt;&gt;"Kinh"))</f>
        <v>0</v>
      </c>
      <c r="F9" s="45">
        <f>SUMPRODUCT(--(TH!$Z$6:$Z$15000=10),--(TH!$J$6:$J$15000&lt;&gt;"Kinh"))</f>
        <v>0</v>
      </c>
      <c r="G9" s="45">
        <f>SUMPRODUCT(--(TH!$Z$6:$Z$15000=11),--(TH!$J$6:$J$15000&lt;&gt;"Kinh"))</f>
        <v>2</v>
      </c>
      <c r="H9" s="45">
        <f>SUMPRODUCT(--(TH!$Z$6:$Z$15000=12),--(TH!$J$6:$J$15000&lt;&gt;"Kinh"))</f>
        <v>0</v>
      </c>
      <c r="I9" s="45">
        <f>SUMPRODUCT(--(TH!$Z$6:$Z$15000=13),--(TH!$J$6:$J$15000&lt;&gt;"Kinh"))</f>
        <v>0</v>
      </c>
      <c r="J9" s="45">
        <f>SUMPRODUCT(--(TH!$Z$6:$Z$15000=14),--(TH!$J$6:$J$15000&lt;&gt;"Kinh"))</f>
        <v>0</v>
      </c>
      <c r="K9" s="42">
        <f>SUM(B9:J9)</f>
        <v>2</v>
      </c>
      <c r="M9" s="43">
        <f>D6</f>
        <v>8</v>
      </c>
      <c r="N9" s="44">
        <f>SUMPRODUCT(--(TH!$Z$6:$Z$15000=8),--(TH!$B$6:$B$15000=1))</f>
        <v>0</v>
      </c>
      <c r="O9" s="44">
        <f>SUMPRODUCT(--(TH!$Z$6:$Z$15000=8),--(TH!$B$6:$B$15000=2))</f>
        <v>0</v>
      </c>
      <c r="P9" s="44">
        <f>SUMPRODUCT(--(TH!$Z$6:$Z$15000=8),--(TH!$B$6:$B$15000=3))</f>
        <v>0</v>
      </c>
      <c r="Q9" s="44">
        <f>SUMPRODUCT(--(TH!$Z$6:$Z$15000=8),--(TH!$B$6:$B$15000=4))</f>
        <v>0</v>
      </c>
      <c r="R9" s="44">
        <f>SUMPRODUCT(--(TH!$Z$6:$Z$15000=8),--(TH!$B$6:$B$15000=5))</f>
        <v>0</v>
      </c>
    </row>
    <row r="10" spans="1:18" x14ac:dyDescent="0.25">
      <c r="A10" s="38" t="s">
        <v>240</v>
      </c>
      <c r="B10" s="45">
        <f>SUMPRODUCT(--(TH!$X$6:$X$15000=6),--(TH!$K$6:$K$15000&lt;&gt;""))</f>
        <v>0</v>
      </c>
      <c r="C10" s="45">
        <f>SUMPRODUCT(--(TH!$X$6:$X$15000=7),--(TH!$K$6:$K$15000&lt;&gt;""))</f>
        <v>0</v>
      </c>
      <c r="D10" s="45">
        <f>SUMPRODUCT(--(TH!$X$6:$X$15000=8),--(TH!$K$6:$K$15000&lt;&gt;""))</f>
        <v>0</v>
      </c>
      <c r="E10" s="45">
        <f>SUMPRODUCT(--(TH!$X$6:$X$15000=9),--(TH!$K$6:$K$15000&lt;&gt;""))</f>
        <v>0</v>
      </c>
      <c r="F10" s="45">
        <f>SUMPRODUCT(--(TH!$X$6:$X$15000=10),--(TH!$K$6:$K$15000&lt;&gt;""))</f>
        <v>0</v>
      </c>
      <c r="G10" s="45">
        <f>SUMPRODUCT(--(TH!$X$6:$X$15000=11),--(TH!$K$6:$K$15000&lt;&gt;""))</f>
        <v>0</v>
      </c>
      <c r="H10" s="45">
        <f>SUMPRODUCT(--(TH!$X$6:$X$15000=12),--(TH!$K$6:$K$15000&lt;&gt;""))</f>
        <v>0</v>
      </c>
      <c r="I10" s="45">
        <f>SUMPRODUCT(--(TH!$X$6:$X$15000=13),--(TH!$K$6:$K$15000&lt;&gt;""))</f>
        <v>0</v>
      </c>
      <c r="J10" s="45">
        <f>SUMPRODUCT(--(TH!$X$6:$X$15000=14),--(TH!$K$6:$K$15000&lt;&gt;""))</f>
        <v>0</v>
      </c>
      <c r="K10" s="42">
        <f>SUM(B10:J10)</f>
        <v>0</v>
      </c>
      <c r="M10" s="43">
        <f>E6</f>
        <v>9</v>
      </c>
      <c r="N10" s="44">
        <f>SUMPRODUCT(--(TH!$Z$6:$Z$15000=9),--(TH!$B$6:$B$15000=1))</f>
        <v>0</v>
      </c>
      <c r="O10" s="44">
        <f>SUMPRODUCT(--(TH!$Z$6:$Z$15000=9),--(TH!$B$6:$B$15000=2))</f>
        <v>0</v>
      </c>
      <c r="P10" s="44">
        <f>SUMPRODUCT(--(TH!$Z$6:$Z$15000=9),--(TH!$B$6:$B$15000=3))</f>
        <v>1</v>
      </c>
      <c r="Q10" s="44">
        <f>SUMPRODUCT(--(TH!$Z$6:$Z$15000=9),--(TH!$B$6:$B$15000=4))</f>
        <v>0</v>
      </c>
      <c r="R10" s="44">
        <f>SUMPRODUCT(--(TH!$Z$6:$Z$15000=9),--(TH!$B$6:$B$15000=5))</f>
        <v>0</v>
      </c>
    </row>
    <row r="11" spans="1:18" x14ac:dyDescent="0.25">
      <c r="A11" s="46" t="s">
        <v>1</v>
      </c>
      <c r="B11" s="47">
        <f>SUMPRODUCT(--(TH!$Z$6:$Z$15000=6),--(TH!$N$6:$N$15000="Cam Thành Nam"))</f>
        <v>0</v>
      </c>
      <c r="C11" s="47">
        <f>SUMPRODUCT(--(TH!$Z$6:$Z$15000=7),--(TH!$N$6:$N$15000="Cam Thành Nam"))</f>
        <v>0</v>
      </c>
      <c r="D11" s="47">
        <f>SUMPRODUCT(--(TH!$Z$6:$Z$15000=8),--(TH!$N$6:$N$15000="Cam Thành Nam"))</f>
        <v>0</v>
      </c>
      <c r="E11" s="47">
        <f>SUMPRODUCT(--(TH!$Z$6:$Z$15000=9),--(TH!$N$6:$N$15000="Cam Thành Nam"))</f>
        <v>0</v>
      </c>
      <c r="F11" s="47">
        <f>SUMPRODUCT(--(TH!$Z$6:$Z$15000=10),--(TH!$N$6:$N$15000="Cam Thành Nam"))</f>
        <v>0</v>
      </c>
      <c r="G11" s="47">
        <f>SUMPRODUCT(--(TH!$Z$6:$Z$15000=11),--(TH!$N$6:$N$15000="Cam Thành Nam"))</f>
        <v>0</v>
      </c>
      <c r="H11" s="47">
        <f>SUMPRODUCT(--(TH!$Z$6:$Z$15000=12),--(TH!$N$6:$N$15000="Cam Thành Nam"))</f>
        <v>0</v>
      </c>
      <c r="I11" s="47">
        <f>SUMPRODUCT(--(TH!$Z$6:$Z$15000=13),--(TH!$N$6:$N$15000="Cam Thành Nam"))</f>
        <v>0</v>
      </c>
      <c r="J11" s="47">
        <f>SUMPRODUCT(--(TH!$Z$6:$Z$15000=14),--(TH!$N$6:$N$15000="Cam Thành Nam"))</f>
        <v>0</v>
      </c>
      <c r="K11" s="48">
        <f>SUM(B11:J11)</f>
        <v>0</v>
      </c>
      <c r="M11" s="43">
        <f>F6</f>
        <v>10</v>
      </c>
      <c r="N11" s="44">
        <f>SUMPRODUCT(--(TH!$Z$6:$Z$15000=10),--(TH!$B$6:$B$15000=1))</f>
        <v>0</v>
      </c>
      <c r="O11" s="44">
        <f>SUMPRODUCT(--(TH!$Z$6:$Z$15000=10),--(TH!$B$6:$B$15000=2))</f>
        <v>0</v>
      </c>
      <c r="P11" s="44">
        <f>SUMPRODUCT(--(TH!$Z$6:$Z$15000=10),--(TH!$B$6:$B$15000=3))</f>
        <v>0</v>
      </c>
      <c r="Q11" s="44">
        <f>SUMPRODUCT(--(TH!$Z$6:$Z$15000=10),--(TH!$B$6:$B$15000=4))</f>
        <v>1</v>
      </c>
      <c r="R11" s="44">
        <f>SUMPRODUCT(--(TH!$Z$6:$Z$15000=10),--(TH!$B$6:$B$15000=5))</f>
        <v>0</v>
      </c>
    </row>
    <row r="12" spans="1:18" x14ac:dyDescent="0.25">
      <c r="A12" s="46" t="s">
        <v>5</v>
      </c>
      <c r="B12" s="47">
        <f>SUMPRODUCT(--(TH!$Z$6:$Z$15000=6),--(TH!$N$6:$N$15000="Cam Nghĩa"))</f>
        <v>0</v>
      </c>
      <c r="C12" s="47">
        <f>SUMPRODUCT(--(TH!$Z$6:$Z$15000=7),--(TH!$N$6:$N$15000="Cam Nghĩa"))</f>
        <v>0</v>
      </c>
      <c r="D12" s="47">
        <f>SUMPRODUCT(--(TH!$Z$6:$Z$15000=8),--(TH!$N$6:$N$15000="Cam Nghĩa"))</f>
        <v>0</v>
      </c>
      <c r="E12" s="47">
        <f>SUMPRODUCT(--(TH!$Z$6:$Z$15000=9),--(TH!$N$6:$N$15000="Cam Nghĩa"))</f>
        <v>0</v>
      </c>
      <c r="F12" s="47">
        <f>SUMPRODUCT(--(TH!$Z$6:$Z$15000=10),--(TH!$N$6:$N$15000="Cam Nghĩa"))</f>
        <v>1</v>
      </c>
      <c r="G12" s="47">
        <f>SUMPRODUCT(--(TH!$Z$6:$Z$15000=11),--(TH!$N$6:$N$15000="Cam Nghĩa"))</f>
        <v>0</v>
      </c>
      <c r="H12" s="47">
        <f>SUMPRODUCT(--(TH!$Z$6:$Z$15000=12),--(TH!$N$6:$N$15000="Cam Nghĩa"))</f>
        <v>0</v>
      </c>
      <c r="I12" s="47">
        <f>SUMPRODUCT(--(TH!$Z$6:$Z$15000=13),--(TH!$N$6:$N$15000="Cam Nghĩa"))</f>
        <v>0</v>
      </c>
      <c r="J12" s="47">
        <f>SUMPRODUCT(--(TH!$Z$6:$Z$15000=14),--(TH!$N$6:$N$15000="Cam Nghĩa"))</f>
        <v>0</v>
      </c>
      <c r="K12" s="48">
        <f t="shared" ref="K12:K32" si="1">SUM(B12:J12)</f>
        <v>1</v>
      </c>
      <c r="M12" s="43">
        <f>G6</f>
        <v>11</v>
      </c>
      <c r="N12" s="44">
        <f>SUMPRODUCT(--(TH!$Z$6:$Z$15000=11),--(TH!$B$6:$B$15000=1))</f>
        <v>0</v>
      </c>
      <c r="O12" s="44">
        <f>SUMPRODUCT(--(TH!$Z$6:$Z$15000=11),--(TH!$B$6:$B$15000=2))</f>
        <v>0</v>
      </c>
      <c r="P12" s="44">
        <f>SUMPRODUCT(--(TH!$Z$6:$Z$15000=11),--(TH!$B$6:$B$15000=3))</f>
        <v>0</v>
      </c>
      <c r="Q12" s="44">
        <f>SUMPRODUCT(--(TH!$Z$6:$Z$15000=11),--(TH!$B$6:$B$15000=4))</f>
        <v>0</v>
      </c>
      <c r="R12" s="44">
        <f>SUMPRODUCT(--(TH!$Z$6:$Z$15000=11),--(TH!$B$6:$B$15000=5))</f>
        <v>2</v>
      </c>
    </row>
    <row r="13" spans="1:18" x14ac:dyDescent="0.25">
      <c r="A13" s="46" t="s">
        <v>8</v>
      </c>
      <c r="B13" s="47">
        <f>SUMPRODUCT(--(TH!$Z$6:$Z$15000=6),--(TH!$N$6:$N$15000="Cam Phúc Bắc"))</f>
        <v>0</v>
      </c>
      <c r="C13" s="47">
        <f>SUMPRODUCT(--(TH!$Z$6:$Z$15000=7),--(TH!$N$6:$N$15000="Cam Phúc Bắc"))</f>
        <v>0</v>
      </c>
      <c r="D13" s="47">
        <f>SUMPRODUCT(--(TH!$Z$6:$Z$15000=8),--(TH!$N$6:$N$15000="Cam Phúc Bắc"))</f>
        <v>0</v>
      </c>
      <c r="E13" s="47">
        <f>SUMPRODUCT(--(TH!$Z$6:$Z$15000=9),--(TH!$N$6:$N$15000="Cam Phúc Bắc"))</f>
        <v>0</v>
      </c>
      <c r="F13" s="47">
        <f>SUMPRODUCT(--(TH!$Z$6:$Z$15000=10),--(TH!$N$6:$N$15000="Cam Phúc Bắc"))</f>
        <v>0</v>
      </c>
      <c r="G13" s="47">
        <f>SUMPRODUCT(--(TH!$Z$6:$Z$15000=11),--(TH!$N$6:$N$15000="Cam Phúc Bắc"))</f>
        <v>0</v>
      </c>
      <c r="H13" s="47">
        <f>SUMPRODUCT(--(TH!$Z$6:$Z$15000=12),--(TH!$N$6:$N$15000="Cam Phúc Bắc"))</f>
        <v>0</v>
      </c>
      <c r="I13" s="47">
        <f>SUMPRODUCT(--(TH!$Z$6:$Z$15000=13),--(TH!$N$6:$N$15000="Cam Phúc Bắc"))</f>
        <v>0</v>
      </c>
      <c r="J13" s="47">
        <f>SUMPRODUCT(--(TH!$Z$6:$Z$15000=14),--(TH!$N$6:$N$15000="Cam Phúc Bắc"))</f>
        <v>0</v>
      </c>
      <c r="K13" s="48">
        <f t="shared" si="1"/>
        <v>0</v>
      </c>
      <c r="M13" s="43">
        <f>H6</f>
        <v>12</v>
      </c>
      <c r="N13" s="44">
        <f>SUMPRODUCT(--(TH!$Z$6:$Z$15000=12),--(TH!$B$6:$B$15000=1))</f>
        <v>0</v>
      </c>
      <c r="O13" s="44">
        <f>SUMPRODUCT(--(TH!$Z$6:$Z$15000=12),--(TH!$B$6:$B$15000=2))</f>
        <v>0</v>
      </c>
      <c r="P13" s="44">
        <f>SUMPRODUCT(--(TH!$Z$6:$Z$15000=12),--(TH!$B$6:$B$15000=3))</f>
        <v>0</v>
      </c>
      <c r="Q13" s="44">
        <f>SUMPRODUCT(--(TH!$Z$6:$Z$15000=12),--(TH!$B$6:$B$15000=4))</f>
        <v>0</v>
      </c>
      <c r="R13" s="44">
        <f>SUMPRODUCT(--(TH!$Z$6:$Z$15000=12),--(TH!$B$6:$B$15000=5))</f>
        <v>0</v>
      </c>
    </row>
    <row r="14" spans="1:18" x14ac:dyDescent="0.25">
      <c r="A14" s="820" t="s">
        <v>874</v>
      </c>
      <c r="B14" s="799">
        <f>SUM(B11:B13)</f>
        <v>0</v>
      </c>
      <c r="C14" s="799">
        <f t="shared" ref="C14:K14" si="2">SUM(C11:C13)</f>
        <v>0</v>
      </c>
      <c r="D14" s="799">
        <f t="shared" si="2"/>
        <v>0</v>
      </c>
      <c r="E14" s="799">
        <f t="shared" si="2"/>
        <v>0</v>
      </c>
      <c r="F14" s="799">
        <f t="shared" si="2"/>
        <v>1</v>
      </c>
      <c r="G14" s="799">
        <f t="shared" si="2"/>
        <v>0</v>
      </c>
      <c r="H14" s="799">
        <f t="shared" si="2"/>
        <v>0</v>
      </c>
      <c r="I14" s="799">
        <f t="shared" si="2"/>
        <v>0</v>
      </c>
      <c r="J14" s="799">
        <f t="shared" si="2"/>
        <v>0</v>
      </c>
      <c r="K14" s="799">
        <f t="shared" si="2"/>
        <v>1</v>
      </c>
      <c r="M14" s="43">
        <f>I6</f>
        <v>13</v>
      </c>
      <c r="N14" s="44">
        <f>SUMPRODUCT(--(TH!$Z$6:$Z$15000=13),--(TH!$B$6:$B$15000=1))</f>
        <v>0</v>
      </c>
      <c r="O14" s="44">
        <f>SUMPRODUCT(--(TH!$Z$6:$Z$15000=13),--(TH!$B$6:$B$15000=2))</f>
        <v>0</v>
      </c>
      <c r="P14" s="44">
        <f>SUMPRODUCT(--(TH!$Z$6:$Z$15000=13),--(TH!$B$6:$B$15000=3))</f>
        <v>0</v>
      </c>
      <c r="Q14" s="44">
        <f>SUMPRODUCT(--(TH!$Z$6:$Z$15000=13),--(TH!$B$6:$B$15000=4))</f>
        <v>0</v>
      </c>
      <c r="R14" s="44">
        <f>SUMPRODUCT(--(TH!$Z$6:$Z$15000=13),--(TH!$B$6:$B$15000=5))</f>
        <v>0</v>
      </c>
    </row>
    <row r="15" spans="1:18" x14ac:dyDescent="0.25">
      <c r="A15" s="46" t="s">
        <v>13</v>
      </c>
      <c r="B15" s="47">
        <f>SUMPRODUCT(--(TH!$Z$6:$Z$15000=6),--(TH!$N$6:$N$15000="Cam Phúc Nam"))</f>
        <v>0</v>
      </c>
      <c r="C15" s="47">
        <f>SUMPRODUCT(--(TH!$Z$6:$Z$15000=7),--(TH!$N$6:$N$15000="Cam Phúc Nam"))</f>
        <v>0</v>
      </c>
      <c r="D15" s="47">
        <f>SUMPRODUCT(--(TH!$Z$6:$Z$15000=8),--(TH!$N$6:$N$15000="Cam Phúc Nam"))</f>
        <v>0</v>
      </c>
      <c r="E15" s="47">
        <f>SUMPRODUCT(--(TH!$Z$6:$Z$15000=9),--(TH!$N$6:$N$15000="Cam Phúc Nam"))</f>
        <v>0</v>
      </c>
      <c r="F15" s="47">
        <f>SUMPRODUCT(--(TH!$Z$6:$Z$15000=10),--(TH!$N$6:$N$15000="Cam Phúc Nam"))</f>
        <v>0</v>
      </c>
      <c r="G15" s="47">
        <f>SUMPRODUCT(--(TH!$Z$6:$Z$15000=11),--(TH!$N$6:$N$15000="Cam Phúc Nam"))</f>
        <v>0</v>
      </c>
      <c r="H15" s="47">
        <f>SUMPRODUCT(--(TH!$Z$6:$Z$15000=12),--(TH!$N$6:$N$15000="Cam Phúc Nam"))</f>
        <v>0</v>
      </c>
      <c r="I15" s="47">
        <f>SUMPRODUCT(--(TH!$Z$6:$Z$15000=13),--(TH!$N$6:$N$15000="Cam Phúc Nam"))</f>
        <v>0</v>
      </c>
      <c r="J15" s="47">
        <f>SUMPRODUCT(--(TH!$Z$6:$Z$15000=14),--(TH!$N$6:$N$15000="Cam Phúc Nam"))</f>
        <v>0</v>
      </c>
      <c r="K15" s="48">
        <f t="shared" si="1"/>
        <v>0</v>
      </c>
      <c r="M15" s="43">
        <f>J6</f>
        <v>14</v>
      </c>
      <c r="N15" s="44">
        <f>SUMPRODUCT(--(TH!$Z$6:$Z$15000=14),--(TH!$B$6:$B$15000=1))</f>
        <v>0</v>
      </c>
      <c r="O15" s="44">
        <f>SUMPRODUCT(--(TH!$Z$6:$Z$15000=14),--(TH!$B$6:$B$15000=2))</f>
        <v>0</v>
      </c>
      <c r="P15" s="44">
        <f>SUMPRODUCT(--(TH!$Z$6:$Z$15000=14),--(TH!$B$6:$B$15000=3))</f>
        <v>0</v>
      </c>
      <c r="Q15" s="44">
        <f>SUMPRODUCT(--(TH!$Z$6:$Z$15000=14),--(TH!$B$6:$B$15000=4))</f>
        <v>0</v>
      </c>
      <c r="R15" s="44">
        <f>SUMPRODUCT(--(TH!$Z$6:$Z$15000=14),--(TH!$B$6:$B$15000=5))</f>
        <v>0</v>
      </c>
    </row>
    <row r="16" spans="1:18" x14ac:dyDescent="0.25">
      <c r="A16" s="46" t="s">
        <v>18</v>
      </c>
      <c r="B16" s="47">
        <f>SUMPRODUCT(--(TH!$Z$6:$Z$15000=6),--(TH!$N$6:$N$15000="Cam Lộc"))</f>
        <v>0</v>
      </c>
      <c r="C16" s="47">
        <f>SUMPRODUCT(--(TH!$Z$6:$Z$15000=7),--(TH!$N$6:$N$15000="Cam Lộc"))</f>
        <v>0</v>
      </c>
      <c r="D16" s="47">
        <f>SUMPRODUCT(--(TH!$Z$6:$Z$15000=8),--(TH!$N$6:$N$15000="Cam Lộc"))</f>
        <v>0</v>
      </c>
      <c r="E16" s="47">
        <f>SUMPRODUCT(--(TH!$Z$6:$Z$15000=9),--(TH!$N$6:$N$15000="Cam Lộc"))</f>
        <v>0</v>
      </c>
      <c r="F16" s="47">
        <f>SUMPRODUCT(--(TH!$Z$6:$Z$15000=10),--(TH!$N$6:$N$15000="Cam Lộc"))</f>
        <v>0</v>
      </c>
      <c r="G16" s="47">
        <f>SUMPRODUCT(--(TH!$Z$6:$Z$15000=11),--(TH!$N$6:$N$15000="Cam Lộc"))</f>
        <v>0</v>
      </c>
      <c r="H16" s="47">
        <f>SUMPRODUCT(--(TH!$Z$6:$Z$15000=12),--(TH!$N$6:$N$15000="Cam Lộc"))</f>
        <v>0</v>
      </c>
      <c r="I16" s="47">
        <f>SUMPRODUCT(--(TH!$Z$6:$Z$15000=13),--(TH!$N$6:$N$15000="Cam Lộc"))</f>
        <v>0</v>
      </c>
      <c r="J16" s="47">
        <f>SUMPRODUCT(--(TH!$Z$6:$Z$15000=14),--(TH!$N$6:$N$15000="Cam Lộc"))</f>
        <v>0</v>
      </c>
      <c r="K16" s="48">
        <f t="shared" si="1"/>
        <v>0</v>
      </c>
      <c r="M16" s="831"/>
      <c r="N16" s="832"/>
      <c r="O16" s="832"/>
      <c r="P16" s="832"/>
      <c r="Q16" s="832"/>
      <c r="R16" s="832"/>
    </row>
    <row r="17" spans="1:19" x14ac:dyDescent="0.25">
      <c r="A17" s="46" t="s">
        <v>23</v>
      </c>
      <c r="B17" s="47">
        <f>SUMPRODUCT(--(TH!$Z$6:$Z$15000=6),--(TH!$N$6:$N$15000="Cam Phú"))</f>
        <v>0</v>
      </c>
      <c r="C17" s="47">
        <f>SUMPRODUCT(--(TH!$Z$6:$Z$15000=7),--(TH!$N$6:$N$15000="Cam Phú"))</f>
        <v>0</v>
      </c>
      <c r="D17" s="47">
        <f>SUMPRODUCT(--(TH!$Z$6:$Z$15000=8),--(TH!$N$6:$N$15000="Cam Phú"))</f>
        <v>0</v>
      </c>
      <c r="E17" s="47">
        <f>SUMPRODUCT(--(TH!$Z$6:$Z$15000=9),--(TH!$N$6:$N$15000="Cam Phú"))</f>
        <v>0</v>
      </c>
      <c r="F17" s="47">
        <f>SUMPRODUCT(--(TH!$Z$6:$Z$15000=10),--(TH!$N$6:$N$15000="Cam Phú"))</f>
        <v>0</v>
      </c>
      <c r="G17" s="47">
        <f>SUMPRODUCT(--(TH!$Z$6:$Z$15000=11),--(TH!$N$6:$N$15000="Cam Phú"))</f>
        <v>0</v>
      </c>
      <c r="H17" s="47">
        <f>SUMPRODUCT(--(TH!$Z$6:$Z$15000=12),--(TH!$N$6:$N$15000="Cam Phú"))</f>
        <v>0</v>
      </c>
      <c r="I17" s="47">
        <f>SUMPRODUCT(--(TH!$Z$6:$Z$15000=13),--(TH!$N$6:$N$15000="Cam Phú"))</f>
        <v>0</v>
      </c>
      <c r="J17" s="47">
        <f>SUMPRODUCT(--(TH!$Z$6:$Z$15000=14),--(TH!$N$6:$N$15000="Cam Phú"))</f>
        <v>0</v>
      </c>
      <c r="K17" s="48">
        <f t="shared" si="1"/>
        <v>0</v>
      </c>
      <c r="M17" s="621" t="s">
        <v>379</v>
      </c>
      <c r="N17" s="621"/>
      <c r="O17" s="621"/>
      <c r="P17" s="621"/>
      <c r="Q17" s="621"/>
      <c r="R17" s="621"/>
    </row>
    <row r="18" spans="1:19" x14ac:dyDescent="0.25">
      <c r="A18" s="824" t="s">
        <v>876</v>
      </c>
      <c r="B18" s="806">
        <f>SUM(B15:B17)</f>
        <v>0</v>
      </c>
      <c r="C18" s="806">
        <f t="shared" ref="C18:K18" si="3">SUM(C15:C17)</f>
        <v>0</v>
      </c>
      <c r="D18" s="806">
        <f t="shared" si="3"/>
        <v>0</v>
      </c>
      <c r="E18" s="806">
        <f t="shared" si="3"/>
        <v>0</v>
      </c>
      <c r="F18" s="806">
        <f t="shared" si="3"/>
        <v>0</v>
      </c>
      <c r="G18" s="806">
        <f t="shared" si="3"/>
        <v>0</v>
      </c>
      <c r="H18" s="806">
        <f t="shared" si="3"/>
        <v>0</v>
      </c>
      <c r="I18" s="806">
        <f t="shared" si="3"/>
        <v>0</v>
      </c>
      <c r="J18" s="806">
        <f t="shared" si="3"/>
        <v>0</v>
      </c>
      <c r="K18" s="806">
        <f t="shared" si="3"/>
        <v>0</v>
      </c>
      <c r="M18" s="560"/>
      <c r="N18" s="560"/>
      <c r="O18" s="560"/>
      <c r="P18" s="791"/>
      <c r="Q18" s="560"/>
      <c r="R18" s="560"/>
    </row>
    <row r="19" spans="1:19" x14ac:dyDescent="0.25">
      <c r="A19" s="46" t="s">
        <v>28</v>
      </c>
      <c r="B19" s="47">
        <f>SUMPRODUCT(--(TH!$Z$6:$Z$15000=6),--(TH!$N$6:$N$15000="Cam Linh"))</f>
        <v>0</v>
      </c>
      <c r="C19" s="47">
        <f>SUMPRODUCT(--(TH!$Z$6:$Z$15000=7),--(TH!$N$6:$N$15000="Cam Linh"))</f>
        <v>0</v>
      </c>
      <c r="D19" s="47">
        <f>SUMPRODUCT(--(TH!$Z$6:$Z$15000=8),--(TH!$N$6:$N$15000="Cam Linh"))</f>
        <v>0</v>
      </c>
      <c r="E19" s="47">
        <f>SUMPRODUCT(--(TH!$Z$6:$Z$15000=9),--(TH!$N$6:$N$15000="Cam Linh"))</f>
        <v>0</v>
      </c>
      <c r="F19" s="47">
        <f>SUMPRODUCT(--(TH!$Z$6:$Z$15000=10),--(TH!$N$6:$N$15000="Cam Linh"))</f>
        <v>0</v>
      </c>
      <c r="G19" s="47">
        <f>SUMPRODUCT(--(TH!$Z$6:$Z$15000=11),--(TH!$N$6:$N$15000="Cam Linh"))</f>
        <v>1</v>
      </c>
      <c r="H19" s="47">
        <f>SUMPRODUCT(--(TH!$Z$6:$Z$15000=12),--(TH!$N$6:$N$15000="Cam Linh"))</f>
        <v>0</v>
      </c>
      <c r="I19" s="47">
        <f>SUMPRODUCT(--(TH!$Z$6:$Z$15000=13),--(TH!$N$6:$N$15000="Cam Linh"))</f>
        <v>0</v>
      </c>
      <c r="J19" s="47">
        <f>SUMPRODUCT(--(TH!$Z$6:$Z$15000=14),--(TH!$N$6:$N$15000="Cam Linh"))</f>
        <v>0</v>
      </c>
      <c r="K19" s="48">
        <f t="shared" si="1"/>
        <v>1</v>
      </c>
      <c r="M19" s="46"/>
      <c r="N19" s="51" t="s">
        <v>242</v>
      </c>
      <c r="O19" s="51" t="s">
        <v>243</v>
      </c>
      <c r="P19" s="614" t="s">
        <v>244</v>
      </c>
      <c r="Q19" s="52" t="s">
        <v>242</v>
      </c>
      <c r="R19" s="52" t="s">
        <v>243</v>
      </c>
      <c r="S19" s="274" t="str">
        <f>IF(OR(Chinh!$I$9="",N27=0,Q20=0,N20=""),"Nhập liệu!",IF(OR(Q20&gt;N27,O27=0,N20&lt;N27),"er",""))</f>
        <v>Nhập liệu!</v>
      </c>
    </row>
    <row r="20" spans="1:19" x14ac:dyDescent="0.25">
      <c r="A20" s="46" t="s">
        <v>33</v>
      </c>
      <c r="B20" s="47">
        <f>SUMPRODUCT(--(TH!$Z$6:$Z$15000=6),--(TH!$N$6:$N$15000="Cam Thuận"))</f>
        <v>0</v>
      </c>
      <c r="C20" s="47">
        <f>SUMPRODUCT(--(TH!$Z$6:$Z$15000=7),--(TH!$N$6:$N$15000="Cam Thuận"))</f>
        <v>0</v>
      </c>
      <c r="D20" s="47">
        <f>SUMPRODUCT(--(TH!$Z$6:$Z$15000=8),--(TH!$N$6:$N$15000="Cam Thuận"))</f>
        <v>0</v>
      </c>
      <c r="E20" s="47">
        <f>SUMPRODUCT(--(TH!$Z$6:$Z$15000=9),--(TH!$N$6:$N$15000="Cam Thuận"))</f>
        <v>0</v>
      </c>
      <c r="F20" s="47">
        <f>SUMPRODUCT(--(TH!$Z$6:$Z$15000=10),--(TH!$N$6:$N$15000="Cam Thuận"))</f>
        <v>0</v>
      </c>
      <c r="G20" s="47">
        <f>SUMPRODUCT(--(TH!$Z$6:$Z$15000=11),--(TH!$N$6:$N$15000="Cam Thuận"))</f>
        <v>0</v>
      </c>
      <c r="H20" s="47">
        <f>SUMPRODUCT(--(TH!$Z$6:$Z$15000=12),--(TH!$N$6:$N$15000="Cam Thuận"))</f>
        <v>0</v>
      </c>
      <c r="I20" s="47">
        <f>SUMPRODUCT(--(TH!$Z$6:$Z$15000=13),--(TH!$N$6:$N$15000="Cam Thuận"))</f>
        <v>0</v>
      </c>
      <c r="J20" s="47">
        <f>SUMPRODUCT(--(TH!$Z$6:$Z$15000=14),--(TH!$N$6:$N$15000="Cam Thuận"))</f>
        <v>0</v>
      </c>
      <c r="K20" s="48">
        <f t="shared" si="1"/>
        <v>0</v>
      </c>
      <c r="M20" s="54" t="s">
        <v>380</v>
      </c>
      <c r="N20" s="616">
        <v>20</v>
      </c>
      <c r="O20" s="617"/>
      <c r="P20" s="615"/>
      <c r="Q20" s="55">
        <f>SUM(Q21:Q27)</f>
        <v>20</v>
      </c>
      <c r="R20" s="56">
        <f>IF(OR(Q20=0,$N$25=0),0,Q20/$N$25)</f>
        <v>1</v>
      </c>
    </row>
    <row r="21" spans="1:19" x14ac:dyDescent="0.25">
      <c r="A21" s="46" t="s">
        <v>38</v>
      </c>
      <c r="B21" s="47">
        <f>SUMPRODUCT(--(TH!$Z$6:$Z$15000=6),--(TH!$N$6:$N$15000="Cam Lợi"))</f>
        <v>0</v>
      </c>
      <c r="C21" s="47">
        <f>SUMPRODUCT(--(TH!$Z$6:$Z$15000=7),--(TH!$N$6:$N$15000="Cam Lợi"))</f>
        <v>0</v>
      </c>
      <c r="D21" s="47">
        <f>SUMPRODUCT(--(TH!$Z$6:$Z$15000=8),--(TH!$N$6:$N$15000="Cam Lợi"))</f>
        <v>0</v>
      </c>
      <c r="E21" s="47">
        <f>SUMPRODUCT(--(TH!$Z$6:$Z$15000=9),--(TH!$N$6:$N$15000="Cam Lợi"))</f>
        <v>0</v>
      </c>
      <c r="F21" s="47">
        <f>SUMPRODUCT(--(TH!$Z$6:$Z$15000=10),--(TH!$N$6:$N$15000="Cam Lợi"))</f>
        <v>0</v>
      </c>
      <c r="G21" s="47">
        <f>SUMPRODUCT(--(TH!$Z$6:$Z$15000=11),--(TH!$N$6:$N$15000="Cam Lợi"))</f>
        <v>0</v>
      </c>
      <c r="H21" s="47">
        <f>SUMPRODUCT(--(TH!$Z$6:$Z$15000=12),--(TH!$N$6:$N$15000="Cam Lợi"))</f>
        <v>0</v>
      </c>
      <c r="I21" s="47">
        <f>SUMPRODUCT(--(TH!$Z$6:$Z$15000=13),--(TH!$N$6:$N$15000="Cam Lợi"))</f>
        <v>0</v>
      </c>
      <c r="J21" s="47">
        <f>SUMPRODUCT(--(TH!$Z$6:$Z$15000=14),--(TH!$N$6:$N$15000="Cam Lợi"))</f>
        <v>0</v>
      </c>
      <c r="K21" s="48">
        <f t="shared" si="1"/>
        <v>0</v>
      </c>
      <c r="M21" s="57" t="s">
        <v>381</v>
      </c>
      <c r="N21" s="50">
        <v>20</v>
      </c>
      <c r="O21" s="58">
        <f>IF($N$20="","",N21/$N$20)</f>
        <v>1</v>
      </c>
      <c r="P21" s="59" t="s">
        <v>382</v>
      </c>
      <c r="Q21" s="50">
        <v>20</v>
      </c>
      <c r="R21" s="60">
        <f>IF(OR(Q21=0,$N$27=0),0,Q21/$N$27)</f>
        <v>0</v>
      </c>
    </row>
    <row r="22" spans="1:19" x14ac:dyDescent="0.25">
      <c r="A22" s="820" t="s">
        <v>875</v>
      </c>
      <c r="B22" s="799">
        <f>SUM(B19:B21)</f>
        <v>0</v>
      </c>
      <c r="C22" s="799">
        <f t="shared" ref="C22:K22" si="4">SUM(C19:C21)</f>
        <v>0</v>
      </c>
      <c r="D22" s="799">
        <f t="shared" si="4"/>
        <v>0</v>
      </c>
      <c r="E22" s="799">
        <f t="shared" si="4"/>
        <v>0</v>
      </c>
      <c r="F22" s="799">
        <f t="shared" si="4"/>
        <v>0</v>
      </c>
      <c r="G22" s="799">
        <f t="shared" si="4"/>
        <v>1</v>
      </c>
      <c r="H22" s="799">
        <f t="shared" si="4"/>
        <v>0</v>
      </c>
      <c r="I22" s="799">
        <f t="shared" si="4"/>
        <v>0</v>
      </c>
      <c r="J22" s="799">
        <f t="shared" si="4"/>
        <v>0</v>
      </c>
      <c r="K22" s="799">
        <f t="shared" si="4"/>
        <v>1</v>
      </c>
      <c r="M22" s="57" t="s">
        <v>383</v>
      </c>
      <c r="N22" s="50"/>
      <c r="O22" s="58">
        <f>IF($N$20="","",N22/$N$20)</f>
        <v>0</v>
      </c>
      <c r="P22" s="59" t="s">
        <v>384</v>
      </c>
      <c r="Q22" s="50"/>
      <c r="R22" s="60">
        <f>IF(OR(Q22=0,$N$25=0),0,Q22/$N$25)</f>
        <v>0</v>
      </c>
    </row>
    <row r="23" spans="1:19" x14ac:dyDescent="0.25">
      <c r="A23" s="46" t="s">
        <v>42</v>
      </c>
      <c r="B23" s="47">
        <f>SUMPRODUCT(--(TH!$Z$6:$Z$15000=6),--(TH!$N$6:$N$15000="Ba Ngòi"))</f>
        <v>0</v>
      </c>
      <c r="C23" s="47">
        <f>SUMPRODUCT(--(TH!$Z$6:$Z$15000=7),--(TH!$N$6:$N$15000="Ba Ngòi"))</f>
        <v>0</v>
      </c>
      <c r="D23" s="47">
        <f>SUMPRODUCT(--(TH!$Z$6:$Z$15000=8),--(TH!$N$6:$N$15000="Ba Ngòi"))</f>
        <v>0</v>
      </c>
      <c r="E23" s="47">
        <f>SUMPRODUCT(--(TH!$Z$6:$Z$15000=9),--(TH!$N$6:$N$15000="Ba Ngòi"))</f>
        <v>0</v>
      </c>
      <c r="F23" s="47">
        <f>SUMPRODUCT(--(TH!$Z$6:$Z$15000=10),--(TH!$N$6:$N$15000="Ba Ngòi"))</f>
        <v>0</v>
      </c>
      <c r="G23" s="47">
        <f>SUMPRODUCT(--(TH!$Z$6:$Z$15000=11),--(TH!$N$6:$N$15000="Ba Ngòi"))</f>
        <v>0</v>
      </c>
      <c r="H23" s="47">
        <f>SUMPRODUCT(--(TH!$Z$6:$Z$15000=12),--(TH!$N$6:$N$15000="Ba Ngòi"))</f>
        <v>0</v>
      </c>
      <c r="I23" s="47">
        <f>SUMPRODUCT(--(TH!$Z$6:$Z$15000=13),--(TH!$N$6:$N$15000="Ba Ngòi"))</f>
        <v>0</v>
      </c>
      <c r="J23" s="47">
        <f>SUMPRODUCT(--(TH!$Z$6:$Z$15000=14),--(TH!$N$6:$N$15000="Ba Ngòi"))</f>
        <v>0</v>
      </c>
      <c r="K23" s="48">
        <f t="shared" si="1"/>
        <v>0</v>
      </c>
      <c r="M23" s="57"/>
      <c r="N23" s="50">
        <v>0</v>
      </c>
      <c r="O23" s="58">
        <f>IF($N$20="","",N23/$N$20)</f>
        <v>0</v>
      </c>
      <c r="P23" s="59" t="s">
        <v>385</v>
      </c>
      <c r="Q23" s="50"/>
      <c r="R23" s="60">
        <f>IF(OR(Q23=0,$N$25=0),0,Q23/$N$25)</f>
        <v>0</v>
      </c>
    </row>
    <row r="24" spans="1:19" x14ac:dyDescent="0.25">
      <c r="A24" s="46" t="s">
        <v>47</v>
      </c>
      <c r="B24" s="47">
        <f>SUMPRODUCT(--(TH!$Z$6:$Z$15000=6),--(TH!$N$6:$N$15000="Cam Phước Đông"))</f>
        <v>0</v>
      </c>
      <c r="C24" s="47">
        <f>SUMPRODUCT(--(TH!$Z$6:$Z$15000=7),--(TH!$N$6:$N$15000="Cam Phước Đông"))</f>
        <v>0</v>
      </c>
      <c r="D24" s="47">
        <f>SUMPRODUCT(--(TH!$Z$6:$Z$15000=8),--(TH!$N$6:$N$15000="Cam Phước Đông"))</f>
        <v>0</v>
      </c>
      <c r="E24" s="47">
        <f>SUMPRODUCT(--(TH!$Z$6:$Z$15000=9),--(TH!$N$6:$N$15000="Cam Phước Đông"))</f>
        <v>1</v>
      </c>
      <c r="F24" s="47">
        <f>SUMPRODUCT(--(TH!$Z$6:$Z$15000=10),--(TH!$N$6:$N$15000="Cam Phước Đông"))</f>
        <v>0</v>
      </c>
      <c r="G24" s="47">
        <f>SUMPRODUCT(--(TH!$Z$6:$Z$15000=11),--(TH!$N$6:$N$15000="Cam Phước Đông"))</f>
        <v>0</v>
      </c>
      <c r="H24" s="47">
        <f>SUMPRODUCT(--(TH!$Z$6:$Z$15000=12),--(TH!$N$6:$N$15000="Cam Phước Đông"))</f>
        <v>0</v>
      </c>
      <c r="I24" s="47">
        <f>SUMPRODUCT(--(TH!$Z$6:$Z$15000=13),--(TH!$N$6:$N$15000="Cam Phước Đông"))</f>
        <v>0</v>
      </c>
      <c r="J24" s="47">
        <f>SUMPRODUCT(--(TH!$Z$6:$Z$15000=14),--(TH!$N$6:$N$15000="Cam Phước Đông"))</f>
        <v>0</v>
      </c>
      <c r="K24" s="48">
        <f t="shared" si="1"/>
        <v>1</v>
      </c>
      <c r="M24" s="57"/>
      <c r="N24" s="50"/>
      <c r="O24" s="58">
        <f t="shared" ref="O23:O26" si="5">IF($N$20="","",N24/$N$20)</f>
        <v>0</v>
      </c>
      <c r="P24" s="59" t="s">
        <v>386</v>
      </c>
      <c r="Q24" s="50"/>
      <c r="R24" s="60">
        <f>IF(OR(Q24=0,$N$25=0),0,Q24/$N$25)</f>
        <v>0</v>
      </c>
    </row>
    <row r="25" spans="1:19" x14ac:dyDescent="0.25">
      <c r="A25" s="824" t="s">
        <v>877</v>
      </c>
      <c r="B25" s="806">
        <f>B23+B24</f>
        <v>0</v>
      </c>
      <c r="C25" s="806">
        <f t="shared" ref="C25:K25" si="6">C23+C24</f>
        <v>0</v>
      </c>
      <c r="D25" s="806">
        <f t="shared" si="6"/>
        <v>0</v>
      </c>
      <c r="E25" s="806">
        <f t="shared" si="6"/>
        <v>1</v>
      </c>
      <c r="F25" s="806">
        <f t="shared" si="6"/>
        <v>0</v>
      </c>
      <c r="G25" s="806">
        <f t="shared" si="6"/>
        <v>0</v>
      </c>
      <c r="H25" s="806">
        <f t="shared" si="6"/>
        <v>0</v>
      </c>
      <c r="I25" s="806">
        <f t="shared" si="6"/>
        <v>0</v>
      </c>
      <c r="J25" s="806">
        <f t="shared" si="6"/>
        <v>0</v>
      </c>
      <c r="K25" s="806">
        <f t="shared" si="6"/>
        <v>1</v>
      </c>
      <c r="M25" s="54" t="s">
        <v>249</v>
      </c>
      <c r="N25" s="41">
        <f>SUM(N21:N24)</f>
        <v>20</v>
      </c>
      <c r="O25" s="58">
        <f t="shared" si="5"/>
        <v>1</v>
      </c>
      <c r="P25" s="59" t="s">
        <v>387</v>
      </c>
      <c r="Q25" s="50"/>
      <c r="R25" s="60">
        <f>IF(OR(Q25=0,$N$25=0),0,Q25/$N$25)</f>
        <v>0</v>
      </c>
    </row>
    <row r="26" spans="1:19" x14ac:dyDescent="0.25">
      <c r="A26" s="46" t="s">
        <v>51</v>
      </c>
      <c r="B26" s="47">
        <f>SUMPRODUCT(--(TH!$Z$6:$Z$15000=6),--(TH!$N$6:$N$15000="Cam Thịnh Đông"))</f>
        <v>0</v>
      </c>
      <c r="C26" s="47">
        <f>SUMPRODUCT(--(TH!$Z$6:$Z$15000=7),--(TH!$N$6:$N$15000="Cam Thịnh Đông"))</f>
        <v>0</v>
      </c>
      <c r="D26" s="47">
        <f>SUMPRODUCT(--(TH!$Z$6:$Z$15000=8),--(TH!$N$6:$N$15000="Cam Thịnh Đông"))</f>
        <v>0</v>
      </c>
      <c r="E26" s="47">
        <f>SUMPRODUCT(--(TH!$Z$6:$Z$15000=9),--(TH!$N$6:$N$15000="Cam Thịnh Đông"))</f>
        <v>0</v>
      </c>
      <c r="F26" s="47">
        <f>SUMPRODUCT(--(TH!$Z$6:$Z$15000=10),--(TH!$N$6:$N$15000="Cam Thịnh Đông"))</f>
        <v>0</v>
      </c>
      <c r="G26" s="47">
        <f>SUMPRODUCT(--(TH!$Z$6:$Z$15000=11),--(TH!$N$6:$N$15000="Cam Thịnh Đông"))</f>
        <v>0</v>
      </c>
      <c r="H26" s="47">
        <f>SUMPRODUCT(--(TH!$Z$6:$Z$15000=12),--(TH!$N$6:$N$15000="Cam Thịnh Đông"))</f>
        <v>0</v>
      </c>
      <c r="I26" s="47">
        <f>SUMPRODUCT(--(TH!$Z$6:$Z$15000=13),--(TH!$N$6:$N$15000="Cam Thịnh Đông"))</f>
        <v>0</v>
      </c>
      <c r="J26" s="47">
        <f>SUMPRODUCT(--(TH!$Z$6:$Z$15000=14),--(TH!$N$6:$N$15000="Cam Thịnh Đông"))</f>
        <v>0</v>
      </c>
      <c r="K26" s="48">
        <f t="shared" si="1"/>
        <v>0</v>
      </c>
    </row>
    <row r="27" spans="1:19" x14ac:dyDescent="0.25">
      <c r="A27" s="46" t="s">
        <v>55</v>
      </c>
      <c r="B27" s="47">
        <f>SUMPRODUCT(--(TH!$Z$6:$Z$15000=6),--(TH!$N$6:$N$15000="Cam Thịnh Tây"))</f>
        <v>0</v>
      </c>
      <c r="C27" s="47">
        <f>SUMPRODUCT(--(TH!$Z$6:$Z$15000=7),--(TH!$N$6:$N$15000="Cam Thịnh Tây"))</f>
        <v>0</v>
      </c>
      <c r="D27" s="47">
        <f>SUMPRODUCT(--(TH!$Z$6:$Z$15000=8),--(TH!$N$6:$N$15000="Cam Thịnh Tây"))</f>
        <v>0</v>
      </c>
      <c r="E27" s="47">
        <f>SUMPRODUCT(--(TH!$Z$6:$Z$15000=9),--(TH!$N$6:$N$15000="Cam Thịnh Tây"))</f>
        <v>0</v>
      </c>
      <c r="F27" s="47">
        <f>SUMPRODUCT(--(TH!$Z$6:$Z$15000=10),--(TH!$N$6:$N$15000="Cam Thịnh Tây"))</f>
        <v>0</v>
      </c>
      <c r="G27" s="47">
        <f>SUMPRODUCT(--(TH!$Z$6:$Z$15000=11),--(TH!$N$6:$N$15000="Cam Thịnh Tây"))</f>
        <v>0</v>
      </c>
      <c r="H27" s="47">
        <f>SUMPRODUCT(--(TH!$Z$6:$Z$15000=12),--(TH!$N$6:$N$15000="Cam Thịnh Tây"))</f>
        <v>0</v>
      </c>
      <c r="I27" s="47">
        <f>SUMPRODUCT(--(TH!$Z$6:$Z$15000=13),--(TH!$N$6:$N$15000="Cam Thịnh Tây"))</f>
        <v>0</v>
      </c>
      <c r="J27" s="47">
        <f>SUMPRODUCT(--(TH!$Z$6:$Z$15000=14),--(TH!$N$6:$N$15000="Cam Thịnh Tây"))</f>
        <v>0</v>
      </c>
      <c r="K27" s="48">
        <f t="shared" si="1"/>
        <v>0</v>
      </c>
    </row>
    <row r="28" spans="1:19" x14ac:dyDescent="0.25">
      <c r="A28" s="46" t="s">
        <v>59</v>
      </c>
      <c r="B28" s="47">
        <f>SUMPRODUCT(--(TH!$Z$6:$Z$15000=6),--(TH!$N$6:$N$15000="Cam Lập"))</f>
        <v>0</v>
      </c>
      <c r="C28" s="47">
        <f>SUMPRODUCT(--(TH!$Z$6:$Z$15000=7),--(TH!$N$6:$N$15000="Cam Lập"))</f>
        <v>0</v>
      </c>
      <c r="D28" s="47">
        <f>SUMPRODUCT(--(TH!$Z$6:$Z$15000=8),--(TH!$N$6:$N$15000="Cam Lập"))</f>
        <v>0</v>
      </c>
      <c r="E28" s="47">
        <f>SUMPRODUCT(--(TH!$Z$6:$Z$15000=9),--(TH!$N$6:$N$15000="Cam Lập"))</f>
        <v>0</v>
      </c>
      <c r="F28" s="47">
        <f>SUMPRODUCT(--(TH!$Z$6:$Z$15000=10),--(TH!$N$6:$N$15000="Cam Lập"))</f>
        <v>0</v>
      </c>
      <c r="G28" s="47">
        <f>SUMPRODUCT(--(TH!$Z$6:$Z$15000=11),--(TH!$N$6:$N$15000="Cam Lập"))</f>
        <v>0</v>
      </c>
      <c r="H28" s="47">
        <f>SUMPRODUCT(--(TH!$Z$6:$Z$15000=12),--(TH!$N$6:$N$15000="Cam Lập"))</f>
        <v>0</v>
      </c>
      <c r="I28" s="47">
        <f>SUMPRODUCT(--(TH!$Z$6:$Z$15000=13),--(TH!$N$6:$N$15000="Cam Lập"))</f>
        <v>0</v>
      </c>
      <c r="J28" s="47">
        <f>SUMPRODUCT(--(TH!$Z$6:$Z$15000=14),--(TH!$N$6:$N$15000="Cam Lập"))</f>
        <v>0</v>
      </c>
      <c r="K28" s="48">
        <f t="shared" si="1"/>
        <v>0</v>
      </c>
    </row>
    <row r="29" spans="1:19" x14ac:dyDescent="0.25">
      <c r="A29" s="46" t="s">
        <v>64</v>
      </c>
      <c r="B29" s="47">
        <f>SUMPRODUCT(--(TH!$Z$6:$Z$15000=6),--(TH!$N$6:$N$15000="Cam Bình"))</f>
        <v>0</v>
      </c>
      <c r="C29" s="47">
        <f>SUMPRODUCT(--(TH!$Z$6:$Z$15000=7),--(TH!$N$6:$N$15000="Cam Bình"))</f>
        <v>0</v>
      </c>
      <c r="D29" s="47">
        <f>SUMPRODUCT(--(TH!$Z$6:$Z$15000=8),--(TH!$N$6:$N$15000="Cam Bình"))</f>
        <v>0</v>
      </c>
      <c r="E29" s="47">
        <f>SUMPRODUCT(--(TH!$Z$6:$Z$15000=9),--(TH!$N$6:$N$15000="Cam Bình"))</f>
        <v>0</v>
      </c>
      <c r="F29" s="47">
        <f>SUMPRODUCT(--(TH!$Z$6:$Z$15000=10),--(TH!$N$6:$N$15000="Cam Bình"))</f>
        <v>0</v>
      </c>
      <c r="G29" s="47">
        <f>SUMPRODUCT(--(TH!$Z$6:$Z$15000=11),--(TH!$N$6:$N$15000="Cam Bình"))</f>
        <v>0</v>
      </c>
      <c r="H29" s="47">
        <f>SUMPRODUCT(--(TH!$Z$6:$Z$15000=12),--(TH!$N$6:$N$15000="Cam Bình"))</f>
        <v>0</v>
      </c>
      <c r="I29" s="47">
        <f>SUMPRODUCT(--(TH!$Z$6:$Z$15000=13),--(TH!$N$6:$N$15000="Cam Bình"))</f>
        <v>0</v>
      </c>
      <c r="J29" s="47">
        <f>SUMPRODUCT(--(TH!$Z$6:$Z$15000=14),--(TH!$N$6:$N$15000="Cam Bình"))</f>
        <v>0</v>
      </c>
      <c r="K29" s="48">
        <f t="shared" si="1"/>
        <v>0</v>
      </c>
    </row>
    <row r="30" spans="1:19" x14ac:dyDescent="0.25">
      <c r="A30" s="820" t="s">
        <v>880</v>
      </c>
      <c r="B30" s="799">
        <f>SUM(B26:B29)</f>
        <v>0</v>
      </c>
      <c r="C30" s="799">
        <f t="shared" ref="C30:K30" si="7">SUM(C26:C29)</f>
        <v>0</v>
      </c>
      <c r="D30" s="799">
        <f t="shared" si="7"/>
        <v>0</v>
      </c>
      <c r="E30" s="799">
        <f t="shared" si="7"/>
        <v>0</v>
      </c>
      <c r="F30" s="799">
        <f t="shared" si="7"/>
        <v>0</v>
      </c>
      <c r="G30" s="799">
        <f t="shared" si="7"/>
        <v>0</v>
      </c>
      <c r="H30" s="799">
        <f t="shared" si="7"/>
        <v>0</v>
      </c>
      <c r="I30" s="799">
        <f t="shared" si="7"/>
        <v>0</v>
      </c>
      <c r="J30" s="799">
        <f t="shared" si="7"/>
        <v>0</v>
      </c>
      <c r="K30" s="799">
        <f t="shared" si="7"/>
        <v>0</v>
      </c>
    </row>
    <row r="31" spans="1:19" x14ac:dyDescent="0.25">
      <c r="A31" s="61" t="s">
        <v>882</v>
      </c>
      <c r="B31" s="47">
        <f>SUMPRODUCT(--(TH!$Z$6:$Z$15000=6),--(TH!$N$6:$N$15000="Huyện khác"))</f>
        <v>0</v>
      </c>
      <c r="C31" s="47">
        <f>SUMPRODUCT(--(TH!$Z$6:$Z$15000=7),--(TH!$N$6:$N$15000="Huyện khác"))</f>
        <v>0</v>
      </c>
      <c r="D31" s="47">
        <f>SUMPRODUCT(--(TH!$Z$6:$Z$15000=8),--(TH!$N$6:$N$15000="Huyện khác"))</f>
        <v>0</v>
      </c>
      <c r="E31" s="47">
        <f>SUMPRODUCT(--(TH!$Z$6:$Z$15000=9),--(TH!$N$6:$N$15000="Huyện khác"))</f>
        <v>0</v>
      </c>
      <c r="F31" s="47">
        <f>SUMPRODUCT(--(TH!$Z$6:$Z$15000=10),--(TH!$N$6:$N$15000="Huyện khác"))</f>
        <v>0</v>
      </c>
      <c r="G31" s="47">
        <f>SUMPRODUCT(--(TH!$Z$6:$Z$15000=11),--(TH!$N$6:$N$15000="Huyện khác"))</f>
        <v>0</v>
      </c>
      <c r="H31" s="47">
        <f>SUMPRODUCT(--(TH!$Z$6:$Z$15000=12),--(TH!$N$6:$N$15000="Huyện khác"))</f>
        <v>0</v>
      </c>
      <c r="I31" s="47">
        <f>SUMPRODUCT(--(TH!$Z$6:$Z$15000=13),--(TH!$N$6:$N$15000="Huyện khác"))</f>
        <v>0</v>
      </c>
      <c r="J31" s="47">
        <f>SUMPRODUCT(--(TH!$Z$6:$Z$15000=14),--(TH!$N$6:$N$15000="Huyện khác"))</f>
        <v>0</v>
      </c>
      <c r="K31" s="48">
        <f t="shared" si="1"/>
        <v>0</v>
      </c>
    </row>
    <row r="32" spans="1:19" x14ac:dyDescent="0.25">
      <c r="A32" s="61" t="s">
        <v>74</v>
      </c>
      <c r="B32" s="47">
        <f>SUMPRODUCT(--(TH!$Z$6:$Z$15000=6),--(TH!$N$6:$N$15000="Tỉnh khác"))</f>
        <v>0</v>
      </c>
      <c r="C32" s="47">
        <f>SUMPRODUCT(--(TH!$Z$6:$Z$15000=7),--(TH!$N$6:$N$15000="Tỉnh khác"))</f>
        <v>0</v>
      </c>
      <c r="D32" s="47">
        <f>SUMPRODUCT(--(TH!$Z$6:$Z$15000=8),--(TH!$N$6:$N$15000="Tỉnh khác"))</f>
        <v>0</v>
      </c>
      <c r="E32" s="47">
        <f>SUMPRODUCT(--(TH!$Z$6:$Z$15000=9),--(TH!$N$6:$N$15000="Tỉnh khác"))</f>
        <v>0</v>
      </c>
      <c r="F32" s="47">
        <f>SUMPRODUCT(--(TH!$Z$6:$Z$15000=10),--(TH!$N$6:$N$15000="Tỉnh khác"))</f>
        <v>0</v>
      </c>
      <c r="G32" s="47">
        <f>SUMPRODUCT(--(TH!$Z$6:$Z$15000=11),--(TH!$N$6:$N$15000="Tỉnh khác"))</f>
        <v>1</v>
      </c>
      <c r="H32" s="47">
        <f>SUMPRODUCT(--(TH!$Z$6:$Z$15000=12),--(TH!$N$6:$N$15000="Tỉnh khác"))</f>
        <v>0</v>
      </c>
      <c r="I32" s="47">
        <f>SUMPRODUCT(--(TH!$Z$6:$Z$15000=13),--(TH!$N$6:$N$15000="Tỉnh khác"))</f>
        <v>0</v>
      </c>
      <c r="J32" s="47">
        <f>SUMPRODUCT(--(TH!$Z$6:$Z$15000=14),--(TH!$N$6:$N$15000="Tỉnh khác"))</f>
        <v>0</v>
      </c>
      <c r="K32" s="48">
        <f t="shared" si="1"/>
        <v>1</v>
      </c>
    </row>
  </sheetData>
  <sheetProtection algorithmName="SHA-512" hashValue="IgA50lRg0sxeoaamUESPMFwsFsoe7HMzz9eELXBi1R1/pAo5EGuS8zo4zlxNWMyN/8d55/bD+add81O7UkTyfg==" saltValue="9g/crHIminHAj2Co+ocnHw==" spinCount="100000" sheet="1" formatCells="0" formatColumns="0" formatRows="0"/>
  <mergeCells count="7">
    <mergeCell ref="P19:P20"/>
    <mergeCell ref="N20:O20"/>
    <mergeCell ref="A1:D1"/>
    <mergeCell ref="A2:D2"/>
    <mergeCell ref="M2:R2"/>
    <mergeCell ref="K5:K6"/>
    <mergeCell ref="M17:R17"/>
  </mergeCells>
  <conditionalFormatting sqref="B11:J13 N6:R16 B15:J17 B19:J21 B23:J24 B26:J29 B31:J32">
    <cfRule type="cellIs" dxfId="71" priority="7" stopIfTrue="1" operator="between">
      <formula>0</formula>
      <formula>0</formula>
    </cfRule>
  </conditionalFormatting>
  <conditionalFormatting sqref="K7:K10">
    <cfRule type="cellIs" dxfId="70" priority="6" stopIfTrue="1" operator="between">
      <formula>0</formula>
      <formula>0</formula>
    </cfRule>
  </conditionalFormatting>
  <conditionalFormatting sqref="N21:O25 Q21:Q25">
    <cfRule type="cellIs" dxfId="69" priority="5" stopIfTrue="1" operator="between">
      <formula>""</formula>
      <formula>""</formula>
    </cfRule>
  </conditionalFormatting>
  <conditionalFormatting sqref="M2">
    <cfRule type="cellIs" dxfId="68" priority="4" stopIfTrue="1" operator="between">
      <formula>"Nhập số Tổng HS lớp 5, Hoàn thành CTTH năm qua và tiếp tục vào trường THCS!"</formula>
      <formula>"Nhập số Tổng HS lớp 5, Hoàn thành CTTH năm qua và tiếp tục vào trường THCS!"</formula>
    </cfRule>
  </conditionalFormatting>
  <conditionalFormatting sqref="M2:R2">
    <cfRule type="cellIs" dxfId="67" priority="2" stopIfTrue="1" operator="between">
      <formula>"Hoàn thành!"</formula>
      <formula>"Hoàn thành!"</formula>
    </cfRule>
    <cfRule type="cellIs" dxfId="66" priority="3" stopIfTrue="1" operator="between">
      <formula>"Còn lỗi!"</formula>
      <formula>"Còn lỗi!"</formula>
    </cfRule>
  </conditionalFormatting>
  <pageMargins left="0.2" right="0.2" top="0.75" bottom="0.75"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A1:Z19"/>
  <sheetViews>
    <sheetView showGridLines="0" showZeros="0" workbookViewId="0">
      <selection activeCell="G9" sqref="G9"/>
    </sheetView>
  </sheetViews>
  <sheetFormatPr defaultRowHeight="15" x14ac:dyDescent="0.25"/>
  <cols>
    <col min="1" max="1" width="7.375" style="68" customWidth="1"/>
    <col min="2" max="2" width="8.25" style="68" customWidth="1"/>
    <col min="3" max="3" width="4.75" style="68" customWidth="1"/>
    <col min="4" max="4" width="5.125" style="68" customWidth="1"/>
    <col min="5" max="6" width="4.75" style="68" customWidth="1"/>
    <col min="7" max="7" width="6" style="68" customWidth="1"/>
    <col min="8" max="8" width="6.625" style="68" customWidth="1"/>
    <col min="9" max="25" width="4.75" style="68" customWidth="1"/>
    <col min="26" max="26" width="8.375" style="68" bestFit="1" customWidth="1"/>
    <col min="27" max="256" width="9" style="68"/>
    <col min="257" max="257" width="7.375" style="68" customWidth="1"/>
    <col min="258" max="258" width="8.25" style="68" customWidth="1"/>
    <col min="259" max="259" width="4.75" style="68" customWidth="1"/>
    <col min="260" max="260" width="5.125" style="68" customWidth="1"/>
    <col min="261" max="281" width="4.75" style="68" customWidth="1"/>
    <col min="282" max="282" width="8.375" style="68" bestFit="1" customWidth="1"/>
    <col min="283" max="512" width="9" style="68"/>
    <col min="513" max="513" width="7.375" style="68" customWidth="1"/>
    <col min="514" max="514" width="8.25" style="68" customWidth="1"/>
    <col min="515" max="515" width="4.75" style="68" customWidth="1"/>
    <col min="516" max="516" width="5.125" style="68" customWidth="1"/>
    <col min="517" max="537" width="4.75" style="68" customWidth="1"/>
    <col min="538" max="538" width="8.375" style="68" bestFit="1" customWidth="1"/>
    <col min="539" max="768" width="9" style="68"/>
    <col min="769" max="769" width="7.375" style="68" customWidth="1"/>
    <col min="770" max="770" width="8.25" style="68" customWidth="1"/>
    <col min="771" max="771" width="4.75" style="68" customWidth="1"/>
    <col min="772" max="772" width="5.125" style="68" customWidth="1"/>
    <col min="773" max="793" width="4.75" style="68" customWidth="1"/>
    <col min="794" max="794" width="8.375" style="68" bestFit="1" customWidth="1"/>
    <col min="795" max="1024" width="9" style="68"/>
    <col min="1025" max="1025" width="7.375" style="68" customWidth="1"/>
    <col min="1026" max="1026" width="8.25" style="68" customWidth="1"/>
    <col min="1027" max="1027" width="4.75" style="68" customWidth="1"/>
    <col min="1028" max="1028" width="5.125" style="68" customWidth="1"/>
    <col min="1029" max="1049" width="4.75" style="68" customWidth="1"/>
    <col min="1050" max="1050" width="8.375" style="68" bestFit="1" customWidth="1"/>
    <col min="1051" max="1280" width="9" style="68"/>
    <col min="1281" max="1281" width="7.375" style="68" customWidth="1"/>
    <col min="1282" max="1282" width="8.25" style="68" customWidth="1"/>
    <col min="1283" max="1283" width="4.75" style="68" customWidth="1"/>
    <col min="1284" max="1284" width="5.125" style="68" customWidth="1"/>
    <col min="1285" max="1305" width="4.75" style="68" customWidth="1"/>
    <col min="1306" max="1306" width="8.375" style="68" bestFit="1" customWidth="1"/>
    <col min="1307" max="1536" width="9" style="68"/>
    <col min="1537" max="1537" width="7.375" style="68" customWidth="1"/>
    <col min="1538" max="1538" width="8.25" style="68" customWidth="1"/>
    <col min="1539" max="1539" width="4.75" style="68" customWidth="1"/>
    <col min="1540" max="1540" width="5.125" style="68" customWidth="1"/>
    <col min="1541" max="1561" width="4.75" style="68" customWidth="1"/>
    <col min="1562" max="1562" width="8.375" style="68" bestFit="1" customWidth="1"/>
    <col min="1563" max="1792" width="9" style="68"/>
    <col min="1793" max="1793" width="7.375" style="68" customWidth="1"/>
    <col min="1794" max="1794" width="8.25" style="68" customWidth="1"/>
    <col min="1795" max="1795" width="4.75" style="68" customWidth="1"/>
    <col min="1796" max="1796" width="5.125" style="68" customWidth="1"/>
    <col min="1797" max="1817" width="4.75" style="68" customWidth="1"/>
    <col min="1818" max="1818" width="8.375" style="68" bestFit="1" customWidth="1"/>
    <col min="1819" max="2048" width="9" style="68"/>
    <col min="2049" max="2049" width="7.375" style="68" customWidth="1"/>
    <col min="2050" max="2050" width="8.25" style="68" customWidth="1"/>
    <col min="2051" max="2051" width="4.75" style="68" customWidth="1"/>
    <col min="2052" max="2052" width="5.125" style="68" customWidth="1"/>
    <col min="2053" max="2073" width="4.75" style="68" customWidth="1"/>
    <col min="2074" max="2074" width="8.375" style="68" bestFit="1" customWidth="1"/>
    <col min="2075" max="2304" width="9" style="68"/>
    <col min="2305" max="2305" width="7.375" style="68" customWidth="1"/>
    <col min="2306" max="2306" width="8.25" style="68" customWidth="1"/>
    <col min="2307" max="2307" width="4.75" style="68" customWidth="1"/>
    <col min="2308" max="2308" width="5.125" style="68" customWidth="1"/>
    <col min="2309" max="2329" width="4.75" style="68" customWidth="1"/>
    <col min="2330" max="2330" width="8.375" style="68" bestFit="1" customWidth="1"/>
    <col min="2331" max="2560" width="9" style="68"/>
    <col min="2561" max="2561" width="7.375" style="68" customWidth="1"/>
    <col min="2562" max="2562" width="8.25" style="68" customWidth="1"/>
    <col min="2563" max="2563" width="4.75" style="68" customWidth="1"/>
    <col min="2564" max="2564" width="5.125" style="68" customWidth="1"/>
    <col min="2565" max="2585" width="4.75" style="68" customWidth="1"/>
    <col min="2586" max="2586" width="8.375" style="68" bestFit="1" customWidth="1"/>
    <col min="2587" max="2816" width="9" style="68"/>
    <col min="2817" max="2817" width="7.375" style="68" customWidth="1"/>
    <col min="2818" max="2818" width="8.25" style="68" customWidth="1"/>
    <col min="2819" max="2819" width="4.75" style="68" customWidth="1"/>
    <col min="2820" max="2820" width="5.125" style="68" customWidth="1"/>
    <col min="2821" max="2841" width="4.75" style="68" customWidth="1"/>
    <col min="2842" max="2842" width="8.375" style="68" bestFit="1" customWidth="1"/>
    <col min="2843" max="3072" width="9" style="68"/>
    <col min="3073" max="3073" width="7.375" style="68" customWidth="1"/>
    <col min="3074" max="3074" width="8.25" style="68" customWidth="1"/>
    <col min="3075" max="3075" width="4.75" style="68" customWidth="1"/>
    <col min="3076" max="3076" width="5.125" style="68" customWidth="1"/>
    <col min="3077" max="3097" width="4.75" style="68" customWidth="1"/>
    <col min="3098" max="3098" width="8.375" style="68" bestFit="1" customWidth="1"/>
    <col min="3099" max="3328" width="9" style="68"/>
    <col min="3329" max="3329" width="7.375" style="68" customWidth="1"/>
    <col min="3330" max="3330" width="8.25" style="68" customWidth="1"/>
    <col min="3331" max="3331" width="4.75" style="68" customWidth="1"/>
    <col min="3332" max="3332" width="5.125" style="68" customWidth="1"/>
    <col min="3333" max="3353" width="4.75" style="68" customWidth="1"/>
    <col min="3354" max="3354" width="8.375" style="68" bestFit="1" customWidth="1"/>
    <col min="3355" max="3584" width="9" style="68"/>
    <col min="3585" max="3585" width="7.375" style="68" customWidth="1"/>
    <col min="3586" max="3586" width="8.25" style="68" customWidth="1"/>
    <col min="3587" max="3587" width="4.75" style="68" customWidth="1"/>
    <col min="3588" max="3588" width="5.125" style="68" customWidth="1"/>
    <col min="3589" max="3609" width="4.75" style="68" customWidth="1"/>
    <col min="3610" max="3610" width="8.375" style="68" bestFit="1" customWidth="1"/>
    <col min="3611" max="3840" width="9" style="68"/>
    <col min="3841" max="3841" width="7.375" style="68" customWidth="1"/>
    <col min="3842" max="3842" width="8.25" style="68" customWidth="1"/>
    <col min="3843" max="3843" width="4.75" style="68" customWidth="1"/>
    <col min="3844" max="3844" width="5.125" style="68" customWidth="1"/>
    <col min="3845" max="3865" width="4.75" style="68" customWidth="1"/>
    <col min="3866" max="3866" width="8.375" style="68" bestFit="1" customWidth="1"/>
    <col min="3867" max="4096" width="9" style="68"/>
    <col min="4097" max="4097" width="7.375" style="68" customWidth="1"/>
    <col min="4098" max="4098" width="8.25" style="68" customWidth="1"/>
    <col min="4099" max="4099" width="4.75" style="68" customWidth="1"/>
    <col min="4100" max="4100" width="5.125" style="68" customWidth="1"/>
    <col min="4101" max="4121" width="4.75" style="68" customWidth="1"/>
    <col min="4122" max="4122" width="8.375" style="68" bestFit="1" customWidth="1"/>
    <col min="4123" max="4352" width="9" style="68"/>
    <col min="4353" max="4353" width="7.375" style="68" customWidth="1"/>
    <col min="4354" max="4354" width="8.25" style="68" customWidth="1"/>
    <col min="4355" max="4355" width="4.75" style="68" customWidth="1"/>
    <col min="4356" max="4356" width="5.125" style="68" customWidth="1"/>
    <col min="4357" max="4377" width="4.75" style="68" customWidth="1"/>
    <col min="4378" max="4378" width="8.375" style="68" bestFit="1" customWidth="1"/>
    <col min="4379" max="4608" width="9" style="68"/>
    <col min="4609" max="4609" width="7.375" style="68" customWidth="1"/>
    <col min="4610" max="4610" width="8.25" style="68" customWidth="1"/>
    <col min="4611" max="4611" width="4.75" style="68" customWidth="1"/>
    <col min="4612" max="4612" width="5.125" style="68" customWidth="1"/>
    <col min="4613" max="4633" width="4.75" style="68" customWidth="1"/>
    <col min="4634" max="4634" width="8.375" style="68" bestFit="1" customWidth="1"/>
    <col min="4635" max="4864" width="9" style="68"/>
    <col min="4865" max="4865" width="7.375" style="68" customWidth="1"/>
    <col min="4866" max="4866" width="8.25" style="68" customWidth="1"/>
    <col min="4867" max="4867" width="4.75" style="68" customWidth="1"/>
    <col min="4868" max="4868" width="5.125" style="68" customWidth="1"/>
    <col min="4869" max="4889" width="4.75" style="68" customWidth="1"/>
    <col min="4890" max="4890" width="8.375" style="68" bestFit="1" customWidth="1"/>
    <col min="4891" max="5120" width="9" style="68"/>
    <col min="5121" max="5121" width="7.375" style="68" customWidth="1"/>
    <col min="5122" max="5122" width="8.25" style="68" customWidth="1"/>
    <col min="5123" max="5123" width="4.75" style="68" customWidth="1"/>
    <col min="5124" max="5124" width="5.125" style="68" customWidth="1"/>
    <col min="5125" max="5145" width="4.75" style="68" customWidth="1"/>
    <col min="5146" max="5146" width="8.375" style="68" bestFit="1" customWidth="1"/>
    <col min="5147" max="5376" width="9" style="68"/>
    <col min="5377" max="5377" width="7.375" style="68" customWidth="1"/>
    <col min="5378" max="5378" width="8.25" style="68" customWidth="1"/>
    <col min="5379" max="5379" width="4.75" style="68" customWidth="1"/>
    <col min="5380" max="5380" width="5.125" style="68" customWidth="1"/>
    <col min="5381" max="5401" width="4.75" style="68" customWidth="1"/>
    <col min="5402" max="5402" width="8.375" style="68" bestFit="1" customWidth="1"/>
    <col min="5403" max="5632" width="9" style="68"/>
    <col min="5633" max="5633" width="7.375" style="68" customWidth="1"/>
    <col min="5634" max="5634" width="8.25" style="68" customWidth="1"/>
    <col min="5635" max="5635" width="4.75" style="68" customWidth="1"/>
    <col min="5636" max="5636" width="5.125" style="68" customWidth="1"/>
    <col min="5637" max="5657" width="4.75" style="68" customWidth="1"/>
    <col min="5658" max="5658" width="8.375" style="68" bestFit="1" customWidth="1"/>
    <col min="5659" max="5888" width="9" style="68"/>
    <col min="5889" max="5889" width="7.375" style="68" customWidth="1"/>
    <col min="5890" max="5890" width="8.25" style="68" customWidth="1"/>
    <col min="5891" max="5891" width="4.75" style="68" customWidth="1"/>
    <col min="5892" max="5892" width="5.125" style="68" customWidth="1"/>
    <col min="5893" max="5913" width="4.75" style="68" customWidth="1"/>
    <col min="5914" max="5914" width="8.375" style="68" bestFit="1" customWidth="1"/>
    <col min="5915" max="6144" width="9" style="68"/>
    <col min="6145" max="6145" width="7.375" style="68" customWidth="1"/>
    <col min="6146" max="6146" width="8.25" style="68" customWidth="1"/>
    <col min="6147" max="6147" width="4.75" style="68" customWidth="1"/>
    <col min="6148" max="6148" width="5.125" style="68" customWidth="1"/>
    <col min="6149" max="6169" width="4.75" style="68" customWidth="1"/>
    <col min="6170" max="6170" width="8.375" style="68" bestFit="1" customWidth="1"/>
    <col min="6171" max="6400" width="9" style="68"/>
    <col min="6401" max="6401" width="7.375" style="68" customWidth="1"/>
    <col min="6402" max="6402" width="8.25" style="68" customWidth="1"/>
    <col min="6403" max="6403" width="4.75" style="68" customWidth="1"/>
    <col min="6404" max="6404" width="5.125" style="68" customWidth="1"/>
    <col min="6405" max="6425" width="4.75" style="68" customWidth="1"/>
    <col min="6426" max="6426" width="8.375" style="68" bestFit="1" customWidth="1"/>
    <col min="6427" max="6656" width="9" style="68"/>
    <col min="6657" max="6657" width="7.375" style="68" customWidth="1"/>
    <col min="6658" max="6658" width="8.25" style="68" customWidth="1"/>
    <col min="6659" max="6659" width="4.75" style="68" customWidth="1"/>
    <col min="6660" max="6660" width="5.125" style="68" customWidth="1"/>
    <col min="6661" max="6681" width="4.75" style="68" customWidth="1"/>
    <col min="6682" max="6682" width="8.375" style="68" bestFit="1" customWidth="1"/>
    <col min="6683" max="6912" width="9" style="68"/>
    <col min="6913" max="6913" width="7.375" style="68" customWidth="1"/>
    <col min="6914" max="6914" width="8.25" style="68" customWidth="1"/>
    <col min="6915" max="6915" width="4.75" style="68" customWidth="1"/>
    <col min="6916" max="6916" width="5.125" style="68" customWidth="1"/>
    <col min="6917" max="6937" width="4.75" style="68" customWidth="1"/>
    <col min="6938" max="6938" width="8.375" style="68" bestFit="1" customWidth="1"/>
    <col min="6939" max="7168" width="9" style="68"/>
    <col min="7169" max="7169" width="7.375" style="68" customWidth="1"/>
    <col min="7170" max="7170" width="8.25" style="68" customWidth="1"/>
    <col min="7171" max="7171" width="4.75" style="68" customWidth="1"/>
    <col min="7172" max="7172" width="5.125" style="68" customWidth="1"/>
    <col min="7173" max="7193" width="4.75" style="68" customWidth="1"/>
    <col min="7194" max="7194" width="8.375" style="68" bestFit="1" customWidth="1"/>
    <col min="7195" max="7424" width="9" style="68"/>
    <col min="7425" max="7425" width="7.375" style="68" customWidth="1"/>
    <col min="7426" max="7426" width="8.25" style="68" customWidth="1"/>
    <col min="7427" max="7427" width="4.75" style="68" customWidth="1"/>
    <col min="7428" max="7428" width="5.125" style="68" customWidth="1"/>
    <col min="7429" max="7449" width="4.75" style="68" customWidth="1"/>
    <col min="7450" max="7450" width="8.375" style="68" bestFit="1" customWidth="1"/>
    <col min="7451" max="7680" width="9" style="68"/>
    <col min="7681" max="7681" width="7.375" style="68" customWidth="1"/>
    <col min="7682" max="7682" width="8.25" style="68" customWidth="1"/>
    <col min="7683" max="7683" width="4.75" style="68" customWidth="1"/>
    <col min="7684" max="7684" width="5.125" style="68" customWidth="1"/>
    <col min="7685" max="7705" width="4.75" style="68" customWidth="1"/>
    <col min="7706" max="7706" width="8.375" style="68" bestFit="1" customWidth="1"/>
    <col min="7707" max="7936" width="9" style="68"/>
    <col min="7937" max="7937" width="7.375" style="68" customWidth="1"/>
    <col min="7938" max="7938" width="8.25" style="68" customWidth="1"/>
    <col min="7939" max="7939" width="4.75" style="68" customWidth="1"/>
    <col min="7940" max="7940" width="5.125" style="68" customWidth="1"/>
    <col min="7941" max="7961" width="4.75" style="68" customWidth="1"/>
    <col min="7962" max="7962" width="8.375" style="68" bestFit="1" customWidth="1"/>
    <col min="7963" max="8192" width="9" style="68"/>
    <col min="8193" max="8193" width="7.375" style="68" customWidth="1"/>
    <col min="8194" max="8194" width="8.25" style="68" customWidth="1"/>
    <col min="8195" max="8195" width="4.75" style="68" customWidth="1"/>
    <col min="8196" max="8196" width="5.125" style="68" customWidth="1"/>
    <col min="8197" max="8217" width="4.75" style="68" customWidth="1"/>
    <col min="8218" max="8218" width="8.375" style="68" bestFit="1" customWidth="1"/>
    <col min="8219" max="8448" width="9" style="68"/>
    <col min="8449" max="8449" width="7.375" style="68" customWidth="1"/>
    <col min="8450" max="8450" width="8.25" style="68" customWidth="1"/>
    <col min="8451" max="8451" width="4.75" style="68" customWidth="1"/>
    <col min="8452" max="8452" width="5.125" style="68" customWidth="1"/>
    <col min="8453" max="8473" width="4.75" style="68" customWidth="1"/>
    <col min="8474" max="8474" width="8.375" style="68" bestFit="1" customWidth="1"/>
    <col min="8475" max="8704" width="9" style="68"/>
    <col min="8705" max="8705" width="7.375" style="68" customWidth="1"/>
    <col min="8706" max="8706" width="8.25" style="68" customWidth="1"/>
    <col min="8707" max="8707" width="4.75" style="68" customWidth="1"/>
    <col min="8708" max="8708" width="5.125" style="68" customWidth="1"/>
    <col min="8709" max="8729" width="4.75" style="68" customWidth="1"/>
    <col min="8730" max="8730" width="8.375" style="68" bestFit="1" customWidth="1"/>
    <col min="8731" max="8960" width="9" style="68"/>
    <col min="8961" max="8961" width="7.375" style="68" customWidth="1"/>
    <col min="8962" max="8962" width="8.25" style="68" customWidth="1"/>
    <col min="8963" max="8963" width="4.75" style="68" customWidth="1"/>
    <col min="8964" max="8964" width="5.125" style="68" customWidth="1"/>
    <col min="8965" max="8985" width="4.75" style="68" customWidth="1"/>
    <col min="8986" max="8986" width="8.375" style="68" bestFit="1" customWidth="1"/>
    <col min="8987" max="9216" width="9" style="68"/>
    <col min="9217" max="9217" width="7.375" style="68" customWidth="1"/>
    <col min="9218" max="9218" width="8.25" style="68" customWidth="1"/>
    <col min="9219" max="9219" width="4.75" style="68" customWidth="1"/>
    <col min="9220" max="9220" width="5.125" style="68" customWidth="1"/>
    <col min="9221" max="9241" width="4.75" style="68" customWidth="1"/>
    <col min="9242" max="9242" width="8.375" style="68" bestFit="1" customWidth="1"/>
    <col min="9243" max="9472" width="9" style="68"/>
    <col min="9473" max="9473" width="7.375" style="68" customWidth="1"/>
    <col min="9474" max="9474" width="8.25" style="68" customWidth="1"/>
    <col min="9475" max="9475" width="4.75" style="68" customWidth="1"/>
    <col min="9476" max="9476" width="5.125" style="68" customWidth="1"/>
    <col min="9477" max="9497" width="4.75" style="68" customWidth="1"/>
    <col min="9498" max="9498" width="8.375" style="68" bestFit="1" customWidth="1"/>
    <col min="9499" max="9728" width="9" style="68"/>
    <col min="9729" max="9729" width="7.375" style="68" customWidth="1"/>
    <col min="9730" max="9730" width="8.25" style="68" customWidth="1"/>
    <col min="9731" max="9731" width="4.75" style="68" customWidth="1"/>
    <col min="9732" max="9732" width="5.125" style="68" customWidth="1"/>
    <col min="9733" max="9753" width="4.75" style="68" customWidth="1"/>
    <col min="9754" max="9754" width="8.375" style="68" bestFit="1" customWidth="1"/>
    <col min="9755" max="9984" width="9" style="68"/>
    <col min="9985" max="9985" width="7.375" style="68" customWidth="1"/>
    <col min="9986" max="9986" width="8.25" style="68" customWidth="1"/>
    <col min="9987" max="9987" width="4.75" style="68" customWidth="1"/>
    <col min="9988" max="9988" width="5.125" style="68" customWidth="1"/>
    <col min="9989" max="10009" width="4.75" style="68" customWidth="1"/>
    <col min="10010" max="10010" width="8.375" style="68" bestFit="1" customWidth="1"/>
    <col min="10011" max="10240" width="9" style="68"/>
    <col min="10241" max="10241" width="7.375" style="68" customWidth="1"/>
    <col min="10242" max="10242" width="8.25" style="68" customWidth="1"/>
    <col min="10243" max="10243" width="4.75" style="68" customWidth="1"/>
    <col min="10244" max="10244" width="5.125" style="68" customWidth="1"/>
    <col min="10245" max="10265" width="4.75" style="68" customWidth="1"/>
    <col min="10266" max="10266" width="8.375" style="68" bestFit="1" customWidth="1"/>
    <col min="10267" max="10496" width="9" style="68"/>
    <col min="10497" max="10497" width="7.375" style="68" customWidth="1"/>
    <col min="10498" max="10498" width="8.25" style="68" customWidth="1"/>
    <col min="10499" max="10499" width="4.75" style="68" customWidth="1"/>
    <col min="10500" max="10500" width="5.125" style="68" customWidth="1"/>
    <col min="10501" max="10521" width="4.75" style="68" customWidth="1"/>
    <col min="10522" max="10522" width="8.375" style="68" bestFit="1" customWidth="1"/>
    <col min="10523" max="10752" width="9" style="68"/>
    <col min="10753" max="10753" width="7.375" style="68" customWidth="1"/>
    <col min="10754" max="10754" width="8.25" style="68" customWidth="1"/>
    <col min="10755" max="10755" width="4.75" style="68" customWidth="1"/>
    <col min="10756" max="10756" width="5.125" style="68" customWidth="1"/>
    <col min="10757" max="10777" width="4.75" style="68" customWidth="1"/>
    <col min="10778" max="10778" width="8.375" style="68" bestFit="1" customWidth="1"/>
    <col min="10779" max="11008" width="9" style="68"/>
    <col min="11009" max="11009" width="7.375" style="68" customWidth="1"/>
    <col min="11010" max="11010" width="8.25" style="68" customWidth="1"/>
    <col min="11011" max="11011" width="4.75" style="68" customWidth="1"/>
    <col min="11012" max="11012" width="5.125" style="68" customWidth="1"/>
    <col min="11013" max="11033" width="4.75" style="68" customWidth="1"/>
    <col min="11034" max="11034" width="8.375" style="68" bestFit="1" customWidth="1"/>
    <col min="11035" max="11264" width="9" style="68"/>
    <col min="11265" max="11265" width="7.375" style="68" customWidth="1"/>
    <col min="11266" max="11266" width="8.25" style="68" customWidth="1"/>
    <col min="11267" max="11267" width="4.75" style="68" customWidth="1"/>
    <col min="11268" max="11268" width="5.125" style="68" customWidth="1"/>
    <col min="11269" max="11289" width="4.75" style="68" customWidth="1"/>
    <col min="11290" max="11290" width="8.375" style="68" bestFit="1" customWidth="1"/>
    <col min="11291" max="11520" width="9" style="68"/>
    <col min="11521" max="11521" width="7.375" style="68" customWidth="1"/>
    <col min="11522" max="11522" width="8.25" style="68" customWidth="1"/>
    <col min="11523" max="11523" width="4.75" style="68" customWidth="1"/>
    <col min="11524" max="11524" width="5.125" style="68" customWidth="1"/>
    <col min="11525" max="11545" width="4.75" style="68" customWidth="1"/>
    <col min="11546" max="11546" width="8.375" style="68" bestFit="1" customWidth="1"/>
    <col min="11547" max="11776" width="9" style="68"/>
    <col min="11777" max="11777" width="7.375" style="68" customWidth="1"/>
    <col min="11778" max="11778" width="8.25" style="68" customWidth="1"/>
    <col min="11779" max="11779" width="4.75" style="68" customWidth="1"/>
    <col min="11780" max="11780" width="5.125" style="68" customWidth="1"/>
    <col min="11781" max="11801" width="4.75" style="68" customWidth="1"/>
    <col min="11802" max="11802" width="8.375" style="68" bestFit="1" customWidth="1"/>
    <col min="11803" max="12032" width="9" style="68"/>
    <col min="12033" max="12033" width="7.375" style="68" customWidth="1"/>
    <col min="12034" max="12034" width="8.25" style="68" customWidth="1"/>
    <col min="12035" max="12035" width="4.75" style="68" customWidth="1"/>
    <col min="12036" max="12036" width="5.125" style="68" customWidth="1"/>
    <col min="12037" max="12057" width="4.75" style="68" customWidth="1"/>
    <col min="12058" max="12058" width="8.375" style="68" bestFit="1" customWidth="1"/>
    <col min="12059" max="12288" width="9" style="68"/>
    <col min="12289" max="12289" width="7.375" style="68" customWidth="1"/>
    <col min="12290" max="12290" width="8.25" style="68" customWidth="1"/>
    <col min="12291" max="12291" width="4.75" style="68" customWidth="1"/>
    <col min="12292" max="12292" width="5.125" style="68" customWidth="1"/>
    <col min="12293" max="12313" width="4.75" style="68" customWidth="1"/>
    <col min="12314" max="12314" width="8.375" style="68" bestFit="1" customWidth="1"/>
    <col min="12315" max="12544" width="9" style="68"/>
    <col min="12545" max="12545" width="7.375" style="68" customWidth="1"/>
    <col min="12546" max="12546" width="8.25" style="68" customWidth="1"/>
    <col min="12547" max="12547" width="4.75" style="68" customWidth="1"/>
    <col min="12548" max="12548" width="5.125" style="68" customWidth="1"/>
    <col min="12549" max="12569" width="4.75" style="68" customWidth="1"/>
    <col min="12570" max="12570" width="8.375" style="68" bestFit="1" customWidth="1"/>
    <col min="12571" max="12800" width="9" style="68"/>
    <col min="12801" max="12801" width="7.375" style="68" customWidth="1"/>
    <col min="12802" max="12802" width="8.25" style="68" customWidth="1"/>
    <col min="12803" max="12803" width="4.75" style="68" customWidth="1"/>
    <col min="12804" max="12804" width="5.125" style="68" customWidth="1"/>
    <col min="12805" max="12825" width="4.75" style="68" customWidth="1"/>
    <col min="12826" max="12826" width="8.375" style="68" bestFit="1" customWidth="1"/>
    <col min="12827" max="13056" width="9" style="68"/>
    <col min="13057" max="13057" width="7.375" style="68" customWidth="1"/>
    <col min="13058" max="13058" width="8.25" style="68" customWidth="1"/>
    <col min="13059" max="13059" width="4.75" style="68" customWidth="1"/>
    <col min="13060" max="13060" width="5.125" style="68" customWidth="1"/>
    <col min="13061" max="13081" width="4.75" style="68" customWidth="1"/>
    <col min="13082" max="13082" width="8.375" style="68" bestFit="1" customWidth="1"/>
    <col min="13083" max="13312" width="9" style="68"/>
    <col min="13313" max="13313" width="7.375" style="68" customWidth="1"/>
    <col min="13314" max="13314" width="8.25" style="68" customWidth="1"/>
    <col min="13315" max="13315" width="4.75" style="68" customWidth="1"/>
    <col min="13316" max="13316" width="5.125" style="68" customWidth="1"/>
    <col min="13317" max="13337" width="4.75" style="68" customWidth="1"/>
    <col min="13338" max="13338" width="8.375" style="68" bestFit="1" customWidth="1"/>
    <col min="13339" max="13568" width="9" style="68"/>
    <col min="13569" max="13569" width="7.375" style="68" customWidth="1"/>
    <col min="13570" max="13570" width="8.25" style="68" customWidth="1"/>
    <col min="13571" max="13571" width="4.75" style="68" customWidth="1"/>
    <col min="13572" max="13572" width="5.125" style="68" customWidth="1"/>
    <col min="13573" max="13593" width="4.75" style="68" customWidth="1"/>
    <col min="13594" max="13594" width="8.375" style="68" bestFit="1" customWidth="1"/>
    <col min="13595" max="13824" width="9" style="68"/>
    <col min="13825" max="13825" width="7.375" style="68" customWidth="1"/>
    <col min="13826" max="13826" width="8.25" style="68" customWidth="1"/>
    <col min="13827" max="13827" width="4.75" style="68" customWidth="1"/>
    <col min="13828" max="13828" width="5.125" style="68" customWidth="1"/>
    <col min="13829" max="13849" width="4.75" style="68" customWidth="1"/>
    <col min="13850" max="13850" width="8.375" style="68" bestFit="1" customWidth="1"/>
    <col min="13851" max="14080" width="9" style="68"/>
    <col min="14081" max="14081" width="7.375" style="68" customWidth="1"/>
    <col min="14082" max="14082" width="8.25" style="68" customWidth="1"/>
    <col min="14083" max="14083" width="4.75" style="68" customWidth="1"/>
    <col min="14084" max="14084" width="5.125" style="68" customWidth="1"/>
    <col min="14085" max="14105" width="4.75" style="68" customWidth="1"/>
    <col min="14106" max="14106" width="8.375" style="68" bestFit="1" customWidth="1"/>
    <col min="14107" max="14336" width="9" style="68"/>
    <col min="14337" max="14337" width="7.375" style="68" customWidth="1"/>
    <col min="14338" max="14338" width="8.25" style="68" customWidth="1"/>
    <col min="14339" max="14339" width="4.75" style="68" customWidth="1"/>
    <col min="14340" max="14340" width="5.125" style="68" customWidth="1"/>
    <col min="14341" max="14361" width="4.75" style="68" customWidth="1"/>
    <col min="14362" max="14362" width="8.375" style="68" bestFit="1" customWidth="1"/>
    <col min="14363" max="14592" width="9" style="68"/>
    <col min="14593" max="14593" width="7.375" style="68" customWidth="1"/>
    <col min="14594" max="14594" width="8.25" style="68" customWidth="1"/>
    <col min="14595" max="14595" width="4.75" style="68" customWidth="1"/>
    <col min="14596" max="14596" width="5.125" style="68" customWidth="1"/>
    <col min="14597" max="14617" width="4.75" style="68" customWidth="1"/>
    <col min="14618" max="14618" width="8.375" style="68" bestFit="1" customWidth="1"/>
    <col min="14619" max="14848" width="9" style="68"/>
    <col min="14849" max="14849" width="7.375" style="68" customWidth="1"/>
    <col min="14850" max="14850" width="8.25" style="68" customWidth="1"/>
    <col min="14851" max="14851" width="4.75" style="68" customWidth="1"/>
    <col min="14852" max="14852" width="5.125" style="68" customWidth="1"/>
    <col min="14853" max="14873" width="4.75" style="68" customWidth="1"/>
    <col min="14874" max="14874" width="8.375" style="68" bestFit="1" customWidth="1"/>
    <col min="14875" max="15104" width="9" style="68"/>
    <col min="15105" max="15105" width="7.375" style="68" customWidth="1"/>
    <col min="15106" max="15106" width="8.25" style="68" customWidth="1"/>
    <col min="15107" max="15107" width="4.75" style="68" customWidth="1"/>
    <col min="15108" max="15108" width="5.125" style="68" customWidth="1"/>
    <col min="15109" max="15129" width="4.75" style="68" customWidth="1"/>
    <col min="15130" max="15130" width="8.375" style="68" bestFit="1" customWidth="1"/>
    <col min="15131" max="15360" width="9" style="68"/>
    <col min="15361" max="15361" width="7.375" style="68" customWidth="1"/>
    <col min="15362" max="15362" width="8.25" style="68" customWidth="1"/>
    <col min="15363" max="15363" width="4.75" style="68" customWidth="1"/>
    <col min="15364" max="15364" width="5.125" style="68" customWidth="1"/>
    <col min="15365" max="15385" width="4.75" style="68" customWidth="1"/>
    <col min="15386" max="15386" width="8.375" style="68" bestFit="1" customWidth="1"/>
    <col min="15387" max="15616" width="9" style="68"/>
    <col min="15617" max="15617" width="7.375" style="68" customWidth="1"/>
    <col min="15618" max="15618" width="8.25" style="68" customWidth="1"/>
    <col min="15619" max="15619" width="4.75" style="68" customWidth="1"/>
    <col min="15620" max="15620" width="5.125" style="68" customWidth="1"/>
    <col min="15621" max="15641" width="4.75" style="68" customWidth="1"/>
    <col min="15642" max="15642" width="8.375" style="68" bestFit="1" customWidth="1"/>
    <col min="15643" max="15872" width="9" style="68"/>
    <col min="15873" max="15873" width="7.375" style="68" customWidth="1"/>
    <col min="15874" max="15874" width="8.25" style="68" customWidth="1"/>
    <col min="15875" max="15875" width="4.75" style="68" customWidth="1"/>
    <col min="15876" max="15876" width="5.125" style="68" customWidth="1"/>
    <col min="15877" max="15897" width="4.75" style="68" customWidth="1"/>
    <col min="15898" max="15898" width="8.375" style="68" bestFit="1" customWidth="1"/>
    <col min="15899" max="16128" width="9" style="68"/>
    <col min="16129" max="16129" width="7.375" style="68" customWidth="1"/>
    <col min="16130" max="16130" width="8.25" style="68" customWidth="1"/>
    <col min="16131" max="16131" width="4.75" style="68" customWidth="1"/>
    <col min="16132" max="16132" width="5.125" style="68" customWidth="1"/>
    <col min="16133" max="16153" width="4.75" style="68" customWidth="1"/>
    <col min="16154" max="16154" width="8.375" style="68" bestFit="1" customWidth="1"/>
    <col min="16155" max="16384" width="9" style="68"/>
  </cols>
  <sheetData>
    <row r="1" spans="1:26" ht="15.75" x14ac:dyDescent="0.25">
      <c r="A1" s="809" t="str">
        <f>Chinh!$A$1</f>
        <v>UBND PHƯỜNG CAM LINH</v>
      </c>
      <c r="B1" s="809"/>
      <c r="C1" s="809"/>
      <c r="D1" s="809"/>
      <c r="E1" s="809"/>
      <c r="F1" s="809"/>
      <c r="G1" s="809"/>
      <c r="H1" s="275"/>
      <c r="J1" s="681" t="str">
        <f>"THỐNG KÊ HIỆN TRẠNG HỌC SINH TIỂU HỌC ĐẦU NĂM HỌC "&amp;Chinh!$H$5</f>
        <v>THỐNG KÊ HIỆN TRẠNG HỌC SINH TIỂU HỌC ĐẦU NĂM HỌC 2025-2026</v>
      </c>
      <c r="K1" s="681"/>
      <c r="L1" s="681"/>
      <c r="M1" s="681"/>
      <c r="N1" s="681"/>
      <c r="O1" s="681"/>
      <c r="P1" s="681"/>
      <c r="Q1" s="681"/>
      <c r="R1" s="681"/>
      <c r="S1" s="681"/>
      <c r="T1" s="681"/>
      <c r="U1" s="681"/>
      <c r="V1" s="681"/>
      <c r="W1" s="681"/>
    </row>
    <row r="2" spans="1:26" x14ac:dyDescent="0.25">
      <c r="A2" s="682" t="str">
        <f>IF(Chinh!$I$9="","",Chinh!$A$2)</f>
        <v/>
      </c>
      <c r="B2" s="682"/>
      <c r="C2" s="682"/>
      <c r="D2" s="682"/>
      <c r="E2" s="682"/>
      <c r="F2" s="682"/>
      <c r="G2" s="682"/>
      <c r="H2" s="276"/>
      <c r="J2" s="683" t="s">
        <v>388</v>
      </c>
      <c r="K2" s="683"/>
      <c r="L2" s="683"/>
      <c r="M2" s="683"/>
      <c r="N2" s="683"/>
      <c r="O2" s="683"/>
      <c r="P2" s="683"/>
      <c r="Q2" s="683"/>
      <c r="R2" s="683"/>
      <c r="S2" s="683"/>
      <c r="T2" s="683"/>
      <c r="U2" s="683"/>
      <c r="V2" s="683"/>
      <c r="W2" s="683"/>
    </row>
    <row r="3" spans="1:26" ht="26.25" customHeight="1" x14ac:dyDescent="0.25">
      <c r="M3" s="625" t="str">
        <f>IF(AND(B11&gt;0,Z6="",Z7="",Z8="",Z9="",Z10=""),"Hoàn thành!",IF(OR(OR(Z6="Sai số học sinh Tại chỗ và Nơi khác đến",Z7="Sai số học sinh Tại chỗ và Nơi khác đến",Z8="Sai số học sinh Tại chỗ và Nơi khác đến",Z9="Sai số học sinh Tại chỗ và Nơi khác đến",Z10="Sai số học sinh Tại chỗ và Nơi khác đến"),OR(Z6="Sai Số học sinh Khối với HS các địa bàn",Z7="Sai Số học sinh Khối với HS các địa bàn",Z8="Sai Số học sinh Khối với HS các địa bàn",Z9="Sai Số học sinh Khối với HS các địa bàn",Z10="Sai Số học sinh Khối với HS các địa bàn")),"Còn lỗi!","Nhập liệu!"))</f>
        <v>Nhập liệu!</v>
      </c>
      <c r="N3" s="625"/>
      <c r="O3" s="625"/>
    </row>
    <row r="4" spans="1:26" x14ac:dyDescent="0.25">
      <c r="A4" s="622" t="s">
        <v>253</v>
      </c>
      <c r="B4" s="622" t="s">
        <v>254</v>
      </c>
      <c r="C4" s="622" t="s">
        <v>239</v>
      </c>
      <c r="D4" s="622" t="s">
        <v>255</v>
      </c>
      <c r="E4" s="622" t="s">
        <v>256</v>
      </c>
      <c r="F4" s="622" t="s">
        <v>389</v>
      </c>
      <c r="G4" s="622" t="s">
        <v>257</v>
      </c>
      <c r="H4" s="622"/>
      <c r="I4" s="622" t="s">
        <v>258</v>
      </c>
      <c r="J4" s="622"/>
      <c r="K4" s="622"/>
      <c r="L4" s="622"/>
      <c r="M4" s="622"/>
      <c r="N4" s="622"/>
      <c r="O4" s="622"/>
      <c r="P4" s="622"/>
      <c r="Q4" s="622"/>
      <c r="R4" s="622"/>
      <c r="S4" s="622"/>
      <c r="T4" s="622"/>
      <c r="U4" s="622"/>
      <c r="V4" s="622"/>
      <c r="W4" s="622"/>
      <c r="X4" s="622"/>
      <c r="Y4" s="622"/>
    </row>
    <row r="5" spans="1:26" ht="45" x14ac:dyDescent="0.25">
      <c r="A5" s="622"/>
      <c r="B5" s="622"/>
      <c r="C5" s="622"/>
      <c r="D5" s="622"/>
      <c r="E5" s="622"/>
      <c r="F5" s="622"/>
      <c r="G5" s="561" t="s">
        <v>259</v>
      </c>
      <c r="H5" s="561" t="s">
        <v>260</v>
      </c>
      <c r="I5" s="70" t="str">
        <f>"Cam Thành Nam"</f>
        <v>Cam Thành Nam</v>
      </c>
      <c r="J5" s="70" t="str">
        <f>"Cam Nghĩa"</f>
        <v>Cam Nghĩa</v>
      </c>
      <c r="K5" s="70" t="str">
        <f>"Cam Phúc Bắc"</f>
        <v>Cam Phúc Bắc</v>
      </c>
      <c r="L5" s="70" t="str">
        <f>"Cam Phúc Nam"</f>
        <v>Cam Phúc Nam</v>
      </c>
      <c r="M5" s="70" t="str">
        <f>"Cam Phú"</f>
        <v>Cam Phú</v>
      </c>
      <c r="N5" s="70" t="str">
        <f>"Cam Thuận"</f>
        <v>Cam Thuận</v>
      </c>
      <c r="O5" s="70" t="str">
        <f>"Cam Lộc"</f>
        <v>Cam Lộc</v>
      </c>
      <c r="P5" s="70" t="str">
        <f>"Cam Linh"</f>
        <v>Cam Linh</v>
      </c>
      <c r="Q5" s="70" t="str">
        <f>"Cam Lợi"</f>
        <v>Cam Lợi</v>
      </c>
      <c r="R5" s="70" t="str">
        <f>"Ba Ngòi"</f>
        <v>Ba Ngòi</v>
      </c>
      <c r="S5" s="70" t="str">
        <f>"Cam Phước Đông"</f>
        <v>Cam Phước Đông</v>
      </c>
      <c r="T5" s="70" t="str">
        <f>"Cam Thịnh Đông"</f>
        <v>Cam Thịnh Đông</v>
      </c>
      <c r="U5" s="70" t="str">
        <f>"Cam Thịnh Tây"</f>
        <v>Cam Thịnh Tây</v>
      </c>
      <c r="V5" s="70" t="str">
        <f>"Cam Lập"</f>
        <v>Cam Lập</v>
      </c>
      <c r="W5" s="70" t="str">
        <f>"Cam Bình"</f>
        <v>Cam Bình</v>
      </c>
      <c r="X5" s="70" t="str">
        <f>"Ngoài 5 x/p"</f>
        <v>Ngoài 5 x/p</v>
      </c>
      <c r="Y5" s="70" t="str">
        <f>"Tỉnh khác"</f>
        <v>Tỉnh khác</v>
      </c>
    </row>
    <row r="6" spans="1:26" ht="28.5" customHeight="1" x14ac:dyDescent="0.25">
      <c r="A6" s="277">
        <f>1</f>
        <v>1</v>
      </c>
      <c r="B6" s="278">
        <f>IF(Chinh!$I$9="",0,COUNTIF(TH!$B$6:$B$15000,1))</f>
        <v>0</v>
      </c>
      <c r="C6" s="72">
        <f>IF(Chinh!$I$9="",0,SUMPRODUCT(--(TH!$B$6:$B$15000=1),--(TH!$I$6:$I$15000="x")))</f>
        <v>0</v>
      </c>
      <c r="D6" s="73">
        <f>IF(Chinh!$I$9="",0,SUMPRODUCT(--(TH!$B$6:$B$15000=1),--(TH!$J$6:$J$15000&lt;&gt;"Kinh"),--(TH!$J$6:$J$15000&lt;&gt;"Mỹ"),--(TH!$J$6:$J$15000&lt;&gt;"Anh"),--(TH!$J$6:$J$15000&lt;&gt;"Pháp")))</f>
        <v>0</v>
      </c>
      <c r="E6" s="72">
        <f>IF(Chinh!$I$9="",0,SUMPRODUCT(--(TH!$B$6:$B$15000=1),--(TH!$K$6:$K$15000&lt;&gt;"")))</f>
        <v>0</v>
      </c>
      <c r="F6" s="72">
        <f>IF(Chinh!$I$9="",0,SUMPRODUCT(--(TH!$B$6:$B$15000=1),--(TH!$L$6:$L$15000="x")))</f>
        <v>0</v>
      </c>
      <c r="G6" s="74">
        <f>IF(AND($A$1&lt;&gt;"",$A$2&lt;&gt;"",$A$1=phu!$N$7),'TKe HSTH'!I6+'TKe HSTH'!J6+'TKe HSTH'!K6,IF(AND($A$1&lt;&gt;"",$A$2&lt;&gt;"",$A$1=phu!$N$13),'TKe HSTH'!L6+'TKe HSTH'!M6+'TKe HSTH'!O6,IF(AND($A$1&lt;&gt;"",$A$2&lt;&gt;"",$A$1=phu!$N$23),'TKe HSTH'!N6+'TKe HSTH'!P6+'TKe HSTH'!Q6,IF(AND($A$1&lt;&gt;"",$A$2&lt;&gt;"",$A$1=phu!$N$30),'TKe HSTH'!R6+'TKe HSTH'!S6,IF(AND($A$1&lt;&gt;"",$A$2&lt;&gt;"",$A$1=phu!$N$36),'TKe HSTH'!T6+'TKe HSTH'!U6+'TKe HSTH'!V6+'TKe HSTH'!W6,0)))))</f>
        <v>0</v>
      </c>
      <c r="H6" s="279">
        <f>IF(AND(B6=0,G6=0),0,B6-G6)</f>
        <v>0</v>
      </c>
      <c r="I6" s="72">
        <f>IF(Chinh!$I$9="",0,SUMPRODUCT(--(TH!$B$6:$B$15000=1),--(TH!$N$6:$N$15000="Cam Thành Nam")))</f>
        <v>0</v>
      </c>
      <c r="J6" s="72">
        <f>IF(Chinh!$I$9="",0,SUMPRODUCT(--(TH!$B$6:$B$15000=1),--(TH!$N$6:$N$15000="Cam Nghĩa")))</f>
        <v>0</v>
      </c>
      <c r="K6" s="72">
        <f>IF(Chinh!$I$9="",0,SUMPRODUCT(--(TH!$B$6:$B$15000=1),--(TH!$N$6:$N$15000="Cam Phúc Bắc")))</f>
        <v>0</v>
      </c>
      <c r="L6" s="72">
        <f>IF(Chinh!$I$9="",0,SUMPRODUCT(--(TH!$B$6:$B$15000=1),--(TH!$N$6:$N$15000="Cam Phúc Nam")))</f>
        <v>0</v>
      </c>
      <c r="M6" s="72">
        <f>IF(Chinh!$I$9="",0,SUMPRODUCT(--(TH!$B$6:$B$15000=1),--(TH!$N$6:$N$15000="Cam Phú")))</f>
        <v>0</v>
      </c>
      <c r="N6" s="72">
        <f>IF(Chinh!$I$9="",0,SUMPRODUCT(--(TH!$B$6:$B$15000=1),--(TH!$N$6:$N$15000="Cam Thuận")))</f>
        <v>0</v>
      </c>
      <c r="O6" s="72">
        <f>IF(Chinh!$I$9="",0,SUMPRODUCT(--(TH!$B$6:$B$15000=1),--(TH!$N$6:$N$15000="Cam Lộc")))</f>
        <v>0</v>
      </c>
      <c r="P6" s="72">
        <f>IF(Chinh!$I$9="",0,SUMPRODUCT(--(TH!$B$6:$B$15000=1),--(TH!$N$6:$N$15000="Cam Linh")))</f>
        <v>0</v>
      </c>
      <c r="Q6" s="72">
        <f>IF(Chinh!$I$9="",0,SUMPRODUCT(--(TH!$B$6:$B$15000=1),--(TH!$N$6:$N$15000="Cam Lợi")))</f>
        <v>0</v>
      </c>
      <c r="R6" s="72">
        <f>IF(Chinh!$I$9="",0,SUMPRODUCT(--(TH!$B$6:$B$15000=1),--(TH!$N$6:$N$15000="Ba Ngòi")))</f>
        <v>0</v>
      </c>
      <c r="S6" s="72">
        <f>IF(Chinh!$I$9="",0,SUMPRODUCT(--(TH!$B$6:$B$15000=1),--(TH!$N$6:$N$15000="Cam Phước Đông")))</f>
        <v>0</v>
      </c>
      <c r="T6" s="72">
        <f>IF(Chinh!$I$9="",0,SUMPRODUCT(--(TH!$B$6:$B$15000=1),--(TH!$N$6:$N$15000="Cam Thịnh Đông")))</f>
        <v>0</v>
      </c>
      <c r="U6" s="72">
        <f>IF(Chinh!$I$9="",0,SUMPRODUCT(--(TH!$B$6:$B$15000=1),--(TH!$N$6:$N$15000="Cam Thịnh Tây")))</f>
        <v>0</v>
      </c>
      <c r="V6" s="72">
        <f>IF(Chinh!$I$9="",0,SUMPRODUCT(--(TH!$B$6:$B$15000=1),--(TH!$N$6:$N$15000="Cam Lập")))</f>
        <v>0</v>
      </c>
      <c r="W6" s="72">
        <f>IF(Chinh!$I$9="",0,SUMPRODUCT(--(TH!$B$6:$B$15000=1),--(TH!$N$6:$N$15000="Cam Bình")))</f>
        <v>0</v>
      </c>
      <c r="X6" s="72">
        <f>IF(Chinh!$I$9="",0,SUMPRODUCT(--(TH!$B$6:$B$15000=1),--(TH!$N$6:$N$15000="Huyện khác")))</f>
        <v>0</v>
      </c>
      <c r="Y6" s="72">
        <f>IF(Chinh!$I$9="",0,SUMPRODUCT(--(TH!$B$6:$B$15000=1),--(TH!$N$6:$N$15000="Tỉnh khác")))</f>
        <v>0</v>
      </c>
      <c r="Z6" s="75" t="str">
        <f t="shared" ref="Z6:Z11" si="0">IF(AND(G6="",H6="",B6&gt;0),"Nhập số học sinh Tại chỗ và Nơi khác đến",IF(B6&lt;&gt;G6+H6,"Sai số học sinh Tại chỗ và Nơi khác đến",IF(B6&lt;&gt;SUM(I6:Y6),"Sai Số học sinh Khối với HS các địa bàn","")))</f>
        <v/>
      </c>
    </row>
    <row r="7" spans="1:26" ht="28.5" customHeight="1" x14ac:dyDescent="0.25">
      <c r="A7" s="277">
        <f>2</f>
        <v>2</v>
      </c>
      <c r="B7" s="278">
        <f>IF(Chinh!$I$9="",0,COUNTIF(TH!$B$6:$B$15000,2))</f>
        <v>0</v>
      </c>
      <c r="C7" s="72">
        <f>IF(Chinh!$I$9="",0,SUMPRODUCT(--(TH!$B$6:$B$15000=2),--(TH!$I$6:$I$15000="x")))</f>
        <v>0</v>
      </c>
      <c r="D7" s="73">
        <f>IF(Chinh!$I$9="",0,SUMPRODUCT(--(TH!$B$6:$B$15000=2),--(TH!$J$6:$J$15000&lt;&gt;"Kinh"),--(TH!$J$6:$J$15000&lt;&gt;"Mỹ"),--(TH!$J$6:$J$15000&lt;&gt;"Anh"),--(TH!$J$6:$J$15000&lt;&gt;"Pháp")))</f>
        <v>0</v>
      </c>
      <c r="E7" s="72">
        <f>IF(Chinh!$I$9="",0,SUMPRODUCT(--(TH!$B$6:$B$15000=2),--(TH!$K$6:$K$15000&lt;&gt;"")))</f>
        <v>0</v>
      </c>
      <c r="F7" s="72">
        <f>IF(Chinh!$I$9="",0,SUMPRODUCT(--(TH!$B$6:$B$15000=2),--(TH!$L$6:$L$15000="x")))</f>
        <v>0</v>
      </c>
      <c r="G7" s="74">
        <f>IF(AND($A$1&lt;&gt;"",$A$2&lt;&gt;"",$A$1=phu!$N$7),'TKe HSTH'!I7+'TKe HSTH'!J7+'TKe HSTH'!K7,IF(AND($A$1&lt;&gt;"",$A$2&lt;&gt;"",$A$1=phu!$N$13),'TKe HSTH'!L7+'TKe HSTH'!M7+'TKe HSTH'!O7,IF(AND($A$1&lt;&gt;"",$A$2&lt;&gt;"",$A$1=phu!$N$23),'TKe HSTH'!N7+'TKe HSTH'!P7+'TKe HSTH'!Q7,IF(AND($A$1&lt;&gt;"",$A$2&lt;&gt;"",$A$1=phu!$N$30),'TKe HSTH'!R7+'TKe HSTH'!S7,IF(AND($A$1&lt;&gt;"",$A$2&lt;&gt;"",$A$1=phu!$N$36),'TKe HSTH'!T7+'TKe HSTH'!U7+'TKe HSTH'!V7+'TKe HSTH'!W7,0)))))</f>
        <v>0</v>
      </c>
      <c r="H7" s="279">
        <f>IF(AND(B7=0,G7=0),0,B7-G7)</f>
        <v>0</v>
      </c>
      <c r="I7" s="72">
        <f>IF(Chinh!$I$9="",0,SUMPRODUCT(--(TH!$B$6:$B$15000=2),--(TH!$N$6:$N$15000="Cam Thành Nam")))</f>
        <v>0</v>
      </c>
      <c r="J7" s="72">
        <f>IF(Chinh!$I$9="",0,SUMPRODUCT(--(TH!$B$6:$B$15000=2),--(TH!$N$6:$N$15000="Cam Nghĩa")))</f>
        <v>0</v>
      </c>
      <c r="K7" s="72">
        <f>IF(Chinh!$I$9="",0,SUMPRODUCT(--(TH!$B$6:$B$15000=2),--(TH!$N$6:$N$15000="Cam Phúc Bắc")))</f>
        <v>0</v>
      </c>
      <c r="L7" s="72">
        <f>IF(Chinh!$I$9="",0,SUMPRODUCT(--(TH!$B$6:$B$15000=2),--(TH!$N$6:$N$15000="Cam Phúc Nam")))</f>
        <v>0</v>
      </c>
      <c r="M7" s="72">
        <f>IF(Chinh!$I$9="",0,SUMPRODUCT(--(TH!$B$6:$B$15000=2),--(TH!$N$6:$N$15000="Cam Phú")))</f>
        <v>0</v>
      </c>
      <c r="N7" s="72">
        <f>IF(Chinh!$I$9="",0,SUMPRODUCT(--(TH!$B$6:$B$15000=2),--(TH!$N$6:$N$15000="Cam Thuận")))</f>
        <v>0</v>
      </c>
      <c r="O7" s="72">
        <f>IF(Chinh!$I$9="",0,SUMPRODUCT(--(TH!$B$6:$B$15000=2),--(TH!$N$6:$N$15000="Cam Lộc")))</f>
        <v>0</v>
      </c>
      <c r="P7" s="72">
        <f>IF(Chinh!$I$9="",0,SUMPRODUCT(--(TH!$B$6:$B$15000=2),--(TH!$N$6:$N$15000="Cam Linh")))</f>
        <v>0</v>
      </c>
      <c r="Q7" s="72">
        <f>IF(Chinh!$I$9="",0,SUMPRODUCT(--(TH!$B$6:$B$15000=2),--(TH!$N$6:$N$15000="Cam Lợi")))</f>
        <v>0</v>
      </c>
      <c r="R7" s="72">
        <f>IF(Chinh!$I$9="",0,SUMPRODUCT(--(TH!$B$6:$B$15000=2),--(TH!$N$6:$N$15000="Ba Ngòi")))</f>
        <v>0</v>
      </c>
      <c r="S7" s="72">
        <f>IF(Chinh!$I$9="",0,SUMPRODUCT(--(TH!$B$6:$B$15000=2),--(TH!$N$6:$N$15000="Cam Phước Đông")))</f>
        <v>0</v>
      </c>
      <c r="T7" s="72">
        <f>IF(Chinh!$I$9="",0,SUMPRODUCT(--(TH!$B$6:$B$15000=2),--(TH!$N$6:$N$15000="Cam Thịnh Đông")))</f>
        <v>0</v>
      </c>
      <c r="U7" s="72">
        <f>IF(Chinh!$I$9="",0,SUMPRODUCT(--(TH!$B$6:$B$15000=2),--(TH!$N$6:$N$15000="Cam Thịnh Tây")))</f>
        <v>0</v>
      </c>
      <c r="V7" s="72">
        <f>IF(Chinh!$I$9="",0,SUMPRODUCT(--(TH!$B$6:$B$15000=2),--(TH!$N$6:$N$15000="Cam Lập")))</f>
        <v>0</v>
      </c>
      <c r="W7" s="72">
        <f>IF(Chinh!$I$9="",0,SUMPRODUCT(--(TH!$B$6:$B$15000=2),--(TH!$N$6:$N$15000="Cam Bình")))</f>
        <v>0</v>
      </c>
      <c r="X7" s="72">
        <f>IF(Chinh!$I$9="",0,SUMPRODUCT(--(TH!$B$6:$B$15000=2),--(TH!$N$6:$N$15000="Huyện khác")))</f>
        <v>0</v>
      </c>
      <c r="Y7" s="72">
        <f>IF(Chinh!$I$9="",0,SUMPRODUCT(--(TH!$B$6:$B$15000=2),--(TH!$N$6:$N$15000="Tỉnh khác")))</f>
        <v>0</v>
      </c>
      <c r="Z7" s="75" t="str">
        <f t="shared" si="0"/>
        <v/>
      </c>
    </row>
    <row r="8" spans="1:26" ht="28.5" customHeight="1" x14ac:dyDescent="0.25">
      <c r="A8" s="277">
        <f>3</f>
        <v>3</v>
      </c>
      <c r="B8" s="278">
        <f>IF(Chinh!$I$9="",0,COUNTIF(TH!$B$6:$B$15000,3))</f>
        <v>0</v>
      </c>
      <c r="C8" s="72">
        <f>IF(Chinh!$I$9="",0,SUMPRODUCT(--(TH!$B$6:$B$15000=3),--(TH!$I$6:$I$15000="x")))</f>
        <v>0</v>
      </c>
      <c r="D8" s="73">
        <f>IF(Chinh!$I$9="",0,SUMPRODUCT(--(TH!$B$6:$B$15000=3),--(TH!$J$6:$J$15000&lt;&gt;"Kinh"),--(TH!$J$6:$J$15000&lt;&gt;"Mỹ"),--(TH!$J$6:$J$15000&lt;&gt;"Anh"),--(TH!$J$6:$J$15000&lt;&gt;"Pháp")))</f>
        <v>0</v>
      </c>
      <c r="E8" s="72">
        <f>IF(Chinh!$I$9="",0,SUMPRODUCT(--(TH!$B$6:$B$15000=3),--(TH!$K$6:$K$15000&lt;&gt;"")))</f>
        <v>0</v>
      </c>
      <c r="F8" s="72">
        <f>IF(Chinh!$I$9="",0,SUMPRODUCT(--(TH!$B$6:$B$15000=3),--(TH!$L$6:$L$15000="x")))</f>
        <v>0</v>
      </c>
      <c r="G8" s="74">
        <f>IF(AND($A$1&lt;&gt;"",$A$2&lt;&gt;"",$A$1=phu!$N$7),'TKe HSTH'!I8+'TKe HSTH'!J8+'TKe HSTH'!K8,IF(AND($A$1&lt;&gt;"",$A$2&lt;&gt;"",$A$1=phu!$N$13),'TKe HSTH'!L8+'TKe HSTH'!M8+'TKe HSTH'!O8,IF(AND($A$1&lt;&gt;"",$A$2&lt;&gt;"",$A$1=phu!$N$23),'TKe HSTH'!N8+'TKe HSTH'!P8+'TKe HSTH'!Q8,IF(AND($A$1&lt;&gt;"",$A$2&lt;&gt;"",$A$1=phu!$N$30),'TKe HSTH'!R8+'TKe HSTH'!S8,IF(AND($A$1&lt;&gt;"",$A$2&lt;&gt;"",$A$1=phu!$N$36),'TKe HSTH'!T8+'TKe HSTH'!U8+'TKe HSTH'!V8+'TKe HSTH'!W8,0)))))</f>
        <v>0</v>
      </c>
      <c r="H8" s="279">
        <f>IF(AND(B8=0,G8=0),0,B8-G8)</f>
        <v>0</v>
      </c>
      <c r="I8" s="72">
        <f>IF(Chinh!$I$9="",0,SUMPRODUCT(--(TH!$B$6:$B$15000=3),--(TH!$N$6:$N$15000="Cam Thành Nam")))</f>
        <v>0</v>
      </c>
      <c r="J8" s="72">
        <f>IF(Chinh!$I$9="",0,SUMPRODUCT(--(TH!$B$6:$B$15000=3),--(TH!$N$6:$N$15000="Cam Nghĩa")))</f>
        <v>0</v>
      </c>
      <c r="K8" s="72">
        <f>IF(Chinh!$I$9="",0,SUMPRODUCT(--(TH!$B$6:$B$15000=3),--(TH!$N$6:$N$15000="Cam Phúc Bắc")))</f>
        <v>0</v>
      </c>
      <c r="L8" s="72">
        <f>IF(Chinh!$I$9="",0,SUMPRODUCT(--(TH!$B$6:$B$15000=3),--(TH!$N$6:$N$15000="Cam Phúc Nam")))</f>
        <v>0</v>
      </c>
      <c r="M8" s="72">
        <f>IF(Chinh!$I$9="",0,SUMPRODUCT(--(TH!$B$6:$B$15000=3),--(TH!$N$6:$N$15000="Cam Phú")))</f>
        <v>0</v>
      </c>
      <c r="N8" s="72">
        <f>IF(Chinh!$I$9="",0,SUMPRODUCT(--(TH!$B$6:$B$15000=3),--(TH!$N$6:$N$15000="Cam Thuận")))</f>
        <v>0</v>
      </c>
      <c r="O8" s="72">
        <f>IF(Chinh!$I$9="",0,SUMPRODUCT(--(TH!$B$6:$B$15000=3),--(TH!$N$6:$N$15000="Cam Lộc")))</f>
        <v>0</v>
      </c>
      <c r="P8" s="72">
        <f>IF(Chinh!$I$9="",0,SUMPRODUCT(--(TH!$B$6:$B$15000=3),--(TH!$N$6:$N$15000="Cam Linh")))</f>
        <v>0</v>
      </c>
      <c r="Q8" s="72">
        <f>IF(Chinh!$I$9="",0,SUMPRODUCT(--(TH!$B$6:$B$15000=3),--(TH!$N$6:$N$15000="Cam Lợi")))</f>
        <v>0</v>
      </c>
      <c r="R8" s="72">
        <f>IF(Chinh!$I$9="",0,SUMPRODUCT(--(TH!$B$6:$B$15000=3),--(TH!$N$6:$N$15000="Ba Ngòi")))</f>
        <v>0</v>
      </c>
      <c r="S8" s="72">
        <f>IF(Chinh!$I$9="",0,SUMPRODUCT(--(TH!$B$6:$B$15000=3),--(TH!$N$6:$N$15000="Cam Phước Đông")))</f>
        <v>0</v>
      </c>
      <c r="T8" s="72">
        <f>IF(Chinh!$I$9="",0,SUMPRODUCT(--(TH!$B$6:$B$15000=3),--(TH!$N$6:$N$15000="Cam Thịnh Đông")))</f>
        <v>0</v>
      </c>
      <c r="U8" s="72">
        <f>IF(Chinh!$I$9="",0,SUMPRODUCT(--(TH!$B$6:$B$15000=3),--(TH!$N$6:$N$15000="Cam Thịnh Tây")))</f>
        <v>0</v>
      </c>
      <c r="V8" s="72">
        <f>IF(Chinh!$I$9="",0,SUMPRODUCT(--(TH!$B$6:$B$15000=3),--(TH!$N$6:$N$15000="Cam Lập")))</f>
        <v>0</v>
      </c>
      <c r="W8" s="72">
        <f>IF(Chinh!$I$9="",0,SUMPRODUCT(--(TH!$B$6:$B$15000=3),--(TH!$N$6:$N$15000="Cam Bình")))</f>
        <v>0</v>
      </c>
      <c r="X8" s="72">
        <f>IF(Chinh!$I$9="",0,SUMPRODUCT(--(TH!$B$6:$B$15000=3),--(TH!$N$6:$N$15000="Huyện khác")))</f>
        <v>0</v>
      </c>
      <c r="Y8" s="72">
        <f>IF(Chinh!$I$9="",0,SUMPRODUCT(--(TH!$B$6:$B$15000=3),--(TH!$N$6:$N$15000="Tỉnh khác")))</f>
        <v>0</v>
      </c>
      <c r="Z8" s="75" t="str">
        <f t="shared" si="0"/>
        <v/>
      </c>
    </row>
    <row r="9" spans="1:26" ht="28.5" customHeight="1" x14ac:dyDescent="0.25">
      <c r="A9" s="277">
        <f>4</f>
        <v>4</v>
      </c>
      <c r="B9" s="278">
        <f>IF(Chinh!$I$9="",0,COUNTIF(TH!$B$6:$B$15000,4))</f>
        <v>0</v>
      </c>
      <c r="C9" s="72">
        <f>IF(Chinh!$I$9="",0,SUMPRODUCT(--(TH!$B$6:$B$15000=4),--(TH!$I$6:$I$15000="x")))</f>
        <v>0</v>
      </c>
      <c r="D9" s="73">
        <f>IF(Chinh!$I$9="",0,SUMPRODUCT(--(TH!$B$6:$B$15000=4),--(TH!$J$6:$J$15000&lt;&gt;"Kinh"),--(TH!$J$6:$J$15000&lt;&gt;"Mỹ"),--(TH!$J$6:$J$15000&lt;&gt;"Anh"),--(TH!$J$6:$J$15000&lt;&gt;"Pháp")))</f>
        <v>0</v>
      </c>
      <c r="E9" s="72">
        <f>IF(Chinh!$I$9="",0,SUMPRODUCT(--(TH!$B$6:$B$15000=4),--(TH!$K$6:$K$15000&lt;&gt;"")))</f>
        <v>0</v>
      </c>
      <c r="F9" s="72">
        <f>IF(Chinh!$I$9="",0,SUMPRODUCT(--(TH!$B$6:$B$15000=4),--(TH!$L$6:$L$15000="x")))</f>
        <v>0</v>
      </c>
      <c r="G9" s="74">
        <f>IF(AND($A$1&lt;&gt;"",$A$2&lt;&gt;"",$A$1=phu!$N$7),'TKe HSTH'!I9+'TKe HSTH'!J9+'TKe HSTH'!K9,IF(AND($A$1&lt;&gt;"",$A$2&lt;&gt;"",$A$1=phu!$N$13),'TKe HSTH'!L9+'TKe HSTH'!M9+'TKe HSTH'!O9,IF(AND($A$1&lt;&gt;"",$A$2&lt;&gt;"",$A$1=phu!$N$23),'TKe HSTH'!N9+'TKe HSTH'!P9+'TKe HSTH'!Q9,IF(AND($A$1&lt;&gt;"",$A$2&lt;&gt;"",$A$1=phu!$N$30),'TKe HSTH'!R9+'TKe HSTH'!S9,IF(AND($A$1&lt;&gt;"",$A$2&lt;&gt;"",$A$1=phu!$N$36),'TKe HSTH'!T9+'TKe HSTH'!U9+'TKe HSTH'!V9+'TKe HSTH'!W9,0)))))</f>
        <v>0</v>
      </c>
      <c r="H9" s="279">
        <f>IF(AND(B9=0,G9=0),0,B9-G9)</f>
        <v>0</v>
      </c>
      <c r="I9" s="72">
        <f>IF(Chinh!$I$9="",0,SUMPRODUCT(--(TH!$B$6:$B$15000=4),--(TH!$N$6:$N$15000="Cam Thành Nam")))</f>
        <v>0</v>
      </c>
      <c r="J9" s="72">
        <f>IF(Chinh!$I$9="",0,SUMPRODUCT(--(TH!$B$6:$B$15000=4),--(TH!$N$6:$N$15000="Cam Nghĩa")))</f>
        <v>0</v>
      </c>
      <c r="K9" s="72">
        <f>IF(Chinh!$I$9="",0,SUMPRODUCT(--(TH!$B$6:$B$15000=4),--(TH!$N$6:$N$15000="Cam Phúc Bắc")))</f>
        <v>0</v>
      </c>
      <c r="L9" s="72">
        <f>IF(Chinh!$I$9="",0,SUMPRODUCT(--(TH!$B$6:$B$15000=4),--(TH!$N$6:$N$15000="Cam Phúc Nam")))</f>
        <v>0</v>
      </c>
      <c r="M9" s="72">
        <f>IF(Chinh!$I$9="",0,SUMPRODUCT(--(TH!$B$6:$B$15000=4),--(TH!$N$6:$N$15000="Cam Phú")))</f>
        <v>0</v>
      </c>
      <c r="N9" s="72">
        <f>IF(Chinh!$I$9="",0,SUMPRODUCT(--(TH!$B$6:$B$15000=4),--(TH!$N$6:$N$15000="Cam Thuận")))</f>
        <v>0</v>
      </c>
      <c r="O9" s="72">
        <f>IF(Chinh!$I$9="",0,SUMPRODUCT(--(TH!$B$6:$B$15000=4),--(TH!$N$6:$N$15000="Cam Lộc")))</f>
        <v>0</v>
      </c>
      <c r="P9" s="72">
        <f>IF(Chinh!$I$9="",0,SUMPRODUCT(--(TH!$B$6:$B$15000=4),--(TH!$N$6:$N$15000="Cam Linh")))</f>
        <v>0</v>
      </c>
      <c r="Q9" s="72">
        <f>IF(Chinh!$I$9="",0,SUMPRODUCT(--(TH!$B$6:$B$15000=4),--(TH!$N$6:$N$15000="Cam Lợi")))</f>
        <v>0</v>
      </c>
      <c r="R9" s="72">
        <f>IF(Chinh!$I$9="",0,SUMPRODUCT(--(TH!$B$6:$B$15000=4),--(TH!$N$6:$N$15000="Ba Ngòi")))</f>
        <v>0</v>
      </c>
      <c r="S9" s="72">
        <f>IF(Chinh!$I$9="",0,SUMPRODUCT(--(TH!$B$6:$B$15000=4),--(TH!$N$6:$N$15000="Cam Phước Đông")))</f>
        <v>0</v>
      </c>
      <c r="T9" s="72">
        <f>IF(Chinh!$I$9="",0,SUMPRODUCT(--(TH!$B$6:$B$15000=4),--(TH!$N$6:$N$15000="Cam Thịnh Đông")))</f>
        <v>0</v>
      </c>
      <c r="U9" s="72">
        <f>IF(Chinh!$I$9="",0,SUMPRODUCT(--(TH!$B$6:$B$15000=4),--(TH!$N$6:$N$15000="Cam Thịnh Tây")))</f>
        <v>0</v>
      </c>
      <c r="V9" s="72">
        <f>IF(Chinh!$I$9="",0,SUMPRODUCT(--(TH!$B$6:$B$15000=4),--(TH!$N$6:$N$15000="Cam Lập")))</f>
        <v>0</v>
      </c>
      <c r="W9" s="72">
        <f>IF(Chinh!$I$9="",0,SUMPRODUCT(--(TH!$B$6:$B$15000=4),--(TH!$N$6:$N$15000="Cam Bình")))</f>
        <v>0</v>
      </c>
      <c r="X9" s="72">
        <f>IF(Chinh!$I$9="",0,SUMPRODUCT(--(TH!$B$6:$B$15000=4),--(TH!$N$6:$N$15000="Huyện khác")))</f>
        <v>0</v>
      </c>
      <c r="Y9" s="72">
        <f>IF(Chinh!$I$9="",0,SUMPRODUCT(--(TH!$B$6:$B$15000=4),--(TH!$N$6:$N$15000="Tỉnh khác")))</f>
        <v>0</v>
      </c>
      <c r="Z9" s="75" t="str">
        <f t="shared" si="0"/>
        <v/>
      </c>
    </row>
    <row r="10" spans="1:26" ht="28.5" customHeight="1" x14ac:dyDescent="0.25">
      <c r="A10" s="277">
        <f>5</f>
        <v>5</v>
      </c>
      <c r="B10" s="278">
        <f>IF(Chinh!$I$9="",0,COUNTIF(TH!$B$6:$B$15000,5))</f>
        <v>0</v>
      </c>
      <c r="C10" s="72">
        <f>IF(Chinh!$I$9="",0,SUMPRODUCT(--(TH!$B$6:$B$15000=5),--(TH!$I$6:$I$15000="x")))</f>
        <v>0</v>
      </c>
      <c r="D10" s="73">
        <f>IF(Chinh!$I$9="",0,SUMPRODUCT(--(TH!$B$6:$B$15000=5),--(TH!$J$6:$J$15000&lt;&gt;"Kinh"),--(TH!$J$6:$J$15000&lt;&gt;"Mỹ"),--(TH!$J$6:$J$15000&lt;&gt;"Anh"),--(TH!$J$6:$J$15000&lt;&gt;"Pháp")))</f>
        <v>0</v>
      </c>
      <c r="E10" s="72">
        <f>IF(Chinh!$I$9="",0,SUMPRODUCT(--(TH!$B$6:$B$15000=5),--(TH!$K$6:$K$15000&lt;&gt;"")))</f>
        <v>0</v>
      </c>
      <c r="F10" s="72">
        <f>IF(Chinh!$I$9="",0,SUMPRODUCT(--(TH!$B$6:$B$15000=5),--(TH!$L$6:$L$15000="x")))</f>
        <v>0</v>
      </c>
      <c r="G10" s="74">
        <f>IF(AND($A$1&lt;&gt;"",$A$2&lt;&gt;"",$A$1=phu!$N$7),'TKe HSTH'!I10+'TKe HSTH'!J10+'TKe HSTH'!K10,IF(AND($A$1&lt;&gt;"",$A$2&lt;&gt;"",$A$1=phu!$N$13),'TKe HSTH'!L10+'TKe HSTH'!M10+'TKe HSTH'!O10,IF(AND($A$1&lt;&gt;"",$A$2&lt;&gt;"",$A$1=phu!$N$23),'TKe HSTH'!N10+'TKe HSTH'!P10+'TKe HSTH'!Q10,IF(AND($A$1&lt;&gt;"",$A$2&lt;&gt;"",$A$1=phu!$N$30),'TKe HSTH'!R10+'TKe HSTH'!S10,IF(AND($A$1&lt;&gt;"",$A$2&lt;&gt;"",$A$1=phu!$N$36),'TKe HSTH'!T10+'TKe HSTH'!U10+'TKe HSTH'!V10+'TKe HSTH'!W10,0)))))</f>
        <v>0</v>
      </c>
      <c r="H10" s="279">
        <f>IF(AND(B10=0,G10=0),0,B10-G10)</f>
        <v>0</v>
      </c>
      <c r="I10" s="72">
        <f>IF(Chinh!$I$9="",0,SUMPRODUCT(--(TH!$B$6:$B$15000=5),--(TH!$N$6:$N$15000="Cam Thành Nam")))</f>
        <v>0</v>
      </c>
      <c r="J10" s="72">
        <f>IF(Chinh!$I$9="",0,SUMPRODUCT(--(TH!$B$6:$B$15000=5),--(TH!$N$6:$N$15000="Cam Nghĩa")))</f>
        <v>0</v>
      </c>
      <c r="K10" s="72">
        <f>IF(Chinh!$I$9="",0,SUMPRODUCT(--(TH!$B$6:$B$15000=5),--(TH!$N$6:$N$15000="Cam Phúc Bắc")))</f>
        <v>0</v>
      </c>
      <c r="L10" s="72">
        <f>IF(Chinh!$I$9="",0,SUMPRODUCT(--(TH!$B$6:$B$15000=5),--(TH!$N$6:$N$15000="Cam Phúc Nam")))</f>
        <v>0</v>
      </c>
      <c r="M10" s="72">
        <f>IF(Chinh!$I$9="",0,SUMPRODUCT(--(TH!$B$6:$B$15000=5),--(TH!$N$6:$N$15000="Cam Phú")))</f>
        <v>0</v>
      </c>
      <c r="N10" s="72">
        <f>IF(Chinh!$I$9="",0,SUMPRODUCT(--(TH!$B$6:$B$15000=5),--(TH!$N$6:$N$15000="Cam Thuận")))</f>
        <v>0</v>
      </c>
      <c r="O10" s="72">
        <f>IF(Chinh!$I$9="",0,SUMPRODUCT(--(TH!$B$6:$B$15000=5),--(TH!$N$6:$N$15000="Cam Lộc")))</f>
        <v>0</v>
      </c>
      <c r="P10" s="72">
        <f>IF(Chinh!$I$9="",0,SUMPRODUCT(--(TH!$B$6:$B$15000=5),--(TH!$N$6:$N$15000="Cam Linh")))</f>
        <v>0</v>
      </c>
      <c r="Q10" s="72">
        <f>IF(Chinh!$I$9="",0,SUMPRODUCT(--(TH!$B$6:$B$15000=5),--(TH!$N$6:$N$15000="Cam Lợi")))</f>
        <v>0</v>
      </c>
      <c r="R10" s="72">
        <f>IF(Chinh!$I$9="",0,SUMPRODUCT(--(TH!$B$6:$B$15000=5),--(TH!$N$6:$N$15000="Ba Ngòi")))</f>
        <v>0</v>
      </c>
      <c r="S10" s="72">
        <f>IF(Chinh!$I$9="",0,SUMPRODUCT(--(TH!$B$6:$B$15000=5),--(TH!$N$6:$N$15000="Cam Phước Đông")))</f>
        <v>0</v>
      </c>
      <c r="T10" s="72">
        <f>IF(Chinh!$I$9="",0,SUMPRODUCT(--(TH!$B$6:$B$15000=5),--(TH!$N$6:$N$15000="Cam Thịnh Đông")))</f>
        <v>0</v>
      </c>
      <c r="U10" s="72">
        <f>IF(Chinh!$I$9="",0,SUMPRODUCT(--(TH!$B$6:$B$15000=5),--(TH!$N$6:$N$15000="Cam Thịnh Tây")))</f>
        <v>0</v>
      </c>
      <c r="V10" s="72">
        <f>IF(Chinh!$I$9="",0,SUMPRODUCT(--(TH!$B$6:$B$15000=5),--(TH!$N$6:$N$15000="Cam Lập")))</f>
        <v>0</v>
      </c>
      <c r="W10" s="72">
        <f>IF(Chinh!$I$9="",0,SUMPRODUCT(--(TH!$B$6:$B$15000=5),--(TH!$N$6:$N$15000="Cam Bình")))</f>
        <v>0</v>
      </c>
      <c r="X10" s="72">
        <f>IF(Chinh!$I$9="",0,SUMPRODUCT(--(TH!$B$6:$B$15000=5),--(TH!$N$6:$N$15000="Huyện khác")))</f>
        <v>0</v>
      </c>
      <c r="Y10" s="72">
        <f>IF(Chinh!$I$9="",0,SUMPRODUCT(--(TH!$B$6:$B$15000=5),--(TH!$N$6:$N$15000="Tỉnh khác")))</f>
        <v>0</v>
      </c>
      <c r="Z10" s="75" t="str">
        <f t="shared" si="0"/>
        <v/>
      </c>
    </row>
    <row r="11" spans="1:26" ht="33" customHeight="1" x14ac:dyDescent="0.25">
      <c r="A11" s="78" t="s">
        <v>236</v>
      </c>
      <c r="B11" s="280">
        <f>SUM(B6:B10)</f>
        <v>0</v>
      </c>
      <c r="C11" s="91">
        <f t="shared" ref="C11:Y11" si="1">SUM(C6:C10)</f>
        <v>0</v>
      </c>
      <c r="D11" s="91">
        <f t="shared" si="1"/>
        <v>0</v>
      </c>
      <c r="E11" s="91">
        <f t="shared" si="1"/>
        <v>0</v>
      </c>
      <c r="F11" s="91">
        <f t="shared" si="1"/>
        <v>0</v>
      </c>
      <c r="G11" s="91">
        <f t="shared" si="1"/>
        <v>0</v>
      </c>
      <c r="H11" s="281">
        <f t="shared" si="1"/>
        <v>0</v>
      </c>
      <c r="I11" s="91">
        <f t="shared" si="1"/>
        <v>0</v>
      </c>
      <c r="J11" s="91">
        <f>SUM(J6:J10)</f>
        <v>0</v>
      </c>
      <c r="K11" s="91">
        <f t="shared" si="1"/>
        <v>0</v>
      </c>
      <c r="L11" s="91">
        <f t="shared" si="1"/>
        <v>0</v>
      </c>
      <c r="M11" s="91">
        <f t="shared" si="1"/>
        <v>0</v>
      </c>
      <c r="N11" s="91">
        <f>SUM(N6:N10)</f>
        <v>0</v>
      </c>
      <c r="O11" s="91">
        <f t="shared" si="1"/>
        <v>0</v>
      </c>
      <c r="P11" s="91">
        <f>SUM(P6:P10)</f>
        <v>0</v>
      </c>
      <c r="Q11" s="91">
        <f t="shared" si="1"/>
        <v>0</v>
      </c>
      <c r="R11" s="91">
        <f t="shared" si="1"/>
        <v>0</v>
      </c>
      <c r="S11" s="91">
        <f t="shared" si="1"/>
        <v>0</v>
      </c>
      <c r="T11" s="91">
        <f t="shared" si="1"/>
        <v>0</v>
      </c>
      <c r="U11" s="91">
        <f t="shared" si="1"/>
        <v>0</v>
      </c>
      <c r="V11" s="91">
        <f>SUM(V6:V10)</f>
        <v>0</v>
      </c>
      <c r="W11" s="91">
        <f>SUM(W6:W10)</f>
        <v>0</v>
      </c>
      <c r="X11" s="91">
        <f t="shared" si="1"/>
        <v>0</v>
      </c>
      <c r="Y11" s="91">
        <f t="shared" si="1"/>
        <v>0</v>
      </c>
      <c r="Z11" s="75" t="str">
        <f t="shared" si="0"/>
        <v/>
      </c>
    </row>
    <row r="12" spans="1:26" x14ac:dyDescent="0.25">
      <c r="D12" s="69"/>
    </row>
    <row r="13" spans="1:26" x14ac:dyDescent="0.25">
      <c r="A13" s="584" t="s">
        <v>266</v>
      </c>
      <c r="R13" s="80"/>
    </row>
    <row r="14" spans="1:26" ht="24.75" customHeight="1" x14ac:dyDescent="0.25">
      <c r="B14" s="81"/>
      <c r="C14" s="284" t="s">
        <v>390</v>
      </c>
      <c r="D14" s="81"/>
      <c r="E14" s="81"/>
      <c r="G14" s="81"/>
      <c r="H14" s="81"/>
      <c r="I14" s="81"/>
      <c r="J14" s="81"/>
      <c r="K14" s="81"/>
      <c r="L14" s="81"/>
      <c r="M14" s="81"/>
      <c r="N14" s="81"/>
      <c r="O14" s="81"/>
      <c r="P14" s="81"/>
      <c r="Q14" s="81"/>
      <c r="R14" s="81"/>
      <c r="U14" s="284" t="s">
        <v>296</v>
      </c>
      <c r="V14" s="81"/>
      <c r="W14" s="81"/>
      <c r="X14" s="81"/>
      <c r="Y14" s="81"/>
    </row>
    <row r="19" spans="3:21" ht="15.75" x14ac:dyDescent="0.25">
      <c r="C19" s="283" t="str">
        <f>IF(Chinh!$I$9&lt;&gt;"",Chinh!C37,"")</f>
        <v/>
      </c>
      <c r="U19" s="283" t="str">
        <f>IF(Chinh!$I$9&lt;&gt;"",Chinh!L37,"")</f>
        <v/>
      </c>
    </row>
  </sheetData>
  <sheetProtection algorithmName="SHA-512" hashValue="oq33n+fLgG1UQcFp8QJTGCyKLuuDpbEhua91oUh3f2pL3KIRKsG/0iX2vmTDbtjEJqUuGU4UMkWFOZa0WPw5UQ==" saltValue="QIge7sX3eoLLSV1Clw2bPQ==" spinCount="100000" sheet="1" formatCells="0" formatColumns="0" formatRows="0" sort="0" autoFilter="0" pivotTables="0"/>
  <mergeCells count="13">
    <mergeCell ref="F4:F5"/>
    <mergeCell ref="G4:H4"/>
    <mergeCell ref="I4:Y4"/>
    <mergeCell ref="A1:G1"/>
    <mergeCell ref="J1:W1"/>
    <mergeCell ref="A2:G2"/>
    <mergeCell ref="J2:W2"/>
    <mergeCell ref="M3:O3"/>
    <mergeCell ref="A4:A5"/>
    <mergeCell ref="B4:B5"/>
    <mergeCell ref="C4:C5"/>
    <mergeCell ref="D4:D5"/>
    <mergeCell ref="E4:E5"/>
  </mergeCells>
  <conditionalFormatting sqref="G11:H11 I6:Y11 B6:F11">
    <cfRule type="cellIs" dxfId="65" priority="9" stopIfTrue="1" operator="equal">
      <formula>0</formula>
    </cfRule>
  </conditionalFormatting>
  <conditionalFormatting sqref="A2">
    <cfRule type="cellIs" dxfId="64" priority="8" stopIfTrue="1" operator="between">
      <formula>0</formula>
      <formula>0</formula>
    </cfRule>
  </conditionalFormatting>
  <conditionalFormatting sqref="G6:H10">
    <cfRule type="cellIs" dxfId="63" priority="6" stopIfTrue="1" operator="between">
      <formula>0</formula>
      <formula>0</formula>
    </cfRule>
    <cfRule type="cellIs" dxfId="62" priority="7" stopIfTrue="1" operator="between">
      <formula>""</formula>
      <formula>""</formula>
    </cfRule>
  </conditionalFormatting>
  <conditionalFormatting sqref="M3">
    <cfRule type="cellIs" dxfId="61" priority="4" stopIfTrue="1" operator="between">
      <formula>"Nhập liệu!"</formula>
      <formula>"Nhập liệu!"</formula>
    </cfRule>
    <cfRule type="cellIs" dxfId="60" priority="5" stopIfTrue="1" operator="between">
      <formula>"Còn lỗi!"</formula>
      <formula>"Còn lỗi!"</formula>
    </cfRule>
  </conditionalFormatting>
  <conditionalFormatting sqref="G6:H10">
    <cfRule type="cellIs" dxfId="59" priority="3" stopIfTrue="1" operator="between">
      <formula>""</formula>
      <formula>""</formula>
    </cfRule>
  </conditionalFormatting>
  <conditionalFormatting sqref="U19">
    <cfRule type="cellIs" dxfId="58" priority="2" stopIfTrue="1" operator="between">
      <formula>""</formula>
      <formula>""</formula>
    </cfRule>
  </conditionalFormatting>
  <conditionalFormatting sqref="C19">
    <cfRule type="cellIs" dxfId="57" priority="1" stopIfTrue="1" operator="between">
      <formula>""</formula>
      <formula>""</formula>
    </cfRule>
  </conditionalFormatting>
  <pageMargins left="0.11811023622047245" right="0.11811023622047245" top="0.55118110236220474" bottom="0.15748031496062992" header="0.31496062992125984" footer="0.19685039370078741"/>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U156"/>
  <sheetViews>
    <sheetView showGridLines="0" showZeros="0" workbookViewId="0">
      <pane xSplit="2" ySplit="7" topLeftCell="C8" activePane="bottomRight" state="frozen"/>
      <selection activeCell="C15" sqref="C15"/>
      <selection pane="topRight" activeCell="C15" sqref="C15"/>
      <selection pane="bottomLeft" activeCell="C15" sqref="C15"/>
      <selection pane="bottomRight" activeCell="G3" sqref="G3:I3"/>
    </sheetView>
  </sheetViews>
  <sheetFormatPr defaultRowHeight="12.75" x14ac:dyDescent="0.2"/>
  <cols>
    <col min="1" max="1" width="3.625" style="287" customWidth="1"/>
    <col min="2" max="2" width="22.875" style="287" customWidth="1"/>
    <col min="3" max="3" width="9.75" style="310" customWidth="1"/>
    <col min="4" max="4" width="4.125" style="287" customWidth="1"/>
    <col min="5" max="5" width="11" style="309" customWidth="1"/>
    <col min="6" max="6" width="11.625" style="287" customWidth="1"/>
    <col min="7" max="7" width="5.625" style="287" customWidth="1"/>
    <col min="8" max="8" width="5.5" style="287" customWidth="1"/>
    <col min="9" max="9" width="9.125" style="287" customWidth="1"/>
    <col min="10" max="10" width="7.5" style="287" customWidth="1"/>
    <col min="11" max="11" width="9.625" style="287" customWidth="1"/>
    <col min="12" max="12" width="6.75" style="287" customWidth="1"/>
    <col min="13" max="13" width="5.375" style="287" customWidth="1"/>
    <col min="14" max="14" width="4.75" style="287" customWidth="1"/>
    <col min="15" max="17" width="6.125" style="287" customWidth="1"/>
    <col min="18" max="18" width="6.625" style="287" customWidth="1"/>
    <col min="19" max="19" width="7.625" style="287" customWidth="1"/>
    <col min="20" max="20" width="5" style="287" customWidth="1"/>
    <col min="21" max="21" width="1.875" style="286" hidden="1" customWidth="1"/>
    <col min="22" max="256" width="9" style="287"/>
    <col min="257" max="257" width="3.625" style="287" customWidth="1"/>
    <col min="258" max="258" width="22.875" style="287" customWidth="1"/>
    <col min="259" max="259" width="9.75" style="287" customWidth="1"/>
    <col min="260" max="260" width="4.125" style="287" customWidth="1"/>
    <col min="261" max="261" width="11" style="287" customWidth="1"/>
    <col min="262" max="262" width="11.625" style="287" customWidth="1"/>
    <col min="263" max="263" width="5.625" style="287" customWidth="1"/>
    <col min="264" max="264" width="5.5" style="287" customWidth="1"/>
    <col min="265" max="265" width="9.125" style="287" customWidth="1"/>
    <col min="266" max="266" width="7.5" style="287" customWidth="1"/>
    <col min="267" max="267" width="9.625" style="287" customWidth="1"/>
    <col min="268" max="268" width="6.75" style="287" customWidth="1"/>
    <col min="269" max="269" width="5.375" style="287" customWidth="1"/>
    <col min="270" max="270" width="4.75" style="287" customWidth="1"/>
    <col min="271" max="273" width="6.125" style="287" customWidth="1"/>
    <col min="274" max="274" width="6.625" style="287" customWidth="1"/>
    <col min="275" max="275" width="7.625" style="287" customWidth="1"/>
    <col min="276" max="276" width="5" style="287" customWidth="1"/>
    <col min="277" max="277" width="0" style="287" hidden="1" customWidth="1"/>
    <col min="278" max="512" width="9" style="287"/>
    <col min="513" max="513" width="3.625" style="287" customWidth="1"/>
    <col min="514" max="514" width="22.875" style="287" customWidth="1"/>
    <col min="515" max="515" width="9.75" style="287" customWidth="1"/>
    <col min="516" max="516" width="4.125" style="287" customWidth="1"/>
    <col min="517" max="517" width="11" style="287" customWidth="1"/>
    <col min="518" max="518" width="11.625" style="287" customWidth="1"/>
    <col min="519" max="519" width="5.625" style="287" customWidth="1"/>
    <col min="520" max="520" width="5.5" style="287" customWidth="1"/>
    <col min="521" max="521" width="9.125" style="287" customWidth="1"/>
    <col min="522" max="522" width="7.5" style="287" customWidth="1"/>
    <col min="523" max="523" width="9.625" style="287" customWidth="1"/>
    <col min="524" max="524" width="6.75" style="287" customWidth="1"/>
    <col min="525" max="525" width="5.375" style="287" customWidth="1"/>
    <col min="526" max="526" width="4.75" style="287" customWidth="1"/>
    <col min="527" max="529" width="6.125" style="287" customWidth="1"/>
    <col min="530" max="530" width="6.625" style="287" customWidth="1"/>
    <col min="531" max="531" width="7.625" style="287" customWidth="1"/>
    <col min="532" max="532" width="5" style="287" customWidth="1"/>
    <col min="533" max="533" width="0" style="287" hidden="1" customWidth="1"/>
    <col min="534" max="768" width="9" style="287"/>
    <col min="769" max="769" width="3.625" style="287" customWidth="1"/>
    <col min="770" max="770" width="22.875" style="287" customWidth="1"/>
    <col min="771" max="771" width="9.75" style="287" customWidth="1"/>
    <col min="772" max="772" width="4.125" style="287" customWidth="1"/>
    <col min="773" max="773" width="11" style="287" customWidth="1"/>
    <col min="774" max="774" width="11.625" style="287" customWidth="1"/>
    <col min="775" max="775" width="5.625" style="287" customWidth="1"/>
    <col min="776" max="776" width="5.5" style="287" customWidth="1"/>
    <col min="777" max="777" width="9.125" style="287" customWidth="1"/>
    <col min="778" max="778" width="7.5" style="287" customWidth="1"/>
    <col min="779" max="779" width="9.625" style="287" customWidth="1"/>
    <col min="780" max="780" width="6.75" style="287" customWidth="1"/>
    <col min="781" max="781" width="5.375" style="287" customWidth="1"/>
    <col min="782" max="782" width="4.75" style="287" customWidth="1"/>
    <col min="783" max="785" width="6.125" style="287" customWidth="1"/>
    <col min="786" max="786" width="6.625" style="287" customWidth="1"/>
    <col min="787" max="787" width="7.625" style="287" customWidth="1"/>
    <col min="788" max="788" width="5" style="287" customWidth="1"/>
    <col min="789" max="789" width="0" style="287" hidden="1" customWidth="1"/>
    <col min="790" max="1024" width="9" style="287"/>
    <col min="1025" max="1025" width="3.625" style="287" customWidth="1"/>
    <col min="1026" max="1026" width="22.875" style="287" customWidth="1"/>
    <col min="1027" max="1027" width="9.75" style="287" customWidth="1"/>
    <col min="1028" max="1028" width="4.125" style="287" customWidth="1"/>
    <col min="1029" max="1029" width="11" style="287" customWidth="1"/>
    <col min="1030" max="1030" width="11.625" style="287" customWidth="1"/>
    <col min="1031" max="1031" width="5.625" style="287" customWidth="1"/>
    <col min="1032" max="1032" width="5.5" style="287" customWidth="1"/>
    <col min="1033" max="1033" width="9.125" style="287" customWidth="1"/>
    <col min="1034" max="1034" width="7.5" style="287" customWidth="1"/>
    <col min="1035" max="1035" width="9.625" style="287" customWidth="1"/>
    <col min="1036" max="1036" width="6.75" style="287" customWidth="1"/>
    <col min="1037" max="1037" width="5.375" style="287" customWidth="1"/>
    <col min="1038" max="1038" width="4.75" style="287" customWidth="1"/>
    <col min="1039" max="1041" width="6.125" style="287" customWidth="1"/>
    <col min="1042" max="1042" width="6.625" style="287" customWidth="1"/>
    <col min="1043" max="1043" width="7.625" style="287" customWidth="1"/>
    <col min="1044" max="1044" width="5" style="287" customWidth="1"/>
    <col min="1045" max="1045" width="0" style="287" hidden="1" customWidth="1"/>
    <col min="1046" max="1280" width="9" style="287"/>
    <col min="1281" max="1281" width="3.625" style="287" customWidth="1"/>
    <col min="1282" max="1282" width="22.875" style="287" customWidth="1"/>
    <col min="1283" max="1283" width="9.75" style="287" customWidth="1"/>
    <col min="1284" max="1284" width="4.125" style="287" customWidth="1"/>
    <col min="1285" max="1285" width="11" style="287" customWidth="1"/>
    <col min="1286" max="1286" width="11.625" style="287" customWidth="1"/>
    <col min="1287" max="1287" width="5.625" style="287" customWidth="1"/>
    <col min="1288" max="1288" width="5.5" style="287" customWidth="1"/>
    <col min="1289" max="1289" width="9.125" style="287" customWidth="1"/>
    <col min="1290" max="1290" width="7.5" style="287" customWidth="1"/>
    <col min="1291" max="1291" width="9.625" style="287" customWidth="1"/>
    <col min="1292" max="1292" width="6.75" style="287" customWidth="1"/>
    <col min="1293" max="1293" width="5.375" style="287" customWidth="1"/>
    <col min="1294" max="1294" width="4.75" style="287" customWidth="1"/>
    <col min="1295" max="1297" width="6.125" style="287" customWidth="1"/>
    <col min="1298" max="1298" width="6.625" style="287" customWidth="1"/>
    <col min="1299" max="1299" width="7.625" style="287" customWidth="1"/>
    <col min="1300" max="1300" width="5" style="287" customWidth="1"/>
    <col min="1301" max="1301" width="0" style="287" hidden="1" customWidth="1"/>
    <col min="1302" max="1536" width="9" style="287"/>
    <col min="1537" max="1537" width="3.625" style="287" customWidth="1"/>
    <col min="1538" max="1538" width="22.875" style="287" customWidth="1"/>
    <col min="1539" max="1539" width="9.75" style="287" customWidth="1"/>
    <col min="1540" max="1540" width="4.125" style="287" customWidth="1"/>
    <col min="1541" max="1541" width="11" style="287" customWidth="1"/>
    <col min="1542" max="1542" width="11.625" style="287" customWidth="1"/>
    <col min="1543" max="1543" width="5.625" style="287" customWidth="1"/>
    <col min="1544" max="1544" width="5.5" style="287" customWidth="1"/>
    <col min="1545" max="1545" width="9.125" style="287" customWidth="1"/>
    <col min="1546" max="1546" width="7.5" style="287" customWidth="1"/>
    <col min="1547" max="1547" width="9.625" style="287" customWidth="1"/>
    <col min="1548" max="1548" width="6.75" style="287" customWidth="1"/>
    <col min="1549" max="1549" width="5.375" style="287" customWidth="1"/>
    <col min="1550" max="1550" width="4.75" style="287" customWidth="1"/>
    <col min="1551" max="1553" width="6.125" style="287" customWidth="1"/>
    <col min="1554" max="1554" width="6.625" style="287" customWidth="1"/>
    <col min="1555" max="1555" width="7.625" style="287" customWidth="1"/>
    <col min="1556" max="1556" width="5" style="287" customWidth="1"/>
    <col min="1557" max="1557" width="0" style="287" hidden="1" customWidth="1"/>
    <col min="1558" max="1792" width="9" style="287"/>
    <col min="1793" max="1793" width="3.625" style="287" customWidth="1"/>
    <col min="1794" max="1794" width="22.875" style="287" customWidth="1"/>
    <col min="1795" max="1795" width="9.75" style="287" customWidth="1"/>
    <col min="1796" max="1796" width="4.125" style="287" customWidth="1"/>
    <col min="1797" max="1797" width="11" style="287" customWidth="1"/>
    <col min="1798" max="1798" width="11.625" style="287" customWidth="1"/>
    <col min="1799" max="1799" width="5.625" style="287" customWidth="1"/>
    <col min="1800" max="1800" width="5.5" style="287" customWidth="1"/>
    <col min="1801" max="1801" width="9.125" style="287" customWidth="1"/>
    <col min="1802" max="1802" width="7.5" style="287" customWidth="1"/>
    <col min="1803" max="1803" width="9.625" style="287" customWidth="1"/>
    <col min="1804" max="1804" width="6.75" style="287" customWidth="1"/>
    <col min="1805" max="1805" width="5.375" style="287" customWidth="1"/>
    <col min="1806" max="1806" width="4.75" style="287" customWidth="1"/>
    <col min="1807" max="1809" width="6.125" style="287" customWidth="1"/>
    <col min="1810" max="1810" width="6.625" style="287" customWidth="1"/>
    <col min="1811" max="1811" width="7.625" style="287" customWidth="1"/>
    <col min="1812" max="1812" width="5" style="287" customWidth="1"/>
    <col min="1813" max="1813" width="0" style="287" hidden="1" customWidth="1"/>
    <col min="1814" max="2048" width="9" style="287"/>
    <col min="2049" max="2049" width="3.625" style="287" customWidth="1"/>
    <col min="2050" max="2050" width="22.875" style="287" customWidth="1"/>
    <col min="2051" max="2051" width="9.75" style="287" customWidth="1"/>
    <col min="2052" max="2052" width="4.125" style="287" customWidth="1"/>
    <col min="2053" max="2053" width="11" style="287" customWidth="1"/>
    <col min="2054" max="2054" width="11.625" style="287" customWidth="1"/>
    <col min="2055" max="2055" width="5.625" style="287" customWidth="1"/>
    <col min="2056" max="2056" width="5.5" style="287" customWidth="1"/>
    <col min="2057" max="2057" width="9.125" style="287" customWidth="1"/>
    <col min="2058" max="2058" width="7.5" style="287" customWidth="1"/>
    <col min="2059" max="2059" width="9.625" style="287" customWidth="1"/>
    <col min="2060" max="2060" width="6.75" style="287" customWidth="1"/>
    <col min="2061" max="2061" width="5.375" style="287" customWidth="1"/>
    <col min="2062" max="2062" width="4.75" style="287" customWidth="1"/>
    <col min="2063" max="2065" width="6.125" style="287" customWidth="1"/>
    <col min="2066" max="2066" width="6.625" style="287" customWidth="1"/>
    <col min="2067" max="2067" width="7.625" style="287" customWidth="1"/>
    <col min="2068" max="2068" width="5" style="287" customWidth="1"/>
    <col min="2069" max="2069" width="0" style="287" hidden="1" customWidth="1"/>
    <col min="2070" max="2304" width="9" style="287"/>
    <col min="2305" max="2305" width="3.625" style="287" customWidth="1"/>
    <col min="2306" max="2306" width="22.875" style="287" customWidth="1"/>
    <col min="2307" max="2307" width="9.75" style="287" customWidth="1"/>
    <col min="2308" max="2308" width="4.125" style="287" customWidth="1"/>
    <col min="2309" max="2309" width="11" style="287" customWidth="1"/>
    <col min="2310" max="2310" width="11.625" style="287" customWidth="1"/>
    <col min="2311" max="2311" width="5.625" style="287" customWidth="1"/>
    <col min="2312" max="2312" width="5.5" style="287" customWidth="1"/>
    <col min="2313" max="2313" width="9.125" style="287" customWidth="1"/>
    <col min="2314" max="2314" width="7.5" style="287" customWidth="1"/>
    <col min="2315" max="2315" width="9.625" style="287" customWidth="1"/>
    <col min="2316" max="2316" width="6.75" style="287" customWidth="1"/>
    <col min="2317" max="2317" width="5.375" style="287" customWidth="1"/>
    <col min="2318" max="2318" width="4.75" style="287" customWidth="1"/>
    <col min="2319" max="2321" width="6.125" style="287" customWidth="1"/>
    <col min="2322" max="2322" width="6.625" style="287" customWidth="1"/>
    <col min="2323" max="2323" width="7.625" style="287" customWidth="1"/>
    <col min="2324" max="2324" width="5" style="287" customWidth="1"/>
    <col min="2325" max="2325" width="0" style="287" hidden="1" customWidth="1"/>
    <col min="2326" max="2560" width="9" style="287"/>
    <col min="2561" max="2561" width="3.625" style="287" customWidth="1"/>
    <col min="2562" max="2562" width="22.875" style="287" customWidth="1"/>
    <col min="2563" max="2563" width="9.75" style="287" customWidth="1"/>
    <col min="2564" max="2564" width="4.125" style="287" customWidth="1"/>
    <col min="2565" max="2565" width="11" style="287" customWidth="1"/>
    <col min="2566" max="2566" width="11.625" style="287" customWidth="1"/>
    <col min="2567" max="2567" width="5.625" style="287" customWidth="1"/>
    <col min="2568" max="2568" width="5.5" style="287" customWidth="1"/>
    <col min="2569" max="2569" width="9.125" style="287" customWidth="1"/>
    <col min="2570" max="2570" width="7.5" style="287" customWidth="1"/>
    <col min="2571" max="2571" width="9.625" style="287" customWidth="1"/>
    <col min="2572" max="2572" width="6.75" style="287" customWidth="1"/>
    <col min="2573" max="2573" width="5.375" style="287" customWidth="1"/>
    <col min="2574" max="2574" width="4.75" style="287" customWidth="1"/>
    <col min="2575" max="2577" width="6.125" style="287" customWidth="1"/>
    <col min="2578" max="2578" width="6.625" style="287" customWidth="1"/>
    <col min="2579" max="2579" width="7.625" style="287" customWidth="1"/>
    <col min="2580" max="2580" width="5" style="287" customWidth="1"/>
    <col min="2581" max="2581" width="0" style="287" hidden="1" customWidth="1"/>
    <col min="2582" max="2816" width="9" style="287"/>
    <col min="2817" max="2817" width="3.625" style="287" customWidth="1"/>
    <col min="2818" max="2818" width="22.875" style="287" customWidth="1"/>
    <col min="2819" max="2819" width="9.75" style="287" customWidth="1"/>
    <col min="2820" max="2820" width="4.125" style="287" customWidth="1"/>
    <col min="2821" max="2821" width="11" style="287" customWidth="1"/>
    <col min="2822" max="2822" width="11.625" style="287" customWidth="1"/>
    <col min="2823" max="2823" width="5.625" style="287" customWidth="1"/>
    <col min="2824" max="2824" width="5.5" style="287" customWidth="1"/>
    <col min="2825" max="2825" width="9.125" style="287" customWidth="1"/>
    <col min="2826" max="2826" width="7.5" style="287" customWidth="1"/>
    <col min="2827" max="2827" width="9.625" style="287" customWidth="1"/>
    <col min="2828" max="2828" width="6.75" style="287" customWidth="1"/>
    <col min="2829" max="2829" width="5.375" style="287" customWidth="1"/>
    <col min="2830" max="2830" width="4.75" style="287" customWidth="1"/>
    <col min="2831" max="2833" width="6.125" style="287" customWidth="1"/>
    <col min="2834" max="2834" width="6.625" style="287" customWidth="1"/>
    <col min="2835" max="2835" width="7.625" style="287" customWidth="1"/>
    <col min="2836" max="2836" width="5" style="287" customWidth="1"/>
    <col min="2837" max="2837" width="0" style="287" hidden="1" customWidth="1"/>
    <col min="2838" max="3072" width="9" style="287"/>
    <col min="3073" max="3073" width="3.625" style="287" customWidth="1"/>
    <col min="3074" max="3074" width="22.875" style="287" customWidth="1"/>
    <col min="3075" max="3075" width="9.75" style="287" customWidth="1"/>
    <col min="3076" max="3076" width="4.125" style="287" customWidth="1"/>
    <col min="3077" max="3077" width="11" style="287" customWidth="1"/>
    <col min="3078" max="3078" width="11.625" style="287" customWidth="1"/>
    <col min="3079" max="3079" width="5.625" style="287" customWidth="1"/>
    <col min="3080" max="3080" width="5.5" style="287" customWidth="1"/>
    <col min="3081" max="3081" width="9.125" style="287" customWidth="1"/>
    <col min="3082" max="3082" width="7.5" style="287" customWidth="1"/>
    <col min="3083" max="3083" width="9.625" style="287" customWidth="1"/>
    <col min="3084" max="3084" width="6.75" style="287" customWidth="1"/>
    <col min="3085" max="3085" width="5.375" style="287" customWidth="1"/>
    <col min="3086" max="3086" width="4.75" style="287" customWidth="1"/>
    <col min="3087" max="3089" width="6.125" style="287" customWidth="1"/>
    <col min="3090" max="3090" width="6.625" style="287" customWidth="1"/>
    <col min="3091" max="3091" width="7.625" style="287" customWidth="1"/>
    <col min="3092" max="3092" width="5" style="287" customWidth="1"/>
    <col min="3093" max="3093" width="0" style="287" hidden="1" customWidth="1"/>
    <col min="3094" max="3328" width="9" style="287"/>
    <col min="3329" max="3329" width="3.625" style="287" customWidth="1"/>
    <col min="3330" max="3330" width="22.875" style="287" customWidth="1"/>
    <col min="3331" max="3331" width="9.75" style="287" customWidth="1"/>
    <col min="3332" max="3332" width="4.125" style="287" customWidth="1"/>
    <col min="3333" max="3333" width="11" style="287" customWidth="1"/>
    <col min="3334" max="3334" width="11.625" style="287" customWidth="1"/>
    <col min="3335" max="3335" width="5.625" style="287" customWidth="1"/>
    <col min="3336" max="3336" width="5.5" style="287" customWidth="1"/>
    <col min="3337" max="3337" width="9.125" style="287" customWidth="1"/>
    <col min="3338" max="3338" width="7.5" style="287" customWidth="1"/>
    <col min="3339" max="3339" width="9.625" style="287" customWidth="1"/>
    <col min="3340" max="3340" width="6.75" style="287" customWidth="1"/>
    <col min="3341" max="3341" width="5.375" style="287" customWidth="1"/>
    <col min="3342" max="3342" width="4.75" style="287" customWidth="1"/>
    <col min="3343" max="3345" width="6.125" style="287" customWidth="1"/>
    <col min="3346" max="3346" width="6.625" style="287" customWidth="1"/>
    <col min="3347" max="3347" width="7.625" style="287" customWidth="1"/>
    <col min="3348" max="3348" width="5" style="287" customWidth="1"/>
    <col min="3349" max="3349" width="0" style="287" hidden="1" customWidth="1"/>
    <col min="3350" max="3584" width="9" style="287"/>
    <col min="3585" max="3585" width="3.625" style="287" customWidth="1"/>
    <col min="3586" max="3586" width="22.875" style="287" customWidth="1"/>
    <col min="3587" max="3587" width="9.75" style="287" customWidth="1"/>
    <col min="3588" max="3588" width="4.125" style="287" customWidth="1"/>
    <col min="3589" max="3589" width="11" style="287" customWidth="1"/>
    <col min="3590" max="3590" width="11.625" style="287" customWidth="1"/>
    <col min="3591" max="3591" width="5.625" style="287" customWidth="1"/>
    <col min="3592" max="3592" width="5.5" style="287" customWidth="1"/>
    <col min="3593" max="3593" width="9.125" style="287" customWidth="1"/>
    <col min="3594" max="3594" width="7.5" style="287" customWidth="1"/>
    <col min="3595" max="3595" width="9.625" style="287" customWidth="1"/>
    <col min="3596" max="3596" width="6.75" style="287" customWidth="1"/>
    <col min="3597" max="3597" width="5.375" style="287" customWidth="1"/>
    <col min="3598" max="3598" width="4.75" style="287" customWidth="1"/>
    <col min="3599" max="3601" width="6.125" style="287" customWidth="1"/>
    <col min="3602" max="3602" width="6.625" style="287" customWidth="1"/>
    <col min="3603" max="3603" width="7.625" style="287" customWidth="1"/>
    <col min="3604" max="3604" width="5" style="287" customWidth="1"/>
    <col min="3605" max="3605" width="0" style="287" hidden="1" customWidth="1"/>
    <col min="3606" max="3840" width="9" style="287"/>
    <col min="3841" max="3841" width="3.625" style="287" customWidth="1"/>
    <col min="3842" max="3842" width="22.875" style="287" customWidth="1"/>
    <col min="3843" max="3843" width="9.75" style="287" customWidth="1"/>
    <col min="3844" max="3844" width="4.125" style="287" customWidth="1"/>
    <col min="3845" max="3845" width="11" style="287" customWidth="1"/>
    <col min="3846" max="3846" width="11.625" style="287" customWidth="1"/>
    <col min="3847" max="3847" width="5.625" style="287" customWidth="1"/>
    <col min="3848" max="3848" width="5.5" style="287" customWidth="1"/>
    <col min="3849" max="3849" width="9.125" style="287" customWidth="1"/>
    <col min="3850" max="3850" width="7.5" style="287" customWidth="1"/>
    <col min="3851" max="3851" width="9.625" style="287" customWidth="1"/>
    <col min="3852" max="3852" width="6.75" style="287" customWidth="1"/>
    <col min="3853" max="3853" width="5.375" style="287" customWidth="1"/>
    <col min="3854" max="3854" width="4.75" style="287" customWidth="1"/>
    <col min="3855" max="3857" width="6.125" style="287" customWidth="1"/>
    <col min="3858" max="3858" width="6.625" style="287" customWidth="1"/>
    <col min="3859" max="3859" width="7.625" style="287" customWidth="1"/>
    <col min="3860" max="3860" width="5" style="287" customWidth="1"/>
    <col min="3861" max="3861" width="0" style="287" hidden="1" customWidth="1"/>
    <col min="3862" max="4096" width="9" style="287"/>
    <col min="4097" max="4097" width="3.625" style="287" customWidth="1"/>
    <col min="4098" max="4098" width="22.875" style="287" customWidth="1"/>
    <col min="4099" max="4099" width="9.75" style="287" customWidth="1"/>
    <col min="4100" max="4100" width="4.125" style="287" customWidth="1"/>
    <col min="4101" max="4101" width="11" style="287" customWidth="1"/>
    <col min="4102" max="4102" width="11.625" style="287" customWidth="1"/>
    <col min="4103" max="4103" width="5.625" style="287" customWidth="1"/>
    <col min="4104" max="4104" width="5.5" style="287" customWidth="1"/>
    <col min="4105" max="4105" width="9.125" style="287" customWidth="1"/>
    <col min="4106" max="4106" width="7.5" style="287" customWidth="1"/>
    <col min="4107" max="4107" width="9.625" style="287" customWidth="1"/>
    <col min="4108" max="4108" width="6.75" style="287" customWidth="1"/>
    <col min="4109" max="4109" width="5.375" style="287" customWidth="1"/>
    <col min="4110" max="4110" width="4.75" style="287" customWidth="1"/>
    <col min="4111" max="4113" width="6.125" style="287" customWidth="1"/>
    <col min="4114" max="4114" width="6.625" style="287" customWidth="1"/>
    <col min="4115" max="4115" width="7.625" style="287" customWidth="1"/>
    <col min="4116" max="4116" width="5" style="287" customWidth="1"/>
    <col min="4117" max="4117" width="0" style="287" hidden="1" customWidth="1"/>
    <col min="4118" max="4352" width="9" style="287"/>
    <col min="4353" max="4353" width="3.625" style="287" customWidth="1"/>
    <col min="4354" max="4354" width="22.875" style="287" customWidth="1"/>
    <col min="4355" max="4355" width="9.75" style="287" customWidth="1"/>
    <col min="4356" max="4356" width="4.125" style="287" customWidth="1"/>
    <col min="4357" max="4357" width="11" style="287" customWidth="1"/>
    <col min="4358" max="4358" width="11.625" style="287" customWidth="1"/>
    <col min="4359" max="4359" width="5.625" style="287" customWidth="1"/>
    <col min="4360" max="4360" width="5.5" style="287" customWidth="1"/>
    <col min="4361" max="4361" width="9.125" style="287" customWidth="1"/>
    <col min="4362" max="4362" width="7.5" style="287" customWidth="1"/>
    <col min="4363" max="4363" width="9.625" style="287" customWidth="1"/>
    <col min="4364" max="4364" width="6.75" style="287" customWidth="1"/>
    <col min="4365" max="4365" width="5.375" style="287" customWidth="1"/>
    <col min="4366" max="4366" width="4.75" style="287" customWidth="1"/>
    <col min="4367" max="4369" width="6.125" style="287" customWidth="1"/>
    <col min="4370" max="4370" width="6.625" style="287" customWidth="1"/>
    <col min="4371" max="4371" width="7.625" style="287" customWidth="1"/>
    <col min="4372" max="4372" width="5" style="287" customWidth="1"/>
    <col min="4373" max="4373" width="0" style="287" hidden="1" customWidth="1"/>
    <col min="4374" max="4608" width="9" style="287"/>
    <col min="4609" max="4609" width="3.625" style="287" customWidth="1"/>
    <col min="4610" max="4610" width="22.875" style="287" customWidth="1"/>
    <col min="4611" max="4611" width="9.75" style="287" customWidth="1"/>
    <col min="4612" max="4612" width="4.125" style="287" customWidth="1"/>
    <col min="4613" max="4613" width="11" style="287" customWidth="1"/>
    <col min="4614" max="4614" width="11.625" style="287" customWidth="1"/>
    <col min="4615" max="4615" width="5.625" style="287" customWidth="1"/>
    <col min="4616" max="4616" width="5.5" style="287" customWidth="1"/>
    <col min="4617" max="4617" width="9.125" style="287" customWidth="1"/>
    <col min="4618" max="4618" width="7.5" style="287" customWidth="1"/>
    <col min="4619" max="4619" width="9.625" style="287" customWidth="1"/>
    <col min="4620" max="4620" width="6.75" style="287" customWidth="1"/>
    <col min="4621" max="4621" width="5.375" style="287" customWidth="1"/>
    <col min="4622" max="4622" width="4.75" style="287" customWidth="1"/>
    <col min="4623" max="4625" width="6.125" style="287" customWidth="1"/>
    <col min="4626" max="4626" width="6.625" style="287" customWidth="1"/>
    <col min="4627" max="4627" width="7.625" style="287" customWidth="1"/>
    <col min="4628" max="4628" width="5" style="287" customWidth="1"/>
    <col min="4629" max="4629" width="0" style="287" hidden="1" customWidth="1"/>
    <col min="4630" max="4864" width="9" style="287"/>
    <col min="4865" max="4865" width="3.625" style="287" customWidth="1"/>
    <col min="4866" max="4866" width="22.875" style="287" customWidth="1"/>
    <col min="4867" max="4867" width="9.75" style="287" customWidth="1"/>
    <col min="4868" max="4868" width="4.125" style="287" customWidth="1"/>
    <col min="4869" max="4869" width="11" style="287" customWidth="1"/>
    <col min="4870" max="4870" width="11.625" style="287" customWidth="1"/>
    <col min="4871" max="4871" width="5.625" style="287" customWidth="1"/>
    <col min="4872" max="4872" width="5.5" style="287" customWidth="1"/>
    <col min="4873" max="4873" width="9.125" style="287" customWidth="1"/>
    <col min="4874" max="4874" width="7.5" style="287" customWidth="1"/>
    <col min="4875" max="4875" width="9.625" style="287" customWidth="1"/>
    <col min="4876" max="4876" width="6.75" style="287" customWidth="1"/>
    <col min="4877" max="4877" width="5.375" style="287" customWidth="1"/>
    <col min="4878" max="4878" width="4.75" style="287" customWidth="1"/>
    <col min="4879" max="4881" width="6.125" style="287" customWidth="1"/>
    <col min="4882" max="4882" width="6.625" style="287" customWidth="1"/>
    <col min="4883" max="4883" width="7.625" style="287" customWidth="1"/>
    <col min="4884" max="4884" width="5" style="287" customWidth="1"/>
    <col min="4885" max="4885" width="0" style="287" hidden="1" customWidth="1"/>
    <col min="4886" max="5120" width="9" style="287"/>
    <col min="5121" max="5121" width="3.625" style="287" customWidth="1"/>
    <col min="5122" max="5122" width="22.875" style="287" customWidth="1"/>
    <col min="5123" max="5123" width="9.75" style="287" customWidth="1"/>
    <col min="5124" max="5124" width="4.125" style="287" customWidth="1"/>
    <col min="5125" max="5125" width="11" style="287" customWidth="1"/>
    <col min="5126" max="5126" width="11.625" style="287" customWidth="1"/>
    <col min="5127" max="5127" width="5.625" style="287" customWidth="1"/>
    <col min="5128" max="5128" width="5.5" style="287" customWidth="1"/>
    <col min="5129" max="5129" width="9.125" style="287" customWidth="1"/>
    <col min="5130" max="5130" width="7.5" style="287" customWidth="1"/>
    <col min="5131" max="5131" width="9.625" style="287" customWidth="1"/>
    <col min="5132" max="5132" width="6.75" style="287" customWidth="1"/>
    <col min="5133" max="5133" width="5.375" style="287" customWidth="1"/>
    <col min="5134" max="5134" width="4.75" style="287" customWidth="1"/>
    <col min="5135" max="5137" width="6.125" style="287" customWidth="1"/>
    <col min="5138" max="5138" width="6.625" style="287" customWidth="1"/>
    <col min="5139" max="5139" width="7.625" style="287" customWidth="1"/>
    <col min="5140" max="5140" width="5" style="287" customWidth="1"/>
    <col min="5141" max="5141" width="0" style="287" hidden="1" customWidth="1"/>
    <col min="5142" max="5376" width="9" style="287"/>
    <col min="5377" max="5377" width="3.625" style="287" customWidth="1"/>
    <col min="5378" max="5378" width="22.875" style="287" customWidth="1"/>
    <col min="5379" max="5379" width="9.75" style="287" customWidth="1"/>
    <col min="5380" max="5380" width="4.125" style="287" customWidth="1"/>
    <col min="5381" max="5381" width="11" style="287" customWidth="1"/>
    <col min="5382" max="5382" width="11.625" style="287" customWidth="1"/>
    <col min="5383" max="5383" width="5.625" style="287" customWidth="1"/>
    <col min="5384" max="5384" width="5.5" style="287" customWidth="1"/>
    <col min="5385" max="5385" width="9.125" style="287" customWidth="1"/>
    <col min="5386" max="5386" width="7.5" style="287" customWidth="1"/>
    <col min="5387" max="5387" width="9.625" style="287" customWidth="1"/>
    <col min="5388" max="5388" width="6.75" style="287" customWidth="1"/>
    <col min="5389" max="5389" width="5.375" style="287" customWidth="1"/>
    <col min="5390" max="5390" width="4.75" style="287" customWidth="1"/>
    <col min="5391" max="5393" width="6.125" style="287" customWidth="1"/>
    <col min="5394" max="5394" width="6.625" style="287" customWidth="1"/>
    <col min="5395" max="5395" width="7.625" style="287" customWidth="1"/>
    <col min="5396" max="5396" width="5" style="287" customWidth="1"/>
    <col min="5397" max="5397" width="0" style="287" hidden="1" customWidth="1"/>
    <col min="5398" max="5632" width="9" style="287"/>
    <col min="5633" max="5633" width="3.625" style="287" customWidth="1"/>
    <col min="5634" max="5634" width="22.875" style="287" customWidth="1"/>
    <col min="5635" max="5635" width="9.75" style="287" customWidth="1"/>
    <col min="5636" max="5636" width="4.125" style="287" customWidth="1"/>
    <col min="5637" max="5637" width="11" style="287" customWidth="1"/>
    <col min="5638" max="5638" width="11.625" style="287" customWidth="1"/>
    <col min="5639" max="5639" width="5.625" style="287" customWidth="1"/>
    <col min="5640" max="5640" width="5.5" style="287" customWidth="1"/>
    <col min="5641" max="5641" width="9.125" style="287" customWidth="1"/>
    <col min="5642" max="5642" width="7.5" style="287" customWidth="1"/>
    <col min="5643" max="5643" width="9.625" style="287" customWidth="1"/>
    <col min="5644" max="5644" width="6.75" style="287" customWidth="1"/>
    <col min="5645" max="5645" width="5.375" style="287" customWidth="1"/>
    <col min="5646" max="5646" width="4.75" style="287" customWidth="1"/>
    <col min="5647" max="5649" width="6.125" style="287" customWidth="1"/>
    <col min="5650" max="5650" width="6.625" style="287" customWidth="1"/>
    <col min="5651" max="5651" width="7.625" style="287" customWidth="1"/>
    <col min="5652" max="5652" width="5" style="287" customWidth="1"/>
    <col min="5653" max="5653" width="0" style="287" hidden="1" customWidth="1"/>
    <col min="5654" max="5888" width="9" style="287"/>
    <col min="5889" max="5889" width="3.625" style="287" customWidth="1"/>
    <col min="5890" max="5890" width="22.875" style="287" customWidth="1"/>
    <col min="5891" max="5891" width="9.75" style="287" customWidth="1"/>
    <col min="5892" max="5892" width="4.125" style="287" customWidth="1"/>
    <col min="5893" max="5893" width="11" style="287" customWidth="1"/>
    <col min="5894" max="5894" width="11.625" style="287" customWidth="1"/>
    <col min="5895" max="5895" width="5.625" style="287" customWidth="1"/>
    <col min="5896" max="5896" width="5.5" style="287" customWidth="1"/>
    <col min="5897" max="5897" width="9.125" style="287" customWidth="1"/>
    <col min="5898" max="5898" width="7.5" style="287" customWidth="1"/>
    <col min="5899" max="5899" width="9.625" style="287" customWidth="1"/>
    <col min="5900" max="5900" width="6.75" style="287" customWidth="1"/>
    <col min="5901" max="5901" width="5.375" style="287" customWidth="1"/>
    <col min="5902" max="5902" width="4.75" style="287" customWidth="1"/>
    <col min="5903" max="5905" width="6.125" style="287" customWidth="1"/>
    <col min="5906" max="5906" width="6.625" style="287" customWidth="1"/>
    <col min="5907" max="5907" width="7.625" style="287" customWidth="1"/>
    <col min="5908" max="5908" width="5" style="287" customWidth="1"/>
    <col min="5909" max="5909" width="0" style="287" hidden="1" customWidth="1"/>
    <col min="5910" max="6144" width="9" style="287"/>
    <col min="6145" max="6145" width="3.625" style="287" customWidth="1"/>
    <col min="6146" max="6146" width="22.875" style="287" customWidth="1"/>
    <col min="6147" max="6147" width="9.75" style="287" customWidth="1"/>
    <col min="6148" max="6148" width="4.125" style="287" customWidth="1"/>
    <col min="6149" max="6149" width="11" style="287" customWidth="1"/>
    <col min="6150" max="6150" width="11.625" style="287" customWidth="1"/>
    <col min="6151" max="6151" width="5.625" style="287" customWidth="1"/>
    <col min="6152" max="6152" width="5.5" style="287" customWidth="1"/>
    <col min="6153" max="6153" width="9.125" style="287" customWidth="1"/>
    <col min="6154" max="6154" width="7.5" style="287" customWidth="1"/>
    <col min="6155" max="6155" width="9.625" style="287" customWidth="1"/>
    <col min="6156" max="6156" width="6.75" style="287" customWidth="1"/>
    <col min="6157" max="6157" width="5.375" style="287" customWidth="1"/>
    <col min="6158" max="6158" width="4.75" style="287" customWidth="1"/>
    <col min="6159" max="6161" width="6.125" style="287" customWidth="1"/>
    <col min="6162" max="6162" width="6.625" style="287" customWidth="1"/>
    <col min="6163" max="6163" width="7.625" style="287" customWidth="1"/>
    <col min="6164" max="6164" width="5" style="287" customWidth="1"/>
    <col min="6165" max="6165" width="0" style="287" hidden="1" customWidth="1"/>
    <col min="6166" max="6400" width="9" style="287"/>
    <col min="6401" max="6401" width="3.625" style="287" customWidth="1"/>
    <col min="6402" max="6402" width="22.875" style="287" customWidth="1"/>
    <col min="6403" max="6403" width="9.75" style="287" customWidth="1"/>
    <col min="6404" max="6404" width="4.125" style="287" customWidth="1"/>
    <col min="6405" max="6405" width="11" style="287" customWidth="1"/>
    <col min="6406" max="6406" width="11.625" style="287" customWidth="1"/>
    <col min="6407" max="6407" width="5.625" style="287" customWidth="1"/>
    <col min="6408" max="6408" width="5.5" style="287" customWidth="1"/>
    <col min="6409" max="6409" width="9.125" style="287" customWidth="1"/>
    <col min="6410" max="6410" width="7.5" style="287" customWidth="1"/>
    <col min="6411" max="6411" width="9.625" style="287" customWidth="1"/>
    <col min="6412" max="6412" width="6.75" style="287" customWidth="1"/>
    <col min="6413" max="6413" width="5.375" style="287" customWidth="1"/>
    <col min="6414" max="6414" width="4.75" style="287" customWidth="1"/>
    <col min="6415" max="6417" width="6.125" style="287" customWidth="1"/>
    <col min="6418" max="6418" width="6.625" style="287" customWidth="1"/>
    <col min="6419" max="6419" width="7.625" style="287" customWidth="1"/>
    <col min="6420" max="6420" width="5" style="287" customWidth="1"/>
    <col min="6421" max="6421" width="0" style="287" hidden="1" customWidth="1"/>
    <col min="6422" max="6656" width="9" style="287"/>
    <col min="6657" max="6657" width="3.625" style="287" customWidth="1"/>
    <col min="6658" max="6658" width="22.875" style="287" customWidth="1"/>
    <col min="6659" max="6659" width="9.75" style="287" customWidth="1"/>
    <col min="6660" max="6660" width="4.125" style="287" customWidth="1"/>
    <col min="6661" max="6661" width="11" style="287" customWidth="1"/>
    <col min="6662" max="6662" width="11.625" style="287" customWidth="1"/>
    <col min="6663" max="6663" width="5.625" style="287" customWidth="1"/>
    <col min="6664" max="6664" width="5.5" style="287" customWidth="1"/>
    <col min="6665" max="6665" width="9.125" style="287" customWidth="1"/>
    <col min="6666" max="6666" width="7.5" style="287" customWidth="1"/>
    <col min="6667" max="6667" width="9.625" style="287" customWidth="1"/>
    <col min="6668" max="6668" width="6.75" style="287" customWidth="1"/>
    <col min="6669" max="6669" width="5.375" style="287" customWidth="1"/>
    <col min="6670" max="6670" width="4.75" style="287" customWidth="1"/>
    <col min="6671" max="6673" width="6.125" style="287" customWidth="1"/>
    <col min="6674" max="6674" width="6.625" style="287" customWidth="1"/>
    <col min="6675" max="6675" width="7.625" style="287" customWidth="1"/>
    <col min="6676" max="6676" width="5" style="287" customWidth="1"/>
    <col min="6677" max="6677" width="0" style="287" hidden="1" customWidth="1"/>
    <col min="6678" max="6912" width="9" style="287"/>
    <col min="6913" max="6913" width="3.625" style="287" customWidth="1"/>
    <col min="6914" max="6914" width="22.875" style="287" customWidth="1"/>
    <col min="6915" max="6915" width="9.75" style="287" customWidth="1"/>
    <col min="6916" max="6916" width="4.125" style="287" customWidth="1"/>
    <col min="6917" max="6917" width="11" style="287" customWidth="1"/>
    <col min="6918" max="6918" width="11.625" style="287" customWidth="1"/>
    <col min="6919" max="6919" width="5.625" style="287" customWidth="1"/>
    <col min="6920" max="6920" width="5.5" style="287" customWidth="1"/>
    <col min="6921" max="6921" width="9.125" style="287" customWidth="1"/>
    <col min="6922" max="6922" width="7.5" style="287" customWidth="1"/>
    <col min="6923" max="6923" width="9.625" style="287" customWidth="1"/>
    <col min="6924" max="6924" width="6.75" style="287" customWidth="1"/>
    <col min="6925" max="6925" width="5.375" style="287" customWidth="1"/>
    <col min="6926" max="6926" width="4.75" style="287" customWidth="1"/>
    <col min="6927" max="6929" width="6.125" style="287" customWidth="1"/>
    <col min="6930" max="6930" width="6.625" style="287" customWidth="1"/>
    <col min="6931" max="6931" width="7.625" style="287" customWidth="1"/>
    <col min="6932" max="6932" width="5" style="287" customWidth="1"/>
    <col min="6933" max="6933" width="0" style="287" hidden="1" customWidth="1"/>
    <col min="6934" max="7168" width="9" style="287"/>
    <col min="7169" max="7169" width="3.625" style="287" customWidth="1"/>
    <col min="7170" max="7170" width="22.875" style="287" customWidth="1"/>
    <col min="7171" max="7171" width="9.75" style="287" customWidth="1"/>
    <col min="7172" max="7172" width="4.125" style="287" customWidth="1"/>
    <col min="7173" max="7173" width="11" style="287" customWidth="1"/>
    <col min="7174" max="7174" width="11.625" style="287" customWidth="1"/>
    <col min="7175" max="7175" width="5.625" style="287" customWidth="1"/>
    <col min="7176" max="7176" width="5.5" style="287" customWidth="1"/>
    <col min="7177" max="7177" width="9.125" style="287" customWidth="1"/>
    <col min="7178" max="7178" width="7.5" style="287" customWidth="1"/>
    <col min="7179" max="7179" width="9.625" style="287" customWidth="1"/>
    <col min="7180" max="7180" width="6.75" style="287" customWidth="1"/>
    <col min="7181" max="7181" width="5.375" style="287" customWidth="1"/>
    <col min="7182" max="7182" width="4.75" style="287" customWidth="1"/>
    <col min="7183" max="7185" width="6.125" style="287" customWidth="1"/>
    <col min="7186" max="7186" width="6.625" style="287" customWidth="1"/>
    <col min="7187" max="7187" width="7.625" style="287" customWidth="1"/>
    <col min="7188" max="7188" width="5" style="287" customWidth="1"/>
    <col min="7189" max="7189" width="0" style="287" hidden="1" customWidth="1"/>
    <col min="7190" max="7424" width="9" style="287"/>
    <col min="7425" max="7425" width="3.625" style="287" customWidth="1"/>
    <col min="7426" max="7426" width="22.875" style="287" customWidth="1"/>
    <col min="7427" max="7427" width="9.75" style="287" customWidth="1"/>
    <col min="7428" max="7428" width="4.125" style="287" customWidth="1"/>
    <col min="7429" max="7429" width="11" style="287" customWidth="1"/>
    <col min="7430" max="7430" width="11.625" style="287" customWidth="1"/>
    <col min="7431" max="7431" width="5.625" style="287" customWidth="1"/>
    <col min="7432" max="7432" width="5.5" style="287" customWidth="1"/>
    <col min="7433" max="7433" width="9.125" style="287" customWidth="1"/>
    <col min="7434" max="7434" width="7.5" style="287" customWidth="1"/>
    <col min="7435" max="7435" width="9.625" style="287" customWidth="1"/>
    <col min="7436" max="7436" width="6.75" style="287" customWidth="1"/>
    <col min="7437" max="7437" width="5.375" style="287" customWidth="1"/>
    <col min="7438" max="7438" width="4.75" style="287" customWidth="1"/>
    <col min="7439" max="7441" width="6.125" style="287" customWidth="1"/>
    <col min="7442" max="7442" width="6.625" style="287" customWidth="1"/>
    <col min="7443" max="7443" width="7.625" style="287" customWidth="1"/>
    <col min="7444" max="7444" width="5" style="287" customWidth="1"/>
    <col min="7445" max="7445" width="0" style="287" hidden="1" customWidth="1"/>
    <col min="7446" max="7680" width="9" style="287"/>
    <col min="7681" max="7681" width="3.625" style="287" customWidth="1"/>
    <col min="7682" max="7682" width="22.875" style="287" customWidth="1"/>
    <col min="7683" max="7683" width="9.75" style="287" customWidth="1"/>
    <col min="7684" max="7684" width="4.125" style="287" customWidth="1"/>
    <col min="7685" max="7685" width="11" style="287" customWidth="1"/>
    <col min="7686" max="7686" width="11.625" style="287" customWidth="1"/>
    <col min="7687" max="7687" width="5.625" style="287" customWidth="1"/>
    <col min="7688" max="7688" width="5.5" style="287" customWidth="1"/>
    <col min="7689" max="7689" width="9.125" style="287" customWidth="1"/>
    <col min="7690" max="7690" width="7.5" style="287" customWidth="1"/>
    <col min="7691" max="7691" width="9.625" style="287" customWidth="1"/>
    <col min="7692" max="7692" width="6.75" style="287" customWidth="1"/>
    <col min="7693" max="7693" width="5.375" style="287" customWidth="1"/>
    <col min="7694" max="7694" width="4.75" style="287" customWidth="1"/>
    <col min="7695" max="7697" width="6.125" style="287" customWidth="1"/>
    <col min="7698" max="7698" width="6.625" style="287" customWidth="1"/>
    <col min="7699" max="7699" width="7.625" style="287" customWidth="1"/>
    <col min="7700" max="7700" width="5" style="287" customWidth="1"/>
    <col min="7701" max="7701" width="0" style="287" hidden="1" customWidth="1"/>
    <col min="7702" max="7936" width="9" style="287"/>
    <col min="7937" max="7937" width="3.625" style="287" customWidth="1"/>
    <col min="7938" max="7938" width="22.875" style="287" customWidth="1"/>
    <col min="7939" max="7939" width="9.75" style="287" customWidth="1"/>
    <col min="7940" max="7940" width="4.125" style="287" customWidth="1"/>
    <col min="7941" max="7941" width="11" style="287" customWidth="1"/>
    <col min="7942" max="7942" width="11.625" style="287" customWidth="1"/>
    <col min="7943" max="7943" width="5.625" style="287" customWidth="1"/>
    <col min="7944" max="7944" width="5.5" style="287" customWidth="1"/>
    <col min="7945" max="7945" width="9.125" style="287" customWidth="1"/>
    <col min="7946" max="7946" width="7.5" style="287" customWidth="1"/>
    <col min="7947" max="7947" width="9.625" style="287" customWidth="1"/>
    <col min="7948" max="7948" width="6.75" style="287" customWidth="1"/>
    <col min="7949" max="7949" width="5.375" style="287" customWidth="1"/>
    <col min="7950" max="7950" width="4.75" style="287" customWidth="1"/>
    <col min="7951" max="7953" width="6.125" style="287" customWidth="1"/>
    <col min="7954" max="7954" width="6.625" style="287" customWidth="1"/>
    <col min="7955" max="7955" width="7.625" style="287" customWidth="1"/>
    <col min="7956" max="7956" width="5" style="287" customWidth="1"/>
    <col min="7957" max="7957" width="0" style="287" hidden="1" customWidth="1"/>
    <col min="7958" max="8192" width="9" style="287"/>
    <col min="8193" max="8193" width="3.625" style="287" customWidth="1"/>
    <col min="8194" max="8194" width="22.875" style="287" customWidth="1"/>
    <col min="8195" max="8195" width="9.75" style="287" customWidth="1"/>
    <col min="8196" max="8196" width="4.125" style="287" customWidth="1"/>
    <col min="8197" max="8197" width="11" style="287" customWidth="1"/>
    <col min="8198" max="8198" width="11.625" style="287" customWidth="1"/>
    <col min="8199" max="8199" width="5.625" style="287" customWidth="1"/>
    <col min="8200" max="8200" width="5.5" style="287" customWidth="1"/>
    <col min="8201" max="8201" width="9.125" style="287" customWidth="1"/>
    <col min="8202" max="8202" width="7.5" style="287" customWidth="1"/>
    <col min="8203" max="8203" width="9.625" style="287" customWidth="1"/>
    <col min="8204" max="8204" width="6.75" style="287" customWidth="1"/>
    <col min="8205" max="8205" width="5.375" style="287" customWidth="1"/>
    <col min="8206" max="8206" width="4.75" style="287" customWidth="1"/>
    <col min="8207" max="8209" width="6.125" style="287" customWidth="1"/>
    <col min="8210" max="8210" width="6.625" style="287" customWidth="1"/>
    <col min="8211" max="8211" width="7.625" style="287" customWidth="1"/>
    <col min="8212" max="8212" width="5" style="287" customWidth="1"/>
    <col min="8213" max="8213" width="0" style="287" hidden="1" customWidth="1"/>
    <col min="8214" max="8448" width="9" style="287"/>
    <col min="8449" max="8449" width="3.625" style="287" customWidth="1"/>
    <col min="8450" max="8450" width="22.875" style="287" customWidth="1"/>
    <col min="8451" max="8451" width="9.75" style="287" customWidth="1"/>
    <col min="8452" max="8452" width="4.125" style="287" customWidth="1"/>
    <col min="8453" max="8453" width="11" style="287" customWidth="1"/>
    <col min="8454" max="8454" width="11.625" style="287" customWidth="1"/>
    <col min="8455" max="8455" width="5.625" style="287" customWidth="1"/>
    <col min="8456" max="8456" width="5.5" style="287" customWidth="1"/>
    <col min="8457" max="8457" width="9.125" style="287" customWidth="1"/>
    <col min="8458" max="8458" width="7.5" style="287" customWidth="1"/>
    <col min="8459" max="8459" width="9.625" style="287" customWidth="1"/>
    <col min="8460" max="8460" width="6.75" style="287" customWidth="1"/>
    <col min="8461" max="8461" width="5.375" style="287" customWidth="1"/>
    <col min="8462" max="8462" width="4.75" style="287" customWidth="1"/>
    <col min="8463" max="8465" width="6.125" style="287" customWidth="1"/>
    <col min="8466" max="8466" width="6.625" style="287" customWidth="1"/>
    <col min="8467" max="8467" width="7.625" style="287" customWidth="1"/>
    <col min="8468" max="8468" width="5" style="287" customWidth="1"/>
    <col min="8469" max="8469" width="0" style="287" hidden="1" customWidth="1"/>
    <col min="8470" max="8704" width="9" style="287"/>
    <col min="8705" max="8705" width="3.625" style="287" customWidth="1"/>
    <col min="8706" max="8706" width="22.875" style="287" customWidth="1"/>
    <col min="8707" max="8707" width="9.75" style="287" customWidth="1"/>
    <col min="8708" max="8708" width="4.125" style="287" customWidth="1"/>
    <col min="8709" max="8709" width="11" style="287" customWidth="1"/>
    <col min="8710" max="8710" width="11.625" style="287" customWidth="1"/>
    <col min="8711" max="8711" width="5.625" style="287" customWidth="1"/>
    <col min="8712" max="8712" width="5.5" style="287" customWidth="1"/>
    <col min="8713" max="8713" width="9.125" style="287" customWidth="1"/>
    <col min="8714" max="8714" width="7.5" style="287" customWidth="1"/>
    <col min="8715" max="8715" width="9.625" style="287" customWidth="1"/>
    <col min="8716" max="8716" width="6.75" style="287" customWidth="1"/>
    <col min="8717" max="8717" width="5.375" style="287" customWidth="1"/>
    <col min="8718" max="8718" width="4.75" style="287" customWidth="1"/>
    <col min="8719" max="8721" width="6.125" style="287" customWidth="1"/>
    <col min="8722" max="8722" width="6.625" style="287" customWidth="1"/>
    <col min="8723" max="8723" width="7.625" style="287" customWidth="1"/>
    <col min="8724" max="8724" width="5" style="287" customWidth="1"/>
    <col min="8725" max="8725" width="0" style="287" hidden="1" customWidth="1"/>
    <col min="8726" max="8960" width="9" style="287"/>
    <col min="8961" max="8961" width="3.625" style="287" customWidth="1"/>
    <col min="8962" max="8962" width="22.875" style="287" customWidth="1"/>
    <col min="8963" max="8963" width="9.75" style="287" customWidth="1"/>
    <col min="8964" max="8964" width="4.125" style="287" customWidth="1"/>
    <col min="8965" max="8965" width="11" style="287" customWidth="1"/>
    <col min="8966" max="8966" width="11.625" style="287" customWidth="1"/>
    <col min="8967" max="8967" width="5.625" style="287" customWidth="1"/>
    <col min="8968" max="8968" width="5.5" style="287" customWidth="1"/>
    <col min="8969" max="8969" width="9.125" style="287" customWidth="1"/>
    <col min="8970" max="8970" width="7.5" style="287" customWidth="1"/>
    <col min="8971" max="8971" width="9.625" style="287" customWidth="1"/>
    <col min="8972" max="8972" width="6.75" style="287" customWidth="1"/>
    <col min="8973" max="8973" width="5.375" style="287" customWidth="1"/>
    <col min="8974" max="8974" width="4.75" style="287" customWidth="1"/>
    <col min="8975" max="8977" width="6.125" style="287" customWidth="1"/>
    <col min="8978" max="8978" width="6.625" style="287" customWidth="1"/>
    <col min="8979" max="8979" width="7.625" style="287" customWidth="1"/>
    <col min="8980" max="8980" width="5" style="287" customWidth="1"/>
    <col min="8981" max="8981" width="0" style="287" hidden="1" customWidth="1"/>
    <col min="8982" max="9216" width="9" style="287"/>
    <col min="9217" max="9217" width="3.625" style="287" customWidth="1"/>
    <col min="9218" max="9218" width="22.875" style="287" customWidth="1"/>
    <col min="9219" max="9219" width="9.75" style="287" customWidth="1"/>
    <col min="9220" max="9220" width="4.125" style="287" customWidth="1"/>
    <col min="9221" max="9221" width="11" style="287" customWidth="1"/>
    <col min="9222" max="9222" width="11.625" style="287" customWidth="1"/>
    <col min="9223" max="9223" width="5.625" style="287" customWidth="1"/>
    <col min="9224" max="9224" width="5.5" style="287" customWidth="1"/>
    <col min="9225" max="9225" width="9.125" style="287" customWidth="1"/>
    <col min="9226" max="9226" width="7.5" style="287" customWidth="1"/>
    <col min="9227" max="9227" width="9.625" style="287" customWidth="1"/>
    <col min="9228" max="9228" width="6.75" style="287" customWidth="1"/>
    <col min="9229" max="9229" width="5.375" style="287" customWidth="1"/>
    <col min="9230" max="9230" width="4.75" style="287" customWidth="1"/>
    <col min="9231" max="9233" width="6.125" style="287" customWidth="1"/>
    <col min="9234" max="9234" width="6.625" style="287" customWidth="1"/>
    <col min="9235" max="9235" width="7.625" style="287" customWidth="1"/>
    <col min="9236" max="9236" width="5" style="287" customWidth="1"/>
    <col min="9237" max="9237" width="0" style="287" hidden="1" customWidth="1"/>
    <col min="9238" max="9472" width="9" style="287"/>
    <col min="9473" max="9473" width="3.625" style="287" customWidth="1"/>
    <col min="9474" max="9474" width="22.875" style="287" customWidth="1"/>
    <col min="9475" max="9475" width="9.75" style="287" customWidth="1"/>
    <col min="9476" max="9476" width="4.125" style="287" customWidth="1"/>
    <col min="9477" max="9477" width="11" style="287" customWidth="1"/>
    <col min="9478" max="9478" width="11.625" style="287" customWidth="1"/>
    <col min="9479" max="9479" width="5.625" style="287" customWidth="1"/>
    <col min="9480" max="9480" width="5.5" style="287" customWidth="1"/>
    <col min="9481" max="9481" width="9.125" style="287" customWidth="1"/>
    <col min="9482" max="9482" width="7.5" style="287" customWidth="1"/>
    <col min="9483" max="9483" width="9.625" style="287" customWidth="1"/>
    <col min="9484" max="9484" width="6.75" style="287" customWidth="1"/>
    <col min="9485" max="9485" width="5.375" style="287" customWidth="1"/>
    <col min="9486" max="9486" width="4.75" style="287" customWidth="1"/>
    <col min="9487" max="9489" width="6.125" style="287" customWidth="1"/>
    <col min="9490" max="9490" width="6.625" style="287" customWidth="1"/>
    <col min="9491" max="9491" width="7.625" style="287" customWidth="1"/>
    <col min="9492" max="9492" width="5" style="287" customWidth="1"/>
    <col min="9493" max="9493" width="0" style="287" hidden="1" customWidth="1"/>
    <col min="9494" max="9728" width="9" style="287"/>
    <col min="9729" max="9729" width="3.625" style="287" customWidth="1"/>
    <col min="9730" max="9730" width="22.875" style="287" customWidth="1"/>
    <col min="9731" max="9731" width="9.75" style="287" customWidth="1"/>
    <col min="9732" max="9732" width="4.125" style="287" customWidth="1"/>
    <col min="9733" max="9733" width="11" style="287" customWidth="1"/>
    <col min="9734" max="9734" width="11.625" style="287" customWidth="1"/>
    <col min="9735" max="9735" width="5.625" style="287" customWidth="1"/>
    <col min="9736" max="9736" width="5.5" style="287" customWidth="1"/>
    <col min="9737" max="9737" width="9.125" style="287" customWidth="1"/>
    <col min="9738" max="9738" width="7.5" style="287" customWidth="1"/>
    <col min="9739" max="9739" width="9.625" style="287" customWidth="1"/>
    <col min="9740" max="9740" width="6.75" style="287" customWidth="1"/>
    <col min="9741" max="9741" width="5.375" style="287" customWidth="1"/>
    <col min="9742" max="9742" width="4.75" style="287" customWidth="1"/>
    <col min="9743" max="9745" width="6.125" style="287" customWidth="1"/>
    <col min="9746" max="9746" width="6.625" style="287" customWidth="1"/>
    <col min="9747" max="9747" width="7.625" style="287" customWidth="1"/>
    <col min="9748" max="9748" width="5" style="287" customWidth="1"/>
    <col min="9749" max="9749" width="0" style="287" hidden="1" customWidth="1"/>
    <col min="9750" max="9984" width="9" style="287"/>
    <col min="9985" max="9985" width="3.625" style="287" customWidth="1"/>
    <col min="9986" max="9986" width="22.875" style="287" customWidth="1"/>
    <col min="9987" max="9987" width="9.75" style="287" customWidth="1"/>
    <col min="9988" max="9988" width="4.125" style="287" customWidth="1"/>
    <col min="9989" max="9989" width="11" style="287" customWidth="1"/>
    <col min="9990" max="9990" width="11.625" style="287" customWidth="1"/>
    <col min="9991" max="9991" width="5.625" style="287" customWidth="1"/>
    <col min="9992" max="9992" width="5.5" style="287" customWidth="1"/>
    <col min="9993" max="9993" width="9.125" style="287" customWidth="1"/>
    <col min="9994" max="9994" width="7.5" style="287" customWidth="1"/>
    <col min="9995" max="9995" width="9.625" style="287" customWidth="1"/>
    <col min="9996" max="9996" width="6.75" style="287" customWidth="1"/>
    <col min="9997" max="9997" width="5.375" style="287" customWidth="1"/>
    <col min="9998" max="9998" width="4.75" style="287" customWidth="1"/>
    <col min="9999" max="10001" width="6.125" style="287" customWidth="1"/>
    <col min="10002" max="10002" width="6.625" style="287" customWidth="1"/>
    <col min="10003" max="10003" width="7.625" style="287" customWidth="1"/>
    <col min="10004" max="10004" width="5" style="287" customWidth="1"/>
    <col min="10005" max="10005" width="0" style="287" hidden="1" customWidth="1"/>
    <col min="10006" max="10240" width="9" style="287"/>
    <col min="10241" max="10241" width="3.625" style="287" customWidth="1"/>
    <col min="10242" max="10242" width="22.875" style="287" customWidth="1"/>
    <col min="10243" max="10243" width="9.75" style="287" customWidth="1"/>
    <col min="10244" max="10244" width="4.125" style="287" customWidth="1"/>
    <col min="10245" max="10245" width="11" style="287" customWidth="1"/>
    <col min="10246" max="10246" width="11.625" style="287" customWidth="1"/>
    <col min="10247" max="10247" width="5.625" style="287" customWidth="1"/>
    <col min="10248" max="10248" width="5.5" style="287" customWidth="1"/>
    <col min="10249" max="10249" width="9.125" style="287" customWidth="1"/>
    <col min="10250" max="10250" width="7.5" style="287" customWidth="1"/>
    <col min="10251" max="10251" width="9.625" style="287" customWidth="1"/>
    <col min="10252" max="10252" width="6.75" style="287" customWidth="1"/>
    <col min="10253" max="10253" width="5.375" style="287" customWidth="1"/>
    <col min="10254" max="10254" width="4.75" style="287" customWidth="1"/>
    <col min="10255" max="10257" width="6.125" style="287" customWidth="1"/>
    <col min="10258" max="10258" width="6.625" style="287" customWidth="1"/>
    <col min="10259" max="10259" width="7.625" style="287" customWidth="1"/>
    <col min="10260" max="10260" width="5" style="287" customWidth="1"/>
    <col min="10261" max="10261" width="0" style="287" hidden="1" customWidth="1"/>
    <col min="10262" max="10496" width="9" style="287"/>
    <col min="10497" max="10497" width="3.625" style="287" customWidth="1"/>
    <col min="10498" max="10498" width="22.875" style="287" customWidth="1"/>
    <col min="10499" max="10499" width="9.75" style="287" customWidth="1"/>
    <col min="10500" max="10500" width="4.125" style="287" customWidth="1"/>
    <col min="10501" max="10501" width="11" style="287" customWidth="1"/>
    <col min="10502" max="10502" width="11.625" style="287" customWidth="1"/>
    <col min="10503" max="10503" width="5.625" style="287" customWidth="1"/>
    <col min="10504" max="10504" width="5.5" style="287" customWidth="1"/>
    <col min="10505" max="10505" width="9.125" style="287" customWidth="1"/>
    <col min="10506" max="10506" width="7.5" style="287" customWidth="1"/>
    <col min="10507" max="10507" width="9.625" style="287" customWidth="1"/>
    <col min="10508" max="10508" width="6.75" style="287" customWidth="1"/>
    <col min="10509" max="10509" width="5.375" style="287" customWidth="1"/>
    <col min="10510" max="10510" width="4.75" style="287" customWidth="1"/>
    <col min="10511" max="10513" width="6.125" style="287" customWidth="1"/>
    <col min="10514" max="10514" width="6.625" style="287" customWidth="1"/>
    <col min="10515" max="10515" width="7.625" style="287" customWidth="1"/>
    <col min="10516" max="10516" width="5" style="287" customWidth="1"/>
    <col min="10517" max="10517" width="0" style="287" hidden="1" customWidth="1"/>
    <col min="10518" max="10752" width="9" style="287"/>
    <col min="10753" max="10753" width="3.625" style="287" customWidth="1"/>
    <col min="10754" max="10754" width="22.875" style="287" customWidth="1"/>
    <col min="10755" max="10755" width="9.75" style="287" customWidth="1"/>
    <col min="10756" max="10756" width="4.125" style="287" customWidth="1"/>
    <col min="10757" max="10757" width="11" style="287" customWidth="1"/>
    <col min="10758" max="10758" width="11.625" style="287" customWidth="1"/>
    <col min="10759" max="10759" width="5.625" style="287" customWidth="1"/>
    <col min="10760" max="10760" width="5.5" style="287" customWidth="1"/>
    <col min="10761" max="10761" width="9.125" style="287" customWidth="1"/>
    <col min="10762" max="10762" width="7.5" style="287" customWidth="1"/>
    <col min="10763" max="10763" width="9.625" style="287" customWidth="1"/>
    <col min="10764" max="10764" width="6.75" style="287" customWidth="1"/>
    <col min="10765" max="10765" width="5.375" style="287" customWidth="1"/>
    <col min="10766" max="10766" width="4.75" style="287" customWidth="1"/>
    <col min="10767" max="10769" width="6.125" style="287" customWidth="1"/>
    <col min="10770" max="10770" width="6.625" style="287" customWidth="1"/>
    <col min="10771" max="10771" width="7.625" style="287" customWidth="1"/>
    <col min="10772" max="10772" width="5" style="287" customWidth="1"/>
    <col min="10773" max="10773" width="0" style="287" hidden="1" customWidth="1"/>
    <col min="10774" max="11008" width="9" style="287"/>
    <col min="11009" max="11009" width="3.625" style="287" customWidth="1"/>
    <col min="11010" max="11010" width="22.875" style="287" customWidth="1"/>
    <col min="11011" max="11011" width="9.75" style="287" customWidth="1"/>
    <col min="11012" max="11012" width="4.125" style="287" customWidth="1"/>
    <col min="11013" max="11013" width="11" style="287" customWidth="1"/>
    <col min="11014" max="11014" width="11.625" style="287" customWidth="1"/>
    <col min="11015" max="11015" width="5.625" style="287" customWidth="1"/>
    <col min="11016" max="11016" width="5.5" style="287" customWidth="1"/>
    <col min="11017" max="11017" width="9.125" style="287" customWidth="1"/>
    <col min="11018" max="11018" width="7.5" style="287" customWidth="1"/>
    <col min="11019" max="11019" width="9.625" style="287" customWidth="1"/>
    <col min="11020" max="11020" width="6.75" style="287" customWidth="1"/>
    <col min="11021" max="11021" width="5.375" style="287" customWidth="1"/>
    <col min="11022" max="11022" width="4.75" style="287" customWidth="1"/>
    <col min="11023" max="11025" width="6.125" style="287" customWidth="1"/>
    <col min="11026" max="11026" width="6.625" style="287" customWidth="1"/>
    <col min="11027" max="11027" width="7.625" style="287" customWidth="1"/>
    <col min="11028" max="11028" width="5" style="287" customWidth="1"/>
    <col min="11029" max="11029" width="0" style="287" hidden="1" customWidth="1"/>
    <col min="11030" max="11264" width="9" style="287"/>
    <col min="11265" max="11265" width="3.625" style="287" customWidth="1"/>
    <col min="11266" max="11266" width="22.875" style="287" customWidth="1"/>
    <col min="11267" max="11267" width="9.75" style="287" customWidth="1"/>
    <col min="11268" max="11268" width="4.125" style="287" customWidth="1"/>
    <col min="11269" max="11269" width="11" style="287" customWidth="1"/>
    <col min="11270" max="11270" width="11.625" style="287" customWidth="1"/>
    <col min="11271" max="11271" width="5.625" style="287" customWidth="1"/>
    <col min="11272" max="11272" width="5.5" style="287" customWidth="1"/>
    <col min="11273" max="11273" width="9.125" style="287" customWidth="1"/>
    <col min="11274" max="11274" width="7.5" style="287" customWidth="1"/>
    <col min="11275" max="11275" width="9.625" style="287" customWidth="1"/>
    <col min="11276" max="11276" width="6.75" style="287" customWidth="1"/>
    <col min="11277" max="11277" width="5.375" style="287" customWidth="1"/>
    <col min="11278" max="11278" width="4.75" style="287" customWidth="1"/>
    <col min="11279" max="11281" width="6.125" style="287" customWidth="1"/>
    <col min="11282" max="11282" width="6.625" style="287" customWidth="1"/>
    <col min="11283" max="11283" width="7.625" style="287" customWidth="1"/>
    <col min="11284" max="11284" width="5" style="287" customWidth="1"/>
    <col min="11285" max="11285" width="0" style="287" hidden="1" customWidth="1"/>
    <col min="11286" max="11520" width="9" style="287"/>
    <col min="11521" max="11521" width="3.625" style="287" customWidth="1"/>
    <col min="11522" max="11522" width="22.875" style="287" customWidth="1"/>
    <col min="11523" max="11523" width="9.75" style="287" customWidth="1"/>
    <col min="11524" max="11524" width="4.125" style="287" customWidth="1"/>
    <col min="11525" max="11525" width="11" style="287" customWidth="1"/>
    <col min="11526" max="11526" width="11.625" style="287" customWidth="1"/>
    <col min="11527" max="11527" width="5.625" style="287" customWidth="1"/>
    <col min="11528" max="11528" width="5.5" style="287" customWidth="1"/>
    <col min="11529" max="11529" width="9.125" style="287" customWidth="1"/>
    <col min="11530" max="11530" width="7.5" style="287" customWidth="1"/>
    <col min="11531" max="11531" width="9.625" style="287" customWidth="1"/>
    <col min="11532" max="11532" width="6.75" style="287" customWidth="1"/>
    <col min="11533" max="11533" width="5.375" style="287" customWidth="1"/>
    <col min="11534" max="11534" width="4.75" style="287" customWidth="1"/>
    <col min="11535" max="11537" width="6.125" style="287" customWidth="1"/>
    <col min="11538" max="11538" width="6.625" style="287" customWidth="1"/>
    <col min="11539" max="11539" width="7.625" style="287" customWidth="1"/>
    <col min="11540" max="11540" width="5" style="287" customWidth="1"/>
    <col min="11541" max="11541" width="0" style="287" hidden="1" customWidth="1"/>
    <col min="11542" max="11776" width="9" style="287"/>
    <col min="11777" max="11777" width="3.625" style="287" customWidth="1"/>
    <col min="11778" max="11778" width="22.875" style="287" customWidth="1"/>
    <col min="11779" max="11779" width="9.75" style="287" customWidth="1"/>
    <col min="11780" max="11780" width="4.125" style="287" customWidth="1"/>
    <col min="11781" max="11781" width="11" style="287" customWidth="1"/>
    <col min="11782" max="11782" width="11.625" style="287" customWidth="1"/>
    <col min="11783" max="11783" width="5.625" style="287" customWidth="1"/>
    <col min="11784" max="11784" width="5.5" style="287" customWidth="1"/>
    <col min="11785" max="11785" width="9.125" style="287" customWidth="1"/>
    <col min="11786" max="11786" width="7.5" style="287" customWidth="1"/>
    <col min="11787" max="11787" width="9.625" style="287" customWidth="1"/>
    <col min="11788" max="11788" width="6.75" style="287" customWidth="1"/>
    <col min="11789" max="11789" width="5.375" style="287" customWidth="1"/>
    <col min="11790" max="11790" width="4.75" style="287" customWidth="1"/>
    <col min="11791" max="11793" width="6.125" style="287" customWidth="1"/>
    <col min="11794" max="11794" width="6.625" style="287" customWidth="1"/>
    <col min="11795" max="11795" width="7.625" style="287" customWidth="1"/>
    <col min="11796" max="11796" width="5" style="287" customWidth="1"/>
    <col min="11797" max="11797" width="0" style="287" hidden="1" customWidth="1"/>
    <col min="11798" max="12032" width="9" style="287"/>
    <col min="12033" max="12033" width="3.625" style="287" customWidth="1"/>
    <col min="12034" max="12034" width="22.875" style="287" customWidth="1"/>
    <col min="12035" max="12035" width="9.75" style="287" customWidth="1"/>
    <col min="12036" max="12036" width="4.125" style="287" customWidth="1"/>
    <col min="12037" max="12037" width="11" style="287" customWidth="1"/>
    <col min="12038" max="12038" width="11.625" style="287" customWidth="1"/>
    <col min="12039" max="12039" width="5.625" style="287" customWidth="1"/>
    <col min="12040" max="12040" width="5.5" style="287" customWidth="1"/>
    <col min="12041" max="12041" width="9.125" style="287" customWidth="1"/>
    <col min="12042" max="12042" width="7.5" style="287" customWidth="1"/>
    <col min="12043" max="12043" width="9.625" style="287" customWidth="1"/>
    <col min="12044" max="12044" width="6.75" style="287" customWidth="1"/>
    <col min="12045" max="12045" width="5.375" style="287" customWidth="1"/>
    <col min="12046" max="12046" width="4.75" style="287" customWidth="1"/>
    <col min="12047" max="12049" width="6.125" style="287" customWidth="1"/>
    <col min="12050" max="12050" width="6.625" style="287" customWidth="1"/>
    <col min="12051" max="12051" width="7.625" style="287" customWidth="1"/>
    <col min="12052" max="12052" width="5" style="287" customWidth="1"/>
    <col min="12053" max="12053" width="0" style="287" hidden="1" customWidth="1"/>
    <col min="12054" max="12288" width="9" style="287"/>
    <col min="12289" max="12289" width="3.625" style="287" customWidth="1"/>
    <col min="12290" max="12290" width="22.875" style="287" customWidth="1"/>
    <col min="12291" max="12291" width="9.75" style="287" customWidth="1"/>
    <col min="12292" max="12292" width="4.125" style="287" customWidth="1"/>
    <col min="12293" max="12293" width="11" style="287" customWidth="1"/>
    <col min="12294" max="12294" width="11.625" style="287" customWidth="1"/>
    <col min="12295" max="12295" width="5.625" style="287" customWidth="1"/>
    <col min="12296" max="12296" width="5.5" style="287" customWidth="1"/>
    <col min="12297" max="12297" width="9.125" style="287" customWidth="1"/>
    <col min="12298" max="12298" width="7.5" style="287" customWidth="1"/>
    <col min="12299" max="12299" width="9.625" style="287" customWidth="1"/>
    <col min="12300" max="12300" width="6.75" style="287" customWidth="1"/>
    <col min="12301" max="12301" width="5.375" style="287" customWidth="1"/>
    <col min="12302" max="12302" width="4.75" style="287" customWidth="1"/>
    <col min="12303" max="12305" width="6.125" style="287" customWidth="1"/>
    <col min="12306" max="12306" width="6.625" style="287" customWidth="1"/>
    <col min="12307" max="12307" width="7.625" style="287" customWidth="1"/>
    <col min="12308" max="12308" width="5" style="287" customWidth="1"/>
    <col min="12309" max="12309" width="0" style="287" hidden="1" customWidth="1"/>
    <col min="12310" max="12544" width="9" style="287"/>
    <col min="12545" max="12545" width="3.625" style="287" customWidth="1"/>
    <col min="12546" max="12546" width="22.875" style="287" customWidth="1"/>
    <col min="12547" max="12547" width="9.75" style="287" customWidth="1"/>
    <col min="12548" max="12548" width="4.125" style="287" customWidth="1"/>
    <col min="12549" max="12549" width="11" style="287" customWidth="1"/>
    <col min="12550" max="12550" width="11.625" style="287" customWidth="1"/>
    <col min="12551" max="12551" width="5.625" style="287" customWidth="1"/>
    <col min="12552" max="12552" width="5.5" style="287" customWidth="1"/>
    <col min="12553" max="12553" width="9.125" style="287" customWidth="1"/>
    <col min="12554" max="12554" width="7.5" style="287" customWidth="1"/>
    <col min="12555" max="12555" width="9.625" style="287" customWidth="1"/>
    <col min="12556" max="12556" width="6.75" style="287" customWidth="1"/>
    <col min="12557" max="12557" width="5.375" style="287" customWidth="1"/>
    <col min="12558" max="12558" width="4.75" style="287" customWidth="1"/>
    <col min="12559" max="12561" width="6.125" style="287" customWidth="1"/>
    <col min="12562" max="12562" width="6.625" style="287" customWidth="1"/>
    <col min="12563" max="12563" width="7.625" style="287" customWidth="1"/>
    <col min="12564" max="12564" width="5" style="287" customWidth="1"/>
    <col min="12565" max="12565" width="0" style="287" hidden="1" customWidth="1"/>
    <col min="12566" max="12800" width="9" style="287"/>
    <col min="12801" max="12801" width="3.625" style="287" customWidth="1"/>
    <col min="12802" max="12802" width="22.875" style="287" customWidth="1"/>
    <col min="12803" max="12803" width="9.75" style="287" customWidth="1"/>
    <col min="12804" max="12804" width="4.125" style="287" customWidth="1"/>
    <col min="12805" max="12805" width="11" style="287" customWidth="1"/>
    <col min="12806" max="12806" width="11.625" style="287" customWidth="1"/>
    <col min="12807" max="12807" width="5.625" style="287" customWidth="1"/>
    <col min="12808" max="12808" width="5.5" style="287" customWidth="1"/>
    <col min="12809" max="12809" width="9.125" style="287" customWidth="1"/>
    <col min="12810" max="12810" width="7.5" style="287" customWidth="1"/>
    <col min="12811" max="12811" width="9.625" style="287" customWidth="1"/>
    <col min="12812" max="12812" width="6.75" style="287" customWidth="1"/>
    <col min="12813" max="12813" width="5.375" style="287" customWidth="1"/>
    <col min="12814" max="12814" width="4.75" style="287" customWidth="1"/>
    <col min="12815" max="12817" width="6.125" style="287" customWidth="1"/>
    <col min="12818" max="12818" width="6.625" style="287" customWidth="1"/>
    <col min="12819" max="12819" width="7.625" style="287" customWidth="1"/>
    <col min="12820" max="12820" width="5" style="287" customWidth="1"/>
    <col min="12821" max="12821" width="0" style="287" hidden="1" customWidth="1"/>
    <col min="12822" max="13056" width="9" style="287"/>
    <col min="13057" max="13057" width="3.625" style="287" customWidth="1"/>
    <col min="13058" max="13058" width="22.875" style="287" customWidth="1"/>
    <col min="13059" max="13059" width="9.75" style="287" customWidth="1"/>
    <col min="13060" max="13060" width="4.125" style="287" customWidth="1"/>
    <col min="13061" max="13061" width="11" style="287" customWidth="1"/>
    <col min="13062" max="13062" width="11.625" style="287" customWidth="1"/>
    <col min="13063" max="13063" width="5.625" style="287" customWidth="1"/>
    <col min="13064" max="13064" width="5.5" style="287" customWidth="1"/>
    <col min="13065" max="13065" width="9.125" style="287" customWidth="1"/>
    <col min="13066" max="13066" width="7.5" style="287" customWidth="1"/>
    <col min="13067" max="13067" width="9.625" style="287" customWidth="1"/>
    <col min="13068" max="13068" width="6.75" style="287" customWidth="1"/>
    <col min="13069" max="13069" width="5.375" style="287" customWidth="1"/>
    <col min="13070" max="13070" width="4.75" style="287" customWidth="1"/>
    <col min="13071" max="13073" width="6.125" style="287" customWidth="1"/>
    <col min="13074" max="13074" width="6.625" style="287" customWidth="1"/>
    <col min="13075" max="13075" width="7.625" style="287" customWidth="1"/>
    <col min="13076" max="13076" width="5" style="287" customWidth="1"/>
    <col min="13077" max="13077" width="0" style="287" hidden="1" customWidth="1"/>
    <col min="13078" max="13312" width="9" style="287"/>
    <col min="13313" max="13313" width="3.625" style="287" customWidth="1"/>
    <col min="13314" max="13314" width="22.875" style="287" customWidth="1"/>
    <col min="13315" max="13315" width="9.75" style="287" customWidth="1"/>
    <col min="13316" max="13316" width="4.125" style="287" customWidth="1"/>
    <col min="13317" max="13317" width="11" style="287" customWidth="1"/>
    <col min="13318" max="13318" width="11.625" style="287" customWidth="1"/>
    <col min="13319" max="13319" width="5.625" style="287" customWidth="1"/>
    <col min="13320" max="13320" width="5.5" style="287" customWidth="1"/>
    <col min="13321" max="13321" width="9.125" style="287" customWidth="1"/>
    <col min="13322" max="13322" width="7.5" style="287" customWidth="1"/>
    <col min="13323" max="13323" width="9.625" style="287" customWidth="1"/>
    <col min="13324" max="13324" width="6.75" style="287" customWidth="1"/>
    <col min="13325" max="13325" width="5.375" style="287" customWidth="1"/>
    <col min="13326" max="13326" width="4.75" style="287" customWidth="1"/>
    <col min="13327" max="13329" width="6.125" style="287" customWidth="1"/>
    <col min="13330" max="13330" width="6.625" style="287" customWidth="1"/>
    <col min="13331" max="13331" width="7.625" style="287" customWidth="1"/>
    <col min="13332" max="13332" width="5" style="287" customWidth="1"/>
    <col min="13333" max="13333" width="0" style="287" hidden="1" customWidth="1"/>
    <col min="13334" max="13568" width="9" style="287"/>
    <col min="13569" max="13569" width="3.625" style="287" customWidth="1"/>
    <col min="13570" max="13570" width="22.875" style="287" customWidth="1"/>
    <col min="13571" max="13571" width="9.75" style="287" customWidth="1"/>
    <col min="13572" max="13572" width="4.125" style="287" customWidth="1"/>
    <col min="13573" max="13573" width="11" style="287" customWidth="1"/>
    <col min="13574" max="13574" width="11.625" style="287" customWidth="1"/>
    <col min="13575" max="13575" width="5.625" style="287" customWidth="1"/>
    <col min="13576" max="13576" width="5.5" style="287" customWidth="1"/>
    <col min="13577" max="13577" width="9.125" style="287" customWidth="1"/>
    <col min="13578" max="13578" width="7.5" style="287" customWidth="1"/>
    <col min="13579" max="13579" width="9.625" style="287" customWidth="1"/>
    <col min="13580" max="13580" width="6.75" style="287" customWidth="1"/>
    <col min="13581" max="13581" width="5.375" style="287" customWidth="1"/>
    <col min="13582" max="13582" width="4.75" style="287" customWidth="1"/>
    <col min="13583" max="13585" width="6.125" style="287" customWidth="1"/>
    <col min="13586" max="13586" width="6.625" style="287" customWidth="1"/>
    <col min="13587" max="13587" width="7.625" style="287" customWidth="1"/>
    <col min="13588" max="13588" width="5" style="287" customWidth="1"/>
    <col min="13589" max="13589" width="0" style="287" hidden="1" customWidth="1"/>
    <col min="13590" max="13824" width="9" style="287"/>
    <col min="13825" max="13825" width="3.625" style="287" customWidth="1"/>
    <col min="13826" max="13826" width="22.875" style="287" customWidth="1"/>
    <col min="13827" max="13827" width="9.75" style="287" customWidth="1"/>
    <col min="13828" max="13828" width="4.125" style="287" customWidth="1"/>
    <col min="13829" max="13829" width="11" style="287" customWidth="1"/>
    <col min="13830" max="13830" width="11.625" style="287" customWidth="1"/>
    <col min="13831" max="13831" width="5.625" style="287" customWidth="1"/>
    <col min="13832" max="13832" width="5.5" style="287" customWidth="1"/>
    <col min="13833" max="13833" width="9.125" style="287" customWidth="1"/>
    <col min="13834" max="13834" width="7.5" style="287" customWidth="1"/>
    <col min="13835" max="13835" width="9.625" style="287" customWidth="1"/>
    <col min="13836" max="13836" width="6.75" style="287" customWidth="1"/>
    <col min="13837" max="13837" width="5.375" style="287" customWidth="1"/>
    <col min="13838" max="13838" width="4.75" style="287" customWidth="1"/>
    <col min="13839" max="13841" width="6.125" style="287" customWidth="1"/>
    <col min="13842" max="13842" width="6.625" style="287" customWidth="1"/>
    <col min="13843" max="13843" width="7.625" style="287" customWidth="1"/>
    <col min="13844" max="13844" width="5" style="287" customWidth="1"/>
    <col min="13845" max="13845" width="0" style="287" hidden="1" customWidth="1"/>
    <col min="13846" max="14080" width="9" style="287"/>
    <col min="14081" max="14081" width="3.625" style="287" customWidth="1"/>
    <col min="14082" max="14082" width="22.875" style="287" customWidth="1"/>
    <col min="14083" max="14083" width="9.75" style="287" customWidth="1"/>
    <col min="14084" max="14084" width="4.125" style="287" customWidth="1"/>
    <col min="14085" max="14085" width="11" style="287" customWidth="1"/>
    <col min="14086" max="14086" width="11.625" style="287" customWidth="1"/>
    <col min="14087" max="14087" width="5.625" style="287" customWidth="1"/>
    <col min="14088" max="14088" width="5.5" style="287" customWidth="1"/>
    <col min="14089" max="14089" width="9.125" style="287" customWidth="1"/>
    <col min="14090" max="14090" width="7.5" style="287" customWidth="1"/>
    <col min="14091" max="14091" width="9.625" style="287" customWidth="1"/>
    <col min="14092" max="14092" width="6.75" style="287" customWidth="1"/>
    <col min="14093" max="14093" width="5.375" style="287" customWidth="1"/>
    <col min="14094" max="14094" width="4.75" style="287" customWidth="1"/>
    <col min="14095" max="14097" width="6.125" style="287" customWidth="1"/>
    <col min="14098" max="14098" width="6.625" style="287" customWidth="1"/>
    <col min="14099" max="14099" width="7.625" style="287" customWidth="1"/>
    <col min="14100" max="14100" width="5" style="287" customWidth="1"/>
    <col min="14101" max="14101" width="0" style="287" hidden="1" customWidth="1"/>
    <col min="14102" max="14336" width="9" style="287"/>
    <col min="14337" max="14337" width="3.625" style="287" customWidth="1"/>
    <col min="14338" max="14338" width="22.875" style="287" customWidth="1"/>
    <col min="14339" max="14339" width="9.75" style="287" customWidth="1"/>
    <col min="14340" max="14340" width="4.125" style="287" customWidth="1"/>
    <col min="14341" max="14341" width="11" style="287" customWidth="1"/>
    <col min="14342" max="14342" width="11.625" style="287" customWidth="1"/>
    <col min="14343" max="14343" width="5.625" style="287" customWidth="1"/>
    <col min="14344" max="14344" width="5.5" style="287" customWidth="1"/>
    <col min="14345" max="14345" width="9.125" style="287" customWidth="1"/>
    <col min="14346" max="14346" width="7.5" style="287" customWidth="1"/>
    <col min="14347" max="14347" width="9.625" style="287" customWidth="1"/>
    <col min="14348" max="14348" width="6.75" style="287" customWidth="1"/>
    <col min="14349" max="14349" width="5.375" style="287" customWidth="1"/>
    <col min="14350" max="14350" width="4.75" style="287" customWidth="1"/>
    <col min="14351" max="14353" width="6.125" style="287" customWidth="1"/>
    <col min="14354" max="14354" width="6.625" style="287" customWidth="1"/>
    <col min="14355" max="14355" width="7.625" style="287" customWidth="1"/>
    <col min="14356" max="14356" width="5" style="287" customWidth="1"/>
    <col min="14357" max="14357" width="0" style="287" hidden="1" customWidth="1"/>
    <col min="14358" max="14592" width="9" style="287"/>
    <col min="14593" max="14593" width="3.625" style="287" customWidth="1"/>
    <col min="14594" max="14594" width="22.875" style="287" customWidth="1"/>
    <col min="14595" max="14595" width="9.75" style="287" customWidth="1"/>
    <col min="14596" max="14596" width="4.125" style="287" customWidth="1"/>
    <col min="14597" max="14597" width="11" style="287" customWidth="1"/>
    <col min="14598" max="14598" width="11.625" style="287" customWidth="1"/>
    <col min="14599" max="14599" width="5.625" style="287" customWidth="1"/>
    <col min="14600" max="14600" width="5.5" style="287" customWidth="1"/>
    <col min="14601" max="14601" width="9.125" style="287" customWidth="1"/>
    <col min="14602" max="14602" width="7.5" style="287" customWidth="1"/>
    <col min="14603" max="14603" width="9.625" style="287" customWidth="1"/>
    <col min="14604" max="14604" width="6.75" style="287" customWidth="1"/>
    <col min="14605" max="14605" width="5.375" style="287" customWidth="1"/>
    <col min="14606" max="14606" width="4.75" style="287" customWidth="1"/>
    <col min="14607" max="14609" width="6.125" style="287" customWidth="1"/>
    <col min="14610" max="14610" width="6.625" style="287" customWidth="1"/>
    <col min="14611" max="14611" width="7.625" style="287" customWidth="1"/>
    <col min="14612" max="14612" width="5" style="287" customWidth="1"/>
    <col min="14613" max="14613" width="0" style="287" hidden="1" customWidth="1"/>
    <col min="14614" max="14848" width="9" style="287"/>
    <col min="14849" max="14849" width="3.625" style="287" customWidth="1"/>
    <col min="14850" max="14850" width="22.875" style="287" customWidth="1"/>
    <col min="14851" max="14851" width="9.75" style="287" customWidth="1"/>
    <col min="14852" max="14852" width="4.125" style="287" customWidth="1"/>
    <col min="14853" max="14853" width="11" style="287" customWidth="1"/>
    <col min="14854" max="14854" width="11.625" style="287" customWidth="1"/>
    <col min="14855" max="14855" width="5.625" style="287" customWidth="1"/>
    <col min="14856" max="14856" width="5.5" style="287" customWidth="1"/>
    <col min="14857" max="14857" width="9.125" style="287" customWidth="1"/>
    <col min="14858" max="14858" width="7.5" style="287" customWidth="1"/>
    <col min="14859" max="14859" width="9.625" style="287" customWidth="1"/>
    <col min="14860" max="14860" width="6.75" style="287" customWidth="1"/>
    <col min="14861" max="14861" width="5.375" style="287" customWidth="1"/>
    <col min="14862" max="14862" width="4.75" style="287" customWidth="1"/>
    <col min="14863" max="14865" width="6.125" style="287" customWidth="1"/>
    <col min="14866" max="14866" width="6.625" style="287" customWidth="1"/>
    <col min="14867" max="14867" width="7.625" style="287" customWidth="1"/>
    <col min="14868" max="14868" width="5" style="287" customWidth="1"/>
    <col min="14869" max="14869" width="0" style="287" hidden="1" customWidth="1"/>
    <col min="14870" max="15104" width="9" style="287"/>
    <col min="15105" max="15105" width="3.625" style="287" customWidth="1"/>
    <col min="15106" max="15106" width="22.875" style="287" customWidth="1"/>
    <col min="15107" max="15107" width="9.75" style="287" customWidth="1"/>
    <col min="15108" max="15108" width="4.125" style="287" customWidth="1"/>
    <col min="15109" max="15109" width="11" style="287" customWidth="1"/>
    <col min="15110" max="15110" width="11.625" style="287" customWidth="1"/>
    <col min="15111" max="15111" width="5.625" style="287" customWidth="1"/>
    <col min="15112" max="15112" width="5.5" style="287" customWidth="1"/>
    <col min="15113" max="15113" width="9.125" style="287" customWidth="1"/>
    <col min="15114" max="15114" width="7.5" style="287" customWidth="1"/>
    <col min="15115" max="15115" width="9.625" style="287" customWidth="1"/>
    <col min="15116" max="15116" width="6.75" style="287" customWidth="1"/>
    <col min="15117" max="15117" width="5.375" style="287" customWidth="1"/>
    <col min="15118" max="15118" width="4.75" style="287" customWidth="1"/>
    <col min="15119" max="15121" width="6.125" style="287" customWidth="1"/>
    <col min="15122" max="15122" width="6.625" style="287" customWidth="1"/>
    <col min="15123" max="15123" width="7.625" style="287" customWidth="1"/>
    <col min="15124" max="15124" width="5" style="287" customWidth="1"/>
    <col min="15125" max="15125" width="0" style="287" hidden="1" customWidth="1"/>
    <col min="15126" max="15360" width="9" style="287"/>
    <col min="15361" max="15361" width="3.625" style="287" customWidth="1"/>
    <col min="15362" max="15362" width="22.875" style="287" customWidth="1"/>
    <col min="15363" max="15363" width="9.75" style="287" customWidth="1"/>
    <col min="15364" max="15364" width="4.125" style="287" customWidth="1"/>
    <col min="15365" max="15365" width="11" style="287" customWidth="1"/>
    <col min="15366" max="15366" width="11.625" style="287" customWidth="1"/>
    <col min="15367" max="15367" width="5.625" style="287" customWidth="1"/>
    <col min="15368" max="15368" width="5.5" style="287" customWidth="1"/>
    <col min="15369" max="15369" width="9.125" style="287" customWidth="1"/>
    <col min="15370" max="15370" width="7.5" style="287" customWidth="1"/>
    <col min="15371" max="15371" width="9.625" style="287" customWidth="1"/>
    <col min="15372" max="15372" width="6.75" style="287" customWidth="1"/>
    <col min="15373" max="15373" width="5.375" style="287" customWidth="1"/>
    <col min="15374" max="15374" width="4.75" style="287" customWidth="1"/>
    <col min="15375" max="15377" width="6.125" style="287" customWidth="1"/>
    <col min="15378" max="15378" width="6.625" style="287" customWidth="1"/>
    <col min="15379" max="15379" width="7.625" style="287" customWidth="1"/>
    <col min="15380" max="15380" width="5" style="287" customWidth="1"/>
    <col min="15381" max="15381" width="0" style="287" hidden="1" customWidth="1"/>
    <col min="15382" max="15616" width="9" style="287"/>
    <col min="15617" max="15617" width="3.625" style="287" customWidth="1"/>
    <col min="15618" max="15618" width="22.875" style="287" customWidth="1"/>
    <col min="15619" max="15619" width="9.75" style="287" customWidth="1"/>
    <col min="15620" max="15620" width="4.125" style="287" customWidth="1"/>
    <col min="15621" max="15621" width="11" style="287" customWidth="1"/>
    <col min="15622" max="15622" width="11.625" style="287" customWidth="1"/>
    <col min="15623" max="15623" width="5.625" style="287" customWidth="1"/>
    <col min="15624" max="15624" width="5.5" style="287" customWidth="1"/>
    <col min="15625" max="15625" width="9.125" style="287" customWidth="1"/>
    <col min="15626" max="15626" width="7.5" style="287" customWidth="1"/>
    <col min="15627" max="15627" width="9.625" style="287" customWidth="1"/>
    <col min="15628" max="15628" width="6.75" style="287" customWidth="1"/>
    <col min="15629" max="15629" width="5.375" style="287" customWidth="1"/>
    <col min="15630" max="15630" width="4.75" style="287" customWidth="1"/>
    <col min="15631" max="15633" width="6.125" style="287" customWidth="1"/>
    <col min="15634" max="15634" width="6.625" style="287" customWidth="1"/>
    <col min="15635" max="15635" width="7.625" style="287" customWidth="1"/>
    <col min="15636" max="15636" width="5" style="287" customWidth="1"/>
    <col min="15637" max="15637" width="0" style="287" hidden="1" customWidth="1"/>
    <col min="15638" max="15872" width="9" style="287"/>
    <col min="15873" max="15873" width="3.625" style="287" customWidth="1"/>
    <col min="15874" max="15874" width="22.875" style="287" customWidth="1"/>
    <col min="15875" max="15875" width="9.75" style="287" customWidth="1"/>
    <col min="15876" max="15876" width="4.125" style="287" customWidth="1"/>
    <col min="15877" max="15877" width="11" style="287" customWidth="1"/>
    <col min="15878" max="15878" width="11.625" style="287" customWidth="1"/>
    <col min="15879" max="15879" width="5.625" style="287" customWidth="1"/>
    <col min="15880" max="15880" width="5.5" style="287" customWidth="1"/>
    <col min="15881" max="15881" width="9.125" style="287" customWidth="1"/>
    <col min="15882" max="15882" width="7.5" style="287" customWidth="1"/>
    <col min="15883" max="15883" width="9.625" style="287" customWidth="1"/>
    <col min="15884" max="15884" width="6.75" style="287" customWidth="1"/>
    <col min="15885" max="15885" width="5.375" style="287" customWidth="1"/>
    <col min="15886" max="15886" width="4.75" style="287" customWidth="1"/>
    <col min="15887" max="15889" width="6.125" style="287" customWidth="1"/>
    <col min="15890" max="15890" width="6.625" style="287" customWidth="1"/>
    <col min="15891" max="15891" width="7.625" style="287" customWidth="1"/>
    <col min="15892" max="15892" width="5" style="287" customWidth="1"/>
    <col min="15893" max="15893" width="0" style="287" hidden="1" customWidth="1"/>
    <col min="15894" max="16128" width="9" style="287"/>
    <col min="16129" max="16129" width="3.625" style="287" customWidth="1"/>
    <col min="16130" max="16130" width="22.875" style="287" customWidth="1"/>
    <col min="16131" max="16131" width="9.75" style="287" customWidth="1"/>
    <col min="16132" max="16132" width="4.125" style="287" customWidth="1"/>
    <col min="16133" max="16133" width="11" style="287" customWidth="1"/>
    <col min="16134" max="16134" width="11.625" style="287" customWidth="1"/>
    <col min="16135" max="16135" width="5.625" style="287" customWidth="1"/>
    <col min="16136" max="16136" width="5.5" style="287" customWidth="1"/>
    <col min="16137" max="16137" width="9.125" style="287" customWidth="1"/>
    <col min="16138" max="16138" width="7.5" style="287" customWidth="1"/>
    <col min="16139" max="16139" width="9.625" style="287" customWidth="1"/>
    <col min="16140" max="16140" width="6.75" style="287" customWidth="1"/>
    <col min="16141" max="16141" width="5.375" style="287" customWidth="1"/>
    <col min="16142" max="16142" width="4.75" style="287" customWidth="1"/>
    <col min="16143" max="16145" width="6.125" style="287" customWidth="1"/>
    <col min="16146" max="16146" width="6.625" style="287" customWidth="1"/>
    <col min="16147" max="16147" width="7.625" style="287" customWidth="1"/>
    <col min="16148" max="16148" width="5" style="287" customWidth="1"/>
    <col min="16149" max="16149" width="0" style="287" hidden="1" customWidth="1"/>
    <col min="16150" max="16384" width="9" style="287"/>
  </cols>
  <sheetData>
    <row r="1" spans="1:21" ht="16.5" x14ac:dyDescent="0.25">
      <c r="A1" s="811" t="str">
        <f>Chinh!$A$1</f>
        <v>UBND PHƯỜNG CAM LINH</v>
      </c>
      <c r="B1" s="811"/>
      <c r="C1" s="811"/>
      <c r="D1" s="811"/>
      <c r="E1" s="811"/>
      <c r="F1" s="285"/>
      <c r="G1" s="285"/>
      <c r="H1" s="285"/>
      <c r="I1" s="285"/>
      <c r="J1" s="285"/>
      <c r="K1" s="285"/>
      <c r="L1" s="285"/>
      <c r="M1" s="285"/>
      <c r="N1" s="285"/>
      <c r="O1" s="285"/>
      <c r="P1" s="285"/>
      <c r="Q1" s="285"/>
      <c r="R1" s="285"/>
      <c r="S1" s="285"/>
      <c r="T1" s="285"/>
    </row>
    <row r="2" spans="1:21" ht="18.75" x14ac:dyDescent="0.3">
      <c r="A2" s="687" t="str">
        <f>IF(Chinh!$I$9="","",Chinh!$A$2)</f>
        <v/>
      </c>
      <c r="B2" s="687"/>
      <c r="C2" s="687"/>
      <c r="D2" s="687"/>
      <c r="E2" s="687"/>
      <c r="F2" s="688" t="s">
        <v>391</v>
      </c>
      <c r="G2" s="688"/>
      <c r="H2" s="688"/>
      <c r="I2" s="688"/>
      <c r="J2" s="688"/>
      <c r="K2" s="688"/>
      <c r="L2" s="688"/>
      <c r="M2" s="688"/>
      <c r="N2" s="688"/>
      <c r="O2" s="688"/>
      <c r="P2" s="688"/>
      <c r="Q2" s="688"/>
      <c r="R2" s="688"/>
      <c r="S2" s="285"/>
      <c r="T2" s="285"/>
    </row>
    <row r="3" spans="1:21" ht="18.75" x14ac:dyDescent="0.3">
      <c r="A3" s="288"/>
      <c r="B3" s="288"/>
      <c r="C3" s="289"/>
      <c r="D3" s="288"/>
      <c r="E3" s="290"/>
      <c r="F3" s="526"/>
      <c r="G3" s="651" t="str">
        <f>IF(COUNTIF($U$8:$U$107,"er")&gt;0,"Còn lỗi!",IF(AND(COUNTIF($U$8:$U$107,"x")&gt;0,COUNTIF($U$8:$U$107,"er")=0,A2&lt;&gt;"",Chinh!$I$9&lt;&gt;""),"Hoàn thành!","Nhập liệu!"))</f>
        <v>Nhập liệu!</v>
      </c>
      <c r="H3" s="651"/>
      <c r="I3" s="651"/>
      <c r="J3" s="526"/>
      <c r="K3" s="689" t="str">
        <f>"Năm học: "&amp;" "&amp;Chinh!$H$5</f>
        <v>Năm học:  2025-2026</v>
      </c>
      <c r="L3" s="689"/>
      <c r="M3" s="689"/>
      <c r="N3" s="689"/>
      <c r="O3" s="689"/>
      <c r="P3" s="291"/>
      <c r="Q3" s="291"/>
      <c r="R3" s="526"/>
      <c r="S3" s="285"/>
      <c r="T3" s="285"/>
    </row>
    <row r="4" spans="1:21" ht="25.5" customHeight="1" x14ac:dyDescent="0.25">
      <c r="A4" s="292"/>
      <c r="B4" s="293"/>
      <c r="C4" s="499" t="str">
        <f>IF(G3="Hoàn thành!","Tổng số CB,GV,NV:"&amp;" "&amp;COUNTA($B$8:$B$107)&amp;" ;"&amp;" trong đó:"&amp;" "&amp;"Nữ:"&amp;" "&amp;COUNTIF($D$8:$D$107,"x")&amp;", "&amp;"Dân tộc: "&amp;" "&amp;COUNTA($R$8:$R$107)-COUNTIF($R$8:$R$107,"Kinh"),"")</f>
        <v/>
      </c>
      <c r="D4" s="293"/>
      <c r="E4" s="294"/>
      <c r="F4" s="293"/>
      <c r="G4" s="293"/>
      <c r="H4" s="293"/>
      <c r="I4" s="293"/>
      <c r="J4" s="293"/>
      <c r="K4" s="295"/>
      <c r="L4" s="295"/>
      <c r="M4" s="295"/>
      <c r="N4" s="295"/>
      <c r="O4" s="295"/>
      <c r="P4" s="296"/>
      <c r="Q4" s="296"/>
      <c r="R4" s="293"/>
      <c r="S4" s="293"/>
      <c r="T4" s="293"/>
      <c r="U4" s="297"/>
    </row>
    <row r="5" spans="1:21" ht="41.25" customHeight="1" x14ac:dyDescent="0.2">
      <c r="A5" s="684" t="s">
        <v>271</v>
      </c>
      <c r="B5" s="685" t="s">
        <v>392</v>
      </c>
      <c r="C5" s="686" t="s">
        <v>393</v>
      </c>
      <c r="D5" s="684" t="s">
        <v>370</v>
      </c>
      <c r="E5" s="684" t="s">
        <v>394</v>
      </c>
      <c r="F5" s="684" t="s">
        <v>395</v>
      </c>
      <c r="G5" s="684" t="s">
        <v>277</v>
      </c>
      <c r="H5" s="684"/>
      <c r="I5" s="684" t="s">
        <v>396</v>
      </c>
      <c r="J5" s="684" t="s">
        <v>278</v>
      </c>
      <c r="K5" s="684"/>
      <c r="L5" s="684"/>
      <c r="M5" s="684" t="s">
        <v>397</v>
      </c>
      <c r="N5" s="684" t="s">
        <v>398</v>
      </c>
      <c r="O5" s="684" t="s">
        <v>399</v>
      </c>
      <c r="P5" s="684" t="s">
        <v>400</v>
      </c>
      <c r="Q5" s="684" t="s">
        <v>401</v>
      </c>
      <c r="R5" s="690" t="s">
        <v>402</v>
      </c>
      <c r="S5" s="690" t="s">
        <v>403</v>
      </c>
      <c r="T5" s="690" t="s">
        <v>282</v>
      </c>
    </row>
    <row r="6" spans="1:21" ht="90.75" customHeight="1" x14ac:dyDescent="0.2">
      <c r="A6" s="684"/>
      <c r="B6" s="685"/>
      <c r="C6" s="686"/>
      <c r="D6" s="684"/>
      <c r="E6" s="684"/>
      <c r="F6" s="684"/>
      <c r="G6" s="525" t="s">
        <v>283</v>
      </c>
      <c r="H6" s="525" t="s">
        <v>284</v>
      </c>
      <c r="I6" s="684"/>
      <c r="J6" s="525" t="s">
        <v>404</v>
      </c>
      <c r="K6" s="525" t="s">
        <v>286</v>
      </c>
      <c r="L6" s="525" t="s">
        <v>287</v>
      </c>
      <c r="M6" s="684"/>
      <c r="N6" s="684"/>
      <c r="O6" s="684"/>
      <c r="P6" s="684"/>
      <c r="Q6" s="684"/>
      <c r="R6" s="690"/>
      <c r="S6" s="690"/>
      <c r="T6" s="690"/>
    </row>
    <row r="7" spans="1:21" x14ac:dyDescent="0.2">
      <c r="A7" s="298">
        <v>1</v>
      </c>
      <c r="B7" s="298">
        <v>2</v>
      </c>
      <c r="C7" s="298">
        <v>3</v>
      </c>
      <c r="D7" s="298">
        <v>4</v>
      </c>
      <c r="E7" s="298">
        <v>5</v>
      </c>
      <c r="F7" s="298">
        <v>6</v>
      </c>
      <c r="G7" s="298">
        <v>7</v>
      </c>
      <c r="H7" s="298">
        <v>8</v>
      </c>
      <c r="I7" s="298">
        <v>9</v>
      </c>
      <c r="J7" s="298">
        <v>10</v>
      </c>
      <c r="K7" s="298">
        <v>11</v>
      </c>
      <c r="L7" s="298">
        <v>12</v>
      </c>
      <c r="M7" s="298">
        <v>13</v>
      </c>
      <c r="N7" s="298">
        <v>14</v>
      </c>
      <c r="O7" s="298">
        <v>15</v>
      </c>
      <c r="P7" s="298">
        <v>16</v>
      </c>
      <c r="Q7" s="298">
        <v>17</v>
      </c>
      <c r="R7" s="298">
        <v>18</v>
      </c>
      <c r="S7" s="298">
        <v>19</v>
      </c>
      <c r="T7" s="298">
        <v>20</v>
      </c>
    </row>
    <row r="8" spans="1:21" ht="15" x14ac:dyDescent="0.2">
      <c r="A8" s="299">
        <v>1</v>
      </c>
      <c r="B8" s="300" t="s">
        <v>795</v>
      </c>
      <c r="C8" s="301" t="s">
        <v>796</v>
      </c>
      <c r="D8" s="302"/>
      <c r="E8" s="300" t="s">
        <v>288</v>
      </c>
      <c r="F8" s="302" t="s">
        <v>2</v>
      </c>
      <c r="G8" s="302">
        <v>1997</v>
      </c>
      <c r="H8" s="302">
        <v>2011</v>
      </c>
      <c r="I8" s="302" t="s">
        <v>797</v>
      </c>
      <c r="J8" s="302" t="s">
        <v>798</v>
      </c>
      <c r="K8" s="302" t="s">
        <v>799</v>
      </c>
      <c r="L8" s="302" t="s">
        <v>810</v>
      </c>
      <c r="M8" s="302" t="s">
        <v>801</v>
      </c>
      <c r="N8" s="302" t="s">
        <v>802</v>
      </c>
      <c r="O8" s="302"/>
      <c r="P8" s="302" t="s">
        <v>652</v>
      </c>
      <c r="Q8" s="302"/>
      <c r="R8" s="302" t="s">
        <v>772</v>
      </c>
      <c r="S8" s="302" t="s">
        <v>289</v>
      </c>
      <c r="T8" s="302"/>
      <c r="U8" s="303" t="str">
        <f>IF(COUNTA(B8:S8)=0,"",IF(AND(B8&lt;&gt;"",C8&lt;&gt;"",COUNTA(E8:L8)=8,R8&lt;&gt;"",S8&lt;&gt;"",OR(AND(P8&lt;&gt;"",Q8=""),AND(P8="",Q8&lt;&gt;""))),"x","er"))</f>
        <v>x</v>
      </c>
    </row>
    <row r="9" spans="1:21" ht="15" x14ac:dyDescent="0.2">
      <c r="A9" s="299">
        <v>2</v>
      </c>
      <c r="B9" s="300" t="s">
        <v>804</v>
      </c>
      <c r="C9" s="301" t="s">
        <v>803</v>
      </c>
      <c r="D9" s="302"/>
      <c r="E9" s="300" t="s">
        <v>410</v>
      </c>
      <c r="F9" s="302" t="s">
        <v>2</v>
      </c>
      <c r="G9" s="302">
        <v>1997</v>
      </c>
      <c r="H9" s="302">
        <v>2011</v>
      </c>
      <c r="I9" s="302" t="s">
        <v>797</v>
      </c>
      <c r="J9" s="302" t="s">
        <v>798</v>
      </c>
      <c r="K9" s="302" t="s">
        <v>799</v>
      </c>
      <c r="L9" s="302" t="s">
        <v>810</v>
      </c>
      <c r="M9" s="302" t="s">
        <v>801</v>
      </c>
      <c r="N9" s="302" t="s">
        <v>802</v>
      </c>
      <c r="O9" s="302"/>
      <c r="P9" s="302" t="s">
        <v>652</v>
      </c>
      <c r="Q9" s="302"/>
      <c r="R9" s="302" t="s">
        <v>772</v>
      </c>
      <c r="S9" s="302" t="s">
        <v>293</v>
      </c>
      <c r="T9" s="302"/>
      <c r="U9" s="303" t="str">
        <f t="shared" ref="U9:U72" si="0">IF(COUNTA(B9:S9)=0,"",IF(AND(B9&lt;&gt;"",C9&lt;&gt;"",COUNTA(E9:L9)=8,R9&lt;&gt;"",S9&lt;&gt;"",OR(AND(P9&lt;&gt;"",Q9=""),AND(P9="",Q9&lt;&gt;""))),"x","er"))</f>
        <v>x</v>
      </c>
    </row>
    <row r="10" spans="1:21" ht="15" x14ac:dyDescent="0.2">
      <c r="A10" s="299">
        <v>3</v>
      </c>
      <c r="B10" s="300" t="s">
        <v>804</v>
      </c>
      <c r="C10" s="301" t="s">
        <v>805</v>
      </c>
      <c r="D10" s="302"/>
      <c r="E10" s="300" t="s">
        <v>291</v>
      </c>
      <c r="F10" s="302" t="s">
        <v>247</v>
      </c>
      <c r="G10" s="302">
        <v>1997</v>
      </c>
      <c r="H10" s="302">
        <v>2011</v>
      </c>
      <c r="I10" s="302" t="s">
        <v>797</v>
      </c>
      <c r="J10" s="302" t="s">
        <v>798</v>
      </c>
      <c r="K10" s="302" t="s">
        <v>799</v>
      </c>
      <c r="L10" s="302" t="s">
        <v>800</v>
      </c>
      <c r="M10" s="302" t="s">
        <v>801</v>
      </c>
      <c r="N10" s="302" t="s">
        <v>802</v>
      </c>
      <c r="O10" s="302"/>
      <c r="P10" s="302" t="s">
        <v>652</v>
      </c>
      <c r="Q10" s="302"/>
      <c r="R10" s="302" t="s">
        <v>772</v>
      </c>
      <c r="S10" s="302" t="s">
        <v>289</v>
      </c>
      <c r="T10" s="302"/>
      <c r="U10" s="303" t="str">
        <f t="shared" si="0"/>
        <v>x</v>
      </c>
    </row>
    <row r="11" spans="1:21" ht="15" x14ac:dyDescent="0.2">
      <c r="A11" s="299">
        <v>4</v>
      </c>
      <c r="B11" s="300" t="s">
        <v>804</v>
      </c>
      <c r="C11" s="301" t="s">
        <v>806</v>
      </c>
      <c r="D11" s="302"/>
      <c r="E11" s="300" t="s">
        <v>291</v>
      </c>
      <c r="F11" s="302" t="s">
        <v>812</v>
      </c>
      <c r="G11" s="302">
        <v>1997</v>
      </c>
      <c r="H11" s="302">
        <v>2011</v>
      </c>
      <c r="I11" s="302" t="s">
        <v>797</v>
      </c>
      <c r="J11" s="302" t="s">
        <v>798</v>
      </c>
      <c r="K11" s="302" t="s">
        <v>799</v>
      </c>
      <c r="L11" s="302" t="s">
        <v>809</v>
      </c>
      <c r="M11" s="302" t="s">
        <v>801</v>
      </c>
      <c r="N11" s="302" t="s">
        <v>802</v>
      </c>
      <c r="O11" s="302"/>
      <c r="P11" s="302" t="s">
        <v>652</v>
      </c>
      <c r="Q11" s="302"/>
      <c r="R11" s="302" t="s">
        <v>772</v>
      </c>
      <c r="S11" s="302" t="s">
        <v>289</v>
      </c>
      <c r="T11" s="302"/>
      <c r="U11" s="303" t="str">
        <f t="shared" si="0"/>
        <v>x</v>
      </c>
    </row>
    <row r="12" spans="1:21" ht="15" x14ac:dyDescent="0.2">
      <c r="A12" s="299">
        <v>5</v>
      </c>
      <c r="B12" s="300" t="s">
        <v>804</v>
      </c>
      <c r="C12" s="301" t="s">
        <v>807</v>
      </c>
      <c r="D12" s="302"/>
      <c r="E12" s="300" t="s">
        <v>294</v>
      </c>
      <c r="F12" s="302" t="s">
        <v>92</v>
      </c>
      <c r="G12" s="302">
        <v>1997</v>
      </c>
      <c r="H12" s="302">
        <v>2011</v>
      </c>
      <c r="I12" s="302" t="s">
        <v>797</v>
      </c>
      <c r="J12" s="302" t="s">
        <v>798</v>
      </c>
      <c r="K12" s="302" t="s">
        <v>799</v>
      </c>
      <c r="L12" s="302" t="s">
        <v>811</v>
      </c>
      <c r="M12" s="302" t="s">
        <v>801</v>
      </c>
      <c r="N12" s="302" t="s">
        <v>802</v>
      </c>
      <c r="O12" s="302"/>
      <c r="P12" s="302" t="s">
        <v>652</v>
      </c>
      <c r="Q12" s="302"/>
      <c r="R12" s="302" t="s">
        <v>772</v>
      </c>
      <c r="S12" s="302" t="s">
        <v>289</v>
      </c>
      <c r="T12" s="302"/>
      <c r="U12" s="303" t="str">
        <f t="shared" si="0"/>
        <v>x</v>
      </c>
    </row>
    <row r="13" spans="1:21" ht="15" x14ac:dyDescent="0.2">
      <c r="A13" s="299">
        <v>6</v>
      </c>
      <c r="B13" s="300" t="s">
        <v>804</v>
      </c>
      <c r="C13" s="301" t="s">
        <v>808</v>
      </c>
      <c r="D13" s="302"/>
      <c r="E13" s="300" t="s">
        <v>291</v>
      </c>
      <c r="F13" s="302" t="s">
        <v>247</v>
      </c>
      <c r="G13" s="302">
        <v>1997</v>
      </c>
      <c r="H13" s="302">
        <v>2011</v>
      </c>
      <c r="I13" s="302" t="s">
        <v>797</v>
      </c>
      <c r="J13" s="302" t="s">
        <v>798</v>
      </c>
      <c r="K13" s="302" t="s">
        <v>799</v>
      </c>
      <c r="L13" s="302" t="s">
        <v>810</v>
      </c>
      <c r="M13" s="302" t="s">
        <v>801</v>
      </c>
      <c r="N13" s="302" t="s">
        <v>802</v>
      </c>
      <c r="O13" s="302"/>
      <c r="P13" s="302" t="s">
        <v>652</v>
      </c>
      <c r="Q13" s="302"/>
      <c r="R13" s="302" t="s">
        <v>772</v>
      </c>
      <c r="S13" s="302" t="s">
        <v>289</v>
      </c>
      <c r="T13" s="302"/>
      <c r="U13" s="303" t="str">
        <f t="shared" si="0"/>
        <v>x</v>
      </c>
    </row>
    <row r="14" spans="1:21" ht="15" x14ac:dyDescent="0.2">
      <c r="A14" s="299">
        <v>7</v>
      </c>
      <c r="B14" s="300" t="s">
        <v>804</v>
      </c>
      <c r="C14" s="301" t="s">
        <v>807</v>
      </c>
      <c r="D14" s="302"/>
      <c r="E14" s="300" t="s">
        <v>294</v>
      </c>
      <c r="F14" s="302" t="s">
        <v>95</v>
      </c>
      <c r="G14" s="302">
        <v>1997</v>
      </c>
      <c r="H14" s="302">
        <v>2011</v>
      </c>
      <c r="I14" s="302" t="s">
        <v>797</v>
      </c>
      <c r="J14" s="302" t="s">
        <v>798</v>
      </c>
      <c r="K14" s="302" t="s">
        <v>799</v>
      </c>
      <c r="L14" s="302" t="s">
        <v>811</v>
      </c>
      <c r="M14" s="302" t="s">
        <v>801</v>
      </c>
      <c r="N14" s="302" t="s">
        <v>802</v>
      </c>
      <c r="O14" s="302"/>
      <c r="P14" s="302" t="s">
        <v>652</v>
      </c>
      <c r="Q14" s="302"/>
      <c r="R14" s="302" t="s">
        <v>772</v>
      </c>
      <c r="S14" s="302" t="s">
        <v>292</v>
      </c>
      <c r="T14" s="302"/>
      <c r="U14" s="303" t="str">
        <f t="shared" si="0"/>
        <v>x</v>
      </c>
    </row>
    <row r="15" spans="1:21" ht="15" x14ac:dyDescent="0.2">
      <c r="A15" s="299">
        <v>8</v>
      </c>
      <c r="B15" s="300"/>
      <c r="C15" s="301"/>
      <c r="D15" s="302"/>
      <c r="E15" s="300"/>
      <c r="F15" s="302"/>
      <c r="G15" s="302"/>
      <c r="H15" s="302"/>
      <c r="I15" s="302"/>
      <c r="J15" s="302"/>
      <c r="K15" s="302"/>
      <c r="L15" s="302"/>
      <c r="M15" s="302"/>
      <c r="N15" s="302"/>
      <c r="O15" s="302"/>
      <c r="P15" s="302"/>
      <c r="Q15" s="302"/>
      <c r="R15" s="302"/>
      <c r="S15" s="302"/>
      <c r="T15" s="302"/>
      <c r="U15" s="303" t="str">
        <f t="shared" si="0"/>
        <v/>
      </c>
    </row>
    <row r="16" spans="1:21" ht="15" x14ac:dyDescent="0.2">
      <c r="A16" s="299">
        <v>9</v>
      </c>
      <c r="B16" s="300"/>
      <c r="C16" s="301"/>
      <c r="D16" s="302"/>
      <c r="E16" s="300"/>
      <c r="F16" s="302"/>
      <c r="G16" s="302"/>
      <c r="H16" s="302"/>
      <c r="I16" s="302"/>
      <c r="J16" s="302"/>
      <c r="K16" s="302"/>
      <c r="L16" s="302"/>
      <c r="M16" s="302"/>
      <c r="N16" s="302"/>
      <c r="O16" s="302"/>
      <c r="P16" s="302"/>
      <c r="Q16" s="302"/>
      <c r="R16" s="302"/>
      <c r="S16" s="302"/>
      <c r="T16" s="302"/>
      <c r="U16" s="303" t="str">
        <f t="shared" si="0"/>
        <v/>
      </c>
    </row>
    <row r="17" spans="1:21" ht="15" x14ac:dyDescent="0.2">
      <c r="A17" s="299">
        <v>10</v>
      </c>
      <c r="B17" s="300"/>
      <c r="C17" s="301"/>
      <c r="D17" s="302"/>
      <c r="E17" s="300"/>
      <c r="F17" s="302"/>
      <c r="G17" s="302"/>
      <c r="H17" s="302"/>
      <c r="I17" s="302"/>
      <c r="J17" s="302"/>
      <c r="K17" s="302"/>
      <c r="L17" s="302"/>
      <c r="M17" s="302"/>
      <c r="N17" s="302"/>
      <c r="O17" s="302"/>
      <c r="P17" s="302"/>
      <c r="Q17" s="302"/>
      <c r="R17" s="302"/>
      <c r="S17" s="302"/>
      <c r="T17" s="302"/>
      <c r="U17" s="303" t="str">
        <f t="shared" si="0"/>
        <v/>
      </c>
    </row>
    <row r="18" spans="1:21" ht="15" x14ac:dyDescent="0.2">
      <c r="A18" s="299">
        <v>11</v>
      </c>
      <c r="B18" s="300"/>
      <c r="C18" s="301"/>
      <c r="D18" s="302"/>
      <c r="E18" s="300"/>
      <c r="F18" s="302"/>
      <c r="G18" s="302"/>
      <c r="H18" s="302"/>
      <c r="I18" s="302"/>
      <c r="J18" s="302"/>
      <c r="K18" s="302"/>
      <c r="L18" s="302"/>
      <c r="M18" s="302"/>
      <c r="N18" s="302"/>
      <c r="O18" s="302"/>
      <c r="P18" s="302"/>
      <c r="Q18" s="302"/>
      <c r="R18" s="302"/>
      <c r="S18" s="302"/>
      <c r="T18" s="302"/>
      <c r="U18" s="303" t="str">
        <f t="shared" si="0"/>
        <v/>
      </c>
    </row>
    <row r="19" spans="1:21" ht="15" x14ac:dyDescent="0.2">
      <c r="A19" s="299">
        <v>12</v>
      </c>
      <c r="B19" s="300"/>
      <c r="C19" s="301"/>
      <c r="D19" s="302"/>
      <c r="E19" s="300"/>
      <c r="F19" s="302"/>
      <c r="G19" s="302"/>
      <c r="H19" s="302"/>
      <c r="I19" s="302"/>
      <c r="J19" s="302"/>
      <c r="K19" s="302"/>
      <c r="L19" s="302"/>
      <c r="M19" s="302"/>
      <c r="N19" s="302"/>
      <c r="O19" s="302"/>
      <c r="P19" s="302"/>
      <c r="Q19" s="302"/>
      <c r="R19" s="302"/>
      <c r="S19" s="302"/>
      <c r="T19" s="302"/>
      <c r="U19" s="303" t="str">
        <f t="shared" si="0"/>
        <v/>
      </c>
    </row>
    <row r="20" spans="1:21" ht="15" x14ac:dyDescent="0.2">
      <c r="A20" s="299">
        <v>13</v>
      </c>
      <c r="B20" s="300"/>
      <c r="C20" s="301"/>
      <c r="D20" s="302"/>
      <c r="E20" s="300"/>
      <c r="F20" s="302"/>
      <c r="G20" s="302"/>
      <c r="H20" s="302"/>
      <c r="I20" s="302"/>
      <c r="J20" s="302"/>
      <c r="K20" s="302"/>
      <c r="L20" s="302"/>
      <c r="M20" s="302"/>
      <c r="N20" s="302"/>
      <c r="O20" s="302"/>
      <c r="P20" s="302"/>
      <c r="Q20" s="302"/>
      <c r="R20" s="302"/>
      <c r="S20" s="302"/>
      <c r="T20" s="302"/>
      <c r="U20" s="303" t="str">
        <f t="shared" si="0"/>
        <v/>
      </c>
    </row>
    <row r="21" spans="1:21" ht="15" x14ac:dyDescent="0.2">
      <c r="A21" s="299">
        <v>14</v>
      </c>
      <c r="B21" s="300"/>
      <c r="C21" s="301"/>
      <c r="D21" s="302"/>
      <c r="E21" s="300"/>
      <c r="F21" s="302"/>
      <c r="G21" s="302"/>
      <c r="H21" s="302"/>
      <c r="I21" s="302"/>
      <c r="J21" s="302"/>
      <c r="K21" s="302"/>
      <c r="L21" s="302"/>
      <c r="M21" s="302"/>
      <c r="N21" s="302"/>
      <c r="O21" s="302"/>
      <c r="P21" s="302"/>
      <c r="Q21" s="302"/>
      <c r="R21" s="302"/>
      <c r="S21" s="302"/>
      <c r="T21" s="302"/>
      <c r="U21" s="303" t="str">
        <f t="shared" si="0"/>
        <v/>
      </c>
    </row>
    <row r="22" spans="1:21" ht="15" x14ac:dyDescent="0.2">
      <c r="A22" s="299">
        <v>15</v>
      </c>
      <c r="B22" s="300"/>
      <c r="C22" s="301"/>
      <c r="D22" s="302"/>
      <c r="E22" s="300"/>
      <c r="F22" s="302"/>
      <c r="G22" s="302"/>
      <c r="H22" s="302"/>
      <c r="I22" s="302"/>
      <c r="J22" s="302"/>
      <c r="K22" s="302"/>
      <c r="L22" s="302"/>
      <c r="M22" s="302"/>
      <c r="N22" s="302"/>
      <c r="O22" s="302"/>
      <c r="P22" s="302"/>
      <c r="Q22" s="302"/>
      <c r="R22" s="302"/>
      <c r="S22" s="302"/>
      <c r="T22" s="302"/>
      <c r="U22" s="303" t="str">
        <f t="shared" si="0"/>
        <v/>
      </c>
    </row>
    <row r="23" spans="1:21" ht="15" x14ac:dyDescent="0.2">
      <c r="A23" s="299">
        <v>16</v>
      </c>
      <c r="B23" s="300"/>
      <c r="C23" s="301"/>
      <c r="D23" s="302"/>
      <c r="E23" s="300"/>
      <c r="F23" s="302"/>
      <c r="G23" s="302"/>
      <c r="H23" s="302"/>
      <c r="I23" s="302"/>
      <c r="J23" s="302"/>
      <c r="K23" s="302"/>
      <c r="L23" s="302"/>
      <c r="M23" s="302"/>
      <c r="N23" s="302"/>
      <c r="O23" s="302"/>
      <c r="P23" s="302"/>
      <c r="Q23" s="302"/>
      <c r="R23" s="302"/>
      <c r="S23" s="302"/>
      <c r="T23" s="302"/>
      <c r="U23" s="303" t="str">
        <f t="shared" si="0"/>
        <v/>
      </c>
    </row>
    <row r="24" spans="1:21" ht="15" x14ac:dyDescent="0.2">
      <c r="A24" s="299">
        <v>17</v>
      </c>
      <c r="B24" s="300"/>
      <c r="C24" s="301"/>
      <c r="D24" s="302"/>
      <c r="E24" s="300"/>
      <c r="F24" s="302"/>
      <c r="G24" s="302"/>
      <c r="H24" s="302"/>
      <c r="I24" s="302"/>
      <c r="J24" s="302"/>
      <c r="K24" s="302"/>
      <c r="L24" s="302"/>
      <c r="M24" s="302"/>
      <c r="N24" s="302"/>
      <c r="O24" s="302"/>
      <c r="P24" s="302"/>
      <c r="Q24" s="302"/>
      <c r="R24" s="302"/>
      <c r="S24" s="302"/>
      <c r="T24" s="302"/>
      <c r="U24" s="303" t="str">
        <f t="shared" si="0"/>
        <v/>
      </c>
    </row>
    <row r="25" spans="1:21" ht="15" x14ac:dyDescent="0.2">
      <c r="A25" s="299">
        <v>18</v>
      </c>
      <c r="B25" s="300"/>
      <c r="C25" s="301"/>
      <c r="D25" s="302"/>
      <c r="E25" s="300"/>
      <c r="F25" s="302"/>
      <c r="G25" s="302"/>
      <c r="H25" s="302"/>
      <c r="I25" s="302"/>
      <c r="J25" s="302"/>
      <c r="K25" s="302"/>
      <c r="L25" s="302"/>
      <c r="M25" s="302"/>
      <c r="N25" s="302"/>
      <c r="O25" s="302"/>
      <c r="P25" s="302"/>
      <c r="Q25" s="302"/>
      <c r="R25" s="302"/>
      <c r="S25" s="302"/>
      <c r="T25" s="302"/>
      <c r="U25" s="303" t="str">
        <f t="shared" si="0"/>
        <v/>
      </c>
    </row>
    <row r="26" spans="1:21" ht="15" x14ac:dyDescent="0.2">
      <c r="A26" s="299">
        <v>19</v>
      </c>
      <c r="B26" s="300"/>
      <c r="C26" s="301"/>
      <c r="D26" s="302"/>
      <c r="E26" s="300"/>
      <c r="F26" s="302"/>
      <c r="G26" s="302"/>
      <c r="H26" s="302"/>
      <c r="I26" s="302"/>
      <c r="J26" s="302"/>
      <c r="K26" s="302"/>
      <c r="L26" s="302"/>
      <c r="M26" s="302"/>
      <c r="N26" s="302"/>
      <c r="O26" s="302"/>
      <c r="P26" s="302"/>
      <c r="Q26" s="302"/>
      <c r="R26" s="302"/>
      <c r="S26" s="302"/>
      <c r="T26" s="302"/>
      <c r="U26" s="303" t="str">
        <f t="shared" si="0"/>
        <v/>
      </c>
    </row>
    <row r="27" spans="1:21" ht="15" x14ac:dyDescent="0.2">
      <c r="A27" s="299">
        <v>20</v>
      </c>
      <c r="B27" s="300"/>
      <c r="C27" s="301"/>
      <c r="D27" s="302"/>
      <c r="E27" s="300"/>
      <c r="F27" s="302"/>
      <c r="G27" s="302"/>
      <c r="H27" s="302"/>
      <c r="I27" s="302"/>
      <c r="J27" s="302"/>
      <c r="K27" s="302"/>
      <c r="L27" s="302"/>
      <c r="M27" s="302"/>
      <c r="N27" s="302"/>
      <c r="O27" s="302"/>
      <c r="P27" s="302"/>
      <c r="Q27" s="302"/>
      <c r="R27" s="302"/>
      <c r="S27" s="302"/>
      <c r="T27" s="302"/>
      <c r="U27" s="303" t="str">
        <f t="shared" si="0"/>
        <v/>
      </c>
    </row>
    <row r="28" spans="1:21" ht="15" x14ac:dyDescent="0.2">
      <c r="A28" s="299">
        <v>21</v>
      </c>
      <c r="B28" s="300"/>
      <c r="C28" s="301"/>
      <c r="D28" s="302"/>
      <c r="E28" s="300"/>
      <c r="F28" s="302"/>
      <c r="G28" s="302"/>
      <c r="H28" s="302"/>
      <c r="I28" s="302"/>
      <c r="J28" s="302"/>
      <c r="K28" s="302"/>
      <c r="L28" s="302"/>
      <c r="M28" s="302"/>
      <c r="N28" s="302"/>
      <c r="O28" s="302"/>
      <c r="P28" s="302"/>
      <c r="Q28" s="302"/>
      <c r="R28" s="302"/>
      <c r="S28" s="302"/>
      <c r="T28" s="302"/>
      <c r="U28" s="303" t="str">
        <f t="shared" si="0"/>
        <v/>
      </c>
    </row>
    <row r="29" spans="1:21" ht="15" x14ac:dyDescent="0.2">
      <c r="A29" s="299">
        <v>22</v>
      </c>
      <c r="B29" s="300"/>
      <c r="C29" s="301"/>
      <c r="D29" s="302"/>
      <c r="E29" s="300"/>
      <c r="F29" s="302"/>
      <c r="G29" s="302"/>
      <c r="H29" s="302"/>
      <c r="I29" s="302"/>
      <c r="J29" s="302"/>
      <c r="K29" s="302"/>
      <c r="L29" s="302"/>
      <c r="M29" s="302"/>
      <c r="N29" s="302"/>
      <c r="O29" s="302"/>
      <c r="P29" s="302"/>
      <c r="Q29" s="302"/>
      <c r="R29" s="302"/>
      <c r="S29" s="302"/>
      <c r="T29" s="302"/>
      <c r="U29" s="303" t="str">
        <f t="shared" si="0"/>
        <v/>
      </c>
    </row>
    <row r="30" spans="1:21" ht="15" x14ac:dyDescent="0.2">
      <c r="A30" s="299">
        <v>23</v>
      </c>
      <c r="B30" s="300"/>
      <c r="C30" s="301"/>
      <c r="D30" s="302"/>
      <c r="E30" s="300"/>
      <c r="F30" s="302"/>
      <c r="G30" s="302"/>
      <c r="H30" s="302"/>
      <c r="I30" s="302"/>
      <c r="J30" s="302"/>
      <c r="K30" s="302"/>
      <c r="L30" s="302"/>
      <c r="M30" s="302"/>
      <c r="N30" s="302"/>
      <c r="O30" s="302"/>
      <c r="P30" s="302"/>
      <c r="Q30" s="302"/>
      <c r="R30" s="302"/>
      <c r="S30" s="302"/>
      <c r="T30" s="302"/>
      <c r="U30" s="303" t="str">
        <f t="shared" si="0"/>
        <v/>
      </c>
    </row>
    <row r="31" spans="1:21" ht="15" x14ac:dyDescent="0.2">
      <c r="A31" s="299">
        <v>24</v>
      </c>
      <c r="B31" s="300"/>
      <c r="C31" s="301"/>
      <c r="D31" s="302"/>
      <c r="E31" s="300"/>
      <c r="F31" s="302"/>
      <c r="G31" s="302"/>
      <c r="H31" s="302"/>
      <c r="I31" s="302"/>
      <c r="J31" s="302"/>
      <c r="K31" s="302"/>
      <c r="L31" s="302"/>
      <c r="M31" s="302"/>
      <c r="N31" s="302"/>
      <c r="O31" s="302"/>
      <c r="P31" s="302"/>
      <c r="Q31" s="302"/>
      <c r="R31" s="302"/>
      <c r="S31" s="302"/>
      <c r="T31" s="302"/>
      <c r="U31" s="303" t="str">
        <f t="shared" si="0"/>
        <v/>
      </c>
    </row>
    <row r="32" spans="1:21" ht="15" x14ac:dyDescent="0.2">
      <c r="A32" s="299">
        <v>25</v>
      </c>
      <c r="B32" s="300"/>
      <c r="C32" s="301"/>
      <c r="D32" s="302"/>
      <c r="E32" s="300"/>
      <c r="F32" s="302"/>
      <c r="G32" s="302"/>
      <c r="H32" s="302"/>
      <c r="I32" s="302"/>
      <c r="J32" s="302"/>
      <c r="K32" s="302"/>
      <c r="L32" s="302"/>
      <c r="M32" s="302"/>
      <c r="N32" s="302"/>
      <c r="O32" s="302"/>
      <c r="P32" s="302"/>
      <c r="Q32" s="302"/>
      <c r="R32" s="302"/>
      <c r="S32" s="302"/>
      <c r="T32" s="302"/>
      <c r="U32" s="303" t="str">
        <f t="shared" si="0"/>
        <v/>
      </c>
    </row>
    <row r="33" spans="1:21" ht="15" x14ac:dyDescent="0.2">
      <c r="A33" s="299">
        <v>26</v>
      </c>
      <c r="B33" s="300"/>
      <c r="C33" s="301"/>
      <c r="D33" s="302"/>
      <c r="E33" s="300"/>
      <c r="F33" s="302"/>
      <c r="G33" s="302"/>
      <c r="H33" s="302"/>
      <c r="I33" s="302"/>
      <c r="J33" s="302"/>
      <c r="K33" s="302"/>
      <c r="L33" s="302"/>
      <c r="M33" s="302"/>
      <c r="N33" s="302"/>
      <c r="O33" s="302"/>
      <c r="P33" s="302"/>
      <c r="Q33" s="302"/>
      <c r="R33" s="302"/>
      <c r="S33" s="302"/>
      <c r="T33" s="302"/>
      <c r="U33" s="303" t="str">
        <f t="shared" si="0"/>
        <v/>
      </c>
    </row>
    <row r="34" spans="1:21" ht="15" x14ac:dyDescent="0.2">
      <c r="A34" s="299">
        <v>27</v>
      </c>
      <c r="B34" s="300"/>
      <c r="C34" s="301"/>
      <c r="D34" s="302"/>
      <c r="E34" s="300"/>
      <c r="F34" s="302"/>
      <c r="G34" s="302"/>
      <c r="H34" s="302"/>
      <c r="I34" s="302"/>
      <c r="J34" s="302"/>
      <c r="K34" s="302"/>
      <c r="L34" s="302"/>
      <c r="M34" s="302"/>
      <c r="N34" s="302"/>
      <c r="O34" s="302"/>
      <c r="P34" s="302"/>
      <c r="Q34" s="302"/>
      <c r="R34" s="302"/>
      <c r="S34" s="302"/>
      <c r="T34" s="302"/>
      <c r="U34" s="303" t="str">
        <f t="shared" si="0"/>
        <v/>
      </c>
    </row>
    <row r="35" spans="1:21" ht="15" x14ac:dyDescent="0.2">
      <c r="A35" s="299">
        <v>28</v>
      </c>
      <c r="B35" s="300"/>
      <c r="C35" s="301"/>
      <c r="D35" s="302"/>
      <c r="E35" s="300"/>
      <c r="F35" s="302"/>
      <c r="G35" s="302"/>
      <c r="H35" s="302"/>
      <c r="I35" s="302"/>
      <c r="J35" s="302"/>
      <c r="K35" s="302"/>
      <c r="L35" s="302"/>
      <c r="M35" s="302"/>
      <c r="N35" s="302"/>
      <c r="O35" s="302"/>
      <c r="P35" s="302"/>
      <c r="Q35" s="302"/>
      <c r="R35" s="302"/>
      <c r="S35" s="302"/>
      <c r="T35" s="302"/>
      <c r="U35" s="303" t="str">
        <f t="shared" si="0"/>
        <v/>
      </c>
    </row>
    <row r="36" spans="1:21" ht="15" x14ac:dyDescent="0.2">
      <c r="A36" s="299">
        <v>29</v>
      </c>
      <c r="B36" s="300"/>
      <c r="C36" s="301"/>
      <c r="D36" s="302"/>
      <c r="E36" s="300"/>
      <c r="F36" s="302"/>
      <c r="G36" s="302"/>
      <c r="H36" s="302"/>
      <c r="I36" s="302"/>
      <c r="J36" s="302"/>
      <c r="K36" s="302"/>
      <c r="L36" s="302"/>
      <c r="M36" s="302"/>
      <c r="N36" s="302"/>
      <c r="O36" s="302"/>
      <c r="P36" s="302"/>
      <c r="Q36" s="302"/>
      <c r="R36" s="302"/>
      <c r="S36" s="302"/>
      <c r="T36" s="302"/>
      <c r="U36" s="303" t="str">
        <f t="shared" si="0"/>
        <v/>
      </c>
    </row>
    <row r="37" spans="1:21" ht="15" x14ac:dyDescent="0.2">
      <c r="A37" s="299">
        <v>30</v>
      </c>
      <c r="B37" s="300"/>
      <c r="C37" s="301"/>
      <c r="D37" s="302"/>
      <c r="E37" s="300"/>
      <c r="F37" s="302"/>
      <c r="G37" s="302"/>
      <c r="H37" s="302"/>
      <c r="I37" s="302"/>
      <c r="J37" s="302"/>
      <c r="K37" s="302"/>
      <c r="L37" s="302"/>
      <c r="M37" s="302"/>
      <c r="N37" s="302"/>
      <c r="O37" s="302"/>
      <c r="P37" s="302"/>
      <c r="Q37" s="302"/>
      <c r="R37" s="302"/>
      <c r="S37" s="302"/>
      <c r="T37" s="302"/>
      <c r="U37" s="303" t="str">
        <f t="shared" si="0"/>
        <v/>
      </c>
    </row>
    <row r="38" spans="1:21" ht="15" x14ac:dyDescent="0.2">
      <c r="A38" s="299">
        <v>31</v>
      </c>
      <c r="B38" s="300"/>
      <c r="C38" s="301"/>
      <c r="D38" s="302"/>
      <c r="E38" s="300"/>
      <c r="F38" s="302"/>
      <c r="G38" s="302"/>
      <c r="H38" s="302"/>
      <c r="I38" s="302"/>
      <c r="J38" s="302"/>
      <c r="K38" s="302"/>
      <c r="L38" s="302"/>
      <c r="M38" s="302"/>
      <c r="N38" s="302"/>
      <c r="O38" s="302"/>
      <c r="P38" s="302"/>
      <c r="Q38" s="302"/>
      <c r="R38" s="302"/>
      <c r="S38" s="302"/>
      <c r="T38" s="302"/>
      <c r="U38" s="303" t="str">
        <f t="shared" si="0"/>
        <v/>
      </c>
    </row>
    <row r="39" spans="1:21" ht="15" x14ac:dyDescent="0.2">
      <c r="A39" s="299">
        <v>32</v>
      </c>
      <c r="B39" s="300"/>
      <c r="C39" s="301"/>
      <c r="D39" s="302"/>
      <c r="E39" s="300"/>
      <c r="F39" s="302"/>
      <c r="G39" s="302"/>
      <c r="H39" s="302"/>
      <c r="I39" s="302"/>
      <c r="J39" s="302"/>
      <c r="K39" s="302"/>
      <c r="L39" s="302"/>
      <c r="M39" s="302"/>
      <c r="N39" s="302"/>
      <c r="O39" s="302"/>
      <c r="P39" s="302"/>
      <c r="Q39" s="302"/>
      <c r="R39" s="302"/>
      <c r="S39" s="302"/>
      <c r="T39" s="302"/>
      <c r="U39" s="303" t="str">
        <f t="shared" si="0"/>
        <v/>
      </c>
    </row>
    <row r="40" spans="1:21" ht="15" x14ac:dyDescent="0.2">
      <c r="A40" s="299">
        <v>33</v>
      </c>
      <c r="B40" s="300"/>
      <c r="C40" s="301"/>
      <c r="D40" s="302"/>
      <c r="E40" s="300"/>
      <c r="F40" s="302"/>
      <c r="G40" s="302"/>
      <c r="H40" s="302"/>
      <c r="I40" s="302"/>
      <c r="J40" s="302"/>
      <c r="K40" s="302"/>
      <c r="L40" s="302"/>
      <c r="M40" s="302"/>
      <c r="N40" s="302"/>
      <c r="O40" s="302"/>
      <c r="P40" s="302"/>
      <c r="Q40" s="302"/>
      <c r="R40" s="302"/>
      <c r="S40" s="302"/>
      <c r="T40" s="302"/>
      <c r="U40" s="303" t="str">
        <f t="shared" si="0"/>
        <v/>
      </c>
    </row>
    <row r="41" spans="1:21" ht="15" x14ac:dyDescent="0.2">
      <c r="A41" s="299">
        <v>34</v>
      </c>
      <c r="B41" s="300"/>
      <c r="C41" s="301"/>
      <c r="D41" s="302"/>
      <c r="E41" s="300"/>
      <c r="F41" s="302"/>
      <c r="G41" s="302"/>
      <c r="H41" s="302"/>
      <c r="I41" s="302"/>
      <c r="J41" s="302"/>
      <c r="K41" s="302"/>
      <c r="L41" s="302"/>
      <c r="M41" s="302"/>
      <c r="N41" s="302"/>
      <c r="O41" s="302"/>
      <c r="P41" s="302"/>
      <c r="Q41" s="302"/>
      <c r="R41" s="302"/>
      <c r="S41" s="302"/>
      <c r="T41" s="302"/>
      <c r="U41" s="303" t="str">
        <f t="shared" si="0"/>
        <v/>
      </c>
    </row>
    <row r="42" spans="1:21" ht="15" x14ac:dyDescent="0.2">
      <c r="A42" s="299">
        <v>35</v>
      </c>
      <c r="B42" s="300"/>
      <c r="C42" s="301"/>
      <c r="D42" s="302"/>
      <c r="E42" s="300"/>
      <c r="F42" s="302"/>
      <c r="G42" s="302"/>
      <c r="H42" s="302"/>
      <c r="I42" s="302"/>
      <c r="J42" s="302"/>
      <c r="K42" s="302"/>
      <c r="L42" s="302"/>
      <c r="M42" s="302"/>
      <c r="N42" s="302"/>
      <c r="O42" s="302"/>
      <c r="P42" s="302"/>
      <c r="Q42" s="302"/>
      <c r="R42" s="302"/>
      <c r="S42" s="302"/>
      <c r="T42" s="302"/>
      <c r="U42" s="303" t="str">
        <f t="shared" si="0"/>
        <v/>
      </c>
    </row>
    <row r="43" spans="1:21" ht="15" x14ac:dyDescent="0.2">
      <c r="A43" s="299">
        <v>36</v>
      </c>
      <c r="B43" s="300"/>
      <c r="C43" s="301"/>
      <c r="D43" s="302"/>
      <c r="E43" s="300"/>
      <c r="F43" s="302"/>
      <c r="G43" s="302"/>
      <c r="H43" s="302"/>
      <c r="I43" s="302"/>
      <c r="J43" s="302"/>
      <c r="K43" s="302"/>
      <c r="L43" s="302"/>
      <c r="M43" s="302"/>
      <c r="N43" s="302"/>
      <c r="O43" s="302"/>
      <c r="P43" s="302"/>
      <c r="Q43" s="302"/>
      <c r="R43" s="302"/>
      <c r="S43" s="302"/>
      <c r="T43" s="302"/>
      <c r="U43" s="303" t="str">
        <f t="shared" si="0"/>
        <v/>
      </c>
    </row>
    <row r="44" spans="1:21" ht="15" x14ac:dyDescent="0.2">
      <c r="A44" s="299">
        <v>37</v>
      </c>
      <c r="B44" s="300"/>
      <c r="C44" s="301"/>
      <c r="D44" s="302"/>
      <c r="E44" s="300"/>
      <c r="F44" s="302"/>
      <c r="G44" s="302"/>
      <c r="H44" s="302"/>
      <c r="I44" s="302"/>
      <c r="J44" s="302"/>
      <c r="K44" s="302"/>
      <c r="L44" s="302"/>
      <c r="M44" s="302"/>
      <c r="N44" s="302"/>
      <c r="O44" s="302"/>
      <c r="P44" s="302"/>
      <c r="Q44" s="302"/>
      <c r="R44" s="302"/>
      <c r="S44" s="302"/>
      <c r="T44" s="302"/>
      <c r="U44" s="303" t="str">
        <f t="shared" si="0"/>
        <v/>
      </c>
    </row>
    <row r="45" spans="1:21" ht="15" x14ac:dyDescent="0.2">
      <c r="A45" s="299">
        <v>38</v>
      </c>
      <c r="B45" s="300"/>
      <c r="C45" s="301"/>
      <c r="D45" s="302"/>
      <c r="E45" s="300"/>
      <c r="F45" s="302"/>
      <c r="G45" s="302"/>
      <c r="H45" s="302"/>
      <c r="I45" s="302"/>
      <c r="J45" s="302"/>
      <c r="K45" s="302"/>
      <c r="L45" s="302"/>
      <c r="M45" s="302"/>
      <c r="N45" s="302"/>
      <c r="O45" s="302"/>
      <c r="P45" s="302"/>
      <c r="Q45" s="302"/>
      <c r="R45" s="302"/>
      <c r="S45" s="302"/>
      <c r="T45" s="302"/>
      <c r="U45" s="303" t="str">
        <f t="shared" si="0"/>
        <v/>
      </c>
    </row>
    <row r="46" spans="1:21" ht="15" x14ac:dyDescent="0.2">
      <c r="A46" s="299">
        <v>39</v>
      </c>
      <c r="B46" s="300"/>
      <c r="C46" s="301"/>
      <c r="D46" s="302"/>
      <c r="E46" s="300"/>
      <c r="F46" s="302"/>
      <c r="G46" s="302"/>
      <c r="H46" s="302"/>
      <c r="I46" s="302"/>
      <c r="J46" s="302"/>
      <c r="K46" s="302"/>
      <c r="L46" s="302"/>
      <c r="M46" s="302"/>
      <c r="N46" s="302"/>
      <c r="O46" s="302"/>
      <c r="P46" s="302"/>
      <c r="Q46" s="302"/>
      <c r="R46" s="302"/>
      <c r="S46" s="302"/>
      <c r="T46" s="302"/>
      <c r="U46" s="303" t="str">
        <f t="shared" si="0"/>
        <v/>
      </c>
    </row>
    <row r="47" spans="1:21" ht="15" x14ac:dyDescent="0.2">
      <c r="A47" s="299">
        <v>40</v>
      </c>
      <c r="B47" s="300"/>
      <c r="C47" s="301"/>
      <c r="D47" s="302"/>
      <c r="E47" s="300"/>
      <c r="F47" s="302"/>
      <c r="G47" s="302"/>
      <c r="H47" s="302"/>
      <c r="I47" s="302"/>
      <c r="J47" s="302"/>
      <c r="K47" s="302"/>
      <c r="L47" s="302"/>
      <c r="M47" s="302"/>
      <c r="N47" s="302"/>
      <c r="O47" s="302"/>
      <c r="P47" s="302"/>
      <c r="Q47" s="302"/>
      <c r="R47" s="302"/>
      <c r="S47" s="302"/>
      <c r="T47" s="302"/>
      <c r="U47" s="303" t="str">
        <f t="shared" si="0"/>
        <v/>
      </c>
    </row>
    <row r="48" spans="1:21" ht="15" x14ac:dyDescent="0.2">
      <c r="A48" s="299">
        <v>41</v>
      </c>
      <c r="B48" s="300"/>
      <c r="C48" s="301"/>
      <c r="D48" s="302"/>
      <c r="E48" s="300"/>
      <c r="F48" s="302"/>
      <c r="G48" s="302"/>
      <c r="H48" s="302"/>
      <c r="I48" s="302"/>
      <c r="J48" s="302"/>
      <c r="K48" s="302"/>
      <c r="L48" s="302"/>
      <c r="M48" s="302"/>
      <c r="N48" s="302"/>
      <c r="O48" s="302"/>
      <c r="P48" s="302"/>
      <c r="Q48" s="302"/>
      <c r="R48" s="302"/>
      <c r="S48" s="302"/>
      <c r="T48" s="302"/>
      <c r="U48" s="303" t="str">
        <f t="shared" si="0"/>
        <v/>
      </c>
    </row>
    <row r="49" spans="1:21" ht="15" x14ac:dyDescent="0.2">
      <c r="A49" s="299">
        <v>42</v>
      </c>
      <c r="B49" s="300"/>
      <c r="C49" s="301"/>
      <c r="D49" s="302"/>
      <c r="E49" s="300"/>
      <c r="F49" s="302"/>
      <c r="G49" s="302"/>
      <c r="H49" s="302"/>
      <c r="I49" s="302"/>
      <c r="J49" s="302"/>
      <c r="K49" s="302"/>
      <c r="L49" s="302"/>
      <c r="M49" s="302"/>
      <c r="N49" s="302"/>
      <c r="O49" s="302"/>
      <c r="P49" s="302"/>
      <c r="Q49" s="302"/>
      <c r="R49" s="302"/>
      <c r="S49" s="302"/>
      <c r="T49" s="302"/>
      <c r="U49" s="303" t="str">
        <f t="shared" si="0"/>
        <v/>
      </c>
    </row>
    <row r="50" spans="1:21" ht="15" x14ac:dyDescent="0.2">
      <c r="A50" s="299">
        <v>43</v>
      </c>
      <c r="B50" s="300"/>
      <c r="C50" s="301"/>
      <c r="D50" s="302"/>
      <c r="E50" s="300"/>
      <c r="F50" s="302"/>
      <c r="G50" s="302"/>
      <c r="H50" s="302"/>
      <c r="I50" s="302"/>
      <c r="J50" s="302"/>
      <c r="K50" s="302"/>
      <c r="L50" s="302"/>
      <c r="M50" s="302"/>
      <c r="N50" s="302"/>
      <c r="O50" s="302"/>
      <c r="P50" s="302"/>
      <c r="Q50" s="302"/>
      <c r="R50" s="302"/>
      <c r="S50" s="302"/>
      <c r="T50" s="302"/>
      <c r="U50" s="303" t="str">
        <f t="shared" si="0"/>
        <v/>
      </c>
    </row>
    <row r="51" spans="1:21" ht="15" x14ac:dyDescent="0.2">
      <c r="A51" s="299">
        <v>44</v>
      </c>
      <c r="B51" s="300"/>
      <c r="C51" s="301"/>
      <c r="D51" s="302"/>
      <c r="E51" s="300"/>
      <c r="F51" s="302"/>
      <c r="G51" s="302"/>
      <c r="H51" s="302"/>
      <c r="I51" s="302"/>
      <c r="J51" s="302"/>
      <c r="K51" s="302"/>
      <c r="L51" s="302"/>
      <c r="M51" s="302"/>
      <c r="N51" s="302"/>
      <c r="O51" s="302"/>
      <c r="P51" s="302"/>
      <c r="Q51" s="302"/>
      <c r="R51" s="302"/>
      <c r="S51" s="302"/>
      <c r="T51" s="302"/>
      <c r="U51" s="303" t="str">
        <f t="shared" si="0"/>
        <v/>
      </c>
    </row>
    <row r="52" spans="1:21" ht="15" x14ac:dyDescent="0.2">
      <c r="A52" s="299">
        <v>45</v>
      </c>
      <c r="B52" s="300"/>
      <c r="C52" s="301"/>
      <c r="D52" s="302"/>
      <c r="E52" s="300"/>
      <c r="F52" s="302"/>
      <c r="G52" s="302"/>
      <c r="H52" s="302"/>
      <c r="I52" s="302"/>
      <c r="J52" s="302"/>
      <c r="K52" s="302"/>
      <c r="L52" s="302"/>
      <c r="M52" s="302"/>
      <c r="N52" s="302"/>
      <c r="O52" s="302"/>
      <c r="P52" s="302"/>
      <c r="Q52" s="302"/>
      <c r="R52" s="302"/>
      <c r="S52" s="302"/>
      <c r="T52" s="302"/>
      <c r="U52" s="303" t="str">
        <f t="shared" si="0"/>
        <v/>
      </c>
    </row>
    <row r="53" spans="1:21" ht="15" x14ac:dyDescent="0.2">
      <c r="A53" s="299">
        <v>46</v>
      </c>
      <c r="B53" s="300"/>
      <c r="C53" s="301"/>
      <c r="D53" s="302"/>
      <c r="E53" s="300"/>
      <c r="F53" s="302"/>
      <c r="G53" s="302"/>
      <c r="H53" s="302"/>
      <c r="I53" s="302"/>
      <c r="J53" s="302"/>
      <c r="K53" s="302"/>
      <c r="L53" s="302"/>
      <c r="M53" s="302"/>
      <c r="N53" s="302"/>
      <c r="O53" s="302"/>
      <c r="P53" s="302"/>
      <c r="Q53" s="302"/>
      <c r="R53" s="302"/>
      <c r="S53" s="302"/>
      <c r="T53" s="302"/>
      <c r="U53" s="303" t="str">
        <f t="shared" si="0"/>
        <v/>
      </c>
    </row>
    <row r="54" spans="1:21" ht="15" x14ac:dyDescent="0.2">
      <c r="A54" s="299">
        <v>47</v>
      </c>
      <c r="B54" s="300"/>
      <c r="C54" s="301"/>
      <c r="D54" s="302"/>
      <c r="E54" s="300"/>
      <c r="F54" s="302"/>
      <c r="G54" s="302"/>
      <c r="H54" s="302"/>
      <c r="I54" s="302"/>
      <c r="J54" s="302"/>
      <c r="K54" s="302"/>
      <c r="L54" s="302"/>
      <c r="M54" s="302"/>
      <c r="N54" s="302"/>
      <c r="O54" s="302"/>
      <c r="P54" s="302"/>
      <c r="Q54" s="302"/>
      <c r="R54" s="302"/>
      <c r="S54" s="302"/>
      <c r="T54" s="302"/>
      <c r="U54" s="303" t="str">
        <f t="shared" si="0"/>
        <v/>
      </c>
    </row>
    <row r="55" spans="1:21" ht="15" x14ac:dyDescent="0.2">
      <c r="A55" s="299">
        <v>48</v>
      </c>
      <c r="B55" s="300"/>
      <c r="C55" s="301"/>
      <c r="D55" s="302"/>
      <c r="E55" s="300"/>
      <c r="F55" s="302"/>
      <c r="G55" s="302"/>
      <c r="H55" s="302"/>
      <c r="I55" s="302"/>
      <c r="J55" s="302"/>
      <c r="K55" s="302"/>
      <c r="L55" s="302"/>
      <c r="M55" s="302"/>
      <c r="N55" s="302"/>
      <c r="O55" s="302"/>
      <c r="P55" s="302"/>
      <c r="Q55" s="302"/>
      <c r="R55" s="302"/>
      <c r="S55" s="302"/>
      <c r="T55" s="302"/>
      <c r="U55" s="303" t="str">
        <f t="shared" si="0"/>
        <v/>
      </c>
    </row>
    <row r="56" spans="1:21" ht="15" x14ac:dyDescent="0.2">
      <c r="A56" s="299">
        <v>49</v>
      </c>
      <c r="B56" s="300"/>
      <c r="C56" s="301"/>
      <c r="D56" s="302"/>
      <c r="E56" s="300"/>
      <c r="F56" s="302"/>
      <c r="G56" s="302"/>
      <c r="H56" s="302"/>
      <c r="I56" s="302"/>
      <c r="J56" s="302"/>
      <c r="K56" s="302"/>
      <c r="L56" s="302"/>
      <c r="M56" s="302"/>
      <c r="N56" s="302"/>
      <c r="O56" s="302"/>
      <c r="P56" s="302"/>
      <c r="Q56" s="302"/>
      <c r="R56" s="302"/>
      <c r="S56" s="302"/>
      <c r="T56" s="302"/>
      <c r="U56" s="303" t="str">
        <f t="shared" si="0"/>
        <v/>
      </c>
    </row>
    <row r="57" spans="1:21" ht="15" x14ac:dyDescent="0.2">
      <c r="A57" s="299">
        <v>50</v>
      </c>
      <c r="B57" s="300"/>
      <c r="C57" s="301"/>
      <c r="D57" s="302"/>
      <c r="E57" s="300"/>
      <c r="F57" s="302"/>
      <c r="G57" s="302"/>
      <c r="H57" s="302"/>
      <c r="I57" s="302"/>
      <c r="J57" s="302"/>
      <c r="K57" s="302"/>
      <c r="L57" s="302"/>
      <c r="M57" s="302"/>
      <c r="N57" s="302"/>
      <c r="O57" s="302"/>
      <c r="P57" s="302"/>
      <c r="Q57" s="302"/>
      <c r="R57" s="302"/>
      <c r="S57" s="302"/>
      <c r="T57" s="302"/>
      <c r="U57" s="303" t="str">
        <f t="shared" si="0"/>
        <v/>
      </c>
    </row>
    <row r="58" spans="1:21" ht="15" x14ac:dyDescent="0.2">
      <c r="A58" s="299">
        <v>51</v>
      </c>
      <c r="B58" s="300"/>
      <c r="C58" s="301"/>
      <c r="D58" s="302"/>
      <c r="E58" s="300"/>
      <c r="F58" s="302"/>
      <c r="G58" s="302"/>
      <c r="H58" s="302"/>
      <c r="I58" s="302"/>
      <c r="J58" s="302"/>
      <c r="K58" s="302"/>
      <c r="L58" s="302"/>
      <c r="M58" s="302"/>
      <c r="N58" s="302"/>
      <c r="O58" s="302"/>
      <c r="P58" s="302"/>
      <c r="Q58" s="302"/>
      <c r="R58" s="302"/>
      <c r="S58" s="302"/>
      <c r="T58" s="302"/>
      <c r="U58" s="303" t="str">
        <f t="shared" si="0"/>
        <v/>
      </c>
    </row>
    <row r="59" spans="1:21" ht="15" x14ac:dyDescent="0.2">
      <c r="A59" s="299">
        <v>52</v>
      </c>
      <c r="B59" s="300"/>
      <c r="C59" s="301"/>
      <c r="D59" s="302"/>
      <c r="E59" s="300"/>
      <c r="F59" s="302"/>
      <c r="G59" s="302"/>
      <c r="H59" s="302"/>
      <c r="I59" s="302"/>
      <c r="J59" s="302"/>
      <c r="K59" s="302"/>
      <c r="L59" s="302"/>
      <c r="M59" s="302"/>
      <c r="N59" s="302"/>
      <c r="O59" s="302"/>
      <c r="P59" s="302"/>
      <c r="Q59" s="302"/>
      <c r="R59" s="302"/>
      <c r="S59" s="302"/>
      <c r="T59" s="302"/>
      <c r="U59" s="303" t="str">
        <f t="shared" si="0"/>
        <v/>
      </c>
    </row>
    <row r="60" spans="1:21" ht="15" x14ac:dyDescent="0.2">
      <c r="A60" s="299">
        <v>53</v>
      </c>
      <c r="B60" s="300"/>
      <c r="C60" s="301"/>
      <c r="D60" s="302"/>
      <c r="E60" s="300"/>
      <c r="F60" s="302"/>
      <c r="G60" s="302"/>
      <c r="H60" s="302"/>
      <c r="I60" s="302"/>
      <c r="J60" s="302"/>
      <c r="K60" s="302"/>
      <c r="L60" s="302"/>
      <c r="M60" s="302"/>
      <c r="N60" s="302"/>
      <c r="O60" s="302"/>
      <c r="P60" s="302"/>
      <c r="Q60" s="302"/>
      <c r="R60" s="302"/>
      <c r="S60" s="302"/>
      <c r="T60" s="302"/>
      <c r="U60" s="303" t="str">
        <f t="shared" si="0"/>
        <v/>
      </c>
    </row>
    <row r="61" spans="1:21" ht="15" x14ac:dyDescent="0.2">
      <c r="A61" s="299">
        <v>54</v>
      </c>
      <c r="B61" s="300"/>
      <c r="C61" s="301"/>
      <c r="D61" s="302"/>
      <c r="E61" s="300"/>
      <c r="F61" s="302"/>
      <c r="G61" s="302"/>
      <c r="H61" s="302"/>
      <c r="I61" s="302"/>
      <c r="J61" s="302"/>
      <c r="K61" s="302"/>
      <c r="L61" s="302"/>
      <c r="M61" s="302"/>
      <c r="N61" s="302"/>
      <c r="O61" s="302"/>
      <c r="P61" s="302"/>
      <c r="Q61" s="302"/>
      <c r="R61" s="302"/>
      <c r="S61" s="302"/>
      <c r="T61" s="302"/>
      <c r="U61" s="303" t="str">
        <f t="shared" si="0"/>
        <v/>
      </c>
    </row>
    <row r="62" spans="1:21" ht="15" x14ac:dyDescent="0.2">
      <c r="A62" s="299">
        <v>55</v>
      </c>
      <c r="B62" s="300"/>
      <c r="C62" s="301"/>
      <c r="D62" s="302"/>
      <c r="E62" s="300"/>
      <c r="F62" s="302"/>
      <c r="G62" s="302"/>
      <c r="H62" s="302"/>
      <c r="I62" s="302"/>
      <c r="J62" s="302"/>
      <c r="K62" s="302"/>
      <c r="L62" s="302"/>
      <c r="M62" s="302"/>
      <c r="N62" s="302"/>
      <c r="O62" s="302"/>
      <c r="P62" s="302"/>
      <c r="Q62" s="302"/>
      <c r="R62" s="302"/>
      <c r="S62" s="302"/>
      <c r="T62" s="302"/>
      <c r="U62" s="303" t="str">
        <f t="shared" si="0"/>
        <v/>
      </c>
    </row>
    <row r="63" spans="1:21" ht="15" x14ac:dyDescent="0.2">
      <c r="A63" s="299">
        <v>56</v>
      </c>
      <c r="B63" s="300"/>
      <c r="C63" s="301"/>
      <c r="D63" s="302"/>
      <c r="E63" s="300"/>
      <c r="F63" s="302"/>
      <c r="G63" s="302"/>
      <c r="H63" s="302"/>
      <c r="I63" s="302"/>
      <c r="J63" s="302"/>
      <c r="K63" s="302"/>
      <c r="L63" s="302"/>
      <c r="M63" s="302"/>
      <c r="N63" s="302"/>
      <c r="O63" s="302"/>
      <c r="P63" s="302"/>
      <c r="Q63" s="302"/>
      <c r="R63" s="302"/>
      <c r="S63" s="302"/>
      <c r="T63" s="302"/>
      <c r="U63" s="303" t="str">
        <f t="shared" si="0"/>
        <v/>
      </c>
    </row>
    <row r="64" spans="1:21" ht="15" x14ac:dyDescent="0.2">
      <c r="A64" s="299">
        <v>57</v>
      </c>
      <c r="B64" s="300"/>
      <c r="C64" s="301"/>
      <c r="D64" s="302"/>
      <c r="E64" s="300"/>
      <c r="F64" s="302"/>
      <c r="G64" s="302"/>
      <c r="H64" s="302"/>
      <c r="I64" s="302"/>
      <c r="J64" s="302"/>
      <c r="K64" s="302"/>
      <c r="L64" s="302"/>
      <c r="M64" s="302"/>
      <c r="N64" s="302"/>
      <c r="O64" s="302"/>
      <c r="P64" s="302"/>
      <c r="Q64" s="302"/>
      <c r="R64" s="302"/>
      <c r="S64" s="302"/>
      <c r="T64" s="302"/>
      <c r="U64" s="303" t="str">
        <f t="shared" si="0"/>
        <v/>
      </c>
    </row>
    <row r="65" spans="1:21" ht="15" x14ac:dyDescent="0.2">
      <c r="A65" s="299">
        <v>58</v>
      </c>
      <c r="B65" s="300"/>
      <c r="C65" s="301"/>
      <c r="D65" s="302"/>
      <c r="E65" s="300"/>
      <c r="F65" s="302"/>
      <c r="G65" s="302"/>
      <c r="H65" s="302"/>
      <c r="I65" s="302"/>
      <c r="J65" s="302"/>
      <c r="K65" s="302"/>
      <c r="L65" s="302"/>
      <c r="M65" s="302"/>
      <c r="N65" s="302"/>
      <c r="O65" s="302"/>
      <c r="P65" s="302"/>
      <c r="Q65" s="302"/>
      <c r="R65" s="302"/>
      <c r="S65" s="302"/>
      <c r="T65" s="302"/>
      <c r="U65" s="303" t="str">
        <f t="shared" si="0"/>
        <v/>
      </c>
    </row>
    <row r="66" spans="1:21" ht="15" x14ac:dyDescent="0.2">
      <c r="A66" s="299">
        <v>59</v>
      </c>
      <c r="B66" s="300"/>
      <c r="C66" s="301"/>
      <c r="D66" s="302"/>
      <c r="E66" s="300"/>
      <c r="F66" s="302"/>
      <c r="G66" s="302"/>
      <c r="H66" s="302"/>
      <c r="I66" s="302"/>
      <c r="J66" s="302"/>
      <c r="K66" s="302"/>
      <c r="L66" s="302"/>
      <c r="M66" s="302"/>
      <c r="N66" s="302"/>
      <c r="O66" s="302"/>
      <c r="P66" s="302"/>
      <c r="Q66" s="302"/>
      <c r="R66" s="302"/>
      <c r="S66" s="302"/>
      <c r="T66" s="302"/>
      <c r="U66" s="303" t="str">
        <f t="shared" si="0"/>
        <v/>
      </c>
    </row>
    <row r="67" spans="1:21" ht="15" x14ac:dyDescent="0.2">
      <c r="A67" s="299">
        <v>60</v>
      </c>
      <c r="B67" s="300"/>
      <c r="C67" s="301"/>
      <c r="D67" s="302"/>
      <c r="E67" s="300"/>
      <c r="F67" s="302"/>
      <c r="G67" s="302"/>
      <c r="H67" s="302"/>
      <c r="I67" s="302"/>
      <c r="J67" s="302"/>
      <c r="K67" s="302"/>
      <c r="L67" s="302"/>
      <c r="M67" s="302"/>
      <c r="N67" s="302"/>
      <c r="O67" s="302"/>
      <c r="P67" s="302"/>
      <c r="Q67" s="302"/>
      <c r="R67" s="302"/>
      <c r="S67" s="302"/>
      <c r="T67" s="302"/>
      <c r="U67" s="303" t="str">
        <f t="shared" si="0"/>
        <v/>
      </c>
    </row>
    <row r="68" spans="1:21" ht="15" x14ac:dyDescent="0.2">
      <c r="A68" s="299">
        <v>61</v>
      </c>
      <c r="B68" s="300"/>
      <c r="C68" s="301"/>
      <c r="D68" s="302"/>
      <c r="E68" s="300"/>
      <c r="F68" s="302"/>
      <c r="G68" s="302"/>
      <c r="H68" s="302"/>
      <c r="I68" s="302"/>
      <c r="J68" s="302"/>
      <c r="K68" s="302"/>
      <c r="L68" s="302"/>
      <c r="M68" s="302"/>
      <c r="N68" s="302"/>
      <c r="O68" s="302"/>
      <c r="P68" s="302"/>
      <c r="Q68" s="302"/>
      <c r="R68" s="302"/>
      <c r="S68" s="302"/>
      <c r="T68" s="302"/>
      <c r="U68" s="303" t="str">
        <f t="shared" si="0"/>
        <v/>
      </c>
    </row>
    <row r="69" spans="1:21" ht="15" x14ac:dyDescent="0.2">
      <c r="A69" s="299">
        <v>62</v>
      </c>
      <c r="B69" s="300"/>
      <c r="C69" s="301"/>
      <c r="D69" s="302"/>
      <c r="E69" s="300"/>
      <c r="F69" s="302"/>
      <c r="G69" s="302"/>
      <c r="H69" s="302"/>
      <c r="I69" s="302"/>
      <c r="J69" s="302"/>
      <c r="K69" s="302"/>
      <c r="L69" s="302"/>
      <c r="M69" s="302"/>
      <c r="N69" s="302"/>
      <c r="O69" s="302"/>
      <c r="P69" s="302"/>
      <c r="Q69" s="302"/>
      <c r="R69" s="302"/>
      <c r="S69" s="302"/>
      <c r="T69" s="302"/>
      <c r="U69" s="303" t="str">
        <f t="shared" si="0"/>
        <v/>
      </c>
    </row>
    <row r="70" spans="1:21" ht="15" x14ac:dyDescent="0.2">
      <c r="A70" s="299">
        <v>63</v>
      </c>
      <c r="B70" s="300"/>
      <c r="C70" s="301"/>
      <c r="D70" s="302"/>
      <c r="E70" s="300"/>
      <c r="F70" s="302"/>
      <c r="G70" s="302"/>
      <c r="H70" s="302"/>
      <c r="I70" s="302"/>
      <c r="J70" s="302"/>
      <c r="K70" s="302"/>
      <c r="L70" s="302"/>
      <c r="M70" s="302"/>
      <c r="N70" s="302"/>
      <c r="O70" s="302"/>
      <c r="P70" s="302"/>
      <c r="Q70" s="302"/>
      <c r="R70" s="302"/>
      <c r="S70" s="302"/>
      <c r="T70" s="302"/>
      <c r="U70" s="303" t="str">
        <f t="shared" si="0"/>
        <v/>
      </c>
    </row>
    <row r="71" spans="1:21" ht="15" x14ac:dyDescent="0.2">
      <c r="A71" s="299">
        <v>64</v>
      </c>
      <c r="B71" s="300"/>
      <c r="C71" s="301"/>
      <c r="D71" s="302"/>
      <c r="E71" s="300"/>
      <c r="F71" s="302"/>
      <c r="G71" s="302"/>
      <c r="H71" s="302"/>
      <c r="I71" s="302"/>
      <c r="J71" s="302"/>
      <c r="K71" s="302"/>
      <c r="L71" s="302"/>
      <c r="M71" s="302"/>
      <c r="N71" s="302"/>
      <c r="O71" s="302"/>
      <c r="P71" s="302"/>
      <c r="Q71" s="302"/>
      <c r="R71" s="302"/>
      <c r="S71" s="302"/>
      <c r="T71" s="302"/>
      <c r="U71" s="303" t="str">
        <f t="shared" si="0"/>
        <v/>
      </c>
    </row>
    <row r="72" spans="1:21" ht="15" x14ac:dyDescent="0.2">
      <c r="A72" s="299">
        <v>65</v>
      </c>
      <c r="B72" s="300"/>
      <c r="C72" s="301"/>
      <c r="D72" s="302"/>
      <c r="E72" s="300"/>
      <c r="F72" s="302"/>
      <c r="G72" s="302"/>
      <c r="H72" s="302"/>
      <c r="I72" s="302"/>
      <c r="J72" s="302"/>
      <c r="K72" s="302"/>
      <c r="L72" s="302"/>
      <c r="M72" s="302"/>
      <c r="N72" s="302"/>
      <c r="O72" s="302"/>
      <c r="P72" s="302"/>
      <c r="Q72" s="302"/>
      <c r="R72" s="302"/>
      <c r="S72" s="302"/>
      <c r="T72" s="302"/>
      <c r="U72" s="303" t="str">
        <f t="shared" si="0"/>
        <v/>
      </c>
    </row>
    <row r="73" spans="1:21" ht="15" x14ac:dyDescent="0.2">
      <c r="A73" s="299">
        <v>66</v>
      </c>
      <c r="B73" s="300"/>
      <c r="C73" s="301"/>
      <c r="D73" s="302"/>
      <c r="E73" s="300"/>
      <c r="F73" s="302"/>
      <c r="G73" s="302"/>
      <c r="H73" s="302"/>
      <c r="I73" s="302"/>
      <c r="J73" s="302"/>
      <c r="K73" s="302"/>
      <c r="L73" s="302"/>
      <c r="M73" s="302"/>
      <c r="N73" s="302"/>
      <c r="O73" s="302"/>
      <c r="P73" s="302"/>
      <c r="Q73" s="302"/>
      <c r="R73" s="302"/>
      <c r="S73" s="302"/>
      <c r="T73" s="302"/>
      <c r="U73" s="303" t="str">
        <f t="shared" ref="U73:U107" si="1">IF(COUNTA(B73:S73)=0,"",IF(AND(B73&lt;&gt;"",C73&lt;&gt;"",COUNTA(E73:L73)=8,R73&lt;&gt;"",S73&lt;&gt;"",OR(AND(P73&lt;&gt;"",Q73=""),AND(P73="",Q73&lt;&gt;""))),"x","er"))</f>
        <v/>
      </c>
    </row>
    <row r="74" spans="1:21" ht="15" x14ac:dyDescent="0.2">
      <c r="A74" s="299">
        <v>67</v>
      </c>
      <c r="B74" s="300"/>
      <c r="C74" s="301"/>
      <c r="D74" s="302"/>
      <c r="E74" s="300"/>
      <c r="F74" s="302"/>
      <c r="G74" s="302"/>
      <c r="H74" s="302"/>
      <c r="I74" s="302"/>
      <c r="J74" s="302"/>
      <c r="K74" s="302"/>
      <c r="L74" s="302"/>
      <c r="M74" s="302"/>
      <c r="N74" s="302"/>
      <c r="O74" s="302"/>
      <c r="P74" s="302"/>
      <c r="Q74" s="302"/>
      <c r="R74" s="302"/>
      <c r="S74" s="302"/>
      <c r="T74" s="302"/>
      <c r="U74" s="303" t="str">
        <f t="shared" si="1"/>
        <v/>
      </c>
    </row>
    <row r="75" spans="1:21" ht="15" x14ac:dyDescent="0.2">
      <c r="A75" s="299">
        <v>68</v>
      </c>
      <c r="B75" s="300"/>
      <c r="C75" s="301"/>
      <c r="D75" s="302"/>
      <c r="E75" s="300"/>
      <c r="F75" s="302"/>
      <c r="G75" s="302"/>
      <c r="H75" s="302"/>
      <c r="I75" s="302"/>
      <c r="J75" s="302"/>
      <c r="K75" s="302"/>
      <c r="L75" s="302"/>
      <c r="M75" s="302"/>
      <c r="N75" s="302"/>
      <c r="O75" s="302"/>
      <c r="P75" s="302"/>
      <c r="Q75" s="302"/>
      <c r="R75" s="302"/>
      <c r="S75" s="302"/>
      <c r="T75" s="302"/>
      <c r="U75" s="303" t="str">
        <f t="shared" si="1"/>
        <v/>
      </c>
    </row>
    <row r="76" spans="1:21" ht="15" x14ac:dyDescent="0.2">
      <c r="A76" s="299">
        <v>69</v>
      </c>
      <c r="B76" s="300"/>
      <c r="C76" s="301"/>
      <c r="D76" s="302"/>
      <c r="E76" s="300"/>
      <c r="F76" s="302"/>
      <c r="G76" s="302"/>
      <c r="H76" s="302"/>
      <c r="I76" s="302"/>
      <c r="J76" s="302"/>
      <c r="K76" s="302"/>
      <c r="L76" s="302"/>
      <c r="M76" s="302"/>
      <c r="N76" s="302"/>
      <c r="O76" s="302"/>
      <c r="P76" s="302"/>
      <c r="Q76" s="302"/>
      <c r="R76" s="302"/>
      <c r="S76" s="302"/>
      <c r="T76" s="302"/>
      <c r="U76" s="303" t="str">
        <f t="shared" si="1"/>
        <v/>
      </c>
    </row>
    <row r="77" spans="1:21" ht="15" x14ac:dyDescent="0.2">
      <c r="A77" s="299">
        <v>70</v>
      </c>
      <c r="B77" s="300"/>
      <c r="C77" s="301"/>
      <c r="D77" s="302"/>
      <c r="E77" s="300"/>
      <c r="F77" s="302"/>
      <c r="G77" s="302"/>
      <c r="H77" s="302"/>
      <c r="I77" s="302"/>
      <c r="J77" s="302"/>
      <c r="K77" s="302"/>
      <c r="L77" s="302"/>
      <c r="M77" s="302"/>
      <c r="N77" s="302"/>
      <c r="O77" s="302"/>
      <c r="P77" s="302"/>
      <c r="Q77" s="302"/>
      <c r="R77" s="302"/>
      <c r="S77" s="302"/>
      <c r="T77" s="302"/>
      <c r="U77" s="303" t="str">
        <f t="shared" si="1"/>
        <v/>
      </c>
    </row>
    <row r="78" spans="1:21" ht="15" x14ac:dyDescent="0.2">
      <c r="A78" s="299">
        <v>71</v>
      </c>
      <c r="B78" s="300"/>
      <c r="C78" s="301"/>
      <c r="D78" s="302"/>
      <c r="E78" s="300"/>
      <c r="F78" s="302"/>
      <c r="G78" s="302"/>
      <c r="H78" s="302"/>
      <c r="I78" s="302"/>
      <c r="J78" s="302"/>
      <c r="K78" s="302"/>
      <c r="L78" s="302"/>
      <c r="M78" s="302"/>
      <c r="N78" s="302"/>
      <c r="O78" s="302"/>
      <c r="P78" s="302"/>
      <c r="Q78" s="302"/>
      <c r="R78" s="302"/>
      <c r="S78" s="302"/>
      <c r="T78" s="302"/>
      <c r="U78" s="303" t="str">
        <f t="shared" si="1"/>
        <v/>
      </c>
    </row>
    <row r="79" spans="1:21" ht="15" x14ac:dyDescent="0.2">
      <c r="A79" s="299">
        <v>72</v>
      </c>
      <c r="B79" s="300"/>
      <c r="C79" s="301"/>
      <c r="D79" s="302"/>
      <c r="E79" s="300"/>
      <c r="F79" s="302"/>
      <c r="G79" s="302"/>
      <c r="H79" s="302"/>
      <c r="I79" s="302"/>
      <c r="J79" s="302"/>
      <c r="K79" s="302"/>
      <c r="L79" s="302"/>
      <c r="M79" s="302"/>
      <c r="N79" s="302"/>
      <c r="O79" s="302"/>
      <c r="P79" s="302"/>
      <c r="Q79" s="302"/>
      <c r="R79" s="302"/>
      <c r="S79" s="302"/>
      <c r="T79" s="302"/>
      <c r="U79" s="303" t="str">
        <f t="shared" si="1"/>
        <v/>
      </c>
    </row>
    <row r="80" spans="1:21" ht="15" x14ac:dyDescent="0.2">
      <c r="A80" s="299">
        <v>73</v>
      </c>
      <c r="B80" s="300"/>
      <c r="C80" s="301"/>
      <c r="D80" s="302"/>
      <c r="E80" s="300"/>
      <c r="F80" s="302"/>
      <c r="G80" s="302"/>
      <c r="H80" s="302"/>
      <c r="I80" s="302"/>
      <c r="J80" s="302"/>
      <c r="K80" s="302"/>
      <c r="L80" s="302"/>
      <c r="M80" s="302"/>
      <c r="N80" s="302"/>
      <c r="O80" s="302"/>
      <c r="P80" s="302"/>
      <c r="Q80" s="302"/>
      <c r="R80" s="302"/>
      <c r="S80" s="302"/>
      <c r="T80" s="302"/>
      <c r="U80" s="303" t="str">
        <f t="shared" si="1"/>
        <v/>
      </c>
    </row>
    <row r="81" spans="1:21" ht="15" x14ac:dyDescent="0.2">
      <c r="A81" s="299">
        <v>74</v>
      </c>
      <c r="B81" s="300"/>
      <c r="C81" s="301"/>
      <c r="D81" s="302"/>
      <c r="E81" s="300"/>
      <c r="F81" s="302"/>
      <c r="G81" s="302"/>
      <c r="H81" s="302"/>
      <c r="I81" s="302"/>
      <c r="J81" s="302"/>
      <c r="K81" s="302"/>
      <c r="L81" s="302"/>
      <c r="M81" s="302"/>
      <c r="N81" s="302"/>
      <c r="O81" s="302"/>
      <c r="P81" s="302"/>
      <c r="Q81" s="302"/>
      <c r="R81" s="302"/>
      <c r="S81" s="302"/>
      <c r="T81" s="302"/>
      <c r="U81" s="303" t="str">
        <f t="shared" si="1"/>
        <v/>
      </c>
    </row>
    <row r="82" spans="1:21" ht="15" x14ac:dyDescent="0.2">
      <c r="A82" s="299">
        <v>75</v>
      </c>
      <c r="B82" s="300"/>
      <c r="C82" s="301"/>
      <c r="D82" s="302"/>
      <c r="E82" s="300"/>
      <c r="F82" s="302"/>
      <c r="G82" s="302"/>
      <c r="H82" s="302"/>
      <c r="I82" s="302"/>
      <c r="J82" s="302"/>
      <c r="K82" s="302"/>
      <c r="L82" s="302"/>
      <c r="M82" s="302"/>
      <c r="N82" s="302"/>
      <c r="O82" s="302"/>
      <c r="P82" s="302"/>
      <c r="Q82" s="302"/>
      <c r="R82" s="302"/>
      <c r="S82" s="302"/>
      <c r="T82" s="302"/>
      <c r="U82" s="303" t="str">
        <f t="shared" si="1"/>
        <v/>
      </c>
    </row>
    <row r="83" spans="1:21" ht="15" x14ac:dyDescent="0.2">
      <c r="A83" s="299">
        <v>76</v>
      </c>
      <c r="B83" s="300"/>
      <c r="C83" s="301"/>
      <c r="D83" s="302"/>
      <c r="E83" s="300"/>
      <c r="F83" s="302"/>
      <c r="G83" s="302"/>
      <c r="H83" s="302"/>
      <c r="I83" s="302"/>
      <c r="J83" s="302"/>
      <c r="K83" s="302"/>
      <c r="L83" s="302"/>
      <c r="M83" s="302"/>
      <c r="N83" s="302"/>
      <c r="O83" s="302"/>
      <c r="P83" s="302"/>
      <c r="Q83" s="302"/>
      <c r="R83" s="302"/>
      <c r="S83" s="302"/>
      <c r="T83" s="302"/>
      <c r="U83" s="303" t="str">
        <f t="shared" si="1"/>
        <v/>
      </c>
    </row>
    <row r="84" spans="1:21" ht="15" x14ac:dyDescent="0.2">
      <c r="A84" s="299">
        <v>77</v>
      </c>
      <c r="B84" s="300"/>
      <c r="C84" s="301"/>
      <c r="D84" s="302"/>
      <c r="E84" s="300"/>
      <c r="F84" s="302"/>
      <c r="G84" s="302"/>
      <c r="H84" s="302"/>
      <c r="I84" s="302"/>
      <c r="J84" s="302"/>
      <c r="K84" s="302"/>
      <c r="L84" s="302"/>
      <c r="M84" s="302"/>
      <c r="N84" s="302"/>
      <c r="O84" s="302"/>
      <c r="P84" s="302"/>
      <c r="Q84" s="302"/>
      <c r="R84" s="302"/>
      <c r="S84" s="302"/>
      <c r="T84" s="302"/>
      <c r="U84" s="303" t="str">
        <f t="shared" si="1"/>
        <v/>
      </c>
    </row>
    <row r="85" spans="1:21" ht="15" x14ac:dyDescent="0.2">
      <c r="A85" s="299">
        <v>78</v>
      </c>
      <c r="B85" s="300"/>
      <c r="C85" s="301"/>
      <c r="D85" s="302"/>
      <c r="E85" s="300"/>
      <c r="F85" s="302"/>
      <c r="G85" s="302"/>
      <c r="H85" s="302"/>
      <c r="I85" s="302"/>
      <c r="J85" s="302"/>
      <c r="K85" s="302"/>
      <c r="L85" s="302"/>
      <c r="M85" s="302"/>
      <c r="N85" s="302"/>
      <c r="O85" s="302"/>
      <c r="P85" s="302"/>
      <c r="Q85" s="302"/>
      <c r="R85" s="302"/>
      <c r="S85" s="302"/>
      <c r="T85" s="302"/>
      <c r="U85" s="303" t="str">
        <f t="shared" si="1"/>
        <v/>
      </c>
    </row>
    <row r="86" spans="1:21" ht="15" x14ac:dyDescent="0.2">
      <c r="A86" s="299">
        <v>79</v>
      </c>
      <c r="B86" s="300"/>
      <c r="C86" s="301"/>
      <c r="D86" s="302"/>
      <c r="E86" s="300"/>
      <c r="F86" s="302"/>
      <c r="G86" s="302"/>
      <c r="H86" s="302"/>
      <c r="I86" s="302"/>
      <c r="J86" s="302"/>
      <c r="K86" s="302"/>
      <c r="L86" s="302"/>
      <c r="M86" s="302"/>
      <c r="N86" s="302"/>
      <c r="O86" s="302"/>
      <c r="P86" s="302"/>
      <c r="Q86" s="302"/>
      <c r="R86" s="302"/>
      <c r="S86" s="302"/>
      <c r="T86" s="302"/>
      <c r="U86" s="303" t="str">
        <f t="shared" si="1"/>
        <v/>
      </c>
    </row>
    <row r="87" spans="1:21" ht="15" x14ac:dyDescent="0.2">
      <c r="A87" s="299">
        <v>80</v>
      </c>
      <c r="B87" s="300"/>
      <c r="C87" s="301"/>
      <c r="D87" s="302"/>
      <c r="E87" s="300"/>
      <c r="F87" s="302"/>
      <c r="G87" s="302"/>
      <c r="H87" s="302"/>
      <c r="I87" s="302"/>
      <c r="J87" s="302"/>
      <c r="K87" s="302"/>
      <c r="L87" s="302"/>
      <c r="M87" s="302"/>
      <c r="N87" s="302"/>
      <c r="O87" s="302"/>
      <c r="P87" s="302"/>
      <c r="Q87" s="302"/>
      <c r="R87" s="302"/>
      <c r="S87" s="302"/>
      <c r="T87" s="302"/>
      <c r="U87" s="303" t="str">
        <f t="shared" si="1"/>
        <v/>
      </c>
    </row>
    <row r="88" spans="1:21" ht="15" x14ac:dyDescent="0.2">
      <c r="A88" s="299">
        <v>81</v>
      </c>
      <c r="B88" s="300"/>
      <c r="C88" s="301"/>
      <c r="D88" s="302"/>
      <c r="E88" s="300"/>
      <c r="F88" s="302"/>
      <c r="G88" s="302"/>
      <c r="H88" s="302"/>
      <c r="I88" s="302"/>
      <c r="J88" s="302"/>
      <c r="K88" s="302"/>
      <c r="L88" s="302"/>
      <c r="M88" s="302"/>
      <c r="N88" s="302"/>
      <c r="O88" s="302"/>
      <c r="P88" s="302"/>
      <c r="Q88" s="302"/>
      <c r="R88" s="302"/>
      <c r="S88" s="302"/>
      <c r="T88" s="302"/>
      <c r="U88" s="303" t="str">
        <f t="shared" si="1"/>
        <v/>
      </c>
    </row>
    <row r="89" spans="1:21" ht="15" x14ac:dyDescent="0.2">
      <c r="A89" s="299">
        <v>82</v>
      </c>
      <c r="B89" s="300"/>
      <c r="C89" s="301"/>
      <c r="D89" s="302"/>
      <c r="E89" s="300"/>
      <c r="F89" s="302"/>
      <c r="G89" s="302"/>
      <c r="H89" s="302"/>
      <c r="I89" s="302"/>
      <c r="J89" s="302"/>
      <c r="K89" s="302"/>
      <c r="L89" s="302"/>
      <c r="M89" s="302"/>
      <c r="N89" s="302"/>
      <c r="O89" s="302"/>
      <c r="P89" s="302"/>
      <c r="Q89" s="302"/>
      <c r="R89" s="302"/>
      <c r="S89" s="302"/>
      <c r="T89" s="302"/>
      <c r="U89" s="303" t="str">
        <f t="shared" si="1"/>
        <v/>
      </c>
    </row>
    <row r="90" spans="1:21" ht="15" x14ac:dyDescent="0.2">
      <c r="A90" s="299">
        <v>83</v>
      </c>
      <c r="B90" s="300"/>
      <c r="C90" s="301"/>
      <c r="D90" s="302"/>
      <c r="E90" s="300"/>
      <c r="F90" s="302"/>
      <c r="G90" s="302"/>
      <c r="H90" s="302"/>
      <c r="I90" s="302"/>
      <c r="J90" s="302"/>
      <c r="K90" s="302"/>
      <c r="L90" s="302"/>
      <c r="M90" s="302"/>
      <c r="N90" s="302"/>
      <c r="O90" s="302"/>
      <c r="P90" s="302"/>
      <c r="Q90" s="302"/>
      <c r="R90" s="302"/>
      <c r="S90" s="302"/>
      <c r="T90" s="302"/>
      <c r="U90" s="303" t="str">
        <f t="shared" si="1"/>
        <v/>
      </c>
    </row>
    <row r="91" spans="1:21" ht="15" x14ac:dyDescent="0.2">
      <c r="A91" s="299">
        <v>84</v>
      </c>
      <c r="B91" s="300"/>
      <c r="C91" s="301"/>
      <c r="D91" s="302"/>
      <c r="E91" s="300"/>
      <c r="F91" s="302"/>
      <c r="G91" s="302"/>
      <c r="H91" s="302"/>
      <c r="I91" s="302"/>
      <c r="J91" s="302"/>
      <c r="K91" s="302"/>
      <c r="L91" s="302"/>
      <c r="M91" s="302"/>
      <c r="N91" s="302"/>
      <c r="O91" s="302"/>
      <c r="P91" s="302"/>
      <c r="Q91" s="302"/>
      <c r="R91" s="302"/>
      <c r="S91" s="302"/>
      <c r="T91" s="302"/>
      <c r="U91" s="303" t="str">
        <f t="shared" si="1"/>
        <v/>
      </c>
    </row>
    <row r="92" spans="1:21" ht="15" x14ac:dyDescent="0.2">
      <c r="A92" s="299">
        <v>85</v>
      </c>
      <c r="B92" s="300"/>
      <c r="C92" s="301"/>
      <c r="D92" s="302"/>
      <c r="E92" s="300"/>
      <c r="F92" s="302"/>
      <c r="G92" s="302"/>
      <c r="H92" s="302"/>
      <c r="I92" s="302"/>
      <c r="J92" s="302"/>
      <c r="K92" s="302"/>
      <c r="L92" s="302"/>
      <c r="M92" s="302"/>
      <c r="N92" s="302"/>
      <c r="O92" s="302"/>
      <c r="P92" s="302"/>
      <c r="Q92" s="302"/>
      <c r="R92" s="302"/>
      <c r="S92" s="302"/>
      <c r="T92" s="302"/>
      <c r="U92" s="303" t="str">
        <f t="shared" si="1"/>
        <v/>
      </c>
    </row>
    <row r="93" spans="1:21" ht="15" x14ac:dyDescent="0.2">
      <c r="A93" s="299">
        <v>86</v>
      </c>
      <c r="B93" s="300"/>
      <c r="C93" s="301"/>
      <c r="D93" s="302"/>
      <c r="E93" s="300"/>
      <c r="F93" s="302"/>
      <c r="G93" s="302"/>
      <c r="H93" s="302"/>
      <c r="I93" s="302"/>
      <c r="J93" s="302"/>
      <c r="K93" s="302"/>
      <c r="L93" s="302"/>
      <c r="M93" s="302"/>
      <c r="N93" s="302"/>
      <c r="O93" s="302"/>
      <c r="P93" s="302"/>
      <c r="Q93" s="302"/>
      <c r="R93" s="302"/>
      <c r="S93" s="302"/>
      <c r="T93" s="302"/>
      <c r="U93" s="303" t="str">
        <f t="shared" si="1"/>
        <v/>
      </c>
    </row>
    <row r="94" spans="1:21" ht="15" x14ac:dyDescent="0.2">
      <c r="A94" s="299">
        <v>87</v>
      </c>
      <c r="B94" s="300"/>
      <c r="C94" s="301"/>
      <c r="D94" s="302"/>
      <c r="E94" s="300"/>
      <c r="F94" s="302"/>
      <c r="G94" s="302"/>
      <c r="H94" s="302"/>
      <c r="I94" s="302"/>
      <c r="J94" s="302"/>
      <c r="K94" s="302"/>
      <c r="L94" s="302"/>
      <c r="M94" s="302"/>
      <c r="N94" s="302"/>
      <c r="O94" s="302"/>
      <c r="P94" s="302"/>
      <c r="Q94" s="302"/>
      <c r="R94" s="302"/>
      <c r="S94" s="302"/>
      <c r="T94" s="302"/>
      <c r="U94" s="303" t="str">
        <f t="shared" si="1"/>
        <v/>
      </c>
    </row>
    <row r="95" spans="1:21" ht="15" x14ac:dyDescent="0.2">
      <c r="A95" s="299">
        <v>88</v>
      </c>
      <c r="B95" s="300"/>
      <c r="C95" s="301"/>
      <c r="D95" s="302"/>
      <c r="E95" s="300"/>
      <c r="F95" s="302"/>
      <c r="G95" s="302"/>
      <c r="H95" s="302"/>
      <c r="I95" s="302"/>
      <c r="J95" s="302"/>
      <c r="K95" s="302"/>
      <c r="L95" s="302"/>
      <c r="M95" s="302"/>
      <c r="N95" s="302"/>
      <c r="O95" s="302"/>
      <c r="P95" s="302"/>
      <c r="Q95" s="302"/>
      <c r="R95" s="302"/>
      <c r="S95" s="302"/>
      <c r="T95" s="302"/>
      <c r="U95" s="303" t="str">
        <f t="shared" si="1"/>
        <v/>
      </c>
    </row>
    <row r="96" spans="1:21" ht="15" x14ac:dyDescent="0.2">
      <c r="A96" s="299">
        <v>89</v>
      </c>
      <c r="B96" s="300"/>
      <c r="C96" s="301"/>
      <c r="D96" s="302"/>
      <c r="E96" s="300"/>
      <c r="F96" s="302"/>
      <c r="G96" s="302"/>
      <c r="H96" s="302"/>
      <c r="I96" s="302"/>
      <c r="J96" s="302"/>
      <c r="K96" s="302"/>
      <c r="L96" s="302"/>
      <c r="M96" s="302"/>
      <c r="N96" s="302"/>
      <c r="O96" s="302"/>
      <c r="P96" s="302"/>
      <c r="Q96" s="302"/>
      <c r="R96" s="302"/>
      <c r="S96" s="302"/>
      <c r="T96" s="302"/>
      <c r="U96" s="303" t="str">
        <f t="shared" si="1"/>
        <v/>
      </c>
    </row>
    <row r="97" spans="1:21" ht="15" x14ac:dyDescent="0.2">
      <c r="A97" s="299">
        <v>90</v>
      </c>
      <c r="B97" s="300"/>
      <c r="C97" s="301"/>
      <c r="D97" s="302"/>
      <c r="E97" s="300"/>
      <c r="F97" s="302"/>
      <c r="G97" s="302"/>
      <c r="H97" s="302"/>
      <c r="I97" s="302"/>
      <c r="J97" s="302"/>
      <c r="K97" s="302"/>
      <c r="L97" s="302"/>
      <c r="M97" s="302"/>
      <c r="N97" s="302"/>
      <c r="O97" s="302"/>
      <c r="P97" s="302"/>
      <c r="Q97" s="302"/>
      <c r="R97" s="302"/>
      <c r="S97" s="302"/>
      <c r="T97" s="302"/>
      <c r="U97" s="303" t="str">
        <f t="shared" si="1"/>
        <v/>
      </c>
    </row>
    <row r="98" spans="1:21" ht="15" x14ac:dyDescent="0.2">
      <c r="A98" s="299">
        <v>91</v>
      </c>
      <c r="B98" s="300"/>
      <c r="C98" s="301"/>
      <c r="D98" s="302"/>
      <c r="E98" s="300"/>
      <c r="F98" s="302"/>
      <c r="G98" s="302"/>
      <c r="H98" s="302"/>
      <c r="I98" s="302"/>
      <c r="J98" s="302"/>
      <c r="K98" s="302"/>
      <c r="L98" s="302"/>
      <c r="M98" s="302"/>
      <c r="N98" s="302"/>
      <c r="O98" s="302"/>
      <c r="P98" s="302"/>
      <c r="Q98" s="302"/>
      <c r="R98" s="302"/>
      <c r="S98" s="302"/>
      <c r="T98" s="302"/>
      <c r="U98" s="303" t="str">
        <f t="shared" si="1"/>
        <v/>
      </c>
    </row>
    <row r="99" spans="1:21" ht="15" x14ac:dyDescent="0.2">
      <c r="A99" s="299">
        <v>92</v>
      </c>
      <c r="B99" s="300"/>
      <c r="C99" s="301"/>
      <c r="D99" s="302"/>
      <c r="E99" s="300"/>
      <c r="F99" s="302"/>
      <c r="G99" s="302"/>
      <c r="H99" s="302"/>
      <c r="I99" s="302"/>
      <c r="J99" s="302"/>
      <c r="K99" s="302"/>
      <c r="L99" s="302"/>
      <c r="M99" s="302"/>
      <c r="N99" s="302"/>
      <c r="O99" s="302"/>
      <c r="P99" s="302"/>
      <c r="Q99" s="302"/>
      <c r="R99" s="302"/>
      <c r="S99" s="302"/>
      <c r="T99" s="302"/>
      <c r="U99" s="303" t="str">
        <f t="shared" si="1"/>
        <v/>
      </c>
    </row>
    <row r="100" spans="1:21" ht="15" x14ac:dyDescent="0.2">
      <c r="A100" s="299">
        <v>93</v>
      </c>
      <c r="B100" s="300"/>
      <c r="C100" s="301"/>
      <c r="D100" s="302"/>
      <c r="E100" s="300"/>
      <c r="F100" s="302"/>
      <c r="G100" s="302"/>
      <c r="H100" s="302"/>
      <c r="I100" s="302"/>
      <c r="J100" s="302"/>
      <c r="K100" s="302"/>
      <c r="L100" s="302"/>
      <c r="M100" s="302"/>
      <c r="N100" s="302"/>
      <c r="O100" s="302"/>
      <c r="P100" s="302"/>
      <c r="Q100" s="302"/>
      <c r="R100" s="302"/>
      <c r="S100" s="302"/>
      <c r="T100" s="302"/>
      <c r="U100" s="303" t="str">
        <f t="shared" si="1"/>
        <v/>
      </c>
    </row>
    <row r="101" spans="1:21" ht="15" x14ac:dyDescent="0.2">
      <c r="A101" s="299">
        <v>94</v>
      </c>
      <c r="B101" s="300"/>
      <c r="C101" s="301"/>
      <c r="D101" s="302"/>
      <c r="E101" s="300"/>
      <c r="F101" s="302"/>
      <c r="G101" s="302"/>
      <c r="H101" s="302"/>
      <c r="I101" s="302"/>
      <c r="J101" s="302"/>
      <c r="K101" s="302"/>
      <c r="L101" s="302"/>
      <c r="M101" s="302"/>
      <c r="N101" s="302"/>
      <c r="O101" s="302"/>
      <c r="P101" s="302"/>
      <c r="Q101" s="302"/>
      <c r="R101" s="302"/>
      <c r="S101" s="302"/>
      <c r="T101" s="302"/>
      <c r="U101" s="303" t="str">
        <f t="shared" si="1"/>
        <v/>
      </c>
    </row>
    <row r="102" spans="1:21" ht="15" x14ac:dyDescent="0.2">
      <c r="A102" s="299">
        <v>95</v>
      </c>
      <c r="B102" s="300"/>
      <c r="C102" s="301"/>
      <c r="D102" s="302"/>
      <c r="E102" s="300"/>
      <c r="F102" s="302"/>
      <c r="G102" s="302"/>
      <c r="H102" s="302"/>
      <c r="I102" s="302"/>
      <c r="J102" s="302"/>
      <c r="K102" s="302"/>
      <c r="L102" s="302"/>
      <c r="M102" s="302"/>
      <c r="N102" s="302"/>
      <c r="O102" s="302"/>
      <c r="P102" s="302"/>
      <c r="Q102" s="302"/>
      <c r="R102" s="302"/>
      <c r="S102" s="302"/>
      <c r="T102" s="302"/>
      <c r="U102" s="303" t="str">
        <f t="shared" si="1"/>
        <v/>
      </c>
    </row>
    <row r="103" spans="1:21" ht="15" x14ac:dyDescent="0.2">
      <c r="A103" s="299">
        <v>96</v>
      </c>
      <c r="B103" s="300"/>
      <c r="C103" s="301"/>
      <c r="D103" s="302"/>
      <c r="E103" s="300"/>
      <c r="F103" s="302"/>
      <c r="G103" s="302"/>
      <c r="H103" s="302"/>
      <c r="I103" s="302"/>
      <c r="J103" s="302"/>
      <c r="K103" s="302"/>
      <c r="L103" s="302"/>
      <c r="M103" s="302"/>
      <c r="N103" s="302"/>
      <c r="O103" s="302"/>
      <c r="P103" s="302"/>
      <c r="Q103" s="302"/>
      <c r="R103" s="302"/>
      <c r="S103" s="302"/>
      <c r="T103" s="302"/>
      <c r="U103" s="303" t="str">
        <f t="shared" si="1"/>
        <v/>
      </c>
    </row>
    <row r="104" spans="1:21" ht="15" x14ac:dyDescent="0.2">
      <c r="A104" s="299">
        <v>97</v>
      </c>
      <c r="B104" s="300"/>
      <c r="C104" s="301"/>
      <c r="D104" s="302"/>
      <c r="E104" s="300"/>
      <c r="F104" s="302"/>
      <c r="G104" s="302"/>
      <c r="H104" s="302"/>
      <c r="I104" s="302"/>
      <c r="J104" s="302"/>
      <c r="K104" s="302"/>
      <c r="L104" s="302"/>
      <c r="M104" s="302"/>
      <c r="N104" s="302"/>
      <c r="O104" s="302"/>
      <c r="P104" s="302"/>
      <c r="Q104" s="302"/>
      <c r="R104" s="302"/>
      <c r="S104" s="302"/>
      <c r="T104" s="302"/>
      <c r="U104" s="303" t="str">
        <f t="shared" si="1"/>
        <v/>
      </c>
    </row>
    <row r="105" spans="1:21" ht="15" x14ac:dyDescent="0.2">
      <c r="A105" s="299">
        <v>98</v>
      </c>
      <c r="B105" s="300"/>
      <c r="C105" s="301"/>
      <c r="D105" s="302"/>
      <c r="E105" s="300"/>
      <c r="F105" s="302"/>
      <c r="G105" s="302"/>
      <c r="H105" s="302"/>
      <c r="I105" s="302"/>
      <c r="J105" s="302"/>
      <c r="K105" s="302"/>
      <c r="L105" s="302"/>
      <c r="M105" s="302"/>
      <c r="N105" s="302"/>
      <c r="O105" s="302"/>
      <c r="P105" s="302"/>
      <c r="Q105" s="302"/>
      <c r="R105" s="302"/>
      <c r="S105" s="302"/>
      <c r="T105" s="302"/>
      <c r="U105" s="303" t="str">
        <f t="shared" si="1"/>
        <v/>
      </c>
    </row>
    <row r="106" spans="1:21" ht="15" x14ac:dyDescent="0.2">
      <c r="A106" s="299">
        <v>99</v>
      </c>
      <c r="B106" s="300"/>
      <c r="C106" s="301"/>
      <c r="D106" s="302"/>
      <c r="E106" s="300"/>
      <c r="F106" s="302"/>
      <c r="G106" s="302"/>
      <c r="H106" s="302"/>
      <c r="I106" s="302"/>
      <c r="J106" s="302"/>
      <c r="K106" s="302"/>
      <c r="L106" s="302"/>
      <c r="M106" s="302"/>
      <c r="N106" s="302"/>
      <c r="O106" s="302"/>
      <c r="P106" s="302"/>
      <c r="Q106" s="302"/>
      <c r="R106" s="302"/>
      <c r="S106" s="302"/>
      <c r="T106" s="302"/>
      <c r="U106" s="303" t="str">
        <f t="shared" si="1"/>
        <v/>
      </c>
    </row>
    <row r="107" spans="1:21" ht="15" x14ac:dyDescent="0.2">
      <c r="A107" s="299">
        <v>100</v>
      </c>
      <c r="B107" s="300"/>
      <c r="C107" s="301"/>
      <c r="D107" s="302"/>
      <c r="E107" s="300"/>
      <c r="F107" s="302"/>
      <c r="G107" s="302"/>
      <c r="H107" s="302"/>
      <c r="I107" s="302"/>
      <c r="J107" s="302"/>
      <c r="K107" s="302"/>
      <c r="L107" s="302"/>
      <c r="M107" s="302"/>
      <c r="N107" s="302"/>
      <c r="O107" s="302"/>
      <c r="P107" s="302"/>
      <c r="Q107" s="302"/>
      <c r="R107" s="302"/>
      <c r="S107" s="302"/>
      <c r="T107" s="302"/>
      <c r="U107" s="303" t="str">
        <f t="shared" si="1"/>
        <v/>
      </c>
    </row>
    <row r="108" spans="1:21" x14ac:dyDescent="0.2">
      <c r="A108" s="285"/>
      <c r="B108" s="290"/>
      <c r="C108" s="304"/>
      <c r="D108" s="285"/>
      <c r="E108" s="290"/>
      <c r="F108" s="285"/>
      <c r="G108" s="285"/>
      <c r="H108" s="285"/>
      <c r="I108" s="285"/>
      <c r="J108" s="285"/>
      <c r="K108" s="285"/>
      <c r="L108" s="285"/>
      <c r="M108" s="285"/>
      <c r="N108" s="285"/>
      <c r="O108" s="285"/>
      <c r="P108" s="285"/>
      <c r="Q108" s="285"/>
      <c r="R108" s="285"/>
      <c r="S108" s="285"/>
      <c r="T108" s="285"/>
    </row>
    <row r="109" spans="1:21" ht="18.75" x14ac:dyDescent="0.3">
      <c r="A109" s="288"/>
      <c r="B109" s="305"/>
      <c r="C109" s="289"/>
      <c r="D109" s="288"/>
      <c r="E109" s="305"/>
      <c r="F109" s="288"/>
      <c r="G109" s="288"/>
      <c r="H109" s="288"/>
      <c r="I109" s="288"/>
      <c r="J109" s="288"/>
      <c r="K109" s="288"/>
      <c r="L109" s="311" t="str">
        <f>Chinh!L34</f>
        <v>Cam ….., ngày ... tháng ... năm 202…</v>
      </c>
      <c r="M109" s="288"/>
      <c r="N109" s="288"/>
      <c r="O109" s="288"/>
      <c r="P109" s="288"/>
      <c r="Q109" s="288"/>
      <c r="R109" s="288"/>
      <c r="S109" s="288"/>
      <c r="T109" s="288"/>
    </row>
    <row r="110" spans="1:21" ht="18" x14ac:dyDescent="0.25">
      <c r="A110" s="306"/>
      <c r="B110" s="307"/>
      <c r="C110" s="308"/>
      <c r="D110" s="306"/>
      <c r="E110" s="307"/>
      <c r="F110" s="306"/>
      <c r="G110" s="306"/>
      <c r="H110" s="306"/>
      <c r="I110" s="306"/>
      <c r="J110" s="306"/>
      <c r="K110" s="306"/>
      <c r="L110" s="306"/>
      <c r="M110" s="306"/>
      <c r="N110" s="306"/>
      <c r="O110" s="306"/>
      <c r="P110" s="306"/>
      <c r="Q110" s="306"/>
      <c r="R110" s="306"/>
      <c r="S110" s="306"/>
      <c r="T110" s="306"/>
    </row>
    <row r="111" spans="1:21" ht="18" x14ac:dyDescent="0.25">
      <c r="A111" s="306"/>
      <c r="B111" s="307"/>
      <c r="C111" s="308"/>
      <c r="D111" s="306"/>
      <c r="E111" s="307"/>
      <c r="F111" s="306"/>
      <c r="G111" s="306"/>
      <c r="H111" s="306"/>
      <c r="I111" s="306"/>
      <c r="J111" s="306"/>
      <c r="K111" s="306"/>
      <c r="L111" s="306"/>
      <c r="M111" s="306"/>
      <c r="N111" s="306"/>
      <c r="O111" s="306"/>
      <c r="P111" s="306"/>
      <c r="Q111" s="306"/>
      <c r="R111" s="306"/>
      <c r="S111" s="306"/>
      <c r="T111" s="306"/>
    </row>
    <row r="112" spans="1:21" ht="18" x14ac:dyDescent="0.25">
      <c r="A112" s="306"/>
      <c r="B112" s="307"/>
      <c r="C112" s="308"/>
      <c r="D112" s="306"/>
      <c r="E112" s="307"/>
      <c r="F112" s="306"/>
      <c r="G112" s="306"/>
      <c r="H112" s="306"/>
      <c r="I112" s="306"/>
      <c r="J112" s="306"/>
      <c r="K112" s="306"/>
      <c r="L112" s="306"/>
      <c r="M112" s="306"/>
      <c r="N112" s="306"/>
      <c r="O112" s="306"/>
      <c r="P112" s="306"/>
      <c r="Q112" s="306"/>
      <c r="R112" s="306"/>
      <c r="S112" s="306"/>
      <c r="T112" s="306"/>
    </row>
    <row r="113" spans="1:20" s="286" customFormat="1" ht="18" x14ac:dyDescent="0.25">
      <c r="A113" s="306"/>
      <c r="B113" s="307"/>
      <c r="C113" s="308"/>
      <c r="D113" s="306"/>
      <c r="E113" s="307"/>
      <c r="F113" s="306"/>
      <c r="G113" s="306"/>
      <c r="H113" s="306"/>
      <c r="I113" s="306"/>
      <c r="J113" s="306"/>
      <c r="K113" s="306"/>
      <c r="L113" s="306"/>
      <c r="M113" s="306"/>
      <c r="N113" s="306"/>
      <c r="O113" s="306"/>
      <c r="P113" s="306"/>
      <c r="Q113" s="306"/>
      <c r="R113" s="306"/>
      <c r="S113" s="306"/>
      <c r="T113" s="306"/>
    </row>
    <row r="114" spans="1:20" s="286" customFormat="1" ht="18" x14ac:dyDescent="0.25">
      <c r="A114" s="306"/>
      <c r="B114" s="307"/>
      <c r="C114" s="308"/>
      <c r="D114" s="306"/>
      <c r="E114" s="307"/>
      <c r="F114" s="306"/>
      <c r="G114" s="306"/>
      <c r="H114" s="306"/>
      <c r="I114" s="306"/>
      <c r="J114" s="306"/>
      <c r="K114" s="306"/>
      <c r="L114" s="306"/>
      <c r="M114" s="306"/>
      <c r="N114" s="306"/>
      <c r="O114" s="306"/>
      <c r="P114" s="306"/>
      <c r="Q114" s="306"/>
      <c r="R114" s="306"/>
      <c r="S114" s="306"/>
      <c r="T114" s="306"/>
    </row>
    <row r="115" spans="1:20" s="286" customFormat="1" ht="18" x14ac:dyDescent="0.25">
      <c r="A115" s="306"/>
      <c r="B115" s="307"/>
      <c r="C115" s="308"/>
      <c r="D115" s="306"/>
      <c r="E115" s="307"/>
      <c r="F115" s="306"/>
      <c r="G115" s="306"/>
      <c r="H115" s="306"/>
      <c r="I115" s="306"/>
      <c r="J115" s="306"/>
      <c r="K115" s="306"/>
      <c r="L115" s="306"/>
      <c r="M115" s="306"/>
      <c r="N115" s="306"/>
      <c r="O115" s="306"/>
      <c r="P115" s="306"/>
      <c r="Q115" s="306"/>
      <c r="R115" s="306"/>
      <c r="S115" s="306"/>
      <c r="T115" s="306"/>
    </row>
    <row r="116" spans="1:20" s="286" customFormat="1" x14ac:dyDescent="0.2">
      <c r="A116" s="287"/>
      <c r="B116" s="309"/>
      <c r="C116" s="310"/>
      <c r="D116" s="287"/>
      <c r="E116" s="309"/>
      <c r="F116" s="287"/>
      <c r="G116" s="287"/>
      <c r="H116" s="287"/>
      <c r="I116" s="287"/>
      <c r="J116" s="287"/>
      <c r="K116" s="287"/>
      <c r="L116" s="287"/>
      <c r="M116" s="287"/>
      <c r="N116" s="287"/>
      <c r="O116" s="287"/>
      <c r="P116" s="287"/>
      <c r="Q116" s="287"/>
      <c r="R116" s="287"/>
      <c r="S116" s="287"/>
      <c r="T116" s="287"/>
    </row>
    <row r="117" spans="1:20" s="286" customFormat="1" x14ac:dyDescent="0.2">
      <c r="A117" s="287"/>
      <c r="B117" s="309"/>
      <c r="C117" s="310"/>
      <c r="D117" s="287"/>
      <c r="E117" s="309"/>
      <c r="F117" s="287"/>
      <c r="G117" s="287"/>
      <c r="H117" s="287"/>
      <c r="I117" s="287"/>
      <c r="J117" s="287"/>
      <c r="K117" s="287"/>
      <c r="L117" s="287"/>
      <c r="M117" s="287"/>
      <c r="N117" s="287"/>
      <c r="O117" s="287"/>
      <c r="P117" s="287"/>
      <c r="Q117" s="287"/>
      <c r="R117" s="287"/>
      <c r="S117" s="287"/>
      <c r="T117" s="287"/>
    </row>
    <row r="118" spans="1:20" s="286" customFormat="1" x14ac:dyDescent="0.2">
      <c r="A118" s="287"/>
      <c r="B118" s="309"/>
      <c r="C118" s="310"/>
      <c r="D118" s="287"/>
      <c r="E118" s="309"/>
      <c r="F118" s="287"/>
      <c r="G118" s="287"/>
      <c r="H118" s="287"/>
      <c r="I118" s="287"/>
      <c r="J118" s="287"/>
      <c r="K118" s="287"/>
      <c r="L118" s="287"/>
      <c r="M118" s="287"/>
      <c r="N118" s="287"/>
      <c r="O118" s="287"/>
      <c r="P118" s="287"/>
      <c r="Q118" s="287"/>
      <c r="R118" s="287"/>
      <c r="S118" s="287"/>
      <c r="T118" s="287"/>
    </row>
    <row r="119" spans="1:20" s="286" customFormat="1" x14ac:dyDescent="0.2">
      <c r="A119" s="287"/>
      <c r="B119" s="309"/>
      <c r="C119" s="310"/>
      <c r="D119" s="287"/>
      <c r="E119" s="309"/>
      <c r="F119" s="287"/>
      <c r="G119" s="287"/>
      <c r="H119" s="287"/>
      <c r="I119" s="287"/>
      <c r="J119" s="287"/>
      <c r="K119" s="287"/>
      <c r="L119" s="287"/>
      <c r="M119" s="287"/>
      <c r="N119" s="287"/>
      <c r="O119" s="287"/>
      <c r="P119" s="287"/>
      <c r="Q119" s="287"/>
      <c r="R119" s="287"/>
      <c r="S119" s="287"/>
      <c r="T119" s="287"/>
    </row>
    <row r="120" spans="1:20" s="286" customFormat="1" x14ac:dyDescent="0.2">
      <c r="A120" s="287"/>
      <c r="B120" s="309"/>
      <c r="C120" s="310"/>
      <c r="D120" s="287"/>
      <c r="E120" s="309"/>
      <c r="F120" s="287"/>
      <c r="G120" s="287"/>
      <c r="H120" s="287"/>
      <c r="I120" s="287"/>
      <c r="J120" s="287"/>
      <c r="K120" s="287"/>
      <c r="L120" s="287"/>
      <c r="M120" s="287"/>
      <c r="N120" s="287"/>
      <c r="O120" s="287"/>
      <c r="P120" s="287"/>
      <c r="Q120" s="287"/>
      <c r="R120" s="287"/>
      <c r="S120" s="287"/>
      <c r="T120" s="287"/>
    </row>
    <row r="121" spans="1:20" s="286" customFormat="1" x14ac:dyDescent="0.2">
      <c r="A121" s="287"/>
      <c r="B121" s="309"/>
      <c r="C121" s="310"/>
      <c r="D121" s="287"/>
      <c r="E121" s="309"/>
      <c r="F121" s="287"/>
      <c r="G121" s="287"/>
      <c r="H121" s="287"/>
      <c r="I121" s="287"/>
      <c r="J121" s="287"/>
      <c r="K121" s="287"/>
      <c r="L121" s="287"/>
      <c r="M121" s="287"/>
      <c r="N121" s="287"/>
      <c r="O121" s="287"/>
      <c r="P121" s="287"/>
      <c r="Q121" s="287"/>
      <c r="R121" s="287"/>
      <c r="S121" s="287"/>
      <c r="T121" s="287"/>
    </row>
    <row r="122" spans="1:20" s="286" customFormat="1" x14ac:dyDescent="0.2">
      <c r="A122" s="287"/>
      <c r="B122" s="309"/>
      <c r="C122" s="310"/>
      <c r="D122" s="287"/>
      <c r="E122" s="309"/>
      <c r="F122" s="287"/>
      <c r="G122" s="287"/>
      <c r="H122" s="287"/>
      <c r="I122" s="287"/>
      <c r="J122" s="287"/>
      <c r="K122" s="287"/>
      <c r="L122" s="287"/>
      <c r="M122" s="287"/>
      <c r="N122" s="287"/>
      <c r="O122" s="287"/>
      <c r="P122" s="287"/>
      <c r="Q122" s="287"/>
      <c r="R122" s="287"/>
      <c r="S122" s="287"/>
      <c r="T122" s="287"/>
    </row>
    <row r="123" spans="1:20" s="286" customFormat="1" x14ac:dyDescent="0.2">
      <c r="A123" s="287"/>
      <c r="B123" s="309"/>
      <c r="C123" s="310"/>
      <c r="D123" s="287"/>
      <c r="E123" s="309"/>
      <c r="F123" s="287"/>
      <c r="G123" s="287"/>
      <c r="H123" s="287"/>
      <c r="I123" s="287"/>
      <c r="J123" s="287"/>
      <c r="K123" s="287"/>
      <c r="L123" s="287"/>
      <c r="M123" s="287"/>
      <c r="N123" s="287"/>
      <c r="O123" s="287"/>
      <c r="P123" s="287"/>
      <c r="Q123" s="287"/>
      <c r="R123" s="287"/>
      <c r="S123" s="287"/>
      <c r="T123" s="287"/>
    </row>
    <row r="124" spans="1:20" s="286" customFormat="1" x14ac:dyDescent="0.2">
      <c r="A124" s="287"/>
      <c r="B124" s="309"/>
      <c r="C124" s="310"/>
      <c r="D124" s="287"/>
      <c r="E124" s="309"/>
      <c r="F124" s="287"/>
      <c r="G124" s="287"/>
      <c r="H124" s="287"/>
      <c r="I124" s="287"/>
      <c r="J124" s="287"/>
      <c r="K124" s="287"/>
      <c r="L124" s="287"/>
      <c r="M124" s="287"/>
      <c r="N124" s="287"/>
      <c r="O124" s="287"/>
      <c r="P124" s="287"/>
      <c r="Q124" s="287"/>
      <c r="R124" s="287"/>
      <c r="S124" s="287"/>
      <c r="T124" s="287"/>
    </row>
    <row r="125" spans="1:20" s="286" customFormat="1" x14ac:dyDescent="0.2">
      <c r="A125" s="287"/>
      <c r="B125" s="309"/>
      <c r="C125" s="310"/>
      <c r="D125" s="287"/>
      <c r="E125" s="309"/>
      <c r="F125" s="287"/>
      <c r="G125" s="287"/>
      <c r="H125" s="287"/>
      <c r="I125" s="287"/>
      <c r="J125" s="287"/>
      <c r="K125" s="287"/>
      <c r="L125" s="287"/>
      <c r="M125" s="287"/>
      <c r="N125" s="287"/>
      <c r="O125" s="287"/>
      <c r="P125" s="287"/>
      <c r="Q125" s="287"/>
      <c r="R125" s="287"/>
      <c r="S125" s="287"/>
      <c r="T125" s="287"/>
    </row>
    <row r="126" spans="1:20" s="286" customFormat="1" x14ac:dyDescent="0.2">
      <c r="A126" s="287"/>
      <c r="B126" s="309"/>
      <c r="C126" s="310"/>
      <c r="D126" s="287"/>
      <c r="E126" s="309"/>
      <c r="F126" s="287"/>
      <c r="G126" s="287"/>
      <c r="H126" s="287"/>
      <c r="I126" s="287"/>
      <c r="J126" s="287"/>
      <c r="K126" s="287"/>
      <c r="L126" s="287"/>
      <c r="M126" s="287"/>
      <c r="N126" s="287"/>
      <c r="O126" s="287"/>
      <c r="P126" s="287"/>
      <c r="Q126" s="287"/>
      <c r="R126" s="287"/>
      <c r="S126" s="287"/>
      <c r="T126" s="287"/>
    </row>
    <row r="127" spans="1:20" s="286" customFormat="1" x14ac:dyDescent="0.2">
      <c r="A127" s="287"/>
      <c r="B127" s="309"/>
      <c r="C127" s="310"/>
      <c r="D127" s="287"/>
      <c r="E127" s="309"/>
      <c r="F127" s="287"/>
      <c r="G127" s="287"/>
      <c r="H127" s="287"/>
      <c r="I127" s="287"/>
      <c r="J127" s="287"/>
      <c r="K127" s="287"/>
      <c r="L127" s="287"/>
      <c r="M127" s="287"/>
      <c r="N127" s="287"/>
      <c r="O127" s="287"/>
      <c r="P127" s="287"/>
      <c r="Q127" s="287"/>
      <c r="R127" s="287"/>
      <c r="S127" s="287"/>
      <c r="T127" s="287"/>
    </row>
    <row r="128" spans="1:20" s="286" customFormat="1" x14ac:dyDescent="0.2">
      <c r="A128" s="287"/>
      <c r="B128" s="309"/>
      <c r="C128" s="310"/>
      <c r="D128" s="287"/>
      <c r="E128" s="309"/>
      <c r="F128" s="287"/>
      <c r="G128" s="287"/>
      <c r="H128" s="287"/>
      <c r="I128" s="287"/>
      <c r="J128" s="287"/>
      <c r="K128" s="287"/>
      <c r="L128" s="287"/>
      <c r="M128" s="287"/>
      <c r="N128" s="287"/>
      <c r="O128" s="287"/>
      <c r="P128" s="287"/>
      <c r="Q128" s="287"/>
      <c r="R128" s="287"/>
      <c r="S128" s="287"/>
      <c r="T128" s="287"/>
    </row>
    <row r="129" spans="2:21" s="310" customFormat="1" x14ac:dyDescent="0.2">
      <c r="B129" s="309"/>
      <c r="D129" s="287"/>
      <c r="E129" s="309"/>
      <c r="F129" s="287"/>
      <c r="G129" s="287"/>
      <c r="H129" s="287"/>
      <c r="I129" s="287"/>
      <c r="J129" s="287"/>
      <c r="K129" s="287"/>
      <c r="L129" s="287"/>
      <c r="M129" s="287"/>
      <c r="N129" s="287"/>
      <c r="O129" s="287"/>
      <c r="P129" s="287"/>
      <c r="Q129" s="287"/>
      <c r="R129" s="287"/>
      <c r="S129" s="287"/>
      <c r="T129" s="287"/>
      <c r="U129" s="286"/>
    </row>
    <row r="130" spans="2:21" s="310" customFormat="1" x14ac:dyDescent="0.2">
      <c r="B130" s="309"/>
      <c r="D130" s="287"/>
      <c r="E130" s="309"/>
      <c r="F130" s="287"/>
      <c r="G130" s="287"/>
      <c r="H130" s="287"/>
      <c r="I130" s="287"/>
      <c r="J130" s="287"/>
      <c r="K130" s="287"/>
      <c r="L130" s="287"/>
      <c r="M130" s="287"/>
      <c r="N130" s="287"/>
      <c r="O130" s="287"/>
      <c r="P130" s="287"/>
      <c r="Q130" s="287"/>
      <c r="R130" s="287"/>
      <c r="S130" s="287"/>
      <c r="T130" s="287"/>
      <c r="U130" s="286"/>
    </row>
    <row r="131" spans="2:21" s="310" customFormat="1" x14ac:dyDescent="0.2">
      <c r="B131" s="309"/>
      <c r="D131" s="287"/>
      <c r="E131" s="309"/>
      <c r="F131" s="287"/>
      <c r="G131" s="287"/>
      <c r="H131" s="287"/>
      <c r="I131" s="287"/>
      <c r="J131" s="287"/>
      <c r="K131" s="287"/>
      <c r="L131" s="287"/>
      <c r="M131" s="287"/>
      <c r="N131" s="287"/>
      <c r="O131" s="287"/>
      <c r="P131" s="287"/>
      <c r="Q131" s="287"/>
      <c r="R131" s="287"/>
      <c r="S131" s="287"/>
      <c r="T131" s="287"/>
      <c r="U131" s="286"/>
    </row>
    <row r="132" spans="2:21" s="310" customFormat="1" x14ac:dyDescent="0.2">
      <c r="B132" s="309"/>
      <c r="D132" s="287"/>
      <c r="E132" s="309"/>
      <c r="F132" s="287"/>
      <c r="G132" s="287"/>
      <c r="H132" s="287"/>
      <c r="I132" s="287"/>
      <c r="J132" s="287"/>
      <c r="K132" s="287"/>
      <c r="L132" s="287"/>
      <c r="M132" s="287"/>
      <c r="N132" s="287"/>
      <c r="O132" s="287"/>
      <c r="P132" s="287"/>
      <c r="Q132" s="287"/>
      <c r="R132" s="287"/>
      <c r="S132" s="287"/>
      <c r="T132" s="287"/>
      <c r="U132" s="286"/>
    </row>
    <row r="133" spans="2:21" s="310" customFormat="1" x14ac:dyDescent="0.2">
      <c r="B133" s="309"/>
      <c r="D133" s="287"/>
      <c r="E133" s="309"/>
      <c r="F133" s="287"/>
      <c r="G133" s="287"/>
      <c r="H133" s="287"/>
      <c r="I133" s="287"/>
      <c r="J133" s="287"/>
      <c r="K133" s="287"/>
      <c r="L133" s="287"/>
      <c r="M133" s="287"/>
      <c r="N133" s="287"/>
      <c r="O133" s="287"/>
      <c r="P133" s="287"/>
      <c r="Q133" s="287"/>
      <c r="R133" s="287"/>
      <c r="S133" s="287"/>
      <c r="T133" s="287"/>
      <c r="U133" s="286"/>
    </row>
    <row r="134" spans="2:21" s="310" customFormat="1" x14ac:dyDescent="0.2">
      <c r="B134" s="309"/>
      <c r="D134" s="287"/>
      <c r="E134" s="309"/>
      <c r="F134" s="287"/>
      <c r="G134" s="287"/>
      <c r="H134" s="287"/>
      <c r="I134" s="287"/>
      <c r="J134" s="287"/>
      <c r="K134" s="287"/>
      <c r="L134" s="287"/>
      <c r="M134" s="287"/>
      <c r="N134" s="287"/>
      <c r="O134" s="287"/>
      <c r="P134" s="287"/>
      <c r="Q134" s="287"/>
      <c r="R134" s="287"/>
      <c r="S134" s="287"/>
      <c r="T134" s="287"/>
      <c r="U134" s="286"/>
    </row>
    <row r="135" spans="2:21" s="310" customFormat="1" x14ac:dyDescent="0.2">
      <c r="B135" s="309"/>
      <c r="D135" s="287"/>
      <c r="E135" s="309"/>
      <c r="F135" s="287"/>
      <c r="G135" s="287"/>
      <c r="H135" s="287"/>
      <c r="I135" s="287"/>
      <c r="J135" s="287"/>
      <c r="K135" s="287"/>
      <c r="L135" s="287"/>
      <c r="M135" s="287"/>
      <c r="N135" s="287"/>
      <c r="O135" s="287"/>
      <c r="P135" s="287"/>
      <c r="Q135" s="287"/>
      <c r="R135" s="287"/>
      <c r="S135" s="287"/>
      <c r="T135" s="287"/>
      <c r="U135" s="286"/>
    </row>
    <row r="136" spans="2:21" s="310" customFormat="1" x14ac:dyDescent="0.2">
      <c r="B136" s="309"/>
      <c r="D136" s="287"/>
      <c r="E136" s="309"/>
      <c r="F136" s="287"/>
      <c r="G136" s="287"/>
      <c r="H136" s="287"/>
      <c r="I136" s="287"/>
      <c r="J136" s="287"/>
      <c r="K136" s="287"/>
      <c r="L136" s="287"/>
      <c r="M136" s="287"/>
      <c r="N136" s="287"/>
      <c r="O136" s="287"/>
      <c r="P136" s="287"/>
      <c r="Q136" s="287"/>
      <c r="R136" s="287"/>
      <c r="S136" s="287"/>
      <c r="T136" s="287"/>
      <c r="U136" s="286"/>
    </row>
    <row r="137" spans="2:21" s="310" customFormat="1" x14ac:dyDescent="0.2">
      <c r="B137" s="309"/>
      <c r="D137" s="287"/>
      <c r="E137" s="309"/>
      <c r="F137" s="287"/>
      <c r="G137" s="287"/>
      <c r="H137" s="287"/>
      <c r="I137" s="287"/>
      <c r="J137" s="287"/>
      <c r="K137" s="287"/>
      <c r="L137" s="287"/>
      <c r="M137" s="287"/>
      <c r="N137" s="287"/>
      <c r="O137" s="287"/>
      <c r="P137" s="287"/>
      <c r="Q137" s="287"/>
      <c r="R137" s="287"/>
      <c r="S137" s="287"/>
      <c r="T137" s="287"/>
      <c r="U137" s="286"/>
    </row>
    <row r="138" spans="2:21" s="310" customFormat="1" x14ac:dyDescent="0.2">
      <c r="B138" s="309"/>
      <c r="D138" s="287"/>
      <c r="E138" s="309"/>
      <c r="F138" s="287"/>
      <c r="G138" s="287"/>
      <c r="H138" s="287"/>
      <c r="I138" s="287"/>
      <c r="J138" s="287"/>
      <c r="K138" s="287"/>
      <c r="L138" s="287"/>
      <c r="M138" s="287"/>
      <c r="N138" s="287"/>
      <c r="O138" s="287"/>
      <c r="P138" s="287"/>
      <c r="Q138" s="287"/>
      <c r="R138" s="287"/>
      <c r="S138" s="287"/>
      <c r="T138" s="287"/>
      <c r="U138" s="286"/>
    </row>
    <row r="139" spans="2:21" s="310" customFormat="1" x14ac:dyDescent="0.2">
      <c r="B139" s="309"/>
      <c r="D139" s="287"/>
      <c r="E139" s="309"/>
      <c r="F139" s="287"/>
      <c r="G139" s="287"/>
      <c r="H139" s="287"/>
      <c r="I139" s="287"/>
      <c r="J139" s="287"/>
      <c r="K139" s="287"/>
      <c r="L139" s="287"/>
      <c r="M139" s="287"/>
      <c r="N139" s="287"/>
      <c r="O139" s="287"/>
      <c r="P139" s="287"/>
      <c r="Q139" s="287"/>
      <c r="R139" s="287"/>
      <c r="S139" s="287"/>
      <c r="T139" s="287"/>
      <c r="U139" s="286"/>
    </row>
    <row r="140" spans="2:21" s="310" customFormat="1" x14ac:dyDescent="0.2">
      <c r="B140" s="309"/>
      <c r="D140" s="287"/>
      <c r="E140" s="309"/>
      <c r="F140" s="287"/>
      <c r="G140" s="287"/>
      <c r="H140" s="287"/>
      <c r="I140" s="287"/>
      <c r="J140" s="287"/>
      <c r="K140" s="287"/>
      <c r="L140" s="287"/>
      <c r="M140" s="287"/>
      <c r="N140" s="287"/>
      <c r="O140" s="287"/>
      <c r="P140" s="287"/>
      <c r="Q140" s="287"/>
      <c r="R140" s="287"/>
      <c r="S140" s="287"/>
      <c r="T140" s="287"/>
      <c r="U140" s="286"/>
    </row>
    <row r="141" spans="2:21" s="310" customFormat="1" x14ac:dyDescent="0.2">
      <c r="B141" s="309"/>
      <c r="D141" s="287"/>
      <c r="E141" s="309"/>
      <c r="F141" s="287"/>
      <c r="G141" s="287"/>
      <c r="H141" s="287"/>
      <c r="I141" s="287"/>
      <c r="J141" s="287"/>
      <c r="K141" s="287"/>
      <c r="L141" s="287"/>
      <c r="M141" s="287"/>
      <c r="N141" s="287"/>
      <c r="O141" s="287"/>
      <c r="P141" s="287"/>
      <c r="Q141" s="287"/>
      <c r="R141" s="287"/>
      <c r="S141" s="287"/>
      <c r="T141" s="287"/>
      <c r="U141" s="286"/>
    </row>
    <row r="142" spans="2:21" s="310" customFormat="1" x14ac:dyDescent="0.2">
      <c r="B142" s="309"/>
      <c r="D142" s="287"/>
      <c r="E142" s="309"/>
      <c r="F142" s="287"/>
      <c r="G142" s="287"/>
      <c r="H142" s="287"/>
      <c r="I142" s="287"/>
      <c r="J142" s="287"/>
      <c r="K142" s="287"/>
      <c r="L142" s="287"/>
      <c r="M142" s="287"/>
      <c r="N142" s="287"/>
      <c r="O142" s="287"/>
      <c r="P142" s="287"/>
      <c r="Q142" s="287"/>
      <c r="R142" s="287"/>
      <c r="S142" s="287"/>
      <c r="T142" s="287"/>
      <c r="U142" s="286"/>
    </row>
    <row r="143" spans="2:21" s="310" customFormat="1" x14ac:dyDescent="0.2">
      <c r="B143" s="309"/>
      <c r="D143" s="287"/>
      <c r="E143" s="309"/>
      <c r="F143" s="287"/>
      <c r="G143" s="287"/>
      <c r="H143" s="287"/>
      <c r="I143" s="287"/>
      <c r="J143" s="287"/>
      <c r="K143" s="287"/>
      <c r="L143" s="287"/>
      <c r="M143" s="287"/>
      <c r="N143" s="287"/>
      <c r="O143" s="287"/>
      <c r="P143" s="287"/>
      <c r="Q143" s="287"/>
      <c r="R143" s="287"/>
      <c r="S143" s="287"/>
      <c r="T143" s="287"/>
      <c r="U143" s="286"/>
    </row>
    <row r="144" spans="2:21" s="310" customFormat="1" x14ac:dyDescent="0.2">
      <c r="B144" s="309"/>
      <c r="D144" s="287"/>
      <c r="E144" s="309"/>
      <c r="F144" s="287"/>
      <c r="G144" s="287"/>
      <c r="H144" s="287"/>
      <c r="I144" s="287"/>
      <c r="J144" s="287"/>
      <c r="K144" s="287"/>
      <c r="L144" s="287"/>
      <c r="M144" s="287"/>
      <c r="N144" s="287"/>
      <c r="O144" s="287"/>
      <c r="P144" s="287"/>
      <c r="Q144" s="287"/>
      <c r="R144" s="287"/>
      <c r="S144" s="287"/>
      <c r="T144" s="287"/>
      <c r="U144" s="286"/>
    </row>
    <row r="145" spans="2:21" s="310" customFormat="1" x14ac:dyDescent="0.2">
      <c r="B145" s="309"/>
      <c r="D145" s="287"/>
      <c r="E145" s="309"/>
      <c r="F145" s="287"/>
      <c r="G145" s="287"/>
      <c r="H145" s="287"/>
      <c r="I145" s="287"/>
      <c r="J145" s="287"/>
      <c r="K145" s="287"/>
      <c r="L145" s="287"/>
      <c r="M145" s="287"/>
      <c r="N145" s="287"/>
      <c r="O145" s="287"/>
      <c r="P145" s="287"/>
      <c r="Q145" s="287"/>
      <c r="R145" s="287"/>
      <c r="S145" s="287"/>
      <c r="T145" s="287"/>
      <c r="U145" s="286"/>
    </row>
    <row r="146" spans="2:21" s="310" customFormat="1" x14ac:dyDescent="0.2">
      <c r="B146" s="309"/>
      <c r="D146" s="287"/>
      <c r="E146" s="309"/>
      <c r="F146" s="287"/>
      <c r="G146" s="287"/>
      <c r="H146" s="287"/>
      <c r="I146" s="287"/>
      <c r="J146" s="287"/>
      <c r="K146" s="287"/>
      <c r="L146" s="287"/>
      <c r="M146" s="287"/>
      <c r="N146" s="287"/>
      <c r="O146" s="287"/>
      <c r="P146" s="287"/>
      <c r="Q146" s="287"/>
      <c r="R146" s="287"/>
      <c r="S146" s="287"/>
      <c r="T146" s="287"/>
      <c r="U146" s="286"/>
    </row>
    <row r="147" spans="2:21" s="310" customFormat="1" x14ac:dyDescent="0.2">
      <c r="B147" s="309"/>
      <c r="D147" s="287"/>
      <c r="E147" s="309"/>
      <c r="F147" s="287"/>
      <c r="G147" s="287"/>
      <c r="H147" s="287"/>
      <c r="I147" s="287"/>
      <c r="J147" s="287"/>
      <c r="K147" s="287"/>
      <c r="L147" s="287"/>
      <c r="M147" s="287"/>
      <c r="N147" s="287"/>
      <c r="O147" s="287"/>
      <c r="P147" s="287"/>
      <c r="Q147" s="287"/>
      <c r="R147" s="287"/>
      <c r="S147" s="287"/>
      <c r="T147" s="287"/>
      <c r="U147" s="286"/>
    </row>
    <row r="148" spans="2:21" s="310" customFormat="1" x14ac:dyDescent="0.2">
      <c r="B148" s="309"/>
      <c r="D148" s="287"/>
      <c r="E148" s="309"/>
      <c r="F148" s="287"/>
      <c r="G148" s="287"/>
      <c r="H148" s="287"/>
      <c r="I148" s="287"/>
      <c r="J148" s="287"/>
      <c r="K148" s="287"/>
      <c r="L148" s="287"/>
      <c r="M148" s="287"/>
      <c r="N148" s="287"/>
      <c r="O148" s="287"/>
      <c r="P148" s="287"/>
      <c r="Q148" s="287"/>
      <c r="R148" s="287"/>
      <c r="S148" s="287"/>
      <c r="T148" s="287"/>
      <c r="U148" s="286"/>
    </row>
    <row r="149" spans="2:21" s="310" customFormat="1" x14ac:dyDescent="0.2">
      <c r="B149" s="309"/>
      <c r="D149" s="287"/>
      <c r="E149" s="309"/>
      <c r="F149" s="287"/>
      <c r="G149" s="287"/>
      <c r="H149" s="287"/>
      <c r="I149" s="287"/>
      <c r="J149" s="287"/>
      <c r="K149" s="287"/>
      <c r="L149" s="287"/>
      <c r="M149" s="287"/>
      <c r="N149" s="287"/>
      <c r="O149" s="287"/>
      <c r="P149" s="287"/>
      <c r="Q149" s="287"/>
      <c r="R149" s="287"/>
      <c r="S149" s="287"/>
      <c r="T149" s="287"/>
      <c r="U149" s="286"/>
    </row>
    <row r="150" spans="2:21" s="310" customFormat="1" x14ac:dyDescent="0.2">
      <c r="B150" s="309"/>
      <c r="D150" s="287"/>
      <c r="E150" s="309"/>
      <c r="F150" s="287"/>
      <c r="G150" s="287"/>
      <c r="H150" s="287"/>
      <c r="I150" s="287"/>
      <c r="J150" s="287"/>
      <c r="K150" s="287"/>
      <c r="L150" s="287"/>
      <c r="M150" s="287"/>
      <c r="N150" s="287"/>
      <c r="O150" s="287"/>
      <c r="P150" s="287"/>
      <c r="Q150" s="287"/>
      <c r="R150" s="287"/>
      <c r="S150" s="287"/>
      <c r="T150" s="287"/>
      <c r="U150" s="286"/>
    </row>
    <row r="151" spans="2:21" s="310" customFormat="1" x14ac:dyDescent="0.2">
      <c r="B151" s="309"/>
      <c r="D151" s="287"/>
      <c r="E151" s="309"/>
      <c r="F151" s="287"/>
      <c r="G151" s="287"/>
      <c r="H151" s="287"/>
      <c r="I151" s="287"/>
      <c r="J151" s="287"/>
      <c r="K151" s="287"/>
      <c r="L151" s="287"/>
      <c r="M151" s="287"/>
      <c r="N151" s="287"/>
      <c r="O151" s="287"/>
      <c r="P151" s="287"/>
      <c r="Q151" s="287"/>
      <c r="R151" s="287"/>
      <c r="S151" s="287"/>
      <c r="T151" s="287"/>
      <c r="U151" s="286"/>
    </row>
    <row r="152" spans="2:21" s="310" customFormat="1" x14ac:dyDescent="0.2">
      <c r="B152" s="309"/>
      <c r="D152" s="287"/>
      <c r="E152" s="309"/>
      <c r="F152" s="287"/>
      <c r="G152" s="287"/>
      <c r="H152" s="287"/>
      <c r="I152" s="287"/>
      <c r="J152" s="287"/>
      <c r="K152" s="287"/>
      <c r="L152" s="287"/>
      <c r="M152" s="287"/>
      <c r="N152" s="287"/>
      <c r="O152" s="287"/>
      <c r="P152" s="287"/>
      <c r="Q152" s="287"/>
      <c r="R152" s="287"/>
      <c r="S152" s="287"/>
      <c r="T152" s="287"/>
      <c r="U152" s="286"/>
    </row>
    <row r="153" spans="2:21" s="310" customFormat="1" x14ac:dyDescent="0.2">
      <c r="B153" s="309"/>
      <c r="D153" s="287"/>
      <c r="E153" s="309"/>
      <c r="F153" s="287"/>
      <c r="G153" s="287"/>
      <c r="H153" s="287"/>
      <c r="I153" s="287"/>
      <c r="J153" s="287"/>
      <c r="K153" s="287"/>
      <c r="L153" s="287"/>
      <c r="M153" s="287"/>
      <c r="N153" s="287"/>
      <c r="O153" s="287"/>
      <c r="P153" s="287"/>
      <c r="Q153" s="287"/>
      <c r="R153" s="287"/>
      <c r="S153" s="287"/>
      <c r="T153" s="287"/>
      <c r="U153" s="286"/>
    </row>
    <row r="154" spans="2:21" s="310" customFormat="1" x14ac:dyDescent="0.2">
      <c r="B154" s="309"/>
      <c r="D154" s="287"/>
      <c r="E154" s="309"/>
      <c r="F154" s="287"/>
      <c r="G154" s="287"/>
      <c r="H154" s="287"/>
      <c r="I154" s="287"/>
      <c r="J154" s="287"/>
      <c r="K154" s="287"/>
      <c r="L154" s="287"/>
      <c r="M154" s="287"/>
      <c r="N154" s="287"/>
      <c r="O154" s="287"/>
      <c r="P154" s="287"/>
      <c r="Q154" s="287"/>
      <c r="R154" s="287"/>
      <c r="S154" s="287"/>
      <c r="T154" s="287"/>
      <c r="U154" s="286"/>
    </row>
    <row r="155" spans="2:21" s="310" customFormat="1" x14ac:dyDescent="0.2">
      <c r="B155" s="309"/>
      <c r="D155" s="287"/>
      <c r="E155" s="309"/>
      <c r="F155" s="287"/>
      <c r="G155" s="287"/>
      <c r="H155" s="287"/>
      <c r="I155" s="287"/>
      <c r="J155" s="287"/>
      <c r="K155" s="287"/>
      <c r="L155" s="287"/>
      <c r="M155" s="287"/>
      <c r="N155" s="287"/>
      <c r="O155" s="287"/>
      <c r="P155" s="287"/>
      <c r="Q155" s="287"/>
      <c r="R155" s="287"/>
      <c r="S155" s="287"/>
      <c r="T155" s="287"/>
      <c r="U155" s="286"/>
    </row>
    <row r="156" spans="2:21" s="310" customFormat="1" x14ac:dyDescent="0.2">
      <c r="B156" s="309"/>
      <c r="D156" s="287"/>
      <c r="E156" s="309"/>
      <c r="F156" s="287"/>
      <c r="G156" s="287"/>
      <c r="H156" s="287"/>
      <c r="I156" s="287"/>
      <c r="J156" s="287"/>
      <c r="K156" s="287"/>
      <c r="L156" s="287"/>
      <c r="M156" s="287"/>
      <c r="N156" s="287"/>
      <c r="O156" s="287"/>
      <c r="P156" s="287"/>
      <c r="Q156" s="287"/>
      <c r="R156" s="287"/>
      <c r="S156" s="287"/>
      <c r="T156" s="287"/>
      <c r="U156" s="286"/>
    </row>
  </sheetData>
  <sheetProtection algorithmName="SHA-512" hashValue="iidJi9zBHdkKvXWr2q9hEaG5KFO2p/OHoHsm258OjBTEHiu4/PTyhem54YcF/l0iOvlNuaa/6xXFlqCkWDpO2w==" saltValue="dBMWA7717WoGi+YhlQVASw==" spinCount="100000" sheet="1" objects="1" scenarios="1" formatCells="0" formatColumns="0" formatRows="0" autoFilter="0"/>
  <autoFilter ref="A7:T7"/>
  <mergeCells count="22">
    <mergeCell ref="T5:T6"/>
    <mergeCell ref="F5:F6"/>
    <mergeCell ref="G5:H5"/>
    <mergeCell ref="I5:I6"/>
    <mergeCell ref="J5:L5"/>
    <mergeCell ref="M5:M6"/>
    <mergeCell ref="N5:N6"/>
    <mergeCell ref="O5:O6"/>
    <mergeCell ref="P5:P6"/>
    <mergeCell ref="Q5:Q6"/>
    <mergeCell ref="R5:R6"/>
    <mergeCell ref="S5:S6"/>
    <mergeCell ref="A1:E1"/>
    <mergeCell ref="A2:E2"/>
    <mergeCell ref="F2:R2"/>
    <mergeCell ref="G3:I3"/>
    <mergeCell ref="K3:O3"/>
    <mergeCell ref="A5:A6"/>
    <mergeCell ref="B5:B6"/>
    <mergeCell ref="C5:C6"/>
    <mergeCell ref="D5:D6"/>
    <mergeCell ref="E5:E6"/>
  </mergeCells>
  <conditionalFormatting sqref="G3">
    <cfRule type="cellIs" dxfId="56" priority="1" stopIfTrue="1" operator="between">
      <formula>"Còn lỗi!"</formula>
      <formula>"Còn lỗi!"</formula>
    </cfRule>
    <cfRule type="cellIs" dxfId="55" priority="2" stopIfTrue="1" operator="between">
      <formula>"Nhập liệu!"</formula>
      <formula>"Nhập liệu!"</formula>
    </cfRule>
  </conditionalFormatting>
  <dataValidations count="9">
    <dataValidation type="list" allowBlank="1" showInputMessage="1" showErrorMessage="1" sqref="WVT983048:WVT98314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L8:L107">
      <formula1>"Chính quy,Từ xa,Tại chức,VH-VL,Khác"</formula1>
    </dataValidation>
    <dataValidation type="list" allowBlank="1" showInputMessage="1" showErrorMessage="1"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K8:K107">
      <formula1>"GD.Tiểu học,Ngoại ngữ,Tin học,M.Thuật,Âm nhạc,GD.Thể chất,Đoàn Đội,Quản lý,Y tế,Văn thư,Thiết bị,Khác"</formula1>
    </dataValidation>
    <dataValidation type="list" allowBlank="1" showInputMessage="1" showErrorMessage="1" sqref="WVL983048:WVL983147 JL8:JM107 TH8:TI107 ADD8:ADE107 AMZ8:ANA107 AWV8:AWW107 BGR8:BGS107 BQN8:BQO107 CAJ8:CAK107 CKF8:CKG107 CUB8:CUC107 DDX8:DDY107 DNT8:DNU107 DXP8:DXQ107 EHL8:EHM107 ERH8:ERI107 FBD8:FBE107 FKZ8:FLA107 FUV8:FUW107 GER8:GES107 GON8:GOO107 GYJ8:GYK107 HIF8:HIG107 HSB8:HSC107 IBX8:IBY107 ILT8:ILU107 IVP8:IVQ107 JFL8:JFM107 JPH8:JPI107 JZD8:JZE107 KIZ8:KJA107 KSV8:KSW107 LCR8:LCS107 LMN8:LMO107 LWJ8:LWK107 MGF8:MGG107 MQB8:MQC107 MZX8:MZY107 NJT8:NJU107 NTP8:NTQ107 ODL8:ODM107 ONH8:ONI107 OXD8:OXE107 PGZ8:PHA107 PQV8:PQW107 QAR8:QAS107 QKN8:QKO107 QUJ8:QUK107 REF8:REG107 ROB8:ROC107 RXX8:RXY107 SHT8:SHU107 SRP8:SRQ107 TBL8:TBM107 TLH8:TLI107 TVD8:TVE107 UEZ8:UFA107 UOV8:UOW107 UYR8:UYS107 VIN8:VIO107 VSJ8:VSK107 WCF8:WCG107 WMB8:WMC107 WVX8:WVY107 P65544:Q65643 JL65544:JM65643 TH65544:TI65643 ADD65544:ADE65643 AMZ65544:ANA65643 AWV65544:AWW65643 BGR65544:BGS65643 BQN65544:BQO65643 CAJ65544:CAK65643 CKF65544:CKG65643 CUB65544:CUC65643 DDX65544:DDY65643 DNT65544:DNU65643 DXP65544:DXQ65643 EHL65544:EHM65643 ERH65544:ERI65643 FBD65544:FBE65643 FKZ65544:FLA65643 FUV65544:FUW65643 GER65544:GES65643 GON65544:GOO65643 GYJ65544:GYK65643 HIF65544:HIG65643 HSB65544:HSC65643 IBX65544:IBY65643 ILT65544:ILU65643 IVP65544:IVQ65643 JFL65544:JFM65643 JPH65544:JPI65643 JZD65544:JZE65643 KIZ65544:KJA65643 KSV65544:KSW65643 LCR65544:LCS65643 LMN65544:LMO65643 LWJ65544:LWK65643 MGF65544:MGG65643 MQB65544:MQC65643 MZX65544:MZY65643 NJT65544:NJU65643 NTP65544:NTQ65643 ODL65544:ODM65643 ONH65544:ONI65643 OXD65544:OXE65643 PGZ65544:PHA65643 PQV65544:PQW65643 QAR65544:QAS65643 QKN65544:QKO65643 QUJ65544:QUK65643 REF65544:REG65643 ROB65544:ROC65643 RXX65544:RXY65643 SHT65544:SHU65643 SRP65544:SRQ65643 TBL65544:TBM65643 TLH65544:TLI65643 TVD65544:TVE65643 UEZ65544:UFA65643 UOV65544:UOW65643 UYR65544:UYS65643 VIN65544:VIO65643 VSJ65544:VSK65643 WCF65544:WCG65643 WMB65544:WMC65643 WVX65544:WVY65643 P131080:Q131179 JL131080:JM131179 TH131080:TI131179 ADD131080:ADE131179 AMZ131080:ANA131179 AWV131080:AWW131179 BGR131080:BGS131179 BQN131080:BQO131179 CAJ131080:CAK131179 CKF131080:CKG131179 CUB131080:CUC131179 DDX131080:DDY131179 DNT131080:DNU131179 DXP131080:DXQ131179 EHL131080:EHM131179 ERH131080:ERI131179 FBD131080:FBE131179 FKZ131080:FLA131179 FUV131080:FUW131179 GER131080:GES131179 GON131080:GOO131179 GYJ131080:GYK131179 HIF131080:HIG131179 HSB131080:HSC131179 IBX131080:IBY131179 ILT131080:ILU131179 IVP131080:IVQ131179 JFL131080:JFM131179 JPH131080:JPI131179 JZD131080:JZE131179 KIZ131080:KJA131179 KSV131080:KSW131179 LCR131080:LCS131179 LMN131080:LMO131179 LWJ131080:LWK131179 MGF131080:MGG131179 MQB131080:MQC131179 MZX131080:MZY131179 NJT131080:NJU131179 NTP131080:NTQ131179 ODL131080:ODM131179 ONH131080:ONI131179 OXD131080:OXE131179 PGZ131080:PHA131179 PQV131080:PQW131179 QAR131080:QAS131179 QKN131080:QKO131179 QUJ131080:QUK131179 REF131080:REG131179 ROB131080:ROC131179 RXX131080:RXY131179 SHT131080:SHU131179 SRP131080:SRQ131179 TBL131080:TBM131179 TLH131080:TLI131179 TVD131080:TVE131179 UEZ131080:UFA131179 UOV131080:UOW131179 UYR131080:UYS131179 VIN131080:VIO131179 VSJ131080:VSK131179 WCF131080:WCG131179 WMB131080:WMC131179 WVX131080:WVY131179 P196616:Q196715 JL196616:JM196715 TH196616:TI196715 ADD196616:ADE196715 AMZ196616:ANA196715 AWV196616:AWW196715 BGR196616:BGS196715 BQN196616:BQO196715 CAJ196616:CAK196715 CKF196616:CKG196715 CUB196616:CUC196715 DDX196616:DDY196715 DNT196616:DNU196715 DXP196616:DXQ196715 EHL196616:EHM196715 ERH196616:ERI196715 FBD196616:FBE196715 FKZ196616:FLA196715 FUV196616:FUW196715 GER196616:GES196715 GON196616:GOO196715 GYJ196616:GYK196715 HIF196616:HIG196715 HSB196616:HSC196715 IBX196616:IBY196715 ILT196616:ILU196715 IVP196616:IVQ196715 JFL196616:JFM196715 JPH196616:JPI196715 JZD196616:JZE196715 KIZ196616:KJA196715 KSV196616:KSW196715 LCR196616:LCS196715 LMN196616:LMO196715 LWJ196616:LWK196715 MGF196616:MGG196715 MQB196616:MQC196715 MZX196616:MZY196715 NJT196616:NJU196715 NTP196616:NTQ196715 ODL196616:ODM196715 ONH196616:ONI196715 OXD196616:OXE196715 PGZ196616:PHA196715 PQV196616:PQW196715 QAR196616:QAS196715 QKN196616:QKO196715 QUJ196616:QUK196715 REF196616:REG196715 ROB196616:ROC196715 RXX196616:RXY196715 SHT196616:SHU196715 SRP196616:SRQ196715 TBL196616:TBM196715 TLH196616:TLI196715 TVD196616:TVE196715 UEZ196616:UFA196715 UOV196616:UOW196715 UYR196616:UYS196715 VIN196616:VIO196715 VSJ196616:VSK196715 WCF196616:WCG196715 WMB196616:WMC196715 WVX196616:WVY196715 P262152:Q262251 JL262152:JM262251 TH262152:TI262251 ADD262152:ADE262251 AMZ262152:ANA262251 AWV262152:AWW262251 BGR262152:BGS262251 BQN262152:BQO262251 CAJ262152:CAK262251 CKF262152:CKG262251 CUB262152:CUC262251 DDX262152:DDY262251 DNT262152:DNU262251 DXP262152:DXQ262251 EHL262152:EHM262251 ERH262152:ERI262251 FBD262152:FBE262251 FKZ262152:FLA262251 FUV262152:FUW262251 GER262152:GES262251 GON262152:GOO262251 GYJ262152:GYK262251 HIF262152:HIG262251 HSB262152:HSC262251 IBX262152:IBY262251 ILT262152:ILU262251 IVP262152:IVQ262251 JFL262152:JFM262251 JPH262152:JPI262251 JZD262152:JZE262251 KIZ262152:KJA262251 KSV262152:KSW262251 LCR262152:LCS262251 LMN262152:LMO262251 LWJ262152:LWK262251 MGF262152:MGG262251 MQB262152:MQC262251 MZX262152:MZY262251 NJT262152:NJU262251 NTP262152:NTQ262251 ODL262152:ODM262251 ONH262152:ONI262251 OXD262152:OXE262251 PGZ262152:PHA262251 PQV262152:PQW262251 QAR262152:QAS262251 QKN262152:QKO262251 QUJ262152:QUK262251 REF262152:REG262251 ROB262152:ROC262251 RXX262152:RXY262251 SHT262152:SHU262251 SRP262152:SRQ262251 TBL262152:TBM262251 TLH262152:TLI262251 TVD262152:TVE262251 UEZ262152:UFA262251 UOV262152:UOW262251 UYR262152:UYS262251 VIN262152:VIO262251 VSJ262152:VSK262251 WCF262152:WCG262251 WMB262152:WMC262251 WVX262152:WVY262251 P327688:Q327787 JL327688:JM327787 TH327688:TI327787 ADD327688:ADE327787 AMZ327688:ANA327787 AWV327688:AWW327787 BGR327688:BGS327787 BQN327688:BQO327787 CAJ327688:CAK327787 CKF327688:CKG327787 CUB327688:CUC327787 DDX327688:DDY327787 DNT327688:DNU327787 DXP327688:DXQ327787 EHL327688:EHM327787 ERH327688:ERI327787 FBD327688:FBE327787 FKZ327688:FLA327787 FUV327688:FUW327787 GER327688:GES327787 GON327688:GOO327787 GYJ327688:GYK327787 HIF327688:HIG327787 HSB327688:HSC327787 IBX327688:IBY327787 ILT327688:ILU327787 IVP327688:IVQ327787 JFL327688:JFM327787 JPH327688:JPI327787 JZD327688:JZE327787 KIZ327688:KJA327787 KSV327688:KSW327787 LCR327688:LCS327787 LMN327688:LMO327787 LWJ327688:LWK327787 MGF327688:MGG327787 MQB327688:MQC327787 MZX327688:MZY327787 NJT327688:NJU327787 NTP327688:NTQ327787 ODL327688:ODM327787 ONH327688:ONI327787 OXD327688:OXE327787 PGZ327688:PHA327787 PQV327688:PQW327787 QAR327688:QAS327787 QKN327688:QKO327787 QUJ327688:QUK327787 REF327688:REG327787 ROB327688:ROC327787 RXX327688:RXY327787 SHT327688:SHU327787 SRP327688:SRQ327787 TBL327688:TBM327787 TLH327688:TLI327787 TVD327688:TVE327787 UEZ327688:UFA327787 UOV327688:UOW327787 UYR327688:UYS327787 VIN327688:VIO327787 VSJ327688:VSK327787 WCF327688:WCG327787 WMB327688:WMC327787 WVX327688:WVY327787 P393224:Q393323 JL393224:JM393323 TH393224:TI393323 ADD393224:ADE393323 AMZ393224:ANA393323 AWV393224:AWW393323 BGR393224:BGS393323 BQN393224:BQO393323 CAJ393224:CAK393323 CKF393224:CKG393323 CUB393224:CUC393323 DDX393224:DDY393323 DNT393224:DNU393323 DXP393224:DXQ393323 EHL393224:EHM393323 ERH393224:ERI393323 FBD393224:FBE393323 FKZ393224:FLA393323 FUV393224:FUW393323 GER393224:GES393323 GON393224:GOO393323 GYJ393224:GYK393323 HIF393224:HIG393323 HSB393224:HSC393323 IBX393224:IBY393323 ILT393224:ILU393323 IVP393224:IVQ393323 JFL393224:JFM393323 JPH393224:JPI393323 JZD393224:JZE393323 KIZ393224:KJA393323 KSV393224:KSW393323 LCR393224:LCS393323 LMN393224:LMO393323 LWJ393224:LWK393323 MGF393224:MGG393323 MQB393224:MQC393323 MZX393224:MZY393323 NJT393224:NJU393323 NTP393224:NTQ393323 ODL393224:ODM393323 ONH393224:ONI393323 OXD393224:OXE393323 PGZ393224:PHA393323 PQV393224:PQW393323 QAR393224:QAS393323 QKN393224:QKO393323 QUJ393224:QUK393323 REF393224:REG393323 ROB393224:ROC393323 RXX393224:RXY393323 SHT393224:SHU393323 SRP393224:SRQ393323 TBL393224:TBM393323 TLH393224:TLI393323 TVD393224:TVE393323 UEZ393224:UFA393323 UOV393224:UOW393323 UYR393224:UYS393323 VIN393224:VIO393323 VSJ393224:VSK393323 WCF393224:WCG393323 WMB393224:WMC393323 WVX393224:WVY393323 P458760:Q458859 JL458760:JM458859 TH458760:TI458859 ADD458760:ADE458859 AMZ458760:ANA458859 AWV458760:AWW458859 BGR458760:BGS458859 BQN458760:BQO458859 CAJ458760:CAK458859 CKF458760:CKG458859 CUB458760:CUC458859 DDX458760:DDY458859 DNT458760:DNU458859 DXP458760:DXQ458859 EHL458760:EHM458859 ERH458760:ERI458859 FBD458760:FBE458859 FKZ458760:FLA458859 FUV458760:FUW458859 GER458760:GES458859 GON458760:GOO458859 GYJ458760:GYK458859 HIF458760:HIG458859 HSB458760:HSC458859 IBX458760:IBY458859 ILT458760:ILU458859 IVP458760:IVQ458859 JFL458760:JFM458859 JPH458760:JPI458859 JZD458760:JZE458859 KIZ458760:KJA458859 KSV458760:KSW458859 LCR458760:LCS458859 LMN458760:LMO458859 LWJ458760:LWK458859 MGF458760:MGG458859 MQB458760:MQC458859 MZX458760:MZY458859 NJT458760:NJU458859 NTP458760:NTQ458859 ODL458760:ODM458859 ONH458760:ONI458859 OXD458760:OXE458859 PGZ458760:PHA458859 PQV458760:PQW458859 QAR458760:QAS458859 QKN458760:QKO458859 QUJ458760:QUK458859 REF458760:REG458859 ROB458760:ROC458859 RXX458760:RXY458859 SHT458760:SHU458859 SRP458760:SRQ458859 TBL458760:TBM458859 TLH458760:TLI458859 TVD458760:TVE458859 UEZ458760:UFA458859 UOV458760:UOW458859 UYR458760:UYS458859 VIN458760:VIO458859 VSJ458760:VSK458859 WCF458760:WCG458859 WMB458760:WMC458859 WVX458760:WVY458859 P524296:Q524395 JL524296:JM524395 TH524296:TI524395 ADD524296:ADE524395 AMZ524296:ANA524395 AWV524296:AWW524395 BGR524296:BGS524395 BQN524296:BQO524395 CAJ524296:CAK524395 CKF524296:CKG524395 CUB524296:CUC524395 DDX524296:DDY524395 DNT524296:DNU524395 DXP524296:DXQ524395 EHL524296:EHM524395 ERH524296:ERI524395 FBD524296:FBE524395 FKZ524296:FLA524395 FUV524296:FUW524395 GER524296:GES524395 GON524296:GOO524395 GYJ524296:GYK524395 HIF524296:HIG524395 HSB524296:HSC524395 IBX524296:IBY524395 ILT524296:ILU524395 IVP524296:IVQ524395 JFL524296:JFM524395 JPH524296:JPI524395 JZD524296:JZE524395 KIZ524296:KJA524395 KSV524296:KSW524395 LCR524296:LCS524395 LMN524296:LMO524395 LWJ524296:LWK524395 MGF524296:MGG524395 MQB524296:MQC524395 MZX524296:MZY524395 NJT524296:NJU524395 NTP524296:NTQ524395 ODL524296:ODM524395 ONH524296:ONI524395 OXD524296:OXE524395 PGZ524296:PHA524395 PQV524296:PQW524395 QAR524296:QAS524395 QKN524296:QKO524395 QUJ524296:QUK524395 REF524296:REG524395 ROB524296:ROC524395 RXX524296:RXY524395 SHT524296:SHU524395 SRP524296:SRQ524395 TBL524296:TBM524395 TLH524296:TLI524395 TVD524296:TVE524395 UEZ524296:UFA524395 UOV524296:UOW524395 UYR524296:UYS524395 VIN524296:VIO524395 VSJ524296:VSK524395 WCF524296:WCG524395 WMB524296:WMC524395 WVX524296:WVY524395 P589832:Q589931 JL589832:JM589931 TH589832:TI589931 ADD589832:ADE589931 AMZ589832:ANA589931 AWV589832:AWW589931 BGR589832:BGS589931 BQN589832:BQO589931 CAJ589832:CAK589931 CKF589832:CKG589931 CUB589832:CUC589931 DDX589832:DDY589931 DNT589832:DNU589931 DXP589832:DXQ589931 EHL589832:EHM589931 ERH589832:ERI589931 FBD589832:FBE589931 FKZ589832:FLA589931 FUV589832:FUW589931 GER589832:GES589931 GON589832:GOO589931 GYJ589832:GYK589931 HIF589832:HIG589931 HSB589832:HSC589931 IBX589832:IBY589931 ILT589832:ILU589931 IVP589832:IVQ589931 JFL589832:JFM589931 JPH589832:JPI589931 JZD589832:JZE589931 KIZ589832:KJA589931 KSV589832:KSW589931 LCR589832:LCS589931 LMN589832:LMO589931 LWJ589832:LWK589931 MGF589832:MGG589931 MQB589832:MQC589931 MZX589832:MZY589931 NJT589832:NJU589931 NTP589832:NTQ589931 ODL589832:ODM589931 ONH589832:ONI589931 OXD589832:OXE589931 PGZ589832:PHA589931 PQV589832:PQW589931 QAR589832:QAS589931 QKN589832:QKO589931 QUJ589832:QUK589931 REF589832:REG589931 ROB589832:ROC589931 RXX589832:RXY589931 SHT589832:SHU589931 SRP589832:SRQ589931 TBL589832:TBM589931 TLH589832:TLI589931 TVD589832:TVE589931 UEZ589832:UFA589931 UOV589832:UOW589931 UYR589832:UYS589931 VIN589832:VIO589931 VSJ589832:VSK589931 WCF589832:WCG589931 WMB589832:WMC589931 WVX589832:WVY589931 P655368:Q655467 JL655368:JM655467 TH655368:TI655467 ADD655368:ADE655467 AMZ655368:ANA655467 AWV655368:AWW655467 BGR655368:BGS655467 BQN655368:BQO655467 CAJ655368:CAK655467 CKF655368:CKG655467 CUB655368:CUC655467 DDX655368:DDY655467 DNT655368:DNU655467 DXP655368:DXQ655467 EHL655368:EHM655467 ERH655368:ERI655467 FBD655368:FBE655467 FKZ655368:FLA655467 FUV655368:FUW655467 GER655368:GES655467 GON655368:GOO655467 GYJ655368:GYK655467 HIF655368:HIG655467 HSB655368:HSC655467 IBX655368:IBY655467 ILT655368:ILU655467 IVP655368:IVQ655467 JFL655368:JFM655467 JPH655368:JPI655467 JZD655368:JZE655467 KIZ655368:KJA655467 KSV655368:KSW655467 LCR655368:LCS655467 LMN655368:LMO655467 LWJ655368:LWK655467 MGF655368:MGG655467 MQB655368:MQC655467 MZX655368:MZY655467 NJT655368:NJU655467 NTP655368:NTQ655467 ODL655368:ODM655467 ONH655368:ONI655467 OXD655368:OXE655467 PGZ655368:PHA655467 PQV655368:PQW655467 QAR655368:QAS655467 QKN655368:QKO655467 QUJ655368:QUK655467 REF655368:REG655467 ROB655368:ROC655467 RXX655368:RXY655467 SHT655368:SHU655467 SRP655368:SRQ655467 TBL655368:TBM655467 TLH655368:TLI655467 TVD655368:TVE655467 UEZ655368:UFA655467 UOV655368:UOW655467 UYR655368:UYS655467 VIN655368:VIO655467 VSJ655368:VSK655467 WCF655368:WCG655467 WMB655368:WMC655467 WVX655368:WVY655467 P720904:Q721003 JL720904:JM721003 TH720904:TI721003 ADD720904:ADE721003 AMZ720904:ANA721003 AWV720904:AWW721003 BGR720904:BGS721003 BQN720904:BQO721003 CAJ720904:CAK721003 CKF720904:CKG721003 CUB720904:CUC721003 DDX720904:DDY721003 DNT720904:DNU721003 DXP720904:DXQ721003 EHL720904:EHM721003 ERH720904:ERI721003 FBD720904:FBE721003 FKZ720904:FLA721003 FUV720904:FUW721003 GER720904:GES721003 GON720904:GOO721003 GYJ720904:GYK721003 HIF720904:HIG721003 HSB720904:HSC721003 IBX720904:IBY721003 ILT720904:ILU721003 IVP720904:IVQ721003 JFL720904:JFM721003 JPH720904:JPI721003 JZD720904:JZE721003 KIZ720904:KJA721003 KSV720904:KSW721003 LCR720904:LCS721003 LMN720904:LMO721003 LWJ720904:LWK721003 MGF720904:MGG721003 MQB720904:MQC721003 MZX720904:MZY721003 NJT720904:NJU721003 NTP720904:NTQ721003 ODL720904:ODM721003 ONH720904:ONI721003 OXD720904:OXE721003 PGZ720904:PHA721003 PQV720904:PQW721003 QAR720904:QAS721003 QKN720904:QKO721003 QUJ720904:QUK721003 REF720904:REG721003 ROB720904:ROC721003 RXX720904:RXY721003 SHT720904:SHU721003 SRP720904:SRQ721003 TBL720904:TBM721003 TLH720904:TLI721003 TVD720904:TVE721003 UEZ720904:UFA721003 UOV720904:UOW721003 UYR720904:UYS721003 VIN720904:VIO721003 VSJ720904:VSK721003 WCF720904:WCG721003 WMB720904:WMC721003 WVX720904:WVY721003 P786440:Q786539 JL786440:JM786539 TH786440:TI786539 ADD786440:ADE786539 AMZ786440:ANA786539 AWV786440:AWW786539 BGR786440:BGS786539 BQN786440:BQO786539 CAJ786440:CAK786539 CKF786440:CKG786539 CUB786440:CUC786539 DDX786440:DDY786539 DNT786440:DNU786539 DXP786440:DXQ786539 EHL786440:EHM786539 ERH786440:ERI786539 FBD786440:FBE786539 FKZ786440:FLA786539 FUV786440:FUW786539 GER786440:GES786539 GON786440:GOO786539 GYJ786440:GYK786539 HIF786440:HIG786539 HSB786440:HSC786539 IBX786440:IBY786539 ILT786440:ILU786539 IVP786440:IVQ786539 JFL786440:JFM786539 JPH786440:JPI786539 JZD786440:JZE786539 KIZ786440:KJA786539 KSV786440:KSW786539 LCR786440:LCS786539 LMN786440:LMO786539 LWJ786440:LWK786539 MGF786440:MGG786539 MQB786440:MQC786539 MZX786440:MZY786539 NJT786440:NJU786539 NTP786440:NTQ786539 ODL786440:ODM786539 ONH786440:ONI786539 OXD786440:OXE786539 PGZ786440:PHA786539 PQV786440:PQW786539 QAR786440:QAS786539 QKN786440:QKO786539 QUJ786440:QUK786539 REF786440:REG786539 ROB786440:ROC786539 RXX786440:RXY786539 SHT786440:SHU786539 SRP786440:SRQ786539 TBL786440:TBM786539 TLH786440:TLI786539 TVD786440:TVE786539 UEZ786440:UFA786539 UOV786440:UOW786539 UYR786440:UYS786539 VIN786440:VIO786539 VSJ786440:VSK786539 WCF786440:WCG786539 WMB786440:WMC786539 WVX786440:WVY786539 P851976:Q852075 JL851976:JM852075 TH851976:TI852075 ADD851976:ADE852075 AMZ851976:ANA852075 AWV851976:AWW852075 BGR851976:BGS852075 BQN851976:BQO852075 CAJ851976:CAK852075 CKF851976:CKG852075 CUB851976:CUC852075 DDX851976:DDY852075 DNT851976:DNU852075 DXP851976:DXQ852075 EHL851976:EHM852075 ERH851976:ERI852075 FBD851976:FBE852075 FKZ851976:FLA852075 FUV851976:FUW852075 GER851976:GES852075 GON851976:GOO852075 GYJ851976:GYK852075 HIF851976:HIG852075 HSB851976:HSC852075 IBX851976:IBY852075 ILT851976:ILU852075 IVP851976:IVQ852075 JFL851976:JFM852075 JPH851976:JPI852075 JZD851976:JZE852075 KIZ851976:KJA852075 KSV851976:KSW852075 LCR851976:LCS852075 LMN851976:LMO852075 LWJ851976:LWK852075 MGF851976:MGG852075 MQB851976:MQC852075 MZX851976:MZY852075 NJT851976:NJU852075 NTP851976:NTQ852075 ODL851976:ODM852075 ONH851976:ONI852075 OXD851976:OXE852075 PGZ851976:PHA852075 PQV851976:PQW852075 QAR851976:QAS852075 QKN851976:QKO852075 QUJ851976:QUK852075 REF851976:REG852075 ROB851976:ROC852075 RXX851976:RXY852075 SHT851976:SHU852075 SRP851976:SRQ852075 TBL851976:TBM852075 TLH851976:TLI852075 TVD851976:TVE852075 UEZ851976:UFA852075 UOV851976:UOW852075 UYR851976:UYS852075 VIN851976:VIO852075 VSJ851976:VSK852075 WCF851976:WCG852075 WMB851976:WMC852075 WVX851976:WVY852075 P917512:Q917611 JL917512:JM917611 TH917512:TI917611 ADD917512:ADE917611 AMZ917512:ANA917611 AWV917512:AWW917611 BGR917512:BGS917611 BQN917512:BQO917611 CAJ917512:CAK917611 CKF917512:CKG917611 CUB917512:CUC917611 DDX917512:DDY917611 DNT917512:DNU917611 DXP917512:DXQ917611 EHL917512:EHM917611 ERH917512:ERI917611 FBD917512:FBE917611 FKZ917512:FLA917611 FUV917512:FUW917611 GER917512:GES917611 GON917512:GOO917611 GYJ917512:GYK917611 HIF917512:HIG917611 HSB917512:HSC917611 IBX917512:IBY917611 ILT917512:ILU917611 IVP917512:IVQ917611 JFL917512:JFM917611 JPH917512:JPI917611 JZD917512:JZE917611 KIZ917512:KJA917611 KSV917512:KSW917611 LCR917512:LCS917611 LMN917512:LMO917611 LWJ917512:LWK917611 MGF917512:MGG917611 MQB917512:MQC917611 MZX917512:MZY917611 NJT917512:NJU917611 NTP917512:NTQ917611 ODL917512:ODM917611 ONH917512:ONI917611 OXD917512:OXE917611 PGZ917512:PHA917611 PQV917512:PQW917611 QAR917512:QAS917611 QKN917512:QKO917611 QUJ917512:QUK917611 REF917512:REG917611 ROB917512:ROC917611 RXX917512:RXY917611 SHT917512:SHU917611 SRP917512:SRQ917611 TBL917512:TBM917611 TLH917512:TLI917611 TVD917512:TVE917611 UEZ917512:UFA917611 UOV917512:UOW917611 UYR917512:UYS917611 VIN917512:VIO917611 VSJ917512:VSK917611 WCF917512:WCG917611 WMB917512:WMC917611 WVX917512:WVY917611 P983048:Q983147 JL983048:JM983147 TH983048:TI983147 ADD983048:ADE983147 AMZ983048:ANA983147 AWV983048:AWW983147 BGR983048:BGS983147 BQN983048:BQO983147 CAJ983048:CAK983147 CKF983048:CKG983147 CUB983048:CUC983147 DDX983048:DDY983147 DNT983048:DNU983147 DXP983048:DXQ983147 EHL983048:EHM983147 ERH983048:ERI983147 FBD983048:FBE983147 FKZ983048:FLA983147 FUV983048:FUW983147 GER983048:GES983147 GON983048:GOO983147 GYJ983048:GYK983147 HIF983048:HIG983147 HSB983048:HSC983147 IBX983048:IBY983147 ILT983048:ILU983147 IVP983048:IVQ983147 JFL983048:JFM983147 JPH983048:JPI983147 JZD983048:JZE983147 KIZ983048:KJA983147 KSV983048:KSW983147 LCR983048:LCS983147 LMN983048:LMO983147 LWJ983048:LWK983147 MGF983048:MGG983147 MQB983048:MQC983147 MZX983048:MZY983147 NJT983048:NJU983147 NTP983048:NTQ983147 ODL983048:ODM983147 ONH983048:ONI983147 OXD983048:OXE983147 PGZ983048:PHA983147 PQV983048:PQW983147 QAR983048:QAS983147 QKN983048:QKO983147 QUJ983048:QUK983147 REF983048:REG983147 ROB983048:ROC983147 RXX983048:RXY983147 SHT983048:SHU983147 SRP983048:SRQ983147 TBL983048:TBM983147 TLH983048:TLI983147 TVD983048:TVE983147 UEZ983048:UFA983147 UOV983048:UOW983147 UYR983048:UYS983147 VIN983048:VIO983147 VSJ983048:VSK983147 WCF983048:WCG983147 WMB983048:WMC983147 WVX983048:WVY983147 IZ8:IZ107 SV8:SV107 ACR8:ACR107 AMN8:AMN107 AWJ8:AWJ107 BGF8:BGF107 BQB8:BQB107 BZX8:BZX107 CJT8:CJT107 CTP8:CTP107 DDL8:DDL107 DNH8:DNH107 DXD8:DXD107 EGZ8:EGZ107 EQV8:EQV107 FAR8:FAR107 FKN8:FKN107 FUJ8:FUJ107 GEF8:GEF107 GOB8:GOB107 GXX8:GXX107 HHT8:HHT107 HRP8:HRP107 IBL8:IBL107 ILH8:ILH107 IVD8:IVD107 JEZ8:JEZ107 JOV8:JOV107 JYR8:JYR107 KIN8:KIN107 KSJ8:KSJ107 LCF8:LCF107 LMB8:LMB107 LVX8:LVX107 MFT8:MFT107 MPP8:MPP107 MZL8:MZL107 NJH8:NJH107 NTD8:NTD107 OCZ8:OCZ107 OMV8:OMV107 OWR8:OWR107 PGN8:PGN107 PQJ8:PQJ107 QAF8:QAF107 QKB8:QKB107 QTX8:QTX107 RDT8:RDT107 RNP8:RNP107 RXL8:RXL107 SHH8:SHH107 SRD8:SRD107 TAZ8:TAZ107 TKV8:TKV107 TUR8:TUR107 UEN8:UEN107 UOJ8:UOJ107 UYF8:UYF107 VIB8:VIB107 VRX8:VRX107 WBT8:WBT107 WLP8:WLP107 WVL8:WVL107 D65544:D65643 IZ65544:IZ65643 SV65544:SV65643 ACR65544:ACR65643 AMN65544:AMN65643 AWJ65544:AWJ65643 BGF65544:BGF65643 BQB65544:BQB65643 BZX65544:BZX65643 CJT65544:CJT65643 CTP65544:CTP65643 DDL65544:DDL65643 DNH65544:DNH65643 DXD65544:DXD65643 EGZ65544:EGZ65643 EQV65544:EQV65643 FAR65544:FAR65643 FKN65544:FKN65643 FUJ65544:FUJ65643 GEF65544:GEF65643 GOB65544:GOB65643 GXX65544:GXX65643 HHT65544:HHT65643 HRP65544:HRP65643 IBL65544:IBL65643 ILH65544:ILH65643 IVD65544:IVD65643 JEZ65544:JEZ65643 JOV65544:JOV65643 JYR65544:JYR65643 KIN65544:KIN65643 KSJ65544:KSJ65643 LCF65544:LCF65643 LMB65544:LMB65643 LVX65544:LVX65643 MFT65544:MFT65643 MPP65544:MPP65643 MZL65544:MZL65643 NJH65544:NJH65643 NTD65544:NTD65643 OCZ65544:OCZ65643 OMV65544:OMV65643 OWR65544:OWR65643 PGN65544:PGN65643 PQJ65544:PQJ65643 QAF65544:QAF65643 QKB65544:QKB65643 QTX65544:QTX65643 RDT65544:RDT65643 RNP65544:RNP65643 RXL65544:RXL65643 SHH65544:SHH65643 SRD65544:SRD65643 TAZ65544:TAZ65643 TKV65544:TKV65643 TUR65544:TUR65643 UEN65544:UEN65643 UOJ65544:UOJ65643 UYF65544:UYF65643 VIB65544:VIB65643 VRX65544:VRX65643 WBT65544:WBT65643 WLP65544:WLP65643 WVL65544:WVL65643 D131080:D131179 IZ131080:IZ131179 SV131080:SV131179 ACR131080:ACR131179 AMN131080:AMN131179 AWJ131080:AWJ131179 BGF131080:BGF131179 BQB131080:BQB131179 BZX131080:BZX131179 CJT131080:CJT131179 CTP131080:CTP131179 DDL131080:DDL131179 DNH131080:DNH131179 DXD131080:DXD131179 EGZ131080:EGZ131179 EQV131080:EQV131179 FAR131080:FAR131179 FKN131080:FKN131179 FUJ131080:FUJ131179 GEF131080:GEF131179 GOB131080:GOB131179 GXX131080:GXX131179 HHT131080:HHT131179 HRP131080:HRP131179 IBL131080:IBL131179 ILH131080:ILH131179 IVD131080:IVD131179 JEZ131080:JEZ131179 JOV131080:JOV131179 JYR131080:JYR131179 KIN131080:KIN131179 KSJ131080:KSJ131179 LCF131080:LCF131179 LMB131080:LMB131179 LVX131080:LVX131179 MFT131080:MFT131179 MPP131080:MPP131179 MZL131080:MZL131179 NJH131080:NJH131179 NTD131080:NTD131179 OCZ131080:OCZ131179 OMV131080:OMV131179 OWR131080:OWR131179 PGN131080:PGN131179 PQJ131080:PQJ131179 QAF131080:QAF131179 QKB131080:QKB131179 QTX131080:QTX131179 RDT131080:RDT131179 RNP131080:RNP131179 RXL131080:RXL131179 SHH131080:SHH131179 SRD131080:SRD131179 TAZ131080:TAZ131179 TKV131080:TKV131179 TUR131080:TUR131179 UEN131080:UEN131179 UOJ131080:UOJ131179 UYF131080:UYF131179 VIB131080:VIB131179 VRX131080:VRX131179 WBT131080:WBT131179 WLP131080:WLP131179 WVL131080:WVL131179 D196616:D196715 IZ196616:IZ196715 SV196616:SV196715 ACR196616:ACR196715 AMN196616:AMN196715 AWJ196616:AWJ196715 BGF196616:BGF196715 BQB196616:BQB196715 BZX196616:BZX196715 CJT196616:CJT196715 CTP196616:CTP196715 DDL196616:DDL196715 DNH196616:DNH196715 DXD196616:DXD196715 EGZ196616:EGZ196715 EQV196616:EQV196715 FAR196616:FAR196715 FKN196616:FKN196715 FUJ196616:FUJ196715 GEF196616:GEF196715 GOB196616:GOB196715 GXX196616:GXX196715 HHT196616:HHT196715 HRP196616:HRP196715 IBL196616:IBL196715 ILH196616:ILH196715 IVD196616:IVD196715 JEZ196616:JEZ196715 JOV196616:JOV196715 JYR196616:JYR196715 KIN196616:KIN196715 KSJ196616:KSJ196715 LCF196616:LCF196715 LMB196616:LMB196715 LVX196616:LVX196715 MFT196616:MFT196715 MPP196616:MPP196715 MZL196616:MZL196715 NJH196616:NJH196715 NTD196616:NTD196715 OCZ196616:OCZ196715 OMV196616:OMV196715 OWR196616:OWR196715 PGN196616:PGN196715 PQJ196616:PQJ196715 QAF196616:QAF196715 QKB196616:QKB196715 QTX196616:QTX196715 RDT196616:RDT196715 RNP196616:RNP196715 RXL196616:RXL196715 SHH196616:SHH196715 SRD196616:SRD196715 TAZ196616:TAZ196715 TKV196616:TKV196715 TUR196616:TUR196715 UEN196616:UEN196715 UOJ196616:UOJ196715 UYF196616:UYF196715 VIB196616:VIB196715 VRX196616:VRX196715 WBT196616:WBT196715 WLP196616:WLP196715 WVL196616:WVL196715 D262152:D262251 IZ262152:IZ262251 SV262152:SV262251 ACR262152:ACR262251 AMN262152:AMN262251 AWJ262152:AWJ262251 BGF262152:BGF262251 BQB262152:BQB262251 BZX262152:BZX262251 CJT262152:CJT262251 CTP262152:CTP262251 DDL262152:DDL262251 DNH262152:DNH262251 DXD262152:DXD262251 EGZ262152:EGZ262251 EQV262152:EQV262251 FAR262152:FAR262251 FKN262152:FKN262251 FUJ262152:FUJ262251 GEF262152:GEF262251 GOB262152:GOB262251 GXX262152:GXX262251 HHT262152:HHT262251 HRP262152:HRP262251 IBL262152:IBL262251 ILH262152:ILH262251 IVD262152:IVD262251 JEZ262152:JEZ262251 JOV262152:JOV262251 JYR262152:JYR262251 KIN262152:KIN262251 KSJ262152:KSJ262251 LCF262152:LCF262251 LMB262152:LMB262251 LVX262152:LVX262251 MFT262152:MFT262251 MPP262152:MPP262251 MZL262152:MZL262251 NJH262152:NJH262251 NTD262152:NTD262251 OCZ262152:OCZ262251 OMV262152:OMV262251 OWR262152:OWR262251 PGN262152:PGN262251 PQJ262152:PQJ262251 QAF262152:QAF262251 QKB262152:QKB262251 QTX262152:QTX262251 RDT262152:RDT262251 RNP262152:RNP262251 RXL262152:RXL262251 SHH262152:SHH262251 SRD262152:SRD262251 TAZ262152:TAZ262251 TKV262152:TKV262251 TUR262152:TUR262251 UEN262152:UEN262251 UOJ262152:UOJ262251 UYF262152:UYF262251 VIB262152:VIB262251 VRX262152:VRX262251 WBT262152:WBT262251 WLP262152:WLP262251 WVL262152:WVL262251 D327688:D327787 IZ327688:IZ327787 SV327688:SV327787 ACR327688:ACR327787 AMN327688:AMN327787 AWJ327688:AWJ327787 BGF327688:BGF327787 BQB327688:BQB327787 BZX327688:BZX327787 CJT327688:CJT327787 CTP327688:CTP327787 DDL327688:DDL327787 DNH327688:DNH327787 DXD327688:DXD327787 EGZ327688:EGZ327787 EQV327688:EQV327787 FAR327688:FAR327787 FKN327688:FKN327787 FUJ327688:FUJ327787 GEF327688:GEF327787 GOB327688:GOB327787 GXX327688:GXX327787 HHT327688:HHT327787 HRP327688:HRP327787 IBL327688:IBL327787 ILH327688:ILH327787 IVD327688:IVD327787 JEZ327688:JEZ327787 JOV327688:JOV327787 JYR327688:JYR327787 KIN327688:KIN327787 KSJ327688:KSJ327787 LCF327688:LCF327787 LMB327688:LMB327787 LVX327688:LVX327787 MFT327688:MFT327787 MPP327688:MPP327787 MZL327688:MZL327787 NJH327688:NJH327787 NTD327688:NTD327787 OCZ327688:OCZ327787 OMV327688:OMV327787 OWR327688:OWR327787 PGN327688:PGN327787 PQJ327688:PQJ327787 QAF327688:QAF327787 QKB327688:QKB327787 QTX327688:QTX327787 RDT327688:RDT327787 RNP327688:RNP327787 RXL327688:RXL327787 SHH327688:SHH327787 SRD327688:SRD327787 TAZ327688:TAZ327787 TKV327688:TKV327787 TUR327688:TUR327787 UEN327688:UEN327787 UOJ327688:UOJ327787 UYF327688:UYF327787 VIB327688:VIB327787 VRX327688:VRX327787 WBT327688:WBT327787 WLP327688:WLP327787 WVL327688:WVL327787 D393224:D393323 IZ393224:IZ393323 SV393224:SV393323 ACR393224:ACR393323 AMN393224:AMN393323 AWJ393224:AWJ393323 BGF393224:BGF393323 BQB393224:BQB393323 BZX393224:BZX393323 CJT393224:CJT393323 CTP393224:CTP393323 DDL393224:DDL393323 DNH393224:DNH393323 DXD393224:DXD393323 EGZ393224:EGZ393323 EQV393224:EQV393323 FAR393224:FAR393323 FKN393224:FKN393323 FUJ393224:FUJ393323 GEF393224:GEF393323 GOB393224:GOB393323 GXX393224:GXX393323 HHT393224:HHT393323 HRP393224:HRP393323 IBL393224:IBL393323 ILH393224:ILH393323 IVD393224:IVD393323 JEZ393224:JEZ393323 JOV393224:JOV393323 JYR393224:JYR393323 KIN393224:KIN393323 KSJ393224:KSJ393323 LCF393224:LCF393323 LMB393224:LMB393323 LVX393224:LVX393323 MFT393224:MFT393323 MPP393224:MPP393323 MZL393224:MZL393323 NJH393224:NJH393323 NTD393224:NTD393323 OCZ393224:OCZ393323 OMV393224:OMV393323 OWR393224:OWR393323 PGN393224:PGN393323 PQJ393224:PQJ393323 QAF393224:QAF393323 QKB393224:QKB393323 QTX393224:QTX393323 RDT393224:RDT393323 RNP393224:RNP393323 RXL393224:RXL393323 SHH393224:SHH393323 SRD393224:SRD393323 TAZ393224:TAZ393323 TKV393224:TKV393323 TUR393224:TUR393323 UEN393224:UEN393323 UOJ393224:UOJ393323 UYF393224:UYF393323 VIB393224:VIB393323 VRX393224:VRX393323 WBT393224:WBT393323 WLP393224:WLP393323 WVL393224:WVL393323 D458760:D458859 IZ458760:IZ458859 SV458760:SV458859 ACR458760:ACR458859 AMN458760:AMN458859 AWJ458760:AWJ458859 BGF458760:BGF458859 BQB458760:BQB458859 BZX458760:BZX458859 CJT458760:CJT458859 CTP458760:CTP458859 DDL458760:DDL458859 DNH458760:DNH458859 DXD458760:DXD458859 EGZ458760:EGZ458859 EQV458760:EQV458859 FAR458760:FAR458859 FKN458760:FKN458859 FUJ458760:FUJ458859 GEF458760:GEF458859 GOB458760:GOB458859 GXX458760:GXX458859 HHT458760:HHT458859 HRP458760:HRP458859 IBL458760:IBL458859 ILH458760:ILH458859 IVD458760:IVD458859 JEZ458760:JEZ458859 JOV458760:JOV458859 JYR458760:JYR458859 KIN458760:KIN458859 KSJ458760:KSJ458859 LCF458760:LCF458859 LMB458760:LMB458859 LVX458760:LVX458859 MFT458760:MFT458859 MPP458760:MPP458859 MZL458760:MZL458859 NJH458760:NJH458859 NTD458760:NTD458859 OCZ458760:OCZ458859 OMV458760:OMV458859 OWR458760:OWR458859 PGN458760:PGN458859 PQJ458760:PQJ458859 QAF458760:QAF458859 QKB458760:QKB458859 QTX458760:QTX458859 RDT458760:RDT458859 RNP458760:RNP458859 RXL458760:RXL458859 SHH458760:SHH458859 SRD458760:SRD458859 TAZ458760:TAZ458859 TKV458760:TKV458859 TUR458760:TUR458859 UEN458760:UEN458859 UOJ458760:UOJ458859 UYF458760:UYF458859 VIB458760:VIB458859 VRX458760:VRX458859 WBT458760:WBT458859 WLP458760:WLP458859 WVL458760:WVL458859 D524296:D524395 IZ524296:IZ524395 SV524296:SV524395 ACR524296:ACR524395 AMN524296:AMN524395 AWJ524296:AWJ524395 BGF524296:BGF524395 BQB524296:BQB524395 BZX524296:BZX524395 CJT524296:CJT524395 CTP524296:CTP524395 DDL524296:DDL524395 DNH524296:DNH524395 DXD524296:DXD524395 EGZ524296:EGZ524395 EQV524296:EQV524395 FAR524296:FAR524395 FKN524296:FKN524395 FUJ524296:FUJ524395 GEF524296:GEF524395 GOB524296:GOB524395 GXX524296:GXX524395 HHT524296:HHT524395 HRP524296:HRP524395 IBL524296:IBL524395 ILH524296:ILH524395 IVD524296:IVD524395 JEZ524296:JEZ524395 JOV524296:JOV524395 JYR524296:JYR524395 KIN524296:KIN524395 KSJ524296:KSJ524395 LCF524296:LCF524395 LMB524296:LMB524395 LVX524296:LVX524395 MFT524296:MFT524395 MPP524296:MPP524395 MZL524296:MZL524395 NJH524296:NJH524395 NTD524296:NTD524395 OCZ524296:OCZ524395 OMV524296:OMV524395 OWR524296:OWR524395 PGN524296:PGN524395 PQJ524296:PQJ524395 QAF524296:QAF524395 QKB524296:QKB524395 QTX524296:QTX524395 RDT524296:RDT524395 RNP524296:RNP524395 RXL524296:RXL524395 SHH524296:SHH524395 SRD524296:SRD524395 TAZ524296:TAZ524395 TKV524296:TKV524395 TUR524296:TUR524395 UEN524296:UEN524395 UOJ524296:UOJ524395 UYF524296:UYF524395 VIB524296:VIB524395 VRX524296:VRX524395 WBT524296:WBT524395 WLP524296:WLP524395 WVL524296:WVL524395 D589832:D589931 IZ589832:IZ589931 SV589832:SV589931 ACR589832:ACR589931 AMN589832:AMN589931 AWJ589832:AWJ589931 BGF589832:BGF589931 BQB589832:BQB589931 BZX589832:BZX589931 CJT589832:CJT589931 CTP589832:CTP589931 DDL589832:DDL589931 DNH589832:DNH589931 DXD589832:DXD589931 EGZ589832:EGZ589931 EQV589832:EQV589931 FAR589832:FAR589931 FKN589832:FKN589931 FUJ589832:FUJ589931 GEF589832:GEF589931 GOB589832:GOB589931 GXX589832:GXX589931 HHT589832:HHT589931 HRP589832:HRP589931 IBL589832:IBL589931 ILH589832:ILH589931 IVD589832:IVD589931 JEZ589832:JEZ589931 JOV589832:JOV589931 JYR589832:JYR589931 KIN589832:KIN589931 KSJ589832:KSJ589931 LCF589832:LCF589931 LMB589832:LMB589931 LVX589832:LVX589931 MFT589832:MFT589931 MPP589832:MPP589931 MZL589832:MZL589931 NJH589832:NJH589931 NTD589832:NTD589931 OCZ589832:OCZ589931 OMV589832:OMV589931 OWR589832:OWR589931 PGN589832:PGN589931 PQJ589832:PQJ589931 QAF589832:QAF589931 QKB589832:QKB589931 QTX589832:QTX589931 RDT589832:RDT589931 RNP589832:RNP589931 RXL589832:RXL589931 SHH589832:SHH589931 SRD589832:SRD589931 TAZ589832:TAZ589931 TKV589832:TKV589931 TUR589832:TUR589931 UEN589832:UEN589931 UOJ589832:UOJ589931 UYF589832:UYF589931 VIB589832:VIB589931 VRX589832:VRX589931 WBT589832:WBT589931 WLP589832:WLP589931 WVL589832:WVL589931 D655368:D655467 IZ655368:IZ655467 SV655368:SV655467 ACR655368:ACR655467 AMN655368:AMN655467 AWJ655368:AWJ655467 BGF655368:BGF655467 BQB655368:BQB655467 BZX655368:BZX655467 CJT655368:CJT655467 CTP655368:CTP655467 DDL655368:DDL655467 DNH655368:DNH655467 DXD655368:DXD655467 EGZ655368:EGZ655467 EQV655368:EQV655467 FAR655368:FAR655467 FKN655368:FKN655467 FUJ655368:FUJ655467 GEF655368:GEF655467 GOB655368:GOB655467 GXX655368:GXX655467 HHT655368:HHT655467 HRP655368:HRP655467 IBL655368:IBL655467 ILH655368:ILH655467 IVD655368:IVD655467 JEZ655368:JEZ655467 JOV655368:JOV655467 JYR655368:JYR655467 KIN655368:KIN655467 KSJ655368:KSJ655467 LCF655368:LCF655467 LMB655368:LMB655467 LVX655368:LVX655467 MFT655368:MFT655467 MPP655368:MPP655467 MZL655368:MZL655467 NJH655368:NJH655467 NTD655368:NTD655467 OCZ655368:OCZ655467 OMV655368:OMV655467 OWR655368:OWR655467 PGN655368:PGN655467 PQJ655368:PQJ655467 QAF655368:QAF655467 QKB655368:QKB655467 QTX655368:QTX655467 RDT655368:RDT655467 RNP655368:RNP655467 RXL655368:RXL655467 SHH655368:SHH655467 SRD655368:SRD655467 TAZ655368:TAZ655467 TKV655368:TKV655467 TUR655368:TUR655467 UEN655368:UEN655467 UOJ655368:UOJ655467 UYF655368:UYF655467 VIB655368:VIB655467 VRX655368:VRX655467 WBT655368:WBT655467 WLP655368:WLP655467 WVL655368:WVL655467 D720904:D721003 IZ720904:IZ721003 SV720904:SV721003 ACR720904:ACR721003 AMN720904:AMN721003 AWJ720904:AWJ721003 BGF720904:BGF721003 BQB720904:BQB721003 BZX720904:BZX721003 CJT720904:CJT721003 CTP720904:CTP721003 DDL720904:DDL721003 DNH720904:DNH721003 DXD720904:DXD721003 EGZ720904:EGZ721003 EQV720904:EQV721003 FAR720904:FAR721003 FKN720904:FKN721003 FUJ720904:FUJ721003 GEF720904:GEF721003 GOB720904:GOB721003 GXX720904:GXX721003 HHT720904:HHT721003 HRP720904:HRP721003 IBL720904:IBL721003 ILH720904:ILH721003 IVD720904:IVD721003 JEZ720904:JEZ721003 JOV720904:JOV721003 JYR720904:JYR721003 KIN720904:KIN721003 KSJ720904:KSJ721003 LCF720904:LCF721003 LMB720904:LMB721003 LVX720904:LVX721003 MFT720904:MFT721003 MPP720904:MPP721003 MZL720904:MZL721003 NJH720904:NJH721003 NTD720904:NTD721003 OCZ720904:OCZ721003 OMV720904:OMV721003 OWR720904:OWR721003 PGN720904:PGN721003 PQJ720904:PQJ721003 QAF720904:QAF721003 QKB720904:QKB721003 QTX720904:QTX721003 RDT720904:RDT721003 RNP720904:RNP721003 RXL720904:RXL721003 SHH720904:SHH721003 SRD720904:SRD721003 TAZ720904:TAZ721003 TKV720904:TKV721003 TUR720904:TUR721003 UEN720904:UEN721003 UOJ720904:UOJ721003 UYF720904:UYF721003 VIB720904:VIB721003 VRX720904:VRX721003 WBT720904:WBT721003 WLP720904:WLP721003 WVL720904:WVL721003 D786440:D786539 IZ786440:IZ786539 SV786440:SV786539 ACR786440:ACR786539 AMN786440:AMN786539 AWJ786440:AWJ786539 BGF786440:BGF786539 BQB786440:BQB786539 BZX786440:BZX786539 CJT786440:CJT786539 CTP786440:CTP786539 DDL786440:DDL786539 DNH786440:DNH786539 DXD786440:DXD786539 EGZ786440:EGZ786539 EQV786440:EQV786539 FAR786440:FAR786539 FKN786440:FKN786539 FUJ786440:FUJ786539 GEF786440:GEF786539 GOB786440:GOB786539 GXX786440:GXX786539 HHT786440:HHT786539 HRP786440:HRP786539 IBL786440:IBL786539 ILH786440:ILH786539 IVD786440:IVD786539 JEZ786440:JEZ786539 JOV786440:JOV786539 JYR786440:JYR786539 KIN786440:KIN786539 KSJ786440:KSJ786539 LCF786440:LCF786539 LMB786440:LMB786539 LVX786440:LVX786539 MFT786440:MFT786539 MPP786440:MPP786539 MZL786440:MZL786539 NJH786440:NJH786539 NTD786440:NTD786539 OCZ786440:OCZ786539 OMV786440:OMV786539 OWR786440:OWR786539 PGN786440:PGN786539 PQJ786440:PQJ786539 QAF786440:QAF786539 QKB786440:QKB786539 QTX786440:QTX786539 RDT786440:RDT786539 RNP786440:RNP786539 RXL786440:RXL786539 SHH786440:SHH786539 SRD786440:SRD786539 TAZ786440:TAZ786539 TKV786440:TKV786539 TUR786440:TUR786539 UEN786440:UEN786539 UOJ786440:UOJ786539 UYF786440:UYF786539 VIB786440:VIB786539 VRX786440:VRX786539 WBT786440:WBT786539 WLP786440:WLP786539 WVL786440:WVL786539 D851976:D852075 IZ851976:IZ852075 SV851976:SV852075 ACR851976:ACR852075 AMN851976:AMN852075 AWJ851976:AWJ852075 BGF851976:BGF852075 BQB851976:BQB852075 BZX851976:BZX852075 CJT851976:CJT852075 CTP851976:CTP852075 DDL851976:DDL852075 DNH851976:DNH852075 DXD851976:DXD852075 EGZ851976:EGZ852075 EQV851976:EQV852075 FAR851976:FAR852075 FKN851976:FKN852075 FUJ851976:FUJ852075 GEF851976:GEF852075 GOB851976:GOB852075 GXX851976:GXX852075 HHT851976:HHT852075 HRP851976:HRP852075 IBL851976:IBL852075 ILH851976:ILH852075 IVD851976:IVD852075 JEZ851976:JEZ852075 JOV851976:JOV852075 JYR851976:JYR852075 KIN851976:KIN852075 KSJ851976:KSJ852075 LCF851976:LCF852075 LMB851976:LMB852075 LVX851976:LVX852075 MFT851976:MFT852075 MPP851976:MPP852075 MZL851976:MZL852075 NJH851976:NJH852075 NTD851976:NTD852075 OCZ851976:OCZ852075 OMV851976:OMV852075 OWR851976:OWR852075 PGN851976:PGN852075 PQJ851976:PQJ852075 QAF851976:QAF852075 QKB851976:QKB852075 QTX851976:QTX852075 RDT851976:RDT852075 RNP851976:RNP852075 RXL851976:RXL852075 SHH851976:SHH852075 SRD851976:SRD852075 TAZ851976:TAZ852075 TKV851976:TKV852075 TUR851976:TUR852075 UEN851976:UEN852075 UOJ851976:UOJ852075 UYF851976:UYF852075 VIB851976:VIB852075 VRX851976:VRX852075 WBT851976:WBT852075 WLP851976:WLP852075 WVL851976:WVL852075 D917512:D917611 IZ917512:IZ917611 SV917512:SV917611 ACR917512:ACR917611 AMN917512:AMN917611 AWJ917512:AWJ917611 BGF917512:BGF917611 BQB917512:BQB917611 BZX917512:BZX917611 CJT917512:CJT917611 CTP917512:CTP917611 DDL917512:DDL917611 DNH917512:DNH917611 DXD917512:DXD917611 EGZ917512:EGZ917611 EQV917512:EQV917611 FAR917512:FAR917611 FKN917512:FKN917611 FUJ917512:FUJ917611 GEF917512:GEF917611 GOB917512:GOB917611 GXX917512:GXX917611 HHT917512:HHT917611 HRP917512:HRP917611 IBL917512:IBL917611 ILH917512:ILH917611 IVD917512:IVD917611 JEZ917512:JEZ917611 JOV917512:JOV917611 JYR917512:JYR917611 KIN917512:KIN917611 KSJ917512:KSJ917611 LCF917512:LCF917611 LMB917512:LMB917611 LVX917512:LVX917611 MFT917512:MFT917611 MPP917512:MPP917611 MZL917512:MZL917611 NJH917512:NJH917611 NTD917512:NTD917611 OCZ917512:OCZ917611 OMV917512:OMV917611 OWR917512:OWR917611 PGN917512:PGN917611 PQJ917512:PQJ917611 QAF917512:QAF917611 QKB917512:QKB917611 QTX917512:QTX917611 RDT917512:RDT917611 RNP917512:RNP917611 RXL917512:RXL917611 SHH917512:SHH917611 SRD917512:SRD917611 TAZ917512:TAZ917611 TKV917512:TKV917611 TUR917512:TUR917611 UEN917512:UEN917611 UOJ917512:UOJ917611 UYF917512:UYF917611 VIB917512:VIB917611 VRX917512:VRX917611 WBT917512:WBT917611 WLP917512:WLP917611 WVL917512:WVL917611 D983048:D983147 IZ983048:IZ983147 SV983048:SV983147 ACR983048:ACR983147 AMN983048:AMN983147 AWJ983048:AWJ983147 BGF983048:BGF983147 BQB983048:BQB983147 BZX983048:BZX983147 CJT983048:CJT983147 CTP983048:CTP983147 DDL983048:DDL983147 DNH983048:DNH983147 DXD983048:DXD983147 EGZ983048:EGZ983147 EQV983048:EQV983147 FAR983048:FAR983147 FKN983048:FKN983147 FUJ983048:FUJ983147 GEF983048:GEF983147 GOB983048:GOB983147 GXX983048:GXX983147 HHT983048:HHT983147 HRP983048:HRP983147 IBL983048:IBL983147 ILH983048:ILH983147 IVD983048:IVD983147 JEZ983048:JEZ983147 JOV983048:JOV983147 JYR983048:JYR983147 KIN983048:KIN983147 KSJ983048:KSJ983147 LCF983048:LCF983147 LMB983048:LMB983147 LVX983048:LVX983147 MFT983048:MFT983147 MPP983048:MPP983147 MZL983048:MZL983147 NJH983048:NJH983147 NTD983048:NTD983147 OCZ983048:OCZ983147 OMV983048:OMV983147 OWR983048:OWR983147 PGN983048:PGN983147 PQJ983048:PQJ983147 QAF983048:QAF983147 QKB983048:QKB983147 QTX983048:QTX983147 RDT983048:RDT983147 RNP983048:RNP983147 RXL983048:RXL983147 SHH983048:SHH983147 SRD983048:SRD983147 TAZ983048:TAZ983147 TKV983048:TKV983147 TUR983048:TUR983147 UEN983048:UEN983147 UOJ983048:UOJ983147 UYF983048:UYF983147 VIB983048:VIB983147 VRX983048:VRX983147 WBT983048:WBT983147 WLP983048:WLP983147 P8:Q107 D8:D107">
      <formula1>"X"</formula1>
    </dataValidation>
    <dataValidation type="list" allowBlank="1" showInputMessage="1" showErrorMessage="1" sqref="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S8:S107">
      <formula1>"Tốt,,Khá,Đạt,C.Đạt,/"</formula1>
    </dataValidation>
    <dataValidation type="list" allowBlank="1" showInputMessage="1" showErrorMessage="1"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J8:J107">
      <formula1>"Trên ĐH,Đại học,Cao đẳng,Trung cấp,Dưới TC"</formula1>
    </dataValidation>
    <dataValidation type="list" allowBlank="1" showInputMessage="1" showErrorMessage="1" sqref="WVN983048:WVN98314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F65544:F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F131080:F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F196616:F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F262152:F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F327688:F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F393224:F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F458760:F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F524296:F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F589832:F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F655368:F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F720904:F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F786440:F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F851976:F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F917512:F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F983048:F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formula1>"Quản lý,Tiểu học, Âm nhạc,Mỹ thuật,Thể dục,Tin học,Ngoại ngữ,TPT Đội,Văn phòng,Thư viện-TBDH,Khác"</formula1>
    </dataValidation>
    <dataValidation type="list" allowBlank="1" showInputMessage="1" showErrorMessage="1" sqref="WVM983048:WVM983147 JA8:JA107 SW8:SW107 ACS8:ACS107 AMO8:AMO107 AWK8:AWK107 BGG8:BGG107 BQC8:BQC107 BZY8:BZY107 CJU8:CJU107 CTQ8:CTQ107 DDM8:DDM107 DNI8:DNI107 DXE8:DXE107 EHA8:EHA107 EQW8:EQW107 FAS8:FAS107 FKO8:FKO107 FUK8:FUK107 GEG8:GEG107 GOC8:GOC107 GXY8:GXY107 HHU8:HHU107 HRQ8:HRQ107 IBM8:IBM107 ILI8:ILI107 IVE8:IVE107 JFA8:JFA107 JOW8:JOW107 JYS8:JYS107 KIO8:KIO107 KSK8:KSK107 LCG8:LCG107 LMC8:LMC107 LVY8:LVY107 MFU8:MFU107 MPQ8:MPQ107 MZM8:MZM107 NJI8:NJI107 NTE8:NTE107 ODA8:ODA107 OMW8:OMW107 OWS8:OWS107 PGO8:PGO107 PQK8:PQK107 QAG8:QAG107 QKC8:QKC107 QTY8:QTY107 RDU8:RDU107 RNQ8:RNQ107 RXM8:RXM107 SHI8:SHI107 SRE8:SRE107 TBA8:TBA107 TKW8:TKW107 TUS8:TUS107 UEO8:UEO107 UOK8:UOK107 UYG8:UYG107 VIC8:VIC107 VRY8:VRY107 WBU8:WBU107 WLQ8:WLQ107 WVM8:WVM107 E65544:E65643 JA65544:JA65643 SW65544:SW65643 ACS65544:ACS65643 AMO65544:AMO65643 AWK65544:AWK65643 BGG65544:BGG65643 BQC65544:BQC65643 BZY65544:BZY65643 CJU65544:CJU65643 CTQ65544:CTQ65643 DDM65544:DDM65643 DNI65544:DNI65643 DXE65544:DXE65643 EHA65544:EHA65643 EQW65544:EQW65643 FAS65544:FAS65643 FKO65544:FKO65643 FUK65544:FUK65643 GEG65544:GEG65643 GOC65544:GOC65643 GXY65544:GXY65643 HHU65544:HHU65643 HRQ65544:HRQ65643 IBM65544:IBM65643 ILI65544:ILI65643 IVE65544:IVE65643 JFA65544:JFA65643 JOW65544:JOW65643 JYS65544:JYS65643 KIO65544:KIO65643 KSK65544:KSK65643 LCG65544:LCG65643 LMC65544:LMC65643 LVY65544:LVY65643 MFU65544:MFU65643 MPQ65544:MPQ65643 MZM65544:MZM65643 NJI65544:NJI65643 NTE65544:NTE65643 ODA65544:ODA65643 OMW65544:OMW65643 OWS65544:OWS65643 PGO65544:PGO65643 PQK65544:PQK65643 QAG65544:QAG65643 QKC65544:QKC65643 QTY65544:QTY65643 RDU65544:RDU65643 RNQ65544:RNQ65643 RXM65544:RXM65643 SHI65544:SHI65643 SRE65544:SRE65643 TBA65544:TBA65643 TKW65544:TKW65643 TUS65544:TUS65643 UEO65544:UEO65643 UOK65544:UOK65643 UYG65544:UYG65643 VIC65544:VIC65643 VRY65544:VRY65643 WBU65544:WBU65643 WLQ65544:WLQ65643 WVM65544:WVM65643 E131080:E131179 JA131080:JA131179 SW131080:SW131179 ACS131080:ACS131179 AMO131080:AMO131179 AWK131080:AWK131179 BGG131080:BGG131179 BQC131080:BQC131179 BZY131080:BZY131179 CJU131080:CJU131179 CTQ131080:CTQ131179 DDM131080:DDM131179 DNI131080:DNI131179 DXE131080:DXE131179 EHA131080:EHA131179 EQW131080:EQW131179 FAS131080:FAS131179 FKO131080:FKO131179 FUK131080:FUK131179 GEG131080:GEG131179 GOC131080:GOC131179 GXY131080:GXY131179 HHU131080:HHU131179 HRQ131080:HRQ131179 IBM131080:IBM131179 ILI131080:ILI131179 IVE131080:IVE131179 JFA131080:JFA131179 JOW131080:JOW131179 JYS131080:JYS131179 KIO131080:KIO131179 KSK131080:KSK131179 LCG131080:LCG131179 LMC131080:LMC131179 LVY131080:LVY131179 MFU131080:MFU131179 MPQ131080:MPQ131179 MZM131080:MZM131179 NJI131080:NJI131179 NTE131080:NTE131179 ODA131080:ODA131179 OMW131080:OMW131179 OWS131080:OWS131179 PGO131080:PGO131179 PQK131080:PQK131179 QAG131080:QAG131179 QKC131080:QKC131179 QTY131080:QTY131179 RDU131080:RDU131179 RNQ131080:RNQ131179 RXM131080:RXM131179 SHI131080:SHI131179 SRE131080:SRE131179 TBA131080:TBA131179 TKW131080:TKW131179 TUS131080:TUS131179 UEO131080:UEO131179 UOK131080:UOK131179 UYG131080:UYG131179 VIC131080:VIC131179 VRY131080:VRY131179 WBU131080:WBU131179 WLQ131080:WLQ131179 WVM131080:WVM131179 E196616:E196715 JA196616:JA196715 SW196616:SW196715 ACS196616:ACS196715 AMO196616:AMO196715 AWK196616:AWK196715 BGG196616:BGG196715 BQC196616:BQC196715 BZY196616:BZY196715 CJU196616:CJU196715 CTQ196616:CTQ196715 DDM196616:DDM196715 DNI196616:DNI196715 DXE196616:DXE196715 EHA196616:EHA196715 EQW196616:EQW196715 FAS196616:FAS196715 FKO196616:FKO196715 FUK196616:FUK196715 GEG196616:GEG196715 GOC196616:GOC196715 GXY196616:GXY196715 HHU196616:HHU196715 HRQ196616:HRQ196715 IBM196616:IBM196715 ILI196616:ILI196715 IVE196616:IVE196715 JFA196616:JFA196715 JOW196616:JOW196715 JYS196616:JYS196715 KIO196616:KIO196715 KSK196616:KSK196715 LCG196616:LCG196715 LMC196616:LMC196715 LVY196616:LVY196715 MFU196616:MFU196715 MPQ196616:MPQ196715 MZM196616:MZM196715 NJI196616:NJI196715 NTE196616:NTE196715 ODA196616:ODA196715 OMW196616:OMW196715 OWS196616:OWS196715 PGO196616:PGO196715 PQK196616:PQK196715 QAG196616:QAG196715 QKC196616:QKC196715 QTY196616:QTY196715 RDU196616:RDU196715 RNQ196616:RNQ196715 RXM196616:RXM196715 SHI196616:SHI196715 SRE196616:SRE196715 TBA196616:TBA196715 TKW196616:TKW196715 TUS196616:TUS196715 UEO196616:UEO196715 UOK196616:UOK196715 UYG196616:UYG196715 VIC196616:VIC196715 VRY196616:VRY196715 WBU196616:WBU196715 WLQ196616:WLQ196715 WVM196616:WVM196715 E262152:E262251 JA262152:JA262251 SW262152:SW262251 ACS262152:ACS262251 AMO262152:AMO262251 AWK262152:AWK262251 BGG262152:BGG262251 BQC262152:BQC262251 BZY262152:BZY262251 CJU262152:CJU262251 CTQ262152:CTQ262251 DDM262152:DDM262251 DNI262152:DNI262251 DXE262152:DXE262251 EHA262152:EHA262251 EQW262152:EQW262251 FAS262152:FAS262251 FKO262152:FKO262251 FUK262152:FUK262251 GEG262152:GEG262251 GOC262152:GOC262251 GXY262152:GXY262251 HHU262152:HHU262251 HRQ262152:HRQ262251 IBM262152:IBM262251 ILI262152:ILI262251 IVE262152:IVE262251 JFA262152:JFA262251 JOW262152:JOW262251 JYS262152:JYS262251 KIO262152:KIO262251 KSK262152:KSK262251 LCG262152:LCG262251 LMC262152:LMC262251 LVY262152:LVY262251 MFU262152:MFU262251 MPQ262152:MPQ262251 MZM262152:MZM262251 NJI262152:NJI262251 NTE262152:NTE262251 ODA262152:ODA262251 OMW262152:OMW262251 OWS262152:OWS262251 PGO262152:PGO262251 PQK262152:PQK262251 QAG262152:QAG262251 QKC262152:QKC262251 QTY262152:QTY262251 RDU262152:RDU262251 RNQ262152:RNQ262251 RXM262152:RXM262251 SHI262152:SHI262251 SRE262152:SRE262251 TBA262152:TBA262251 TKW262152:TKW262251 TUS262152:TUS262251 UEO262152:UEO262251 UOK262152:UOK262251 UYG262152:UYG262251 VIC262152:VIC262251 VRY262152:VRY262251 WBU262152:WBU262251 WLQ262152:WLQ262251 WVM262152:WVM262251 E327688:E327787 JA327688:JA327787 SW327688:SW327787 ACS327688:ACS327787 AMO327688:AMO327787 AWK327688:AWK327787 BGG327688:BGG327787 BQC327688:BQC327787 BZY327688:BZY327787 CJU327688:CJU327787 CTQ327688:CTQ327787 DDM327688:DDM327787 DNI327688:DNI327787 DXE327688:DXE327787 EHA327688:EHA327787 EQW327688:EQW327787 FAS327688:FAS327787 FKO327688:FKO327787 FUK327688:FUK327787 GEG327688:GEG327787 GOC327688:GOC327787 GXY327688:GXY327787 HHU327688:HHU327787 HRQ327688:HRQ327787 IBM327688:IBM327787 ILI327688:ILI327787 IVE327688:IVE327787 JFA327688:JFA327787 JOW327688:JOW327787 JYS327688:JYS327787 KIO327688:KIO327787 KSK327688:KSK327787 LCG327688:LCG327787 LMC327688:LMC327787 LVY327688:LVY327787 MFU327688:MFU327787 MPQ327688:MPQ327787 MZM327688:MZM327787 NJI327688:NJI327787 NTE327688:NTE327787 ODA327688:ODA327787 OMW327688:OMW327787 OWS327688:OWS327787 PGO327688:PGO327787 PQK327688:PQK327787 QAG327688:QAG327787 QKC327688:QKC327787 QTY327688:QTY327787 RDU327688:RDU327787 RNQ327688:RNQ327787 RXM327688:RXM327787 SHI327688:SHI327787 SRE327688:SRE327787 TBA327688:TBA327787 TKW327688:TKW327787 TUS327688:TUS327787 UEO327688:UEO327787 UOK327688:UOK327787 UYG327688:UYG327787 VIC327688:VIC327787 VRY327688:VRY327787 WBU327688:WBU327787 WLQ327688:WLQ327787 WVM327688:WVM327787 E393224:E393323 JA393224:JA393323 SW393224:SW393323 ACS393224:ACS393323 AMO393224:AMO393323 AWK393224:AWK393323 BGG393224:BGG393323 BQC393224:BQC393323 BZY393224:BZY393323 CJU393224:CJU393323 CTQ393224:CTQ393323 DDM393224:DDM393323 DNI393224:DNI393323 DXE393224:DXE393323 EHA393224:EHA393323 EQW393224:EQW393323 FAS393224:FAS393323 FKO393224:FKO393323 FUK393224:FUK393323 GEG393224:GEG393323 GOC393224:GOC393323 GXY393224:GXY393323 HHU393224:HHU393323 HRQ393224:HRQ393323 IBM393224:IBM393323 ILI393224:ILI393323 IVE393224:IVE393323 JFA393224:JFA393323 JOW393224:JOW393323 JYS393224:JYS393323 KIO393224:KIO393323 KSK393224:KSK393323 LCG393224:LCG393323 LMC393224:LMC393323 LVY393224:LVY393323 MFU393224:MFU393323 MPQ393224:MPQ393323 MZM393224:MZM393323 NJI393224:NJI393323 NTE393224:NTE393323 ODA393224:ODA393323 OMW393224:OMW393323 OWS393224:OWS393323 PGO393224:PGO393323 PQK393224:PQK393323 QAG393224:QAG393323 QKC393224:QKC393323 QTY393224:QTY393323 RDU393224:RDU393323 RNQ393224:RNQ393323 RXM393224:RXM393323 SHI393224:SHI393323 SRE393224:SRE393323 TBA393224:TBA393323 TKW393224:TKW393323 TUS393224:TUS393323 UEO393224:UEO393323 UOK393224:UOK393323 UYG393224:UYG393323 VIC393224:VIC393323 VRY393224:VRY393323 WBU393224:WBU393323 WLQ393224:WLQ393323 WVM393224:WVM393323 E458760:E458859 JA458760:JA458859 SW458760:SW458859 ACS458760:ACS458859 AMO458760:AMO458859 AWK458760:AWK458859 BGG458760:BGG458859 BQC458760:BQC458859 BZY458760:BZY458859 CJU458760:CJU458859 CTQ458760:CTQ458859 DDM458760:DDM458859 DNI458760:DNI458859 DXE458760:DXE458859 EHA458760:EHA458859 EQW458760:EQW458859 FAS458760:FAS458859 FKO458760:FKO458859 FUK458760:FUK458859 GEG458760:GEG458859 GOC458760:GOC458859 GXY458760:GXY458859 HHU458760:HHU458859 HRQ458760:HRQ458859 IBM458760:IBM458859 ILI458760:ILI458859 IVE458760:IVE458859 JFA458760:JFA458859 JOW458760:JOW458859 JYS458760:JYS458859 KIO458760:KIO458859 KSK458760:KSK458859 LCG458760:LCG458859 LMC458760:LMC458859 LVY458760:LVY458859 MFU458760:MFU458859 MPQ458760:MPQ458859 MZM458760:MZM458859 NJI458760:NJI458859 NTE458760:NTE458859 ODA458760:ODA458859 OMW458760:OMW458859 OWS458760:OWS458859 PGO458760:PGO458859 PQK458760:PQK458859 QAG458760:QAG458859 QKC458760:QKC458859 QTY458760:QTY458859 RDU458760:RDU458859 RNQ458760:RNQ458859 RXM458760:RXM458859 SHI458760:SHI458859 SRE458760:SRE458859 TBA458760:TBA458859 TKW458760:TKW458859 TUS458760:TUS458859 UEO458760:UEO458859 UOK458760:UOK458859 UYG458760:UYG458859 VIC458760:VIC458859 VRY458760:VRY458859 WBU458760:WBU458859 WLQ458760:WLQ458859 WVM458760:WVM458859 E524296:E524395 JA524296:JA524395 SW524296:SW524395 ACS524296:ACS524395 AMO524296:AMO524395 AWK524296:AWK524395 BGG524296:BGG524395 BQC524296:BQC524395 BZY524296:BZY524395 CJU524296:CJU524395 CTQ524296:CTQ524395 DDM524296:DDM524395 DNI524296:DNI524395 DXE524296:DXE524395 EHA524296:EHA524395 EQW524296:EQW524395 FAS524296:FAS524395 FKO524296:FKO524395 FUK524296:FUK524395 GEG524296:GEG524395 GOC524296:GOC524395 GXY524296:GXY524395 HHU524296:HHU524395 HRQ524296:HRQ524395 IBM524296:IBM524395 ILI524296:ILI524395 IVE524296:IVE524395 JFA524296:JFA524395 JOW524296:JOW524395 JYS524296:JYS524395 KIO524296:KIO524395 KSK524296:KSK524395 LCG524296:LCG524395 LMC524296:LMC524395 LVY524296:LVY524395 MFU524296:MFU524395 MPQ524296:MPQ524395 MZM524296:MZM524395 NJI524296:NJI524395 NTE524296:NTE524395 ODA524296:ODA524395 OMW524296:OMW524395 OWS524296:OWS524395 PGO524296:PGO524395 PQK524296:PQK524395 QAG524296:QAG524395 QKC524296:QKC524395 QTY524296:QTY524395 RDU524296:RDU524395 RNQ524296:RNQ524395 RXM524296:RXM524395 SHI524296:SHI524395 SRE524296:SRE524395 TBA524296:TBA524395 TKW524296:TKW524395 TUS524296:TUS524395 UEO524296:UEO524395 UOK524296:UOK524395 UYG524296:UYG524395 VIC524296:VIC524395 VRY524296:VRY524395 WBU524296:WBU524395 WLQ524296:WLQ524395 WVM524296:WVM524395 E589832:E589931 JA589832:JA589931 SW589832:SW589931 ACS589832:ACS589931 AMO589832:AMO589931 AWK589832:AWK589931 BGG589832:BGG589931 BQC589832:BQC589931 BZY589832:BZY589931 CJU589832:CJU589931 CTQ589832:CTQ589931 DDM589832:DDM589931 DNI589832:DNI589931 DXE589832:DXE589931 EHA589832:EHA589931 EQW589832:EQW589931 FAS589832:FAS589931 FKO589832:FKO589931 FUK589832:FUK589931 GEG589832:GEG589931 GOC589832:GOC589931 GXY589832:GXY589931 HHU589832:HHU589931 HRQ589832:HRQ589931 IBM589832:IBM589931 ILI589832:ILI589931 IVE589832:IVE589931 JFA589832:JFA589931 JOW589832:JOW589931 JYS589832:JYS589931 KIO589832:KIO589931 KSK589832:KSK589931 LCG589832:LCG589931 LMC589832:LMC589931 LVY589832:LVY589931 MFU589832:MFU589931 MPQ589832:MPQ589931 MZM589832:MZM589931 NJI589832:NJI589931 NTE589832:NTE589931 ODA589832:ODA589931 OMW589832:OMW589931 OWS589832:OWS589931 PGO589832:PGO589931 PQK589832:PQK589931 QAG589832:QAG589931 QKC589832:QKC589931 QTY589832:QTY589931 RDU589832:RDU589931 RNQ589832:RNQ589931 RXM589832:RXM589931 SHI589832:SHI589931 SRE589832:SRE589931 TBA589832:TBA589931 TKW589832:TKW589931 TUS589832:TUS589931 UEO589832:UEO589931 UOK589832:UOK589931 UYG589832:UYG589931 VIC589832:VIC589931 VRY589832:VRY589931 WBU589832:WBU589931 WLQ589832:WLQ589931 WVM589832:WVM589931 E655368:E655467 JA655368:JA655467 SW655368:SW655467 ACS655368:ACS655467 AMO655368:AMO655467 AWK655368:AWK655467 BGG655368:BGG655467 BQC655368:BQC655467 BZY655368:BZY655467 CJU655368:CJU655467 CTQ655368:CTQ655467 DDM655368:DDM655467 DNI655368:DNI655467 DXE655368:DXE655467 EHA655368:EHA655467 EQW655368:EQW655467 FAS655368:FAS655467 FKO655368:FKO655467 FUK655368:FUK655467 GEG655368:GEG655467 GOC655368:GOC655467 GXY655368:GXY655467 HHU655368:HHU655467 HRQ655368:HRQ655467 IBM655368:IBM655467 ILI655368:ILI655467 IVE655368:IVE655467 JFA655368:JFA655467 JOW655368:JOW655467 JYS655368:JYS655467 KIO655368:KIO655467 KSK655368:KSK655467 LCG655368:LCG655467 LMC655368:LMC655467 LVY655368:LVY655467 MFU655368:MFU655467 MPQ655368:MPQ655467 MZM655368:MZM655467 NJI655368:NJI655467 NTE655368:NTE655467 ODA655368:ODA655467 OMW655368:OMW655467 OWS655368:OWS655467 PGO655368:PGO655467 PQK655368:PQK655467 QAG655368:QAG655467 QKC655368:QKC655467 QTY655368:QTY655467 RDU655368:RDU655467 RNQ655368:RNQ655467 RXM655368:RXM655467 SHI655368:SHI655467 SRE655368:SRE655467 TBA655368:TBA655467 TKW655368:TKW655467 TUS655368:TUS655467 UEO655368:UEO655467 UOK655368:UOK655467 UYG655368:UYG655467 VIC655368:VIC655467 VRY655368:VRY655467 WBU655368:WBU655467 WLQ655368:WLQ655467 WVM655368:WVM655467 E720904:E721003 JA720904:JA721003 SW720904:SW721003 ACS720904:ACS721003 AMO720904:AMO721003 AWK720904:AWK721003 BGG720904:BGG721003 BQC720904:BQC721003 BZY720904:BZY721003 CJU720904:CJU721003 CTQ720904:CTQ721003 DDM720904:DDM721003 DNI720904:DNI721003 DXE720904:DXE721003 EHA720904:EHA721003 EQW720904:EQW721003 FAS720904:FAS721003 FKO720904:FKO721003 FUK720904:FUK721003 GEG720904:GEG721003 GOC720904:GOC721003 GXY720904:GXY721003 HHU720904:HHU721003 HRQ720904:HRQ721003 IBM720904:IBM721003 ILI720904:ILI721003 IVE720904:IVE721003 JFA720904:JFA721003 JOW720904:JOW721003 JYS720904:JYS721003 KIO720904:KIO721003 KSK720904:KSK721003 LCG720904:LCG721003 LMC720904:LMC721003 LVY720904:LVY721003 MFU720904:MFU721003 MPQ720904:MPQ721003 MZM720904:MZM721003 NJI720904:NJI721003 NTE720904:NTE721003 ODA720904:ODA721003 OMW720904:OMW721003 OWS720904:OWS721003 PGO720904:PGO721003 PQK720904:PQK721003 QAG720904:QAG721003 QKC720904:QKC721003 QTY720904:QTY721003 RDU720904:RDU721003 RNQ720904:RNQ721003 RXM720904:RXM721003 SHI720904:SHI721003 SRE720904:SRE721003 TBA720904:TBA721003 TKW720904:TKW721003 TUS720904:TUS721003 UEO720904:UEO721003 UOK720904:UOK721003 UYG720904:UYG721003 VIC720904:VIC721003 VRY720904:VRY721003 WBU720904:WBU721003 WLQ720904:WLQ721003 WVM720904:WVM721003 E786440:E786539 JA786440:JA786539 SW786440:SW786539 ACS786440:ACS786539 AMO786440:AMO786539 AWK786440:AWK786539 BGG786440:BGG786539 BQC786440:BQC786539 BZY786440:BZY786539 CJU786440:CJU786539 CTQ786440:CTQ786539 DDM786440:DDM786539 DNI786440:DNI786539 DXE786440:DXE786539 EHA786440:EHA786539 EQW786440:EQW786539 FAS786440:FAS786539 FKO786440:FKO786539 FUK786440:FUK786539 GEG786440:GEG786539 GOC786440:GOC786539 GXY786440:GXY786539 HHU786440:HHU786539 HRQ786440:HRQ786539 IBM786440:IBM786539 ILI786440:ILI786539 IVE786440:IVE786539 JFA786440:JFA786539 JOW786440:JOW786539 JYS786440:JYS786539 KIO786440:KIO786539 KSK786440:KSK786539 LCG786440:LCG786539 LMC786440:LMC786539 LVY786440:LVY786539 MFU786440:MFU786539 MPQ786440:MPQ786539 MZM786440:MZM786539 NJI786440:NJI786539 NTE786440:NTE786539 ODA786440:ODA786539 OMW786440:OMW786539 OWS786440:OWS786539 PGO786440:PGO786539 PQK786440:PQK786539 QAG786440:QAG786539 QKC786440:QKC786539 QTY786440:QTY786539 RDU786440:RDU786539 RNQ786440:RNQ786539 RXM786440:RXM786539 SHI786440:SHI786539 SRE786440:SRE786539 TBA786440:TBA786539 TKW786440:TKW786539 TUS786440:TUS786539 UEO786440:UEO786539 UOK786440:UOK786539 UYG786440:UYG786539 VIC786440:VIC786539 VRY786440:VRY786539 WBU786440:WBU786539 WLQ786440:WLQ786539 WVM786440:WVM786539 E851976:E852075 JA851976:JA852075 SW851976:SW852075 ACS851976:ACS852075 AMO851976:AMO852075 AWK851976:AWK852075 BGG851976:BGG852075 BQC851976:BQC852075 BZY851976:BZY852075 CJU851976:CJU852075 CTQ851976:CTQ852075 DDM851976:DDM852075 DNI851976:DNI852075 DXE851976:DXE852075 EHA851976:EHA852075 EQW851976:EQW852075 FAS851976:FAS852075 FKO851976:FKO852075 FUK851976:FUK852075 GEG851976:GEG852075 GOC851976:GOC852075 GXY851976:GXY852075 HHU851976:HHU852075 HRQ851976:HRQ852075 IBM851976:IBM852075 ILI851976:ILI852075 IVE851976:IVE852075 JFA851976:JFA852075 JOW851976:JOW852075 JYS851976:JYS852075 KIO851976:KIO852075 KSK851976:KSK852075 LCG851976:LCG852075 LMC851976:LMC852075 LVY851976:LVY852075 MFU851976:MFU852075 MPQ851976:MPQ852075 MZM851976:MZM852075 NJI851976:NJI852075 NTE851976:NTE852075 ODA851976:ODA852075 OMW851976:OMW852075 OWS851976:OWS852075 PGO851976:PGO852075 PQK851976:PQK852075 QAG851976:QAG852075 QKC851976:QKC852075 QTY851976:QTY852075 RDU851976:RDU852075 RNQ851976:RNQ852075 RXM851976:RXM852075 SHI851976:SHI852075 SRE851976:SRE852075 TBA851976:TBA852075 TKW851976:TKW852075 TUS851976:TUS852075 UEO851976:UEO852075 UOK851976:UOK852075 UYG851976:UYG852075 VIC851976:VIC852075 VRY851976:VRY852075 WBU851976:WBU852075 WLQ851976:WLQ852075 WVM851976:WVM852075 E917512:E917611 JA917512:JA917611 SW917512:SW917611 ACS917512:ACS917611 AMO917512:AMO917611 AWK917512:AWK917611 BGG917512:BGG917611 BQC917512:BQC917611 BZY917512:BZY917611 CJU917512:CJU917611 CTQ917512:CTQ917611 DDM917512:DDM917611 DNI917512:DNI917611 DXE917512:DXE917611 EHA917512:EHA917611 EQW917512:EQW917611 FAS917512:FAS917611 FKO917512:FKO917611 FUK917512:FUK917611 GEG917512:GEG917611 GOC917512:GOC917611 GXY917512:GXY917611 HHU917512:HHU917611 HRQ917512:HRQ917611 IBM917512:IBM917611 ILI917512:ILI917611 IVE917512:IVE917611 JFA917512:JFA917611 JOW917512:JOW917611 JYS917512:JYS917611 KIO917512:KIO917611 KSK917512:KSK917611 LCG917512:LCG917611 LMC917512:LMC917611 LVY917512:LVY917611 MFU917512:MFU917611 MPQ917512:MPQ917611 MZM917512:MZM917611 NJI917512:NJI917611 NTE917512:NTE917611 ODA917512:ODA917611 OMW917512:OMW917611 OWS917512:OWS917611 PGO917512:PGO917611 PQK917512:PQK917611 QAG917512:QAG917611 QKC917512:QKC917611 QTY917512:QTY917611 RDU917512:RDU917611 RNQ917512:RNQ917611 RXM917512:RXM917611 SHI917512:SHI917611 SRE917512:SRE917611 TBA917512:TBA917611 TKW917512:TKW917611 TUS917512:TUS917611 UEO917512:UEO917611 UOK917512:UOK917611 UYG917512:UYG917611 VIC917512:VIC917611 VRY917512:VRY917611 WBU917512:WBU917611 WLQ917512:WLQ917611 WVM917512:WVM917611 E983048:E983147 JA983048:JA983147 SW983048:SW983147 ACS983048:ACS983147 AMO983048:AMO983147 AWK983048:AWK983147 BGG983048:BGG983147 BQC983048:BQC983147 BZY983048:BZY983147 CJU983048:CJU983147 CTQ983048:CTQ983147 DDM983048:DDM983147 DNI983048:DNI983147 DXE983048:DXE983147 EHA983048:EHA983147 EQW983048:EQW983147 FAS983048:FAS983147 FKO983048:FKO983147 FUK983048:FUK983147 GEG983048:GEG983147 GOC983048:GOC983147 GXY983048:GXY983147 HHU983048:HHU983147 HRQ983048:HRQ983147 IBM983048:IBM983147 ILI983048:ILI983147 IVE983048:IVE983147 JFA983048:JFA983147 JOW983048:JOW983147 JYS983048:JYS983147 KIO983048:KIO983147 KSK983048:KSK983147 LCG983048:LCG983147 LMC983048:LMC983147 LVY983048:LVY983147 MFU983048:MFU983147 MPQ983048:MPQ983147 MZM983048:MZM983147 NJI983048:NJI983147 NTE983048:NTE983147 ODA983048:ODA983147 OMW983048:OMW983147 OWS983048:OWS983147 PGO983048:PGO983147 PQK983048:PQK983147 QAG983048:QAG983147 QKC983048:QKC983147 QTY983048:QTY983147 RDU983048:RDU983147 RNQ983048:RNQ983147 RXM983048:RXM983147 SHI983048:SHI983147 SRE983048:SRE983147 TBA983048:TBA983147 TKW983048:TKW983147 TUS983048:TUS983147 UEO983048:UEO983147 UOK983048:UOK983147 UYG983048:UYG983147 VIC983048:VIC983147 VRY983048:VRY983147 WBU983048:WBU983147 WLQ983048:WLQ983147">
      <formula1>"Hiệu trưởng,P.hiệu trưởng,Giáo viên,Tổng PT Đội,Nhân viên"</formula1>
    </dataValidation>
    <dataValidation type="list" allowBlank="1" showInputMessage="1" showErrorMessage="1" sqref="F8:F107">
      <formula1>"Quản lý,Tiểu học, Âm nhạc,Mỹ thuật,Thể dục,Tin học,Ngoại ngữ,TPT Đội,Văn phòng,Thư viện-TBDH,Y tế,Khác"</formula1>
    </dataValidation>
    <dataValidation type="list" allowBlank="1" showInputMessage="1" showErrorMessage="1" sqref="E8:E107">
      <formula1>"Hiệu trưởng,P.Hiệu trưởng,Giáo viên,Nhân viên"</formula1>
    </dataValidation>
  </dataValidations>
  <pageMargins left="3.937007874015748E-2" right="3.937007874015748E-2" top="0.15748031496062992" bottom="0.15748031496062992" header="0.11811023622047245" footer="0.11811023622047245"/>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AI23"/>
  <sheetViews>
    <sheetView showGridLines="0" workbookViewId="0">
      <selection activeCell="G3" sqref="G3"/>
    </sheetView>
  </sheetViews>
  <sheetFormatPr defaultRowHeight="15" customHeight="1" x14ac:dyDescent="0.2"/>
  <cols>
    <col min="1" max="1" width="2.625" style="320" customWidth="1"/>
    <col min="2" max="2" width="18.375" style="320" customWidth="1"/>
    <col min="3" max="6" width="2.875" style="320" customWidth="1"/>
    <col min="7" max="23" width="3.875" style="320" customWidth="1"/>
    <col min="24" max="24" width="3.5" style="320" customWidth="1"/>
    <col min="25" max="30" width="3.875" style="320" customWidth="1"/>
    <col min="31" max="32" width="4.375" style="320" customWidth="1"/>
    <col min="33" max="33" width="5.75" style="320" hidden="1" customWidth="1"/>
    <col min="34" max="257" width="9" style="320"/>
    <col min="258" max="258" width="2.625" style="320" customWidth="1"/>
    <col min="259" max="259" width="14.75" style="320" customWidth="1"/>
    <col min="260" max="263" width="2.875" style="320" customWidth="1"/>
    <col min="264" max="280" width="3.875" style="320" customWidth="1"/>
    <col min="281" max="281" width="3.5" style="320" customWidth="1"/>
    <col min="282" max="287" width="3.875" style="320" customWidth="1"/>
    <col min="288" max="288" width="4.375" style="320" customWidth="1"/>
    <col min="289" max="289" width="0" style="320" hidden="1" customWidth="1"/>
    <col min="290" max="513" width="9" style="320"/>
    <col min="514" max="514" width="2.625" style="320" customWidth="1"/>
    <col min="515" max="515" width="14.75" style="320" customWidth="1"/>
    <col min="516" max="519" width="2.875" style="320" customWidth="1"/>
    <col min="520" max="536" width="3.875" style="320" customWidth="1"/>
    <col min="537" max="537" width="3.5" style="320" customWidth="1"/>
    <col min="538" max="543" width="3.875" style="320" customWidth="1"/>
    <col min="544" max="544" width="4.375" style="320" customWidth="1"/>
    <col min="545" max="545" width="0" style="320" hidden="1" customWidth="1"/>
    <col min="546" max="769" width="9" style="320"/>
    <col min="770" max="770" width="2.625" style="320" customWidth="1"/>
    <col min="771" max="771" width="14.75" style="320" customWidth="1"/>
    <col min="772" max="775" width="2.875" style="320" customWidth="1"/>
    <col min="776" max="792" width="3.875" style="320" customWidth="1"/>
    <col min="793" max="793" width="3.5" style="320" customWidth="1"/>
    <col min="794" max="799" width="3.875" style="320" customWidth="1"/>
    <col min="800" max="800" width="4.375" style="320" customWidth="1"/>
    <col min="801" max="801" width="0" style="320" hidden="1" customWidth="1"/>
    <col min="802" max="1025" width="9" style="320"/>
    <col min="1026" max="1026" width="2.625" style="320" customWidth="1"/>
    <col min="1027" max="1027" width="14.75" style="320" customWidth="1"/>
    <col min="1028" max="1031" width="2.875" style="320" customWidth="1"/>
    <col min="1032" max="1048" width="3.875" style="320" customWidth="1"/>
    <col min="1049" max="1049" width="3.5" style="320" customWidth="1"/>
    <col min="1050" max="1055" width="3.875" style="320" customWidth="1"/>
    <col min="1056" max="1056" width="4.375" style="320" customWidth="1"/>
    <col min="1057" max="1057" width="0" style="320" hidden="1" customWidth="1"/>
    <col min="1058" max="1281" width="9" style="320"/>
    <col min="1282" max="1282" width="2.625" style="320" customWidth="1"/>
    <col min="1283" max="1283" width="14.75" style="320" customWidth="1"/>
    <col min="1284" max="1287" width="2.875" style="320" customWidth="1"/>
    <col min="1288" max="1304" width="3.875" style="320" customWidth="1"/>
    <col min="1305" max="1305" width="3.5" style="320" customWidth="1"/>
    <col min="1306" max="1311" width="3.875" style="320" customWidth="1"/>
    <col min="1312" max="1312" width="4.375" style="320" customWidth="1"/>
    <col min="1313" max="1313" width="0" style="320" hidden="1" customWidth="1"/>
    <col min="1314" max="1537" width="9" style="320"/>
    <col min="1538" max="1538" width="2.625" style="320" customWidth="1"/>
    <col min="1539" max="1539" width="14.75" style="320" customWidth="1"/>
    <col min="1540" max="1543" width="2.875" style="320" customWidth="1"/>
    <col min="1544" max="1560" width="3.875" style="320" customWidth="1"/>
    <col min="1561" max="1561" width="3.5" style="320" customWidth="1"/>
    <col min="1562" max="1567" width="3.875" style="320" customWidth="1"/>
    <col min="1568" max="1568" width="4.375" style="320" customWidth="1"/>
    <col min="1569" max="1569" width="0" style="320" hidden="1" customWidth="1"/>
    <col min="1570" max="1793" width="9" style="320"/>
    <col min="1794" max="1794" width="2.625" style="320" customWidth="1"/>
    <col min="1795" max="1795" width="14.75" style="320" customWidth="1"/>
    <col min="1796" max="1799" width="2.875" style="320" customWidth="1"/>
    <col min="1800" max="1816" width="3.875" style="320" customWidth="1"/>
    <col min="1817" max="1817" width="3.5" style="320" customWidth="1"/>
    <col min="1818" max="1823" width="3.875" style="320" customWidth="1"/>
    <col min="1824" max="1824" width="4.375" style="320" customWidth="1"/>
    <col min="1825" max="1825" width="0" style="320" hidden="1" customWidth="1"/>
    <col min="1826" max="2049" width="9" style="320"/>
    <col min="2050" max="2050" width="2.625" style="320" customWidth="1"/>
    <col min="2051" max="2051" width="14.75" style="320" customWidth="1"/>
    <col min="2052" max="2055" width="2.875" style="320" customWidth="1"/>
    <col min="2056" max="2072" width="3.875" style="320" customWidth="1"/>
    <col min="2073" max="2073" width="3.5" style="320" customWidth="1"/>
    <col min="2074" max="2079" width="3.875" style="320" customWidth="1"/>
    <col min="2080" max="2080" width="4.375" style="320" customWidth="1"/>
    <col min="2081" max="2081" width="0" style="320" hidden="1" customWidth="1"/>
    <col min="2082" max="2305" width="9" style="320"/>
    <col min="2306" max="2306" width="2.625" style="320" customWidth="1"/>
    <col min="2307" max="2307" width="14.75" style="320" customWidth="1"/>
    <col min="2308" max="2311" width="2.875" style="320" customWidth="1"/>
    <col min="2312" max="2328" width="3.875" style="320" customWidth="1"/>
    <col min="2329" max="2329" width="3.5" style="320" customWidth="1"/>
    <col min="2330" max="2335" width="3.875" style="320" customWidth="1"/>
    <col min="2336" max="2336" width="4.375" style="320" customWidth="1"/>
    <col min="2337" max="2337" width="0" style="320" hidden="1" customWidth="1"/>
    <col min="2338" max="2561" width="9" style="320"/>
    <col min="2562" max="2562" width="2.625" style="320" customWidth="1"/>
    <col min="2563" max="2563" width="14.75" style="320" customWidth="1"/>
    <col min="2564" max="2567" width="2.875" style="320" customWidth="1"/>
    <col min="2568" max="2584" width="3.875" style="320" customWidth="1"/>
    <col min="2585" max="2585" width="3.5" style="320" customWidth="1"/>
    <col min="2586" max="2591" width="3.875" style="320" customWidth="1"/>
    <col min="2592" max="2592" width="4.375" style="320" customWidth="1"/>
    <col min="2593" max="2593" width="0" style="320" hidden="1" customWidth="1"/>
    <col min="2594" max="2817" width="9" style="320"/>
    <col min="2818" max="2818" width="2.625" style="320" customWidth="1"/>
    <col min="2819" max="2819" width="14.75" style="320" customWidth="1"/>
    <col min="2820" max="2823" width="2.875" style="320" customWidth="1"/>
    <col min="2824" max="2840" width="3.875" style="320" customWidth="1"/>
    <col min="2841" max="2841" width="3.5" style="320" customWidth="1"/>
    <col min="2842" max="2847" width="3.875" style="320" customWidth="1"/>
    <col min="2848" max="2848" width="4.375" style="320" customWidth="1"/>
    <col min="2849" max="2849" width="0" style="320" hidden="1" customWidth="1"/>
    <col min="2850" max="3073" width="9" style="320"/>
    <col min="3074" max="3074" width="2.625" style="320" customWidth="1"/>
    <col min="3075" max="3075" width="14.75" style="320" customWidth="1"/>
    <col min="3076" max="3079" width="2.875" style="320" customWidth="1"/>
    <col min="3080" max="3096" width="3.875" style="320" customWidth="1"/>
    <col min="3097" max="3097" width="3.5" style="320" customWidth="1"/>
    <col min="3098" max="3103" width="3.875" style="320" customWidth="1"/>
    <col min="3104" max="3104" width="4.375" style="320" customWidth="1"/>
    <col min="3105" max="3105" width="0" style="320" hidden="1" customWidth="1"/>
    <col min="3106" max="3329" width="9" style="320"/>
    <col min="3330" max="3330" width="2.625" style="320" customWidth="1"/>
    <col min="3331" max="3331" width="14.75" style="320" customWidth="1"/>
    <col min="3332" max="3335" width="2.875" style="320" customWidth="1"/>
    <col min="3336" max="3352" width="3.875" style="320" customWidth="1"/>
    <col min="3353" max="3353" width="3.5" style="320" customWidth="1"/>
    <col min="3354" max="3359" width="3.875" style="320" customWidth="1"/>
    <col min="3360" max="3360" width="4.375" style="320" customWidth="1"/>
    <col min="3361" max="3361" width="0" style="320" hidden="1" customWidth="1"/>
    <col min="3362" max="3585" width="9" style="320"/>
    <col min="3586" max="3586" width="2.625" style="320" customWidth="1"/>
    <col min="3587" max="3587" width="14.75" style="320" customWidth="1"/>
    <col min="3588" max="3591" width="2.875" style="320" customWidth="1"/>
    <col min="3592" max="3608" width="3.875" style="320" customWidth="1"/>
    <col min="3609" max="3609" width="3.5" style="320" customWidth="1"/>
    <col min="3610" max="3615" width="3.875" style="320" customWidth="1"/>
    <col min="3616" max="3616" width="4.375" style="320" customWidth="1"/>
    <col min="3617" max="3617" width="0" style="320" hidden="1" customWidth="1"/>
    <col min="3618" max="3841" width="9" style="320"/>
    <col min="3842" max="3842" width="2.625" style="320" customWidth="1"/>
    <col min="3843" max="3843" width="14.75" style="320" customWidth="1"/>
    <col min="3844" max="3847" width="2.875" style="320" customWidth="1"/>
    <col min="3848" max="3864" width="3.875" style="320" customWidth="1"/>
    <col min="3865" max="3865" width="3.5" style="320" customWidth="1"/>
    <col min="3866" max="3871" width="3.875" style="320" customWidth="1"/>
    <col min="3872" max="3872" width="4.375" style="320" customWidth="1"/>
    <col min="3873" max="3873" width="0" style="320" hidden="1" customWidth="1"/>
    <col min="3874" max="4097" width="9" style="320"/>
    <col min="4098" max="4098" width="2.625" style="320" customWidth="1"/>
    <col min="4099" max="4099" width="14.75" style="320" customWidth="1"/>
    <col min="4100" max="4103" width="2.875" style="320" customWidth="1"/>
    <col min="4104" max="4120" width="3.875" style="320" customWidth="1"/>
    <col min="4121" max="4121" width="3.5" style="320" customWidth="1"/>
    <col min="4122" max="4127" width="3.875" style="320" customWidth="1"/>
    <col min="4128" max="4128" width="4.375" style="320" customWidth="1"/>
    <col min="4129" max="4129" width="0" style="320" hidden="1" customWidth="1"/>
    <col min="4130" max="4353" width="9" style="320"/>
    <col min="4354" max="4354" width="2.625" style="320" customWidth="1"/>
    <col min="4355" max="4355" width="14.75" style="320" customWidth="1"/>
    <col min="4356" max="4359" width="2.875" style="320" customWidth="1"/>
    <col min="4360" max="4376" width="3.875" style="320" customWidth="1"/>
    <col min="4377" max="4377" width="3.5" style="320" customWidth="1"/>
    <col min="4378" max="4383" width="3.875" style="320" customWidth="1"/>
    <col min="4384" max="4384" width="4.375" style="320" customWidth="1"/>
    <col min="4385" max="4385" width="0" style="320" hidden="1" customWidth="1"/>
    <col min="4386" max="4609" width="9" style="320"/>
    <col min="4610" max="4610" width="2.625" style="320" customWidth="1"/>
    <col min="4611" max="4611" width="14.75" style="320" customWidth="1"/>
    <col min="4612" max="4615" width="2.875" style="320" customWidth="1"/>
    <col min="4616" max="4632" width="3.875" style="320" customWidth="1"/>
    <col min="4633" max="4633" width="3.5" style="320" customWidth="1"/>
    <col min="4634" max="4639" width="3.875" style="320" customWidth="1"/>
    <col min="4640" max="4640" width="4.375" style="320" customWidth="1"/>
    <col min="4641" max="4641" width="0" style="320" hidden="1" customWidth="1"/>
    <col min="4642" max="4865" width="9" style="320"/>
    <col min="4866" max="4866" width="2.625" style="320" customWidth="1"/>
    <col min="4867" max="4867" width="14.75" style="320" customWidth="1"/>
    <col min="4868" max="4871" width="2.875" style="320" customWidth="1"/>
    <col min="4872" max="4888" width="3.875" style="320" customWidth="1"/>
    <col min="4889" max="4889" width="3.5" style="320" customWidth="1"/>
    <col min="4890" max="4895" width="3.875" style="320" customWidth="1"/>
    <col min="4896" max="4896" width="4.375" style="320" customWidth="1"/>
    <col min="4897" max="4897" width="0" style="320" hidden="1" customWidth="1"/>
    <col min="4898" max="5121" width="9" style="320"/>
    <col min="5122" max="5122" width="2.625" style="320" customWidth="1"/>
    <col min="5123" max="5123" width="14.75" style="320" customWidth="1"/>
    <col min="5124" max="5127" width="2.875" style="320" customWidth="1"/>
    <col min="5128" max="5144" width="3.875" style="320" customWidth="1"/>
    <col min="5145" max="5145" width="3.5" style="320" customWidth="1"/>
    <col min="5146" max="5151" width="3.875" style="320" customWidth="1"/>
    <col min="5152" max="5152" width="4.375" style="320" customWidth="1"/>
    <col min="5153" max="5153" width="0" style="320" hidden="1" customWidth="1"/>
    <col min="5154" max="5377" width="9" style="320"/>
    <col min="5378" max="5378" width="2.625" style="320" customWidth="1"/>
    <col min="5379" max="5379" width="14.75" style="320" customWidth="1"/>
    <col min="5380" max="5383" width="2.875" style="320" customWidth="1"/>
    <col min="5384" max="5400" width="3.875" style="320" customWidth="1"/>
    <col min="5401" max="5401" width="3.5" style="320" customWidth="1"/>
    <col min="5402" max="5407" width="3.875" style="320" customWidth="1"/>
    <col min="5408" max="5408" width="4.375" style="320" customWidth="1"/>
    <col min="5409" max="5409" width="0" style="320" hidden="1" customWidth="1"/>
    <col min="5410" max="5633" width="9" style="320"/>
    <col min="5634" max="5634" width="2.625" style="320" customWidth="1"/>
    <col min="5635" max="5635" width="14.75" style="320" customWidth="1"/>
    <col min="5636" max="5639" width="2.875" style="320" customWidth="1"/>
    <col min="5640" max="5656" width="3.875" style="320" customWidth="1"/>
    <col min="5657" max="5657" width="3.5" style="320" customWidth="1"/>
    <col min="5658" max="5663" width="3.875" style="320" customWidth="1"/>
    <col min="5664" max="5664" width="4.375" style="320" customWidth="1"/>
    <col min="5665" max="5665" width="0" style="320" hidden="1" customWidth="1"/>
    <col min="5666" max="5889" width="9" style="320"/>
    <col min="5890" max="5890" width="2.625" style="320" customWidth="1"/>
    <col min="5891" max="5891" width="14.75" style="320" customWidth="1"/>
    <col min="5892" max="5895" width="2.875" style="320" customWidth="1"/>
    <col min="5896" max="5912" width="3.875" style="320" customWidth="1"/>
    <col min="5913" max="5913" width="3.5" style="320" customWidth="1"/>
    <col min="5914" max="5919" width="3.875" style="320" customWidth="1"/>
    <col min="5920" max="5920" width="4.375" style="320" customWidth="1"/>
    <col min="5921" max="5921" width="0" style="320" hidden="1" customWidth="1"/>
    <col min="5922" max="6145" width="9" style="320"/>
    <col min="6146" max="6146" width="2.625" style="320" customWidth="1"/>
    <col min="6147" max="6147" width="14.75" style="320" customWidth="1"/>
    <col min="6148" max="6151" width="2.875" style="320" customWidth="1"/>
    <col min="6152" max="6168" width="3.875" style="320" customWidth="1"/>
    <col min="6169" max="6169" width="3.5" style="320" customWidth="1"/>
    <col min="6170" max="6175" width="3.875" style="320" customWidth="1"/>
    <col min="6176" max="6176" width="4.375" style="320" customWidth="1"/>
    <col min="6177" max="6177" width="0" style="320" hidden="1" customWidth="1"/>
    <col min="6178" max="6401" width="9" style="320"/>
    <col min="6402" max="6402" width="2.625" style="320" customWidth="1"/>
    <col min="6403" max="6403" width="14.75" style="320" customWidth="1"/>
    <col min="6404" max="6407" width="2.875" style="320" customWidth="1"/>
    <col min="6408" max="6424" width="3.875" style="320" customWidth="1"/>
    <col min="6425" max="6425" width="3.5" style="320" customWidth="1"/>
    <col min="6426" max="6431" width="3.875" style="320" customWidth="1"/>
    <col min="6432" max="6432" width="4.375" style="320" customWidth="1"/>
    <col min="6433" max="6433" width="0" style="320" hidden="1" customWidth="1"/>
    <col min="6434" max="6657" width="9" style="320"/>
    <col min="6658" max="6658" width="2.625" style="320" customWidth="1"/>
    <col min="6659" max="6659" width="14.75" style="320" customWidth="1"/>
    <col min="6660" max="6663" width="2.875" style="320" customWidth="1"/>
    <col min="6664" max="6680" width="3.875" style="320" customWidth="1"/>
    <col min="6681" max="6681" width="3.5" style="320" customWidth="1"/>
    <col min="6682" max="6687" width="3.875" style="320" customWidth="1"/>
    <col min="6688" max="6688" width="4.375" style="320" customWidth="1"/>
    <col min="6689" max="6689" width="0" style="320" hidden="1" customWidth="1"/>
    <col min="6690" max="6913" width="9" style="320"/>
    <col min="6914" max="6914" width="2.625" style="320" customWidth="1"/>
    <col min="6915" max="6915" width="14.75" style="320" customWidth="1"/>
    <col min="6916" max="6919" width="2.875" style="320" customWidth="1"/>
    <col min="6920" max="6936" width="3.875" style="320" customWidth="1"/>
    <col min="6937" max="6937" width="3.5" style="320" customWidth="1"/>
    <col min="6938" max="6943" width="3.875" style="320" customWidth="1"/>
    <col min="6944" max="6944" width="4.375" style="320" customWidth="1"/>
    <col min="6945" max="6945" width="0" style="320" hidden="1" customWidth="1"/>
    <col min="6946" max="7169" width="9" style="320"/>
    <col min="7170" max="7170" width="2.625" style="320" customWidth="1"/>
    <col min="7171" max="7171" width="14.75" style="320" customWidth="1"/>
    <col min="7172" max="7175" width="2.875" style="320" customWidth="1"/>
    <col min="7176" max="7192" width="3.875" style="320" customWidth="1"/>
    <col min="7193" max="7193" width="3.5" style="320" customWidth="1"/>
    <col min="7194" max="7199" width="3.875" style="320" customWidth="1"/>
    <col min="7200" max="7200" width="4.375" style="320" customWidth="1"/>
    <col min="7201" max="7201" width="0" style="320" hidden="1" customWidth="1"/>
    <col min="7202" max="7425" width="9" style="320"/>
    <col min="7426" max="7426" width="2.625" style="320" customWidth="1"/>
    <col min="7427" max="7427" width="14.75" style="320" customWidth="1"/>
    <col min="7428" max="7431" width="2.875" style="320" customWidth="1"/>
    <col min="7432" max="7448" width="3.875" style="320" customWidth="1"/>
    <col min="7449" max="7449" width="3.5" style="320" customWidth="1"/>
    <col min="7450" max="7455" width="3.875" style="320" customWidth="1"/>
    <col min="7456" max="7456" width="4.375" style="320" customWidth="1"/>
    <col min="7457" max="7457" width="0" style="320" hidden="1" customWidth="1"/>
    <col min="7458" max="7681" width="9" style="320"/>
    <col min="7682" max="7682" width="2.625" style="320" customWidth="1"/>
    <col min="7683" max="7683" width="14.75" style="320" customWidth="1"/>
    <col min="7684" max="7687" width="2.875" style="320" customWidth="1"/>
    <col min="7688" max="7704" width="3.875" style="320" customWidth="1"/>
    <col min="7705" max="7705" width="3.5" style="320" customWidth="1"/>
    <col min="7706" max="7711" width="3.875" style="320" customWidth="1"/>
    <col min="7712" max="7712" width="4.375" style="320" customWidth="1"/>
    <col min="7713" max="7713" width="0" style="320" hidden="1" customWidth="1"/>
    <col min="7714" max="7937" width="9" style="320"/>
    <col min="7938" max="7938" width="2.625" style="320" customWidth="1"/>
    <col min="7939" max="7939" width="14.75" style="320" customWidth="1"/>
    <col min="7940" max="7943" width="2.875" style="320" customWidth="1"/>
    <col min="7944" max="7960" width="3.875" style="320" customWidth="1"/>
    <col min="7961" max="7961" width="3.5" style="320" customWidth="1"/>
    <col min="7962" max="7967" width="3.875" style="320" customWidth="1"/>
    <col min="7968" max="7968" width="4.375" style="320" customWidth="1"/>
    <col min="7969" max="7969" width="0" style="320" hidden="1" customWidth="1"/>
    <col min="7970" max="8193" width="9" style="320"/>
    <col min="8194" max="8194" width="2.625" style="320" customWidth="1"/>
    <col min="8195" max="8195" width="14.75" style="320" customWidth="1"/>
    <col min="8196" max="8199" width="2.875" style="320" customWidth="1"/>
    <col min="8200" max="8216" width="3.875" style="320" customWidth="1"/>
    <col min="8217" max="8217" width="3.5" style="320" customWidth="1"/>
    <col min="8218" max="8223" width="3.875" style="320" customWidth="1"/>
    <col min="8224" max="8224" width="4.375" style="320" customWidth="1"/>
    <col min="8225" max="8225" width="0" style="320" hidden="1" customWidth="1"/>
    <col min="8226" max="8449" width="9" style="320"/>
    <col min="8450" max="8450" width="2.625" style="320" customWidth="1"/>
    <col min="8451" max="8451" width="14.75" style="320" customWidth="1"/>
    <col min="8452" max="8455" width="2.875" style="320" customWidth="1"/>
    <col min="8456" max="8472" width="3.875" style="320" customWidth="1"/>
    <col min="8473" max="8473" width="3.5" style="320" customWidth="1"/>
    <col min="8474" max="8479" width="3.875" style="320" customWidth="1"/>
    <col min="8480" max="8480" width="4.375" style="320" customWidth="1"/>
    <col min="8481" max="8481" width="0" style="320" hidden="1" customWidth="1"/>
    <col min="8482" max="8705" width="9" style="320"/>
    <col min="8706" max="8706" width="2.625" style="320" customWidth="1"/>
    <col min="8707" max="8707" width="14.75" style="320" customWidth="1"/>
    <col min="8708" max="8711" width="2.875" style="320" customWidth="1"/>
    <col min="8712" max="8728" width="3.875" style="320" customWidth="1"/>
    <col min="8729" max="8729" width="3.5" style="320" customWidth="1"/>
    <col min="8730" max="8735" width="3.875" style="320" customWidth="1"/>
    <col min="8736" max="8736" width="4.375" style="320" customWidth="1"/>
    <col min="8737" max="8737" width="0" style="320" hidden="1" customWidth="1"/>
    <col min="8738" max="8961" width="9" style="320"/>
    <col min="8962" max="8962" width="2.625" style="320" customWidth="1"/>
    <col min="8963" max="8963" width="14.75" style="320" customWidth="1"/>
    <col min="8964" max="8967" width="2.875" style="320" customWidth="1"/>
    <col min="8968" max="8984" width="3.875" style="320" customWidth="1"/>
    <col min="8985" max="8985" width="3.5" style="320" customWidth="1"/>
    <col min="8986" max="8991" width="3.875" style="320" customWidth="1"/>
    <col min="8992" max="8992" width="4.375" style="320" customWidth="1"/>
    <col min="8993" max="8993" width="0" style="320" hidden="1" customWidth="1"/>
    <col min="8994" max="9217" width="9" style="320"/>
    <col min="9218" max="9218" width="2.625" style="320" customWidth="1"/>
    <col min="9219" max="9219" width="14.75" style="320" customWidth="1"/>
    <col min="9220" max="9223" width="2.875" style="320" customWidth="1"/>
    <col min="9224" max="9240" width="3.875" style="320" customWidth="1"/>
    <col min="9241" max="9241" width="3.5" style="320" customWidth="1"/>
    <col min="9242" max="9247" width="3.875" style="320" customWidth="1"/>
    <col min="9248" max="9248" width="4.375" style="320" customWidth="1"/>
    <col min="9249" max="9249" width="0" style="320" hidden="1" customWidth="1"/>
    <col min="9250" max="9473" width="9" style="320"/>
    <col min="9474" max="9474" width="2.625" style="320" customWidth="1"/>
    <col min="9475" max="9475" width="14.75" style="320" customWidth="1"/>
    <col min="9476" max="9479" width="2.875" style="320" customWidth="1"/>
    <col min="9480" max="9496" width="3.875" style="320" customWidth="1"/>
    <col min="9497" max="9497" width="3.5" style="320" customWidth="1"/>
    <col min="9498" max="9503" width="3.875" style="320" customWidth="1"/>
    <col min="9504" max="9504" width="4.375" style="320" customWidth="1"/>
    <col min="9505" max="9505" width="0" style="320" hidden="1" customWidth="1"/>
    <col min="9506" max="9729" width="9" style="320"/>
    <col min="9730" max="9730" width="2.625" style="320" customWidth="1"/>
    <col min="9731" max="9731" width="14.75" style="320" customWidth="1"/>
    <col min="9732" max="9735" width="2.875" style="320" customWidth="1"/>
    <col min="9736" max="9752" width="3.875" style="320" customWidth="1"/>
    <col min="9753" max="9753" width="3.5" style="320" customWidth="1"/>
    <col min="9754" max="9759" width="3.875" style="320" customWidth="1"/>
    <col min="9760" max="9760" width="4.375" style="320" customWidth="1"/>
    <col min="9761" max="9761" width="0" style="320" hidden="1" customWidth="1"/>
    <col min="9762" max="9985" width="9" style="320"/>
    <col min="9986" max="9986" width="2.625" style="320" customWidth="1"/>
    <col min="9987" max="9987" width="14.75" style="320" customWidth="1"/>
    <col min="9988" max="9991" width="2.875" style="320" customWidth="1"/>
    <col min="9992" max="10008" width="3.875" style="320" customWidth="1"/>
    <col min="10009" max="10009" width="3.5" style="320" customWidth="1"/>
    <col min="10010" max="10015" width="3.875" style="320" customWidth="1"/>
    <col min="10016" max="10016" width="4.375" style="320" customWidth="1"/>
    <col min="10017" max="10017" width="0" style="320" hidden="1" customWidth="1"/>
    <col min="10018" max="10241" width="9" style="320"/>
    <col min="10242" max="10242" width="2.625" style="320" customWidth="1"/>
    <col min="10243" max="10243" width="14.75" style="320" customWidth="1"/>
    <col min="10244" max="10247" width="2.875" style="320" customWidth="1"/>
    <col min="10248" max="10264" width="3.875" style="320" customWidth="1"/>
    <col min="10265" max="10265" width="3.5" style="320" customWidth="1"/>
    <col min="10266" max="10271" width="3.875" style="320" customWidth="1"/>
    <col min="10272" max="10272" width="4.375" style="320" customWidth="1"/>
    <col min="10273" max="10273" width="0" style="320" hidden="1" customWidth="1"/>
    <col min="10274" max="10497" width="9" style="320"/>
    <col min="10498" max="10498" width="2.625" style="320" customWidth="1"/>
    <col min="10499" max="10499" width="14.75" style="320" customWidth="1"/>
    <col min="10500" max="10503" width="2.875" style="320" customWidth="1"/>
    <col min="10504" max="10520" width="3.875" style="320" customWidth="1"/>
    <col min="10521" max="10521" width="3.5" style="320" customWidth="1"/>
    <col min="10522" max="10527" width="3.875" style="320" customWidth="1"/>
    <col min="10528" max="10528" width="4.375" style="320" customWidth="1"/>
    <col min="10529" max="10529" width="0" style="320" hidden="1" customWidth="1"/>
    <col min="10530" max="10753" width="9" style="320"/>
    <col min="10754" max="10754" width="2.625" style="320" customWidth="1"/>
    <col min="10755" max="10755" width="14.75" style="320" customWidth="1"/>
    <col min="10756" max="10759" width="2.875" style="320" customWidth="1"/>
    <col min="10760" max="10776" width="3.875" style="320" customWidth="1"/>
    <col min="10777" max="10777" width="3.5" style="320" customWidth="1"/>
    <col min="10778" max="10783" width="3.875" style="320" customWidth="1"/>
    <col min="10784" max="10784" width="4.375" style="320" customWidth="1"/>
    <col min="10785" max="10785" width="0" style="320" hidden="1" customWidth="1"/>
    <col min="10786" max="11009" width="9" style="320"/>
    <col min="11010" max="11010" width="2.625" style="320" customWidth="1"/>
    <col min="11011" max="11011" width="14.75" style="320" customWidth="1"/>
    <col min="11012" max="11015" width="2.875" style="320" customWidth="1"/>
    <col min="11016" max="11032" width="3.875" style="320" customWidth="1"/>
    <col min="11033" max="11033" width="3.5" style="320" customWidth="1"/>
    <col min="11034" max="11039" width="3.875" style="320" customWidth="1"/>
    <col min="11040" max="11040" width="4.375" style="320" customWidth="1"/>
    <col min="11041" max="11041" width="0" style="320" hidden="1" customWidth="1"/>
    <col min="11042" max="11265" width="9" style="320"/>
    <col min="11266" max="11266" width="2.625" style="320" customWidth="1"/>
    <col min="11267" max="11267" width="14.75" style="320" customWidth="1"/>
    <col min="11268" max="11271" width="2.875" style="320" customWidth="1"/>
    <col min="11272" max="11288" width="3.875" style="320" customWidth="1"/>
    <col min="11289" max="11289" width="3.5" style="320" customWidth="1"/>
    <col min="11290" max="11295" width="3.875" style="320" customWidth="1"/>
    <col min="11296" max="11296" width="4.375" style="320" customWidth="1"/>
    <col min="11297" max="11297" width="0" style="320" hidden="1" customWidth="1"/>
    <col min="11298" max="11521" width="9" style="320"/>
    <col min="11522" max="11522" width="2.625" style="320" customWidth="1"/>
    <col min="11523" max="11523" width="14.75" style="320" customWidth="1"/>
    <col min="11524" max="11527" width="2.875" style="320" customWidth="1"/>
    <col min="11528" max="11544" width="3.875" style="320" customWidth="1"/>
    <col min="11545" max="11545" width="3.5" style="320" customWidth="1"/>
    <col min="11546" max="11551" width="3.875" style="320" customWidth="1"/>
    <col min="11552" max="11552" width="4.375" style="320" customWidth="1"/>
    <col min="11553" max="11553" width="0" style="320" hidden="1" customWidth="1"/>
    <col min="11554" max="11777" width="9" style="320"/>
    <col min="11778" max="11778" width="2.625" style="320" customWidth="1"/>
    <col min="11779" max="11779" width="14.75" style="320" customWidth="1"/>
    <col min="11780" max="11783" width="2.875" style="320" customWidth="1"/>
    <col min="11784" max="11800" width="3.875" style="320" customWidth="1"/>
    <col min="11801" max="11801" width="3.5" style="320" customWidth="1"/>
    <col min="11802" max="11807" width="3.875" style="320" customWidth="1"/>
    <col min="11808" max="11808" width="4.375" style="320" customWidth="1"/>
    <col min="11809" max="11809" width="0" style="320" hidden="1" customWidth="1"/>
    <col min="11810" max="12033" width="9" style="320"/>
    <col min="12034" max="12034" width="2.625" style="320" customWidth="1"/>
    <col min="12035" max="12035" width="14.75" style="320" customWidth="1"/>
    <col min="12036" max="12039" width="2.875" style="320" customWidth="1"/>
    <col min="12040" max="12056" width="3.875" style="320" customWidth="1"/>
    <col min="12057" max="12057" width="3.5" style="320" customWidth="1"/>
    <col min="12058" max="12063" width="3.875" style="320" customWidth="1"/>
    <col min="12064" max="12064" width="4.375" style="320" customWidth="1"/>
    <col min="12065" max="12065" width="0" style="320" hidden="1" customWidth="1"/>
    <col min="12066" max="12289" width="9" style="320"/>
    <col min="12290" max="12290" width="2.625" style="320" customWidth="1"/>
    <col min="12291" max="12291" width="14.75" style="320" customWidth="1"/>
    <col min="12292" max="12295" width="2.875" style="320" customWidth="1"/>
    <col min="12296" max="12312" width="3.875" style="320" customWidth="1"/>
    <col min="12313" max="12313" width="3.5" style="320" customWidth="1"/>
    <col min="12314" max="12319" width="3.875" style="320" customWidth="1"/>
    <col min="12320" max="12320" width="4.375" style="320" customWidth="1"/>
    <col min="12321" max="12321" width="0" style="320" hidden="1" customWidth="1"/>
    <col min="12322" max="12545" width="9" style="320"/>
    <col min="12546" max="12546" width="2.625" style="320" customWidth="1"/>
    <col min="12547" max="12547" width="14.75" style="320" customWidth="1"/>
    <col min="12548" max="12551" width="2.875" style="320" customWidth="1"/>
    <col min="12552" max="12568" width="3.875" style="320" customWidth="1"/>
    <col min="12569" max="12569" width="3.5" style="320" customWidth="1"/>
    <col min="12570" max="12575" width="3.875" style="320" customWidth="1"/>
    <col min="12576" max="12576" width="4.375" style="320" customWidth="1"/>
    <col min="12577" max="12577" width="0" style="320" hidden="1" customWidth="1"/>
    <col min="12578" max="12801" width="9" style="320"/>
    <col min="12802" max="12802" width="2.625" style="320" customWidth="1"/>
    <col min="12803" max="12803" width="14.75" style="320" customWidth="1"/>
    <col min="12804" max="12807" width="2.875" style="320" customWidth="1"/>
    <col min="12808" max="12824" width="3.875" style="320" customWidth="1"/>
    <col min="12825" max="12825" width="3.5" style="320" customWidth="1"/>
    <col min="12826" max="12831" width="3.875" style="320" customWidth="1"/>
    <col min="12832" max="12832" width="4.375" style="320" customWidth="1"/>
    <col min="12833" max="12833" width="0" style="320" hidden="1" customWidth="1"/>
    <col min="12834" max="13057" width="9" style="320"/>
    <col min="13058" max="13058" width="2.625" style="320" customWidth="1"/>
    <col min="13059" max="13059" width="14.75" style="320" customWidth="1"/>
    <col min="13060" max="13063" width="2.875" style="320" customWidth="1"/>
    <col min="13064" max="13080" width="3.875" style="320" customWidth="1"/>
    <col min="13081" max="13081" width="3.5" style="320" customWidth="1"/>
    <col min="13082" max="13087" width="3.875" style="320" customWidth="1"/>
    <col min="13088" max="13088" width="4.375" style="320" customWidth="1"/>
    <col min="13089" max="13089" width="0" style="320" hidden="1" customWidth="1"/>
    <col min="13090" max="13313" width="9" style="320"/>
    <col min="13314" max="13314" width="2.625" style="320" customWidth="1"/>
    <col min="13315" max="13315" width="14.75" style="320" customWidth="1"/>
    <col min="13316" max="13319" width="2.875" style="320" customWidth="1"/>
    <col min="13320" max="13336" width="3.875" style="320" customWidth="1"/>
    <col min="13337" max="13337" width="3.5" style="320" customWidth="1"/>
    <col min="13338" max="13343" width="3.875" style="320" customWidth="1"/>
    <col min="13344" max="13344" width="4.375" style="320" customWidth="1"/>
    <col min="13345" max="13345" width="0" style="320" hidden="1" customWidth="1"/>
    <col min="13346" max="13569" width="9" style="320"/>
    <col min="13570" max="13570" width="2.625" style="320" customWidth="1"/>
    <col min="13571" max="13571" width="14.75" style="320" customWidth="1"/>
    <col min="13572" max="13575" width="2.875" style="320" customWidth="1"/>
    <col min="13576" max="13592" width="3.875" style="320" customWidth="1"/>
    <col min="13593" max="13593" width="3.5" style="320" customWidth="1"/>
    <col min="13594" max="13599" width="3.875" style="320" customWidth="1"/>
    <col min="13600" max="13600" width="4.375" style="320" customWidth="1"/>
    <col min="13601" max="13601" width="0" style="320" hidden="1" customWidth="1"/>
    <col min="13602" max="13825" width="9" style="320"/>
    <col min="13826" max="13826" width="2.625" style="320" customWidth="1"/>
    <col min="13827" max="13827" width="14.75" style="320" customWidth="1"/>
    <col min="13828" max="13831" width="2.875" style="320" customWidth="1"/>
    <col min="13832" max="13848" width="3.875" style="320" customWidth="1"/>
    <col min="13849" max="13849" width="3.5" style="320" customWidth="1"/>
    <col min="13850" max="13855" width="3.875" style="320" customWidth="1"/>
    <col min="13856" max="13856" width="4.375" style="320" customWidth="1"/>
    <col min="13857" max="13857" width="0" style="320" hidden="1" customWidth="1"/>
    <col min="13858" max="14081" width="9" style="320"/>
    <col min="14082" max="14082" width="2.625" style="320" customWidth="1"/>
    <col min="14083" max="14083" width="14.75" style="320" customWidth="1"/>
    <col min="14084" max="14087" width="2.875" style="320" customWidth="1"/>
    <col min="14088" max="14104" width="3.875" style="320" customWidth="1"/>
    <col min="14105" max="14105" width="3.5" style="320" customWidth="1"/>
    <col min="14106" max="14111" width="3.875" style="320" customWidth="1"/>
    <col min="14112" max="14112" width="4.375" style="320" customWidth="1"/>
    <col min="14113" max="14113" width="0" style="320" hidden="1" customWidth="1"/>
    <col min="14114" max="14337" width="9" style="320"/>
    <col min="14338" max="14338" width="2.625" style="320" customWidth="1"/>
    <col min="14339" max="14339" width="14.75" style="320" customWidth="1"/>
    <col min="14340" max="14343" width="2.875" style="320" customWidth="1"/>
    <col min="14344" max="14360" width="3.875" style="320" customWidth="1"/>
    <col min="14361" max="14361" width="3.5" style="320" customWidth="1"/>
    <col min="14362" max="14367" width="3.875" style="320" customWidth="1"/>
    <col min="14368" max="14368" width="4.375" style="320" customWidth="1"/>
    <col min="14369" max="14369" width="0" style="320" hidden="1" customWidth="1"/>
    <col min="14370" max="14593" width="9" style="320"/>
    <col min="14594" max="14594" width="2.625" style="320" customWidth="1"/>
    <col min="14595" max="14595" width="14.75" style="320" customWidth="1"/>
    <col min="14596" max="14599" width="2.875" style="320" customWidth="1"/>
    <col min="14600" max="14616" width="3.875" style="320" customWidth="1"/>
    <col min="14617" max="14617" width="3.5" style="320" customWidth="1"/>
    <col min="14618" max="14623" width="3.875" style="320" customWidth="1"/>
    <col min="14624" max="14624" width="4.375" style="320" customWidth="1"/>
    <col min="14625" max="14625" width="0" style="320" hidden="1" customWidth="1"/>
    <col min="14626" max="14849" width="9" style="320"/>
    <col min="14850" max="14850" width="2.625" style="320" customWidth="1"/>
    <col min="14851" max="14851" width="14.75" style="320" customWidth="1"/>
    <col min="14852" max="14855" width="2.875" style="320" customWidth="1"/>
    <col min="14856" max="14872" width="3.875" style="320" customWidth="1"/>
    <col min="14873" max="14873" width="3.5" style="320" customWidth="1"/>
    <col min="14874" max="14879" width="3.875" style="320" customWidth="1"/>
    <col min="14880" max="14880" width="4.375" style="320" customWidth="1"/>
    <col min="14881" max="14881" width="0" style="320" hidden="1" customWidth="1"/>
    <col min="14882" max="15105" width="9" style="320"/>
    <col min="15106" max="15106" width="2.625" style="320" customWidth="1"/>
    <col min="15107" max="15107" width="14.75" style="320" customWidth="1"/>
    <col min="15108" max="15111" width="2.875" style="320" customWidth="1"/>
    <col min="15112" max="15128" width="3.875" style="320" customWidth="1"/>
    <col min="15129" max="15129" width="3.5" style="320" customWidth="1"/>
    <col min="15130" max="15135" width="3.875" style="320" customWidth="1"/>
    <col min="15136" max="15136" width="4.375" style="320" customWidth="1"/>
    <col min="15137" max="15137" width="0" style="320" hidden="1" customWidth="1"/>
    <col min="15138" max="15361" width="9" style="320"/>
    <col min="15362" max="15362" width="2.625" style="320" customWidth="1"/>
    <col min="15363" max="15363" width="14.75" style="320" customWidth="1"/>
    <col min="15364" max="15367" width="2.875" style="320" customWidth="1"/>
    <col min="15368" max="15384" width="3.875" style="320" customWidth="1"/>
    <col min="15385" max="15385" width="3.5" style="320" customWidth="1"/>
    <col min="15386" max="15391" width="3.875" style="320" customWidth="1"/>
    <col min="15392" max="15392" width="4.375" style="320" customWidth="1"/>
    <col min="15393" max="15393" width="0" style="320" hidden="1" customWidth="1"/>
    <col min="15394" max="15617" width="9" style="320"/>
    <col min="15618" max="15618" width="2.625" style="320" customWidth="1"/>
    <col min="15619" max="15619" width="14.75" style="320" customWidth="1"/>
    <col min="15620" max="15623" width="2.875" style="320" customWidth="1"/>
    <col min="15624" max="15640" width="3.875" style="320" customWidth="1"/>
    <col min="15641" max="15641" width="3.5" style="320" customWidth="1"/>
    <col min="15642" max="15647" width="3.875" style="320" customWidth="1"/>
    <col min="15648" max="15648" width="4.375" style="320" customWidth="1"/>
    <col min="15649" max="15649" width="0" style="320" hidden="1" customWidth="1"/>
    <col min="15650" max="15873" width="9" style="320"/>
    <col min="15874" max="15874" width="2.625" style="320" customWidth="1"/>
    <col min="15875" max="15875" width="14.75" style="320" customWidth="1"/>
    <col min="15876" max="15879" width="2.875" style="320" customWidth="1"/>
    <col min="15880" max="15896" width="3.875" style="320" customWidth="1"/>
    <col min="15897" max="15897" width="3.5" style="320" customWidth="1"/>
    <col min="15898" max="15903" width="3.875" style="320" customWidth="1"/>
    <col min="15904" max="15904" width="4.375" style="320" customWidth="1"/>
    <col min="15905" max="15905" width="0" style="320" hidden="1" customWidth="1"/>
    <col min="15906" max="16129" width="9" style="320"/>
    <col min="16130" max="16130" width="2.625" style="320" customWidth="1"/>
    <col min="16131" max="16131" width="14.75" style="320" customWidth="1"/>
    <col min="16132" max="16135" width="2.875" style="320" customWidth="1"/>
    <col min="16136" max="16152" width="3.875" style="320" customWidth="1"/>
    <col min="16153" max="16153" width="3.5" style="320" customWidth="1"/>
    <col min="16154" max="16159" width="3.875" style="320" customWidth="1"/>
    <col min="16160" max="16160" width="4.375" style="320" customWidth="1"/>
    <col min="16161" max="16161" width="0" style="320" hidden="1" customWidth="1"/>
    <col min="16162" max="16384" width="9" style="320"/>
  </cols>
  <sheetData>
    <row r="1" spans="1:35" s="313" customFormat="1" ht="20.100000000000001" customHeight="1" x14ac:dyDescent="0.2">
      <c r="A1" s="691" t="s">
        <v>297</v>
      </c>
      <c r="B1" s="691"/>
      <c r="C1" s="692" t="str">
        <f>"THỐNG KÊ ĐỘI NGŨ GIÁO VIÊN PHỔ CẬP GIÁO DỤC TIỂU HỌC "&amp;"- "&amp;"NĂM HỌC "&amp;Chinh!$H$5</f>
        <v>THỐNG KÊ ĐỘI NGŨ GIÁO VIÊN PHỔ CẬP GIÁO DỤC TIỂU HỌC - NĂM HỌC 2025-2026</v>
      </c>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D1" s="312"/>
      <c r="AE1" s="569" t="s">
        <v>407</v>
      </c>
      <c r="AF1" s="569"/>
      <c r="AI1" s="314"/>
    </row>
    <row r="2" spans="1:35" s="313" customFormat="1" ht="17.25" customHeight="1" x14ac:dyDescent="0.25">
      <c r="A2" s="691" t="s">
        <v>300</v>
      </c>
      <c r="B2" s="691"/>
      <c r="C2" s="693" t="s">
        <v>432</v>
      </c>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315"/>
      <c r="AD2" s="315"/>
      <c r="AE2" s="315"/>
      <c r="AF2" s="315"/>
    </row>
    <row r="3" spans="1:35" s="313" customFormat="1" ht="32.25" customHeight="1" x14ac:dyDescent="0.25">
      <c r="A3" s="351" t="s">
        <v>431</v>
      </c>
      <c r="B3" s="351"/>
      <c r="C3" s="316"/>
      <c r="D3" s="480" t="str">
        <f>IF(Chinh!$I$9="","",(CONCATENATE(IF(Chinh!$A$2="TRƯỜNG TH&amp;THCS CAM THÀNH NAM",phu!$C$1,""),IF(OR(Chinh!$A$2="TRƯỜNG TIỂU HỌC CAM NGHĨA 1",Chinh!$A$2="TRƯỜNG TIỂU HỌC CAM NGHĨA 2",Chinh!$A$2="TRƯỜNG TIỂU HỌC CĂN CỨ CAM RANH"),phu!$C$1,""),IF(Chinh!$A$2="TRƯỜNG TIỂU HỌC CAM PHÚC BẮC",phu!$C$1,""),IF(Chinh!$A$2="TRƯỜNG TH&amp;THCS CAM PHÚC NAM",phu!$C$2,""),IF(Chinh!$A$2="TRƯỜNG TIỂU HỌC CAM PHÚ",phu!$C$2,""),IF(Chinh!$A$2="TRƯỜNG TIỂU HỌC CAM THUẬN",phu!$C$3,""),IF(OR(Chinh!$A$2="TRƯỜNG TIỂU HỌC CAM LỘC 1",Chinh!$A$2="TRƯỜNG TH CAM LỘC 2"),phu!$C$2,""),IF(Chinh!$A$2="TRƯỜNG TIỂU HỌC CAM LINH",phu!$C$3,""),IF(Chinh!$A$2="TRƯỜNG TH CAM LỢI",phu!$C$3,""),IF(Chinh!$A$2="TRƯỜNG TIỂU HỌC BA NGÒI",phu!$C$4,""),IF(OR(Chinh!$A$2="TRƯỜNG TIỂU HỌC CAM PHƯỚC ĐÔNG 1",Chinh!$A$2="TRƯỜNG TIỂU HỌC CAM PHƯỚC ĐÔNG 2"),phu!$C$4,""),IF(Chinh!$A$2="TRƯỜNG TIỂU HỌC CAM THỊNH ĐÔNG",phu!$C$5,""),IF(Chinh!$A$2="TRƯỜNG TIỂU HỌC CAM THỊNH TÂY",phu!$C$5,""),IF(Chinh!$A$2="TRƯỜNG TH&amp;THCS CAM LẬP",phu!$C$5,""),IF(Chinh!$A$2="TRƯỜNG TH&amp;THCS BÌNH HƯNG",phu!$C$5,""),IF(Chinh!$A$2="TRƯỜNG TH&amp;THCS BÌNH BA",phu!$C$5,""))))</f>
        <v/>
      </c>
      <c r="E3" s="317"/>
      <c r="F3" s="317"/>
      <c r="G3" s="318" t="str">
        <f>IF(OR(AG11="Nhập số GV biên chế và hợp đồng!",AG11="Nhập liệu!",Chinh!$I$9=""),"Nhập liệu!",IF(AG11="Hoàn thành!","Hoàn thành!",IF(AG11="Còn lỗi!","Còn lỗi!","")))</f>
        <v>Nhập liệu!</v>
      </c>
      <c r="H3" s="319"/>
      <c r="I3" s="319"/>
    </row>
    <row r="4" spans="1:35" s="313" customFormat="1" ht="35.25" customHeight="1" x14ac:dyDescent="0.25">
      <c r="A4" s="694" t="s">
        <v>214</v>
      </c>
      <c r="B4" s="695" t="s">
        <v>376</v>
      </c>
      <c r="C4" s="695"/>
      <c r="D4" s="695"/>
      <c r="E4" s="696" t="s">
        <v>306</v>
      </c>
      <c r="F4" s="696"/>
      <c r="G4" s="695" t="s">
        <v>291</v>
      </c>
      <c r="H4" s="695"/>
      <c r="I4" s="695"/>
      <c r="J4" s="695"/>
      <c r="K4" s="695"/>
      <c r="L4" s="695"/>
      <c r="M4" s="695"/>
      <c r="N4" s="695"/>
      <c r="O4" s="695"/>
      <c r="P4" s="695"/>
      <c r="Q4" s="695"/>
      <c r="R4" s="695"/>
      <c r="S4" s="695"/>
      <c r="T4" s="695"/>
      <c r="U4" s="695"/>
      <c r="V4" s="695"/>
      <c r="W4" s="695"/>
      <c r="X4" s="695"/>
      <c r="Y4" s="695"/>
      <c r="Z4" s="695"/>
      <c r="AA4" s="695"/>
      <c r="AB4" s="695"/>
      <c r="AC4" s="697"/>
      <c r="AD4" s="700" t="s">
        <v>294</v>
      </c>
      <c r="AE4" s="700"/>
      <c r="AF4" s="700"/>
    </row>
    <row r="5" spans="1:35" ht="30" customHeight="1" x14ac:dyDescent="0.2">
      <c r="A5" s="694"/>
      <c r="B5" s="705" t="s">
        <v>218</v>
      </c>
      <c r="C5" s="698" t="s">
        <v>408</v>
      </c>
      <c r="D5" s="698" t="s">
        <v>409</v>
      </c>
      <c r="E5" s="698" t="s">
        <v>288</v>
      </c>
      <c r="F5" s="698" t="s">
        <v>410</v>
      </c>
      <c r="G5" s="698" t="s">
        <v>238</v>
      </c>
      <c r="H5" s="698" t="s">
        <v>279</v>
      </c>
      <c r="I5" s="698" t="s">
        <v>280</v>
      </c>
      <c r="J5" s="698" t="s">
        <v>239</v>
      </c>
      <c r="K5" s="698" t="s">
        <v>220</v>
      </c>
      <c r="L5" s="698" t="s">
        <v>308</v>
      </c>
      <c r="M5" s="694" t="s">
        <v>285</v>
      </c>
      <c r="N5" s="694"/>
      <c r="O5" s="694"/>
      <c r="P5" s="694"/>
      <c r="Q5" s="694"/>
      <c r="R5" s="694" t="s">
        <v>411</v>
      </c>
      <c r="S5" s="694"/>
      <c r="T5" s="694"/>
      <c r="U5" s="694"/>
      <c r="V5" s="694"/>
      <c r="W5" s="694"/>
      <c r="X5" s="694"/>
      <c r="Y5" s="694" t="s">
        <v>412</v>
      </c>
      <c r="Z5" s="694"/>
      <c r="AA5" s="694"/>
      <c r="AB5" s="694"/>
      <c r="AC5" s="698" t="s">
        <v>82</v>
      </c>
      <c r="AD5" s="699" t="s">
        <v>92</v>
      </c>
      <c r="AE5" s="699" t="s">
        <v>413</v>
      </c>
      <c r="AF5" s="699" t="s">
        <v>95</v>
      </c>
    </row>
    <row r="6" spans="1:35" ht="49.5" customHeight="1" x14ac:dyDescent="0.2">
      <c r="A6" s="694"/>
      <c r="B6" s="705"/>
      <c r="C6" s="698"/>
      <c r="D6" s="698"/>
      <c r="E6" s="698"/>
      <c r="F6" s="698"/>
      <c r="G6" s="698"/>
      <c r="H6" s="698"/>
      <c r="I6" s="698"/>
      <c r="J6" s="698"/>
      <c r="K6" s="698"/>
      <c r="L6" s="698"/>
      <c r="M6" s="567" t="s">
        <v>414</v>
      </c>
      <c r="N6" s="567" t="s">
        <v>406</v>
      </c>
      <c r="O6" s="567" t="s">
        <v>415</v>
      </c>
      <c r="P6" s="570" t="s">
        <v>416</v>
      </c>
      <c r="Q6" s="570" t="s">
        <v>417</v>
      </c>
      <c r="R6" s="566" t="s">
        <v>247</v>
      </c>
      <c r="S6" s="567" t="s">
        <v>418</v>
      </c>
      <c r="T6" s="567" t="s">
        <v>419</v>
      </c>
      <c r="U6" s="567" t="s">
        <v>420</v>
      </c>
      <c r="V6" s="567" t="s">
        <v>421</v>
      </c>
      <c r="W6" s="567" t="s">
        <v>422</v>
      </c>
      <c r="X6" s="566" t="s">
        <v>96</v>
      </c>
      <c r="Y6" s="566" t="s">
        <v>289</v>
      </c>
      <c r="Z6" s="566" t="s">
        <v>293</v>
      </c>
      <c r="AA6" s="566" t="s">
        <v>292</v>
      </c>
      <c r="AB6" s="566" t="s">
        <v>423</v>
      </c>
      <c r="AC6" s="698"/>
      <c r="AD6" s="698"/>
      <c r="AE6" s="698"/>
      <c r="AF6" s="698"/>
    </row>
    <row r="7" spans="1:35" ht="12.75" customHeight="1" x14ac:dyDescent="0.2">
      <c r="A7" s="321">
        <v>1</v>
      </c>
      <c r="B7" s="321">
        <v>2</v>
      </c>
      <c r="C7" s="321">
        <v>3</v>
      </c>
      <c r="D7" s="321">
        <v>4</v>
      </c>
      <c r="E7" s="321">
        <v>5</v>
      </c>
      <c r="F7" s="321">
        <v>6</v>
      </c>
      <c r="G7" s="321">
        <v>7</v>
      </c>
      <c r="H7" s="321">
        <v>8</v>
      </c>
      <c r="I7" s="321">
        <v>9</v>
      </c>
      <c r="J7" s="321">
        <v>10</v>
      </c>
      <c r="K7" s="321">
        <v>11</v>
      </c>
      <c r="L7" s="321">
        <v>12</v>
      </c>
      <c r="M7" s="321">
        <v>13</v>
      </c>
      <c r="N7" s="321">
        <v>14</v>
      </c>
      <c r="O7" s="321">
        <v>15</v>
      </c>
      <c r="P7" s="321">
        <v>16</v>
      </c>
      <c r="Q7" s="321">
        <v>17</v>
      </c>
      <c r="R7" s="321">
        <v>18</v>
      </c>
      <c r="S7" s="321">
        <v>19</v>
      </c>
      <c r="T7" s="321">
        <v>20</v>
      </c>
      <c r="U7" s="321">
        <v>21</v>
      </c>
      <c r="V7" s="321">
        <v>22</v>
      </c>
      <c r="W7" s="321">
        <v>23</v>
      </c>
      <c r="X7" s="321">
        <v>24</v>
      </c>
      <c r="Y7" s="321">
        <v>25</v>
      </c>
      <c r="Z7" s="321">
        <v>26</v>
      </c>
      <c r="AA7" s="321">
        <v>27</v>
      </c>
      <c r="AB7" s="321">
        <v>28</v>
      </c>
      <c r="AC7" s="321">
        <v>29</v>
      </c>
      <c r="AD7" s="321">
        <v>30</v>
      </c>
      <c r="AE7" s="321">
        <v>31</v>
      </c>
      <c r="AF7" s="321">
        <v>32</v>
      </c>
    </row>
    <row r="8" spans="1:35" ht="42.75" customHeight="1" x14ac:dyDescent="0.2">
      <c r="A8" s="322"/>
      <c r="B8" s="323" t="str">
        <f>IF(Chinh!$I$9="","",Chinh!$A$2)</f>
        <v/>
      </c>
      <c r="C8" s="324"/>
      <c r="D8" s="324"/>
      <c r="E8" s="325">
        <f>COUNTIF('DS-CBGVNV-TH'!E8:$E$150,"Hiệu trưởng")</f>
        <v>1</v>
      </c>
      <c r="F8" s="325">
        <f>COUNTIF('DS-CBGVNV-TH'!$E$8:$E$150,"P.hiệu trưởng")</f>
        <v>1</v>
      </c>
      <c r="G8" s="326">
        <f>H8+I8</f>
        <v>2</v>
      </c>
      <c r="H8" s="326">
        <f>SUMPRODUCT(--('DS-CBGVNV-TH'!$E$8:$E$150="Giáo viên"),--('DS-CBGVNV-TH'!$P$8:$P$150="X"),--('DS-CBGVNV-TH'!$F$8:$F$150&lt;&gt;"TPT Đội"))</f>
        <v>2</v>
      </c>
      <c r="I8" s="326">
        <f>SUMPRODUCT(--('DS-CBGVNV-TH'!$E$8:$E$150="Giáo viên"),--('DS-CBGVNV-TH'!$Q$8:$Q$150="X"),--('DS-CBGVNV-TH'!$F$8:$F$150&lt;&gt;"TPT Đội"))</f>
        <v>0</v>
      </c>
      <c r="J8" s="325">
        <f>SUMPRODUCT(--('DS-CBGVNV-TH'!$E$8:$E$150="Giáo viên"),--('DS-CBGVNV-TH'!$D$8:$D$150="X"))</f>
        <v>0</v>
      </c>
      <c r="K8" s="325" t="str">
        <f>IF('DS-CBGVNV-TH'!G3="Hoàn thành!",SUMPRODUCT(--('DS-CBGVNV-TH'!$E$8:$E$150="Giáo viên"),--('DS-CBGVNV-TH'!$R$8:$R$150&lt;&gt;"Kinh")),"")</f>
        <v/>
      </c>
      <c r="L8" s="327">
        <f>IF(OR(G8=0,'TKe-CSVC'!D8=""),"",G8/'TKe-CSVC'!D8)</f>
        <v>1</v>
      </c>
      <c r="M8" s="325">
        <f>SUMPRODUCT(--('DS-CBGVNV-TH'!$E$8:$E$150="Giáo viên"),--('DS-CBGVNV-TH'!$J$8:$J$150="Trên ĐH"),--('DS-CBGVNV-TH'!$F$8:$F$150&lt;&gt;"TPT Đội"))</f>
        <v>0</v>
      </c>
      <c r="N8" s="325">
        <f>SUMPRODUCT(--('DS-CBGVNV-TH'!$E$8:$E$150="Giáo viên"),--('DS-CBGVNV-TH'!$J$8:$J$150="Đại học"),--('DS-CBGVNV-TH'!$F$8:$F$150&lt;&gt;"TPT Đội"))</f>
        <v>2</v>
      </c>
      <c r="O8" s="325">
        <f>SUMPRODUCT(--('DS-CBGVNV-TH'!$E$8:$E$150="Giáo viên"),--('DS-CBGVNV-TH'!$J$8:$J$150="Cao đẳng"),--('DS-CBGVNV-TH'!$F$8:$F$150&lt;&gt;"TPT Đội"))</f>
        <v>0</v>
      </c>
      <c r="P8" s="325">
        <f>SUMPRODUCT(--('DS-CBGVNV-TH'!$E$8:$E$150="Giáo viên"),--('DS-CBGVNV-TH'!$J$8:$J$150="Trung cấp"),--('DS-CBGVNV-TH'!$F$8:$F$150&lt;&gt;"TPT Đội"))</f>
        <v>0</v>
      </c>
      <c r="Q8" s="325">
        <f>SUMPRODUCT(--('DS-CBGVNV-TH'!$E$8:$E$150="Giáo viên"),--('DS-CBGVNV-TH'!$J$8:$J$150="Dưới TC"),--('DS-CBGVNV-TH'!$F$8:$F$150&lt;&gt;"TPT Đội"))</f>
        <v>0</v>
      </c>
      <c r="R8" s="325">
        <f>SUMPRODUCT(--('DS-CBGVNV-TH'!$E$8:$E$150="Giáo viên"),--('DS-CBGVNV-TH'!$F$8:$F$150="Tiểu học"))</f>
        <v>2</v>
      </c>
      <c r="S8" s="325">
        <f>SUMPRODUCT(--('DS-CBGVNV-TH'!$E$8:$E$150="Giáo viên"),--('DS-CBGVNV-TH'!$F$8:$F$150="Âm nhạc"))</f>
        <v>0</v>
      </c>
      <c r="T8" s="325">
        <f>SUMPRODUCT(--('DS-CBGVNV-TH'!$E$8:$E$150="Giáo viên"),--('DS-CBGVNV-TH'!$F$8:$F$150="Mỹ thuật"))</f>
        <v>0</v>
      </c>
      <c r="U8" s="325">
        <f>SUMPRODUCT(--('DS-CBGVNV-TH'!$E$8:$E$150="Giáo viên"),--('DS-CBGVNV-TH'!$F$8:$F$150="Thể dục"))</f>
        <v>0</v>
      </c>
      <c r="V8" s="325">
        <f>SUMPRODUCT(--('DS-CBGVNV-TH'!$E$8:$E$150="Giáo viên"),--('DS-CBGVNV-TH'!$F$8:$F$150="Tin học"))</f>
        <v>0</v>
      </c>
      <c r="W8" s="325">
        <f>SUMPRODUCT(--('DS-CBGVNV-TH'!$E$8:$E$150="Giáo viên"),--('DS-CBGVNV-TH'!$F$8:$F$150="Ngoại ngữ"))</f>
        <v>0</v>
      </c>
      <c r="X8" s="325">
        <f>SUMPRODUCT(--('DS-CBGVNV-TH'!$E$8:$E$150="Giáo viên"),--('DS-CBGVNV-TH'!$F$8:$F$150="Khác"))</f>
        <v>0</v>
      </c>
      <c r="Y8" s="325">
        <f>SUMPRODUCT(--('DS-CBGVNV-TH'!$E$8:$E$150="Giáo viên"),--('DS-CBGVNV-TH'!$S$8:$S$150="Tốt"))</f>
        <v>3</v>
      </c>
      <c r="Z8" s="325">
        <f>SUMPRODUCT(--('DS-CBGVNV-TH'!$E$8:$E$150="Giáo viên"),--('DS-CBGVNV-TH'!$S$8:$S$150="Khá"))</f>
        <v>0</v>
      </c>
      <c r="AA8" s="325">
        <f>SUMPRODUCT(--('DS-CBGVNV-TH'!$E$8:$E$150="Giáo viên"),--('DS-CBGVNV-TH'!$S$8:$S$150="Đạt"))</f>
        <v>0</v>
      </c>
      <c r="AB8" s="325">
        <f>SUMPRODUCT(--('DS-CBGVNV-TH'!$E$8:$E$150="Giáo viên"),--('DS-CBGVNV-TH'!$S$8:$S$150="C.Đạt"))</f>
        <v>0</v>
      </c>
      <c r="AC8" s="325">
        <f>SUMPRODUCT(--('DS-CBGVNV-TH'!$E$8:$E$150="Giáo viên"),--('DS-CBGVNV-TH'!$F$8:$F$150="TPT Đội"))</f>
        <v>1</v>
      </c>
      <c r="AD8" s="325">
        <f>SUMPRODUCT(--('DS-CBGVNV-TH'!$E$8:$E$150="Nhân viên"),--('DS-CBGVNV-TH'!$F$8:$F$150="Văn phòng"))</f>
        <v>1</v>
      </c>
      <c r="AE8" s="325">
        <f>SUMPRODUCT(--('DS-CBGVNV-TH'!$E$8:$E$150="Nhân viên"),--('DS-CBGVNV-TH'!$F$8:$F$150="Thư viện-TBDH"))</f>
        <v>0</v>
      </c>
      <c r="AF8" s="325">
        <f>SUMPRODUCT(--('DS-CBGVNV-TH'!$E$8:$E$150="Nhân viên"),--('DS-CBGVNV-TH'!$F$8:$F$150="Y tế"))</f>
        <v>1</v>
      </c>
      <c r="AG8" s="328" t="str">
        <f>IF(OR(AND(G8=0,H8+I8=0),[2]Chinh!I9=""),"Nhập liệu!",IF(AND(G8&gt;0,H8+I80=0),"Nhập số GV biên chế và hợp đồng!",IF(AND(G8&lt;&gt;0,SUM(H8:I8)=G8),"Hoàn thành!","Còn lỗi!")))</f>
        <v>Hoàn thành!</v>
      </c>
    </row>
    <row r="9" spans="1:35" ht="30" customHeight="1" x14ac:dyDescent="0.2">
      <c r="A9" s="322"/>
      <c r="B9" s="322"/>
      <c r="C9" s="324"/>
      <c r="D9" s="324"/>
      <c r="E9" s="324"/>
      <c r="F9" s="324"/>
      <c r="G9" s="329"/>
      <c r="H9" s="324"/>
      <c r="I9" s="324"/>
      <c r="J9" s="324"/>
      <c r="K9" s="324"/>
      <c r="L9" s="501"/>
      <c r="M9" s="324"/>
      <c r="N9" s="324"/>
      <c r="O9" s="324"/>
      <c r="P9" s="324"/>
      <c r="Q9" s="324"/>
      <c r="R9" s="324"/>
      <c r="S9" s="324"/>
      <c r="T9" s="330"/>
      <c r="U9" s="330"/>
      <c r="V9" s="324"/>
      <c r="W9" s="324"/>
      <c r="X9" s="330"/>
      <c r="Y9" s="331"/>
      <c r="Z9" s="331"/>
      <c r="AA9" s="331"/>
      <c r="AB9" s="331"/>
      <c r="AC9" s="331"/>
      <c r="AD9" s="331"/>
      <c r="AE9" s="331"/>
      <c r="AF9" s="331"/>
      <c r="AG9" s="332"/>
    </row>
    <row r="10" spans="1:35" ht="30.75" customHeight="1" x14ac:dyDescent="0.2">
      <c r="A10" s="322"/>
      <c r="B10" s="322"/>
      <c r="C10" s="324"/>
      <c r="D10" s="324"/>
      <c r="E10" s="324"/>
      <c r="F10" s="324"/>
      <c r="G10" s="329"/>
      <c r="H10" s="324"/>
      <c r="I10" s="324"/>
      <c r="J10" s="324"/>
      <c r="K10" s="324"/>
      <c r="L10" s="501"/>
      <c r="M10" s="324"/>
      <c r="N10" s="324"/>
      <c r="O10" s="324"/>
      <c r="P10" s="324"/>
      <c r="Q10" s="324"/>
      <c r="R10" s="324"/>
      <c r="S10" s="324"/>
      <c r="T10" s="324"/>
      <c r="U10" s="324"/>
      <c r="V10" s="324"/>
      <c r="W10" s="324"/>
      <c r="X10" s="324"/>
      <c r="Y10" s="330"/>
      <c r="Z10" s="330"/>
      <c r="AA10" s="330"/>
      <c r="AB10" s="330"/>
      <c r="AC10" s="330"/>
      <c r="AD10" s="330"/>
      <c r="AE10" s="330"/>
      <c r="AF10" s="330"/>
      <c r="AG10" s="332"/>
    </row>
    <row r="11" spans="1:35" ht="27.75" customHeight="1" x14ac:dyDescent="0.2">
      <c r="A11" s="695" t="s">
        <v>424</v>
      </c>
      <c r="B11" s="695"/>
      <c r="C11" s="331"/>
      <c r="D11" s="333">
        <f>SUM(D8:D10)</f>
        <v>0</v>
      </c>
      <c r="E11" s="333">
        <f>SUM(E8:E10)</f>
        <v>1</v>
      </c>
      <c r="F11" s="333">
        <f t="shared" ref="F11:AF11" si="0">SUM(F8:F10)</f>
        <v>1</v>
      </c>
      <c r="G11" s="334">
        <f t="shared" si="0"/>
        <v>2</v>
      </c>
      <c r="H11" s="333">
        <f t="shared" si="0"/>
        <v>2</v>
      </c>
      <c r="I11" s="333">
        <f t="shared" si="0"/>
        <v>0</v>
      </c>
      <c r="J11" s="333">
        <f t="shared" si="0"/>
        <v>0</v>
      </c>
      <c r="K11" s="333">
        <f t="shared" si="0"/>
        <v>0</v>
      </c>
      <c r="L11" s="335">
        <f>IF(OR(G11=0,'TKe-CSVC'!D11=0),"",G11/'TKe-CSVC'!D11)</f>
        <v>1</v>
      </c>
      <c r="M11" s="333">
        <f t="shared" si="0"/>
        <v>0</v>
      </c>
      <c r="N11" s="333">
        <f t="shared" si="0"/>
        <v>2</v>
      </c>
      <c r="O11" s="333">
        <f t="shared" si="0"/>
        <v>0</v>
      </c>
      <c r="P11" s="333">
        <f t="shared" si="0"/>
        <v>0</v>
      </c>
      <c r="Q11" s="333">
        <f t="shared" si="0"/>
        <v>0</v>
      </c>
      <c r="R11" s="333">
        <f t="shared" si="0"/>
        <v>2</v>
      </c>
      <c r="S11" s="333">
        <f t="shared" si="0"/>
        <v>0</v>
      </c>
      <c r="T11" s="333">
        <f t="shared" si="0"/>
        <v>0</v>
      </c>
      <c r="U11" s="333">
        <f t="shared" si="0"/>
        <v>0</v>
      </c>
      <c r="V11" s="333">
        <f t="shared" si="0"/>
        <v>0</v>
      </c>
      <c r="W11" s="333">
        <f t="shared" si="0"/>
        <v>0</v>
      </c>
      <c r="X11" s="333">
        <f t="shared" si="0"/>
        <v>0</v>
      </c>
      <c r="Y11" s="333">
        <f t="shared" si="0"/>
        <v>3</v>
      </c>
      <c r="Z11" s="333">
        <f t="shared" si="0"/>
        <v>0</v>
      </c>
      <c r="AA11" s="333">
        <f t="shared" si="0"/>
        <v>0</v>
      </c>
      <c r="AB11" s="333">
        <f t="shared" si="0"/>
        <v>0</v>
      </c>
      <c r="AC11" s="333">
        <f t="shared" si="0"/>
        <v>1</v>
      </c>
      <c r="AD11" s="333">
        <f t="shared" si="0"/>
        <v>1</v>
      </c>
      <c r="AE11" s="333">
        <f t="shared" si="0"/>
        <v>0</v>
      </c>
      <c r="AF11" s="333">
        <f t="shared" si="0"/>
        <v>1</v>
      </c>
      <c r="AG11" s="336" t="str">
        <f>IF(AND(G11=0,H11+I11=0),"Nhập liệu!",IF(AND(G11&gt;0,H11+I83=0),"Nhập số GV biên chế và hợp đồng!",IF(AND(G11&lt;&gt;0,SUM(H11:I11)=G11),"Hoàn thành!","Còn lỗi!")))</f>
        <v>Hoàn thành!</v>
      </c>
    </row>
    <row r="12" spans="1:35" ht="17.100000000000001" customHeight="1" x14ac:dyDescent="0.2">
      <c r="G12" s="337"/>
      <c r="H12" s="337"/>
      <c r="I12" s="337"/>
    </row>
    <row r="13" spans="1:35" ht="17.100000000000001" customHeight="1" x14ac:dyDescent="0.2">
      <c r="A13" s="695" t="s">
        <v>425</v>
      </c>
      <c r="B13" s="695"/>
      <c r="C13" s="695"/>
      <c r="D13" s="695"/>
      <c r="E13" s="695"/>
      <c r="F13" s="695"/>
      <c r="G13" s="695"/>
      <c r="H13" s="695"/>
      <c r="I13" s="338" t="s">
        <v>356</v>
      </c>
      <c r="J13" s="704" t="s">
        <v>426</v>
      </c>
      <c r="K13" s="704"/>
    </row>
    <row r="14" spans="1:35" ht="18.75" customHeight="1" x14ac:dyDescent="0.2">
      <c r="A14" s="702" t="s">
        <v>427</v>
      </c>
      <c r="B14" s="702"/>
      <c r="C14" s="702"/>
      <c r="D14" s="702"/>
      <c r="E14" s="702"/>
      <c r="F14" s="702"/>
      <c r="G14" s="702"/>
      <c r="H14" s="702"/>
      <c r="I14" s="339">
        <f>SUM(M11:N11)</f>
        <v>2</v>
      </c>
      <c r="J14" s="703">
        <f>IF(OR($G$11=0,I14=0),"",I14/$G$11*100)</f>
        <v>100</v>
      </c>
      <c r="K14" s="703"/>
      <c r="V14" s="340"/>
      <c r="W14" s="340"/>
      <c r="X14" s="340"/>
      <c r="Y14" s="340"/>
      <c r="Z14" s="340"/>
      <c r="AA14" s="340"/>
      <c r="AB14" s="340"/>
      <c r="AC14" s="340"/>
    </row>
    <row r="15" spans="1:35" ht="18.75" customHeight="1" x14ac:dyDescent="0.2">
      <c r="A15" s="702" t="s">
        <v>428</v>
      </c>
      <c r="B15" s="702"/>
      <c r="C15" s="702"/>
      <c r="D15" s="702"/>
      <c r="E15" s="702"/>
      <c r="F15" s="702"/>
      <c r="G15" s="702"/>
      <c r="H15" s="702"/>
      <c r="I15" s="339">
        <f>(M11)</f>
        <v>0</v>
      </c>
      <c r="J15" s="703" t="str">
        <f>IF(OR($G$11=0,I15=0),"",I15/$G$11*100)</f>
        <v/>
      </c>
      <c r="K15" s="703"/>
      <c r="M15" s="341"/>
      <c r="V15" s="342"/>
      <c r="W15" s="340"/>
      <c r="X15" s="340"/>
      <c r="Y15" s="340"/>
      <c r="Z15" s="340"/>
      <c r="AA15" s="340"/>
      <c r="AB15" s="340"/>
      <c r="AC15" s="340"/>
    </row>
    <row r="16" spans="1:35" ht="18.75" customHeight="1" x14ac:dyDescent="0.2">
      <c r="A16" s="702" t="s">
        <v>429</v>
      </c>
      <c r="B16" s="702"/>
      <c r="C16" s="702"/>
      <c r="D16" s="702"/>
      <c r="E16" s="702"/>
      <c r="F16" s="702"/>
      <c r="G16" s="702"/>
      <c r="H16" s="702"/>
      <c r="I16" s="339">
        <f>SUM(Y11:AA11)</f>
        <v>3</v>
      </c>
      <c r="J16" s="703">
        <f>IF(OR($G$11=0,I16=0),"",I16/$G$11*100)</f>
        <v>150</v>
      </c>
      <c r="K16" s="703"/>
      <c r="X16" s="341"/>
    </row>
    <row r="17" spans="2:33" ht="17.100000000000001" customHeight="1" x14ac:dyDescent="0.2">
      <c r="T17" s="340"/>
      <c r="U17" s="340"/>
      <c r="V17" s="340"/>
      <c r="W17" s="340"/>
      <c r="X17" s="340"/>
      <c r="Y17" s="340"/>
      <c r="Z17" s="340"/>
    </row>
    <row r="18" spans="2:33" s="287" customFormat="1" ht="17.25" customHeight="1" x14ac:dyDescent="0.25">
      <c r="B18" s="343"/>
      <c r="C18" s="344"/>
      <c r="D18" s="344"/>
      <c r="E18" s="344"/>
      <c r="F18" s="344"/>
      <c r="G18" s="344"/>
      <c r="H18" s="344"/>
      <c r="I18" s="344"/>
      <c r="J18" s="344"/>
      <c r="K18" s="344"/>
      <c r="L18" s="344"/>
      <c r="M18" s="344"/>
      <c r="N18" s="344"/>
      <c r="O18" s="344"/>
      <c r="P18" s="344"/>
      <c r="Q18" s="344"/>
      <c r="R18" s="344"/>
      <c r="S18" s="344"/>
      <c r="T18" s="344"/>
      <c r="U18" s="344"/>
      <c r="V18" s="701" t="str">
        <f>Chinh!L34</f>
        <v>Cam ….., ngày ... tháng ... năm 202…</v>
      </c>
      <c r="W18" s="701"/>
      <c r="X18" s="701"/>
      <c r="Y18" s="701"/>
      <c r="Z18" s="701"/>
      <c r="AA18" s="701"/>
      <c r="AB18" s="701"/>
      <c r="AC18" s="701"/>
      <c r="AD18" s="701"/>
      <c r="AE18" s="701"/>
      <c r="AF18" s="533"/>
      <c r="AG18" s="345"/>
    </row>
    <row r="19" spans="2:33" s="287" customFormat="1" ht="20.100000000000001" customHeight="1" x14ac:dyDescent="0.25">
      <c r="B19" s="343"/>
      <c r="C19" s="353" t="s">
        <v>319</v>
      </c>
      <c r="D19" s="347"/>
      <c r="E19" s="347"/>
      <c r="F19" s="347"/>
      <c r="G19" s="347"/>
      <c r="H19" s="347"/>
      <c r="I19" s="344"/>
      <c r="J19" s="344"/>
      <c r="K19" s="344"/>
      <c r="L19" s="344"/>
      <c r="M19" s="352" t="s">
        <v>430</v>
      </c>
      <c r="N19" s="344"/>
      <c r="O19" s="344"/>
      <c r="P19" s="344"/>
      <c r="Q19" s="344"/>
      <c r="R19" s="344"/>
      <c r="S19" s="344"/>
      <c r="T19" s="344"/>
      <c r="U19" s="344"/>
      <c r="V19" s="344"/>
      <c r="W19" s="344"/>
      <c r="X19" s="346" t="s">
        <v>321</v>
      </c>
      <c r="Y19" s="347"/>
      <c r="Z19" s="347"/>
      <c r="AA19" s="347"/>
      <c r="AB19" s="347"/>
      <c r="AC19" s="347"/>
      <c r="AD19" s="347"/>
      <c r="AE19" s="344"/>
      <c r="AF19" s="344"/>
    </row>
    <row r="20" spans="2:33" ht="20.100000000000001" customHeight="1" x14ac:dyDescent="0.25">
      <c r="B20" s="348"/>
      <c r="C20" s="349"/>
      <c r="D20" s="349"/>
      <c r="E20" s="349"/>
      <c r="F20" s="349"/>
      <c r="G20" s="349"/>
      <c r="H20" s="349"/>
      <c r="I20" s="349"/>
      <c r="J20" s="349"/>
      <c r="K20" s="349"/>
      <c r="L20" s="349"/>
      <c r="M20" s="349"/>
      <c r="N20" s="349"/>
      <c r="O20" s="349"/>
      <c r="P20" s="349"/>
      <c r="Q20" s="349"/>
      <c r="R20" s="349"/>
      <c r="S20" s="349"/>
      <c r="T20" s="349"/>
      <c r="U20" s="349"/>
      <c r="V20" s="349"/>
      <c r="W20" s="349"/>
      <c r="X20" s="349"/>
      <c r="Y20" s="349"/>
      <c r="Z20" s="349"/>
      <c r="AA20" s="349"/>
      <c r="AB20" s="349"/>
      <c r="AC20" s="349"/>
      <c r="AD20" s="349"/>
      <c r="AE20" s="349"/>
      <c r="AF20" s="349"/>
    </row>
    <row r="23" spans="2:33" ht="15" customHeight="1" x14ac:dyDescent="0.2">
      <c r="B23" s="354"/>
      <c r="C23" s="568" t="str">
        <f>IF(Chinh!I9&lt;&gt;"",Chinh!C37,"")</f>
        <v/>
      </c>
      <c r="M23" s="568" t="str">
        <f>IF(Chinh!I9&lt;&gt;"",Chinh!L37,"")</f>
        <v/>
      </c>
      <c r="Z23" s="320" t="s">
        <v>519</v>
      </c>
    </row>
  </sheetData>
  <sheetProtection algorithmName="SHA-512" hashValue="grGtFotv/i6YA+/xtlX6fYFMWsV4Ah6V96Qxjv5UCZVza3YgcBWFMDObtP2ggqArxkcGAC7AgdNkdA/gCD6uvQ==" saltValue="64Yc8BF8pZiOCtb27X0zYQ==" spinCount="100000" sheet="1" formatCells="0" formatColumns="0" formatRows="0"/>
  <mergeCells count="37">
    <mergeCell ref="AD4:AF4"/>
    <mergeCell ref="AF5:AF6"/>
    <mergeCell ref="V18:AE18"/>
    <mergeCell ref="AD5:AD6"/>
    <mergeCell ref="A15:H15"/>
    <mergeCell ref="J15:K15"/>
    <mergeCell ref="A16:H16"/>
    <mergeCell ref="J16:K16"/>
    <mergeCell ref="A11:B11"/>
    <mergeCell ref="A13:H13"/>
    <mergeCell ref="J13:K13"/>
    <mergeCell ref="A14:H14"/>
    <mergeCell ref="J14:K14"/>
    <mergeCell ref="B5:B6"/>
    <mergeCell ref="C5:C6"/>
    <mergeCell ref="D5:D6"/>
    <mergeCell ref="AE5:AE6"/>
    <mergeCell ref="L5:L6"/>
    <mergeCell ref="M5:Q5"/>
    <mergeCell ref="R5:X5"/>
    <mergeCell ref="Y5:AB5"/>
    <mergeCell ref="AC5:AC6"/>
    <mergeCell ref="A1:B1"/>
    <mergeCell ref="C1:AB1"/>
    <mergeCell ref="A2:B2"/>
    <mergeCell ref="C2:AB2"/>
    <mergeCell ref="A4:A6"/>
    <mergeCell ref="B4:D4"/>
    <mergeCell ref="E4:F4"/>
    <mergeCell ref="G4:AC4"/>
    <mergeCell ref="K5:K6"/>
    <mergeCell ref="J5:J6"/>
    <mergeCell ref="E5:E6"/>
    <mergeCell ref="F5:F6"/>
    <mergeCell ref="G5:G6"/>
    <mergeCell ref="H5:H6"/>
    <mergeCell ref="I5:I6"/>
  </mergeCells>
  <conditionalFormatting sqref="E8:AF11">
    <cfRule type="cellIs" dxfId="54" priority="6" stopIfTrue="1" operator="between">
      <formula>0</formula>
      <formula>0</formula>
    </cfRule>
  </conditionalFormatting>
  <conditionalFormatting sqref="G3">
    <cfRule type="cellIs" dxfId="53" priority="5" stopIfTrue="1" operator="between">
      <formula>"Hoàn thành!"</formula>
      <formula>"Hoàn thành!"</formula>
    </cfRule>
  </conditionalFormatting>
  <conditionalFormatting sqref="AG8:AG11">
    <cfRule type="cellIs" dxfId="52" priority="4" stopIfTrue="1" operator="between">
      <formula>"Nhập số GV biên chế và hợp đồng!"</formula>
      <formula>"Nhập số GV biên chế và hợp đồng!"</formula>
    </cfRule>
  </conditionalFormatting>
  <conditionalFormatting sqref="D11">
    <cfRule type="cellIs" dxfId="51" priority="1" stopIfTrue="1" operator="between">
      <formula>0</formula>
      <formula>0</formula>
    </cfRule>
  </conditionalFormatting>
  <pageMargins left="7.874015748031496E-2" right="7.874015748031496E-2" top="0.39370078740157483" bottom="0.39370078740157483" header="0.39370078740157483" footer="0.3937007874015748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AD25"/>
  <sheetViews>
    <sheetView showGridLines="0" showZeros="0" workbookViewId="0">
      <selection activeCell="B3" sqref="B3"/>
    </sheetView>
  </sheetViews>
  <sheetFormatPr defaultRowHeight="12.75" customHeight="1" x14ac:dyDescent="0.2"/>
  <cols>
    <col min="1" max="1" width="2.375" style="320" customWidth="1"/>
    <col min="2" max="2" width="17.25" style="320" customWidth="1"/>
    <col min="3" max="9" width="3.875" style="320" customWidth="1"/>
    <col min="10" max="10" width="4.625" style="320" customWidth="1"/>
    <col min="11" max="16" width="3.875" style="320" customWidth="1"/>
    <col min="17" max="17" width="5" style="320" customWidth="1"/>
    <col min="18" max="18" width="3.875" style="320" customWidth="1"/>
    <col min="19" max="19" width="5" style="320" customWidth="1"/>
    <col min="20" max="20" width="3.875" style="320" customWidth="1"/>
    <col min="21" max="21" width="5" style="320" customWidth="1"/>
    <col min="22" max="22" width="3.875" style="320" customWidth="1"/>
    <col min="23" max="23" width="5" style="320" customWidth="1"/>
    <col min="24" max="24" width="3.875" style="320" customWidth="1"/>
    <col min="25" max="25" width="5" style="320" customWidth="1"/>
    <col min="26" max="26" width="3.875" style="320" customWidth="1"/>
    <col min="27" max="27" width="6.125" style="320" customWidth="1"/>
    <col min="28" max="28" width="3.875" style="320" customWidth="1"/>
    <col min="29" max="29" width="5.625" style="320" customWidth="1"/>
    <col min="30" max="30" width="1.5" style="332" hidden="1" customWidth="1"/>
    <col min="31" max="256" width="9" style="320"/>
    <col min="257" max="257" width="2.375" style="320" customWidth="1"/>
    <col min="258" max="258" width="15" style="320" customWidth="1"/>
    <col min="259" max="272" width="3.875" style="320" customWidth="1"/>
    <col min="273" max="273" width="5" style="320" customWidth="1"/>
    <col min="274" max="274" width="3.875" style="320" customWidth="1"/>
    <col min="275" max="275" width="5" style="320" customWidth="1"/>
    <col min="276" max="276" width="3.875" style="320" customWidth="1"/>
    <col min="277" max="277" width="5" style="320" customWidth="1"/>
    <col min="278" max="278" width="3.875" style="320" customWidth="1"/>
    <col min="279" max="279" width="5" style="320" customWidth="1"/>
    <col min="280" max="280" width="3.875" style="320" customWidth="1"/>
    <col min="281" max="281" width="5" style="320" customWidth="1"/>
    <col min="282" max="282" width="3.875" style="320" customWidth="1"/>
    <col min="283" max="283" width="5" style="320" customWidth="1"/>
    <col min="284" max="284" width="3.875" style="320" customWidth="1"/>
    <col min="285" max="285" width="5" style="320" customWidth="1"/>
    <col min="286" max="286" width="0" style="320" hidden="1" customWidth="1"/>
    <col min="287" max="512" width="9" style="320"/>
    <col min="513" max="513" width="2.375" style="320" customWidth="1"/>
    <col min="514" max="514" width="15" style="320" customWidth="1"/>
    <col min="515" max="528" width="3.875" style="320" customWidth="1"/>
    <col min="529" max="529" width="5" style="320" customWidth="1"/>
    <col min="530" max="530" width="3.875" style="320" customWidth="1"/>
    <col min="531" max="531" width="5" style="320" customWidth="1"/>
    <col min="532" max="532" width="3.875" style="320" customWidth="1"/>
    <col min="533" max="533" width="5" style="320" customWidth="1"/>
    <col min="534" max="534" width="3.875" style="320" customWidth="1"/>
    <col min="535" max="535" width="5" style="320" customWidth="1"/>
    <col min="536" max="536" width="3.875" style="320" customWidth="1"/>
    <col min="537" max="537" width="5" style="320" customWidth="1"/>
    <col min="538" max="538" width="3.875" style="320" customWidth="1"/>
    <col min="539" max="539" width="5" style="320" customWidth="1"/>
    <col min="540" max="540" width="3.875" style="320" customWidth="1"/>
    <col min="541" max="541" width="5" style="320" customWidth="1"/>
    <col min="542" max="542" width="0" style="320" hidden="1" customWidth="1"/>
    <col min="543" max="768" width="9" style="320"/>
    <col min="769" max="769" width="2.375" style="320" customWidth="1"/>
    <col min="770" max="770" width="15" style="320" customWidth="1"/>
    <col min="771" max="784" width="3.875" style="320" customWidth="1"/>
    <col min="785" max="785" width="5" style="320" customWidth="1"/>
    <col min="786" max="786" width="3.875" style="320" customWidth="1"/>
    <col min="787" max="787" width="5" style="320" customWidth="1"/>
    <col min="788" max="788" width="3.875" style="320" customWidth="1"/>
    <col min="789" max="789" width="5" style="320" customWidth="1"/>
    <col min="790" max="790" width="3.875" style="320" customWidth="1"/>
    <col min="791" max="791" width="5" style="320" customWidth="1"/>
    <col min="792" max="792" width="3.875" style="320" customWidth="1"/>
    <col min="793" max="793" width="5" style="320" customWidth="1"/>
    <col min="794" max="794" width="3.875" style="320" customWidth="1"/>
    <col min="795" max="795" width="5" style="320" customWidth="1"/>
    <col min="796" max="796" width="3.875" style="320" customWidth="1"/>
    <col min="797" max="797" width="5" style="320" customWidth="1"/>
    <col min="798" max="798" width="0" style="320" hidden="1" customWidth="1"/>
    <col min="799" max="1024" width="9" style="320"/>
    <col min="1025" max="1025" width="2.375" style="320" customWidth="1"/>
    <col min="1026" max="1026" width="15" style="320" customWidth="1"/>
    <col min="1027" max="1040" width="3.875" style="320" customWidth="1"/>
    <col min="1041" max="1041" width="5" style="320" customWidth="1"/>
    <col min="1042" max="1042" width="3.875" style="320" customWidth="1"/>
    <col min="1043" max="1043" width="5" style="320" customWidth="1"/>
    <col min="1044" max="1044" width="3.875" style="320" customWidth="1"/>
    <col min="1045" max="1045" width="5" style="320" customWidth="1"/>
    <col min="1046" max="1046" width="3.875" style="320" customWidth="1"/>
    <col min="1047" max="1047" width="5" style="320" customWidth="1"/>
    <col min="1048" max="1048" width="3.875" style="320" customWidth="1"/>
    <col min="1049" max="1049" width="5" style="320" customWidth="1"/>
    <col min="1050" max="1050" width="3.875" style="320" customWidth="1"/>
    <col min="1051" max="1051" width="5" style="320" customWidth="1"/>
    <col min="1052" max="1052" width="3.875" style="320" customWidth="1"/>
    <col min="1053" max="1053" width="5" style="320" customWidth="1"/>
    <col min="1054" max="1054" width="0" style="320" hidden="1" customWidth="1"/>
    <col min="1055" max="1280" width="9" style="320"/>
    <col min="1281" max="1281" width="2.375" style="320" customWidth="1"/>
    <col min="1282" max="1282" width="15" style="320" customWidth="1"/>
    <col min="1283" max="1296" width="3.875" style="320" customWidth="1"/>
    <col min="1297" max="1297" width="5" style="320" customWidth="1"/>
    <col min="1298" max="1298" width="3.875" style="320" customWidth="1"/>
    <col min="1299" max="1299" width="5" style="320" customWidth="1"/>
    <col min="1300" max="1300" width="3.875" style="320" customWidth="1"/>
    <col min="1301" max="1301" width="5" style="320" customWidth="1"/>
    <col min="1302" max="1302" width="3.875" style="320" customWidth="1"/>
    <col min="1303" max="1303" width="5" style="320" customWidth="1"/>
    <col min="1304" max="1304" width="3.875" style="320" customWidth="1"/>
    <col min="1305" max="1305" width="5" style="320" customWidth="1"/>
    <col min="1306" max="1306" width="3.875" style="320" customWidth="1"/>
    <col min="1307" max="1307" width="5" style="320" customWidth="1"/>
    <col min="1308" max="1308" width="3.875" style="320" customWidth="1"/>
    <col min="1309" max="1309" width="5" style="320" customWidth="1"/>
    <col min="1310" max="1310" width="0" style="320" hidden="1" customWidth="1"/>
    <col min="1311" max="1536" width="9" style="320"/>
    <col min="1537" max="1537" width="2.375" style="320" customWidth="1"/>
    <col min="1538" max="1538" width="15" style="320" customWidth="1"/>
    <col min="1539" max="1552" width="3.875" style="320" customWidth="1"/>
    <col min="1553" max="1553" width="5" style="320" customWidth="1"/>
    <col min="1554" max="1554" width="3.875" style="320" customWidth="1"/>
    <col min="1555" max="1555" width="5" style="320" customWidth="1"/>
    <col min="1556" max="1556" width="3.875" style="320" customWidth="1"/>
    <col min="1557" max="1557" width="5" style="320" customWidth="1"/>
    <col min="1558" max="1558" width="3.875" style="320" customWidth="1"/>
    <col min="1559" max="1559" width="5" style="320" customWidth="1"/>
    <col min="1560" max="1560" width="3.875" style="320" customWidth="1"/>
    <col min="1561" max="1561" width="5" style="320" customWidth="1"/>
    <col min="1562" max="1562" width="3.875" style="320" customWidth="1"/>
    <col min="1563" max="1563" width="5" style="320" customWidth="1"/>
    <col min="1564" max="1564" width="3.875" style="320" customWidth="1"/>
    <col min="1565" max="1565" width="5" style="320" customWidth="1"/>
    <col min="1566" max="1566" width="0" style="320" hidden="1" customWidth="1"/>
    <col min="1567" max="1792" width="9" style="320"/>
    <col min="1793" max="1793" width="2.375" style="320" customWidth="1"/>
    <col min="1794" max="1794" width="15" style="320" customWidth="1"/>
    <col min="1795" max="1808" width="3.875" style="320" customWidth="1"/>
    <col min="1809" max="1809" width="5" style="320" customWidth="1"/>
    <col min="1810" max="1810" width="3.875" style="320" customWidth="1"/>
    <col min="1811" max="1811" width="5" style="320" customWidth="1"/>
    <col min="1812" max="1812" width="3.875" style="320" customWidth="1"/>
    <col min="1813" max="1813" width="5" style="320" customWidth="1"/>
    <col min="1814" max="1814" width="3.875" style="320" customWidth="1"/>
    <col min="1815" max="1815" width="5" style="320" customWidth="1"/>
    <col min="1816" max="1816" width="3.875" style="320" customWidth="1"/>
    <col min="1817" max="1817" width="5" style="320" customWidth="1"/>
    <col min="1818" max="1818" width="3.875" style="320" customWidth="1"/>
    <col min="1819" max="1819" width="5" style="320" customWidth="1"/>
    <col min="1820" max="1820" width="3.875" style="320" customWidth="1"/>
    <col min="1821" max="1821" width="5" style="320" customWidth="1"/>
    <col min="1822" max="1822" width="0" style="320" hidden="1" customWidth="1"/>
    <col min="1823" max="2048" width="9" style="320"/>
    <col min="2049" max="2049" width="2.375" style="320" customWidth="1"/>
    <col min="2050" max="2050" width="15" style="320" customWidth="1"/>
    <col min="2051" max="2064" width="3.875" style="320" customWidth="1"/>
    <col min="2065" max="2065" width="5" style="320" customWidth="1"/>
    <col min="2066" max="2066" width="3.875" style="320" customWidth="1"/>
    <col min="2067" max="2067" width="5" style="320" customWidth="1"/>
    <col min="2068" max="2068" width="3.875" style="320" customWidth="1"/>
    <col min="2069" max="2069" width="5" style="320" customWidth="1"/>
    <col min="2070" max="2070" width="3.875" style="320" customWidth="1"/>
    <col min="2071" max="2071" width="5" style="320" customWidth="1"/>
    <col min="2072" max="2072" width="3.875" style="320" customWidth="1"/>
    <col min="2073" max="2073" width="5" style="320" customWidth="1"/>
    <col min="2074" max="2074" width="3.875" style="320" customWidth="1"/>
    <col min="2075" max="2075" width="5" style="320" customWidth="1"/>
    <col min="2076" max="2076" width="3.875" style="320" customWidth="1"/>
    <col min="2077" max="2077" width="5" style="320" customWidth="1"/>
    <col min="2078" max="2078" width="0" style="320" hidden="1" customWidth="1"/>
    <col min="2079" max="2304" width="9" style="320"/>
    <col min="2305" max="2305" width="2.375" style="320" customWidth="1"/>
    <col min="2306" max="2306" width="15" style="320" customWidth="1"/>
    <col min="2307" max="2320" width="3.875" style="320" customWidth="1"/>
    <col min="2321" max="2321" width="5" style="320" customWidth="1"/>
    <col min="2322" max="2322" width="3.875" style="320" customWidth="1"/>
    <col min="2323" max="2323" width="5" style="320" customWidth="1"/>
    <col min="2324" max="2324" width="3.875" style="320" customWidth="1"/>
    <col min="2325" max="2325" width="5" style="320" customWidth="1"/>
    <col min="2326" max="2326" width="3.875" style="320" customWidth="1"/>
    <col min="2327" max="2327" width="5" style="320" customWidth="1"/>
    <col min="2328" max="2328" width="3.875" style="320" customWidth="1"/>
    <col min="2329" max="2329" width="5" style="320" customWidth="1"/>
    <col min="2330" max="2330" width="3.875" style="320" customWidth="1"/>
    <col min="2331" max="2331" width="5" style="320" customWidth="1"/>
    <col min="2332" max="2332" width="3.875" style="320" customWidth="1"/>
    <col min="2333" max="2333" width="5" style="320" customWidth="1"/>
    <col min="2334" max="2334" width="0" style="320" hidden="1" customWidth="1"/>
    <col min="2335" max="2560" width="9" style="320"/>
    <col min="2561" max="2561" width="2.375" style="320" customWidth="1"/>
    <col min="2562" max="2562" width="15" style="320" customWidth="1"/>
    <col min="2563" max="2576" width="3.875" style="320" customWidth="1"/>
    <col min="2577" max="2577" width="5" style="320" customWidth="1"/>
    <col min="2578" max="2578" width="3.875" style="320" customWidth="1"/>
    <col min="2579" max="2579" width="5" style="320" customWidth="1"/>
    <col min="2580" max="2580" width="3.875" style="320" customWidth="1"/>
    <col min="2581" max="2581" width="5" style="320" customWidth="1"/>
    <col min="2582" max="2582" width="3.875" style="320" customWidth="1"/>
    <col min="2583" max="2583" width="5" style="320" customWidth="1"/>
    <col min="2584" max="2584" width="3.875" style="320" customWidth="1"/>
    <col min="2585" max="2585" width="5" style="320" customWidth="1"/>
    <col min="2586" max="2586" width="3.875" style="320" customWidth="1"/>
    <col min="2587" max="2587" width="5" style="320" customWidth="1"/>
    <col min="2588" max="2588" width="3.875" style="320" customWidth="1"/>
    <col min="2589" max="2589" width="5" style="320" customWidth="1"/>
    <col min="2590" max="2590" width="0" style="320" hidden="1" customWidth="1"/>
    <col min="2591" max="2816" width="9" style="320"/>
    <col min="2817" max="2817" width="2.375" style="320" customWidth="1"/>
    <col min="2818" max="2818" width="15" style="320" customWidth="1"/>
    <col min="2819" max="2832" width="3.875" style="320" customWidth="1"/>
    <col min="2833" max="2833" width="5" style="320" customWidth="1"/>
    <col min="2834" max="2834" width="3.875" style="320" customWidth="1"/>
    <col min="2835" max="2835" width="5" style="320" customWidth="1"/>
    <col min="2836" max="2836" width="3.875" style="320" customWidth="1"/>
    <col min="2837" max="2837" width="5" style="320" customWidth="1"/>
    <col min="2838" max="2838" width="3.875" style="320" customWidth="1"/>
    <col min="2839" max="2839" width="5" style="320" customWidth="1"/>
    <col min="2840" max="2840" width="3.875" style="320" customWidth="1"/>
    <col min="2841" max="2841" width="5" style="320" customWidth="1"/>
    <col min="2842" max="2842" width="3.875" style="320" customWidth="1"/>
    <col min="2843" max="2843" width="5" style="320" customWidth="1"/>
    <col min="2844" max="2844" width="3.875" style="320" customWidth="1"/>
    <col min="2845" max="2845" width="5" style="320" customWidth="1"/>
    <col min="2846" max="2846" width="0" style="320" hidden="1" customWidth="1"/>
    <col min="2847" max="3072" width="9" style="320"/>
    <col min="3073" max="3073" width="2.375" style="320" customWidth="1"/>
    <col min="3074" max="3074" width="15" style="320" customWidth="1"/>
    <col min="3075" max="3088" width="3.875" style="320" customWidth="1"/>
    <col min="3089" max="3089" width="5" style="320" customWidth="1"/>
    <col min="3090" max="3090" width="3.875" style="320" customWidth="1"/>
    <col min="3091" max="3091" width="5" style="320" customWidth="1"/>
    <col min="3092" max="3092" width="3.875" style="320" customWidth="1"/>
    <col min="3093" max="3093" width="5" style="320" customWidth="1"/>
    <col min="3094" max="3094" width="3.875" style="320" customWidth="1"/>
    <col min="3095" max="3095" width="5" style="320" customWidth="1"/>
    <col min="3096" max="3096" width="3.875" style="320" customWidth="1"/>
    <col min="3097" max="3097" width="5" style="320" customWidth="1"/>
    <col min="3098" max="3098" width="3.875" style="320" customWidth="1"/>
    <col min="3099" max="3099" width="5" style="320" customWidth="1"/>
    <col min="3100" max="3100" width="3.875" style="320" customWidth="1"/>
    <col min="3101" max="3101" width="5" style="320" customWidth="1"/>
    <col min="3102" max="3102" width="0" style="320" hidden="1" customWidth="1"/>
    <col min="3103" max="3328" width="9" style="320"/>
    <col min="3329" max="3329" width="2.375" style="320" customWidth="1"/>
    <col min="3330" max="3330" width="15" style="320" customWidth="1"/>
    <col min="3331" max="3344" width="3.875" style="320" customWidth="1"/>
    <col min="3345" max="3345" width="5" style="320" customWidth="1"/>
    <col min="3346" max="3346" width="3.875" style="320" customWidth="1"/>
    <col min="3347" max="3347" width="5" style="320" customWidth="1"/>
    <col min="3348" max="3348" width="3.875" style="320" customWidth="1"/>
    <col min="3349" max="3349" width="5" style="320" customWidth="1"/>
    <col min="3350" max="3350" width="3.875" style="320" customWidth="1"/>
    <col min="3351" max="3351" width="5" style="320" customWidth="1"/>
    <col min="3352" max="3352" width="3.875" style="320" customWidth="1"/>
    <col min="3353" max="3353" width="5" style="320" customWidth="1"/>
    <col min="3354" max="3354" width="3.875" style="320" customWidth="1"/>
    <col min="3355" max="3355" width="5" style="320" customWidth="1"/>
    <col min="3356" max="3356" width="3.875" style="320" customWidth="1"/>
    <col min="3357" max="3357" width="5" style="320" customWidth="1"/>
    <col min="3358" max="3358" width="0" style="320" hidden="1" customWidth="1"/>
    <col min="3359" max="3584" width="9" style="320"/>
    <col min="3585" max="3585" width="2.375" style="320" customWidth="1"/>
    <col min="3586" max="3586" width="15" style="320" customWidth="1"/>
    <col min="3587" max="3600" width="3.875" style="320" customWidth="1"/>
    <col min="3601" max="3601" width="5" style="320" customWidth="1"/>
    <col min="3602" max="3602" width="3.875" style="320" customWidth="1"/>
    <col min="3603" max="3603" width="5" style="320" customWidth="1"/>
    <col min="3604" max="3604" width="3.875" style="320" customWidth="1"/>
    <col min="3605" max="3605" width="5" style="320" customWidth="1"/>
    <col min="3606" max="3606" width="3.875" style="320" customWidth="1"/>
    <col min="3607" max="3607" width="5" style="320" customWidth="1"/>
    <col min="3608" max="3608" width="3.875" style="320" customWidth="1"/>
    <col min="3609" max="3609" width="5" style="320" customWidth="1"/>
    <col min="3610" max="3610" width="3.875" style="320" customWidth="1"/>
    <col min="3611" max="3611" width="5" style="320" customWidth="1"/>
    <col min="3612" max="3612" width="3.875" style="320" customWidth="1"/>
    <col min="3613" max="3613" width="5" style="320" customWidth="1"/>
    <col min="3614" max="3614" width="0" style="320" hidden="1" customWidth="1"/>
    <col min="3615" max="3840" width="9" style="320"/>
    <col min="3841" max="3841" width="2.375" style="320" customWidth="1"/>
    <col min="3842" max="3842" width="15" style="320" customWidth="1"/>
    <col min="3843" max="3856" width="3.875" style="320" customWidth="1"/>
    <col min="3857" max="3857" width="5" style="320" customWidth="1"/>
    <col min="3858" max="3858" width="3.875" style="320" customWidth="1"/>
    <col min="3859" max="3859" width="5" style="320" customWidth="1"/>
    <col min="3860" max="3860" width="3.875" style="320" customWidth="1"/>
    <col min="3861" max="3861" width="5" style="320" customWidth="1"/>
    <col min="3862" max="3862" width="3.875" style="320" customWidth="1"/>
    <col min="3863" max="3863" width="5" style="320" customWidth="1"/>
    <col min="3864" max="3864" width="3.875" style="320" customWidth="1"/>
    <col min="3865" max="3865" width="5" style="320" customWidth="1"/>
    <col min="3866" max="3866" width="3.875" style="320" customWidth="1"/>
    <col min="3867" max="3867" width="5" style="320" customWidth="1"/>
    <col min="3868" max="3868" width="3.875" style="320" customWidth="1"/>
    <col min="3869" max="3869" width="5" style="320" customWidth="1"/>
    <col min="3870" max="3870" width="0" style="320" hidden="1" customWidth="1"/>
    <col min="3871" max="4096" width="9" style="320"/>
    <col min="4097" max="4097" width="2.375" style="320" customWidth="1"/>
    <col min="4098" max="4098" width="15" style="320" customWidth="1"/>
    <col min="4099" max="4112" width="3.875" style="320" customWidth="1"/>
    <col min="4113" max="4113" width="5" style="320" customWidth="1"/>
    <col min="4114" max="4114" width="3.875" style="320" customWidth="1"/>
    <col min="4115" max="4115" width="5" style="320" customWidth="1"/>
    <col min="4116" max="4116" width="3.875" style="320" customWidth="1"/>
    <col min="4117" max="4117" width="5" style="320" customWidth="1"/>
    <col min="4118" max="4118" width="3.875" style="320" customWidth="1"/>
    <col min="4119" max="4119" width="5" style="320" customWidth="1"/>
    <col min="4120" max="4120" width="3.875" style="320" customWidth="1"/>
    <col min="4121" max="4121" width="5" style="320" customWidth="1"/>
    <col min="4122" max="4122" width="3.875" style="320" customWidth="1"/>
    <col min="4123" max="4123" width="5" style="320" customWidth="1"/>
    <col min="4124" max="4124" width="3.875" style="320" customWidth="1"/>
    <col min="4125" max="4125" width="5" style="320" customWidth="1"/>
    <col min="4126" max="4126" width="0" style="320" hidden="1" customWidth="1"/>
    <col min="4127" max="4352" width="9" style="320"/>
    <col min="4353" max="4353" width="2.375" style="320" customWidth="1"/>
    <col min="4354" max="4354" width="15" style="320" customWidth="1"/>
    <col min="4355" max="4368" width="3.875" style="320" customWidth="1"/>
    <col min="4369" max="4369" width="5" style="320" customWidth="1"/>
    <col min="4370" max="4370" width="3.875" style="320" customWidth="1"/>
    <col min="4371" max="4371" width="5" style="320" customWidth="1"/>
    <col min="4372" max="4372" width="3.875" style="320" customWidth="1"/>
    <col min="4373" max="4373" width="5" style="320" customWidth="1"/>
    <col min="4374" max="4374" width="3.875" style="320" customWidth="1"/>
    <col min="4375" max="4375" width="5" style="320" customWidth="1"/>
    <col min="4376" max="4376" width="3.875" style="320" customWidth="1"/>
    <col min="4377" max="4377" width="5" style="320" customWidth="1"/>
    <col min="4378" max="4378" width="3.875" style="320" customWidth="1"/>
    <col min="4379" max="4379" width="5" style="320" customWidth="1"/>
    <col min="4380" max="4380" width="3.875" style="320" customWidth="1"/>
    <col min="4381" max="4381" width="5" style="320" customWidth="1"/>
    <col min="4382" max="4382" width="0" style="320" hidden="1" customWidth="1"/>
    <col min="4383" max="4608" width="9" style="320"/>
    <col min="4609" max="4609" width="2.375" style="320" customWidth="1"/>
    <col min="4610" max="4610" width="15" style="320" customWidth="1"/>
    <col min="4611" max="4624" width="3.875" style="320" customWidth="1"/>
    <col min="4625" max="4625" width="5" style="320" customWidth="1"/>
    <col min="4626" max="4626" width="3.875" style="320" customWidth="1"/>
    <col min="4627" max="4627" width="5" style="320" customWidth="1"/>
    <col min="4628" max="4628" width="3.875" style="320" customWidth="1"/>
    <col min="4629" max="4629" width="5" style="320" customWidth="1"/>
    <col min="4630" max="4630" width="3.875" style="320" customWidth="1"/>
    <col min="4631" max="4631" width="5" style="320" customWidth="1"/>
    <col min="4632" max="4632" width="3.875" style="320" customWidth="1"/>
    <col min="4633" max="4633" width="5" style="320" customWidth="1"/>
    <col min="4634" max="4634" width="3.875" style="320" customWidth="1"/>
    <col min="4635" max="4635" width="5" style="320" customWidth="1"/>
    <col min="4636" max="4636" width="3.875" style="320" customWidth="1"/>
    <col min="4637" max="4637" width="5" style="320" customWidth="1"/>
    <col min="4638" max="4638" width="0" style="320" hidden="1" customWidth="1"/>
    <col min="4639" max="4864" width="9" style="320"/>
    <col min="4865" max="4865" width="2.375" style="320" customWidth="1"/>
    <col min="4866" max="4866" width="15" style="320" customWidth="1"/>
    <col min="4867" max="4880" width="3.875" style="320" customWidth="1"/>
    <col min="4881" max="4881" width="5" style="320" customWidth="1"/>
    <col min="4882" max="4882" width="3.875" style="320" customWidth="1"/>
    <col min="4883" max="4883" width="5" style="320" customWidth="1"/>
    <col min="4884" max="4884" width="3.875" style="320" customWidth="1"/>
    <col min="4885" max="4885" width="5" style="320" customWidth="1"/>
    <col min="4886" max="4886" width="3.875" style="320" customWidth="1"/>
    <col min="4887" max="4887" width="5" style="320" customWidth="1"/>
    <col min="4888" max="4888" width="3.875" style="320" customWidth="1"/>
    <col min="4889" max="4889" width="5" style="320" customWidth="1"/>
    <col min="4890" max="4890" width="3.875" style="320" customWidth="1"/>
    <col min="4891" max="4891" width="5" style="320" customWidth="1"/>
    <col min="4892" max="4892" width="3.875" style="320" customWidth="1"/>
    <col min="4893" max="4893" width="5" style="320" customWidth="1"/>
    <col min="4894" max="4894" width="0" style="320" hidden="1" customWidth="1"/>
    <col min="4895" max="5120" width="9" style="320"/>
    <col min="5121" max="5121" width="2.375" style="320" customWidth="1"/>
    <col min="5122" max="5122" width="15" style="320" customWidth="1"/>
    <col min="5123" max="5136" width="3.875" style="320" customWidth="1"/>
    <col min="5137" max="5137" width="5" style="320" customWidth="1"/>
    <col min="5138" max="5138" width="3.875" style="320" customWidth="1"/>
    <col min="5139" max="5139" width="5" style="320" customWidth="1"/>
    <col min="5140" max="5140" width="3.875" style="320" customWidth="1"/>
    <col min="5141" max="5141" width="5" style="320" customWidth="1"/>
    <col min="5142" max="5142" width="3.875" style="320" customWidth="1"/>
    <col min="5143" max="5143" width="5" style="320" customWidth="1"/>
    <col min="5144" max="5144" width="3.875" style="320" customWidth="1"/>
    <col min="5145" max="5145" width="5" style="320" customWidth="1"/>
    <col min="5146" max="5146" width="3.875" style="320" customWidth="1"/>
    <col min="5147" max="5147" width="5" style="320" customWidth="1"/>
    <col min="5148" max="5148" width="3.875" style="320" customWidth="1"/>
    <col min="5149" max="5149" width="5" style="320" customWidth="1"/>
    <col min="5150" max="5150" width="0" style="320" hidden="1" customWidth="1"/>
    <col min="5151" max="5376" width="9" style="320"/>
    <col min="5377" max="5377" width="2.375" style="320" customWidth="1"/>
    <col min="5378" max="5378" width="15" style="320" customWidth="1"/>
    <col min="5379" max="5392" width="3.875" style="320" customWidth="1"/>
    <col min="5393" max="5393" width="5" style="320" customWidth="1"/>
    <col min="5394" max="5394" width="3.875" style="320" customWidth="1"/>
    <col min="5395" max="5395" width="5" style="320" customWidth="1"/>
    <col min="5396" max="5396" width="3.875" style="320" customWidth="1"/>
    <col min="5397" max="5397" width="5" style="320" customWidth="1"/>
    <col min="5398" max="5398" width="3.875" style="320" customWidth="1"/>
    <col min="5399" max="5399" width="5" style="320" customWidth="1"/>
    <col min="5400" max="5400" width="3.875" style="320" customWidth="1"/>
    <col min="5401" max="5401" width="5" style="320" customWidth="1"/>
    <col min="5402" max="5402" width="3.875" style="320" customWidth="1"/>
    <col min="5403" max="5403" width="5" style="320" customWidth="1"/>
    <col min="5404" max="5404" width="3.875" style="320" customWidth="1"/>
    <col min="5405" max="5405" width="5" style="320" customWidth="1"/>
    <col min="5406" max="5406" width="0" style="320" hidden="1" customWidth="1"/>
    <col min="5407" max="5632" width="9" style="320"/>
    <col min="5633" max="5633" width="2.375" style="320" customWidth="1"/>
    <col min="5634" max="5634" width="15" style="320" customWidth="1"/>
    <col min="5635" max="5648" width="3.875" style="320" customWidth="1"/>
    <col min="5649" max="5649" width="5" style="320" customWidth="1"/>
    <col min="5650" max="5650" width="3.875" style="320" customWidth="1"/>
    <col min="5651" max="5651" width="5" style="320" customWidth="1"/>
    <col min="5652" max="5652" width="3.875" style="320" customWidth="1"/>
    <col min="5653" max="5653" width="5" style="320" customWidth="1"/>
    <col min="5654" max="5654" width="3.875" style="320" customWidth="1"/>
    <col min="5655" max="5655" width="5" style="320" customWidth="1"/>
    <col min="5656" max="5656" width="3.875" style="320" customWidth="1"/>
    <col min="5657" max="5657" width="5" style="320" customWidth="1"/>
    <col min="5658" max="5658" width="3.875" style="320" customWidth="1"/>
    <col min="5659" max="5659" width="5" style="320" customWidth="1"/>
    <col min="5660" max="5660" width="3.875" style="320" customWidth="1"/>
    <col min="5661" max="5661" width="5" style="320" customWidth="1"/>
    <col min="5662" max="5662" width="0" style="320" hidden="1" customWidth="1"/>
    <col min="5663" max="5888" width="9" style="320"/>
    <col min="5889" max="5889" width="2.375" style="320" customWidth="1"/>
    <col min="5890" max="5890" width="15" style="320" customWidth="1"/>
    <col min="5891" max="5904" width="3.875" style="320" customWidth="1"/>
    <col min="5905" max="5905" width="5" style="320" customWidth="1"/>
    <col min="5906" max="5906" width="3.875" style="320" customWidth="1"/>
    <col min="5907" max="5907" width="5" style="320" customWidth="1"/>
    <col min="5908" max="5908" width="3.875" style="320" customWidth="1"/>
    <col min="5909" max="5909" width="5" style="320" customWidth="1"/>
    <col min="5910" max="5910" width="3.875" style="320" customWidth="1"/>
    <col min="5911" max="5911" width="5" style="320" customWidth="1"/>
    <col min="5912" max="5912" width="3.875" style="320" customWidth="1"/>
    <col min="5913" max="5913" width="5" style="320" customWidth="1"/>
    <col min="5914" max="5914" width="3.875" style="320" customWidth="1"/>
    <col min="5915" max="5915" width="5" style="320" customWidth="1"/>
    <col min="5916" max="5916" width="3.875" style="320" customWidth="1"/>
    <col min="5917" max="5917" width="5" style="320" customWidth="1"/>
    <col min="5918" max="5918" width="0" style="320" hidden="1" customWidth="1"/>
    <col min="5919" max="6144" width="9" style="320"/>
    <col min="6145" max="6145" width="2.375" style="320" customWidth="1"/>
    <col min="6146" max="6146" width="15" style="320" customWidth="1"/>
    <col min="6147" max="6160" width="3.875" style="320" customWidth="1"/>
    <col min="6161" max="6161" width="5" style="320" customWidth="1"/>
    <col min="6162" max="6162" width="3.875" style="320" customWidth="1"/>
    <col min="6163" max="6163" width="5" style="320" customWidth="1"/>
    <col min="6164" max="6164" width="3.875" style="320" customWidth="1"/>
    <col min="6165" max="6165" width="5" style="320" customWidth="1"/>
    <col min="6166" max="6166" width="3.875" style="320" customWidth="1"/>
    <col min="6167" max="6167" width="5" style="320" customWidth="1"/>
    <col min="6168" max="6168" width="3.875" style="320" customWidth="1"/>
    <col min="6169" max="6169" width="5" style="320" customWidth="1"/>
    <col min="6170" max="6170" width="3.875" style="320" customWidth="1"/>
    <col min="6171" max="6171" width="5" style="320" customWidth="1"/>
    <col min="6172" max="6172" width="3.875" style="320" customWidth="1"/>
    <col min="6173" max="6173" width="5" style="320" customWidth="1"/>
    <col min="6174" max="6174" width="0" style="320" hidden="1" customWidth="1"/>
    <col min="6175" max="6400" width="9" style="320"/>
    <col min="6401" max="6401" width="2.375" style="320" customWidth="1"/>
    <col min="6402" max="6402" width="15" style="320" customWidth="1"/>
    <col min="6403" max="6416" width="3.875" style="320" customWidth="1"/>
    <col min="6417" max="6417" width="5" style="320" customWidth="1"/>
    <col min="6418" max="6418" width="3.875" style="320" customWidth="1"/>
    <col min="6419" max="6419" width="5" style="320" customWidth="1"/>
    <col min="6420" max="6420" width="3.875" style="320" customWidth="1"/>
    <col min="6421" max="6421" width="5" style="320" customWidth="1"/>
    <col min="6422" max="6422" width="3.875" style="320" customWidth="1"/>
    <col min="6423" max="6423" width="5" style="320" customWidth="1"/>
    <col min="6424" max="6424" width="3.875" style="320" customWidth="1"/>
    <col min="6425" max="6425" width="5" style="320" customWidth="1"/>
    <col min="6426" max="6426" width="3.875" style="320" customWidth="1"/>
    <col min="6427" max="6427" width="5" style="320" customWidth="1"/>
    <col min="6428" max="6428" width="3.875" style="320" customWidth="1"/>
    <col min="6429" max="6429" width="5" style="320" customWidth="1"/>
    <col min="6430" max="6430" width="0" style="320" hidden="1" customWidth="1"/>
    <col min="6431" max="6656" width="9" style="320"/>
    <col min="6657" max="6657" width="2.375" style="320" customWidth="1"/>
    <col min="6658" max="6658" width="15" style="320" customWidth="1"/>
    <col min="6659" max="6672" width="3.875" style="320" customWidth="1"/>
    <col min="6673" max="6673" width="5" style="320" customWidth="1"/>
    <col min="6674" max="6674" width="3.875" style="320" customWidth="1"/>
    <col min="6675" max="6675" width="5" style="320" customWidth="1"/>
    <col min="6676" max="6676" width="3.875" style="320" customWidth="1"/>
    <col min="6677" max="6677" width="5" style="320" customWidth="1"/>
    <col min="6678" max="6678" width="3.875" style="320" customWidth="1"/>
    <col min="6679" max="6679" width="5" style="320" customWidth="1"/>
    <col min="6680" max="6680" width="3.875" style="320" customWidth="1"/>
    <col min="6681" max="6681" width="5" style="320" customWidth="1"/>
    <col min="6682" max="6682" width="3.875" style="320" customWidth="1"/>
    <col min="6683" max="6683" width="5" style="320" customWidth="1"/>
    <col min="6684" max="6684" width="3.875" style="320" customWidth="1"/>
    <col min="6685" max="6685" width="5" style="320" customWidth="1"/>
    <col min="6686" max="6686" width="0" style="320" hidden="1" customWidth="1"/>
    <col min="6687" max="6912" width="9" style="320"/>
    <col min="6913" max="6913" width="2.375" style="320" customWidth="1"/>
    <col min="6914" max="6914" width="15" style="320" customWidth="1"/>
    <col min="6915" max="6928" width="3.875" style="320" customWidth="1"/>
    <col min="6929" max="6929" width="5" style="320" customWidth="1"/>
    <col min="6930" max="6930" width="3.875" style="320" customWidth="1"/>
    <col min="6931" max="6931" width="5" style="320" customWidth="1"/>
    <col min="6932" max="6932" width="3.875" style="320" customWidth="1"/>
    <col min="6933" max="6933" width="5" style="320" customWidth="1"/>
    <col min="6934" max="6934" width="3.875" style="320" customWidth="1"/>
    <col min="6935" max="6935" width="5" style="320" customWidth="1"/>
    <col min="6936" max="6936" width="3.875" style="320" customWidth="1"/>
    <col min="6937" max="6937" width="5" style="320" customWidth="1"/>
    <col min="6938" max="6938" width="3.875" style="320" customWidth="1"/>
    <col min="6939" max="6939" width="5" style="320" customWidth="1"/>
    <col min="6940" max="6940" width="3.875" style="320" customWidth="1"/>
    <col min="6941" max="6941" width="5" style="320" customWidth="1"/>
    <col min="6942" max="6942" width="0" style="320" hidden="1" customWidth="1"/>
    <col min="6943" max="7168" width="9" style="320"/>
    <col min="7169" max="7169" width="2.375" style="320" customWidth="1"/>
    <col min="7170" max="7170" width="15" style="320" customWidth="1"/>
    <col min="7171" max="7184" width="3.875" style="320" customWidth="1"/>
    <col min="7185" max="7185" width="5" style="320" customWidth="1"/>
    <col min="7186" max="7186" width="3.875" style="320" customWidth="1"/>
    <col min="7187" max="7187" width="5" style="320" customWidth="1"/>
    <col min="7188" max="7188" width="3.875" style="320" customWidth="1"/>
    <col min="7189" max="7189" width="5" style="320" customWidth="1"/>
    <col min="7190" max="7190" width="3.875" style="320" customWidth="1"/>
    <col min="7191" max="7191" width="5" style="320" customWidth="1"/>
    <col min="7192" max="7192" width="3.875" style="320" customWidth="1"/>
    <col min="7193" max="7193" width="5" style="320" customWidth="1"/>
    <col min="7194" max="7194" width="3.875" style="320" customWidth="1"/>
    <col min="7195" max="7195" width="5" style="320" customWidth="1"/>
    <col min="7196" max="7196" width="3.875" style="320" customWidth="1"/>
    <col min="7197" max="7197" width="5" style="320" customWidth="1"/>
    <col min="7198" max="7198" width="0" style="320" hidden="1" customWidth="1"/>
    <col min="7199" max="7424" width="9" style="320"/>
    <col min="7425" max="7425" width="2.375" style="320" customWidth="1"/>
    <col min="7426" max="7426" width="15" style="320" customWidth="1"/>
    <col min="7427" max="7440" width="3.875" style="320" customWidth="1"/>
    <col min="7441" max="7441" width="5" style="320" customWidth="1"/>
    <col min="7442" max="7442" width="3.875" style="320" customWidth="1"/>
    <col min="7443" max="7443" width="5" style="320" customWidth="1"/>
    <col min="7444" max="7444" width="3.875" style="320" customWidth="1"/>
    <col min="7445" max="7445" width="5" style="320" customWidth="1"/>
    <col min="7446" max="7446" width="3.875" style="320" customWidth="1"/>
    <col min="7447" max="7447" width="5" style="320" customWidth="1"/>
    <col min="7448" max="7448" width="3.875" style="320" customWidth="1"/>
    <col min="7449" max="7449" width="5" style="320" customWidth="1"/>
    <col min="7450" max="7450" width="3.875" style="320" customWidth="1"/>
    <col min="7451" max="7451" width="5" style="320" customWidth="1"/>
    <col min="7452" max="7452" width="3.875" style="320" customWidth="1"/>
    <col min="7453" max="7453" width="5" style="320" customWidth="1"/>
    <col min="7454" max="7454" width="0" style="320" hidden="1" customWidth="1"/>
    <col min="7455" max="7680" width="9" style="320"/>
    <col min="7681" max="7681" width="2.375" style="320" customWidth="1"/>
    <col min="7682" max="7682" width="15" style="320" customWidth="1"/>
    <col min="7683" max="7696" width="3.875" style="320" customWidth="1"/>
    <col min="7697" max="7697" width="5" style="320" customWidth="1"/>
    <col min="7698" max="7698" width="3.875" style="320" customWidth="1"/>
    <col min="7699" max="7699" width="5" style="320" customWidth="1"/>
    <col min="7700" max="7700" width="3.875" style="320" customWidth="1"/>
    <col min="7701" max="7701" width="5" style="320" customWidth="1"/>
    <col min="7702" max="7702" width="3.875" style="320" customWidth="1"/>
    <col min="7703" max="7703" width="5" style="320" customWidth="1"/>
    <col min="7704" max="7704" width="3.875" style="320" customWidth="1"/>
    <col min="7705" max="7705" width="5" style="320" customWidth="1"/>
    <col min="7706" max="7706" width="3.875" style="320" customWidth="1"/>
    <col min="7707" max="7707" width="5" style="320" customWidth="1"/>
    <col min="7708" max="7708" width="3.875" style="320" customWidth="1"/>
    <col min="7709" max="7709" width="5" style="320" customWidth="1"/>
    <col min="7710" max="7710" width="0" style="320" hidden="1" customWidth="1"/>
    <col min="7711" max="7936" width="9" style="320"/>
    <col min="7937" max="7937" width="2.375" style="320" customWidth="1"/>
    <col min="7938" max="7938" width="15" style="320" customWidth="1"/>
    <col min="7939" max="7952" width="3.875" style="320" customWidth="1"/>
    <col min="7953" max="7953" width="5" style="320" customWidth="1"/>
    <col min="7954" max="7954" width="3.875" style="320" customWidth="1"/>
    <col min="7955" max="7955" width="5" style="320" customWidth="1"/>
    <col min="7956" max="7956" width="3.875" style="320" customWidth="1"/>
    <col min="7957" max="7957" width="5" style="320" customWidth="1"/>
    <col min="7958" max="7958" width="3.875" style="320" customWidth="1"/>
    <col min="7959" max="7959" width="5" style="320" customWidth="1"/>
    <col min="7960" max="7960" width="3.875" style="320" customWidth="1"/>
    <col min="7961" max="7961" width="5" style="320" customWidth="1"/>
    <col min="7962" max="7962" width="3.875" style="320" customWidth="1"/>
    <col min="7963" max="7963" width="5" style="320" customWidth="1"/>
    <col min="7964" max="7964" width="3.875" style="320" customWidth="1"/>
    <col min="7965" max="7965" width="5" style="320" customWidth="1"/>
    <col min="7966" max="7966" width="0" style="320" hidden="1" customWidth="1"/>
    <col min="7967" max="8192" width="9" style="320"/>
    <col min="8193" max="8193" width="2.375" style="320" customWidth="1"/>
    <col min="8194" max="8194" width="15" style="320" customWidth="1"/>
    <col min="8195" max="8208" width="3.875" style="320" customWidth="1"/>
    <col min="8209" max="8209" width="5" style="320" customWidth="1"/>
    <col min="8210" max="8210" width="3.875" style="320" customWidth="1"/>
    <col min="8211" max="8211" width="5" style="320" customWidth="1"/>
    <col min="8212" max="8212" width="3.875" style="320" customWidth="1"/>
    <col min="8213" max="8213" width="5" style="320" customWidth="1"/>
    <col min="8214" max="8214" width="3.875" style="320" customWidth="1"/>
    <col min="8215" max="8215" width="5" style="320" customWidth="1"/>
    <col min="8216" max="8216" width="3.875" style="320" customWidth="1"/>
    <col min="8217" max="8217" width="5" style="320" customWidth="1"/>
    <col min="8218" max="8218" width="3.875" style="320" customWidth="1"/>
    <col min="8219" max="8219" width="5" style="320" customWidth="1"/>
    <col min="8220" max="8220" width="3.875" style="320" customWidth="1"/>
    <col min="8221" max="8221" width="5" style="320" customWidth="1"/>
    <col min="8222" max="8222" width="0" style="320" hidden="1" customWidth="1"/>
    <col min="8223" max="8448" width="9" style="320"/>
    <col min="8449" max="8449" width="2.375" style="320" customWidth="1"/>
    <col min="8450" max="8450" width="15" style="320" customWidth="1"/>
    <col min="8451" max="8464" width="3.875" style="320" customWidth="1"/>
    <col min="8465" max="8465" width="5" style="320" customWidth="1"/>
    <col min="8466" max="8466" width="3.875" style="320" customWidth="1"/>
    <col min="8467" max="8467" width="5" style="320" customWidth="1"/>
    <col min="8468" max="8468" width="3.875" style="320" customWidth="1"/>
    <col min="8469" max="8469" width="5" style="320" customWidth="1"/>
    <col min="8470" max="8470" width="3.875" style="320" customWidth="1"/>
    <col min="8471" max="8471" width="5" style="320" customWidth="1"/>
    <col min="8472" max="8472" width="3.875" style="320" customWidth="1"/>
    <col min="8473" max="8473" width="5" style="320" customWidth="1"/>
    <col min="8474" max="8474" width="3.875" style="320" customWidth="1"/>
    <col min="8475" max="8475" width="5" style="320" customWidth="1"/>
    <col min="8476" max="8476" width="3.875" style="320" customWidth="1"/>
    <col min="8477" max="8477" width="5" style="320" customWidth="1"/>
    <col min="8478" max="8478" width="0" style="320" hidden="1" customWidth="1"/>
    <col min="8479" max="8704" width="9" style="320"/>
    <col min="8705" max="8705" width="2.375" style="320" customWidth="1"/>
    <col min="8706" max="8706" width="15" style="320" customWidth="1"/>
    <col min="8707" max="8720" width="3.875" style="320" customWidth="1"/>
    <col min="8721" max="8721" width="5" style="320" customWidth="1"/>
    <col min="8722" max="8722" width="3.875" style="320" customWidth="1"/>
    <col min="8723" max="8723" width="5" style="320" customWidth="1"/>
    <col min="8724" max="8724" width="3.875" style="320" customWidth="1"/>
    <col min="8725" max="8725" width="5" style="320" customWidth="1"/>
    <col min="8726" max="8726" width="3.875" style="320" customWidth="1"/>
    <col min="8727" max="8727" width="5" style="320" customWidth="1"/>
    <col min="8728" max="8728" width="3.875" style="320" customWidth="1"/>
    <col min="8729" max="8729" width="5" style="320" customWidth="1"/>
    <col min="8730" max="8730" width="3.875" style="320" customWidth="1"/>
    <col min="8731" max="8731" width="5" style="320" customWidth="1"/>
    <col min="8732" max="8732" width="3.875" style="320" customWidth="1"/>
    <col min="8733" max="8733" width="5" style="320" customWidth="1"/>
    <col min="8734" max="8734" width="0" style="320" hidden="1" customWidth="1"/>
    <col min="8735" max="8960" width="9" style="320"/>
    <col min="8961" max="8961" width="2.375" style="320" customWidth="1"/>
    <col min="8962" max="8962" width="15" style="320" customWidth="1"/>
    <col min="8963" max="8976" width="3.875" style="320" customWidth="1"/>
    <col min="8977" max="8977" width="5" style="320" customWidth="1"/>
    <col min="8978" max="8978" width="3.875" style="320" customWidth="1"/>
    <col min="8979" max="8979" width="5" style="320" customWidth="1"/>
    <col min="8980" max="8980" width="3.875" style="320" customWidth="1"/>
    <col min="8981" max="8981" width="5" style="320" customWidth="1"/>
    <col min="8982" max="8982" width="3.875" style="320" customWidth="1"/>
    <col min="8983" max="8983" width="5" style="320" customWidth="1"/>
    <col min="8984" max="8984" width="3.875" style="320" customWidth="1"/>
    <col min="8985" max="8985" width="5" style="320" customWidth="1"/>
    <col min="8986" max="8986" width="3.875" style="320" customWidth="1"/>
    <col min="8987" max="8987" width="5" style="320" customWidth="1"/>
    <col min="8988" max="8988" width="3.875" style="320" customWidth="1"/>
    <col min="8989" max="8989" width="5" style="320" customWidth="1"/>
    <col min="8990" max="8990" width="0" style="320" hidden="1" customWidth="1"/>
    <col min="8991" max="9216" width="9" style="320"/>
    <col min="9217" max="9217" width="2.375" style="320" customWidth="1"/>
    <col min="9218" max="9218" width="15" style="320" customWidth="1"/>
    <col min="9219" max="9232" width="3.875" style="320" customWidth="1"/>
    <col min="9233" max="9233" width="5" style="320" customWidth="1"/>
    <col min="9234" max="9234" width="3.875" style="320" customWidth="1"/>
    <col min="9235" max="9235" width="5" style="320" customWidth="1"/>
    <col min="9236" max="9236" width="3.875" style="320" customWidth="1"/>
    <col min="9237" max="9237" width="5" style="320" customWidth="1"/>
    <col min="9238" max="9238" width="3.875" style="320" customWidth="1"/>
    <col min="9239" max="9239" width="5" style="320" customWidth="1"/>
    <col min="9240" max="9240" width="3.875" style="320" customWidth="1"/>
    <col min="9241" max="9241" width="5" style="320" customWidth="1"/>
    <col min="9242" max="9242" width="3.875" style="320" customWidth="1"/>
    <col min="9243" max="9243" width="5" style="320" customWidth="1"/>
    <col min="9244" max="9244" width="3.875" style="320" customWidth="1"/>
    <col min="9245" max="9245" width="5" style="320" customWidth="1"/>
    <col min="9246" max="9246" width="0" style="320" hidden="1" customWidth="1"/>
    <col min="9247" max="9472" width="9" style="320"/>
    <col min="9473" max="9473" width="2.375" style="320" customWidth="1"/>
    <col min="9474" max="9474" width="15" style="320" customWidth="1"/>
    <col min="9475" max="9488" width="3.875" style="320" customWidth="1"/>
    <col min="9489" max="9489" width="5" style="320" customWidth="1"/>
    <col min="9490" max="9490" width="3.875" style="320" customWidth="1"/>
    <col min="9491" max="9491" width="5" style="320" customWidth="1"/>
    <col min="9492" max="9492" width="3.875" style="320" customWidth="1"/>
    <col min="9493" max="9493" width="5" style="320" customWidth="1"/>
    <col min="9494" max="9494" width="3.875" style="320" customWidth="1"/>
    <col min="9495" max="9495" width="5" style="320" customWidth="1"/>
    <col min="9496" max="9496" width="3.875" style="320" customWidth="1"/>
    <col min="9497" max="9497" width="5" style="320" customWidth="1"/>
    <col min="9498" max="9498" width="3.875" style="320" customWidth="1"/>
    <col min="9499" max="9499" width="5" style="320" customWidth="1"/>
    <col min="9500" max="9500" width="3.875" style="320" customWidth="1"/>
    <col min="9501" max="9501" width="5" style="320" customWidth="1"/>
    <col min="9502" max="9502" width="0" style="320" hidden="1" customWidth="1"/>
    <col min="9503" max="9728" width="9" style="320"/>
    <col min="9729" max="9729" width="2.375" style="320" customWidth="1"/>
    <col min="9730" max="9730" width="15" style="320" customWidth="1"/>
    <col min="9731" max="9744" width="3.875" style="320" customWidth="1"/>
    <col min="9745" max="9745" width="5" style="320" customWidth="1"/>
    <col min="9746" max="9746" width="3.875" style="320" customWidth="1"/>
    <col min="9747" max="9747" width="5" style="320" customWidth="1"/>
    <col min="9748" max="9748" width="3.875" style="320" customWidth="1"/>
    <col min="9749" max="9749" width="5" style="320" customWidth="1"/>
    <col min="9750" max="9750" width="3.875" style="320" customWidth="1"/>
    <col min="9751" max="9751" width="5" style="320" customWidth="1"/>
    <col min="9752" max="9752" width="3.875" style="320" customWidth="1"/>
    <col min="9753" max="9753" width="5" style="320" customWidth="1"/>
    <col min="9754" max="9754" width="3.875" style="320" customWidth="1"/>
    <col min="9755" max="9755" width="5" style="320" customWidth="1"/>
    <col min="9756" max="9756" width="3.875" style="320" customWidth="1"/>
    <col min="9757" max="9757" width="5" style="320" customWidth="1"/>
    <col min="9758" max="9758" width="0" style="320" hidden="1" customWidth="1"/>
    <col min="9759" max="9984" width="9" style="320"/>
    <col min="9985" max="9985" width="2.375" style="320" customWidth="1"/>
    <col min="9986" max="9986" width="15" style="320" customWidth="1"/>
    <col min="9987" max="10000" width="3.875" style="320" customWidth="1"/>
    <col min="10001" max="10001" width="5" style="320" customWidth="1"/>
    <col min="10002" max="10002" width="3.875" style="320" customWidth="1"/>
    <col min="10003" max="10003" width="5" style="320" customWidth="1"/>
    <col min="10004" max="10004" width="3.875" style="320" customWidth="1"/>
    <col min="10005" max="10005" width="5" style="320" customWidth="1"/>
    <col min="10006" max="10006" width="3.875" style="320" customWidth="1"/>
    <col min="10007" max="10007" width="5" style="320" customWidth="1"/>
    <col min="10008" max="10008" width="3.875" style="320" customWidth="1"/>
    <col min="10009" max="10009" width="5" style="320" customWidth="1"/>
    <col min="10010" max="10010" width="3.875" style="320" customWidth="1"/>
    <col min="10011" max="10011" width="5" style="320" customWidth="1"/>
    <col min="10012" max="10012" width="3.875" style="320" customWidth="1"/>
    <col min="10013" max="10013" width="5" style="320" customWidth="1"/>
    <col min="10014" max="10014" width="0" style="320" hidden="1" customWidth="1"/>
    <col min="10015" max="10240" width="9" style="320"/>
    <col min="10241" max="10241" width="2.375" style="320" customWidth="1"/>
    <col min="10242" max="10242" width="15" style="320" customWidth="1"/>
    <col min="10243" max="10256" width="3.875" style="320" customWidth="1"/>
    <col min="10257" max="10257" width="5" style="320" customWidth="1"/>
    <col min="10258" max="10258" width="3.875" style="320" customWidth="1"/>
    <col min="10259" max="10259" width="5" style="320" customWidth="1"/>
    <col min="10260" max="10260" width="3.875" style="320" customWidth="1"/>
    <col min="10261" max="10261" width="5" style="320" customWidth="1"/>
    <col min="10262" max="10262" width="3.875" style="320" customWidth="1"/>
    <col min="10263" max="10263" width="5" style="320" customWidth="1"/>
    <col min="10264" max="10264" width="3.875" style="320" customWidth="1"/>
    <col min="10265" max="10265" width="5" style="320" customWidth="1"/>
    <col min="10266" max="10266" width="3.875" style="320" customWidth="1"/>
    <col min="10267" max="10267" width="5" style="320" customWidth="1"/>
    <col min="10268" max="10268" width="3.875" style="320" customWidth="1"/>
    <col min="10269" max="10269" width="5" style="320" customWidth="1"/>
    <col min="10270" max="10270" width="0" style="320" hidden="1" customWidth="1"/>
    <col min="10271" max="10496" width="9" style="320"/>
    <col min="10497" max="10497" width="2.375" style="320" customWidth="1"/>
    <col min="10498" max="10498" width="15" style="320" customWidth="1"/>
    <col min="10499" max="10512" width="3.875" style="320" customWidth="1"/>
    <col min="10513" max="10513" width="5" style="320" customWidth="1"/>
    <col min="10514" max="10514" width="3.875" style="320" customWidth="1"/>
    <col min="10515" max="10515" width="5" style="320" customWidth="1"/>
    <col min="10516" max="10516" width="3.875" style="320" customWidth="1"/>
    <col min="10517" max="10517" width="5" style="320" customWidth="1"/>
    <col min="10518" max="10518" width="3.875" style="320" customWidth="1"/>
    <col min="10519" max="10519" width="5" style="320" customWidth="1"/>
    <col min="10520" max="10520" width="3.875" style="320" customWidth="1"/>
    <col min="10521" max="10521" width="5" style="320" customWidth="1"/>
    <col min="10522" max="10522" width="3.875" style="320" customWidth="1"/>
    <col min="10523" max="10523" width="5" style="320" customWidth="1"/>
    <col min="10524" max="10524" width="3.875" style="320" customWidth="1"/>
    <col min="10525" max="10525" width="5" style="320" customWidth="1"/>
    <col min="10526" max="10526" width="0" style="320" hidden="1" customWidth="1"/>
    <col min="10527" max="10752" width="9" style="320"/>
    <col min="10753" max="10753" width="2.375" style="320" customWidth="1"/>
    <col min="10754" max="10754" width="15" style="320" customWidth="1"/>
    <col min="10755" max="10768" width="3.875" style="320" customWidth="1"/>
    <col min="10769" max="10769" width="5" style="320" customWidth="1"/>
    <col min="10770" max="10770" width="3.875" style="320" customWidth="1"/>
    <col min="10771" max="10771" width="5" style="320" customWidth="1"/>
    <col min="10772" max="10772" width="3.875" style="320" customWidth="1"/>
    <col min="10773" max="10773" width="5" style="320" customWidth="1"/>
    <col min="10774" max="10774" width="3.875" style="320" customWidth="1"/>
    <col min="10775" max="10775" width="5" style="320" customWidth="1"/>
    <col min="10776" max="10776" width="3.875" style="320" customWidth="1"/>
    <col min="10777" max="10777" width="5" style="320" customWidth="1"/>
    <col min="10778" max="10778" width="3.875" style="320" customWidth="1"/>
    <col min="10779" max="10779" width="5" style="320" customWidth="1"/>
    <col min="10780" max="10780" width="3.875" style="320" customWidth="1"/>
    <col min="10781" max="10781" width="5" style="320" customWidth="1"/>
    <col min="10782" max="10782" width="0" style="320" hidden="1" customWidth="1"/>
    <col min="10783" max="11008" width="9" style="320"/>
    <col min="11009" max="11009" width="2.375" style="320" customWidth="1"/>
    <col min="11010" max="11010" width="15" style="320" customWidth="1"/>
    <col min="11011" max="11024" width="3.875" style="320" customWidth="1"/>
    <col min="11025" max="11025" width="5" style="320" customWidth="1"/>
    <col min="11026" max="11026" width="3.875" style="320" customWidth="1"/>
    <col min="11027" max="11027" width="5" style="320" customWidth="1"/>
    <col min="11028" max="11028" width="3.875" style="320" customWidth="1"/>
    <col min="11029" max="11029" width="5" style="320" customWidth="1"/>
    <col min="11030" max="11030" width="3.875" style="320" customWidth="1"/>
    <col min="11031" max="11031" width="5" style="320" customWidth="1"/>
    <col min="11032" max="11032" width="3.875" style="320" customWidth="1"/>
    <col min="11033" max="11033" width="5" style="320" customWidth="1"/>
    <col min="11034" max="11034" width="3.875" style="320" customWidth="1"/>
    <col min="11035" max="11035" width="5" style="320" customWidth="1"/>
    <col min="11036" max="11036" width="3.875" style="320" customWidth="1"/>
    <col min="11037" max="11037" width="5" style="320" customWidth="1"/>
    <col min="11038" max="11038" width="0" style="320" hidden="1" customWidth="1"/>
    <col min="11039" max="11264" width="9" style="320"/>
    <col min="11265" max="11265" width="2.375" style="320" customWidth="1"/>
    <col min="11266" max="11266" width="15" style="320" customWidth="1"/>
    <col min="11267" max="11280" width="3.875" style="320" customWidth="1"/>
    <col min="11281" max="11281" width="5" style="320" customWidth="1"/>
    <col min="11282" max="11282" width="3.875" style="320" customWidth="1"/>
    <col min="11283" max="11283" width="5" style="320" customWidth="1"/>
    <col min="11284" max="11284" width="3.875" style="320" customWidth="1"/>
    <col min="11285" max="11285" width="5" style="320" customWidth="1"/>
    <col min="11286" max="11286" width="3.875" style="320" customWidth="1"/>
    <col min="11287" max="11287" width="5" style="320" customWidth="1"/>
    <col min="11288" max="11288" width="3.875" style="320" customWidth="1"/>
    <col min="11289" max="11289" width="5" style="320" customWidth="1"/>
    <col min="11290" max="11290" width="3.875" style="320" customWidth="1"/>
    <col min="11291" max="11291" width="5" style="320" customWidth="1"/>
    <col min="11292" max="11292" width="3.875" style="320" customWidth="1"/>
    <col min="11293" max="11293" width="5" style="320" customWidth="1"/>
    <col min="11294" max="11294" width="0" style="320" hidden="1" customWidth="1"/>
    <col min="11295" max="11520" width="9" style="320"/>
    <col min="11521" max="11521" width="2.375" style="320" customWidth="1"/>
    <col min="11522" max="11522" width="15" style="320" customWidth="1"/>
    <col min="11523" max="11536" width="3.875" style="320" customWidth="1"/>
    <col min="11537" max="11537" width="5" style="320" customWidth="1"/>
    <col min="11538" max="11538" width="3.875" style="320" customWidth="1"/>
    <col min="11539" max="11539" width="5" style="320" customWidth="1"/>
    <col min="11540" max="11540" width="3.875" style="320" customWidth="1"/>
    <col min="11541" max="11541" width="5" style="320" customWidth="1"/>
    <col min="11542" max="11542" width="3.875" style="320" customWidth="1"/>
    <col min="11543" max="11543" width="5" style="320" customWidth="1"/>
    <col min="11544" max="11544" width="3.875" style="320" customWidth="1"/>
    <col min="11545" max="11545" width="5" style="320" customWidth="1"/>
    <col min="11546" max="11546" width="3.875" style="320" customWidth="1"/>
    <col min="11547" max="11547" width="5" style="320" customWidth="1"/>
    <col min="11548" max="11548" width="3.875" style="320" customWidth="1"/>
    <col min="11549" max="11549" width="5" style="320" customWidth="1"/>
    <col min="11550" max="11550" width="0" style="320" hidden="1" customWidth="1"/>
    <col min="11551" max="11776" width="9" style="320"/>
    <col min="11777" max="11777" width="2.375" style="320" customWidth="1"/>
    <col min="11778" max="11778" width="15" style="320" customWidth="1"/>
    <col min="11779" max="11792" width="3.875" style="320" customWidth="1"/>
    <col min="11793" max="11793" width="5" style="320" customWidth="1"/>
    <col min="11794" max="11794" width="3.875" style="320" customWidth="1"/>
    <col min="11795" max="11795" width="5" style="320" customWidth="1"/>
    <col min="11796" max="11796" width="3.875" style="320" customWidth="1"/>
    <col min="11797" max="11797" width="5" style="320" customWidth="1"/>
    <col min="11798" max="11798" width="3.875" style="320" customWidth="1"/>
    <col min="11799" max="11799" width="5" style="320" customWidth="1"/>
    <col min="11800" max="11800" width="3.875" style="320" customWidth="1"/>
    <col min="11801" max="11801" width="5" style="320" customWidth="1"/>
    <col min="11802" max="11802" width="3.875" style="320" customWidth="1"/>
    <col min="11803" max="11803" width="5" style="320" customWidth="1"/>
    <col min="11804" max="11804" width="3.875" style="320" customWidth="1"/>
    <col min="11805" max="11805" width="5" style="320" customWidth="1"/>
    <col min="11806" max="11806" width="0" style="320" hidden="1" customWidth="1"/>
    <col min="11807" max="12032" width="9" style="320"/>
    <col min="12033" max="12033" width="2.375" style="320" customWidth="1"/>
    <col min="12034" max="12034" width="15" style="320" customWidth="1"/>
    <col min="12035" max="12048" width="3.875" style="320" customWidth="1"/>
    <col min="12049" max="12049" width="5" style="320" customWidth="1"/>
    <col min="12050" max="12050" width="3.875" style="320" customWidth="1"/>
    <col min="12051" max="12051" width="5" style="320" customWidth="1"/>
    <col min="12052" max="12052" width="3.875" style="320" customWidth="1"/>
    <col min="12053" max="12053" width="5" style="320" customWidth="1"/>
    <col min="12054" max="12054" width="3.875" style="320" customWidth="1"/>
    <col min="12055" max="12055" width="5" style="320" customWidth="1"/>
    <col min="12056" max="12056" width="3.875" style="320" customWidth="1"/>
    <col min="12057" max="12057" width="5" style="320" customWidth="1"/>
    <col min="12058" max="12058" width="3.875" style="320" customWidth="1"/>
    <col min="12059" max="12059" width="5" style="320" customWidth="1"/>
    <col min="12060" max="12060" width="3.875" style="320" customWidth="1"/>
    <col min="12061" max="12061" width="5" style="320" customWidth="1"/>
    <col min="12062" max="12062" width="0" style="320" hidden="1" customWidth="1"/>
    <col min="12063" max="12288" width="9" style="320"/>
    <col min="12289" max="12289" width="2.375" style="320" customWidth="1"/>
    <col min="12290" max="12290" width="15" style="320" customWidth="1"/>
    <col min="12291" max="12304" width="3.875" style="320" customWidth="1"/>
    <col min="12305" max="12305" width="5" style="320" customWidth="1"/>
    <col min="12306" max="12306" width="3.875" style="320" customWidth="1"/>
    <col min="12307" max="12307" width="5" style="320" customWidth="1"/>
    <col min="12308" max="12308" width="3.875" style="320" customWidth="1"/>
    <col min="12309" max="12309" width="5" style="320" customWidth="1"/>
    <col min="12310" max="12310" width="3.875" style="320" customWidth="1"/>
    <col min="12311" max="12311" width="5" style="320" customWidth="1"/>
    <col min="12312" max="12312" width="3.875" style="320" customWidth="1"/>
    <col min="12313" max="12313" width="5" style="320" customWidth="1"/>
    <col min="12314" max="12314" width="3.875" style="320" customWidth="1"/>
    <col min="12315" max="12315" width="5" style="320" customWidth="1"/>
    <col min="12316" max="12316" width="3.875" style="320" customWidth="1"/>
    <col min="12317" max="12317" width="5" style="320" customWidth="1"/>
    <col min="12318" max="12318" width="0" style="320" hidden="1" customWidth="1"/>
    <col min="12319" max="12544" width="9" style="320"/>
    <col min="12545" max="12545" width="2.375" style="320" customWidth="1"/>
    <col min="12546" max="12546" width="15" style="320" customWidth="1"/>
    <col min="12547" max="12560" width="3.875" style="320" customWidth="1"/>
    <col min="12561" max="12561" width="5" style="320" customWidth="1"/>
    <col min="12562" max="12562" width="3.875" style="320" customWidth="1"/>
    <col min="12563" max="12563" width="5" style="320" customWidth="1"/>
    <col min="12564" max="12564" width="3.875" style="320" customWidth="1"/>
    <col min="12565" max="12565" width="5" style="320" customWidth="1"/>
    <col min="12566" max="12566" width="3.875" style="320" customWidth="1"/>
    <col min="12567" max="12567" width="5" style="320" customWidth="1"/>
    <col min="12568" max="12568" width="3.875" style="320" customWidth="1"/>
    <col min="12569" max="12569" width="5" style="320" customWidth="1"/>
    <col min="12570" max="12570" width="3.875" style="320" customWidth="1"/>
    <col min="12571" max="12571" width="5" style="320" customWidth="1"/>
    <col min="12572" max="12572" width="3.875" style="320" customWidth="1"/>
    <col min="12573" max="12573" width="5" style="320" customWidth="1"/>
    <col min="12574" max="12574" width="0" style="320" hidden="1" customWidth="1"/>
    <col min="12575" max="12800" width="9" style="320"/>
    <col min="12801" max="12801" width="2.375" style="320" customWidth="1"/>
    <col min="12802" max="12802" width="15" style="320" customWidth="1"/>
    <col min="12803" max="12816" width="3.875" style="320" customWidth="1"/>
    <col min="12817" max="12817" width="5" style="320" customWidth="1"/>
    <col min="12818" max="12818" width="3.875" style="320" customWidth="1"/>
    <col min="12819" max="12819" width="5" style="320" customWidth="1"/>
    <col min="12820" max="12820" width="3.875" style="320" customWidth="1"/>
    <col min="12821" max="12821" width="5" style="320" customWidth="1"/>
    <col min="12822" max="12822" width="3.875" style="320" customWidth="1"/>
    <col min="12823" max="12823" width="5" style="320" customWidth="1"/>
    <col min="12824" max="12824" width="3.875" style="320" customWidth="1"/>
    <col min="12825" max="12825" width="5" style="320" customWidth="1"/>
    <col min="12826" max="12826" width="3.875" style="320" customWidth="1"/>
    <col min="12827" max="12827" width="5" style="320" customWidth="1"/>
    <col min="12828" max="12828" width="3.875" style="320" customWidth="1"/>
    <col min="12829" max="12829" width="5" style="320" customWidth="1"/>
    <col min="12830" max="12830" width="0" style="320" hidden="1" customWidth="1"/>
    <col min="12831" max="13056" width="9" style="320"/>
    <col min="13057" max="13057" width="2.375" style="320" customWidth="1"/>
    <col min="13058" max="13058" width="15" style="320" customWidth="1"/>
    <col min="13059" max="13072" width="3.875" style="320" customWidth="1"/>
    <col min="13073" max="13073" width="5" style="320" customWidth="1"/>
    <col min="13074" max="13074" width="3.875" style="320" customWidth="1"/>
    <col min="13075" max="13075" width="5" style="320" customWidth="1"/>
    <col min="13076" max="13076" width="3.875" style="320" customWidth="1"/>
    <col min="13077" max="13077" width="5" style="320" customWidth="1"/>
    <col min="13078" max="13078" width="3.875" style="320" customWidth="1"/>
    <col min="13079" max="13079" width="5" style="320" customWidth="1"/>
    <col min="13080" max="13080" width="3.875" style="320" customWidth="1"/>
    <col min="13081" max="13081" width="5" style="320" customWidth="1"/>
    <col min="13082" max="13082" width="3.875" style="320" customWidth="1"/>
    <col min="13083" max="13083" width="5" style="320" customWidth="1"/>
    <col min="13084" max="13084" width="3.875" style="320" customWidth="1"/>
    <col min="13085" max="13085" width="5" style="320" customWidth="1"/>
    <col min="13086" max="13086" width="0" style="320" hidden="1" customWidth="1"/>
    <col min="13087" max="13312" width="9" style="320"/>
    <col min="13313" max="13313" width="2.375" style="320" customWidth="1"/>
    <col min="13314" max="13314" width="15" style="320" customWidth="1"/>
    <col min="13315" max="13328" width="3.875" style="320" customWidth="1"/>
    <col min="13329" max="13329" width="5" style="320" customWidth="1"/>
    <col min="13330" max="13330" width="3.875" style="320" customWidth="1"/>
    <col min="13331" max="13331" width="5" style="320" customWidth="1"/>
    <col min="13332" max="13332" width="3.875" style="320" customWidth="1"/>
    <col min="13333" max="13333" width="5" style="320" customWidth="1"/>
    <col min="13334" max="13334" width="3.875" style="320" customWidth="1"/>
    <col min="13335" max="13335" width="5" style="320" customWidth="1"/>
    <col min="13336" max="13336" width="3.875" style="320" customWidth="1"/>
    <col min="13337" max="13337" width="5" style="320" customWidth="1"/>
    <col min="13338" max="13338" width="3.875" style="320" customWidth="1"/>
    <col min="13339" max="13339" width="5" style="320" customWidth="1"/>
    <col min="13340" max="13340" width="3.875" style="320" customWidth="1"/>
    <col min="13341" max="13341" width="5" style="320" customWidth="1"/>
    <col min="13342" max="13342" width="0" style="320" hidden="1" customWidth="1"/>
    <col min="13343" max="13568" width="9" style="320"/>
    <col min="13569" max="13569" width="2.375" style="320" customWidth="1"/>
    <col min="13570" max="13570" width="15" style="320" customWidth="1"/>
    <col min="13571" max="13584" width="3.875" style="320" customWidth="1"/>
    <col min="13585" max="13585" width="5" style="320" customWidth="1"/>
    <col min="13586" max="13586" width="3.875" style="320" customWidth="1"/>
    <col min="13587" max="13587" width="5" style="320" customWidth="1"/>
    <col min="13588" max="13588" width="3.875" style="320" customWidth="1"/>
    <col min="13589" max="13589" width="5" style="320" customWidth="1"/>
    <col min="13590" max="13590" width="3.875" style="320" customWidth="1"/>
    <col min="13591" max="13591" width="5" style="320" customWidth="1"/>
    <col min="13592" max="13592" width="3.875" style="320" customWidth="1"/>
    <col min="13593" max="13593" width="5" style="320" customWidth="1"/>
    <col min="13594" max="13594" width="3.875" style="320" customWidth="1"/>
    <col min="13595" max="13595" width="5" style="320" customWidth="1"/>
    <col min="13596" max="13596" width="3.875" style="320" customWidth="1"/>
    <col min="13597" max="13597" width="5" style="320" customWidth="1"/>
    <col min="13598" max="13598" width="0" style="320" hidden="1" customWidth="1"/>
    <col min="13599" max="13824" width="9" style="320"/>
    <col min="13825" max="13825" width="2.375" style="320" customWidth="1"/>
    <col min="13826" max="13826" width="15" style="320" customWidth="1"/>
    <col min="13827" max="13840" width="3.875" style="320" customWidth="1"/>
    <col min="13841" max="13841" width="5" style="320" customWidth="1"/>
    <col min="13842" max="13842" width="3.875" style="320" customWidth="1"/>
    <col min="13843" max="13843" width="5" style="320" customWidth="1"/>
    <col min="13844" max="13844" width="3.875" style="320" customWidth="1"/>
    <col min="13845" max="13845" width="5" style="320" customWidth="1"/>
    <col min="13846" max="13846" width="3.875" style="320" customWidth="1"/>
    <col min="13847" max="13847" width="5" style="320" customWidth="1"/>
    <col min="13848" max="13848" width="3.875" style="320" customWidth="1"/>
    <col min="13849" max="13849" width="5" style="320" customWidth="1"/>
    <col min="13850" max="13850" width="3.875" style="320" customWidth="1"/>
    <col min="13851" max="13851" width="5" style="320" customWidth="1"/>
    <col min="13852" max="13852" width="3.875" style="320" customWidth="1"/>
    <col min="13853" max="13853" width="5" style="320" customWidth="1"/>
    <col min="13854" max="13854" width="0" style="320" hidden="1" customWidth="1"/>
    <col min="13855" max="14080" width="9" style="320"/>
    <col min="14081" max="14081" width="2.375" style="320" customWidth="1"/>
    <col min="14082" max="14082" width="15" style="320" customWidth="1"/>
    <col min="14083" max="14096" width="3.875" style="320" customWidth="1"/>
    <col min="14097" max="14097" width="5" style="320" customWidth="1"/>
    <col min="14098" max="14098" width="3.875" style="320" customWidth="1"/>
    <col min="14099" max="14099" width="5" style="320" customWidth="1"/>
    <col min="14100" max="14100" width="3.875" style="320" customWidth="1"/>
    <col min="14101" max="14101" width="5" style="320" customWidth="1"/>
    <col min="14102" max="14102" width="3.875" style="320" customWidth="1"/>
    <col min="14103" max="14103" width="5" style="320" customWidth="1"/>
    <col min="14104" max="14104" width="3.875" style="320" customWidth="1"/>
    <col min="14105" max="14105" width="5" style="320" customWidth="1"/>
    <col min="14106" max="14106" width="3.875" style="320" customWidth="1"/>
    <col min="14107" max="14107" width="5" style="320" customWidth="1"/>
    <col min="14108" max="14108" width="3.875" style="320" customWidth="1"/>
    <col min="14109" max="14109" width="5" style="320" customWidth="1"/>
    <col min="14110" max="14110" width="0" style="320" hidden="1" customWidth="1"/>
    <col min="14111" max="14336" width="9" style="320"/>
    <col min="14337" max="14337" width="2.375" style="320" customWidth="1"/>
    <col min="14338" max="14338" width="15" style="320" customWidth="1"/>
    <col min="14339" max="14352" width="3.875" style="320" customWidth="1"/>
    <col min="14353" max="14353" width="5" style="320" customWidth="1"/>
    <col min="14354" max="14354" width="3.875" style="320" customWidth="1"/>
    <col min="14355" max="14355" width="5" style="320" customWidth="1"/>
    <col min="14356" max="14356" width="3.875" style="320" customWidth="1"/>
    <col min="14357" max="14357" width="5" style="320" customWidth="1"/>
    <col min="14358" max="14358" width="3.875" style="320" customWidth="1"/>
    <col min="14359" max="14359" width="5" style="320" customWidth="1"/>
    <col min="14360" max="14360" width="3.875" style="320" customWidth="1"/>
    <col min="14361" max="14361" width="5" style="320" customWidth="1"/>
    <col min="14362" max="14362" width="3.875" style="320" customWidth="1"/>
    <col min="14363" max="14363" width="5" style="320" customWidth="1"/>
    <col min="14364" max="14364" width="3.875" style="320" customWidth="1"/>
    <col min="14365" max="14365" width="5" style="320" customWidth="1"/>
    <col min="14366" max="14366" width="0" style="320" hidden="1" customWidth="1"/>
    <col min="14367" max="14592" width="9" style="320"/>
    <col min="14593" max="14593" width="2.375" style="320" customWidth="1"/>
    <col min="14594" max="14594" width="15" style="320" customWidth="1"/>
    <col min="14595" max="14608" width="3.875" style="320" customWidth="1"/>
    <col min="14609" max="14609" width="5" style="320" customWidth="1"/>
    <col min="14610" max="14610" width="3.875" style="320" customWidth="1"/>
    <col min="14611" max="14611" width="5" style="320" customWidth="1"/>
    <col min="14612" max="14612" width="3.875" style="320" customWidth="1"/>
    <col min="14613" max="14613" width="5" style="320" customWidth="1"/>
    <col min="14614" max="14614" width="3.875" style="320" customWidth="1"/>
    <col min="14615" max="14615" width="5" style="320" customWidth="1"/>
    <col min="14616" max="14616" width="3.875" style="320" customWidth="1"/>
    <col min="14617" max="14617" width="5" style="320" customWidth="1"/>
    <col min="14618" max="14618" width="3.875" style="320" customWidth="1"/>
    <col min="14619" max="14619" width="5" style="320" customWidth="1"/>
    <col min="14620" max="14620" width="3.875" style="320" customWidth="1"/>
    <col min="14621" max="14621" width="5" style="320" customWidth="1"/>
    <col min="14622" max="14622" width="0" style="320" hidden="1" customWidth="1"/>
    <col min="14623" max="14848" width="9" style="320"/>
    <col min="14849" max="14849" width="2.375" style="320" customWidth="1"/>
    <col min="14850" max="14850" width="15" style="320" customWidth="1"/>
    <col min="14851" max="14864" width="3.875" style="320" customWidth="1"/>
    <col min="14865" max="14865" width="5" style="320" customWidth="1"/>
    <col min="14866" max="14866" width="3.875" style="320" customWidth="1"/>
    <col min="14867" max="14867" width="5" style="320" customWidth="1"/>
    <col min="14868" max="14868" width="3.875" style="320" customWidth="1"/>
    <col min="14869" max="14869" width="5" style="320" customWidth="1"/>
    <col min="14870" max="14870" width="3.875" style="320" customWidth="1"/>
    <col min="14871" max="14871" width="5" style="320" customWidth="1"/>
    <col min="14872" max="14872" width="3.875" style="320" customWidth="1"/>
    <col min="14873" max="14873" width="5" style="320" customWidth="1"/>
    <col min="14874" max="14874" width="3.875" style="320" customWidth="1"/>
    <col min="14875" max="14875" width="5" style="320" customWidth="1"/>
    <col min="14876" max="14876" width="3.875" style="320" customWidth="1"/>
    <col min="14877" max="14877" width="5" style="320" customWidth="1"/>
    <col min="14878" max="14878" width="0" style="320" hidden="1" customWidth="1"/>
    <col min="14879" max="15104" width="9" style="320"/>
    <col min="15105" max="15105" width="2.375" style="320" customWidth="1"/>
    <col min="15106" max="15106" width="15" style="320" customWidth="1"/>
    <col min="15107" max="15120" width="3.875" style="320" customWidth="1"/>
    <col min="15121" max="15121" width="5" style="320" customWidth="1"/>
    <col min="15122" max="15122" width="3.875" style="320" customWidth="1"/>
    <col min="15123" max="15123" width="5" style="320" customWidth="1"/>
    <col min="15124" max="15124" width="3.875" style="320" customWidth="1"/>
    <col min="15125" max="15125" width="5" style="320" customWidth="1"/>
    <col min="15126" max="15126" width="3.875" style="320" customWidth="1"/>
    <col min="15127" max="15127" width="5" style="320" customWidth="1"/>
    <col min="15128" max="15128" width="3.875" style="320" customWidth="1"/>
    <col min="15129" max="15129" width="5" style="320" customWidth="1"/>
    <col min="15130" max="15130" width="3.875" style="320" customWidth="1"/>
    <col min="15131" max="15131" width="5" style="320" customWidth="1"/>
    <col min="15132" max="15132" width="3.875" style="320" customWidth="1"/>
    <col min="15133" max="15133" width="5" style="320" customWidth="1"/>
    <col min="15134" max="15134" width="0" style="320" hidden="1" customWidth="1"/>
    <col min="15135" max="15360" width="9" style="320"/>
    <col min="15361" max="15361" width="2.375" style="320" customWidth="1"/>
    <col min="15362" max="15362" width="15" style="320" customWidth="1"/>
    <col min="15363" max="15376" width="3.875" style="320" customWidth="1"/>
    <col min="15377" max="15377" width="5" style="320" customWidth="1"/>
    <col min="15378" max="15378" width="3.875" style="320" customWidth="1"/>
    <col min="15379" max="15379" width="5" style="320" customWidth="1"/>
    <col min="15380" max="15380" width="3.875" style="320" customWidth="1"/>
    <col min="15381" max="15381" width="5" style="320" customWidth="1"/>
    <col min="15382" max="15382" width="3.875" style="320" customWidth="1"/>
    <col min="15383" max="15383" width="5" style="320" customWidth="1"/>
    <col min="15384" max="15384" width="3.875" style="320" customWidth="1"/>
    <col min="15385" max="15385" width="5" style="320" customWidth="1"/>
    <col min="15386" max="15386" width="3.875" style="320" customWidth="1"/>
    <col min="15387" max="15387" width="5" style="320" customWidth="1"/>
    <col min="15388" max="15388" width="3.875" style="320" customWidth="1"/>
    <col min="15389" max="15389" width="5" style="320" customWidth="1"/>
    <col min="15390" max="15390" width="0" style="320" hidden="1" customWidth="1"/>
    <col min="15391" max="15616" width="9" style="320"/>
    <col min="15617" max="15617" width="2.375" style="320" customWidth="1"/>
    <col min="15618" max="15618" width="15" style="320" customWidth="1"/>
    <col min="15619" max="15632" width="3.875" style="320" customWidth="1"/>
    <col min="15633" max="15633" width="5" style="320" customWidth="1"/>
    <col min="15634" max="15634" width="3.875" style="320" customWidth="1"/>
    <col min="15635" max="15635" width="5" style="320" customWidth="1"/>
    <col min="15636" max="15636" width="3.875" style="320" customWidth="1"/>
    <col min="15637" max="15637" width="5" style="320" customWidth="1"/>
    <col min="15638" max="15638" width="3.875" style="320" customWidth="1"/>
    <col min="15639" max="15639" width="5" style="320" customWidth="1"/>
    <col min="15640" max="15640" width="3.875" style="320" customWidth="1"/>
    <col min="15641" max="15641" width="5" style="320" customWidth="1"/>
    <col min="15642" max="15642" width="3.875" style="320" customWidth="1"/>
    <col min="15643" max="15643" width="5" style="320" customWidth="1"/>
    <col min="15644" max="15644" width="3.875" style="320" customWidth="1"/>
    <col min="15645" max="15645" width="5" style="320" customWidth="1"/>
    <col min="15646" max="15646" width="0" style="320" hidden="1" customWidth="1"/>
    <col min="15647" max="15872" width="9" style="320"/>
    <col min="15873" max="15873" width="2.375" style="320" customWidth="1"/>
    <col min="15874" max="15874" width="15" style="320" customWidth="1"/>
    <col min="15875" max="15888" width="3.875" style="320" customWidth="1"/>
    <col min="15889" max="15889" width="5" style="320" customWidth="1"/>
    <col min="15890" max="15890" width="3.875" style="320" customWidth="1"/>
    <col min="15891" max="15891" width="5" style="320" customWidth="1"/>
    <col min="15892" max="15892" width="3.875" style="320" customWidth="1"/>
    <col min="15893" max="15893" width="5" style="320" customWidth="1"/>
    <col min="15894" max="15894" width="3.875" style="320" customWidth="1"/>
    <col min="15895" max="15895" width="5" style="320" customWidth="1"/>
    <col min="15896" max="15896" width="3.875" style="320" customWidth="1"/>
    <col min="15897" max="15897" width="5" style="320" customWidth="1"/>
    <col min="15898" max="15898" width="3.875" style="320" customWidth="1"/>
    <col min="15899" max="15899" width="5" style="320" customWidth="1"/>
    <col min="15900" max="15900" width="3.875" style="320" customWidth="1"/>
    <col min="15901" max="15901" width="5" style="320" customWidth="1"/>
    <col min="15902" max="15902" width="0" style="320" hidden="1" customWidth="1"/>
    <col min="15903" max="16128" width="9" style="320"/>
    <col min="16129" max="16129" width="2.375" style="320" customWidth="1"/>
    <col min="16130" max="16130" width="15" style="320" customWidth="1"/>
    <col min="16131" max="16144" width="3.875" style="320" customWidth="1"/>
    <col min="16145" max="16145" width="5" style="320" customWidth="1"/>
    <col min="16146" max="16146" width="3.875" style="320" customWidth="1"/>
    <col min="16147" max="16147" width="5" style="320" customWidth="1"/>
    <col min="16148" max="16148" width="3.875" style="320" customWidth="1"/>
    <col min="16149" max="16149" width="5" style="320" customWidth="1"/>
    <col min="16150" max="16150" width="3.875" style="320" customWidth="1"/>
    <col min="16151" max="16151" width="5" style="320" customWidth="1"/>
    <col min="16152" max="16152" width="3.875" style="320" customWidth="1"/>
    <col min="16153" max="16153" width="5" style="320" customWidth="1"/>
    <col min="16154" max="16154" width="3.875" style="320" customWidth="1"/>
    <col min="16155" max="16155" width="5" style="320" customWidth="1"/>
    <col min="16156" max="16156" width="3.875" style="320" customWidth="1"/>
    <col min="16157" max="16157" width="5" style="320" customWidth="1"/>
    <col min="16158" max="16158" width="0" style="320" hidden="1" customWidth="1"/>
    <col min="16159" max="16384" width="9" style="320"/>
  </cols>
  <sheetData>
    <row r="1" spans="1:30" ht="18.75" customHeight="1" x14ac:dyDescent="0.2">
      <c r="A1" s="364" t="s">
        <v>297</v>
      </c>
      <c r="B1" s="364"/>
      <c r="C1" s="692" t="str">
        <f>"THỐNG KÊ CƠ SỞ VẬT CHẤT PHỔ CẬP GIÁO DỤC TIỂU HỌC "&amp; " - "&amp;" NĂM HỌC "&amp;Chinh!$H$5</f>
        <v>THỐNG KÊ CƠ SỞ VẬT CHẤT PHỔ CẬP GIÁO DỤC TIỂU HỌC  -  NĂM HỌC 2025-2026</v>
      </c>
      <c r="D1" s="692"/>
      <c r="E1" s="692"/>
      <c r="F1" s="692"/>
      <c r="G1" s="692"/>
      <c r="H1" s="692"/>
      <c r="I1" s="692"/>
      <c r="J1" s="692"/>
      <c r="K1" s="692"/>
      <c r="L1" s="692"/>
      <c r="M1" s="692"/>
      <c r="N1" s="692"/>
      <c r="O1" s="692"/>
      <c r="P1" s="692"/>
      <c r="Q1" s="692"/>
      <c r="R1" s="692"/>
      <c r="S1" s="692"/>
      <c r="T1" s="692"/>
      <c r="U1" s="692"/>
      <c r="V1" s="692"/>
      <c r="W1" s="692"/>
      <c r="X1" s="692"/>
      <c r="Y1" s="692"/>
      <c r="Z1" s="706" t="s">
        <v>433</v>
      </c>
      <c r="AA1" s="706"/>
      <c r="AB1" s="706"/>
      <c r="AC1" s="706"/>
    </row>
    <row r="2" spans="1:30" ht="16.5" customHeight="1" x14ac:dyDescent="0.2">
      <c r="A2" s="364" t="s">
        <v>300</v>
      </c>
      <c r="B2" s="364"/>
      <c r="C2" s="315"/>
      <c r="D2" s="693" t="s">
        <v>454</v>
      </c>
      <c r="E2" s="693"/>
      <c r="F2" s="693"/>
      <c r="G2" s="693"/>
      <c r="H2" s="693"/>
      <c r="I2" s="693"/>
      <c r="J2" s="693"/>
      <c r="K2" s="693"/>
      <c r="L2" s="693"/>
      <c r="M2" s="693"/>
      <c r="N2" s="693"/>
      <c r="O2" s="693"/>
      <c r="P2" s="693"/>
      <c r="Q2" s="693"/>
      <c r="R2" s="693"/>
      <c r="S2" s="693"/>
      <c r="T2" s="693"/>
      <c r="U2" s="693"/>
      <c r="V2" s="693"/>
      <c r="W2" s="693"/>
      <c r="X2" s="693"/>
      <c r="Y2" s="693"/>
      <c r="Z2" s="315"/>
      <c r="AA2" s="315"/>
      <c r="AB2" s="315"/>
      <c r="AC2" s="315"/>
    </row>
    <row r="3" spans="1:30" ht="30.75" customHeight="1" x14ac:dyDescent="0.2">
      <c r="A3" s="363" t="s">
        <v>363</v>
      </c>
      <c r="B3" s="363"/>
      <c r="C3" s="350"/>
      <c r="D3" s="480" t="str">
        <f>'TKe-CBGVNV-TH'!D3</f>
        <v/>
      </c>
      <c r="G3" s="707" t="str">
        <f>IF(OR(AND(AD8="",AD9="",AD10=""),Chinh!I9=""),"Nhập liệu!",IF(OR(AD8="er",AD9="er",AD10="er"),"Còn lỗi!","Hoàn thành!"))</f>
        <v>Nhập liệu!</v>
      </c>
      <c r="H3" s="707"/>
      <c r="I3" s="707"/>
      <c r="J3" s="313"/>
      <c r="K3" s="317"/>
      <c r="L3" s="317"/>
      <c r="M3" s="317"/>
      <c r="N3" s="317"/>
      <c r="O3" s="317"/>
      <c r="P3" s="317"/>
      <c r="Q3" s="317"/>
      <c r="R3" s="317"/>
      <c r="S3" s="317"/>
      <c r="T3" s="317"/>
      <c r="U3" s="317"/>
      <c r="V3" s="317"/>
      <c r="W3" s="317"/>
      <c r="X3" s="317"/>
      <c r="Y3" s="317"/>
      <c r="Z3" s="312"/>
      <c r="AA3" s="312"/>
      <c r="AB3" s="312"/>
      <c r="AC3" s="312"/>
    </row>
    <row r="4" spans="1:30" ht="27" customHeight="1" x14ac:dyDescent="0.2">
      <c r="A4" s="708" t="s">
        <v>214</v>
      </c>
      <c r="B4" s="710" t="s">
        <v>376</v>
      </c>
      <c r="C4" s="708" t="s">
        <v>434</v>
      </c>
      <c r="D4" s="712" t="s">
        <v>435</v>
      </c>
      <c r="E4" s="712"/>
      <c r="F4" s="713" t="s">
        <v>436</v>
      </c>
      <c r="G4" s="714"/>
      <c r="H4" s="714"/>
      <c r="I4" s="714"/>
      <c r="J4" s="715"/>
      <c r="K4" s="714" t="s">
        <v>437</v>
      </c>
      <c r="L4" s="714"/>
      <c r="M4" s="714"/>
      <c r="N4" s="714"/>
      <c r="O4" s="714"/>
      <c r="P4" s="714"/>
      <c r="Q4" s="714"/>
      <c r="R4" s="714"/>
      <c r="S4" s="714"/>
      <c r="T4" s="714"/>
      <c r="U4" s="714"/>
      <c r="V4" s="713" t="s">
        <v>438</v>
      </c>
      <c r="W4" s="714"/>
      <c r="X4" s="714"/>
      <c r="Y4" s="715"/>
      <c r="Z4" s="712" t="s">
        <v>350</v>
      </c>
      <c r="AA4" s="712"/>
      <c r="AB4" s="712" t="s">
        <v>439</v>
      </c>
      <c r="AC4" s="712"/>
    </row>
    <row r="5" spans="1:30" ht="39.75" customHeight="1" x14ac:dyDescent="0.2">
      <c r="A5" s="708"/>
      <c r="B5" s="710"/>
      <c r="C5" s="708"/>
      <c r="D5" s="717" t="s">
        <v>238</v>
      </c>
      <c r="E5" s="717" t="s">
        <v>440</v>
      </c>
      <c r="F5" s="717" t="s">
        <v>346</v>
      </c>
      <c r="G5" s="717" t="s">
        <v>347</v>
      </c>
      <c r="H5" s="717" t="s">
        <v>441</v>
      </c>
      <c r="I5" s="717" t="s">
        <v>442</v>
      </c>
      <c r="J5" s="717" t="s">
        <v>443</v>
      </c>
      <c r="K5" s="493" t="s">
        <v>444</v>
      </c>
      <c r="L5" s="493" t="s">
        <v>445</v>
      </c>
      <c r="M5" s="493" t="s">
        <v>446</v>
      </c>
      <c r="N5" s="493" t="s">
        <v>95</v>
      </c>
      <c r="O5" s="495" t="s">
        <v>447</v>
      </c>
      <c r="P5" s="694" t="s">
        <v>448</v>
      </c>
      <c r="Q5" s="694"/>
      <c r="R5" s="694" t="s">
        <v>449</v>
      </c>
      <c r="S5" s="694"/>
      <c r="T5" s="694" t="s">
        <v>450</v>
      </c>
      <c r="U5" s="694"/>
      <c r="V5" s="720" t="s">
        <v>451</v>
      </c>
      <c r="W5" s="720"/>
      <c r="X5" s="720" t="s">
        <v>452</v>
      </c>
      <c r="Y5" s="720"/>
      <c r="Z5" s="694" t="s">
        <v>356</v>
      </c>
      <c r="AA5" s="694" t="s">
        <v>453</v>
      </c>
      <c r="AB5" s="694" t="s">
        <v>356</v>
      </c>
      <c r="AC5" s="694" t="s">
        <v>453</v>
      </c>
    </row>
    <row r="6" spans="1:30" ht="32.25" customHeight="1" x14ac:dyDescent="0.2">
      <c r="A6" s="709"/>
      <c r="B6" s="711"/>
      <c r="C6" s="709"/>
      <c r="D6" s="718"/>
      <c r="E6" s="718"/>
      <c r="F6" s="718"/>
      <c r="G6" s="718"/>
      <c r="H6" s="718"/>
      <c r="I6" s="719"/>
      <c r="J6" s="718"/>
      <c r="K6" s="371" t="s">
        <v>356</v>
      </c>
      <c r="L6" s="371" t="s">
        <v>356</v>
      </c>
      <c r="M6" s="371" t="s">
        <v>356</v>
      </c>
      <c r="N6" s="371" t="s">
        <v>356</v>
      </c>
      <c r="O6" s="371" t="s">
        <v>356</v>
      </c>
      <c r="P6" s="371" t="s">
        <v>356</v>
      </c>
      <c r="Q6" s="494" t="s">
        <v>453</v>
      </c>
      <c r="R6" s="371" t="s">
        <v>356</v>
      </c>
      <c r="S6" s="494" t="s">
        <v>453</v>
      </c>
      <c r="T6" s="371" t="s">
        <v>356</v>
      </c>
      <c r="U6" s="494" t="s">
        <v>453</v>
      </c>
      <c r="V6" s="371" t="s">
        <v>356</v>
      </c>
      <c r="W6" s="494" t="s">
        <v>453</v>
      </c>
      <c r="X6" s="371" t="s">
        <v>356</v>
      </c>
      <c r="Y6" s="494" t="s">
        <v>453</v>
      </c>
      <c r="Z6" s="716"/>
      <c r="AA6" s="716"/>
      <c r="AB6" s="716"/>
      <c r="AC6" s="716"/>
    </row>
    <row r="7" spans="1:30" ht="19.5" customHeight="1" x14ac:dyDescent="0.2">
      <c r="A7" s="321">
        <v>1</v>
      </c>
      <c r="B7" s="321">
        <v>2</v>
      </c>
      <c r="C7" s="321">
        <v>3</v>
      </c>
      <c r="D7" s="321">
        <v>4</v>
      </c>
      <c r="E7" s="321">
        <v>5</v>
      </c>
      <c r="F7" s="321">
        <v>6</v>
      </c>
      <c r="G7" s="321">
        <v>7</v>
      </c>
      <c r="H7" s="321">
        <v>8</v>
      </c>
      <c r="I7" s="321">
        <v>9</v>
      </c>
      <c r="J7" s="321">
        <v>10</v>
      </c>
      <c r="K7" s="321">
        <v>11</v>
      </c>
      <c r="L7" s="321">
        <v>12</v>
      </c>
      <c r="M7" s="321">
        <v>13</v>
      </c>
      <c r="N7" s="321">
        <v>14</v>
      </c>
      <c r="O7" s="321">
        <v>15</v>
      </c>
      <c r="P7" s="321">
        <v>16</v>
      </c>
      <c r="Q7" s="321">
        <v>17</v>
      </c>
      <c r="R7" s="321">
        <v>18</v>
      </c>
      <c r="S7" s="321">
        <v>19</v>
      </c>
      <c r="T7" s="321">
        <v>20</v>
      </c>
      <c r="U7" s="321">
        <v>21</v>
      </c>
      <c r="V7" s="321">
        <v>22</v>
      </c>
      <c r="W7" s="321">
        <v>23</v>
      </c>
      <c r="X7" s="321">
        <v>24</v>
      </c>
      <c r="Y7" s="321">
        <v>25</v>
      </c>
      <c r="Z7" s="321">
        <v>26</v>
      </c>
      <c r="AA7" s="321">
        <v>27</v>
      </c>
      <c r="AB7" s="321">
        <v>28</v>
      </c>
      <c r="AC7" s="321">
        <v>29</v>
      </c>
    </row>
    <row r="8" spans="1:30" ht="42.75" customHeight="1" x14ac:dyDescent="0.2">
      <c r="A8" s="355"/>
      <c r="B8" s="367" t="str">
        <f>IF(Chinh!$I$9="","",Chinh!$A$2)</f>
        <v/>
      </c>
      <c r="C8" s="324">
        <v>1</v>
      </c>
      <c r="D8" s="324">
        <v>2</v>
      </c>
      <c r="E8" s="324"/>
      <c r="F8" s="324">
        <v>2</v>
      </c>
      <c r="G8" s="324"/>
      <c r="H8" s="324"/>
      <c r="I8" s="324"/>
      <c r="J8" s="327">
        <f>IF(OR(SUM(F8:I8)=0,SUM(D8:E8)=0),"",SUM(F8:I8)/SUM(D8:E8))</f>
        <v>1</v>
      </c>
      <c r="K8" s="324">
        <v>1</v>
      </c>
      <c r="L8" s="324">
        <v>1</v>
      </c>
      <c r="M8" s="324">
        <v>1</v>
      </c>
      <c r="N8" s="324">
        <v>1</v>
      </c>
      <c r="O8" s="324">
        <v>1</v>
      </c>
      <c r="P8" s="324">
        <v>1</v>
      </c>
      <c r="Q8" s="324">
        <v>64</v>
      </c>
      <c r="R8" s="324">
        <v>1</v>
      </c>
      <c r="S8" s="324">
        <v>100</v>
      </c>
      <c r="T8" s="324">
        <v>1</v>
      </c>
      <c r="U8" s="324">
        <v>100</v>
      </c>
      <c r="V8" s="324">
        <v>1</v>
      </c>
      <c r="W8" s="324">
        <v>64</v>
      </c>
      <c r="X8" s="324">
        <v>2</v>
      </c>
      <c r="Y8" s="324">
        <v>120</v>
      </c>
      <c r="Z8" s="324">
        <v>2</v>
      </c>
      <c r="AA8" s="324">
        <v>1000</v>
      </c>
      <c r="AB8" s="324">
        <v>2</v>
      </c>
      <c r="AC8" s="324">
        <v>1000</v>
      </c>
      <c r="AD8" s="328" t="str">
        <f>IF(AND(C8="",J8="",K8="",L8="",M8="",N8="",O8="",P8="",Q8="",R8="",S8="",T8="",U8="",V8="",W8="",X8="",Y8="",Z8="",AA8="",AB8="",AC8=""),"",IF(AND(B8&lt;&gt;0,C8&lt;&gt;"",J8&lt;&gt;"",K8&lt;&gt;"",L8&lt;&gt;"",M8&lt;&gt;"",N8&lt;&gt;"",O8&lt;&gt;"",P8&lt;&gt;"",Q8&lt;&gt;"",R8&lt;&gt;"",S8&lt;&gt;"",T8&lt;&gt;"",U8&lt;&gt;"",V8&lt;&gt;"",W8&lt;&gt;"",X8&lt;&gt;"",Y8&lt;&gt;"",Z8&lt;&gt;"",AA8&lt;&gt;"",AB8&lt;&gt;"",AC8&lt;&gt;""),"x","er"))</f>
        <v>x</v>
      </c>
    </row>
    <row r="9" spans="1:30" ht="28.5" customHeight="1" x14ac:dyDescent="0.2">
      <c r="A9" s="355"/>
      <c r="B9" s="368"/>
      <c r="C9" s="324"/>
      <c r="D9" s="324"/>
      <c r="E9" s="324"/>
      <c r="F9" s="324"/>
      <c r="G9" s="324"/>
      <c r="H9" s="324"/>
      <c r="I9" s="324"/>
      <c r="J9" s="327" t="str">
        <f>IF(OR(SUM(F9:I9)=0,SUM(D9:E9)=0),"",SUM(F9:I9)/SUM(D9:E9))</f>
        <v/>
      </c>
      <c r="K9" s="324"/>
      <c r="L9" s="324"/>
      <c r="M9" s="324"/>
      <c r="N9" s="324"/>
      <c r="O9" s="324"/>
      <c r="P9" s="324"/>
      <c r="Q9" s="324"/>
      <c r="R9" s="324"/>
      <c r="S9" s="324"/>
      <c r="T9" s="324"/>
      <c r="U9" s="324"/>
      <c r="V9" s="324"/>
      <c r="W9" s="324"/>
      <c r="X9" s="324"/>
      <c r="Y9" s="324"/>
      <c r="Z9" s="324"/>
      <c r="AA9" s="324"/>
      <c r="AB9" s="324"/>
      <c r="AC9" s="324"/>
      <c r="AD9" s="328" t="str">
        <f>IF(AND(C9="",J9="",K9="",L9="",M9="",N9="",O9="",P9="",Q9="",R9="",S9="",T9="",U9="",V9="",W9="",X9="",Y9="",Z9="",AA9="",AB9="",AC9=""),"",IF(AND(B9&lt;&gt;"",C9&lt;&gt;"",J9&lt;&gt;"",K9&lt;&gt;"",L9&lt;&gt;"",M9&lt;&gt;"",N9&lt;&gt;"",O9&lt;&gt;"",P9&lt;&gt;"",Q9&lt;&gt;"",R9&lt;&gt;"",S9&lt;&gt;"",T9&lt;&gt;"",U9&lt;&gt;"",V9&lt;&gt;"",W9&lt;&gt;"",X9&lt;&gt;"",Y9&lt;&gt;"",Z9&lt;&gt;"",AA9&lt;&gt;"",AB9&lt;&gt;"",AC9&lt;&gt;""),"x","er"))</f>
        <v/>
      </c>
    </row>
    <row r="10" spans="1:30" ht="28.5" customHeight="1" x14ac:dyDescent="0.2">
      <c r="A10" s="355"/>
      <c r="B10" s="368"/>
      <c r="C10" s="324"/>
      <c r="D10" s="324"/>
      <c r="E10" s="324"/>
      <c r="F10" s="324"/>
      <c r="G10" s="324"/>
      <c r="H10" s="324"/>
      <c r="I10" s="324"/>
      <c r="J10" s="327" t="str">
        <f>IF(OR(SUM(F10:I10)=0,SUM(D10:E10)=0),"",SUM(F10:I10)/SUM(D10:E10))</f>
        <v/>
      </c>
      <c r="K10" s="324"/>
      <c r="L10" s="324"/>
      <c r="M10" s="324"/>
      <c r="N10" s="324"/>
      <c r="O10" s="324"/>
      <c r="P10" s="324"/>
      <c r="Q10" s="324"/>
      <c r="R10" s="324"/>
      <c r="S10" s="324"/>
      <c r="T10" s="324"/>
      <c r="U10" s="324"/>
      <c r="V10" s="324"/>
      <c r="W10" s="324"/>
      <c r="X10" s="324"/>
      <c r="Y10" s="324"/>
      <c r="Z10" s="324"/>
      <c r="AA10" s="324"/>
      <c r="AB10" s="324"/>
      <c r="AC10" s="324"/>
      <c r="AD10" s="328" t="str">
        <f>IF(AND(C10="",J10="",K10="",L10="",M10="",N10="",O10="",P10="",Q10="",R10="",S10="",T10="",U10="",V10="",W10="",X10="",Y10="",Z10="",AA10="",AB10="",AC10=""),"",IF(AND(B10&lt;&gt;"",C10&lt;&gt;"",J10&lt;&gt;"",K10&lt;&gt;"",L10&lt;&gt;"",M10&lt;&gt;"",N10&lt;&gt;"",O10&lt;&gt;"",P10&lt;&gt;"",Q10&lt;&gt;"",R10&lt;&gt;"",S10&lt;&gt;"",T10&lt;&gt;"",U10&lt;&gt;"",V10&lt;&gt;"",W10&lt;&gt;"",X10&lt;&gt;"",Y10&lt;&gt;"x",Z10&lt;&gt;"",AA10&lt;&gt;"",AB10&lt;&gt;"",AC10&lt;&gt;""),"","er"))</f>
        <v/>
      </c>
    </row>
    <row r="11" spans="1:30" ht="28.5" customHeight="1" x14ac:dyDescent="0.2">
      <c r="A11" s="356"/>
      <c r="B11" s="492" t="s">
        <v>249</v>
      </c>
      <c r="C11" s="357">
        <f t="shared" ref="C11:I11" si="0">SUM(C8:C10)</f>
        <v>1</v>
      </c>
      <c r="D11" s="357">
        <f t="shared" si="0"/>
        <v>2</v>
      </c>
      <c r="E11" s="357">
        <f t="shared" si="0"/>
        <v>0</v>
      </c>
      <c r="F11" s="357">
        <f t="shared" si="0"/>
        <v>2</v>
      </c>
      <c r="G11" s="357">
        <f t="shared" si="0"/>
        <v>0</v>
      </c>
      <c r="H11" s="357">
        <f t="shared" si="0"/>
        <v>0</v>
      </c>
      <c r="I11" s="357">
        <f t="shared" si="0"/>
        <v>0</v>
      </c>
      <c r="J11" s="358">
        <f>IF(OR(SUM(F11:I11)=0,SUM(D11:E11)=0),"",SUM(F11:I11)/SUM(D11:E11))</f>
        <v>1</v>
      </c>
      <c r="K11" s="357">
        <f t="shared" ref="K11:AC11" si="1">SUM(K8:K10)</f>
        <v>1</v>
      </c>
      <c r="L11" s="357">
        <f t="shared" si="1"/>
        <v>1</v>
      </c>
      <c r="M11" s="357">
        <f t="shared" si="1"/>
        <v>1</v>
      </c>
      <c r="N11" s="357">
        <f t="shared" si="1"/>
        <v>1</v>
      </c>
      <c r="O11" s="357">
        <f t="shared" si="1"/>
        <v>1</v>
      </c>
      <c r="P11" s="357">
        <f t="shared" si="1"/>
        <v>1</v>
      </c>
      <c r="Q11" s="357">
        <f t="shared" si="1"/>
        <v>64</v>
      </c>
      <c r="R11" s="357">
        <f t="shared" si="1"/>
        <v>1</v>
      </c>
      <c r="S11" s="357">
        <f t="shared" si="1"/>
        <v>100</v>
      </c>
      <c r="T11" s="357">
        <f t="shared" si="1"/>
        <v>1</v>
      </c>
      <c r="U11" s="357">
        <f t="shared" si="1"/>
        <v>100</v>
      </c>
      <c r="V11" s="357">
        <f t="shared" si="1"/>
        <v>1</v>
      </c>
      <c r="W11" s="357">
        <f t="shared" si="1"/>
        <v>64</v>
      </c>
      <c r="X11" s="357">
        <f t="shared" si="1"/>
        <v>2</v>
      </c>
      <c r="Y11" s="357">
        <f t="shared" si="1"/>
        <v>120</v>
      </c>
      <c r="Z11" s="357">
        <f t="shared" si="1"/>
        <v>2</v>
      </c>
      <c r="AA11" s="357">
        <f t="shared" si="1"/>
        <v>1000</v>
      </c>
      <c r="AB11" s="357">
        <f t="shared" si="1"/>
        <v>2</v>
      </c>
      <c r="AC11" s="357">
        <f t="shared" si="1"/>
        <v>1000</v>
      </c>
      <c r="AD11" s="328" t="str">
        <f>IF(AND(C11="",J11="",K11="",L11="",M11="",N11="",O11="",P11="",Q11="",R11="",S11="",T11="",U11="",V11="",W11="",X11="",Y11="",Z11="",AA11="",AB11="",AC11=""),"",IF(AND(B11&lt;&gt;"",C11&lt;&gt;"",J11&lt;&gt;"",K11&lt;&gt;"",L11&lt;&gt;"",M11&lt;&gt;"",N11&lt;&gt;"",O11&lt;&gt;"",P11&lt;&gt;"",Q11&lt;&gt;"",R11&lt;&gt;"",S11&lt;&gt;"",T11&lt;&gt;"",U11&lt;&gt;"",V11&lt;&gt;"",W11&lt;&gt;"",X11&lt;&gt;"",Y11&lt;&gt;"",Z11&lt;&gt;"",AA11&lt;&gt;"",AB11&lt;&gt;"",AC11&lt;&gt;""),"","er"))</f>
        <v/>
      </c>
    </row>
    <row r="12" spans="1:30" ht="12.75" customHeight="1" x14ac:dyDescent="0.25">
      <c r="A12" s="348"/>
      <c r="B12" s="348"/>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row>
    <row r="13" spans="1:30" s="287" customFormat="1" ht="15" customHeight="1" x14ac:dyDescent="0.25">
      <c r="A13" s="359"/>
      <c r="B13" s="360"/>
      <c r="C13" s="344"/>
      <c r="D13" s="344"/>
      <c r="E13" s="344"/>
      <c r="F13" s="344"/>
      <c r="G13" s="344"/>
      <c r="H13" s="344"/>
      <c r="I13" s="344"/>
      <c r="J13" s="344"/>
      <c r="K13" s="344"/>
      <c r="L13" s="344"/>
      <c r="M13" s="344"/>
      <c r="N13" s="344"/>
      <c r="O13" s="344"/>
      <c r="P13" s="344"/>
      <c r="Q13" s="344"/>
      <c r="R13" s="344"/>
      <c r="S13" s="344"/>
      <c r="T13" s="344"/>
      <c r="V13" s="366"/>
      <c r="W13" s="366"/>
      <c r="X13" s="366"/>
      <c r="Y13" s="369" t="str">
        <f>Chinh!L34</f>
        <v>Cam ….., ngày ... tháng ... năm 202…</v>
      </c>
      <c r="Z13" s="366"/>
      <c r="AA13" s="366"/>
      <c r="AB13" s="366"/>
      <c r="AC13" s="366"/>
      <c r="AD13" s="286"/>
    </row>
    <row r="14" spans="1:30" s="287" customFormat="1" ht="21.75" customHeight="1" x14ac:dyDescent="0.25">
      <c r="B14" s="343"/>
      <c r="C14" s="352" t="s">
        <v>319</v>
      </c>
      <c r="D14" s="347"/>
      <c r="E14" s="347"/>
      <c r="F14" s="347"/>
      <c r="G14" s="347"/>
      <c r="H14" s="347"/>
      <c r="I14" s="344"/>
      <c r="J14" s="344"/>
      <c r="K14" s="344"/>
      <c r="L14" s="353" t="s">
        <v>430</v>
      </c>
      <c r="M14" s="344"/>
      <c r="N14" s="344"/>
      <c r="O14" s="344"/>
      <c r="P14" s="344"/>
      <c r="Q14" s="344"/>
      <c r="R14" s="344"/>
      <c r="S14" s="344"/>
      <c r="T14" s="344"/>
      <c r="U14" s="344"/>
      <c r="W14" s="365"/>
      <c r="X14" s="365"/>
      <c r="Y14" s="353" t="s">
        <v>321</v>
      </c>
      <c r="Z14" s="365"/>
      <c r="AA14" s="365"/>
      <c r="AB14" s="365"/>
      <c r="AC14" s="344"/>
      <c r="AD14" s="286"/>
    </row>
    <row r="15" spans="1:30" ht="12.75" customHeight="1" x14ac:dyDescent="0.25">
      <c r="B15" s="348"/>
      <c r="C15" s="349"/>
      <c r="D15" s="349"/>
      <c r="E15" s="349"/>
      <c r="F15" s="349"/>
      <c r="G15" s="349"/>
      <c r="H15" s="349"/>
      <c r="I15" s="349"/>
      <c r="J15" s="349"/>
      <c r="K15" s="349"/>
      <c r="L15" s="353"/>
      <c r="M15" s="349"/>
      <c r="N15" s="349"/>
      <c r="O15" s="349"/>
      <c r="P15" s="349"/>
      <c r="Q15" s="349"/>
      <c r="R15" s="349"/>
      <c r="S15" s="349"/>
      <c r="T15" s="349"/>
      <c r="U15" s="349"/>
      <c r="V15" s="349"/>
      <c r="W15" s="349"/>
      <c r="X15" s="349"/>
      <c r="Y15" s="349"/>
      <c r="Z15" s="349"/>
      <c r="AA15" s="349"/>
      <c r="AB15" s="349"/>
      <c r="AC15" s="349"/>
    </row>
    <row r="16" spans="1:30" ht="12.75" customHeight="1" x14ac:dyDescent="0.25">
      <c r="B16" s="348"/>
      <c r="C16" s="349"/>
      <c r="D16" s="349"/>
      <c r="E16" s="349"/>
      <c r="F16" s="349"/>
      <c r="G16" s="349"/>
      <c r="H16" s="349"/>
      <c r="I16" s="349"/>
      <c r="J16" s="349"/>
      <c r="K16" s="349"/>
      <c r="L16" s="353"/>
      <c r="M16" s="349"/>
      <c r="N16" s="349"/>
      <c r="O16" s="349"/>
      <c r="P16" s="349"/>
      <c r="Q16" s="349"/>
      <c r="R16" s="349"/>
      <c r="S16" s="349"/>
      <c r="T16" s="349"/>
      <c r="U16" s="349"/>
      <c r="V16" s="349"/>
      <c r="W16" s="349"/>
      <c r="X16" s="349"/>
      <c r="Y16" s="349"/>
      <c r="Z16" s="349"/>
      <c r="AA16" s="349"/>
      <c r="AB16" s="349"/>
      <c r="AC16" s="349"/>
    </row>
    <row r="17" spans="3:29" s="332" customFormat="1" ht="12.75" customHeight="1" x14ac:dyDescent="0.2">
      <c r="C17" s="361"/>
      <c r="D17" s="361"/>
      <c r="E17" s="361"/>
      <c r="F17" s="361"/>
      <c r="G17" s="361"/>
      <c r="H17" s="361"/>
      <c r="I17" s="361"/>
      <c r="J17" s="361"/>
      <c r="K17" s="361"/>
      <c r="L17" s="353"/>
      <c r="M17" s="361"/>
      <c r="N17" s="361"/>
      <c r="O17" s="361"/>
      <c r="P17" s="361"/>
      <c r="Q17" s="361"/>
      <c r="R17" s="361"/>
      <c r="S17" s="361"/>
      <c r="T17" s="361"/>
      <c r="U17" s="361"/>
      <c r="V17" s="361"/>
      <c r="W17" s="361"/>
      <c r="X17" s="361"/>
      <c r="Y17" s="361"/>
      <c r="Z17" s="361"/>
      <c r="AA17" s="361"/>
      <c r="AB17" s="361"/>
      <c r="AC17" s="361"/>
    </row>
    <row r="18" spans="3:29" s="332" customFormat="1" ht="12.75" customHeight="1" x14ac:dyDescent="0.2">
      <c r="C18" s="361"/>
      <c r="D18" s="361"/>
      <c r="E18" s="361"/>
      <c r="F18" s="361"/>
      <c r="G18" s="361"/>
      <c r="H18" s="361"/>
      <c r="I18" s="361"/>
      <c r="J18" s="361"/>
      <c r="K18" s="361"/>
      <c r="L18" s="353"/>
      <c r="M18" s="361"/>
      <c r="N18" s="361"/>
      <c r="O18" s="361"/>
      <c r="P18" s="361"/>
      <c r="Q18" s="361"/>
      <c r="R18" s="361"/>
      <c r="S18" s="361"/>
      <c r="T18" s="361"/>
      <c r="U18" s="361"/>
      <c r="V18" s="361"/>
      <c r="W18" s="361"/>
      <c r="X18" s="361"/>
      <c r="Y18" s="361"/>
      <c r="Z18" s="361"/>
      <c r="AA18" s="361"/>
      <c r="AB18" s="361"/>
      <c r="AC18" s="361"/>
    </row>
    <row r="19" spans="3:29" s="332" customFormat="1" ht="12.75" customHeight="1" x14ac:dyDescent="0.2">
      <c r="C19" s="361"/>
      <c r="D19" s="361"/>
      <c r="E19" s="361"/>
      <c r="F19" s="361"/>
      <c r="G19" s="361"/>
      <c r="H19" s="361"/>
      <c r="I19" s="361"/>
      <c r="J19" s="361"/>
      <c r="K19" s="361"/>
      <c r="L19" s="353"/>
      <c r="M19" s="361"/>
      <c r="N19" s="361"/>
      <c r="O19" s="361"/>
      <c r="P19" s="361"/>
      <c r="Q19" s="361"/>
      <c r="R19" s="361"/>
      <c r="S19" s="361"/>
      <c r="T19" s="361"/>
      <c r="U19" s="361"/>
      <c r="V19" s="361"/>
      <c r="W19" s="361"/>
      <c r="X19" s="361"/>
      <c r="Y19" s="361"/>
      <c r="Z19" s="361"/>
      <c r="AA19" s="361"/>
      <c r="AB19" s="361"/>
      <c r="AC19" s="361"/>
    </row>
    <row r="20" spans="3:29" s="332" customFormat="1" ht="12.75" customHeight="1" x14ac:dyDescent="0.2">
      <c r="C20" s="361"/>
      <c r="D20" s="361"/>
      <c r="E20" s="361"/>
      <c r="F20" s="361"/>
      <c r="G20" s="361"/>
      <c r="H20" s="361"/>
      <c r="I20" s="361"/>
      <c r="J20" s="361"/>
      <c r="K20" s="361"/>
      <c r="L20" s="353"/>
      <c r="M20" s="361"/>
      <c r="N20" s="361"/>
      <c r="O20" s="361"/>
      <c r="P20" s="361"/>
      <c r="Q20" s="361"/>
      <c r="R20" s="361"/>
      <c r="S20" s="361"/>
      <c r="T20" s="361"/>
      <c r="U20" s="361"/>
      <c r="V20" s="361"/>
      <c r="W20" s="361"/>
      <c r="X20" s="361"/>
      <c r="Y20" s="361"/>
      <c r="Z20" s="361"/>
      <c r="AA20" s="361"/>
      <c r="AB20" s="361"/>
      <c r="AC20" s="361"/>
    </row>
    <row r="21" spans="3:29" s="332" customFormat="1" ht="12.75" customHeight="1" x14ac:dyDescent="0.25">
      <c r="C21" s="370" t="str">
        <f>IF(Chinh!I9="","",Chinh!C37)</f>
        <v/>
      </c>
      <c r="D21" s="361"/>
      <c r="E21" s="361"/>
      <c r="F21" s="361"/>
      <c r="G21" s="361"/>
      <c r="H21" s="361"/>
      <c r="I21" s="361"/>
      <c r="J21" s="361"/>
      <c r="K21" s="361"/>
      <c r="L21" s="370" t="str">
        <f>IF(Chinh!I9="","",Chinh!L37)</f>
        <v/>
      </c>
      <c r="M21" s="362"/>
      <c r="N21" s="362"/>
      <c r="O21" s="362"/>
      <c r="P21" s="362"/>
      <c r="Q21" s="362"/>
      <c r="R21" s="361"/>
      <c r="S21" s="361"/>
      <c r="T21" s="361"/>
      <c r="U21" s="361"/>
      <c r="V21" s="361"/>
      <c r="W21" s="361"/>
      <c r="X21" s="361"/>
      <c r="Y21" s="361"/>
      <c r="Z21" s="361"/>
      <c r="AA21" s="361"/>
      <c r="AB21" s="361"/>
      <c r="AC21" s="361"/>
    </row>
    <row r="22" spans="3:29" s="332" customFormat="1" ht="12.75" customHeight="1" x14ac:dyDescent="0.2">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1"/>
    </row>
    <row r="23" spans="3:29" s="332" customFormat="1" ht="12.75" customHeight="1" x14ac:dyDescent="0.2">
      <c r="C23" s="361"/>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row>
    <row r="24" spans="3:29" s="332" customFormat="1" ht="12.75" customHeight="1" x14ac:dyDescent="0.2">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row>
    <row r="25" spans="3:29" s="332" customFormat="1" ht="12.75" customHeight="1" x14ac:dyDescent="0.2">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1"/>
    </row>
  </sheetData>
  <sheetProtection algorithmName="SHA-512" hashValue="4hFo9PkfbUaHoX6TEfMip++SJWy42keesTvprnEXZ13fOgfjW8OHvW51m268uW5KtjxRmiIDSWzO5nsUAFbROw==" saltValue="Q3MTKJWM1HscYfZBabNwEQ==" spinCount="100000" sheet="1" formatCells="0" formatColumns="0" formatRows="0"/>
  <mergeCells count="29">
    <mergeCell ref="V5:W5"/>
    <mergeCell ref="X5:Y5"/>
    <mergeCell ref="Z5:Z6"/>
    <mergeCell ref="AA5:AA6"/>
    <mergeCell ref="AB5:AB6"/>
    <mergeCell ref="G5:G6"/>
    <mergeCell ref="H5:H6"/>
    <mergeCell ref="I5:I6"/>
    <mergeCell ref="J5:J6"/>
    <mergeCell ref="K4:U4"/>
    <mergeCell ref="P5:Q5"/>
    <mergeCell ref="R5:S5"/>
    <mergeCell ref="T5:U5"/>
    <mergeCell ref="C1:Y1"/>
    <mergeCell ref="Z1:AC1"/>
    <mergeCell ref="D2:Y2"/>
    <mergeCell ref="G3:I3"/>
    <mergeCell ref="A4:A6"/>
    <mergeCell ref="B4:B6"/>
    <mergeCell ref="C4:C6"/>
    <mergeCell ref="D4:E4"/>
    <mergeCell ref="F4:J4"/>
    <mergeCell ref="AC5:AC6"/>
    <mergeCell ref="V4:Y4"/>
    <mergeCell ref="Z4:AA4"/>
    <mergeCell ref="AB4:AC4"/>
    <mergeCell ref="D5:D6"/>
    <mergeCell ref="E5:E6"/>
    <mergeCell ref="F5:F6"/>
  </mergeCells>
  <conditionalFormatting sqref="G3">
    <cfRule type="cellIs" dxfId="50" priority="1" stopIfTrue="1" operator="between">
      <formula>"Còn lỗi!"</formula>
      <formula>"Còn lỗi!"</formula>
    </cfRule>
    <cfRule type="cellIs" dxfId="49" priority="2" stopIfTrue="1" operator="between">
      <formula>"Nhập liệu!"</formula>
      <formula>"Nhập liệu!"</formula>
    </cfRule>
  </conditionalFormatting>
  <dataValidations count="2">
    <dataValidation type="list" allowBlank="1" showInputMessage="1" showErrorMessage="1" sqref="WVK98304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formula1>$AI$9793:$AI$9806</formula1>
    </dataValidation>
    <dataValidation type="list" allowBlank="1" showInputMessage="1" showErrorMessage="1" sqref="WVL983043:WVN983043 IZ3:JB3 SV3:SX3 ACR3:ACT3 AMN3:AMP3 AWJ3:AWL3 BGF3:BGH3 BQB3:BQD3 BZX3:BZZ3 CJT3:CJV3 CTP3:CTR3 DDL3:DDN3 DNH3:DNJ3 DXD3:DXF3 EGZ3:EHB3 EQV3:EQX3 FAR3:FAT3 FKN3:FKP3 FUJ3:FUL3 GEF3:GEH3 GOB3:GOD3 GXX3:GXZ3 HHT3:HHV3 HRP3:HRR3 IBL3:IBN3 ILH3:ILJ3 IVD3:IVF3 JEZ3:JFB3 JOV3:JOX3 JYR3:JYT3 KIN3:KIP3 KSJ3:KSL3 LCF3:LCH3 LMB3:LMD3 LVX3:LVZ3 MFT3:MFV3 MPP3:MPR3 MZL3:MZN3 NJH3:NJJ3 NTD3:NTF3 OCZ3:ODB3 OMV3:OMX3 OWR3:OWT3 PGN3:PGP3 PQJ3:PQL3 QAF3:QAH3 QKB3:QKD3 QTX3:QTZ3 RDT3:RDV3 RNP3:RNR3 RXL3:RXN3 SHH3:SHJ3 SRD3:SRF3 TAZ3:TBB3 TKV3:TKX3 TUR3:TUT3 UEN3:UEP3 UOJ3:UOL3 UYF3:UYH3 VIB3:VID3 VRX3:VRZ3 WBT3:WBV3 WLP3:WLR3 WVL3:WVN3 D65539:F65539 IZ65539:JB65539 SV65539:SX65539 ACR65539:ACT65539 AMN65539:AMP65539 AWJ65539:AWL65539 BGF65539:BGH65539 BQB65539:BQD65539 BZX65539:BZZ65539 CJT65539:CJV65539 CTP65539:CTR65539 DDL65539:DDN65539 DNH65539:DNJ65539 DXD65539:DXF65539 EGZ65539:EHB65539 EQV65539:EQX65539 FAR65539:FAT65539 FKN65539:FKP65539 FUJ65539:FUL65539 GEF65539:GEH65539 GOB65539:GOD65539 GXX65539:GXZ65539 HHT65539:HHV65539 HRP65539:HRR65539 IBL65539:IBN65539 ILH65539:ILJ65539 IVD65539:IVF65539 JEZ65539:JFB65539 JOV65539:JOX65539 JYR65539:JYT65539 KIN65539:KIP65539 KSJ65539:KSL65539 LCF65539:LCH65539 LMB65539:LMD65539 LVX65539:LVZ65539 MFT65539:MFV65539 MPP65539:MPR65539 MZL65539:MZN65539 NJH65539:NJJ65539 NTD65539:NTF65539 OCZ65539:ODB65539 OMV65539:OMX65539 OWR65539:OWT65539 PGN65539:PGP65539 PQJ65539:PQL65539 QAF65539:QAH65539 QKB65539:QKD65539 QTX65539:QTZ65539 RDT65539:RDV65539 RNP65539:RNR65539 RXL65539:RXN65539 SHH65539:SHJ65539 SRD65539:SRF65539 TAZ65539:TBB65539 TKV65539:TKX65539 TUR65539:TUT65539 UEN65539:UEP65539 UOJ65539:UOL65539 UYF65539:UYH65539 VIB65539:VID65539 VRX65539:VRZ65539 WBT65539:WBV65539 WLP65539:WLR65539 WVL65539:WVN65539 D131075:F131075 IZ131075:JB131075 SV131075:SX131075 ACR131075:ACT131075 AMN131075:AMP131075 AWJ131075:AWL131075 BGF131075:BGH131075 BQB131075:BQD131075 BZX131075:BZZ131075 CJT131075:CJV131075 CTP131075:CTR131075 DDL131075:DDN131075 DNH131075:DNJ131075 DXD131075:DXF131075 EGZ131075:EHB131075 EQV131075:EQX131075 FAR131075:FAT131075 FKN131075:FKP131075 FUJ131075:FUL131075 GEF131075:GEH131075 GOB131075:GOD131075 GXX131075:GXZ131075 HHT131075:HHV131075 HRP131075:HRR131075 IBL131075:IBN131075 ILH131075:ILJ131075 IVD131075:IVF131075 JEZ131075:JFB131075 JOV131075:JOX131075 JYR131075:JYT131075 KIN131075:KIP131075 KSJ131075:KSL131075 LCF131075:LCH131075 LMB131075:LMD131075 LVX131075:LVZ131075 MFT131075:MFV131075 MPP131075:MPR131075 MZL131075:MZN131075 NJH131075:NJJ131075 NTD131075:NTF131075 OCZ131075:ODB131075 OMV131075:OMX131075 OWR131075:OWT131075 PGN131075:PGP131075 PQJ131075:PQL131075 QAF131075:QAH131075 QKB131075:QKD131075 QTX131075:QTZ131075 RDT131075:RDV131075 RNP131075:RNR131075 RXL131075:RXN131075 SHH131075:SHJ131075 SRD131075:SRF131075 TAZ131075:TBB131075 TKV131075:TKX131075 TUR131075:TUT131075 UEN131075:UEP131075 UOJ131075:UOL131075 UYF131075:UYH131075 VIB131075:VID131075 VRX131075:VRZ131075 WBT131075:WBV131075 WLP131075:WLR131075 WVL131075:WVN131075 D196611:F196611 IZ196611:JB196611 SV196611:SX196611 ACR196611:ACT196611 AMN196611:AMP196611 AWJ196611:AWL196611 BGF196611:BGH196611 BQB196611:BQD196611 BZX196611:BZZ196611 CJT196611:CJV196611 CTP196611:CTR196611 DDL196611:DDN196611 DNH196611:DNJ196611 DXD196611:DXF196611 EGZ196611:EHB196611 EQV196611:EQX196611 FAR196611:FAT196611 FKN196611:FKP196611 FUJ196611:FUL196611 GEF196611:GEH196611 GOB196611:GOD196611 GXX196611:GXZ196611 HHT196611:HHV196611 HRP196611:HRR196611 IBL196611:IBN196611 ILH196611:ILJ196611 IVD196611:IVF196611 JEZ196611:JFB196611 JOV196611:JOX196611 JYR196611:JYT196611 KIN196611:KIP196611 KSJ196611:KSL196611 LCF196611:LCH196611 LMB196611:LMD196611 LVX196611:LVZ196611 MFT196611:MFV196611 MPP196611:MPR196611 MZL196611:MZN196611 NJH196611:NJJ196611 NTD196611:NTF196611 OCZ196611:ODB196611 OMV196611:OMX196611 OWR196611:OWT196611 PGN196611:PGP196611 PQJ196611:PQL196611 QAF196611:QAH196611 QKB196611:QKD196611 QTX196611:QTZ196611 RDT196611:RDV196611 RNP196611:RNR196611 RXL196611:RXN196611 SHH196611:SHJ196611 SRD196611:SRF196611 TAZ196611:TBB196611 TKV196611:TKX196611 TUR196611:TUT196611 UEN196611:UEP196611 UOJ196611:UOL196611 UYF196611:UYH196611 VIB196611:VID196611 VRX196611:VRZ196611 WBT196611:WBV196611 WLP196611:WLR196611 WVL196611:WVN196611 D262147:F262147 IZ262147:JB262147 SV262147:SX262147 ACR262147:ACT262147 AMN262147:AMP262147 AWJ262147:AWL262147 BGF262147:BGH262147 BQB262147:BQD262147 BZX262147:BZZ262147 CJT262147:CJV262147 CTP262147:CTR262147 DDL262147:DDN262147 DNH262147:DNJ262147 DXD262147:DXF262147 EGZ262147:EHB262147 EQV262147:EQX262147 FAR262147:FAT262147 FKN262147:FKP262147 FUJ262147:FUL262147 GEF262147:GEH262147 GOB262147:GOD262147 GXX262147:GXZ262147 HHT262147:HHV262147 HRP262147:HRR262147 IBL262147:IBN262147 ILH262147:ILJ262147 IVD262147:IVF262147 JEZ262147:JFB262147 JOV262147:JOX262147 JYR262147:JYT262147 KIN262147:KIP262147 KSJ262147:KSL262147 LCF262147:LCH262147 LMB262147:LMD262147 LVX262147:LVZ262147 MFT262147:MFV262147 MPP262147:MPR262147 MZL262147:MZN262147 NJH262147:NJJ262147 NTD262147:NTF262147 OCZ262147:ODB262147 OMV262147:OMX262147 OWR262147:OWT262147 PGN262147:PGP262147 PQJ262147:PQL262147 QAF262147:QAH262147 QKB262147:QKD262147 QTX262147:QTZ262147 RDT262147:RDV262147 RNP262147:RNR262147 RXL262147:RXN262147 SHH262147:SHJ262147 SRD262147:SRF262147 TAZ262147:TBB262147 TKV262147:TKX262147 TUR262147:TUT262147 UEN262147:UEP262147 UOJ262147:UOL262147 UYF262147:UYH262147 VIB262147:VID262147 VRX262147:VRZ262147 WBT262147:WBV262147 WLP262147:WLR262147 WVL262147:WVN262147 D327683:F327683 IZ327683:JB327683 SV327683:SX327683 ACR327683:ACT327683 AMN327683:AMP327683 AWJ327683:AWL327683 BGF327683:BGH327683 BQB327683:BQD327683 BZX327683:BZZ327683 CJT327683:CJV327683 CTP327683:CTR327683 DDL327683:DDN327683 DNH327683:DNJ327683 DXD327683:DXF327683 EGZ327683:EHB327683 EQV327683:EQX327683 FAR327683:FAT327683 FKN327683:FKP327683 FUJ327683:FUL327683 GEF327683:GEH327683 GOB327683:GOD327683 GXX327683:GXZ327683 HHT327683:HHV327683 HRP327683:HRR327683 IBL327683:IBN327683 ILH327683:ILJ327683 IVD327683:IVF327683 JEZ327683:JFB327683 JOV327683:JOX327683 JYR327683:JYT327683 KIN327683:KIP327683 KSJ327683:KSL327683 LCF327683:LCH327683 LMB327683:LMD327683 LVX327683:LVZ327683 MFT327683:MFV327683 MPP327683:MPR327683 MZL327683:MZN327683 NJH327683:NJJ327683 NTD327683:NTF327683 OCZ327683:ODB327683 OMV327683:OMX327683 OWR327683:OWT327683 PGN327683:PGP327683 PQJ327683:PQL327683 QAF327683:QAH327683 QKB327683:QKD327683 QTX327683:QTZ327683 RDT327683:RDV327683 RNP327683:RNR327683 RXL327683:RXN327683 SHH327683:SHJ327683 SRD327683:SRF327683 TAZ327683:TBB327683 TKV327683:TKX327683 TUR327683:TUT327683 UEN327683:UEP327683 UOJ327683:UOL327683 UYF327683:UYH327683 VIB327683:VID327683 VRX327683:VRZ327683 WBT327683:WBV327683 WLP327683:WLR327683 WVL327683:WVN327683 D393219:F393219 IZ393219:JB393219 SV393219:SX393219 ACR393219:ACT393219 AMN393219:AMP393219 AWJ393219:AWL393219 BGF393219:BGH393219 BQB393219:BQD393219 BZX393219:BZZ393219 CJT393219:CJV393219 CTP393219:CTR393219 DDL393219:DDN393219 DNH393219:DNJ393219 DXD393219:DXF393219 EGZ393219:EHB393219 EQV393219:EQX393219 FAR393219:FAT393219 FKN393219:FKP393219 FUJ393219:FUL393219 GEF393219:GEH393219 GOB393219:GOD393219 GXX393219:GXZ393219 HHT393219:HHV393219 HRP393219:HRR393219 IBL393219:IBN393219 ILH393219:ILJ393219 IVD393219:IVF393219 JEZ393219:JFB393219 JOV393219:JOX393219 JYR393219:JYT393219 KIN393219:KIP393219 KSJ393219:KSL393219 LCF393219:LCH393219 LMB393219:LMD393219 LVX393219:LVZ393219 MFT393219:MFV393219 MPP393219:MPR393219 MZL393219:MZN393219 NJH393219:NJJ393219 NTD393219:NTF393219 OCZ393219:ODB393219 OMV393219:OMX393219 OWR393219:OWT393219 PGN393219:PGP393219 PQJ393219:PQL393219 QAF393219:QAH393219 QKB393219:QKD393219 QTX393219:QTZ393219 RDT393219:RDV393219 RNP393219:RNR393219 RXL393219:RXN393219 SHH393219:SHJ393219 SRD393219:SRF393219 TAZ393219:TBB393219 TKV393219:TKX393219 TUR393219:TUT393219 UEN393219:UEP393219 UOJ393219:UOL393219 UYF393219:UYH393219 VIB393219:VID393219 VRX393219:VRZ393219 WBT393219:WBV393219 WLP393219:WLR393219 WVL393219:WVN393219 D458755:F458755 IZ458755:JB458755 SV458755:SX458755 ACR458755:ACT458755 AMN458755:AMP458755 AWJ458755:AWL458755 BGF458755:BGH458755 BQB458755:BQD458755 BZX458755:BZZ458755 CJT458755:CJV458755 CTP458755:CTR458755 DDL458755:DDN458755 DNH458755:DNJ458755 DXD458755:DXF458755 EGZ458755:EHB458755 EQV458755:EQX458755 FAR458755:FAT458755 FKN458755:FKP458755 FUJ458755:FUL458755 GEF458755:GEH458755 GOB458755:GOD458755 GXX458755:GXZ458755 HHT458755:HHV458755 HRP458755:HRR458755 IBL458755:IBN458755 ILH458755:ILJ458755 IVD458755:IVF458755 JEZ458755:JFB458755 JOV458755:JOX458755 JYR458755:JYT458755 KIN458755:KIP458755 KSJ458755:KSL458755 LCF458755:LCH458755 LMB458755:LMD458755 LVX458755:LVZ458755 MFT458755:MFV458755 MPP458755:MPR458755 MZL458755:MZN458755 NJH458755:NJJ458755 NTD458755:NTF458755 OCZ458755:ODB458755 OMV458755:OMX458755 OWR458755:OWT458755 PGN458755:PGP458755 PQJ458755:PQL458755 QAF458755:QAH458755 QKB458755:QKD458755 QTX458755:QTZ458755 RDT458755:RDV458755 RNP458755:RNR458755 RXL458755:RXN458755 SHH458755:SHJ458755 SRD458755:SRF458755 TAZ458755:TBB458755 TKV458755:TKX458755 TUR458755:TUT458755 UEN458755:UEP458755 UOJ458755:UOL458755 UYF458755:UYH458755 VIB458755:VID458755 VRX458755:VRZ458755 WBT458755:WBV458755 WLP458755:WLR458755 WVL458755:WVN458755 D524291:F524291 IZ524291:JB524291 SV524291:SX524291 ACR524291:ACT524291 AMN524291:AMP524291 AWJ524291:AWL524291 BGF524291:BGH524291 BQB524291:BQD524291 BZX524291:BZZ524291 CJT524291:CJV524291 CTP524291:CTR524291 DDL524291:DDN524291 DNH524291:DNJ524291 DXD524291:DXF524291 EGZ524291:EHB524291 EQV524291:EQX524291 FAR524291:FAT524291 FKN524291:FKP524291 FUJ524291:FUL524291 GEF524291:GEH524291 GOB524291:GOD524291 GXX524291:GXZ524291 HHT524291:HHV524291 HRP524291:HRR524291 IBL524291:IBN524291 ILH524291:ILJ524291 IVD524291:IVF524291 JEZ524291:JFB524291 JOV524291:JOX524291 JYR524291:JYT524291 KIN524291:KIP524291 KSJ524291:KSL524291 LCF524291:LCH524291 LMB524291:LMD524291 LVX524291:LVZ524291 MFT524291:MFV524291 MPP524291:MPR524291 MZL524291:MZN524291 NJH524291:NJJ524291 NTD524291:NTF524291 OCZ524291:ODB524291 OMV524291:OMX524291 OWR524291:OWT524291 PGN524291:PGP524291 PQJ524291:PQL524291 QAF524291:QAH524291 QKB524291:QKD524291 QTX524291:QTZ524291 RDT524291:RDV524291 RNP524291:RNR524291 RXL524291:RXN524291 SHH524291:SHJ524291 SRD524291:SRF524291 TAZ524291:TBB524291 TKV524291:TKX524291 TUR524291:TUT524291 UEN524291:UEP524291 UOJ524291:UOL524291 UYF524291:UYH524291 VIB524291:VID524291 VRX524291:VRZ524291 WBT524291:WBV524291 WLP524291:WLR524291 WVL524291:WVN524291 D589827:F589827 IZ589827:JB589827 SV589827:SX589827 ACR589827:ACT589827 AMN589827:AMP589827 AWJ589827:AWL589827 BGF589827:BGH589827 BQB589827:BQD589827 BZX589827:BZZ589827 CJT589827:CJV589827 CTP589827:CTR589827 DDL589827:DDN589827 DNH589827:DNJ589827 DXD589827:DXF589827 EGZ589827:EHB589827 EQV589827:EQX589827 FAR589827:FAT589827 FKN589827:FKP589827 FUJ589827:FUL589827 GEF589827:GEH589827 GOB589827:GOD589827 GXX589827:GXZ589827 HHT589827:HHV589827 HRP589827:HRR589827 IBL589827:IBN589827 ILH589827:ILJ589827 IVD589827:IVF589827 JEZ589827:JFB589827 JOV589827:JOX589827 JYR589827:JYT589827 KIN589827:KIP589827 KSJ589827:KSL589827 LCF589827:LCH589827 LMB589827:LMD589827 LVX589827:LVZ589827 MFT589827:MFV589827 MPP589827:MPR589827 MZL589827:MZN589827 NJH589827:NJJ589827 NTD589827:NTF589827 OCZ589827:ODB589827 OMV589827:OMX589827 OWR589827:OWT589827 PGN589827:PGP589827 PQJ589827:PQL589827 QAF589827:QAH589827 QKB589827:QKD589827 QTX589827:QTZ589827 RDT589827:RDV589827 RNP589827:RNR589827 RXL589827:RXN589827 SHH589827:SHJ589827 SRD589827:SRF589827 TAZ589827:TBB589827 TKV589827:TKX589827 TUR589827:TUT589827 UEN589827:UEP589827 UOJ589827:UOL589827 UYF589827:UYH589827 VIB589827:VID589827 VRX589827:VRZ589827 WBT589827:WBV589827 WLP589827:WLR589827 WVL589827:WVN589827 D655363:F655363 IZ655363:JB655363 SV655363:SX655363 ACR655363:ACT655363 AMN655363:AMP655363 AWJ655363:AWL655363 BGF655363:BGH655363 BQB655363:BQD655363 BZX655363:BZZ655363 CJT655363:CJV655363 CTP655363:CTR655363 DDL655363:DDN655363 DNH655363:DNJ655363 DXD655363:DXF655363 EGZ655363:EHB655363 EQV655363:EQX655363 FAR655363:FAT655363 FKN655363:FKP655363 FUJ655363:FUL655363 GEF655363:GEH655363 GOB655363:GOD655363 GXX655363:GXZ655363 HHT655363:HHV655363 HRP655363:HRR655363 IBL655363:IBN655363 ILH655363:ILJ655363 IVD655363:IVF655363 JEZ655363:JFB655363 JOV655363:JOX655363 JYR655363:JYT655363 KIN655363:KIP655363 KSJ655363:KSL655363 LCF655363:LCH655363 LMB655363:LMD655363 LVX655363:LVZ655363 MFT655363:MFV655363 MPP655363:MPR655363 MZL655363:MZN655363 NJH655363:NJJ655363 NTD655363:NTF655363 OCZ655363:ODB655363 OMV655363:OMX655363 OWR655363:OWT655363 PGN655363:PGP655363 PQJ655363:PQL655363 QAF655363:QAH655363 QKB655363:QKD655363 QTX655363:QTZ655363 RDT655363:RDV655363 RNP655363:RNR655363 RXL655363:RXN655363 SHH655363:SHJ655363 SRD655363:SRF655363 TAZ655363:TBB655363 TKV655363:TKX655363 TUR655363:TUT655363 UEN655363:UEP655363 UOJ655363:UOL655363 UYF655363:UYH655363 VIB655363:VID655363 VRX655363:VRZ655363 WBT655363:WBV655363 WLP655363:WLR655363 WVL655363:WVN655363 D720899:F720899 IZ720899:JB720899 SV720899:SX720899 ACR720899:ACT720899 AMN720899:AMP720899 AWJ720899:AWL720899 BGF720899:BGH720899 BQB720899:BQD720899 BZX720899:BZZ720899 CJT720899:CJV720899 CTP720899:CTR720899 DDL720899:DDN720899 DNH720899:DNJ720899 DXD720899:DXF720899 EGZ720899:EHB720899 EQV720899:EQX720899 FAR720899:FAT720899 FKN720899:FKP720899 FUJ720899:FUL720899 GEF720899:GEH720899 GOB720899:GOD720899 GXX720899:GXZ720899 HHT720899:HHV720899 HRP720899:HRR720899 IBL720899:IBN720899 ILH720899:ILJ720899 IVD720899:IVF720899 JEZ720899:JFB720899 JOV720899:JOX720899 JYR720899:JYT720899 KIN720899:KIP720899 KSJ720899:KSL720899 LCF720899:LCH720899 LMB720899:LMD720899 LVX720899:LVZ720899 MFT720899:MFV720899 MPP720899:MPR720899 MZL720899:MZN720899 NJH720899:NJJ720899 NTD720899:NTF720899 OCZ720899:ODB720899 OMV720899:OMX720899 OWR720899:OWT720899 PGN720899:PGP720899 PQJ720899:PQL720899 QAF720899:QAH720899 QKB720899:QKD720899 QTX720899:QTZ720899 RDT720899:RDV720899 RNP720899:RNR720899 RXL720899:RXN720899 SHH720899:SHJ720899 SRD720899:SRF720899 TAZ720899:TBB720899 TKV720899:TKX720899 TUR720899:TUT720899 UEN720899:UEP720899 UOJ720899:UOL720899 UYF720899:UYH720899 VIB720899:VID720899 VRX720899:VRZ720899 WBT720899:WBV720899 WLP720899:WLR720899 WVL720899:WVN720899 D786435:F786435 IZ786435:JB786435 SV786435:SX786435 ACR786435:ACT786435 AMN786435:AMP786435 AWJ786435:AWL786435 BGF786435:BGH786435 BQB786435:BQD786435 BZX786435:BZZ786435 CJT786435:CJV786435 CTP786435:CTR786435 DDL786435:DDN786435 DNH786435:DNJ786435 DXD786435:DXF786435 EGZ786435:EHB786435 EQV786435:EQX786435 FAR786435:FAT786435 FKN786435:FKP786435 FUJ786435:FUL786435 GEF786435:GEH786435 GOB786435:GOD786435 GXX786435:GXZ786435 HHT786435:HHV786435 HRP786435:HRR786435 IBL786435:IBN786435 ILH786435:ILJ786435 IVD786435:IVF786435 JEZ786435:JFB786435 JOV786435:JOX786435 JYR786435:JYT786435 KIN786435:KIP786435 KSJ786435:KSL786435 LCF786435:LCH786435 LMB786435:LMD786435 LVX786435:LVZ786435 MFT786435:MFV786435 MPP786435:MPR786435 MZL786435:MZN786435 NJH786435:NJJ786435 NTD786435:NTF786435 OCZ786435:ODB786435 OMV786435:OMX786435 OWR786435:OWT786435 PGN786435:PGP786435 PQJ786435:PQL786435 QAF786435:QAH786435 QKB786435:QKD786435 QTX786435:QTZ786435 RDT786435:RDV786435 RNP786435:RNR786435 RXL786435:RXN786435 SHH786435:SHJ786435 SRD786435:SRF786435 TAZ786435:TBB786435 TKV786435:TKX786435 TUR786435:TUT786435 UEN786435:UEP786435 UOJ786435:UOL786435 UYF786435:UYH786435 VIB786435:VID786435 VRX786435:VRZ786435 WBT786435:WBV786435 WLP786435:WLR786435 WVL786435:WVN786435 D851971:F851971 IZ851971:JB851971 SV851971:SX851971 ACR851971:ACT851971 AMN851971:AMP851971 AWJ851971:AWL851971 BGF851971:BGH851971 BQB851971:BQD851971 BZX851971:BZZ851971 CJT851971:CJV851971 CTP851971:CTR851971 DDL851971:DDN851971 DNH851971:DNJ851971 DXD851971:DXF851971 EGZ851971:EHB851971 EQV851971:EQX851971 FAR851971:FAT851971 FKN851971:FKP851971 FUJ851971:FUL851971 GEF851971:GEH851971 GOB851971:GOD851971 GXX851971:GXZ851971 HHT851971:HHV851971 HRP851971:HRR851971 IBL851971:IBN851971 ILH851971:ILJ851971 IVD851971:IVF851971 JEZ851971:JFB851971 JOV851971:JOX851971 JYR851971:JYT851971 KIN851971:KIP851971 KSJ851971:KSL851971 LCF851971:LCH851971 LMB851971:LMD851971 LVX851971:LVZ851971 MFT851971:MFV851971 MPP851971:MPR851971 MZL851971:MZN851971 NJH851971:NJJ851971 NTD851971:NTF851971 OCZ851971:ODB851971 OMV851971:OMX851971 OWR851971:OWT851971 PGN851971:PGP851971 PQJ851971:PQL851971 QAF851971:QAH851971 QKB851971:QKD851971 QTX851971:QTZ851971 RDT851971:RDV851971 RNP851971:RNR851971 RXL851971:RXN851971 SHH851971:SHJ851971 SRD851971:SRF851971 TAZ851971:TBB851971 TKV851971:TKX851971 TUR851971:TUT851971 UEN851971:UEP851971 UOJ851971:UOL851971 UYF851971:UYH851971 VIB851971:VID851971 VRX851971:VRZ851971 WBT851971:WBV851971 WLP851971:WLR851971 WVL851971:WVN851971 D917507:F917507 IZ917507:JB917507 SV917507:SX917507 ACR917507:ACT917507 AMN917507:AMP917507 AWJ917507:AWL917507 BGF917507:BGH917507 BQB917507:BQD917507 BZX917507:BZZ917507 CJT917507:CJV917507 CTP917507:CTR917507 DDL917507:DDN917507 DNH917507:DNJ917507 DXD917507:DXF917507 EGZ917507:EHB917507 EQV917507:EQX917507 FAR917507:FAT917507 FKN917507:FKP917507 FUJ917507:FUL917507 GEF917507:GEH917507 GOB917507:GOD917507 GXX917507:GXZ917507 HHT917507:HHV917507 HRP917507:HRR917507 IBL917507:IBN917507 ILH917507:ILJ917507 IVD917507:IVF917507 JEZ917507:JFB917507 JOV917507:JOX917507 JYR917507:JYT917507 KIN917507:KIP917507 KSJ917507:KSL917507 LCF917507:LCH917507 LMB917507:LMD917507 LVX917507:LVZ917507 MFT917507:MFV917507 MPP917507:MPR917507 MZL917507:MZN917507 NJH917507:NJJ917507 NTD917507:NTF917507 OCZ917507:ODB917507 OMV917507:OMX917507 OWR917507:OWT917507 PGN917507:PGP917507 PQJ917507:PQL917507 QAF917507:QAH917507 QKB917507:QKD917507 QTX917507:QTZ917507 RDT917507:RDV917507 RNP917507:RNR917507 RXL917507:RXN917507 SHH917507:SHJ917507 SRD917507:SRF917507 TAZ917507:TBB917507 TKV917507:TKX917507 TUR917507:TUT917507 UEN917507:UEP917507 UOJ917507:UOL917507 UYF917507:UYH917507 VIB917507:VID917507 VRX917507:VRZ917507 WBT917507:WBV917507 WLP917507:WLR917507 WVL917507:WVN917507 D983043:F983043 IZ983043:JB983043 SV983043:SX983043 ACR983043:ACT983043 AMN983043:AMP983043 AWJ983043:AWL983043 BGF983043:BGH983043 BQB983043:BQD983043 BZX983043:BZZ983043 CJT983043:CJV983043 CTP983043:CTR983043 DDL983043:DDN983043 DNH983043:DNJ983043 DXD983043:DXF983043 EGZ983043:EHB983043 EQV983043:EQX983043 FAR983043:FAT983043 FKN983043:FKP983043 FUJ983043:FUL983043 GEF983043:GEH983043 GOB983043:GOD983043 GXX983043:GXZ983043 HHT983043:HHV983043 HRP983043:HRR983043 IBL983043:IBN983043 ILH983043:ILJ983043 IVD983043:IVF983043 JEZ983043:JFB983043 JOV983043:JOX983043 JYR983043:JYT983043 KIN983043:KIP983043 KSJ983043:KSL983043 LCF983043:LCH983043 LMB983043:LMD983043 LVX983043:LVZ983043 MFT983043:MFV983043 MPP983043:MPR983043 MZL983043:MZN983043 NJH983043:NJJ983043 NTD983043:NTF983043 OCZ983043:ODB983043 OMV983043:OMX983043 OWR983043:OWT983043 PGN983043:PGP983043 PQJ983043:PQL983043 QAF983043:QAH983043 QKB983043:QKD983043 QTX983043:QTZ983043 RDT983043:RDV983043 RNP983043:RNR983043 RXL983043:RXN983043 SHH983043:SHJ983043 SRD983043:SRF983043 TAZ983043:TBB983043 TKV983043:TKX983043 TUR983043:TUT983043 UEN983043:UEP983043 UOJ983043:UOL983043 UYF983043:UYH983043 VIB983043:VID983043 VRX983043:VRZ983043 WBT983043:WBV983043 WLP983043:WLR983043">
      <formula1>$AI$1</formula1>
    </dataValidation>
  </dataValidations>
  <printOptions horizontalCentered="1"/>
  <pageMargins left="0.27559055118110198" right="0.15748031496063" top="0.74803149606299202" bottom="0.74803149606299202" header="0.31496062992126" footer="0.31496062992126"/>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W192"/>
  <sheetViews>
    <sheetView showGridLines="0" showZeros="0" workbookViewId="0">
      <selection activeCell="J7" sqref="J7"/>
    </sheetView>
  </sheetViews>
  <sheetFormatPr defaultRowHeight="15" x14ac:dyDescent="0.25"/>
  <cols>
    <col min="1" max="1" width="3.75" style="230" customWidth="1"/>
    <col min="2" max="2" width="3.625" style="230" customWidth="1"/>
    <col min="3" max="3" width="4.125" style="265" customWidth="1"/>
    <col min="4" max="4" width="13.75" style="225" customWidth="1"/>
    <col min="5" max="5" width="6.875" style="233" customWidth="1"/>
    <col min="6" max="6" width="4.125" style="266" bestFit="1" customWidth="1"/>
    <col min="7" max="7" width="4.625" style="266" bestFit="1" customWidth="1"/>
    <col min="8" max="8" width="4.625" style="266" customWidth="1"/>
    <col min="9" max="9" width="4.25" style="267" customWidth="1"/>
    <col min="10" max="10" width="6.375" style="267" customWidth="1"/>
    <col min="11" max="11" width="3.625" style="267" customWidth="1"/>
    <col min="12" max="12" width="12.375" style="225" customWidth="1"/>
    <col min="13" max="13" width="13.375" style="225" customWidth="1"/>
    <col min="14" max="14" width="15.875" style="225" customWidth="1"/>
    <col min="15" max="16" width="16.125" style="225" customWidth="1"/>
    <col min="17" max="17" width="15.5" style="225" customWidth="1"/>
    <col min="18" max="18" width="12.125" style="226" customWidth="1"/>
    <col min="19" max="19" width="3" style="377" hidden="1" customWidth="1"/>
    <col min="20" max="20" width="3" style="378" hidden="1" customWidth="1"/>
    <col min="21" max="22" width="3" style="377" hidden="1" customWidth="1"/>
    <col min="23" max="253" width="9" style="224"/>
    <col min="254" max="254" width="5.125" style="224" customWidth="1"/>
    <col min="255" max="255" width="3.625" style="224" customWidth="1"/>
    <col min="256" max="256" width="4.125" style="224" customWidth="1"/>
    <col min="257" max="257" width="17.375" style="224" customWidth="1"/>
    <col min="258" max="258" width="7.5" style="224" customWidth="1"/>
    <col min="259" max="259" width="4.5" style="224" customWidth="1"/>
    <col min="260" max="260" width="4.875" style="224" customWidth="1"/>
    <col min="261" max="261" width="5.125" style="224" customWidth="1"/>
    <col min="262" max="262" width="4.25" style="224" customWidth="1"/>
    <col min="263" max="263" width="6.375" style="224" customWidth="1"/>
    <col min="264" max="264" width="4" style="224" customWidth="1"/>
    <col min="265" max="265" width="12.375" style="224" customWidth="1"/>
    <col min="266" max="266" width="13.375" style="224" customWidth="1"/>
    <col min="267" max="267" width="15.875" style="224" customWidth="1"/>
    <col min="268" max="269" width="16.125" style="224" customWidth="1"/>
    <col min="270" max="270" width="15.5" style="224" customWidth="1"/>
    <col min="271" max="272" width="9" style="224" customWidth="1"/>
    <col min="273" max="273" width="6.375" style="224" customWidth="1"/>
    <col min="274" max="276" width="0" style="224" hidden="1" customWidth="1"/>
    <col min="277" max="277" width="17.375" style="224" customWidth="1"/>
    <col min="278" max="509" width="9" style="224"/>
    <col min="510" max="510" width="5.125" style="224" customWidth="1"/>
    <col min="511" max="511" width="3.625" style="224" customWidth="1"/>
    <col min="512" max="512" width="4.125" style="224" customWidth="1"/>
    <col min="513" max="513" width="17.375" style="224" customWidth="1"/>
    <col min="514" max="514" width="7.5" style="224" customWidth="1"/>
    <col min="515" max="515" width="4.5" style="224" customWidth="1"/>
    <col min="516" max="516" width="4.875" style="224" customWidth="1"/>
    <col min="517" max="517" width="5.125" style="224" customWidth="1"/>
    <col min="518" max="518" width="4.25" style="224" customWidth="1"/>
    <col min="519" max="519" width="6.375" style="224" customWidth="1"/>
    <col min="520" max="520" width="4" style="224" customWidth="1"/>
    <col min="521" max="521" width="12.375" style="224" customWidth="1"/>
    <col min="522" max="522" width="13.375" style="224" customWidth="1"/>
    <col min="523" max="523" width="15.875" style="224" customWidth="1"/>
    <col min="524" max="525" width="16.125" style="224" customWidth="1"/>
    <col min="526" max="526" width="15.5" style="224" customWidth="1"/>
    <col min="527" max="528" width="9" style="224" customWidth="1"/>
    <col min="529" max="529" width="6.375" style="224" customWidth="1"/>
    <col min="530" max="532" width="0" style="224" hidden="1" customWidth="1"/>
    <col min="533" max="533" width="17.375" style="224" customWidth="1"/>
    <col min="534" max="765" width="9" style="224"/>
    <col min="766" max="766" width="5.125" style="224" customWidth="1"/>
    <col min="767" max="767" width="3.625" style="224" customWidth="1"/>
    <col min="768" max="768" width="4.125" style="224" customWidth="1"/>
    <col min="769" max="769" width="17.375" style="224" customWidth="1"/>
    <col min="770" max="770" width="7.5" style="224" customWidth="1"/>
    <col min="771" max="771" width="4.5" style="224" customWidth="1"/>
    <col min="772" max="772" width="4.875" style="224" customWidth="1"/>
    <col min="773" max="773" width="5.125" style="224" customWidth="1"/>
    <col min="774" max="774" width="4.25" style="224" customWidth="1"/>
    <col min="775" max="775" width="6.375" style="224" customWidth="1"/>
    <col min="776" max="776" width="4" style="224" customWidth="1"/>
    <col min="777" max="777" width="12.375" style="224" customWidth="1"/>
    <col min="778" max="778" width="13.375" style="224" customWidth="1"/>
    <col min="779" max="779" width="15.875" style="224" customWidth="1"/>
    <col min="780" max="781" width="16.125" style="224" customWidth="1"/>
    <col min="782" max="782" width="15.5" style="224" customWidth="1"/>
    <col min="783" max="784" width="9" style="224" customWidth="1"/>
    <col min="785" max="785" width="6.375" style="224" customWidth="1"/>
    <col min="786" max="788" width="0" style="224" hidden="1" customWidth="1"/>
    <col min="789" max="789" width="17.375" style="224" customWidth="1"/>
    <col min="790" max="1021" width="9" style="224"/>
    <col min="1022" max="1022" width="5.125" style="224" customWidth="1"/>
    <col min="1023" max="1023" width="3.625" style="224" customWidth="1"/>
    <col min="1024" max="1024" width="4.125" style="224" customWidth="1"/>
    <col min="1025" max="1025" width="17.375" style="224" customWidth="1"/>
    <col min="1026" max="1026" width="7.5" style="224" customWidth="1"/>
    <col min="1027" max="1027" width="4.5" style="224" customWidth="1"/>
    <col min="1028" max="1028" width="4.875" style="224" customWidth="1"/>
    <col min="1029" max="1029" width="5.125" style="224" customWidth="1"/>
    <col min="1030" max="1030" width="4.25" style="224" customWidth="1"/>
    <col min="1031" max="1031" width="6.375" style="224" customWidth="1"/>
    <col min="1032" max="1032" width="4" style="224" customWidth="1"/>
    <col min="1033" max="1033" width="12.375" style="224" customWidth="1"/>
    <col min="1034" max="1034" width="13.375" style="224" customWidth="1"/>
    <col min="1035" max="1035" width="15.875" style="224" customWidth="1"/>
    <col min="1036" max="1037" width="16.125" style="224" customWidth="1"/>
    <col min="1038" max="1038" width="15.5" style="224" customWidth="1"/>
    <col min="1039" max="1040" width="9" style="224" customWidth="1"/>
    <col min="1041" max="1041" width="6.375" style="224" customWidth="1"/>
    <col min="1042" max="1044" width="0" style="224" hidden="1" customWidth="1"/>
    <col min="1045" max="1045" width="17.375" style="224" customWidth="1"/>
    <col min="1046" max="1277" width="9" style="224"/>
    <col min="1278" max="1278" width="5.125" style="224" customWidth="1"/>
    <col min="1279" max="1279" width="3.625" style="224" customWidth="1"/>
    <col min="1280" max="1280" width="4.125" style="224" customWidth="1"/>
    <col min="1281" max="1281" width="17.375" style="224" customWidth="1"/>
    <col min="1282" max="1282" width="7.5" style="224" customWidth="1"/>
    <col min="1283" max="1283" width="4.5" style="224" customWidth="1"/>
    <col min="1284" max="1284" width="4.875" style="224" customWidth="1"/>
    <col min="1285" max="1285" width="5.125" style="224" customWidth="1"/>
    <col min="1286" max="1286" width="4.25" style="224" customWidth="1"/>
    <col min="1287" max="1287" width="6.375" style="224" customWidth="1"/>
    <col min="1288" max="1288" width="4" style="224" customWidth="1"/>
    <col min="1289" max="1289" width="12.375" style="224" customWidth="1"/>
    <col min="1290" max="1290" width="13.375" style="224" customWidth="1"/>
    <col min="1291" max="1291" width="15.875" style="224" customWidth="1"/>
    <col min="1292" max="1293" width="16.125" style="224" customWidth="1"/>
    <col min="1294" max="1294" width="15.5" style="224" customWidth="1"/>
    <col min="1295" max="1296" width="9" style="224" customWidth="1"/>
    <col min="1297" max="1297" width="6.375" style="224" customWidth="1"/>
    <col min="1298" max="1300" width="0" style="224" hidden="1" customWidth="1"/>
    <col min="1301" max="1301" width="17.375" style="224" customWidth="1"/>
    <col min="1302" max="1533" width="9" style="224"/>
    <col min="1534" max="1534" width="5.125" style="224" customWidth="1"/>
    <col min="1535" max="1535" width="3.625" style="224" customWidth="1"/>
    <col min="1536" max="1536" width="4.125" style="224" customWidth="1"/>
    <col min="1537" max="1537" width="17.375" style="224" customWidth="1"/>
    <col min="1538" max="1538" width="7.5" style="224" customWidth="1"/>
    <col min="1539" max="1539" width="4.5" style="224" customWidth="1"/>
    <col min="1540" max="1540" width="4.875" style="224" customWidth="1"/>
    <col min="1541" max="1541" width="5.125" style="224" customWidth="1"/>
    <col min="1542" max="1542" width="4.25" style="224" customWidth="1"/>
    <col min="1543" max="1543" width="6.375" style="224" customWidth="1"/>
    <col min="1544" max="1544" width="4" style="224" customWidth="1"/>
    <col min="1545" max="1545" width="12.375" style="224" customWidth="1"/>
    <col min="1546" max="1546" width="13.375" style="224" customWidth="1"/>
    <col min="1547" max="1547" width="15.875" style="224" customWidth="1"/>
    <col min="1548" max="1549" width="16.125" style="224" customWidth="1"/>
    <col min="1550" max="1550" width="15.5" style="224" customWidth="1"/>
    <col min="1551" max="1552" width="9" style="224" customWidth="1"/>
    <col min="1553" max="1553" width="6.375" style="224" customWidth="1"/>
    <col min="1554" max="1556" width="0" style="224" hidden="1" customWidth="1"/>
    <col min="1557" max="1557" width="17.375" style="224" customWidth="1"/>
    <col min="1558" max="1789" width="9" style="224"/>
    <col min="1790" max="1790" width="5.125" style="224" customWidth="1"/>
    <col min="1791" max="1791" width="3.625" style="224" customWidth="1"/>
    <col min="1792" max="1792" width="4.125" style="224" customWidth="1"/>
    <col min="1793" max="1793" width="17.375" style="224" customWidth="1"/>
    <col min="1794" max="1794" width="7.5" style="224" customWidth="1"/>
    <col min="1795" max="1795" width="4.5" style="224" customWidth="1"/>
    <col min="1796" max="1796" width="4.875" style="224" customWidth="1"/>
    <col min="1797" max="1797" width="5.125" style="224" customWidth="1"/>
    <col min="1798" max="1798" width="4.25" style="224" customWidth="1"/>
    <col min="1799" max="1799" width="6.375" style="224" customWidth="1"/>
    <col min="1800" max="1800" width="4" style="224" customWidth="1"/>
    <col min="1801" max="1801" width="12.375" style="224" customWidth="1"/>
    <col min="1802" max="1802" width="13.375" style="224" customWidth="1"/>
    <col min="1803" max="1803" width="15.875" style="224" customWidth="1"/>
    <col min="1804" max="1805" width="16.125" style="224" customWidth="1"/>
    <col min="1806" max="1806" width="15.5" style="224" customWidth="1"/>
    <col min="1807" max="1808" width="9" style="224" customWidth="1"/>
    <col min="1809" max="1809" width="6.375" style="224" customWidth="1"/>
    <col min="1810" max="1812" width="0" style="224" hidden="1" customWidth="1"/>
    <col min="1813" max="1813" width="17.375" style="224" customWidth="1"/>
    <col min="1814" max="2045" width="9" style="224"/>
    <col min="2046" max="2046" width="5.125" style="224" customWidth="1"/>
    <col min="2047" max="2047" width="3.625" style="224" customWidth="1"/>
    <col min="2048" max="2048" width="4.125" style="224" customWidth="1"/>
    <col min="2049" max="2049" width="17.375" style="224" customWidth="1"/>
    <col min="2050" max="2050" width="7.5" style="224" customWidth="1"/>
    <col min="2051" max="2051" width="4.5" style="224" customWidth="1"/>
    <col min="2052" max="2052" width="4.875" style="224" customWidth="1"/>
    <col min="2053" max="2053" width="5.125" style="224" customWidth="1"/>
    <col min="2054" max="2054" width="4.25" style="224" customWidth="1"/>
    <col min="2055" max="2055" width="6.375" style="224" customWidth="1"/>
    <col min="2056" max="2056" width="4" style="224" customWidth="1"/>
    <col min="2057" max="2057" width="12.375" style="224" customWidth="1"/>
    <col min="2058" max="2058" width="13.375" style="224" customWidth="1"/>
    <col min="2059" max="2059" width="15.875" style="224" customWidth="1"/>
    <col min="2060" max="2061" width="16.125" style="224" customWidth="1"/>
    <col min="2062" max="2062" width="15.5" style="224" customWidth="1"/>
    <col min="2063" max="2064" width="9" style="224" customWidth="1"/>
    <col min="2065" max="2065" width="6.375" style="224" customWidth="1"/>
    <col min="2066" max="2068" width="0" style="224" hidden="1" customWidth="1"/>
    <col min="2069" max="2069" width="17.375" style="224" customWidth="1"/>
    <col min="2070" max="2301" width="9" style="224"/>
    <col min="2302" max="2302" width="5.125" style="224" customWidth="1"/>
    <col min="2303" max="2303" width="3.625" style="224" customWidth="1"/>
    <col min="2304" max="2304" width="4.125" style="224" customWidth="1"/>
    <col min="2305" max="2305" width="17.375" style="224" customWidth="1"/>
    <col min="2306" max="2306" width="7.5" style="224" customWidth="1"/>
    <col min="2307" max="2307" width="4.5" style="224" customWidth="1"/>
    <col min="2308" max="2308" width="4.875" style="224" customWidth="1"/>
    <col min="2309" max="2309" width="5.125" style="224" customWidth="1"/>
    <col min="2310" max="2310" width="4.25" style="224" customWidth="1"/>
    <col min="2311" max="2311" width="6.375" style="224" customWidth="1"/>
    <col min="2312" max="2312" width="4" style="224" customWidth="1"/>
    <col min="2313" max="2313" width="12.375" style="224" customWidth="1"/>
    <col min="2314" max="2314" width="13.375" style="224" customWidth="1"/>
    <col min="2315" max="2315" width="15.875" style="224" customWidth="1"/>
    <col min="2316" max="2317" width="16.125" style="224" customWidth="1"/>
    <col min="2318" max="2318" width="15.5" style="224" customWidth="1"/>
    <col min="2319" max="2320" width="9" style="224" customWidth="1"/>
    <col min="2321" max="2321" width="6.375" style="224" customWidth="1"/>
    <col min="2322" max="2324" width="0" style="224" hidden="1" customWidth="1"/>
    <col min="2325" max="2325" width="17.375" style="224" customWidth="1"/>
    <col min="2326" max="2557" width="9" style="224"/>
    <col min="2558" max="2558" width="5.125" style="224" customWidth="1"/>
    <col min="2559" max="2559" width="3.625" style="224" customWidth="1"/>
    <col min="2560" max="2560" width="4.125" style="224" customWidth="1"/>
    <col min="2561" max="2561" width="17.375" style="224" customWidth="1"/>
    <col min="2562" max="2562" width="7.5" style="224" customWidth="1"/>
    <col min="2563" max="2563" width="4.5" style="224" customWidth="1"/>
    <col min="2564" max="2564" width="4.875" style="224" customWidth="1"/>
    <col min="2565" max="2565" width="5.125" style="224" customWidth="1"/>
    <col min="2566" max="2566" width="4.25" style="224" customWidth="1"/>
    <col min="2567" max="2567" width="6.375" style="224" customWidth="1"/>
    <col min="2568" max="2568" width="4" style="224" customWidth="1"/>
    <col min="2569" max="2569" width="12.375" style="224" customWidth="1"/>
    <col min="2570" max="2570" width="13.375" style="224" customWidth="1"/>
    <col min="2571" max="2571" width="15.875" style="224" customWidth="1"/>
    <col min="2572" max="2573" width="16.125" style="224" customWidth="1"/>
    <col min="2574" max="2574" width="15.5" style="224" customWidth="1"/>
    <col min="2575" max="2576" width="9" style="224" customWidth="1"/>
    <col min="2577" max="2577" width="6.375" style="224" customWidth="1"/>
    <col min="2578" max="2580" width="0" style="224" hidden="1" customWidth="1"/>
    <col min="2581" max="2581" width="17.375" style="224" customWidth="1"/>
    <col min="2582" max="2813" width="9" style="224"/>
    <col min="2814" max="2814" width="5.125" style="224" customWidth="1"/>
    <col min="2815" max="2815" width="3.625" style="224" customWidth="1"/>
    <col min="2816" max="2816" width="4.125" style="224" customWidth="1"/>
    <col min="2817" max="2817" width="17.375" style="224" customWidth="1"/>
    <col min="2818" max="2818" width="7.5" style="224" customWidth="1"/>
    <col min="2819" max="2819" width="4.5" style="224" customWidth="1"/>
    <col min="2820" max="2820" width="4.875" style="224" customWidth="1"/>
    <col min="2821" max="2821" width="5.125" style="224" customWidth="1"/>
    <col min="2822" max="2822" width="4.25" style="224" customWidth="1"/>
    <col min="2823" max="2823" width="6.375" style="224" customWidth="1"/>
    <col min="2824" max="2824" width="4" style="224" customWidth="1"/>
    <col min="2825" max="2825" width="12.375" style="224" customWidth="1"/>
    <col min="2826" max="2826" width="13.375" style="224" customWidth="1"/>
    <col min="2827" max="2827" width="15.875" style="224" customWidth="1"/>
    <col min="2828" max="2829" width="16.125" style="224" customWidth="1"/>
    <col min="2830" max="2830" width="15.5" style="224" customWidth="1"/>
    <col min="2831" max="2832" width="9" style="224" customWidth="1"/>
    <col min="2833" max="2833" width="6.375" style="224" customWidth="1"/>
    <col min="2834" max="2836" width="0" style="224" hidden="1" customWidth="1"/>
    <col min="2837" max="2837" width="17.375" style="224" customWidth="1"/>
    <col min="2838" max="3069" width="9" style="224"/>
    <col min="3070" max="3070" width="5.125" style="224" customWidth="1"/>
    <col min="3071" max="3071" width="3.625" style="224" customWidth="1"/>
    <col min="3072" max="3072" width="4.125" style="224" customWidth="1"/>
    <col min="3073" max="3073" width="17.375" style="224" customWidth="1"/>
    <col min="3074" max="3074" width="7.5" style="224" customWidth="1"/>
    <col min="3075" max="3075" width="4.5" style="224" customWidth="1"/>
    <col min="3076" max="3076" width="4.875" style="224" customWidth="1"/>
    <col min="3077" max="3077" width="5.125" style="224" customWidth="1"/>
    <col min="3078" max="3078" width="4.25" style="224" customWidth="1"/>
    <col min="3079" max="3079" width="6.375" style="224" customWidth="1"/>
    <col min="3080" max="3080" width="4" style="224" customWidth="1"/>
    <col min="3081" max="3081" width="12.375" style="224" customWidth="1"/>
    <col min="3082" max="3082" width="13.375" style="224" customWidth="1"/>
    <col min="3083" max="3083" width="15.875" style="224" customWidth="1"/>
    <col min="3084" max="3085" width="16.125" style="224" customWidth="1"/>
    <col min="3086" max="3086" width="15.5" style="224" customWidth="1"/>
    <col min="3087" max="3088" width="9" style="224" customWidth="1"/>
    <col min="3089" max="3089" width="6.375" style="224" customWidth="1"/>
    <col min="3090" max="3092" width="0" style="224" hidden="1" customWidth="1"/>
    <col min="3093" max="3093" width="17.375" style="224" customWidth="1"/>
    <col min="3094" max="3325" width="9" style="224"/>
    <col min="3326" max="3326" width="5.125" style="224" customWidth="1"/>
    <col min="3327" max="3327" width="3.625" style="224" customWidth="1"/>
    <col min="3328" max="3328" width="4.125" style="224" customWidth="1"/>
    <col min="3329" max="3329" width="17.375" style="224" customWidth="1"/>
    <col min="3330" max="3330" width="7.5" style="224" customWidth="1"/>
    <col min="3331" max="3331" width="4.5" style="224" customWidth="1"/>
    <col min="3332" max="3332" width="4.875" style="224" customWidth="1"/>
    <col min="3333" max="3333" width="5.125" style="224" customWidth="1"/>
    <col min="3334" max="3334" width="4.25" style="224" customWidth="1"/>
    <col min="3335" max="3335" width="6.375" style="224" customWidth="1"/>
    <col min="3336" max="3336" width="4" style="224" customWidth="1"/>
    <col min="3337" max="3337" width="12.375" style="224" customWidth="1"/>
    <col min="3338" max="3338" width="13.375" style="224" customWidth="1"/>
    <col min="3339" max="3339" width="15.875" style="224" customWidth="1"/>
    <col min="3340" max="3341" width="16.125" style="224" customWidth="1"/>
    <col min="3342" max="3342" width="15.5" style="224" customWidth="1"/>
    <col min="3343" max="3344" width="9" style="224" customWidth="1"/>
    <col min="3345" max="3345" width="6.375" style="224" customWidth="1"/>
    <col min="3346" max="3348" width="0" style="224" hidden="1" customWidth="1"/>
    <col min="3349" max="3349" width="17.375" style="224" customWidth="1"/>
    <col min="3350" max="3581" width="9" style="224"/>
    <col min="3582" max="3582" width="5.125" style="224" customWidth="1"/>
    <col min="3583" max="3583" width="3.625" style="224" customWidth="1"/>
    <col min="3584" max="3584" width="4.125" style="224" customWidth="1"/>
    <col min="3585" max="3585" width="17.375" style="224" customWidth="1"/>
    <col min="3586" max="3586" width="7.5" style="224" customWidth="1"/>
    <col min="3587" max="3587" width="4.5" style="224" customWidth="1"/>
    <col min="3588" max="3588" width="4.875" style="224" customWidth="1"/>
    <col min="3589" max="3589" width="5.125" style="224" customWidth="1"/>
    <col min="3590" max="3590" width="4.25" style="224" customWidth="1"/>
    <col min="3591" max="3591" width="6.375" style="224" customWidth="1"/>
    <col min="3592" max="3592" width="4" style="224" customWidth="1"/>
    <col min="3593" max="3593" width="12.375" style="224" customWidth="1"/>
    <col min="3594" max="3594" width="13.375" style="224" customWidth="1"/>
    <col min="3595" max="3595" width="15.875" style="224" customWidth="1"/>
    <col min="3596" max="3597" width="16.125" style="224" customWidth="1"/>
    <col min="3598" max="3598" width="15.5" style="224" customWidth="1"/>
    <col min="3599" max="3600" width="9" style="224" customWidth="1"/>
    <col min="3601" max="3601" width="6.375" style="224" customWidth="1"/>
    <col min="3602" max="3604" width="0" style="224" hidden="1" customWidth="1"/>
    <col min="3605" max="3605" width="17.375" style="224" customWidth="1"/>
    <col min="3606" max="3837" width="9" style="224"/>
    <col min="3838" max="3838" width="5.125" style="224" customWidth="1"/>
    <col min="3839" max="3839" width="3.625" style="224" customWidth="1"/>
    <col min="3840" max="3840" width="4.125" style="224" customWidth="1"/>
    <col min="3841" max="3841" width="17.375" style="224" customWidth="1"/>
    <col min="3842" max="3842" width="7.5" style="224" customWidth="1"/>
    <col min="3843" max="3843" width="4.5" style="224" customWidth="1"/>
    <col min="3844" max="3844" width="4.875" style="224" customWidth="1"/>
    <col min="3845" max="3845" width="5.125" style="224" customWidth="1"/>
    <col min="3846" max="3846" width="4.25" style="224" customWidth="1"/>
    <col min="3847" max="3847" width="6.375" style="224" customWidth="1"/>
    <col min="3848" max="3848" width="4" style="224" customWidth="1"/>
    <col min="3849" max="3849" width="12.375" style="224" customWidth="1"/>
    <col min="3850" max="3850" width="13.375" style="224" customWidth="1"/>
    <col min="3851" max="3851" width="15.875" style="224" customWidth="1"/>
    <col min="3852" max="3853" width="16.125" style="224" customWidth="1"/>
    <col min="3854" max="3854" width="15.5" style="224" customWidth="1"/>
    <col min="3855" max="3856" width="9" style="224" customWidth="1"/>
    <col min="3857" max="3857" width="6.375" style="224" customWidth="1"/>
    <col min="3858" max="3860" width="0" style="224" hidden="1" customWidth="1"/>
    <col min="3861" max="3861" width="17.375" style="224" customWidth="1"/>
    <col min="3862" max="4093" width="9" style="224"/>
    <col min="4094" max="4094" width="5.125" style="224" customWidth="1"/>
    <col min="4095" max="4095" width="3.625" style="224" customWidth="1"/>
    <col min="4096" max="4096" width="4.125" style="224" customWidth="1"/>
    <col min="4097" max="4097" width="17.375" style="224" customWidth="1"/>
    <col min="4098" max="4098" width="7.5" style="224" customWidth="1"/>
    <col min="4099" max="4099" width="4.5" style="224" customWidth="1"/>
    <col min="4100" max="4100" width="4.875" style="224" customWidth="1"/>
    <col min="4101" max="4101" width="5.125" style="224" customWidth="1"/>
    <col min="4102" max="4102" width="4.25" style="224" customWidth="1"/>
    <col min="4103" max="4103" width="6.375" style="224" customWidth="1"/>
    <col min="4104" max="4104" width="4" style="224" customWidth="1"/>
    <col min="4105" max="4105" width="12.375" style="224" customWidth="1"/>
    <col min="4106" max="4106" width="13.375" style="224" customWidth="1"/>
    <col min="4107" max="4107" width="15.875" style="224" customWidth="1"/>
    <col min="4108" max="4109" width="16.125" style="224" customWidth="1"/>
    <col min="4110" max="4110" width="15.5" style="224" customWidth="1"/>
    <col min="4111" max="4112" width="9" style="224" customWidth="1"/>
    <col min="4113" max="4113" width="6.375" style="224" customWidth="1"/>
    <col min="4114" max="4116" width="0" style="224" hidden="1" customWidth="1"/>
    <col min="4117" max="4117" width="17.375" style="224" customWidth="1"/>
    <col min="4118" max="4349" width="9" style="224"/>
    <col min="4350" max="4350" width="5.125" style="224" customWidth="1"/>
    <col min="4351" max="4351" width="3.625" style="224" customWidth="1"/>
    <col min="4352" max="4352" width="4.125" style="224" customWidth="1"/>
    <col min="4353" max="4353" width="17.375" style="224" customWidth="1"/>
    <col min="4354" max="4354" width="7.5" style="224" customWidth="1"/>
    <col min="4355" max="4355" width="4.5" style="224" customWidth="1"/>
    <col min="4356" max="4356" width="4.875" style="224" customWidth="1"/>
    <col min="4357" max="4357" width="5.125" style="224" customWidth="1"/>
    <col min="4358" max="4358" width="4.25" style="224" customWidth="1"/>
    <col min="4359" max="4359" width="6.375" style="224" customWidth="1"/>
    <col min="4360" max="4360" width="4" style="224" customWidth="1"/>
    <col min="4361" max="4361" width="12.375" style="224" customWidth="1"/>
    <col min="4362" max="4362" width="13.375" style="224" customWidth="1"/>
    <col min="4363" max="4363" width="15.875" style="224" customWidth="1"/>
    <col min="4364" max="4365" width="16.125" style="224" customWidth="1"/>
    <col min="4366" max="4366" width="15.5" style="224" customWidth="1"/>
    <col min="4367" max="4368" width="9" style="224" customWidth="1"/>
    <col min="4369" max="4369" width="6.375" style="224" customWidth="1"/>
    <col min="4370" max="4372" width="0" style="224" hidden="1" customWidth="1"/>
    <col min="4373" max="4373" width="17.375" style="224" customWidth="1"/>
    <col min="4374" max="4605" width="9" style="224"/>
    <col min="4606" max="4606" width="5.125" style="224" customWidth="1"/>
    <col min="4607" max="4607" width="3.625" style="224" customWidth="1"/>
    <col min="4608" max="4608" width="4.125" style="224" customWidth="1"/>
    <col min="4609" max="4609" width="17.375" style="224" customWidth="1"/>
    <col min="4610" max="4610" width="7.5" style="224" customWidth="1"/>
    <col min="4611" max="4611" width="4.5" style="224" customWidth="1"/>
    <col min="4612" max="4612" width="4.875" style="224" customWidth="1"/>
    <col min="4613" max="4613" width="5.125" style="224" customWidth="1"/>
    <col min="4614" max="4614" width="4.25" style="224" customWidth="1"/>
    <col min="4615" max="4615" width="6.375" style="224" customWidth="1"/>
    <col min="4616" max="4616" width="4" style="224" customWidth="1"/>
    <col min="4617" max="4617" width="12.375" style="224" customWidth="1"/>
    <col min="4618" max="4618" width="13.375" style="224" customWidth="1"/>
    <col min="4619" max="4619" width="15.875" style="224" customWidth="1"/>
    <col min="4620" max="4621" width="16.125" style="224" customWidth="1"/>
    <col min="4622" max="4622" width="15.5" style="224" customWidth="1"/>
    <col min="4623" max="4624" width="9" style="224" customWidth="1"/>
    <col min="4625" max="4625" width="6.375" style="224" customWidth="1"/>
    <col min="4626" max="4628" width="0" style="224" hidden="1" customWidth="1"/>
    <col min="4629" max="4629" width="17.375" style="224" customWidth="1"/>
    <col min="4630" max="4861" width="9" style="224"/>
    <col min="4862" max="4862" width="5.125" style="224" customWidth="1"/>
    <col min="4863" max="4863" width="3.625" style="224" customWidth="1"/>
    <col min="4864" max="4864" width="4.125" style="224" customWidth="1"/>
    <col min="4865" max="4865" width="17.375" style="224" customWidth="1"/>
    <col min="4866" max="4866" width="7.5" style="224" customWidth="1"/>
    <col min="4867" max="4867" width="4.5" style="224" customWidth="1"/>
    <col min="4868" max="4868" width="4.875" style="224" customWidth="1"/>
    <col min="4869" max="4869" width="5.125" style="224" customWidth="1"/>
    <col min="4870" max="4870" width="4.25" style="224" customWidth="1"/>
    <col min="4871" max="4871" width="6.375" style="224" customWidth="1"/>
    <col min="4872" max="4872" width="4" style="224" customWidth="1"/>
    <col min="4873" max="4873" width="12.375" style="224" customWidth="1"/>
    <col min="4874" max="4874" width="13.375" style="224" customWidth="1"/>
    <col min="4875" max="4875" width="15.875" style="224" customWidth="1"/>
    <col min="4876" max="4877" width="16.125" style="224" customWidth="1"/>
    <col min="4878" max="4878" width="15.5" style="224" customWidth="1"/>
    <col min="4879" max="4880" width="9" style="224" customWidth="1"/>
    <col min="4881" max="4881" width="6.375" style="224" customWidth="1"/>
    <col min="4882" max="4884" width="0" style="224" hidden="1" customWidth="1"/>
    <col min="4885" max="4885" width="17.375" style="224" customWidth="1"/>
    <col min="4886" max="5117" width="9" style="224"/>
    <col min="5118" max="5118" width="5.125" style="224" customWidth="1"/>
    <col min="5119" max="5119" width="3.625" style="224" customWidth="1"/>
    <col min="5120" max="5120" width="4.125" style="224" customWidth="1"/>
    <col min="5121" max="5121" width="17.375" style="224" customWidth="1"/>
    <col min="5122" max="5122" width="7.5" style="224" customWidth="1"/>
    <col min="5123" max="5123" width="4.5" style="224" customWidth="1"/>
    <col min="5124" max="5124" width="4.875" style="224" customWidth="1"/>
    <col min="5125" max="5125" width="5.125" style="224" customWidth="1"/>
    <col min="5126" max="5126" width="4.25" style="224" customWidth="1"/>
    <col min="5127" max="5127" width="6.375" style="224" customWidth="1"/>
    <col min="5128" max="5128" width="4" style="224" customWidth="1"/>
    <col min="5129" max="5129" width="12.375" style="224" customWidth="1"/>
    <col min="5130" max="5130" width="13.375" style="224" customWidth="1"/>
    <col min="5131" max="5131" width="15.875" style="224" customWidth="1"/>
    <col min="5132" max="5133" width="16.125" style="224" customWidth="1"/>
    <col min="5134" max="5134" width="15.5" style="224" customWidth="1"/>
    <col min="5135" max="5136" width="9" style="224" customWidth="1"/>
    <col min="5137" max="5137" width="6.375" style="224" customWidth="1"/>
    <col min="5138" max="5140" width="0" style="224" hidden="1" customWidth="1"/>
    <col min="5141" max="5141" width="17.375" style="224" customWidth="1"/>
    <col min="5142" max="5373" width="9" style="224"/>
    <col min="5374" max="5374" width="5.125" style="224" customWidth="1"/>
    <col min="5375" max="5375" width="3.625" style="224" customWidth="1"/>
    <col min="5376" max="5376" width="4.125" style="224" customWidth="1"/>
    <col min="5377" max="5377" width="17.375" style="224" customWidth="1"/>
    <col min="5378" max="5378" width="7.5" style="224" customWidth="1"/>
    <col min="5379" max="5379" width="4.5" style="224" customWidth="1"/>
    <col min="5380" max="5380" width="4.875" style="224" customWidth="1"/>
    <col min="5381" max="5381" width="5.125" style="224" customWidth="1"/>
    <col min="5382" max="5382" width="4.25" style="224" customWidth="1"/>
    <col min="5383" max="5383" width="6.375" style="224" customWidth="1"/>
    <col min="5384" max="5384" width="4" style="224" customWidth="1"/>
    <col min="5385" max="5385" width="12.375" style="224" customWidth="1"/>
    <col min="5386" max="5386" width="13.375" style="224" customWidth="1"/>
    <col min="5387" max="5387" width="15.875" style="224" customWidth="1"/>
    <col min="5388" max="5389" width="16.125" style="224" customWidth="1"/>
    <col min="5390" max="5390" width="15.5" style="224" customWidth="1"/>
    <col min="5391" max="5392" width="9" style="224" customWidth="1"/>
    <col min="5393" max="5393" width="6.375" style="224" customWidth="1"/>
    <col min="5394" max="5396" width="0" style="224" hidden="1" customWidth="1"/>
    <col min="5397" max="5397" width="17.375" style="224" customWidth="1"/>
    <col min="5398" max="5629" width="9" style="224"/>
    <col min="5630" max="5630" width="5.125" style="224" customWidth="1"/>
    <col min="5631" max="5631" width="3.625" style="224" customWidth="1"/>
    <col min="5632" max="5632" width="4.125" style="224" customWidth="1"/>
    <col min="5633" max="5633" width="17.375" style="224" customWidth="1"/>
    <col min="5634" max="5634" width="7.5" style="224" customWidth="1"/>
    <col min="5635" max="5635" width="4.5" style="224" customWidth="1"/>
    <col min="5636" max="5636" width="4.875" style="224" customWidth="1"/>
    <col min="5637" max="5637" width="5.125" style="224" customWidth="1"/>
    <col min="5638" max="5638" width="4.25" style="224" customWidth="1"/>
    <col min="5639" max="5639" width="6.375" style="224" customWidth="1"/>
    <col min="5640" max="5640" width="4" style="224" customWidth="1"/>
    <col min="5641" max="5641" width="12.375" style="224" customWidth="1"/>
    <col min="5642" max="5642" width="13.375" style="224" customWidth="1"/>
    <col min="5643" max="5643" width="15.875" style="224" customWidth="1"/>
    <col min="5644" max="5645" width="16.125" style="224" customWidth="1"/>
    <col min="5646" max="5646" width="15.5" style="224" customWidth="1"/>
    <col min="5647" max="5648" width="9" style="224" customWidth="1"/>
    <col min="5649" max="5649" width="6.375" style="224" customWidth="1"/>
    <col min="5650" max="5652" width="0" style="224" hidden="1" customWidth="1"/>
    <col min="5653" max="5653" width="17.375" style="224" customWidth="1"/>
    <col min="5654" max="5885" width="9" style="224"/>
    <col min="5886" max="5886" width="5.125" style="224" customWidth="1"/>
    <col min="5887" max="5887" width="3.625" style="224" customWidth="1"/>
    <col min="5888" max="5888" width="4.125" style="224" customWidth="1"/>
    <col min="5889" max="5889" width="17.375" style="224" customWidth="1"/>
    <col min="5890" max="5890" width="7.5" style="224" customWidth="1"/>
    <col min="5891" max="5891" width="4.5" style="224" customWidth="1"/>
    <col min="5892" max="5892" width="4.875" style="224" customWidth="1"/>
    <col min="5893" max="5893" width="5.125" style="224" customWidth="1"/>
    <col min="5894" max="5894" width="4.25" style="224" customWidth="1"/>
    <col min="5895" max="5895" width="6.375" style="224" customWidth="1"/>
    <col min="5896" max="5896" width="4" style="224" customWidth="1"/>
    <col min="5897" max="5897" width="12.375" style="224" customWidth="1"/>
    <col min="5898" max="5898" width="13.375" style="224" customWidth="1"/>
    <col min="5899" max="5899" width="15.875" style="224" customWidth="1"/>
    <col min="5900" max="5901" width="16.125" style="224" customWidth="1"/>
    <col min="5902" max="5902" width="15.5" style="224" customWidth="1"/>
    <col min="5903" max="5904" width="9" style="224" customWidth="1"/>
    <col min="5905" max="5905" width="6.375" style="224" customWidth="1"/>
    <col min="5906" max="5908" width="0" style="224" hidden="1" customWidth="1"/>
    <col min="5909" max="5909" width="17.375" style="224" customWidth="1"/>
    <col min="5910" max="6141" width="9" style="224"/>
    <col min="6142" max="6142" width="5.125" style="224" customWidth="1"/>
    <col min="6143" max="6143" width="3.625" style="224" customWidth="1"/>
    <col min="6144" max="6144" width="4.125" style="224" customWidth="1"/>
    <col min="6145" max="6145" width="17.375" style="224" customWidth="1"/>
    <col min="6146" max="6146" width="7.5" style="224" customWidth="1"/>
    <col min="6147" max="6147" width="4.5" style="224" customWidth="1"/>
    <col min="6148" max="6148" width="4.875" style="224" customWidth="1"/>
    <col min="6149" max="6149" width="5.125" style="224" customWidth="1"/>
    <col min="6150" max="6150" width="4.25" style="224" customWidth="1"/>
    <col min="6151" max="6151" width="6.375" style="224" customWidth="1"/>
    <col min="6152" max="6152" width="4" style="224" customWidth="1"/>
    <col min="6153" max="6153" width="12.375" style="224" customWidth="1"/>
    <col min="6154" max="6154" width="13.375" style="224" customWidth="1"/>
    <col min="6155" max="6155" width="15.875" style="224" customWidth="1"/>
    <col min="6156" max="6157" width="16.125" style="224" customWidth="1"/>
    <col min="6158" max="6158" width="15.5" style="224" customWidth="1"/>
    <col min="6159" max="6160" width="9" style="224" customWidth="1"/>
    <col min="6161" max="6161" width="6.375" style="224" customWidth="1"/>
    <col min="6162" max="6164" width="0" style="224" hidden="1" customWidth="1"/>
    <col min="6165" max="6165" width="17.375" style="224" customWidth="1"/>
    <col min="6166" max="6397" width="9" style="224"/>
    <col min="6398" max="6398" width="5.125" style="224" customWidth="1"/>
    <col min="6399" max="6399" width="3.625" style="224" customWidth="1"/>
    <col min="6400" max="6400" width="4.125" style="224" customWidth="1"/>
    <col min="6401" max="6401" width="17.375" style="224" customWidth="1"/>
    <col min="6402" max="6402" width="7.5" style="224" customWidth="1"/>
    <col min="6403" max="6403" width="4.5" style="224" customWidth="1"/>
    <col min="6404" max="6404" width="4.875" style="224" customWidth="1"/>
    <col min="6405" max="6405" width="5.125" style="224" customWidth="1"/>
    <col min="6406" max="6406" width="4.25" style="224" customWidth="1"/>
    <col min="6407" max="6407" width="6.375" style="224" customWidth="1"/>
    <col min="6408" max="6408" width="4" style="224" customWidth="1"/>
    <col min="6409" max="6409" width="12.375" style="224" customWidth="1"/>
    <col min="6410" max="6410" width="13.375" style="224" customWidth="1"/>
    <col min="6411" max="6411" width="15.875" style="224" customWidth="1"/>
    <col min="6412" max="6413" width="16.125" style="224" customWidth="1"/>
    <col min="6414" max="6414" width="15.5" style="224" customWidth="1"/>
    <col min="6415" max="6416" width="9" style="224" customWidth="1"/>
    <col min="6417" max="6417" width="6.375" style="224" customWidth="1"/>
    <col min="6418" max="6420" width="0" style="224" hidden="1" customWidth="1"/>
    <col min="6421" max="6421" width="17.375" style="224" customWidth="1"/>
    <col min="6422" max="6653" width="9" style="224"/>
    <col min="6654" max="6654" width="5.125" style="224" customWidth="1"/>
    <col min="6655" max="6655" width="3.625" style="224" customWidth="1"/>
    <col min="6656" max="6656" width="4.125" style="224" customWidth="1"/>
    <col min="6657" max="6657" width="17.375" style="224" customWidth="1"/>
    <col min="6658" max="6658" width="7.5" style="224" customWidth="1"/>
    <col min="6659" max="6659" width="4.5" style="224" customWidth="1"/>
    <col min="6660" max="6660" width="4.875" style="224" customWidth="1"/>
    <col min="6661" max="6661" width="5.125" style="224" customWidth="1"/>
    <col min="6662" max="6662" width="4.25" style="224" customWidth="1"/>
    <col min="6663" max="6663" width="6.375" style="224" customWidth="1"/>
    <col min="6664" max="6664" width="4" style="224" customWidth="1"/>
    <col min="6665" max="6665" width="12.375" style="224" customWidth="1"/>
    <col min="6666" max="6666" width="13.375" style="224" customWidth="1"/>
    <col min="6667" max="6667" width="15.875" style="224" customWidth="1"/>
    <col min="6668" max="6669" width="16.125" style="224" customWidth="1"/>
    <col min="6670" max="6670" width="15.5" style="224" customWidth="1"/>
    <col min="6671" max="6672" width="9" style="224" customWidth="1"/>
    <col min="6673" max="6673" width="6.375" style="224" customWidth="1"/>
    <col min="6674" max="6676" width="0" style="224" hidden="1" customWidth="1"/>
    <col min="6677" max="6677" width="17.375" style="224" customWidth="1"/>
    <col min="6678" max="6909" width="9" style="224"/>
    <col min="6910" max="6910" width="5.125" style="224" customWidth="1"/>
    <col min="6911" max="6911" width="3.625" style="224" customWidth="1"/>
    <col min="6912" max="6912" width="4.125" style="224" customWidth="1"/>
    <col min="6913" max="6913" width="17.375" style="224" customWidth="1"/>
    <col min="6914" max="6914" width="7.5" style="224" customWidth="1"/>
    <col min="6915" max="6915" width="4.5" style="224" customWidth="1"/>
    <col min="6916" max="6916" width="4.875" style="224" customWidth="1"/>
    <col min="6917" max="6917" width="5.125" style="224" customWidth="1"/>
    <col min="6918" max="6918" width="4.25" style="224" customWidth="1"/>
    <col min="6919" max="6919" width="6.375" style="224" customWidth="1"/>
    <col min="6920" max="6920" width="4" style="224" customWidth="1"/>
    <col min="6921" max="6921" width="12.375" style="224" customWidth="1"/>
    <col min="6922" max="6922" width="13.375" style="224" customWidth="1"/>
    <col min="6923" max="6923" width="15.875" style="224" customWidth="1"/>
    <col min="6924" max="6925" width="16.125" style="224" customWidth="1"/>
    <col min="6926" max="6926" width="15.5" style="224" customWidth="1"/>
    <col min="6927" max="6928" width="9" style="224" customWidth="1"/>
    <col min="6929" max="6929" width="6.375" style="224" customWidth="1"/>
    <col min="6930" max="6932" width="0" style="224" hidden="1" customWidth="1"/>
    <col min="6933" max="6933" width="17.375" style="224" customWidth="1"/>
    <col min="6934" max="7165" width="9" style="224"/>
    <col min="7166" max="7166" width="5.125" style="224" customWidth="1"/>
    <col min="7167" max="7167" width="3.625" style="224" customWidth="1"/>
    <col min="7168" max="7168" width="4.125" style="224" customWidth="1"/>
    <col min="7169" max="7169" width="17.375" style="224" customWidth="1"/>
    <col min="7170" max="7170" width="7.5" style="224" customWidth="1"/>
    <col min="7171" max="7171" width="4.5" style="224" customWidth="1"/>
    <col min="7172" max="7172" width="4.875" style="224" customWidth="1"/>
    <col min="7173" max="7173" width="5.125" style="224" customWidth="1"/>
    <col min="7174" max="7174" width="4.25" style="224" customWidth="1"/>
    <col min="7175" max="7175" width="6.375" style="224" customWidth="1"/>
    <col min="7176" max="7176" width="4" style="224" customWidth="1"/>
    <col min="7177" max="7177" width="12.375" style="224" customWidth="1"/>
    <col min="7178" max="7178" width="13.375" style="224" customWidth="1"/>
    <col min="7179" max="7179" width="15.875" style="224" customWidth="1"/>
    <col min="7180" max="7181" width="16.125" style="224" customWidth="1"/>
    <col min="7182" max="7182" width="15.5" style="224" customWidth="1"/>
    <col min="7183" max="7184" width="9" style="224" customWidth="1"/>
    <col min="7185" max="7185" width="6.375" style="224" customWidth="1"/>
    <col min="7186" max="7188" width="0" style="224" hidden="1" customWidth="1"/>
    <col min="7189" max="7189" width="17.375" style="224" customWidth="1"/>
    <col min="7190" max="7421" width="9" style="224"/>
    <col min="7422" max="7422" width="5.125" style="224" customWidth="1"/>
    <col min="7423" max="7423" width="3.625" style="224" customWidth="1"/>
    <col min="7424" max="7424" width="4.125" style="224" customWidth="1"/>
    <col min="7425" max="7425" width="17.375" style="224" customWidth="1"/>
    <col min="7426" max="7426" width="7.5" style="224" customWidth="1"/>
    <col min="7427" max="7427" width="4.5" style="224" customWidth="1"/>
    <col min="7428" max="7428" width="4.875" style="224" customWidth="1"/>
    <col min="7429" max="7429" width="5.125" style="224" customWidth="1"/>
    <col min="7430" max="7430" width="4.25" style="224" customWidth="1"/>
    <col min="7431" max="7431" width="6.375" style="224" customWidth="1"/>
    <col min="7432" max="7432" width="4" style="224" customWidth="1"/>
    <col min="7433" max="7433" width="12.375" style="224" customWidth="1"/>
    <col min="7434" max="7434" width="13.375" style="224" customWidth="1"/>
    <col min="7435" max="7435" width="15.875" style="224" customWidth="1"/>
    <col min="7436" max="7437" width="16.125" style="224" customWidth="1"/>
    <col min="7438" max="7438" width="15.5" style="224" customWidth="1"/>
    <col min="7439" max="7440" width="9" style="224" customWidth="1"/>
    <col min="7441" max="7441" width="6.375" style="224" customWidth="1"/>
    <col min="7442" max="7444" width="0" style="224" hidden="1" customWidth="1"/>
    <col min="7445" max="7445" width="17.375" style="224" customWidth="1"/>
    <col min="7446" max="7677" width="9" style="224"/>
    <col min="7678" max="7678" width="5.125" style="224" customWidth="1"/>
    <col min="7679" max="7679" width="3.625" style="224" customWidth="1"/>
    <col min="7680" max="7680" width="4.125" style="224" customWidth="1"/>
    <col min="7681" max="7681" width="17.375" style="224" customWidth="1"/>
    <col min="7682" max="7682" width="7.5" style="224" customWidth="1"/>
    <col min="7683" max="7683" width="4.5" style="224" customWidth="1"/>
    <col min="7684" max="7684" width="4.875" style="224" customWidth="1"/>
    <col min="7685" max="7685" width="5.125" style="224" customWidth="1"/>
    <col min="7686" max="7686" width="4.25" style="224" customWidth="1"/>
    <col min="7687" max="7687" width="6.375" style="224" customWidth="1"/>
    <col min="7688" max="7688" width="4" style="224" customWidth="1"/>
    <col min="7689" max="7689" width="12.375" style="224" customWidth="1"/>
    <col min="7690" max="7690" width="13.375" style="224" customWidth="1"/>
    <col min="7691" max="7691" width="15.875" style="224" customWidth="1"/>
    <col min="7692" max="7693" width="16.125" style="224" customWidth="1"/>
    <col min="7694" max="7694" width="15.5" style="224" customWidth="1"/>
    <col min="7695" max="7696" width="9" style="224" customWidth="1"/>
    <col min="7697" max="7697" width="6.375" style="224" customWidth="1"/>
    <col min="7698" max="7700" width="0" style="224" hidden="1" customWidth="1"/>
    <col min="7701" max="7701" width="17.375" style="224" customWidth="1"/>
    <col min="7702" max="7933" width="9" style="224"/>
    <col min="7934" max="7934" width="5.125" style="224" customWidth="1"/>
    <col min="7935" max="7935" width="3.625" style="224" customWidth="1"/>
    <col min="7936" max="7936" width="4.125" style="224" customWidth="1"/>
    <col min="7937" max="7937" width="17.375" style="224" customWidth="1"/>
    <col min="7938" max="7938" width="7.5" style="224" customWidth="1"/>
    <col min="7939" max="7939" width="4.5" style="224" customWidth="1"/>
    <col min="7940" max="7940" width="4.875" style="224" customWidth="1"/>
    <col min="7941" max="7941" width="5.125" style="224" customWidth="1"/>
    <col min="7942" max="7942" width="4.25" style="224" customWidth="1"/>
    <col min="7943" max="7943" width="6.375" style="224" customWidth="1"/>
    <col min="7944" max="7944" width="4" style="224" customWidth="1"/>
    <col min="7945" max="7945" width="12.375" style="224" customWidth="1"/>
    <col min="7946" max="7946" width="13.375" style="224" customWidth="1"/>
    <col min="7947" max="7947" width="15.875" style="224" customWidth="1"/>
    <col min="7948" max="7949" width="16.125" style="224" customWidth="1"/>
    <col min="7950" max="7950" width="15.5" style="224" customWidth="1"/>
    <col min="7951" max="7952" width="9" style="224" customWidth="1"/>
    <col min="7953" max="7953" width="6.375" style="224" customWidth="1"/>
    <col min="7954" max="7956" width="0" style="224" hidden="1" customWidth="1"/>
    <col min="7957" max="7957" width="17.375" style="224" customWidth="1"/>
    <col min="7958" max="8189" width="9" style="224"/>
    <col min="8190" max="8190" width="5.125" style="224" customWidth="1"/>
    <col min="8191" max="8191" width="3.625" style="224" customWidth="1"/>
    <col min="8192" max="8192" width="4.125" style="224" customWidth="1"/>
    <col min="8193" max="8193" width="17.375" style="224" customWidth="1"/>
    <col min="8194" max="8194" width="7.5" style="224" customWidth="1"/>
    <col min="8195" max="8195" width="4.5" style="224" customWidth="1"/>
    <col min="8196" max="8196" width="4.875" style="224" customWidth="1"/>
    <col min="8197" max="8197" width="5.125" style="224" customWidth="1"/>
    <col min="8198" max="8198" width="4.25" style="224" customWidth="1"/>
    <col min="8199" max="8199" width="6.375" style="224" customWidth="1"/>
    <col min="8200" max="8200" width="4" style="224" customWidth="1"/>
    <col min="8201" max="8201" width="12.375" style="224" customWidth="1"/>
    <col min="8202" max="8202" width="13.375" style="224" customWidth="1"/>
    <col min="8203" max="8203" width="15.875" style="224" customWidth="1"/>
    <col min="8204" max="8205" width="16.125" style="224" customWidth="1"/>
    <col min="8206" max="8206" width="15.5" style="224" customWidth="1"/>
    <col min="8207" max="8208" width="9" style="224" customWidth="1"/>
    <col min="8209" max="8209" width="6.375" style="224" customWidth="1"/>
    <col min="8210" max="8212" width="0" style="224" hidden="1" customWidth="1"/>
    <col min="8213" max="8213" width="17.375" style="224" customWidth="1"/>
    <col min="8214" max="8445" width="9" style="224"/>
    <col min="8446" max="8446" width="5.125" style="224" customWidth="1"/>
    <col min="8447" max="8447" width="3.625" style="224" customWidth="1"/>
    <col min="8448" max="8448" width="4.125" style="224" customWidth="1"/>
    <col min="8449" max="8449" width="17.375" style="224" customWidth="1"/>
    <col min="8450" max="8450" width="7.5" style="224" customWidth="1"/>
    <col min="8451" max="8451" width="4.5" style="224" customWidth="1"/>
    <col min="8452" max="8452" width="4.875" style="224" customWidth="1"/>
    <col min="8453" max="8453" width="5.125" style="224" customWidth="1"/>
    <col min="8454" max="8454" width="4.25" style="224" customWidth="1"/>
    <col min="8455" max="8455" width="6.375" style="224" customWidth="1"/>
    <col min="8456" max="8456" width="4" style="224" customWidth="1"/>
    <col min="8457" max="8457" width="12.375" style="224" customWidth="1"/>
    <col min="8458" max="8458" width="13.375" style="224" customWidth="1"/>
    <col min="8459" max="8459" width="15.875" style="224" customWidth="1"/>
    <col min="8460" max="8461" width="16.125" style="224" customWidth="1"/>
    <col min="8462" max="8462" width="15.5" style="224" customWidth="1"/>
    <col min="8463" max="8464" width="9" style="224" customWidth="1"/>
    <col min="8465" max="8465" width="6.375" style="224" customWidth="1"/>
    <col min="8466" max="8468" width="0" style="224" hidden="1" customWidth="1"/>
    <col min="8469" max="8469" width="17.375" style="224" customWidth="1"/>
    <col min="8470" max="8701" width="9" style="224"/>
    <col min="8702" max="8702" width="5.125" style="224" customWidth="1"/>
    <col min="8703" max="8703" width="3.625" style="224" customWidth="1"/>
    <col min="8704" max="8704" width="4.125" style="224" customWidth="1"/>
    <col min="8705" max="8705" width="17.375" style="224" customWidth="1"/>
    <col min="8706" max="8706" width="7.5" style="224" customWidth="1"/>
    <col min="8707" max="8707" width="4.5" style="224" customWidth="1"/>
    <col min="8708" max="8708" width="4.875" style="224" customWidth="1"/>
    <col min="8709" max="8709" width="5.125" style="224" customWidth="1"/>
    <col min="8710" max="8710" width="4.25" style="224" customWidth="1"/>
    <col min="8711" max="8711" width="6.375" style="224" customWidth="1"/>
    <col min="8712" max="8712" width="4" style="224" customWidth="1"/>
    <col min="8713" max="8713" width="12.375" style="224" customWidth="1"/>
    <col min="8714" max="8714" width="13.375" style="224" customWidth="1"/>
    <col min="8715" max="8715" width="15.875" style="224" customWidth="1"/>
    <col min="8716" max="8717" width="16.125" style="224" customWidth="1"/>
    <col min="8718" max="8718" width="15.5" style="224" customWidth="1"/>
    <col min="8719" max="8720" width="9" style="224" customWidth="1"/>
    <col min="8721" max="8721" width="6.375" style="224" customWidth="1"/>
    <col min="8722" max="8724" width="0" style="224" hidden="1" customWidth="1"/>
    <col min="8725" max="8725" width="17.375" style="224" customWidth="1"/>
    <col min="8726" max="8957" width="9" style="224"/>
    <col min="8958" max="8958" width="5.125" style="224" customWidth="1"/>
    <col min="8959" max="8959" width="3.625" style="224" customWidth="1"/>
    <col min="8960" max="8960" width="4.125" style="224" customWidth="1"/>
    <col min="8961" max="8961" width="17.375" style="224" customWidth="1"/>
    <col min="8962" max="8962" width="7.5" style="224" customWidth="1"/>
    <col min="8963" max="8963" width="4.5" style="224" customWidth="1"/>
    <col min="8964" max="8964" width="4.875" style="224" customWidth="1"/>
    <col min="8965" max="8965" width="5.125" style="224" customWidth="1"/>
    <col min="8966" max="8966" width="4.25" style="224" customWidth="1"/>
    <col min="8967" max="8967" width="6.375" style="224" customWidth="1"/>
    <col min="8968" max="8968" width="4" style="224" customWidth="1"/>
    <col min="8969" max="8969" width="12.375" style="224" customWidth="1"/>
    <col min="8970" max="8970" width="13.375" style="224" customWidth="1"/>
    <col min="8971" max="8971" width="15.875" style="224" customWidth="1"/>
    <col min="8972" max="8973" width="16.125" style="224" customWidth="1"/>
    <col min="8974" max="8974" width="15.5" style="224" customWidth="1"/>
    <col min="8975" max="8976" width="9" style="224" customWidth="1"/>
    <col min="8977" max="8977" width="6.375" style="224" customWidth="1"/>
    <col min="8978" max="8980" width="0" style="224" hidden="1" customWidth="1"/>
    <col min="8981" max="8981" width="17.375" style="224" customWidth="1"/>
    <col min="8982" max="9213" width="9" style="224"/>
    <col min="9214" max="9214" width="5.125" style="224" customWidth="1"/>
    <col min="9215" max="9215" width="3.625" style="224" customWidth="1"/>
    <col min="9216" max="9216" width="4.125" style="224" customWidth="1"/>
    <col min="9217" max="9217" width="17.375" style="224" customWidth="1"/>
    <col min="9218" max="9218" width="7.5" style="224" customWidth="1"/>
    <col min="9219" max="9219" width="4.5" style="224" customWidth="1"/>
    <col min="9220" max="9220" width="4.875" style="224" customWidth="1"/>
    <col min="9221" max="9221" width="5.125" style="224" customWidth="1"/>
    <col min="9222" max="9222" width="4.25" style="224" customWidth="1"/>
    <col min="9223" max="9223" width="6.375" style="224" customWidth="1"/>
    <col min="9224" max="9224" width="4" style="224" customWidth="1"/>
    <col min="9225" max="9225" width="12.375" style="224" customWidth="1"/>
    <col min="9226" max="9226" width="13.375" style="224" customWidth="1"/>
    <col min="9227" max="9227" width="15.875" style="224" customWidth="1"/>
    <col min="9228" max="9229" width="16.125" style="224" customWidth="1"/>
    <col min="9230" max="9230" width="15.5" style="224" customWidth="1"/>
    <col min="9231" max="9232" width="9" style="224" customWidth="1"/>
    <col min="9233" max="9233" width="6.375" style="224" customWidth="1"/>
    <col min="9234" max="9236" width="0" style="224" hidden="1" customWidth="1"/>
    <col min="9237" max="9237" width="17.375" style="224" customWidth="1"/>
    <col min="9238" max="9469" width="9" style="224"/>
    <col min="9470" max="9470" width="5.125" style="224" customWidth="1"/>
    <col min="9471" max="9471" width="3.625" style="224" customWidth="1"/>
    <col min="9472" max="9472" width="4.125" style="224" customWidth="1"/>
    <col min="9473" max="9473" width="17.375" style="224" customWidth="1"/>
    <col min="9474" max="9474" width="7.5" style="224" customWidth="1"/>
    <col min="9475" max="9475" width="4.5" style="224" customWidth="1"/>
    <col min="9476" max="9476" width="4.875" style="224" customWidth="1"/>
    <col min="9477" max="9477" width="5.125" style="224" customWidth="1"/>
    <col min="9478" max="9478" width="4.25" style="224" customWidth="1"/>
    <col min="9479" max="9479" width="6.375" style="224" customWidth="1"/>
    <col min="9480" max="9480" width="4" style="224" customWidth="1"/>
    <col min="9481" max="9481" width="12.375" style="224" customWidth="1"/>
    <col min="9482" max="9482" width="13.375" style="224" customWidth="1"/>
    <col min="9483" max="9483" width="15.875" style="224" customWidth="1"/>
    <col min="9484" max="9485" width="16.125" style="224" customWidth="1"/>
    <col min="9486" max="9486" width="15.5" style="224" customWidth="1"/>
    <col min="9487" max="9488" width="9" style="224" customWidth="1"/>
    <col min="9489" max="9489" width="6.375" style="224" customWidth="1"/>
    <col min="9490" max="9492" width="0" style="224" hidden="1" customWidth="1"/>
    <col min="9493" max="9493" width="17.375" style="224" customWidth="1"/>
    <col min="9494" max="9725" width="9" style="224"/>
    <col min="9726" max="9726" width="5.125" style="224" customWidth="1"/>
    <col min="9727" max="9727" width="3.625" style="224" customWidth="1"/>
    <col min="9728" max="9728" width="4.125" style="224" customWidth="1"/>
    <col min="9729" max="9729" width="17.375" style="224" customWidth="1"/>
    <col min="9730" max="9730" width="7.5" style="224" customWidth="1"/>
    <col min="9731" max="9731" width="4.5" style="224" customWidth="1"/>
    <col min="9732" max="9732" width="4.875" style="224" customWidth="1"/>
    <col min="9733" max="9733" width="5.125" style="224" customWidth="1"/>
    <col min="9734" max="9734" width="4.25" style="224" customWidth="1"/>
    <col min="9735" max="9735" width="6.375" style="224" customWidth="1"/>
    <col min="9736" max="9736" width="4" style="224" customWidth="1"/>
    <col min="9737" max="9737" width="12.375" style="224" customWidth="1"/>
    <col min="9738" max="9738" width="13.375" style="224" customWidth="1"/>
    <col min="9739" max="9739" width="15.875" style="224" customWidth="1"/>
    <col min="9740" max="9741" width="16.125" style="224" customWidth="1"/>
    <col min="9742" max="9742" width="15.5" style="224" customWidth="1"/>
    <col min="9743" max="9744" width="9" style="224" customWidth="1"/>
    <col min="9745" max="9745" width="6.375" style="224" customWidth="1"/>
    <col min="9746" max="9748" width="0" style="224" hidden="1" customWidth="1"/>
    <col min="9749" max="9749" width="17.375" style="224" customWidth="1"/>
    <col min="9750" max="9981" width="9" style="224"/>
    <col min="9982" max="9982" width="5.125" style="224" customWidth="1"/>
    <col min="9983" max="9983" width="3.625" style="224" customWidth="1"/>
    <col min="9984" max="9984" width="4.125" style="224" customWidth="1"/>
    <col min="9985" max="9985" width="17.375" style="224" customWidth="1"/>
    <col min="9986" max="9986" width="7.5" style="224" customWidth="1"/>
    <col min="9987" max="9987" width="4.5" style="224" customWidth="1"/>
    <col min="9988" max="9988" width="4.875" style="224" customWidth="1"/>
    <col min="9989" max="9989" width="5.125" style="224" customWidth="1"/>
    <col min="9990" max="9990" width="4.25" style="224" customWidth="1"/>
    <col min="9991" max="9991" width="6.375" style="224" customWidth="1"/>
    <col min="9992" max="9992" width="4" style="224" customWidth="1"/>
    <col min="9993" max="9993" width="12.375" style="224" customWidth="1"/>
    <col min="9994" max="9994" width="13.375" style="224" customWidth="1"/>
    <col min="9995" max="9995" width="15.875" style="224" customWidth="1"/>
    <col min="9996" max="9997" width="16.125" style="224" customWidth="1"/>
    <col min="9998" max="9998" width="15.5" style="224" customWidth="1"/>
    <col min="9999" max="10000" width="9" style="224" customWidth="1"/>
    <col min="10001" max="10001" width="6.375" style="224" customWidth="1"/>
    <col min="10002" max="10004" width="0" style="224" hidden="1" customWidth="1"/>
    <col min="10005" max="10005" width="17.375" style="224" customWidth="1"/>
    <col min="10006" max="10237" width="9" style="224"/>
    <col min="10238" max="10238" width="5.125" style="224" customWidth="1"/>
    <col min="10239" max="10239" width="3.625" style="224" customWidth="1"/>
    <col min="10240" max="10240" width="4.125" style="224" customWidth="1"/>
    <col min="10241" max="10241" width="17.375" style="224" customWidth="1"/>
    <col min="10242" max="10242" width="7.5" style="224" customWidth="1"/>
    <col min="10243" max="10243" width="4.5" style="224" customWidth="1"/>
    <col min="10244" max="10244" width="4.875" style="224" customWidth="1"/>
    <col min="10245" max="10245" width="5.125" style="224" customWidth="1"/>
    <col min="10246" max="10246" width="4.25" style="224" customWidth="1"/>
    <col min="10247" max="10247" width="6.375" style="224" customWidth="1"/>
    <col min="10248" max="10248" width="4" style="224" customWidth="1"/>
    <col min="10249" max="10249" width="12.375" style="224" customWidth="1"/>
    <col min="10250" max="10250" width="13.375" style="224" customWidth="1"/>
    <col min="10251" max="10251" width="15.875" style="224" customWidth="1"/>
    <col min="10252" max="10253" width="16.125" style="224" customWidth="1"/>
    <col min="10254" max="10254" width="15.5" style="224" customWidth="1"/>
    <col min="10255" max="10256" width="9" style="224" customWidth="1"/>
    <col min="10257" max="10257" width="6.375" style="224" customWidth="1"/>
    <col min="10258" max="10260" width="0" style="224" hidden="1" customWidth="1"/>
    <col min="10261" max="10261" width="17.375" style="224" customWidth="1"/>
    <col min="10262" max="10493" width="9" style="224"/>
    <col min="10494" max="10494" width="5.125" style="224" customWidth="1"/>
    <col min="10495" max="10495" width="3.625" style="224" customWidth="1"/>
    <col min="10496" max="10496" width="4.125" style="224" customWidth="1"/>
    <col min="10497" max="10497" width="17.375" style="224" customWidth="1"/>
    <col min="10498" max="10498" width="7.5" style="224" customWidth="1"/>
    <col min="10499" max="10499" width="4.5" style="224" customWidth="1"/>
    <col min="10500" max="10500" width="4.875" style="224" customWidth="1"/>
    <col min="10501" max="10501" width="5.125" style="224" customWidth="1"/>
    <col min="10502" max="10502" width="4.25" style="224" customWidth="1"/>
    <col min="10503" max="10503" width="6.375" style="224" customWidth="1"/>
    <col min="10504" max="10504" width="4" style="224" customWidth="1"/>
    <col min="10505" max="10505" width="12.375" style="224" customWidth="1"/>
    <col min="10506" max="10506" width="13.375" style="224" customWidth="1"/>
    <col min="10507" max="10507" width="15.875" style="224" customWidth="1"/>
    <col min="10508" max="10509" width="16.125" style="224" customWidth="1"/>
    <col min="10510" max="10510" width="15.5" style="224" customWidth="1"/>
    <col min="10511" max="10512" width="9" style="224" customWidth="1"/>
    <col min="10513" max="10513" width="6.375" style="224" customWidth="1"/>
    <col min="10514" max="10516" width="0" style="224" hidden="1" customWidth="1"/>
    <col min="10517" max="10517" width="17.375" style="224" customWidth="1"/>
    <col min="10518" max="10749" width="9" style="224"/>
    <col min="10750" max="10750" width="5.125" style="224" customWidth="1"/>
    <col min="10751" max="10751" width="3.625" style="224" customWidth="1"/>
    <col min="10752" max="10752" width="4.125" style="224" customWidth="1"/>
    <col min="10753" max="10753" width="17.375" style="224" customWidth="1"/>
    <col min="10754" max="10754" width="7.5" style="224" customWidth="1"/>
    <col min="10755" max="10755" width="4.5" style="224" customWidth="1"/>
    <col min="10756" max="10756" width="4.875" style="224" customWidth="1"/>
    <col min="10757" max="10757" width="5.125" style="224" customWidth="1"/>
    <col min="10758" max="10758" width="4.25" style="224" customWidth="1"/>
    <col min="10759" max="10759" width="6.375" style="224" customWidth="1"/>
    <col min="10760" max="10760" width="4" style="224" customWidth="1"/>
    <col min="10761" max="10761" width="12.375" style="224" customWidth="1"/>
    <col min="10762" max="10762" width="13.375" style="224" customWidth="1"/>
    <col min="10763" max="10763" width="15.875" style="224" customWidth="1"/>
    <col min="10764" max="10765" width="16.125" style="224" customWidth="1"/>
    <col min="10766" max="10766" width="15.5" style="224" customWidth="1"/>
    <col min="10767" max="10768" width="9" style="224" customWidth="1"/>
    <col min="10769" max="10769" width="6.375" style="224" customWidth="1"/>
    <col min="10770" max="10772" width="0" style="224" hidden="1" customWidth="1"/>
    <col min="10773" max="10773" width="17.375" style="224" customWidth="1"/>
    <col min="10774" max="11005" width="9" style="224"/>
    <col min="11006" max="11006" width="5.125" style="224" customWidth="1"/>
    <col min="11007" max="11007" width="3.625" style="224" customWidth="1"/>
    <col min="11008" max="11008" width="4.125" style="224" customWidth="1"/>
    <col min="11009" max="11009" width="17.375" style="224" customWidth="1"/>
    <col min="11010" max="11010" width="7.5" style="224" customWidth="1"/>
    <col min="11011" max="11011" width="4.5" style="224" customWidth="1"/>
    <col min="11012" max="11012" width="4.875" style="224" customWidth="1"/>
    <col min="11013" max="11013" width="5.125" style="224" customWidth="1"/>
    <col min="11014" max="11014" width="4.25" style="224" customWidth="1"/>
    <col min="11015" max="11015" width="6.375" style="224" customWidth="1"/>
    <col min="11016" max="11016" width="4" style="224" customWidth="1"/>
    <col min="11017" max="11017" width="12.375" style="224" customWidth="1"/>
    <col min="11018" max="11018" width="13.375" style="224" customWidth="1"/>
    <col min="11019" max="11019" width="15.875" style="224" customWidth="1"/>
    <col min="11020" max="11021" width="16.125" style="224" customWidth="1"/>
    <col min="11022" max="11022" width="15.5" style="224" customWidth="1"/>
    <col min="11023" max="11024" width="9" style="224" customWidth="1"/>
    <col min="11025" max="11025" width="6.375" style="224" customWidth="1"/>
    <col min="11026" max="11028" width="0" style="224" hidden="1" customWidth="1"/>
    <col min="11029" max="11029" width="17.375" style="224" customWidth="1"/>
    <col min="11030" max="11261" width="9" style="224"/>
    <col min="11262" max="11262" width="5.125" style="224" customWidth="1"/>
    <col min="11263" max="11263" width="3.625" style="224" customWidth="1"/>
    <col min="11264" max="11264" width="4.125" style="224" customWidth="1"/>
    <col min="11265" max="11265" width="17.375" style="224" customWidth="1"/>
    <col min="11266" max="11266" width="7.5" style="224" customWidth="1"/>
    <col min="11267" max="11267" width="4.5" style="224" customWidth="1"/>
    <col min="11268" max="11268" width="4.875" style="224" customWidth="1"/>
    <col min="11269" max="11269" width="5.125" style="224" customWidth="1"/>
    <col min="11270" max="11270" width="4.25" style="224" customWidth="1"/>
    <col min="11271" max="11271" width="6.375" style="224" customWidth="1"/>
    <col min="11272" max="11272" width="4" style="224" customWidth="1"/>
    <col min="11273" max="11273" width="12.375" style="224" customWidth="1"/>
    <col min="11274" max="11274" width="13.375" style="224" customWidth="1"/>
    <col min="11275" max="11275" width="15.875" style="224" customWidth="1"/>
    <col min="11276" max="11277" width="16.125" style="224" customWidth="1"/>
    <col min="11278" max="11278" width="15.5" style="224" customWidth="1"/>
    <col min="11279" max="11280" width="9" style="224" customWidth="1"/>
    <col min="11281" max="11281" width="6.375" style="224" customWidth="1"/>
    <col min="11282" max="11284" width="0" style="224" hidden="1" customWidth="1"/>
    <col min="11285" max="11285" width="17.375" style="224" customWidth="1"/>
    <col min="11286" max="11517" width="9" style="224"/>
    <col min="11518" max="11518" width="5.125" style="224" customWidth="1"/>
    <col min="11519" max="11519" width="3.625" style="224" customWidth="1"/>
    <col min="11520" max="11520" width="4.125" style="224" customWidth="1"/>
    <col min="11521" max="11521" width="17.375" style="224" customWidth="1"/>
    <col min="11522" max="11522" width="7.5" style="224" customWidth="1"/>
    <col min="11523" max="11523" width="4.5" style="224" customWidth="1"/>
    <col min="11524" max="11524" width="4.875" style="224" customWidth="1"/>
    <col min="11525" max="11525" width="5.125" style="224" customWidth="1"/>
    <col min="11526" max="11526" width="4.25" style="224" customWidth="1"/>
    <col min="11527" max="11527" width="6.375" style="224" customWidth="1"/>
    <col min="11528" max="11528" width="4" style="224" customWidth="1"/>
    <col min="11529" max="11529" width="12.375" style="224" customWidth="1"/>
    <col min="11530" max="11530" width="13.375" style="224" customWidth="1"/>
    <col min="11531" max="11531" width="15.875" style="224" customWidth="1"/>
    <col min="11532" max="11533" width="16.125" style="224" customWidth="1"/>
    <col min="11534" max="11534" width="15.5" style="224" customWidth="1"/>
    <col min="11535" max="11536" width="9" style="224" customWidth="1"/>
    <col min="11537" max="11537" width="6.375" style="224" customWidth="1"/>
    <col min="11538" max="11540" width="0" style="224" hidden="1" customWidth="1"/>
    <col min="11541" max="11541" width="17.375" style="224" customWidth="1"/>
    <col min="11542" max="11773" width="9" style="224"/>
    <col min="11774" max="11774" width="5.125" style="224" customWidth="1"/>
    <col min="11775" max="11775" width="3.625" style="224" customWidth="1"/>
    <col min="11776" max="11776" width="4.125" style="224" customWidth="1"/>
    <col min="11777" max="11777" width="17.375" style="224" customWidth="1"/>
    <col min="11778" max="11778" width="7.5" style="224" customWidth="1"/>
    <col min="11779" max="11779" width="4.5" style="224" customWidth="1"/>
    <col min="11780" max="11780" width="4.875" style="224" customWidth="1"/>
    <col min="11781" max="11781" width="5.125" style="224" customWidth="1"/>
    <col min="11782" max="11782" width="4.25" style="224" customWidth="1"/>
    <col min="11783" max="11783" width="6.375" style="224" customWidth="1"/>
    <col min="11784" max="11784" width="4" style="224" customWidth="1"/>
    <col min="11785" max="11785" width="12.375" style="224" customWidth="1"/>
    <col min="11786" max="11786" width="13.375" style="224" customWidth="1"/>
    <col min="11787" max="11787" width="15.875" style="224" customWidth="1"/>
    <col min="11788" max="11789" width="16.125" style="224" customWidth="1"/>
    <col min="11790" max="11790" width="15.5" style="224" customWidth="1"/>
    <col min="11791" max="11792" width="9" style="224" customWidth="1"/>
    <col min="11793" max="11793" width="6.375" style="224" customWidth="1"/>
    <col min="11794" max="11796" width="0" style="224" hidden="1" customWidth="1"/>
    <col min="11797" max="11797" width="17.375" style="224" customWidth="1"/>
    <col min="11798" max="12029" width="9" style="224"/>
    <col min="12030" max="12030" width="5.125" style="224" customWidth="1"/>
    <col min="12031" max="12031" width="3.625" style="224" customWidth="1"/>
    <col min="12032" max="12032" width="4.125" style="224" customWidth="1"/>
    <col min="12033" max="12033" width="17.375" style="224" customWidth="1"/>
    <col min="12034" max="12034" width="7.5" style="224" customWidth="1"/>
    <col min="12035" max="12035" width="4.5" style="224" customWidth="1"/>
    <col min="12036" max="12036" width="4.875" style="224" customWidth="1"/>
    <col min="12037" max="12037" width="5.125" style="224" customWidth="1"/>
    <col min="12038" max="12038" width="4.25" style="224" customWidth="1"/>
    <col min="12039" max="12039" width="6.375" style="224" customWidth="1"/>
    <col min="12040" max="12040" width="4" style="224" customWidth="1"/>
    <col min="12041" max="12041" width="12.375" style="224" customWidth="1"/>
    <col min="12042" max="12042" width="13.375" style="224" customWidth="1"/>
    <col min="12043" max="12043" width="15.875" style="224" customWidth="1"/>
    <col min="12044" max="12045" width="16.125" style="224" customWidth="1"/>
    <col min="12046" max="12046" width="15.5" style="224" customWidth="1"/>
    <col min="12047" max="12048" width="9" style="224" customWidth="1"/>
    <col min="12049" max="12049" width="6.375" style="224" customWidth="1"/>
    <col min="12050" max="12052" width="0" style="224" hidden="1" customWidth="1"/>
    <col min="12053" max="12053" width="17.375" style="224" customWidth="1"/>
    <col min="12054" max="12285" width="9" style="224"/>
    <col min="12286" max="12286" width="5.125" style="224" customWidth="1"/>
    <col min="12287" max="12287" width="3.625" style="224" customWidth="1"/>
    <col min="12288" max="12288" width="4.125" style="224" customWidth="1"/>
    <col min="12289" max="12289" width="17.375" style="224" customWidth="1"/>
    <col min="12290" max="12290" width="7.5" style="224" customWidth="1"/>
    <col min="12291" max="12291" width="4.5" style="224" customWidth="1"/>
    <col min="12292" max="12292" width="4.875" style="224" customWidth="1"/>
    <col min="12293" max="12293" width="5.125" style="224" customWidth="1"/>
    <col min="12294" max="12294" width="4.25" style="224" customWidth="1"/>
    <col min="12295" max="12295" width="6.375" style="224" customWidth="1"/>
    <col min="12296" max="12296" width="4" style="224" customWidth="1"/>
    <col min="12297" max="12297" width="12.375" style="224" customWidth="1"/>
    <col min="12298" max="12298" width="13.375" style="224" customWidth="1"/>
    <col min="12299" max="12299" width="15.875" style="224" customWidth="1"/>
    <col min="12300" max="12301" width="16.125" style="224" customWidth="1"/>
    <col min="12302" max="12302" width="15.5" style="224" customWidth="1"/>
    <col min="12303" max="12304" width="9" style="224" customWidth="1"/>
    <col min="12305" max="12305" width="6.375" style="224" customWidth="1"/>
    <col min="12306" max="12308" width="0" style="224" hidden="1" customWidth="1"/>
    <col min="12309" max="12309" width="17.375" style="224" customWidth="1"/>
    <col min="12310" max="12541" width="9" style="224"/>
    <col min="12542" max="12542" width="5.125" style="224" customWidth="1"/>
    <col min="12543" max="12543" width="3.625" style="224" customWidth="1"/>
    <col min="12544" max="12544" width="4.125" style="224" customWidth="1"/>
    <col min="12545" max="12545" width="17.375" style="224" customWidth="1"/>
    <col min="12546" max="12546" width="7.5" style="224" customWidth="1"/>
    <col min="12547" max="12547" width="4.5" style="224" customWidth="1"/>
    <col min="12548" max="12548" width="4.875" style="224" customWidth="1"/>
    <col min="12549" max="12549" width="5.125" style="224" customWidth="1"/>
    <col min="12550" max="12550" width="4.25" style="224" customWidth="1"/>
    <col min="12551" max="12551" width="6.375" style="224" customWidth="1"/>
    <col min="12552" max="12552" width="4" style="224" customWidth="1"/>
    <col min="12553" max="12553" width="12.375" style="224" customWidth="1"/>
    <col min="12554" max="12554" width="13.375" style="224" customWidth="1"/>
    <col min="12555" max="12555" width="15.875" style="224" customWidth="1"/>
    <col min="12556" max="12557" width="16.125" style="224" customWidth="1"/>
    <col min="12558" max="12558" width="15.5" style="224" customWidth="1"/>
    <col min="12559" max="12560" width="9" style="224" customWidth="1"/>
    <col min="12561" max="12561" width="6.375" style="224" customWidth="1"/>
    <col min="12562" max="12564" width="0" style="224" hidden="1" customWidth="1"/>
    <col min="12565" max="12565" width="17.375" style="224" customWidth="1"/>
    <col min="12566" max="12797" width="9" style="224"/>
    <col min="12798" max="12798" width="5.125" style="224" customWidth="1"/>
    <col min="12799" max="12799" width="3.625" style="224" customWidth="1"/>
    <col min="12800" max="12800" width="4.125" style="224" customWidth="1"/>
    <col min="12801" max="12801" width="17.375" style="224" customWidth="1"/>
    <col min="12802" max="12802" width="7.5" style="224" customWidth="1"/>
    <col min="12803" max="12803" width="4.5" style="224" customWidth="1"/>
    <col min="12804" max="12804" width="4.875" style="224" customWidth="1"/>
    <col min="12805" max="12805" width="5.125" style="224" customWidth="1"/>
    <col min="12806" max="12806" width="4.25" style="224" customWidth="1"/>
    <col min="12807" max="12807" width="6.375" style="224" customWidth="1"/>
    <col min="12808" max="12808" width="4" style="224" customWidth="1"/>
    <col min="12809" max="12809" width="12.375" style="224" customWidth="1"/>
    <col min="12810" max="12810" width="13.375" style="224" customWidth="1"/>
    <col min="12811" max="12811" width="15.875" style="224" customWidth="1"/>
    <col min="12812" max="12813" width="16.125" style="224" customWidth="1"/>
    <col min="12814" max="12814" width="15.5" style="224" customWidth="1"/>
    <col min="12815" max="12816" width="9" style="224" customWidth="1"/>
    <col min="12817" max="12817" width="6.375" style="224" customWidth="1"/>
    <col min="12818" max="12820" width="0" style="224" hidden="1" customWidth="1"/>
    <col min="12821" max="12821" width="17.375" style="224" customWidth="1"/>
    <col min="12822" max="13053" width="9" style="224"/>
    <col min="13054" max="13054" width="5.125" style="224" customWidth="1"/>
    <col min="13055" max="13055" width="3.625" style="224" customWidth="1"/>
    <col min="13056" max="13056" width="4.125" style="224" customWidth="1"/>
    <col min="13057" max="13057" width="17.375" style="224" customWidth="1"/>
    <col min="13058" max="13058" width="7.5" style="224" customWidth="1"/>
    <col min="13059" max="13059" width="4.5" style="224" customWidth="1"/>
    <col min="13060" max="13060" width="4.875" style="224" customWidth="1"/>
    <col min="13061" max="13061" width="5.125" style="224" customWidth="1"/>
    <col min="13062" max="13062" width="4.25" style="224" customWidth="1"/>
    <col min="13063" max="13063" width="6.375" style="224" customWidth="1"/>
    <col min="13064" max="13064" width="4" style="224" customWidth="1"/>
    <col min="13065" max="13065" width="12.375" style="224" customWidth="1"/>
    <col min="13066" max="13066" width="13.375" style="224" customWidth="1"/>
    <col min="13067" max="13067" width="15.875" style="224" customWidth="1"/>
    <col min="13068" max="13069" width="16.125" style="224" customWidth="1"/>
    <col min="13070" max="13070" width="15.5" style="224" customWidth="1"/>
    <col min="13071" max="13072" width="9" style="224" customWidth="1"/>
    <col min="13073" max="13073" width="6.375" style="224" customWidth="1"/>
    <col min="13074" max="13076" width="0" style="224" hidden="1" customWidth="1"/>
    <col min="13077" max="13077" width="17.375" style="224" customWidth="1"/>
    <col min="13078" max="13309" width="9" style="224"/>
    <col min="13310" max="13310" width="5.125" style="224" customWidth="1"/>
    <col min="13311" max="13311" width="3.625" style="224" customWidth="1"/>
    <col min="13312" max="13312" width="4.125" style="224" customWidth="1"/>
    <col min="13313" max="13313" width="17.375" style="224" customWidth="1"/>
    <col min="13314" max="13314" width="7.5" style="224" customWidth="1"/>
    <col min="13315" max="13315" width="4.5" style="224" customWidth="1"/>
    <col min="13316" max="13316" width="4.875" style="224" customWidth="1"/>
    <col min="13317" max="13317" width="5.125" style="224" customWidth="1"/>
    <col min="13318" max="13318" width="4.25" style="224" customWidth="1"/>
    <col min="13319" max="13319" width="6.375" style="224" customWidth="1"/>
    <col min="13320" max="13320" width="4" style="224" customWidth="1"/>
    <col min="13321" max="13321" width="12.375" style="224" customWidth="1"/>
    <col min="13322" max="13322" width="13.375" style="224" customWidth="1"/>
    <col min="13323" max="13323" width="15.875" style="224" customWidth="1"/>
    <col min="13324" max="13325" width="16.125" style="224" customWidth="1"/>
    <col min="13326" max="13326" width="15.5" style="224" customWidth="1"/>
    <col min="13327" max="13328" width="9" style="224" customWidth="1"/>
    <col min="13329" max="13329" width="6.375" style="224" customWidth="1"/>
    <col min="13330" max="13332" width="0" style="224" hidden="1" customWidth="1"/>
    <col min="13333" max="13333" width="17.375" style="224" customWidth="1"/>
    <col min="13334" max="13565" width="9" style="224"/>
    <col min="13566" max="13566" width="5.125" style="224" customWidth="1"/>
    <col min="13567" max="13567" width="3.625" style="224" customWidth="1"/>
    <col min="13568" max="13568" width="4.125" style="224" customWidth="1"/>
    <col min="13569" max="13569" width="17.375" style="224" customWidth="1"/>
    <col min="13570" max="13570" width="7.5" style="224" customWidth="1"/>
    <col min="13571" max="13571" width="4.5" style="224" customWidth="1"/>
    <col min="13572" max="13572" width="4.875" style="224" customWidth="1"/>
    <col min="13573" max="13573" width="5.125" style="224" customWidth="1"/>
    <col min="13574" max="13574" width="4.25" style="224" customWidth="1"/>
    <col min="13575" max="13575" width="6.375" style="224" customWidth="1"/>
    <col min="13576" max="13576" width="4" style="224" customWidth="1"/>
    <col min="13577" max="13577" width="12.375" style="224" customWidth="1"/>
    <col min="13578" max="13578" width="13.375" style="224" customWidth="1"/>
    <col min="13579" max="13579" width="15.875" style="224" customWidth="1"/>
    <col min="13580" max="13581" width="16.125" style="224" customWidth="1"/>
    <col min="13582" max="13582" width="15.5" style="224" customWidth="1"/>
    <col min="13583" max="13584" width="9" style="224" customWidth="1"/>
    <col min="13585" max="13585" width="6.375" style="224" customWidth="1"/>
    <col min="13586" max="13588" width="0" style="224" hidden="1" customWidth="1"/>
    <col min="13589" max="13589" width="17.375" style="224" customWidth="1"/>
    <col min="13590" max="13821" width="9" style="224"/>
    <col min="13822" max="13822" width="5.125" style="224" customWidth="1"/>
    <col min="13823" max="13823" width="3.625" style="224" customWidth="1"/>
    <col min="13824" max="13824" width="4.125" style="224" customWidth="1"/>
    <col min="13825" max="13825" width="17.375" style="224" customWidth="1"/>
    <col min="13826" max="13826" width="7.5" style="224" customWidth="1"/>
    <col min="13827" max="13827" width="4.5" style="224" customWidth="1"/>
    <col min="13828" max="13828" width="4.875" style="224" customWidth="1"/>
    <col min="13829" max="13829" width="5.125" style="224" customWidth="1"/>
    <col min="13830" max="13830" width="4.25" style="224" customWidth="1"/>
    <col min="13831" max="13831" width="6.375" style="224" customWidth="1"/>
    <col min="13832" max="13832" width="4" style="224" customWidth="1"/>
    <col min="13833" max="13833" width="12.375" style="224" customWidth="1"/>
    <col min="13834" max="13834" width="13.375" style="224" customWidth="1"/>
    <col min="13835" max="13835" width="15.875" style="224" customWidth="1"/>
    <col min="13836" max="13837" width="16.125" style="224" customWidth="1"/>
    <col min="13838" max="13838" width="15.5" style="224" customWidth="1"/>
    <col min="13839" max="13840" width="9" style="224" customWidth="1"/>
    <col min="13841" max="13841" width="6.375" style="224" customWidth="1"/>
    <col min="13842" max="13844" width="0" style="224" hidden="1" customWidth="1"/>
    <col min="13845" max="13845" width="17.375" style="224" customWidth="1"/>
    <col min="13846" max="14077" width="9" style="224"/>
    <col min="14078" max="14078" width="5.125" style="224" customWidth="1"/>
    <col min="14079" max="14079" width="3.625" style="224" customWidth="1"/>
    <col min="14080" max="14080" width="4.125" style="224" customWidth="1"/>
    <col min="14081" max="14081" width="17.375" style="224" customWidth="1"/>
    <col min="14082" max="14082" width="7.5" style="224" customWidth="1"/>
    <col min="14083" max="14083" width="4.5" style="224" customWidth="1"/>
    <col min="14084" max="14084" width="4.875" style="224" customWidth="1"/>
    <col min="14085" max="14085" width="5.125" style="224" customWidth="1"/>
    <col min="14086" max="14086" width="4.25" style="224" customWidth="1"/>
    <col min="14087" max="14087" width="6.375" style="224" customWidth="1"/>
    <col min="14088" max="14088" width="4" style="224" customWidth="1"/>
    <col min="14089" max="14089" width="12.375" style="224" customWidth="1"/>
    <col min="14090" max="14090" width="13.375" style="224" customWidth="1"/>
    <col min="14091" max="14091" width="15.875" style="224" customWidth="1"/>
    <col min="14092" max="14093" width="16.125" style="224" customWidth="1"/>
    <col min="14094" max="14094" width="15.5" style="224" customWidth="1"/>
    <col min="14095" max="14096" width="9" style="224" customWidth="1"/>
    <col min="14097" max="14097" width="6.375" style="224" customWidth="1"/>
    <col min="14098" max="14100" width="0" style="224" hidden="1" customWidth="1"/>
    <col min="14101" max="14101" width="17.375" style="224" customWidth="1"/>
    <col min="14102" max="14333" width="9" style="224"/>
    <col min="14334" max="14334" width="5.125" style="224" customWidth="1"/>
    <col min="14335" max="14335" width="3.625" style="224" customWidth="1"/>
    <col min="14336" max="14336" width="4.125" style="224" customWidth="1"/>
    <col min="14337" max="14337" width="17.375" style="224" customWidth="1"/>
    <col min="14338" max="14338" width="7.5" style="224" customWidth="1"/>
    <col min="14339" max="14339" width="4.5" style="224" customWidth="1"/>
    <col min="14340" max="14340" width="4.875" style="224" customWidth="1"/>
    <col min="14341" max="14341" width="5.125" style="224" customWidth="1"/>
    <col min="14342" max="14342" width="4.25" style="224" customWidth="1"/>
    <col min="14343" max="14343" width="6.375" style="224" customWidth="1"/>
    <col min="14344" max="14344" width="4" style="224" customWidth="1"/>
    <col min="14345" max="14345" width="12.375" style="224" customWidth="1"/>
    <col min="14346" max="14346" width="13.375" style="224" customWidth="1"/>
    <col min="14347" max="14347" width="15.875" style="224" customWidth="1"/>
    <col min="14348" max="14349" width="16.125" style="224" customWidth="1"/>
    <col min="14350" max="14350" width="15.5" style="224" customWidth="1"/>
    <col min="14351" max="14352" width="9" style="224" customWidth="1"/>
    <col min="14353" max="14353" width="6.375" style="224" customWidth="1"/>
    <col min="14354" max="14356" width="0" style="224" hidden="1" customWidth="1"/>
    <col min="14357" max="14357" width="17.375" style="224" customWidth="1"/>
    <col min="14358" max="14589" width="9" style="224"/>
    <col min="14590" max="14590" width="5.125" style="224" customWidth="1"/>
    <col min="14591" max="14591" width="3.625" style="224" customWidth="1"/>
    <col min="14592" max="14592" width="4.125" style="224" customWidth="1"/>
    <col min="14593" max="14593" width="17.375" style="224" customWidth="1"/>
    <col min="14594" max="14594" width="7.5" style="224" customWidth="1"/>
    <col min="14595" max="14595" width="4.5" style="224" customWidth="1"/>
    <col min="14596" max="14596" width="4.875" style="224" customWidth="1"/>
    <col min="14597" max="14597" width="5.125" style="224" customWidth="1"/>
    <col min="14598" max="14598" width="4.25" style="224" customWidth="1"/>
    <col min="14599" max="14599" width="6.375" style="224" customWidth="1"/>
    <col min="14600" max="14600" width="4" style="224" customWidth="1"/>
    <col min="14601" max="14601" width="12.375" style="224" customWidth="1"/>
    <col min="14602" max="14602" width="13.375" style="224" customWidth="1"/>
    <col min="14603" max="14603" width="15.875" style="224" customWidth="1"/>
    <col min="14604" max="14605" width="16.125" style="224" customWidth="1"/>
    <col min="14606" max="14606" width="15.5" style="224" customWidth="1"/>
    <col min="14607" max="14608" width="9" style="224" customWidth="1"/>
    <col min="14609" max="14609" width="6.375" style="224" customWidth="1"/>
    <col min="14610" max="14612" width="0" style="224" hidden="1" customWidth="1"/>
    <col min="14613" max="14613" width="17.375" style="224" customWidth="1"/>
    <col min="14614" max="14845" width="9" style="224"/>
    <col min="14846" max="14846" width="5.125" style="224" customWidth="1"/>
    <col min="14847" max="14847" width="3.625" style="224" customWidth="1"/>
    <col min="14848" max="14848" width="4.125" style="224" customWidth="1"/>
    <col min="14849" max="14849" width="17.375" style="224" customWidth="1"/>
    <col min="14850" max="14850" width="7.5" style="224" customWidth="1"/>
    <col min="14851" max="14851" width="4.5" style="224" customWidth="1"/>
    <col min="14852" max="14852" width="4.875" style="224" customWidth="1"/>
    <col min="14853" max="14853" width="5.125" style="224" customWidth="1"/>
    <col min="14854" max="14854" width="4.25" style="224" customWidth="1"/>
    <col min="14855" max="14855" width="6.375" style="224" customWidth="1"/>
    <col min="14856" max="14856" width="4" style="224" customWidth="1"/>
    <col min="14857" max="14857" width="12.375" style="224" customWidth="1"/>
    <col min="14858" max="14858" width="13.375" style="224" customWidth="1"/>
    <col min="14859" max="14859" width="15.875" style="224" customWidth="1"/>
    <col min="14860" max="14861" width="16.125" style="224" customWidth="1"/>
    <col min="14862" max="14862" width="15.5" style="224" customWidth="1"/>
    <col min="14863" max="14864" width="9" style="224" customWidth="1"/>
    <col min="14865" max="14865" width="6.375" style="224" customWidth="1"/>
    <col min="14866" max="14868" width="0" style="224" hidden="1" customWidth="1"/>
    <col min="14869" max="14869" width="17.375" style="224" customWidth="1"/>
    <col min="14870" max="15101" width="9" style="224"/>
    <col min="15102" max="15102" width="5.125" style="224" customWidth="1"/>
    <col min="15103" max="15103" width="3.625" style="224" customWidth="1"/>
    <col min="15104" max="15104" width="4.125" style="224" customWidth="1"/>
    <col min="15105" max="15105" width="17.375" style="224" customWidth="1"/>
    <col min="15106" max="15106" width="7.5" style="224" customWidth="1"/>
    <col min="15107" max="15107" width="4.5" style="224" customWidth="1"/>
    <col min="15108" max="15108" width="4.875" style="224" customWidth="1"/>
    <col min="15109" max="15109" width="5.125" style="224" customWidth="1"/>
    <col min="15110" max="15110" width="4.25" style="224" customWidth="1"/>
    <col min="15111" max="15111" width="6.375" style="224" customWidth="1"/>
    <col min="15112" max="15112" width="4" style="224" customWidth="1"/>
    <col min="15113" max="15113" width="12.375" style="224" customWidth="1"/>
    <col min="15114" max="15114" width="13.375" style="224" customWidth="1"/>
    <col min="15115" max="15115" width="15.875" style="224" customWidth="1"/>
    <col min="15116" max="15117" width="16.125" style="224" customWidth="1"/>
    <col min="15118" max="15118" width="15.5" style="224" customWidth="1"/>
    <col min="15119" max="15120" width="9" style="224" customWidth="1"/>
    <col min="15121" max="15121" width="6.375" style="224" customWidth="1"/>
    <col min="15122" max="15124" width="0" style="224" hidden="1" customWidth="1"/>
    <col min="15125" max="15125" width="17.375" style="224" customWidth="1"/>
    <col min="15126" max="15357" width="9" style="224"/>
    <col min="15358" max="15358" width="5.125" style="224" customWidth="1"/>
    <col min="15359" max="15359" width="3.625" style="224" customWidth="1"/>
    <col min="15360" max="15360" width="4.125" style="224" customWidth="1"/>
    <col min="15361" max="15361" width="17.375" style="224" customWidth="1"/>
    <col min="15362" max="15362" width="7.5" style="224" customWidth="1"/>
    <col min="15363" max="15363" width="4.5" style="224" customWidth="1"/>
    <col min="15364" max="15364" width="4.875" style="224" customWidth="1"/>
    <col min="15365" max="15365" width="5.125" style="224" customWidth="1"/>
    <col min="15366" max="15366" width="4.25" style="224" customWidth="1"/>
    <col min="15367" max="15367" width="6.375" style="224" customWidth="1"/>
    <col min="15368" max="15368" width="4" style="224" customWidth="1"/>
    <col min="15369" max="15369" width="12.375" style="224" customWidth="1"/>
    <col min="15370" max="15370" width="13.375" style="224" customWidth="1"/>
    <col min="15371" max="15371" width="15.875" style="224" customWidth="1"/>
    <col min="15372" max="15373" width="16.125" style="224" customWidth="1"/>
    <col min="15374" max="15374" width="15.5" style="224" customWidth="1"/>
    <col min="15375" max="15376" width="9" style="224" customWidth="1"/>
    <col min="15377" max="15377" width="6.375" style="224" customWidth="1"/>
    <col min="15378" max="15380" width="0" style="224" hidden="1" customWidth="1"/>
    <col min="15381" max="15381" width="17.375" style="224" customWidth="1"/>
    <col min="15382" max="15613" width="9" style="224"/>
    <col min="15614" max="15614" width="5.125" style="224" customWidth="1"/>
    <col min="15615" max="15615" width="3.625" style="224" customWidth="1"/>
    <col min="15616" max="15616" width="4.125" style="224" customWidth="1"/>
    <col min="15617" max="15617" width="17.375" style="224" customWidth="1"/>
    <col min="15618" max="15618" width="7.5" style="224" customWidth="1"/>
    <col min="15619" max="15619" width="4.5" style="224" customWidth="1"/>
    <col min="15620" max="15620" width="4.875" style="224" customWidth="1"/>
    <col min="15621" max="15621" width="5.125" style="224" customWidth="1"/>
    <col min="15622" max="15622" width="4.25" style="224" customWidth="1"/>
    <col min="15623" max="15623" width="6.375" style="224" customWidth="1"/>
    <col min="15624" max="15624" width="4" style="224" customWidth="1"/>
    <col min="15625" max="15625" width="12.375" style="224" customWidth="1"/>
    <col min="15626" max="15626" width="13.375" style="224" customWidth="1"/>
    <col min="15627" max="15627" width="15.875" style="224" customWidth="1"/>
    <col min="15628" max="15629" width="16.125" style="224" customWidth="1"/>
    <col min="15630" max="15630" width="15.5" style="224" customWidth="1"/>
    <col min="15631" max="15632" width="9" style="224" customWidth="1"/>
    <col min="15633" max="15633" width="6.375" style="224" customWidth="1"/>
    <col min="15634" max="15636" width="0" style="224" hidden="1" customWidth="1"/>
    <col min="15637" max="15637" width="17.375" style="224" customWidth="1"/>
    <col min="15638" max="15869" width="9" style="224"/>
    <col min="15870" max="15870" width="5.125" style="224" customWidth="1"/>
    <col min="15871" max="15871" width="3.625" style="224" customWidth="1"/>
    <col min="15872" max="15872" width="4.125" style="224" customWidth="1"/>
    <col min="15873" max="15873" width="17.375" style="224" customWidth="1"/>
    <col min="15874" max="15874" width="7.5" style="224" customWidth="1"/>
    <col min="15875" max="15875" width="4.5" style="224" customWidth="1"/>
    <col min="15876" max="15876" width="4.875" style="224" customWidth="1"/>
    <col min="15877" max="15877" width="5.125" style="224" customWidth="1"/>
    <col min="15878" max="15878" width="4.25" style="224" customWidth="1"/>
    <col min="15879" max="15879" width="6.375" style="224" customWidth="1"/>
    <col min="15880" max="15880" width="4" style="224" customWidth="1"/>
    <col min="15881" max="15881" width="12.375" style="224" customWidth="1"/>
    <col min="15882" max="15882" width="13.375" style="224" customWidth="1"/>
    <col min="15883" max="15883" width="15.875" style="224" customWidth="1"/>
    <col min="15884" max="15885" width="16.125" style="224" customWidth="1"/>
    <col min="15886" max="15886" width="15.5" style="224" customWidth="1"/>
    <col min="15887" max="15888" width="9" style="224" customWidth="1"/>
    <col min="15889" max="15889" width="6.375" style="224" customWidth="1"/>
    <col min="15890" max="15892" width="0" style="224" hidden="1" customWidth="1"/>
    <col min="15893" max="15893" width="17.375" style="224" customWidth="1"/>
    <col min="15894" max="16125" width="9" style="224"/>
    <col min="16126" max="16126" width="5.125" style="224" customWidth="1"/>
    <col min="16127" max="16127" width="3.625" style="224" customWidth="1"/>
    <col min="16128" max="16128" width="4.125" style="224" customWidth="1"/>
    <col min="16129" max="16129" width="17.375" style="224" customWidth="1"/>
    <col min="16130" max="16130" width="7.5" style="224" customWidth="1"/>
    <col min="16131" max="16131" width="4.5" style="224" customWidth="1"/>
    <col min="16132" max="16132" width="4.875" style="224" customWidth="1"/>
    <col min="16133" max="16133" width="5.125" style="224" customWidth="1"/>
    <col min="16134" max="16134" width="4.25" style="224" customWidth="1"/>
    <col min="16135" max="16135" width="6.375" style="224" customWidth="1"/>
    <col min="16136" max="16136" width="4" style="224" customWidth="1"/>
    <col min="16137" max="16137" width="12.375" style="224" customWidth="1"/>
    <col min="16138" max="16138" width="13.375" style="224" customWidth="1"/>
    <col min="16139" max="16139" width="15.875" style="224" customWidth="1"/>
    <col min="16140" max="16141" width="16.125" style="224" customWidth="1"/>
    <col min="16142" max="16142" width="15.5" style="224" customWidth="1"/>
    <col min="16143" max="16144" width="9" style="224" customWidth="1"/>
    <col min="16145" max="16145" width="6.375" style="224" customWidth="1"/>
    <col min="16146" max="16148" width="0" style="224" hidden="1" customWidth="1"/>
    <col min="16149" max="16149" width="17.375" style="224" customWidth="1"/>
    <col min="16150" max="16384" width="9" style="224"/>
  </cols>
  <sheetData>
    <row r="1" spans="1:23" ht="18.75" x14ac:dyDescent="0.3">
      <c r="A1" s="808" t="str">
        <f>Chinh!$A$1</f>
        <v>UBND PHƯỜNG CAM LINH</v>
      </c>
      <c r="B1" s="808"/>
      <c r="C1" s="808"/>
      <c r="D1" s="808"/>
      <c r="E1" s="808"/>
      <c r="F1" s="808"/>
      <c r="G1" s="220"/>
      <c r="H1" s="221" t="str">
        <f>"DANH SÁCH HỌC SINH CHUYỂN ĐI/BỎ HỌC NĂM HỌC "&amp;R1&amp;" - "&amp;R2</f>
        <v>DANH SÁCH HỌC SINH CHUYỂN ĐI/BỎ HỌC NĂM HỌC 2024 - 2025</v>
      </c>
      <c r="I1" s="222"/>
      <c r="J1" s="223"/>
      <c r="K1" s="223"/>
      <c r="L1" s="224"/>
      <c r="N1" s="224"/>
      <c r="O1" s="224"/>
      <c r="R1" s="479">
        <f>VALUE(LEFT(Chinh!$H$5,4)-1)</f>
        <v>2024</v>
      </c>
    </row>
    <row r="2" spans="1:23" ht="15.75" x14ac:dyDescent="0.25">
      <c r="A2" s="618" t="str">
        <f>IF(Chinh!$I$9="","",Chinh!$A$2)</f>
        <v/>
      </c>
      <c r="B2" s="618"/>
      <c r="C2" s="618"/>
      <c r="D2" s="618"/>
      <c r="E2" s="618"/>
      <c r="F2" s="618"/>
      <c r="G2" s="220"/>
      <c r="H2" s="220"/>
      <c r="I2" s="222"/>
      <c r="J2" s="223"/>
      <c r="K2" s="223"/>
      <c r="L2" s="224"/>
      <c r="M2" s="224"/>
      <c r="N2" s="385" t="str">
        <f>IF(COUNTIF(S7:S101,"er")&gt;0,"Còn lỗi!",IF(AND(COUNTIF(S7:S101,"x")&gt;0,COUNTIF(S7:S101,"er")=0),"Có HS chuyển đi(hoặc Bỏ học)","Không có HS Chuyển đi(hoặc Bỏ học)"))</f>
        <v>Không có HS Chuyển đi(hoặc Bỏ học)</v>
      </c>
      <c r="O2" s="475"/>
      <c r="P2" s="380" t="s">
        <v>886</v>
      </c>
      <c r="Q2" s="477">
        <f>COUNTIF($T$7:$T$100,"x")</f>
        <v>0</v>
      </c>
      <c r="R2" s="479">
        <f>VALUE(RIGHT(Chinh!$H$5,4)-1)</f>
        <v>2025</v>
      </c>
    </row>
    <row r="3" spans="1:23" ht="15.75" x14ac:dyDescent="0.25">
      <c r="A3" s="476"/>
      <c r="B3" s="476"/>
      <c r="C3" s="476"/>
      <c r="D3" s="476"/>
      <c r="E3" s="476"/>
      <c r="F3" s="220"/>
      <c r="G3" s="220"/>
      <c r="H3" s="220"/>
      <c r="I3" s="222"/>
      <c r="J3" s="223"/>
      <c r="K3" s="223"/>
      <c r="L3" s="224"/>
      <c r="M3" s="224"/>
      <c r="P3" s="380" t="s">
        <v>887</v>
      </c>
      <c r="Q3" s="477">
        <f>COUNTIF($U$7:$U$100,"x")</f>
        <v>0</v>
      </c>
      <c r="R3" s="478"/>
    </row>
    <row r="4" spans="1:23" x14ac:dyDescent="0.25">
      <c r="B4" s="231"/>
      <c r="C4" s="232"/>
      <c r="D4" s="224"/>
      <c r="F4" s="220"/>
      <c r="G4" s="220"/>
      <c r="H4" s="220"/>
      <c r="I4" s="220"/>
      <c r="J4" s="223"/>
      <c r="K4" s="223"/>
      <c r="L4" s="502" t="s">
        <v>548</v>
      </c>
      <c r="M4" s="220"/>
      <c r="N4" s="220"/>
      <c r="O4" s="220"/>
      <c r="P4" s="381" t="s">
        <v>472</v>
      </c>
      <c r="Q4" s="477">
        <f>COUNTIF($V$7:$V$100,"x")</f>
        <v>0</v>
      </c>
    </row>
    <row r="5" spans="1:23" ht="37.5" customHeight="1" x14ac:dyDescent="0.25">
      <c r="A5" s="661" t="s">
        <v>214</v>
      </c>
      <c r="B5" s="662" t="s">
        <v>215</v>
      </c>
      <c r="C5" s="664" t="s">
        <v>368</v>
      </c>
      <c r="D5" s="665" t="s">
        <v>217</v>
      </c>
      <c r="E5" s="666" t="s">
        <v>218</v>
      </c>
      <c r="F5" s="668" t="s">
        <v>369</v>
      </c>
      <c r="G5" s="669"/>
      <c r="H5" s="670"/>
      <c r="I5" s="671" t="s">
        <v>370</v>
      </c>
      <c r="J5" s="661" t="s">
        <v>371</v>
      </c>
      <c r="K5" s="604" t="s">
        <v>378</v>
      </c>
      <c r="L5" s="672" t="s">
        <v>221</v>
      </c>
      <c r="M5" s="673"/>
      <c r="N5" s="674"/>
      <c r="O5" s="675" t="s">
        <v>463</v>
      </c>
      <c r="P5" s="491" t="s">
        <v>884</v>
      </c>
      <c r="Q5" s="375" t="s">
        <v>885</v>
      </c>
      <c r="R5" s="490" t="s">
        <v>466</v>
      </c>
    </row>
    <row r="6" spans="1:23" ht="30.75" customHeight="1" x14ac:dyDescent="0.25">
      <c r="A6" s="661"/>
      <c r="B6" s="663"/>
      <c r="C6" s="664"/>
      <c r="D6" s="665"/>
      <c r="E6" s="667"/>
      <c r="F6" s="384" t="s">
        <v>225</v>
      </c>
      <c r="G6" s="384" t="s">
        <v>226</v>
      </c>
      <c r="H6" s="384" t="s">
        <v>227</v>
      </c>
      <c r="I6" s="671"/>
      <c r="J6" s="661"/>
      <c r="K6" s="604"/>
      <c r="L6" s="235" t="s">
        <v>374</v>
      </c>
      <c r="M6" s="235" t="s">
        <v>228</v>
      </c>
      <c r="N6" s="236" t="s">
        <v>229</v>
      </c>
      <c r="O6" s="675"/>
      <c r="P6" s="376" t="s">
        <v>464</v>
      </c>
      <c r="Q6" s="488" t="s">
        <v>465</v>
      </c>
      <c r="R6" s="489" t="s">
        <v>467</v>
      </c>
      <c r="S6" s="377" t="s">
        <v>471</v>
      </c>
      <c r="T6" s="378" t="s">
        <v>468</v>
      </c>
      <c r="U6" s="377" t="s">
        <v>469</v>
      </c>
      <c r="V6" s="377" t="s">
        <v>470</v>
      </c>
    </row>
    <row r="7" spans="1:23" ht="18" customHeight="1" x14ac:dyDescent="0.25">
      <c r="A7" s="382" t="str">
        <f>IF(AND(D7="",E7=""),"","001")</f>
        <v/>
      </c>
      <c r="B7" s="238" t="str">
        <f>IF(C7="","",VALUE(LEFT(C7,1)))</f>
        <v/>
      </c>
      <c r="C7" s="239"/>
      <c r="D7" s="240"/>
      <c r="E7" s="241"/>
      <c r="F7" s="242"/>
      <c r="G7" s="242"/>
      <c r="H7" s="243"/>
      <c r="I7" s="239"/>
      <c r="J7" s="239"/>
      <c r="K7" s="269"/>
      <c r="L7" s="244"/>
      <c r="M7" s="244"/>
      <c r="N7" s="244"/>
      <c r="O7" s="244"/>
      <c r="P7" s="244"/>
      <c r="Q7" s="244"/>
      <c r="R7" s="244"/>
      <c r="S7" s="379" t="str">
        <f>IF(COUNTA(C7:R7)=0,"",IF(AND(COUNTA(C7:H7)=6,COUNTA(L7:O7)=4,OR(AND(P7&lt;&gt;"",Q7="",R7=""),AND(P7="",Q7&lt;&gt;"",R7=""),AND(P7="",Q7="",R7&lt;&gt;""))),"x","er"))</f>
        <v/>
      </c>
      <c r="T7" s="379" t="str">
        <f>IF(AND(S7="x",P7&lt;&gt;""),"x","")</f>
        <v/>
      </c>
      <c r="U7" s="379" t="str">
        <f>IF(AND(S7="x",Q7&lt;&gt;""),"x","")</f>
        <v/>
      </c>
      <c r="V7" s="379" t="str">
        <f>IF(AND(S7="x",R7&lt;&gt;""),"x","")</f>
        <v/>
      </c>
      <c r="W7" s="416" t="s">
        <v>290</v>
      </c>
    </row>
    <row r="8" spans="1:23" ht="18" customHeight="1" x14ac:dyDescent="0.25">
      <c r="A8" s="383" t="str">
        <f>IF(OR(A7="",B8="",C8="",D8="",E8=""),"",A7+1)</f>
        <v/>
      </c>
      <c r="B8" s="249" t="str">
        <f>IF(C8="","",VALUE(LEFT(C8,1)))</f>
        <v/>
      </c>
      <c r="C8" s="250"/>
      <c r="D8" s="251"/>
      <c r="E8" s="241"/>
      <c r="F8" s="252"/>
      <c r="G8" s="252"/>
      <c r="H8" s="253"/>
      <c r="I8" s="250"/>
      <c r="J8" s="250"/>
      <c r="K8" s="270"/>
      <c r="L8" s="254"/>
      <c r="M8" s="254"/>
      <c r="N8" s="254"/>
      <c r="O8" s="254"/>
      <c r="P8" s="254"/>
      <c r="Q8" s="254"/>
      <c r="R8" s="254"/>
      <c r="S8" s="379" t="str">
        <f t="shared" ref="S8:S56" si="0">IF(COUNTA(C8:R8)=0,"",IF(AND(COUNTA(C8:H8)=6,COUNTA(L8:O8)=4,OR(AND(P8&lt;&gt;"",Q8="",R8=""),AND(P8="",Q8&lt;&gt;"",R8=""),AND(P8="",Q8="",R8&lt;&gt;""))),"x","er"))</f>
        <v/>
      </c>
      <c r="T8" s="379" t="str">
        <f t="shared" ref="T8:T56" si="1">IF(AND(S8="x",P8&lt;&gt;""),"x","")</f>
        <v/>
      </c>
      <c r="U8" s="379" t="str">
        <f t="shared" ref="U8:U56" si="2">IF(AND(S8="x",Q8&lt;&gt;""),"x","")</f>
        <v/>
      </c>
      <c r="V8" s="379" t="str">
        <f t="shared" ref="V8:V56" si="3">IF(AND(S8="x",R8&lt;&gt;""),"x","")</f>
        <v/>
      </c>
    </row>
    <row r="9" spans="1:23" ht="18" customHeight="1" x14ac:dyDescent="0.25">
      <c r="A9" s="383" t="str">
        <f t="shared" ref="A9" si="4">IF(OR(A8="",B9="",C9="",D9="",E9=""),"",A8+1)</f>
        <v/>
      </c>
      <c r="B9" s="249" t="str">
        <f t="shared" ref="B9" si="5">IF(C9="","",VALUE(LEFT(C9,1)))</f>
        <v/>
      </c>
      <c r="C9" s="250"/>
      <c r="D9" s="251"/>
      <c r="E9" s="241"/>
      <c r="F9" s="252"/>
      <c r="G9" s="252"/>
      <c r="H9" s="253"/>
      <c r="I9" s="250"/>
      <c r="J9" s="250"/>
      <c r="K9" s="270"/>
      <c r="L9" s="254"/>
      <c r="M9" s="254"/>
      <c r="N9" s="254"/>
      <c r="O9" s="254"/>
      <c r="P9" s="254"/>
      <c r="Q9" s="254"/>
      <c r="R9" s="254"/>
      <c r="S9" s="379" t="str">
        <f t="shared" si="0"/>
        <v/>
      </c>
      <c r="T9" s="379" t="str">
        <f t="shared" si="1"/>
        <v/>
      </c>
      <c r="U9" s="379" t="str">
        <f t="shared" si="2"/>
        <v/>
      </c>
      <c r="V9" s="379" t="str">
        <f t="shared" si="3"/>
        <v/>
      </c>
    </row>
    <row r="10" spans="1:23" ht="18" customHeight="1" x14ac:dyDescent="0.25">
      <c r="A10" s="383" t="str">
        <f t="shared" ref="A10:A56" si="6">IF(OR(A9="",B10="",C10="",D10="",E10=""),"",A9+1)</f>
        <v/>
      </c>
      <c r="B10" s="249" t="str">
        <f t="shared" ref="B10:B56" si="7">IF(C10="","",VALUE(LEFT(C10,1)))</f>
        <v/>
      </c>
      <c r="C10" s="250"/>
      <c r="D10" s="251"/>
      <c r="E10" s="241"/>
      <c r="F10" s="252"/>
      <c r="G10" s="252"/>
      <c r="H10" s="253"/>
      <c r="I10" s="250"/>
      <c r="J10" s="250"/>
      <c r="K10" s="270"/>
      <c r="L10" s="254"/>
      <c r="M10" s="254"/>
      <c r="N10" s="254"/>
      <c r="O10" s="254"/>
      <c r="P10" s="254"/>
      <c r="Q10" s="254"/>
      <c r="R10" s="254"/>
      <c r="S10" s="379" t="str">
        <f t="shared" si="0"/>
        <v/>
      </c>
      <c r="T10" s="379" t="str">
        <f t="shared" si="1"/>
        <v/>
      </c>
      <c r="U10" s="379" t="str">
        <f t="shared" si="2"/>
        <v/>
      </c>
      <c r="V10" s="379" t="str">
        <f t="shared" si="3"/>
        <v/>
      </c>
    </row>
    <row r="11" spans="1:23" ht="18" customHeight="1" x14ac:dyDescent="0.25">
      <c r="A11" s="383" t="str">
        <f t="shared" si="6"/>
        <v/>
      </c>
      <c r="B11" s="249" t="str">
        <f t="shared" si="7"/>
        <v/>
      </c>
      <c r="C11" s="250"/>
      <c r="D11" s="251"/>
      <c r="E11" s="241"/>
      <c r="F11" s="252"/>
      <c r="G11" s="252"/>
      <c r="H11" s="253"/>
      <c r="I11" s="250"/>
      <c r="J11" s="250"/>
      <c r="K11" s="270"/>
      <c r="L11" s="254"/>
      <c r="M11" s="254"/>
      <c r="N11" s="254"/>
      <c r="O11" s="254"/>
      <c r="P11" s="254"/>
      <c r="Q11" s="254"/>
      <c r="R11" s="254"/>
      <c r="S11" s="379" t="str">
        <f t="shared" si="0"/>
        <v/>
      </c>
      <c r="T11" s="379" t="str">
        <f t="shared" si="1"/>
        <v/>
      </c>
      <c r="U11" s="379" t="str">
        <f t="shared" si="2"/>
        <v/>
      </c>
      <c r="V11" s="379" t="str">
        <f t="shared" si="3"/>
        <v/>
      </c>
    </row>
    <row r="12" spans="1:23" ht="18" customHeight="1" x14ac:dyDescent="0.25">
      <c r="A12" s="383" t="str">
        <f t="shared" si="6"/>
        <v/>
      </c>
      <c r="B12" s="249" t="str">
        <f t="shared" si="7"/>
        <v/>
      </c>
      <c r="C12" s="250"/>
      <c r="D12" s="251"/>
      <c r="E12" s="241"/>
      <c r="F12" s="252"/>
      <c r="G12" s="252"/>
      <c r="H12" s="253"/>
      <c r="I12" s="250"/>
      <c r="J12" s="250"/>
      <c r="K12" s="270"/>
      <c r="L12" s="254"/>
      <c r="M12" s="254"/>
      <c r="N12" s="254"/>
      <c r="O12" s="254"/>
      <c r="P12" s="254"/>
      <c r="Q12" s="254"/>
      <c r="R12" s="254"/>
      <c r="S12" s="379" t="str">
        <f t="shared" si="0"/>
        <v/>
      </c>
      <c r="T12" s="379" t="str">
        <f t="shared" si="1"/>
        <v/>
      </c>
      <c r="U12" s="379" t="str">
        <f t="shared" si="2"/>
        <v/>
      </c>
      <c r="V12" s="379" t="str">
        <f t="shared" si="3"/>
        <v/>
      </c>
    </row>
    <row r="13" spans="1:23" ht="18" customHeight="1" x14ac:dyDescent="0.25">
      <c r="A13" s="383" t="str">
        <f t="shared" si="6"/>
        <v/>
      </c>
      <c r="B13" s="249" t="str">
        <f t="shared" si="7"/>
        <v/>
      </c>
      <c r="C13" s="250"/>
      <c r="D13" s="251"/>
      <c r="E13" s="241"/>
      <c r="F13" s="252"/>
      <c r="G13" s="255"/>
      <c r="H13" s="253"/>
      <c r="I13" s="250"/>
      <c r="J13" s="250"/>
      <c r="K13" s="270"/>
      <c r="L13" s="254"/>
      <c r="M13" s="254"/>
      <c r="N13" s="254"/>
      <c r="O13" s="254"/>
      <c r="P13" s="254"/>
      <c r="Q13" s="254"/>
      <c r="R13" s="254"/>
      <c r="S13" s="379" t="str">
        <f t="shared" si="0"/>
        <v/>
      </c>
      <c r="T13" s="379" t="str">
        <f t="shared" si="1"/>
        <v/>
      </c>
      <c r="U13" s="379" t="str">
        <f t="shared" si="2"/>
        <v/>
      </c>
      <c r="V13" s="379" t="str">
        <f t="shared" si="3"/>
        <v/>
      </c>
    </row>
    <row r="14" spans="1:23" ht="18" customHeight="1" x14ac:dyDescent="0.25">
      <c r="A14" s="383" t="str">
        <f t="shared" si="6"/>
        <v/>
      </c>
      <c r="B14" s="249" t="str">
        <f t="shared" si="7"/>
        <v/>
      </c>
      <c r="C14" s="250"/>
      <c r="D14" s="251"/>
      <c r="E14" s="241"/>
      <c r="F14" s="252"/>
      <c r="G14" s="255"/>
      <c r="H14" s="253"/>
      <c r="I14" s="250"/>
      <c r="J14" s="250"/>
      <c r="K14" s="270"/>
      <c r="L14" s="254"/>
      <c r="M14" s="254"/>
      <c r="N14" s="254"/>
      <c r="O14" s="254"/>
      <c r="P14" s="254"/>
      <c r="Q14" s="254"/>
      <c r="R14" s="254"/>
      <c r="S14" s="379" t="str">
        <f t="shared" si="0"/>
        <v/>
      </c>
      <c r="T14" s="379" t="str">
        <f t="shared" si="1"/>
        <v/>
      </c>
      <c r="U14" s="379" t="str">
        <f t="shared" si="2"/>
        <v/>
      </c>
      <c r="V14" s="379" t="str">
        <f t="shared" si="3"/>
        <v/>
      </c>
    </row>
    <row r="15" spans="1:23" ht="18" customHeight="1" x14ac:dyDescent="0.25">
      <c r="A15" s="383" t="str">
        <f t="shared" si="6"/>
        <v/>
      </c>
      <c r="B15" s="249" t="str">
        <f t="shared" si="7"/>
        <v/>
      </c>
      <c r="C15" s="250"/>
      <c r="D15" s="251"/>
      <c r="E15" s="241"/>
      <c r="F15" s="252"/>
      <c r="G15" s="255"/>
      <c r="H15" s="253"/>
      <c r="I15" s="250"/>
      <c r="J15" s="250"/>
      <c r="K15" s="270"/>
      <c r="L15" s="254"/>
      <c r="M15" s="254"/>
      <c r="N15" s="254"/>
      <c r="O15" s="254"/>
      <c r="P15" s="254"/>
      <c r="Q15" s="254"/>
      <c r="R15" s="254"/>
      <c r="S15" s="379" t="str">
        <f t="shared" si="0"/>
        <v/>
      </c>
      <c r="T15" s="379" t="str">
        <f t="shared" si="1"/>
        <v/>
      </c>
      <c r="U15" s="379" t="str">
        <f t="shared" si="2"/>
        <v/>
      </c>
      <c r="V15" s="379" t="str">
        <f t="shared" si="3"/>
        <v/>
      </c>
    </row>
    <row r="16" spans="1:23" ht="18" customHeight="1" x14ac:dyDescent="0.25">
      <c r="A16" s="383" t="str">
        <f t="shared" si="6"/>
        <v/>
      </c>
      <c r="B16" s="249" t="str">
        <f t="shared" si="7"/>
        <v/>
      </c>
      <c r="C16" s="250"/>
      <c r="D16" s="251"/>
      <c r="E16" s="241"/>
      <c r="F16" s="252"/>
      <c r="G16" s="255"/>
      <c r="H16" s="253"/>
      <c r="I16" s="250"/>
      <c r="J16" s="250"/>
      <c r="K16" s="270"/>
      <c r="L16" s="254"/>
      <c r="M16" s="254"/>
      <c r="N16" s="254"/>
      <c r="O16" s="254"/>
      <c r="P16" s="254"/>
      <c r="Q16" s="254"/>
      <c r="R16" s="254"/>
      <c r="S16" s="379" t="str">
        <f t="shared" si="0"/>
        <v/>
      </c>
      <c r="T16" s="379" t="str">
        <f t="shared" si="1"/>
        <v/>
      </c>
      <c r="U16" s="379" t="str">
        <f t="shared" si="2"/>
        <v/>
      </c>
      <c r="V16" s="379" t="str">
        <f t="shared" si="3"/>
        <v/>
      </c>
    </row>
    <row r="17" spans="1:22" ht="18" customHeight="1" x14ac:dyDescent="0.25">
      <c r="A17" s="383" t="str">
        <f t="shared" si="6"/>
        <v/>
      </c>
      <c r="B17" s="249" t="str">
        <f t="shared" si="7"/>
        <v/>
      </c>
      <c r="C17" s="250"/>
      <c r="D17" s="251"/>
      <c r="E17" s="241"/>
      <c r="F17" s="252"/>
      <c r="G17" s="255"/>
      <c r="H17" s="253"/>
      <c r="I17" s="250"/>
      <c r="J17" s="250"/>
      <c r="K17" s="270"/>
      <c r="L17" s="254"/>
      <c r="M17" s="254"/>
      <c r="N17" s="254"/>
      <c r="O17" s="254"/>
      <c r="P17" s="254"/>
      <c r="Q17" s="254"/>
      <c r="R17" s="254"/>
      <c r="S17" s="379" t="str">
        <f t="shared" si="0"/>
        <v/>
      </c>
      <c r="T17" s="379" t="str">
        <f t="shared" si="1"/>
        <v/>
      </c>
      <c r="U17" s="379" t="str">
        <f t="shared" si="2"/>
        <v/>
      </c>
      <c r="V17" s="379" t="str">
        <f t="shared" si="3"/>
        <v/>
      </c>
    </row>
    <row r="18" spans="1:22" ht="18" customHeight="1" x14ac:dyDescent="0.25">
      <c r="A18" s="383" t="str">
        <f t="shared" si="6"/>
        <v/>
      </c>
      <c r="B18" s="249" t="str">
        <f t="shared" si="7"/>
        <v/>
      </c>
      <c r="C18" s="250"/>
      <c r="D18" s="251"/>
      <c r="E18" s="241"/>
      <c r="F18" s="252"/>
      <c r="G18" s="255"/>
      <c r="H18" s="253"/>
      <c r="I18" s="250"/>
      <c r="J18" s="250"/>
      <c r="K18" s="270"/>
      <c r="L18" s="254"/>
      <c r="M18" s="254"/>
      <c r="N18" s="254"/>
      <c r="O18" s="254"/>
      <c r="P18" s="254"/>
      <c r="Q18" s="254"/>
      <c r="R18" s="254"/>
      <c r="S18" s="379" t="str">
        <f t="shared" si="0"/>
        <v/>
      </c>
      <c r="T18" s="379" t="str">
        <f t="shared" si="1"/>
        <v/>
      </c>
      <c r="U18" s="379" t="str">
        <f t="shared" si="2"/>
        <v/>
      </c>
      <c r="V18" s="379" t="str">
        <f t="shared" si="3"/>
        <v/>
      </c>
    </row>
    <row r="19" spans="1:22" ht="18" customHeight="1" x14ac:dyDescent="0.25">
      <c r="A19" s="383" t="str">
        <f t="shared" si="6"/>
        <v/>
      </c>
      <c r="B19" s="249" t="str">
        <f t="shared" si="7"/>
        <v/>
      </c>
      <c r="C19" s="250"/>
      <c r="D19" s="251"/>
      <c r="E19" s="241"/>
      <c r="F19" s="252"/>
      <c r="G19" s="255"/>
      <c r="H19" s="253"/>
      <c r="I19" s="250"/>
      <c r="J19" s="250"/>
      <c r="K19" s="270"/>
      <c r="L19" s="254"/>
      <c r="M19" s="254"/>
      <c r="N19" s="254"/>
      <c r="O19" s="254"/>
      <c r="P19" s="254"/>
      <c r="Q19" s="254"/>
      <c r="R19" s="254"/>
      <c r="S19" s="379" t="str">
        <f t="shared" si="0"/>
        <v/>
      </c>
      <c r="T19" s="379" t="str">
        <f t="shared" si="1"/>
        <v/>
      </c>
      <c r="U19" s="379" t="str">
        <f t="shared" si="2"/>
        <v/>
      </c>
      <c r="V19" s="379" t="str">
        <f t="shared" si="3"/>
        <v/>
      </c>
    </row>
    <row r="20" spans="1:22" ht="18" customHeight="1" x14ac:dyDescent="0.25">
      <c r="A20" s="383" t="str">
        <f t="shared" si="6"/>
        <v/>
      </c>
      <c r="B20" s="249" t="str">
        <f t="shared" si="7"/>
        <v/>
      </c>
      <c r="C20" s="250"/>
      <c r="D20" s="251"/>
      <c r="E20" s="241"/>
      <c r="F20" s="252"/>
      <c r="G20" s="255"/>
      <c r="H20" s="253"/>
      <c r="I20" s="250"/>
      <c r="J20" s="250"/>
      <c r="K20" s="270"/>
      <c r="L20" s="254"/>
      <c r="M20" s="254"/>
      <c r="N20" s="254"/>
      <c r="O20" s="254"/>
      <c r="P20" s="254"/>
      <c r="Q20" s="254"/>
      <c r="R20" s="254"/>
      <c r="S20" s="379" t="str">
        <f t="shared" si="0"/>
        <v/>
      </c>
      <c r="T20" s="379" t="str">
        <f t="shared" si="1"/>
        <v/>
      </c>
      <c r="U20" s="379" t="str">
        <f t="shared" si="2"/>
        <v/>
      </c>
      <c r="V20" s="379" t="str">
        <f t="shared" si="3"/>
        <v/>
      </c>
    </row>
    <row r="21" spans="1:22" ht="18" customHeight="1" x14ac:dyDescent="0.25">
      <c r="A21" s="383" t="str">
        <f t="shared" si="6"/>
        <v/>
      </c>
      <c r="B21" s="249" t="str">
        <f t="shared" si="7"/>
        <v/>
      </c>
      <c r="C21" s="250"/>
      <c r="D21" s="251"/>
      <c r="E21" s="241"/>
      <c r="F21" s="252"/>
      <c r="G21" s="255"/>
      <c r="H21" s="253"/>
      <c r="I21" s="250"/>
      <c r="J21" s="250"/>
      <c r="K21" s="270"/>
      <c r="L21" s="254"/>
      <c r="M21" s="254"/>
      <c r="N21" s="254"/>
      <c r="O21" s="254"/>
      <c r="P21" s="254"/>
      <c r="Q21" s="254"/>
      <c r="R21" s="254"/>
      <c r="S21" s="379" t="str">
        <f t="shared" si="0"/>
        <v/>
      </c>
      <c r="T21" s="379" t="str">
        <f t="shared" si="1"/>
        <v/>
      </c>
      <c r="U21" s="379" t="str">
        <f t="shared" si="2"/>
        <v/>
      </c>
      <c r="V21" s="379" t="str">
        <f t="shared" si="3"/>
        <v/>
      </c>
    </row>
    <row r="22" spans="1:22" ht="18" customHeight="1" x14ac:dyDescent="0.25">
      <c r="A22" s="383" t="str">
        <f t="shared" si="6"/>
        <v/>
      </c>
      <c r="B22" s="249" t="str">
        <f t="shared" si="7"/>
        <v/>
      </c>
      <c r="C22" s="250"/>
      <c r="D22" s="251"/>
      <c r="E22" s="241"/>
      <c r="F22" s="252"/>
      <c r="G22" s="255"/>
      <c r="H22" s="253"/>
      <c r="I22" s="250"/>
      <c r="J22" s="250"/>
      <c r="K22" s="270"/>
      <c r="L22" s="254"/>
      <c r="M22" s="254"/>
      <c r="N22" s="254"/>
      <c r="O22" s="254"/>
      <c r="P22" s="254"/>
      <c r="Q22" s="254"/>
      <c r="R22" s="254"/>
      <c r="S22" s="379" t="str">
        <f t="shared" si="0"/>
        <v/>
      </c>
      <c r="T22" s="379" t="str">
        <f t="shared" si="1"/>
        <v/>
      </c>
      <c r="U22" s="379" t="str">
        <f t="shared" si="2"/>
        <v/>
      </c>
      <c r="V22" s="379" t="str">
        <f t="shared" si="3"/>
        <v/>
      </c>
    </row>
    <row r="23" spans="1:22" ht="18" customHeight="1" x14ac:dyDescent="0.25">
      <c r="A23" s="383" t="str">
        <f t="shared" si="6"/>
        <v/>
      </c>
      <c r="B23" s="249" t="str">
        <f t="shared" si="7"/>
        <v/>
      </c>
      <c r="C23" s="250"/>
      <c r="D23" s="251"/>
      <c r="E23" s="241"/>
      <c r="F23" s="252"/>
      <c r="G23" s="255"/>
      <c r="H23" s="253"/>
      <c r="I23" s="250"/>
      <c r="J23" s="250"/>
      <c r="K23" s="270"/>
      <c r="L23" s="254"/>
      <c r="M23" s="254"/>
      <c r="N23" s="254"/>
      <c r="O23" s="254"/>
      <c r="P23" s="254"/>
      <c r="Q23" s="254"/>
      <c r="R23" s="254"/>
      <c r="S23" s="379" t="str">
        <f t="shared" si="0"/>
        <v/>
      </c>
      <c r="T23" s="379" t="str">
        <f t="shared" si="1"/>
        <v/>
      </c>
      <c r="U23" s="379" t="str">
        <f t="shared" si="2"/>
        <v/>
      </c>
      <c r="V23" s="379" t="str">
        <f t="shared" si="3"/>
        <v/>
      </c>
    </row>
    <row r="24" spans="1:22" ht="18" customHeight="1" x14ac:dyDescent="0.25">
      <c r="A24" s="383" t="str">
        <f t="shared" si="6"/>
        <v/>
      </c>
      <c r="B24" s="249" t="str">
        <f t="shared" si="7"/>
        <v/>
      </c>
      <c r="C24" s="250"/>
      <c r="D24" s="251"/>
      <c r="E24" s="241"/>
      <c r="F24" s="252"/>
      <c r="G24" s="252"/>
      <c r="H24" s="253"/>
      <c r="I24" s="250"/>
      <c r="J24" s="250"/>
      <c r="K24" s="270"/>
      <c r="L24" s="254"/>
      <c r="M24" s="254"/>
      <c r="N24" s="256"/>
      <c r="O24" s="256"/>
      <c r="P24" s="256"/>
      <c r="Q24" s="254"/>
      <c r="R24" s="254"/>
      <c r="S24" s="379" t="str">
        <f t="shared" si="0"/>
        <v/>
      </c>
      <c r="T24" s="379" t="str">
        <f t="shared" si="1"/>
        <v/>
      </c>
      <c r="U24" s="379" t="str">
        <f t="shared" si="2"/>
        <v/>
      </c>
      <c r="V24" s="379" t="str">
        <f t="shared" si="3"/>
        <v/>
      </c>
    </row>
    <row r="25" spans="1:22" ht="18" customHeight="1" x14ac:dyDescent="0.25">
      <c r="A25" s="383" t="str">
        <f t="shared" si="6"/>
        <v/>
      </c>
      <c r="B25" s="249" t="str">
        <f t="shared" si="7"/>
        <v/>
      </c>
      <c r="C25" s="250"/>
      <c r="D25" s="251"/>
      <c r="E25" s="241"/>
      <c r="F25" s="252"/>
      <c r="G25" s="252"/>
      <c r="H25" s="253"/>
      <c r="I25" s="250"/>
      <c r="J25" s="250"/>
      <c r="K25" s="270"/>
      <c r="L25" s="254"/>
      <c r="M25" s="254"/>
      <c r="N25" s="256"/>
      <c r="O25" s="256"/>
      <c r="P25" s="256"/>
      <c r="Q25" s="254"/>
      <c r="R25" s="254"/>
      <c r="S25" s="379" t="str">
        <f t="shared" si="0"/>
        <v/>
      </c>
      <c r="T25" s="379" t="str">
        <f t="shared" si="1"/>
        <v/>
      </c>
      <c r="U25" s="379" t="str">
        <f t="shared" si="2"/>
        <v/>
      </c>
      <c r="V25" s="379" t="str">
        <f t="shared" si="3"/>
        <v/>
      </c>
    </row>
    <row r="26" spans="1:22" ht="18" customHeight="1" x14ac:dyDescent="0.25">
      <c r="A26" s="383" t="str">
        <f t="shared" si="6"/>
        <v/>
      </c>
      <c r="B26" s="249" t="str">
        <f t="shared" si="7"/>
        <v/>
      </c>
      <c r="C26" s="250"/>
      <c r="D26" s="251"/>
      <c r="E26" s="241"/>
      <c r="F26" s="252"/>
      <c r="G26" s="252"/>
      <c r="H26" s="253"/>
      <c r="I26" s="250"/>
      <c r="J26" s="250"/>
      <c r="K26" s="270"/>
      <c r="L26" s="254"/>
      <c r="M26" s="254"/>
      <c r="N26" s="256"/>
      <c r="O26" s="256"/>
      <c r="P26" s="256"/>
      <c r="Q26" s="254"/>
      <c r="R26" s="254"/>
      <c r="S26" s="379" t="str">
        <f t="shared" si="0"/>
        <v/>
      </c>
      <c r="T26" s="379" t="str">
        <f t="shared" si="1"/>
        <v/>
      </c>
      <c r="U26" s="379" t="str">
        <f t="shared" si="2"/>
        <v/>
      </c>
      <c r="V26" s="379" t="str">
        <f t="shared" si="3"/>
        <v/>
      </c>
    </row>
    <row r="27" spans="1:22" ht="18" customHeight="1" x14ac:dyDescent="0.25">
      <c r="A27" s="383" t="str">
        <f t="shared" si="6"/>
        <v/>
      </c>
      <c r="B27" s="249" t="str">
        <f t="shared" si="7"/>
        <v/>
      </c>
      <c r="C27" s="250"/>
      <c r="D27" s="251"/>
      <c r="E27" s="241"/>
      <c r="F27" s="252"/>
      <c r="G27" s="252"/>
      <c r="H27" s="253"/>
      <c r="I27" s="250"/>
      <c r="J27" s="250"/>
      <c r="K27" s="270"/>
      <c r="L27" s="254"/>
      <c r="M27" s="254"/>
      <c r="N27" s="256"/>
      <c r="O27" s="256"/>
      <c r="P27" s="256"/>
      <c r="Q27" s="254"/>
      <c r="R27" s="254"/>
      <c r="S27" s="379" t="str">
        <f t="shared" si="0"/>
        <v/>
      </c>
      <c r="T27" s="379" t="str">
        <f t="shared" si="1"/>
        <v/>
      </c>
      <c r="U27" s="379" t="str">
        <f t="shared" si="2"/>
        <v/>
      </c>
      <c r="V27" s="379" t="str">
        <f t="shared" si="3"/>
        <v/>
      </c>
    </row>
    <row r="28" spans="1:22" ht="18" customHeight="1" x14ac:dyDescent="0.25">
      <c r="A28" s="383" t="str">
        <f t="shared" si="6"/>
        <v/>
      </c>
      <c r="B28" s="249" t="str">
        <f t="shared" si="7"/>
        <v/>
      </c>
      <c r="C28" s="250"/>
      <c r="D28" s="251"/>
      <c r="E28" s="241"/>
      <c r="F28" s="252"/>
      <c r="G28" s="252"/>
      <c r="H28" s="253"/>
      <c r="I28" s="250"/>
      <c r="J28" s="250"/>
      <c r="K28" s="270"/>
      <c r="L28" s="254"/>
      <c r="M28" s="254"/>
      <c r="N28" s="256"/>
      <c r="O28" s="256"/>
      <c r="P28" s="256"/>
      <c r="Q28" s="254"/>
      <c r="R28" s="254"/>
      <c r="S28" s="379" t="str">
        <f t="shared" si="0"/>
        <v/>
      </c>
      <c r="T28" s="379" t="str">
        <f t="shared" si="1"/>
        <v/>
      </c>
      <c r="U28" s="379" t="str">
        <f t="shared" si="2"/>
        <v/>
      </c>
      <c r="V28" s="379" t="str">
        <f t="shared" si="3"/>
        <v/>
      </c>
    </row>
    <row r="29" spans="1:22" ht="18" customHeight="1" x14ac:dyDescent="0.25">
      <c r="A29" s="383" t="str">
        <f t="shared" si="6"/>
        <v/>
      </c>
      <c r="B29" s="249" t="str">
        <f t="shared" si="7"/>
        <v/>
      </c>
      <c r="C29" s="250"/>
      <c r="D29" s="251"/>
      <c r="E29" s="241"/>
      <c r="F29" s="252"/>
      <c r="G29" s="252"/>
      <c r="H29" s="253"/>
      <c r="I29" s="250"/>
      <c r="J29" s="250"/>
      <c r="K29" s="270"/>
      <c r="L29" s="254"/>
      <c r="M29" s="254"/>
      <c r="N29" s="256"/>
      <c r="O29" s="256"/>
      <c r="P29" s="256"/>
      <c r="Q29" s="254"/>
      <c r="R29" s="254"/>
      <c r="S29" s="379" t="str">
        <f t="shared" si="0"/>
        <v/>
      </c>
      <c r="T29" s="379" t="str">
        <f t="shared" si="1"/>
        <v/>
      </c>
      <c r="U29" s="379" t="str">
        <f t="shared" si="2"/>
        <v/>
      </c>
      <c r="V29" s="379" t="str">
        <f t="shared" si="3"/>
        <v/>
      </c>
    </row>
    <row r="30" spans="1:22" ht="18" customHeight="1" x14ac:dyDescent="0.25">
      <c r="A30" s="383" t="str">
        <f t="shared" si="6"/>
        <v/>
      </c>
      <c r="B30" s="249" t="str">
        <f t="shared" si="7"/>
        <v/>
      </c>
      <c r="C30" s="250"/>
      <c r="D30" s="251"/>
      <c r="E30" s="241"/>
      <c r="F30" s="252"/>
      <c r="G30" s="252"/>
      <c r="H30" s="253"/>
      <c r="I30" s="250"/>
      <c r="J30" s="250"/>
      <c r="K30" s="270"/>
      <c r="L30" s="254"/>
      <c r="M30" s="254"/>
      <c r="N30" s="256"/>
      <c r="O30" s="256"/>
      <c r="P30" s="256"/>
      <c r="Q30" s="254"/>
      <c r="R30" s="254"/>
      <c r="S30" s="379" t="str">
        <f t="shared" si="0"/>
        <v/>
      </c>
      <c r="T30" s="379" t="str">
        <f t="shared" si="1"/>
        <v/>
      </c>
      <c r="U30" s="379" t="str">
        <f t="shared" si="2"/>
        <v/>
      </c>
      <c r="V30" s="379" t="str">
        <f t="shared" si="3"/>
        <v/>
      </c>
    </row>
    <row r="31" spans="1:22" ht="18" customHeight="1" x14ac:dyDescent="0.25">
      <c r="A31" s="383" t="str">
        <f t="shared" si="6"/>
        <v/>
      </c>
      <c r="B31" s="249" t="str">
        <f t="shared" si="7"/>
        <v/>
      </c>
      <c r="C31" s="250"/>
      <c r="D31" s="251"/>
      <c r="E31" s="241"/>
      <c r="F31" s="252"/>
      <c r="G31" s="252"/>
      <c r="H31" s="253"/>
      <c r="I31" s="250"/>
      <c r="J31" s="250"/>
      <c r="K31" s="270"/>
      <c r="L31" s="254"/>
      <c r="M31" s="254"/>
      <c r="N31" s="256"/>
      <c r="O31" s="256"/>
      <c r="P31" s="256"/>
      <c r="Q31" s="254"/>
      <c r="R31" s="254"/>
      <c r="S31" s="379" t="str">
        <f t="shared" si="0"/>
        <v/>
      </c>
      <c r="T31" s="379" t="str">
        <f t="shared" si="1"/>
        <v/>
      </c>
      <c r="U31" s="379" t="str">
        <f t="shared" si="2"/>
        <v/>
      </c>
      <c r="V31" s="379" t="str">
        <f t="shared" si="3"/>
        <v/>
      </c>
    </row>
    <row r="32" spans="1:22" ht="18" customHeight="1" x14ac:dyDescent="0.25">
      <c r="A32" s="383" t="str">
        <f t="shared" si="6"/>
        <v/>
      </c>
      <c r="B32" s="249" t="str">
        <f t="shared" si="7"/>
        <v/>
      </c>
      <c r="C32" s="250"/>
      <c r="D32" s="251"/>
      <c r="E32" s="241"/>
      <c r="F32" s="252"/>
      <c r="G32" s="252"/>
      <c r="H32" s="253"/>
      <c r="I32" s="250"/>
      <c r="J32" s="250"/>
      <c r="K32" s="270"/>
      <c r="L32" s="254"/>
      <c r="M32" s="254"/>
      <c r="N32" s="256"/>
      <c r="O32" s="256"/>
      <c r="P32" s="256"/>
      <c r="Q32" s="254"/>
      <c r="R32" s="254"/>
      <c r="S32" s="379" t="str">
        <f t="shared" si="0"/>
        <v/>
      </c>
      <c r="T32" s="379" t="str">
        <f t="shared" si="1"/>
        <v/>
      </c>
      <c r="U32" s="379" t="str">
        <f t="shared" si="2"/>
        <v/>
      </c>
      <c r="V32" s="379" t="str">
        <f t="shared" si="3"/>
        <v/>
      </c>
    </row>
    <row r="33" spans="1:22" ht="18" customHeight="1" x14ac:dyDescent="0.25">
      <c r="A33" s="383" t="str">
        <f t="shared" si="6"/>
        <v/>
      </c>
      <c r="B33" s="249" t="str">
        <f t="shared" si="7"/>
        <v/>
      </c>
      <c r="C33" s="250"/>
      <c r="D33" s="251"/>
      <c r="E33" s="241"/>
      <c r="F33" s="252"/>
      <c r="G33" s="252"/>
      <c r="H33" s="253"/>
      <c r="I33" s="250"/>
      <c r="J33" s="250"/>
      <c r="K33" s="270"/>
      <c r="L33" s="254"/>
      <c r="M33" s="254"/>
      <c r="N33" s="256"/>
      <c r="O33" s="256"/>
      <c r="P33" s="256"/>
      <c r="Q33" s="254"/>
      <c r="R33" s="254"/>
      <c r="S33" s="379" t="str">
        <f t="shared" si="0"/>
        <v/>
      </c>
      <c r="T33" s="379" t="str">
        <f t="shared" si="1"/>
        <v/>
      </c>
      <c r="U33" s="379" t="str">
        <f t="shared" si="2"/>
        <v/>
      </c>
      <c r="V33" s="379" t="str">
        <f t="shared" si="3"/>
        <v/>
      </c>
    </row>
    <row r="34" spans="1:22" ht="18" customHeight="1" x14ac:dyDescent="0.25">
      <c r="A34" s="383" t="str">
        <f t="shared" si="6"/>
        <v/>
      </c>
      <c r="B34" s="249" t="str">
        <f t="shared" si="7"/>
        <v/>
      </c>
      <c r="C34" s="250"/>
      <c r="D34" s="251"/>
      <c r="E34" s="241"/>
      <c r="F34" s="252"/>
      <c r="G34" s="252"/>
      <c r="H34" s="253"/>
      <c r="I34" s="250"/>
      <c r="J34" s="250"/>
      <c r="K34" s="270"/>
      <c r="L34" s="254"/>
      <c r="M34" s="254"/>
      <c r="N34" s="256"/>
      <c r="O34" s="256"/>
      <c r="P34" s="256"/>
      <c r="Q34" s="254"/>
      <c r="R34" s="254"/>
      <c r="S34" s="379" t="str">
        <f t="shared" si="0"/>
        <v/>
      </c>
      <c r="T34" s="379" t="str">
        <f t="shared" si="1"/>
        <v/>
      </c>
      <c r="U34" s="379" t="str">
        <f t="shared" si="2"/>
        <v/>
      </c>
      <c r="V34" s="379" t="str">
        <f t="shared" si="3"/>
        <v/>
      </c>
    </row>
    <row r="35" spans="1:22" ht="18" customHeight="1" x14ac:dyDescent="0.25">
      <c r="A35" s="383" t="str">
        <f t="shared" si="6"/>
        <v/>
      </c>
      <c r="B35" s="249" t="str">
        <f t="shared" si="7"/>
        <v/>
      </c>
      <c r="C35" s="250"/>
      <c r="D35" s="251"/>
      <c r="E35" s="241"/>
      <c r="F35" s="252"/>
      <c r="G35" s="252"/>
      <c r="H35" s="253"/>
      <c r="I35" s="250"/>
      <c r="J35" s="250"/>
      <c r="K35" s="270"/>
      <c r="L35" s="254"/>
      <c r="M35" s="254"/>
      <c r="N35" s="256"/>
      <c r="O35" s="256"/>
      <c r="P35" s="256"/>
      <c r="Q35" s="254"/>
      <c r="R35" s="254"/>
      <c r="S35" s="379" t="str">
        <f t="shared" si="0"/>
        <v/>
      </c>
      <c r="T35" s="379" t="str">
        <f t="shared" si="1"/>
        <v/>
      </c>
      <c r="U35" s="379" t="str">
        <f t="shared" si="2"/>
        <v/>
      </c>
      <c r="V35" s="379" t="str">
        <f t="shared" si="3"/>
        <v/>
      </c>
    </row>
    <row r="36" spans="1:22" ht="18" customHeight="1" x14ac:dyDescent="0.25">
      <c r="A36" s="383" t="str">
        <f t="shared" si="6"/>
        <v/>
      </c>
      <c r="B36" s="249" t="str">
        <f t="shared" si="7"/>
        <v/>
      </c>
      <c r="C36" s="250"/>
      <c r="D36" s="251"/>
      <c r="E36" s="241"/>
      <c r="F36" s="252"/>
      <c r="G36" s="252"/>
      <c r="H36" s="253"/>
      <c r="I36" s="250"/>
      <c r="J36" s="250"/>
      <c r="K36" s="270"/>
      <c r="L36" s="254"/>
      <c r="M36" s="254"/>
      <c r="N36" s="256"/>
      <c r="O36" s="256"/>
      <c r="P36" s="256"/>
      <c r="Q36" s="254"/>
      <c r="R36" s="254"/>
      <c r="S36" s="379" t="str">
        <f t="shared" si="0"/>
        <v/>
      </c>
      <c r="T36" s="379" t="str">
        <f t="shared" si="1"/>
        <v/>
      </c>
      <c r="U36" s="379" t="str">
        <f t="shared" si="2"/>
        <v/>
      </c>
      <c r="V36" s="379" t="str">
        <f t="shared" si="3"/>
        <v/>
      </c>
    </row>
    <row r="37" spans="1:22" ht="18" customHeight="1" x14ac:dyDescent="0.25">
      <c r="A37" s="383" t="str">
        <f t="shared" si="6"/>
        <v/>
      </c>
      <c r="B37" s="249" t="str">
        <f t="shared" si="7"/>
        <v/>
      </c>
      <c r="C37" s="250"/>
      <c r="D37" s="251"/>
      <c r="E37" s="241"/>
      <c r="F37" s="252"/>
      <c r="G37" s="252"/>
      <c r="H37" s="253"/>
      <c r="I37" s="250"/>
      <c r="J37" s="250"/>
      <c r="K37" s="270"/>
      <c r="L37" s="254"/>
      <c r="M37" s="254"/>
      <c r="N37" s="256"/>
      <c r="O37" s="256"/>
      <c r="P37" s="256"/>
      <c r="Q37" s="254"/>
      <c r="R37" s="254"/>
      <c r="S37" s="379" t="str">
        <f t="shared" si="0"/>
        <v/>
      </c>
      <c r="T37" s="379" t="str">
        <f t="shared" si="1"/>
        <v/>
      </c>
      <c r="U37" s="379" t="str">
        <f t="shared" si="2"/>
        <v/>
      </c>
      <c r="V37" s="379" t="str">
        <f t="shared" si="3"/>
        <v/>
      </c>
    </row>
    <row r="38" spans="1:22" ht="18" customHeight="1" x14ac:dyDescent="0.25">
      <c r="A38" s="383" t="str">
        <f t="shared" si="6"/>
        <v/>
      </c>
      <c r="B38" s="249" t="str">
        <f t="shared" si="7"/>
        <v/>
      </c>
      <c r="C38" s="250"/>
      <c r="D38" s="251"/>
      <c r="E38" s="241"/>
      <c r="F38" s="252"/>
      <c r="G38" s="252"/>
      <c r="H38" s="253"/>
      <c r="I38" s="250"/>
      <c r="J38" s="250"/>
      <c r="K38" s="270"/>
      <c r="L38" s="254"/>
      <c r="M38" s="254"/>
      <c r="N38" s="256"/>
      <c r="O38" s="256"/>
      <c r="P38" s="256"/>
      <c r="Q38" s="254"/>
      <c r="R38" s="254"/>
      <c r="S38" s="379" t="str">
        <f t="shared" si="0"/>
        <v/>
      </c>
      <c r="T38" s="379" t="str">
        <f t="shared" si="1"/>
        <v/>
      </c>
      <c r="U38" s="379" t="str">
        <f t="shared" si="2"/>
        <v/>
      </c>
      <c r="V38" s="379" t="str">
        <f t="shared" si="3"/>
        <v/>
      </c>
    </row>
    <row r="39" spans="1:22" ht="18" customHeight="1" x14ac:dyDescent="0.25">
      <c r="A39" s="383" t="str">
        <f t="shared" si="6"/>
        <v/>
      </c>
      <c r="B39" s="249" t="str">
        <f t="shared" si="7"/>
        <v/>
      </c>
      <c r="C39" s="250"/>
      <c r="D39" s="251"/>
      <c r="E39" s="241"/>
      <c r="F39" s="252"/>
      <c r="G39" s="252"/>
      <c r="H39" s="253"/>
      <c r="I39" s="250"/>
      <c r="J39" s="250"/>
      <c r="K39" s="270"/>
      <c r="L39" s="254"/>
      <c r="M39" s="254"/>
      <c r="N39" s="256"/>
      <c r="O39" s="256"/>
      <c r="P39" s="256"/>
      <c r="Q39" s="254"/>
      <c r="R39" s="254"/>
      <c r="S39" s="379" t="str">
        <f t="shared" si="0"/>
        <v/>
      </c>
      <c r="T39" s="379" t="str">
        <f t="shared" si="1"/>
        <v/>
      </c>
      <c r="U39" s="379" t="str">
        <f t="shared" si="2"/>
        <v/>
      </c>
      <c r="V39" s="379" t="str">
        <f t="shared" si="3"/>
        <v/>
      </c>
    </row>
    <row r="40" spans="1:22" ht="18" customHeight="1" x14ac:dyDescent="0.25">
      <c r="A40" s="383" t="str">
        <f t="shared" si="6"/>
        <v/>
      </c>
      <c r="B40" s="249" t="str">
        <f t="shared" si="7"/>
        <v/>
      </c>
      <c r="C40" s="250"/>
      <c r="D40" s="251"/>
      <c r="E40" s="241"/>
      <c r="F40" s="252"/>
      <c r="G40" s="252"/>
      <c r="H40" s="253"/>
      <c r="I40" s="250"/>
      <c r="J40" s="250"/>
      <c r="K40" s="270"/>
      <c r="L40" s="254"/>
      <c r="M40" s="254"/>
      <c r="N40" s="256"/>
      <c r="O40" s="256"/>
      <c r="P40" s="256"/>
      <c r="Q40" s="254"/>
      <c r="R40" s="254"/>
      <c r="S40" s="379" t="str">
        <f t="shared" si="0"/>
        <v/>
      </c>
      <c r="T40" s="379" t="str">
        <f t="shared" si="1"/>
        <v/>
      </c>
      <c r="U40" s="379" t="str">
        <f t="shared" si="2"/>
        <v/>
      </c>
      <c r="V40" s="379" t="str">
        <f t="shared" si="3"/>
        <v/>
      </c>
    </row>
    <row r="41" spans="1:22" ht="18" customHeight="1" x14ac:dyDescent="0.25">
      <c r="A41" s="383" t="str">
        <f t="shared" si="6"/>
        <v/>
      </c>
      <c r="B41" s="249" t="str">
        <f t="shared" si="7"/>
        <v/>
      </c>
      <c r="C41" s="250"/>
      <c r="D41" s="251"/>
      <c r="E41" s="241"/>
      <c r="F41" s="252"/>
      <c r="G41" s="252"/>
      <c r="H41" s="253"/>
      <c r="I41" s="250"/>
      <c r="J41" s="250"/>
      <c r="K41" s="270"/>
      <c r="L41" s="254"/>
      <c r="M41" s="254"/>
      <c r="N41" s="256"/>
      <c r="O41" s="256"/>
      <c r="P41" s="256"/>
      <c r="Q41" s="254"/>
      <c r="R41" s="254"/>
      <c r="S41" s="379" t="str">
        <f t="shared" si="0"/>
        <v/>
      </c>
      <c r="T41" s="379" t="str">
        <f t="shared" si="1"/>
        <v/>
      </c>
      <c r="U41" s="379" t="str">
        <f t="shared" si="2"/>
        <v/>
      </c>
      <c r="V41" s="379" t="str">
        <f t="shared" si="3"/>
        <v/>
      </c>
    </row>
    <row r="42" spans="1:22" ht="18" customHeight="1" x14ac:dyDescent="0.25">
      <c r="A42" s="383" t="str">
        <f t="shared" si="6"/>
        <v/>
      </c>
      <c r="B42" s="249" t="str">
        <f t="shared" si="7"/>
        <v/>
      </c>
      <c r="C42" s="250"/>
      <c r="D42" s="251"/>
      <c r="E42" s="241"/>
      <c r="F42" s="252"/>
      <c r="G42" s="252"/>
      <c r="H42" s="253"/>
      <c r="I42" s="250"/>
      <c r="J42" s="250"/>
      <c r="K42" s="270"/>
      <c r="L42" s="254"/>
      <c r="M42" s="254"/>
      <c r="N42" s="256"/>
      <c r="O42" s="256"/>
      <c r="P42" s="256"/>
      <c r="Q42" s="254"/>
      <c r="R42" s="254"/>
      <c r="S42" s="379" t="str">
        <f t="shared" si="0"/>
        <v/>
      </c>
      <c r="T42" s="379" t="str">
        <f t="shared" si="1"/>
        <v/>
      </c>
      <c r="U42" s="379" t="str">
        <f t="shared" si="2"/>
        <v/>
      </c>
      <c r="V42" s="379" t="str">
        <f t="shared" si="3"/>
        <v/>
      </c>
    </row>
    <row r="43" spans="1:22" ht="18" customHeight="1" x14ac:dyDescent="0.25">
      <c r="A43" s="383" t="str">
        <f t="shared" si="6"/>
        <v/>
      </c>
      <c r="B43" s="249" t="str">
        <f t="shared" si="7"/>
        <v/>
      </c>
      <c r="C43" s="250"/>
      <c r="D43" s="251"/>
      <c r="E43" s="241"/>
      <c r="F43" s="252"/>
      <c r="G43" s="252"/>
      <c r="H43" s="253"/>
      <c r="I43" s="250"/>
      <c r="J43" s="250"/>
      <c r="K43" s="270"/>
      <c r="L43" s="254"/>
      <c r="M43" s="254"/>
      <c r="N43" s="256"/>
      <c r="O43" s="256"/>
      <c r="P43" s="256"/>
      <c r="Q43" s="254"/>
      <c r="R43" s="254"/>
      <c r="S43" s="379" t="str">
        <f t="shared" si="0"/>
        <v/>
      </c>
      <c r="T43" s="379" t="str">
        <f t="shared" si="1"/>
        <v/>
      </c>
      <c r="U43" s="379" t="str">
        <f t="shared" si="2"/>
        <v/>
      </c>
      <c r="V43" s="379" t="str">
        <f t="shared" si="3"/>
        <v/>
      </c>
    </row>
    <row r="44" spans="1:22" ht="18" customHeight="1" x14ac:dyDescent="0.25">
      <c r="A44" s="383" t="str">
        <f t="shared" si="6"/>
        <v/>
      </c>
      <c r="B44" s="249" t="str">
        <f t="shared" si="7"/>
        <v/>
      </c>
      <c r="C44" s="250"/>
      <c r="D44" s="251"/>
      <c r="E44" s="241"/>
      <c r="F44" s="252"/>
      <c r="G44" s="252"/>
      <c r="H44" s="253"/>
      <c r="I44" s="250"/>
      <c r="J44" s="250"/>
      <c r="K44" s="270"/>
      <c r="L44" s="254"/>
      <c r="M44" s="254"/>
      <c r="N44" s="256"/>
      <c r="O44" s="256"/>
      <c r="P44" s="256"/>
      <c r="Q44" s="254"/>
      <c r="R44" s="254"/>
      <c r="S44" s="379" t="str">
        <f t="shared" si="0"/>
        <v/>
      </c>
      <c r="T44" s="379" t="str">
        <f t="shared" si="1"/>
        <v/>
      </c>
      <c r="U44" s="379" t="str">
        <f t="shared" si="2"/>
        <v/>
      </c>
      <c r="V44" s="379" t="str">
        <f t="shared" si="3"/>
        <v/>
      </c>
    </row>
    <row r="45" spans="1:22" ht="18" customHeight="1" x14ac:dyDescent="0.25">
      <c r="A45" s="383" t="str">
        <f t="shared" si="6"/>
        <v/>
      </c>
      <c r="B45" s="249" t="str">
        <f t="shared" si="7"/>
        <v/>
      </c>
      <c r="C45" s="250"/>
      <c r="D45" s="251"/>
      <c r="E45" s="241"/>
      <c r="F45" s="252"/>
      <c r="G45" s="252"/>
      <c r="H45" s="253"/>
      <c r="I45" s="250"/>
      <c r="J45" s="250"/>
      <c r="K45" s="270"/>
      <c r="L45" s="254"/>
      <c r="M45" s="254"/>
      <c r="N45" s="256"/>
      <c r="O45" s="256"/>
      <c r="P45" s="256"/>
      <c r="Q45" s="254"/>
      <c r="R45" s="254"/>
      <c r="S45" s="379" t="str">
        <f t="shared" si="0"/>
        <v/>
      </c>
      <c r="T45" s="379" t="str">
        <f t="shared" si="1"/>
        <v/>
      </c>
      <c r="U45" s="379" t="str">
        <f t="shared" si="2"/>
        <v/>
      </c>
      <c r="V45" s="379" t="str">
        <f t="shared" si="3"/>
        <v/>
      </c>
    </row>
    <row r="46" spans="1:22" ht="18" customHeight="1" x14ac:dyDescent="0.25">
      <c r="A46" s="383" t="str">
        <f t="shared" si="6"/>
        <v/>
      </c>
      <c r="B46" s="249" t="str">
        <f t="shared" si="7"/>
        <v/>
      </c>
      <c r="C46" s="250"/>
      <c r="D46" s="251"/>
      <c r="E46" s="241"/>
      <c r="F46" s="252"/>
      <c r="G46" s="252"/>
      <c r="H46" s="253"/>
      <c r="I46" s="250"/>
      <c r="J46" s="250"/>
      <c r="K46" s="270"/>
      <c r="L46" s="254"/>
      <c r="M46" s="254"/>
      <c r="N46" s="256"/>
      <c r="O46" s="256"/>
      <c r="P46" s="256"/>
      <c r="Q46" s="254"/>
      <c r="R46" s="254"/>
      <c r="S46" s="379" t="str">
        <f t="shared" si="0"/>
        <v/>
      </c>
      <c r="T46" s="379" t="str">
        <f t="shared" si="1"/>
        <v/>
      </c>
      <c r="U46" s="379" t="str">
        <f t="shared" si="2"/>
        <v/>
      </c>
      <c r="V46" s="379" t="str">
        <f t="shared" si="3"/>
        <v/>
      </c>
    </row>
    <row r="47" spans="1:22" ht="18" customHeight="1" x14ac:dyDescent="0.25">
      <c r="A47" s="383" t="str">
        <f t="shared" si="6"/>
        <v/>
      </c>
      <c r="B47" s="249" t="str">
        <f t="shared" si="7"/>
        <v/>
      </c>
      <c r="C47" s="250"/>
      <c r="D47" s="251"/>
      <c r="E47" s="241"/>
      <c r="F47" s="252"/>
      <c r="G47" s="252"/>
      <c r="H47" s="253"/>
      <c r="I47" s="250"/>
      <c r="J47" s="250"/>
      <c r="K47" s="270"/>
      <c r="L47" s="254"/>
      <c r="M47" s="254"/>
      <c r="N47" s="256"/>
      <c r="O47" s="256"/>
      <c r="P47" s="256"/>
      <c r="Q47" s="254"/>
      <c r="R47" s="254"/>
      <c r="S47" s="379" t="str">
        <f t="shared" si="0"/>
        <v/>
      </c>
      <c r="T47" s="379" t="str">
        <f t="shared" si="1"/>
        <v/>
      </c>
      <c r="U47" s="379" t="str">
        <f t="shared" si="2"/>
        <v/>
      </c>
      <c r="V47" s="379" t="str">
        <f t="shared" si="3"/>
        <v/>
      </c>
    </row>
    <row r="48" spans="1:22" ht="18" customHeight="1" x14ac:dyDescent="0.25">
      <c r="A48" s="383" t="str">
        <f t="shared" si="6"/>
        <v/>
      </c>
      <c r="B48" s="249" t="str">
        <f t="shared" si="7"/>
        <v/>
      </c>
      <c r="C48" s="250"/>
      <c r="D48" s="251"/>
      <c r="E48" s="241"/>
      <c r="F48" s="252"/>
      <c r="G48" s="252"/>
      <c r="H48" s="253"/>
      <c r="I48" s="250"/>
      <c r="J48" s="250"/>
      <c r="K48" s="270"/>
      <c r="L48" s="254"/>
      <c r="M48" s="254"/>
      <c r="N48" s="256"/>
      <c r="O48" s="256"/>
      <c r="P48" s="256"/>
      <c r="Q48" s="254"/>
      <c r="R48" s="254"/>
      <c r="S48" s="379" t="str">
        <f t="shared" si="0"/>
        <v/>
      </c>
      <c r="T48" s="379" t="str">
        <f t="shared" si="1"/>
        <v/>
      </c>
      <c r="U48" s="379" t="str">
        <f t="shared" si="2"/>
        <v/>
      </c>
      <c r="V48" s="379" t="str">
        <f t="shared" si="3"/>
        <v/>
      </c>
    </row>
    <row r="49" spans="1:22" ht="18" customHeight="1" x14ac:dyDescent="0.25">
      <c r="A49" s="383" t="str">
        <f t="shared" si="6"/>
        <v/>
      </c>
      <c r="B49" s="249" t="str">
        <f t="shared" si="7"/>
        <v/>
      </c>
      <c r="C49" s="250"/>
      <c r="D49" s="251"/>
      <c r="E49" s="241"/>
      <c r="F49" s="252"/>
      <c r="G49" s="252"/>
      <c r="H49" s="253"/>
      <c r="I49" s="250"/>
      <c r="J49" s="250"/>
      <c r="K49" s="270"/>
      <c r="L49" s="254"/>
      <c r="M49" s="254"/>
      <c r="N49" s="256"/>
      <c r="O49" s="256"/>
      <c r="P49" s="256"/>
      <c r="Q49" s="254"/>
      <c r="R49" s="254"/>
      <c r="S49" s="379" t="str">
        <f t="shared" si="0"/>
        <v/>
      </c>
      <c r="T49" s="379" t="str">
        <f t="shared" si="1"/>
        <v/>
      </c>
      <c r="U49" s="379" t="str">
        <f t="shared" si="2"/>
        <v/>
      </c>
      <c r="V49" s="379" t="str">
        <f t="shared" si="3"/>
        <v/>
      </c>
    </row>
    <row r="50" spans="1:22" ht="18" customHeight="1" x14ac:dyDescent="0.25">
      <c r="A50" s="383" t="str">
        <f t="shared" si="6"/>
        <v/>
      </c>
      <c r="B50" s="249" t="str">
        <f t="shared" si="7"/>
        <v/>
      </c>
      <c r="C50" s="250"/>
      <c r="D50" s="251"/>
      <c r="E50" s="241"/>
      <c r="F50" s="252"/>
      <c r="G50" s="252"/>
      <c r="H50" s="253"/>
      <c r="I50" s="250"/>
      <c r="J50" s="250"/>
      <c r="K50" s="270"/>
      <c r="L50" s="254"/>
      <c r="M50" s="254"/>
      <c r="N50" s="256"/>
      <c r="O50" s="256"/>
      <c r="P50" s="256"/>
      <c r="Q50" s="254"/>
      <c r="R50" s="254"/>
      <c r="S50" s="379" t="str">
        <f t="shared" si="0"/>
        <v/>
      </c>
      <c r="T50" s="379" t="str">
        <f t="shared" si="1"/>
        <v/>
      </c>
      <c r="U50" s="379" t="str">
        <f t="shared" si="2"/>
        <v/>
      </c>
      <c r="V50" s="379" t="str">
        <f t="shared" si="3"/>
        <v/>
      </c>
    </row>
    <row r="51" spans="1:22" ht="18" customHeight="1" x14ac:dyDescent="0.25">
      <c r="A51" s="383" t="str">
        <f t="shared" si="6"/>
        <v/>
      </c>
      <c r="B51" s="249" t="str">
        <f t="shared" si="7"/>
        <v/>
      </c>
      <c r="C51" s="250"/>
      <c r="D51" s="251"/>
      <c r="E51" s="241"/>
      <c r="F51" s="252"/>
      <c r="G51" s="252"/>
      <c r="H51" s="253"/>
      <c r="I51" s="250"/>
      <c r="J51" s="250"/>
      <c r="K51" s="270"/>
      <c r="L51" s="254"/>
      <c r="M51" s="254"/>
      <c r="N51" s="256"/>
      <c r="O51" s="256"/>
      <c r="P51" s="256"/>
      <c r="Q51" s="254"/>
      <c r="R51" s="254"/>
      <c r="S51" s="379" t="str">
        <f t="shared" si="0"/>
        <v/>
      </c>
      <c r="T51" s="379" t="str">
        <f t="shared" si="1"/>
        <v/>
      </c>
      <c r="U51" s="379" t="str">
        <f t="shared" si="2"/>
        <v/>
      </c>
      <c r="V51" s="379" t="str">
        <f t="shared" si="3"/>
        <v/>
      </c>
    </row>
    <row r="52" spans="1:22" ht="18" customHeight="1" x14ac:dyDescent="0.25">
      <c r="A52" s="383" t="str">
        <f t="shared" si="6"/>
        <v/>
      </c>
      <c r="B52" s="249" t="str">
        <f t="shared" si="7"/>
        <v/>
      </c>
      <c r="C52" s="250"/>
      <c r="D52" s="251"/>
      <c r="E52" s="241"/>
      <c r="F52" s="252"/>
      <c r="G52" s="252"/>
      <c r="H52" s="253"/>
      <c r="I52" s="250"/>
      <c r="J52" s="250"/>
      <c r="K52" s="270"/>
      <c r="L52" s="254"/>
      <c r="M52" s="254"/>
      <c r="N52" s="254"/>
      <c r="O52" s="254"/>
      <c r="P52" s="254"/>
      <c r="Q52" s="254"/>
      <c r="R52" s="254"/>
      <c r="S52" s="379" t="str">
        <f t="shared" si="0"/>
        <v/>
      </c>
      <c r="T52" s="379" t="str">
        <f t="shared" si="1"/>
        <v/>
      </c>
      <c r="U52" s="379" t="str">
        <f t="shared" si="2"/>
        <v/>
      </c>
      <c r="V52" s="379" t="str">
        <f t="shared" si="3"/>
        <v/>
      </c>
    </row>
    <row r="53" spans="1:22" ht="18" customHeight="1" x14ac:dyDescent="0.25">
      <c r="A53" s="383" t="str">
        <f t="shared" si="6"/>
        <v/>
      </c>
      <c r="B53" s="249" t="str">
        <f t="shared" si="7"/>
        <v/>
      </c>
      <c r="C53" s="250"/>
      <c r="D53" s="251"/>
      <c r="E53" s="241"/>
      <c r="F53" s="252"/>
      <c r="G53" s="252"/>
      <c r="H53" s="253"/>
      <c r="I53" s="250"/>
      <c r="J53" s="250"/>
      <c r="K53" s="270"/>
      <c r="L53" s="254"/>
      <c r="M53" s="254"/>
      <c r="N53" s="254"/>
      <c r="O53" s="254"/>
      <c r="P53" s="254"/>
      <c r="Q53" s="254"/>
      <c r="R53" s="254"/>
      <c r="S53" s="379" t="str">
        <f t="shared" si="0"/>
        <v/>
      </c>
      <c r="T53" s="379" t="str">
        <f t="shared" si="1"/>
        <v/>
      </c>
      <c r="U53" s="379" t="str">
        <f t="shared" si="2"/>
        <v/>
      </c>
      <c r="V53" s="379" t="str">
        <f t="shared" si="3"/>
        <v/>
      </c>
    </row>
    <row r="54" spans="1:22" ht="18" customHeight="1" x14ac:dyDescent="0.25">
      <c r="A54" s="383" t="str">
        <f t="shared" si="6"/>
        <v/>
      </c>
      <c r="B54" s="249" t="str">
        <f t="shared" si="7"/>
        <v/>
      </c>
      <c r="C54" s="250"/>
      <c r="D54" s="251"/>
      <c r="E54" s="241"/>
      <c r="F54" s="252"/>
      <c r="G54" s="252"/>
      <c r="H54" s="253"/>
      <c r="I54" s="250"/>
      <c r="J54" s="250"/>
      <c r="K54" s="270"/>
      <c r="L54" s="254"/>
      <c r="M54" s="254"/>
      <c r="N54" s="254"/>
      <c r="O54" s="254"/>
      <c r="P54" s="254"/>
      <c r="Q54" s="254"/>
      <c r="R54" s="254"/>
      <c r="S54" s="379" t="str">
        <f t="shared" si="0"/>
        <v/>
      </c>
      <c r="T54" s="379" t="str">
        <f t="shared" si="1"/>
        <v/>
      </c>
      <c r="U54" s="379" t="str">
        <f t="shared" si="2"/>
        <v/>
      </c>
      <c r="V54" s="379" t="str">
        <f t="shared" si="3"/>
        <v/>
      </c>
    </row>
    <row r="55" spans="1:22" ht="18" customHeight="1" x14ac:dyDescent="0.25">
      <c r="A55" s="383" t="str">
        <f t="shared" si="6"/>
        <v/>
      </c>
      <c r="B55" s="249" t="str">
        <f t="shared" si="7"/>
        <v/>
      </c>
      <c r="C55" s="250"/>
      <c r="D55" s="251"/>
      <c r="E55" s="241"/>
      <c r="F55" s="252"/>
      <c r="G55" s="252"/>
      <c r="H55" s="253"/>
      <c r="I55" s="250"/>
      <c r="J55" s="250"/>
      <c r="K55" s="270"/>
      <c r="L55" s="254"/>
      <c r="M55" s="254"/>
      <c r="N55" s="254"/>
      <c r="O55" s="254"/>
      <c r="P55" s="254"/>
      <c r="Q55" s="254"/>
      <c r="R55" s="254"/>
      <c r="S55" s="379" t="str">
        <f t="shared" si="0"/>
        <v/>
      </c>
      <c r="T55" s="379" t="str">
        <f t="shared" si="1"/>
        <v/>
      </c>
      <c r="U55" s="379" t="str">
        <f t="shared" si="2"/>
        <v/>
      </c>
      <c r="V55" s="379" t="str">
        <f t="shared" si="3"/>
        <v/>
      </c>
    </row>
    <row r="56" spans="1:22" ht="18" customHeight="1" x14ac:dyDescent="0.25">
      <c r="A56" s="383" t="str">
        <f t="shared" si="6"/>
        <v/>
      </c>
      <c r="B56" s="249" t="str">
        <f t="shared" si="7"/>
        <v/>
      </c>
      <c r="C56" s="250"/>
      <c r="D56" s="251"/>
      <c r="E56" s="241"/>
      <c r="F56" s="252"/>
      <c r="G56" s="252"/>
      <c r="H56" s="253"/>
      <c r="I56" s="250"/>
      <c r="J56" s="250"/>
      <c r="K56" s="270"/>
      <c r="L56" s="254"/>
      <c r="M56" s="254"/>
      <c r="N56" s="254"/>
      <c r="O56" s="254"/>
      <c r="P56" s="254"/>
      <c r="Q56" s="254"/>
      <c r="R56" s="254"/>
      <c r="S56" s="379" t="str">
        <f t="shared" si="0"/>
        <v/>
      </c>
      <c r="T56" s="379" t="str">
        <f t="shared" si="1"/>
        <v/>
      </c>
      <c r="U56" s="379" t="str">
        <f t="shared" si="2"/>
        <v/>
      </c>
      <c r="V56" s="379" t="str">
        <f t="shared" si="3"/>
        <v/>
      </c>
    </row>
    <row r="57" spans="1:22" x14ac:dyDescent="0.25">
      <c r="L57" s="268"/>
      <c r="M57" s="268"/>
      <c r="N57" s="268"/>
      <c r="O57" s="268"/>
      <c r="P57" s="268"/>
      <c r="Q57" s="268"/>
    </row>
    <row r="58" spans="1:22" x14ac:dyDescent="0.25">
      <c r="L58" s="268"/>
      <c r="M58" s="268"/>
      <c r="N58" s="268"/>
      <c r="O58" s="268"/>
      <c r="P58" s="268"/>
      <c r="Q58" s="268"/>
    </row>
    <row r="59" spans="1:22" x14ac:dyDescent="0.25">
      <c r="L59" s="268"/>
      <c r="M59" s="268"/>
      <c r="N59" s="268"/>
      <c r="O59" s="268"/>
      <c r="P59" s="268"/>
      <c r="Q59" s="268"/>
    </row>
    <row r="60" spans="1:22" x14ac:dyDescent="0.25">
      <c r="L60" s="268"/>
      <c r="M60" s="268"/>
      <c r="N60" s="268"/>
      <c r="O60" s="268"/>
      <c r="P60" s="268"/>
      <c r="Q60" s="268"/>
    </row>
    <row r="61" spans="1:22" x14ac:dyDescent="0.25">
      <c r="L61" s="268"/>
      <c r="M61" s="268"/>
      <c r="N61" s="268"/>
      <c r="O61" s="268"/>
      <c r="P61" s="268"/>
      <c r="Q61" s="268"/>
    </row>
    <row r="62" spans="1:22" x14ac:dyDescent="0.25">
      <c r="L62" s="268"/>
      <c r="M62" s="268"/>
      <c r="N62" s="268"/>
      <c r="O62" s="268"/>
      <c r="P62" s="268"/>
      <c r="Q62" s="268"/>
    </row>
    <row r="63" spans="1:22" x14ac:dyDescent="0.25">
      <c r="L63" s="268"/>
      <c r="M63" s="268"/>
      <c r="N63" s="268"/>
      <c r="O63" s="268"/>
      <c r="P63" s="268"/>
      <c r="Q63" s="268"/>
    </row>
    <row r="64" spans="1:22" x14ac:dyDescent="0.25">
      <c r="L64" s="268"/>
      <c r="M64" s="268"/>
      <c r="N64" s="268"/>
      <c r="O64" s="268"/>
      <c r="P64" s="268"/>
      <c r="Q64" s="268"/>
    </row>
    <row r="65" spans="12:17" x14ac:dyDescent="0.25">
      <c r="L65" s="268"/>
      <c r="M65" s="268"/>
      <c r="N65" s="268"/>
      <c r="O65" s="268"/>
      <c r="P65" s="268"/>
      <c r="Q65" s="268"/>
    </row>
    <row r="66" spans="12:17" x14ac:dyDescent="0.25">
      <c r="L66" s="268"/>
      <c r="M66" s="268"/>
      <c r="N66" s="268"/>
      <c r="O66" s="268"/>
      <c r="P66" s="268"/>
      <c r="Q66" s="268"/>
    </row>
    <row r="67" spans="12:17" x14ac:dyDescent="0.25">
      <c r="L67" s="268"/>
      <c r="M67" s="268"/>
      <c r="N67" s="268"/>
      <c r="O67" s="268"/>
      <c r="P67" s="268"/>
      <c r="Q67" s="268"/>
    </row>
    <row r="68" spans="12:17" x14ac:dyDescent="0.25">
      <c r="L68" s="268"/>
      <c r="M68" s="268"/>
      <c r="N68" s="268"/>
      <c r="O68" s="268"/>
      <c r="P68" s="268"/>
      <c r="Q68" s="268"/>
    </row>
    <row r="69" spans="12:17" x14ac:dyDescent="0.25">
      <c r="L69" s="268"/>
      <c r="M69" s="268"/>
      <c r="N69" s="268"/>
      <c r="O69" s="268"/>
      <c r="P69" s="268"/>
      <c r="Q69" s="268"/>
    </row>
    <row r="70" spans="12:17" x14ac:dyDescent="0.25">
      <c r="L70" s="268"/>
      <c r="M70" s="268"/>
      <c r="N70" s="268"/>
      <c r="O70" s="268"/>
      <c r="P70" s="268"/>
      <c r="Q70" s="268"/>
    </row>
    <row r="71" spans="12:17" x14ac:dyDescent="0.25">
      <c r="L71" s="268"/>
      <c r="M71" s="268"/>
      <c r="N71" s="268"/>
      <c r="O71" s="268"/>
      <c r="P71" s="268"/>
      <c r="Q71" s="268"/>
    </row>
    <row r="72" spans="12:17" x14ac:dyDescent="0.25">
      <c r="L72" s="268"/>
      <c r="M72" s="268"/>
      <c r="N72" s="268"/>
      <c r="O72" s="268"/>
      <c r="P72" s="268"/>
      <c r="Q72" s="268"/>
    </row>
    <row r="73" spans="12:17" x14ac:dyDescent="0.25">
      <c r="L73" s="268"/>
      <c r="M73" s="268"/>
      <c r="N73" s="268"/>
      <c r="O73" s="268"/>
      <c r="P73" s="268"/>
      <c r="Q73" s="268"/>
    </row>
    <row r="74" spans="12:17" x14ac:dyDescent="0.25">
      <c r="L74" s="268"/>
      <c r="M74" s="268"/>
      <c r="N74" s="268"/>
      <c r="O74" s="268"/>
      <c r="P74" s="268"/>
      <c r="Q74" s="268"/>
    </row>
    <row r="75" spans="12:17" x14ac:dyDescent="0.25">
      <c r="L75" s="268"/>
      <c r="M75" s="268"/>
      <c r="N75" s="268"/>
      <c r="O75" s="268"/>
      <c r="P75" s="268"/>
      <c r="Q75" s="268"/>
    </row>
    <row r="76" spans="12:17" x14ac:dyDescent="0.25">
      <c r="L76" s="268"/>
      <c r="M76" s="268"/>
      <c r="N76" s="268"/>
      <c r="O76" s="268"/>
      <c r="P76" s="268"/>
      <c r="Q76" s="268"/>
    </row>
    <row r="77" spans="12:17" x14ac:dyDescent="0.25">
      <c r="L77" s="268"/>
      <c r="M77" s="268"/>
      <c r="N77" s="268"/>
      <c r="O77" s="268"/>
      <c r="P77" s="268"/>
      <c r="Q77" s="268"/>
    </row>
    <row r="78" spans="12:17" x14ac:dyDescent="0.25">
      <c r="L78" s="268"/>
      <c r="M78" s="268"/>
      <c r="N78" s="268"/>
      <c r="O78" s="268"/>
      <c r="P78" s="268"/>
      <c r="Q78" s="268"/>
    </row>
    <row r="79" spans="12:17" x14ac:dyDescent="0.25">
      <c r="L79" s="268"/>
      <c r="M79" s="268"/>
      <c r="N79" s="268"/>
      <c r="O79" s="268"/>
      <c r="P79" s="268"/>
      <c r="Q79" s="268"/>
    </row>
    <row r="80" spans="12:17" x14ac:dyDescent="0.25">
      <c r="L80" s="268"/>
      <c r="M80" s="268"/>
      <c r="N80" s="268"/>
      <c r="O80" s="268"/>
      <c r="P80" s="268"/>
      <c r="Q80" s="268"/>
    </row>
    <row r="81" spans="12:17" x14ac:dyDescent="0.25">
      <c r="L81" s="268"/>
      <c r="M81" s="268"/>
      <c r="N81" s="268"/>
      <c r="O81" s="268"/>
      <c r="P81" s="268"/>
      <c r="Q81" s="268"/>
    </row>
    <row r="82" spans="12:17" x14ac:dyDescent="0.25">
      <c r="L82" s="268"/>
      <c r="M82" s="268"/>
      <c r="N82" s="268"/>
      <c r="O82" s="268"/>
      <c r="P82" s="268"/>
      <c r="Q82" s="268"/>
    </row>
    <row r="83" spans="12:17" x14ac:dyDescent="0.25">
      <c r="L83" s="268"/>
      <c r="M83" s="268"/>
      <c r="N83" s="268"/>
      <c r="O83" s="268"/>
      <c r="P83" s="268"/>
      <c r="Q83" s="268"/>
    </row>
    <row r="84" spans="12:17" x14ac:dyDescent="0.25">
      <c r="L84" s="268"/>
      <c r="M84" s="268"/>
      <c r="N84" s="268"/>
      <c r="O84" s="268"/>
      <c r="P84" s="268"/>
      <c r="Q84" s="268"/>
    </row>
    <row r="85" spans="12:17" x14ac:dyDescent="0.25">
      <c r="L85" s="268"/>
      <c r="M85" s="268"/>
      <c r="N85" s="268"/>
      <c r="O85" s="268"/>
      <c r="P85" s="268"/>
      <c r="Q85" s="268"/>
    </row>
    <row r="86" spans="12:17" x14ac:dyDescent="0.25">
      <c r="L86" s="268"/>
      <c r="M86" s="268"/>
      <c r="N86" s="268"/>
      <c r="O86" s="268"/>
      <c r="P86" s="268"/>
      <c r="Q86" s="268"/>
    </row>
    <row r="87" spans="12:17" x14ac:dyDescent="0.25">
      <c r="L87" s="268"/>
      <c r="M87" s="268"/>
      <c r="N87" s="268"/>
      <c r="O87" s="268"/>
      <c r="P87" s="268"/>
      <c r="Q87" s="268"/>
    </row>
    <row r="88" spans="12:17" x14ac:dyDescent="0.25">
      <c r="L88" s="268"/>
      <c r="M88" s="268"/>
      <c r="N88" s="268"/>
      <c r="O88" s="268"/>
      <c r="P88" s="268"/>
      <c r="Q88" s="268"/>
    </row>
    <row r="89" spans="12:17" x14ac:dyDescent="0.25">
      <c r="L89" s="268"/>
      <c r="M89" s="268"/>
      <c r="N89" s="268"/>
      <c r="O89" s="268"/>
      <c r="P89" s="268"/>
      <c r="Q89" s="268"/>
    </row>
    <row r="90" spans="12:17" x14ac:dyDescent="0.25">
      <c r="L90" s="268"/>
      <c r="M90" s="268"/>
      <c r="N90" s="268"/>
      <c r="O90" s="268"/>
      <c r="P90" s="268"/>
      <c r="Q90" s="268"/>
    </row>
    <row r="91" spans="12:17" x14ac:dyDescent="0.25">
      <c r="L91" s="268"/>
      <c r="M91" s="268"/>
      <c r="N91" s="268"/>
      <c r="O91" s="268"/>
      <c r="P91" s="268"/>
      <c r="Q91" s="268"/>
    </row>
    <row r="92" spans="12:17" x14ac:dyDescent="0.25">
      <c r="L92" s="268"/>
      <c r="M92" s="268"/>
      <c r="N92" s="268"/>
      <c r="O92" s="268"/>
      <c r="P92" s="268"/>
      <c r="Q92" s="268"/>
    </row>
    <row r="93" spans="12:17" x14ac:dyDescent="0.25">
      <c r="L93" s="268"/>
      <c r="M93" s="268"/>
      <c r="N93" s="268"/>
      <c r="O93" s="268"/>
      <c r="P93" s="268"/>
      <c r="Q93" s="268"/>
    </row>
    <row r="94" spans="12:17" x14ac:dyDescent="0.25">
      <c r="L94" s="268"/>
      <c r="M94" s="268"/>
      <c r="N94" s="268"/>
      <c r="O94" s="268"/>
      <c r="P94" s="268"/>
      <c r="Q94" s="268"/>
    </row>
    <row r="95" spans="12:17" x14ac:dyDescent="0.25">
      <c r="L95" s="268"/>
      <c r="M95" s="268"/>
      <c r="N95" s="268"/>
      <c r="O95" s="268"/>
      <c r="P95" s="268"/>
      <c r="Q95" s="268"/>
    </row>
    <row r="96" spans="12:17" x14ac:dyDescent="0.25">
      <c r="L96" s="268"/>
      <c r="M96" s="268"/>
      <c r="N96" s="268"/>
      <c r="O96" s="268"/>
      <c r="P96" s="268"/>
      <c r="Q96" s="268"/>
    </row>
    <row r="97" spans="12:17" x14ac:dyDescent="0.25">
      <c r="L97" s="268"/>
      <c r="M97" s="268"/>
      <c r="N97" s="268"/>
      <c r="O97" s="268"/>
      <c r="P97" s="268"/>
      <c r="Q97" s="268"/>
    </row>
    <row r="98" spans="12:17" x14ac:dyDescent="0.25">
      <c r="L98" s="268"/>
      <c r="M98" s="268"/>
      <c r="N98" s="268"/>
      <c r="O98" s="268"/>
      <c r="P98" s="268"/>
      <c r="Q98" s="268"/>
    </row>
    <row r="99" spans="12:17" x14ac:dyDescent="0.25">
      <c r="L99" s="268"/>
      <c r="M99" s="268"/>
      <c r="N99" s="268"/>
      <c r="O99" s="268"/>
      <c r="P99" s="268"/>
      <c r="Q99" s="268"/>
    </row>
    <row r="100" spans="12:17" x14ac:dyDescent="0.25">
      <c r="L100" s="268"/>
      <c r="M100" s="268"/>
      <c r="N100" s="268"/>
      <c r="O100" s="268"/>
      <c r="P100" s="268"/>
      <c r="Q100" s="268"/>
    </row>
    <row r="101" spans="12:17" x14ac:dyDescent="0.25">
      <c r="L101" s="268"/>
      <c r="M101" s="268"/>
      <c r="N101" s="268"/>
      <c r="O101" s="268"/>
      <c r="P101" s="268"/>
      <c r="Q101" s="268"/>
    </row>
    <row r="102" spans="12:17" x14ac:dyDescent="0.25">
      <c r="L102" s="268"/>
      <c r="M102" s="268"/>
      <c r="N102" s="268"/>
      <c r="O102" s="268"/>
      <c r="P102" s="268"/>
      <c r="Q102" s="268"/>
    </row>
    <row r="103" spans="12:17" x14ac:dyDescent="0.25">
      <c r="L103" s="268"/>
      <c r="M103" s="268"/>
      <c r="N103" s="268"/>
      <c r="O103" s="268"/>
      <c r="P103" s="268"/>
      <c r="Q103" s="268"/>
    </row>
    <row r="104" spans="12:17" x14ac:dyDescent="0.25">
      <c r="L104" s="268"/>
      <c r="M104" s="268"/>
      <c r="N104" s="268"/>
      <c r="O104" s="268"/>
      <c r="P104" s="268"/>
      <c r="Q104" s="268"/>
    </row>
    <row r="105" spans="12:17" x14ac:dyDescent="0.25">
      <c r="L105" s="268"/>
      <c r="M105" s="268"/>
      <c r="N105" s="268"/>
      <c r="O105" s="268"/>
      <c r="P105" s="268"/>
      <c r="Q105" s="268"/>
    </row>
    <row r="106" spans="12:17" x14ac:dyDescent="0.25">
      <c r="L106" s="268"/>
      <c r="M106" s="268"/>
      <c r="N106" s="268"/>
      <c r="O106" s="268"/>
      <c r="P106" s="268"/>
      <c r="Q106" s="268"/>
    </row>
    <row r="107" spans="12:17" x14ac:dyDescent="0.25">
      <c r="L107" s="268"/>
      <c r="M107" s="268"/>
      <c r="N107" s="268"/>
      <c r="O107" s="268"/>
      <c r="P107" s="268"/>
      <c r="Q107" s="268"/>
    </row>
    <row r="108" spans="12:17" x14ac:dyDescent="0.25">
      <c r="L108" s="268"/>
      <c r="M108" s="268"/>
      <c r="N108" s="268"/>
      <c r="O108" s="268"/>
      <c r="P108" s="268"/>
      <c r="Q108" s="268"/>
    </row>
    <row r="109" spans="12:17" x14ac:dyDescent="0.25">
      <c r="L109" s="268"/>
      <c r="M109" s="268"/>
      <c r="N109" s="268"/>
      <c r="O109" s="268"/>
      <c r="P109" s="268"/>
      <c r="Q109" s="268"/>
    </row>
    <row r="110" spans="12:17" x14ac:dyDescent="0.25">
      <c r="L110" s="268"/>
      <c r="M110" s="268"/>
      <c r="N110" s="268"/>
      <c r="O110" s="268"/>
      <c r="P110" s="268"/>
      <c r="Q110" s="268"/>
    </row>
    <row r="111" spans="12:17" x14ac:dyDescent="0.25">
      <c r="L111" s="268"/>
      <c r="M111" s="268"/>
      <c r="N111" s="268"/>
      <c r="O111" s="268"/>
      <c r="P111" s="268"/>
      <c r="Q111" s="268"/>
    </row>
    <row r="112" spans="12:17" x14ac:dyDescent="0.25">
      <c r="L112" s="268"/>
      <c r="M112" s="268"/>
      <c r="N112" s="268"/>
      <c r="O112" s="268"/>
      <c r="P112" s="268"/>
      <c r="Q112" s="268"/>
    </row>
    <row r="113" spans="12:17" x14ac:dyDescent="0.25">
      <c r="L113" s="268"/>
      <c r="M113" s="268"/>
      <c r="N113" s="268"/>
      <c r="O113" s="268"/>
      <c r="P113" s="268"/>
      <c r="Q113" s="268"/>
    </row>
    <row r="114" spans="12:17" x14ac:dyDescent="0.25">
      <c r="L114" s="268"/>
      <c r="M114" s="268"/>
      <c r="N114" s="268"/>
      <c r="O114" s="268"/>
      <c r="P114" s="268"/>
      <c r="Q114" s="268"/>
    </row>
    <row r="115" spans="12:17" x14ac:dyDescent="0.25">
      <c r="L115" s="268"/>
      <c r="M115" s="268"/>
      <c r="N115" s="268"/>
      <c r="O115" s="268"/>
      <c r="P115" s="268"/>
      <c r="Q115" s="268"/>
    </row>
    <row r="116" spans="12:17" x14ac:dyDescent="0.25">
      <c r="L116" s="268"/>
      <c r="M116" s="268"/>
      <c r="N116" s="268"/>
      <c r="O116" s="268"/>
      <c r="P116" s="268"/>
      <c r="Q116" s="268"/>
    </row>
    <row r="117" spans="12:17" x14ac:dyDescent="0.25">
      <c r="L117" s="268"/>
      <c r="M117" s="268"/>
      <c r="N117" s="268"/>
      <c r="O117" s="268"/>
      <c r="P117" s="268"/>
      <c r="Q117" s="268"/>
    </row>
    <row r="118" spans="12:17" x14ac:dyDescent="0.25">
      <c r="L118" s="268"/>
      <c r="M118" s="268"/>
      <c r="N118" s="268"/>
      <c r="O118" s="268"/>
      <c r="P118" s="268"/>
      <c r="Q118" s="268"/>
    </row>
    <row r="119" spans="12:17" x14ac:dyDescent="0.25">
      <c r="L119" s="268"/>
      <c r="M119" s="268"/>
      <c r="N119" s="268"/>
      <c r="O119" s="268"/>
      <c r="P119" s="268"/>
      <c r="Q119" s="268"/>
    </row>
    <row r="120" spans="12:17" x14ac:dyDescent="0.25">
      <c r="L120" s="268"/>
      <c r="M120" s="268"/>
      <c r="N120" s="268"/>
      <c r="O120" s="268"/>
      <c r="P120" s="268"/>
      <c r="Q120" s="268"/>
    </row>
    <row r="121" spans="12:17" x14ac:dyDescent="0.25">
      <c r="L121" s="268"/>
      <c r="M121" s="268"/>
      <c r="N121" s="268"/>
      <c r="O121" s="268"/>
      <c r="P121" s="268"/>
      <c r="Q121" s="268"/>
    </row>
    <row r="122" spans="12:17" x14ac:dyDescent="0.25">
      <c r="L122" s="268"/>
      <c r="M122" s="268"/>
      <c r="N122" s="268"/>
      <c r="O122" s="268"/>
      <c r="P122" s="268"/>
      <c r="Q122" s="268"/>
    </row>
    <row r="123" spans="12:17" x14ac:dyDescent="0.25">
      <c r="L123" s="268"/>
      <c r="M123" s="268"/>
      <c r="N123" s="268"/>
      <c r="O123" s="268"/>
      <c r="P123" s="268"/>
      <c r="Q123" s="268"/>
    </row>
    <row r="124" spans="12:17" x14ac:dyDescent="0.25">
      <c r="L124" s="268"/>
      <c r="M124" s="268"/>
      <c r="N124" s="268"/>
      <c r="O124" s="268"/>
      <c r="P124" s="268"/>
      <c r="Q124" s="268"/>
    </row>
    <row r="125" spans="12:17" x14ac:dyDescent="0.25">
      <c r="L125" s="268"/>
      <c r="M125" s="268"/>
      <c r="N125" s="268"/>
      <c r="O125" s="268"/>
      <c r="P125" s="268"/>
      <c r="Q125" s="268"/>
    </row>
    <row r="126" spans="12:17" x14ac:dyDescent="0.25">
      <c r="L126" s="268"/>
      <c r="M126" s="268"/>
      <c r="N126" s="268"/>
      <c r="O126" s="268"/>
      <c r="P126" s="268"/>
      <c r="Q126" s="268"/>
    </row>
    <row r="127" spans="12:17" x14ac:dyDescent="0.25">
      <c r="L127" s="268"/>
      <c r="M127" s="268"/>
      <c r="N127" s="268"/>
      <c r="O127" s="268"/>
      <c r="P127" s="268"/>
      <c r="Q127" s="268"/>
    </row>
    <row r="128" spans="12:17" x14ac:dyDescent="0.25">
      <c r="L128" s="268"/>
      <c r="M128" s="268"/>
      <c r="N128" s="268"/>
      <c r="O128" s="268"/>
      <c r="P128" s="268"/>
      <c r="Q128" s="268"/>
    </row>
    <row r="129" spans="12:17" x14ac:dyDescent="0.25">
      <c r="L129" s="268"/>
      <c r="M129" s="268"/>
      <c r="N129" s="268"/>
      <c r="O129" s="268"/>
      <c r="P129" s="268"/>
      <c r="Q129" s="268"/>
    </row>
    <row r="130" spans="12:17" x14ac:dyDescent="0.25">
      <c r="L130" s="268"/>
      <c r="M130" s="268"/>
      <c r="N130" s="268"/>
      <c r="O130" s="268"/>
      <c r="P130" s="268"/>
      <c r="Q130" s="268"/>
    </row>
    <row r="131" spans="12:17" x14ac:dyDescent="0.25">
      <c r="L131" s="268"/>
      <c r="M131" s="268"/>
      <c r="N131" s="268"/>
      <c r="O131" s="268"/>
      <c r="P131" s="268"/>
      <c r="Q131" s="268"/>
    </row>
    <row r="132" spans="12:17" x14ac:dyDescent="0.25">
      <c r="L132" s="268"/>
      <c r="M132" s="268"/>
      <c r="N132" s="268"/>
      <c r="O132" s="268"/>
      <c r="P132" s="268"/>
      <c r="Q132" s="268"/>
    </row>
    <row r="133" spans="12:17" x14ac:dyDescent="0.25">
      <c r="L133" s="268"/>
      <c r="M133" s="268"/>
      <c r="N133" s="268"/>
      <c r="O133" s="268"/>
      <c r="P133" s="268"/>
      <c r="Q133" s="268"/>
    </row>
    <row r="134" spans="12:17" x14ac:dyDescent="0.25">
      <c r="L134" s="268"/>
      <c r="M134" s="268"/>
      <c r="N134" s="268"/>
      <c r="O134" s="268"/>
      <c r="P134" s="268"/>
      <c r="Q134" s="268"/>
    </row>
    <row r="135" spans="12:17" x14ac:dyDescent="0.25">
      <c r="L135" s="268"/>
      <c r="M135" s="268"/>
      <c r="N135" s="268"/>
      <c r="O135" s="268"/>
      <c r="P135" s="268"/>
      <c r="Q135" s="268"/>
    </row>
    <row r="136" spans="12:17" x14ac:dyDescent="0.25">
      <c r="L136" s="268"/>
      <c r="M136" s="268"/>
      <c r="N136" s="268"/>
      <c r="O136" s="268"/>
      <c r="P136" s="268"/>
      <c r="Q136" s="268"/>
    </row>
    <row r="137" spans="12:17" x14ac:dyDescent="0.25">
      <c r="L137" s="268"/>
      <c r="M137" s="268"/>
      <c r="N137" s="268"/>
      <c r="O137" s="268"/>
      <c r="P137" s="268"/>
      <c r="Q137" s="268"/>
    </row>
    <row r="138" spans="12:17" x14ac:dyDescent="0.25">
      <c r="L138" s="268"/>
      <c r="M138" s="268"/>
      <c r="N138" s="268"/>
      <c r="O138" s="268"/>
      <c r="P138" s="268"/>
      <c r="Q138" s="268"/>
    </row>
    <row r="139" spans="12:17" x14ac:dyDescent="0.25">
      <c r="L139" s="268"/>
      <c r="M139" s="268"/>
      <c r="N139" s="268"/>
      <c r="O139" s="268"/>
      <c r="P139" s="268"/>
      <c r="Q139" s="268"/>
    </row>
    <row r="140" spans="12:17" x14ac:dyDescent="0.25">
      <c r="L140" s="268"/>
      <c r="M140" s="268"/>
      <c r="N140" s="268"/>
      <c r="O140" s="268"/>
      <c r="P140" s="268"/>
      <c r="Q140" s="268"/>
    </row>
    <row r="141" spans="12:17" x14ac:dyDescent="0.25">
      <c r="L141" s="268"/>
      <c r="M141" s="268"/>
      <c r="N141" s="268"/>
      <c r="O141" s="268"/>
      <c r="P141" s="268"/>
      <c r="Q141" s="268"/>
    </row>
    <row r="142" spans="12:17" x14ac:dyDescent="0.25">
      <c r="L142" s="268"/>
      <c r="M142" s="268"/>
      <c r="N142" s="268"/>
      <c r="O142" s="268"/>
      <c r="P142" s="268"/>
      <c r="Q142" s="268"/>
    </row>
    <row r="143" spans="12:17" x14ac:dyDescent="0.25">
      <c r="L143" s="268"/>
      <c r="M143" s="268"/>
      <c r="N143" s="268"/>
      <c r="O143" s="268"/>
      <c r="P143" s="268"/>
      <c r="Q143" s="268"/>
    </row>
    <row r="144" spans="12:17" x14ac:dyDescent="0.25">
      <c r="L144" s="268"/>
      <c r="M144" s="268"/>
      <c r="N144" s="268"/>
      <c r="O144" s="268"/>
      <c r="P144" s="268"/>
      <c r="Q144" s="268"/>
    </row>
    <row r="145" spans="12:17" x14ac:dyDescent="0.25">
      <c r="L145" s="268"/>
      <c r="M145" s="268"/>
      <c r="N145" s="268"/>
      <c r="O145" s="268"/>
      <c r="P145" s="268"/>
      <c r="Q145" s="268"/>
    </row>
    <row r="146" spans="12:17" x14ac:dyDescent="0.25">
      <c r="L146" s="268"/>
      <c r="M146" s="268"/>
      <c r="N146" s="268"/>
      <c r="O146" s="268"/>
      <c r="P146" s="268"/>
      <c r="Q146" s="268"/>
    </row>
    <row r="147" spans="12:17" x14ac:dyDescent="0.25">
      <c r="L147" s="268"/>
      <c r="M147" s="268"/>
      <c r="N147" s="268"/>
      <c r="O147" s="268"/>
      <c r="P147" s="268"/>
      <c r="Q147" s="268"/>
    </row>
    <row r="148" spans="12:17" x14ac:dyDescent="0.25">
      <c r="L148" s="268"/>
      <c r="M148" s="268"/>
      <c r="N148" s="268"/>
      <c r="O148" s="268"/>
      <c r="P148" s="268"/>
      <c r="Q148" s="268"/>
    </row>
    <row r="149" spans="12:17" x14ac:dyDescent="0.25">
      <c r="L149" s="268"/>
      <c r="M149" s="268"/>
      <c r="N149" s="268"/>
      <c r="O149" s="268"/>
      <c r="P149" s="268"/>
      <c r="Q149" s="268"/>
    </row>
    <row r="150" spans="12:17" x14ac:dyDescent="0.25">
      <c r="L150" s="268"/>
      <c r="M150" s="268"/>
      <c r="N150" s="268"/>
      <c r="O150" s="268"/>
      <c r="P150" s="268"/>
      <c r="Q150" s="268"/>
    </row>
    <row r="151" spans="12:17" x14ac:dyDescent="0.25">
      <c r="L151" s="268"/>
      <c r="M151" s="268"/>
      <c r="N151" s="268"/>
      <c r="O151" s="268"/>
      <c r="P151" s="268"/>
      <c r="Q151" s="268"/>
    </row>
    <row r="152" spans="12:17" x14ac:dyDescent="0.25">
      <c r="L152" s="268"/>
      <c r="M152" s="268"/>
      <c r="N152" s="268"/>
      <c r="O152" s="268"/>
      <c r="P152" s="268"/>
      <c r="Q152" s="268"/>
    </row>
    <row r="153" spans="12:17" x14ac:dyDescent="0.25">
      <c r="L153" s="268"/>
      <c r="M153" s="268"/>
      <c r="N153" s="268"/>
      <c r="O153" s="268"/>
      <c r="P153" s="268"/>
      <c r="Q153" s="268"/>
    </row>
    <row r="154" spans="12:17" x14ac:dyDescent="0.25">
      <c r="L154" s="268"/>
      <c r="M154" s="268"/>
      <c r="N154" s="268"/>
      <c r="O154" s="268"/>
      <c r="P154" s="268"/>
      <c r="Q154" s="268"/>
    </row>
    <row r="155" spans="12:17" x14ac:dyDescent="0.25">
      <c r="L155" s="268"/>
      <c r="M155" s="268"/>
      <c r="N155" s="268"/>
      <c r="O155" s="268"/>
      <c r="P155" s="268"/>
      <c r="Q155" s="268"/>
    </row>
    <row r="156" spans="12:17" x14ac:dyDescent="0.25">
      <c r="L156" s="268"/>
      <c r="M156" s="268"/>
      <c r="N156" s="268"/>
      <c r="O156" s="268"/>
      <c r="P156" s="268"/>
      <c r="Q156" s="268"/>
    </row>
    <row r="157" spans="12:17" x14ac:dyDescent="0.25">
      <c r="L157" s="268"/>
      <c r="M157" s="268"/>
      <c r="N157" s="268"/>
      <c r="O157" s="268"/>
      <c r="P157" s="268"/>
      <c r="Q157" s="268"/>
    </row>
    <row r="158" spans="12:17" x14ac:dyDescent="0.25">
      <c r="L158" s="268"/>
      <c r="M158" s="268"/>
      <c r="N158" s="268"/>
      <c r="O158" s="268"/>
      <c r="P158" s="268"/>
      <c r="Q158" s="268"/>
    </row>
    <row r="159" spans="12:17" x14ac:dyDescent="0.25">
      <c r="L159" s="268"/>
      <c r="M159" s="268"/>
      <c r="N159" s="268"/>
      <c r="O159" s="268"/>
      <c r="P159" s="268"/>
      <c r="Q159" s="268"/>
    </row>
    <row r="160" spans="12:17" x14ac:dyDescent="0.25">
      <c r="L160" s="268"/>
      <c r="M160" s="268"/>
      <c r="N160" s="268"/>
      <c r="O160" s="268"/>
      <c r="P160" s="268"/>
      <c r="Q160" s="268"/>
    </row>
    <row r="161" spans="12:17" x14ac:dyDescent="0.25">
      <c r="L161" s="268"/>
      <c r="M161" s="268"/>
      <c r="N161" s="268"/>
      <c r="O161" s="268"/>
      <c r="P161" s="268"/>
      <c r="Q161" s="268"/>
    </row>
    <row r="162" spans="12:17" x14ac:dyDescent="0.25">
      <c r="L162" s="268"/>
      <c r="M162" s="268"/>
      <c r="N162" s="268"/>
      <c r="O162" s="268"/>
      <c r="P162" s="268"/>
      <c r="Q162" s="268"/>
    </row>
    <row r="163" spans="12:17" x14ac:dyDescent="0.25">
      <c r="L163" s="268"/>
      <c r="M163" s="268"/>
      <c r="N163" s="268"/>
      <c r="O163" s="268"/>
      <c r="P163" s="268"/>
      <c r="Q163" s="268"/>
    </row>
    <row r="164" spans="12:17" x14ac:dyDescent="0.25">
      <c r="L164" s="268"/>
      <c r="M164" s="268"/>
      <c r="N164" s="268"/>
      <c r="O164" s="268"/>
      <c r="P164" s="268"/>
      <c r="Q164" s="268"/>
    </row>
    <row r="165" spans="12:17" x14ac:dyDescent="0.25">
      <c r="L165" s="268"/>
      <c r="M165" s="268"/>
      <c r="N165" s="268"/>
      <c r="O165" s="268"/>
      <c r="P165" s="268"/>
      <c r="Q165" s="268"/>
    </row>
    <row r="166" spans="12:17" x14ac:dyDescent="0.25">
      <c r="L166" s="268"/>
      <c r="M166" s="268"/>
      <c r="N166" s="268"/>
      <c r="O166" s="268"/>
      <c r="P166" s="268"/>
      <c r="Q166" s="268"/>
    </row>
    <row r="167" spans="12:17" x14ac:dyDescent="0.25">
      <c r="L167" s="268"/>
      <c r="M167" s="268"/>
      <c r="N167" s="268"/>
      <c r="O167" s="268"/>
      <c r="P167" s="268"/>
      <c r="Q167" s="268"/>
    </row>
    <row r="168" spans="12:17" x14ac:dyDescent="0.25">
      <c r="L168" s="268"/>
      <c r="M168" s="268"/>
      <c r="N168" s="268"/>
      <c r="O168" s="268"/>
      <c r="P168" s="268"/>
      <c r="Q168" s="268"/>
    </row>
    <row r="169" spans="12:17" x14ac:dyDescent="0.25">
      <c r="L169" s="268"/>
      <c r="M169" s="268"/>
      <c r="N169" s="268"/>
      <c r="O169" s="268"/>
      <c r="P169" s="268"/>
      <c r="Q169" s="268"/>
    </row>
    <row r="170" spans="12:17" x14ac:dyDescent="0.25">
      <c r="L170" s="268"/>
      <c r="M170" s="268"/>
      <c r="N170" s="268"/>
      <c r="O170" s="268"/>
      <c r="P170" s="268"/>
      <c r="Q170" s="268"/>
    </row>
    <row r="171" spans="12:17" x14ac:dyDescent="0.25">
      <c r="L171" s="268"/>
      <c r="M171" s="268"/>
      <c r="N171" s="268"/>
      <c r="O171" s="268"/>
      <c r="P171" s="268"/>
      <c r="Q171" s="268"/>
    </row>
    <row r="172" spans="12:17" x14ac:dyDescent="0.25">
      <c r="L172" s="268"/>
      <c r="M172" s="268"/>
      <c r="N172" s="268"/>
      <c r="O172" s="268"/>
      <c r="P172" s="268"/>
      <c r="Q172" s="268"/>
    </row>
    <row r="173" spans="12:17" x14ac:dyDescent="0.25">
      <c r="L173" s="268"/>
      <c r="M173" s="268"/>
      <c r="N173" s="268"/>
      <c r="O173" s="268"/>
      <c r="P173" s="268"/>
      <c r="Q173" s="268"/>
    </row>
    <row r="174" spans="12:17" x14ac:dyDescent="0.25">
      <c r="L174" s="268"/>
      <c r="M174" s="268"/>
      <c r="N174" s="268"/>
      <c r="O174" s="268"/>
      <c r="P174" s="268"/>
      <c r="Q174" s="268"/>
    </row>
    <row r="175" spans="12:17" x14ac:dyDescent="0.25">
      <c r="L175" s="268"/>
      <c r="M175" s="268"/>
      <c r="N175" s="268"/>
      <c r="O175" s="268"/>
      <c r="P175" s="268"/>
      <c r="Q175" s="268"/>
    </row>
    <row r="176" spans="12:17" x14ac:dyDescent="0.25">
      <c r="L176" s="268"/>
      <c r="M176" s="268"/>
      <c r="N176" s="268"/>
      <c r="O176" s="268"/>
      <c r="P176" s="268"/>
      <c r="Q176" s="268"/>
    </row>
    <row r="177" spans="12:17" x14ac:dyDescent="0.25">
      <c r="L177" s="268"/>
      <c r="M177" s="268"/>
      <c r="N177" s="268"/>
      <c r="O177" s="268"/>
      <c r="P177" s="268"/>
      <c r="Q177" s="268"/>
    </row>
    <row r="178" spans="12:17" x14ac:dyDescent="0.25">
      <c r="L178" s="268"/>
      <c r="M178" s="268"/>
      <c r="N178" s="268"/>
      <c r="O178" s="268"/>
      <c r="P178" s="268"/>
      <c r="Q178" s="268"/>
    </row>
    <row r="179" spans="12:17" x14ac:dyDescent="0.25">
      <c r="L179" s="268"/>
      <c r="M179" s="268"/>
      <c r="N179" s="268"/>
      <c r="O179" s="268"/>
      <c r="P179" s="268"/>
      <c r="Q179" s="268"/>
    </row>
    <row r="180" spans="12:17" x14ac:dyDescent="0.25">
      <c r="L180" s="268"/>
      <c r="M180" s="268"/>
      <c r="N180" s="268"/>
      <c r="O180" s="268"/>
      <c r="P180" s="268"/>
      <c r="Q180" s="268"/>
    </row>
    <row r="181" spans="12:17" x14ac:dyDescent="0.25">
      <c r="L181" s="268"/>
      <c r="M181" s="268"/>
      <c r="N181" s="268"/>
      <c r="O181" s="268"/>
      <c r="P181" s="268"/>
      <c r="Q181" s="268"/>
    </row>
    <row r="182" spans="12:17" x14ac:dyDescent="0.25">
      <c r="L182" s="268"/>
      <c r="M182" s="268"/>
      <c r="N182" s="268"/>
      <c r="O182" s="268"/>
      <c r="P182" s="268"/>
      <c r="Q182" s="268"/>
    </row>
    <row r="183" spans="12:17" x14ac:dyDescent="0.25">
      <c r="L183" s="268"/>
      <c r="M183" s="268"/>
      <c r="N183" s="268"/>
      <c r="O183" s="268"/>
      <c r="P183" s="268"/>
      <c r="Q183" s="268"/>
    </row>
    <row r="184" spans="12:17" x14ac:dyDescent="0.25">
      <c r="L184" s="268"/>
      <c r="M184" s="268"/>
      <c r="N184" s="268"/>
      <c r="O184" s="268"/>
      <c r="P184" s="268"/>
      <c r="Q184" s="268"/>
    </row>
    <row r="185" spans="12:17" x14ac:dyDescent="0.25">
      <c r="L185" s="268"/>
      <c r="M185" s="268"/>
      <c r="N185" s="268"/>
      <c r="O185" s="268"/>
      <c r="P185" s="268"/>
      <c r="Q185" s="268"/>
    </row>
    <row r="186" spans="12:17" x14ac:dyDescent="0.25">
      <c r="L186" s="268"/>
      <c r="M186" s="268"/>
      <c r="N186" s="268"/>
      <c r="O186" s="268"/>
      <c r="P186" s="268"/>
      <c r="Q186" s="268"/>
    </row>
    <row r="187" spans="12:17" x14ac:dyDescent="0.25">
      <c r="L187" s="268"/>
      <c r="M187" s="268"/>
      <c r="N187" s="268"/>
      <c r="O187" s="268"/>
      <c r="P187" s="268"/>
      <c r="Q187" s="268"/>
    </row>
    <row r="188" spans="12:17" x14ac:dyDescent="0.25">
      <c r="L188" s="268"/>
      <c r="M188" s="268"/>
      <c r="N188" s="268"/>
      <c r="O188" s="268"/>
      <c r="P188" s="268"/>
      <c r="Q188" s="268"/>
    </row>
    <row r="189" spans="12:17" x14ac:dyDescent="0.25">
      <c r="L189" s="268"/>
      <c r="M189" s="268"/>
      <c r="N189" s="268"/>
      <c r="O189" s="268"/>
      <c r="P189" s="268"/>
      <c r="Q189" s="268"/>
    </row>
    <row r="190" spans="12:17" x14ac:dyDescent="0.25">
      <c r="L190" s="268"/>
      <c r="M190" s="268"/>
      <c r="N190" s="268"/>
      <c r="O190" s="268"/>
      <c r="P190" s="268"/>
      <c r="Q190" s="268"/>
    </row>
    <row r="191" spans="12:17" x14ac:dyDescent="0.25">
      <c r="L191" s="268"/>
      <c r="M191" s="268"/>
      <c r="N191" s="268"/>
      <c r="O191" s="268"/>
      <c r="P191" s="268"/>
      <c r="Q191" s="268"/>
    </row>
    <row r="192" spans="12:17" x14ac:dyDescent="0.25">
      <c r="L192" s="268"/>
      <c r="M192" s="268"/>
      <c r="N192" s="268"/>
      <c r="O192" s="268"/>
      <c r="P192" s="268"/>
      <c r="Q192" s="268"/>
    </row>
  </sheetData>
  <sheetProtection algorithmName="SHA-512" hashValue="T+rv6yebWRLgifjWPIsCc6BFpQ1wWhy23UNbdUik8J0vaSnUvXFr1CLgygE/GJ8WnAk3zx56SAqLSqSEjl3PfQ==" saltValue="XWX3z2Ar5xrdyC52M9ANTg==" spinCount="100000" sheet="1" objects="1" scenarios="1" formatCells="0" formatColumns="0" formatRows="0" deleteRows="0" sort="0" autoFilter="0" pivotTables="0"/>
  <mergeCells count="13">
    <mergeCell ref="A1:F1"/>
    <mergeCell ref="A2:F2"/>
    <mergeCell ref="O5:O6"/>
    <mergeCell ref="F5:H5"/>
    <mergeCell ref="I5:I6"/>
    <mergeCell ref="J5:J6"/>
    <mergeCell ref="K5:K6"/>
    <mergeCell ref="L5:N5"/>
    <mergeCell ref="A5:A6"/>
    <mergeCell ref="B5:B6"/>
    <mergeCell ref="C5:C6"/>
    <mergeCell ref="D5:D6"/>
    <mergeCell ref="E5:E6"/>
  </mergeCells>
  <conditionalFormatting sqref="A2:A3 B3:E3">
    <cfRule type="cellIs" dxfId="48" priority="6" stopIfTrue="1" operator="between">
      <formula>0</formula>
      <formula>0</formula>
    </cfRule>
  </conditionalFormatting>
  <conditionalFormatting sqref="E7:E56">
    <cfRule type="cellIs" dxfId="47" priority="5" stopIfTrue="1" operator="between">
      <formula>""</formula>
      <formula>""</formula>
    </cfRule>
  </conditionalFormatting>
  <conditionalFormatting sqref="N2">
    <cfRule type="cellIs" dxfId="46" priority="2" stopIfTrue="1" operator="between">
      <formula>"Còn lỗi!"</formula>
      <formula>"Còn lỗi!"</formula>
    </cfRule>
    <cfRule type="cellIs" dxfId="45" priority="3" stopIfTrue="1" operator="between">
      <formula>"Hoàn thành!"</formula>
      <formula>"Hoàn thành!"</formula>
    </cfRule>
    <cfRule type="cellIs" dxfId="44" priority="4" stopIfTrue="1" operator="between">
      <formula>"Nhập danh sách học sinh!"</formula>
      <formula>"Nhập danh sách học sinh!"</formula>
    </cfRule>
  </conditionalFormatting>
  <conditionalFormatting sqref="N2:O2">
    <cfRule type="cellIs" dxfId="43" priority="1" stopIfTrue="1" operator="between">
      <formula>"Có HS học trước tuổi!"</formula>
      <formula>"Có HS học trước tuổi!"</formula>
    </cfRule>
  </conditionalFormatting>
  <dataValidations count="4">
    <dataValidation type="list" allowBlank="1" showInputMessage="1" showErrorMessage="1" sqref="JF63976:JF65575 TB63976:TB65575 ACX63976:ACX65575 AMT63976:AMT65575 AWP63976:AWP65575 BGL63976:BGL65575 BQH63976:BQH65575 CAD63976:CAD65575 CJZ63976:CJZ65575 CTV63976:CTV65575 DDR63976:DDR65575 DNN63976:DNN65575 DXJ63976:DXJ65575 EHF63976:EHF65575 ERB63976:ERB65575 FAX63976:FAX65575 FKT63976:FKT65575 FUP63976:FUP65575 GEL63976:GEL65575 GOH63976:GOH65575 GYD63976:GYD65575 HHZ63976:HHZ65575 HRV63976:HRV65575 IBR63976:IBR65575 ILN63976:ILN65575 IVJ63976:IVJ65575 JFF63976:JFF65575 JPB63976:JPB65575 JYX63976:JYX65575 KIT63976:KIT65575 KSP63976:KSP65575 LCL63976:LCL65575 LMH63976:LMH65575 LWD63976:LWD65575 MFZ63976:MFZ65575 MPV63976:MPV65575 MZR63976:MZR65575 NJN63976:NJN65575 NTJ63976:NTJ65575 ODF63976:ODF65575 ONB63976:ONB65575 OWX63976:OWX65575 PGT63976:PGT65575 PQP63976:PQP65575 QAL63976:QAL65575 QKH63976:QKH65575 QUD63976:QUD65575 RDZ63976:RDZ65575 RNV63976:RNV65575 RXR63976:RXR65575 SHN63976:SHN65575 SRJ63976:SRJ65575 TBF63976:TBF65575 TLB63976:TLB65575 TUX63976:TUX65575 UET63976:UET65575 UOP63976:UOP65575 UYL63976:UYL65575 VIH63976:VIH65575 VSD63976:VSD65575 WBZ63976:WBZ65575 WLV63976:WLV65575 WVR63976:WVR65575 JF129512:JF131111 TB129512:TB131111 ACX129512:ACX131111 AMT129512:AMT131111 AWP129512:AWP131111 BGL129512:BGL131111 BQH129512:BQH131111 CAD129512:CAD131111 CJZ129512:CJZ131111 CTV129512:CTV131111 DDR129512:DDR131111 DNN129512:DNN131111 DXJ129512:DXJ131111 EHF129512:EHF131111 ERB129512:ERB131111 FAX129512:FAX131111 FKT129512:FKT131111 FUP129512:FUP131111 GEL129512:GEL131111 GOH129512:GOH131111 GYD129512:GYD131111 HHZ129512:HHZ131111 HRV129512:HRV131111 IBR129512:IBR131111 ILN129512:ILN131111 IVJ129512:IVJ131111 JFF129512:JFF131111 JPB129512:JPB131111 JYX129512:JYX131111 KIT129512:KIT131111 KSP129512:KSP131111 LCL129512:LCL131111 LMH129512:LMH131111 LWD129512:LWD131111 MFZ129512:MFZ131111 MPV129512:MPV131111 MZR129512:MZR131111 NJN129512:NJN131111 NTJ129512:NTJ131111 ODF129512:ODF131111 ONB129512:ONB131111 OWX129512:OWX131111 PGT129512:PGT131111 PQP129512:PQP131111 QAL129512:QAL131111 QKH129512:QKH131111 QUD129512:QUD131111 RDZ129512:RDZ131111 RNV129512:RNV131111 RXR129512:RXR131111 SHN129512:SHN131111 SRJ129512:SRJ131111 TBF129512:TBF131111 TLB129512:TLB131111 TUX129512:TUX131111 UET129512:UET131111 UOP129512:UOP131111 UYL129512:UYL131111 VIH129512:VIH131111 VSD129512:VSD131111 WBZ129512:WBZ131111 WLV129512:WLV131111 WVR129512:WVR131111 JF195048:JF196647 TB195048:TB196647 ACX195048:ACX196647 AMT195048:AMT196647 AWP195048:AWP196647 BGL195048:BGL196647 BQH195048:BQH196647 CAD195048:CAD196647 CJZ195048:CJZ196647 CTV195048:CTV196647 DDR195048:DDR196647 DNN195048:DNN196647 DXJ195048:DXJ196647 EHF195048:EHF196647 ERB195048:ERB196647 FAX195048:FAX196647 FKT195048:FKT196647 FUP195048:FUP196647 GEL195048:GEL196647 GOH195048:GOH196647 GYD195048:GYD196647 HHZ195048:HHZ196647 HRV195048:HRV196647 IBR195048:IBR196647 ILN195048:ILN196647 IVJ195048:IVJ196647 JFF195048:JFF196647 JPB195048:JPB196647 JYX195048:JYX196647 KIT195048:KIT196647 KSP195048:KSP196647 LCL195048:LCL196647 LMH195048:LMH196647 LWD195048:LWD196647 MFZ195048:MFZ196647 MPV195048:MPV196647 MZR195048:MZR196647 NJN195048:NJN196647 NTJ195048:NTJ196647 ODF195048:ODF196647 ONB195048:ONB196647 OWX195048:OWX196647 PGT195048:PGT196647 PQP195048:PQP196647 QAL195048:QAL196647 QKH195048:QKH196647 QUD195048:QUD196647 RDZ195048:RDZ196647 RNV195048:RNV196647 RXR195048:RXR196647 SHN195048:SHN196647 SRJ195048:SRJ196647 TBF195048:TBF196647 TLB195048:TLB196647 TUX195048:TUX196647 UET195048:UET196647 UOP195048:UOP196647 UYL195048:UYL196647 VIH195048:VIH196647 VSD195048:VSD196647 WBZ195048:WBZ196647 WLV195048:WLV196647 WVR195048:WVR196647 JF260584:JF262183 TB260584:TB262183 ACX260584:ACX262183 AMT260584:AMT262183 AWP260584:AWP262183 BGL260584:BGL262183 BQH260584:BQH262183 CAD260584:CAD262183 CJZ260584:CJZ262183 CTV260584:CTV262183 DDR260584:DDR262183 DNN260584:DNN262183 DXJ260584:DXJ262183 EHF260584:EHF262183 ERB260584:ERB262183 FAX260584:FAX262183 FKT260584:FKT262183 FUP260584:FUP262183 GEL260584:GEL262183 GOH260584:GOH262183 GYD260584:GYD262183 HHZ260584:HHZ262183 HRV260584:HRV262183 IBR260584:IBR262183 ILN260584:ILN262183 IVJ260584:IVJ262183 JFF260584:JFF262183 JPB260584:JPB262183 JYX260584:JYX262183 KIT260584:KIT262183 KSP260584:KSP262183 LCL260584:LCL262183 LMH260584:LMH262183 LWD260584:LWD262183 MFZ260584:MFZ262183 MPV260584:MPV262183 MZR260584:MZR262183 NJN260584:NJN262183 NTJ260584:NTJ262183 ODF260584:ODF262183 ONB260584:ONB262183 OWX260584:OWX262183 PGT260584:PGT262183 PQP260584:PQP262183 QAL260584:QAL262183 QKH260584:QKH262183 QUD260584:QUD262183 RDZ260584:RDZ262183 RNV260584:RNV262183 RXR260584:RXR262183 SHN260584:SHN262183 SRJ260584:SRJ262183 TBF260584:TBF262183 TLB260584:TLB262183 TUX260584:TUX262183 UET260584:UET262183 UOP260584:UOP262183 UYL260584:UYL262183 VIH260584:VIH262183 VSD260584:VSD262183 WBZ260584:WBZ262183 WLV260584:WLV262183 WVR260584:WVR262183 JF326120:JF327719 TB326120:TB327719 ACX326120:ACX327719 AMT326120:AMT327719 AWP326120:AWP327719 BGL326120:BGL327719 BQH326120:BQH327719 CAD326120:CAD327719 CJZ326120:CJZ327719 CTV326120:CTV327719 DDR326120:DDR327719 DNN326120:DNN327719 DXJ326120:DXJ327719 EHF326120:EHF327719 ERB326120:ERB327719 FAX326120:FAX327719 FKT326120:FKT327719 FUP326120:FUP327719 GEL326120:GEL327719 GOH326120:GOH327719 GYD326120:GYD327719 HHZ326120:HHZ327719 HRV326120:HRV327719 IBR326120:IBR327719 ILN326120:ILN327719 IVJ326120:IVJ327719 JFF326120:JFF327719 JPB326120:JPB327719 JYX326120:JYX327719 KIT326120:KIT327719 KSP326120:KSP327719 LCL326120:LCL327719 LMH326120:LMH327719 LWD326120:LWD327719 MFZ326120:MFZ327719 MPV326120:MPV327719 MZR326120:MZR327719 NJN326120:NJN327719 NTJ326120:NTJ327719 ODF326120:ODF327719 ONB326120:ONB327719 OWX326120:OWX327719 PGT326120:PGT327719 PQP326120:PQP327719 QAL326120:QAL327719 QKH326120:QKH327719 QUD326120:QUD327719 RDZ326120:RDZ327719 RNV326120:RNV327719 RXR326120:RXR327719 SHN326120:SHN327719 SRJ326120:SRJ327719 TBF326120:TBF327719 TLB326120:TLB327719 TUX326120:TUX327719 UET326120:UET327719 UOP326120:UOP327719 UYL326120:UYL327719 VIH326120:VIH327719 VSD326120:VSD327719 WBZ326120:WBZ327719 WLV326120:WLV327719 WVR326120:WVR327719 JF391656:JF393255 TB391656:TB393255 ACX391656:ACX393255 AMT391656:AMT393255 AWP391656:AWP393255 BGL391656:BGL393255 BQH391656:BQH393255 CAD391656:CAD393255 CJZ391656:CJZ393255 CTV391656:CTV393255 DDR391656:DDR393255 DNN391656:DNN393255 DXJ391656:DXJ393255 EHF391656:EHF393255 ERB391656:ERB393255 FAX391656:FAX393255 FKT391656:FKT393255 FUP391656:FUP393255 GEL391656:GEL393255 GOH391656:GOH393255 GYD391656:GYD393255 HHZ391656:HHZ393255 HRV391656:HRV393255 IBR391656:IBR393255 ILN391656:ILN393255 IVJ391656:IVJ393255 JFF391656:JFF393255 JPB391656:JPB393255 JYX391656:JYX393255 KIT391656:KIT393255 KSP391656:KSP393255 LCL391656:LCL393255 LMH391656:LMH393255 LWD391656:LWD393255 MFZ391656:MFZ393255 MPV391656:MPV393255 MZR391656:MZR393255 NJN391656:NJN393255 NTJ391656:NTJ393255 ODF391656:ODF393255 ONB391656:ONB393255 OWX391656:OWX393255 PGT391656:PGT393255 PQP391656:PQP393255 QAL391656:QAL393255 QKH391656:QKH393255 QUD391656:QUD393255 RDZ391656:RDZ393255 RNV391656:RNV393255 RXR391656:RXR393255 SHN391656:SHN393255 SRJ391656:SRJ393255 TBF391656:TBF393255 TLB391656:TLB393255 TUX391656:TUX393255 UET391656:UET393255 UOP391656:UOP393255 UYL391656:UYL393255 VIH391656:VIH393255 VSD391656:VSD393255 WBZ391656:WBZ393255 WLV391656:WLV393255 WVR391656:WVR393255 JF457192:JF458791 TB457192:TB458791 ACX457192:ACX458791 AMT457192:AMT458791 AWP457192:AWP458791 BGL457192:BGL458791 BQH457192:BQH458791 CAD457192:CAD458791 CJZ457192:CJZ458791 CTV457192:CTV458791 DDR457192:DDR458791 DNN457192:DNN458791 DXJ457192:DXJ458791 EHF457192:EHF458791 ERB457192:ERB458791 FAX457192:FAX458791 FKT457192:FKT458791 FUP457192:FUP458791 GEL457192:GEL458791 GOH457192:GOH458791 GYD457192:GYD458791 HHZ457192:HHZ458791 HRV457192:HRV458791 IBR457192:IBR458791 ILN457192:ILN458791 IVJ457192:IVJ458791 JFF457192:JFF458791 JPB457192:JPB458791 JYX457192:JYX458791 KIT457192:KIT458791 KSP457192:KSP458791 LCL457192:LCL458791 LMH457192:LMH458791 LWD457192:LWD458791 MFZ457192:MFZ458791 MPV457192:MPV458791 MZR457192:MZR458791 NJN457192:NJN458791 NTJ457192:NTJ458791 ODF457192:ODF458791 ONB457192:ONB458791 OWX457192:OWX458791 PGT457192:PGT458791 PQP457192:PQP458791 QAL457192:QAL458791 QKH457192:QKH458791 QUD457192:QUD458791 RDZ457192:RDZ458791 RNV457192:RNV458791 RXR457192:RXR458791 SHN457192:SHN458791 SRJ457192:SRJ458791 TBF457192:TBF458791 TLB457192:TLB458791 TUX457192:TUX458791 UET457192:UET458791 UOP457192:UOP458791 UYL457192:UYL458791 VIH457192:VIH458791 VSD457192:VSD458791 WBZ457192:WBZ458791 WLV457192:WLV458791 WVR457192:WVR458791 JF522728:JF524327 TB522728:TB524327 ACX522728:ACX524327 AMT522728:AMT524327 AWP522728:AWP524327 BGL522728:BGL524327 BQH522728:BQH524327 CAD522728:CAD524327 CJZ522728:CJZ524327 CTV522728:CTV524327 DDR522728:DDR524327 DNN522728:DNN524327 DXJ522728:DXJ524327 EHF522728:EHF524327 ERB522728:ERB524327 FAX522728:FAX524327 FKT522728:FKT524327 FUP522728:FUP524327 GEL522728:GEL524327 GOH522728:GOH524327 GYD522728:GYD524327 HHZ522728:HHZ524327 HRV522728:HRV524327 IBR522728:IBR524327 ILN522728:ILN524327 IVJ522728:IVJ524327 JFF522728:JFF524327 JPB522728:JPB524327 JYX522728:JYX524327 KIT522728:KIT524327 KSP522728:KSP524327 LCL522728:LCL524327 LMH522728:LMH524327 LWD522728:LWD524327 MFZ522728:MFZ524327 MPV522728:MPV524327 MZR522728:MZR524327 NJN522728:NJN524327 NTJ522728:NTJ524327 ODF522728:ODF524327 ONB522728:ONB524327 OWX522728:OWX524327 PGT522728:PGT524327 PQP522728:PQP524327 QAL522728:QAL524327 QKH522728:QKH524327 QUD522728:QUD524327 RDZ522728:RDZ524327 RNV522728:RNV524327 RXR522728:RXR524327 SHN522728:SHN524327 SRJ522728:SRJ524327 TBF522728:TBF524327 TLB522728:TLB524327 TUX522728:TUX524327 UET522728:UET524327 UOP522728:UOP524327 UYL522728:UYL524327 VIH522728:VIH524327 VSD522728:VSD524327 WBZ522728:WBZ524327 WLV522728:WLV524327 WVR522728:WVR524327 JF588264:JF589863 TB588264:TB589863 ACX588264:ACX589863 AMT588264:AMT589863 AWP588264:AWP589863 BGL588264:BGL589863 BQH588264:BQH589863 CAD588264:CAD589863 CJZ588264:CJZ589863 CTV588264:CTV589863 DDR588264:DDR589863 DNN588264:DNN589863 DXJ588264:DXJ589863 EHF588264:EHF589863 ERB588264:ERB589863 FAX588264:FAX589863 FKT588264:FKT589863 FUP588264:FUP589863 GEL588264:GEL589863 GOH588264:GOH589863 GYD588264:GYD589863 HHZ588264:HHZ589863 HRV588264:HRV589863 IBR588264:IBR589863 ILN588264:ILN589863 IVJ588264:IVJ589863 JFF588264:JFF589863 JPB588264:JPB589863 JYX588264:JYX589863 KIT588264:KIT589863 KSP588264:KSP589863 LCL588264:LCL589863 LMH588264:LMH589863 LWD588264:LWD589863 MFZ588264:MFZ589863 MPV588264:MPV589863 MZR588264:MZR589863 NJN588264:NJN589863 NTJ588264:NTJ589863 ODF588264:ODF589863 ONB588264:ONB589863 OWX588264:OWX589863 PGT588264:PGT589863 PQP588264:PQP589863 QAL588264:QAL589863 QKH588264:QKH589863 QUD588264:QUD589863 RDZ588264:RDZ589863 RNV588264:RNV589863 RXR588264:RXR589863 SHN588264:SHN589863 SRJ588264:SRJ589863 TBF588264:TBF589863 TLB588264:TLB589863 TUX588264:TUX589863 UET588264:UET589863 UOP588264:UOP589863 UYL588264:UYL589863 VIH588264:VIH589863 VSD588264:VSD589863 WBZ588264:WBZ589863 WLV588264:WLV589863 WVR588264:WVR589863 JF653800:JF655399 TB653800:TB655399 ACX653800:ACX655399 AMT653800:AMT655399 AWP653800:AWP655399 BGL653800:BGL655399 BQH653800:BQH655399 CAD653800:CAD655399 CJZ653800:CJZ655399 CTV653800:CTV655399 DDR653800:DDR655399 DNN653800:DNN655399 DXJ653800:DXJ655399 EHF653800:EHF655399 ERB653800:ERB655399 FAX653800:FAX655399 FKT653800:FKT655399 FUP653800:FUP655399 GEL653800:GEL655399 GOH653800:GOH655399 GYD653800:GYD655399 HHZ653800:HHZ655399 HRV653800:HRV655399 IBR653800:IBR655399 ILN653800:ILN655399 IVJ653800:IVJ655399 JFF653800:JFF655399 JPB653800:JPB655399 JYX653800:JYX655399 KIT653800:KIT655399 KSP653800:KSP655399 LCL653800:LCL655399 LMH653800:LMH655399 LWD653800:LWD655399 MFZ653800:MFZ655399 MPV653800:MPV655399 MZR653800:MZR655399 NJN653800:NJN655399 NTJ653800:NTJ655399 ODF653800:ODF655399 ONB653800:ONB655399 OWX653800:OWX655399 PGT653800:PGT655399 PQP653800:PQP655399 QAL653800:QAL655399 QKH653800:QKH655399 QUD653800:QUD655399 RDZ653800:RDZ655399 RNV653800:RNV655399 RXR653800:RXR655399 SHN653800:SHN655399 SRJ653800:SRJ655399 TBF653800:TBF655399 TLB653800:TLB655399 TUX653800:TUX655399 UET653800:UET655399 UOP653800:UOP655399 UYL653800:UYL655399 VIH653800:VIH655399 VSD653800:VSD655399 WBZ653800:WBZ655399 WLV653800:WLV655399 WVR653800:WVR655399 JF719336:JF720935 TB719336:TB720935 ACX719336:ACX720935 AMT719336:AMT720935 AWP719336:AWP720935 BGL719336:BGL720935 BQH719336:BQH720935 CAD719336:CAD720935 CJZ719336:CJZ720935 CTV719336:CTV720935 DDR719336:DDR720935 DNN719336:DNN720935 DXJ719336:DXJ720935 EHF719336:EHF720935 ERB719336:ERB720935 FAX719336:FAX720935 FKT719336:FKT720935 FUP719336:FUP720935 GEL719336:GEL720935 GOH719336:GOH720935 GYD719336:GYD720935 HHZ719336:HHZ720935 HRV719336:HRV720935 IBR719336:IBR720935 ILN719336:ILN720935 IVJ719336:IVJ720935 JFF719336:JFF720935 JPB719336:JPB720935 JYX719336:JYX720935 KIT719336:KIT720935 KSP719336:KSP720935 LCL719336:LCL720935 LMH719336:LMH720935 LWD719336:LWD720935 MFZ719336:MFZ720935 MPV719336:MPV720935 MZR719336:MZR720935 NJN719336:NJN720935 NTJ719336:NTJ720935 ODF719336:ODF720935 ONB719336:ONB720935 OWX719336:OWX720935 PGT719336:PGT720935 PQP719336:PQP720935 QAL719336:QAL720935 QKH719336:QKH720935 QUD719336:QUD720935 RDZ719336:RDZ720935 RNV719336:RNV720935 RXR719336:RXR720935 SHN719336:SHN720935 SRJ719336:SRJ720935 TBF719336:TBF720935 TLB719336:TLB720935 TUX719336:TUX720935 UET719336:UET720935 UOP719336:UOP720935 UYL719336:UYL720935 VIH719336:VIH720935 VSD719336:VSD720935 WBZ719336:WBZ720935 WLV719336:WLV720935 WVR719336:WVR720935 JF784872:JF786471 TB784872:TB786471 ACX784872:ACX786471 AMT784872:AMT786471 AWP784872:AWP786471 BGL784872:BGL786471 BQH784872:BQH786471 CAD784872:CAD786471 CJZ784872:CJZ786471 CTV784872:CTV786471 DDR784872:DDR786471 DNN784872:DNN786471 DXJ784872:DXJ786471 EHF784872:EHF786471 ERB784872:ERB786471 FAX784872:FAX786471 FKT784872:FKT786471 FUP784872:FUP786471 GEL784872:GEL786471 GOH784872:GOH786471 GYD784872:GYD786471 HHZ784872:HHZ786471 HRV784872:HRV786471 IBR784872:IBR786471 ILN784872:ILN786471 IVJ784872:IVJ786471 JFF784872:JFF786471 JPB784872:JPB786471 JYX784872:JYX786471 KIT784872:KIT786471 KSP784872:KSP786471 LCL784872:LCL786471 LMH784872:LMH786471 LWD784872:LWD786471 MFZ784872:MFZ786471 MPV784872:MPV786471 MZR784872:MZR786471 NJN784872:NJN786471 NTJ784872:NTJ786471 ODF784872:ODF786471 ONB784872:ONB786471 OWX784872:OWX786471 PGT784872:PGT786471 PQP784872:PQP786471 QAL784872:QAL786471 QKH784872:QKH786471 QUD784872:QUD786471 RDZ784872:RDZ786471 RNV784872:RNV786471 RXR784872:RXR786471 SHN784872:SHN786471 SRJ784872:SRJ786471 TBF784872:TBF786471 TLB784872:TLB786471 TUX784872:TUX786471 UET784872:UET786471 UOP784872:UOP786471 UYL784872:UYL786471 VIH784872:VIH786471 VSD784872:VSD786471 WBZ784872:WBZ786471 WLV784872:WLV786471 WVR784872:WVR786471 JF850408:JF852007 TB850408:TB852007 ACX850408:ACX852007 AMT850408:AMT852007 AWP850408:AWP852007 BGL850408:BGL852007 BQH850408:BQH852007 CAD850408:CAD852007 CJZ850408:CJZ852007 CTV850408:CTV852007 DDR850408:DDR852007 DNN850408:DNN852007 DXJ850408:DXJ852007 EHF850408:EHF852007 ERB850408:ERB852007 FAX850408:FAX852007 FKT850408:FKT852007 FUP850408:FUP852007 GEL850408:GEL852007 GOH850408:GOH852007 GYD850408:GYD852007 HHZ850408:HHZ852007 HRV850408:HRV852007 IBR850408:IBR852007 ILN850408:ILN852007 IVJ850408:IVJ852007 JFF850408:JFF852007 JPB850408:JPB852007 JYX850408:JYX852007 KIT850408:KIT852007 KSP850408:KSP852007 LCL850408:LCL852007 LMH850408:LMH852007 LWD850408:LWD852007 MFZ850408:MFZ852007 MPV850408:MPV852007 MZR850408:MZR852007 NJN850408:NJN852007 NTJ850408:NTJ852007 ODF850408:ODF852007 ONB850408:ONB852007 OWX850408:OWX852007 PGT850408:PGT852007 PQP850408:PQP852007 QAL850408:QAL852007 QKH850408:QKH852007 QUD850408:QUD852007 RDZ850408:RDZ852007 RNV850408:RNV852007 RXR850408:RXR852007 SHN850408:SHN852007 SRJ850408:SRJ852007 TBF850408:TBF852007 TLB850408:TLB852007 TUX850408:TUX852007 UET850408:UET852007 UOP850408:UOP852007 UYL850408:UYL852007 VIH850408:VIH852007 VSD850408:VSD852007 WBZ850408:WBZ852007 WLV850408:WLV852007 WVR850408:WVR852007 JF915944:JF917543 TB915944:TB917543 ACX915944:ACX917543 AMT915944:AMT917543 AWP915944:AWP917543 BGL915944:BGL917543 BQH915944:BQH917543 CAD915944:CAD917543 CJZ915944:CJZ917543 CTV915944:CTV917543 DDR915944:DDR917543 DNN915944:DNN917543 DXJ915944:DXJ917543 EHF915944:EHF917543 ERB915944:ERB917543 FAX915944:FAX917543 FKT915944:FKT917543 FUP915944:FUP917543 GEL915944:GEL917543 GOH915944:GOH917543 GYD915944:GYD917543 HHZ915944:HHZ917543 HRV915944:HRV917543 IBR915944:IBR917543 ILN915944:ILN917543 IVJ915944:IVJ917543 JFF915944:JFF917543 JPB915944:JPB917543 JYX915944:JYX917543 KIT915944:KIT917543 KSP915944:KSP917543 LCL915944:LCL917543 LMH915944:LMH917543 LWD915944:LWD917543 MFZ915944:MFZ917543 MPV915944:MPV917543 MZR915944:MZR917543 NJN915944:NJN917543 NTJ915944:NTJ917543 ODF915944:ODF917543 ONB915944:ONB917543 OWX915944:OWX917543 PGT915944:PGT917543 PQP915944:PQP917543 QAL915944:QAL917543 QKH915944:QKH917543 QUD915944:QUD917543 RDZ915944:RDZ917543 RNV915944:RNV917543 RXR915944:RXR917543 SHN915944:SHN917543 SRJ915944:SRJ917543 TBF915944:TBF917543 TLB915944:TLB917543 TUX915944:TUX917543 UET915944:UET917543 UOP915944:UOP917543 UYL915944:UYL917543 VIH915944:VIH917543 VSD915944:VSD917543 WBZ915944:WBZ917543 WLV915944:WLV917543 WVR915944:WVR917543 JF981480:JF983079 TB981480:TB983079 ACX981480:ACX983079 AMT981480:AMT983079 AWP981480:AWP983079 BGL981480:BGL983079 BQH981480:BQH983079 CAD981480:CAD983079 CJZ981480:CJZ983079 CTV981480:CTV983079 DDR981480:DDR983079 DNN981480:DNN983079 DXJ981480:DXJ983079 EHF981480:EHF983079 ERB981480:ERB983079 FAX981480:FAX983079 FKT981480:FKT983079 FUP981480:FUP983079 GEL981480:GEL983079 GOH981480:GOH983079 GYD981480:GYD983079 HHZ981480:HHZ983079 HRV981480:HRV983079 IBR981480:IBR983079 ILN981480:ILN983079 IVJ981480:IVJ983079 JFF981480:JFF983079 JPB981480:JPB983079 JYX981480:JYX983079 KIT981480:KIT983079 KSP981480:KSP983079 LCL981480:LCL983079 LMH981480:LMH983079 LWD981480:LWD983079 MFZ981480:MFZ983079 MPV981480:MPV983079 MZR981480:MZR983079 NJN981480:NJN983079 NTJ981480:NTJ983079 ODF981480:ODF983079 ONB981480:ONB983079 OWX981480:OWX983079 PGT981480:PGT983079 PQP981480:PQP983079 QAL981480:QAL983079 QKH981480:QKH983079 QUD981480:QUD983079 RDZ981480:RDZ983079 RNV981480:RNV983079 RXR981480:RXR983079 SHN981480:SHN983079 SRJ981480:SRJ983079 TBF981480:TBF983079 TLB981480:TLB983079 TUX981480:TUX983079 UET981480:UET983079 UOP981480:UOP983079 UYL981480:UYL983079 VIH981480:VIH983079 VSD981480:VSD983079 WBZ981480:WBZ983079 WLV981480:WLV983079 WVR981480:WVR983079 WVR7:WVR56 WLV7:WLV56 WBZ7:WBZ56 VSD7:VSD56 VIH7:VIH56 UYL7:UYL56 UOP7:UOP56 UET7:UET56 TUX7:TUX56 TLB7:TLB56 TBF7:TBF56 SRJ7:SRJ56 SHN7:SHN56 RXR7:RXR56 RNV7:RNV56 RDZ7:RDZ56 QUD7:QUD56 QKH7:QKH56 QAL7:QAL56 PQP7:PQP56 PGT7:PGT56 OWX7:OWX56 ONB7:ONB56 ODF7:ODF56 NTJ7:NTJ56 NJN7:NJN56 MZR7:MZR56 MPV7:MPV56 MFZ7:MFZ56 LWD7:LWD56 LMH7:LMH56 LCL7:LCL56 KSP7:KSP56 KIT7:KIT56 JYX7:JYX56 JPB7:JPB56 JFF7:JFF56 IVJ7:IVJ56 ILN7:ILN56 IBR7:IBR56 HRV7:HRV56 HHZ7:HHZ56 GYD7:GYD56 GOH7:GOH56 GEL7:GEL56 FUP7:FUP56 FKT7:FKT56 FAX7:FAX56 ERB7:ERB56 EHF7:EHF56 DXJ7:DXJ56 DNN7:DNN56 DDR7:DDR56 CTV7:CTV56 CJZ7:CJZ56 CAD7:CAD56 BQH7:BQH56 BGL7:BGL56 AWP7:AWP56 AMT7:AMT56 ACX7:ACX56 TB7:TB56 JF7:JF56 M981480:M983079 M63976:M65575 M129512:M131111 M195048:M196647 M260584:M262183 M326120:M327719 M391656:M393255 M457192:M458791 M522728:M524327 M588264:M589863 M653800:M655399 M719336:M720935 M784872:M786471 M850408:M852007 M915944:M917543">
      <formula1>xa.phuong</formula1>
    </dataValidation>
    <dataValidation type="list" allowBlank="1" showInputMessage="1" showErrorMessage="1" sqref="JB63976:JB65575 SX63976:SX65575 ACT63976:ACT65575 AMP63976:AMP65575 AWL63976:AWL65575 BGH63976:BGH65575 BQD63976:BQD65575 BZZ63976:BZZ65575 CJV63976:CJV65575 CTR63976:CTR65575 DDN63976:DDN65575 DNJ63976:DNJ65575 DXF63976:DXF65575 EHB63976:EHB65575 EQX63976:EQX65575 FAT63976:FAT65575 FKP63976:FKP65575 FUL63976:FUL65575 GEH63976:GEH65575 GOD63976:GOD65575 GXZ63976:GXZ65575 HHV63976:HHV65575 HRR63976:HRR65575 IBN63976:IBN65575 ILJ63976:ILJ65575 IVF63976:IVF65575 JFB63976:JFB65575 JOX63976:JOX65575 JYT63976:JYT65575 KIP63976:KIP65575 KSL63976:KSL65575 LCH63976:LCH65575 LMD63976:LMD65575 LVZ63976:LVZ65575 MFV63976:MFV65575 MPR63976:MPR65575 MZN63976:MZN65575 NJJ63976:NJJ65575 NTF63976:NTF65575 ODB63976:ODB65575 OMX63976:OMX65575 OWT63976:OWT65575 PGP63976:PGP65575 PQL63976:PQL65575 QAH63976:QAH65575 QKD63976:QKD65575 QTZ63976:QTZ65575 RDV63976:RDV65575 RNR63976:RNR65575 RXN63976:RXN65575 SHJ63976:SHJ65575 SRF63976:SRF65575 TBB63976:TBB65575 TKX63976:TKX65575 TUT63976:TUT65575 UEP63976:UEP65575 UOL63976:UOL65575 UYH63976:UYH65575 VID63976:VID65575 VRZ63976:VRZ65575 WBV63976:WBV65575 WLR63976:WLR65575 WVN63976:WVN65575 JB129512:JB131111 SX129512:SX131111 ACT129512:ACT131111 AMP129512:AMP131111 AWL129512:AWL131111 BGH129512:BGH131111 BQD129512:BQD131111 BZZ129512:BZZ131111 CJV129512:CJV131111 CTR129512:CTR131111 DDN129512:DDN131111 DNJ129512:DNJ131111 DXF129512:DXF131111 EHB129512:EHB131111 EQX129512:EQX131111 FAT129512:FAT131111 FKP129512:FKP131111 FUL129512:FUL131111 GEH129512:GEH131111 GOD129512:GOD131111 GXZ129512:GXZ131111 HHV129512:HHV131111 HRR129512:HRR131111 IBN129512:IBN131111 ILJ129512:ILJ131111 IVF129512:IVF131111 JFB129512:JFB131111 JOX129512:JOX131111 JYT129512:JYT131111 KIP129512:KIP131111 KSL129512:KSL131111 LCH129512:LCH131111 LMD129512:LMD131111 LVZ129512:LVZ131111 MFV129512:MFV131111 MPR129512:MPR131111 MZN129512:MZN131111 NJJ129512:NJJ131111 NTF129512:NTF131111 ODB129512:ODB131111 OMX129512:OMX131111 OWT129512:OWT131111 PGP129512:PGP131111 PQL129512:PQL131111 QAH129512:QAH131111 QKD129512:QKD131111 QTZ129512:QTZ131111 RDV129512:RDV131111 RNR129512:RNR131111 RXN129512:RXN131111 SHJ129512:SHJ131111 SRF129512:SRF131111 TBB129512:TBB131111 TKX129512:TKX131111 TUT129512:TUT131111 UEP129512:UEP131111 UOL129512:UOL131111 UYH129512:UYH131111 VID129512:VID131111 VRZ129512:VRZ131111 WBV129512:WBV131111 WLR129512:WLR131111 WVN129512:WVN131111 JB195048:JB196647 SX195048:SX196647 ACT195048:ACT196647 AMP195048:AMP196647 AWL195048:AWL196647 BGH195048:BGH196647 BQD195048:BQD196647 BZZ195048:BZZ196647 CJV195048:CJV196647 CTR195048:CTR196647 DDN195048:DDN196647 DNJ195048:DNJ196647 DXF195048:DXF196647 EHB195048:EHB196647 EQX195048:EQX196647 FAT195048:FAT196647 FKP195048:FKP196647 FUL195048:FUL196647 GEH195048:GEH196647 GOD195048:GOD196647 GXZ195048:GXZ196647 HHV195048:HHV196647 HRR195048:HRR196647 IBN195048:IBN196647 ILJ195048:ILJ196647 IVF195048:IVF196647 JFB195048:JFB196647 JOX195048:JOX196647 JYT195048:JYT196647 KIP195048:KIP196647 KSL195048:KSL196647 LCH195048:LCH196647 LMD195048:LMD196647 LVZ195048:LVZ196647 MFV195048:MFV196647 MPR195048:MPR196647 MZN195048:MZN196647 NJJ195048:NJJ196647 NTF195048:NTF196647 ODB195048:ODB196647 OMX195048:OMX196647 OWT195048:OWT196647 PGP195048:PGP196647 PQL195048:PQL196647 QAH195048:QAH196647 QKD195048:QKD196647 QTZ195048:QTZ196647 RDV195048:RDV196647 RNR195048:RNR196647 RXN195048:RXN196647 SHJ195048:SHJ196647 SRF195048:SRF196647 TBB195048:TBB196647 TKX195048:TKX196647 TUT195048:TUT196647 UEP195048:UEP196647 UOL195048:UOL196647 UYH195048:UYH196647 VID195048:VID196647 VRZ195048:VRZ196647 WBV195048:WBV196647 WLR195048:WLR196647 WVN195048:WVN196647 JB260584:JB262183 SX260584:SX262183 ACT260584:ACT262183 AMP260584:AMP262183 AWL260584:AWL262183 BGH260584:BGH262183 BQD260584:BQD262183 BZZ260584:BZZ262183 CJV260584:CJV262183 CTR260584:CTR262183 DDN260584:DDN262183 DNJ260584:DNJ262183 DXF260584:DXF262183 EHB260584:EHB262183 EQX260584:EQX262183 FAT260584:FAT262183 FKP260584:FKP262183 FUL260584:FUL262183 GEH260584:GEH262183 GOD260584:GOD262183 GXZ260584:GXZ262183 HHV260584:HHV262183 HRR260584:HRR262183 IBN260584:IBN262183 ILJ260584:ILJ262183 IVF260584:IVF262183 JFB260584:JFB262183 JOX260584:JOX262183 JYT260584:JYT262183 KIP260584:KIP262183 KSL260584:KSL262183 LCH260584:LCH262183 LMD260584:LMD262183 LVZ260584:LVZ262183 MFV260584:MFV262183 MPR260584:MPR262183 MZN260584:MZN262183 NJJ260584:NJJ262183 NTF260584:NTF262183 ODB260584:ODB262183 OMX260584:OMX262183 OWT260584:OWT262183 PGP260584:PGP262183 PQL260584:PQL262183 QAH260584:QAH262183 QKD260584:QKD262183 QTZ260584:QTZ262183 RDV260584:RDV262183 RNR260584:RNR262183 RXN260584:RXN262183 SHJ260584:SHJ262183 SRF260584:SRF262183 TBB260584:TBB262183 TKX260584:TKX262183 TUT260584:TUT262183 UEP260584:UEP262183 UOL260584:UOL262183 UYH260584:UYH262183 VID260584:VID262183 VRZ260584:VRZ262183 WBV260584:WBV262183 WLR260584:WLR262183 WVN260584:WVN262183 JB326120:JB327719 SX326120:SX327719 ACT326120:ACT327719 AMP326120:AMP327719 AWL326120:AWL327719 BGH326120:BGH327719 BQD326120:BQD327719 BZZ326120:BZZ327719 CJV326120:CJV327719 CTR326120:CTR327719 DDN326120:DDN327719 DNJ326120:DNJ327719 DXF326120:DXF327719 EHB326120:EHB327719 EQX326120:EQX327719 FAT326120:FAT327719 FKP326120:FKP327719 FUL326120:FUL327719 GEH326120:GEH327719 GOD326120:GOD327719 GXZ326120:GXZ327719 HHV326120:HHV327719 HRR326120:HRR327719 IBN326120:IBN327719 ILJ326120:ILJ327719 IVF326120:IVF327719 JFB326120:JFB327719 JOX326120:JOX327719 JYT326120:JYT327719 KIP326120:KIP327719 KSL326120:KSL327719 LCH326120:LCH327719 LMD326120:LMD327719 LVZ326120:LVZ327719 MFV326120:MFV327719 MPR326120:MPR327719 MZN326120:MZN327719 NJJ326120:NJJ327719 NTF326120:NTF327719 ODB326120:ODB327719 OMX326120:OMX327719 OWT326120:OWT327719 PGP326120:PGP327719 PQL326120:PQL327719 QAH326120:QAH327719 QKD326120:QKD327719 QTZ326120:QTZ327719 RDV326120:RDV327719 RNR326120:RNR327719 RXN326120:RXN327719 SHJ326120:SHJ327719 SRF326120:SRF327719 TBB326120:TBB327719 TKX326120:TKX327719 TUT326120:TUT327719 UEP326120:UEP327719 UOL326120:UOL327719 UYH326120:UYH327719 VID326120:VID327719 VRZ326120:VRZ327719 WBV326120:WBV327719 WLR326120:WLR327719 WVN326120:WVN327719 JB391656:JB393255 SX391656:SX393255 ACT391656:ACT393255 AMP391656:AMP393255 AWL391656:AWL393255 BGH391656:BGH393255 BQD391656:BQD393255 BZZ391656:BZZ393255 CJV391656:CJV393255 CTR391656:CTR393255 DDN391656:DDN393255 DNJ391656:DNJ393255 DXF391656:DXF393255 EHB391656:EHB393255 EQX391656:EQX393255 FAT391656:FAT393255 FKP391656:FKP393255 FUL391656:FUL393255 GEH391656:GEH393255 GOD391656:GOD393255 GXZ391656:GXZ393255 HHV391656:HHV393255 HRR391656:HRR393255 IBN391656:IBN393255 ILJ391656:ILJ393255 IVF391656:IVF393255 JFB391656:JFB393255 JOX391656:JOX393255 JYT391656:JYT393255 KIP391656:KIP393255 KSL391656:KSL393255 LCH391656:LCH393255 LMD391656:LMD393255 LVZ391656:LVZ393255 MFV391656:MFV393255 MPR391656:MPR393255 MZN391656:MZN393255 NJJ391656:NJJ393255 NTF391656:NTF393255 ODB391656:ODB393255 OMX391656:OMX393255 OWT391656:OWT393255 PGP391656:PGP393255 PQL391656:PQL393255 QAH391656:QAH393255 QKD391656:QKD393255 QTZ391656:QTZ393255 RDV391656:RDV393255 RNR391656:RNR393255 RXN391656:RXN393255 SHJ391656:SHJ393255 SRF391656:SRF393255 TBB391656:TBB393255 TKX391656:TKX393255 TUT391656:TUT393255 UEP391656:UEP393255 UOL391656:UOL393255 UYH391656:UYH393255 VID391656:VID393255 VRZ391656:VRZ393255 WBV391656:WBV393255 WLR391656:WLR393255 WVN391656:WVN393255 JB457192:JB458791 SX457192:SX458791 ACT457192:ACT458791 AMP457192:AMP458791 AWL457192:AWL458791 BGH457192:BGH458791 BQD457192:BQD458791 BZZ457192:BZZ458791 CJV457192:CJV458791 CTR457192:CTR458791 DDN457192:DDN458791 DNJ457192:DNJ458791 DXF457192:DXF458791 EHB457192:EHB458791 EQX457192:EQX458791 FAT457192:FAT458791 FKP457192:FKP458791 FUL457192:FUL458791 GEH457192:GEH458791 GOD457192:GOD458791 GXZ457192:GXZ458791 HHV457192:HHV458791 HRR457192:HRR458791 IBN457192:IBN458791 ILJ457192:ILJ458791 IVF457192:IVF458791 JFB457192:JFB458791 JOX457192:JOX458791 JYT457192:JYT458791 KIP457192:KIP458791 KSL457192:KSL458791 LCH457192:LCH458791 LMD457192:LMD458791 LVZ457192:LVZ458791 MFV457192:MFV458791 MPR457192:MPR458791 MZN457192:MZN458791 NJJ457192:NJJ458791 NTF457192:NTF458791 ODB457192:ODB458791 OMX457192:OMX458791 OWT457192:OWT458791 PGP457192:PGP458791 PQL457192:PQL458791 QAH457192:QAH458791 QKD457192:QKD458791 QTZ457192:QTZ458791 RDV457192:RDV458791 RNR457192:RNR458791 RXN457192:RXN458791 SHJ457192:SHJ458791 SRF457192:SRF458791 TBB457192:TBB458791 TKX457192:TKX458791 TUT457192:TUT458791 UEP457192:UEP458791 UOL457192:UOL458791 UYH457192:UYH458791 VID457192:VID458791 VRZ457192:VRZ458791 WBV457192:WBV458791 WLR457192:WLR458791 WVN457192:WVN458791 JB522728:JB524327 SX522728:SX524327 ACT522728:ACT524327 AMP522728:AMP524327 AWL522728:AWL524327 BGH522728:BGH524327 BQD522728:BQD524327 BZZ522728:BZZ524327 CJV522728:CJV524327 CTR522728:CTR524327 DDN522728:DDN524327 DNJ522728:DNJ524327 DXF522728:DXF524327 EHB522728:EHB524327 EQX522728:EQX524327 FAT522728:FAT524327 FKP522728:FKP524327 FUL522728:FUL524327 GEH522728:GEH524327 GOD522728:GOD524327 GXZ522728:GXZ524327 HHV522728:HHV524327 HRR522728:HRR524327 IBN522728:IBN524327 ILJ522728:ILJ524327 IVF522728:IVF524327 JFB522728:JFB524327 JOX522728:JOX524327 JYT522728:JYT524327 KIP522728:KIP524327 KSL522728:KSL524327 LCH522728:LCH524327 LMD522728:LMD524327 LVZ522728:LVZ524327 MFV522728:MFV524327 MPR522728:MPR524327 MZN522728:MZN524327 NJJ522728:NJJ524327 NTF522728:NTF524327 ODB522728:ODB524327 OMX522728:OMX524327 OWT522728:OWT524327 PGP522728:PGP524327 PQL522728:PQL524327 QAH522728:QAH524327 QKD522728:QKD524327 QTZ522728:QTZ524327 RDV522728:RDV524327 RNR522728:RNR524327 RXN522728:RXN524327 SHJ522728:SHJ524327 SRF522728:SRF524327 TBB522728:TBB524327 TKX522728:TKX524327 TUT522728:TUT524327 UEP522728:UEP524327 UOL522728:UOL524327 UYH522728:UYH524327 VID522728:VID524327 VRZ522728:VRZ524327 WBV522728:WBV524327 WLR522728:WLR524327 WVN522728:WVN524327 JB588264:JB589863 SX588264:SX589863 ACT588264:ACT589863 AMP588264:AMP589863 AWL588264:AWL589863 BGH588264:BGH589863 BQD588264:BQD589863 BZZ588264:BZZ589863 CJV588264:CJV589863 CTR588264:CTR589863 DDN588264:DDN589863 DNJ588264:DNJ589863 DXF588264:DXF589863 EHB588264:EHB589863 EQX588264:EQX589863 FAT588264:FAT589863 FKP588264:FKP589863 FUL588264:FUL589863 GEH588264:GEH589863 GOD588264:GOD589863 GXZ588264:GXZ589863 HHV588264:HHV589863 HRR588264:HRR589863 IBN588264:IBN589863 ILJ588264:ILJ589863 IVF588264:IVF589863 JFB588264:JFB589863 JOX588264:JOX589863 JYT588264:JYT589863 KIP588264:KIP589863 KSL588264:KSL589863 LCH588264:LCH589863 LMD588264:LMD589863 LVZ588264:LVZ589863 MFV588264:MFV589863 MPR588264:MPR589863 MZN588264:MZN589863 NJJ588264:NJJ589863 NTF588264:NTF589863 ODB588264:ODB589863 OMX588264:OMX589863 OWT588264:OWT589863 PGP588264:PGP589863 PQL588264:PQL589863 QAH588264:QAH589863 QKD588264:QKD589863 QTZ588264:QTZ589863 RDV588264:RDV589863 RNR588264:RNR589863 RXN588264:RXN589863 SHJ588264:SHJ589863 SRF588264:SRF589863 TBB588264:TBB589863 TKX588264:TKX589863 TUT588264:TUT589863 UEP588264:UEP589863 UOL588264:UOL589863 UYH588264:UYH589863 VID588264:VID589863 VRZ588264:VRZ589863 WBV588264:WBV589863 WLR588264:WLR589863 WVN588264:WVN589863 JB653800:JB655399 SX653800:SX655399 ACT653800:ACT655399 AMP653800:AMP655399 AWL653800:AWL655399 BGH653800:BGH655399 BQD653800:BQD655399 BZZ653800:BZZ655399 CJV653800:CJV655399 CTR653800:CTR655399 DDN653800:DDN655399 DNJ653800:DNJ655399 DXF653800:DXF655399 EHB653800:EHB655399 EQX653800:EQX655399 FAT653800:FAT655399 FKP653800:FKP655399 FUL653800:FUL655399 GEH653800:GEH655399 GOD653800:GOD655399 GXZ653800:GXZ655399 HHV653800:HHV655399 HRR653800:HRR655399 IBN653800:IBN655399 ILJ653800:ILJ655399 IVF653800:IVF655399 JFB653800:JFB655399 JOX653800:JOX655399 JYT653800:JYT655399 KIP653800:KIP655399 KSL653800:KSL655399 LCH653800:LCH655399 LMD653800:LMD655399 LVZ653800:LVZ655399 MFV653800:MFV655399 MPR653800:MPR655399 MZN653800:MZN655399 NJJ653800:NJJ655399 NTF653800:NTF655399 ODB653800:ODB655399 OMX653800:OMX655399 OWT653800:OWT655399 PGP653800:PGP655399 PQL653800:PQL655399 QAH653800:QAH655399 QKD653800:QKD655399 QTZ653800:QTZ655399 RDV653800:RDV655399 RNR653800:RNR655399 RXN653800:RXN655399 SHJ653800:SHJ655399 SRF653800:SRF655399 TBB653800:TBB655399 TKX653800:TKX655399 TUT653800:TUT655399 UEP653800:UEP655399 UOL653800:UOL655399 UYH653800:UYH655399 VID653800:VID655399 VRZ653800:VRZ655399 WBV653800:WBV655399 WLR653800:WLR655399 WVN653800:WVN655399 JB719336:JB720935 SX719336:SX720935 ACT719336:ACT720935 AMP719336:AMP720935 AWL719336:AWL720935 BGH719336:BGH720935 BQD719336:BQD720935 BZZ719336:BZZ720935 CJV719336:CJV720935 CTR719336:CTR720935 DDN719336:DDN720935 DNJ719336:DNJ720935 DXF719336:DXF720935 EHB719336:EHB720935 EQX719336:EQX720935 FAT719336:FAT720935 FKP719336:FKP720935 FUL719336:FUL720935 GEH719336:GEH720935 GOD719336:GOD720935 GXZ719336:GXZ720935 HHV719336:HHV720935 HRR719336:HRR720935 IBN719336:IBN720935 ILJ719336:ILJ720935 IVF719336:IVF720935 JFB719336:JFB720935 JOX719336:JOX720935 JYT719336:JYT720935 KIP719336:KIP720935 KSL719336:KSL720935 LCH719336:LCH720935 LMD719336:LMD720935 LVZ719336:LVZ720935 MFV719336:MFV720935 MPR719336:MPR720935 MZN719336:MZN720935 NJJ719336:NJJ720935 NTF719336:NTF720935 ODB719336:ODB720935 OMX719336:OMX720935 OWT719336:OWT720935 PGP719336:PGP720935 PQL719336:PQL720935 QAH719336:QAH720935 QKD719336:QKD720935 QTZ719336:QTZ720935 RDV719336:RDV720935 RNR719336:RNR720935 RXN719336:RXN720935 SHJ719336:SHJ720935 SRF719336:SRF720935 TBB719336:TBB720935 TKX719336:TKX720935 TUT719336:TUT720935 UEP719336:UEP720935 UOL719336:UOL720935 UYH719336:UYH720935 VID719336:VID720935 VRZ719336:VRZ720935 WBV719336:WBV720935 WLR719336:WLR720935 WVN719336:WVN720935 JB784872:JB786471 SX784872:SX786471 ACT784872:ACT786471 AMP784872:AMP786471 AWL784872:AWL786471 BGH784872:BGH786471 BQD784872:BQD786471 BZZ784872:BZZ786471 CJV784872:CJV786471 CTR784872:CTR786471 DDN784872:DDN786471 DNJ784872:DNJ786471 DXF784872:DXF786471 EHB784872:EHB786471 EQX784872:EQX786471 FAT784872:FAT786471 FKP784872:FKP786471 FUL784872:FUL786471 GEH784872:GEH786471 GOD784872:GOD786471 GXZ784872:GXZ786471 HHV784872:HHV786471 HRR784872:HRR786471 IBN784872:IBN786471 ILJ784872:ILJ786471 IVF784872:IVF786471 JFB784872:JFB786471 JOX784872:JOX786471 JYT784872:JYT786471 KIP784872:KIP786471 KSL784872:KSL786471 LCH784872:LCH786471 LMD784872:LMD786471 LVZ784872:LVZ786471 MFV784872:MFV786471 MPR784872:MPR786471 MZN784872:MZN786471 NJJ784872:NJJ786471 NTF784872:NTF786471 ODB784872:ODB786471 OMX784872:OMX786471 OWT784872:OWT786471 PGP784872:PGP786471 PQL784872:PQL786471 QAH784872:QAH786471 QKD784872:QKD786471 QTZ784872:QTZ786471 RDV784872:RDV786471 RNR784872:RNR786471 RXN784872:RXN786471 SHJ784872:SHJ786471 SRF784872:SRF786471 TBB784872:TBB786471 TKX784872:TKX786471 TUT784872:TUT786471 UEP784872:UEP786471 UOL784872:UOL786471 UYH784872:UYH786471 VID784872:VID786471 VRZ784872:VRZ786471 WBV784872:WBV786471 WLR784872:WLR786471 WVN784872:WVN786471 JB850408:JB852007 SX850408:SX852007 ACT850408:ACT852007 AMP850408:AMP852007 AWL850408:AWL852007 BGH850408:BGH852007 BQD850408:BQD852007 BZZ850408:BZZ852007 CJV850408:CJV852007 CTR850408:CTR852007 DDN850408:DDN852007 DNJ850408:DNJ852007 DXF850408:DXF852007 EHB850408:EHB852007 EQX850408:EQX852007 FAT850408:FAT852007 FKP850408:FKP852007 FUL850408:FUL852007 GEH850408:GEH852007 GOD850408:GOD852007 GXZ850408:GXZ852007 HHV850408:HHV852007 HRR850408:HRR852007 IBN850408:IBN852007 ILJ850408:ILJ852007 IVF850408:IVF852007 JFB850408:JFB852007 JOX850408:JOX852007 JYT850408:JYT852007 KIP850408:KIP852007 KSL850408:KSL852007 LCH850408:LCH852007 LMD850408:LMD852007 LVZ850408:LVZ852007 MFV850408:MFV852007 MPR850408:MPR852007 MZN850408:MZN852007 NJJ850408:NJJ852007 NTF850408:NTF852007 ODB850408:ODB852007 OMX850408:OMX852007 OWT850408:OWT852007 PGP850408:PGP852007 PQL850408:PQL852007 QAH850408:QAH852007 QKD850408:QKD852007 QTZ850408:QTZ852007 RDV850408:RDV852007 RNR850408:RNR852007 RXN850408:RXN852007 SHJ850408:SHJ852007 SRF850408:SRF852007 TBB850408:TBB852007 TKX850408:TKX852007 TUT850408:TUT852007 UEP850408:UEP852007 UOL850408:UOL852007 UYH850408:UYH852007 VID850408:VID852007 VRZ850408:VRZ852007 WBV850408:WBV852007 WLR850408:WLR852007 WVN850408:WVN852007 JB915944:JB917543 SX915944:SX917543 ACT915944:ACT917543 AMP915944:AMP917543 AWL915944:AWL917543 BGH915944:BGH917543 BQD915944:BQD917543 BZZ915944:BZZ917543 CJV915944:CJV917543 CTR915944:CTR917543 DDN915944:DDN917543 DNJ915944:DNJ917543 DXF915944:DXF917543 EHB915944:EHB917543 EQX915944:EQX917543 FAT915944:FAT917543 FKP915944:FKP917543 FUL915944:FUL917543 GEH915944:GEH917543 GOD915944:GOD917543 GXZ915944:GXZ917543 HHV915944:HHV917543 HRR915944:HRR917543 IBN915944:IBN917543 ILJ915944:ILJ917543 IVF915944:IVF917543 JFB915944:JFB917543 JOX915944:JOX917543 JYT915944:JYT917543 KIP915944:KIP917543 KSL915944:KSL917543 LCH915944:LCH917543 LMD915944:LMD917543 LVZ915944:LVZ917543 MFV915944:MFV917543 MPR915944:MPR917543 MZN915944:MZN917543 NJJ915944:NJJ917543 NTF915944:NTF917543 ODB915944:ODB917543 OMX915944:OMX917543 OWT915944:OWT917543 PGP915944:PGP917543 PQL915944:PQL917543 QAH915944:QAH917543 QKD915944:QKD917543 QTZ915944:QTZ917543 RDV915944:RDV917543 RNR915944:RNR917543 RXN915944:RXN917543 SHJ915944:SHJ917543 SRF915944:SRF917543 TBB915944:TBB917543 TKX915944:TKX917543 TUT915944:TUT917543 UEP915944:UEP917543 UOL915944:UOL917543 UYH915944:UYH917543 VID915944:VID917543 VRZ915944:VRZ917543 WBV915944:WBV917543 WLR915944:WLR917543 WVN915944:WVN917543 JB981480:JB983079 SX981480:SX983079 ACT981480:ACT983079 AMP981480:AMP983079 AWL981480:AWL983079 BGH981480:BGH983079 BQD981480:BQD983079 BZZ981480:BZZ983079 CJV981480:CJV983079 CTR981480:CTR983079 DDN981480:DDN983079 DNJ981480:DNJ983079 DXF981480:DXF983079 EHB981480:EHB983079 EQX981480:EQX983079 FAT981480:FAT983079 FKP981480:FKP983079 FUL981480:FUL983079 GEH981480:GEH983079 GOD981480:GOD983079 GXZ981480:GXZ983079 HHV981480:HHV983079 HRR981480:HRR983079 IBN981480:IBN983079 ILJ981480:ILJ983079 IVF981480:IVF983079 JFB981480:JFB983079 JOX981480:JOX983079 JYT981480:JYT983079 KIP981480:KIP983079 KSL981480:KSL983079 LCH981480:LCH983079 LMD981480:LMD983079 LVZ981480:LVZ983079 MFV981480:MFV983079 MPR981480:MPR983079 MZN981480:MZN983079 NJJ981480:NJJ983079 NTF981480:NTF983079 ODB981480:ODB983079 OMX981480:OMX983079 OWT981480:OWT983079 PGP981480:PGP983079 PQL981480:PQL983079 QAH981480:QAH983079 QKD981480:QKD983079 QTZ981480:QTZ983079 RDV981480:RDV983079 RNR981480:RNR983079 RXN981480:RXN983079 SHJ981480:SHJ983079 SRF981480:SRF983079 TBB981480:TBB983079 TKX981480:TKX983079 TUT981480:TUT983079 UEP981480:UEP983079 UOL981480:UOL983079 UYH981480:UYH983079 VID981480:VID983079 VRZ981480:VRZ983079 WBV981480:WBV983079 WLR981480:WLR983079 WVN981480:WVN983079 JD63976:JD65575 SZ63976:SZ65575 ACV63976:ACV65575 AMR63976:AMR65575 AWN63976:AWN65575 BGJ63976:BGJ65575 BQF63976:BQF65575 CAB63976:CAB65575 CJX63976:CJX65575 CTT63976:CTT65575 DDP63976:DDP65575 DNL63976:DNL65575 DXH63976:DXH65575 EHD63976:EHD65575 EQZ63976:EQZ65575 FAV63976:FAV65575 FKR63976:FKR65575 FUN63976:FUN65575 GEJ63976:GEJ65575 GOF63976:GOF65575 GYB63976:GYB65575 HHX63976:HHX65575 HRT63976:HRT65575 IBP63976:IBP65575 ILL63976:ILL65575 IVH63976:IVH65575 JFD63976:JFD65575 JOZ63976:JOZ65575 JYV63976:JYV65575 KIR63976:KIR65575 KSN63976:KSN65575 LCJ63976:LCJ65575 LMF63976:LMF65575 LWB63976:LWB65575 MFX63976:MFX65575 MPT63976:MPT65575 MZP63976:MZP65575 NJL63976:NJL65575 NTH63976:NTH65575 ODD63976:ODD65575 OMZ63976:OMZ65575 OWV63976:OWV65575 PGR63976:PGR65575 PQN63976:PQN65575 QAJ63976:QAJ65575 QKF63976:QKF65575 QUB63976:QUB65575 RDX63976:RDX65575 RNT63976:RNT65575 RXP63976:RXP65575 SHL63976:SHL65575 SRH63976:SRH65575 TBD63976:TBD65575 TKZ63976:TKZ65575 TUV63976:TUV65575 UER63976:UER65575 UON63976:UON65575 UYJ63976:UYJ65575 VIF63976:VIF65575 VSB63976:VSB65575 WBX63976:WBX65575 WLT63976:WLT65575 WVP63976:WVP65575 JD129512:JD131111 SZ129512:SZ131111 ACV129512:ACV131111 AMR129512:AMR131111 AWN129512:AWN131111 BGJ129512:BGJ131111 BQF129512:BQF131111 CAB129512:CAB131111 CJX129512:CJX131111 CTT129512:CTT131111 DDP129512:DDP131111 DNL129512:DNL131111 DXH129512:DXH131111 EHD129512:EHD131111 EQZ129512:EQZ131111 FAV129512:FAV131111 FKR129512:FKR131111 FUN129512:FUN131111 GEJ129512:GEJ131111 GOF129512:GOF131111 GYB129512:GYB131111 HHX129512:HHX131111 HRT129512:HRT131111 IBP129512:IBP131111 ILL129512:ILL131111 IVH129512:IVH131111 JFD129512:JFD131111 JOZ129512:JOZ131111 JYV129512:JYV131111 KIR129512:KIR131111 KSN129512:KSN131111 LCJ129512:LCJ131111 LMF129512:LMF131111 LWB129512:LWB131111 MFX129512:MFX131111 MPT129512:MPT131111 MZP129512:MZP131111 NJL129512:NJL131111 NTH129512:NTH131111 ODD129512:ODD131111 OMZ129512:OMZ131111 OWV129512:OWV131111 PGR129512:PGR131111 PQN129512:PQN131111 QAJ129512:QAJ131111 QKF129512:QKF131111 QUB129512:QUB131111 RDX129512:RDX131111 RNT129512:RNT131111 RXP129512:RXP131111 SHL129512:SHL131111 SRH129512:SRH131111 TBD129512:TBD131111 TKZ129512:TKZ131111 TUV129512:TUV131111 UER129512:UER131111 UON129512:UON131111 UYJ129512:UYJ131111 VIF129512:VIF131111 VSB129512:VSB131111 WBX129512:WBX131111 WLT129512:WLT131111 WVP129512:WVP131111 JD195048:JD196647 SZ195048:SZ196647 ACV195048:ACV196647 AMR195048:AMR196647 AWN195048:AWN196647 BGJ195048:BGJ196647 BQF195048:BQF196647 CAB195048:CAB196647 CJX195048:CJX196647 CTT195048:CTT196647 DDP195048:DDP196647 DNL195048:DNL196647 DXH195048:DXH196647 EHD195048:EHD196647 EQZ195048:EQZ196647 FAV195048:FAV196647 FKR195048:FKR196647 FUN195048:FUN196647 GEJ195048:GEJ196647 GOF195048:GOF196647 GYB195048:GYB196647 HHX195048:HHX196647 HRT195048:HRT196647 IBP195048:IBP196647 ILL195048:ILL196647 IVH195048:IVH196647 JFD195048:JFD196647 JOZ195048:JOZ196647 JYV195048:JYV196647 KIR195048:KIR196647 KSN195048:KSN196647 LCJ195048:LCJ196647 LMF195048:LMF196647 LWB195048:LWB196647 MFX195048:MFX196647 MPT195048:MPT196647 MZP195048:MZP196647 NJL195048:NJL196647 NTH195048:NTH196647 ODD195048:ODD196647 OMZ195048:OMZ196647 OWV195048:OWV196647 PGR195048:PGR196647 PQN195048:PQN196647 QAJ195048:QAJ196647 QKF195048:QKF196647 QUB195048:QUB196647 RDX195048:RDX196647 RNT195048:RNT196647 RXP195048:RXP196647 SHL195048:SHL196647 SRH195048:SRH196647 TBD195048:TBD196647 TKZ195048:TKZ196647 TUV195048:TUV196647 UER195048:UER196647 UON195048:UON196647 UYJ195048:UYJ196647 VIF195048:VIF196647 VSB195048:VSB196647 WBX195048:WBX196647 WLT195048:WLT196647 WVP195048:WVP196647 JD260584:JD262183 SZ260584:SZ262183 ACV260584:ACV262183 AMR260584:AMR262183 AWN260584:AWN262183 BGJ260584:BGJ262183 BQF260584:BQF262183 CAB260584:CAB262183 CJX260584:CJX262183 CTT260584:CTT262183 DDP260584:DDP262183 DNL260584:DNL262183 DXH260584:DXH262183 EHD260584:EHD262183 EQZ260584:EQZ262183 FAV260584:FAV262183 FKR260584:FKR262183 FUN260584:FUN262183 GEJ260584:GEJ262183 GOF260584:GOF262183 GYB260584:GYB262183 HHX260584:HHX262183 HRT260584:HRT262183 IBP260584:IBP262183 ILL260584:ILL262183 IVH260584:IVH262183 JFD260584:JFD262183 JOZ260584:JOZ262183 JYV260584:JYV262183 KIR260584:KIR262183 KSN260584:KSN262183 LCJ260584:LCJ262183 LMF260584:LMF262183 LWB260584:LWB262183 MFX260584:MFX262183 MPT260584:MPT262183 MZP260584:MZP262183 NJL260584:NJL262183 NTH260584:NTH262183 ODD260584:ODD262183 OMZ260584:OMZ262183 OWV260584:OWV262183 PGR260584:PGR262183 PQN260584:PQN262183 QAJ260584:QAJ262183 QKF260584:QKF262183 QUB260584:QUB262183 RDX260584:RDX262183 RNT260584:RNT262183 RXP260584:RXP262183 SHL260584:SHL262183 SRH260584:SRH262183 TBD260584:TBD262183 TKZ260584:TKZ262183 TUV260584:TUV262183 UER260584:UER262183 UON260584:UON262183 UYJ260584:UYJ262183 VIF260584:VIF262183 VSB260584:VSB262183 WBX260584:WBX262183 WLT260584:WLT262183 WVP260584:WVP262183 JD326120:JD327719 SZ326120:SZ327719 ACV326120:ACV327719 AMR326120:AMR327719 AWN326120:AWN327719 BGJ326120:BGJ327719 BQF326120:BQF327719 CAB326120:CAB327719 CJX326120:CJX327719 CTT326120:CTT327719 DDP326120:DDP327719 DNL326120:DNL327719 DXH326120:DXH327719 EHD326120:EHD327719 EQZ326120:EQZ327719 FAV326120:FAV327719 FKR326120:FKR327719 FUN326120:FUN327719 GEJ326120:GEJ327719 GOF326120:GOF327719 GYB326120:GYB327719 HHX326120:HHX327719 HRT326120:HRT327719 IBP326120:IBP327719 ILL326120:ILL327719 IVH326120:IVH327719 JFD326120:JFD327719 JOZ326120:JOZ327719 JYV326120:JYV327719 KIR326120:KIR327719 KSN326120:KSN327719 LCJ326120:LCJ327719 LMF326120:LMF327719 LWB326120:LWB327719 MFX326120:MFX327719 MPT326120:MPT327719 MZP326120:MZP327719 NJL326120:NJL327719 NTH326120:NTH327719 ODD326120:ODD327719 OMZ326120:OMZ327719 OWV326120:OWV327719 PGR326120:PGR327719 PQN326120:PQN327719 QAJ326120:QAJ327719 QKF326120:QKF327719 QUB326120:QUB327719 RDX326120:RDX327719 RNT326120:RNT327719 RXP326120:RXP327719 SHL326120:SHL327719 SRH326120:SRH327719 TBD326120:TBD327719 TKZ326120:TKZ327719 TUV326120:TUV327719 UER326120:UER327719 UON326120:UON327719 UYJ326120:UYJ327719 VIF326120:VIF327719 VSB326120:VSB327719 WBX326120:WBX327719 WLT326120:WLT327719 WVP326120:WVP327719 JD391656:JD393255 SZ391656:SZ393255 ACV391656:ACV393255 AMR391656:AMR393255 AWN391656:AWN393255 BGJ391656:BGJ393255 BQF391656:BQF393255 CAB391656:CAB393255 CJX391656:CJX393255 CTT391656:CTT393255 DDP391656:DDP393255 DNL391656:DNL393255 DXH391656:DXH393255 EHD391656:EHD393255 EQZ391656:EQZ393255 FAV391656:FAV393255 FKR391656:FKR393255 FUN391656:FUN393255 GEJ391656:GEJ393255 GOF391656:GOF393255 GYB391656:GYB393255 HHX391656:HHX393255 HRT391656:HRT393255 IBP391656:IBP393255 ILL391656:ILL393255 IVH391656:IVH393255 JFD391656:JFD393255 JOZ391656:JOZ393255 JYV391656:JYV393255 KIR391656:KIR393255 KSN391656:KSN393255 LCJ391656:LCJ393255 LMF391656:LMF393255 LWB391656:LWB393255 MFX391656:MFX393255 MPT391656:MPT393255 MZP391656:MZP393255 NJL391656:NJL393255 NTH391656:NTH393255 ODD391656:ODD393255 OMZ391656:OMZ393255 OWV391656:OWV393255 PGR391656:PGR393255 PQN391656:PQN393255 QAJ391656:QAJ393255 QKF391656:QKF393255 QUB391656:QUB393255 RDX391656:RDX393255 RNT391656:RNT393255 RXP391656:RXP393255 SHL391656:SHL393255 SRH391656:SRH393255 TBD391656:TBD393255 TKZ391656:TKZ393255 TUV391656:TUV393255 UER391656:UER393255 UON391656:UON393255 UYJ391656:UYJ393255 VIF391656:VIF393255 VSB391656:VSB393255 WBX391656:WBX393255 WLT391656:WLT393255 WVP391656:WVP393255 JD457192:JD458791 SZ457192:SZ458791 ACV457192:ACV458791 AMR457192:AMR458791 AWN457192:AWN458791 BGJ457192:BGJ458791 BQF457192:BQF458791 CAB457192:CAB458791 CJX457192:CJX458791 CTT457192:CTT458791 DDP457192:DDP458791 DNL457192:DNL458791 DXH457192:DXH458791 EHD457192:EHD458791 EQZ457192:EQZ458791 FAV457192:FAV458791 FKR457192:FKR458791 FUN457192:FUN458791 GEJ457192:GEJ458791 GOF457192:GOF458791 GYB457192:GYB458791 HHX457192:HHX458791 HRT457192:HRT458791 IBP457192:IBP458791 ILL457192:ILL458791 IVH457192:IVH458791 JFD457192:JFD458791 JOZ457192:JOZ458791 JYV457192:JYV458791 KIR457192:KIR458791 KSN457192:KSN458791 LCJ457192:LCJ458791 LMF457192:LMF458791 LWB457192:LWB458791 MFX457192:MFX458791 MPT457192:MPT458791 MZP457192:MZP458791 NJL457192:NJL458791 NTH457192:NTH458791 ODD457192:ODD458791 OMZ457192:OMZ458791 OWV457192:OWV458791 PGR457192:PGR458791 PQN457192:PQN458791 QAJ457192:QAJ458791 QKF457192:QKF458791 QUB457192:QUB458791 RDX457192:RDX458791 RNT457192:RNT458791 RXP457192:RXP458791 SHL457192:SHL458791 SRH457192:SRH458791 TBD457192:TBD458791 TKZ457192:TKZ458791 TUV457192:TUV458791 UER457192:UER458791 UON457192:UON458791 UYJ457192:UYJ458791 VIF457192:VIF458791 VSB457192:VSB458791 WBX457192:WBX458791 WLT457192:WLT458791 WVP457192:WVP458791 JD522728:JD524327 SZ522728:SZ524327 ACV522728:ACV524327 AMR522728:AMR524327 AWN522728:AWN524327 BGJ522728:BGJ524327 BQF522728:BQF524327 CAB522728:CAB524327 CJX522728:CJX524327 CTT522728:CTT524327 DDP522728:DDP524327 DNL522728:DNL524327 DXH522728:DXH524327 EHD522728:EHD524327 EQZ522728:EQZ524327 FAV522728:FAV524327 FKR522728:FKR524327 FUN522728:FUN524327 GEJ522728:GEJ524327 GOF522728:GOF524327 GYB522728:GYB524327 HHX522728:HHX524327 HRT522728:HRT524327 IBP522728:IBP524327 ILL522728:ILL524327 IVH522728:IVH524327 JFD522728:JFD524327 JOZ522728:JOZ524327 JYV522728:JYV524327 KIR522728:KIR524327 KSN522728:KSN524327 LCJ522728:LCJ524327 LMF522728:LMF524327 LWB522728:LWB524327 MFX522728:MFX524327 MPT522728:MPT524327 MZP522728:MZP524327 NJL522728:NJL524327 NTH522728:NTH524327 ODD522728:ODD524327 OMZ522728:OMZ524327 OWV522728:OWV524327 PGR522728:PGR524327 PQN522728:PQN524327 QAJ522728:QAJ524327 QKF522728:QKF524327 QUB522728:QUB524327 RDX522728:RDX524327 RNT522728:RNT524327 RXP522728:RXP524327 SHL522728:SHL524327 SRH522728:SRH524327 TBD522728:TBD524327 TKZ522728:TKZ524327 TUV522728:TUV524327 UER522728:UER524327 UON522728:UON524327 UYJ522728:UYJ524327 VIF522728:VIF524327 VSB522728:VSB524327 WBX522728:WBX524327 WLT522728:WLT524327 WVP522728:WVP524327 JD588264:JD589863 SZ588264:SZ589863 ACV588264:ACV589863 AMR588264:AMR589863 AWN588264:AWN589863 BGJ588264:BGJ589863 BQF588264:BQF589863 CAB588264:CAB589863 CJX588264:CJX589863 CTT588264:CTT589863 DDP588264:DDP589863 DNL588264:DNL589863 DXH588264:DXH589863 EHD588264:EHD589863 EQZ588264:EQZ589863 FAV588264:FAV589863 FKR588264:FKR589863 FUN588264:FUN589863 GEJ588264:GEJ589863 GOF588264:GOF589863 GYB588264:GYB589863 HHX588264:HHX589863 HRT588264:HRT589863 IBP588264:IBP589863 ILL588264:ILL589863 IVH588264:IVH589863 JFD588264:JFD589863 JOZ588264:JOZ589863 JYV588264:JYV589863 KIR588264:KIR589863 KSN588264:KSN589863 LCJ588264:LCJ589863 LMF588264:LMF589863 LWB588264:LWB589863 MFX588264:MFX589863 MPT588264:MPT589863 MZP588264:MZP589863 NJL588264:NJL589863 NTH588264:NTH589863 ODD588264:ODD589863 OMZ588264:OMZ589863 OWV588264:OWV589863 PGR588264:PGR589863 PQN588264:PQN589863 QAJ588264:QAJ589863 QKF588264:QKF589863 QUB588264:QUB589863 RDX588264:RDX589863 RNT588264:RNT589863 RXP588264:RXP589863 SHL588264:SHL589863 SRH588264:SRH589863 TBD588264:TBD589863 TKZ588264:TKZ589863 TUV588264:TUV589863 UER588264:UER589863 UON588264:UON589863 UYJ588264:UYJ589863 VIF588264:VIF589863 VSB588264:VSB589863 WBX588264:WBX589863 WLT588264:WLT589863 WVP588264:WVP589863 JD653800:JD655399 SZ653800:SZ655399 ACV653800:ACV655399 AMR653800:AMR655399 AWN653800:AWN655399 BGJ653800:BGJ655399 BQF653800:BQF655399 CAB653800:CAB655399 CJX653800:CJX655399 CTT653800:CTT655399 DDP653800:DDP655399 DNL653800:DNL655399 DXH653800:DXH655399 EHD653800:EHD655399 EQZ653800:EQZ655399 FAV653800:FAV655399 FKR653800:FKR655399 FUN653800:FUN655399 GEJ653800:GEJ655399 GOF653800:GOF655399 GYB653800:GYB655399 HHX653800:HHX655399 HRT653800:HRT655399 IBP653800:IBP655399 ILL653800:ILL655399 IVH653800:IVH655399 JFD653800:JFD655399 JOZ653800:JOZ655399 JYV653800:JYV655399 KIR653800:KIR655399 KSN653800:KSN655399 LCJ653800:LCJ655399 LMF653800:LMF655399 LWB653800:LWB655399 MFX653800:MFX655399 MPT653800:MPT655399 MZP653800:MZP655399 NJL653800:NJL655399 NTH653800:NTH655399 ODD653800:ODD655399 OMZ653800:OMZ655399 OWV653800:OWV655399 PGR653800:PGR655399 PQN653800:PQN655399 QAJ653800:QAJ655399 QKF653800:QKF655399 QUB653800:QUB655399 RDX653800:RDX655399 RNT653800:RNT655399 RXP653800:RXP655399 SHL653800:SHL655399 SRH653800:SRH655399 TBD653800:TBD655399 TKZ653800:TKZ655399 TUV653800:TUV655399 UER653800:UER655399 UON653800:UON655399 UYJ653800:UYJ655399 VIF653800:VIF655399 VSB653800:VSB655399 WBX653800:WBX655399 WLT653800:WLT655399 WVP653800:WVP655399 JD719336:JD720935 SZ719336:SZ720935 ACV719336:ACV720935 AMR719336:AMR720935 AWN719336:AWN720935 BGJ719336:BGJ720935 BQF719336:BQF720935 CAB719336:CAB720935 CJX719336:CJX720935 CTT719336:CTT720935 DDP719336:DDP720935 DNL719336:DNL720935 DXH719336:DXH720935 EHD719336:EHD720935 EQZ719336:EQZ720935 FAV719336:FAV720935 FKR719336:FKR720935 FUN719336:FUN720935 GEJ719336:GEJ720935 GOF719336:GOF720935 GYB719336:GYB720935 HHX719336:HHX720935 HRT719336:HRT720935 IBP719336:IBP720935 ILL719336:ILL720935 IVH719336:IVH720935 JFD719336:JFD720935 JOZ719336:JOZ720935 JYV719336:JYV720935 KIR719336:KIR720935 KSN719336:KSN720935 LCJ719336:LCJ720935 LMF719336:LMF720935 LWB719336:LWB720935 MFX719336:MFX720935 MPT719336:MPT720935 MZP719336:MZP720935 NJL719336:NJL720935 NTH719336:NTH720935 ODD719336:ODD720935 OMZ719336:OMZ720935 OWV719336:OWV720935 PGR719336:PGR720935 PQN719336:PQN720935 QAJ719336:QAJ720935 QKF719336:QKF720935 QUB719336:QUB720935 RDX719336:RDX720935 RNT719336:RNT720935 RXP719336:RXP720935 SHL719336:SHL720935 SRH719336:SRH720935 TBD719336:TBD720935 TKZ719336:TKZ720935 TUV719336:TUV720935 UER719336:UER720935 UON719336:UON720935 UYJ719336:UYJ720935 VIF719336:VIF720935 VSB719336:VSB720935 WBX719336:WBX720935 WLT719336:WLT720935 WVP719336:WVP720935 JD784872:JD786471 SZ784872:SZ786471 ACV784872:ACV786471 AMR784872:AMR786471 AWN784872:AWN786471 BGJ784872:BGJ786471 BQF784872:BQF786471 CAB784872:CAB786471 CJX784872:CJX786471 CTT784872:CTT786471 DDP784872:DDP786471 DNL784872:DNL786471 DXH784872:DXH786471 EHD784872:EHD786471 EQZ784872:EQZ786471 FAV784872:FAV786471 FKR784872:FKR786471 FUN784872:FUN786471 GEJ784872:GEJ786471 GOF784872:GOF786471 GYB784872:GYB786471 HHX784872:HHX786471 HRT784872:HRT786471 IBP784872:IBP786471 ILL784872:ILL786471 IVH784872:IVH786471 JFD784872:JFD786471 JOZ784872:JOZ786471 JYV784872:JYV786471 KIR784872:KIR786471 KSN784872:KSN786471 LCJ784872:LCJ786471 LMF784872:LMF786471 LWB784872:LWB786471 MFX784872:MFX786471 MPT784872:MPT786471 MZP784872:MZP786471 NJL784872:NJL786471 NTH784872:NTH786471 ODD784872:ODD786471 OMZ784872:OMZ786471 OWV784872:OWV786471 PGR784872:PGR786471 PQN784872:PQN786471 QAJ784872:QAJ786471 QKF784872:QKF786471 QUB784872:QUB786471 RDX784872:RDX786471 RNT784872:RNT786471 RXP784872:RXP786471 SHL784872:SHL786471 SRH784872:SRH786471 TBD784872:TBD786471 TKZ784872:TKZ786471 TUV784872:TUV786471 UER784872:UER786471 UON784872:UON786471 UYJ784872:UYJ786471 VIF784872:VIF786471 VSB784872:VSB786471 WBX784872:WBX786471 WLT784872:WLT786471 WVP784872:WVP786471 JD850408:JD852007 SZ850408:SZ852007 ACV850408:ACV852007 AMR850408:AMR852007 AWN850408:AWN852007 BGJ850408:BGJ852007 BQF850408:BQF852007 CAB850408:CAB852007 CJX850408:CJX852007 CTT850408:CTT852007 DDP850408:DDP852007 DNL850408:DNL852007 DXH850408:DXH852007 EHD850408:EHD852007 EQZ850408:EQZ852007 FAV850408:FAV852007 FKR850408:FKR852007 FUN850408:FUN852007 GEJ850408:GEJ852007 GOF850408:GOF852007 GYB850408:GYB852007 HHX850408:HHX852007 HRT850408:HRT852007 IBP850408:IBP852007 ILL850408:ILL852007 IVH850408:IVH852007 JFD850408:JFD852007 JOZ850408:JOZ852007 JYV850408:JYV852007 KIR850408:KIR852007 KSN850408:KSN852007 LCJ850408:LCJ852007 LMF850408:LMF852007 LWB850408:LWB852007 MFX850408:MFX852007 MPT850408:MPT852007 MZP850408:MZP852007 NJL850408:NJL852007 NTH850408:NTH852007 ODD850408:ODD852007 OMZ850408:OMZ852007 OWV850408:OWV852007 PGR850408:PGR852007 PQN850408:PQN852007 QAJ850408:QAJ852007 QKF850408:QKF852007 QUB850408:QUB852007 RDX850408:RDX852007 RNT850408:RNT852007 RXP850408:RXP852007 SHL850408:SHL852007 SRH850408:SRH852007 TBD850408:TBD852007 TKZ850408:TKZ852007 TUV850408:TUV852007 UER850408:UER852007 UON850408:UON852007 UYJ850408:UYJ852007 VIF850408:VIF852007 VSB850408:VSB852007 WBX850408:WBX852007 WLT850408:WLT852007 WVP850408:WVP852007 JD915944:JD917543 SZ915944:SZ917543 ACV915944:ACV917543 AMR915944:AMR917543 AWN915944:AWN917543 BGJ915944:BGJ917543 BQF915944:BQF917543 CAB915944:CAB917543 CJX915944:CJX917543 CTT915944:CTT917543 DDP915944:DDP917543 DNL915944:DNL917543 DXH915944:DXH917543 EHD915944:EHD917543 EQZ915944:EQZ917543 FAV915944:FAV917543 FKR915944:FKR917543 FUN915944:FUN917543 GEJ915944:GEJ917543 GOF915944:GOF917543 GYB915944:GYB917543 HHX915944:HHX917543 HRT915944:HRT917543 IBP915944:IBP917543 ILL915944:ILL917543 IVH915944:IVH917543 JFD915944:JFD917543 JOZ915944:JOZ917543 JYV915944:JYV917543 KIR915944:KIR917543 KSN915944:KSN917543 LCJ915944:LCJ917543 LMF915944:LMF917543 LWB915944:LWB917543 MFX915944:MFX917543 MPT915944:MPT917543 MZP915944:MZP917543 NJL915944:NJL917543 NTH915944:NTH917543 ODD915944:ODD917543 OMZ915944:OMZ917543 OWV915944:OWV917543 PGR915944:PGR917543 PQN915944:PQN917543 QAJ915944:QAJ917543 QKF915944:QKF917543 QUB915944:QUB917543 RDX915944:RDX917543 RNT915944:RNT917543 RXP915944:RXP917543 SHL915944:SHL917543 SRH915944:SRH917543 TBD915944:TBD917543 TKZ915944:TKZ917543 TUV915944:TUV917543 UER915944:UER917543 UON915944:UON917543 UYJ915944:UYJ917543 VIF915944:VIF917543 VSB915944:VSB917543 WBX915944:WBX917543 WLT915944:WLT917543 WVP915944:WVP917543 JD981480:JD983079 SZ981480:SZ983079 ACV981480:ACV983079 AMR981480:AMR983079 AWN981480:AWN983079 BGJ981480:BGJ983079 BQF981480:BQF983079 CAB981480:CAB983079 CJX981480:CJX983079 CTT981480:CTT983079 DDP981480:DDP983079 DNL981480:DNL983079 DXH981480:DXH983079 EHD981480:EHD983079 EQZ981480:EQZ983079 FAV981480:FAV983079 FKR981480:FKR983079 FUN981480:FUN983079 GEJ981480:GEJ983079 GOF981480:GOF983079 GYB981480:GYB983079 HHX981480:HHX983079 HRT981480:HRT983079 IBP981480:IBP983079 ILL981480:ILL983079 IVH981480:IVH983079 JFD981480:JFD983079 JOZ981480:JOZ983079 JYV981480:JYV983079 KIR981480:KIR983079 KSN981480:KSN983079 LCJ981480:LCJ983079 LMF981480:LMF983079 LWB981480:LWB983079 MFX981480:MFX983079 MPT981480:MPT983079 MZP981480:MZP983079 NJL981480:NJL983079 NTH981480:NTH983079 ODD981480:ODD983079 OMZ981480:OMZ983079 OWV981480:OWV983079 PGR981480:PGR983079 PQN981480:PQN983079 QAJ981480:QAJ983079 QKF981480:QKF983079 QUB981480:QUB983079 RDX981480:RDX983079 RNT981480:RNT983079 RXP981480:RXP983079 SHL981480:SHL983079 SRH981480:SRH983079 TBD981480:TBD983079 TKZ981480:TKZ983079 TUV981480:TUV983079 UER981480:UER983079 UON981480:UON983079 UYJ981480:UYJ983079 VIF981480:VIF983079 VSB981480:VSB983079 WBX981480:WBX983079 WLT981480:WLT983079 WVP981480:WVP983079 WVP7:WVP56 WLT7:WLT56 WBX7:WBX56 VSB7:VSB56 VIF7:VIF56 UYJ7:UYJ56 UON7:UON56 UER7:UER56 TUV7:TUV56 TKZ7:TKZ56 TBD7:TBD56 SRH7:SRH56 SHL7:SHL56 RXP7:RXP56 RNT7:RNT56 RDX7:RDX56 QUB7:QUB56 QKF7:QKF56 QAJ7:QAJ56 PQN7:PQN56 PGR7:PGR56 OWV7:OWV56 OMZ7:OMZ56 ODD7:ODD56 NTH7:NTH56 NJL7:NJL56 MZP7:MZP56 MPT7:MPT56 MFX7:MFX56 LWB7:LWB56 LMF7:LMF56 LCJ7:LCJ56 KSN7:KSN56 KIR7:KIR56 JYV7:JYV56 JOZ7:JOZ56 JFD7:JFD56 IVH7:IVH56 ILL7:ILL56 IBP7:IBP56 HRT7:HRT56 HHX7:HHX56 GYB7:GYB56 GOF7:GOF56 GEJ7:GEJ56 FUN7:FUN56 FKR7:FKR56 FAV7:FAV56 EQZ7:EQZ56 EHD7:EHD56 DXH7:DXH56 DNL7:DNL56 DDP7:DDP56 CTT7:CTT56 CJX7:CJX56 CAB7:CAB56 BQF7:BQF56 BGJ7:BGJ56 AWN7:AWN56 AMR7:AMR56 ACV7:ACV56 SZ7:SZ56 JD7:JD56 WVN7:WVN56 WLR7:WLR56 WBV7:WBV56 VRZ7:VRZ56 VID7:VID56 UYH7:UYH56 UOL7:UOL56 UEP7:UEP56 TUT7:TUT56 TKX7:TKX56 TBB7:TBB56 SRF7:SRF56 SHJ7:SHJ56 RXN7:RXN56 RNR7:RNR56 RDV7:RDV56 QTZ7:QTZ56 QKD7:QKD56 QAH7:QAH56 PQL7:PQL56 PGP7:PGP56 OWT7:OWT56 OMX7:OMX56 ODB7:ODB56 NTF7:NTF56 NJJ7:NJJ56 MZN7:MZN56 MPR7:MPR56 MFV7:MFV56 LVZ7:LVZ56 LMD7:LMD56 LCH7:LCH56 KSL7:KSL56 KIP7:KIP56 JYT7:JYT56 JOX7:JOX56 JFB7:JFB56 IVF7:IVF56 ILJ7:ILJ56 IBN7:IBN56 HRR7:HRR56 HHV7:HHV56 GXZ7:GXZ56 GOD7:GOD56 GEH7:GEH56 FUL7:FUL56 FKP7:FKP56 FAT7:FAT56 EQX7:EQX56 EHB7:EHB56 DXF7:DXF56 DNJ7:DNJ56 DDN7:DDN56 CTR7:CTR56 CJV7:CJV56 BZZ7:BZZ56 BQD7:BQD56 BGH7:BGH56 AWL7:AWL56 AMP7:AMP56 ACT7:ACT56 SX7:SX56 JB7:JB56 I981480:I983079 I915944:I917543 I850408:I852007 I784872:I786471 I719336:I720935 I653800:I655399 I588264:I589863 I522728:I524327 I457192:I458791 I391656:I393255 I326120:I327719 I260584:I262183 I195048:I196647 I129512:I131111 I63976:I65575">
      <formula1>"X"</formula1>
    </dataValidation>
    <dataValidation type="list" allowBlank="1" showInputMessage="1" showErrorMessage="1" sqref="K7:K56 I7:I56">
      <formula1>"x"</formula1>
    </dataValidation>
    <dataValidation type="list" allowBlank="1" showInputMessage="1" showErrorMessage="1" sqref="M7 M9:M56">
      <formula1>diaphuong</formula1>
    </dataValidation>
  </dataValidations>
  <pageMargins left="3.937007874015748E-2" right="0" top="0" bottom="0" header="0" footer="0"/>
  <pageSetup paperSize="9" orientation="landscape"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C00000"/>
  </sheetPr>
  <dimension ref="A1:AA1758"/>
  <sheetViews>
    <sheetView showGridLines="0" showZeros="0" workbookViewId="0">
      <pane xSplit="5" ySplit="5" topLeftCell="F6" activePane="bottomRight" state="frozen"/>
      <selection pane="topRight" activeCell="F1" sqref="F1"/>
      <selection pane="bottomLeft" activeCell="A6" sqref="A6"/>
      <selection pane="bottomRight" sqref="A1:E1"/>
    </sheetView>
  </sheetViews>
  <sheetFormatPr defaultRowHeight="15" x14ac:dyDescent="0.25"/>
  <cols>
    <col min="1" max="1" width="5.125" style="230" customWidth="1"/>
    <col min="2" max="2" width="3.625" style="230" customWidth="1"/>
    <col min="3" max="3" width="4.125" style="265" customWidth="1"/>
    <col min="4" max="4" width="17.375" style="225" customWidth="1"/>
    <col min="5" max="5" width="7.5" style="233" customWidth="1"/>
    <col min="6" max="6" width="4.5" style="266" customWidth="1"/>
    <col min="7" max="7" width="4.875" style="266" customWidth="1"/>
    <col min="8" max="8" width="5.125" style="266" customWidth="1"/>
    <col min="9" max="9" width="4.25" style="267" customWidth="1"/>
    <col min="10" max="10" width="5.75" style="267" customWidth="1"/>
    <col min="11" max="11" width="3.625" style="267" customWidth="1"/>
    <col min="12" max="12" width="4" style="267" customWidth="1"/>
    <col min="13" max="13" width="12.375" style="230" customWidth="1"/>
    <col min="14" max="15" width="13.375" style="225" customWidth="1"/>
    <col min="16" max="16" width="15.875" style="225" customWidth="1"/>
    <col min="17" max="18" width="16.125" style="225" customWidth="1"/>
    <col min="19" max="19" width="15.5" style="225" customWidth="1"/>
    <col min="20" max="20" width="7.625" style="225" customWidth="1"/>
    <col min="21" max="21" width="7.125" style="226" customWidth="1"/>
    <col min="22" max="22" width="11.875" style="226" customWidth="1"/>
    <col min="23" max="23" width="10.5" style="226" customWidth="1"/>
    <col min="24" max="24" width="6.375" style="225" customWidth="1"/>
    <col min="25" max="25" width="2.25" style="227" hidden="1" customWidth="1"/>
    <col min="26" max="26" width="6.5" style="229" hidden="1" customWidth="1"/>
    <col min="27" max="27" width="3.25" style="227" hidden="1" customWidth="1"/>
    <col min="28" max="28" width="17.375" style="224" customWidth="1"/>
    <col min="29" max="260" width="9" style="224"/>
    <col min="261" max="261" width="5.125" style="224" customWidth="1"/>
    <col min="262" max="262" width="3.625" style="224" customWidth="1"/>
    <col min="263" max="263" width="4.125" style="224" customWidth="1"/>
    <col min="264" max="264" width="17.375" style="224" customWidth="1"/>
    <col min="265" max="265" width="7.5" style="224" customWidth="1"/>
    <col min="266" max="266" width="4.5" style="224" customWidth="1"/>
    <col min="267" max="267" width="4.875" style="224" customWidth="1"/>
    <col min="268" max="268" width="5.125" style="224" customWidth="1"/>
    <col min="269" max="269" width="4.25" style="224" customWidth="1"/>
    <col min="270" max="270" width="6.375" style="224" customWidth="1"/>
    <col min="271" max="271" width="4" style="224" customWidth="1"/>
    <col min="272" max="272" width="12.375" style="224" customWidth="1"/>
    <col min="273" max="273" width="13.375" style="224" customWidth="1"/>
    <col min="274" max="274" width="15.875" style="224" customWidth="1"/>
    <col min="275" max="276" width="16.125" style="224" customWidth="1"/>
    <col min="277" max="277" width="15.5" style="224" customWidth="1"/>
    <col min="278" max="279" width="9" style="224" customWidth="1"/>
    <col min="280" max="280" width="6.375" style="224" customWidth="1"/>
    <col min="281" max="283" width="0" style="224" hidden="1" customWidth="1"/>
    <col min="284" max="284" width="17.375" style="224" customWidth="1"/>
    <col min="285" max="516" width="9" style="224"/>
    <col min="517" max="517" width="5.125" style="224" customWidth="1"/>
    <col min="518" max="518" width="3.625" style="224" customWidth="1"/>
    <col min="519" max="519" width="4.125" style="224" customWidth="1"/>
    <col min="520" max="520" width="17.375" style="224" customWidth="1"/>
    <col min="521" max="521" width="7.5" style="224" customWidth="1"/>
    <col min="522" max="522" width="4.5" style="224" customWidth="1"/>
    <col min="523" max="523" width="4.875" style="224" customWidth="1"/>
    <col min="524" max="524" width="5.125" style="224" customWidth="1"/>
    <col min="525" max="525" width="4.25" style="224" customWidth="1"/>
    <col min="526" max="526" width="6.375" style="224" customWidth="1"/>
    <col min="527" max="527" width="4" style="224" customWidth="1"/>
    <col min="528" max="528" width="12.375" style="224" customWidth="1"/>
    <col min="529" max="529" width="13.375" style="224" customWidth="1"/>
    <col min="530" max="530" width="15.875" style="224" customWidth="1"/>
    <col min="531" max="532" width="16.125" style="224" customWidth="1"/>
    <col min="533" max="533" width="15.5" style="224" customWidth="1"/>
    <col min="534" max="535" width="9" style="224" customWidth="1"/>
    <col min="536" max="536" width="6.375" style="224" customWidth="1"/>
    <col min="537" max="539" width="0" style="224" hidden="1" customWidth="1"/>
    <col min="540" max="540" width="17.375" style="224" customWidth="1"/>
    <col min="541" max="772" width="9" style="224"/>
    <col min="773" max="773" width="5.125" style="224" customWidth="1"/>
    <col min="774" max="774" width="3.625" style="224" customWidth="1"/>
    <col min="775" max="775" width="4.125" style="224" customWidth="1"/>
    <col min="776" max="776" width="17.375" style="224" customWidth="1"/>
    <col min="777" max="777" width="7.5" style="224" customWidth="1"/>
    <col min="778" max="778" width="4.5" style="224" customWidth="1"/>
    <col min="779" max="779" width="4.875" style="224" customWidth="1"/>
    <col min="780" max="780" width="5.125" style="224" customWidth="1"/>
    <col min="781" max="781" width="4.25" style="224" customWidth="1"/>
    <col min="782" max="782" width="6.375" style="224" customWidth="1"/>
    <col min="783" max="783" width="4" style="224" customWidth="1"/>
    <col min="784" max="784" width="12.375" style="224" customWidth="1"/>
    <col min="785" max="785" width="13.375" style="224" customWidth="1"/>
    <col min="786" max="786" width="15.875" style="224" customWidth="1"/>
    <col min="787" max="788" width="16.125" style="224" customWidth="1"/>
    <col min="789" max="789" width="15.5" style="224" customWidth="1"/>
    <col min="790" max="791" width="9" style="224" customWidth="1"/>
    <col min="792" max="792" width="6.375" style="224" customWidth="1"/>
    <col min="793" max="795" width="0" style="224" hidden="1" customWidth="1"/>
    <col min="796" max="796" width="17.375" style="224" customWidth="1"/>
    <col min="797" max="1028" width="9" style="224"/>
    <col min="1029" max="1029" width="5.125" style="224" customWidth="1"/>
    <col min="1030" max="1030" width="3.625" style="224" customWidth="1"/>
    <col min="1031" max="1031" width="4.125" style="224" customWidth="1"/>
    <col min="1032" max="1032" width="17.375" style="224" customWidth="1"/>
    <col min="1033" max="1033" width="7.5" style="224" customWidth="1"/>
    <col min="1034" max="1034" width="4.5" style="224" customWidth="1"/>
    <col min="1035" max="1035" width="4.875" style="224" customWidth="1"/>
    <col min="1036" max="1036" width="5.125" style="224" customWidth="1"/>
    <col min="1037" max="1037" width="4.25" style="224" customWidth="1"/>
    <col min="1038" max="1038" width="6.375" style="224" customWidth="1"/>
    <col min="1039" max="1039" width="4" style="224" customWidth="1"/>
    <col min="1040" max="1040" width="12.375" style="224" customWidth="1"/>
    <col min="1041" max="1041" width="13.375" style="224" customWidth="1"/>
    <col min="1042" max="1042" width="15.875" style="224" customWidth="1"/>
    <col min="1043" max="1044" width="16.125" style="224" customWidth="1"/>
    <col min="1045" max="1045" width="15.5" style="224" customWidth="1"/>
    <col min="1046" max="1047" width="9" style="224" customWidth="1"/>
    <col min="1048" max="1048" width="6.375" style="224" customWidth="1"/>
    <col min="1049" max="1051" width="0" style="224" hidden="1" customWidth="1"/>
    <col min="1052" max="1052" width="17.375" style="224" customWidth="1"/>
    <col min="1053" max="1284" width="9" style="224"/>
    <col min="1285" max="1285" width="5.125" style="224" customWidth="1"/>
    <col min="1286" max="1286" width="3.625" style="224" customWidth="1"/>
    <col min="1287" max="1287" width="4.125" style="224" customWidth="1"/>
    <col min="1288" max="1288" width="17.375" style="224" customWidth="1"/>
    <col min="1289" max="1289" width="7.5" style="224" customWidth="1"/>
    <col min="1290" max="1290" width="4.5" style="224" customWidth="1"/>
    <col min="1291" max="1291" width="4.875" style="224" customWidth="1"/>
    <col min="1292" max="1292" width="5.125" style="224" customWidth="1"/>
    <col min="1293" max="1293" width="4.25" style="224" customWidth="1"/>
    <col min="1294" max="1294" width="6.375" style="224" customWidth="1"/>
    <col min="1295" max="1295" width="4" style="224" customWidth="1"/>
    <col min="1296" max="1296" width="12.375" style="224" customWidth="1"/>
    <col min="1297" max="1297" width="13.375" style="224" customWidth="1"/>
    <col min="1298" max="1298" width="15.875" style="224" customWidth="1"/>
    <col min="1299" max="1300" width="16.125" style="224" customWidth="1"/>
    <col min="1301" max="1301" width="15.5" style="224" customWidth="1"/>
    <col min="1302" max="1303" width="9" style="224" customWidth="1"/>
    <col min="1304" max="1304" width="6.375" style="224" customWidth="1"/>
    <col min="1305" max="1307" width="0" style="224" hidden="1" customWidth="1"/>
    <col min="1308" max="1308" width="17.375" style="224" customWidth="1"/>
    <col min="1309" max="1540" width="9" style="224"/>
    <col min="1541" max="1541" width="5.125" style="224" customWidth="1"/>
    <col min="1542" max="1542" width="3.625" style="224" customWidth="1"/>
    <col min="1543" max="1543" width="4.125" style="224" customWidth="1"/>
    <col min="1544" max="1544" width="17.375" style="224" customWidth="1"/>
    <col min="1545" max="1545" width="7.5" style="224" customWidth="1"/>
    <col min="1546" max="1546" width="4.5" style="224" customWidth="1"/>
    <col min="1547" max="1547" width="4.875" style="224" customWidth="1"/>
    <col min="1548" max="1548" width="5.125" style="224" customWidth="1"/>
    <col min="1549" max="1549" width="4.25" style="224" customWidth="1"/>
    <col min="1550" max="1550" width="6.375" style="224" customWidth="1"/>
    <col min="1551" max="1551" width="4" style="224" customWidth="1"/>
    <col min="1552" max="1552" width="12.375" style="224" customWidth="1"/>
    <col min="1553" max="1553" width="13.375" style="224" customWidth="1"/>
    <col min="1554" max="1554" width="15.875" style="224" customWidth="1"/>
    <col min="1555" max="1556" width="16.125" style="224" customWidth="1"/>
    <col min="1557" max="1557" width="15.5" style="224" customWidth="1"/>
    <col min="1558" max="1559" width="9" style="224" customWidth="1"/>
    <col min="1560" max="1560" width="6.375" style="224" customWidth="1"/>
    <col min="1561" max="1563" width="0" style="224" hidden="1" customWidth="1"/>
    <col min="1564" max="1564" width="17.375" style="224" customWidth="1"/>
    <col min="1565" max="1796" width="9" style="224"/>
    <col min="1797" max="1797" width="5.125" style="224" customWidth="1"/>
    <col min="1798" max="1798" width="3.625" style="224" customWidth="1"/>
    <col min="1799" max="1799" width="4.125" style="224" customWidth="1"/>
    <col min="1800" max="1800" width="17.375" style="224" customWidth="1"/>
    <col min="1801" max="1801" width="7.5" style="224" customWidth="1"/>
    <col min="1802" max="1802" width="4.5" style="224" customWidth="1"/>
    <col min="1803" max="1803" width="4.875" style="224" customWidth="1"/>
    <col min="1804" max="1804" width="5.125" style="224" customWidth="1"/>
    <col min="1805" max="1805" width="4.25" style="224" customWidth="1"/>
    <col min="1806" max="1806" width="6.375" style="224" customWidth="1"/>
    <col min="1807" max="1807" width="4" style="224" customWidth="1"/>
    <col min="1808" max="1808" width="12.375" style="224" customWidth="1"/>
    <col min="1809" max="1809" width="13.375" style="224" customWidth="1"/>
    <col min="1810" max="1810" width="15.875" style="224" customWidth="1"/>
    <col min="1811" max="1812" width="16.125" style="224" customWidth="1"/>
    <col min="1813" max="1813" width="15.5" style="224" customWidth="1"/>
    <col min="1814" max="1815" width="9" style="224" customWidth="1"/>
    <col min="1816" max="1816" width="6.375" style="224" customWidth="1"/>
    <col min="1817" max="1819" width="0" style="224" hidden="1" customWidth="1"/>
    <col min="1820" max="1820" width="17.375" style="224" customWidth="1"/>
    <col min="1821" max="2052" width="9" style="224"/>
    <col min="2053" max="2053" width="5.125" style="224" customWidth="1"/>
    <col min="2054" max="2054" width="3.625" style="224" customWidth="1"/>
    <col min="2055" max="2055" width="4.125" style="224" customWidth="1"/>
    <col min="2056" max="2056" width="17.375" style="224" customWidth="1"/>
    <col min="2057" max="2057" width="7.5" style="224" customWidth="1"/>
    <col min="2058" max="2058" width="4.5" style="224" customWidth="1"/>
    <col min="2059" max="2059" width="4.875" style="224" customWidth="1"/>
    <col min="2060" max="2060" width="5.125" style="224" customWidth="1"/>
    <col min="2061" max="2061" width="4.25" style="224" customWidth="1"/>
    <col min="2062" max="2062" width="6.375" style="224" customWidth="1"/>
    <col min="2063" max="2063" width="4" style="224" customWidth="1"/>
    <col min="2064" max="2064" width="12.375" style="224" customWidth="1"/>
    <col min="2065" max="2065" width="13.375" style="224" customWidth="1"/>
    <col min="2066" max="2066" width="15.875" style="224" customWidth="1"/>
    <col min="2067" max="2068" width="16.125" style="224" customWidth="1"/>
    <col min="2069" max="2069" width="15.5" style="224" customWidth="1"/>
    <col min="2070" max="2071" width="9" style="224" customWidth="1"/>
    <col min="2072" max="2072" width="6.375" style="224" customWidth="1"/>
    <col min="2073" max="2075" width="0" style="224" hidden="1" customWidth="1"/>
    <col min="2076" max="2076" width="17.375" style="224" customWidth="1"/>
    <col min="2077" max="2308" width="9" style="224"/>
    <col min="2309" max="2309" width="5.125" style="224" customWidth="1"/>
    <col min="2310" max="2310" width="3.625" style="224" customWidth="1"/>
    <col min="2311" max="2311" width="4.125" style="224" customWidth="1"/>
    <col min="2312" max="2312" width="17.375" style="224" customWidth="1"/>
    <col min="2313" max="2313" width="7.5" style="224" customWidth="1"/>
    <col min="2314" max="2314" width="4.5" style="224" customWidth="1"/>
    <col min="2315" max="2315" width="4.875" style="224" customWidth="1"/>
    <col min="2316" max="2316" width="5.125" style="224" customWidth="1"/>
    <col min="2317" max="2317" width="4.25" style="224" customWidth="1"/>
    <col min="2318" max="2318" width="6.375" style="224" customWidth="1"/>
    <col min="2319" max="2319" width="4" style="224" customWidth="1"/>
    <col min="2320" max="2320" width="12.375" style="224" customWidth="1"/>
    <col min="2321" max="2321" width="13.375" style="224" customWidth="1"/>
    <col min="2322" max="2322" width="15.875" style="224" customWidth="1"/>
    <col min="2323" max="2324" width="16.125" style="224" customWidth="1"/>
    <col min="2325" max="2325" width="15.5" style="224" customWidth="1"/>
    <col min="2326" max="2327" width="9" style="224" customWidth="1"/>
    <col min="2328" max="2328" width="6.375" style="224" customWidth="1"/>
    <col min="2329" max="2331" width="0" style="224" hidden="1" customWidth="1"/>
    <col min="2332" max="2332" width="17.375" style="224" customWidth="1"/>
    <col min="2333" max="2564" width="9" style="224"/>
    <col min="2565" max="2565" width="5.125" style="224" customWidth="1"/>
    <col min="2566" max="2566" width="3.625" style="224" customWidth="1"/>
    <col min="2567" max="2567" width="4.125" style="224" customWidth="1"/>
    <col min="2568" max="2568" width="17.375" style="224" customWidth="1"/>
    <col min="2569" max="2569" width="7.5" style="224" customWidth="1"/>
    <col min="2570" max="2570" width="4.5" style="224" customWidth="1"/>
    <col min="2571" max="2571" width="4.875" style="224" customWidth="1"/>
    <col min="2572" max="2572" width="5.125" style="224" customWidth="1"/>
    <col min="2573" max="2573" width="4.25" style="224" customWidth="1"/>
    <col min="2574" max="2574" width="6.375" style="224" customWidth="1"/>
    <col min="2575" max="2575" width="4" style="224" customWidth="1"/>
    <col min="2576" max="2576" width="12.375" style="224" customWidth="1"/>
    <col min="2577" max="2577" width="13.375" style="224" customWidth="1"/>
    <col min="2578" max="2578" width="15.875" style="224" customWidth="1"/>
    <col min="2579" max="2580" width="16.125" style="224" customWidth="1"/>
    <col min="2581" max="2581" width="15.5" style="224" customWidth="1"/>
    <col min="2582" max="2583" width="9" style="224" customWidth="1"/>
    <col min="2584" max="2584" width="6.375" style="224" customWidth="1"/>
    <col min="2585" max="2587" width="0" style="224" hidden="1" customWidth="1"/>
    <col min="2588" max="2588" width="17.375" style="224" customWidth="1"/>
    <col min="2589" max="2820" width="9" style="224"/>
    <col min="2821" max="2821" width="5.125" style="224" customWidth="1"/>
    <col min="2822" max="2822" width="3.625" style="224" customWidth="1"/>
    <col min="2823" max="2823" width="4.125" style="224" customWidth="1"/>
    <col min="2824" max="2824" width="17.375" style="224" customWidth="1"/>
    <col min="2825" max="2825" width="7.5" style="224" customWidth="1"/>
    <col min="2826" max="2826" width="4.5" style="224" customWidth="1"/>
    <col min="2827" max="2827" width="4.875" style="224" customWidth="1"/>
    <col min="2828" max="2828" width="5.125" style="224" customWidth="1"/>
    <col min="2829" max="2829" width="4.25" style="224" customWidth="1"/>
    <col min="2830" max="2830" width="6.375" style="224" customWidth="1"/>
    <col min="2831" max="2831" width="4" style="224" customWidth="1"/>
    <col min="2832" max="2832" width="12.375" style="224" customWidth="1"/>
    <col min="2833" max="2833" width="13.375" style="224" customWidth="1"/>
    <col min="2834" max="2834" width="15.875" style="224" customWidth="1"/>
    <col min="2835" max="2836" width="16.125" style="224" customWidth="1"/>
    <col min="2837" max="2837" width="15.5" style="224" customWidth="1"/>
    <col min="2838" max="2839" width="9" style="224" customWidth="1"/>
    <col min="2840" max="2840" width="6.375" style="224" customWidth="1"/>
    <col min="2841" max="2843" width="0" style="224" hidden="1" customWidth="1"/>
    <col min="2844" max="2844" width="17.375" style="224" customWidth="1"/>
    <col min="2845" max="3076" width="9" style="224"/>
    <col min="3077" max="3077" width="5.125" style="224" customWidth="1"/>
    <col min="3078" max="3078" width="3.625" style="224" customWidth="1"/>
    <col min="3079" max="3079" width="4.125" style="224" customWidth="1"/>
    <col min="3080" max="3080" width="17.375" style="224" customWidth="1"/>
    <col min="3081" max="3081" width="7.5" style="224" customWidth="1"/>
    <col min="3082" max="3082" width="4.5" style="224" customWidth="1"/>
    <col min="3083" max="3083" width="4.875" style="224" customWidth="1"/>
    <col min="3084" max="3084" width="5.125" style="224" customWidth="1"/>
    <col min="3085" max="3085" width="4.25" style="224" customWidth="1"/>
    <col min="3086" max="3086" width="6.375" style="224" customWidth="1"/>
    <col min="3087" max="3087" width="4" style="224" customWidth="1"/>
    <col min="3088" max="3088" width="12.375" style="224" customWidth="1"/>
    <col min="3089" max="3089" width="13.375" style="224" customWidth="1"/>
    <col min="3090" max="3090" width="15.875" style="224" customWidth="1"/>
    <col min="3091" max="3092" width="16.125" style="224" customWidth="1"/>
    <col min="3093" max="3093" width="15.5" style="224" customWidth="1"/>
    <col min="3094" max="3095" width="9" style="224" customWidth="1"/>
    <col min="3096" max="3096" width="6.375" style="224" customWidth="1"/>
    <col min="3097" max="3099" width="0" style="224" hidden="1" customWidth="1"/>
    <col min="3100" max="3100" width="17.375" style="224" customWidth="1"/>
    <col min="3101" max="3332" width="9" style="224"/>
    <col min="3333" max="3333" width="5.125" style="224" customWidth="1"/>
    <col min="3334" max="3334" width="3.625" style="224" customWidth="1"/>
    <col min="3335" max="3335" width="4.125" style="224" customWidth="1"/>
    <col min="3336" max="3336" width="17.375" style="224" customWidth="1"/>
    <col min="3337" max="3337" width="7.5" style="224" customWidth="1"/>
    <col min="3338" max="3338" width="4.5" style="224" customWidth="1"/>
    <col min="3339" max="3339" width="4.875" style="224" customWidth="1"/>
    <col min="3340" max="3340" width="5.125" style="224" customWidth="1"/>
    <col min="3341" max="3341" width="4.25" style="224" customWidth="1"/>
    <col min="3342" max="3342" width="6.375" style="224" customWidth="1"/>
    <col min="3343" max="3343" width="4" style="224" customWidth="1"/>
    <col min="3344" max="3344" width="12.375" style="224" customWidth="1"/>
    <col min="3345" max="3345" width="13.375" style="224" customWidth="1"/>
    <col min="3346" max="3346" width="15.875" style="224" customWidth="1"/>
    <col min="3347" max="3348" width="16.125" style="224" customWidth="1"/>
    <col min="3349" max="3349" width="15.5" style="224" customWidth="1"/>
    <col min="3350" max="3351" width="9" style="224" customWidth="1"/>
    <col min="3352" max="3352" width="6.375" style="224" customWidth="1"/>
    <col min="3353" max="3355" width="0" style="224" hidden="1" customWidth="1"/>
    <col min="3356" max="3356" width="17.375" style="224" customWidth="1"/>
    <col min="3357" max="3588" width="9" style="224"/>
    <col min="3589" max="3589" width="5.125" style="224" customWidth="1"/>
    <col min="3590" max="3590" width="3.625" style="224" customWidth="1"/>
    <col min="3591" max="3591" width="4.125" style="224" customWidth="1"/>
    <col min="3592" max="3592" width="17.375" style="224" customWidth="1"/>
    <col min="3593" max="3593" width="7.5" style="224" customWidth="1"/>
    <col min="3594" max="3594" width="4.5" style="224" customWidth="1"/>
    <col min="3595" max="3595" width="4.875" style="224" customWidth="1"/>
    <col min="3596" max="3596" width="5.125" style="224" customWidth="1"/>
    <col min="3597" max="3597" width="4.25" style="224" customWidth="1"/>
    <col min="3598" max="3598" width="6.375" style="224" customWidth="1"/>
    <col min="3599" max="3599" width="4" style="224" customWidth="1"/>
    <col min="3600" max="3600" width="12.375" style="224" customWidth="1"/>
    <col min="3601" max="3601" width="13.375" style="224" customWidth="1"/>
    <col min="3602" max="3602" width="15.875" style="224" customWidth="1"/>
    <col min="3603" max="3604" width="16.125" style="224" customWidth="1"/>
    <col min="3605" max="3605" width="15.5" style="224" customWidth="1"/>
    <col min="3606" max="3607" width="9" style="224" customWidth="1"/>
    <col min="3608" max="3608" width="6.375" style="224" customWidth="1"/>
    <col min="3609" max="3611" width="0" style="224" hidden="1" customWidth="1"/>
    <col min="3612" max="3612" width="17.375" style="224" customWidth="1"/>
    <col min="3613" max="3844" width="9" style="224"/>
    <col min="3845" max="3845" width="5.125" style="224" customWidth="1"/>
    <col min="3846" max="3846" width="3.625" style="224" customWidth="1"/>
    <col min="3847" max="3847" width="4.125" style="224" customWidth="1"/>
    <col min="3848" max="3848" width="17.375" style="224" customWidth="1"/>
    <col min="3849" max="3849" width="7.5" style="224" customWidth="1"/>
    <col min="3850" max="3850" width="4.5" style="224" customWidth="1"/>
    <col min="3851" max="3851" width="4.875" style="224" customWidth="1"/>
    <col min="3852" max="3852" width="5.125" style="224" customWidth="1"/>
    <col min="3853" max="3853" width="4.25" style="224" customWidth="1"/>
    <col min="3854" max="3854" width="6.375" style="224" customWidth="1"/>
    <col min="3855" max="3855" width="4" style="224" customWidth="1"/>
    <col min="3856" max="3856" width="12.375" style="224" customWidth="1"/>
    <col min="3857" max="3857" width="13.375" style="224" customWidth="1"/>
    <col min="3858" max="3858" width="15.875" style="224" customWidth="1"/>
    <col min="3859" max="3860" width="16.125" style="224" customWidth="1"/>
    <col min="3861" max="3861" width="15.5" style="224" customWidth="1"/>
    <col min="3862" max="3863" width="9" style="224" customWidth="1"/>
    <col min="3864" max="3864" width="6.375" style="224" customWidth="1"/>
    <col min="3865" max="3867" width="0" style="224" hidden="1" customWidth="1"/>
    <col min="3868" max="3868" width="17.375" style="224" customWidth="1"/>
    <col min="3869" max="4100" width="9" style="224"/>
    <col min="4101" max="4101" width="5.125" style="224" customWidth="1"/>
    <col min="4102" max="4102" width="3.625" style="224" customWidth="1"/>
    <col min="4103" max="4103" width="4.125" style="224" customWidth="1"/>
    <col min="4104" max="4104" width="17.375" style="224" customWidth="1"/>
    <col min="4105" max="4105" width="7.5" style="224" customWidth="1"/>
    <col min="4106" max="4106" width="4.5" style="224" customWidth="1"/>
    <col min="4107" max="4107" width="4.875" style="224" customWidth="1"/>
    <col min="4108" max="4108" width="5.125" style="224" customWidth="1"/>
    <col min="4109" max="4109" width="4.25" style="224" customWidth="1"/>
    <col min="4110" max="4110" width="6.375" style="224" customWidth="1"/>
    <col min="4111" max="4111" width="4" style="224" customWidth="1"/>
    <col min="4112" max="4112" width="12.375" style="224" customWidth="1"/>
    <col min="4113" max="4113" width="13.375" style="224" customWidth="1"/>
    <col min="4114" max="4114" width="15.875" style="224" customWidth="1"/>
    <col min="4115" max="4116" width="16.125" style="224" customWidth="1"/>
    <col min="4117" max="4117" width="15.5" style="224" customWidth="1"/>
    <col min="4118" max="4119" width="9" style="224" customWidth="1"/>
    <col min="4120" max="4120" width="6.375" style="224" customWidth="1"/>
    <col min="4121" max="4123" width="0" style="224" hidden="1" customWidth="1"/>
    <col min="4124" max="4124" width="17.375" style="224" customWidth="1"/>
    <col min="4125" max="4356" width="9" style="224"/>
    <col min="4357" max="4357" width="5.125" style="224" customWidth="1"/>
    <col min="4358" max="4358" width="3.625" style="224" customWidth="1"/>
    <col min="4359" max="4359" width="4.125" style="224" customWidth="1"/>
    <col min="4360" max="4360" width="17.375" style="224" customWidth="1"/>
    <col min="4361" max="4361" width="7.5" style="224" customWidth="1"/>
    <col min="4362" max="4362" width="4.5" style="224" customWidth="1"/>
    <col min="4363" max="4363" width="4.875" style="224" customWidth="1"/>
    <col min="4364" max="4364" width="5.125" style="224" customWidth="1"/>
    <col min="4365" max="4365" width="4.25" style="224" customWidth="1"/>
    <col min="4366" max="4366" width="6.375" style="224" customWidth="1"/>
    <col min="4367" max="4367" width="4" style="224" customWidth="1"/>
    <col min="4368" max="4368" width="12.375" style="224" customWidth="1"/>
    <col min="4369" max="4369" width="13.375" style="224" customWidth="1"/>
    <col min="4370" max="4370" width="15.875" style="224" customWidth="1"/>
    <col min="4371" max="4372" width="16.125" style="224" customWidth="1"/>
    <col min="4373" max="4373" width="15.5" style="224" customWidth="1"/>
    <col min="4374" max="4375" width="9" style="224" customWidth="1"/>
    <col min="4376" max="4376" width="6.375" style="224" customWidth="1"/>
    <col min="4377" max="4379" width="0" style="224" hidden="1" customWidth="1"/>
    <col min="4380" max="4380" width="17.375" style="224" customWidth="1"/>
    <col min="4381" max="4612" width="9" style="224"/>
    <col min="4613" max="4613" width="5.125" style="224" customWidth="1"/>
    <col min="4614" max="4614" width="3.625" style="224" customWidth="1"/>
    <col min="4615" max="4615" width="4.125" style="224" customWidth="1"/>
    <col min="4616" max="4616" width="17.375" style="224" customWidth="1"/>
    <col min="4617" max="4617" width="7.5" style="224" customWidth="1"/>
    <col min="4618" max="4618" width="4.5" style="224" customWidth="1"/>
    <col min="4619" max="4619" width="4.875" style="224" customWidth="1"/>
    <col min="4620" max="4620" width="5.125" style="224" customWidth="1"/>
    <col min="4621" max="4621" width="4.25" style="224" customWidth="1"/>
    <col min="4622" max="4622" width="6.375" style="224" customWidth="1"/>
    <col min="4623" max="4623" width="4" style="224" customWidth="1"/>
    <col min="4624" max="4624" width="12.375" style="224" customWidth="1"/>
    <col min="4625" max="4625" width="13.375" style="224" customWidth="1"/>
    <col min="4626" max="4626" width="15.875" style="224" customWidth="1"/>
    <col min="4627" max="4628" width="16.125" style="224" customWidth="1"/>
    <col min="4629" max="4629" width="15.5" style="224" customWidth="1"/>
    <col min="4630" max="4631" width="9" style="224" customWidth="1"/>
    <col min="4632" max="4632" width="6.375" style="224" customWidth="1"/>
    <col min="4633" max="4635" width="0" style="224" hidden="1" customWidth="1"/>
    <col min="4636" max="4636" width="17.375" style="224" customWidth="1"/>
    <col min="4637" max="4868" width="9" style="224"/>
    <col min="4869" max="4869" width="5.125" style="224" customWidth="1"/>
    <col min="4870" max="4870" width="3.625" style="224" customWidth="1"/>
    <col min="4871" max="4871" width="4.125" style="224" customWidth="1"/>
    <col min="4872" max="4872" width="17.375" style="224" customWidth="1"/>
    <col min="4873" max="4873" width="7.5" style="224" customWidth="1"/>
    <col min="4874" max="4874" width="4.5" style="224" customWidth="1"/>
    <col min="4875" max="4875" width="4.875" style="224" customWidth="1"/>
    <col min="4876" max="4876" width="5.125" style="224" customWidth="1"/>
    <col min="4877" max="4877" width="4.25" style="224" customWidth="1"/>
    <col min="4878" max="4878" width="6.375" style="224" customWidth="1"/>
    <col min="4879" max="4879" width="4" style="224" customWidth="1"/>
    <col min="4880" max="4880" width="12.375" style="224" customWidth="1"/>
    <col min="4881" max="4881" width="13.375" style="224" customWidth="1"/>
    <col min="4882" max="4882" width="15.875" style="224" customWidth="1"/>
    <col min="4883" max="4884" width="16.125" style="224" customWidth="1"/>
    <col min="4885" max="4885" width="15.5" style="224" customWidth="1"/>
    <col min="4886" max="4887" width="9" style="224" customWidth="1"/>
    <col min="4888" max="4888" width="6.375" style="224" customWidth="1"/>
    <col min="4889" max="4891" width="0" style="224" hidden="1" customWidth="1"/>
    <col min="4892" max="4892" width="17.375" style="224" customWidth="1"/>
    <col min="4893" max="5124" width="9" style="224"/>
    <col min="5125" max="5125" width="5.125" style="224" customWidth="1"/>
    <col min="5126" max="5126" width="3.625" style="224" customWidth="1"/>
    <col min="5127" max="5127" width="4.125" style="224" customWidth="1"/>
    <col min="5128" max="5128" width="17.375" style="224" customWidth="1"/>
    <col min="5129" max="5129" width="7.5" style="224" customWidth="1"/>
    <col min="5130" max="5130" width="4.5" style="224" customWidth="1"/>
    <col min="5131" max="5131" width="4.875" style="224" customWidth="1"/>
    <col min="5132" max="5132" width="5.125" style="224" customWidth="1"/>
    <col min="5133" max="5133" width="4.25" style="224" customWidth="1"/>
    <col min="5134" max="5134" width="6.375" style="224" customWidth="1"/>
    <col min="5135" max="5135" width="4" style="224" customWidth="1"/>
    <col min="5136" max="5136" width="12.375" style="224" customWidth="1"/>
    <col min="5137" max="5137" width="13.375" style="224" customWidth="1"/>
    <col min="5138" max="5138" width="15.875" style="224" customWidth="1"/>
    <col min="5139" max="5140" width="16.125" style="224" customWidth="1"/>
    <col min="5141" max="5141" width="15.5" style="224" customWidth="1"/>
    <col min="5142" max="5143" width="9" style="224" customWidth="1"/>
    <col min="5144" max="5144" width="6.375" style="224" customWidth="1"/>
    <col min="5145" max="5147" width="0" style="224" hidden="1" customWidth="1"/>
    <col min="5148" max="5148" width="17.375" style="224" customWidth="1"/>
    <col min="5149" max="5380" width="9" style="224"/>
    <col min="5381" max="5381" width="5.125" style="224" customWidth="1"/>
    <col min="5382" max="5382" width="3.625" style="224" customWidth="1"/>
    <col min="5383" max="5383" width="4.125" style="224" customWidth="1"/>
    <col min="5384" max="5384" width="17.375" style="224" customWidth="1"/>
    <col min="5385" max="5385" width="7.5" style="224" customWidth="1"/>
    <col min="5386" max="5386" width="4.5" style="224" customWidth="1"/>
    <col min="5387" max="5387" width="4.875" style="224" customWidth="1"/>
    <col min="5388" max="5388" width="5.125" style="224" customWidth="1"/>
    <col min="5389" max="5389" width="4.25" style="224" customWidth="1"/>
    <col min="5390" max="5390" width="6.375" style="224" customWidth="1"/>
    <col min="5391" max="5391" width="4" style="224" customWidth="1"/>
    <col min="5392" max="5392" width="12.375" style="224" customWidth="1"/>
    <col min="5393" max="5393" width="13.375" style="224" customWidth="1"/>
    <col min="5394" max="5394" width="15.875" style="224" customWidth="1"/>
    <col min="5395" max="5396" width="16.125" style="224" customWidth="1"/>
    <col min="5397" max="5397" width="15.5" style="224" customWidth="1"/>
    <col min="5398" max="5399" width="9" style="224" customWidth="1"/>
    <col min="5400" max="5400" width="6.375" style="224" customWidth="1"/>
    <col min="5401" max="5403" width="0" style="224" hidden="1" customWidth="1"/>
    <col min="5404" max="5404" width="17.375" style="224" customWidth="1"/>
    <col min="5405" max="5636" width="9" style="224"/>
    <col min="5637" max="5637" width="5.125" style="224" customWidth="1"/>
    <col min="5638" max="5638" width="3.625" style="224" customWidth="1"/>
    <col min="5639" max="5639" width="4.125" style="224" customWidth="1"/>
    <col min="5640" max="5640" width="17.375" style="224" customWidth="1"/>
    <col min="5641" max="5641" width="7.5" style="224" customWidth="1"/>
    <col min="5642" max="5642" width="4.5" style="224" customWidth="1"/>
    <col min="5643" max="5643" width="4.875" style="224" customWidth="1"/>
    <col min="5644" max="5644" width="5.125" style="224" customWidth="1"/>
    <col min="5645" max="5645" width="4.25" style="224" customWidth="1"/>
    <col min="5646" max="5646" width="6.375" style="224" customWidth="1"/>
    <col min="5647" max="5647" width="4" style="224" customWidth="1"/>
    <col min="5648" max="5648" width="12.375" style="224" customWidth="1"/>
    <col min="5649" max="5649" width="13.375" style="224" customWidth="1"/>
    <col min="5650" max="5650" width="15.875" style="224" customWidth="1"/>
    <col min="5651" max="5652" width="16.125" style="224" customWidth="1"/>
    <col min="5653" max="5653" width="15.5" style="224" customWidth="1"/>
    <col min="5654" max="5655" width="9" style="224" customWidth="1"/>
    <col min="5656" max="5656" width="6.375" style="224" customWidth="1"/>
    <col min="5657" max="5659" width="0" style="224" hidden="1" customWidth="1"/>
    <col min="5660" max="5660" width="17.375" style="224" customWidth="1"/>
    <col min="5661" max="5892" width="9" style="224"/>
    <col min="5893" max="5893" width="5.125" style="224" customWidth="1"/>
    <col min="5894" max="5894" width="3.625" style="224" customWidth="1"/>
    <col min="5895" max="5895" width="4.125" style="224" customWidth="1"/>
    <col min="5896" max="5896" width="17.375" style="224" customWidth="1"/>
    <col min="5897" max="5897" width="7.5" style="224" customWidth="1"/>
    <col min="5898" max="5898" width="4.5" style="224" customWidth="1"/>
    <col min="5899" max="5899" width="4.875" style="224" customWidth="1"/>
    <col min="5900" max="5900" width="5.125" style="224" customWidth="1"/>
    <col min="5901" max="5901" width="4.25" style="224" customWidth="1"/>
    <col min="5902" max="5902" width="6.375" style="224" customWidth="1"/>
    <col min="5903" max="5903" width="4" style="224" customWidth="1"/>
    <col min="5904" max="5904" width="12.375" style="224" customWidth="1"/>
    <col min="5905" max="5905" width="13.375" style="224" customWidth="1"/>
    <col min="5906" max="5906" width="15.875" style="224" customWidth="1"/>
    <col min="5907" max="5908" width="16.125" style="224" customWidth="1"/>
    <col min="5909" max="5909" width="15.5" style="224" customWidth="1"/>
    <col min="5910" max="5911" width="9" style="224" customWidth="1"/>
    <col min="5912" max="5912" width="6.375" style="224" customWidth="1"/>
    <col min="5913" max="5915" width="0" style="224" hidden="1" customWidth="1"/>
    <col min="5916" max="5916" width="17.375" style="224" customWidth="1"/>
    <col min="5917" max="6148" width="9" style="224"/>
    <col min="6149" max="6149" width="5.125" style="224" customWidth="1"/>
    <col min="6150" max="6150" width="3.625" style="224" customWidth="1"/>
    <col min="6151" max="6151" width="4.125" style="224" customWidth="1"/>
    <col min="6152" max="6152" width="17.375" style="224" customWidth="1"/>
    <col min="6153" max="6153" width="7.5" style="224" customWidth="1"/>
    <col min="6154" max="6154" width="4.5" style="224" customWidth="1"/>
    <col min="6155" max="6155" width="4.875" style="224" customWidth="1"/>
    <col min="6156" max="6156" width="5.125" style="224" customWidth="1"/>
    <col min="6157" max="6157" width="4.25" style="224" customWidth="1"/>
    <col min="6158" max="6158" width="6.375" style="224" customWidth="1"/>
    <col min="6159" max="6159" width="4" style="224" customWidth="1"/>
    <col min="6160" max="6160" width="12.375" style="224" customWidth="1"/>
    <col min="6161" max="6161" width="13.375" style="224" customWidth="1"/>
    <col min="6162" max="6162" width="15.875" style="224" customWidth="1"/>
    <col min="6163" max="6164" width="16.125" style="224" customWidth="1"/>
    <col min="6165" max="6165" width="15.5" style="224" customWidth="1"/>
    <col min="6166" max="6167" width="9" style="224" customWidth="1"/>
    <col min="6168" max="6168" width="6.375" style="224" customWidth="1"/>
    <col min="6169" max="6171" width="0" style="224" hidden="1" customWidth="1"/>
    <col min="6172" max="6172" width="17.375" style="224" customWidth="1"/>
    <col min="6173" max="6404" width="9" style="224"/>
    <col min="6405" max="6405" width="5.125" style="224" customWidth="1"/>
    <col min="6406" max="6406" width="3.625" style="224" customWidth="1"/>
    <col min="6407" max="6407" width="4.125" style="224" customWidth="1"/>
    <col min="6408" max="6408" width="17.375" style="224" customWidth="1"/>
    <col min="6409" max="6409" width="7.5" style="224" customWidth="1"/>
    <col min="6410" max="6410" width="4.5" style="224" customWidth="1"/>
    <col min="6411" max="6411" width="4.875" style="224" customWidth="1"/>
    <col min="6412" max="6412" width="5.125" style="224" customWidth="1"/>
    <col min="6413" max="6413" width="4.25" style="224" customWidth="1"/>
    <col min="6414" max="6414" width="6.375" style="224" customWidth="1"/>
    <col min="6415" max="6415" width="4" style="224" customWidth="1"/>
    <col min="6416" max="6416" width="12.375" style="224" customWidth="1"/>
    <col min="6417" max="6417" width="13.375" style="224" customWidth="1"/>
    <col min="6418" max="6418" width="15.875" style="224" customWidth="1"/>
    <col min="6419" max="6420" width="16.125" style="224" customWidth="1"/>
    <col min="6421" max="6421" width="15.5" style="224" customWidth="1"/>
    <col min="6422" max="6423" width="9" style="224" customWidth="1"/>
    <col min="6424" max="6424" width="6.375" style="224" customWidth="1"/>
    <col min="6425" max="6427" width="0" style="224" hidden="1" customWidth="1"/>
    <col min="6428" max="6428" width="17.375" style="224" customWidth="1"/>
    <col min="6429" max="6660" width="9" style="224"/>
    <col min="6661" max="6661" width="5.125" style="224" customWidth="1"/>
    <col min="6662" max="6662" width="3.625" style="224" customWidth="1"/>
    <col min="6663" max="6663" width="4.125" style="224" customWidth="1"/>
    <col min="6664" max="6664" width="17.375" style="224" customWidth="1"/>
    <col min="6665" max="6665" width="7.5" style="224" customWidth="1"/>
    <col min="6666" max="6666" width="4.5" style="224" customWidth="1"/>
    <col min="6667" max="6667" width="4.875" style="224" customWidth="1"/>
    <col min="6668" max="6668" width="5.125" style="224" customWidth="1"/>
    <col min="6669" max="6669" width="4.25" style="224" customWidth="1"/>
    <col min="6670" max="6670" width="6.375" style="224" customWidth="1"/>
    <col min="6671" max="6671" width="4" style="224" customWidth="1"/>
    <col min="6672" max="6672" width="12.375" style="224" customWidth="1"/>
    <col min="6673" max="6673" width="13.375" style="224" customWidth="1"/>
    <col min="6674" max="6674" width="15.875" style="224" customWidth="1"/>
    <col min="6675" max="6676" width="16.125" style="224" customWidth="1"/>
    <col min="6677" max="6677" width="15.5" style="224" customWidth="1"/>
    <col min="6678" max="6679" width="9" style="224" customWidth="1"/>
    <col min="6680" max="6680" width="6.375" style="224" customWidth="1"/>
    <col min="6681" max="6683" width="0" style="224" hidden="1" customWidth="1"/>
    <col min="6684" max="6684" width="17.375" style="224" customWidth="1"/>
    <col min="6685" max="6916" width="9" style="224"/>
    <col min="6917" max="6917" width="5.125" style="224" customWidth="1"/>
    <col min="6918" max="6918" width="3.625" style="224" customWidth="1"/>
    <col min="6919" max="6919" width="4.125" style="224" customWidth="1"/>
    <col min="6920" max="6920" width="17.375" style="224" customWidth="1"/>
    <col min="6921" max="6921" width="7.5" style="224" customWidth="1"/>
    <col min="6922" max="6922" width="4.5" style="224" customWidth="1"/>
    <col min="6923" max="6923" width="4.875" style="224" customWidth="1"/>
    <col min="6924" max="6924" width="5.125" style="224" customWidth="1"/>
    <col min="6925" max="6925" width="4.25" style="224" customWidth="1"/>
    <col min="6926" max="6926" width="6.375" style="224" customWidth="1"/>
    <col min="6927" max="6927" width="4" style="224" customWidth="1"/>
    <col min="6928" max="6928" width="12.375" style="224" customWidth="1"/>
    <col min="6929" max="6929" width="13.375" style="224" customWidth="1"/>
    <col min="6930" max="6930" width="15.875" style="224" customWidth="1"/>
    <col min="6931" max="6932" width="16.125" style="224" customWidth="1"/>
    <col min="6933" max="6933" width="15.5" style="224" customWidth="1"/>
    <col min="6934" max="6935" width="9" style="224" customWidth="1"/>
    <col min="6936" max="6936" width="6.375" style="224" customWidth="1"/>
    <col min="6937" max="6939" width="0" style="224" hidden="1" customWidth="1"/>
    <col min="6940" max="6940" width="17.375" style="224" customWidth="1"/>
    <col min="6941" max="7172" width="9" style="224"/>
    <col min="7173" max="7173" width="5.125" style="224" customWidth="1"/>
    <col min="7174" max="7174" width="3.625" style="224" customWidth="1"/>
    <col min="7175" max="7175" width="4.125" style="224" customWidth="1"/>
    <col min="7176" max="7176" width="17.375" style="224" customWidth="1"/>
    <col min="7177" max="7177" width="7.5" style="224" customWidth="1"/>
    <col min="7178" max="7178" width="4.5" style="224" customWidth="1"/>
    <col min="7179" max="7179" width="4.875" style="224" customWidth="1"/>
    <col min="7180" max="7180" width="5.125" style="224" customWidth="1"/>
    <col min="7181" max="7181" width="4.25" style="224" customWidth="1"/>
    <col min="7182" max="7182" width="6.375" style="224" customWidth="1"/>
    <col min="7183" max="7183" width="4" style="224" customWidth="1"/>
    <col min="7184" max="7184" width="12.375" style="224" customWidth="1"/>
    <col min="7185" max="7185" width="13.375" style="224" customWidth="1"/>
    <col min="7186" max="7186" width="15.875" style="224" customWidth="1"/>
    <col min="7187" max="7188" width="16.125" style="224" customWidth="1"/>
    <col min="7189" max="7189" width="15.5" style="224" customWidth="1"/>
    <col min="7190" max="7191" width="9" style="224" customWidth="1"/>
    <col min="7192" max="7192" width="6.375" style="224" customWidth="1"/>
    <col min="7193" max="7195" width="0" style="224" hidden="1" customWidth="1"/>
    <col min="7196" max="7196" width="17.375" style="224" customWidth="1"/>
    <col min="7197" max="7428" width="9" style="224"/>
    <col min="7429" max="7429" width="5.125" style="224" customWidth="1"/>
    <col min="7430" max="7430" width="3.625" style="224" customWidth="1"/>
    <col min="7431" max="7431" width="4.125" style="224" customWidth="1"/>
    <col min="7432" max="7432" width="17.375" style="224" customWidth="1"/>
    <col min="7433" max="7433" width="7.5" style="224" customWidth="1"/>
    <col min="7434" max="7434" width="4.5" style="224" customWidth="1"/>
    <col min="7435" max="7435" width="4.875" style="224" customWidth="1"/>
    <col min="7436" max="7436" width="5.125" style="224" customWidth="1"/>
    <col min="7437" max="7437" width="4.25" style="224" customWidth="1"/>
    <col min="7438" max="7438" width="6.375" style="224" customWidth="1"/>
    <col min="7439" max="7439" width="4" style="224" customWidth="1"/>
    <col min="7440" max="7440" width="12.375" style="224" customWidth="1"/>
    <col min="7441" max="7441" width="13.375" style="224" customWidth="1"/>
    <col min="7442" max="7442" width="15.875" style="224" customWidth="1"/>
    <col min="7443" max="7444" width="16.125" style="224" customWidth="1"/>
    <col min="7445" max="7445" width="15.5" style="224" customWidth="1"/>
    <col min="7446" max="7447" width="9" style="224" customWidth="1"/>
    <col min="7448" max="7448" width="6.375" style="224" customWidth="1"/>
    <col min="7449" max="7451" width="0" style="224" hidden="1" customWidth="1"/>
    <col min="7452" max="7452" width="17.375" style="224" customWidth="1"/>
    <col min="7453" max="7684" width="9" style="224"/>
    <col min="7685" max="7685" width="5.125" style="224" customWidth="1"/>
    <col min="7686" max="7686" width="3.625" style="224" customWidth="1"/>
    <col min="7687" max="7687" width="4.125" style="224" customWidth="1"/>
    <col min="7688" max="7688" width="17.375" style="224" customWidth="1"/>
    <col min="7689" max="7689" width="7.5" style="224" customWidth="1"/>
    <col min="7690" max="7690" width="4.5" style="224" customWidth="1"/>
    <col min="7691" max="7691" width="4.875" style="224" customWidth="1"/>
    <col min="7692" max="7692" width="5.125" style="224" customWidth="1"/>
    <col min="7693" max="7693" width="4.25" style="224" customWidth="1"/>
    <col min="7694" max="7694" width="6.375" style="224" customWidth="1"/>
    <col min="7695" max="7695" width="4" style="224" customWidth="1"/>
    <col min="7696" max="7696" width="12.375" style="224" customWidth="1"/>
    <col min="7697" max="7697" width="13.375" style="224" customWidth="1"/>
    <col min="7698" max="7698" width="15.875" style="224" customWidth="1"/>
    <col min="7699" max="7700" width="16.125" style="224" customWidth="1"/>
    <col min="7701" max="7701" width="15.5" style="224" customWidth="1"/>
    <col min="7702" max="7703" width="9" style="224" customWidth="1"/>
    <col min="7704" max="7704" width="6.375" style="224" customWidth="1"/>
    <col min="7705" max="7707" width="0" style="224" hidden="1" customWidth="1"/>
    <col min="7708" max="7708" width="17.375" style="224" customWidth="1"/>
    <col min="7709" max="7940" width="9" style="224"/>
    <col min="7941" max="7941" width="5.125" style="224" customWidth="1"/>
    <col min="7942" max="7942" width="3.625" style="224" customWidth="1"/>
    <col min="7943" max="7943" width="4.125" style="224" customWidth="1"/>
    <col min="7944" max="7944" width="17.375" style="224" customWidth="1"/>
    <col min="7945" max="7945" width="7.5" style="224" customWidth="1"/>
    <col min="7946" max="7946" width="4.5" style="224" customWidth="1"/>
    <col min="7947" max="7947" width="4.875" style="224" customWidth="1"/>
    <col min="7948" max="7948" width="5.125" style="224" customWidth="1"/>
    <col min="7949" max="7949" width="4.25" style="224" customWidth="1"/>
    <col min="7950" max="7950" width="6.375" style="224" customWidth="1"/>
    <col min="7951" max="7951" width="4" style="224" customWidth="1"/>
    <col min="7952" max="7952" width="12.375" style="224" customWidth="1"/>
    <col min="7953" max="7953" width="13.375" style="224" customWidth="1"/>
    <col min="7954" max="7954" width="15.875" style="224" customWidth="1"/>
    <col min="7955" max="7956" width="16.125" style="224" customWidth="1"/>
    <col min="7957" max="7957" width="15.5" style="224" customWidth="1"/>
    <col min="7958" max="7959" width="9" style="224" customWidth="1"/>
    <col min="7960" max="7960" width="6.375" style="224" customWidth="1"/>
    <col min="7961" max="7963" width="0" style="224" hidden="1" customWidth="1"/>
    <col min="7964" max="7964" width="17.375" style="224" customWidth="1"/>
    <col min="7965" max="8196" width="9" style="224"/>
    <col min="8197" max="8197" width="5.125" style="224" customWidth="1"/>
    <col min="8198" max="8198" width="3.625" style="224" customWidth="1"/>
    <col min="8199" max="8199" width="4.125" style="224" customWidth="1"/>
    <col min="8200" max="8200" width="17.375" style="224" customWidth="1"/>
    <col min="8201" max="8201" width="7.5" style="224" customWidth="1"/>
    <col min="8202" max="8202" width="4.5" style="224" customWidth="1"/>
    <col min="8203" max="8203" width="4.875" style="224" customWidth="1"/>
    <col min="8204" max="8204" width="5.125" style="224" customWidth="1"/>
    <col min="8205" max="8205" width="4.25" style="224" customWidth="1"/>
    <col min="8206" max="8206" width="6.375" style="224" customWidth="1"/>
    <col min="8207" max="8207" width="4" style="224" customWidth="1"/>
    <col min="8208" max="8208" width="12.375" style="224" customWidth="1"/>
    <col min="8209" max="8209" width="13.375" style="224" customWidth="1"/>
    <col min="8210" max="8210" width="15.875" style="224" customWidth="1"/>
    <col min="8211" max="8212" width="16.125" style="224" customWidth="1"/>
    <col min="8213" max="8213" width="15.5" style="224" customWidth="1"/>
    <col min="8214" max="8215" width="9" style="224" customWidth="1"/>
    <col min="8216" max="8216" width="6.375" style="224" customWidth="1"/>
    <col min="8217" max="8219" width="0" style="224" hidden="1" customWidth="1"/>
    <col min="8220" max="8220" width="17.375" style="224" customWidth="1"/>
    <col min="8221" max="8452" width="9" style="224"/>
    <col min="8453" max="8453" width="5.125" style="224" customWidth="1"/>
    <col min="8454" max="8454" width="3.625" style="224" customWidth="1"/>
    <col min="8455" max="8455" width="4.125" style="224" customWidth="1"/>
    <col min="8456" max="8456" width="17.375" style="224" customWidth="1"/>
    <col min="8457" max="8457" width="7.5" style="224" customWidth="1"/>
    <col min="8458" max="8458" width="4.5" style="224" customWidth="1"/>
    <col min="8459" max="8459" width="4.875" style="224" customWidth="1"/>
    <col min="8460" max="8460" width="5.125" style="224" customWidth="1"/>
    <col min="8461" max="8461" width="4.25" style="224" customWidth="1"/>
    <col min="8462" max="8462" width="6.375" style="224" customWidth="1"/>
    <col min="8463" max="8463" width="4" style="224" customWidth="1"/>
    <col min="8464" max="8464" width="12.375" style="224" customWidth="1"/>
    <col min="8465" max="8465" width="13.375" style="224" customWidth="1"/>
    <col min="8466" max="8466" width="15.875" style="224" customWidth="1"/>
    <col min="8467" max="8468" width="16.125" style="224" customWidth="1"/>
    <col min="8469" max="8469" width="15.5" style="224" customWidth="1"/>
    <col min="8470" max="8471" width="9" style="224" customWidth="1"/>
    <col min="8472" max="8472" width="6.375" style="224" customWidth="1"/>
    <col min="8473" max="8475" width="0" style="224" hidden="1" customWidth="1"/>
    <col min="8476" max="8476" width="17.375" style="224" customWidth="1"/>
    <col min="8477" max="8708" width="9" style="224"/>
    <col min="8709" max="8709" width="5.125" style="224" customWidth="1"/>
    <col min="8710" max="8710" width="3.625" style="224" customWidth="1"/>
    <col min="8711" max="8711" width="4.125" style="224" customWidth="1"/>
    <col min="8712" max="8712" width="17.375" style="224" customWidth="1"/>
    <col min="8713" max="8713" width="7.5" style="224" customWidth="1"/>
    <col min="8714" max="8714" width="4.5" style="224" customWidth="1"/>
    <col min="8715" max="8715" width="4.875" style="224" customWidth="1"/>
    <col min="8716" max="8716" width="5.125" style="224" customWidth="1"/>
    <col min="8717" max="8717" width="4.25" style="224" customWidth="1"/>
    <col min="8718" max="8718" width="6.375" style="224" customWidth="1"/>
    <col min="8719" max="8719" width="4" style="224" customWidth="1"/>
    <col min="8720" max="8720" width="12.375" style="224" customWidth="1"/>
    <col min="8721" max="8721" width="13.375" style="224" customWidth="1"/>
    <col min="8722" max="8722" width="15.875" style="224" customWidth="1"/>
    <col min="8723" max="8724" width="16.125" style="224" customWidth="1"/>
    <col min="8725" max="8725" width="15.5" style="224" customWidth="1"/>
    <col min="8726" max="8727" width="9" style="224" customWidth="1"/>
    <col min="8728" max="8728" width="6.375" style="224" customWidth="1"/>
    <col min="8729" max="8731" width="0" style="224" hidden="1" customWidth="1"/>
    <col min="8732" max="8732" width="17.375" style="224" customWidth="1"/>
    <col min="8733" max="8964" width="9" style="224"/>
    <col min="8965" max="8965" width="5.125" style="224" customWidth="1"/>
    <col min="8966" max="8966" width="3.625" style="224" customWidth="1"/>
    <col min="8967" max="8967" width="4.125" style="224" customWidth="1"/>
    <col min="8968" max="8968" width="17.375" style="224" customWidth="1"/>
    <col min="8969" max="8969" width="7.5" style="224" customWidth="1"/>
    <col min="8970" max="8970" width="4.5" style="224" customWidth="1"/>
    <col min="8971" max="8971" width="4.875" style="224" customWidth="1"/>
    <col min="8972" max="8972" width="5.125" style="224" customWidth="1"/>
    <col min="8973" max="8973" width="4.25" style="224" customWidth="1"/>
    <col min="8974" max="8974" width="6.375" style="224" customWidth="1"/>
    <col min="8975" max="8975" width="4" style="224" customWidth="1"/>
    <col min="8976" max="8976" width="12.375" style="224" customWidth="1"/>
    <col min="8977" max="8977" width="13.375" style="224" customWidth="1"/>
    <col min="8978" max="8978" width="15.875" style="224" customWidth="1"/>
    <col min="8979" max="8980" width="16.125" style="224" customWidth="1"/>
    <col min="8981" max="8981" width="15.5" style="224" customWidth="1"/>
    <col min="8982" max="8983" width="9" style="224" customWidth="1"/>
    <col min="8984" max="8984" width="6.375" style="224" customWidth="1"/>
    <col min="8985" max="8987" width="0" style="224" hidden="1" customWidth="1"/>
    <col min="8988" max="8988" width="17.375" style="224" customWidth="1"/>
    <col min="8989" max="9220" width="9" style="224"/>
    <col min="9221" max="9221" width="5.125" style="224" customWidth="1"/>
    <col min="9222" max="9222" width="3.625" style="224" customWidth="1"/>
    <col min="9223" max="9223" width="4.125" style="224" customWidth="1"/>
    <col min="9224" max="9224" width="17.375" style="224" customWidth="1"/>
    <col min="9225" max="9225" width="7.5" style="224" customWidth="1"/>
    <col min="9226" max="9226" width="4.5" style="224" customWidth="1"/>
    <col min="9227" max="9227" width="4.875" style="224" customWidth="1"/>
    <col min="9228" max="9228" width="5.125" style="224" customWidth="1"/>
    <col min="9229" max="9229" width="4.25" style="224" customWidth="1"/>
    <col min="9230" max="9230" width="6.375" style="224" customWidth="1"/>
    <col min="9231" max="9231" width="4" style="224" customWidth="1"/>
    <col min="9232" max="9232" width="12.375" style="224" customWidth="1"/>
    <col min="9233" max="9233" width="13.375" style="224" customWidth="1"/>
    <col min="9234" max="9234" width="15.875" style="224" customWidth="1"/>
    <col min="9235" max="9236" width="16.125" style="224" customWidth="1"/>
    <col min="9237" max="9237" width="15.5" style="224" customWidth="1"/>
    <col min="9238" max="9239" width="9" style="224" customWidth="1"/>
    <col min="9240" max="9240" width="6.375" style="224" customWidth="1"/>
    <col min="9241" max="9243" width="0" style="224" hidden="1" customWidth="1"/>
    <col min="9244" max="9244" width="17.375" style="224" customWidth="1"/>
    <col min="9245" max="9476" width="9" style="224"/>
    <col min="9477" max="9477" width="5.125" style="224" customWidth="1"/>
    <col min="9478" max="9478" width="3.625" style="224" customWidth="1"/>
    <col min="9479" max="9479" width="4.125" style="224" customWidth="1"/>
    <col min="9480" max="9480" width="17.375" style="224" customWidth="1"/>
    <col min="9481" max="9481" width="7.5" style="224" customWidth="1"/>
    <col min="9482" max="9482" width="4.5" style="224" customWidth="1"/>
    <col min="9483" max="9483" width="4.875" style="224" customWidth="1"/>
    <col min="9484" max="9484" width="5.125" style="224" customWidth="1"/>
    <col min="9485" max="9485" width="4.25" style="224" customWidth="1"/>
    <col min="9486" max="9486" width="6.375" style="224" customWidth="1"/>
    <col min="9487" max="9487" width="4" style="224" customWidth="1"/>
    <col min="9488" max="9488" width="12.375" style="224" customWidth="1"/>
    <col min="9489" max="9489" width="13.375" style="224" customWidth="1"/>
    <col min="9490" max="9490" width="15.875" style="224" customWidth="1"/>
    <col min="9491" max="9492" width="16.125" style="224" customWidth="1"/>
    <col min="9493" max="9493" width="15.5" style="224" customWidth="1"/>
    <col min="9494" max="9495" width="9" style="224" customWidth="1"/>
    <col min="9496" max="9496" width="6.375" style="224" customWidth="1"/>
    <col min="9497" max="9499" width="0" style="224" hidden="1" customWidth="1"/>
    <col min="9500" max="9500" width="17.375" style="224" customWidth="1"/>
    <col min="9501" max="9732" width="9" style="224"/>
    <col min="9733" max="9733" width="5.125" style="224" customWidth="1"/>
    <col min="9734" max="9734" width="3.625" style="224" customWidth="1"/>
    <col min="9735" max="9735" width="4.125" style="224" customWidth="1"/>
    <col min="9736" max="9736" width="17.375" style="224" customWidth="1"/>
    <col min="9737" max="9737" width="7.5" style="224" customWidth="1"/>
    <col min="9738" max="9738" width="4.5" style="224" customWidth="1"/>
    <col min="9739" max="9739" width="4.875" style="224" customWidth="1"/>
    <col min="9740" max="9740" width="5.125" style="224" customWidth="1"/>
    <col min="9741" max="9741" width="4.25" style="224" customWidth="1"/>
    <col min="9742" max="9742" width="6.375" style="224" customWidth="1"/>
    <col min="9743" max="9743" width="4" style="224" customWidth="1"/>
    <col min="9744" max="9744" width="12.375" style="224" customWidth="1"/>
    <col min="9745" max="9745" width="13.375" style="224" customWidth="1"/>
    <col min="9746" max="9746" width="15.875" style="224" customWidth="1"/>
    <col min="9747" max="9748" width="16.125" style="224" customWidth="1"/>
    <col min="9749" max="9749" width="15.5" style="224" customWidth="1"/>
    <col min="9750" max="9751" width="9" style="224" customWidth="1"/>
    <col min="9752" max="9752" width="6.375" style="224" customWidth="1"/>
    <col min="9753" max="9755" width="0" style="224" hidden="1" customWidth="1"/>
    <col min="9756" max="9756" width="17.375" style="224" customWidth="1"/>
    <col min="9757" max="9988" width="9" style="224"/>
    <col min="9989" max="9989" width="5.125" style="224" customWidth="1"/>
    <col min="9990" max="9990" width="3.625" style="224" customWidth="1"/>
    <col min="9991" max="9991" width="4.125" style="224" customWidth="1"/>
    <col min="9992" max="9992" width="17.375" style="224" customWidth="1"/>
    <col min="9993" max="9993" width="7.5" style="224" customWidth="1"/>
    <col min="9994" max="9994" width="4.5" style="224" customWidth="1"/>
    <col min="9995" max="9995" width="4.875" style="224" customWidth="1"/>
    <col min="9996" max="9996" width="5.125" style="224" customWidth="1"/>
    <col min="9997" max="9997" width="4.25" style="224" customWidth="1"/>
    <col min="9998" max="9998" width="6.375" style="224" customWidth="1"/>
    <col min="9999" max="9999" width="4" style="224" customWidth="1"/>
    <col min="10000" max="10000" width="12.375" style="224" customWidth="1"/>
    <col min="10001" max="10001" width="13.375" style="224" customWidth="1"/>
    <col min="10002" max="10002" width="15.875" style="224" customWidth="1"/>
    <col min="10003" max="10004" width="16.125" style="224" customWidth="1"/>
    <col min="10005" max="10005" width="15.5" style="224" customWidth="1"/>
    <col min="10006" max="10007" width="9" style="224" customWidth="1"/>
    <col min="10008" max="10008" width="6.375" style="224" customWidth="1"/>
    <col min="10009" max="10011" width="0" style="224" hidden="1" customWidth="1"/>
    <col min="10012" max="10012" width="17.375" style="224" customWidth="1"/>
    <col min="10013" max="10244" width="9" style="224"/>
    <col min="10245" max="10245" width="5.125" style="224" customWidth="1"/>
    <col min="10246" max="10246" width="3.625" style="224" customWidth="1"/>
    <col min="10247" max="10247" width="4.125" style="224" customWidth="1"/>
    <col min="10248" max="10248" width="17.375" style="224" customWidth="1"/>
    <col min="10249" max="10249" width="7.5" style="224" customWidth="1"/>
    <col min="10250" max="10250" width="4.5" style="224" customWidth="1"/>
    <col min="10251" max="10251" width="4.875" style="224" customWidth="1"/>
    <col min="10252" max="10252" width="5.125" style="224" customWidth="1"/>
    <col min="10253" max="10253" width="4.25" style="224" customWidth="1"/>
    <col min="10254" max="10254" width="6.375" style="224" customWidth="1"/>
    <col min="10255" max="10255" width="4" style="224" customWidth="1"/>
    <col min="10256" max="10256" width="12.375" style="224" customWidth="1"/>
    <col min="10257" max="10257" width="13.375" style="224" customWidth="1"/>
    <col min="10258" max="10258" width="15.875" style="224" customWidth="1"/>
    <col min="10259" max="10260" width="16.125" style="224" customWidth="1"/>
    <col min="10261" max="10261" width="15.5" style="224" customWidth="1"/>
    <col min="10262" max="10263" width="9" style="224" customWidth="1"/>
    <col min="10264" max="10264" width="6.375" style="224" customWidth="1"/>
    <col min="10265" max="10267" width="0" style="224" hidden="1" customWidth="1"/>
    <col min="10268" max="10268" width="17.375" style="224" customWidth="1"/>
    <col min="10269" max="10500" width="9" style="224"/>
    <col min="10501" max="10501" width="5.125" style="224" customWidth="1"/>
    <col min="10502" max="10502" width="3.625" style="224" customWidth="1"/>
    <col min="10503" max="10503" width="4.125" style="224" customWidth="1"/>
    <col min="10504" max="10504" width="17.375" style="224" customWidth="1"/>
    <col min="10505" max="10505" width="7.5" style="224" customWidth="1"/>
    <col min="10506" max="10506" width="4.5" style="224" customWidth="1"/>
    <col min="10507" max="10507" width="4.875" style="224" customWidth="1"/>
    <col min="10508" max="10508" width="5.125" style="224" customWidth="1"/>
    <col min="10509" max="10509" width="4.25" style="224" customWidth="1"/>
    <col min="10510" max="10510" width="6.375" style="224" customWidth="1"/>
    <col min="10511" max="10511" width="4" style="224" customWidth="1"/>
    <col min="10512" max="10512" width="12.375" style="224" customWidth="1"/>
    <col min="10513" max="10513" width="13.375" style="224" customWidth="1"/>
    <col min="10514" max="10514" width="15.875" style="224" customWidth="1"/>
    <col min="10515" max="10516" width="16.125" style="224" customWidth="1"/>
    <col min="10517" max="10517" width="15.5" style="224" customWidth="1"/>
    <col min="10518" max="10519" width="9" style="224" customWidth="1"/>
    <col min="10520" max="10520" width="6.375" style="224" customWidth="1"/>
    <col min="10521" max="10523" width="0" style="224" hidden="1" customWidth="1"/>
    <col min="10524" max="10524" width="17.375" style="224" customWidth="1"/>
    <col min="10525" max="10756" width="9" style="224"/>
    <col min="10757" max="10757" width="5.125" style="224" customWidth="1"/>
    <col min="10758" max="10758" width="3.625" style="224" customWidth="1"/>
    <col min="10759" max="10759" width="4.125" style="224" customWidth="1"/>
    <col min="10760" max="10760" width="17.375" style="224" customWidth="1"/>
    <col min="10761" max="10761" width="7.5" style="224" customWidth="1"/>
    <col min="10762" max="10762" width="4.5" style="224" customWidth="1"/>
    <col min="10763" max="10763" width="4.875" style="224" customWidth="1"/>
    <col min="10764" max="10764" width="5.125" style="224" customWidth="1"/>
    <col min="10765" max="10765" width="4.25" style="224" customWidth="1"/>
    <col min="10766" max="10766" width="6.375" style="224" customWidth="1"/>
    <col min="10767" max="10767" width="4" style="224" customWidth="1"/>
    <col min="10768" max="10768" width="12.375" style="224" customWidth="1"/>
    <col min="10769" max="10769" width="13.375" style="224" customWidth="1"/>
    <col min="10770" max="10770" width="15.875" style="224" customWidth="1"/>
    <col min="10771" max="10772" width="16.125" style="224" customWidth="1"/>
    <col min="10773" max="10773" width="15.5" style="224" customWidth="1"/>
    <col min="10774" max="10775" width="9" style="224" customWidth="1"/>
    <col min="10776" max="10776" width="6.375" style="224" customWidth="1"/>
    <col min="10777" max="10779" width="0" style="224" hidden="1" customWidth="1"/>
    <col min="10780" max="10780" width="17.375" style="224" customWidth="1"/>
    <col min="10781" max="11012" width="9" style="224"/>
    <col min="11013" max="11013" width="5.125" style="224" customWidth="1"/>
    <col min="11014" max="11014" width="3.625" style="224" customWidth="1"/>
    <col min="11015" max="11015" width="4.125" style="224" customWidth="1"/>
    <col min="11016" max="11016" width="17.375" style="224" customWidth="1"/>
    <col min="11017" max="11017" width="7.5" style="224" customWidth="1"/>
    <col min="11018" max="11018" width="4.5" style="224" customWidth="1"/>
    <col min="11019" max="11019" width="4.875" style="224" customWidth="1"/>
    <col min="11020" max="11020" width="5.125" style="224" customWidth="1"/>
    <col min="11021" max="11021" width="4.25" style="224" customWidth="1"/>
    <col min="11022" max="11022" width="6.375" style="224" customWidth="1"/>
    <col min="11023" max="11023" width="4" style="224" customWidth="1"/>
    <col min="11024" max="11024" width="12.375" style="224" customWidth="1"/>
    <col min="11025" max="11025" width="13.375" style="224" customWidth="1"/>
    <col min="11026" max="11026" width="15.875" style="224" customWidth="1"/>
    <col min="11027" max="11028" width="16.125" style="224" customWidth="1"/>
    <col min="11029" max="11029" width="15.5" style="224" customWidth="1"/>
    <col min="11030" max="11031" width="9" style="224" customWidth="1"/>
    <col min="11032" max="11032" width="6.375" style="224" customWidth="1"/>
    <col min="11033" max="11035" width="0" style="224" hidden="1" customWidth="1"/>
    <col min="11036" max="11036" width="17.375" style="224" customWidth="1"/>
    <col min="11037" max="11268" width="9" style="224"/>
    <col min="11269" max="11269" width="5.125" style="224" customWidth="1"/>
    <col min="11270" max="11270" width="3.625" style="224" customWidth="1"/>
    <col min="11271" max="11271" width="4.125" style="224" customWidth="1"/>
    <col min="11272" max="11272" width="17.375" style="224" customWidth="1"/>
    <col min="11273" max="11273" width="7.5" style="224" customWidth="1"/>
    <col min="11274" max="11274" width="4.5" style="224" customWidth="1"/>
    <col min="11275" max="11275" width="4.875" style="224" customWidth="1"/>
    <col min="11276" max="11276" width="5.125" style="224" customWidth="1"/>
    <col min="11277" max="11277" width="4.25" style="224" customWidth="1"/>
    <col min="11278" max="11278" width="6.375" style="224" customWidth="1"/>
    <col min="11279" max="11279" width="4" style="224" customWidth="1"/>
    <col min="11280" max="11280" width="12.375" style="224" customWidth="1"/>
    <col min="11281" max="11281" width="13.375" style="224" customWidth="1"/>
    <col min="11282" max="11282" width="15.875" style="224" customWidth="1"/>
    <col min="11283" max="11284" width="16.125" style="224" customWidth="1"/>
    <col min="11285" max="11285" width="15.5" style="224" customWidth="1"/>
    <col min="11286" max="11287" width="9" style="224" customWidth="1"/>
    <col min="11288" max="11288" width="6.375" style="224" customWidth="1"/>
    <col min="11289" max="11291" width="0" style="224" hidden="1" customWidth="1"/>
    <col min="11292" max="11292" width="17.375" style="224" customWidth="1"/>
    <col min="11293" max="11524" width="9" style="224"/>
    <col min="11525" max="11525" width="5.125" style="224" customWidth="1"/>
    <col min="11526" max="11526" width="3.625" style="224" customWidth="1"/>
    <col min="11527" max="11527" width="4.125" style="224" customWidth="1"/>
    <col min="11528" max="11528" width="17.375" style="224" customWidth="1"/>
    <col min="11529" max="11529" width="7.5" style="224" customWidth="1"/>
    <col min="11530" max="11530" width="4.5" style="224" customWidth="1"/>
    <col min="11531" max="11531" width="4.875" style="224" customWidth="1"/>
    <col min="11532" max="11532" width="5.125" style="224" customWidth="1"/>
    <col min="11533" max="11533" width="4.25" style="224" customWidth="1"/>
    <col min="11534" max="11534" width="6.375" style="224" customWidth="1"/>
    <col min="11535" max="11535" width="4" style="224" customWidth="1"/>
    <col min="11536" max="11536" width="12.375" style="224" customWidth="1"/>
    <col min="11537" max="11537" width="13.375" style="224" customWidth="1"/>
    <col min="11538" max="11538" width="15.875" style="224" customWidth="1"/>
    <col min="11539" max="11540" width="16.125" style="224" customWidth="1"/>
    <col min="11541" max="11541" width="15.5" style="224" customWidth="1"/>
    <col min="11542" max="11543" width="9" style="224" customWidth="1"/>
    <col min="11544" max="11544" width="6.375" style="224" customWidth="1"/>
    <col min="11545" max="11547" width="0" style="224" hidden="1" customWidth="1"/>
    <col min="11548" max="11548" width="17.375" style="224" customWidth="1"/>
    <col min="11549" max="11780" width="9" style="224"/>
    <col min="11781" max="11781" width="5.125" style="224" customWidth="1"/>
    <col min="11782" max="11782" width="3.625" style="224" customWidth="1"/>
    <col min="11783" max="11783" width="4.125" style="224" customWidth="1"/>
    <col min="11784" max="11784" width="17.375" style="224" customWidth="1"/>
    <col min="11785" max="11785" width="7.5" style="224" customWidth="1"/>
    <col min="11786" max="11786" width="4.5" style="224" customWidth="1"/>
    <col min="11787" max="11787" width="4.875" style="224" customWidth="1"/>
    <col min="11788" max="11788" width="5.125" style="224" customWidth="1"/>
    <col min="11789" max="11789" width="4.25" style="224" customWidth="1"/>
    <col min="11790" max="11790" width="6.375" style="224" customWidth="1"/>
    <col min="11791" max="11791" width="4" style="224" customWidth="1"/>
    <col min="11792" max="11792" width="12.375" style="224" customWidth="1"/>
    <col min="11793" max="11793" width="13.375" style="224" customWidth="1"/>
    <col min="11794" max="11794" width="15.875" style="224" customWidth="1"/>
    <col min="11795" max="11796" width="16.125" style="224" customWidth="1"/>
    <col min="11797" max="11797" width="15.5" style="224" customWidth="1"/>
    <col min="11798" max="11799" width="9" style="224" customWidth="1"/>
    <col min="11800" max="11800" width="6.375" style="224" customWidth="1"/>
    <col min="11801" max="11803" width="0" style="224" hidden="1" customWidth="1"/>
    <col min="11804" max="11804" width="17.375" style="224" customWidth="1"/>
    <col min="11805" max="12036" width="9" style="224"/>
    <col min="12037" max="12037" width="5.125" style="224" customWidth="1"/>
    <col min="12038" max="12038" width="3.625" style="224" customWidth="1"/>
    <col min="12039" max="12039" width="4.125" style="224" customWidth="1"/>
    <col min="12040" max="12040" width="17.375" style="224" customWidth="1"/>
    <col min="12041" max="12041" width="7.5" style="224" customWidth="1"/>
    <col min="12042" max="12042" width="4.5" style="224" customWidth="1"/>
    <col min="12043" max="12043" width="4.875" style="224" customWidth="1"/>
    <col min="12044" max="12044" width="5.125" style="224" customWidth="1"/>
    <col min="12045" max="12045" width="4.25" style="224" customWidth="1"/>
    <col min="12046" max="12046" width="6.375" style="224" customWidth="1"/>
    <col min="12047" max="12047" width="4" style="224" customWidth="1"/>
    <col min="12048" max="12048" width="12.375" style="224" customWidth="1"/>
    <col min="12049" max="12049" width="13.375" style="224" customWidth="1"/>
    <col min="12050" max="12050" width="15.875" style="224" customWidth="1"/>
    <col min="12051" max="12052" width="16.125" style="224" customWidth="1"/>
    <col min="12053" max="12053" width="15.5" style="224" customWidth="1"/>
    <col min="12054" max="12055" width="9" style="224" customWidth="1"/>
    <col min="12056" max="12056" width="6.375" style="224" customWidth="1"/>
    <col min="12057" max="12059" width="0" style="224" hidden="1" customWidth="1"/>
    <col min="12060" max="12060" width="17.375" style="224" customWidth="1"/>
    <col min="12061" max="12292" width="9" style="224"/>
    <col min="12293" max="12293" width="5.125" style="224" customWidth="1"/>
    <col min="12294" max="12294" width="3.625" style="224" customWidth="1"/>
    <col min="12295" max="12295" width="4.125" style="224" customWidth="1"/>
    <col min="12296" max="12296" width="17.375" style="224" customWidth="1"/>
    <col min="12297" max="12297" width="7.5" style="224" customWidth="1"/>
    <col min="12298" max="12298" width="4.5" style="224" customWidth="1"/>
    <col min="12299" max="12299" width="4.875" style="224" customWidth="1"/>
    <col min="12300" max="12300" width="5.125" style="224" customWidth="1"/>
    <col min="12301" max="12301" width="4.25" style="224" customWidth="1"/>
    <col min="12302" max="12302" width="6.375" style="224" customWidth="1"/>
    <col min="12303" max="12303" width="4" style="224" customWidth="1"/>
    <col min="12304" max="12304" width="12.375" style="224" customWidth="1"/>
    <col min="12305" max="12305" width="13.375" style="224" customWidth="1"/>
    <col min="12306" max="12306" width="15.875" style="224" customWidth="1"/>
    <col min="12307" max="12308" width="16.125" style="224" customWidth="1"/>
    <col min="12309" max="12309" width="15.5" style="224" customWidth="1"/>
    <col min="12310" max="12311" width="9" style="224" customWidth="1"/>
    <col min="12312" max="12312" width="6.375" style="224" customWidth="1"/>
    <col min="12313" max="12315" width="0" style="224" hidden="1" customWidth="1"/>
    <col min="12316" max="12316" width="17.375" style="224" customWidth="1"/>
    <col min="12317" max="12548" width="9" style="224"/>
    <col min="12549" max="12549" width="5.125" style="224" customWidth="1"/>
    <col min="12550" max="12550" width="3.625" style="224" customWidth="1"/>
    <col min="12551" max="12551" width="4.125" style="224" customWidth="1"/>
    <col min="12552" max="12552" width="17.375" style="224" customWidth="1"/>
    <col min="12553" max="12553" width="7.5" style="224" customWidth="1"/>
    <col min="12554" max="12554" width="4.5" style="224" customWidth="1"/>
    <col min="12555" max="12555" width="4.875" style="224" customWidth="1"/>
    <col min="12556" max="12556" width="5.125" style="224" customWidth="1"/>
    <col min="12557" max="12557" width="4.25" style="224" customWidth="1"/>
    <col min="12558" max="12558" width="6.375" style="224" customWidth="1"/>
    <col min="12559" max="12559" width="4" style="224" customWidth="1"/>
    <col min="12560" max="12560" width="12.375" style="224" customWidth="1"/>
    <col min="12561" max="12561" width="13.375" style="224" customWidth="1"/>
    <col min="12562" max="12562" width="15.875" style="224" customWidth="1"/>
    <col min="12563" max="12564" width="16.125" style="224" customWidth="1"/>
    <col min="12565" max="12565" width="15.5" style="224" customWidth="1"/>
    <col min="12566" max="12567" width="9" style="224" customWidth="1"/>
    <col min="12568" max="12568" width="6.375" style="224" customWidth="1"/>
    <col min="12569" max="12571" width="0" style="224" hidden="1" customWidth="1"/>
    <col min="12572" max="12572" width="17.375" style="224" customWidth="1"/>
    <col min="12573" max="12804" width="9" style="224"/>
    <col min="12805" max="12805" width="5.125" style="224" customWidth="1"/>
    <col min="12806" max="12806" width="3.625" style="224" customWidth="1"/>
    <col min="12807" max="12807" width="4.125" style="224" customWidth="1"/>
    <col min="12808" max="12808" width="17.375" style="224" customWidth="1"/>
    <col min="12809" max="12809" width="7.5" style="224" customWidth="1"/>
    <col min="12810" max="12810" width="4.5" style="224" customWidth="1"/>
    <col min="12811" max="12811" width="4.875" style="224" customWidth="1"/>
    <col min="12812" max="12812" width="5.125" style="224" customWidth="1"/>
    <col min="12813" max="12813" width="4.25" style="224" customWidth="1"/>
    <col min="12814" max="12814" width="6.375" style="224" customWidth="1"/>
    <col min="12815" max="12815" width="4" style="224" customWidth="1"/>
    <col min="12816" max="12816" width="12.375" style="224" customWidth="1"/>
    <col min="12817" max="12817" width="13.375" style="224" customWidth="1"/>
    <col min="12818" max="12818" width="15.875" style="224" customWidth="1"/>
    <col min="12819" max="12820" width="16.125" style="224" customWidth="1"/>
    <col min="12821" max="12821" width="15.5" style="224" customWidth="1"/>
    <col min="12822" max="12823" width="9" style="224" customWidth="1"/>
    <col min="12824" max="12824" width="6.375" style="224" customWidth="1"/>
    <col min="12825" max="12827" width="0" style="224" hidden="1" customWidth="1"/>
    <col min="12828" max="12828" width="17.375" style="224" customWidth="1"/>
    <col min="12829" max="13060" width="9" style="224"/>
    <col min="13061" max="13061" width="5.125" style="224" customWidth="1"/>
    <col min="13062" max="13062" width="3.625" style="224" customWidth="1"/>
    <col min="13063" max="13063" width="4.125" style="224" customWidth="1"/>
    <col min="13064" max="13064" width="17.375" style="224" customWidth="1"/>
    <col min="13065" max="13065" width="7.5" style="224" customWidth="1"/>
    <col min="13066" max="13066" width="4.5" style="224" customWidth="1"/>
    <col min="13067" max="13067" width="4.875" style="224" customWidth="1"/>
    <col min="13068" max="13068" width="5.125" style="224" customWidth="1"/>
    <col min="13069" max="13069" width="4.25" style="224" customWidth="1"/>
    <col min="13070" max="13070" width="6.375" style="224" customWidth="1"/>
    <col min="13071" max="13071" width="4" style="224" customWidth="1"/>
    <col min="13072" max="13072" width="12.375" style="224" customWidth="1"/>
    <col min="13073" max="13073" width="13.375" style="224" customWidth="1"/>
    <col min="13074" max="13074" width="15.875" style="224" customWidth="1"/>
    <col min="13075" max="13076" width="16.125" style="224" customWidth="1"/>
    <col min="13077" max="13077" width="15.5" style="224" customWidth="1"/>
    <col min="13078" max="13079" width="9" style="224" customWidth="1"/>
    <col min="13080" max="13080" width="6.375" style="224" customWidth="1"/>
    <col min="13081" max="13083" width="0" style="224" hidden="1" customWidth="1"/>
    <col min="13084" max="13084" width="17.375" style="224" customWidth="1"/>
    <col min="13085" max="13316" width="9" style="224"/>
    <col min="13317" max="13317" width="5.125" style="224" customWidth="1"/>
    <col min="13318" max="13318" width="3.625" style="224" customWidth="1"/>
    <col min="13319" max="13319" width="4.125" style="224" customWidth="1"/>
    <col min="13320" max="13320" width="17.375" style="224" customWidth="1"/>
    <col min="13321" max="13321" width="7.5" style="224" customWidth="1"/>
    <col min="13322" max="13322" width="4.5" style="224" customWidth="1"/>
    <col min="13323" max="13323" width="4.875" style="224" customWidth="1"/>
    <col min="13324" max="13324" width="5.125" style="224" customWidth="1"/>
    <col min="13325" max="13325" width="4.25" style="224" customWidth="1"/>
    <col min="13326" max="13326" width="6.375" style="224" customWidth="1"/>
    <col min="13327" max="13327" width="4" style="224" customWidth="1"/>
    <col min="13328" max="13328" width="12.375" style="224" customWidth="1"/>
    <col min="13329" max="13329" width="13.375" style="224" customWidth="1"/>
    <col min="13330" max="13330" width="15.875" style="224" customWidth="1"/>
    <col min="13331" max="13332" width="16.125" style="224" customWidth="1"/>
    <col min="13333" max="13333" width="15.5" style="224" customWidth="1"/>
    <col min="13334" max="13335" width="9" style="224" customWidth="1"/>
    <col min="13336" max="13336" width="6.375" style="224" customWidth="1"/>
    <col min="13337" max="13339" width="0" style="224" hidden="1" customWidth="1"/>
    <col min="13340" max="13340" width="17.375" style="224" customWidth="1"/>
    <col min="13341" max="13572" width="9" style="224"/>
    <col min="13573" max="13573" width="5.125" style="224" customWidth="1"/>
    <col min="13574" max="13574" width="3.625" style="224" customWidth="1"/>
    <col min="13575" max="13575" width="4.125" style="224" customWidth="1"/>
    <col min="13576" max="13576" width="17.375" style="224" customWidth="1"/>
    <col min="13577" max="13577" width="7.5" style="224" customWidth="1"/>
    <col min="13578" max="13578" width="4.5" style="224" customWidth="1"/>
    <col min="13579" max="13579" width="4.875" style="224" customWidth="1"/>
    <col min="13580" max="13580" width="5.125" style="224" customWidth="1"/>
    <col min="13581" max="13581" width="4.25" style="224" customWidth="1"/>
    <col min="13582" max="13582" width="6.375" style="224" customWidth="1"/>
    <col min="13583" max="13583" width="4" style="224" customWidth="1"/>
    <col min="13584" max="13584" width="12.375" style="224" customWidth="1"/>
    <col min="13585" max="13585" width="13.375" style="224" customWidth="1"/>
    <col min="13586" max="13586" width="15.875" style="224" customWidth="1"/>
    <col min="13587" max="13588" width="16.125" style="224" customWidth="1"/>
    <col min="13589" max="13589" width="15.5" style="224" customWidth="1"/>
    <col min="13590" max="13591" width="9" style="224" customWidth="1"/>
    <col min="13592" max="13592" width="6.375" style="224" customWidth="1"/>
    <col min="13593" max="13595" width="0" style="224" hidden="1" customWidth="1"/>
    <col min="13596" max="13596" width="17.375" style="224" customWidth="1"/>
    <col min="13597" max="13828" width="9" style="224"/>
    <col min="13829" max="13829" width="5.125" style="224" customWidth="1"/>
    <col min="13830" max="13830" width="3.625" style="224" customWidth="1"/>
    <col min="13831" max="13831" width="4.125" style="224" customWidth="1"/>
    <col min="13832" max="13832" width="17.375" style="224" customWidth="1"/>
    <col min="13833" max="13833" width="7.5" style="224" customWidth="1"/>
    <col min="13834" max="13834" width="4.5" style="224" customWidth="1"/>
    <col min="13835" max="13835" width="4.875" style="224" customWidth="1"/>
    <col min="13836" max="13836" width="5.125" style="224" customWidth="1"/>
    <col min="13837" max="13837" width="4.25" style="224" customWidth="1"/>
    <col min="13838" max="13838" width="6.375" style="224" customWidth="1"/>
    <col min="13839" max="13839" width="4" style="224" customWidth="1"/>
    <col min="13840" max="13840" width="12.375" style="224" customWidth="1"/>
    <col min="13841" max="13841" width="13.375" style="224" customWidth="1"/>
    <col min="13842" max="13842" width="15.875" style="224" customWidth="1"/>
    <col min="13843" max="13844" width="16.125" style="224" customWidth="1"/>
    <col min="13845" max="13845" width="15.5" style="224" customWidth="1"/>
    <col min="13846" max="13847" width="9" style="224" customWidth="1"/>
    <col min="13848" max="13848" width="6.375" style="224" customWidth="1"/>
    <col min="13849" max="13851" width="0" style="224" hidden="1" customWidth="1"/>
    <col min="13852" max="13852" width="17.375" style="224" customWidth="1"/>
    <col min="13853" max="14084" width="9" style="224"/>
    <col min="14085" max="14085" width="5.125" style="224" customWidth="1"/>
    <col min="14086" max="14086" width="3.625" style="224" customWidth="1"/>
    <col min="14087" max="14087" width="4.125" style="224" customWidth="1"/>
    <col min="14088" max="14088" width="17.375" style="224" customWidth="1"/>
    <col min="14089" max="14089" width="7.5" style="224" customWidth="1"/>
    <col min="14090" max="14090" width="4.5" style="224" customWidth="1"/>
    <col min="14091" max="14091" width="4.875" style="224" customWidth="1"/>
    <col min="14092" max="14092" width="5.125" style="224" customWidth="1"/>
    <col min="14093" max="14093" width="4.25" style="224" customWidth="1"/>
    <col min="14094" max="14094" width="6.375" style="224" customWidth="1"/>
    <col min="14095" max="14095" width="4" style="224" customWidth="1"/>
    <col min="14096" max="14096" width="12.375" style="224" customWidth="1"/>
    <col min="14097" max="14097" width="13.375" style="224" customWidth="1"/>
    <col min="14098" max="14098" width="15.875" style="224" customWidth="1"/>
    <col min="14099" max="14100" width="16.125" style="224" customWidth="1"/>
    <col min="14101" max="14101" width="15.5" style="224" customWidth="1"/>
    <col min="14102" max="14103" width="9" style="224" customWidth="1"/>
    <col min="14104" max="14104" width="6.375" style="224" customWidth="1"/>
    <col min="14105" max="14107" width="0" style="224" hidden="1" customWidth="1"/>
    <col min="14108" max="14108" width="17.375" style="224" customWidth="1"/>
    <col min="14109" max="14340" width="9" style="224"/>
    <col min="14341" max="14341" width="5.125" style="224" customWidth="1"/>
    <col min="14342" max="14342" width="3.625" style="224" customWidth="1"/>
    <col min="14343" max="14343" width="4.125" style="224" customWidth="1"/>
    <col min="14344" max="14344" width="17.375" style="224" customWidth="1"/>
    <col min="14345" max="14345" width="7.5" style="224" customWidth="1"/>
    <col min="14346" max="14346" width="4.5" style="224" customWidth="1"/>
    <col min="14347" max="14347" width="4.875" style="224" customWidth="1"/>
    <col min="14348" max="14348" width="5.125" style="224" customWidth="1"/>
    <col min="14349" max="14349" width="4.25" style="224" customWidth="1"/>
    <col min="14350" max="14350" width="6.375" style="224" customWidth="1"/>
    <col min="14351" max="14351" width="4" style="224" customWidth="1"/>
    <col min="14352" max="14352" width="12.375" style="224" customWidth="1"/>
    <col min="14353" max="14353" width="13.375" style="224" customWidth="1"/>
    <col min="14354" max="14354" width="15.875" style="224" customWidth="1"/>
    <col min="14355" max="14356" width="16.125" style="224" customWidth="1"/>
    <col min="14357" max="14357" width="15.5" style="224" customWidth="1"/>
    <col min="14358" max="14359" width="9" style="224" customWidth="1"/>
    <col min="14360" max="14360" width="6.375" style="224" customWidth="1"/>
    <col min="14361" max="14363" width="0" style="224" hidden="1" customWidth="1"/>
    <col min="14364" max="14364" width="17.375" style="224" customWidth="1"/>
    <col min="14365" max="14596" width="9" style="224"/>
    <col min="14597" max="14597" width="5.125" style="224" customWidth="1"/>
    <col min="14598" max="14598" width="3.625" style="224" customWidth="1"/>
    <col min="14599" max="14599" width="4.125" style="224" customWidth="1"/>
    <col min="14600" max="14600" width="17.375" style="224" customWidth="1"/>
    <col min="14601" max="14601" width="7.5" style="224" customWidth="1"/>
    <col min="14602" max="14602" width="4.5" style="224" customWidth="1"/>
    <col min="14603" max="14603" width="4.875" style="224" customWidth="1"/>
    <col min="14604" max="14604" width="5.125" style="224" customWidth="1"/>
    <col min="14605" max="14605" width="4.25" style="224" customWidth="1"/>
    <col min="14606" max="14606" width="6.375" style="224" customWidth="1"/>
    <col min="14607" max="14607" width="4" style="224" customWidth="1"/>
    <col min="14608" max="14608" width="12.375" style="224" customWidth="1"/>
    <col min="14609" max="14609" width="13.375" style="224" customWidth="1"/>
    <col min="14610" max="14610" width="15.875" style="224" customWidth="1"/>
    <col min="14611" max="14612" width="16.125" style="224" customWidth="1"/>
    <col min="14613" max="14613" width="15.5" style="224" customWidth="1"/>
    <col min="14614" max="14615" width="9" style="224" customWidth="1"/>
    <col min="14616" max="14616" width="6.375" style="224" customWidth="1"/>
    <col min="14617" max="14619" width="0" style="224" hidden="1" customWidth="1"/>
    <col min="14620" max="14620" width="17.375" style="224" customWidth="1"/>
    <col min="14621" max="14852" width="9" style="224"/>
    <col min="14853" max="14853" width="5.125" style="224" customWidth="1"/>
    <col min="14854" max="14854" width="3.625" style="224" customWidth="1"/>
    <col min="14855" max="14855" width="4.125" style="224" customWidth="1"/>
    <col min="14856" max="14856" width="17.375" style="224" customWidth="1"/>
    <col min="14857" max="14857" width="7.5" style="224" customWidth="1"/>
    <col min="14858" max="14858" width="4.5" style="224" customWidth="1"/>
    <col min="14859" max="14859" width="4.875" style="224" customWidth="1"/>
    <col min="14860" max="14860" width="5.125" style="224" customWidth="1"/>
    <col min="14861" max="14861" width="4.25" style="224" customWidth="1"/>
    <col min="14862" max="14862" width="6.375" style="224" customWidth="1"/>
    <col min="14863" max="14863" width="4" style="224" customWidth="1"/>
    <col min="14864" max="14864" width="12.375" style="224" customWidth="1"/>
    <col min="14865" max="14865" width="13.375" style="224" customWidth="1"/>
    <col min="14866" max="14866" width="15.875" style="224" customWidth="1"/>
    <col min="14867" max="14868" width="16.125" style="224" customWidth="1"/>
    <col min="14869" max="14869" width="15.5" style="224" customWidth="1"/>
    <col min="14870" max="14871" width="9" style="224" customWidth="1"/>
    <col min="14872" max="14872" width="6.375" style="224" customWidth="1"/>
    <col min="14873" max="14875" width="0" style="224" hidden="1" customWidth="1"/>
    <col min="14876" max="14876" width="17.375" style="224" customWidth="1"/>
    <col min="14877" max="15108" width="9" style="224"/>
    <col min="15109" max="15109" width="5.125" style="224" customWidth="1"/>
    <col min="15110" max="15110" width="3.625" style="224" customWidth="1"/>
    <col min="15111" max="15111" width="4.125" style="224" customWidth="1"/>
    <col min="15112" max="15112" width="17.375" style="224" customWidth="1"/>
    <col min="15113" max="15113" width="7.5" style="224" customWidth="1"/>
    <col min="15114" max="15114" width="4.5" style="224" customWidth="1"/>
    <col min="15115" max="15115" width="4.875" style="224" customWidth="1"/>
    <col min="15116" max="15116" width="5.125" style="224" customWidth="1"/>
    <col min="15117" max="15117" width="4.25" style="224" customWidth="1"/>
    <col min="15118" max="15118" width="6.375" style="224" customWidth="1"/>
    <col min="15119" max="15119" width="4" style="224" customWidth="1"/>
    <col min="15120" max="15120" width="12.375" style="224" customWidth="1"/>
    <col min="15121" max="15121" width="13.375" style="224" customWidth="1"/>
    <col min="15122" max="15122" width="15.875" style="224" customWidth="1"/>
    <col min="15123" max="15124" width="16.125" style="224" customWidth="1"/>
    <col min="15125" max="15125" width="15.5" style="224" customWidth="1"/>
    <col min="15126" max="15127" width="9" style="224" customWidth="1"/>
    <col min="15128" max="15128" width="6.375" style="224" customWidth="1"/>
    <col min="15129" max="15131" width="0" style="224" hidden="1" customWidth="1"/>
    <col min="15132" max="15132" width="17.375" style="224" customWidth="1"/>
    <col min="15133" max="15364" width="9" style="224"/>
    <col min="15365" max="15365" width="5.125" style="224" customWidth="1"/>
    <col min="15366" max="15366" width="3.625" style="224" customWidth="1"/>
    <col min="15367" max="15367" width="4.125" style="224" customWidth="1"/>
    <col min="15368" max="15368" width="17.375" style="224" customWidth="1"/>
    <col min="15369" max="15369" width="7.5" style="224" customWidth="1"/>
    <col min="15370" max="15370" width="4.5" style="224" customWidth="1"/>
    <col min="15371" max="15371" width="4.875" style="224" customWidth="1"/>
    <col min="15372" max="15372" width="5.125" style="224" customWidth="1"/>
    <col min="15373" max="15373" width="4.25" style="224" customWidth="1"/>
    <col min="15374" max="15374" width="6.375" style="224" customWidth="1"/>
    <col min="15375" max="15375" width="4" style="224" customWidth="1"/>
    <col min="15376" max="15376" width="12.375" style="224" customWidth="1"/>
    <col min="15377" max="15377" width="13.375" style="224" customWidth="1"/>
    <col min="15378" max="15378" width="15.875" style="224" customWidth="1"/>
    <col min="15379" max="15380" width="16.125" style="224" customWidth="1"/>
    <col min="15381" max="15381" width="15.5" style="224" customWidth="1"/>
    <col min="15382" max="15383" width="9" style="224" customWidth="1"/>
    <col min="15384" max="15384" width="6.375" style="224" customWidth="1"/>
    <col min="15385" max="15387" width="0" style="224" hidden="1" customWidth="1"/>
    <col min="15388" max="15388" width="17.375" style="224" customWidth="1"/>
    <col min="15389" max="15620" width="9" style="224"/>
    <col min="15621" max="15621" width="5.125" style="224" customWidth="1"/>
    <col min="15622" max="15622" width="3.625" style="224" customWidth="1"/>
    <col min="15623" max="15623" width="4.125" style="224" customWidth="1"/>
    <col min="15624" max="15624" width="17.375" style="224" customWidth="1"/>
    <col min="15625" max="15625" width="7.5" style="224" customWidth="1"/>
    <col min="15626" max="15626" width="4.5" style="224" customWidth="1"/>
    <col min="15627" max="15627" width="4.875" style="224" customWidth="1"/>
    <col min="15628" max="15628" width="5.125" style="224" customWidth="1"/>
    <col min="15629" max="15629" width="4.25" style="224" customWidth="1"/>
    <col min="15630" max="15630" width="6.375" style="224" customWidth="1"/>
    <col min="15631" max="15631" width="4" style="224" customWidth="1"/>
    <col min="15632" max="15632" width="12.375" style="224" customWidth="1"/>
    <col min="15633" max="15633" width="13.375" style="224" customWidth="1"/>
    <col min="15634" max="15634" width="15.875" style="224" customWidth="1"/>
    <col min="15635" max="15636" width="16.125" style="224" customWidth="1"/>
    <col min="15637" max="15637" width="15.5" style="224" customWidth="1"/>
    <col min="15638" max="15639" width="9" style="224" customWidth="1"/>
    <col min="15640" max="15640" width="6.375" style="224" customWidth="1"/>
    <col min="15641" max="15643" width="0" style="224" hidden="1" customWidth="1"/>
    <col min="15644" max="15644" width="17.375" style="224" customWidth="1"/>
    <col min="15645" max="15876" width="9" style="224"/>
    <col min="15877" max="15877" width="5.125" style="224" customWidth="1"/>
    <col min="15878" max="15878" width="3.625" style="224" customWidth="1"/>
    <col min="15879" max="15879" width="4.125" style="224" customWidth="1"/>
    <col min="15880" max="15880" width="17.375" style="224" customWidth="1"/>
    <col min="15881" max="15881" width="7.5" style="224" customWidth="1"/>
    <col min="15882" max="15882" width="4.5" style="224" customWidth="1"/>
    <col min="15883" max="15883" width="4.875" style="224" customWidth="1"/>
    <col min="15884" max="15884" width="5.125" style="224" customWidth="1"/>
    <col min="15885" max="15885" width="4.25" style="224" customWidth="1"/>
    <col min="15886" max="15886" width="6.375" style="224" customWidth="1"/>
    <col min="15887" max="15887" width="4" style="224" customWidth="1"/>
    <col min="15888" max="15888" width="12.375" style="224" customWidth="1"/>
    <col min="15889" max="15889" width="13.375" style="224" customWidth="1"/>
    <col min="15890" max="15890" width="15.875" style="224" customWidth="1"/>
    <col min="15891" max="15892" width="16.125" style="224" customWidth="1"/>
    <col min="15893" max="15893" width="15.5" style="224" customWidth="1"/>
    <col min="15894" max="15895" width="9" style="224" customWidth="1"/>
    <col min="15896" max="15896" width="6.375" style="224" customWidth="1"/>
    <col min="15897" max="15899" width="0" style="224" hidden="1" customWidth="1"/>
    <col min="15900" max="15900" width="17.375" style="224" customWidth="1"/>
    <col min="15901" max="16132" width="9" style="224"/>
    <col min="16133" max="16133" width="5.125" style="224" customWidth="1"/>
    <col min="16134" max="16134" width="3.625" style="224" customWidth="1"/>
    <col min="16135" max="16135" width="4.125" style="224" customWidth="1"/>
    <col min="16136" max="16136" width="17.375" style="224" customWidth="1"/>
    <col min="16137" max="16137" width="7.5" style="224" customWidth="1"/>
    <col min="16138" max="16138" width="4.5" style="224" customWidth="1"/>
    <col min="16139" max="16139" width="4.875" style="224" customWidth="1"/>
    <col min="16140" max="16140" width="5.125" style="224" customWidth="1"/>
    <col min="16141" max="16141" width="4.25" style="224" customWidth="1"/>
    <col min="16142" max="16142" width="6.375" style="224" customWidth="1"/>
    <col min="16143" max="16143" width="4" style="224" customWidth="1"/>
    <col min="16144" max="16144" width="12.375" style="224" customWidth="1"/>
    <col min="16145" max="16145" width="13.375" style="224" customWidth="1"/>
    <col min="16146" max="16146" width="15.875" style="224" customWidth="1"/>
    <col min="16147" max="16148" width="16.125" style="224" customWidth="1"/>
    <col min="16149" max="16149" width="15.5" style="224" customWidth="1"/>
    <col min="16150" max="16151" width="9" style="224" customWidth="1"/>
    <col min="16152" max="16152" width="6.375" style="224" customWidth="1"/>
    <col min="16153" max="16155" width="0" style="224" hidden="1" customWidth="1"/>
    <col min="16156" max="16156" width="17.375" style="224" customWidth="1"/>
    <col min="16157" max="16384" width="9" style="224"/>
  </cols>
  <sheetData>
    <row r="1" spans="1:27" ht="18.75" x14ac:dyDescent="0.3">
      <c r="A1" s="808" t="str">
        <f>Chinh!$A$1</f>
        <v>UBND PHƯỜNG CAM LINH</v>
      </c>
      <c r="B1" s="808"/>
      <c r="C1" s="808"/>
      <c r="D1" s="808"/>
      <c r="E1" s="808"/>
      <c r="F1" s="220"/>
      <c r="G1" s="220"/>
      <c r="H1" s="507" t="str">
        <f>"DANH SÁCH HỌC SINH THCS TOÀN TRƯỜNG NĂM HỌC "&amp;Chinh!$H$5</f>
        <v>DANH SÁCH HỌC SINH THCS TOÀN TRƯỜNG NĂM HỌC 2025-2026</v>
      </c>
      <c r="I1" s="222"/>
      <c r="J1" s="223"/>
      <c r="K1" s="223"/>
      <c r="L1" s="223"/>
      <c r="M1" s="231"/>
      <c r="P1" s="224"/>
      <c r="Q1" s="224"/>
      <c r="Z1" s="228">
        <f>VALUE(LEFT(Chinh!$H$5,4))</f>
        <v>2025</v>
      </c>
    </row>
    <row r="2" spans="1:27" ht="15.75" x14ac:dyDescent="0.25">
      <c r="A2" s="618" t="str">
        <f>IF(Chinh!$N$9="","",Chinh!$A$2)</f>
        <v>TRƯỜNG THCS NGUYỄN TRỌNG KỶ</v>
      </c>
      <c r="B2" s="618"/>
      <c r="C2" s="618"/>
      <c r="D2" s="618"/>
      <c r="E2" s="618"/>
      <c r="F2" s="220"/>
      <c r="G2" s="220"/>
      <c r="H2" s="498" t="str">
        <f>IF(P2="Hoàn thành!","Tổng số "&amp;COUNTA(E6:E3000)&amp;" "&amp;"học sinh","")</f>
        <v>Tổng số 6 học sinh</v>
      </c>
      <c r="I2" s="222"/>
      <c r="J2" s="223"/>
      <c r="K2" s="223"/>
      <c r="L2" s="223"/>
      <c r="M2" s="231"/>
      <c r="N2" s="224"/>
      <c r="O2" s="224"/>
      <c r="P2" s="660" t="str">
        <f>IF(COUNTIF(Y6:$Y$2500,"er")&gt;0,"Còn lỗi!",IF(COUNTIF(AA6:$AA$2500,"er")&gt;0,"Có HS học trước tuổi!",IF(AND(COUNTA($E$6:$E$2500)&gt;0,COUNTIF(Y6:$Y$2500,"er")=0,A2&lt;&gt;""),"Hoàn thành!","Nhập danh sách học sinh!")))</f>
        <v>Hoàn thành!</v>
      </c>
      <c r="Q2" s="660"/>
    </row>
    <row r="3" spans="1:27" ht="22.5" customHeight="1" x14ac:dyDescent="0.25">
      <c r="A3" s="496"/>
      <c r="B3" s="231"/>
      <c r="C3" s="232"/>
      <c r="D3" s="224"/>
      <c r="F3" s="220"/>
      <c r="G3" s="220"/>
      <c r="H3" s="220"/>
      <c r="I3" s="220"/>
      <c r="J3" s="223"/>
      <c r="K3" s="223"/>
      <c r="L3" s="223"/>
      <c r="M3" s="232"/>
      <c r="N3" s="220"/>
      <c r="O3" s="220"/>
      <c r="P3" s="220"/>
      <c r="Q3" s="220"/>
      <c r="R3" s="220"/>
      <c r="S3" s="220"/>
      <c r="T3" s="220"/>
    </row>
    <row r="4" spans="1:27" ht="22.5" customHeight="1" x14ac:dyDescent="0.25">
      <c r="A4" s="661" t="s">
        <v>214</v>
      </c>
      <c r="B4" s="662" t="s">
        <v>215</v>
      </c>
      <c r="C4" s="664" t="s">
        <v>368</v>
      </c>
      <c r="D4" s="665" t="s">
        <v>217</v>
      </c>
      <c r="E4" s="666" t="s">
        <v>218</v>
      </c>
      <c r="F4" s="668" t="s">
        <v>369</v>
      </c>
      <c r="G4" s="669"/>
      <c r="H4" s="670"/>
      <c r="I4" s="671" t="s">
        <v>370</v>
      </c>
      <c r="J4" s="661" t="s">
        <v>371</v>
      </c>
      <c r="K4" s="604" t="s">
        <v>378</v>
      </c>
      <c r="L4" s="671" t="s">
        <v>372</v>
      </c>
      <c r="M4" s="672" t="s">
        <v>221</v>
      </c>
      <c r="N4" s="673"/>
      <c r="O4" s="673"/>
      <c r="P4" s="674"/>
      <c r="Q4" s="675" t="s">
        <v>222</v>
      </c>
      <c r="R4" s="675" t="s">
        <v>223</v>
      </c>
      <c r="S4" s="676" t="s">
        <v>473</v>
      </c>
      <c r="T4" s="676" t="s">
        <v>552</v>
      </c>
      <c r="U4" s="664" t="s">
        <v>546</v>
      </c>
      <c r="V4" s="664" t="s">
        <v>545</v>
      </c>
      <c r="W4" s="678" t="s">
        <v>232</v>
      </c>
    </row>
    <row r="5" spans="1:27" ht="30.75" customHeight="1" x14ac:dyDescent="0.25">
      <c r="A5" s="661"/>
      <c r="B5" s="663"/>
      <c r="C5" s="664"/>
      <c r="D5" s="665"/>
      <c r="E5" s="667"/>
      <c r="F5" s="234" t="s">
        <v>225</v>
      </c>
      <c r="G5" s="234" t="s">
        <v>226</v>
      </c>
      <c r="H5" s="234" t="s">
        <v>227</v>
      </c>
      <c r="I5" s="671"/>
      <c r="J5" s="661"/>
      <c r="K5" s="604"/>
      <c r="L5" s="671"/>
      <c r="M5" s="235" t="s">
        <v>374</v>
      </c>
      <c r="N5" s="235" t="s">
        <v>861</v>
      </c>
      <c r="O5" s="581" t="s">
        <v>862</v>
      </c>
      <c r="P5" s="236" t="s">
        <v>229</v>
      </c>
      <c r="Q5" s="675"/>
      <c r="R5" s="675"/>
      <c r="S5" s="677"/>
      <c r="T5" s="677"/>
      <c r="U5" s="679"/>
      <c r="V5" s="679"/>
      <c r="W5" s="679"/>
    </row>
    <row r="6" spans="1:27" ht="18" customHeight="1" x14ac:dyDescent="0.25">
      <c r="A6" s="237" t="str">
        <f>IF(AND(D6="",E6=""),"","001")</f>
        <v>001</v>
      </c>
      <c r="B6" s="238">
        <f>IF(C6="","",VALUE(LEFT(C6,1)))</f>
        <v>6</v>
      </c>
      <c r="C6" s="239" t="s">
        <v>837</v>
      </c>
      <c r="D6" s="240" t="s">
        <v>778</v>
      </c>
      <c r="E6" s="241" t="s">
        <v>468</v>
      </c>
      <c r="F6" s="242">
        <v>4</v>
      </c>
      <c r="G6" s="242">
        <v>5</v>
      </c>
      <c r="H6" s="243">
        <v>2013</v>
      </c>
      <c r="I6" s="239"/>
      <c r="J6" s="239" t="s">
        <v>772</v>
      </c>
      <c r="K6" s="269"/>
      <c r="L6" s="239"/>
      <c r="M6" s="239" t="s">
        <v>742</v>
      </c>
      <c r="N6" s="539" t="str">
        <f>CONCATENATE(IF(OR(M6=phu!$I$1,M6=phu!$I$2,M6=phu!$I$3),"Cam Thành Nam",""),IF(OR(M6=phu!$I$4,M6=phu!$I$5,M6=phu!$I$6,M6=phu!$I$7,M6=phu!$I$8,M6=phu!$I$9,M6=phu!$I$10,M6=phu!$I$11,M6=phu!$I$12,M6=phu!$I$13,M6=phu!$I$14),"Cam Nghĩa",""),IF(OR(M6=phu!$I$15,M6=phu!$I$16,M6=phu!$I$17,M6=phu!$I$18,M6=phu!$I$19,M6=phu!$I$20,M6=phu!$I$21),"Cam Phúc Bắc",""),IF(OR(M6=phu!$I$22,M6=phu!$I$23,M6=phu!$I$24,M6=phu!$I$25),"Cam Phúc Nam",""),IF(OR(M6=phu!$I$26,M6=phu!$I$27,M6=phu!$I$28,M6=phu!$I$29,M6=phu!$I$30,M6=phu!$I$31),"Cam Phú",""),IF(OR(M6=phu!$I$32,M6=phu!$I$33,M6=phu!$I$34,M6=phu!$I$35,M6=phu!$I$36,M6=phu!$I$37),"Cam Lộc",""),IF(OR(M6=phu!$I$38,M6=phu!$I$39,M6=phu!$I$40,M6=phu!$I$41,M6=phu!$I$42,M6=phu!$I$43,M6=phu!$I$44),"Cam Thuận",""),IF(OR(M6=phu!$I$45,M6=phu!$I$46,M6=phu!$I$47,M6=phu!$I$48,M6=phu!$I$49,M6=phu!$I$50,M6=phu!$I$51,M6=phu!$I$52,M6=phu!$I$53),"Cam Linh",""),IF(OR(M6=phu!$I$54,M6=phu!$I$55,M6=phu!$I$56,M6=phu!$I$57,M6=phu!$I$58,M6=phu!$I$59,M6=phu!$I$60,M6=phu!$I$61,M6=phu!$I$62),"Cam Lợi",""),IF(OR(M6=phu!$I$63,M6=phu!$I$64,M6=phu!$I$65,M6=phu!$I$66,M6=phu!$I$67,M6=phu!$I$68,M6=phu!$I$69,M6=phu!$I$70,M6=phu!$I$71),"Ba Ngòi",""),IF(OR(M6=phu!$I$72,M6=phu!$I$73,M6=phu!$I$74,M6=phu!$I$75,M6=phu!$I$76,M6=phu!$I$77,M6=phu!$I$78),"Cam Phước Đông",""),IF(OR(M6=phu!$I$79,M6=phu!$I$80,M6=phu!$I$81,M6=phu!$I$82,M6=phu!$I$83,M6=phu!$I$84),"Cam Thịnh Đông",""),IF(OR(M6=phu!$I$85,M6=phu!$I$86,M6=phu!$I$87,M6=phu!$I$88),"Cam Thịnh Tây",""),IF(OR(M6=phu!$I$89,M6=phu!$I$90),"Cam Lập",""),IF(OR(M6=phu!$I$91,M6=phu!$I$92,M6=phu!$I$93),"Cam Bình",""),IF(OR(M6=phu!$I$94,M6=phu!$I$95,M6=phu!$I$96,M6=phu!$I$97,M6=phu!$I$98,M6=phu!$I$99,M6=phu!$I$100),"Huyện khác",""),IF(OR(M6=phu!$I$101,M6=phu!$I$102),"Tỉnh khác",""))</f>
        <v>Cam Nghĩa</v>
      </c>
      <c r="O6" s="828" t="str">
        <f>CONCATENATE(IF(OR(N6="Cam Thành Nam",N6="Cam Nghĩa",N6="Cam Phúc Bắc"),"Bắc Cam Ranh",""),IF(OR(N6="Cam Phúc Nam",N6="Cam Phú",N6="Cam Lộc"),"Cam Ranh",""),IF(OR(N6="Cam Thuận",N6="Cam Linh",N6="Cam Lợi"),"Cam Linh",""),IF(OR(N6="Ba Ngòi",N6="Cam Phước Đông"),"Ba Ngòi",""),IF(OR(N6="Cam Thịnh Đông",N6="Cam Thịnh Tây",N6="Cam Lập",N6="Cam Bình"),"Nam Cam Ranh",""),IF(N6="Huyện khác","Huyện khác",""),IF(N6="Tỉnh khác","Tỉnh khác",""))</f>
        <v>Bắc Cam Ranh</v>
      </c>
      <c r="P6" s="244" t="s">
        <v>779</v>
      </c>
      <c r="Q6" s="244" t="s">
        <v>779</v>
      </c>
      <c r="R6" s="244" t="s">
        <v>780</v>
      </c>
      <c r="S6" s="244" t="s">
        <v>841</v>
      </c>
      <c r="T6" s="244"/>
      <c r="U6" s="244" t="s">
        <v>781</v>
      </c>
      <c r="V6" s="244" t="s">
        <v>782</v>
      </c>
      <c r="W6" s="244" t="s">
        <v>783</v>
      </c>
      <c r="X6" s="245" t="s">
        <v>375</v>
      </c>
      <c r="Y6" s="246" t="str">
        <f>IF(OR(AND(B6="",C6="",D6="",E6="",F6="",G6="",H6="",I6="",J6="",L6="",M6="",N6="",P6="",Q6="",R6="",S6=""),AND(B6&lt;&gt;"",C6&lt;&gt;"",D6&lt;&gt;"",E6&lt;&gt;"",F6&lt;&gt;"",G6&lt;&gt;"",H6&lt;&gt;"",J6&lt;&gt;"",M6&lt;&gt;"",N6&lt;&gt;"",P6&lt;&gt;"",OR(AND(Q6&lt;&gt;"",R6=""),AND(Q6="",R6&lt;&gt;""),AND(Q6&lt;&gt;"",R6&lt;&gt;"")),OR(AND(K6="X",T6&lt;&gt;""),AND(K6="",T6="")))),"","er")</f>
        <v/>
      </c>
      <c r="Z6" s="247">
        <f>IF(H6="","",$Z$1-H6)</f>
        <v>12</v>
      </c>
      <c r="AA6" s="246" t="str">
        <f>IF(OR(AND(Z6&lt;=10,B6&gt;5),AND(Z6&lt;=11,B6&gt;6),AND(Z6&lt;=12,B6&gt;7),AND(Z6&lt;=13,B6&gt;8),AND(Z6&lt;=14,B6&gt;9),AND(Z6=11,B6=6,L6="X"),AND(Z6=12,B6=7,L6="X"),AND(Z6=13,B6=8,L6="X"),AND(Z6=14,B6=9,L6="X")),"er","")</f>
        <v/>
      </c>
    </row>
    <row r="7" spans="1:27" ht="18" customHeight="1" x14ac:dyDescent="0.25">
      <c r="A7" s="248">
        <f>IF(OR(A6="",B7="",C7="",D7="",E7=""),"",A6+1)</f>
        <v>2</v>
      </c>
      <c r="B7" s="249">
        <f>IF(C7="","",VALUE(LEFT(C7,1)))</f>
        <v>7</v>
      </c>
      <c r="C7" s="250" t="s">
        <v>838</v>
      </c>
      <c r="D7" s="251" t="s">
        <v>650</v>
      </c>
      <c r="E7" s="241" t="s">
        <v>651</v>
      </c>
      <c r="F7" s="252">
        <v>1</v>
      </c>
      <c r="G7" s="252">
        <v>12</v>
      </c>
      <c r="H7" s="253">
        <v>2012</v>
      </c>
      <c r="I7" s="250" t="s">
        <v>652</v>
      </c>
      <c r="J7" s="250" t="s">
        <v>772</v>
      </c>
      <c r="K7" s="270"/>
      <c r="L7" s="250"/>
      <c r="M7" s="250" t="s">
        <v>660</v>
      </c>
      <c r="N7" s="540" t="str">
        <f>CONCATENATE(IF(OR(M7=phu!$I$1,M7=phu!$I$2,M7=phu!$I$3),"Cam Thành Nam",""),IF(OR(M7=phu!$I$4,M7=phu!$I$5,M7=phu!$I$6,M7=phu!$I$7,M7=phu!$I$8,M7=phu!$I$9,M7=phu!$I$10,M7=phu!$I$11,M7=phu!$I$12,M7=phu!$I$13,M7=phu!$I$14),"Cam Nghĩa",""),IF(OR(M7=phu!$I$15,M7=phu!$I$16,M7=phu!$I$17,M7=phu!$I$18,M7=phu!$I$19,M7=phu!$I$20,M7=phu!$I$21),"Cam Phúc Bắc",""),IF(OR(M7=phu!$I$22,M7=phu!$I$23,M7=phu!$I$24,M7=phu!$I$25),"Cam Phúc Nam",""),IF(OR(M7=phu!$I$26,M7=phu!$I$27,M7=phu!$I$28,M7=phu!$I$29,M7=phu!$I$30,M7=phu!$I$31),"Cam Phú",""),IF(OR(M7=phu!$I$32,M7=phu!$I$33,M7=phu!$I$34,M7=phu!$I$35,M7=phu!$I$36,M7=phu!$I$37),"Cam Lộc",""),IF(OR(M7=phu!$I$38,M7=phu!$I$39,M7=phu!$I$40,M7=phu!$I$41,M7=phu!$I$42,M7=phu!$I$43,M7=phu!$I$44),"Cam Thuận",""),IF(OR(M7=phu!$I$45,M7=phu!$I$46,M7=phu!$I$47,M7=phu!$I$48,M7=phu!$I$49,M7=phu!$I$50,M7=phu!$I$51,M7=phu!$I$52,M7=phu!$I$53),"Cam Linh",""),IF(OR(M7=phu!$I$54,M7=phu!$I$55,M7=phu!$I$56,M7=phu!$I$57,M7=phu!$I$58,M7=phu!$I$59,M7=phu!$I$60,M7=phu!$I$61,M7=phu!$I$62),"Cam Lợi",""),IF(OR(M7=phu!$I$63,M7=phu!$I$64,M7=phu!$I$65,M7=phu!$I$66,M7=phu!$I$67,M7=phu!$I$68,M7=phu!$I$69,M7=phu!$I$70,M7=phu!$I$71),"Ba Ngòi",""),IF(OR(M7=phu!$I$72,M7=phu!$I$73,M7=phu!$I$74,M7=phu!$I$75,M7=phu!$I$76,M7=phu!$I$77,M7=phu!$I$78),"Cam Phước Đông",""),IF(OR(M7=phu!$I$79,M7=phu!$I$80,M7=phu!$I$81,M7=phu!$I$82,M7=phu!$I$83,M7=phu!$I$84),"Cam Thịnh Đông",""),IF(OR(M7=phu!$I$85,M7=phu!$I$86,M7=phu!$I$87,M7=phu!$I$88),"Cam Thịnh Tây",""),IF(OR(M7=phu!$I$89,M7=phu!$I$90),"Cam Lập",""),IF(OR(M7=phu!$I$91,M7=phu!$I$92,M7=phu!$I$93),"Cam Bình",""),IF(OR(M7=phu!$I$94,M7=phu!$I$95,M7=phu!$I$96,M7=phu!$I$97,M7=phu!$I$98,M7=phu!$I$99,M7=phu!$I$100),"Huyện khác",""),IF(OR(M7=phu!$I$101,M7=phu!$I$102),"Tỉnh khác",""))</f>
        <v>Cam Phước Đông</v>
      </c>
      <c r="O7" s="829" t="str">
        <f t="shared" ref="O7:O70" si="0">CONCATENATE(IF(OR(N7="Cam Thành Nam",N7="Cam Nghĩa",N7="Cam Phúc Bắc"),"Bắc Cam Ranh",""),IF(OR(N7="Cam Phúc Nam",N7="Cam Phú",N7="Cam Lộc"),"Cam Ranh",""),IF(OR(N7="Cam Thuận",N7="Cam Linh",N7="Cam Lợi"),"Cam Linh",""),IF(OR(N7="Ba Ngòi",N7="Cam Phước Đông"),"Ba Ngòi",""),IF(OR(N7="Cam Thịnh Đông",N7="Cam Thịnh Tây",N7="Cam Lập",N7="Cam Bình"),"Nam Cam Ranh",""),IF(N7="Huyện khác","Huyện khác",""),IF(N7="Tỉnh khác","Tỉnh khác",""))</f>
        <v>Ba Ngòi</v>
      </c>
      <c r="P7" s="254" t="s">
        <v>743</v>
      </c>
      <c r="Q7" s="254" t="s">
        <v>743</v>
      </c>
      <c r="R7" s="254" t="s">
        <v>773</v>
      </c>
      <c r="S7" s="254"/>
      <c r="T7" s="254"/>
      <c r="U7" s="254" t="s">
        <v>774</v>
      </c>
      <c r="V7" s="254" t="s">
        <v>775</v>
      </c>
      <c r="W7" s="254" t="s">
        <v>776</v>
      </c>
      <c r="Y7" s="246" t="str">
        <f t="shared" ref="Y7:Y70" si="1">IF(OR(AND(B7="",C7="",D7="",E7="",F7="",G7="",H7="",I7="",J7="",L7="",M7="",N7="",P7="",Q7="",R7="",S7=""),AND(B7&lt;&gt;"",C7&lt;&gt;"",D7&lt;&gt;"",E7&lt;&gt;"",F7&lt;&gt;"",G7&lt;&gt;"",H7&lt;&gt;"",J7&lt;&gt;"",M7&lt;&gt;"",N7&lt;&gt;"",P7&lt;&gt;"",OR(AND(Q7&lt;&gt;"",R7=""),AND(Q7="",R7&lt;&gt;""),AND(Q7&lt;&gt;"",R7&lt;&gt;"")),OR(AND(K7="X",T7&lt;&gt;""),AND(K7="",T7="")))),"","er")</f>
        <v/>
      </c>
      <c r="Z7" s="247">
        <f t="shared" ref="Z7:Z71" si="2">IF(H7="","",$Z$1-H7)</f>
        <v>13</v>
      </c>
      <c r="AA7" s="246" t="str">
        <f t="shared" ref="AA7:AA70" si="3">IF(OR(AND(Z7&lt;=10,B7&gt;5),AND(Z7&lt;=11,B7&gt;6),AND(Z7&lt;=12,B7&gt;7),AND(Z7&lt;=13,B7&gt;8),AND(Z7&lt;=14,B7&gt;9),AND(Z7=11,B7=6,L7="X"),AND(Z7=12,B7=7,L7="X"),AND(Z7=13,B7=8,L7="X"),AND(Z7=14,B7=9,L7="X")),"er","")</f>
        <v/>
      </c>
    </row>
    <row r="8" spans="1:27" ht="18" customHeight="1" x14ac:dyDescent="0.25">
      <c r="A8" s="248">
        <f t="shared" ref="A8:A71" si="4">IF(OR(A7="",B8="",C8="",D8="",E8=""),"",A7+1)</f>
        <v>3</v>
      </c>
      <c r="B8" s="249">
        <f t="shared" ref="B8:B71" si="5">IF(C8="","",VALUE(LEFT(C8,1)))</f>
        <v>8</v>
      </c>
      <c r="C8" s="250" t="s">
        <v>839</v>
      </c>
      <c r="D8" s="251" t="s">
        <v>784</v>
      </c>
      <c r="E8" s="241" t="s">
        <v>785</v>
      </c>
      <c r="F8" s="252">
        <v>5</v>
      </c>
      <c r="G8" s="252">
        <v>5</v>
      </c>
      <c r="H8" s="253">
        <v>2011</v>
      </c>
      <c r="I8" s="250"/>
      <c r="J8" s="250" t="s">
        <v>752</v>
      </c>
      <c r="K8" s="270" t="s">
        <v>652</v>
      </c>
      <c r="L8" s="250"/>
      <c r="M8" s="250" t="s">
        <v>738</v>
      </c>
      <c r="N8" s="540" t="str">
        <f>CONCATENATE(IF(OR(M8=phu!$I$1,M8=phu!$I$2,M8=phu!$I$3),"Cam Thành Nam",""),IF(OR(M8=phu!$I$4,M8=phu!$I$5,M8=phu!$I$6,M8=phu!$I$7,M8=phu!$I$8,M8=phu!$I$9,M8=phu!$I$10,M8=phu!$I$11,M8=phu!$I$12,M8=phu!$I$13,M8=phu!$I$14),"Cam Nghĩa",""),IF(OR(M8=phu!$I$15,M8=phu!$I$16,M8=phu!$I$17,M8=phu!$I$18,M8=phu!$I$19,M8=phu!$I$20,M8=phu!$I$21),"Cam Phúc Bắc",""),IF(OR(M8=phu!$I$22,M8=phu!$I$23,M8=phu!$I$24,M8=phu!$I$25),"Cam Phúc Nam",""),IF(OR(M8=phu!$I$26,M8=phu!$I$27,M8=phu!$I$28,M8=phu!$I$29,M8=phu!$I$30,M8=phu!$I$31),"Cam Phú",""),IF(OR(M8=phu!$I$32,M8=phu!$I$33,M8=phu!$I$34,M8=phu!$I$35,M8=phu!$I$36,M8=phu!$I$37),"Cam Lộc",""),IF(OR(M8=phu!$I$38,M8=phu!$I$39,M8=phu!$I$40,M8=phu!$I$41,M8=phu!$I$42,M8=phu!$I$43,M8=phu!$I$44),"Cam Thuận",""),IF(OR(M8=phu!$I$45,M8=phu!$I$46,M8=phu!$I$47,M8=phu!$I$48,M8=phu!$I$49,M8=phu!$I$50,M8=phu!$I$51,M8=phu!$I$52,M8=phu!$I$53),"Cam Linh",""),IF(OR(M8=phu!$I$54,M8=phu!$I$55,M8=phu!$I$56,M8=phu!$I$57,M8=phu!$I$58,M8=phu!$I$59,M8=phu!$I$60,M8=phu!$I$61,M8=phu!$I$62),"Cam Lợi",""),IF(OR(M8=phu!$I$63,M8=phu!$I$64,M8=phu!$I$65,M8=phu!$I$66,M8=phu!$I$67,M8=phu!$I$68,M8=phu!$I$69,M8=phu!$I$70,M8=phu!$I$71),"Ba Ngòi",""),IF(OR(M8=phu!$I$72,M8=phu!$I$73,M8=phu!$I$74,M8=phu!$I$75,M8=phu!$I$76,M8=phu!$I$77,M8=phu!$I$78),"Cam Phước Đông",""),IF(OR(M8=phu!$I$79,M8=phu!$I$80,M8=phu!$I$81,M8=phu!$I$82,M8=phu!$I$83,M8=phu!$I$84),"Cam Thịnh Đông",""),IF(OR(M8=phu!$I$85,M8=phu!$I$86,M8=phu!$I$87,M8=phu!$I$88),"Cam Thịnh Tây",""),IF(OR(M8=phu!$I$89,M8=phu!$I$90),"Cam Lập",""),IF(OR(M8=phu!$I$91,M8=phu!$I$92,M8=phu!$I$93),"Cam Bình",""),IF(OR(M8=phu!$I$94,M8=phu!$I$95,M8=phu!$I$96,M8=phu!$I$97,M8=phu!$I$98,M8=phu!$I$99,M8=phu!$I$100),"Huyện khác",""),IF(OR(M8=phu!$I$101,M8=phu!$I$102),"Tỉnh khác",""))</f>
        <v>Huyện khác</v>
      </c>
      <c r="O8" s="829" t="str">
        <f t="shared" si="0"/>
        <v>Huyện khác</v>
      </c>
      <c r="P8" s="254" t="s">
        <v>787</v>
      </c>
      <c r="Q8" s="254" t="s">
        <v>787</v>
      </c>
      <c r="R8" s="254" t="s">
        <v>788</v>
      </c>
      <c r="S8" s="254"/>
      <c r="T8" s="254" t="s">
        <v>748</v>
      </c>
      <c r="U8" s="254" t="s">
        <v>789</v>
      </c>
      <c r="V8" s="254" t="s">
        <v>790</v>
      </c>
      <c r="W8" s="254" t="s">
        <v>791</v>
      </c>
      <c r="Y8" s="246" t="str">
        <f t="shared" si="1"/>
        <v/>
      </c>
      <c r="Z8" s="247">
        <f t="shared" si="2"/>
        <v>14</v>
      </c>
      <c r="AA8" s="246" t="str">
        <f t="shared" si="3"/>
        <v/>
      </c>
    </row>
    <row r="9" spans="1:27" ht="18" customHeight="1" x14ac:dyDescent="0.25">
      <c r="A9" s="248">
        <f t="shared" si="4"/>
        <v>4</v>
      </c>
      <c r="B9" s="249">
        <f t="shared" si="5"/>
        <v>9</v>
      </c>
      <c r="C9" s="250" t="s">
        <v>840</v>
      </c>
      <c r="D9" s="251" t="s">
        <v>784</v>
      </c>
      <c r="E9" s="241" t="s">
        <v>785</v>
      </c>
      <c r="F9" s="252">
        <v>5</v>
      </c>
      <c r="G9" s="252">
        <v>5</v>
      </c>
      <c r="H9" s="253">
        <v>2010</v>
      </c>
      <c r="I9" s="250"/>
      <c r="J9" s="250" t="s">
        <v>772</v>
      </c>
      <c r="K9" s="270" t="s">
        <v>652</v>
      </c>
      <c r="L9" s="250"/>
      <c r="M9" s="250" t="s">
        <v>741</v>
      </c>
      <c r="N9" s="540" t="str">
        <f>CONCATENATE(IF(OR(M9=phu!$I$1,M9=phu!$I$2,M9=phu!$I$3),"Cam Thành Nam",""),IF(OR(M9=phu!$I$4,M9=phu!$I$5,M9=phu!$I$6,M9=phu!$I$7,M9=phu!$I$8,M9=phu!$I$9,M9=phu!$I$10,M9=phu!$I$11,M9=phu!$I$12,M9=phu!$I$13,M9=phu!$I$14),"Cam Nghĩa",""),IF(OR(M9=phu!$I$15,M9=phu!$I$16,M9=phu!$I$17,M9=phu!$I$18,M9=phu!$I$19,M9=phu!$I$20,M9=phu!$I$21),"Cam Phúc Bắc",""),IF(OR(M9=phu!$I$22,M9=phu!$I$23,M9=phu!$I$24,M9=phu!$I$25),"Cam Phúc Nam",""),IF(OR(M9=phu!$I$26,M9=phu!$I$27,M9=phu!$I$28,M9=phu!$I$29,M9=phu!$I$30,M9=phu!$I$31),"Cam Phú",""),IF(OR(M9=phu!$I$32,M9=phu!$I$33,M9=phu!$I$34,M9=phu!$I$35,M9=phu!$I$36,M9=phu!$I$37),"Cam Lộc",""),IF(OR(M9=phu!$I$38,M9=phu!$I$39,M9=phu!$I$40,M9=phu!$I$41,M9=phu!$I$42,M9=phu!$I$43,M9=phu!$I$44),"Cam Thuận",""),IF(OR(M9=phu!$I$45,M9=phu!$I$46,M9=phu!$I$47,M9=phu!$I$48,M9=phu!$I$49,M9=phu!$I$50,M9=phu!$I$51,M9=phu!$I$52,M9=phu!$I$53),"Cam Linh",""),IF(OR(M9=phu!$I$54,M9=phu!$I$55,M9=phu!$I$56,M9=phu!$I$57,M9=phu!$I$58,M9=phu!$I$59,M9=phu!$I$60,M9=phu!$I$61,M9=phu!$I$62),"Cam Lợi",""),IF(OR(M9=phu!$I$63,M9=phu!$I$64,M9=phu!$I$65,M9=phu!$I$66,M9=phu!$I$67,M9=phu!$I$68,M9=phu!$I$69,M9=phu!$I$70,M9=phu!$I$71),"Ba Ngòi",""),IF(OR(M9=phu!$I$72,M9=phu!$I$73,M9=phu!$I$74,M9=phu!$I$75,M9=phu!$I$76,M9=phu!$I$77,M9=phu!$I$78),"Cam Phước Đông",""),IF(OR(M9=phu!$I$79,M9=phu!$I$80,M9=phu!$I$81,M9=phu!$I$82,M9=phu!$I$83,M9=phu!$I$84),"Cam Thịnh Đông",""),IF(OR(M9=phu!$I$85,M9=phu!$I$86,M9=phu!$I$87,M9=phu!$I$88),"Cam Thịnh Tây",""),IF(OR(M9=phu!$I$89,M9=phu!$I$90),"Cam Lập",""),IF(OR(M9=phu!$I$91,M9=phu!$I$92,M9=phu!$I$93),"Cam Bình",""),IF(OR(M9=phu!$I$94,M9=phu!$I$95,M9=phu!$I$96,M9=phu!$I$97,M9=phu!$I$98,M9=phu!$I$99,M9=phu!$I$100),"Huyện khác",""),IF(OR(M9=phu!$I$101,M9=phu!$I$102),"Tỉnh khác",""))</f>
        <v>Tỉnh khác</v>
      </c>
      <c r="O9" s="829" t="str">
        <f t="shared" si="0"/>
        <v>Tỉnh khác</v>
      </c>
      <c r="P9" s="254" t="s">
        <v>787</v>
      </c>
      <c r="Q9" s="254" t="s">
        <v>787</v>
      </c>
      <c r="R9" s="254" t="s">
        <v>788</v>
      </c>
      <c r="S9" s="254"/>
      <c r="T9" s="254" t="s">
        <v>748</v>
      </c>
      <c r="U9" s="254" t="s">
        <v>793</v>
      </c>
      <c r="V9" s="254" t="s">
        <v>790</v>
      </c>
      <c r="W9" s="254" t="s">
        <v>794</v>
      </c>
      <c r="Y9" s="246" t="str">
        <f t="shared" si="1"/>
        <v/>
      </c>
      <c r="Z9" s="247">
        <f t="shared" si="2"/>
        <v>15</v>
      </c>
      <c r="AA9" s="246" t="str">
        <f t="shared" si="3"/>
        <v/>
      </c>
    </row>
    <row r="10" spans="1:27" ht="18" customHeight="1" x14ac:dyDescent="0.25">
      <c r="A10" s="248">
        <f t="shared" si="4"/>
        <v>5</v>
      </c>
      <c r="B10" s="249">
        <f t="shared" si="5"/>
        <v>8</v>
      </c>
      <c r="C10" s="250" t="s">
        <v>879</v>
      </c>
      <c r="D10" s="251" t="s">
        <v>784</v>
      </c>
      <c r="E10" s="241" t="s">
        <v>785</v>
      </c>
      <c r="F10" s="252">
        <v>5</v>
      </c>
      <c r="G10" s="252">
        <v>5</v>
      </c>
      <c r="H10" s="253">
        <v>2010</v>
      </c>
      <c r="I10" s="250"/>
      <c r="J10" s="250" t="s">
        <v>772</v>
      </c>
      <c r="K10" s="270"/>
      <c r="L10" s="250"/>
      <c r="M10" s="250" t="s">
        <v>678</v>
      </c>
      <c r="N10" s="540" t="str">
        <f>CONCATENATE(IF(OR(M10=phu!$I$1,M10=phu!$I$2,M10=phu!$I$3),"Cam Thành Nam",""),IF(OR(M10=phu!$I$4,M10=phu!$I$5,M10=phu!$I$6,M10=phu!$I$7,M10=phu!$I$8,M10=phu!$I$9,M10=phu!$I$10,M10=phu!$I$11,M10=phu!$I$12,M10=phu!$I$13,M10=phu!$I$14),"Cam Nghĩa",""),IF(OR(M10=phu!$I$15,M10=phu!$I$16,M10=phu!$I$17,M10=phu!$I$18,M10=phu!$I$19,M10=phu!$I$20,M10=phu!$I$21),"Cam Phúc Bắc",""),IF(OR(M10=phu!$I$22,M10=phu!$I$23,M10=phu!$I$24,M10=phu!$I$25),"Cam Phúc Nam",""),IF(OR(M10=phu!$I$26,M10=phu!$I$27,M10=phu!$I$28,M10=phu!$I$29,M10=phu!$I$30,M10=phu!$I$31),"Cam Phú",""),IF(OR(M10=phu!$I$32,M10=phu!$I$33,M10=phu!$I$34,M10=phu!$I$35,M10=phu!$I$36,M10=phu!$I$37),"Cam Lộc",""),IF(OR(M10=phu!$I$38,M10=phu!$I$39,M10=phu!$I$40,M10=phu!$I$41,M10=phu!$I$42,M10=phu!$I$43,M10=phu!$I$44),"Cam Thuận",""),IF(OR(M10=phu!$I$45,M10=phu!$I$46,M10=phu!$I$47,M10=phu!$I$48,M10=phu!$I$49,M10=phu!$I$50,M10=phu!$I$51,M10=phu!$I$52,M10=phu!$I$53),"Cam Linh",""),IF(OR(M10=phu!$I$54,M10=phu!$I$55,M10=phu!$I$56,M10=phu!$I$57,M10=phu!$I$58,M10=phu!$I$59,M10=phu!$I$60,M10=phu!$I$61,M10=phu!$I$62),"Cam Lợi",""),IF(OR(M10=phu!$I$63,M10=phu!$I$64,M10=phu!$I$65,M10=phu!$I$66,M10=phu!$I$67,M10=phu!$I$68,M10=phu!$I$69,M10=phu!$I$70,M10=phu!$I$71),"Ba Ngòi",""),IF(OR(M10=phu!$I$72,M10=phu!$I$73,M10=phu!$I$74,M10=phu!$I$75,M10=phu!$I$76,M10=phu!$I$77,M10=phu!$I$78),"Cam Phước Đông",""),IF(OR(M10=phu!$I$79,M10=phu!$I$80,M10=phu!$I$81,M10=phu!$I$82,M10=phu!$I$83,M10=phu!$I$84),"Cam Thịnh Đông",""),IF(OR(M10=phu!$I$85,M10=phu!$I$86,M10=phu!$I$87,M10=phu!$I$88),"Cam Thịnh Tây",""),IF(OR(M10=phu!$I$89,M10=phu!$I$90),"Cam Lập",""),IF(OR(M10=phu!$I$91,M10=phu!$I$92,M10=phu!$I$93),"Cam Bình",""),IF(OR(M10=phu!$I$94,M10=phu!$I$95,M10=phu!$I$96,M10=phu!$I$97,M10=phu!$I$98,M10=phu!$I$99,M10=phu!$I$100),"Huyện khác",""),IF(OR(M10=phu!$I$101,M10=phu!$I$102),"Tỉnh khác",""))</f>
        <v>Cam Phúc Nam</v>
      </c>
      <c r="O10" s="829" t="str">
        <f t="shared" si="0"/>
        <v>Cam Ranh</v>
      </c>
      <c r="P10" s="254" t="s">
        <v>787</v>
      </c>
      <c r="Q10" s="254" t="s">
        <v>787</v>
      </c>
      <c r="R10" s="254" t="s">
        <v>788</v>
      </c>
      <c r="S10" s="254"/>
      <c r="T10" s="254"/>
      <c r="U10" s="254" t="s">
        <v>842</v>
      </c>
      <c r="V10" s="254" t="s">
        <v>790</v>
      </c>
      <c r="W10" s="254" t="s">
        <v>843</v>
      </c>
      <c r="Y10" s="246" t="str">
        <f t="shared" si="1"/>
        <v/>
      </c>
      <c r="Z10" s="247">
        <f t="shared" si="2"/>
        <v>15</v>
      </c>
      <c r="AA10" s="246" t="str">
        <f t="shared" si="3"/>
        <v/>
      </c>
    </row>
    <row r="11" spans="1:27" ht="18" customHeight="1" x14ac:dyDescent="0.25">
      <c r="A11" s="248">
        <f t="shared" si="4"/>
        <v>6</v>
      </c>
      <c r="B11" s="249">
        <f t="shared" si="5"/>
        <v>9</v>
      </c>
      <c r="C11" s="250" t="s">
        <v>844</v>
      </c>
      <c r="D11" s="251" t="s">
        <v>784</v>
      </c>
      <c r="E11" s="241" t="s">
        <v>785</v>
      </c>
      <c r="F11" s="252">
        <v>5</v>
      </c>
      <c r="G11" s="252">
        <v>5</v>
      </c>
      <c r="H11" s="253">
        <v>2010</v>
      </c>
      <c r="I11" s="250"/>
      <c r="J11" s="250" t="s">
        <v>772</v>
      </c>
      <c r="K11" s="270"/>
      <c r="L11" s="250"/>
      <c r="M11" s="250" t="s">
        <v>689</v>
      </c>
      <c r="N11" s="540" t="str">
        <f>CONCATENATE(IF(OR(M11=phu!$I$1,M11=phu!$I$2,M11=phu!$I$3),"Cam Thành Nam",""),IF(OR(M11=phu!$I$4,M11=phu!$I$5,M11=phu!$I$6,M11=phu!$I$7,M11=phu!$I$8,M11=phu!$I$9,M11=phu!$I$10,M11=phu!$I$11,M11=phu!$I$12,M11=phu!$I$13,M11=phu!$I$14),"Cam Nghĩa",""),IF(OR(M11=phu!$I$15,M11=phu!$I$16,M11=phu!$I$17,M11=phu!$I$18,M11=phu!$I$19,M11=phu!$I$20,M11=phu!$I$21),"Cam Phúc Bắc",""),IF(OR(M11=phu!$I$22,M11=phu!$I$23,M11=phu!$I$24,M11=phu!$I$25),"Cam Phúc Nam",""),IF(OR(M11=phu!$I$26,M11=phu!$I$27,M11=phu!$I$28,M11=phu!$I$29,M11=phu!$I$30,M11=phu!$I$31),"Cam Phú",""),IF(OR(M11=phu!$I$32,M11=phu!$I$33,M11=phu!$I$34,M11=phu!$I$35,M11=phu!$I$36,M11=phu!$I$37),"Cam Lộc",""),IF(OR(M11=phu!$I$38,M11=phu!$I$39,M11=phu!$I$40,M11=phu!$I$41,M11=phu!$I$42,M11=phu!$I$43,M11=phu!$I$44),"Cam Thuận",""),IF(OR(M11=phu!$I$45,M11=phu!$I$46,M11=phu!$I$47,M11=phu!$I$48,M11=phu!$I$49,M11=phu!$I$50,M11=phu!$I$51,M11=phu!$I$52,M11=phu!$I$53),"Cam Linh",""),IF(OR(M11=phu!$I$54,M11=phu!$I$55,M11=phu!$I$56,M11=phu!$I$57,M11=phu!$I$58,M11=phu!$I$59,M11=phu!$I$60,M11=phu!$I$61,M11=phu!$I$62),"Cam Lợi",""),IF(OR(M11=phu!$I$63,M11=phu!$I$64,M11=phu!$I$65,M11=phu!$I$66,M11=phu!$I$67,M11=phu!$I$68,M11=phu!$I$69,M11=phu!$I$70,M11=phu!$I$71),"Ba Ngòi",""),IF(OR(M11=phu!$I$72,M11=phu!$I$73,M11=phu!$I$74,M11=phu!$I$75,M11=phu!$I$76,M11=phu!$I$77,M11=phu!$I$78),"Cam Phước Đông",""),IF(OR(M11=phu!$I$79,M11=phu!$I$80,M11=phu!$I$81,M11=phu!$I$82,M11=phu!$I$83,M11=phu!$I$84),"Cam Thịnh Đông",""),IF(OR(M11=phu!$I$85,M11=phu!$I$86,M11=phu!$I$87,M11=phu!$I$88),"Cam Thịnh Tây",""),IF(OR(M11=phu!$I$89,M11=phu!$I$90),"Cam Lập",""),IF(OR(M11=phu!$I$91,M11=phu!$I$92,M11=phu!$I$93),"Cam Bình",""),IF(OR(M11=phu!$I$94,M11=phu!$I$95,M11=phu!$I$96,M11=phu!$I$97,M11=phu!$I$98,M11=phu!$I$99,M11=phu!$I$100),"Huyện khác",""),IF(OR(M11=phu!$I$101,M11=phu!$I$102),"Tỉnh khác",""))</f>
        <v>Cam Lộc</v>
      </c>
      <c r="O11" s="829" t="str">
        <f t="shared" si="0"/>
        <v>Cam Ranh</v>
      </c>
      <c r="P11" s="254" t="s">
        <v>787</v>
      </c>
      <c r="Q11" s="254" t="s">
        <v>787</v>
      </c>
      <c r="R11" s="254" t="s">
        <v>788</v>
      </c>
      <c r="S11" s="254"/>
      <c r="T11" s="254"/>
      <c r="U11" s="254" t="s">
        <v>845</v>
      </c>
      <c r="V11" s="254" t="s">
        <v>790</v>
      </c>
      <c r="W11" s="254" t="s">
        <v>846</v>
      </c>
      <c r="Y11" s="246" t="str">
        <f t="shared" si="1"/>
        <v/>
      </c>
      <c r="Z11" s="247">
        <f t="shared" si="2"/>
        <v>15</v>
      </c>
      <c r="AA11" s="246" t="str">
        <f t="shared" si="3"/>
        <v/>
      </c>
    </row>
    <row r="12" spans="1:27" ht="18" customHeight="1" x14ac:dyDescent="0.25">
      <c r="A12" s="248" t="str">
        <f t="shared" si="4"/>
        <v/>
      </c>
      <c r="B12" s="249" t="str">
        <f t="shared" si="5"/>
        <v/>
      </c>
      <c r="C12" s="250"/>
      <c r="D12" s="251"/>
      <c r="E12" s="241"/>
      <c r="F12" s="252"/>
      <c r="G12" s="255"/>
      <c r="H12" s="253"/>
      <c r="I12" s="250"/>
      <c r="J12" s="250"/>
      <c r="K12" s="270"/>
      <c r="L12" s="250"/>
      <c r="M12" s="250"/>
      <c r="N12" s="540" t="str">
        <f>CONCATENATE(IF(OR(M12=phu!$I$1,M12=phu!$I$2,M12=phu!$I$3),"Cam Thành Nam",""),IF(OR(M12=phu!$I$4,M12=phu!$I$5,M12=phu!$I$6,M12=phu!$I$7,M12=phu!$I$8,M12=phu!$I$9,M12=phu!$I$10,M12=phu!$I$11,M12=phu!$I$12,M12=phu!$I$13,M12=phu!$I$14),"Cam Nghĩa",""),IF(OR(M12=phu!$I$15,M12=phu!$I$16,M12=phu!$I$17,M12=phu!$I$18,M12=phu!$I$19,M12=phu!$I$20,M12=phu!$I$21),"Cam Phúc Bắc",""),IF(OR(M12=phu!$I$22,M12=phu!$I$23,M12=phu!$I$24,M12=phu!$I$25),"Cam Phúc Nam",""),IF(OR(M12=phu!$I$26,M12=phu!$I$27,M12=phu!$I$28,M12=phu!$I$29,M12=phu!$I$30,M12=phu!$I$31),"Cam Phú",""),IF(OR(M12=phu!$I$32,M12=phu!$I$33,M12=phu!$I$34,M12=phu!$I$35,M12=phu!$I$36,M12=phu!$I$37),"Cam Lộc",""),IF(OR(M12=phu!$I$38,M12=phu!$I$39,M12=phu!$I$40,M12=phu!$I$41,M12=phu!$I$42,M12=phu!$I$43,M12=phu!$I$44),"Cam Thuận",""),IF(OR(M12=phu!$I$45,M12=phu!$I$46,M12=phu!$I$47,M12=phu!$I$48,M12=phu!$I$49,M12=phu!$I$50,M12=phu!$I$51,M12=phu!$I$52,M12=phu!$I$53),"Cam Linh",""),IF(OR(M12=phu!$I$54,M12=phu!$I$55,M12=phu!$I$56,M12=phu!$I$57,M12=phu!$I$58,M12=phu!$I$59,M12=phu!$I$60,M12=phu!$I$61,M12=phu!$I$62),"Cam Lợi",""),IF(OR(M12=phu!$I$63,M12=phu!$I$64,M12=phu!$I$65,M12=phu!$I$66,M12=phu!$I$67,M12=phu!$I$68,M12=phu!$I$69,M12=phu!$I$70,M12=phu!$I$71),"Ba Ngòi",""),IF(OR(M12=phu!$I$72,M12=phu!$I$73,M12=phu!$I$74,M12=phu!$I$75,M12=phu!$I$76,M12=phu!$I$77,M12=phu!$I$78),"Cam Phước Đông",""),IF(OR(M12=phu!$I$79,M12=phu!$I$80,M12=phu!$I$81,M12=phu!$I$82,M12=phu!$I$83,M12=phu!$I$84),"Cam Thịnh Đông",""),IF(OR(M12=phu!$I$85,M12=phu!$I$86,M12=phu!$I$87,M12=phu!$I$88),"Cam Thịnh Tây",""),IF(OR(M12=phu!$I$89,M12=phu!$I$90),"Cam Lập",""),IF(OR(M12=phu!$I$91,M12=phu!$I$92,M12=phu!$I$93),"Cam Bình",""),IF(OR(M12=phu!$I$94,M12=phu!$I$95,M12=phu!$I$96,M12=phu!$I$97,M12=phu!$I$98,M12=phu!$I$99,M12=phu!$I$100),"Huyện khác",""),IF(OR(M12=phu!$I$101,M12=phu!$I$102),"Tỉnh khác",""))</f>
        <v/>
      </c>
      <c r="O12" s="829" t="str">
        <f t="shared" si="0"/>
        <v/>
      </c>
      <c r="P12" s="254"/>
      <c r="Q12" s="254"/>
      <c r="R12" s="254"/>
      <c r="S12" s="254"/>
      <c r="T12" s="254"/>
      <c r="U12" s="254"/>
      <c r="V12" s="254"/>
      <c r="W12" s="254"/>
      <c r="Y12" s="246" t="str">
        <f t="shared" si="1"/>
        <v/>
      </c>
      <c r="Z12" s="247" t="str">
        <f t="shared" si="2"/>
        <v/>
      </c>
      <c r="AA12" s="246" t="str">
        <f t="shared" si="3"/>
        <v/>
      </c>
    </row>
    <row r="13" spans="1:27" ht="18" customHeight="1" x14ac:dyDescent="0.25">
      <c r="A13" s="248" t="str">
        <f t="shared" si="4"/>
        <v/>
      </c>
      <c r="B13" s="249" t="str">
        <f t="shared" si="5"/>
        <v/>
      </c>
      <c r="C13" s="250"/>
      <c r="D13" s="251"/>
      <c r="E13" s="241"/>
      <c r="F13" s="252"/>
      <c r="G13" s="255"/>
      <c r="H13" s="253"/>
      <c r="I13" s="250"/>
      <c r="J13" s="250"/>
      <c r="K13" s="270"/>
      <c r="L13" s="250"/>
      <c r="M13" s="250"/>
      <c r="N13" s="540" t="str">
        <f>CONCATENATE(IF(OR(M13=phu!$I$1,M13=phu!$I$2,M13=phu!$I$3),"Cam Thành Nam",""),IF(OR(M13=phu!$I$4,M13=phu!$I$5,M13=phu!$I$6,M13=phu!$I$7,M13=phu!$I$8,M13=phu!$I$9,M13=phu!$I$10,M13=phu!$I$11,M13=phu!$I$12,M13=phu!$I$13,M13=phu!$I$14),"Cam Nghĩa",""),IF(OR(M13=phu!$I$15,M13=phu!$I$16,M13=phu!$I$17,M13=phu!$I$18,M13=phu!$I$19,M13=phu!$I$20,M13=phu!$I$21),"Cam Phúc Bắc",""),IF(OR(M13=phu!$I$22,M13=phu!$I$23,M13=phu!$I$24,M13=phu!$I$25),"Cam Phúc Nam",""),IF(OR(M13=phu!$I$26,M13=phu!$I$27,M13=phu!$I$28,M13=phu!$I$29,M13=phu!$I$30,M13=phu!$I$31),"Cam Phú",""),IF(OR(M13=phu!$I$32,M13=phu!$I$33,M13=phu!$I$34,M13=phu!$I$35,M13=phu!$I$36,M13=phu!$I$37),"Cam Lộc",""),IF(OR(M13=phu!$I$38,M13=phu!$I$39,M13=phu!$I$40,M13=phu!$I$41,M13=phu!$I$42,M13=phu!$I$43,M13=phu!$I$44),"Cam Thuận",""),IF(OR(M13=phu!$I$45,M13=phu!$I$46,M13=phu!$I$47,M13=phu!$I$48,M13=phu!$I$49,M13=phu!$I$50,M13=phu!$I$51,M13=phu!$I$52,M13=phu!$I$53),"Cam Linh",""),IF(OR(M13=phu!$I$54,M13=phu!$I$55,M13=phu!$I$56,M13=phu!$I$57,M13=phu!$I$58,M13=phu!$I$59,M13=phu!$I$60,M13=phu!$I$61,M13=phu!$I$62),"Cam Lợi",""),IF(OR(M13=phu!$I$63,M13=phu!$I$64,M13=phu!$I$65,M13=phu!$I$66,M13=phu!$I$67,M13=phu!$I$68,M13=phu!$I$69,M13=phu!$I$70,M13=phu!$I$71),"Ba Ngòi",""),IF(OR(M13=phu!$I$72,M13=phu!$I$73,M13=phu!$I$74,M13=phu!$I$75,M13=phu!$I$76,M13=phu!$I$77,M13=phu!$I$78),"Cam Phước Đông",""),IF(OR(M13=phu!$I$79,M13=phu!$I$80,M13=phu!$I$81,M13=phu!$I$82,M13=phu!$I$83,M13=phu!$I$84),"Cam Thịnh Đông",""),IF(OR(M13=phu!$I$85,M13=phu!$I$86,M13=phu!$I$87,M13=phu!$I$88),"Cam Thịnh Tây",""),IF(OR(M13=phu!$I$89,M13=phu!$I$90),"Cam Lập",""),IF(OR(M13=phu!$I$91,M13=phu!$I$92,M13=phu!$I$93),"Cam Bình",""),IF(OR(M13=phu!$I$94,M13=phu!$I$95,M13=phu!$I$96,M13=phu!$I$97,M13=phu!$I$98,M13=phu!$I$99,M13=phu!$I$100),"Huyện khác",""),IF(OR(M13=phu!$I$101,M13=phu!$I$102),"Tỉnh khác",""))</f>
        <v/>
      </c>
      <c r="O13" s="829" t="str">
        <f t="shared" si="0"/>
        <v/>
      </c>
      <c r="P13" s="254"/>
      <c r="Q13" s="254"/>
      <c r="R13" s="254"/>
      <c r="S13" s="254"/>
      <c r="T13" s="254"/>
      <c r="U13" s="254"/>
      <c r="V13" s="254"/>
      <c r="W13" s="254"/>
      <c r="Y13" s="246" t="str">
        <f t="shared" si="1"/>
        <v/>
      </c>
      <c r="Z13" s="247" t="str">
        <f t="shared" si="2"/>
        <v/>
      </c>
      <c r="AA13" s="246" t="str">
        <f t="shared" si="3"/>
        <v/>
      </c>
    </row>
    <row r="14" spans="1:27" ht="18" customHeight="1" x14ac:dyDescent="0.25">
      <c r="A14" s="248" t="str">
        <f t="shared" si="4"/>
        <v/>
      </c>
      <c r="B14" s="249" t="str">
        <f t="shared" si="5"/>
        <v/>
      </c>
      <c r="C14" s="250"/>
      <c r="D14" s="251"/>
      <c r="E14" s="241"/>
      <c r="F14" s="252"/>
      <c r="G14" s="255"/>
      <c r="H14" s="253"/>
      <c r="I14" s="250"/>
      <c r="J14" s="250"/>
      <c r="K14" s="270"/>
      <c r="L14" s="250"/>
      <c r="M14" s="250"/>
      <c r="N14" s="540" t="str">
        <f>CONCATENATE(IF(OR(M14=phu!$I$1,M14=phu!$I$2,M14=phu!$I$3),"Cam Thành Nam",""),IF(OR(M14=phu!$I$4,M14=phu!$I$5,M14=phu!$I$6,M14=phu!$I$7,M14=phu!$I$8,M14=phu!$I$9,M14=phu!$I$10,M14=phu!$I$11,M14=phu!$I$12,M14=phu!$I$13,M14=phu!$I$14),"Cam Nghĩa",""),IF(OR(M14=phu!$I$15,M14=phu!$I$16,M14=phu!$I$17,M14=phu!$I$18,M14=phu!$I$19,M14=phu!$I$20,M14=phu!$I$21),"Cam Phúc Bắc",""),IF(OR(M14=phu!$I$22,M14=phu!$I$23,M14=phu!$I$24,M14=phu!$I$25),"Cam Phúc Nam",""),IF(OR(M14=phu!$I$26,M14=phu!$I$27,M14=phu!$I$28,M14=phu!$I$29,M14=phu!$I$30,M14=phu!$I$31),"Cam Phú",""),IF(OR(M14=phu!$I$32,M14=phu!$I$33,M14=phu!$I$34,M14=phu!$I$35,M14=phu!$I$36,M14=phu!$I$37),"Cam Lộc",""),IF(OR(M14=phu!$I$38,M14=phu!$I$39,M14=phu!$I$40,M14=phu!$I$41,M14=phu!$I$42,M14=phu!$I$43,M14=phu!$I$44),"Cam Thuận",""),IF(OR(M14=phu!$I$45,M14=phu!$I$46,M14=phu!$I$47,M14=phu!$I$48,M14=phu!$I$49,M14=phu!$I$50,M14=phu!$I$51,M14=phu!$I$52,M14=phu!$I$53),"Cam Linh",""),IF(OR(M14=phu!$I$54,M14=phu!$I$55,M14=phu!$I$56,M14=phu!$I$57,M14=phu!$I$58,M14=phu!$I$59,M14=phu!$I$60,M14=phu!$I$61,M14=phu!$I$62),"Cam Lợi",""),IF(OR(M14=phu!$I$63,M14=phu!$I$64,M14=phu!$I$65,M14=phu!$I$66,M14=phu!$I$67,M14=phu!$I$68,M14=phu!$I$69,M14=phu!$I$70,M14=phu!$I$71),"Ba Ngòi",""),IF(OR(M14=phu!$I$72,M14=phu!$I$73,M14=phu!$I$74,M14=phu!$I$75,M14=phu!$I$76,M14=phu!$I$77,M14=phu!$I$78),"Cam Phước Đông",""),IF(OR(M14=phu!$I$79,M14=phu!$I$80,M14=phu!$I$81,M14=phu!$I$82,M14=phu!$I$83,M14=phu!$I$84),"Cam Thịnh Đông",""),IF(OR(M14=phu!$I$85,M14=phu!$I$86,M14=phu!$I$87,M14=phu!$I$88),"Cam Thịnh Tây",""),IF(OR(M14=phu!$I$89,M14=phu!$I$90),"Cam Lập",""),IF(OR(M14=phu!$I$91,M14=phu!$I$92,M14=phu!$I$93),"Cam Bình",""),IF(OR(M14=phu!$I$94,M14=phu!$I$95,M14=phu!$I$96,M14=phu!$I$97,M14=phu!$I$98,M14=phu!$I$99,M14=phu!$I$100),"Huyện khác",""),IF(OR(M14=phu!$I$101,M14=phu!$I$102),"Tỉnh khác",""))</f>
        <v/>
      </c>
      <c r="O14" s="829" t="str">
        <f t="shared" si="0"/>
        <v/>
      </c>
      <c r="P14" s="254"/>
      <c r="Q14" s="254"/>
      <c r="R14" s="254"/>
      <c r="S14" s="254"/>
      <c r="T14" s="254"/>
      <c r="U14" s="254"/>
      <c r="V14" s="254"/>
      <c r="W14" s="254"/>
      <c r="Y14" s="246" t="str">
        <f t="shared" si="1"/>
        <v/>
      </c>
      <c r="Z14" s="247" t="str">
        <f t="shared" si="2"/>
        <v/>
      </c>
      <c r="AA14" s="246" t="str">
        <f t="shared" si="3"/>
        <v/>
      </c>
    </row>
    <row r="15" spans="1:27" ht="18" customHeight="1" x14ac:dyDescent="0.25">
      <c r="A15" s="248" t="str">
        <f t="shared" si="4"/>
        <v/>
      </c>
      <c r="B15" s="249" t="str">
        <f t="shared" si="5"/>
        <v/>
      </c>
      <c r="C15" s="250"/>
      <c r="D15" s="251"/>
      <c r="E15" s="241"/>
      <c r="F15" s="252"/>
      <c r="G15" s="255"/>
      <c r="H15" s="253"/>
      <c r="I15" s="250"/>
      <c r="J15" s="250"/>
      <c r="K15" s="270"/>
      <c r="L15" s="250"/>
      <c r="M15" s="250"/>
      <c r="N15" s="540" t="str">
        <f>CONCATENATE(IF(OR(M15=phu!$I$1,M15=phu!$I$2,M15=phu!$I$3),"Cam Thành Nam",""),IF(OR(M15=phu!$I$4,M15=phu!$I$5,M15=phu!$I$6,M15=phu!$I$7,M15=phu!$I$8,M15=phu!$I$9,M15=phu!$I$10,M15=phu!$I$11,M15=phu!$I$12,M15=phu!$I$13,M15=phu!$I$14),"Cam Nghĩa",""),IF(OR(M15=phu!$I$15,M15=phu!$I$16,M15=phu!$I$17,M15=phu!$I$18,M15=phu!$I$19,M15=phu!$I$20,M15=phu!$I$21),"Cam Phúc Bắc",""),IF(OR(M15=phu!$I$22,M15=phu!$I$23,M15=phu!$I$24,M15=phu!$I$25),"Cam Phúc Nam",""),IF(OR(M15=phu!$I$26,M15=phu!$I$27,M15=phu!$I$28,M15=phu!$I$29,M15=phu!$I$30,M15=phu!$I$31),"Cam Phú",""),IF(OR(M15=phu!$I$32,M15=phu!$I$33,M15=phu!$I$34,M15=phu!$I$35,M15=phu!$I$36,M15=phu!$I$37),"Cam Lộc",""),IF(OR(M15=phu!$I$38,M15=phu!$I$39,M15=phu!$I$40,M15=phu!$I$41,M15=phu!$I$42,M15=phu!$I$43,M15=phu!$I$44),"Cam Thuận",""),IF(OR(M15=phu!$I$45,M15=phu!$I$46,M15=phu!$I$47,M15=phu!$I$48,M15=phu!$I$49,M15=phu!$I$50,M15=phu!$I$51,M15=phu!$I$52,M15=phu!$I$53),"Cam Linh",""),IF(OR(M15=phu!$I$54,M15=phu!$I$55,M15=phu!$I$56,M15=phu!$I$57,M15=phu!$I$58,M15=phu!$I$59,M15=phu!$I$60,M15=phu!$I$61,M15=phu!$I$62),"Cam Lợi",""),IF(OR(M15=phu!$I$63,M15=phu!$I$64,M15=phu!$I$65,M15=phu!$I$66,M15=phu!$I$67,M15=phu!$I$68,M15=phu!$I$69,M15=phu!$I$70,M15=phu!$I$71),"Ba Ngòi",""),IF(OR(M15=phu!$I$72,M15=phu!$I$73,M15=phu!$I$74,M15=phu!$I$75,M15=phu!$I$76,M15=phu!$I$77,M15=phu!$I$78),"Cam Phước Đông",""),IF(OR(M15=phu!$I$79,M15=phu!$I$80,M15=phu!$I$81,M15=phu!$I$82,M15=phu!$I$83,M15=phu!$I$84),"Cam Thịnh Đông",""),IF(OR(M15=phu!$I$85,M15=phu!$I$86,M15=phu!$I$87,M15=phu!$I$88),"Cam Thịnh Tây",""),IF(OR(M15=phu!$I$89,M15=phu!$I$90),"Cam Lập",""),IF(OR(M15=phu!$I$91,M15=phu!$I$92,M15=phu!$I$93),"Cam Bình",""),IF(OR(M15=phu!$I$94,M15=phu!$I$95,M15=phu!$I$96,M15=phu!$I$97,M15=phu!$I$98,M15=phu!$I$99,M15=phu!$I$100),"Huyện khác",""),IF(OR(M15=phu!$I$101,M15=phu!$I$102),"Tỉnh khác",""))</f>
        <v/>
      </c>
      <c r="O15" s="829" t="str">
        <f t="shared" si="0"/>
        <v/>
      </c>
      <c r="P15" s="254"/>
      <c r="Q15" s="254"/>
      <c r="R15" s="254"/>
      <c r="S15" s="254"/>
      <c r="T15" s="254"/>
      <c r="U15" s="254"/>
      <c r="V15" s="254"/>
      <c r="W15" s="254"/>
      <c r="Y15" s="246" t="str">
        <f t="shared" si="1"/>
        <v/>
      </c>
      <c r="Z15" s="247" t="str">
        <f t="shared" si="2"/>
        <v/>
      </c>
      <c r="AA15" s="246" t="str">
        <f t="shared" si="3"/>
        <v/>
      </c>
    </row>
    <row r="16" spans="1:27" ht="18" customHeight="1" x14ac:dyDescent="0.25">
      <c r="A16" s="248" t="str">
        <f t="shared" si="4"/>
        <v/>
      </c>
      <c r="B16" s="249" t="str">
        <f t="shared" si="5"/>
        <v/>
      </c>
      <c r="C16" s="250"/>
      <c r="D16" s="251"/>
      <c r="E16" s="241"/>
      <c r="F16" s="252"/>
      <c r="G16" s="255"/>
      <c r="H16" s="253"/>
      <c r="I16" s="250"/>
      <c r="J16" s="250"/>
      <c r="K16" s="270"/>
      <c r="L16" s="250"/>
      <c r="M16" s="250"/>
      <c r="N16" s="540" t="str">
        <f>CONCATENATE(IF(OR(M16=phu!$I$1,M16=phu!$I$2,M16=phu!$I$3),"Cam Thành Nam",""),IF(OR(M16=phu!$I$4,M16=phu!$I$5,M16=phu!$I$6,M16=phu!$I$7,M16=phu!$I$8,M16=phu!$I$9,M16=phu!$I$10,M16=phu!$I$11,M16=phu!$I$12,M16=phu!$I$13,M16=phu!$I$14),"Cam Nghĩa",""),IF(OR(M16=phu!$I$15,M16=phu!$I$16,M16=phu!$I$17,M16=phu!$I$18,M16=phu!$I$19,M16=phu!$I$20,M16=phu!$I$21),"Cam Phúc Bắc",""),IF(OR(M16=phu!$I$22,M16=phu!$I$23,M16=phu!$I$24,M16=phu!$I$25),"Cam Phúc Nam",""),IF(OR(M16=phu!$I$26,M16=phu!$I$27,M16=phu!$I$28,M16=phu!$I$29,M16=phu!$I$30,M16=phu!$I$31),"Cam Phú",""),IF(OR(M16=phu!$I$32,M16=phu!$I$33,M16=phu!$I$34,M16=phu!$I$35,M16=phu!$I$36,M16=phu!$I$37),"Cam Lộc",""),IF(OR(M16=phu!$I$38,M16=phu!$I$39,M16=phu!$I$40,M16=phu!$I$41,M16=phu!$I$42,M16=phu!$I$43,M16=phu!$I$44),"Cam Thuận",""),IF(OR(M16=phu!$I$45,M16=phu!$I$46,M16=phu!$I$47,M16=phu!$I$48,M16=phu!$I$49,M16=phu!$I$50,M16=phu!$I$51,M16=phu!$I$52,M16=phu!$I$53),"Cam Linh",""),IF(OR(M16=phu!$I$54,M16=phu!$I$55,M16=phu!$I$56,M16=phu!$I$57,M16=phu!$I$58,M16=phu!$I$59,M16=phu!$I$60,M16=phu!$I$61,M16=phu!$I$62),"Cam Lợi",""),IF(OR(M16=phu!$I$63,M16=phu!$I$64,M16=phu!$I$65,M16=phu!$I$66,M16=phu!$I$67,M16=phu!$I$68,M16=phu!$I$69,M16=phu!$I$70,M16=phu!$I$71),"Ba Ngòi",""),IF(OR(M16=phu!$I$72,M16=phu!$I$73,M16=phu!$I$74,M16=phu!$I$75,M16=phu!$I$76,M16=phu!$I$77,M16=phu!$I$78),"Cam Phước Đông",""),IF(OR(M16=phu!$I$79,M16=phu!$I$80,M16=phu!$I$81,M16=phu!$I$82,M16=phu!$I$83,M16=phu!$I$84),"Cam Thịnh Đông",""),IF(OR(M16=phu!$I$85,M16=phu!$I$86,M16=phu!$I$87,M16=phu!$I$88),"Cam Thịnh Tây",""),IF(OR(M16=phu!$I$89,M16=phu!$I$90),"Cam Lập",""),IF(OR(M16=phu!$I$91,M16=phu!$I$92,M16=phu!$I$93),"Cam Bình",""),IF(OR(M16=phu!$I$94,M16=phu!$I$95,M16=phu!$I$96,M16=phu!$I$97,M16=phu!$I$98,M16=phu!$I$99,M16=phu!$I$100),"Huyện khác",""),IF(OR(M16=phu!$I$101,M16=phu!$I$102),"Tỉnh khác",""))</f>
        <v/>
      </c>
      <c r="O16" s="829" t="str">
        <f t="shared" si="0"/>
        <v/>
      </c>
      <c r="P16" s="254"/>
      <c r="Q16" s="254"/>
      <c r="R16" s="254"/>
      <c r="S16" s="254"/>
      <c r="T16" s="254"/>
      <c r="U16" s="254"/>
      <c r="V16" s="254"/>
      <c r="W16" s="254"/>
      <c r="Y16" s="246" t="str">
        <f t="shared" si="1"/>
        <v/>
      </c>
      <c r="Z16" s="247" t="str">
        <f t="shared" si="2"/>
        <v/>
      </c>
      <c r="AA16" s="246" t="str">
        <f t="shared" si="3"/>
        <v/>
      </c>
    </row>
    <row r="17" spans="1:27" ht="18" customHeight="1" x14ac:dyDescent="0.25">
      <c r="A17" s="248" t="str">
        <f t="shared" si="4"/>
        <v/>
      </c>
      <c r="B17" s="249" t="str">
        <f t="shared" si="5"/>
        <v/>
      </c>
      <c r="C17" s="250"/>
      <c r="D17" s="251"/>
      <c r="E17" s="241"/>
      <c r="F17" s="252"/>
      <c r="G17" s="255"/>
      <c r="H17" s="253"/>
      <c r="I17" s="250"/>
      <c r="J17" s="250"/>
      <c r="K17" s="270"/>
      <c r="L17" s="250"/>
      <c r="M17" s="250"/>
      <c r="N17" s="540" t="str">
        <f>CONCATENATE(IF(OR(M17=phu!$I$1,M17=phu!$I$2,M17=phu!$I$3),"Cam Thành Nam",""),IF(OR(M17=phu!$I$4,M17=phu!$I$5,M17=phu!$I$6,M17=phu!$I$7,M17=phu!$I$8,M17=phu!$I$9,M17=phu!$I$10,M17=phu!$I$11,M17=phu!$I$12,M17=phu!$I$13,M17=phu!$I$14),"Cam Nghĩa",""),IF(OR(M17=phu!$I$15,M17=phu!$I$16,M17=phu!$I$17,M17=phu!$I$18,M17=phu!$I$19,M17=phu!$I$20,M17=phu!$I$21),"Cam Phúc Bắc",""),IF(OR(M17=phu!$I$22,M17=phu!$I$23,M17=phu!$I$24,M17=phu!$I$25),"Cam Phúc Nam",""),IF(OR(M17=phu!$I$26,M17=phu!$I$27,M17=phu!$I$28,M17=phu!$I$29,M17=phu!$I$30,M17=phu!$I$31),"Cam Phú",""),IF(OR(M17=phu!$I$32,M17=phu!$I$33,M17=phu!$I$34,M17=phu!$I$35,M17=phu!$I$36,M17=phu!$I$37),"Cam Lộc",""),IF(OR(M17=phu!$I$38,M17=phu!$I$39,M17=phu!$I$40,M17=phu!$I$41,M17=phu!$I$42,M17=phu!$I$43,M17=phu!$I$44),"Cam Thuận",""),IF(OR(M17=phu!$I$45,M17=phu!$I$46,M17=phu!$I$47,M17=phu!$I$48,M17=phu!$I$49,M17=phu!$I$50,M17=phu!$I$51,M17=phu!$I$52,M17=phu!$I$53),"Cam Linh",""),IF(OR(M17=phu!$I$54,M17=phu!$I$55,M17=phu!$I$56,M17=phu!$I$57,M17=phu!$I$58,M17=phu!$I$59,M17=phu!$I$60,M17=phu!$I$61,M17=phu!$I$62),"Cam Lợi",""),IF(OR(M17=phu!$I$63,M17=phu!$I$64,M17=phu!$I$65,M17=phu!$I$66,M17=phu!$I$67,M17=phu!$I$68,M17=phu!$I$69,M17=phu!$I$70,M17=phu!$I$71),"Ba Ngòi",""),IF(OR(M17=phu!$I$72,M17=phu!$I$73,M17=phu!$I$74,M17=phu!$I$75,M17=phu!$I$76,M17=phu!$I$77,M17=phu!$I$78),"Cam Phước Đông",""),IF(OR(M17=phu!$I$79,M17=phu!$I$80,M17=phu!$I$81,M17=phu!$I$82,M17=phu!$I$83,M17=phu!$I$84),"Cam Thịnh Đông",""),IF(OR(M17=phu!$I$85,M17=phu!$I$86,M17=phu!$I$87,M17=phu!$I$88),"Cam Thịnh Tây",""),IF(OR(M17=phu!$I$89,M17=phu!$I$90),"Cam Lập",""),IF(OR(M17=phu!$I$91,M17=phu!$I$92,M17=phu!$I$93),"Cam Bình",""),IF(OR(M17=phu!$I$94,M17=phu!$I$95,M17=phu!$I$96,M17=phu!$I$97,M17=phu!$I$98,M17=phu!$I$99,M17=phu!$I$100),"Huyện khác",""),IF(OR(M17=phu!$I$101,M17=phu!$I$102),"Tỉnh khác",""))</f>
        <v/>
      </c>
      <c r="O17" s="829" t="str">
        <f t="shared" si="0"/>
        <v/>
      </c>
      <c r="P17" s="254"/>
      <c r="Q17" s="254"/>
      <c r="R17" s="254"/>
      <c r="S17" s="254"/>
      <c r="T17" s="254"/>
      <c r="U17" s="254"/>
      <c r="V17" s="254"/>
      <c r="W17" s="254"/>
      <c r="Y17" s="246" t="str">
        <f t="shared" si="1"/>
        <v/>
      </c>
      <c r="Z17" s="247" t="str">
        <f t="shared" si="2"/>
        <v/>
      </c>
      <c r="AA17" s="246" t="str">
        <f t="shared" si="3"/>
        <v/>
      </c>
    </row>
    <row r="18" spans="1:27" ht="18" customHeight="1" x14ac:dyDescent="0.25">
      <c r="A18" s="248" t="str">
        <f t="shared" si="4"/>
        <v/>
      </c>
      <c r="B18" s="249" t="str">
        <f t="shared" si="5"/>
        <v/>
      </c>
      <c r="C18" s="250"/>
      <c r="D18" s="251"/>
      <c r="E18" s="241"/>
      <c r="F18" s="252"/>
      <c r="G18" s="255"/>
      <c r="H18" s="253"/>
      <c r="I18" s="250"/>
      <c r="J18" s="250"/>
      <c r="K18" s="270"/>
      <c r="L18" s="250"/>
      <c r="M18" s="250"/>
      <c r="N18" s="540" t="str">
        <f>CONCATENATE(IF(OR(M18=phu!$I$1,M18=phu!$I$2,M18=phu!$I$3),"Cam Thành Nam",""),IF(OR(M18=phu!$I$4,M18=phu!$I$5,M18=phu!$I$6,M18=phu!$I$7,M18=phu!$I$8,M18=phu!$I$9,M18=phu!$I$10,M18=phu!$I$11,M18=phu!$I$12,M18=phu!$I$13,M18=phu!$I$14),"Cam Nghĩa",""),IF(OR(M18=phu!$I$15,M18=phu!$I$16,M18=phu!$I$17,M18=phu!$I$18,M18=phu!$I$19,M18=phu!$I$20,M18=phu!$I$21),"Cam Phúc Bắc",""),IF(OR(M18=phu!$I$22,M18=phu!$I$23,M18=phu!$I$24,M18=phu!$I$25),"Cam Phúc Nam",""),IF(OR(M18=phu!$I$26,M18=phu!$I$27,M18=phu!$I$28,M18=phu!$I$29,M18=phu!$I$30,M18=phu!$I$31),"Cam Phú",""),IF(OR(M18=phu!$I$32,M18=phu!$I$33,M18=phu!$I$34,M18=phu!$I$35,M18=phu!$I$36,M18=phu!$I$37),"Cam Lộc",""),IF(OR(M18=phu!$I$38,M18=phu!$I$39,M18=phu!$I$40,M18=phu!$I$41,M18=phu!$I$42,M18=phu!$I$43,M18=phu!$I$44),"Cam Thuận",""),IF(OR(M18=phu!$I$45,M18=phu!$I$46,M18=phu!$I$47,M18=phu!$I$48,M18=phu!$I$49,M18=phu!$I$50,M18=phu!$I$51,M18=phu!$I$52,M18=phu!$I$53),"Cam Linh",""),IF(OR(M18=phu!$I$54,M18=phu!$I$55,M18=phu!$I$56,M18=phu!$I$57,M18=phu!$I$58,M18=phu!$I$59,M18=phu!$I$60,M18=phu!$I$61,M18=phu!$I$62),"Cam Lợi",""),IF(OR(M18=phu!$I$63,M18=phu!$I$64,M18=phu!$I$65,M18=phu!$I$66,M18=phu!$I$67,M18=phu!$I$68,M18=phu!$I$69,M18=phu!$I$70,M18=phu!$I$71),"Ba Ngòi",""),IF(OR(M18=phu!$I$72,M18=phu!$I$73,M18=phu!$I$74,M18=phu!$I$75,M18=phu!$I$76,M18=phu!$I$77,M18=phu!$I$78),"Cam Phước Đông",""),IF(OR(M18=phu!$I$79,M18=phu!$I$80,M18=phu!$I$81,M18=phu!$I$82,M18=phu!$I$83,M18=phu!$I$84),"Cam Thịnh Đông",""),IF(OR(M18=phu!$I$85,M18=phu!$I$86,M18=phu!$I$87,M18=phu!$I$88),"Cam Thịnh Tây",""),IF(OR(M18=phu!$I$89,M18=phu!$I$90),"Cam Lập",""),IF(OR(M18=phu!$I$91,M18=phu!$I$92,M18=phu!$I$93),"Cam Bình",""),IF(OR(M18=phu!$I$94,M18=phu!$I$95,M18=phu!$I$96,M18=phu!$I$97,M18=phu!$I$98,M18=phu!$I$99,M18=phu!$I$100),"Huyện khác",""),IF(OR(M18=phu!$I$101,M18=phu!$I$102),"Tỉnh khác",""))</f>
        <v/>
      </c>
      <c r="O18" s="829" t="str">
        <f t="shared" si="0"/>
        <v/>
      </c>
      <c r="P18" s="254"/>
      <c r="Q18" s="254"/>
      <c r="R18" s="254"/>
      <c r="S18" s="254"/>
      <c r="T18" s="254"/>
      <c r="U18" s="254"/>
      <c r="V18" s="254"/>
      <c r="W18" s="254"/>
      <c r="Y18" s="246" t="str">
        <f t="shared" si="1"/>
        <v/>
      </c>
      <c r="Z18" s="247" t="str">
        <f t="shared" si="2"/>
        <v/>
      </c>
      <c r="AA18" s="246" t="str">
        <f t="shared" si="3"/>
        <v/>
      </c>
    </row>
    <row r="19" spans="1:27" ht="18" customHeight="1" x14ac:dyDescent="0.25">
      <c r="A19" s="248" t="str">
        <f t="shared" si="4"/>
        <v/>
      </c>
      <c r="B19" s="249" t="str">
        <f t="shared" si="5"/>
        <v/>
      </c>
      <c r="C19" s="250"/>
      <c r="D19" s="251"/>
      <c r="E19" s="241"/>
      <c r="F19" s="252"/>
      <c r="G19" s="255"/>
      <c r="H19" s="253"/>
      <c r="I19" s="250"/>
      <c r="J19" s="250"/>
      <c r="K19" s="270"/>
      <c r="L19" s="250"/>
      <c r="M19" s="250"/>
      <c r="N19" s="540" t="str">
        <f>CONCATENATE(IF(OR(M19=phu!$I$1,M19=phu!$I$2,M19=phu!$I$3),"Cam Thành Nam",""),IF(OR(M19=phu!$I$4,M19=phu!$I$5,M19=phu!$I$6,M19=phu!$I$7,M19=phu!$I$8,M19=phu!$I$9,M19=phu!$I$10,M19=phu!$I$11,M19=phu!$I$12,M19=phu!$I$13,M19=phu!$I$14),"Cam Nghĩa",""),IF(OR(M19=phu!$I$15,M19=phu!$I$16,M19=phu!$I$17,M19=phu!$I$18,M19=phu!$I$19,M19=phu!$I$20,M19=phu!$I$21),"Cam Phúc Bắc",""),IF(OR(M19=phu!$I$22,M19=phu!$I$23,M19=phu!$I$24,M19=phu!$I$25),"Cam Phúc Nam",""),IF(OR(M19=phu!$I$26,M19=phu!$I$27,M19=phu!$I$28,M19=phu!$I$29,M19=phu!$I$30,M19=phu!$I$31),"Cam Phú",""),IF(OR(M19=phu!$I$32,M19=phu!$I$33,M19=phu!$I$34,M19=phu!$I$35,M19=phu!$I$36,M19=phu!$I$37),"Cam Lộc",""),IF(OR(M19=phu!$I$38,M19=phu!$I$39,M19=phu!$I$40,M19=phu!$I$41,M19=phu!$I$42,M19=phu!$I$43,M19=phu!$I$44),"Cam Thuận",""),IF(OR(M19=phu!$I$45,M19=phu!$I$46,M19=phu!$I$47,M19=phu!$I$48,M19=phu!$I$49,M19=phu!$I$50,M19=phu!$I$51,M19=phu!$I$52,M19=phu!$I$53),"Cam Linh",""),IF(OR(M19=phu!$I$54,M19=phu!$I$55,M19=phu!$I$56,M19=phu!$I$57,M19=phu!$I$58,M19=phu!$I$59,M19=phu!$I$60,M19=phu!$I$61,M19=phu!$I$62),"Cam Lợi",""),IF(OR(M19=phu!$I$63,M19=phu!$I$64,M19=phu!$I$65,M19=phu!$I$66,M19=phu!$I$67,M19=phu!$I$68,M19=phu!$I$69,M19=phu!$I$70,M19=phu!$I$71),"Ba Ngòi",""),IF(OR(M19=phu!$I$72,M19=phu!$I$73,M19=phu!$I$74,M19=phu!$I$75,M19=phu!$I$76,M19=phu!$I$77,M19=phu!$I$78),"Cam Phước Đông",""),IF(OR(M19=phu!$I$79,M19=phu!$I$80,M19=phu!$I$81,M19=phu!$I$82,M19=phu!$I$83,M19=phu!$I$84),"Cam Thịnh Đông",""),IF(OR(M19=phu!$I$85,M19=phu!$I$86,M19=phu!$I$87,M19=phu!$I$88),"Cam Thịnh Tây",""),IF(OR(M19=phu!$I$89,M19=phu!$I$90),"Cam Lập",""),IF(OR(M19=phu!$I$91,M19=phu!$I$92,M19=phu!$I$93),"Cam Bình",""),IF(OR(M19=phu!$I$94,M19=phu!$I$95,M19=phu!$I$96,M19=phu!$I$97,M19=phu!$I$98,M19=phu!$I$99,M19=phu!$I$100),"Huyện khác",""),IF(OR(M19=phu!$I$101,M19=phu!$I$102),"Tỉnh khác",""))</f>
        <v/>
      </c>
      <c r="O19" s="829" t="str">
        <f t="shared" si="0"/>
        <v/>
      </c>
      <c r="P19" s="254"/>
      <c r="Q19" s="254"/>
      <c r="R19" s="254"/>
      <c r="S19" s="254"/>
      <c r="T19" s="254"/>
      <c r="U19" s="254"/>
      <c r="V19" s="254"/>
      <c r="W19" s="254"/>
      <c r="Y19" s="246" t="str">
        <f t="shared" si="1"/>
        <v/>
      </c>
      <c r="Z19" s="247" t="str">
        <f t="shared" si="2"/>
        <v/>
      </c>
      <c r="AA19" s="246" t="str">
        <f t="shared" si="3"/>
        <v/>
      </c>
    </row>
    <row r="20" spans="1:27" ht="18" customHeight="1" x14ac:dyDescent="0.25">
      <c r="A20" s="248" t="str">
        <f t="shared" si="4"/>
        <v/>
      </c>
      <c r="B20" s="249" t="str">
        <f t="shared" si="5"/>
        <v/>
      </c>
      <c r="C20" s="250"/>
      <c r="D20" s="251"/>
      <c r="E20" s="241"/>
      <c r="F20" s="252"/>
      <c r="G20" s="255"/>
      <c r="H20" s="253"/>
      <c r="I20" s="250"/>
      <c r="J20" s="250"/>
      <c r="K20" s="270"/>
      <c r="L20" s="250"/>
      <c r="M20" s="250"/>
      <c r="N20" s="540" t="str">
        <f>CONCATENATE(IF(OR(M20=phu!$I$1,M20=phu!$I$2,M20=phu!$I$3),"Cam Thành Nam",""),IF(OR(M20=phu!$I$4,M20=phu!$I$5,M20=phu!$I$6,M20=phu!$I$7,M20=phu!$I$8,M20=phu!$I$9,M20=phu!$I$10,M20=phu!$I$11,M20=phu!$I$12,M20=phu!$I$13,M20=phu!$I$14),"Cam Nghĩa",""),IF(OR(M20=phu!$I$15,M20=phu!$I$16,M20=phu!$I$17,M20=phu!$I$18,M20=phu!$I$19,M20=phu!$I$20,M20=phu!$I$21),"Cam Phúc Bắc",""),IF(OR(M20=phu!$I$22,M20=phu!$I$23,M20=phu!$I$24,M20=phu!$I$25),"Cam Phúc Nam",""),IF(OR(M20=phu!$I$26,M20=phu!$I$27,M20=phu!$I$28,M20=phu!$I$29,M20=phu!$I$30,M20=phu!$I$31),"Cam Phú",""),IF(OR(M20=phu!$I$32,M20=phu!$I$33,M20=phu!$I$34,M20=phu!$I$35,M20=phu!$I$36,M20=phu!$I$37),"Cam Lộc",""),IF(OR(M20=phu!$I$38,M20=phu!$I$39,M20=phu!$I$40,M20=phu!$I$41,M20=phu!$I$42,M20=phu!$I$43,M20=phu!$I$44),"Cam Thuận",""),IF(OR(M20=phu!$I$45,M20=phu!$I$46,M20=phu!$I$47,M20=phu!$I$48,M20=phu!$I$49,M20=phu!$I$50,M20=phu!$I$51,M20=phu!$I$52,M20=phu!$I$53),"Cam Linh",""),IF(OR(M20=phu!$I$54,M20=phu!$I$55,M20=phu!$I$56,M20=phu!$I$57,M20=phu!$I$58,M20=phu!$I$59,M20=phu!$I$60,M20=phu!$I$61,M20=phu!$I$62),"Cam Lợi",""),IF(OR(M20=phu!$I$63,M20=phu!$I$64,M20=phu!$I$65,M20=phu!$I$66,M20=phu!$I$67,M20=phu!$I$68,M20=phu!$I$69,M20=phu!$I$70,M20=phu!$I$71),"Ba Ngòi",""),IF(OR(M20=phu!$I$72,M20=phu!$I$73,M20=phu!$I$74,M20=phu!$I$75,M20=phu!$I$76,M20=phu!$I$77,M20=phu!$I$78),"Cam Phước Đông",""),IF(OR(M20=phu!$I$79,M20=phu!$I$80,M20=phu!$I$81,M20=phu!$I$82,M20=phu!$I$83,M20=phu!$I$84),"Cam Thịnh Đông",""),IF(OR(M20=phu!$I$85,M20=phu!$I$86,M20=phu!$I$87,M20=phu!$I$88),"Cam Thịnh Tây",""),IF(OR(M20=phu!$I$89,M20=phu!$I$90),"Cam Lập",""),IF(OR(M20=phu!$I$91,M20=phu!$I$92,M20=phu!$I$93),"Cam Bình",""),IF(OR(M20=phu!$I$94,M20=phu!$I$95,M20=phu!$I$96,M20=phu!$I$97,M20=phu!$I$98,M20=phu!$I$99,M20=phu!$I$100),"Huyện khác",""),IF(OR(M20=phu!$I$101,M20=phu!$I$102),"Tỉnh khác",""))</f>
        <v/>
      </c>
      <c r="O20" s="829" t="str">
        <f t="shared" si="0"/>
        <v/>
      </c>
      <c r="P20" s="254"/>
      <c r="Q20" s="254"/>
      <c r="R20" s="254"/>
      <c r="S20" s="254"/>
      <c r="T20" s="254"/>
      <c r="U20" s="254"/>
      <c r="V20" s="254"/>
      <c r="W20" s="254"/>
      <c r="Y20" s="246" t="str">
        <f t="shared" si="1"/>
        <v/>
      </c>
      <c r="Z20" s="247" t="str">
        <f t="shared" si="2"/>
        <v/>
      </c>
      <c r="AA20" s="246" t="str">
        <f t="shared" si="3"/>
        <v/>
      </c>
    </row>
    <row r="21" spans="1:27" ht="18" customHeight="1" x14ac:dyDescent="0.25">
      <c r="A21" s="248" t="str">
        <f t="shared" si="4"/>
        <v/>
      </c>
      <c r="B21" s="249" t="str">
        <f t="shared" si="5"/>
        <v/>
      </c>
      <c r="C21" s="250"/>
      <c r="D21" s="251"/>
      <c r="E21" s="241"/>
      <c r="F21" s="252"/>
      <c r="G21" s="255"/>
      <c r="H21" s="253"/>
      <c r="I21" s="250"/>
      <c r="J21" s="250"/>
      <c r="K21" s="270"/>
      <c r="L21" s="250"/>
      <c r="M21" s="250"/>
      <c r="N21" s="540" t="str">
        <f>CONCATENATE(IF(OR(M21=phu!$I$1,M21=phu!$I$2,M21=phu!$I$3),"Cam Thành Nam",""),IF(OR(M21=phu!$I$4,M21=phu!$I$5,M21=phu!$I$6,M21=phu!$I$7,M21=phu!$I$8,M21=phu!$I$9,M21=phu!$I$10,M21=phu!$I$11,M21=phu!$I$12,M21=phu!$I$13,M21=phu!$I$14),"Cam Nghĩa",""),IF(OR(M21=phu!$I$15,M21=phu!$I$16,M21=phu!$I$17,M21=phu!$I$18,M21=phu!$I$19,M21=phu!$I$20,M21=phu!$I$21),"Cam Phúc Bắc",""),IF(OR(M21=phu!$I$22,M21=phu!$I$23,M21=phu!$I$24,M21=phu!$I$25),"Cam Phúc Nam",""),IF(OR(M21=phu!$I$26,M21=phu!$I$27,M21=phu!$I$28,M21=phu!$I$29,M21=phu!$I$30,M21=phu!$I$31),"Cam Phú",""),IF(OR(M21=phu!$I$32,M21=phu!$I$33,M21=phu!$I$34,M21=phu!$I$35,M21=phu!$I$36,M21=phu!$I$37),"Cam Lộc",""),IF(OR(M21=phu!$I$38,M21=phu!$I$39,M21=phu!$I$40,M21=phu!$I$41,M21=phu!$I$42,M21=phu!$I$43,M21=phu!$I$44),"Cam Thuận",""),IF(OR(M21=phu!$I$45,M21=phu!$I$46,M21=phu!$I$47,M21=phu!$I$48,M21=phu!$I$49,M21=phu!$I$50,M21=phu!$I$51,M21=phu!$I$52,M21=phu!$I$53),"Cam Linh",""),IF(OR(M21=phu!$I$54,M21=phu!$I$55,M21=phu!$I$56,M21=phu!$I$57,M21=phu!$I$58,M21=phu!$I$59,M21=phu!$I$60,M21=phu!$I$61,M21=phu!$I$62),"Cam Lợi",""),IF(OR(M21=phu!$I$63,M21=phu!$I$64,M21=phu!$I$65,M21=phu!$I$66,M21=phu!$I$67,M21=phu!$I$68,M21=phu!$I$69,M21=phu!$I$70,M21=phu!$I$71),"Ba Ngòi",""),IF(OR(M21=phu!$I$72,M21=phu!$I$73,M21=phu!$I$74,M21=phu!$I$75,M21=phu!$I$76,M21=phu!$I$77,M21=phu!$I$78),"Cam Phước Đông",""),IF(OR(M21=phu!$I$79,M21=phu!$I$80,M21=phu!$I$81,M21=phu!$I$82,M21=phu!$I$83,M21=phu!$I$84),"Cam Thịnh Đông",""),IF(OR(M21=phu!$I$85,M21=phu!$I$86,M21=phu!$I$87,M21=phu!$I$88),"Cam Thịnh Tây",""),IF(OR(M21=phu!$I$89,M21=phu!$I$90),"Cam Lập",""),IF(OR(M21=phu!$I$91,M21=phu!$I$92,M21=phu!$I$93),"Cam Bình",""),IF(OR(M21=phu!$I$94,M21=phu!$I$95,M21=phu!$I$96,M21=phu!$I$97,M21=phu!$I$98,M21=phu!$I$99,M21=phu!$I$100),"Huyện khác",""),IF(OR(M21=phu!$I$101,M21=phu!$I$102),"Tỉnh khác",""))</f>
        <v/>
      </c>
      <c r="O21" s="829" t="str">
        <f t="shared" si="0"/>
        <v/>
      </c>
      <c r="P21" s="254"/>
      <c r="Q21" s="254"/>
      <c r="R21" s="254"/>
      <c r="S21" s="254"/>
      <c r="T21" s="254"/>
      <c r="U21" s="254"/>
      <c r="V21" s="254"/>
      <c r="W21" s="254"/>
      <c r="Y21" s="246" t="str">
        <f t="shared" si="1"/>
        <v/>
      </c>
      <c r="Z21" s="247" t="str">
        <f t="shared" si="2"/>
        <v/>
      </c>
      <c r="AA21" s="246" t="str">
        <f t="shared" si="3"/>
        <v/>
      </c>
    </row>
    <row r="22" spans="1:27" ht="18" customHeight="1" x14ac:dyDescent="0.25">
      <c r="A22" s="248" t="str">
        <f t="shared" si="4"/>
        <v/>
      </c>
      <c r="B22" s="249" t="str">
        <f t="shared" si="5"/>
        <v/>
      </c>
      <c r="C22" s="250"/>
      <c r="D22" s="251"/>
      <c r="E22" s="241"/>
      <c r="F22" s="252"/>
      <c r="G22" s="255"/>
      <c r="H22" s="253"/>
      <c r="I22" s="250"/>
      <c r="J22" s="250"/>
      <c r="K22" s="270"/>
      <c r="L22" s="250"/>
      <c r="M22" s="250"/>
      <c r="N22" s="540" t="str">
        <f>CONCATENATE(IF(OR(M22=phu!$I$1,M22=phu!$I$2,M22=phu!$I$3),"Cam Thành Nam",""),IF(OR(M22=phu!$I$4,M22=phu!$I$5,M22=phu!$I$6,M22=phu!$I$7,M22=phu!$I$8,M22=phu!$I$9,M22=phu!$I$10,M22=phu!$I$11,M22=phu!$I$12,M22=phu!$I$13,M22=phu!$I$14),"Cam Nghĩa",""),IF(OR(M22=phu!$I$15,M22=phu!$I$16,M22=phu!$I$17,M22=phu!$I$18,M22=phu!$I$19,M22=phu!$I$20,M22=phu!$I$21),"Cam Phúc Bắc",""),IF(OR(M22=phu!$I$22,M22=phu!$I$23,M22=phu!$I$24,M22=phu!$I$25),"Cam Phúc Nam",""),IF(OR(M22=phu!$I$26,M22=phu!$I$27,M22=phu!$I$28,M22=phu!$I$29,M22=phu!$I$30,M22=phu!$I$31),"Cam Phú",""),IF(OR(M22=phu!$I$32,M22=phu!$I$33,M22=phu!$I$34,M22=phu!$I$35,M22=phu!$I$36,M22=phu!$I$37),"Cam Lộc",""),IF(OR(M22=phu!$I$38,M22=phu!$I$39,M22=phu!$I$40,M22=phu!$I$41,M22=phu!$I$42,M22=phu!$I$43,M22=phu!$I$44),"Cam Thuận",""),IF(OR(M22=phu!$I$45,M22=phu!$I$46,M22=phu!$I$47,M22=phu!$I$48,M22=phu!$I$49,M22=phu!$I$50,M22=phu!$I$51,M22=phu!$I$52,M22=phu!$I$53),"Cam Linh",""),IF(OR(M22=phu!$I$54,M22=phu!$I$55,M22=phu!$I$56,M22=phu!$I$57,M22=phu!$I$58,M22=phu!$I$59,M22=phu!$I$60,M22=phu!$I$61,M22=phu!$I$62),"Cam Lợi",""),IF(OR(M22=phu!$I$63,M22=phu!$I$64,M22=phu!$I$65,M22=phu!$I$66,M22=phu!$I$67,M22=phu!$I$68,M22=phu!$I$69,M22=phu!$I$70,M22=phu!$I$71),"Ba Ngòi",""),IF(OR(M22=phu!$I$72,M22=phu!$I$73,M22=phu!$I$74,M22=phu!$I$75,M22=phu!$I$76,M22=phu!$I$77,M22=phu!$I$78),"Cam Phước Đông",""),IF(OR(M22=phu!$I$79,M22=phu!$I$80,M22=phu!$I$81,M22=phu!$I$82,M22=phu!$I$83,M22=phu!$I$84),"Cam Thịnh Đông",""),IF(OR(M22=phu!$I$85,M22=phu!$I$86,M22=phu!$I$87,M22=phu!$I$88),"Cam Thịnh Tây",""),IF(OR(M22=phu!$I$89,M22=phu!$I$90),"Cam Lập",""),IF(OR(M22=phu!$I$91,M22=phu!$I$92,M22=phu!$I$93),"Cam Bình",""),IF(OR(M22=phu!$I$94,M22=phu!$I$95,M22=phu!$I$96,M22=phu!$I$97,M22=phu!$I$98,M22=phu!$I$99,M22=phu!$I$100),"Huyện khác",""),IF(OR(M22=phu!$I$101,M22=phu!$I$102),"Tỉnh khác",""))</f>
        <v/>
      </c>
      <c r="O22" s="829" t="str">
        <f t="shared" si="0"/>
        <v/>
      </c>
      <c r="P22" s="254"/>
      <c r="Q22" s="254"/>
      <c r="R22" s="254"/>
      <c r="S22" s="254"/>
      <c r="T22" s="254"/>
      <c r="U22" s="254"/>
      <c r="V22" s="254"/>
      <c r="W22" s="254"/>
      <c r="Y22" s="246" t="str">
        <f t="shared" si="1"/>
        <v/>
      </c>
      <c r="Z22" s="247" t="str">
        <f t="shared" si="2"/>
        <v/>
      </c>
      <c r="AA22" s="246" t="str">
        <f t="shared" si="3"/>
        <v/>
      </c>
    </row>
    <row r="23" spans="1:27" ht="18" customHeight="1" x14ac:dyDescent="0.25">
      <c r="A23" s="248" t="str">
        <f t="shared" si="4"/>
        <v/>
      </c>
      <c r="B23" s="249" t="str">
        <f t="shared" si="5"/>
        <v/>
      </c>
      <c r="C23" s="250"/>
      <c r="D23" s="251"/>
      <c r="E23" s="241"/>
      <c r="F23" s="252"/>
      <c r="G23" s="252"/>
      <c r="H23" s="253"/>
      <c r="I23" s="250"/>
      <c r="J23" s="250"/>
      <c r="K23" s="270"/>
      <c r="L23" s="250"/>
      <c r="M23" s="250"/>
      <c r="N23" s="540" t="str">
        <f>CONCATENATE(IF(OR(M23=phu!$I$1,M23=phu!$I$2,M23=phu!$I$3),"Cam Thành Nam",""),IF(OR(M23=phu!$I$4,M23=phu!$I$5,M23=phu!$I$6,M23=phu!$I$7,M23=phu!$I$8,M23=phu!$I$9,M23=phu!$I$10,M23=phu!$I$11,M23=phu!$I$12,M23=phu!$I$13,M23=phu!$I$14),"Cam Nghĩa",""),IF(OR(M23=phu!$I$15,M23=phu!$I$16,M23=phu!$I$17,M23=phu!$I$18,M23=phu!$I$19,M23=phu!$I$20,M23=phu!$I$21),"Cam Phúc Bắc",""),IF(OR(M23=phu!$I$22,M23=phu!$I$23,M23=phu!$I$24,M23=phu!$I$25),"Cam Phúc Nam",""),IF(OR(M23=phu!$I$26,M23=phu!$I$27,M23=phu!$I$28,M23=phu!$I$29,M23=phu!$I$30,M23=phu!$I$31),"Cam Phú",""),IF(OR(M23=phu!$I$32,M23=phu!$I$33,M23=phu!$I$34,M23=phu!$I$35,M23=phu!$I$36,M23=phu!$I$37),"Cam Lộc",""),IF(OR(M23=phu!$I$38,M23=phu!$I$39,M23=phu!$I$40,M23=phu!$I$41,M23=phu!$I$42,M23=phu!$I$43,M23=phu!$I$44),"Cam Thuận",""),IF(OR(M23=phu!$I$45,M23=phu!$I$46,M23=phu!$I$47,M23=phu!$I$48,M23=phu!$I$49,M23=phu!$I$50,M23=phu!$I$51,M23=phu!$I$52,M23=phu!$I$53),"Cam Linh",""),IF(OR(M23=phu!$I$54,M23=phu!$I$55,M23=phu!$I$56,M23=phu!$I$57,M23=phu!$I$58,M23=phu!$I$59,M23=phu!$I$60,M23=phu!$I$61,M23=phu!$I$62),"Cam Lợi",""),IF(OR(M23=phu!$I$63,M23=phu!$I$64,M23=phu!$I$65,M23=phu!$I$66,M23=phu!$I$67,M23=phu!$I$68,M23=phu!$I$69,M23=phu!$I$70,M23=phu!$I$71),"Ba Ngòi",""),IF(OR(M23=phu!$I$72,M23=phu!$I$73,M23=phu!$I$74,M23=phu!$I$75,M23=phu!$I$76,M23=phu!$I$77,M23=phu!$I$78),"Cam Phước Đông",""),IF(OR(M23=phu!$I$79,M23=phu!$I$80,M23=phu!$I$81,M23=phu!$I$82,M23=phu!$I$83,M23=phu!$I$84),"Cam Thịnh Đông",""),IF(OR(M23=phu!$I$85,M23=phu!$I$86,M23=phu!$I$87,M23=phu!$I$88),"Cam Thịnh Tây",""),IF(OR(M23=phu!$I$89,M23=phu!$I$90),"Cam Lập",""),IF(OR(M23=phu!$I$91,M23=phu!$I$92,M23=phu!$I$93),"Cam Bình",""),IF(OR(M23=phu!$I$94,M23=phu!$I$95,M23=phu!$I$96,M23=phu!$I$97,M23=phu!$I$98,M23=phu!$I$99,M23=phu!$I$100),"Huyện khác",""),IF(OR(M23=phu!$I$101,M23=phu!$I$102),"Tỉnh khác",""))</f>
        <v/>
      </c>
      <c r="O23" s="829" t="str">
        <f t="shared" si="0"/>
        <v/>
      </c>
      <c r="P23" s="256"/>
      <c r="Q23" s="256"/>
      <c r="R23" s="256"/>
      <c r="S23" s="254"/>
      <c r="T23" s="254"/>
      <c r="U23" s="254"/>
      <c r="V23" s="254"/>
      <c r="W23" s="254"/>
      <c r="Y23" s="246" t="str">
        <f t="shared" si="1"/>
        <v/>
      </c>
      <c r="Z23" s="247" t="str">
        <f t="shared" si="2"/>
        <v/>
      </c>
      <c r="AA23" s="246" t="str">
        <f t="shared" si="3"/>
        <v/>
      </c>
    </row>
    <row r="24" spans="1:27" ht="18" customHeight="1" x14ac:dyDescent="0.25">
      <c r="A24" s="248" t="str">
        <f t="shared" si="4"/>
        <v/>
      </c>
      <c r="B24" s="249" t="str">
        <f t="shared" si="5"/>
        <v/>
      </c>
      <c r="C24" s="250"/>
      <c r="D24" s="251"/>
      <c r="E24" s="241"/>
      <c r="F24" s="252"/>
      <c r="G24" s="252"/>
      <c r="H24" s="253"/>
      <c r="I24" s="250"/>
      <c r="J24" s="250"/>
      <c r="K24" s="270"/>
      <c r="L24" s="250"/>
      <c r="M24" s="250"/>
      <c r="N24" s="540" t="str">
        <f>CONCATENATE(IF(OR(M24=phu!$I$1,M24=phu!$I$2,M24=phu!$I$3),"Cam Thành Nam",""),IF(OR(M24=phu!$I$4,M24=phu!$I$5,M24=phu!$I$6,M24=phu!$I$7,M24=phu!$I$8,M24=phu!$I$9,M24=phu!$I$10,M24=phu!$I$11,M24=phu!$I$12,M24=phu!$I$13,M24=phu!$I$14),"Cam Nghĩa",""),IF(OR(M24=phu!$I$15,M24=phu!$I$16,M24=phu!$I$17,M24=phu!$I$18,M24=phu!$I$19,M24=phu!$I$20,M24=phu!$I$21),"Cam Phúc Bắc",""),IF(OR(M24=phu!$I$22,M24=phu!$I$23,M24=phu!$I$24,M24=phu!$I$25),"Cam Phúc Nam",""),IF(OR(M24=phu!$I$26,M24=phu!$I$27,M24=phu!$I$28,M24=phu!$I$29,M24=phu!$I$30,M24=phu!$I$31),"Cam Phú",""),IF(OR(M24=phu!$I$32,M24=phu!$I$33,M24=phu!$I$34,M24=phu!$I$35,M24=phu!$I$36,M24=phu!$I$37),"Cam Lộc",""),IF(OR(M24=phu!$I$38,M24=phu!$I$39,M24=phu!$I$40,M24=phu!$I$41,M24=phu!$I$42,M24=phu!$I$43,M24=phu!$I$44),"Cam Thuận",""),IF(OR(M24=phu!$I$45,M24=phu!$I$46,M24=phu!$I$47,M24=phu!$I$48,M24=phu!$I$49,M24=phu!$I$50,M24=phu!$I$51,M24=phu!$I$52,M24=phu!$I$53),"Cam Linh",""),IF(OR(M24=phu!$I$54,M24=phu!$I$55,M24=phu!$I$56,M24=phu!$I$57,M24=phu!$I$58,M24=phu!$I$59,M24=phu!$I$60,M24=phu!$I$61,M24=phu!$I$62),"Cam Lợi",""),IF(OR(M24=phu!$I$63,M24=phu!$I$64,M24=phu!$I$65,M24=phu!$I$66,M24=phu!$I$67,M24=phu!$I$68,M24=phu!$I$69,M24=phu!$I$70,M24=phu!$I$71),"Ba Ngòi",""),IF(OR(M24=phu!$I$72,M24=phu!$I$73,M24=phu!$I$74,M24=phu!$I$75,M24=phu!$I$76,M24=phu!$I$77,M24=phu!$I$78),"Cam Phước Đông",""),IF(OR(M24=phu!$I$79,M24=phu!$I$80,M24=phu!$I$81,M24=phu!$I$82,M24=phu!$I$83,M24=phu!$I$84),"Cam Thịnh Đông",""),IF(OR(M24=phu!$I$85,M24=phu!$I$86,M24=phu!$I$87,M24=phu!$I$88),"Cam Thịnh Tây",""),IF(OR(M24=phu!$I$89,M24=phu!$I$90),"Cam Lập",""),IF(OR(M24=phu!$I$91,M24=phu!$I$92,M24=phu!$I$93),"Cam Bình",""),IF(OR(M24=phu!$I$94,M24=phu!$I$95,M24=phu!$I$96,M24=phu!$I$97,M24=phu!$I$98,M24=phu!$I$99,M24=phu!$I$100),"Huyện khác",""),IF(OR(M24=phu!$I$101,M24=phu!$I$102),"Tỉnh khác",""))</f>
        <v/>
      </c>
      <c r="O24" s="829" t="str">
        <f t="shared" si="0"/>
        <v/>
      </c>
      <c r="P24" s="256"/>
      <c r="Q24" s="256"/>
      <c r="R24" s="256"/>
      <c r="S24" s="254"/>
      <c r="T24" s="254"/>
      <c r="U24" s="254"/>
      <c r="V24" s="254"/>
      <c r="W24" s="254"/>
      <c r="Y24" s="246" t="str">
        <f t="shared" si="1"/>
        <v/>
      </c>
      <c r="Z24" s="247" t="str">
        <f t="shared" si="2"/>
        <v/>
      </c>
      <c r="AA24" s="246" t="str">
        <f t="shared" si="3"/>
        <v/>
      </c>
    </row>
    <row r="25" spans="1:27" ht="18" customHeight="1" x14ac:dyDescent="0.25">
      <c r="A25" s="248" t="str">
        <f t="shared" si="4"/>
        <v/>
      </c>
      <c r="B25" s="249" t="str">
        <f t="shared" si="5"/>
        <v/>
      </c>
      <c r="C25" s="250"/>
      <c r="D25" s="251"/>
      <c r="E25" s="241"/>
      <c r="F25" s="252"/>
      <c r="G25" s="252"/>
      <c r="H25" s="253"/>
      <c r="I25" s="250"/>
      <c r="J25" s="250"/>
      <c r="K25" s="270"/>
      <c r="L25" s="250"/>
      <c r="M25" s="250"/>
      <c r="N25" s="540" t="str">
        <f>CONCATENATE(IF(OR(M25=phu!$I$1,M25=phu!$I$2,M25=phu!$I$3),"Cam Thành Nam",""),IF(OR(M25=phu!$I$4,M25=phu!$I$5,M25=phu!$I$6,M25=phu!$I$7,M25=phu!$I$8,M25=phu!$I$9,M25=phu!$I$10,M25=phu!$I$11,M25=phu!$I$12,M25=phu!$I$13,M25=phu!$I$14),"Cam Nghĩa",""),IF(OR(M25=phu!$I$15,M25=phu!$I$16,M25=phu!$I$17,M25=phu!$I$18,M25=phu!$I$19,M25=phu!$I$20,M25=phu!$I$21),"Cam Phúc Bắc",""),IF(OR(M25=phu!$I$22,M25=phu!$I$23,M25=phu!$I$24,M25=phu!$I$25),"Cam Phúc Nam",""),IF(OR(M25=phu!$I$26,M25=phu!$I$27,M25=phu!$I$28,M25=phu!$I$29,M25=phu!$I$30,M25=phu!$I$31),"Cam Phú",""),IF(OR(M25=phu!$I$32,M25=phu!$I$33,M25=phu!$I$34,M25=phu!$I$35,M25=phu!$I$36,M25=phu!$I$37),"Cam Lộc",""),IF(OR(M25=phu!$I$38,M25=phu!$I$39,M25=phu!$I$40,M25=phu!$I$41,M25=phu!$I$42,M25=phu!$I$43,M25=phu!$I$44),"Cam Thuận",""),IF(OR(M25=phu!$I$45,M25=phu!$I$46,M25=phu!$I$47,M25=phu!$I$48,M25=phu!$I$49,M25=phu!$I$50,M25=phu!$I$51,M25=phu!$I$52,M25=phu!$I$53),"Cam Linh",""),IF(OR(M25=phu!$I$54,M25=phu!$I$55,M25=phu!$I$56,M25=phu!$I$57,M25=phu!$I$58,M25=phu!$I$59,M25=phu!$I$60,M25=phu!$I$61,M25=phu!$I$62),"Cam Lợi",""),IF(OR(M25=phu!$I$63,M25=phu!$I$64,M25=phu!$I$65,M25=phu!$I$66,M25=phu!$I$67,M25=phu!$I$68,M25=phu!$I$69,M25=phu!$I$70,M25=phu!$I$71),"Ba Ngòi",""),IF(OR(M25=phu!$I$72,M25=phu!$I$73,M25=phu!$I$74,M25=phu!$I$75,M25=phu!$I$76,M25=phu!$I$77,M25=phu!$I$78),"Cam Phước Đông",""),IF(OR(M25=phu!$I$79,M25=phu!$I$80,M25=phu!$I$81,M25=phu!$I$82,M25=phu!$I$83,M25=phu!$I$84),"Cam Thịnh Đông",""),IF(OR(M25=phu!$I$85,M25=phu!$I$86,M25=phu!$I$87,M25=phu!$I$88),"Cam Thịnh Tây",""),IF(OR(M25=phu!$I$89,M25=phu!$I$90),"Cam Lập",""),IF(OR(M25=phu!$I$91,M25=phu!$I$92,M25=phu!$I$93),"Cam Bình",""),IF(OR(M25=phu!$I$94,M25=phu!$I$95,M25=phu!$I$96,M25=phu!$I$97,M25=phu!$I$98,M25=phu!$I$99,M25=phu!$I$100),"Huyện khác",""),IF(OR(M25=phu!$I$101,M25=phu!$I$102),"Tỉnh khác",""))</f>
        <v/>
      </c>
      <c r="O25" s="829" t="str">
        <f t="shared" si="0"/>
        <v/>
      </c>
      <c r="P25" s="256"/>
      <c r="Q25" s="256"/>
      <c r="R25" s="256"/>
      <c r="S25" s="254"/>
      <c r="T25" s="254"/>
      <c r="U25" s="254"/>
      <c r="V25" s="254"/>
      <c r="W25" s="254"/>
      <c r="Y25" s="246" t="str">
        <f t="shared" si="1"/>
        <v/>
      </c>
      <c r="Z25" s="247" t="str">
        <f t="shared" si="2"/>
        <v/>
      </c>
      <c r="AA25" s="246" t="str">
        <f t="shared" si="3"/>
        <v/>
      </c>
    </row>
    <row r="26" spans="1:27" ht="18" customHeight="1" x14ac:dyDescent="0.25">
      <c r="A26" s="248" t="str">
        <f t="shared" si="4"/>
        <v/>
      </c>
      <c r="B26" s="249" t="str">
        <f t="shared" si="5"/>
        <v/>
      </c>
      <c r="C26" s="250"/>
      <c r="D26" s="251"/>
      <c r="E26" s="241"/>
      <c r="F26" s="252"/>
      <c r="G26" s="252"/>
      <c r="H26" s="253"/>
      <c r="I26" s="250"/>
      <c r="J26" s="250"/>
      <c r="K26" s="270"/>
      <c r="L26" s="250"/>
      <c r="M26" s="250"/>
      <c r="N26" s="540" t="str">
        <f>CONCATENATE(IF(OR(M26=phu!$I$1,M26=phu!$I$2,M26=phu!$I$3),"Cam Thành Nam",""),IF(OR(M26=phu!$I$4,M26=phu!$I$5,M26=phu!$I$6,M26=phu!$I$7,M26=phu!$I$8,M26=phu!$I$9,M26=phu!$I$10,M26=phu!$I$11,M26=phu!$I$12,M26=phu!$I$13,M26=phu!$I$14),"Cam Nghĩa",""),IF(OR(M26=phu!$I$15,M26=phu!$I$16,M26=phu!$I$17,M26=phu!$I$18,M26=phu!$I$19,M26=phu!$I$20,M26=phu!$I$21),"Cam Phúc Bắc",""),IF(OR(M26=phu!$I$22,M26=phu!$I$23,M26=phu!$I$24,M26=phu!$I$25),"Cam Phúc Nam",""),IF(OR(M26=phu!$I$26,M26=phu!$I$27,M26=phu!$I$28,M26=phu!$I$29,M26=phu!$I$30,M26=phu!$I$31),"Cam Phú",""),IF(OR(M26=phu!$I$32,M26=phu!$I$33,M26=phu!$I$34,M26=phu!$I$35,M26=phu!$I$36,M26=phu!$I$37),"Cam Lộc",""),IF(OR(M26=phu!$I$38,M26=phu!$I$39,M26=phu!$I$40,M26=phu!$I$41,M26=phu!$I$42,M26=phu!$I$43,M26=phu!$I$44),"Cam Thuận",""),IF(OR(M26=phu!$I$45,M26=phu!$I$46,M26=phu!$I$47,M26=phu!$I$48,M26=phu!$I$49,M26=phu!$I$50,M26=phu!$I$51,M26=phu!$I$52,M26=phu!$I$53),"Cam Linh",""),IF(OR(M26=phu!$I$54,M26=phu!$I$55,M26=phu!$I$56,M26=phu!$I$57,M26=phu!$I$58,M26=phu!$I$59,M26=phu!$I$60,M26=phu!$I$61,M26=phu!$I$62),"Cam Lợi",""),IF(OR(M26=phu!$I$63,M26=phu!$I$64,M26=phu!$I$65,M26=phu!$I$66,M26=phu!$I$67,M26=phu!$I$68,M26=phu!$I$69,M26=phu!$I$70,M26=phu!$I$71),"Ba Ngòi",""),IF(OR(M26=phu!$I$72,M26=phu!$I$73,M26=phu!$I$74,M26=phu!$I$75,M26=phu!$I$76,M26=phu!$I$77,M26=phu!$I$78),"Cam Phước Đông",""),IF(OR(M26=phu!$I$79,M26=phu!$I$80,M26=phu!$I$81,M26=phu!$I$82,M26=phu!$I$83,M26=phu!$I$84),"Cam Thịnh Đông",""),IF(OR(M26=phu!$I$85,M26=phu!$I$86,M26=phu!$I$87,M26=phu!$I$88),"Cam Thịnh Tây",""),IF(OR(M26=phu!$I$89,M26=phu!$I$90),"Cam Lập",""),IF(OR(M26=phu!$I$91,M26=phu!$I$92,M26=phu!$I$93),"Cam Bình",""),IF(OR(M26=phu!$I$94,M26=phu!$I$95,M26=phu!$I$96,M26=phu!$I$97,M26=phu!$I$98,M26=phu!$I$99,M26=phu!$I$100),"Huyện khác",""),IF(OR(M26=phu!$I$101,M26=phu!$I$102),"Tỉnh khác",""))</f>
        <v/>
      </c>
      <c r="O26" s="829" t="str">
        <f t="shared" si="0"/>
        <v/>
      </c>
      <c r="P26" s="256"/>
      <c r="Q26" s="256"/>
      <c r="R26" s="256"/>
      <c r="S26" s="254"/>
      <c r="T26" s="254"/>
      <c r="U26" s="254"/>
      <c r="V26" s="254"/>
      <c r="W26" s="254"/>
      <c r="Y26" s="246" t="str">
        <f t="shared" si="1"/>
        <v/>
      </c>
      <c r="Z26" s="247" t="str">
        <f t="shared" si="2"/>
        <v/>
      </c>
      <c r="AA26" s="246" t="str">
        <f t="shared" si="3"/>
        <v/>
      </c>
    </row>
    <row r="27" spans="1:27" ht="18" customHeight="1" x14ac:dyDescent="0.25">
      <c r="A27" s="248" t="str">
        <f t="shared" si="4"/>
        <v/>
      </c>
      <c r="B27" s="249" t="str">
        <f t="shared" si="5"/>
        <v/>
      </c>
      <c r="C27" s="250"/>
      <c r="D27" s="251"/>
      <c r="E27" s="241"/>
      <c r="F27" s="252"/>
      <c r="G27" s="252"/>
      <c r="H27" s="253"/>
      <c r="I27" s="250"/>
      <c r="J27" s="250"/>
      <c r="K27" s="270"/>
      <c r="L27" s="250"/>
      <c r="M27" s="250"/>
      <c r="N27" s="540" t="str">
        <f>CONCATENATE(IF(OR(M27=phu!$I$1,M27=phu!$I$2,M27=phu!$I$3),"Cam Thành Nam",""),IF(OR(M27=phu!$I$4,M27=phu!$I$5,M27=phu!$I$6,M27=phu!$I$7,M27=phu!$I$8,M27=phu!$I$9,M27=phu!$I$10,M27=phu!$I$11,M27=phu!$I$12,M27=phu!$I$13,M27=phu!$I$14),"Cam Nghĩa",""),IF(OR(M27=phu!$I$15,M27=phu!$I$16,M27=phu!$I$17,M27=phu!$I$18,M27=phu!$I$19,M27=phu!$I$20,M27=phu!$I$21),"Cam Phúc Bắc",""),IF(OR(M27=phu!$I$22,M27=phu!$I$23,M27=phu!$I$24,M27=phu!$I$25),"Cam Phúc Nam",""),IF(OR(M27=phu!$I$26,M27=phu!$I$27,M27=phu!$I$28,M27=phu!$I$29,M27=phu!$I$30,M27=phu!$I$31),"Cam Phú",""),IF(OR(M27=phu!$I$32,M27=phu!$I$33,M27=phu!$I$34,M27=phu!$I$35,M27=phu!$I$36,M27=phu!$I$37),"Cam Lộc",""),IF(OR(M27=phu!$I$38,M27=phu!$I$39,M27=phu!$I$40,M27=phu!$I$41,M27=phu!$I$42,M27=phu!$I$43,M27=phu!$I$44),"Cam Thuận",""),IF(OR(M27=phu!$I$45,M27=phu!$I$46,M27=phu!$I$47,M27=phu!$I$48,M27=phu!$I$49,M27=phu!$I$50,M27=phu!$I$51,M27=phu!$I$52,M27=phu!$I$53),"Cam Linh",""),IF(OR(M27=phu!$I$54,M27=phu!$I$55,M27=phu!$I$56,M27=phu!$I$57,M27=phu!$I$58,M27=phu!$I$59,M27=phu!$I$60,M27=phu!$I$61,M27=phu!$I$62),"Cam Lợi",""),IF(OR(M27=phu!$I$63,M27=phu!$I$64,M27=phu!$I$65,M27=phu!$I$66,M27=phu!$I$67,M27=phu!$I$68,M27=phu!$I$69,M27=phu!$I$70,M27=phu!$I$71),"Ba Ngòi",""),IF(OR(M27=phu!$I$72,M27=phu!$I$73,M27=phu!$I$74,M27=phu!$I$75,M27=phu!$I$76,M27=phu!$I$77,M27=phu!$I$78),"Cam Phước Đông",""),IF(OR(M27=phu!$I$79,M27=phu!$I$80,M27=phu!$I$81,M27=phu!$I$82,M27=phu!$I$83,M27=phu!$I$84),"Cam Thịnh Đông",""),IF(OR(M27=phu!$I$85,M27=phu!$I$86,M27=phu!$I$87,M27=phu!$I$88),"Cam Thịnh Tây",""),IF(OR(M27=phu!$I$89,M27=phu!$I$90),"Cam Lập",""),IF(OR(M27=phu!$I$91,M27=phu!$I$92,M27=phu!$I$93),"Cam Bình",""),IF(OR(M27=phu!$I$94,M27=phu!$I$95,M27=phu!$I$96,M27=phu!$I$97,M27=phu!$I$98,M27=phu!$I$99,M27=phu!$I$100),"Huyện khác",""),IF(OR(M27=phu!$I$101,M27=phu!$I$102),"Tỉnh khác",""))</f>
        <v/>
      </c>
      <c r="O27" s="829" t="str">
        <f t="shared" si="0"/>
        <v/>
      </c>
      <c r="P27" s="256"/>
      <c r="Q27" s="256"/>
      <c r="R27" s="256"/>
      <c r="S27" s="254"/>
      <c r="T27" s="254"/>
      <c r="U27" s="254"/>
      <c r="V27" s="254"/>
      <c r="W27" s="254"/>
      <c r="Y27" s="246" t="str">
        <f t="shared" si="1"/>
        <v/>
      </c>
      <c r="Z27" s="247" t="str">
        <f t="shared" si="2"/>
        <v/>
      </c>
      <c r="AA27" s="246" t="str">
        <f t="shared" si="3"/>
        <v/>
      </c>
    </row>
    <row r="28" spans="1:27" ht="18" customHeight="1" x14ac:dyDescent="0.25">
      <c r="A28" s="248" t="str">
        <f t="shared" si="4"/>
        <v/>
      </c>
      <c r="B28" s="249" t="str">
        <f t="shared" si="5"/>
        <v/>
      </c>
      <c r="C28" s="250"/>
      <c r="D28" s="251"/>
      <c r="E28" s="241"/>
      <c r="F28" s="252"/>
      <c r="G28" s="252"/>
      <c r="H28" s="253"/>
      <c r="I28" s="250"/>
      <c r="J28" s="250"/>
      <c r="K28" s="270"/>
      <c r="L28" s="250"/>
      <c r="M28" s="250"/>
      <c r="N28" s="540" t="str">
        <f>CONCATENATE(IF(OR(M28=phu!$I$1,M28=phu!$I$2,M28=phu!$I$3),"Cam Thành Nam",""),IF(OR(M28=phu!$I$4,M28=phu!$I$5,M28=phu!$I$6,M28=phu!$I$7,M28=phu!$I$8,M28=phu!$I$9,M28=phu!$I$10,M28=phu!$I$11,M28=phu!$I$12,M28=phu!$I$13,M28=phu!$I$14),"Cam Nghĩa",""),IF(OR(M28=phu!$I$15,M28=phu!$I$16,M28=phu!$I$17,M28=phu!$I$18,M28=phu!$I$19,M28=phu!$I$20,M28=phu!$I$21),"Cam Phúc Bắc",""),IF(OR(M28=phu!$I$22,M28=phu!$I$23,M28=phu!$I$24,M28=phu!$I$25),"Cam Phúc Nam",""),IF(OR(M28=phu!$I$26,M28=phu!$I$27,M28=phu!$I$28,M28=phu!$I$29,M28=phu!$I$30,M28=phu!$I$31),"Cam Phú",""),IF(OR(M28=phu!$I$32,M28=phu!$I$33,M28=phu!$I$34,M28=phu!$I$35,M28=phu!$I$36,M28=phu!$I$37),"Cam Lộc",""),IF(OR(M28=phu!$I$38,M28=phu!$I$39,M28=phu!$I$40,M28=phu!$I$41,M28=phu!$I$42,M28=phu!$I$43,M28=phu!$I$44),"Cam Thuận",""),IF(OR(M28=phu!$I$45,M28=phu!$I$46,M28=phu!$I$47,M28=phu!$I$48,M28=phu!$I$49,M28=phu!$I$50,M28=phu!$I$51,M28=phu!$I$52,M28=phu!$I$53),"Cam Linh",""),IF(OR(M28=phu!$I$54,M28=phu!$I$55,M28=phu!$I$56,M28=phu!$I$57,M28=phu!$I$58,M28=phu!$I$59,M28=phu!$I$60,M28=phu!$I$61,M28=phu!$I$62),"Cam Lợi",""),IF(OR(M28=phu!$I$63,M28=phu!$I$64,M28=phu!$I$65,M28=phu!$I$66,M28=phu!$I$67,M28=phu!$I$68,M28=phu!$I$69,M28=phu!$I$70,M28=phu!$I$71),"Ba Ngòi",""),IF(OR(M28=phu!$I$72,M28=phu!$I$73,M28=phu!$I$74,M28=phu!$I$75,M28=phu!$I$76,M28=phu!$I$77,M28=phu!$I$78),"Cam Phước Đông",""),IF(OR(M28=phu!$I$79,M28=phu!$I$80,M28=phu!$I$81,M28=phu!$I$82,M28=phu!$I$83,M28=phu!$I$84),"Cam Thịnh Đông",""),IF(OR(M28=phu!$I$85,M28=phu!$I$86,M28=phu!$I$87,M28=phu!$I$88),"Cam Thịnh Tây",""),IF(OR(M28=phu!$I$89,M28=phu!$I$90),"Cam Lập",""),IF(OR(M28=phu!$I$91,M28=phu!$I$92,M28=phu!$I$93),"Cam Bình",""),IF(OR(M28=phu!$I$94,M28=phu!$I$95,M28=phu!$I$96,M28=phu!$I$97,M28=phu!$I$98,M28=phu!$I$99,M28=phu!$I$100),"Huyện khác",""),IF(OR(M28=phu!$I$101,M28=phu!$I$102),"Tỉnh khác",""))</f>
        <v/>
      </c>
      <c r="O28" s="829" t="str">
        <f t="shared" si="0"/>
        <v/>
      </c>
      <c r="P28" s="256"/>
      <c r="Q28" s="256"/>
      <c r="R28" s="256"/>
      <c r="S28" s="254"/>
      <c r="T28" s="254"/>
      <c r="U28" s="254"/>
      <c r="V28" s="254"/>
      <c r="W28" s="254"/>
      <c r="Y28" s="246" t="str">
        <f t="shared" si="1"/>
        <v/>
      </c>
      <c r="Z28" s="247" t="str">
        <f t="shared" si="2"/>
        <v/>
      </c>
      <c r="AA28" s="246" t="str">
        <f t="shared" si="3"/>
        <v/>
      </c>
    </row>
    <row r="29" spans="1:27" ht="18" customHeight="1" x14ac:dyDescent="0.25">
      <c r="A29" s="248" t="str">
        <f t="shared" si="4"/>
        <v/>
      </c>
      <c r="B29" s="249" t="str">
        <f t="shared" si="5"/>
        <v/>
      </c>
      <c r="C29" s="250"/>
      <c r="D29" s="251"/>
      <c r="E29" s="241"/>
      <c r="F29" s="252"/>
      <c r="G29" s="252"/>
      <c r="H29" s="253"/>
      <c r="I29" s="250"/>
      <c r="J29" s="250"/>
      <c r="K29" s="270"/>
      <c r="L29" s="250"/>
      <c r="M29" s="250"/>
      <c r="N29" s="540" t="str">
        <f>CONCATENATE(IF(OR(M29=phu!$I$1,M29=phu!$I$2,M29=phu!$I$3),"Cam Thành Nam",""),IF(OR(M29=phu!$I$4,M29=phu!$I$5,M29=phu!$I$6,M29=phu!$I$7,M29=phu!$I$8,M29=phu!$I$9,M29=phu!$I$10,M29=phu!$I$11,M29=phu!$I$12,M29=phu!$I$13,M29=phu!$I$14),"Cam Nghĩa",""),IF(OR(M29=phu!$I$15,M29=phu!$I$16,M29=phu!$I$17,M29=phu!$I$18,M29=phu!$I$19,M29=phu!$I$20,M29=phu!$I$21),"Cam Phúc Bắc",""),IF(OR(M29=phu!$I$22,M29=phu!$I$23,M29=phu!$I$24,M29=phu!$I$25),"Cam Phúc Nam",""),IF(OR(M29=phu!$I$26,M29=phu!$I$27,M29=phu!$I$28,M29=phu!$I$29,M29=phu!$I$30,M29=phu!$I$31),"Cam Phú",""),IF(OR(M29=phu!$I$32,M29=phu!$I$33,M29=phu!$I$34,M29=phu!$I$35,M29=phu!$I$36,M29=phu!$I$37),"Cam Lộc",""),IF(OR(M29=phu!$I$38,M29=phu!$I$39,M29=phu!$I$40,M29=phu!$I$41,M29=phu!$I$42,M29=phu!$I$43,M29=phu!$I$44),"Cam Thuận",""),IF(OR(M29=phu!$I$45,M29=phu!$I$46,M29=phu!$I$47,M29=phu!$I$48,M29=phu!$I$49,M29=phu!$I$50,M29=phu!$I$51,M29=phu!$I$52,M29=phu!$I$53),"Cam Linh",""),IF(OR(M29=phu!$I$54,M29=phu!$I$55,M29=phu!$I$56,M29=phu!$I$57,M29=phu!$I$58,M29=phu!$I$59,M29=phu!$I$60,M29=phu!$I$61,M29=phu!$I$62),"Cam Lợi",""),IF(OR(M29=phu!$I$63,M29=phu!$I$64,M29=phu!$I$65,M29=phu!$I$66,M29=phu!$I$67,M29=phu!$I$68,M29=phu!$I$69,M29=phu!$I$70,M29=phu!$I$71),"Ba Ngòi",""),IF(OR(M29=phu!$I$72,M29=phu!$I$73,M29=phu!$I$74,M29=phu!$I$75,M29=phu!$I$76,M29=phu!$I$77,M29=phu!$I$78),"Cam Phước Đông",""),IF(OR(M29=phu!$I$79,M29=phu!$I$80,M29=phu!$I$81,M29=phu!$I$82,M29=phu!$I$83,M29=phu!$I$84),"Cam Thịnh Đông",""),IF(OR(M29=phu!$I$85,M29=phu!$I$86,M29=phu!$I$87,M29=phu!$I$88),"Cam Thịnh Tây",""),IF(OR(M29=phu!$I$89,M29=phu!$I$90),"Cam Lập",""),IF(OR(M29=phu!$I$91,M29=phu!$I$92,M29=phu!$I$93),"Cam Bình",""),IF(OR(M29=phu!$I$94,M29=phu!$I$95,M29=phu!$I$96,M29=phu!$I$97,M29=phu!$I$98,M29=phu!$I$99,M29=phu!$I$100),"Huyện khác",""),IF(OR(M29=phu!$I$101,M29=phu!$I$102),"Tỉnh khác",""))</f>
        <v/>
      </c>
      <c r="O29" s="829" t="str">
        <f t="shared" si="0"/>
        <v/>
      </c>
      <c r="P29" s="256"/>
      <c r="Q29" s="256"/>
      <c r="R29" s="256"/>
      <c r="S29" s="254"/>
      <c r="T29" s="254"/>
      <c r="U29" s="254"/>
      <c r="V29" s="254"/>
      <c r="W29" s="254"/>
      <c r="Y29" s="246" t="str">
        <f t="shared" si="1"/>
        <v/>
      </c>
      <c r="Z29" s="247" t="str">
        <f t="shared" si="2"/>
        <v/>
      </c>
      <c r="AA29" s="246" t="str">
        <f t="shared" si="3"/>
        <v/>
      </c>
    </row>
    <row r="30" spans="1:27" ht="18" customHeight="1" x14ac:dyDescent="0.25">
      <c r="A30" s="248" t="str">
        <f t="shared" si="4"/>
        <v/>
      </c>
      <c r="B30" s="249" t="str">
        <f t="shared" si="5"/>
        <v/>
      </c>
      <c r="C30" s="250"/>
      <c r="D30" s="251"/>
      <c r="E30" s="241"/>
      <c r="F30" s="252"/>
      <c r="G30" s="252"/>
      <c r="H30" s="253"/>
      <c r="I30" s="250"/>
      <c r="J30" s="250"/>
      <c r="K30" s="270"/>
      <c r="L30" s="250"/>
      <c r="M30" s="250"/>
      <c r="N30" s="540" t="str">
        <f>CONCATENATE(IF(OR(M30=phu!$I$1,M30=phu!$I$2,M30=phu!$I$3),"Cam Thành Nam",""),IF(OR(M30=phu!$I$4,M30=phu!$I$5,M30=phu!$I$6,M30=phu!$I$7,M30=phu!$I$8,M30=phu!$I$9,M30=phu!$I$10,M30=phu!$I$11,M30=phu!$I$12,M30=phu!$I$13,M30=phu!$I$14),"Cam Nghĩa",""),IF(OR(M30=phu!$I$15,M30=phu!$I$16,M30=phu!$I$17,M30=phu!$I$18,M30=phu!$I$19,M30=phu!$I$20,M30=phu!$I$21),"Cam Phúc Bắc",""),IF(OR(M30=phu!$I$22,M30=phu!$I$23,M30=phu!$I$24,M30=phu!$I$25),"Cam Phúc Nam",""),IF(OR(M30=phu!$I$26,M30=phu!$I$27,M30=phu!$I$28,M30=phu!$I$29,M30=phu!$I$30,M30=phu!$I$31),"Cam Phú",""),IF(OR(M30=phu!$I$32,M30=phu!$I$33,M30=phu!$I$34,M30=phu!$I$35,M30=phu!$I$36,M30=phu!$I$37),"Cam Lộc",""),IF(OR(M30=phu!$I$38,M30=phu!$I$39,M30=phu!$I$40,M30=phu!$I$41,M30=phu!$I$42,M30=phu!$I$43,M30=phu!$I$44),"Cam Thuận",""),IF(OR(M30=phu!$I$45,M30=phu!$I$46,M30=phu!$I$47,M30=phu!$I$48,M30=phu!$I$49,M30=phu!$I$50,M30=phu!$I$51,M30=phu!$I$52,M30=phu!$I$53),"Cam Linh",""),IF(OR(M30=phu!$I$54,M30=phu!$I$55,M30=phu!$I$56,M30=phu!$I$57,M30=phu!$I$58,M30=phu!$I$59,M30=phu!$I$60,M30=phu!$I$61,M30=phu!$I$62),"Cam Lợi",""),IF(OR(M30=phu!$I$63,M30=phu!$I$64,M30=phu!$I$65,M30=phu!$I$66,M30=phu!$I$67,M30=phu!$I$68,M30=phu!$I$69,M30=phu!$I$70,M30=phu!$I$71),"Ba Ngòi",""),IF(OR(M30=phu!$I$72,M30=phu!$I$73,M30=phu!$I$74,M30=phu!$I$75,M30=phu!$I$76,M30=phu!$I$77,M30=phu!$I$78),"Cam Phước Đông",""),IF(OR(M30=phu!$I$79,M30=phu!$I$80,M30=phu!$I$81,M30=phu!$I$82,M30=phu!$I$83,M30=phu!$I$84),"Cam Thịnh Đông",""),IF(OR(M30=phu!$I$85,M30=phu!$I$86,M30=phu!$I$87,M30=phu!$I$88),"Cam Thịnh Tây",""),IF(OR(M30=phu!$I$89,M30=phu!$I$90),"Cam Lập",""),IF(OR(M30=phu!$I$91,M30=phu!$I$92,M30=phu!$I$93),"Cam Bình",""),IF(OR(M30=phu!$I$94,M30=phu!$I$95,M30=phu!$I$96,M30=phu!$I$97,M30=phu!$I$98,M30=phu!$I$99,M30=phu!$I$100),"Huyện khác",""),IF(OR(M30=phu!$I$101,M30=phu!$I$102),"Tỉnh khác",""))</f>
        <v/>
      </c>
      <c r="O30" s="829" t="str">
        <f t="shared" si="0"/>
        <v/>
      </c>
      <c r="P30" s="256"/>
      <c r="Q30" s="256"/>
      <c r="R30" s="256"/>
      <c r="S30" s="254"/>
      <c r="T30" s="254"/>
      <c r="U30" s="254"/>
      <c r="V30" s="254"/>
      <c r="W30" s="254"/>
      <c r="Y30" s="246" t="str">
        <f t="shared" si="1"/>
        <v/>
      </c>
      <c r="Z30" s="247" t="str">
        <f t="shared" si="2"/>
        <v/>
      </c>
      <c r="AA30" s="246" t="str">
        <f t="shared" si="3"/>
        <v/>
      </c>
    </row>
    <row r="31" spans="1:27" ht="18" customHeight="1" x14ac:dyDescent="0.25">
      <c r="A31" s="248" t="str">
        <f t="shared" si="4"/>
        <v/>
      </c>
      <c r="B31" s="249" t="str">
        <f t="shared" si="5"/>
        <v/>
      </c>
      <c r="C31" s="250"/>
      <c r="D31" s="251"/>
      <c r="E31" s="241"/>
      <c r="F31" s="252"/>
      <c r="G31" s="252"/>
      <c r="H31" s="253"/>
      <c r="I31" s="250"/>
      <c r="J31" s="250"/>
      <c r="K31" s="270"/>
      <c r="L31" s="250"/>
      <c r="M31" s="250"/>
      <c r="N31" s="540" t="str">
        <f>CONCATENATE(IF(OR(M31=phu!$I$1,M31=phu!$I$2,M31=phu!$I$3),"Cam Thành Nam",""),IF(OR(M31=phu!$I$4,M31=phu!$I$5,M31=phu!$I$6,M31=phu!$I$7,M31=phu!$I$8,M31=phu!$I$9,M31=phu!$I$10,M31=phu!$I$11,M31=phu!$I$12,M31=phu!$I$13,M31=phu!$I$14),"Cam Nghĩa",""),IF(OR(M31=phu!$I$15,M31=phu!$I$16,M31=phu!$I$17,M31=phu!$I$18,M31=phu!$I$19,M31=phu!$I$20,M31=phu!$I$21),"Cam Phúc Bắc",""),IF(OR(M31=phu!$I$22,M31=phu!$I$23,M31=phu!$I$24,M31=phu!$I$25),"Cam Phúc Nam",""),IF(OR(M31=phu!$I$26,M31=phu!$I$27,M31=phu!$I$28,M31=phu!$I$29,M31=phu!$I$30,M31=phu!$I$31),"Cam Phú",""),IF(OR(M31=phu!$I$32,M31=phu!$I$33,M31=phu!$I$34,M31=phu!$I$35,M31=phu!$I$36,M31=phu!$I$37),"Cam Lộc",""),IF(OR(M31=phu!$I$38,M31=phu!$I$39,M31=phu!$I$40,M31=phu!$I$41,M31=phu!$I$42,M31=phu!$I$43,M31=phu!$I$44),"Cam Thuận",""),IF(OR(M31=phu!$I$45,M31=phu!$I$46,M31=phu!$I$47,M31=phu!$I$48,M31=phu!$I$49,M31=phu!$I$50,M31=phu!$I$51,M31=phu!$I$52,M31=phu!$I$53),"Cam Linh",""),IF(OR(M31=phu!$I$54,M31=phu!$I$55,M31=phu!$I$56,M31=phu!$I$57,M31=phu!$I$58,M31=phu!$I$59,M31=phu!$I$60,M31=phu!$I$61,M31=phu!$I$62),"Cam Lợi",""),IF(OR(M31=phu!$I$63,M31=phu!$I$64,M31=phu!$I$65,M31=phu!$I$66,M31=phu!$I$67,M31=phu!$I$68,M31=phu!$I$69,M31=phu!$I$70,M31=phu!$I$71),"Ba Ngòi",""),IF(OR(M31=phu!$I$72,M31=phu!$I$73,M31=phu!$I$74,M31=phu!$I$75,M31=phu!$I$76,M31=phu!$I$77,M31=phu!$I$78),"Cam Phước Đông",""),IF(OR(M31=phu!$I$79,M31=phu!$I$80,M31=phu!$I$81,M31=phu!$I$82,M31=phu!$I$83,M31=phu!$I$84),"Cam Thịnh Đông",""),IF(OR(M31=phu!$I$85,M31=phu!$I$86,M31=phu!$I$87,M31=phu!$I$88),"Cam Thịnh Tây",""),IF(OR(M31=phu!$I$89,M31=phu!$I$90),"Cam Lập",""),IF(OR(M31=phu!$I$91,M31=phu!$I$92,M31=phu!$I$93),"Cam Bình",""),IF(OR(M31=phu!$I$94,M31=phu!$I$95,M31=phu!$I$96,M31=phu!$I$97,M31=phu!$I$98,M31=phu!$I$99,M31=phu!$I$100),"Huyện khác",""),IF(OR(M31=phu!$I$101,M31=phu!$I$102),"Tỉnh khác",""))</f>
        <v/>
      </c>
      <c r="O31" s="829" t="str">
        <f t="shared" si="0"/>
        <v/>
      </c>
      <c r="P31" s="256"/>
      <c r="Q31" s="256"/>
      <c r="R31" s="256"/>
      <c r="S31" s="254"/>
      <c r="T31" s="254"/>
      <c r="U31" s="254"/>
      <c r="V31" s="254"/>
      <c r="W31" s="254"/>
      <c r="Y31" s="246" t="str">
        <f t="shared" si="1"/>
        <v/>
      </c>
      <c r="Z31" s="247" t="str">
        <f t="shared" si="2"/>
        <v/>
      </c>
      <c r="AA31" s="246" t="str">
        <f t="shared" si="3"/>
        <v/>
      </c>
    </row>
    <row r="32" spans="1:27" ht="18" customHeight="1" x14ac:dyDescent="0.25">
      <c r="A32" s="248" t="str">
        <f t="shared" si="4"/>
        <v/>
      </c>
      <c r="B32" s="249" t="str">
        <f t="shared" si="5"/>
        <v/>
      </c>
      <c r="C32" s="250"/>
      <c r="D32" s="251"/>
      <c r="E32" s="241"/>
      <c r="F32" s="252"/>
      <c r="G32" s="252"/>
      <c r="H32" s="253"/>
      <c r="I32" s="250"/>
      <c r="J32" s="250"/>
      <c r="K32" s="270"/>
      <c r="L32" s="250"/>
      <c r="M32" s="250"/>
      <c r="N32" s="540" t="str">
        <f>CONCATENATE(IF(OR(M32=phu!$I$1,M32=phu!$I$2,M32=phu!$I$3),"Cam Thành Nam",""),IF(OR(M32=phu!$I$4,M32=phu!$I$5,M32=phu!$I$6,M32=phu!$I$7,M32=phu!$I$8,M32=phu!$I$9,M32=phu!$I$10,M32=phu!$I$11,M32=phu!$I$12,M32=phu!$I$13,M32=phu!$I$14),"Cam Nghĩa",""),IF(OR(M32=phu!$I$15,M32=phu!$I$16,M32=phu!$I$17,M32=phu!$I$18,M32=phu!$I$19,M32=phu!$I$20,M32=phu!$I$21),"Cam Phúc Bắc",""),IF(OR(M32=phu!$I$22,M32=phu!$I$23,M32=phu!$I$24,M32=phu!$I$25),"Cam Phúc Nam",""),IF(OR(M32=phu!$I$26,M32=phu!$I$27,M32=phu!$I$28,M32=phu!$I$29,M32=phu!$I$30,M32=phu!$I$31),"Cam Phú",""),IF(OR(M32=phu!$I$32,M32=phu!$I$33,M32=phu!$I$34,M32=phu!$I$35,M32=phu!$I$36,M32=phu!$I$37),"Cam Lộc",""),IF(OR(M32=phu!$I$38,M32=phu!$I$39,M32=phu!$I$40,M32=phu!$I$41,M32=phu!$I$42,M32=phu!$I$43,M32=phu!$I$44),"Cam Thuận",""),IF(OR(M32=phu!$I$45,M32=phu!$I$46,M32=phu!$I$47,M32=phu!$I$48,M32=phu!$I$49,M32=phu!$I$50,M32=phu!$I$51,M32=phu!$I$52,M32=phu!$I$53),"Cam Linh",""),IF(OR(M32=phu!$I$54,M32=phu!$I$55,M32=phu!$I$56,M32=phu!$I$57,M32=phu!$I$58,M32=phu!$I$59,M32=phu!$I$60,M32=phu!$I$61,M32=phu!$I$62),"Cam Lợi",""),IF(OR(M32=phu!$I$63,M32=phu!$I$64,M32=phu!$I$65,M32=phu!$I$66,M32=phu!$I$67,M32=phu!$I$68,M32=phu!$I$69,M32=phu!$I$70,M32=phu!$I$71),"Ba Ngòi",""),IF(OR(M32=phu!$I$72,M32=phu!$I$73,M32=phu!$I$74,M32=phu!$I$75,M32=phu!$I$76,M32=phu!$I$77,M32=phu!$I$78),"Cam Phước Đông",""),IF(OR(M32=phu!$I$79,M32=phu!$I$80,M32=phu!$I$81,M32=phu!$I$82,M32=phu!$I$83,M32=phu!$I$84),"Cam Thịnh Đông",""),IF(OR(M32=phu!$I$85,M32=phu!$I$86,M32=phu!$I$87,M32=phu!$I$88),"Cam Thịnh Tây",""),IF(OR(M32=phu!$I$89,M32=phu!$I$90),"Cam Lập",""),IF(OR(M32=phu!$I$91,M32=phu!$I$92,M32=phu!$I$93),"Cam Bình",""),IF(OR(M32=phu!$I$94,M32=phu!$I$95,M32=phu!$I$96,M32=phu!$I$97,M32=phu!$I$98,M32=phu!$I$99,M32=phu!$I$100),"Huyện khác",""),IF(OR(M32=phu!$I$101,M32=phu!$I$102),"Tỉnh khác",""))</f>
        <v/>
      </c>
      <c r="O32" s="829" t="str">
        <f t="shared" si="0"/>
        <v/>
      </c>
      <c r="P32" s="256"/>
      <c r="Q32" s="256"/>
      <c r="R32" s="256"/>
      <c r="S32" s="254"/>
      <c r="T32" s="254"/>
      <c r="U32" s="254"/>
      <c r="V32" s="254"/>
      <c r="W32" s="254"/>
      <c r="Y32" s="246" t="str">
        <f t="shared" si="1"/>
        <v/>
      </c>
      <c r="Z32" s="247" t="str">
        <f t="shared" si="2"/>
        <v/>
      </c>
      <c r="AA32" s="246" t="str">
        <f t="shared" si="3"/>
        <v/>
      </c>
    </row>
    <row r="33" spans="1:27" ht="18" customHeight="1" x14ac:dyDescent="0.25">
      <c r="A33" s="248" t="str">
        <f t="shared" si="4"/>
        <v/>
      </c>
      <c r="B33" s="249" t="str">
        <f t="shared" si="5"/>
        <v/>
      </c>
      <c r="C33" s="250"/>
      <c r="D33" s="251"/>
      <c r="E33" s="241"/>
      <c r="F33" s="252"/>
      <c r="G33" s="252"/>
      <c r="H33" s="253"/>
      <c r="I33" s="250"/>
      <c r="J33" s="250"/>
      <c r="K33" s="270"/>
      <c r="L33" s="250"/>
      <c r="M33" s="250"/>
      <c r="N33" s="540" t="str">
        <f>CONCATENATE(IF(OR(M33=phu!$I$1,M33=phu!$I$2,M33=phu!$I$3),"Cam Thành Nam",""),IF(OR(M33=phu!$I$4,M33=phu!$I$5,M33=phu!$I$6,M33=phu!$I$7,M33=phu!$I$8,M33=phu!$I$9,M33=phu!$I$10,M33=phu!$I$11,M33=phu!$I$12,M33=phu!$I$13,M33=phu!$I$14),"Cam Nghĩa",""),IF(OR(M33=phu!$I$15,M33=phu!$I$16,M33=phu!$I$17,M33=phu!$I$18,M33=phu!$I$19,M33=phu!$I$20,M33=phu!$I$21),"Cam Phúc Bắc",""),IF(OR(M33=phu!$I$22,M33=phu!$I$23,M33=phu!$I$24,M33=phu!$I$25),"Cam Phúc Nam",""),IF(OR(M33=phu!$I$26,M33=phu!$I$27,M33=phu!$I$28,M33=phu!$I$29,M33=phu!$I$30,M33=phu!$I$31),"Cam Phú",""),IF(OR(M33=phu!$I$32,M33=phu!$I$33,M33=phu!$I$34,M33=phu!$I$35,M33=phu!$I$36,M33=phu!$I$37),"Cam Lộc",""),IF(OR(M33=phu!$I$38,M33=phu!$I$39,M33=phu!$I$40,M33=phu!$I$41,M33=phu!$I$42,M33=phu!$I$43,M33=phu!$I$44),"Cam Thuận",""),IF(OR(M33=phu!$I$45,M33=phu!$I$46,M33=phu!$I$47,M33=phu!$I$48,M33=phu!$I$49,M33=phu!$I$50,M33=phu!$I$51,M33=phu!$I$52,M33=phu!$I$53),"Cam Linh",""),IF(OR(M33=phu!$I$54,M33=phu!$I$55,M33=phu!$I$56,M33=phu!$I$57,M33=phu!$I$58,M33=phu!$I$59,M33=phu!$I$60,M33=phu!$I$61,M33=phu!$I$62),"Cam Lợi",""),IF(OR(M33=phu!$I$63,M33=phu!$I$64,M33=phu!$I$65,M33=phu!$I$66,M33=phu!$I$67,M33=phu!$I$68,M33=phu!$I$69,M33=phu!$I$70,M33=phu!$I$71),"Ba Ngòi",""),IF(OR(M33=phu!$I$72,M33=phu!$I$73,M33=phu!$I$74,M33=phu!$I$75,M33=phu!$I$76,M33=phu!$I$77,M33=phu!$I$78),"Cam Phước Đông",""),IF(OR(M33=phu!$I$79,M33=phu!$I$80,M33=phu!$I$81,M33=phu!$I$82,M33=phu!$I$83,M33=phu!$I$84),"Cam Thịnh Đông",""),IF(OR(M33=phu!$I$85,M33=phu!$I$86,M33=phu!$I$87,M33=phu!$I$88),"Cam Thịnh Tây",""),IF(OR(M33=phu!$I$89,M33=phu!$I$90),"Cam Lập",""),IF(OR(M33=phu!$I$91,M33=phu!$I$92,M33=phu!$I$93),"Cam Bình",""),IF(OR(M33=phu!$I$94,M33=phu!$I$95,M33=phu!$I$96,M33=phu!$I$97,M33=phu!$I$98,M33=phu!$I$99,M33=phu!$I$100),"Huyện khác",""),IF(OR(M33=phu!$I$101,M33=phu!$I$102),"Tỉnh khác",""))</f>
        <v/>
      </c>
      <c r="O33" s="829" t="str">
        <f t="shared" si="0"/>
        <v/>
      </c>
      <c r="P33" s="256"/>
      <c r="Q33" s="256"/>
      <c r="R33" s="256"/>
      <c r="S33" s="254"/>
      <c r="T33" s="254"/>
      <c r="U33" s="254"/>
      <c r="V33" s="254"/>
      <c r="W33" s="254"/>
      <c r="Y33" s="246" t="str">
        <f t="shared" si="1"/>
        <v/>
      </c>
      <c r="Z33" s="247" t="str">
        <f t="shared" si="2"/>
        <v/>
      </c>
      <c r="AA33" s="246" t="str">
        <f t="shared" si="3"/>
        <v/>
      </c>
    </row>
    <row r="34" spans="1:27" ht="18" customHeight="1" x14ac:dyDescent="0.25">
      <c r="A34" s="248" t="str">
        <f t="shared" si="4"/>
        <v/>
      </c>
      <c r="B34" s="249" t="str">
        <f t="shared" si="5"/>
        <v/>
      </c>
      <c r="C34" s="250"/>
      <c r="D34" s="251"/>
      <c r="E34" s="241"/>
      <c r="F34" s="252"/>
      <c r="G34" s="252"/>
      <c r="H34" s="253"/>
      <c r="I34" s="250"/>
      <c r="J34" s="250"/>
      <c r="K34" s="270"/>
      <c r="L34" s="250"/>
      <c r="M34" s="250"/>
      <c r="N34" s="540" t="str">
        <f>CONCATENATE(IF(OR(M34=phu!$I$1,M34=phu!$I$2,M34=phu!$I$3),"Cam Thành Nam",""),IF(OR(M34=phu!$I$4,M34=phu!$I$5,M34=phu!$I$6,M34=phu!$I$7,M34=phu!$I$8,M34=phu!$I$9,M34=phu!$I$10,M34=phu!$I$11,M34=phu!$I$12,M34=phu!$I$13,M34=phu!$I$14),"Cam Nghĩa",""),IF(OR(M34=phu!$I$15,M34=phu!$I$16,M34=phu!$I$17,M34=phu!$I$18,M34=phu!$I$19,M34=phu!$I$20,M34=phu!$I$21),"Cam Phúc Bắc",""),IF(OR(M34=phu!$I$22,M34=phu!$I$23,M34=phu!$I$24,M34=phu!$I$25),"Cam Phúc Nam",""),IF(OR(M34=phu!$I$26,M34=phu!$I$27,M34=phu!$I$28,M34=phu!$I$29,M34=phu!$I$30,M34=phu!$I$31),"Cam Phú",""),IF(OR(M34=phu!$I$32,M34=phu!$I$33,M34=phu!$I$34,M34=phu!$I$35,M34=phu!$I$36,M34=phu!$I$37),"Cam Lộc",""),IF(OR(M34=phu!$I$38,M34=phu!$I$39,M34=phu!$I$40,M34=phu!$I$41,M34=phu!$I$42,M34=phu!$I$43,M34=phu!$I$44),"Cam Thuận",""),IF(OR(M34=phu!$I$45,M34=phu!$I$46,M34=phu!$I$47,M34=phu!$I$48,M34=phu!$I$49,M34=phu!$I$50,M34=phu!$I$51,M34=phu!$I$52,M34=phu!$I$53),"Cam Linh",""),IF(OR(M34=phu!$I$54,M34=phu!$I$55,M34=phu!$I$56,M34=phu!$I$57,M34=phu!$I$58,M34=phu!$I$59,M34=phu!$I$60,M34=phu!$I$61,M34=phu!$I$62),"Cam Lợi",""),IF(OR(M34=phu!$I$63,M34=phu!$I$64,M34=phu!$I$65,M34=phu!$I$66,M34=phu!$I$67,M34=phu!$I$68,M34=phu!$I$69,M34=phu!$I$70,M34=phu!$I$71),"Ba Ngòi",""),IF(OR(M34=phu!$I$72,M34=phu!$I$73,M34=phu!$I$74,M34=phu!$I$75,M34=phu!$I$76,M34=phu!$I$77,M34=phu!$I$78),"Cam Phước Đông",""),IF(OR(M34=phu!$I$79,M34=phu!$I$80,M34=phu!$I$81,M34=phu!$I$82,M34=phu!$I$83,M34=phu!$I$84),"Cam Thịnh Đông",""),IF(OR(M34=phu!$I$85,M34=phu!$I$86,M34=phu!$I$87,M34=phu!$I$88),"Cam Thịnh Tây",""),IF(OR(M34=phu!$I$89,M34=phu!$I$90),"Cam Lập",""),IF(OR(M34=phu!$I$91,M34=phu!$I$92,M34=phu!$I$93),"Cam Bình",""),IF(OR(M34=phu!$I$94,M34=phu!$I$95,M34=phu!$I$96,M34=phu!$I$97,M34=phu!$I$98,M34=phu!$I$99,M34=phu!$I$100),"Huyện khác",""),IF(OR(M34=phu!$I$101,M34=phu!$I$102),"Tỉnh khác",""))</f>
        <v/>
      </c>
      <c r="O34" s="829" t="str">
        <f t="shared" si="0"/>
        <v/>
      </c>
      <c r="P34" s="256"/>
      <c r="Q34" s="256"/>
      <c r="R34" s="256"/>
      <c r="S34" s="254"/>
      <c r="T34" s="254"/>
      <c r="U34" s="254"/>
      <c r="V34" s="254"/>
      <c r="W34" s="254"/>
      <c r="Y34" s="246" t="str">
        <f t="shared" si="1"/>
        <v/>
      </c>
      <c r="Z34" s="247" t="str">
        <f t="shared" si="2"/>
        <v/>
      </c>
      <c r="AA34" s="246" t="str">
        <f t="shared" si="3"/>
        <v/>
      </c>
    </row>
    <row r="35" spans="1:27" ht="18" customHeight="1" x14ac:dyDescent="0.25">
      <c r="A35" s="248" t="str">
        <f t="shared" si="4"/>
        <v/>
      </c>
      <c r="B35" s="249" t="str">
        <f t="shared" si="5"/>
        <v/>
      </c>
      <c r="C35" s="250"/>
      <c r="D35" s="251"/>
      <c r="E35" s="241"/>
      <c r="F35" s="252"/>
      <c r="G35" s="252"/>
      <c r="H35" s="253"/>
      <c r="I35" s="250"/>
      <c r="J35" s="250"/>
      <c r="K35" s="270"/>
      <c r="L35" s="250"/>
      <c r="M35" s="250"/>
      <c r="N35" s="540" t="str">
        <f>CONCATENATE(IF(OR(M35=phu!$I$1,M35=phu!$I$2,M35=phu!$I$3),"Cam Thành Nam",""),IF(OR(M35=phu!$I$4,M35=phu!$I$5,M35=phu!$I$6,M35=phu!$I$7,M35=phu!$I$8,M35=phu!$I$9,M35=phu!$I$10,M35=phu!$I$11,M35=phu!$I$12,M35=phu!$I$13,M35=phu!$I$14),"Cam Nghĩa",""),IF(OR(M35=phu!$I$15,M35=phu!$I$16,M35=phu!$I$17,M35=phu!$I$18,M35=phu!$I$19,M35=phu!$I$20,M35=phu!$I$21),"Cam Phúc Bắc",""),IF(OR(M35=phu!$I$22,M35=phu!$I$23,M35=phu!$I$24,M35=phu!$I$25),"Cam Phúc Nam",""),IF(OR(M35=phu!$I$26,M35=phu!$I$27,M35=phu!$I$28,M35=phu!$I$29,M35=phu!$I$30,M35=phu!$I$31),"Cam Phú",""),IF(OR(M35=phu!$I$32,M35=phu!$I$33,M35=phu!$I$34,M35=phu!$I$35,M35=phu!$I$36,M35=phu!$I$37),"Cam Lộc",""),IF(OR(M35=phu!$I$38,M35=phu!$I$39,M35=phu!$I$40,M35=phu!$I$41,M35=phu!$I$42,M35=phu!$I$43,M35=phu!$I$44),"Cam Thuận",""),IF(OR(M35=phu!$I$45,M35=phu!$I$46,M35=phu!$I$47,M35=phu!$I$48,M35=phu!$I$49,M35=phu!$I$50,M35=phu!$I$51,M35=phu!$I$52,M35=phu!$I$53),"Cam Linh",""),IF(OR(M35=phu!$I$54,M35=phu!$I$55,M35=phu!$I$56,M35=phu!$I$57,M35=phu!$I$58,M35=phu!$I$59,M35=phu!$I$60,M35=phu!$I$61,M35=phu!$I$62),"Cam Lợi",""),IF(OR(M35=phu!$I$63,M35=phu!$I$64,M35=phu!$I$65,M35=phu!$I$66,M35=phu!$I$67,M35=phu!$I$68,M35=phu!$I$69,M35=phu!$I$70,M35=phu!$I$71),"Ba Ngòi",""),IF(OR(M35=phu!$I$72,M35=phu!$I$73,M35=phu!$I$74,M35=phu!$I$75,M35=phu!$I$76,M35=phu!$I$77,M35=phu!$I$78),"Cam Phước Đông",""),IF(OR(M35=phu!$I$79,M35=phu!$I$80,M35=phu!$I$81,M35=phu!$I$82,M35=phu!$I$83,M35=phu!$I$84),"Cam Thịnh Đông",""),IF(OR(M35=phu!$I$85,M35=phu!$I$86,M35=phu!$I$87,M35=phu!$I$88),"Cam Thịnh Tây",""),IF(OR(M35=phu!$I$89,M35=phu!$I$90),"Cam Lập",""),IF(OR(M35=phu!$I$91,M35=phu!$I$92,M35=phu!$I$93),"Cam Bình",""),IF(OR(M35=phu!$I$94,M35=phu!$I$95,M35=phu!$I$96,M35=phu!$I$97,M35=phu!$I$98,M35=phu!$I$99,M35=phu!$I$100),"Huyện khác",""),IF(OR(M35=phu!$I$101,M35=phu!$I$102),"Tỉnh khác",""))</f>
        <v/>
      </c>
      <c r="O35" s="829" t="str">
        <f t="shared" si="0"/>
        <v/>
      </c>
      <c r="P35" s="256"/>
      <c r="Q35" s="256"/>
      <c r="R35" s="256"/>
      <c r="S35" s="254"/>
      <c r="T35" s="254"/>
      <c r="U35" s="254"/>
      <c r="V35" s="254"/>
      <c r="W35" s="254"/>
      <c r="Y35" s="246" t="str">
        <f t="shared" si="1"/>
        <v/>
      </c>
      <c r="Z35" s="247" t="str">
        <f t="shared" si="2"/>
        <v/>
      </c>
      <c r="AA35" s="246" t="str">
        <f t="shared" si="3"/>
        <v/>
      </c>
    </row>
    <row r="36" spans="1:27" ht="18" customHeight="1" x14ac:dyDescent="0.25">
      <c r="A36" s="248" t="str">
        <f t="shared" si="4"/>
        <v/>
      </c>
      <c r="B36" s="249" t="str">
        <f t="shared" si="5"/>
        <v/>
      </c>
      <c r="C36" s="250"/>
      <c r="D36" s="251"/>
      <c r="E36" s="241"/>
      <c r="F36" s="252"/>
      <c r="G36" s="252"/>
      <c r="H36" s="253"/>
      <c r="I36" s="250"/>
      <c r="J36" s="250"/>
      <c r="K36" s="270"/>
      <c r="L36" s="250"/>
      <c r="M36" s="250"/>
      <c r="N36" s="540" t="str">
        <f>CONCATENATE(IF(OR(M36=phu!$I$1,M36=phu!$I$2,M36=phu!$I$3),"Cam Thành Nam",""),IF(OR(M36=phu!$I$4,M36=phu!$I$5,M36=phu!$I$6,M36=phu!$I$7,M36=phu!$I$8,M36=phu!$I$9,M36=phu!$I$10,M36=phu!$I$11,M36=phu!$I$12,M36=phu!$I$13,M36=phu!$I$14),"Cam Nghĩa",""),IF(OR(M36=phu!$I$15,M36=phu!$I$16,M36=phu!$I$17,M36=phu!$I$18,M36=phu!$I$19,M36=phu!$I$20,M36=phu!$I$21),"Cam Phúc Bắc",""),IF(OR(M36=phu!$I$22,M36=phu!$I$23,M36=phu!$I$24,M36=phu!$I$25),"Cam Phúc Nam",""),IF(OR(M36=phu!$I$26,M36=phu!$I$27,M36=phu!$I$28,M36=phu!$I$29,M36=phu!$I$30,M36=phu!$I$31),"Cam Phú",""),IF(OR(M36=phu!$I$32,M36=phu!$I$33,M36=phu!$I$34,M36=phu!$I$35,M36=phu!$I$36,M36=phu!$I$37),"Cam Lộc",""),IF(OR(M36=phu!$I$38,M36=phu!$I$39,M36=phu!$I$40,M36=phu!$I$41,M36=phu!$I$42,M36=phu!$I$43,M36=phu!$I$44),"Cam Thuận",""),IF(OR(M36=phu!$I$45,M36=phu!$I$46,M36=phu!$I$47,M36=phu!$I$48,M36=phu!$I$49,M36=phu!$I$50,M36=phu!$I$51,M36=phu!$I$52,M36=phu!$I$53),"Cam Linh",""),IF(OR(M36=phu!$I$54,M36=phu!$I$55,M36=phu!$I$56,M36=phu!$I$57,M36=phu!$I$58,M36=phu!$I$59,M36=phu!$I$60,M36=phu!$I$61,M36=phu!$I$62),"Cam Lợi",""),IF(OR(M36=phu!$I$63,M36=phu!$I$64,M36=phu!$I$65,M36=phu!$I$66,M36=phu!$I$67,M36=phu!$I$68,M36=phu!$I$69,M36=phu!$I$70,M36=phu!$I$71),"Ba Ngòi",""),IF(OR(M36=phu!$I$72,M36=phu!$I$73,M36=phu!$I$74,M36=phu!$I$75,M36=phu!$I$76,M36=phu!$I$77,M36=phu!$I$78),"Cam Phước Đông",""),IF(OR(M36=phu!$I$79,M36=phu!$I$80,M36=phu!$I$81,M36=phu!$I$82,M36=phu!$I$83,M36=phu!$I$84),"Cam Thịnh Đông",""),IF(OR(M36=phu!$I$85,M36=phu!$I$86,M36=phu!$I$87,M36=phu!$I$88),"Cam Thịnh Tây",""),IF(OR(M36=phu!$I$89,M36=phu!$I$90),"Cam Lập",""),IF(OR(M36=phu!$I$91,M36=phu!$I$92,M36=phu!$I$93),"Cam Bình",""),IF(OR(M36=phu!$I$94,M36=phu!$I$95,M36=phu!$I$96,M36=phu!$I$97,M36=phu!$I$98,M36=phu!$I$99,M36=phu!$I$100),"Huyện khác",""),IF(OR(M36=phu!$I$101,M36=phu!$I$102),"Tỉnh khác",""))</f>
        <v/>
      </c>
      <c r="O36" s="829" t="str">
        <f t="shared" si="0"/>
        <v/>
      </c>
      <c r="P36" s="256"/>
      <c r="Q36" s="256"/>
      <c r="R36" s="256"/>
      <c r="S36" s="254"/>
      <c r="T36" s="254"/>
      <c r="U36" s="254"/>
      <c r="V36" s="254"/>
      <c r="W36" s="254"/>
      <c r="Y36" s="246" t="str">
        <f t="shared" si="1"/>
        <v/>
      </c>
      <c r="Z36" s="247" t="str">
        <f t="shared" si="2"/>
        <v/>
      </c>
      <c r="AA36" s="246" t="str">
        <f t="shared" si="3"/>
        <v/>
      </c>
    </row>
    <row r="37" spans="1:27" ht="18" customHeight="1" x14ac:dyDescent="0.25">
      <c r="A37" s="248" t="str">
        <f t="shared" si="4"/>
        <v/>
      </c>
      <c r="B37" s="249" t="str">
        <f t="shared" si="5"/>
        <v/>
      </c>
      <c r="C37" s="250"/>
      <c r="D37" s="251"/>
      <c r="E37" s="241"/>
      <c r="F37" s="252"/>
      <c r="G37" s="252"/>
      <c r="H37" s="253"/>
      <c r="I37" s="250"/>
      <c r="J37" s="250"/>
      <c r="K37" s="270"/>
      <c r="L37" s="250"/>
      <c r="M37" s="250"/>
      <c r="N37" s="540" t="str">
        <f>CONCATENATE(IF(OR(M37=phu!$I$1,M37=phu!$I$2,M37=phu!$I$3),"Cam Thành Nam",""),IF(OR(M37=phu!$I$4,M37=phu!$I$5,M37=phu!$I$6,M37=phu!$I$7,M37=phu!$I$8,M37=phu!$I$9,M37=phu!$I$10,M37=phu!$I$11,M37=phu!$I$12,M37=phu!$I$13,M37=phu!$I$14),"Cam Nghĩa",""),IF(OR(M37=phu!$I$15,M37=phu!$I$16,M37=phu!$I$17,M37=phu!$I$18,M37=phu!$I$19,M37=phu!$I$20,M37=phu!$I$21),"Cam Phúc Bắc",""),IF(OR(M37=phu!$I$22,M37=phu!$I$23,M37=phu!$I$24,M37=phu!$I$25),"Cam Phúc Nam",""),IF(OR(M37=phu!$I$26,M37=phu!$I$27,M37=phu!$I$28,M37=phu!$I$29,M37=phu!$I$30,M37=phu!$I$31),"Cam Phú",""),IF(OR(M37=phu!$I$32,M37=phu!$I$33,M37=phu!$I$34,M37=phu!$I$35,M37=phu!$I$36,M37=phu!$I$37),"Cam Lộc",""),IF(OR(M37=phu!$I$38,M37=phu!$I$39,M37=phu!$I$40,M37=phu!$I$41,M37=phu!$I$42,M37=phu!$I$43,M37=phu!$I$44),"Cam Thuận",""),IF(OR(M37=phu!$I$45,M37=phu!$I$46,M37=phu!$I$47,M37=phu!$I$48,M37=phu!$I$49,M37=phu!$I$50,M37=phu!$I$51,M37=phu!$I$52,M37=phu!$I$53),"Cam Linh",""),IF(OR(M37=phu!$I$54,M37=phu!$I$55,M37=phu!$I$56,M37=phu!$I$57,M37=phu!$I$58,M37=phu!$I$59,M37=phu!$I$60,M37=phu!$I$61,M37=phu!$I$62),"Cam Lợi",""),IF(OR(M37=phu!$I$63,M37=phu!$I$64,M37=phu!$I$65,M37=phu!$I$66,M37=phu!$I$67,M37=phu!$I$68,M37=phu!$I$69,M37=phu!$I$70,M37=phu!$I$71),"Ba Ngòi",""),IF(OR(M37=phu!$I$72,M37=phu!$I$73,M37=phu!$I$74,M37=phu!$I$75,M37=phu!$I$76,M37=phu!$I$77,M37=phu!$I$78),"Cam Phước Đông",""),IF(OR(M37=phu!$I$79,M37=phu!$I$80,M37=phu!$I$81,M37=phu!$I$82,M37=phu!$I$83,M37=phu!$I$84),"Cam Thịnh Đông",""),IF(OR(M37=phu!$I$85,M37=phu!$I$86,M37=phu!$I$87,M37=phu!$I$88),"Cam Thịnh Tây",""),IF(OR(M37=phu!$I$89,M37=phu!$I$90),"Cam Lập",""),IF(OR(M37=phu!$I$91,M37=phu!$I$92,M37=phu!$I$93),"Cam Bình",""),IF(OR(M37=phu!$I$94,M37=phu!$I$95,M37=phu!$I$96,M37=phu!$I$97,M37=phu!$I$98,M37=phu!$I$99,M37=phu!$I$100),"Huyện khác",""),IF(OR(M37=phu!$I$101,M37=phu!$I$102),"Tỉnh khác",""))</f>
        <v/>
      </c>
      <c r="O37" s="829" t="str">
        <f t="shared" si="0"/>
        <v/>
      </c>
      <c r="P37" s="256"/>
      <c r="Q37" s="256"/>
      <c r="R37" s="256"/>
      <c r="S37" s="254"/>
      <c r="T37" s="254"/>
      <c r="U37" s="254"/>
      <c r="V37" s="254"/>
      <c r="W37" s="254"/>
      <c r="Y37" s="246" t="str">
        <f t="shared" si="1"/>
        <v/>
      </c>
      <c r="Z37" s="247" t="str">
        <f t="shared" si="2"/>
        <v/>
      </c>
      <c r="AA37" s="246" t="str">
        <f t="shared" si="3"/>
        <v/>
      </c>
    </row>
    <row r="38" spans="1:27" ht="18" customHeight="1" x14ac:dyDescent="0.25">
      <c r="A38" s="248" t="str">
        <f t="shared" si="4"/>
        <v/>
      </c>
      <c r="B38" s="249" t="str">
        <f t="shared" si="5"/>
        <v/>
      </c>
      <c r="C38" s="250"/>
      <c r="D38" s="251"/>
      <c r="E38" s="241"/>
      <c r="F38" s="252"/>
      <c r="G38" s="252"/>
      <c r="H38" s="253"/>
      <c r="I38" s="250"/>
      <c r="J38" s="250"/>
      <c r="K38" s="270"/>
      <c r="L38" s="250"/>
      <c r="M38" s="250"/>
      <c r="N38" s="540" t="str">
        <f>CONCATENATE(IF(OR(M38=phu!$I$1,M38=phu!$I$2,M38=phu!$I$3),"Cam Thành Nam",""),IF(OR(M38=phu!$I$4,M38=phu!$I$5,M38=phu!$I$6,M38=phu!$I$7,M38=phu!$I$8,M38=phu!$I$9,M38=phu!$I$10,M38=phu!$I$11,M38=phu!$I$12,M38=phu!$I$13,M38=phu!$I$14),"Cam Nghĩa",""),IF(OR(M38=phu!$I$15,M38=phu!$I$16,M38=phu!$I$17,M38=phu!$I$18,M38=phu!$I$19,M38=phu!$I$20,M38=phu!$I$21),"Cam Phúc Bắc",""),IF(OR(M38=phu!$I$22,M38=phu!$I$23,M38=phu!$I$24,M38=phu!$I$25),"Cam Phúc Nam",""),IF(OR(M38=phu!$I$26,M38=phu!$I$27,M38=phu!$I$28,M38=phu!$I$29,M38=phu!$I$30,M38=phu!$I$31),"Cam Phú",""),IF(OR(M38=phu!$I$32,M38=phu!$I$33,M38=phu!$I$34,M38=phu!$I$35,M38=phu!$I$36,M38=phu!$I$37),"Cam Lộc",""),IF(OR(M38=phu!$I$38,M38=phu!$I$39,M38=phu!$I$40,M38=phu!$I$41,M38=phu!$I$42,M38=phu!$I$43,M38=phu!$I$44),"Cam Thuận",""),IF(OR(M38=phu!$I$45,M38=phu!$I$46,M38=phu!$I$47,M38=phu!$I$48,M38=phu!$I$49,M38=phu!$I$50,M38=phu!$I$51,M38=phu!$I$52,M38=phu!$I$53),"Cam Linh",""),IF(OR(M38=phu!$I$54,M38=phu!$I$55,M38=phu!$I$56,M38=phu!$I$57,M38=phu!$I$58,M38=phu!$I$59,M38=phu!$I$60,M38=phu!$I$61,M38=phu!$I$62),"Cam Lợi",""),IF(OR(M38=phu!$I$63,M38=phu!$I$64,M38=phu!$I$65,M38=phu!$I$66,M38=phu!$I$67,M38=phu!$I$68,M38=phu!$I$69,M38=phu!$I$70,M38=phu!$I$71),"Ba Ngòi",""),IF(OR(M38=phu!$I$72,M38=phu!$I$73,M38=phu!$I$74,M38=phu!$I$75,M38=phu!$I$76,M38=phu!$I$77,M38=phu!$I$78),"Cam Phước Đông",""),IF(OR(M38=phu!$I$79,M38=phu!$I$80,M38=phu!$I$81,M38=phu!$I$82,M38=phu!$I$83,M38=phu!$I$84),"Cam Thịnh Đông",""),IF(OR(M38=phu!$I$85,M38=phu!$I$86,M38=phu!$I$87,M38=phu!$I$88),"Cam Thịnh Tây",""),IF(OR(M38=phu!$I$89,M38=phu!$I$90),"Cam Lập",""),IF(OR(M38=phu!$I$91,M38=phu!$I$92,M38=phu!$I$93),"Cam Bình",""),IF(OR(M38=phu!$I$94,M38=phu!$I$95,M38=phu!$I$96,M38=phu!$I$97,M38=phu!$I$98,M38=phu!$I$99,M38=phu!$I$100),"Huyện khác",""),IF(OR(M38=phu!$I$101,M38=phu!$I$102),"Tỉnh khác",""))</f>
        <v/>
      </c>
      <c r="O38" s="829" t="str">
        <f t="shared" si="0"/>
        <v/>
      </c>
      <c r="P38" s="256"/>
      <c r="Q38" s="256"/>
      <c r="R38" s="256"/>
      <c r="S38" s="254"/>
      <c r="T38" s="254"/>
      <c r="U38" s="254"/>
      <c r="V38" s="254"/>
      <c r="W38" s="254"/>
      <c r="Y38" s="246" t="str">
        <f t="shared" si="1"/>
        <v/>
      </c>
      <c r="Z38" s="247" t="str">
        <f t="shared" si="2"/>
        <v/>
      </c>
      <c r="AA38" s="246" t="str">
        <f t="shared" si="3"/>
        <v/>
      </c>
    </row>
    <row r="39" spans="1:27" ht="18" customHeight="1" x14ac:dyDescent="0.25">
      <c r="A39" s="248" t="str">
        <f t="shared" si="4"/>
        <v/>
      </c>
      <c r="B39" s="249" t="str">
        <f t="shared" si="5"/>
        <v/>
      </c>
      <c r="C39" s="250"/>
      <c r="D39" s="251"/>
      <c r="E39" s="241"/>
      <c r="F39" s="252"/>
      <c r="G39" s="252"/>
      <c r="H39" s="253"/>
      <c r="I39" s="250"/>
      <c r="J39" s="250"/>
      <c r="K39" s="270"/>
      <c r="L39" s="250"/>
      <c r="M39" s="250"/>
      <c r="N39" s="540" t="str">
        <f>CONCATENATE(IF(OR(M39=phu!$I$1,M39=phu!$I$2,M39=phu!$I$3),"Cam Thành Nam",""),IF(OR(M39=phu!$I$4,M39=phu!$I$5,M39=phu!$I$6,M39=phu!$I$7,M39=phu!$I$8,M39=phu!$I$9,M39=phu!$I$10,M39=phu!$I$11,M39=phu!$I$12,M39=phu!$I$13,M39=phu!$I$14),"Cam Nghĩa",""),IF(OR(M39=phu!$I$15,M39=phu!$I$16,M39=phu!$I$17,M39=phu!$I$18,M39=phu!$I$19,M39=phu!$I$20,M39=phu!$I$21),"Cam Phúc Bắc",""),IF(OR(M39=phu!$I$22,M39=phu!$I$23,M39=phu!$I$24,M39=phu!$I$25),"Cam Phúc Nam",""),IF(OR(M39=phu!$I$26,M39=phu!$I$27,M39=phu!$I$28,M39=phu!$I$29,M39=phu!$I$30,M39=phu!$I$31),"Cam Phú",""),IF(OR(M39=phu!$I$32,M39=phu!$I$33,M39=phu!$I$34,M39=phu!$I$35,M39=phu!$I$36,M39=phu!$I$37),"Cam Lộc",""),IF(OR(M39=phu!$I$38,M39=phu!$I$39,M39=phu!$I$40,M39=phu!$I$41,M39=phu!$I$42,M39=phu!$I$43,M39=phu!$I$44),"Cam Thuận",""),IF(OR(M39=phu!$I$45,M39=phu!$I$46,M39=phu!$I$47,M39=phu!$I$48,M39=phu!$I$49,M39=phu!$I$50,M39=phu!$I$51,M39=phu!$I$52,M39=phu!$I$53),"Cam Linh",""),IF(OR(M39=phu!$I$54,M39=phu!$I$55,M39=phu!$I$56,M39=phu!$I$57,M39=phu!$I$58,M39=phu!$I$59,M39=phu!$I$60,M39=phu!$I$61,M39=phu!$I$62),"Cam Lợi",""),IF(OR(M39=phu!$I$63,M39=phu!$I$64,M39=phu!$I$65,M39=phu!$I$66,M39=phu!$I$67,M39=phu!$I$68,M39=phu!$I$69,M39=phu!$I$70,M39=phu!$I$71),"Ba Ngòi",""),IF(OR(M39=phu!$I$72,M39=phu!$I$73,M39=phu!$I$74,M39=phu!$I$75,M39=phu!$I$76,M39=phu!$I$77,M39=phu!$I$78),"Cam Phước Đông",""),IF(OR(M39=phu!$I$79,M39=phu!$I$80,M39=phu!$I$81,M39=phu!$I$82,M39=phu!$I$83,M39=phu!$I$84),"Cam Thịnh Đông",""),IF(OR(M39=phu!$I$85,M39=phu!$I$86,M39=phu!$I$87,M39=phu!$I$88),"Cam Thịnh Tây",""),IF(OR(M39=phu!$I$89,M39=phu!$I$90),"Cam Lập",""),IF(OR(M39=phu!$I$91,M39=phu!$I$92,M39=phu!$I$93),"Cam Bình",""),IF(OR(M39=phu!$I$94,M39=phu!$I$95,M39=phu!$I$96,M39=phu!$I$97,M39=phu!$I$98,M39=phu!$I$99,M39=phu!$I$100),"Huyện khác",""),IF(OR(M39=phu!$I$101,M39=phu!$I$102),"Tỉnh khác",""))</f>
        <v/>
      </c>
      <c r="O39" s="829" t="str">
        <f t="shared" si="0"/>
        <v/>
      </c>
      <c r="P39" s="256"/>
      <c r="Q39" s="256"/>
      <c r="R39" s="256"/>
      <c r="S39" s="254"/>
      <c r="T39" s="254"/>
      <c r="U39" s="254"/>
      <c r="V39" s="254"/>
      <c r="W39" s="254"/>
      <c r="Y39" s="246" t="str">
        <f t="shared" si="1"/>
        <v/>
      </c>
      <c r="Z39" s="247" t="str">
        <f t="shared" si="2"/>
        <v/>
      </c>
      <c r="AA39" s="246" t="str">
        <f t="shared" si="3"/>
        <v/>
      </c>
    </row>
    <row r="40" spans="1:27" ht="18" customHeight="1" x14ac:dyDescent="0.25">
      <c r="A40" s="248" t="str">
        <f t="shared" si="4"/>
        <v/>
      </c>
      <c r="B40" s="249" t="str">
        <f t="shared" si="5"/>
        <v/>
      </c>
      <c r="C40" s="250"/>
      <c r="D40" s="251"/>
      <c r="E40" s="241"/>
      <c r="F40" s="252"/>
      <c r="G40" s="252"/>
      <c r="H40" s="253"/>
      <c r="I40" s="250"/>
      <c r="J40" s="250"/>
      <c r="K40" s="270"/>
      <c r="L40" s="250"/>
      <c r="M40" s="250"/>
      <c r="N40" s="540" t="str">
        <f>CONCATENATE(IF(OR(M40=phu!$I$1,M40=phu!$I$2,M40=phu!$I$3),"Cam Thành Nam",""),IF(OR(M40=phu!$I$4,M40=phu!$I$5,M40=phu!$I$6,M40=phu!$I$7,M40=phu!$I$8,M40=phu!$I$9,M40=phu!$I$10,M40=phu!$I$11,M40=phu!$I$12,M40=phu!$I$13,M40=phu!$I$14),"Cam Nghĩa",""),IF(OR(M40=phu!$I$15,M40=phu!$I$16,M40=phu!$I$17,M40=phu!$I$18,M40=phu!$I$19,M40=phu!$I$20,M40=phu!$I$21),"Cam Phúc Bắc",""),IF(OR(M40=phu!$I$22,M40=phu!$I$23,M40=phu!$I$24,M40=phu!$I$25),"Cam Phúc Nam",""),IF(OR(M40=phu!$I$26,M40=phu!$I$27,M40=phu!$I$28,M40=phu!$I$29,M40=phu!$I$30,M40=phu!$I$31),"Cam Phú",""),IF(OR(M40=phu!$I$32,M40=phu!$I$33,M40=phu!$I$34,M40=phu!$I$35,M40=phu!$I$36,M40=phu!$I$37),"Cam Lộc",""),IF(OR(M40=phu!$I$38,M40=phu!$I$39,M40=phu!$I$40,M40=phu!$I$41,M40=phu!$I$42,M40=phu!$I$43,M40=phu!$I$44),"Cam Thuận",""),IF(OR(M40=phu!$I$45,M40=phu!$I$46,M40=phu!$I$47,M40=phu!$I$48,M40=phu!$I$49,M40=phu!$I$50,M40=phu!$I$51,M40=phu!$I$52,M40=phu!$I$53),"Cam Linh",""),IF(OR(M40=phu!$I$54,M40=phu!$I$55,M40=phu!$I$56,M40=phu!$I$57,M40=phu!$I$58,M40=phu!$I$59,M40=phu!$I$60,M40=phu!$I$61,M40=phu!$I$62),"Cam Lợi",""),IF(OR(M40=phu!$I$63,M40=phu!$I$64,M40=phu!$I$65,M40=phu!$I$66,M40=phu!$I$67,M40=phu!$I$68,M40=phu!$I$69,M40=phu!$I$70,M40=phu!$I$71),"Ba Ngòi",""),IF(OR(M40=phu!$I$72,M40=phu!$I$73,M40=phu!$I$74,M40=phu!$I$75,M40=phu!$I$76,M40=phu!$I$77,M40=phu!$I$78),"Cam Phước Đông",""),IF(OR(M40=phu!$I$79,M40=phu!$I$80,M40=phu!$I$81,M40=phu!$I$82,M40=phu!$I$83,M40=phu!$I$84),"Cam Thịnh Đông",""),IF(OR(M40=phu!$I$85,M40=phu!$I$86,M40=phu!$I$87,M40=phu!$I$88),"Cam Thịnh Tây",""),IF(OR(M40=phu!$I$89,M40=phu!$I$90),"Cam Lập",""),IF(OR(M40=phu!$I$91,M40=phu!$I$92,M40=phu!$I$93),"Cam Bình",""),IF(OR(M40=phu!$I$94,M40=phu!$I$95,M40=phu!$I$96,M40=phu!$I$97,M40=phu!$I$98,M40=phu!$I$99,M40=phu!$I$100),"Huyện khác",""),IF(OR(M40=phu!$I$101,M40=phu!$I$102),"Tỉnh khác",""))</f>
        <v/>
      </c>
      <c r="O40" s="829" t="str">
        <f t="shared" si="0"/>
        <v/>
      </c>
      <c r="P40" s="256"/>
      <c r="Q40" s="256"/>
      <c r="R40" s="256"/>
      <c r="S40" s="254"/>
      <c r="T40" s="254"/>
      <c r="U40" s="254"/>
      <c r="V40" s="254"/>
      <c r="W40" s="254"/>
      <c r="Y40" s="246" t="str">
        <f t="shared" si="1"/>
        <v/>
      </c>
      <c r="Z40" s="247" t="str">
        <f t="shared" si="2"/>
        <v/>
      </c>
      <c r="AA40" s="246" t="str">
        <f t="shared" si="3"/>
        <v/>
      </c>
    </row>
    <row r="41" spans="1:27" ht="18" customHeight="1" x14ac:dyDescent="0.25">
      <c r="A41" s="248" t="str">
        <f t="shared" si="4"/>
        <v/>
      </c>
      <c r="B41" s="249" t="str">
        <f t="shared" si="5"/>
        <v/>
      </c>
      <c r="C41" s="250"/>
      <c r="D41" s="251"/>
      <c r="E41" s="241"/>
      <c r="F41" s="252"/>
      <c r="G41" s="252"/>
      <c r="H41" s="253"/>
      <c r="I41" s="250"/>
      <c r="J41" s="250"/>
      <c r="K41" s="270"/>
      <c r="L41" s="250"/>
      <c r="M41" s="250"/>
      <c r="N41" s="540" t="str">
        <f>CONCATENATE(IF(OR(M41=phu!$I$1,M41=phu!$I$2,M41=phu!$I$3),"Cam Thành Nam",""),IF(OR(M41=phu!$I$4,M41=phu!$I$5,M41=phu!$I$6,M41=phu!$I$7,M41=phu!$I$8,M41=phu!$I$9,M41=phu!$I$10,M41=phu!$I$11,M41=phu!$I$12,M41=phu!$I$13,M41=phu!$I$14),"Cam Nghĩa",""),IF(OR(M41=phu!$I$15,M41=phu!$I$16,M41=phu!$I$17,M41=phu!$I$18,M41=phu!$I$19,M41=phu!$I$20,M41=phu!$I$21),"Cam Phúc Bắc",""),IF(OR(M41=phu!$I$22,M41=phu!$I$23,M41=phu!$I$24,M41=phu!$I$25),"Cam Phúc Nam",""),IF(OR(M41=phu!$I$26,M41=phu!$I$27,M41=phu!$I$28,M41=phu!$I$29,M41=phu!$I$30,M41=phu!$I$31),"Cam Phú",""),IF(OR(M41=phu!$I$32,M41=phu!$I$33,M41=phu!$I$34,M41=phu!$I$35,M41=phu!$I$36,M41=phu!$I$37),"Cam Lộc",""),IF(OR(M41=phu!$I$38,M41=phu!$I$39,M41=phu!$I$40,M41=phu!$I$41,M41=phu!$I$42,M41=phu!$I$43,M41=phu!$I$44),"Cam Thuận",""),IF(OR(M41=phu!$I$45,M41=phu!$I$46,M41=phu!$I$47,M41=phu!$I$48,M41=phu!$I$49,M41=phu!$I$50,M41=phu!$I$51,M41=phu!$I$52,M41=phu!$I$53),"Cam Linh",""),IF(OR(M41=phu!$I$54,M41=phu!$I$55,M41=phu!$I$56,M41=phu!$I$57,M41=phu!$I$58,M41=phu!$I$59,M41=phu!$I$60,M41=phu!$I$61,M41=phu!$I$62),"Cam Lợi",""),IF(OR(M41=phu!$I$63,M41=phu!$I$64,M41=phu!$I$65,M41=phu!$I$66,M41=phu!$I$67,M41=phu!$I$68,M41=phu!$I$69,M41=phu!$I$70,M41=phu!$I$71),"Ba Ngòi",""),IF(OR(M41=phu!$I$72,M41=phu!$I$73,M41=phu!$I$74,M41=phu!$I$75,M41=phu!$I$76,M41=phu!$I$77,M41=phu!$I$78),"Cam Phước Đông",""),IF(OR(M41=phu!$I$79,M41=phu!$I$80,M41=phu!$I$81,M41=phu!$I$82,M41=phu!$I$83,M41=phu!$I$84),"Cam Thịnh Đông",""),IF(OR(M41=phu!$I$85,M41=phu!$I$86,M41=phu!$I$87,M41=phu!$I$88),"Cam Thịnh Tây",""),IF(OR(M41=phu!$I$89,M41=phu!$I$90),"Cam Lập",""),IF(OR(M41=phu!$I$91,M41=phu!$I$92,M41=phu!$I$93),"Cam Bình",""),IF(OR(M41=phu!$I$94,M41=phu!$I$95,M41=phu!$I$96,M41=phu!$I$97,M41=phu!$I$98,M41=phu!$I$99,M41=phu!$I$100),"Huyện khác",""),IF(OR(M41=phu!$I$101,M41=phu!$I$102),"Tỉnh khác",""))</f>
        <v/>
      </c>
      <c r="O41" s="829" t="str">
        <f t="shared" si="0"/>
        <v/>
      </c>
      <c r="P41" s="256"/>
      <c r="Q41" s="256"/>
      <c r="R41" s="256"/>
      <c r="S41" s="254"/>
      <c r="T41" s="254"/>
      <c r="U41" s="254"/>
      <c r="V41" s="254"/>
      <c r="W41" s="254"/>
      <c r="Y41" s="246" t="str">
        <f t="shared" si="1"/>
        <v/>
      </c>
      <c r="Z41" s="247" t="str">
        <f t="shared" si="2"/>
        <v/>
      </c>
      <c r="AA41" s="246" t="str">
        <f t="shared" si="3"/>
        <v/>
      </c>
    </row>
    <row r="42" spans="1:27" ht="18" customHeight="1" x14ac:dyDescent="0.25">
      <c r="A42" s="248" t="str">
        <f t="shared" si="4"/>
        <v/>
      </c>
      <c r="B42" s="249" t="str">
        <f t="shared" si="5"/>
        <v/>
      </c>
      <c r="C42" s="250"/>
      <c r="D42" s="251"/>
      <c r="E42" s="241"/>
      <c r="F42" s="252"/>
      <c r="G42" s="252"/>
      <c r="H42" s="253"/>
      <c r="I42" s="250"/>
      <c r="J42" s="250"/>
      <c r="K42" s="270"/>
      <c r="L42" s="250"/>
      <c r="M42" s="250"/>
      <c r="N42" s="540" t="str">
        <f>CONCATENATE(IF(OR(M42=phu!$I$1,M42=phu!$I$2,M42=phu!$I$3),"Cam Thành Nam",""),IF(OR(M42=phu!$I$4,M42=phu!$I$5,M42=phu!$I$6,M42=phu!$I$7,M42=phu!$I$8,M42=phu!$I$9,M42=phu!$I$10,M42=phu!$I$11,M42=phu!$I$12,M42=phu!$I$13,M42=phu!$I$14),"Cam Nghĩa",""),IF(OR(M42=phu!$I$15,M42=phu!$I$16,M42=phu!$I$17,M42=phu!$I$18,M42=phu!$I$19,M42=phu!$I$20,M42=phu!$I$21),"Cam Phúc Bắc",""),IF(OR(M42=phu!$I$22,M42=phu!$I$23,M42=phu!$I$24,M42=phu!$I$25),"Cam Phúc Nam",""),IF(OR(M42=phu!$I$26,M42=phu!$I$27,M42=phu!$I$28,M42=phu!$I$29,M42=phu!$I$30,M42=phu!$I$31),"Cam Phú",""),IF(OR(M42=phu!$I$32,M42=phu!$I$33,M42=phu!$I$34,M42=phu!$I$35,M42=phu!$I$36,M42=phu!$I$37),"Cam Lộc",""),IF(OR(M42=phu!$I$38,M42=phu!$I$39,M42=phu!$I$40,M42=phu!$I$41,M42=phu!$I$42,M42=phu!$I$43,M42=phu!$I$44),"Cam Thuận",""),IF(OR(M42=phu!$I$45,M42=phu!$I$46,M42=phu!$I$47,M42=phu!$I$48,M42=phu!$I$49,M42=phu!$I$50,M42=phu!$I$51,M42=phu!$I$52,M42=phu!$I$53),"Cam Linh",""),IF(OR(M42=phu!$I$54,M42=phu!$I$55,M42=phu!$I$56,M42=phu!$I$57,M42=phu!$I$58,M42=phu!$I$59,M42=phu!$I$60,M42=phu!$I$61,M42=phu!$I$62),"Cam Lợi",""),IF(OR(M42=phu!$I$63,M42=phu!$I$64,M42=phu!$I$65,M42=phu!$I$66,M42=phu!$I$67,M42=phu!$I$68,M42=phu!$I$69,M42=phu!$I$70,M42=phu!$I$71),"Ba Ngòi",""),IF(OR(M42=phu!$I$72,M42=phu!$I$73,M42=phu!$I$74,M42=phu!$I$75,M42=phu!$I$76,M42=phu!$I$77,M42=phu!$I$78),"Cam Phước Đông",""),IF(OR(M42=phu!$I$79,M42=phu!$I$80,M42=phu!$I$81,M42=phu!$I$82,M42=phu!$I$83,M42=phu!$I$84),"Cam Thịnh Đông",""),IF(OR(M42=phu!$I$85,M42=phu!$I$86,M42=phu!$I$87,M42=phu!$I$88),"Cam Thịnh Tây",""),IF(OR(M42=phu!$I$89,M42=phu!$I$90),"Cam Lập",""),IF(OR(M42=phu!$I$91,M42=phu!$I$92,M42=phu!$I$93),"Cam Bình",""),IF(OR(M42=phu!$I$94,M42=phu!$I$95,M42=phu!$I$96,M42=phu!$I$97,M42=phu!$I$98,M42=phu!$I$99,M42=phu!$I$100),"Huyện khác",""),IF(OR(M42=phu!$I$101,M42=phu!$I$102),"Tỉnh khác",""))</f>
        <v/>
      </c>
      <c r="O42" s="829" t="str">
        <f t="shared" si="0"/>
        <v/>
      </c>
      <c r="P42" s="256"/>
      <c r="Q42" s="256"/>
      <c r="R42" s="256"/>
      <c r="S42" s="254"/>
      <c r="T42" s="254"/>
      <c r="U42" s="254"/>
      <c r="V42" s="254"/>
      <c r="W42" s="254"/>
      <c r="Y42" s="246" t="str">
        <f t="shared" si="1"/>
        <v/>
      </c>
      <c r="Z42" s="247" t="str">
        <f t="shared" si="2"/>
        <v/>
      </c>
      <c r="AA42" s="246" t="str">
        <f t="shared" si="3"/>
        <v/>
      </c>
    </row>
    <row r="43" spans="1:27" ht="18" customHeight="1" x14ac:dyDescent="0.25">
      <c r="A43" s="248" t="str">
        <f t="shared" si="4"/>
        <v/>
      </c>
      <c r="B43" s="249" t="str">
        <f t="shared" si="5"/>
        <v/>
      </c>
      <c r="C43" s="250"/>
      <c r="D43" s="251"/>
      <c r="E43" s="241"/>
      <c r="F43" s="252"/>
      <c r="G43" s="252"/>
      <c r="H43" s="253"/>
      <c r="I43" s="250"/>
      <c r="J43" s="250"/>
      <c r="K43" s="270"/>
      <c r="L43" s="250"/>
      <c r="M43" s="250"/>
      <c r="N43" s="540" t="str">
        <f>CONCATENATE(IF(OR(M43=phu!$I$1,M43=phu!$I$2,M43=phu!$I$3),"Cam Thành Nam",""),IF(OR(M43=phu!$I$4,M43=phu!$I$5,M43=phu!$I$6,M43=phu!$I$7,M43=phu!$I$8,M43=phu!$I$9,M43=phu!$I$10,M43=phu!$I$11,M43=phu!$I$12,M43=phu!$I$13,M43=phu!$I$14),"Cam Nghĩa",""),IF(OR(M43=phu!$I$15,M43=phu!$I$16,M43=phu!$I$17,M43=phu!$I$18,M43=phu!$I$19,M43=phu!$I$20,M43=phu!$I$21),"Cam Phúc Bắc",""),IF(OR(M43=phu!$I$22,M43=phu!$I$23,M43=phu!$I$24,M43=phu!$I$25),"Cam Phúc Nam",""),IF(OR(M43=phu!$I$26,M43=phu!$I$27,M43=phu!$I$28,M43=phu!$I$29,M43=phu!$I$30,M43=phu!$I$31),"Cam Phú",""),IF(OR(M43=phu!$I$32,M43=phu!$I$33,M43=phu!$I$34,M43=phu!$I$35,M43=phu!$I$36,M43=phu!$I$37),"Cam Lộc",""),IF(OR(M43=phu!$I$38,M43=phu!$I$39,M43=phu!$I$40,M43=phu!$I$41,M43=phu!$I$42,M43=phu!$I$43,M43=phu!$I$44),"Cam Thuận",""),IF(OR(M43=phu!$I$45,M43=phu!$I$46,M43=phu!$I$47,M43=phu!$I$48,M43=phu!$I$49,M43=phu!$I$50,M43=phu!$I$51,M43=phu!$I$52,M43=phu!$I$53),"Cam Linh",""),IF(OR(M43=phu!$I$54,M43=phu!$I$55,M43=phu!$I$56,M43=phu!$I$57,M43=phu!$I$58,M43=phu!$I$59,M43=phu!$I$60,M43=phu!$I$61,M43=phu!$I$62),"Cam Lợi",""),IF(OR(M43=phu!$I$63,M43=phu!$I$64,M43=phu!$I$65,M43=phu!$I$66,M43=phu!$I$67,M43=phu!$I$68,M43=phu!$I$69,M43=phu!$I$70,M43=phu!$I$71),"Ba Ngòi",""),IF(OR(M43=phu!$I$72,M43=phu!$I$73,M43=phu!$I$74,M43=phu!$I$75,M43=phu!$I$76,M43=phu!$I$77,M43=phu!$I$78),"Cam Phước Đông",""),IF(OR(M43=phu!$I$79,M43=phu!$I$80,M43=phu!$I$81,M43=phu!$I$82,M43=phu!$I$83,M43=phu!$I$84),"Cam Thịnh Đông",""),IF(OR(M43=phu!$I$85,M43=phu!$I$86,M43=phu!$I$87,M43=phu!$I$88),"Cam Thịnh Tây",""),IF(OR(M43=phu!$I$89,M43=phu!$I$90),"Cam Lập",""),IF(OR(M43=phu!$I$91,M43=phu!$I$92,M43=phu!$I$93),"Cam Bình",""),IF(OR(M43=phu!$I$94,M43=phu!$I$95,M43=phu!$I$96,M43=phu!$I$97,M43=phu!$I$98,M43=phu!$I$99,M43=phu!$I$100),"Huyện khác",""),IF(OR(M43=phu!$I$101,M43=phu!$I$102),"Tỉnh khác",""))</f>
        <v/>
      </c>
      <c r="O43" s="829" t="str">
        <f t="shared" si="0"/>
        <v/>
      </c>
      <c r="P43" s="256"/>
      <c r="Q43" s="256"/>
      <c r="R43" s="256"/>
      <c r="S43" s="254"/>
      <c r="T43" s="254"/>
      <c r="U43" s="254"/>
      <c r="V43" s="254"/>
      <c r="W43" s="254"/>
      <c r="Y43" s="246" t="str">
        <f t="shared" si="1"/>
        <v/>
      </c>
      <c r="Z43" s="247" t="str">
        <f t="shared" si="2"/>
        <v/>
      </c>
      <c r="AA43" s="246" t="str">
        <f t="shared" si="3"/>
        <v/>
      </c>
    </row>
    <row r="44" spans="1:27" ht="18" customHeight="1" x14ac:dyDescent="0.25">
      <c r="A44" s="248" t="str">
        <f t="shared" si="4"/>
        <v/>
      </c>
      <c r="B44" s="249" t="str">
        <f t="shared" si="5"/>
        <v/>
      </c>
      <c r="C44" s="250"/>
      <c r="D44" s="251"/>
      <c r="E44" s="241"/>
      <c r="F44" s="252"/>
      <c r="G44" s="252"/>
      <c r="H44" s="253"/>
      <c r="I44" s="250"/>
      <c r="J44" s="250"/>
      <c r="K44" s="270"/>
      <c r="L44" s="250"/>
      <c r="M44" s="250"/>
      <c r="N44" s="540" t="str">
        <f>CONCATENATE(IF(OR(M44=phu!$I$1,M44=phu!$I$2,M44=phu!$I$3),"Cam Thành Nam",""),IF(OR(M44=phu!$I$4,M44=phu!$I$5,M44=phu!$I$6,M44=phu!$I$7,M44=phu!$I$8,M44=phu!$I$9,M44=phu!$I$10,M44=phu!$I$11,M44=phu!$I$12,M44=phu!$I$13,M44=phu!$I$14),"Cam Nghĩa",""),IF(OR(M44=phu!$I$15,M44=phu!$I$16,M44=phu!$I$17,M44=phu!$I$18,M44=phu!$I$19,M44=phu!$I$20,M44=phu!$I$21),"Cam Phúc Bắc",""),IF(OR(M44=phu!$I$22,M44=phu!$I$23,M44=phu!$I$24,M44=phu!$I$25),"Cam Phúc Nam",""),IF(OR(M44=phu!$I$26,M44=phu!$I$27,M44=phu!$I$28,M44=phu!$I$29,M44=phu!$I$30,M44=phu!$I$31),"Cam Phú",""),IF(OR(M44=phu!$I$32,M44=phu!$I$33,M44=phu!$I$34,M44=phu!$I$35,M44=phu!$I$36,M44=phu!$I$37),"Cam Lộc",""),IF(OR(M44=phu!$I$38,M44=phu!$I$39,M44=phu!$I$40,M44=phu!$I$41,M44=phu!$I$42,M44=phu!$I$43,M44=phu!$I$44),"Cam Thuận",""),IF(OR(M44=phu!$I$45,M44=phu!$I$46,M44=phu!$I$47,M44=phu!$I$48,M44=phu!$I$49,M44=phu!$I$50,M44=phu!$I$51,M44=phu!$I$52,M44=phu!$I$53),"Cam Linh",""),IF(OR(M44=phu!$I$54,M44=phu!$I$55,M44=phu!$I$56,M44=phu!$I$57,M44=phu!$I$58,M44=phu!$I$59,M44=phu!$I$60,M44=phu!$I$61,M44=phu!$I$62),"Cam Lợi",""),IF(OR(M44=phu!$I$63,M44=phu!$I$64,M44=phu!$I$65,M44=phu!$I$66,M44=phu!$I$67,M44=phu!$I$68,M44=phu!$I$69,M44=phu!$I$70,M44=phu!$I$71),"Ba Ngòi",""),IF(OR(M44=phu!$I$72,M44=phu!$I$73,M44=phu!$I$74,M44=phu!$I$75,M44=phu!$I$76,M44=phu!$I$77,M44=phu!$I$78),"Cam Phước Đông",""),IF(OR(M44=phu!$I$79,M44=phu!$I$80,M44=phu!$I$81,M44=phu!$I$82,M44=phu!$I$83,M44=phu!$I$84),"Cam Thịnh Đông",""),IF(OR(M44=phu!$I$85,M44=phu!$I$86,M44=phu!$I$87,M44=phu!$I$88),"Cam Thịnh Tây",""),IF(OR(M44=phu!$I$89,M44=phu!$I$90),"Cam Lập",""),IF(OR(M44=phu!$I$91,M44=phu!$I$92,M44=phu!$I$93),"Cam Bình",""),IF(OR(M44=phu!$I$94,M44=phu!$I$95,M44=phu!$I$96,M44=phu!$I$97,M44=phu!$I$98,M44=phu!$I$99,M44=phu!$I$100),"Huyện khác",""),IF(OR(M44=phu!$I$101,M44=phu!$I$102),"Tỉnh khác",""))</f>
        <v/>
      </c>
      <c r="O44" s="829" t="str">
        <f t="shared" si="0"/>
        <v/>
      </c>
      <c r="P44" s="256"/>
      <c r="Q44" s="256"/>
      <c r="R44" s="256"/>
      <c r="S44" s="254"/>
      <c r="T44" s="254"/>
      <c r="U44" s="254"/>
      <c r="V44" s="254"/>
      <c r="W44" s="254"/>
      <c r="Y44" s="246" t="str">
        <f t="shared" si="1"/>
        <v/>
      </c>
      <c r="Z44" s="247" t="str">
        <f t="shared" si="2"/>
        <v/>
      </c>
      <c r="AA44" s="246" t="str">
        <f t="shared" si="3"/>
        <v/>
      </c>
    </row>
    <row r="45" spans="1:27" ht="18" customHeight="1" x14ac:dyDescent="0.25">
      <c r="A45" s="248" t="str">
        <f t="shared" si="4"/>
        <v/>
      </c>
      <c r="B45" s="249" t="str">
        <f t="shared" si="5"/>
        <v/>
      </c>
      <c r="C45" s="250"/>
      <c r="D45" s="251"/>
      <c r="E45" s="241"/>
      <c r="F45" s="252"/>
      <c r="G45" s="252"/>
      <c r="H45" s="253"/>
      <c r="I45" s="250"/>
      <c r="J45" s="250"/>
      <c r="K45" s="270"/>
      <c r="L45" s="250"/>
      <c r="M45" s="250"/>
      <c r="N45" s="540" t="str">
        <f>CONCATENATE(IF(OR(M45=phu!$I$1,M45=phu!$I$2,M45=phu!$I$3),"Cam Thành Nam",""),IF(OR(M45=phu!$I$4,M45=phu!$I$5,M45=phu!$I$6,M45=phu!$I$7,M45=phu!$I$8,M45=phu!$I$9,M45=phu!$I$10,M45=phu!$I$11,M45=phu!$I$12,M45=phu!$I$13,M45=phu!$I$14),"Cam Nghĩa",""),IF(OR(M45=phu!$I$15,M45=phu!$I$16,M45=phu!$I$17,M45=phu!$I$18,M45=phu!$I$19,M45=phu!$I$20,M45=phu!$I$21),"Cam Phúc Bắc",""),IF(OR(M45=phu!$I$22,M45=phu!$I$23,M45=phu!$I$24,M45=phu!$I$25),"Cam Phúc Nam",""),IF(OR(M45=phu!$I$26,M45=phu!$I$27,M45=phu!$I$28,M45=phu!$I$29,M45=phu!$I$30,M45=phu!$I$31),"Cam Phú",""),IF(OR(M45=phu!$I$32,M45=phu!$I$33,M45=phu!$I$34,M45=phu!$I$35,M45=phu!$I$36,M45=phu!$I$37),"Cam Lộc",""),IF(OR(M45=phu!$I$38,M45=phu!$I$39,M45=phu!$I$40,M45=phu!$I$41,M45=phu!$I$42,M45=phu!$I$43,M45=phu!$I$44),"Cam Thuận",""),IF(OR(M45=phu!$I$45,M45=phu!$I$46,M45=phu!$I$47,M45=phu!$I$48,M45=phu!$I$49,M45=phu!$I$50,M45=phu!$I$51,M45=phu!$I$52,M45=phu!$I$53),"Cam Linh",""),IF(OR(M45=phu!$I$54,M45=phu!$I$55,M45=phu!$I$56,M45=phu!$I$57,M45=phu!$I$58,M45=phu!$I$59,M45=phu!$I$60,M45=phu!$I$61,M45=phu!$I$62),"Cam Lợi",""),IF(OR(M45=phu!$I$63,M45=phu!$I$64,M45=phu!$I$65,M45=phu!$I$66,M45=phu!$I$67,M45=phu!$I$68,M45=phu!$I$69,M45=phu!$I$70,M45=phu!$I$71),"Ba Ngòi",""),IF(OR(M45=phu!$I$72,M45=phu!$I$73,M45=phu!$I$74,M45=phu!$I$75,M45=phu!$I$76,M45=phu!$I$77,M45=phu!$I$78),"Cam Phước Đông",""),IF(OR(M45=phu!$I$79,M45=phu!$I$80,M45=phu!$I$81,M45=phu!$I$82,M45=phu!$I$83,M45=phu!$I$84),"Cam Thịnh Đông",""),IF(OR(M45=phu!$I$85,M45=phu!$I$86,M45=phu!$I$87,M45=phu!$I$88),"Cam Thịnh Tây",""),IF(OR(M45=phu!$I$89,M45=phu!$I$90),"Cam Lập",""),IF(OR(M45=phu!$I$91,M45=phu!$I$92,M45=phu!$I$93),"Cam Bình",""),IF(OR(M45=phu!$I$94,M45=phu!$I$95,M45=phu!$I$96,M45=phu!$I$97,M45=phu!$I$98,M45=phu!$I$99,M45=phu!$I$100),"Huyện khác",""),IF(OR(M45=phu!$I$101,M45=phu!$I$102),"Tỉnh khác",""))</f>
        <v/>
      </c>
      <c r="O45" s="829" t="str">
        <f t="shared" si="0"/>
        <v/>
      </c>
      <c r="P45" s="256"/>
      <c r="Q45" s="256"/>
      <c r="R45" s="256"/>
      <c r="S45" s="254"/>
      <c r="T45" s="254"/>
      <c r="U45" s="254"/>
      <c r="V45" s="254"/>
      <c r="W45" s="254"/>
      <c r="Y45" s="246" t="str">
        <f t="shared" si="1"/>
        <v/>
      </c>
      <c r="Z45" s="247" t="str">
        <f t="shared" si="2"/>
        <v/>
      </c>
      <c r="AA45" s="246" t="str">
        <f t="shared" si="3"/>
        <v/>
      </c>
    </row>
    <row r="46" spans="1:27" ht="18" customHeight="1" x14ac:dyDescent="0.25">
      <c r="A46" s="248" t="str">
        <f t="shared" si="4"/>
        <v/>
      </c>
      <c r="B46" s="249" t="str">
        <f t="shared" si="5"/>
        <v/>
      </c>
      <c r="C46" s="250"/>
      <c r="D46" s="251"/>
      <c r="E46" s="241"/>
      <c r="F46" s="252"/>
      <c r="G46" s="252"/>
      <c r="H46" s="253"/>
      <c r="I46" s="250"/>
      <c r="J46" s="250"/>
      <c r="K46" s="270"/>
      <c r="L46" s="250"/>
      <c r="M46" s="250"/>
      <c r="N46" s="540" t="str">
        <f>CONCATENATE(IF(OR(M46=phu!$I$1,M46=phu!$I$2,M46=phu!$I$3),"Cam Thành Nam",""),IF(OR(M46=phu!$I$4,M46=phu!$I$5,M46=phu!$I$6,M46=phu!$I$7,M46=phu!$I$8,M46=phu!$I$9,M46=phu!$I$10,M46=phu!$I$11,M46=phu!$I$12,M46=phu!$I$13,M46=phu!$I$14),"Cam Nghĩa",""),IF(OR(M46=phu!$I$15,M46=phu!$I$16,M46=phu!$I$17,M46=phu!$I$18,M46=phu!$I$19,M46=phu!$I$20,M46=phu!$I$21),"Cam Phúc Bắc",""),IF(OR(M46=phu!$I$22,M46=phu!$I$23,M46=phu!$I$24,M46=phu!$I$25),"Cam Phúc Nam",""),IF(OR(M46=phu!$I$26,M46=phu!$I$27,M46=phu!$I$28,M46=phu!$I$29,M46=phu!$I$30,M46=phu!$I$31),"Cam Phú",""),IF(OR(M46=phu!$I$32,M46=phu!$I$33,M46=phu!$I$34,M46=phu!$I$35,M46=phu!$I$36,M46=phu!$I$37),"Cam Lộc",""),IF(OR(M46=phu!$I$38,M46=phu!$I$39,M46=phu!$I$40,M46=phu!$I$41,M46=phu!$I$42,M46=phu!$I$43,M46=phu!$I$44),"Cam Thuận",""),IF(OR(M46=phu!$I$45,M46=phu!$I$46,M46=phu!$I$47,M46=phu!$I$48,M46=phu!$I$49,M46=phu!$I$50,M46=phu!$I$51,M46=phu!$I$52,M46=phu!$I$53),"Cam Linh",""),IF(OR(M46=phu!$I$54,M46=phu!$I$55,M46=phu!$I$56,M46=phu!$I$57,M46=phu!$I$58,M46=phu!$I$59,M46=phu!$I$60,M46=phu!$I$61,M46=phu!$I$62),"Cam Lợi",""),IF(OR(M46=phu!$I$63,M46=phu!$I$64,M46=phu!$I$65,M46=phu!$I$66,M46=phu!$I$67,M46=phu!$I$68,M46=phu!$I$69,M46=phu!$I$70,M46=phu!$I$71),"Ba Ngòi",""),IF(OR(M46=phu!$I$72,M46=phu!$I$73,M46=phu!$I$74,M46=phu!$I$75,M46=phu!$I$76,M46=phu!$I$77,M46=phu!$I$78),"Cam Phước Đông",""),IF(OR(M46=phu!$I$79,M46=phu!$I$80,M46=phu!$I$81,M46=phu!$I$82,M46=phu!$I$83,M46=phu!$I$84),"Cam Thịnh Đông",""),IF(OR(M46=phu!$I$85,M46=phu!$I$86,M46=phu!$I$87,M46=phu!$I$88),"Cam Thịnh Tây",""),IF(OR(M46=phu!$I$89,M46=phu!$I$90),"Cam Lập",""),IF(OR(M46=phu!$I$91,M46=phu!$I$92,M46=phu!$I$93),"Cam Bình",""),IF(OR(M46=phu!$I$94,M46=phu!$I$95,M46=phu!$I$96,M46=phu!$I$97,M46=phu!$I$98,M46=phu!$I$99,M46=phu!$I$100),"Huyện khác",""),IF(OR(M46=phu!$I$101,M46=phu!$I$102),"Tỉnh khác",""))</f>
        <v/>
      </c>
      <c r="O46" s="829" t="str">
        <f t="shared" si="0"/>
        <v/>
      </c>
      <c r="P46" s="256"/>
      <c r="Q46" s="256"/>
      <c r="R46" s="256"/>
      <c r="S46" s="254"/>
      <c r="T46" s="254"/>
      <c r="U46" s="254"/>
      <c r="V46" s="254"/>
      <c r="W46" s="254"/>
      <c r="Y46" s="246" t="str">
        <f t="shared" si="1"/>
        <v/>
      </c>
      <c r="Z46" s="247" t="str">
        <f t="shared" si="2"/>
        <v/>
      </c>
      <c r="AA46" s="246" t="str">
        <f t="shared" si="3"/>
        <v/>
      </c>
    </row>
    <row r="47" spans="1:27" ht="18" customHeight="1" x14ac:dyDescent="0.25">
      <c r="A47" s="248" t="str">
        <f t="shared" si="4"/>
        <v/>
      </c>
      <c r="B47" s="249" t="str">
        <f t="shared" si="5"/>
        <v/>
      </c>
      <c r="C47" s="250"/>
      <c r="D47" s="251"/>
      <c r="E47" s="241"/>
      <c r="F47" s="252"/>
      <c r="G47" s="252"/>
      <c r="H47" s="253"/>
      <c r="I47" s="250"/>
      <c r="J47" s="250"/>
      <c r="K47" s="270"/>
      <c r="L47" s="250"/>
      <c r="M47" s="250"/>
      <c r="N47" s="540" t="str">
        <f>CONCATENATE(IF(OR(M47=phu!$I$1,M47=phu!$I$2,M47=phu!$I$3),"Cam Thành Nam",""),IF(OR(M47=phu!$I$4,M47=phu!$I$5,M47=phu!$I$6,M47=phu!$I$7,M47=phu!$I$8,M47=phu!$I$9,M47=phu!$I$10,M47=phu!$I$11,M47=phu!$I$12,M47=phu!$I$13,M47=phu!$I$14),"Cam Nghĩa",""),IF(OR(M47=phu!$I$15,M47=phu!$I$16,M47=phu!$I$17,M47=phu!$I$18,M47=phu!$I$19,M47=phu!$I$20,M47=phu!$I$21),"Cam Phúc Bắc",""),IF(OR(M47=phu!$I$22,M47=phu!$I$23,M47=phu!$I$24,M47=phu!$I$25),"Cam Phúc Nam",""),IF(OR(M47=phu!$I$26,M47=phu!$I$27,M47=phu!$I$28,M47=phu!$I$29,M47=phu!$I$30,M47=phu!$I$31),"Cam Phú",""),IF(OR(M47=phu!$I$32,M47=phu!$I$33,M47=phu!$I$34,M47=phu!$I$35,M47=phu!$I$36,M47=phu!$I$37),"Cam Lộc",""),IF(OR(M47=phu!$I$38,M47=phu!$I$39,M47=phu!$I$40,M47=phu!$I$41,M47=phu!$I$42,M47=phu!$I$43,M47=phu!$I$44),"Cam Thuận",""),IF(OR(M47=phu!$I$45,M47=phu!$I$46,M47=phu!$I$47,M47=phu!$I$48,M47=phu!$I$49,M47=phu!$I$50,M47=phu!$I$51,M47=phu!$I$52,M47=phu!$I$53),"Cam Linh",""),IF(OR(M47=phu!$I$54,M47=phu!$I$55,M47=phu!$I$56,M47=phu!$I$57,M47=phu!$I$58,M47=phu!$I$59,M47=phu!$I$60,M47=phu!$I$61,M47=phu!$I$62),"Cam Lợi",""),IF(OR(M47=phu!$I$63,M47=phu!$I$64,M47=phu!$I$65,M47=phu!$I$66,M47=phu!$I$67,M47=phu!$I$68,M47=phu!$I$69,M47=phu!$I$70,M47=phu!$I$71),"Ba Ngòi",""),IF(OR(M47=phu!$I$72,M47=phu!$I$73,M47=phu!$I$74,M47=phu!$I$75,M47=phu!$I$76,M47=phu!$I$77,M47=phu!$I$78),"Cam Phước Đông",""),IF(OR(M47=phu!$I$79,M47=phu!$I$80,M47=phu!$I$81,M47=phu!$I$82,M47=phu!$I$83,M47=phu!$I$84),"Cam Thịnh Đông",""),IF(OR(M47=phu!$I$85,M47=phu!$I$86,M47=phu!$I$87,M47=phu!$I$88),"Cam Thịnh Tây",""),IF(OR(M47=phu!$I$89,M47=phu!$I$90),"Cam Lập",""),IF(OR(M47=phu!$I$91,M47=phu!$I$92,M47=phu!$I$93),"Cam Bình",""),IF(OR(M47=phu!$I$94,M47=phu!$I$95,M47=phu!$I$96,M47=phu!$I$97,M47=phu!$I$98,M47=phu!$I$99,M47=phu!$I$100),"Huyện khác",""),IF(OR(M47=phu!$I$101,M47=phu!$I$102),"Tỉnh khác",""))</f>
        <v/>
      </c>
      <c r="O47" s="829" t="str">
        <f t="shared" si="0"/>
        <v/>
      </c>
      <c r="P47" s="256"/>
      <c r="Q47" s="256"/>
      <c r="R47" s="256"/>
      <c r="S47" s="254"/>
      <c r="T47" s="254"/>
      <c r="U47" s="254"/>
      <c r="V47" s="254"/>
      <c r="W47" s="254"/>
      <c r="Y47" s="246" t="str">
        <f t="shared" si="1"/>
        <v/>
      </c>
      <c r="Z47" s="247" t="str">
        <f t="shared" si="2"/>
        <v/>
      </c>
      <c r="AA47" s="246" t="str">
        <f t="shared" si="3"/>
        <v/>
      </c>
    </row>
    <row r="48" spans="1:27" ht="18" customHeight="1" x14ac:dyDescent="0.25">
      <c r="A48" s="248" t="str">
        <f t="shared" si="4"/>
        <v/>
      </c>
      <c r="B48" s="249" t="str">
        <f t="shared" si="5"/>
        <v/>
      </c>
      <c r="C48" s="250"/>
      <c r="D48" s="251"/>
      <c r="E48" s="241"/>
      <c r="F48" s="252"/>
      <c r="G48" s="252"/>
      <c r="H48" s="253"/>
      <c r="I48" s="250"/>
      <c r="J48" s="250"/>
      <c r="K48" s="270"/>
      <c r="L48" s="250"/>
      <c r="M48" s="250"/>
      <c r="N48" s="540" t="str">
        <f>CONCATENATE(IF(OR(M48=phu!$I$1,M48=phu!$I$2,M48=phu!$I$3),"Cam Thành Nam",""),IF(OR(M48=phu!$I$4,M48=phu!$I$5,M48=phu!$I$6,M48=phu!$I$7,M48=phu!$I$8,M48=phu!$I$9,M48=phu!$I$10,M48=phu!$I$11,M48=phu!$I$12,M48=phu!$I$13,M48=phu!$I$14),"Cam Nghĩa",""),IF(OR(M48=phu!$I$15,M48=phu!$I$16,M48=phu!$I$17,M48=phu!$I$18,M48=phu!$I$19,M48=phu!$I$20,M48=phu!$I$21),"Cam Phúc Bắc",""),IF(OR(M48=phu!$I$22,M48=phu!$I$23,M48=phu!$I$24,M48=phu!$I$25),"Cam Phúc Nam",""),IF(OR(M48=phu!$I$26,M48=phu!$I$27,M48=phu!$I$28,M48=phu!$I$29,M48=phu!$I$30,M48=phu!$I$31),"Cam Phú",""),IF(OR(M48=phu!$I$32,M48=phu!$I$33,M48=phu!$I$34,M48=phu!$I$35,M48=phu!$I$36,M48=phu!$I$37),"Cam Lộc",""),IF(OR(M48=phu!$I$38,M48=phu!$I$39,M48=phu!$I$40,M48=phu!$I$41,M48=phu!$I$42,M48=phu!$I$43,M48=phu!$I$44),"Cam Thuận",""),IF(OR(M48=phu!$I$45,M48=phu!$I$46,M48=phu!$I$47,M48=phu!$I$48,M48=phu!$I$49,M48=phu!$I$50,M48=phu!$I$51,M48=phu!$I$52,M48=phu!$I$53),"Cam Linh",""),IF(OR(M48=phu!$I$54,M48=phu!$I$55,M48=phu!$I$56,M48=phu!$I$57,M48=phu!$I$58,M48=phu!$I$59,M48=phu!$I$60,M48=phu!$I$61,M48=phu!$I$62),"Cam Lợi",""),IF(OR(M48=phu!$I$63,M48=phu!$I$64,M48=phu!$I$65,M48=phu!$I$66,M48=phu!$I$67,M48=phu!$I$68,M48=phu!$I$69,M48=phu!$I$70,M48=phu!$I$71),"Ba Ngòi",""),IF(OR(M48=phu!$I$72,M48=phu!$I$73,M48=phu!$I$74,M48=phu!$I$75,M48=phu!$I$76,M48=phu!$I$77,M48=phu!$I$78),"Cam Phước Đông",""),IF(OR(M48=phu!$I$79,M48=phu!$I$80,M48=phu!$I$81,M48=phu!$I$82,M48=phu!$I$83,M48=phu!$I$84),"Cam Thịnh Đông",""),IF(OR(M48=phu!$I$85,M48=phu!$I$86,M48=phu!$I$87,M48=phu!$I$88),"Cam Thịnh Tây",""),IF(OR(M48=phu!$I$89,M48=phu!$I$90),"Cam Lập",""),IF(OR(M48=phu!$I$91,M48=phu!$I$92,M48=phu!$I$93),"Cam Bình",""),IF(OR(M48=phu!$I$94,M48=phu!$I$95,M48=phu!$I$96,M48=phu!$I$97,M48=phu!$I$98,M48=phu!$I$99,M48=phu!$I$100),"Huyện khác",""),IF(OR(M48=phu!$I$101,M48=phu!$I$102),"Tỉnh khác",""))</f>
        <v/>
      </c>
      <c r="O48" s="829" t="str">
        <f t="shared" si="0"/>
        <v/>
      </c>
      <c r="P48" s="256"/>
      <c r="Q48" s="256"/>
      <c r="R48" s="256"/>
      <c r="S48" s="254"/>
      <c r="T48" s="254"/>
      <c r="U48" s="254"/>
      <c r="V48" s="254"/>
      <c r="W48" s="254"/>
      <c r="Y48" s="246" t="str">
        <f t="shared" si="1"/>
        <v/>
      </c>
      <c r="Z48" s="247" t="str">
        <f t="shared" si="2"/>
        <v/>
      </c>
      <c r="AA48" s="246" t="str">
        <f t="shared" si="3"/>
        <v/>
      </c>
    </row>
    <row r="49" spans="1:27" ht="18" customHeight="1" x14ac:dyDescent="0.25">
      <c r="A49" s="248" t="str">
        <f t="shared" si="4"/>
        <v/>
      </c>
      <c r="B49" s="249" t="str">
        <f t="shared" si="5"/>
        <v/>
      </c>
      <c r="C49" s="250"/>
      <c r="D49" s="251"/>
      <c r="E49" s="241"/>
      <c r="F49" s="252"/>
      <c r="G49" s="252"/>
      <c r="H49" s="253"/>
      <c r="I49" s="250"/>
      <c r="J49" s="250"/>
      <c r="K49" s="270"/>
      <c r="L49" s="250"/>
      <c r="M49" s="250"/>
      <c r="N49" s="540" t="str">
        <f>CONCATENATE(IF(OR(M49=phu!$I$1,M49=phu!$I$2,M49=phu!$I$3),"Cam Thành Nam",""),IF(OR(M49=phu!$I$4,M49=phu!$I$5,M49=phu!$I$6,M49=phu!$I$7,M49=phu!$I$8,M49=phu!$I$9,M49=phu!$I$10,M49=phu!$I$11,M49=phu!$I$12,M49=phu!$I$13,M49=phu!$I$14),"Cam Nghĩa",""),IF(OR(M49=phu!$I$15,M49=phu!$I$16,M49=phu!$I$17,M49=phu!$I$18,M49=phu!$I$19,M49=phu!$I$20,M49=phu!$I$21),"Cam Phúc Bắc",""),IF(OR(M49=phu!$I$22,M49=phu!$I$23,M49=phu!$I$24,M49=phu!$I$25),"Cam Phúc Nam",""),IF(OR(M49=phu!$I$26,M49=phu!$I$27,M49=phu!$I$28,M49=phu!$I$29,M49=phu!$I$30,M49=phu!$I$31),"Cam Phú",""),IF(OR(M49=phu!$I$32,M49=phu!$I$33,M49=phu!$I$34,M49=phu!$I$35,M49=phu!$I$36,M49=phu!$I$37),"Cam Lộc",""),IF(OR(M49=phu!$I$38,M49=phu!$I$39,M49=phu!$I$40,M49=phu!$I$41,M49=phu!$I$42,M49=phu!$I$43,M49=phu!$I$44),"Cam Thuận",""),IF(OR(M49=phu!$I$45,M49=phu!$I$46,M49=phu!$I$47,M49=phu!$I$48,M49=phu!$I$49,M49=phu!$I$50,M49=phu!$I$51,M49=phu!$I$52,M49=phu!$I$53),"Cam Linh",""),IF(OR(M49=phu!$I$54,M49=phu!$I$55,M49=phu!$I$56,M49=phu!$I$57,M49=phu!$I$58,M49=phu!$I$59,M49=phu!$I$60,M49=phu!$I$61,M49=phu!$I$62),"Cam Lợi",""),IF(OR(M49=phu!$I$63,M49=phu!$I$64,M49=phu!$I$65,M49=phu!$I$66,M49=phu!$I$67,M49=phu!$I$68,M49=phu!$I$69,M49=phu!$I$70,M49=phu!$I$71),"Ba Ngòi",""),IF(OR(M49=phu!$I$72,M49=phu!$I$73,M49=phu!$I$74,M49=phu!$I$75,M49=phu!$I$76,M49=phu!$I$77,M49=phu!$I$78),"Cam Phước Đông",""),IF(OR(M49=phu!$I$79,M49=phu!$I$80,M49=phu!$I$81,M49=phu!$I$82,M49=phu!$I$83,M49=phu!$I$84),"Cam Thịnh Đông",""),IF(OR(M49=phu!$I$85,M49=phu!$I$86,M49=phu!$I$87,M49=phu!$I$88),"Cam Thịnh Tây",""),IF(OR(M49=phu!$I$89,M49=phu!$I$90),"Cam Lập",""),IF(OR(M49=phu!$I$91,M49=phu!$I$92,M49=phu!$I$93),"Cam Bình",""),IF(OR(M49=phu!$I$94,M49=phu!$I$95,M49=phu!$I$96,M49=phu!$I$97,M49=phu!$I$98,M49=phu!$I$99,M49=phu!$I$100),"Huyện khác",""),IF(OR(M49=phu!$I$101,M49=phu!$I$102),"Tỉnh khác",""))</f>
        <v/>
      </c>
      <c r="O49" s="829" t="str">
        <f t="shared" si="0"/>
        <v/>
      </c>
      <c r="P49" s="256"/>
      <c r="Q49" s="256"/>
      <c r="R49" s="256"/>
      <c r="S49" s="254"/>
      <c r="T49" s="254"/>
      <c r="U49" s="254"/>
      <c r="V49" s="254"/>
      <c r="W49" s="254"/>
      <c r="Y49" s="246" t="str">
        <f t="shared" si="1"/>
        <v/>
      </c>
      <c r="Z49" s="247" t="str">
        <f t="shared" si="2"/>
        <v/>
      </c>
      <c r="AA49" s="246" t="str">
        <f t="shared" si="3"/>
        <v/>
      </c>
    </row>
    <row r="50" spans="1:27" ht="18" customHeight="1" x14ac:dyDescent="0.25">
      <c r="A50" s="248" t="str">
        <f t="shared" si="4"/>
        <v/>
      </c>
      <c r="B50" s="249" t="str">
        <f t="shared" si="5"/>
        <v/>
      </c>
      <c r="C50" s="250"/>
      <c r="D50" s="251"/>
      <c r="E50" s="241"/>
      <c r="F50" s="252"/>
      <c r="G50" s="252"/>
      <c r="H50" s="253"/>
      <c r="I50" s="250"/>
      <c r="J50" s="250"/>
      <c r="K50" s="270"/>
      <c r="L50" s="250"/>
      <c r="M50" s="250"/>
      <c r="N50" s="540" t="str">
        <f>CONCATENATE(IF(OR(M50=phu!$I$1,M50=phu!$I$2,M50=phu!$I$3),"Cam Thành Nam",""),IF(OR(M50=phu!$I$4,M50=phu!$I$5,M50=phu!$I$6,M50=phu!$I$7,M50=phu!$I$8,M50=phu!$I$9,M50=phu!$I$10,M50=phu!$I$11,M50=phu!$I$12,M50=phu!$I$13,M50=phu!$I$14),"Cam Nghĩa",""),IF(OR(M50=phu!$I$15,M50=phu!$I$16,M50=phu!$I$17,M50=phu!$I$18,M50=phu!$I$19,M50=phu!$I$20,M50=phu!$I$21),"Cam Phúc Bắc",""),IF(OR(M50=phu!$I$22,M50=phu!$I$23,M50=phu!$I$24,M50=phu!$I$25),"Cam Phúc Nam",""),IF(OR(M50=phu!$I$26,M50=phu!$I$27,M50=phu!$I$28,M50=phu!$I$29,M50=phu!$I$30,M50=phu!$I$31),"Cam Phú",""),IF(OR(M50=phu!$I$32,M50=phu!$I$33,M50=phu!$I$34,M50=phu!$I$35,M50=phu!$I$36,M50=phu!$I$37),"Cam Lộc",""),IF(OR(M50=phu!$I$38,M50=phu!$I$39,M50=phu!$I$40,M50=phu!$I$41,M50=phu!$I$42,M50=phu!$I$43,M50=phu!$I$44),"Cam Thuận",""),IF(OR(M50=phu!$I$45,M50=phu!$I$46,M50=phu!$I$47,M50=phu!$I$48,M50=phu!$I$49,M50=phu!$I$50,M50=phu!$I$51,M50=phu!$I$52,M50=phu!$I$53),"Cam Linh",""),IF(OR(M50=phu!$I$54,M50=phu!$I$55,M50=phu!$I$56,M50=phu!$I$57,M50=phu!$I$58,M50=phu!$I$59,M50=phu!$I$60,M50=phu!$I$61,M50=phu!$I$62),"Cam Lợi",""),IF(OR(M50=phu!$I$63,M50=phu!$I$64,M50=phu!$I$65,M50=phu!$I$66,M50=phu!$I$67,M50=phu!$I$68,M50=phu!$I$69,M50=phu!$I$70,M50=phu!$I$71),"Ba Ngòi",""),IF(OR(M50=phu!$I$72,M50=phu!$I$73,M50=phu!$I$74,M50=phu!$I$75,M50=phu!$I$76,M50=phu!$I$77,M50=phu!$I$78),"Cam Phước Đông",""),IF(OR(M50=phu!$I$79,M50=phu!$I$80,M50=phu!$I$81,M50=phu!$I$82,M50=phu!$I$83,M50=phu!$I$84),"Cam Thịnh Đông",""),IF(OR(M50=phu!$I$85,M50=phu!$I$86,M50=phu!$I$87,M50=phu!$I$88),"Cam Thịnh Tây",""),IF(OR(M50=phu!$I$89,M50=phu!$I$90),"Cam Lập",""),IF(OR(M50=phu!$I$91,M50=phu!$I$92,M50=phu!$I$93),"Cam Bình",""),IF(OR(M50=phu!$I$94,M50=phu!$I$95,M50=phu!$I$96,M50=phu!$I$97,M50=phu!$I$98,M50=phu!$I$99,M50=phu!$I$100),"Huyện khác",""),IF(OR(M50=phu!$I$101,M50=phu!$I$102),"Tỉnh khác",""))</f>
        <v/>
      </c>
      <c r="O50" s="829" t="str">
        <f t="shared" si="0"/>
        <v/>
      </c>
      <c r="P50" s="256"/>
      <c r="Q50" s="256"/>
      <c r="R50" s="256"/>
      <c r="S50" s="254"/>
      <c r="T50" s="254"/>
      <c r="U50" s="254"/>
      <c r="V50" s="254"/>
      <c r="W50" s="254"/>
      <c r="Y50" s="246" t="str">
        <f t="shared" si="1"/>
        <v/>
      </c>
      <c r="Z50" s="247" t="str">
        <f t="shared" si="2"/>
        <v/>
      </c>
      <c r="AA50" s="246" t="str">
        <f t="shared" si="3"/>
        <v/>
      </c>
    </row>
    <row r="51" spans="1:27" ht="18" customHeight="1" x14ac:dyDescent="0.25">
      <c r="A51" s="248" t="str">
        <f t="shared" si="4"/>
        <v/>
      </c>
      <c r="B51" s="249" t="str">
        <f t="shared" si="5"/>
        <v/>
      </c>
      <c r="C51" s="250"/>
      <c r="D51" s="251"/>
      <c r="E51" s="241"/>
      <c r="F51" s="252"/>
      <c r="G51" s="252"/>
      <c r="H51" s="253"/>
      <c r="I51" s="250"/>
      <c r="J51" s="250"/>
      <c r="K51" s="270"/>
      <c r="L51" s="250"/>
      <c r="M51" s="250"/>
      <c r="N51" s="540" t="str">
        <f>CONCATENATE(IF(OR(M51=phu!$I$1,M51=phu!$I$2,M51=phu!$I$3),"Cam Thành Nam",""),IF(OR(M51=phu!$I$4,M51=phu!$I$5,M51=phu!$I$6,M51=phu!$I$7,M51=phu!$I$8,M51=phu!$I$9,M51=phu!$I$10,M51=phu!$I$11,M51=phu!$I$12,M51=phu!$I$13,M51=phu!$I$14),"Cam Nghĩa",""),IF(OR(M51=phu!$I$15,M51=phu!$I$16,M51=phu!$I$17,M51=phu!$I$18,M51=phu!$I$19,M51=phu!$I$20,M51=phu!$I$21),"Cam Phúc Bắc",""),IF(OR(M51=phu!$I$22,M51=phu!$I$23,M51=phu!$I$24,M51=phu!$I$25),"Cam Phúc Nam",""),IF(OR(M51=phu!$I$26,M51=phu!$I$27,M51=phu!$I$28,M51=phu!$I$29,M51=phu!$I$30,M51=phu!$I$31),"Cam Phú",""),IF(OR(M51=phu!$I$32,M51=phu!$I$33,M51=phu!$I$34,M51=phu!$I$35,M51=phu!$I$36,M51=phu!$I$37),"Cam Lộc",""),IF(OR(M51=phu!$I$38,M51=phu!$I$39,M51=phu!$I$40,M51=phu!$I$41,M51=phu!$I$42,M51=phu!$I$43,M51=phu!$I$44),"Cam Thuận",""),IF(OR(M51=phu!$I$45,M51=phu!$I$46,M51=phu!$I$47,M51=phu!$I$48,M51=phu!$I$49,M51=phu!$I$50,M51=phu!$I$51,M51=phu!$I$52,M51=phu!$I$53),"Cam Linh",""),IF(OR(M51=phu!$I$54,M51=phu!$I$55,M51=phu!$I$56,M51=phu!$I$57,M51=phu!$I$58,M51=phu!$I$59,M51=phu!$I$60,M51=phu!$I$61,M51=phu!$I$62),"Cam Lợi",""),IF(OR(M51=phu!$I$63,M51=phu!$I$64,M51=phu!$I$65,M51=phu!$I$66,M51=phu!$I$67,M51=phu!$I$68,M51=phu!$I$69,M51=phu!$I$70,M51=phu!$I$71),"Ba Ngòi",""),IF(OR(M51=phu!$I$72,M51=phu!$I$73,M51=phu!$I$74,M51=phu!$I$75,M51=phu!$I$76,M51=phu!$I$77,M51=phu!$I$78),"Cam Phước Đông",""),IF(OR(M51=phu!$I$79,M51=phu!$I$80,M51=phu!$I$81,M51=phu!$I$82,M51=phu!$I$83,M51=phu!$I$84),"Cam Thịnh Đông",""),IF(OR(M51=phu!$I$85,M51=phu!$I$86,M51=phu!$I$87,M51=phu!$I$88),"Cam Thịnh Tây",""),IF(OR(M51=phu!$I$89,M51=phu!$I$90),"Cam Lập",""),IF(OR(M51=phu!$I$91,M51=phu!$I$92,M51=phu!$I$93),"Cam Bình",""),IF(OR(M51=phu!$I$94,M51=phu!$I$95,M51=phu!$I$96,M51=phu!$I$97,M51=phu!$I$98,M51=phu!$I$99,M51=phu!$I$100),"Huyện khác",""),IF(OR(M51=phu!$I$101,M51=phu!$I$102),"Tỉnh khác",""))</f>
        <v/>
      </c>
      <c r="O51" s="829" t="str">
        <f t="shared" si="0"/>
        <v/>
      </c>
      <c r="P51" s="254"/>
      <c r="Q51" s="254"/>
      <c r="R51" s="254"/>
      <c r="S51" s="254"/>
      <c r="T51" s="254"/>
      <c r="U51" s="254"/>
      <c r="V51" s="254"/>
      <c r="W51" s="254"/>
      <c r="Y51" s="246" t="str">
        <f t="shared" si="1"/>
        <v/>
      </c>
      <c r="Z51" s="247" t="str">
        <f t="shared" si="2"/>
        <v/>
      </c>
      <c r="AA51" s="246" t="str">
        <f t="shared" si="3"/>
        <v/>
      </c>
    </row>
    <row r="52" spans="1:27" ht="18" customHeight="1" x14ac:dyDescent="0.25">
      <c r="A52" s="248" t="str">
        <f t="shared" si="4"/>
        <v/>
      </c>
      <c r="B52" s="249" t="str">
        <f t="shared" si="5"/>
        <v/>
      </c>
      <c r="C52" s="250"/>
      <c r="D52" s="251"/>
      <c r="E52" s="241"/>
      <c r="F52" s="252"/>
      <c r="G52" s="252"/>
      <c r="H52" s="253"/>
      <c r="I52" s="250"/>
      <c r="J52" s="250"/>
      <c r="K52" s="270"/>
      <c r="L52" s="250"/>
      <c r="M52" s="250"/>
      <c r="N52" s="540" t="str">
        <f>CONCATENATE(IF(OR(M52=phu!$I$1,M52=phu!$I$2,M52=phu!$I$3),"Cam Thành Nam",""),IF(OR(M52=phu!$I$4,M52=phu!$I$5,M52=phu!$I$6,M52=phu!$I$7,M52=phu!$I$8,M52=phu!$I$9,M52=phu!$I$10,M52=phu!$I$11,M52=phu!$I$12,M52=phu!$I$13,M52=phu!$I$14),"Cam Nghĩa",""),IF(OR(M52=phu!$I$15,M52=phu!$I$16,M52=phu!$I$17,M52=phu!$I$18,M52=phu!$I$19,M52=phu!$I$20,M52=phu!$I$21),"Cam Phúc Bắc",""),IF(OR(M52=phu!$I$22,M52=phu!$I$23,M52=phu!$I$24,M52=phu!$I$25),"Cam Phúc Nam",""),IF(OR(M52=phu!$I$26,M52=phu!$I$27,M52=phu!$I$28,M52=phu!$I$29,M52=phu!$I$30,M52=phu!$I$31),"Cam Phú",""),IF(OR(M52=phu!$I$32,M52=phu!$I$33,M52=phu!$I$34,M52=phu!$I$35,M52=phu!$I$36,M52=phu!$I$37),"Cam Lộc",""),IF(OR(M52=phu!$I$38,M52=phu!$I$39,M52=phu!$I$40,M52=phu!$I$41,M52=phu!$I$42,M52=phu!$I$43,M52=phu!$I$44),"Cam Thuận",""),IF(OR(M52=phu!$I$45,M52=phu!$I$46,M52=phu!$I$47,M52=phu!$I$48,M52=phu!$I$49,M52=phu!$I$50,M52=phu!$I$51,M52=phu!$I$52,M52=phu!$I$53),"Cam Linh",""),IF(OR(M52=phu!$I$54,M52=phu!$I$55,M52=phu!$I$56,M52=phu!$I$57,M52=phu!$I$58,M52=phu!$I$59,M52=phu!$I$60,M52=phu!$I$61,M52=phu!$I$62),"Cam Lợi",""),IF(OR(M52=phu!$I$63,M52=phu!$I$64,M52=phu!$I$65,M52=phu!$I$66,M52=phu!$I$67,M52=phu!$I$68,M52=phu!$I$69,M52=phu!$I$70,M52=phu!$I$71),"Ba Ngòi",""),IF(OR(M52=phu!$I$72,M52=phu!$I$73,M52=phu!$I$74,M52=phu!$I$75,M52=phu!$I$76,M52=phu!$I$77,M52=phu!$I$78),"Cam Phước Đông",""),IF(OR(M52=phu!$I$79,M52=phu!$I$80,M52=phu!$I$81,M52=phu!$I$82,M52=phu!$I$83,M52=phu!$I$84),"Cam Thịnh Đông",""),IF(OR(M52=phu!$I$85,M52=phu!$I$86,M52=phu!$I$87,M52=phu!$I$88),"Cam Thịnh Tây",""),IF(OR(M52=phu!$I$89,M52=phu!$I$90),"Cam Lập",""),IF(OR(M52=phu!$I$91,M52=phu!$I$92,M52=phu!$I$93),"Cam Bình",""),IF(OR(M52=phu!$I$94,M52=phu!$I$95,M52=phu!$I$96,M52=phu!$I$97,M52=phu!$I$98,M52=phu!$I$99,M52=phu!$I$100),"Huyện khác",""),IF(OR(M52=phu!$I$101,M52=phu!$I$102),"Tỉnh khác",""))</f>
        <v/>
      </c>
      <c r="O52" s="829" t="str">
        <f t="shared" si="0"/>
        <v/>
      </c>
      <c r="P52" s="254"/>
      <c r="Q52" s="254"/>
      <c r="R52" s="254"/>
      <c r="S52" s="254"/>
      <c r="T52" s="254"/>
      <c r="U52" s="254"/>
      <c r="V52" s="254"/>
      <c r="W52" s="254"/>
      <c r="Y52" s="246" t="str">
        <f t="shared" si="1"/>
        <v/>
      </c>
      <c r="Z52" s="247" t="str">
        <f t="shared" si="2"/>
        <v/>
      </c>
      <c r="AA52" s="246" t="str">
        <f t="shared" si="3"/>
        <v/>
      </c>
    </row>
    <row r="53" spans="1:27" ht="18" customHeight="1" x14ac:dyDescent="0.25">
      <c r="A53" s="248" t="str">
        <f t="shared" si="4"/>
        <v/>
      </c>
      <c r="B53" s="249" t="str">
        <f t="shared" si="5"/>
        <v/>
      </c>
      <c r="C53" s="250"/>
      <c r="D53" s="251"/>
      <c r="E53" s="241"/>
      <c r="F53" s="252"/>
      <c r="G53" s="252"/>
      <c r="H53" s="253"/>
      <c r="I53" s="250"/>
      <c r="J53" s="250"/>
      <c r="K53" s="270"/>
      <c r="L53" s="250"/>
      <c r="M53" s="250"/>
      <c r="N53" s="540" t="str">
        <f>CONCATENATE(IF(OR(M53=phu!$I$1,M53=phu!$I$2,M53=phu!$I$3),"Cam Thành Nam",""),IF(OR(M53=phu!$I$4,M53=phu!$I$5,M53=phu!$I$6,M53=phu!$I$7,M53=phu!$I$8,M53=phu!$I$9,M53=phu!$I$10,M53=phu!$I$11,M53=phu!$I$12,M53=phu!$I$13,M53=phu!$I$14),"Cam Nghĩa",""),IF(OR(M53=phu!$I$15,M53=phu!$I$16,M53=phu!$I$17,M53=phu!$I$18,M53=phu!$I$19,M53=phu!$I$20,M53=phu!$I$21),"Cam Phúc Bắc",""),IF(OR(M53=phu!$I$22,M53=phu!$I$23,M53=phu!$I$24,M53=phu!$I$25),"Cam Phúc Nam",""),IF(OR(M53=phu!$I$26,M53=phu!$I$27,M53=phu!$I$28,M53=phu!$I$29,M53=phu!$I$30,M53=phu!$I$31),"Cam Phú",""),IF(OR(M53=phu!$I$32,M53=phu!$I$33,M53=phu!$I$34,M53=phu!$I$35,M53=phu!$I$36,M53=phu!$I$37),"Cam Lộc",""),IF(OR(M53=phu!$I$38,M53=phu!$I$39,M53=phu!$I$40,M53=phu!$I$41,M53=phu!$I$42,M53=phu!$I$43,M53=phu!$I$44),"Cam Thuận",""),IF(OR(M53=phu!$I$45,M53=phu!$I$46,M53=phu!$I$47,M53=phu!$I$48,M53=phu!$I$49,M53=phu!$I$50,M53=phu!$I$51,M53=phu!$I$52,M53=phu!$I$53),"Cam Linh",""),IF(OR(M53=phu!$I$54,M53=phu!$I$55,M53=phu!$I$56,M53=phu!$I$57,M53=phu!$I$58,M53=phu!$I$59,M53=phu!$I$60,M53=phu!$I$61,M53=phu!$I$62),"Cam Lợi",""),IF(OR(M53=phu!$I$63,M53=phu!$I$64,M53=phu!$I$65,M53=phu!$I$66,M53=phu!$I$67,M53=phu!$I$68,M53=phu!$I$69,M53=phu!$I$70,M53=phu!$I$71),"Ba Ngòi",""),IF(OR(M53=phu!$I$72,M53=phu!$I$73,M53=phu!$I$74,M53=phu!$I$75,M53=phu!$I$76,M53=phu!$I$77,M53=phu!$I$78),"Cam Phước Đông",""),IF(OR(M53=phu!$I$79,M53=phu!$I$80,M53=phu!$I$81,M53=phu!$I$82,M53=phu!$I$83,M53=phu!$I$84),"Cam Thịnh Đông",""),IF(OR(M53=phu!$I$85,M53=phu!$I$86,M53=phu!$I$87,M53=phu!$I$88),"Cam Thịnh Tây",""),IF(OR(M53=phu!$I$89,M53=phu!$I$90),"Cam Lập",""),IF(OR(M53=phu!$I$91,M53=phu!$I$92,M53=phu!$I$93),"Cam Bình",""),IF(OR(M53=phu!$I$94,M53=phu!$I$95,M53=phu!$I$96,M53=phu!$I$97,M53=phu!$I$98,M53=phu!$I$99,M53=phu!$I$100),"Huyện khác",""),IF(OR(M53=phu!$I$101,M53=phu!$I$102),"Tỉnh khác",""))</f>
        <v/>
      </c>
      <c r="O53" s="829" t="str">
        <f t="shared" si="0"/>
        <v/>
      </c>
      <c r="P53" s="254"/>
      <c r="Q53" s="254"/>
      <c r="R53" s="254"/>
      <c r="S53" s="254"/>
      <c r="T53" s="254"/>
      <c r="U53" s="254"/>
      <c r="V53" s="254"/>
      <c r="W53" s="254"/>
      <c r="Y53" s="246" t="str">
        <f t="shared" si="1"/>
        <v/>
      </c>
      <c r="Z53" s="247" t="str">
        <f t="shared" si="2"/>
        <v/>
      </c>
      <c r="AA53" s="246" t="str">
        <f t="shared" si="3"/>
        <v/>
      </c>
    </row>
    <row r="54" spans="1:27" ht="18" customHeight="1" x14ac:dyDescent="0.25">
      <c r="A54" s="248" t="str">
        <f t="shared" si="4"/>
        <v/>
      </c>
      <c r="B54" s="249" t="str">
        <f t="shared" si="5"/>
        <v/>
      </c>
      <c r="C54" s="250"/>
      <c r="D54" s="251"/>
      <c r="E54" s="241"/>
      <c r="F54" s="252"/>
      <c r="G54" s="252"/>
      <c r="H54" s="253"/>
      <c r="I54" s="250"/>
      <c r="J54" s="250"/>
      <c r="K54" s="270"/>
      <c r="L54" s="250"/>
      <c r="M54" s="250"/>
      <c r="N54" s="540" t="str">
        <f>CONCATENATE(IF(OR(M54=phu!$I$1,M54=phu!$I$2,M54=phu!$I$3),"Cam Thành Nam",""),IF(OR(M54=phu!$I$4,M54=phu!$I$5,M54=phu!$I$6,M54=phu!$I$7,M54=phu!$I$8,M54=phu!$I$9,M54=phu!$I$10,M54=phu!$I$11,M54=phu!$I$12,M54=phu!$I$13,M54=phu!$I$14),"Cam Nghĩa",""),IF(OR(M54=phu!$I$15,M54=phu!$I$16,M54=phu!$I$17,M54=phu!$I$18,M54=phu!$I$19,M54=phu!$I$20,M54=phu!$I$21),"Cam Phúc Bắc",""),IF(OR(M54=phu!$I$22,M54=phu!$I$23,M54=phu!$I$24,M54=phu!$I$25),"Cam Phúc Nam",""),IF(OR(M54=phu!$I$26,M54=phu!$I$27,M54=phu!$I$28,M54=phu!$I$29,M54=phu!$I$30,M54=phu!$I$31),"Cam Phú",""),IF(OR(M54=phu!$I$32,M54=phu!$I$33,M54=phu!$I$34,M54=phu!$I$35,M54=phu!$I$36,M54=phu!$I$37),"Cam Lộc",""),IF(OR(M54=phu!$I$38,M54=phu!$I$39,M54=phu!$I$40,M54=phu!$I$41,M54=phu!$I$42,M54=phu!$I$43,M54=phu!$I$44),"Cam Thuận",""),IF(OR(M54=phu!$I$45,M54=phu!$I$46,M54=phu!$I$47,M54=phu!$I$48,M54=phu!$I$49,M54=phu!$I$50,M54=phu!$I$51,M54=phu!$I$52,M54=phu!$I$53),"Cam Linh",""),IF(OR(M54=phu!$I$54,M54=phu!$I$55,M54=phu!$I$56,M54=phu!$I$57,M54=phu!$I$58,M54=phu!$I$59,M54=phu!$I$60,M54=phu!$I$61,M54=phu!$I$62),"Cam Lợi",""),IF(OR(M54=phu!$I$63,M54=phu!$I$64,M54=phu!$I$65,M54=phu!$I$66,M54=phu!$I$67,M54=phu!$I$68,M54=phu!$I$69,M54=phu!$I$70,M54=phu!$I$71),"Ba Ngòi",""),IF(OR(M54=phu!$I$72,M54=phu!$I$73,M54=phu!$I$74,M54=phu!$I$75,M54=phu!$I$76,M54=phu!$I$77,M54=phu!$I$78),"Cam Phước Đông",""),IF(OR(M54=phu!$I$79,M54=phu!$I$80,M54=phu!$I$81,M54=phu!$I$82,M54=phu!$I$83,M54=phu!$I$84),"Cam Thịnh Đông",""),IF(OR(M54=phu!$I$85,M54=phu!$I$86,M54=phu!$I$87,M54=phu!$I$88),"Cam Thịnh Tây",""),IF(OR(M54=phu!$I$89,M54=phu!$I$90),"Cam Lập",""),IF(OR(M54=phu!$I$91,M54=phu!$I$92,M54=phu!$I$93),"Cam Bình",""),IF(OR(M54=phu!$I$94,M54=phu!$I$95,M54=phu!$I$96,M54=phu!$I$97,M54=phu!$I$98,M54=phu!$I$99,M54=phu!$I$100),"Huyện khác",""),IF(OR(M54=phu!$I$101,M54=phu!$I$102),"Tỉnh khác",""))</f>
        <v/>
      </c>
      <c r="O54" s="829" t="str">
        <f t="shared" si="0"/>
        <v/>
      </c>
      <c r="P54" s="254"/>
      <c r="Q54" s="254"/>
      <c r="R54" s="254"/>
      <c r="S54" s="254"/>
      <c r="T54" s="254"/>
      <c r="U54" s="254"/>
      <c r="V54" s="254"/>
      <c r="W54" s="254"/>
      <c r="Y54" s="246" t="str">
        <f t="shared" si="1"/>
        <v/>
      </c>
      <c r="Z54" s="247" t="str">
        <f t="shared" si="2"/>
        <v/>
      </c>
      <c r="AA54" s="246" t="str">
        <f t="shared" si="3"/>
        <v/>
      </c>
    </row>
    <row r="55" spans="1:27" ht="18" customHeight="1" x14ac:dyDescent="0.25">
      <c r="A55" s="248" t="str">
        <f t="shared" si="4"/>
        <v/>
      </c>
      <c r="B55" s="249" t="str">
        <f t="shared" si="5"/>
        <v/>
      </c>
      <c r="C55" s="250"/>
      <c r="D55" s="251"/>
      <c r="E55" s="241"/>
      <c r="F55" s="252"/>
      <c r="G55" s="252"/>
      <c r="H55" s="253"/>
      <c r="I55" s="250"/>
      <c r="J55" s="250"/>
      <c r="K55" s="270"/>
      <c r="L55" s="250"/>
      <c r="M55" s="250"/>
      <c r="N55" s="540" t="str">
        <f>CONCATENATE(IF(OR(M55=phu!$I$1,M55=phu!$I$2,M55=phu!$I$3),"Cam Thành Nam",""),IF(OR(M55=phu!$I$4,M55=phu!$I$5,M55=phu!$I$6,M55=phu!$I$7,M55=phu!$I$8,M55=phu!$I$9,M55=phu!$I$10,M55=phu!$I$11,M55=phu!$I$12,M55=phu!$I$13,M55=phu!$I$14),"Cam Nghĩa",""),IF(OR(M55=phu!$I$15,M55=phu!$I$16,M55=phu!$I$17,M55=phu!$I$18,M55=phu!$I$19,M55=phu!$I$20,M55=phu!$I$21),"Cam Phúc Bắc",""),IF(OR(M55=phu!$I$22,M55=phu!$I$23,M55=phu!$I$24,M55=phu!$I$25),"Cam Phúc Nam",""),IF(OR(M55=phu!$I$26,M55=phu!$I$27,M55=phu!$I$28,M55=phu!$I$29,M55=phu!$I$30,M55=phu!$I$31),"Cam Phú",""),IF(OR(M55=phu!$I$32,M55=phu!$I$33,M55=phu!$I$34,M55=phu!$I$35,M55=phu!$I$36,M55=phu!$I$37),"Cam Lộc",""),IF(OR(M55=phu!$I$38,M55=phu!$I$39,M55=phu!$I$40,M55=phu!$I$41,M55=phu!$I$42,M55=phu!$I$43,M55=phu!$I$44),"Cam Thuận",""),IF(OR(M55=phu!$I$45,M55=phu!$I$46,M55=phu!$I$47,M55=phu!$I$48,M55=phu!$I$49,M55=phu!$I$50,M55=phu!$I$51,M55=phu!$I$52,M55=phu!$I$53),"Cam Linh",""),IF(OR(M55=phu!$I$54,M55=phu!$I$55,M55=phu!$I$56,M55=phu!$I$57,M55=phu!$I$58,M55=phu!$I$59,M55=phu!$I$60,M55=phu!$I$61,M55=phu!$I$62),"Cam Lợi",""),IF(OR(M55=phu!$I$63,M55=phu!$I$64,M55=phu!$I$65,M55=phu!$I$66,M55=phu!$I$67,M55=phu!$I$68,M55=phu!$I$69,M55=phu!$I$70,M55=phu!$I$71),"Ba Ngòi",""),IF(OR(M55=phu!$I$72,M55=phu!$I$73,M55=phu!$I$74,M55=phu!$I$75,M55=phu!$I$76,M55=phu!$I$77,M55=phu!$I$78),"Cam Phước Đông",""),IF(OR(M55=phu!$I$79,M55=phu!$I$80,M55=phu!$I$81,M55=phu!$I$82,M55=phu!$I$83,M55=phu!$I$84),"Cam Thịnh Đông",""),IF(OR(M55=phu!$I$85,M55=phu!$I$86,M55=phu!$I$87,M55=phu!$I$88),"Cam Thịnh Tây",""),IF(OR(M55=phu!$I$89,M55=phu!$I$90),"Cam Lập",""),IF(OR(M55=phu!$I$91,M55=phu!$I$92,M55=phu!$I$93),"Cam Bình",""),IF(OR(M55=phu!$I$94,M55=phu!$I$95,M55=phu!$I$96,M55=phu!$I$97,M55=phu!$I$98,M55=phu!$I$99,M55=phu!$I$100),"Huyện khác",""),IF(OR(M55=phu!$I$101,M55=phu!$I$102),"Tỉnh khác",""))</f>
        <v/>
      </c>
      <c r="O55" s="829" t="str">
        <f t="shared" si="0"/>
        <v/>
      </c>
      <c r="P55" s="254"/>
      <c r="Q55" s="254"/>
      <c r="R55" s="254"/>
      <c r="S55" s="254"/>
      <c r="T55" s="254"/>
      <c r="U55" s="254"/>
      <c r="V55" s="254"/>
      <c r="W55" s="254"/>
      <c r="Y55" s="246" t="str">
        <f t="shared" si="1"/>
        <v/>
      </c>
      <c r="Z55" s="247" t="str">
        <f t="shared" si="2"/>
        <v/>
      </c>
      <c r="AA55" s="246" t="str">
        <f t="shared" si="3"/>
        <v/>
      </c>
    </row>
    <row r="56" spans="1:27" ht="18" customHeight="1" x14ac:dyDescent="0.25">
      <c r="A56" s="248" t="str">
        <f t="shared" si="4"/>
        <v/>
      </c>
      <c r="B56" s="249" t="str">
        <f t="shared" si="5"/>
        <v/>
      </c>
      <c r="C56" s="250"/>
      <c r="D56" s="251"/>
      <c r="E56" s="241"/>
      <c r="F56" s="252"/>
      <c r="G56" s="252"/>
      <c r="H56" s="253"/>
      <c r="I56" s="250"/>
      <c r="J56" s="250"/>
      <c r="K56" s="270"/>
      <c r="L56" s="250"/>
      <c r="M56" s="250"/>
      <c r="N56" s="540" t="str">
        <f>CONCATENATE(IF(OR(M56=phu!$I$1,M56=phu!$I$2,M56=phu!$I$3),"Cam Thành Nam",""),IF(OR(M56=phu!$I$4,M56=phu!$I$5,M56=phu!$I$6,M56=phu!$I$7,M56=phu!$I$8,M56=phu!$I$9,M56=phu!$I$10,M56=phu!$I$11,M56=phu!$I$12,M56=phu!$I$13,M56=phu!$I$14),"Cam Nghĩa",""),IF(OR(M56=phu!$I$15,M56=phu!$I$16,M56=phu!$I$17,M56=phu!$I$18,M56=phu!$I$19,M56=phu!$I$20,M56=phu!$I$21),"Cam Phúc Bắc",""),IF(OR(M56=phu!$I$22,M56=phu!$I$23,M56=phu!$I$24,M56=phu!$I$25),"Cam Phúc Nam",""),IF(OR(M56=phu!$I$26,M56=phu!$I$27,M56=phu!$I$28,M56=phu!$I$29,M56=phu!$I$30,M56=phu!$I$31),"Cam Phú",""),IF(OR(M56=phu!$I$32,M56=phu!$I$33,M56=phu!$I$34,M56=phu!$I$35,M56=phu!$I$36,M56=phu!$I$37),"Cam Lộc",""),IF(OR(M56=phu!$I$38,M56=phu!$I$39,M56=phu!$I$40,M56=phu!$I$41,M56=phu!$I$42,M56=phu!$I$43,M56=phu!$I$44),"Cam Thuận",""),IF(OR(M56=phu!$I$45,M56=phu!$I$46,M56=phu!$I$47,M56=phu!$I$48,M56=phu!$I$49,M56=phu!$I$50,M56=phu!$I$51,M56=phu!$I$52,M56=phu!$I$53),"Cam Linh",""),IF(OR(M56=phu!$I$54,M56=phu!$I$55,M56=phu!$I$56,M56=phu!$I$57,M56=phu!$I$58,M56=phu!$I$59,M56=phu!$I$60,M56=phu!$I$61,M56=phu!$I$62),"Cam Lợi",""),IF(OR(M56=phu!$I$63,M56=phu!$I$64,M56=phu!$I$65,M56=phu!$I$66,M56=phu!$I$67,M56=phu!$I$68,M56=phu!$I$69,M56=phu!$I$70,M56=phu!$I$71),"Ba Ngòi",""),IF(OR(M56=phu!$I$72,M56=phu!$I$73,M56=phu!$I$74,M56=phu!$I$75,M56=phu!$I$76,M56=phu!$I$77,M56=phu!$I$78),"Cam Phước Đông",""),IF(OR(M56=phu!$I$79,M56=phu!$I$80,M56=phu!$I$81,M56=phu!$I$82,M56=phu!$I$83,M56=phu!$I$84),"Cam Thịnh Đông",""),IF(OR(M56=phu!$I$85,M56=phu!$I$86,M56=phu!$I$87,M56=phu!$I$88),"Cam Thịnh Tây",""),IF(OR(M56=phu!$I$89,M56=phu!$I$90),"Cam Lập",""),IF(OR(M56=phu!$I$91,M56=phu!$I$92,M56=phu!$I$93),"Cam Bình",""),IF(OR(M56=phu!$I$94,M56=phu!$I$95,M56=phu!$I$96,M56=phu!$I$97,M56=phu!$I$98,M56=phu!$I$99,M56=phu!$I$100),"Huyện khác",""),IF(OR(M56=phu!$I$101,M56=phu!$I$102),"Tỉnh khác",""))</f>
        <v/>
      </c>
      <c r="O56" s="829" t="str">
        <f t="shared" si="0"/>
        <v/>
      </c>
      <c r="P56" s="254"/>
      <c r="Q56" s="254"/>
      <c r="R56" s="254"/>
      <c r="S56" s="254"/>
      <c r="T56" s="254"/>
      <c r="U56" s="254"/>
      <c r="V56" s="254"/>
      <c r="W56" s="254"/>
      <c r="Y56" s="246" t="str">
        <f t="shared" si="1"/>
        <v/>
      </c>
      <c r="Z56" s="247" t="str">
        <f t="shared" si="2"/>
        <v/>
      </c>
      <c r="AA56" s="246" t="str">
        <f t="shared" si="3"/>
        <v/>
      </c>
    </row>
    <row r="57" spans="1:27" ht="18" customHeight="1" x14ac:dyDescent="0.25">
      <c r="A57" s="248" t="str">
        <f t="shared" si="4"/>
        <v/>
      </c>
      <c r="B57" s="249" t="str">
        <f t="shared" si="5"/>
        <v/>
      </c>
      <c r="C57" s="250"/>
      <c r="D57" s="251"/>
      <c r="E57" s="241"/>
      <c r="F57" s="252"/>
      <c r="G57" s="252"/>
      <c r="H57" s="253"/>
      <c r="I57" s="250"/>
      <c r="J57" s="250"/>
      <c r="K57" s="270"/>
      <c r="L57" s="250"/>
      <c r="M57" s="250"/>
      <c r="N57" s="540" t="str">
        <f>CONCATENATE(IF(OR(M57=phu!$I$1,M57=phu!$I$2,M57=phu!$I$3),"Cam Thành Nam",""),IF(OR(M57=phu!$I$4,M57=phu!$I$5,M57=phu!$I$6,M57=phu!$I$7,M57=phu!$I$8,M57=phu!$I$9,M57=phu!$I$10,M57=phu!$I$11,M57=phu!$I$12,M57=phu!$I$13,M57=phu!$I$14),"Cam Nghĩa",""),IF(OR(M57=phu!$I$15,M57=phu!$I$16,M57=phu!$I$17,M57=phu!$I$18,M57=phu!$I$19,M57=phu!$I$20,M57=phu!$I$21),"Cam Phúc Bắc",""),IF(OR(M57=phu!$I$22,M57=phu!$I$23,M57=phu!$I$24,M57=phu!$I$25),"Cam Phúc Nam",""),IF(OR(M57=phu!$I$26,M57=phu!$I$27,M57=phu!$I$28,M57=phu!$I$29,M57=phu!$I$30,M57=phu!$I$31),"Cam Phú",""),IF(OR(M57=phu!$I$32,M57=phu!$I$33,M57=phu!$I$34,M57=phu!$I$35,M57=phu!$I$36,M57=phu!$I$37),"Cam Lộc",""),IF(OR(M57=phu!$I$38,M57=phu!$I$39,M57=phu!$I$40,M57=phu!$I$41,M57=phu!$I$42,M57=phu!$I$43,M57=phu!$I$44),"Cam Thuận",""),IF(OR(M57=phu!$I$45,M57=phu!$I$46,M57=phu!$I$47,M57=phu!$I$48,M57=phu!$I$49,M57=phu!$I$50,M57=phu!$I$51,M57=phu!$I$52,M57=phu!$I$53),"Cam Linh",""),IF(OR(M57=phu!$I$54,M57=phu!$I$55,M57=phu!$I$56,M57=phu!$I$57,M57=phu!$I$58,M57=phu!$I$59,M57=phu!$I$60,M57=phu!$I$61,M57=phu!$I$62),"Cam Lợi",""),IF(OR(M57=phu!$I$63,M57=phu!$I$64,M57=phu!$I$65,M57=phu!$I$66,M57=phu!$I$67,M57=phu!$I$68,M57=phu!$I$69,M57=phu!$I$70,M57=phu!$I$71),"Ba Ngòi",""),IF(OR(M57=phu!$I$72,M57=phu!$I$73,M57=phu!$I$74,M57=phu!$I$75,M57=phu!$I$76,M57=phu!$I$77,M57=phu!$I$78),"Cam Phước Đông",""),IF(OR(M57=phu!$I$79,M57=phu!$I$80,M57=phu!$I$81,M57=phu!$I$82,M57=phu!$I$83,M57=phu!$I$84),"Cam Thịnh Đông",""),IF(OR(M57=phu!$I$85,M57=phu!$I$86,M57=phu!$I$87,M57=phu!$I$88),"Cam Thịnh Tây",""),IF(OR(M57=phu!$I$89,M57=phu!$I$90),"Cam Lập",""),IF(OR(M57=phu!$I$91,M57=phu!$I$92,M57=phu!$I$93),"Cam Bình",""),IF(OR(M57=phu!$I$94,M57=phu!$I$95,M57=phu!$I$96,M57=phu!$I$97,M57=phu!$I$98,M57=phu!$I$99,M57=phu!$I$100),"Huyện khác",""),IF(OR(M57=phu!$I$101,M57=phu!$I$102),"Tỉnh khác",""))</f>
        <v/>
      </c>
      <c r="O57" s="829" t="str">
        <f t="shared" si="0"/>
        <v/>
      </c>
      <c r="P57" s="254"/>
      <c r="Q57" s="254"/>
      <c r="R57" s="254"/>
      <c r="S57" s="254"/>
      <c r="T57" s="254"/>
      <c r="U57" s="254"/>
      <c r="V57" s="254"/>
      <c r="W57" s="254"/>
      <c r="Y57" s="246" t="str">
        <f t="shared" si="1"/>
        <v/>
      </c>
      <c r="Z57" s="247" t="str">
        <f t="shared" si="2"/>
        <v/>
      </c>
      <c r="AA57" s="246" t="str">
        <f t="shared" si="3"/>
        <v/>
      </c>
    </row>
    <row r="58" spans="1:27" ht="18" customHeight="1" x14ac:dyDescent="0.25">
      <c r="A58" s="248" t="str">
        <f t="shared" si="4"/>
        <v/>
      </c>
      <c r="B58" s="249" t="str">
        <f t="shared" si="5"/>
        <v/>
      </c>
      <c r="C58" s="250"/>
      <c r="D58" s="251"/>
      <c r="E58" s="241"/>
      <c r="F58" s="252"/>
      <c r="G58" s="252"/>
      <c r="H58" s="253"/>
      <c r="I58" s="250"/>
      <c r="J58" s="250"/>
      <c r="K58" s="270"/>
      <c r="L58" s="250"/>
      <c r="M58" s="250"/>
      <c r="N58" s="540" t="str">
        <f>CONCATENATE(IF(OR(M58=phu!$I$1,M58=phu!$I$2,M58=phu!$I$3),"Cam Thành Nam",""),IF(OR(M58=phu!$I$4,M58=phu!$I$5,M58=phu!$I$6,M58=phu!$I$7,M58=phu!$I$8,M58=phu!$I$9,M58=phu!$I$10,M58=phu!$I$11,M58=phu!$I$12,M58=phu!$I$13,M58=phu!$I$14),"Cam Nghĩa",""),IF(OR(M58=phu!$I$15,M58=phu!$I$16,M58=phu!$I$17,M58=phu!$I$18,M58=phu!$I$19,M58=phu!$I$20,M58=phu!$I$21),"Cam Phúc Bắc",""),IF(OR(M58=phu!$I$22,M58=phu!$I$23,M58=phu!$I$24,M58=phu!$I$25),"Cam Phúc Nam",""),IF(OR(M58=phu!$I$26,M58=phu!$I$27,M58=phu!$I$28,M58=phu!$I$29,M58=phu!$I$30,M58=phu!$I$31),"Cam Phú",""),IF(OR(M58=phu!$I$32,M58=phu!$I$33,M58=phu!$I$34,M58=phu!$I$35,M58=phu!$I$36,M58=phu!$I$37),"Cam Lộc",""),IF(OR(M58=phu!$I$38,M58=phu!$I$39,M58=phu!$I$40,M58=phu!$I$41,M58=phu!$I$42,M58=phu!$I$43,M58=phu!$I$44),"Cam Thuận",""),IF(OR(M58=phu!$I$45,M58=phu!$I$46,M58=phu!$I$47,M58=phu!$I$48,M58=phu!$I$49,M58=phu!$I$50,M58=phu!$I$51,M58=phu!$I$52,M58=phu!$I$53),"Cam Linh",""),IF(OR(M58=phu!$I$54,M58=phu!$I$55,M58=phu!$I$56,M58=phu!$I$57,M58=phu!$I$58,M58=phu!$I$59,M58=phu!$I$60,M58=phu!$I$61,M58=phu!$I$62),"Cam Lợi",""),IF(OR(M58=phu!$I$63,M58=phu!$I$64,M58=phu!$I$65,M58=phu!$I$66,M58=phu!$I$67,M58=phu!$I$68,M58=phu!$I$69,M58=phu!$I$70,M58=phu!$I$71),"Ba Ngòi",""),IF(OR(M58=phu!$I$72,M58=phu!$I$73,M58=phu!$I$74,M58=phu!$I$75,M58=phu!$I$76,M58=phu!$I$77,M58=phu!$I$78),"Cam Phước Đông",""),IF(OR(M58=phu!$I$79,M58=phu!$I$80,M58=phu!$I$81,M58=phu!$I$82,M58=phu!$I$83,M58=phu!$I$84),"Cam Thịnh Đông",""),IF(OR(M58=phu!$I$85,M58=phu!$I$86,M58=phu!$I$87,M58=phu!$I$88),"Cam Thịnh Tây",""),IF(OR(M58=phu!$I$89,M58=phu!$I$90),"Cam Lập",""),IF(OR(M58=phu!$I$91,M58=phu!$I$92,M58=phu!$I$93),"Cam Bình",""),IF(OR(M58=phu!$I$94,M58=phu!$I$95,M58=phu!$I$96,M58=phu!$I$97,M58=phu!$I$98,M58=phu!$I$99,M58=phu!$I$100),"Huyện khác",""),IF(OR(M58=phu!$I$101,M58=phu!$I$102),"Tỉnh khác",""))</f>
        <v/>
      </c>
      <c r="O58" s="829" t="str">
        <f t="shared" si="0"/>
        <v/>
      </c>
      <c r="P58" s="254"/>
      <c r="Q58" s="254"/>
      <c r="R58" s="254"/>
      <c r="S58" s="254"/>
      <c r="T58" s="254"/>
      <c r="U58" s="254"/>
      <c r="V58" s="254"/>
      <c r="W58" s="254"/>
      <c r="Y58" s="246" t="str">
        <f t="shared" si="1"/>
        <v/>
      </c>
      <c r="Z58" s="247" t="str">
        <f t="shared" si="2"/>
        <v/>
      </c>
      <c r="AA58" s="246" t="str">
        <f t="shared" si="3"/>
        <v/>
      </c>
    </row>
    <row r="59" spans="1:27" ht="18" customHeight="1" x14ac:dyDescent="0.25">
      <c r="A59" s="248" t="str">
        <f t="shared" si="4"/>
        <v/>
      </c>
      <c r="B59" s="249" t="str">
        <f t="shared" si="5"/>
        <v/>
      </c>
      <c r="C59" s="250"/>
      <c r="D59" s="251"/>
      <c r="E59" s="241"/>
      <c r="F59" s="252"/>
      <c r="G59" s="252"/>
      <c r="H59" s="253"/>
      <c r="I59" s="250"/>
      <c r="J59" s="250"/>
      <c r="K59" s="270"/>
      <c r="L59" s="250"/>
      <c r="M59" s="250"/>
      <c r="N59" s="540" t="str">
        <f>CONCATENATE(IF(OR(M59=phu!$I$1,M59=phu!$I$2,M59=phu!$I$3),"Cam Thành Nam",""),IF(OR(M59=phu!$I$4,M59=phu!$I$5,M59=phu!$I$6,M59=phu!$I$7,M59=phu!$I$8,M59=phu!$I$9,M59=phu!$I$10,M59=phu!$I$11,M59=phu!$I$12,M59=phu!$I$13,M59=phu!$I$14),"Cam Nghĩa",""),IF(OR(M59=phu!$I$15,M59=phu!$I$16,M59=phu!$I$17,M59=phu!$I$18,M59=phu!$I$19,M59=phu!$I$20,M59=phu!$I$21),"Cam Phúc Bắc",""),IF(OR(M59=phu!$I$22,M59=phu!$I$23,M59=phu!$I$24,M59=phu!$I$25),"Cam Phúc Nam",""),IF(OR(M59=phu!$I$26,M59=phu!$I$27,M59=phu!$I$28,M59=phu!$I$29,M59=phu!$I$30,M59=phu!$I$31),"Cam Phú",""),IF(OR(M59=phu!$I$32,M59=phu!$I$33,M59=phu!$I$34,M59=phu!$I$35,M59=phu!$I$36,M59=phu!$I$37),"Cam Lộc",""),IF(OR(M59=phu!$I$38,M59=phu!$I$39,M59=phu!$I$40,M59=phu!$I$41,M59=phu!$I$42,M59=phu!$I$43,M59=phu!$I$44),"Cam Thuận",""),IF(OR(M59=phu!$I$45,M59=phu!$I$46,M59=phu!$I$47,M59=phu!$I$48,M59=phu!$I$49,M59=phu!$I$50,M59=phu!$I$51,M59=phu!$I$52,M59=phu!$I$53),"Cam Linh",""),IF(OR(M59=phu!$I$54,M59=phu!$I$55,M59=phu!$I$56,M59=phu!$I$57,M59=phu!$I$58,M59=phu!$I$59,M59=phu!$I$60,M59=phu!$I$61,M59=phu!$I$62),"Cam Lợi",""),IF(OR(M59=phu!$I$63,M59=phu!$I$64,M59=phu!$I$65,M59=phu!$I$66,M59=phu!$I$67,M59=phu!$I$68,M59=phu!$I$69,M59=phu!$I$70,M59=phu!$I$71),"Ba Ngòi",""),IF(OR(M59=phu!$I$72,M59=phu!$I$73,M59=phu!$I$74,M59=phu!$I$75,M59=phu!$I$76,M59=phu!$I$77,M59=phu!$I$78),"Cam Phước Đông",""),IF(OR(M59=phu!$I$79,M59=phu!$I$80,M59=phu!$I$81,M59=phu!$I$82,M59=phu!$I$83,M59=phu!$I$84),"Cam Thịnh Đông",""),IF(OR(M59=phu!$I$85,M59=phu!$I$86,M59=phu!$I$87,M59=phu!$I$88),"Cam Thịnh Tây",""),IF(OR(M59=phu!$I$89,M59=phu!$I$90),"Cam Lập",""),IF(OR(M59=phu!$I$91,M59=phu!$I$92,M59=phu!$I$93),"Cam Bình",""),IF(OR(M59=phu!$I$94,M59=phu!$I$95,M59=phu!$I$96,M59=phu!$I$97,M59=phu!$I$98,M59=phu!$I$99,M59=phu!$I$100),"Huyện khác",""),IF(OR(M59=phu!$I$101,M59=phu!$I$102),"Tỉnh khác",""))</f>
        <v/>
      </c>
      <c r="O59" s="829" t="str">
        <f t="shared" si="0"/>
        <v/>
      </c>
      <c r="P59" s="254"/>
      <c r="Q59" s="254"/>
      <c r="R59" s="254"/>
      <c r="S59" s="254"/>
      <c r="T59" s="254"/>
      <c r="U59" s="254"/>
      <c r="V59" s="254"/>
      <c r="W59" s="254"/>
      <c r="Y59" s="246" t="str">
        <f t="shared" si="1"/>
        <v/>
      </c>
      <c r="Z59" s="247" t="str">
        <f t="shared" si="2"/>
        <v/>
      </c>
      <c r="AA59" s="246" t="str">
        <f t="shared" si="3"/>
        <v/>
      </c>
    </row>
    <row r="60" spans="1:27" ht="18" customHeight="1" x14ac:dyDescent="0.25">
      <c r="A60" s="248" t="str">
        <f t="shared" si="4"/>
        <v/>
      </c>
      <c r="B60" s="249" t="str">
        <f t="shared" si="5"/>
        <v/>
      </c>
      <c r="C60" s="250"/>
      <c r="D60" s="251"/>
      <c r="E60" s="241"/>
      <c r="F60" s="252"/>
      <c r="G60" s="252"/>
      <c r="H60" s="253"/>
      <c r="I60" s="250"/>
      <c r="J60" s="250"/>
      <c r="K60" s="270"/>
      <c r="L60" s="250"/>
      <c r="M60" s="250"/>
      <c r="N60" s="540" t="str">
        <f>CONCATENATE(IF(OR(M60=phu!$I$1,M60=phu!$I$2,M60=phu!$I$3),"Cam Thành Nam",""),IF(OR(M60=phu!$I$4,M60=phu!$I$5,M60=phu!$I$6,M60=phu!$I$7,M60=phu!$I$8,M60=phu!$I$9,M60=phu!$I$10,M60=phu!$I$11,M60=phu!$I$12,M60=phu!$I$13,M60=phu!$I$14),"Cam Nghĩa",""),IF(OR(M60=phu!$I$15,M60=phu!$I$16,M60=phu!$I$17,M60=phu!$I$18,M60=phu!$I$19,M60=phu!$I$20,M60=phu!$I$21),"Cam Phúc Bắc",""),IF(OR(M60=phu!$I$22,M60=phu!$I$23,M60=phu!$I$24,M60=phu!$I$25),"Cam Phúc Nam",""),IF(OR(M60=phu!$I$26,M60=phu!$I$27,M60=phu!$I$28,M60=phu!$I$29,M60=phu!$I$30,M60=phu!$I$31),"Cam Phú",""),IF(OR(M60=phu!$I$32,M60=phu!$I$33,M60=phu!$I$34,M60=phu!$I$35,M60=phu!$I$36,M60=phu!$I$37),"Cam Lộc",""),IF(OR(M60=phu!$I$38,M60=phu!$I$39,M60=phu!$I$40,M60=phu!$I$41,M60=phu!$I$42,M60=phu!$I$43,M60=phu!$I$44),"Cam Thuận",""),IF(OR(M60=phu!$I$45,M60=phu!$I$46,M60=phu!$I$47,M60=phu!$I$48,M60=phu!$I$49,M60=phu!$I$50,M60=phu!$I$51,M60=phu!$I$52,M60=phu!$I$53),"Cam Linh",""),IF(OR(M60=phu!$I$54,M60=phu!$I$55,M60=phu!$I$56,M60=phu!$I$57,M60=phu!$I$58,M60=phu!$I$59,M60=phu!$I$60,M60=phu!$I$61,M60=phu!$I$62),"Cam Lợi",""),IF(OR(M60=phu!$I$63,M60=phu!$I$64,M60=phu!$I$65,M60=phu!$I$66,M60=phu!$I$67,M60=phu!$I$68,M60=phu!$I$69,M60=phu!$I$70,M60=phu!$I$71),"Ba Ngòi",""),IF(OR(M60=phu!$I$72,M60=phu!$I$73,M60=phu!$I$74,M60=phu!$I$75,M60=phu!$I$76,M60=phu!$I$77,M60=phu!$I$78),"Cam Phước Đông",""),IF(OR(M60=phu!$I$79,M60=phu!$I$80,M60=phu!$I$81,M60=phu!$I$82,M60=phu!$I$83,M60=phu!$I$84),"Cam Thịnh Đông",""),IF(OR(M60=phu!$I$85,M60=phu!$I$86,M60=phu!$I$87,M60=phu!$I$88),"Cam Thịnh Tây",""),IF(OR(M60=phu!$I$89,M60=phu!$I$90),"Cam Lập",""),IF(OR(M60=phu!$I$91,M60=phu!$I$92,M60=phu!$I$93),"Cam Bình",""),IF(OR(M60=phu!$I$94,M60=phu!$I$95,M60=phu!$I$96,M60=phu!$I$97,M60=phu!$I$98,M60=phu!$I$99,M60=phu!$I$100),"Huyện khác",""),IF(OR(M60=phu!$I$101,M60=phu!$I$102),"Tỉnh khác",""))</f>
        <v/>
      </c>
      <c r="O60" s="829" t="str">
        <f t="shared" si="0"/>
        <v/>
      </c>
      <c r="P60" s="254"/>
      <c r="Q60" s="254"/>
      <c r="R60" s="254"/>
      <c r="S60" s="254"/>
      <c r="T60" s="254"/>
      <c r="U60" s="254"/>
      <c r="V60" s="254"/>
      <c r="W60" s="254"/>
      <c r="Y60" s="246" t="str">
        <f t="shared" si="1"/>
        <v/>
      </c>
      <c r="Z60" s="247" t="str">
        <f t="shared" si="2"/>
        <v/>
      </c>
      <c r="AA60" s="246" t="str">
        <f t="shared" si="3"/>
        <v/>
      </c>
    </row>
    <row r="61" spans="1:27" ht="18" customHeight="1" x14ac:dyDescent="0.25">
      <c r="A61" s="248" t="str">
        <f t="shared" si="4"/>
        <v/>
      </c>
      <c r="B61" s="249" t="str">
        <f t="shared" si="5"/>
        <v/>
      </c>
      <c r="C61" s="250"/>
      <c r="D61" s="251"/>
      <c r="E61" s="241"/>
      <c r="F61" s="252"/>
      <c r="G61" s="252"/>
      <c r="H61" s="253"/>
      <c r="I61" s="250"/>
      <c r="J61" s="250"/>
      <c r="K61" s="270"/>
      <c r="L61" s="250"/>
      <c r="M61" s="250"/>
      <c r="N61" s="540" t="str">
        <f>CONCATENATE(IF(OR(M61=phu!$I$1,M61=phu!$I$2,M61=phu!$I$3),"Cam Thành Nam",""),IF(OR(M61=phu!$I$4,M61=phu!$I$5,M61=phu!$I$6,M61=phu!$I$7,M61=phu!$I$8,M61=phu!$I$9,M61=phu!$I$10,M61=phu!$I$11,M61=phu!$I$12,M61=phu!$I$13,M61=phu!$I$14),"Cam Nghĩa",""),IF(OR(M61=phu!$I$15,M61=phu!$I$16,M61=phu!$I$17,M61=phu!$I$18,M61=phu!$I$19,M61=phu!$I$20,M61=phu!$I$21),"Cam Phúc Bắc",""),IF(OR(M61=phu!$I$22,M61=phu!$I$23,M61=phu!$I$24,M61=phu!$I$25),"Cam Phúc Nam",""),IF(OR(M61=phu!$I$26,M61=phu!$I$27,M61=phu!$I$28,M61=phu!$I$29,M61=phu!$I$30,M61=phu!$I$31),"Cam Phú",""),IF(OR(M61=phu!$I$32,M61=phu!$I$33,M61=phu!$I$34,M61=phu!$I$35,M61=phu!$I$36,M61=phu!$I$37),"Cam Lộc",""),IF(OR(M61=phu!$I$38,M61=phu!$I$39,M61=phu!$I$40,M61=phu!$I$41,M61=phu!$I$42,M61=phu!$I$43,M61=phu!$I$44),"Cam Thuận",""),IF(OR(M61=phu!$I$45,M61=phu!$I$46,M61=phu!$I$47,M61=phu!$I$48,M61=phu!$I$49,M61=phu!$I$50,M61=phu!$I$51,M61=phu!$I$52,M61=phu!$I$53),"Cam Linh",""),IF(OR(M61=phu!$I$54,M61=phu!$I$55,M61=phu!$I$56,M61=phu!$I$57,M61=phu!$I$58,M61=phu!$I$59,M61=phu!$I$60,M61=phu!$I$61,M61=phu!$I$62),"Cam Lợi",""),IF(OR(M61=phu!$I$63,M61=phu!$I$64,M61=phu!$I$65,M61=phu!$I$66,M61=phu!$I$67,M61=phu!$I$68,M61=phu!$I$69,M61=phu!$I$70,M61=phu!$I$71),"Ba Ngòi",""),IF(OR(M61=phu!$I$72,M61=phu!$I$73,M61=phu!$I$74,M61=phu!$I$75,M61=phu!$I$76,M61=phu!$I$77,M61=phu!$I$78),"Cam Phước Đông",""),IF(OR(M61=phu!$I$79,M61=phu!$I$80,M61=phu!$I$81,M61=phu!$I$82,M61=phu!$I$83,M61=phu!$I$84),"Cam Thịnh Đông",""),IF(OR(M61=phu!$I$85,M61=phu!$I$86,M61=phu!$I$87,M61=phu!$I$88),"Cam Thịnh Tây",""),IF(OR(M61=phu!$I$89,M61=phu!$I$90),"Cam Lập",""),IF(OR(M61=phu!$I$91,M61=phu!$I$92,M61=phu!$I$93),"Cam Bình",""),IF(OR(M61=phu!$I$94,M61=phu!$I$95,M61=phu!$I$96,M61=phu!$I$97,M61=phu!$I$98,M61=phu!$I$99,M61=phu!$I$100),"Huyện khác",""),IF(OR(M61=phu!$I$101,M61=phu!$I$102),"Tỉnh khác",""))</f>
        <v/>
      </c>
      <c r="O61" s="829" t="str">
        <f t="shared" si="0"/>
        <v/>
      </c>
      <c r="P61" s="254"/>
      <c r="Q61" s="254"/>
      <c r="R61" s="254"/>
      <c r="S61" s="254"/>
      <c r="T61" s="254"/>
      <c r="U61" s="254"/>
      <c r="V61" s="254"/>
      <c r="W61" s="254"/>
      <c r="Y61" s="246" t="str">
        <f t="shared" si="1"/>
        <v/>
      </c>
      <c r="Z61" s="247" t="str">
        <f t="shared" si="2"/>
        <v/>
      </c>
      <c r="AA61" s="246" t="str">
        <f t="shared" si="3"/>
        <v/>
      </c>
    </row>
    <row r="62" spans="1:27" ht="18" customHeight="1" x14ac:dyDescent="0.25">
      <c r="A62" s="248" t="str">
        <f t="shared" si="4"/>
        <v/>
      </c>
      <c r="B62" s="249" t="str">
        <f t="shared" si="5"/>
        <v/>
      </c>
      <c r="C62" s="250"/>
      <c r="D62" s="251"/>
      <c r="E62" s="241"/>
      <c r="F62" s="252"/>
      <c r="G62" s="252"/>
      <c r="H62" s="253"/>
      <c r="I62" s="250"/>
      <c r="J62" s="250"/>
      <c r="K62" s="270"/>
      <c r="L62" s="250"/>
      <c r="M62" s="250"/>
      <c r="N62" s="540" t="str">
        <f>CONCATENATE(IF(OR(M62=phu!$I$1,M62=phu!$I$2,M62=phu!$I$3),"Cam Thành Nam",""),IF(OR(M62=phu!$I$4,M62=phu!$I$5,M62=phu!$I$6,M62=phu!$I$7,M62=phu!$I$8,M62=phu!$I$9,M62=phu!$I$10,M62=phu!$I$11,M62=phu!$I$12,M62=phu!$I$13,M62=phu!$I$14),"Cam Nghĩa",""),IF(OR(M62=phu!$I$15,M62=phu!$I$16,M62=phu!$I$17,M62=phu!$I$18,M62=phu!$I$19,M62=phu!$I$20,M62=phu!$I$21),"Cam Phúc Bắc",""),IF(OR(M62=phu!$I$22,M62=phu!$I$23,M62=phu!$I$24,M62=phu!$I$25),"Cam Phúc Nam",""),IF(OR(M62=phu!$I$26,M62=phu!$I$27,M62=phu!$I$28,M62=phu!$I$29,M62=phu!$I$30,M62=phu!$I$31),"Cam Phú",""),IF(OR(M62=phu!$I$32,M62=phu!$I$33,M62=phu!$I$34,M62=phu!$I$35,M62=phu!$I$36,M62=phu!$I$37),"Cam Lộc",""),IF(OR(M62=phu!$I$38,M62=phu!$I$39,M62=phu!$I$40,M62=phu!$I$41,M62=phu!$I$42,M62=phu!$I$43,M62=phu!$I$44),"Cam Thuận",""),IF(OR(M62=phu!$I$45,M62=phu!$I$46,M62=phu!$I$47,M62=phu!$I$48,M62=phu!$I$49,M62=phu!$I$50,M62=phu!$I$51,M62=phu!$I$52,M62=phu!$I$53),"Cam Linh",""),IF(OR(M62=phu!$I$54,M62=phu!$I$55,M62=phu!$I$56,M62=phu!$I$57,M62=phu!$I$58,M62=phu!$I$59,M62=phu!$I$60,M62=phu!$I$61,M62=phu!$I$62),"Cam Lợi",""),IF(OR(M62=phu!$I$63,M62=phu!$I$64,M62=phu!$I$65,M62=phu!$I$66,M62=phu!$I$67,M62=phu!$I$68,M62=phu!$I$69,M62=phu!$I$70,M62=phu!$I$71),"Ba Ngòi",""),IF(OR(M62=phu!$I$72,M62=phu!$I$73,M62=phu!$I$74,M62=phu!$I$75,M62=phu!$I$76,M62=phu!$I$77,M62=phu!$I$78),"Cam Phước Đông",""),IF(OR(M62=phu!$I$79,M62=phu!$I$80,M62=phu!$I$81,M62=phu!$I$82,M62=phu!$I$83,M62=phu!$I$84),"Cam Thịnh Đông",""),IF(OR(M62=phu!$I$85,M62=phu!$I$86,M62=phu!$I$87,M62=phu!$I$88),"Cam Thịnh Tây",""),IF(OR(M62=phu!$I$89,M62=phu!$I$90),"Cam Lập",""),IF(OR(M62=phu!$I$91,M62=phu!$I$92,M62=phu!$I$93),"Cam Bình",""),IF(OR(M62=phu!$I$94,M62=phu!$I$95,M62=phu!$I$96,M62=phu!$I$97,M62=phu!$I$98,M62=phu!$I$99,M62=phu!$I$100),"Huyện khác",""),IF(OR(M62=phu!$I$101,M62=phu!$I$102),"Tỉnh khác",""))</f>
        <v/>
      </c>
      <c r="O62" s="829" t="str">
        <f t="shared" si="0"/>
        <v/>
      </c>
      <c r="P62" s="254"/>
      <c r="Q62" s="254"/>
      <c r="R62" s="254"/>
      <c r="S62" s="254"/>
      <c r="T62" s="254"/>
      <c r="U62" s="254"/>
      <c r="V62" s="254"/>
      <c r="W62" s="254"/>
      <c r="Y62" s="246" t="str">
        <f t="shared" si="1"/>
        <v/>
      </c>
      <c r="Z62" s="247" t="str">
        <f t="shared" si="2"/>
        <v/>
      </c>
      <c r="AA62" s="246" t="str">
        <f t="shared" si="3"/>
        <v/>
      </c>
    </row>
    <row r="63" spans="1:27" ht="18" customHeight="1" x14ac:dyDescent="0.25">
      <c r="A63" s="248" t="str">
        <f t="shared" si="4"/>
        <v/>
      </c>
      <c r="B63" s="249" t="str">
        <f t="shared" si="5"/>
        <v/>
      </c>
      <c r="C63" s="250"/>
      <c r="D63" s="251"/>
      <c r="E63" s="241"/>
      <c r="F63" s="252"/>
      <c r="G63" s="252"/>
      <c r="H63" s="253"/>
      <c r="I63" s="250"/>
      <c r="J63" s="250"/>
      <c r="K63" s="270"/>
      <c r="L63" s="250"/>
      <c r="M63" s="250"/>
      <c r="N63" s="540" t="str">
        <f>CONCATENATE(IF(OR(M63=phu!$I$1,M63=phu!$I$2,M63=phu!$I$3),"Cam Thành Nam",""),IF(OR(M63=phu!$I$4,M63=phu!$I$5,M63=phu!$I$6,M63=phu!$I$7,M63=phu!$I$8,M63=phu!$I$9,M63=phu!$I$10,M63=phu!$I$11,M63=phu!$I$12,M63=phu!$I$13,M63=phu!$I$14),"Cam Nghĩa",""),IF(OR(M63=phu!$I$15,M63=phu!$I$16,M63=phu!$I$17,M63=phu!$I$18,M63=phu!$I$19,M63=phu!$I$20,M63=phu!$I$21),"Cam Phúc Bắc",""),IF(OR(M63=phu!$I$22,M63=phu!$I$23,M63=phu!$I$24,M63=phu!$I$25),"Cam Phúc Nam",""),IF(OR(M63=phu!$I$26,M63=phu!$I$27,M63=phu!$I$28,M63=phu!$I$29,M63=phu!$I$30,M63=phu!$I$31),"Cam Phú",""),IF(OR(M63=phu!$I$32,M63=phu!$I$33,M63=phu!$I$34,M63=phu!$I$35,M63=phu!$I$36,M63=phu!$I$37),"Cam Lộc",""),IF(OR(M63=phu!$I$38,M63=phu!$I$39,M63=phu!$I$40,M63=phu!$I$41,M63=phu!$I$42,M63=phu!$I$43,M63=phu!$I$44),"Cam Thuận",""),IF(OR(M63=phu!$I$45,M63=phu!$I$46,M63=phu!$I$47,M63=phu!$I$48,M63=phu!$I$49,M63=phu!$I$50,M63=phu!$I$51,M63=phu!$I$52,M63=phu!$I$53),"Cam Linh",""),IF(OR(M63=phu!$I$54,M63=phu!$I$55,M63=phu!$I$56,M63=phu!$I$57,M63=phu!$I$58,M63=phu!$I$59,M63=phu!$I$60,M63=phu!$I$61,M63=phu!$I$62),"Cam Lợi",""),IF(OR(M63=phu!$I$63,M63=phu!$I$64,M63=phu!$I$65,M63=phu!$I$66,M63=phu!$I$67,M63=phu!$I$68,M63=phu!$I$69,M63=phu!$I$70,M63=phu!$I$71),"Ba Ngòi",""),IF(OR(M63=phu!$I$72,M63=phu!$I$73,M63=phu!$I$74,M63=phu!$I$75,M63=phu!$I$76,M63=phu!$I$77,M63=phu!$I$78),"Cam Phước Đông",""),IF(OR(M63=phu!$I$79,M63=phu!$I$80,M63=phu!$I$81,M63=phu!$I$82,M63=phu!$I$83,M63=phu!$I$84),"Cam Thịnh Đông",""),IF(OR(M63=phu!$I$85,M63=phu!$I$86,M63=phu!$I$87,M63=phu!$I$88),"Cam Thịnh Tây",""),IF(OR(M63=phu!$I$89,M63=phu!$I$90),"Cam Lập",""),IF(OR(M63=phu!$I$91,M63=phu!$I$92,M63=phu!$I$93),"Cam Bình",""),IF(OR(M63=phu!$I$94,M63=phu!$I$95,M63=phu!$I$96,M63=phu!$I$97,M63=phu!$I$98,M63=phu!$I$99,M63=phu!$I$100),"Huyện khác",""),IF(OR(M63=phu!$I$101,M63=phu!$I$102),"Tỉnh khác",""))</f>
        <v/>
      </c>
      <c r="O63" s="829" t="str">
        <f t="shared" si="0"/>
        <v/>
      </c>
      <c r="P63" s="254"/>
      <c r="Q63" s="254"/>
      <c r="R63" s="254"/>
      <c r="S63" s="254"/>
      <c r="T63" s="254"/>
      <c r="U63" s="254"/>
      <c r="V63" s="254"/>
      <c r="W63" s="254"/>
      <c r="Y63" s="246" t="str">
        <f t="shared" si="1"/>
        <v/>
      </c>
      <c r="Z63" s="247" t="str">
        <f t="shared" si="2"/>
        <v/>
      </c>
      <c r="AA63" s="246" t="str">
        <f t="shared" si="3"/>
        <v/>
      </c>
    </row>
    <row r="64" spans="1:27" ht="18" customHeight="1" x14ac:dyDescent="0.25">
      <c r="A64" s="248" t="str">
        <f t="shared" si="4"/>
        <v/>
      </c>
      <c r="B64" s="249" t="str">
        <f t="shared" si="5"/>
        <v/>
      </c>
      <c r="C64" s="250"/>
      <c r="D64" s="251"/>
      <c r="E64" s="241"/>
      <c r="F64" s="252"/>
      <c r="G64" s="252"/>
      <c r="H64" s="253"/>
      <c r="I64" s="250"/>
      <c r="J64" s="250"/>
      <c r="K64" s="270"/>
      <c r="L64" s="250"/>
      <c r="M64" s="250"/>
      <c r="N64" s="540" t="str">
        <f>CONCATENATE(IF(OR(M64=phu!$I$1,M64=phu!$I$2,M64=phu!$I$3),"Cam Thành Nam",""),IF(OR(M64=phu!$I$4,M64=phu!$I$5,M64=phu!$I$6,M64=phu!$I$7,M64=phu!$I$8,M64=phu!$I$9,M64=phu!$I$10,M64=phu!$I$11,M64=phu!$I$12,M64=phu!$I$13,M64=phu!$I$14),"Cam Nghĩa",""),IF(OR(M64=phu!$I$15,M64=phu!$I$16,M64=phu!$I$17,M64=phu!$I$18,M64=phu!$I$19,M64=phu!$I$20,M64=phu!$I$21),"Cam Phúc Bắc",""),IF(OR(M64=phu!$I$22,M64=phu!$I$23,M64=phu!$I$24,M64=phu!$I$25),"Cam Phúc Nam",""),IF(OR(M64=phu!$I$26,M64=phu!$I$27,M64=phu!$I$28,M64=phu!$I$29,M64=phu!$I$30,M64=phu!$I$31),"Cam Phú",""),IF(OR(M64=phu!$I$32,M64=phu!$I$33,M64=phu!$I$34,M64=phu!$I$35,M64=phu!$I$36,M64=phu!$I$37),"Cam Lộc",""),IF(OR(M64=phu!$I$38,M64=phu!$I$39,M64=phu!$I$40,M64=phu!$I$41,M64=phu!$I$42,M64=phu!$I$43,M64=phu!$I$44),"Cam Thuận",""),IF(OR(M64=phu!$I$45,M64=phu!$I$46,M64=phu!$I$47,M64=phu!$I$48,M64=phu!$I$49,M64=phu!$I$50,M64=phu!$I$51,M64=phu!$I$52,M64=phu!$I$53),"Cam Linh",""),IF(OR(M64=phu!$I$54,M64=phu!$I$55,M64=phu!$I$56,M64=phu!$I$57,M64=phu!$I$58,M64=phu!$I$59,M64=phu!$I$60,M64=phu!$I$61,M64=phu!$I$62),"Cam Lợi",""),IF(OR(M64=phu!$I$63,M64=phu!$I$64,M64=phu!$I$65,M64=phu!$I$66,M64=phu!$I$67,M64=phu!$I$68,M64=phu!$I$69,M64=phu!$I$70,M64=phu!$I$71),"Ba Ngòi",""),IF(OR(M64=phu!$I$72,M64=phu!$I$73,M64=phu!$I$74,M64=phu!$I$75,M64=phu!$I$76,M64=phu!$I$77,M64=phu!$I$78),"Cam Phước Đông",""),IF(OR(M64=phu!$I$79,M64=phu!$I$80,M64=phu!$I$81,M64=phu!$I$82,M64=phu!$I$83,M64=phu!$I$84),"Cam Thịnh Đông",""),IF(OR(M64=phu!$I$85,M64=phu!$I$86,M64=phu!$I$87,M64=phu!$I$88),"Cam Thịnh Tây",""),IF(OR(M64=phu!$I$89,M64=phu!$I$90),"Cam Lập",""),IF(OR(M64=phu!$I$91,M64=phu!$I$92,M64=phu!$I$93),"Cam Bình",""),IF(OR(M64=phu!$I$94,M64=phu!$I$95,M64=phu!$I$96,M64=phu!$I$97,M64=phu!$I$98,M64=phu!$I$99,M64=phu!$I$100),"Huyện khác",""),IF(OR(M64=phu!$I$101,M64=phu!$I$102),"Tỉnh khác",""))</f>
        <v/>
      </c>
      <c r="O64" s="829" t="str">
        <f t="shared" si="0"/>
        <v/>
      </c>
      <c r="P64" s="254"/>
      <c r="Q64" s="254"/>
      <c r="R64" s="254"/>
      <c r="S64" s="254"/>
      <c r="T64" s="254"/>
      <c r="U64" s="254"/>
      <c r="V64" s="254"/>
      <c r="W64" s="254"/>
      <c r="Y64" s="246" t="str">
        <f t="shared" si="1"/>
        <v/>
      </c>
      <c r="Z64" s="247" t="str">
        <f t="shared" si="2"/>
        <v/>
      </c>
      <c r="AA64" s="246" t="str">
        <f t="shared" si="3"/>
        <v/>
      </c>
    </row>
    <row r="65" spans="1:27" ht="18" customHeight="1" x14ac:dyDescent="0.25">
      <c r="A65" s="248" t="str">
        <f t="shared" si="4"/>
        <v/>
      </c>
      <c r="B65" s="249" t="str">
        <f t="shared" si="5"/>
        <v/>
      </c>
      <c r="C65" s="250"/>
      <c r="D65" s="251"/>
      <c r="E65" s="241"/>
      <c r="F65" s="252"/>
      <c r="G65" s="252"/>
      <c r="H65" s="253"/>
      <c r="I65" s="250"/>
      <c r="J65" s="250"/>
      <c r="K65" s="270"/>
      <c r="L65" s="250"/>
      <c r="M65" s="250"/>
      <c r="N65" s="540" t="str">
        <f>CONCATENATE(IF(OR(M65=phu!$I$1,M65=phu!$I$2,M65=phu!$I$3),"Cam Thành Nam",""),IF(OR(M65=phu!$I$4,M65=phu!$I$5,M65=phu!$I$6,M65=phu!$I$7,M65=phu!$I$8,M65=phu!$I$9,M65=phu!$I$10,M65=phu!$I$11,M65=phu!$I$12,M65=phu!$I$13,M65=phu!$I$14),"Cam Nghĩa",""),IF(OR(M65=phu!$I$15,M65=phu!$I$16,M65=phu!$I$17,M65=phu!$I$18,M65=phu!$I$19,M65=phu!$I$20,M65=phu!$I$21),"Cam Phúc Bắc",""),IF(OR(M65=phu!$I$22,M65=phu!$I$23,M65=phu!$I$24,M65=phu!$I$25),"Cam Phúc Nam",""),IF(OR(M65=phu!$I$26,M65=phu!$I$27,M65=phu!$I$28,M65=phu!$I$29,M65=phu!$I$30,M65=phu!$I$31),"Cam Phú",""),IF(OR(M65=phu!$I$32,M65=phu!$I$33,M65=phu!$I$34,M65=phu!$I$35,M65=phu!$I$36,M65=phu!$I$37),"Cam Lộc",""),IF(OR(M65=phu!$I$38,M65=phu!$I$39,M65=phu!$I$40,M65=phu!$I$41,M65=phu!$I$42,M65=phu!$I$43,M65=phu!$I$44),"Cam Thuận",""),IF(OR(M65=phu!$I$45,M65=phu!$I$46,M65=phu!$I$47,M65=phu!$I$48,M65=phu!$I$49,M65=phu!$I$50,M65=phu!$I$51,M65=phu!$I$52,M65=phu!$I$53),"Cam Linh",""),IF(OR(M65=phu!$I$54,M65=phu!$I$55,M65=phu!$I$56,M65=phu!$I$57,M65=phu!$I$58,M65=phu!$I$59,M65=phu!$I$60,M65=phu!$I$61,M65=phu!$I$62),"Cam Lợi",""),IF(OR(M65=phu!$I$63,M65=phu!$I$64,M65=phu!$I$65,M65=phu!$I$66,M65=phu!$I$67,M65=phu!$I$68,M65=phu!$I$69,M65=phu!$I$70,M65=phu!$I$71),"Ba Ngòi",""),IF(OR(M65=phu!$I$72,M65=phu!$I$73,M65=phu!$I$74,M65=phu!$I$75,M65=phu!$I$76,M65=phu!$I$77,M65=phu!$I$78),"Cam Phước Đông",""),IF(OR(M65=phu!$I$79,M65=phu!$I$80,M65=phu!$I$81,M65=phu!$I$82,M65=phu!$I$83,M65=phu!$I$84),"Cam Thịnh Đông",""),IF(OR(M65=phu!$I$85,M65=phu!$I$86,M65=phu!$I$87,M65=phu!$I$88),"Cam Thịnh Tây",""),IF(OR(M65=phu!$I$89,M65=phu!$I$90),"Cam Lập",""),IF(OR(M65=phu!$I$91,M65=phu!$I$92,M65=phu!$I$93),"Cam Bình",""),IF(OR(M65=phu!$I$94,M65=phu!$I$95,M65=phu!$I$96,M65=phu!$I$97,M65=phu!$I$98,M65=phu!$I$99,M65=phu!$I$100),"Huyện khác",""),IF(OR(M65=phu!$I$101,M65=phu!$I$102),"Tỉnh khác",""))</f>
        <v/>
      </c>
      <c r="O65" s="829" t="str">
        <f t="shared" si="0"/>
        <v/>
      </c>
      <c r="P65" s="254"/>
      <c r="Q65" s="254"/>
      <c r="R65" s="254"/>
      <c r="S65" s="254"/>
      <c r="T65" s="254"/>
      <c r="U65" s="254"/>
      <c r="V65" s="254"/>
      <c r="W65" s="254"/>
      <c r="Y65" s="246" t="str">
        <f t="shared" si="1"/>
        <v/>
      </c>
      <c r="Z65" s="247" t="str">
        <f t="shared" si="2"/>
        <v/>
      </c>
      <c r="AA65" s="246" t="str">
        <f t="shared" si="3"/>
        <v/>
      </c>
    </row>
    <row r="66" spans="1:27" ht="18" customHeight="1" x14ac:dyDescent="0.25">
      <c r="A66" s="248" t="str">
        <f t="shared" si="4"/>
        <v/>
      </c>
      <c r="B66" s="249" t="str">
        <f t="shared" si="5"/>
        <v/>
      </c>
      <c r="C66" s="250"/>
      <c r="D66" s="251"/>
      <c r="E66" s="241"/>
      <c r="F66" s="252"/>
      <c r="G66" s="252"/>
      <c r="H66" s="253"/>
      <c r="I66" s="250"/>
      <c r="J66" s="250"/>
      <c r="K66" s="270"/>
      <c r="L66" s="250"/>
      <c r="M66" s="250"/>
      <c r="N66" s="540" t="str">
        <f>CONCATENATE(IF(OR(M66=phu!$I$1,M66=phu!$I$2,M66=phu!$I$3),"Cam Thành Nam",""),IF(OR(M66=phu!$I$4,M66=phu!$I$5,M66=phu!$I$6,M66=phu!$I$7,M66=phu!$I$8,M66=phu!$I$9,M66=phu!$I$10,M66=phu!$I$11,M66=phu!$I$12,M66=phu!$I$13,M66=phu!$I$14),"Cam Nghĩa",""),IF(OR(M66=phu!$I$15,M66=phu!$I$16,M66=phu!$I$17,M66=phu!$I$18,M66=phu!$I$19,M66=phu!$I$20,M66=phu!$I$21),"Cam Phúc Bắc",""),IF(OR(M66=phu!$I$22,M66=phu!$I$23,M66=phu!$I$24,M66=phu!$I$25),"Cam Phúc Nam",""),IF(OR(M66=phu!$I$26,M66=phu!$I$27,M66=phu!$I$28,M66=phu!$I$29,M66=phu!$I$30,M66=phu!$I$31),"Cam Phú",""),IF(OR(M66=phu!$I$32,M66=phu!$I$33,M66=phu!$I$34,M66=phu!$I$35,M66=phu!$I$36,M66=phu!$I$37),"Cam Lộc",""),IF(OR(M66=phu!$I$38,M66=phu!$I$39,M66=phu!$I$40,M66=phu!$I$41,M66=phu!$I$42,M66=phu!$I$43,M66=phu!$I$44),"Cam Thuận",""),IF(OR(M66=phu!$I$45,M66=phu!$I$46,M66=phu!$I$47,M66=phu!$I$48,M66=phu!$I$49,M66=phu!$I$50,M66=phu!$I$51,M66=phu!$I$52,M66=phu!$I$53),"Cam Linh",""),IF(OR(M66=phu!$I$54,M66=phu!$I$55,M66=phu!$I$56,M66=phu!$I$57,M66=phu!$I$58,M66=phu!$I$59,M66=phu!$I$60,M66=phu!$I$61,M66=phu!$I$62),"Cam Lợi",""),IF(OR(M66=phu!$I$63,M66=phu!$I$64,M66=phu!$I$65,M66=phu!$I$66,M66=phu!$I$67,M66=phu!$I$68,M66=phu!$I$69,M66=phu!$I$70,M66=phu!$I$71),"Ba Ngòi",""),IF(OR(M66=phu!$I$72,M66=phu!$I$73,M66=phu!$I$74,M66=phu!$I$75,M66=phu!$I$76,M66=phu!$I$77,M66=phu!$I$78),"Cam Phước Đông",""),IF(OR(M66=phu!$I$79,M66=phu!$I$80,M66=phu!$I$81,M66=phu!$I$82,M66=phu!$I$83,M66=phu!$I$84),"Cam Thịnh Đông",""),IF(OR(M66=phu!$I$85,M66=phu!$I$86,M66=phu!$I$87,M66=phu!$I$88),"Cam Thịnh Tây",""),IF(OR(M66=phu!$I$89,M66=phu!$I$90),"Cam Lập",""),IF(OR(M66=phu!$I$91,M66=phu!$I$92,M66=phu!$I$93),"Cam Bình",""),IF(OR(M66=phu!$I$94,M66=phu!$I$95,M66=phu!$I$96,M66=phu!$I$97,M66=phu!$I$98,M66=phu!$I$99,M66=phu!$I$100),"Huyện khác",""),IF(OR(M66=phu!$I$101,M66=phu!$I$102),"Tỉnh khác",""))</f>
        <v/>
      </c>
      <c r="O66" s="829" t="str">
        <f t="shared" si="0"/>
        <v/>
      </c>
      <c r="P66" s="254"/>
      <c r="Q66" s="254"/>
      <c r="R66" s="254"/>
      <c r="S66" s="254"/>
      <c r="T66" s="254"/>
      <c r="U66" s="254"/>
      <c r="V66" s="254"/>
      <c r="W66" s="254"/>
      <c r="Y66" s="246" t="str">
        <f t="shared" si="1"/>
        <v/>
      </c>
      <c r="Z66" s="247" t="str">
        <f t="shared" si="2"/>
        <v/>
      </c>
      <c r="AA66" s="246" t="str">
        <f t="shared" si="3"/>
        <v/>
      </c>
    </row>
    <row r="67" spans="1:27" ht="18" customHeight="1" x14ac:dyDescent="0.25">
      <c r="A67" s="248" t="str">
        <f t="shared" si="4"/>
        <v/>
      </c>
      <c r="B67" s="249" t="str">
        <f t="shared" si="5"/>
        <v/>
      </c>
      <c r="C67" s="250"/>
      <c r="D67" s="251"/>
      <c r="E67" s="241"/>
      <c r="F67" s="252"/>
      <c r="G67" s="252"/>
      <c r="H67" s="253"/>
      <c r="I67" s="250"/>
      <c r="J67" s="250"/>
      <c r="K67" s="270"/>
      <c r="L67" s="250"/>
      <c r="M67" s="250"/>
      <c r="N67" s="540" t="str">
        <f>CONCATENATE(IF(OR(M67=phu!$I$1,M67=phu!$I$2,M67=phu!$I$3),"Cam Thành Nam",""),IF(OR(M67=phu!$I$4,M67=phu!$I$5,M67=phu!$I$6,M67=phu!$I$7,M67=phu!$I$8,M67=phu!$I$9,M67=phu!$I$10,M67=phu!$I$11,M67=phu!$I$12,M67=phu!$I$13,M67=phu!$I$14),"Cam Nghĩa",""),IF(OR(M67=phu!$I$15,M67=phu!$I$16,M67=phu!$I$17,M67=phu!$I$18,M67=phu!$I$19,M67=phu!$I$20,M67=phu!$I$21),"Cam Phúc Bắc",""),IF(OR(M67=phu!$I$22,M67=phu!$I$23,M67=phu!$I$24,M67=phu!$I$25),"Cam Phúc Nam",""),IF(OR(M67=phu!$I$26,M67=phu!$I$27,M67=phu!$I$28,M67=phu!$I$29,M67=phu!$I$30,M67=phu!$I$31),"Cam Phú",""),IF(OR(M67=phu!$I$32,M67=phu!$I$33,M67=phu!$I$34,M67=phu!$I$35,M67=phu!$I$36,M67=phu!$I$37),"Cam Lộc",""),IF(OR(M67=phu!$I$38,M67=phu!$I$39,M67=phu!$I$40,M67=phu!$I$41,M67=phu!$I$42,M67=phu!$I$43,M67=phu!$I$44),"Cam Thuận",""),IF(OR(M67=phu!$I$45,M67=phu!$I$46,M67=phu!$I$47,M67=phu!$I$48,M67=phu!$I$49,M67=phu!$I$50,M67=phu!$I$51,M67=phu!$I$52,M67=phu!$I$53),"Cam Linh",""),IF(OR(M67=phu!$I$54,M67=phu!$I$55,M67=phu!$I$56,M67=phu!$I$57,M67=phu!$I$58,M67=phu!$I$59,M67=phu!$I$60,M67=phu!$I$61,M67=phu!$I$62),"Cam Lợi",""),IF(OR(M67=phu!$I$63,M67=phu!$I$64,M67=phu!$I$65,M67=phu!$I$66,M67=phu!$I$67,M67=phu!$I$68,M67=phu!$I$69,M67=phu!$I$70,M67=phu!$I$71),"Ba Ngòi",""),IF(OR(M67=phu!$I$72,M67=phu!$I$73,M67=phu!$I$74,M67=phu!$I$75,M67=phu!$I$76,M67=phu!$I$77,M67=phu!$I$78),"Cam Phước Đông",""),IF(OR(M67=phu!$I$79,M67=phu!$I$80,M67=phu!$I$81,M67=phu!$I$82,M67=phu!$I$83,M67=phu!$I$84),"Cam Thịnh Đông",""),IF(OR(M67=phu!$I$85,M67=phu!$I$86,M67=phu!$I$87,M67=phu!$I$88),"Cam Thịnh Tây",""),IF(OR(M67=phu!$I$89,M67=phu!$I$90),"Cam Lập",""),IF(OR(M67=phu!$I$91,M67=phu!$I$92,M67=phu!$I$93),"Cam Bình",""),IF(OR(M67=phu!$I$94,M67=phu!$I$95,M67=phu!$I$96,M67=phu!$I$97,M67=phu!$I$98,M67=phu!$I$99,M67=phu!$I$100),"Huyện khác",""),IF(OR(M67=phu!$I$101,M67=phu!$I$102),"Tỉnh khác",""))</f>
        <v/>
      </c>
      <c r="O67" s="829" t="str">
        <f t="shared" si="0"/>
        <v/>
      </c>
      <c r="P67" s="254"/>
      <c r="Q67" s="254"/>
      <c r="R67" s="254"/>
      <c r="S67" s="254"/>
      <c r="T67" s="254"/>
      <c r="U67" s="254"/>
      <c r="V67" s="254"/>
      <c r="W67" s="254"/>
      <c r="Y67" s="246" t="str">
        <f t="shared" si="1"/>
        <v/>
      </c>
      <c r="Z67" s="247" t="str">
        <f t="shared" si="2"/>
        <v/>
      </c>
      <c r="AA67" s="246" t="str">
        <f t="shared" si="3"/>
        <v/>
      </c>
    </row>
    <row r="68" spans="1:27" ht="18" customHeight="1" x14ac:dyDescent="0.25">
      <c r="A68" s="248" t="str">
        <f t="shared" si="4"/>
        <v/>
      </c>
      <c r="B68" s="249" t="str">
        <f t="shared" si="5"/>
        <v/>
      </c>
      <c r="C68" s="250"/>
      <c r="D68" s="251"/>
      <c r="E68" s="241"/>
      <c r="F68" s="252"/>
      <c r="G68" s="252"/>
      <c r="H68" s="253"/>
      <c r="I68" s="250"/>
      <c r="J68" s="250"/>
      <c r="K68" s="270"/>
      <c r="L68" s="250"/>
      <c r="M68" s="250"/>
      <c r="N68" s="540" t="str">
        <f>CONCATENATE(IF(OR(M68=phu!$I$1,M68=phu!$I$2,M68=phu!$I$3),"Cam Thành Nam",""),IF(OR(M68=phu!$I$4,M68=phu!$I$5,M68=phu!$I$6,M68=phu!$I$7,M68=phu!$I$8,M68=phu!$I$9,M68=phu!$I$10,M68=phu!$I$11,M68=phu!$I$12,M68=phu!$I$13,M68=phu!$I$14),"Cam Nghĩa",""),IF(OR(M68=phu!$I$15,M68=phu!$I$16,M68=phu!$I$17,M68=phu!$I$18,M68=phu!$I$19,M68=phu!$I$20,M68=phu!$I$21),"Cam Phúc Bắc",""),IF(OR(M68=phu!$I$22,M68=phu!$I$23,M68=phu!$I$24,M68=phu!$I$25),"Cam Phúc Nam",""),IF(OR(M68=phu!$I$26,M68=phu!$I$27,M68=phu!$I$28,M68=phu!$I$29,M68=phu!$I$30,M68=phu!$I$31),"Cam Phú",""),IF(OR(M68=phu!$I$32,M68=phu!$I$33,M68=phu!$I$34,M68=phu!$I$35,M68=phu!$I$36,M68=phu!$I$37),"Cam Lộc",""),IF(OR(M68=phu!$I$38,M68=phu!$I$39,M68=phu!$I$40,M68=phu!$I$41,M68=phu!$I$42,M68=phu!$I$43,M68=phu!$I$44),"Cam Thuận",""),IF(OR(M68=phu!$I$45,M68=phu!$I$46,M68=phu!$I$47,M68=phu!$I$48,M68=phu!$I$49,M68=phu!$I$50,M68=phu!$I$51,M68=phu!$I$52,M68=phu!$I$53),"Cam Linh",""),IF(OR(M68=phu!$I$54,M68=phu!$I$55,M68=phu!$I$56,M68=phu!$I$57,M68=phu!$I$58,M68=phu!$I$59,M68=phu!$I$60,M68=phu!$I$61,M68=phu!$I$62),"Cam Lợi",""),IF(OR(M68=phu!$I$63,M68=phu!$I$64,M68=phu!$I$65,M68=phu!$I$66,M68=phu!$I$67,M68=phu!$I$68,M68=phu!$I$69,M68=phu!$I$70,M68=phu!$I$71),"Ba Ngòi",""),IF(OR(M68=phu!$I$72,M68=phu!$I$73,M68=phu!$I$74,M68=phu!$I$75,M68=phu!$I$76,M68=phu!$I$77,M68=phu!$I$78),"Cam Phước Đông",""),IF(OR(M68=phu!$I$79,M68=phu!$I$80,M68=phu!$I$81,M68=phu!$I$82,M68=phu!$I$83,M68=phu!$I$84),"Cam Thịnh Đông",""),IF(OR(M68=phu!$I$85,M68=phu!$I$86,M68=phu!$I$87,M68=phu!$I$88),"Cam Thịnh Tây",""),IF(OR(M68=phu!$I$89,M68=phu!$I$90),"Cam Lập",""),IF(OR(M68=phu!$I$91,M68=phu!$I$92,M68=phu!$I$93),"Cam Bình",""),IF(OR(M68=phu!$I$94,M68=phu!$I$95,M68=phu!$I$96,M68=phu!$I$97,M68=phu!$I$98,M68=phu!$I$99,M68=phu!$I$100),"Huyện khác",""),IF(OR(M68=phu!$I$101,M68=phu!$I$102),"Tỉnh khác",""))</f>
        <v/>
      </c>
      <c r="O68" s="829" t="str">
        <f t="shared" si="0"/>
        <v/>
      </c>
      <c r="P68" s="254"/>
      <c r="Q68" s="254"/>
      <c r="R68" s="254"/>
      <c r="S68" s="254"/>
      <c r="T68" s="254"/>
      <c r="U68" s="254"/>
      <c r="V68" s="254"/>
      <c r="W68" s="254"/>
      <c r="Y68" s="246" t="str">
        <f t="shared" si="1"/>
        <v/>
      </c>
      <c r="Z68" s="247" t="str">
        <f t="shared" si="2"/>
        <v/>
      </c>
      <c r="AA68" s="246" t="str">
        <f t="shared" si="3"/>
        <v/>
      </c>
    </row>
    <row r="69" spans="1:27" ht="18" customHeight="1" x14ac:dyDescent="0.25">
      <c r="A69" s="248" t="str">
        <f t="shared" si="4"/>
        <v/>
      </c>
      <c r="B69" s="249" t="str">
        <f t="shared" si="5"/>
        <v/>
      </c>
      <c r="C69" s="250"/>
      <c r="D69" s="251"/>
      <c r="E69" s="241"/>
      <c r="F69" s="252"/>
      <c r="G69" s="252"/>
      <c r="H69" s="253"/>
      <c r="I69" s="250"/>
      <c r="J69" s="250"/>
      <c r="K69" s="270"/>
      <c r="L69" s="250"/>
      <c r="M69" s="250"/>
      <c r="N69" s="540" t="str">
        <f>CONCATENATE(IF(OR(M69=phu!$I$1,M69=phu!$I$2,M69=phu!$I$3),"Cam Thành Nam",""),IF(OR(M69=phu!$I$4,M69=phu!$I$5,M69=phu!$I$6,M69=phu!$I$7,M69=phu!$I$8,M69=phu!$I$9,M69=phu!$I$10,M69=phu!$I$11,M69=phu!$I$12,M69=phu!$I$13,M69=phu!$I$14),"Cam Nghĩa",""),IF(OR(M69=phu!$I$15,M69=phu!$I$16,M69=phu!$I$17,M69=phu!$I$18,M69=phu!$I$19,M69=phu!$I$20,M69=phu!$I$21),"Cam Phúc Bắc",""),IF(OR(M69=phu!$I$22,M69=phu!$I$23,M69=phu!$I$24,M69=phu!$I$25),"Cam Phúc Nam",""),IF(OR(M69=phu!$I$26,M69=phu!$I$27,M69=phu!$I$28,M69=phu!$I$29,M69=phu!$I$30,M69=phu!$I$31),"Cam Phú",""),IF(OR(M69=phu!$I$32,M69=phu!$I$33,M69=phu!$I$34,M69=phu!$I$35,M69=phu!$I$36,M69=phu!$I$37),"Cam Lộc",""),IF(OR(M69=phu!$I$38,M69=phu!$I$39,M69=phu!$I$40,M69=phu!$I$41,M69=phu!$I$42,M69=phu!$I$43,M69=phu!$I$44),"Cam Thuận",""),IF(OR(M69=phu!$I$45,M69=phu!$I$46,M69=phu!$I$47,M69=phu!$I$48,M69=phu!$I$49,M69=phu!$I$50,M69=phu!$I$51,M69=phu!$I$52,M69=phu!$I$53),"Cam Linh",""),IF(OR(M69=phu!$I$54,M69=phu!$I$55,M69=phu!$I$56,M69=phu!$I$57,M69=phu!$I$58,M69=phu!$I$59,M69=phu!$I$60,M69=phu!$I$61,M69=phu!$I$62),"Cam Lợi",""),IF(OR(M69=phu!$I$63,M69=phu!$I$64,M69=phu!$I$65,M69=phu!$I$66,M69=phu!$I$67,M69=phu!$I$68,M69=phu!$I$69,M69=phu!$I$70,M69=phu!$I$71),"Ba Ngòi",""),IF(OR(M69=phu!$I$72,M69=phu!$I$73,M69=phu!$I$74,M69=phu!$I$75,M69=phu!$I$76,M69=phu!$I$77,M69=phu!$I$78),"Cam Phước Đông",""),IF(OR(M69=phu!$I$79,M69=phu!$I$80,M69=phu!$I$81,M69=phu!$I$82,M69=phu!$I$83,M69=phu!$I$84),"Cam Thịnh Đông",""),IF(OR(M69=phu!$I$85,M69=phu!$I$86,M69=phu!$I$87,M69=phu!$I$88),"Cam Thịnh Tây",""),IF(OR(M69=phu!$I$89,M69=phu!$I$90),"Cam Lập",""),IF(OR(M69=phu!$I$91,M69=phu!$I$92,M69=phu!$I$93),"Cam Bình",""),IF(OR(M69=phu!$I$94,M69=phu!$I$95,M69=phu!$I$96,M69=phu!$I$97,M69=phu!$I$98,M69=phu!$I$99,M69=phu!$I$100),"Huyện khác",""),IF(OR(M69=phu!$I$101,M69=phu!$I$102),"Tỉnh khác",""))</f>
        <v/>
      </c>
      <c r="O69" s="829" t="str">
        <f t="shared" si="0"/>
        <v/>
      </c>
      <c r="P69" s="256"/>
      <c r="Q69" s="256"/>
      <c r="R69" s="256"/>
      <c r="S69" s="254"/>
      <c r="T69" s="254"/>
      <c r="U69" s="254"/>
      <c r="V69" s="254"/>
      <c r="W69" s="254"/>
      <c r="Y69" s="246" t="str">
        <f t="shared" si="1"/>
        <v/>
      </c>
      <c r="Z69" s="247" t="str">
        <f t="shared" si="2"/>
        <v/>
      </c>
      <c r="AA69" s="246" t="str">
        <f t="shared" si="3"/>
        <v/>
      </c>
    </row>
    <row r="70" spans="1:27" ht="18" customHeight="1" x14ac:dyDescent="0.25">
      <c r="A70" s="248" t="str">
        <f t="shared" si="4"/>
        <v/>
      </c>
      <c r="B70" s="249" t="str">
        <f t="shared" si="5"/>
        <v/>
      </c>
      <c r="C70" s="250"/>
      <c r="D70" s="251"/>
      <c r="E70" s="241"/>
      <c r="F70" s="252"/>
      <c r="G70" s="252"/>
      <c r="H70" s="253"/>
      <c r="I70" s="250"/>
      <c r="J70" s="250"/>
      <c r="K70" s="270"/>
      <c r="L70" s="250"/>
      <c r="M70" s="250"/>
      <c r="N70" s="540" t="str">
        <f>CONCATENATE(IF(OR(M70=phu!$I$1,M70=phu!$I$2,M70=phu!$I$3),"Cam Thành Nam",""),IF(OR(M70=phu!$I$4,M70=phu!$I$5,M70=phu!$I$6,M70=phu!$I$7,M70=phu!$I$8,M70=phu!$I$9,M70=phu!$I$10,M70=phu!$I$11,M70=phu!$I$12,M70=phu!$I$13,M70=phu!$I$14),"Cam Nghĩa",""),IF(OR(M70=phu!$I$15,M70=phu!$I$16,M70=phu!$I$17,M70=phu!$I$18,M70=phu!$I$19,M70=phu!$I$20,M70=phu!$I$21),"Cam Phúc Bắc",""),IF(OR(M70=phu!$I$22,M70=phu!$I$23,M70=phu!$I$24,M70=phu!$I$25),"Cam Phúc Nam",""),IF(OR(M70=phu!$I$26,M70=phu!$I$27,M70=phu!$I$28,M70=phu!$I$29,M70=phu!$I$30,M70=phu!$I$31),"Cam Phú",""),IF(OR(M70=phu!$I$32,M70=phu!$I$33,M70=phu!$I$34,M70=phu!$I$35,M70=phu!$I$36,M70=phu!$I$37),"Cam Lộc",""),IF(OR(M70=phu!$I$38,M70=phu!$I$39,M70=phu!$I$40,M70=phu!$I$41,M70=phu!$I$42,M70=phu!$I$43,M70=phu!$I$44),"Cam Thuận",""),IF(OR(M70=phu!$I$45,M70=phu!$I$46,M70=phu!$I$47,M70=phu!$I$48,M70=phu!$I$49,M70=phu!$I$50,M70=phu!$I$51,M70=phu!$I$52,M70=phu!$I$53),"Cam Linh",""),IF(OR(M70=phu!$I$54,M70=phu!$I$55,M70=phu!$I$56,M70=phu!$I$57,M70=phu!$I$58,M70=phu!$I$59,M70=phu!$I$60,M70=phu!$I$61,M70=phu!$I$62),"Cam Lợi",""),IF(OR(M70=phu!$I$63,M70=phu!$I$64,M70=phu!$I$65,M70=phu!$I$66,M70=phu!$I$67,M70=phu!$I$68,M70=phu!$I$69,M70=phu!$I$70,M70=phu!$I$71),"Ba Ngòi",""),IF(OR(M70=phu!$I$72,M70=phu!$I$73,M70=phu!$I$74,M70=phu!$I$75,M70=phu!$I$76,M70=phu!$I$77,M70=phu!$I$78),"Cam Phước Đông",""),IF(OR(M70=phu!$I$79,M70=phu!$I$80,M70=phu!$I$81,M70=phu!$I$82,M70=phu!$I$83,M70=phu!$I$84),"Cam Thịnh Đông",""),IF(OR(M70=phu!$I$85,M70=phu!$I$86,M70=phu!$I$87,M70=phu!$I$88),"Cam Thịnh Tây",""),IF(OR(M70=phu!$I$89,M70=phu!$I$90),"Cam Lập",""),IF(OR(M70=phu!$I$91,M70=phu!$I$92,M70=phu!$I$93),"Cam Bình",""),IF(OR(M70=phu!$I$94,M70=phu!$I$95,M70=phu!$I$96,M70=phu!$I$97,M70=phu!$I$98,M70=phu!$I$99,M70=phu!$I$100),"Huyện khác",""),IF(OR(M70=phu!$I$101,M70=phu!$I$102),"Tỉnh khác",""))</f>
        <v/>
      </c>
      <c r="O70" s="829" t="str">
        <f t="shared" si="0"/>
        <v/>
      </c>
      <c r="P70" s="256"/>
      <c r="Q70" s="256"/>
      <c r="R70" s="256"/>
      <c r="S70" s="254"/>
      <c r="T70" s="254"/>
      <c r="U70" s="254"/>
      <c r="V70" s="254"/>
      <c r="W70" s="254"/>
      <c r="Y70" s="246" t="str">
        <f t="shared" si="1"/>
        <v/>
      </c>
      <c r="Z70" s="247" t="str">
        <f t="shared" si="2"/>
        <v/>
      </c>
      <c r="AA70" s="246" t="str">
        <f t="shared" si="3"/>
        <v/>
      </c>
    </row>
    <row r="71" spans="1:27" ht="18" customHeight="1" x14ac:dyDescent="0.25">
      <c r="A71" s="248" t="str">
        <f t="shared" si="4"/>
        <v/>
      </c>
      <c r="B71" s="249" t="str">
        <f t="shared" si="5"/>
        <v/>
      </c>
      <c r="C71" s="250"/>
      <c r="D71" s="251"/>
      <c r="E71" s="241"/>
      <c r="F71" s="252"/>
      <c r="G71" s="252"/>
      <c r="H71" s="253"/>
      <c r="I71" s="250"/>
      <c r="J71" s="250"/>
      <c r="K71" s="270"/>
      <c r="L71" s="250"/>
      <c r="M71" s="250"/>
      <c r="N71" s="540" t="str">
        <f>CONCATENATE(IF(OR(M71=phu!$I$1,M71=phu!$I$2,M71=phu!$I$3),"Cam Thành Nam",""),IF(OR(M71=phu!$I$4,M71=phu!$I$5,M71=phu!$I$6,M71=phu!$I$7,M71=phu!$I$8,M71=phu!$I$9,M71=phu!$I$10,M71=phu!$I$11,M71=phu!$I$12,M71=phu!$I$13,M71=phu!$I$14),"Cam Nghĩa",""),IF(OR(M71=phu!$I$15,M71=phu!$I$16,M71=phu!$I$17,M71=phu!$I$18,M71=phu!$I$19,M71=phu!$I$20,M71=phu!$I$21),"Cam Phúc Bắc",""),IF(OR(M71=phu!$I$22,M71=phu!$I$23,M71=phu!$I$24,M71=phu!$I$25),"Cam Phúc Nam",""),IF(OR(M71=phu!$I$26,M71=phu!$I$27,M71=phu!$I$28,M71=phu!$I$29,M71=phu!$I$30,M71=phu!$I$31),"Cam Phú",""),IF(OR(M71=phu!$I$32,M71=phu!$I$33,M71=phu!$I$34,M71=phu!$I$35,M71=phu!$I$36,M71=phu!$I$37),"Cam Lộc",""),IF(OR(M71=phu!$I$38,M71=phu!$I$39,M71=phu!$I$40,M71=phu!$I$41,M71=phu!$I$42,M71=phu!$I$43,M71=phu!$I$44),"Cam Thuận",""),IF(OR(M71=phu!$I$45,M71=phu!$I$46,M71=phu!$I$47,M71=phu!$I$48,M71=phu!$I$49,M71=phu!$I$50,M71=phu!$I$51,M71=phu!$I$52,M71=phu!$I$53),"Cam Linh",""),IF(OR(M71=phu!$I$54,M71=phu!$I$55,M71=phu!$I$56,M71=phu!$I$57,M71=phu!$I$58,M71=phu!$I$59,M71=phu!$I$60,M71=phu!$I$61,M71=phu!$I$62),"Cam Lợi",""),IF(OR(M71=phu!$I$63,M71=phu!$I$64,M71=phu!$I$65,M71=phu!$I$66,M71=phu!$I$67,M71=phu!$I$68,M71=phu!$I$69,M71=phu!$I$70,M71=phu!$I$71),"Ba Ngòi",""),IF(OR(M71=phu!$I$72,M71=phu!$I$73,M71=phu!$I$74,M71=phu!$I$75,M71=phu!$I$76,M71=phu!$I$77,M71=phu!$I$78),"Cam Phước Đông",""),IF(OR(M71=phu!$I$79,M71=phu!$I$80,M71=phu!$I$81,M71=phu!$I$82,M71=phu!$I$83,M71=phu!$I$84),"Cam Thịnh Đông",""),IF(OR(M71=phu!$I$85,M71=phu!$I$86,M71=phu!$I$87,M71=phu!$I$88),"Cam Thịnh Tây",""),IF(OR(M71=phu!$I$89,M71=phu!$I$90),"Cam Lập",""),IF(OR(M71=phu!$I$91,M71=phu!$I$92,M71=phu!$I$93),"Cam Bình",""),IF(OR(M71=phu!$I$94,M71=phu!$I$95,M71=phu!$I$96,M71=phu!$I$97,M71=phu!$I$98,M71=phu!$I$99,M71=phu!$I$100),"Huyện khác",""),IF(OR(M71=phu!$I$101,M71=phu!$I$102),"Tỉnh khác",""))</f>
        <v/>
      </c>
      <c r="O71" s="829" t="str">
        <f t="shared" ref="O71:O134" si="6">CONCATENATE(IF(OR(N71="Cam Thành Nam",N71="Cam Nghĩa",N71="Cam Phúc Bắc"),"Bắc Cam Ranh",""),IF(OR(N71="Cam Phúc Nam",N71="Cam Phú",N71="Cam Lộc"),"Cam Ranh",""),IF(OR(N71="Cam Thuận",N71="Cam Linh",N71="Cam Lợi"),"Cam Linh",""),IF(OR(N71="Ba Ngòi",N71="Cam Phước Đông"),"Ba Ngòi",""),IF(OR(N71="Cam Thịnh Đông",N71="Cam Thịnh Tây",N71="Cam Lập",N71="Cam Bình"),"Nam Cam Ranh",""),IF(N71="Huyện khác","Huyện khác",""),IF(N71="Tỉnh khác","Tỉnh khác",""))</f>
        <v/>
      </c>
      <c r="P71" s="256"/>
      <c r="Q71" s="256"/>
      <c r="R71" s="256"/>
      <c r="S71" s="254"/>
      <c r="T71" s="254"/>
      <c r="U71" s="254"/>
      <c r="V71" s="254"/>
      <c r="W71" s="254"/>
      <c r="Y71" s="246" t="str">
        <f t="shared" ref="Y71:Y134" si="7">IF(OR(AND(B71="",C71="",D71="",E71="",F71="",G71="",H71="",I71="",J71="",L71="",M71="",N71="",P71="",Q71="",R71="",S71=""),AND(B71&lt;&gt;"",C71&lt;&gt;"",D71&lt;&gt;"",E71&lt;&gt;"",F71&lt;&gt;"",G71&lt;&gt;"",H71&lt;&gt;"",J71&lt;&gt;"",M71&lt;&gt;"",N71&lt;&gt;"",P71&lt;&gt;"",OR(AND(Q71&lt;&gt;"",R71=""),AND(Q71="",R71&lt;&gt;""),AND(Q71&lt;&gt;"",R71&lt;&gt;"")),OR(AND(K71="X",T71&lt;&gt;""),AND(K71="",T71="")))),"","er")</f>
        <v/>
      </c>
      <c r="Z71" s="247" t="str">
        <f t="shared" si="2"/>
        <v/>
      </c>
      <c r="AA71" s="246" t="str">
        <f t="shared" ref="AA71:AA134" si="8">IF(OR(AND(Z71&lt;=10,B71&gt;5),AND(Z71&lt;=11,B71&gt;6),AND(Z71&lt;=12,B71&gt;7),AND(Z71&lt;=13,B71&gt;8),AND(Z71&lt;=14,B71&gt;9),AND(Z71=11,B71=6,L71="X"),AND(Z71=12,B71=7,L71="X"),AND(Z71=13,B71=8,L71="X"),AND(Z71=14,B71=9,L71="X")),"er","")</f>
        <v/>
      </c>
    </row>
    <row r="72" spans="1:27" ht="18" customHeight="1" x14ac:dyDescent="0.25">
      <c r="A72" s="248" t="str">
        <f t="shared" ref="A72:A135" si="9">IF(OR(A71="",B72="",C72="",D72="",E72=""),"",A71+1)</f>
        <v/>
      </c>
      <c r="B72" s="249" t="str">
        <f t="shared" ref="B72:B135" si="10">IF(C72="","",VALUE(LEFT(C72,1)))</f>
        <v/>
      </c>
      <c r="C72" s="250"/>
      <c r="D72" s="251"/>
      <c r="E72" s="241"/>
      <c r="F72" s="252"/>
      <c r="G72" s="252"/>
      <c r="H72" s="253"/>
      <c r="I72" s="250"/>
      <c r="J72" s="250"/>
      <c r="K72" s="270"/>
      <c r="L72" s="250"/>
      <c r="M72" s="250"/>
      <c r="N72" s="540" t="str">
        <f>CONCATENATE(IF(OR(M72=phu!$I$1,M72=phu!$I$2,M72=phu!$I$3),"Cam Thành Nam",""),IF(OR(M72=phu!$I$4,M72=phu!$I$5,M72=phu!$I$6,M72=phu!$I$7,M72=phu!$I$8,M72=phu!$I$9,M72=phu!$I$10,M72=phu!$I$11,M72=phu!$I$12,M72=phu!$I$13,M72=phu!$I$14),"Cam Nghĩa",""),IF(OR(M72=phu!$I$15,M72=phu!$I$16,M72=phu!$I$17,M72=phu!$I$18,M72=phu!$I$19,M72=phu!$I$20,M72=phu!$I$21),"Cam Phúc Bắc",""),IF(OR(M72=phu!$I$22,M72=phu!$I$23,M72=phu!$I$24,M72=phu!$I$25),"Cam Phúc Nam",""),IF(OR(M72=phu!$I$26,M72=phu!$I$27,M72=phu!$I$28,M72=phu!$I$29,M72=phu!$I$30,M72=phu!$I$31),"Cam Phú",""),IF(OR(M72=phu!$I$32,M72=phu!$I$33,M72=phu!$I$34,M72=phu!$I$35,M72=phu!$I$36,M72=phu!$I$37),"Cam Lộc",""),IF(OR(M72=phu!$I$38,M72=phu!$I$39,M72=phu!$I$40,M72=phu!$I$41,M72=phu!$I$42,M72=phu!$I$43,M72=phu!$I$44),"Cam Thuận",""),IF(OR(M72=phu!$I$45,M72=phu!$I$46,M72=phu!$I$47,M72=phu!$I$48,M72=phu!$I$49,M72=phu!$I$50,M72=phu!$I$51,M72=phu!$I$52,M72=phu!$I$53),"Cam Linh",""),IF(OR(M72=phu!$I$54,M72=phu!$I$55,M72=phu!$I$56,M72=phu!$I$57,M72=phu!$I$58,M72=phu!$I$59,M72=phu!$I$60,M72=phu!$I$61,M72=phu!$I$62),"Cam Lợi",""),IF(OR(M72=phu!$I$63,M72=phu!$I$64,M72=phu!$I$65,M72=phu!$I$66,M72=phu!$I$67,M72=phu!$I$68,M72=phu!$I$69,M72=phu!$I$70,M72=phu!$I$71),"Ba Ngòi",""),IF(OR(M72=phu!$I$72,M72=phu!$I$73,M72=phu!$I$74,M72=phu!$I$75,M72=phu!$I$76,M72=phu!$I$77,M72=phu!$I$78),"Cam Phước Đông",""),IF(OR(M72=phu!$I$79,M72=phu!$I$80,M72=phu!$I$81,M72=phu!$I$82,M72=phu!$I$83,M72=phu!$I$84),"Cam Thịnh Đông",""),IF(OR(M72=phu!$I$85,M72=phu!$I$86,M72=phu!$I$87,M72=phu!$I$88),"Cam Thịnh Tây",""),IF(OR(M72=phu!$I$89,M72=phu!$I$90),"Cam Lập",""),IF(OR(M72=phu!$I$91,M72=phu!$I$92,M72=phu!$I$93),"Cam Bình",""),IF(OR(M72=phu!$I$94,M72=phu!$I$95,M72=phu!$I$96,M72=phu!$I$97,M72=phu!$I$98,M72=phu!$I$99,M72=phu!$I$100),"Huyện khác",""),IF(OR(M72=phu!$I$101,M72=phu!$I$102),"Tỉnh khác",""))</f>
        <v/>
      </c>
      <c r="O72" s="829" t="str">
        <f t="shared" si="6"/>
        <v/>
      </c>
      <c r="P72" s="256"/>
      <c r="Q72" s="256"/>
      <c r="R72" s="256"/>
      <c r="S72" s="254"/>
      <c r="T72" s="254"/>
      <c r="U72" s="254"/>
      <c r="V72" s="254"/>
      <c r="W72" s="254"/>
      <c r="Y72" s="246" t="str">
        <f t="shared" si="7"/>
        <v/>
      </c>
      <c r="Z72" s="247" t="str">
        <f t="shared" ref="Z72:Z135" si="11">IF(H72="","",$Z$1-H72)</f>
        <v/>
      </c>
      <c r="AA72" s="246" t="str">
        <f t="shared" si="8"/>
        <v/>
      </c>
    </row>
    <row r="73" spans="1:27" ht="18" customHeight="1" x14ac:dyDescent="0.25">
      <c r="A73" s="248" t="str">
        <f t="shared" si="9"/>
        <v/>
      </c>
      <c r="B73" s="249" t="str">
        <f t="shared" si="10"/>
        <v/>
      </c>
      <c r="C73" s="250"/>
      <c r="D73" s="251"/>
      <c r="E73" s="241"/>
      <c r="F73" s="252"/>
      <c r="G73" s="252"/>
      <c r="H73" s="253"/>
      <c r="I73" s="250"/>
      <c r="J73" s="250"/>
      <c r="K73" s="270"/>
      <c r="L73" s="250"/>
      <c r="M73" s="250"/>
      <c r="N73" s="540" t="str">
        <f>CONCATENATE(IF(OR(M73=phu!$I$1,M73=phu!$I$2,M73=phu!$I$3),"Cam Thành Nam",""),IF(OR(M73=phu!$I$4,M73=phu!$I$5,M73=phu!$I$6,M73=phu!$I$7,M73=phu!$I$8,M73=phu!$I$9,M73=phu!$I$10,M73=phu!$I$11,M73=phu!$I$12,M73=phu!$I$13,M73=phu!$I$14),"Cam Nghĩa",""),IF(OR(M73=phu!$I$15,M73=phu!$I$16,M73=phu!$I$17,M73=phu!$I$18,M73=phu!$I$19,M73=phu!$I$20,M73=phu!$I$21),"Cam Phúc Bắc",""),IF(OR(M73=phu!$I$22,M73=phu!$I$23,M73=phu!$I$24,M73=phu!$I$25),"Cam Phúc Nam",""),IF(OR(M73=phu!$I$26,M73=phu!$I$27,M73=phu!$I$28,M73=phu!$I$29,M73=phu!$I$30,M73=phu!$I$31),"Cam Phú",""),IF(OR(M73=phu!$I$32,M73=phu!$I$33,M73=phu!$I$34,M73=phu!$I$35,M73=phu!$I$36,M73=phu!$I$37),"Cam Lộc",""),IF(OR(M73=phu!$I$38,M73=phu!$I$39,M73=phu!$I$40,M73=phu!$I$41,M73=phu!$I$42,M73=phu!$I$43,M73=phu!$I$44),"Cam Thuận",""),IF(OR(M73=phu!$I$45,M73=phu!$I$46,M73=phu!$I$47,M73=phu!$I$48,M73=phu!$I$49,M73=phu!$I$50,M73=phu!$I$51,M73=phu!$I$52,M73=phu!$I$53),"Cam Linh",""),IF(OR(M73=phu!$I$54,M73=phu!$I$55,M73=phu!$I$56,M73=phu!$I$57,M73=phu!$I$58,M73=phu!$I$59,M73=phu!$I$60,M73=phu!$I$61,M73=phu!$I$62),"Cam Lợi",""),IF(OR(M73=phu!$I$63,M73=phu!$I$64,M73=phu!$I$65,M73=phu!$I$66,M73=phu!$I$67,M73=phu!$I$68,M73=phu!$I$69,M73=phu!$I$70,M73=phu!$I$71),"Ba Ngòi",""),IF(OR(M73=phu!$I$72,M73=phu!$I$73,M73=phu!$I$74,M73=phu!$I$75,M73=phu!$I$76,M73=phu!$I$77,M73=phu!$I$78),"Cam Phước Đông",""),IF(OR(M73=phu!$I$79,M73=phu!$I$80,M73=phu!$I$81,M73=phu!$I$82,M73=phu!$I$83,M73=phu!$I$84),"Cam Thịnh Đông",""),IF(OR(M73=phu!$I$85,M73=phu!$I$86,M73=phu!$I$87,M73=phu!$I$88),"Cam Thịnh Tây",""),IF(OR(M73=phu!$I$89,M73=phu!$I$90),"Cam Lập",""),IF(OR(M73=phu!$I$91,M73=phu!$I$92,M73=phu!$I$93),"Cam Bình",""),IF(OR(M73=phu!$I$94,M73=phu!$I$95,M73=phu!$I$96,M73=phu!$I$97,M73=phu!$I$98,M73=phu!$I$99,M73=phu!$I$100),"Huyện khác",""),IF(OR(M73=phu!$I$101,M73=phu!$I$102),"Tỉnh khác",""))</f>
        <v/>
      </c>
      <c r="O73" s="829" t="str">
        <f t="shared" si="6"/>
        <v/>
      </c>
      <c r="P73" s="256"/>
      <c r="Q73" s="256"/>
      <c r="R73" s="256"/>
      <c r="S73" s="254"/>
      <c r="T73" s="254"/>
      <c r="U73" s="254"/>
      <c r="V73" s="254"/>
      <c r="W73" s="254"/>
      <c r="Y73" s="246" t="str">
        <f t="shared" si="7"/>
        <v/>
      </c>
      <c r="Z73" s="247" t="str">
        <f t="shared" si="11"/>
        <v/>
      </c>
      <c r="AA73" s="246" t="str">
        <f t="shared" si="8"/>
        <v/>
      </c>
    </row>
    <row r="74" spans="1:27" ht="18" customHeight="1" x14ac:dyDescent="0.25">
      <c r="A74" s="248" t="str">
        <f t="shared" si="9"/>
        <v/>
      </c>
      <c r="B74" s="249" t="str">
        <f t="shared" si="10"/>
        <v/>
      </c>
      <c r="C74" s="250"/>
      <c r="D74" s="251"/>
      <c r="E74" s="241"/>
      <c r="F74" s="252"/>
      <c r="G74" s="252"/>
      <c r="H74" s="253"/>
      <c r="I74" s="250"/>
      <c r="J74" s="250"/>
      <c r="K74" s="270"/>
      <c r="L74" s="250"/>
      <c r="M74" s="250"/>
      <c r="N74" s="540" t="str">
        <f>CONCATENATE(IF(OR(M74=phu!$I$1,M74=phu!$I$2,M74=phu!$I$3),"Cam Thành Nam",""),IF(OR(M74=phu!$I$4,M74=phu!$I$5,M74=phu!$I$6,M74=phu!$I$7,M74=phu!$I$8,M74=phu!$I$9,M74=phu!$I$10,M74=phu!$I$11,M74=phu!$I$12,M74=phu!$I$13,M74=phu!$I$14),"Cam Nghĩa",""),IF(OR(M74=phu!$I$15,M74=phu!$I$16,M74=phu!$I$17,M74=phu!$I$18,M74=phu!$I$19,M74=phu!$I$20,M74=phu!$I$21),"Cam Phúc Bắc",""),IF(OR(M74=phu!$I$22,M74=phu!$I$23,M74=phu!$I$24,M74=phu!$I$25),"Cam Phúc Nam",""),IF(OR(M74=phu!$I$26,M74=phu!$I$27,M74=phu!$I$28,M74=phu!$I$29,M74=phu!$I$30,M74=phu!$I$31),"Cam Phú",""),IF(OR(M74=phu!$I$32,M74=phu!$I$33,M74=phu!$I$34,M74=phu!$I$35,M74=phu!$I$36,M74=phu!$I$37),"Cam Lộc",""),IF(OR(M74=phu!$I$38,M74=phu!$I$39,M74=phu!$I$40,M74=phu!$I$41,M74=phu!$I$42,M74=phu!$I$43,M74=phu!$I$44),"Cam Thuận",""),IF(OR(M74=phu!$I$45,M74=phu!$I$46,M74=phu!$I$47,M74=phu!$I$48,M74=phu!$I$49,M74=phu!$I$50,M74=phu!$I$51,M74=phu!$I$52,M74=phu!$I$53),"Cam Linh",""),IF(OR(M74=phu!$I$54,M74=phu!$I$55,M74=phu!$I$56,M74=phu!$I$57,M74=phu!$I$58,M74=phu!$I$59,M74=phu!$I$60,M74=phu!$I$61,M74=phu!$I$62),"Cam Lợi",""),IF(OR(M74=phu!$I$63,M74=phu!$I$64,M74=phu!$I$65,M74=phu!$I$66,M74=phu!$I$67,M74=phu!$I$68,M74=phu!$I$69,M74=phu!$I$70,M74=phu!$I$71),"Ba Ngòi",""),IF(OR(M74=phu!$I$72,M74=phu!$I$73,M74=phu!$I$74,M74=phu!$I$75,M74=phu!$I$76,M74=phu!$I$77,M74=phu!$I$78),"Cam Phước Đông",""),IF(OR(M74=phu!$I$79,M74=phu!$I$80,M74=phu!$I$81,M74=phu!$I$82,M74=phu!$I$83,M74=phu!$I$84),"Cam Thịnh Đông",""),IF(OR(M74=phu!$I$85,M74=phu!$I$86,M74=phu!$I$87,M74=phu!$I$88),"Cam Thịnh Tây",""),IF(OR(M74=phu!$I$89,M74=phu!$I$90),"Cam Lập",""),IF(OR(M74=phu!$I$91,M74=phu!$I$92,M74=phu!$I$93),"Cam Bình",""),IF(OR(M74=phu!$I$94,M74=phu!$I$95,M74=phu!$I$96,M74=phu!$I$97,M74=phu!$I$98,M74=phu!$I$99,M74=phu!$I$100),"Huyện khác",""),IF(OR(M74=phu!$I$101,M74=phu!$I$102),"Tỉnh khác",""))</f>
        <v/>
      </c>
      <c r="O74" s="829" t="str">
        <f t="shared" si="6"/>
        <v/>
      </c>
      <c r="P74" s="254"/>
      <c r="Q74" s="254"/>
      <c r="R74" s="254"/>
      <c r="S74" s="254"/>
      <c r="T74" s="254"/>
      <c r="U74" s="254"/>
      <c r="V74" s="254"/>
      <c r="W74" s="254"/>
      <c r="Y74" s="246" t="str">
        <f t="shared" si="7"/>
        <v/>
      </c>
      <c r="Z74" s="247" t="str">
        <f t="shared" si="11"/>
        <v/>
      </c>
      <c r="AA74" s="246" t="str">
        <f t="shared" si="8"/>
        <v/>
      </c>
    </row>
    <row r="75" spans="1:27" ht="18" customHeight="1" x14ac:dyDescent="0.25">
      <c r="A75" s="248" t="str">
        <f t="shared" si="9"/>
        <v/>
      </c>
      <c r="B75" s="249" t="str">
        <f t="shared" si="10"/>
        <v/>
      </c>
      <c r="C75" s="250"/>
      <c r="D75" s="251"/>
      <c r="E75" s="241"/>
      <c r="F75" s="252"/>
      <c r="G75" s="252"/>
      <c r="H75" s="253"/>
      <c r="I75" s="250"/>
      <c r="J75" s="250"/>
      <c r="K75" s="270"/>
      <c r="L75" s="250"/>
      <c r="M75" s="250"/>
      <c r="N75" s="540" t="str">
        <f>CONCATENATE(IF(OR(M75=phu!$I$1,M75=phu!$I$2,M75=phu!$I$3),"Cam Thành Nam",""),IF(OR(M75=phu!$I$4,M75=phu!$I$5,M75=phu!$I$6,M75=phu!$I$7,M75=phu!$I$8,M75=phu!$I$9,M75=phu!$I$10,M75=phu!$I$11,M75=phu!$I$12,M75=phu!$I$13,M75=phu!$I$14),"Cam Nghĩa",""),IF(OR(M75=phu!$I$15,M75=phu!$I$16,M75=phu!$I$17,M75=phu!$I$18,M75=phu!$I$19,M75=phu!$I$20,M75=phu!$I$21),"Cam Phúc Bắc",""),IF(OR(M75=phu!$I$22,M75=phu!$I$23,M75=phu!$I$24,M75=phu!$I$25),"Cam Phúc Nam",""),IF(OR(M75=phu!$I$26,M75=phu!$I$27,M75=phu!$I$28,M75=phu!$I$29,M75=phu!$I$30,M75=phu!$I$31),"Cam Phú",""),IF(OR(M75=phu!$I$32,M75=phu!$I$33,M75=phu!$I$34,M75=phu!$I$35,M75=phu!$I$36,M75=phu!$I$37),"Cam Lộc",""),IF(OR(M75=phu!$I$38,M75=phu!$I$39,M75=phu!$I$40,M75=phu!$I$41,M75=phu!$I$42,M75=phu!$I$43,M75=phu!$I$44),"Cam Thuận",""),IF(OR(M75=phu!$I$45,M75=phu!$I$46,M75=phu!$I$47,M75=phu!$I$48,M75=phu!$I$49,M75=phu!$I$50,M75=phu!$I$51,M75=phu!$I$52,M75=phu!$I$53),"Cam Linh",""),IF(OR(M75=phu!$I$54,M75=phu!$I$55,M75=phu!$I$56,M75=phu!$I$57,M75=phu!$I$58,M75=phu!$I$59,M75=phu!$I$60,M75=phu!$I$61,M75=phu!$I$62),"Cam Lợi",""),IF(OR(M75=phu!$I$63,M75=phu!$I$64,M75=phu!$I$65,M75=phu!$I$66,M75=phu!$I$67,M75=phu!$I$68,M75=phu!$I$69,M75=phu!$I$70,M75=phu!$I$71),"Ba Ngòi",""),IF(OR(M75=phu!$I$72,M75=phu!$I$73,M75=phu!$I$74,M75=phu!$I$75,M75=phu!$I$76,M75=phu!$I$77,M75=phu!$I$78),"Cam Phước Đông",""),IF(OR(M75=phu!$I$79,M75=phu!$I$80,M75=phu!$I$81,M75=phu!$I$82,M75=phu!$I$83,M75=phu!$I$84),"Cam Thịnh Đông",""),IF(OR(M75=phu!$I$85,M75=phu!$I$86,M75=phu!$I$87,M75=phu!$I$88),"Cam Thịnh Tây",""),IF(OR(M75=phu!$I$89,M75=phu!$I$90),"Cam Lập",""),IF(OR(M75=phu!$I$91,M75=phu!$I$92,M75=phu!$I$93),"Cam Bình",""),IF(OR(M75=phu!$I$94,M75=phu!$I$95,M75=phu!$I$96,M75=phu!$I$97,M75=phu!$I$98,M75=phu!$I$99,M75=phu!$I$100),"Huyện khác",""),IF(OR(M75=phu!$I$101,M75=phu!$I$102),"Tỉnh khác",""))</f>
        <v/>
      </c>
      <c r="O75" s="829" t="str">
        <f t="shared" si="6"/>
        <v/>
      </c>
      <c r="P75" s="256"/>
      <c r="Q75" s="256"/>
      <c r="R75" s="256"/>
      <c r="S75" s="254"/>
      <c r="T75" s="254"/>
      <c r="U75" s="254"/>
      <c r="V75" s="254"/>
      <c r="W75" s="254"/>
      <c r="Y75" s="246" t="str">
        <f t="shared" si="7"/>
        <v/>
      </c>
      <c r="Z75" s="247" t="str">
        <f t="shared" si="11"/>
        <v/>
      </c>
      <c r="AA75" s="246" t="str">
        <f t="shared" si="8"/>
        <v/>
      </c>
    </row>
    <row r="76" spans="1:27" ht="18" customHeight="1" x14ac:dyDescent="0.25">
      <c r="A76" s="248" t="str">
        <f t="shared" si="9"/>
        <v/>
      </c>
      <c r="B76" s="249" t="str">
        <f t="shared" si="10"/>
        <v/>
      </c>
      <c r="C76" s="250"/>
      <c r="D76" s="251"/>
      <c r="E76" s="241"/>
      <c r="F76" s="252"/>
      <c r="G76" s="252"/>
      <c r="H76" s="253"/>
      <c r="I76" s="250"/>
      <c r="J76" s="250"/>
      <c r="K76" s="270"/>
      <c r="L76" s="250"/>
      <c r="M76" s="250"/>
      <c r="N76" s="540" t="str">
        <f>CONCATENATE(IF(OR(M76=phu!$I$1,M76=phu!$I$2,M76=phu!$I$3),"Cam Thành Nam",""),IF(OR(M76=phu!$I$4,M76=phu!$I$5,M76=phu!$I$6,M76=phu!$I$7,M76=phu!$I$8,M76=phu!$I$9,M76=phu!$I$10,M76=phu!$I$11,M76=phu!$I$12,M76=phu!$I$13,M76=phu!$I$14),"Cam Nghĩa",""),IF(OR(M76=phu!$I$15,M76=phu!$I$16,M76=phu!$I$17,M76=phu!$I$18,M76=phu!$I$19,M76=phu!$I$20,M76=phu!$I$21),"Cam Phúc Bắc",""),IF(OR(M76=phu!$I$22,M76=phu!$I$23,M76=phu!$I$24,M76=phu!$I$25),"Cam Phúc Nam",""),IF(OR(M76=phu!$I$26,M76=phu!$I$27,M76=phu!$I$28,M76=phu!$I$29,M76=phu!$I$30,M76=phu!$I$31),"Cam Phú",""),IF(OR(M76=phu!$I$32,M76=phu!$I$33,M76=phu!$I$34,M76=phu!$I$35,M76=phu!$I$36,M76=phu!$I$37),"Cam Lộc",""),IF(OR(M76=phu!$I$38,M76=phu!$I$39,M76=phu!$I$40,M76=phu!$I$41,M76=phu!$I$42,M76=phu!$I$43,M76=phu!$I$44),"Cam Thuận",""),IF(OR(M76=phu!$I$45,M76=phu!$I$46,M76=phu!$I$47,M76=phu!$I$48,M76=phu!$I$49,M76=phu!$I$50,M76=phu!$I$51,M76=phu!$I$52,M76=phu!$I$53),"Cam Linh",""),IF(OR(M76=phu!$I$54,M76=phu!$I$55,M76=phu!$I$56,M76=phu!$I$57,M76=phu!$I$58,M76=phu!$I$59,M76=phu!$I$60,M76=phu!$I$61,M76=phu!$I$62),"Cam Lợi",""),IF(OR(M76=phu!$I$63,M76=phu!$I$64,M76=phu!$I$65,M76=phu!$I$66,M76=phu!$I$67,M76=phu!$I$68,M76=phu!$I$69,M76=phu!$I$70,M76=phu!$I$71),"Ba Ngòi",""),IF(OR(M76=phu!$I$72,M76=phu!$I$73,M76=phu!$I$74,M76=phu!$I$75,M76=phu!$I$76,M76=phu!$I$77,M76=phu!$I$78),"Cam Phước Đông",""),IF(OR(M76=phu!$I$79,M76=phu!$I$80,M76=phu!$I$81,M76=phu!$I$82,M76=phu!$I$83,M76=phu!$I$84),"Cam Thịnh Đông",""),IF(OR(M76=phu!$I$85,M76=phu!$I$86,M76=phu!$I$87,M76=phu!$I$88),"Cam Thịnh Tây",""),IF(OR(M76=phu!$I$89,M76=phu!$I$90),"Cam Lập",""),IF(OR(M76=phu!$I$91,M76=phu!$I$92,M76=phu!$I$93),"Cam Bình",""),IF(OR(M76=phu!$I$94,M76=phu!$I$95,M76=phu!$I$96,M76=phu!$I$97,M76=phu!$I$98,M76=phu!$I$99,M76=phu!$I$100),"Huyện khác",""),IF(OR(M76=phu!$I$101,M76=phu!$I$102),"Tỉnh khác",""))</f>
        <v/>
      </c>
      <c r="O76" s="829" t="str">
        <f t="shared" si="6"/>
        <v/>
      </c>
      <c r="P76" s="256"/>
      <c r="Q76" s="256"/>
      <c r="R76" s="256"/>
      <c r="S76" s="254"/>
      <c r="T76" s="254"/>
      <c r="U76" s="254"/>
      <c r="V76" s="254"/>
      <c r="W76" s="254"/>
      <c r="Y76" s="246" t="str">
        <f t="shared" si="7"/>
        <v/>
      </c>
      <c r="Z76" s="247" t="str">
        <f t="shared" si="11"/>
        <v/>
      </c>
      <c r="AA76" s="246" t="str">
        <f t="shared" si="8"/>
        <v/>
      </c>
    </row>
    <row r="77" spans="1:27" ht="18" customHeight="1" x14ac:dyDescent="0.25">
      <c r="A77" s="248" t="str">
        <f t="shared" si="9"/>
        <v/>
      </c>
      <c r="B77" s="249" t="str">
        <f t="shared" si="10"/>
        <v/>
      </c>
      <c r="C77" s="250"/>
      <c r="D77" s="251"/>
      <c r="E77" s="241"/>
      <c r="F77" s="252"/>
      <c r="G77" s="252"/>
      <c r="H77" s="253"/>
      <c r="I77" s="250"/>
      <c r="J77" s="250"/>
      <c r="K77" s="270"/>
      <c r="L77" s="250"/>
      <c r="M77" s="250"/>
      <c r="N77" s="540" t="str">
        <f>CONCATENATE(IF(OR(M77=phu!$I$1,M77=phu!$I$2,M77=phu!$I$3),"Cam Thành Nam",""),IF(OR(M77=phu!$I$4,M77=phu!$I$5,M77=phu!$I$6,M77=phu!$I$7,M77=phu!$I$8,M77=phu!$I$9,M77=phu!$I$10,M77=phu!$I$11,M77=phu!$I$12,M77=phu!$I$13,M77=phu!$I$14),"Cam Nghĩa",""),IF(OR(M77=phu!$I$15,M77=phu!$I$16,M77=phu!$I$17,M77=phu!$I$18,M77=phu!$I$19,M77=phu!$I$20,M77=phu!$I$21),"Cam Phúc Bắc",""),IF(OR(M77=phu!$I$22,M77=phu!$I$23,M77=phu!$I$24,M77=phu!$I$25),"Cam Phúc Nam",""),IF(OR(M77=phu!$I$26,M77=phu!$I$27,M77=phu!$I$28,M77=phu!$I$29,M77=phu!$I$30,M77=phu!$I$31),"Cam Phú",""),IF(OR(M77=phu!$I$32,M77=phu!$I$33,M77=phu!$I$34,M77=phu!$I$35,M77=phu!$I$36,M77=phu!$I$37),"Cam Lộc",""),IF(OR(M77=phu!$I$38,M77=phu!$I$39,M77=phu!$I$40,M77=phu!$I$41,M77=phu!$I$42,M77=phu!$I$43,M77=phu!$I$44),"Cam Thuận",""),IF(OR(M77=phu!$I$45,M77=phu!$I$46,M77=phu!$I$47,M77=phu!$I$48,M77=phu!$I$49,M77=phu!$I$50,M77=phu!$I$51,M77=phu!$I$52,M77=phu!$I$53),"Cam Linh",""),IF(OR(M77=phu!$I$54,M77=phu!$I$55,M77=phu!$I$56,M77=phu!$I$57,M77=phu!$I$58,M77=phu!$I$59,M77=phu!$I$60,M77=phu!$I$61,M77=phu!$I$62),"Cam Lợi",""),IF(OR(M77=phu!$I$63,M77=phu!$I$64,M77=phu!$I$65,M77=phu!$I$66,M77=phu!$I$67,M77=phu!$I$68,M77=phu!$I$69,M77=phu!$I$70,M77=phu!$I$71),"Ba Ngòi",""),IF(OR(M77=phu!$I$72,M77=phu!$I$73,M77=phu!$I$74,M77=phu!$I$75,M77=phu!$I$76,M77=phu!$I$77,M77=phu!$I$78),"Cam Phước Đông",""),IF(OR(M77=phu!$I$79,M77=phu!$I$80,M77=phu!$I$81,M77=phu!$I$82,M77=phu!$I$83,M77=phu!$I$84),"Cam Thịnh Đông",""),IF(OR(M77=phu!$I$85,M77=phu!$I$86,M77=phu!$I$87,M77=phu!$I$88),"Cam Thịnh Tây",""),IF(OR(M77=phu!$I$89,M77=phu!$I$90),"Cam Lập",""),IF(OR(M77=phu!$I$91,M77=phu!$I$92,M77=phu!$I$93),"Cam Bình",""),IF(OR(M77=phu!$I$94,M77=phu!$I$95,M77=phu!$I$96,M77=phu!$I$97,M77=phu!$I$98,M77=phu!$I$99,M77=phu!$I$100),"Huyện khác",""),IF(OR(M77=phu!$I$101,M77=phu!$I$102),"Tỉnh khác",""))</f>
        <v/>
      </c>
      <c r="O77" s="829" t="str">
        <f t="shared" si="6"/>
        <v/>
      </c>
      <c r="P77" s="254"/>
      <c r="Q77" s="254"/>
      <c r="R77" s="254"/>
      <c r="S77" s="254"/>
      <c r="T77" s="254"/>
      <c r="U77" s="254"/>
      <c r="V77" s="254"/>
      <c r="W77" s="254"/>
      <c r="Y77" s="246" t="str">
        <f t="shared" si="7"/>
        <v/>
      </c>
      <c r="Z77" s="247" t="str">
        <f t="shared" si="11"/>
        <v/>
      </c>
      <c r="AA77" s="246" t="str">
        <f t="shared" si="8"/>
        <v/>
      </c>
    </row>
    <row r="78" spans="1:27" ht="18" customHeight="1" x14ac:dyDescent="0.25">
      <c r="A78" s="248" t="str">
        <f t="shared" si="9"/>
        <v/>
      </c>
      <c r="B78" s="249" t="str">
        <f t="shared" si="10"/>
        <v/>
      </c>
      <c r="C78" s="250"/>
      <c r="D78" s="251"/>
      <c r="E78" s="241"/>
      <c r="F78" s="252"/>
      <c r="G78" s="252"/>
      <c r="H78" s="253"/>
      <c r="I78" s="250"/>
      <c r="J78" s="250"/>
      <c r="K78" s="270"/>
      <c r="L78" s="250"/>
      <c r="M78" s="250"/>
      <c r="N78" s="540" t="str">
        <f>CONCATENATE(IF(OR(M78=phu!$I$1,M78=phu!$I$2,M78=phu!$I$3),"Cam Thành Nam",""),IF(OR(M78=phu!$I$4,M78=phu!$I$5,M78=phu!$I$6,M78=phu!$I$7,M78=phu!$I$8,M78=phu!$I$9,M78=phu!$I$10,M78=phu!$I$11,M78=phu!$I$12,M78=phu!$I$13,M78=phu!$I$14),"Cam Nghĩa",""),IF(OR(M78=phu!$I$15,M78=phu!$I$16,M78=phu!$I$17,M78=phu!$I$18,M78=phu!$I$19,M78=phu!$I$20,M78=phu!$I$21),"Cam Phúc Bắc",""),IF(OR(M78=phu!$I$22,M78=phu!$I$23,M78=phu!$I$24,M78=phu!$I$25),"Cam Phúc Nam",""),IF(OR(M78=phu!$I$26,M78=phu!$I$27,M78=phu!$I$28,M78=phu!$I$29,M78=phu!$I$30,M78=phu!$I$31),"Cam Phú",""),IF(OR(M78=phu!$I$32,M78=phu!$I$33,M78=phu!$I$34,M78=phu!$I$35,M78=phu!$I$36,M78=phu!$I$37),"Cam Lộc",""),IF(OR(M78=phu!$I$38,M78=phu!$I$39,M78=phu!$I$40,M78=phu!$I$41,M78=phu!$I$42,M78=phu!$I$43,M78=phu!$I$44),"Cam Thuận",""),IF(OR(M78=phu!$I$45,M78=phu!$I$46,M78=phu!$I$47,M78=phu!$I$48,M78=phu!$I$49,M78=phu!$I$50,M78=phu!$I$51,M78=phu!$I$52,M78=phu!$I$53),"Cam Linh",""),IF(OR(M78=phu!$I$54,M78=phu!$I$55,M78=phu!$I$56,M78=phu!$I$57,M78=phu!$I$58,M78=phu!$I$59,M78=phu!$I$60,M78=phu!$I$61,M78=phu!$I$62),"Cam Lợi",""),IF(OR(M78=phu!$I$63,M78=phu!$I$64,M78=phu!$I$65,M78=phu!$I$66,M78=phu!$I$67,M78=phu!$I$68,M78=phu!$I$69,M78=phu!$I$70,M78=phu!$I$71),"Ba Ngòi",""),IF(OR(M78=phu!$I$72,M78=phu!$I$73,M78=phu!$I$74,M78=phu!$I$75,M78=phu!$I$76,M78=phu!$I$77,M78=phu!$I$78),"Cam Phước Đông",""),IF(OR(M78=phu!$I$79,M78=phu!$I$80,M78=phu!$I$81,M78=phu!$I$82,M78=phu!$I$83,M78=phu!$I$84),"Cam Thịnh Đông",""),IF(OR(M78=phu!$I$85,M78=phu!$I$86,M78=phu!$I$87,M78=phu!$I$88),"Cam Thịnh Tây",""),IF(OR(M78=phu!$I$89,M78=phu!$I$90),"Cam Lập",""),IF(OR(M78=phu!$I$91,M78=phu!$I$92,M78=phu!$I$93),"Cam Bình",""),IF(OR(M78=phu!$I$94,M78=phu!$I$95,M78=phu!$I$96,M78=phu!$I$97,M78=phu!$I$98,M78=phu!$I$99,M78=phu!$I$100),"Huyện khác",""),IF(OR(M78=phu!$I$101,M78=phu!$I$102),"Tỉnh khác",""))</f>
        <v/>
      </c>
      <c r="O78" s="829" t="str">
        <f t="shared" si="6"/>
        <v/>
      </c>
      <c r="P78" s="256"/>
      <c r="Q78" s="256"/>
      <c r="R78" s="256"/>
      <c r="S78" s="254"/>
      <c r="T78" s="254"/>
      <c r="U78" s="254"/>
      <c r="V78" s="254"/>
      <c r="W78" s="254"/>
      <c r="Y78" s="246" t="str">
        <f t="shared" si="7"/>
        <v/>
      </c>
      <c r="Z78" s="247" t="str">
        <f t="shared" si="11"/>
        <v/>
      </c>
      <c r="AA78" s="246" t="str">
        <f t="shared" si="8"/>
        <v/>
      </c>
    </row>
    <row r="79" spans="1:27" ht="18" customHeight="1" x14ac:dyDescent="0.25">
      <c r="A79" s="248" t="str">
        <f t="shared" si="9"/>
        <v/>
      </c>
      <c r="B79" s="249" t="str">
        <f t="shared" si="10"/>
        <v/>
      </c>
      <c r="C79" s="250"/>
      <c r="D79" s="251"/>
      <c r="E79" s="241"/>
      <c r="F79" s="252"/>
      <c r="G79" s="252"/>
      <c r="H79" s="253"/>
      <c r="I79" s="250"/>
      <c r="J79" s="250"/>
      <c r="K79" s="270"/>
      <c r="L79" s="250"/>
      <c r="M79" s="250"/>
      <c r="N79" s="540" t="str">
        <f>CONCATENATE(IF(OR(M79=phu!$I$1,M79=phu!$I$2,M79=phu!$I$3),"Cam Thành Nam",""),IF(OR(M79=phu!$I$4,M79=phu!$I$5,M79=phu!$I$6,M79=phu!$I$7,M79=phu!$I$8,M79=phu!$I$9,M79=phu!$I$10,M79=phu!$I$11,M79=phu!$I$12,M79=phu!$I$13,M79=phu!$I$14),"Cam Nghĩa",""),IF(OR(M79=phu!$I$15,M79=phu!$I$16,M79=phu!$I$17,M79=phu!$I$18,M79=phu!$I$19,M79=phu!$I$20,M79=phu!$I$21),"Cam Phúc Bắc",""),IF(OR(M79=phu!$I$22,M79=phu!$I$23,M79=phu!$I$24,M79=phu!$I$25),"Cam Phúc Nam",""),IF(OR(M79=phu!$I$26,M79=phu!$I$27,M79=phu!$I$28,M79=phu!$I$29,M79=phu!$I$30,M79=phu!$I$31),"Cam Phú",""),IF(OR(M79=phu!$I$32,M79=phu!$I$33,M79=phu!$I$34,M79=phu!$I$35,M79=phu!$I$36,M79=phu!$I$37),"Cam Lộc",""),IF(OR(M79=phu!$I$38,M79=phu!$I$39,M79=phu!$I$40,M79=phu!$I$41,M79=phu!$I$42,M79=phu!$I$43,M79=phu!$I$44),"Cam Thuận",""),IF(OR(M79=phu!$I$45,M79=phu!$I$46,M79=phu!$I$47,M79=phu!$I$48,M79=phu!$I$49,M79=phu!$I$50,M79=phu!$I$51,M79=phu!$I$52,M79=phu!$I$53),"Cam Linh",""),IF(OR(M79=phu!$I$54,M79=phu!$I$55,M79=phu!$I$56,M79=phu!$I$57,M79=phu!$I$58,M79=phu!$I$59,M79=phu!$I$60,M79=phu!$I$61,M79=phu!$I$62),"Cam Lợi",""),IF(OR(M79=phu!$I$63,M79=phu!$I$64,M79=phu!$I$65,M79=phu!$I$66,M79=phu!$I$67,M79=phu!$I$68,M79=phu!$I$69,M79=phu!$I$70,M79=phu!$I$71),"Ba Ngòi",""),IF(OR(M79=phu!$I$72,M79=phu!$I$73,M79=phu!$I$74,M79=phu!$I$75,M79=phu!$I$76,M79=phu!$I$77,M79=phu!$I$78),"Cam Phước Đông",""),IF(OR(M79=phu!$I$79,M79=phu!$I$80,M79=phu!$I$81,M79=phu!$I$82,M79=phu!$I$83,M79=phu!$I$84),"Cam Thịnh Đông",""),IF(OR(M79=phu!$I$85,M79=phu!$I$86,M79=phu!$I$87,M79=phu!$I$88),"Cam Thịnh Tây",""),IF(OR(M79=phu!$I$89,M79=phu!$I$90),"Cam Lập",""),IF(OR(M79=phu!$I$91,M79=phu!$I$92,M79=phu!$I$93),"Cam Bình",""),IF(OR(M79=phu!$I$94,M79=phu!$I$95,M79=phu!$I$96,M79=phu!$I$97,M79=phu!$I$98,M79=phu!$I$99,M79=phu!$I$100),"Huyện khác",""),IF(OR(M79=phu!$I$101,M79=phu!$I$102),"Tỉnh khác",""))</f>
        <v/>
      </c>
      <c r="O79" s="829" t="str">
        <f t="shared" si="6"/>
        <v/>
      </c>
      <c r="P79" s="254"/>
      <c r="Q79" s="254"/>
      <c r="R79" s="254"/>
      <c r="S79" s="254"/>
      <c r="T79" s="254"/>
      <c r="U79" s="254"/>
      <c r="V79" s="254"/>
      <c r="W79" s="254"/>
      <c r="Y79" s="246" t="str">
        <f t="shared" si="7"/>
        <v/>
      </c>
      <c r="Z79" s="247" t="str">
        <f t="shared" si="11"/>
        <v/>
      </c>
      <c r="AA79" s="246" t="str">
        <f t="shared" si="8"/>
        <v/>
      </c>
    </row>
    <row r="80" spans="1:27" ht="18" customHeight="1" x14ac:dyDescent="0.25">
      <c r="A80" s="248" t="str">
        <f t="shared" si="9"/>
        <v/>
      </c>
      <c r="B80" s="249" t="str">
        <f t="shared" si="10"/>
        <v/>
      </c>
      <c r="C80" s="250"/>
      <c r="D80" s="251"/>
      <c r="E80" s="241"/>
      <c r="F80" s="252"/>
      <c r="G80" s="252"/>
      <c r="H80" s="253"/>
      <c r="I80" s="250"/>
      <c r="J80" s="250"/>
      <c r="K80" s="270"/>
      <c r="L80" s="250"/>
      <c r="M80" s="250"/>
      <c r="N80" s="540" t="str">
        <f>CONCATENATE(IF(OR(M80=phu!$I$1,M80=phu!$I$2,M80=phu!$I$3),"Cam Thành Nam",""),IF(OR(M80=phu!$I$4,M80=phu!$I$5,M80=phu!$I$6,M80=phu!$I$7,M80=phu!$I$8,M80=phu!$I$9,M80=phu!$I$10,M80=phu!$I$11,M80=phu!$I$12,M80=phu!$I$13,M80=phu!$I$14),"Cam Nghĩa",""),IF(OR(M80=phu!$I$15,M80=phu!$I$16,M80=phu!$I$17,M80=phu!$I$18,M80=phu!$I$19,M80=phu!$I$20,M80=phu!$I$21),"Cam Phúc Bắc",""),IF(OR(M80=phu!$I$22,M80=phu!$I$23,M80=phu!$I$24,M80=phu!$I$25),"Cam Phúc Nam",""),IF(OR(M80=phu!$I$26,M80=phu!$I$27,M80=phu!$I$28,M80=phu!$I$29,M80=phu!$I$30,M80=phu!$I$31),"Cam Phú",""),IF(OR(M80=phu!$I$32,M80=phu!$I$33,M80=phu!$I$34,M80=phu!$I$35,M80=phu!$I$36,M80=phu!$I$37),"Cam Lộc",""),IF(OR(M80=phu!$I$38,M80=phu!$I$39,M80=phu!$I$40,M80=phu!$I$41,M80=phu!$I$42,M80=phu!$I$43,M80=phu!$I$44),"Cam Thuận",""),IF(OR(M80=phu!$I$45,M80=phu!$I$46,M80=phu!$I$47,M80=phu!$I$48,M80=phu!$I$49,M80=phu!$I$50,M80=phu!$I$51,M80=phu!$I$52,M80=phu!$I$53),"Cam Linh",""),IF(OR(M80=phu!$I$54,M80=phu!$I$55,M80=phu!$I$56,M80=phu!$I$57,M80=phu!$I$58,M80=phu!$I$59,M80=phu!$I$60,M80=phu!$I$61,M80=phu!$I$62),"Cam Lợi",""),IF(OR(M80=phu!$I$63,M80=phu!$I$64,M80=phu!$I$65,M80=phu!$I$66,M80=phu!$I$67,M80=phu!$I$68,M80=phu!$I$69,M80=phu!$I$70,M80=phu!$I$71),"Ba Ngòi",""),IF(OR(M80=phu!$I$72,M80=phu!$I$73,M80=phu!$I$74,M80=phu!$I$75,M80=phu!$I$76,M80=phu!$I$77,M80=phu!$I$78),"Cam Phước Đông",""),IF(OR(M80=phu!$I$79,M80=phu!$I$80,M80=phu!$I$81,M80=phu!$I$82,M80=phu!$I$83,M80=phu!$I$84),"Cam Thịnh Đông",""),IF(OR(M80=phu!$I$85,M80=phu!$I$86,M80=phu!$I$87,M80=phu!$I$88),"Cam Thịnh Tây",""),IF(OR(M80=phu!$I$89,M80=phu!$I$90),"Cam Lập",""),IF(OR(M80=phu!$I$91,M80=phu!$I$92,M80=phu!$I$93),"Cam Bình",""),IF(OR(M80=phu!$I$94,M80=phu!$I$95,M80=phu!$I$96,M80=phu!$I$97,M80=phu!$I$98,M80=phu!$I$99,M80=phu!$I$100),"Huyện khác",""),IF(OR(M80=phu!$I$101,M80=phu!$I$102),"Tỉnh khác",""))</f>
        <v/>
      </c>
      <c r="O80" s="829" t="str">
        <f t="shared" si="6"/>
        <v/>
      </c>
      <c r="P80" s="254"/>
      <c r="Q80" s="254"/>
      <c r="R80" s="254"/>
      <c r="S80" s="254"/>
      <c r="T80" s="254"/>
      <c r="U80" s="254"/>
      <c r="V80" s="254"/>
      <c r="W80" s="254"/>
      <c r="Y80" s="246" t="str">
        <f t="shared" si="7"/>
        <v/>
      </c>
      <c r="Z80" s="247" t="str">
        <f t="shared" si="11"/>
        <v/>
      </c>
      <c r="AA80" s="246" t="str">
        <f t="shared" si="8"/>
        <v/>
      </c>
    </row>
    <row r="81" spans="1:27" ht="18" customHeight="1" x14ac:dyDescent="0.25">
      <c r="A81" s="248" t="str">
        <f t="shared" si="9"/>
        <v/>
      </c>
      <c r="B81" s="249" t="str">
        <f t="shared" si="10"/>
        <v/>
      </c>
      <c r="C81" s="250"/>
      <c r="D81" s="251"/>
      <c r="E81" s="241"/>
      <c r="F81" s="252"/>
      <c r="G81" s="252"/>
      <c r="H81" s="253"/>
      <c r="I81" s="250"/>
      <c r="J81" s="250"/>
      <c r="K81" s="270"/>
      <c r="L81" s="250"/>
      <c r="M81" s="250"/>
      <c r="N81" s="540" t="str">
        <f>CONCATENATE(IF(OR(M81=phu!$I$1,M81=phu!$I$2,M81=phu!$I$3),"Cam Thành Nam",""),IF(OR(M81=phu!$I$4,M81=phu!$I$5,M81=phu!$I$6,M81=phu!$I$7,M81=phu!$I$8,M81=phu!$I$9,M81=phu!$I$10,M81=phu!$I$11,M81=phu!$I$12,M81=phu!$I$13,M81=phu!$I$14),"Cam Nghĩa",""),IF(OR(M81=phu!$I$15,M81=phu!$I$16,M81=phu!$I$17,M81=phu!$I$18,M81=phu!$I$19,M81=phu!$I$20,M81=phu!$I$21),"Cam Phúc Bắc",""),IF(OR(M81=phu!$I$22,M81=phu!$I$23,M81=phu!$I$24,M81=phu!$I$25),"Cam Phúc Nam",""),IF(OR(M81=phu!$I$26,M81=phu!$I$27,M81=phu!$I$28,M81=phu!$I$29,M81=phu!$I$30,M81=phu!$I$31),"Cam Phú",""),IF(OR(M81=phu!$I$32,M81=phu!$I$33,M81=phu!$I$34,M81=phu!$I$35,M81=phu!$I$36,M81=phu!$I$37),"Cam Lộc",""),IF(OR(M81=phu!$I$38,M81=phu!$I$39,M81=phu!$I$40,M81=phu!$I$41,M81=phu!$I$42,M81=phu!$I$43,M81=phu!$I$44),"Cam Thuận",""),IF(OR(M81=phu!$I$45,M81=phu!$I$46,M81=phu!$I$47,M81=phu!$I$48,M81=phu!$I$49,M81=phu!$I$50,M81=phu!$I$51,M81=phu!$I$52,M81=phu!$I$53),"Cam Linh",""),IF(OR(M81=phu!$I$54,M81=phu!$I$55,M81=phu!$I$56,M81=phu!$I$57,M81=phu!$I$58,M81=phu!$I$59,M81=phu!$I$60,M81=phu!$I$61,M81=phu!$I$62),"Cam Lợi",""),IF(OR(M81=phu!$I$63,M81=phu!$I$64,M81=phu!$I$65,M81=phu!$I$66,M81=phu!$I$67,M81=phu!$I$68,M81=phu!$I$69,M81=phu!$I$70,M81=phu!$I$71),"Ba Ngòi",""),IF(OR(M81=phu!$I$72,M81=phu!$I$73,M81=phu!$I$74,M81=phu!$I$75,M81=phu!$I$76,M81=phu!$I$77,M81=phu!$I$78),"Cam Phước Đông",""),IF(OR(M81=phu!$I$79,M81=phu!$I$80,M81=phu!$I$81,M81=phu!$I$82,M81=phu!$I$83,M81=phu!$I$84),"Cam Thịnh Đông",""),IF(OR(M81=phu!$I$85,M81=phu!$I$86,M81=phu!$I$87,M81=phu!$I$88),"Cam Thịnh Tây",""),IF(OR(M81=phu!$I$89,M81=phu!$I$90),"Cam Lập",""),IF(OR(M81=phu!$I$91,M81=phu!$I$92,M81=phu!$I$93),"Cam Bình",""),IF(OR(M81=phu!$I$94,M81=phu!$I$95,M81=phu!$I$96,M81=phu!$I$97,M81=phu!$I$98,M81=phu!$I$99,M81=phu!$I$100),"Huyện khác",""),IF(OR(M81=phu!$I$101,M81=phu!$I$102),"Tỉnh khác",""))</f>
        <v/>
      </c>
      <c r="O81" s="829" t="str">
        <f t="shared" si="6"/>
        <v/>
      </c>
      <c r="P81" s="256"/>
      <c r="Q81" s="256"/>
      <c r="R81" s="256"/>
      <c r="S81" s="254"/>
      <c r="T81" s="254"/>
      <c r="U81" s="254"/>
      <c r="V81" s="254"/>
      <c r="W81" s="254"/>
      <c r="Y81" s="246" t="str">
        <f t="shared" si="7"/>
        <v/>
      </c>
      <c r="Z81" s="247" t="str">
        <f t="shared" si="11"/>
        <v/>
      </c>
      <c r="AA81" s="246" t="str">
        <f t="shared" si="8"/>
        <v/>
      </c>
    </row>
    <row r="82" spans="1:27" ht="18" customHeight="1" x14ac:dyDescent="0.25">
      <c r="A82" s="248" t="str">
        <f t="shared" si="9"/>
        <v/>
      </c>
      <c r="B82" s="249" t="str">
        <f t="shared" si="10"/>
        <v/>
      </c>
      <c r="C82" s="250"/>
      <c r="D82" s="251"/>
      <c r="E82" s="241"/>
      <c r="F82" s="252"/>
      <c r="G82" s="252"/>
      <c r="H82" s="253"/>
      <c r="I82" s="250"/>
      <c r="J82" s="250"/>
      <c r="K82" s="270"/>
      <c r="L82" s="250"/>
      <c r="M82" s="250"/>
      <c r="N82" s="540" t="str">
        <f>CONCATENATE(IF(OR(M82=phu!$I$1,M82=phu!$I$2,M82=phu!$I$3),"Cam Thành Nam",""),IF(OR(M82=phu!$I$4,M82=phu!$I$5,M82=phu!$I$6,M82=phu!$I$7,M82=phu!$I$8,M82=phu!$I$9,M82=phu!$I$10,M82=phu!$I$11,M82=phu!$I$12,M82=phu!$I$13,M82=phu!$I$14),"Cam Nghĩa",""),IF(OR(M82=phu!$I$15,M82=phu!$I$16,M82=phu!$I$17,M82=phu!$I$18,M82=phu!$I$19,M82=phu!$I$20,M82=phu!$I$21),"Cam Phúc Bắc",""),IF(OR(M82=phu!$I$22,M82=phu!$I$23,M82=phu!$I$24,M82=phu!$I$25),"Cam Phúc Nam",""),IF(OR(M82=phu!$I$26,M82=phu!$I$27,M82=phu!$I$28,M82=phu!$I$29,M82=phu!$I$30,M82=phu!$I$31),"Cam Phú",""),IF(OR(M82=phu!$I$32,M82=phu!$I$33,M82=phu!$I$34,M82=phu!$I$35,M82=phu!$I$36,M82=phu!$I$37),"Cam Lộc",""),IF(OR(M82=phu!$I$38,M82=phu!$I$39,M82=phu!$I$40,M82=phu!$I$41,M82=phu!$I$42,M82=phu!$I$43,M82=phu!$I$44),"Cam Thuận",""),IF(OR(M82=phu!$I$45,M82=phu!$I$46,M82=phu!$I$47,M82=phu!$I$48,M82=phu!$I$49,M82=phu!$I$50,M82=phu!$I$51,M82=phu!$I$52,M82=phu!$I$53),"Cam Linh",""),IF(OR(M82=phu!$I$54,M82=phu!$I$55,M82=phu!$I$56,M82=phu!$I$57,M82=phu!$I$58,M82=phu!$I$59,M82=phu!$I$60,M82=phu!$I$61,M82=phu!$I$62),"Cam Lợi",""),IF(OR(M82=phu!$I$63,M82=phu!$I$64,M82=phu!$I$65,M82=phu!$I$66,M82=phu!$I$67,M82=phu!$I$68,M82=phu!$I$69,M82=phu!$I$70,M82=phu!$I$71),"Ba Ngòi",""),IF(OR(M82=phu!$I$72,M82=phu!$I$73,M82=phu!$I$74,M82=phu!$I$75,M82=phu!$I$76,M82=phu!$I$77,M82=phu!$I$78),"Cam Phước Đông",""),IF(OR(M82=phu!$I$79,M82=phu!$I$80,M82=phu!$I$81,M82=phu!$I$82,M82=phu!$I$83,M82=phu!$I$84),"Cam Thịnh Đông",""),IF(OR(M82=phu!$I$85,M82=phu!$I$86,M82=phu!$I$87,M82=phu!$I$88),"Cam Thịnh Tây",""),IF(OR(M82=phu!$I$89,M82=phu!$I$90),"Cam Lập",""),IF(OR(M82=phu!$I$91,M82=phu!$I$92,M82=phu!$I$93),"Cam Bình",""),IF(OR(M82=phu!$I$94,M82=phu!$I$95,M82=phu!$I$96,M82=phu!$I$97,M82=phu!$I$98,M82=phu!$I$99,M82=phu!$I$100),"Huyện khác",""),IF(OR(M82=phu!$I$101,M82=phu!$I$102),"Tỉnh khác",""))</f>
        <v/>
      </c>
      <c r="O82" s="829" t="str">
        <f t="shared" si="6"/>
        <v/>
      </c>
      <c r="P82" s="256"/>
      <c r="Q82" s="256"/>
      <c r="R82" s="256"/>
      <c r="S82" s="254"/>
      <c r="T82" s="254"/>
      <c r="U82" s="254"/>
      <c r="V82" s="254"/>
      <c r="W82" s="254"/>
      <c r="Y82" s="246" t="str">
        <f t="shared" si="7"/>
        <v/>
      </c>
      <c r="Z82" s="247" t="str">
        <f t="shared" si="11"/>
        <v/>
      </c>
      <c r="AA82" s="246" t="str">
        <f t="shared" si="8"/>
        <v/>
      </c>
    </row>
    <row r="83" spans="1:27" ht="18" customHeight="1" x14ac:dyDescent="0.25">
      <c r="A83" s="248" t="str">
        <f t="shared" si="9"/>
        <v/>
      </c>
      <c r="B83" s="249" t="str">
        <f t="shared" si="10"/>
        <v/>
      </c>
      <c r="C83" s="250"/>
      <c r="D83" s="251"/>
      <c r="E83" s="241"/>
      <c r="F83" s="252"/>
      <c r="G83" s="252"/>
      <c r="H83" s="253"/>
      <c r="I83" s="250"/>
      <c r="J83" s="250"/>
      <c r="K83" s="270"/>
      <c r="L83" s="250"/>
      <c r="M83" s="250"/>
      <c r="N83" s="540" t="str">
        <f>CONCATENATE(IF(OR(M83=phu!$I$1,M83=phu!$I$2,M83=phu!$I$3),"Cam Thành Nam",""),IF(OR(M83=phu!$I$4,M83=phu!$I$5,M83=phu!$I$6,M83=phu!$I$7,M83=phu!$I$8,M83=phu!$I$9,M83=phu!$I$10,M83=phu!$I$11,M83=phu!$I$12,M83=phu!$I$13,M83=phu!$I$14),"Cam Nghĩa",""),IF(OR(M83=phu!$I$15,M83=phu!$I$16,M83=phu!$I$17,M83=phu!$I$18,M83=phu!$I$19,M83=phu!$I$20,M83=phu!$I$21),"Cam Phúc Bắc",""),IF(OR(M83=phu!$I$22,M83=phu!$I$23,M83=phu!$I$24,M83=phu!$I$25),"Cam Phúc Nam",""),IF(OR(M83=phu!$I$26,M83=phu!$I$27,M83=phu!$I$28,M83=phu!$I$29,M83=phu!$I$30,M83=phu!$I$31),"Cam Phú",""),IF(OR(M83=phu!$I$32,M83=phu!$I$33,M83=phu!$I$34,M83=phu!$I$35,M83=phu!$I$36,M83=phu!$I$37),"Cam Lộc",""),IF(OR(M83=phu!$I$38,M83=phu!$I$39,M83=phu!$I$40,M83=phu!$I$41,M83=phu!$I$42,M83=phu!$I$43,M83=phu!$I$44),"Cam Thuận",""),IF(OR(M83=phu!$I$45,M83=phu!$I$46,M83=phu!$I$47,M83=phu!$I$48,M83=phu!$I$49,M83=phu!$I$50,M83=phu!$I$51,M83=phu!$I$52,M83=phu!$I$53),"Cam Linh",""),IF(OR(M83=phu!$I$54,M83=phu!$I$55,M83=phu!$I$56,M83=phu!$I$57,M83=phu!$I$58,M83=phu!$I$59,M83=phu!$I$60,M83=phu!$I$61,M83=phu!$I$62),"Cam Lợi",""),IF(OR(M83=phu!$I$63,M83=phu!$I$64,M83=phu!$I$65,M83=phu!$I$66,M83=phu!$I$67,M83=phu!$I$68,M83=phu!$I$69,M83=phu!$I$70,M83=phu!$I$71),"Ba Ngòi",""),IF(OR(M83=phu!$I$72,M83=phu!$I$73,M83=phu!$I$74,M83=phu!$I$75,M83=phu!$I$76,M83=phu!$I$77,M83=phu!$I$78),"Cam Phước Đông",""),IF(OR(M83=phu!$I$79,M83=phu!$I$80,M83=phu!$I$81,M83=phu!$I$82,M83=phu!$I$83,M83=phu!$I$84),"Cam Thịnh Đông",""),IF(OR(M83=phu!$I$85,M83=phu!$I$86,M83=phu!$I$87,M83=phu!$I$88),"Cam Thịnh Tây",""),IF(OR(M83=phu!$I$89,M83=phu!$I$90),"Cam Lập",""),IF(OR(M83=phu!$I$91,M83=phu!$I$92,M83=phu!$I$93),"Cam Bình",""),IF(OR(M83=phu!$I$94,M83=phu!$I$95,M83=phu!$I$96,M83=phu!$I$97,M83=phu!$I$98,M83=phu!$I$99,M83=phu!$I$100),"Huyện khác",""),IF(OR(M83=phu!$I$101,M83=phu!$I$102),"Tỉnh khác",""))</f>
        <v/>
      </c>
      <c r="O83" s="829" t="str">
        <f t="shared" si="6"/>
        <v/>
      </c>
      <c r="P83" s="256"/>
      <c r="Q83" s="256"/>
      <c r="R83" s="256"/>
      <c r="S83" s="254"/>
      <c r="T83" s="254"/>
      <c r="U83" s="254"/>
      <c r="V83" s="254"/>
      <c r="W83" s="254"/>
      <c r="Y83" s="246" t="str">
        <f t="shared" si="7"/>
        <v/>
      </c>
      <c r="Z83" s="247" t="str">
        <f t="shared" si="11"/>
        <v/>
      </c>
      <c r="AA83" s="246" t="str">
        <f t="shared" si="8"/>
        <v/>
      </c>
    </row>
    <row r="84" spans="1:27" ht="18" customHeight="1" x14ac:dyDescent="0.25">
      <c r="A84" s="248" t="str">
        <f t="shared" si="9"/>
        <v/>
      </c>
      <c r="B84" s="249" t="str">
        <f t="shared" si="10"/>
        <v/>
      </c>
      <c r="C84" s="250"/>
      <c r="D84" s="251"/>
      <c r="E84" s="241"/>
      <c r="F84" s="252"/>
      <c r="G84" s="252"/>
      <c r="H84" s="253"/>
      <c r="I84" s="250"/>
      <c r="J84" s="250"/>
      <c r="K84" s="270"/>
      <c r="L84" s="250"/>
      <c r="M84" s="250"/>
      <c r="N84" s="540" t="str">
        <f>CONCATENATE(IF(OR(M84=phu!$I$1,M84=phu!$I$2,M84=phu!$I$3),"Cam Thành Nam",""),IF(OR(M84=phu!$I$4,M84=phu!$I$5,M84=phu!$I$6,M84=phu!$I$7,M84=phu!$I$8,M84=phu!$I$9,M84=phu!$I$10,M84=phu!$I$11,M84=phu!$I$12,M84=phu!$I$13,M84=phu!$I$14),"Cam Nghĩa",""),IF(OR(M84=phu!$I$15,M84=phu!$I$16,M84=phu!$I$17,M84=phu!$I$18,M84=phu!$I$19,M84=phu!$I$20,M84=phu!$I$21),"Cam Phúc Bắc",""),IF(OR(M84=phu!$I$22,M84=phu!$I$23,M84=phu!$I$24,M84=phu!$I$25),"Cam Phúc Nam",""),IF(OR(M84=phu!$I$26,M84=phu!$I$27,M84=phu!$I$28,M84=phu!$I$29,M84=phu!$I$30,M84=phu!$I$31),"Cam Phú",""),IF(OR(M84=phu!$I$32,M84=phu!$I$33,M84=phu!$I$34,M84=phu!$I$35,M84=phu!$I$36,M84=phu!$I$37),"Cam Lộc",""),IF(OR(M84=phu!$I$38,M84=phu!$I$39,M84=phu!$I$40,M84=phu!$I$41,M84=phu!$I$42,M84=phu!$I$43,M84=phu!$I$44),"Cam Thuận",""),IF(OR(M84=phu!$I$45,M84=phu!$I$46,M84=phu!$I$47,M84=phu!$I$48,M84=phu!$I$49,M84=phu!$I$50,M84=phu!$I$51,M84=phu!$I$52,M84=phu!$I$53),"Cam Linh",""),IF(OR(M84=phu!$I$54,M84=phu!$I$55,M84=phu!$I$56,M84=phu!$I$57,M84=phu!$I$58,M84=phu!$I$59,M84=phu!$I$60,M84=phu!$I$61,M84=phu!$I$62),"Cam Lợi",""),IF(OR(M84=phu!$I$63,M84=phu!$I$64,M84=phu!$I$65,M84=phu!$I$66,M84=phu!$I$67,M84=phu!$I$68,M84=phu!$I$69,M84=phu!$I$70,M84=phu!$I$71),"Ba Ngòi",""),IF(OR(M84=phu!$I$72,M84=phu!$I$73,M84=phu!$I$74,M84=phu!$I$75,M84=phu!$I$76,M84=phu!$I$77,M84=phu!$I$78),"Cam Phước Đông",""),IF(OR(M84=phu!$I$79,M84=phu!$I$80,M84=phu!$I$81,M84=phu!$I$82,M84=phu!$I$83,M84=phu!$I$84),"Cam Thịnh Đông",""),IF(OR(M84=phu!$I$85,M84=phu!$I$86,M84=phu!$I$87,M84=phu!$I$88),"Cam Thịnh Tây",""),IF(OR(M84=phu!$I$89,M84=phu!$I$90),"Cam Lập",""),IF(OR(M84=phu!$I$91,M84=phu!$I$92,M84=phu!$I$93),"Cam Bình",""),IF(OR(M84=phu!$I$94,M84=phu!$I$95,M84=phu!$I$96,M84=phu!$I$97,M84=phu!$I$98,M84=phu!$I$99,M84=phu!$I$100),"Huyện khác",""),IF(OR(M84=phu!$I$101,M84=phu!$I$102),"Tỉnh khác",""))</f>
        <v/>
      </c>
      <c r="O84" s="829" t="str">
        <f t="shared" si="6"/>
        <v/>
      </c>
      <c r="P84" s="254"/>
      <c r="Q84" s="254"/>
      <c r="R84" s="254"/>
      <c r="S84" s="254"/>
      <c r="T84" s="254"/>
      <c r="U84" s="254"/>
      <c r="V84" s="254"/>
      <c r="W84" s="254"/>
      <c r="Y84" s="246" t="str">
        <f t="shared" si="7"/>
        <v/>
      </c>
      <c r="Z84" s="247" t="str">
        <f t="shared" si="11"/>
        <v/>
      </c>
      <c r="AA84" s="246" t="str">
        <f t="shared" si="8"/>
        <v/>
      </c>
    </row>
    <row r="85" spans="1:27" ht="18" customHeight="1" x14ac:dyDescent="0.25">
      <c r="A85" s="248" t="str">
        <f t="shared" si="9"/>
        <v/>
      </c>
      <c r="B85" s="249" t="str">
        <f t="shared" si="10"/>
        <v/>
      </c>
      <c r="C85" s="250"/>
      <c r="D85" s="251"/>
      <c r="E85" s="241"/>
      <c r="F85" s="252"/>
      <c r="G85" s="252"/>
      <c r="H85" s="253"/>
      <c r="I85" s="250"/>
      <c r="J85" s="250"/>
      <c r="K85" s="270"/>
      <c r="L85" s="250"/>
      <c r="M85" s="250"/>
      <c r="N85" s="540" t="str">
        <f>CONCATENATE(IF(OR(M85=phu!$I$1,M85=phu!$I$2,M85=phu!$I$3),"Cam Thành Nam",""),IF(OR(M85=phu!$I$4,M85=phu!$I$5,M85=phu!$I$6,M85=phu!$I$7,M85=phu!$I$8,M85=phu!$I$9,M85=phu!$I$10,M85=phu!$I$11,M85=phu!$I$12,M85=phu!$I$13,M85=phu!$I$14),"Cam Nghĩa",""),IF(OR(M85=phu!$I$15,M85=phu!$I$16,M85=phu!$I$17,M85=phu!$I$18,M85=phu!$I$19,M85=phu!$I$20,M85=phu!$I$21),"Cam Phúc Bắc",""),IF(OR(M85=phu!$I$22,M85=phu!$I$23,M85=phu!$I$24,M85=phu!$I$25),"Cam Phúc Nam",""),IF(OR(M85=phu!$I$26,M85=phu!$I$27,M85=phu!$I$28,M85=phu!$I$29,M85=phu!$I$30,M85=phu!$I$31),"Cam Phú",""),IF(OR(M85=phu!$I$32,M85=phu!$I$33,M85=phu!$I$34,M85=phu!$I$35,M85=phu!$I$36,M85=phu!$I$37),"Cam Lộc",""),IF(OR(M85=phu!$I$38,M85=phu!$I$39,M85=phu!$I$40,M85=phu!$I$41,M85=phu!$I$42,M85=phu!$I$43,M85=phu!$I$44),"Cam Thuận",""),IF(OR(M85=phu!$I$45,M85=phu!$I$46,M85=phu!$I$47,M85=phu!$I$48,M85=phu!$I$49,M85=phu!$I$50,M85=phu!$I$51,M85=phu!$I$52,M85=phu!$I$53),"Cam Linh",""),IF(OR(M85=phu!$I$54,M85=phu!$I$55,M85=phu!$I$56,M85=phu!$I$57,M85=phu!$I$58,M85=phu!$I$59,M85=phu!$I$60,M85=phu!$I$61,M85=phu!$I$62),"Cam Lợi",""),IF(OR(M85=phu!$I$63,M85=phu!$I$64,M85=phu!$I$65,M85=phu!$I$66,M85=phu!$I$67,M85=phu!$I$68,M85=phu!$I$69,M85=phu!$I$70,M85=phu!$I$71),"Ba Ngòi",""),IF(OR(M85=phu!$I$72,M85=phu!$I$73,M85=phu!$I$74,M85=phu!$I$75,M85=phu!$I$76,M85=phu!$I$77,M85=phu!$I$78),"Cam Phước Đông",""),IF(OR(M85=phu!$I$79,M85=phu!$I$80,M85=phu!$I$81,M85=phu!$I$82,M85=phu!$I$83,M85=phu!$I$84),"Cam Thịnh Đông",""),IF(OR(M85=phu!$I$85,M85=phu!$I$86,M85=phu!$I$87,M85=phu!$I$88),"Cam Thịnh Tây",""),IF(OR(M85=phu!$I$89,M85=phu!$I$90),"Cam Lập",""),IF(OR(M85=phu!$I$91,M85=phu!$I$92,M85=phu!$I$93),"Cam Bình",""),IF(OR(M85=phu!$I$94,M85=phu!$I$95,M85=phu!$I$96,M85=phu!$I$97,M85=phu!$I$98,M85=phu!$I$99,M85=phu!$I$100),"Huyện khác",""),IF(OR(M85=phu!$I$101,M85=phu!$I$102),"Tỉnh khác",""))</f>
        <v/>
      </c>
      <c r="O85" s="829" t="str">
        <f t="shared" si="6"/>
        <v/>
      </c>
      <c r="P85" s="256"/>
      <c r="Q85" s="256"/>
      <c r="R85" s="256"/>
      <c r="S85" s="254"/>
      <c r="T85" s="254"/>
      <c r="U85" s="254"/>
      <c r="V85" s="254"/>
      <c r="W85" s="254"/>
      <c r="Y85" s="246" t="str">
        <f t="shared" si="7"/>
        <v/>
      </c>
      <c r="Z85" s="247" t="str">
        <f t="shared" si="11"/>
        <v/>
      </c>
      <c r="AA85" s="246" t="str">
        <f t="shared" si="8"/>
        <v/>
      </c>
    </row>
    <row r="86" spans="1:27" ht="18" customHeight="1" x14ac:dyDescent="0.25">
      <c r="A86" s="248" t="str">
        <f t="shared" si="9"/>
        <v/>
      </c>
      <c r="B86" s="249" t="str">
        <f t="shared" si="10"/>
        <v/>
      </c>
      <c r="C86" s="250"/>
      <c r="D86" s="251"/>
      <c r="E86" s="241"/>
      <c r="F86" s="252"/>
      <c r="G86" s="252"/>
      <c r="H86" s="253"/>
      <c r="I86" s="250"/>
      <c r="J86" s="250"/>
      <c r="K86" s="270"/>
      <c r="L86" s="250"/>
      <c r="M86" s="250"/>
      <c r="N86" s="540" t="str">
        <f>CONCATENATE(IF(OR(M86=phu!$I$1,M86=phu!$I$2,M86=phu!$I$3),"Cam Thành Nam",""),IF(OR(M86=phu!$I$4,M86=phu!$I$5,M86=phu!$I$6,M86=phu!$I$7,M86=phu!$I$8,M86=phu!$I$9,M86=phu!$I$10,M86=phu!$I$11,M86=phu!$I$12,M86=phu!$I$13,M86=phu!$I$14),"Cam Nghĩa",""),IF(OR(M86=phu!$I$15,M86=phu!$I$16,M86=phu!$I$17,M86=phu!$I$18,M86=phu!$I$19,M86=phu!$I$20,M86=phu!$I$21),"Cam Phúc Bắc",""),IF(OR(M86=phu!$I$22,M86=phu!$I$23,M86=phu!$I$24,M86=phu!$I$25),"Cam Phúc Nam",""),IF(OR(M86=phu!$I$26,M86=phu!$I$27,M86=phu!$I$28,M86=phu!$I$29,M86=phu!$I$30,M86=phu!$I$31),"Cam Phú",""),IF(OR(M86=phu!$I$32,M86=phu!$I$33,M86=phu!$I$34,M86=phu!$I$35,M86=phu!$I$36,M86=phu!$I$37),"Cam Lộc",""),IF(OR(M86=phu!$I$38,M86=phu!$I$39,M86=phu!$I$40,M86=phu!$I$41,M86=phu!$I$42,M86=phu!$I$43,M86=phu!$I$44),"Cam Thuận",""),IF(OR(M86=phu!$I$45,M86=phu!$I$46,M86=phu!$I$47,M86=phu!$I$48,M86=phu!$I$49,M86=phu!$I$50,M86=phu!$I$51,M86=phu!$I$52,M86=phu!$I$53),"Cam Linh",""),IF(OR(M86=phu!$I$54,M86=phu!$I$55,M86=phu!$I$56,M86=phu!$I$57,M86=phu!$I$58,M86=phu!$I$59,M86=phu!$I$60,M86=phu!$I$61,M86=phu!$I$62),"Cam Lợi",""),IF(OR(M86=phu!$I$63,M86=phu!$I$64,M86=phu!$I$65,M86=phu!$I$66,M86=phu!$I$67,M86=phu!$I$68,M86=phu!$I$69,M86=phu!$I$70,M86=phu!$I$71),"Ba Ngòi",""),IF(OR(M86=phu!$I$72,M86=phu!$I$73,M86=phu!$I$74,M86=phu!$I$75,M86=phu!$I$76,M86=phu!$I$77,M86=phu!$I$78),"Cam Phước Đông",""),IF(OR(M86=phu!$I$79,M86=phu!$I$80,M86=phu!$I$81,M86=phu!$I$82,M86=phu!$I$83,M86=phu!$I$84),"Cam Thịnh Đông",""),IF(OR(M86=phu!$I$85,M86=phu!$I$86,M86=phu!$I$87,M86=phu!$I$88),"Cam Thịnh Tây",""),IF(OR(M86=phu!$I$89,M86=phu!$I$90),"Cam Lập",""),IF(OR(M86=phu!$I$91,M86=phu!$I$92,M86=phu!$I$93),"Cam Bình",""),IF(OR(M86=phu!$I$94,M86=phu!$I$95,M86=phu!$I$96,M86=phu!$I$97,M86=phu!$I$98,M86=phu!$I$99,M86=phu!$I$100),"Huyện khác",""),IF(OR(M86=phu!$I$101,M86=phu!$I$102),"Tỉnh khác",""))</f>
        <v/>
      </c>
      <c r="O86" s="829" t="str">
        <f t="shared" si="6"/>
        <v/>
      </c>
      <c r="P86" s="256"/>
      <c r="Q86" s="256"/>
      <c r="R86" s="256"/>
      <c r="S86" s="254"/>
      <c r="T86" s="254"/>
      <c r="U86" s="254"/>
      <c r="V86" s="254"/>
      <c r="W86" s="254"/>
      <c r="Y86" s="246" t="str">
        <f t="shared" si="7"/>
        <v/>
      </c>
      <c r="Z86" s="247" t="str">
        <f t="shared" si="11"/>
        <v/>
      </c>
      <c r="AA86" s="246" t="str">
        <f t="shared" si="8"/>
        <v/>
      </c>
    </row>
    <row r="87" spans="1:27" ht="18" customHeight="1" x14ac:dyDescent="0.25">
      <c r="A87" s="248" t="str">
        <f t="shared" si="9"/>
        <v/>
      </c>
      <c r="B87" s="249" t="str">
        <f t="shared" si="10"/>
        <v/>
      </c>
      <c r="C87" s="250"/>
      <c r="D87" s="251"/>
      <c r="E87" s="241"/>
      <c r="F87" s="252"/>
      <c r="G87" s="252"/>
      <c r="H87" s="253"/>
      <c r="I87" s="250"/>
      <c r="J87" s="250"/>
      <c r="K87" s="270"/>
      <c r="L87" s="250"/>
      <c r="M87" s="250"/>
      <c r="N87" s="540" t="str">
        <f>CONCATENATE(IF(OR(M87=phu!$I$1,M87=phu!$I$2,M87=phu!$I$3),"Cam Thành Nam",""),IF(OR(M87=phu!$I$4,M87=phu!$I$5,M87=phu!$I$6,M87=phu!$I$7,M87=phu!$I$8,M87=phu!$I$9,M87=phu!$I$10,M87=phu!$I$11,M87=phu!$I$12,M87=phu!$I$13,M87=phu!$I$14),"Cam Nghĩa",""),IF(OR(M87=phu!$I$15,M87=phu!$I$16,M87=phu!$I$17,M87=phu!$I$18,M87=phu!$I$19,M87=phu!$I$20,M87=phu!$I$21),"Cam Phúc Bắc",""),IF(OR(M87=phu!$I$22,M87=phu!$I$23,M87=phu!$I$24,M87=phu!$I$25),"Cam Phúc Nam",""),IF(OR(M87=phu!$I$26,M87=phu!$I$27,M87=phu!$I$28,M87=phu!$I$29,M87=phu!$I$30,M87=phu!$I$31),"Cam Phú",""),IF(OR(M87=phu!$I$32,M87=phu!$I$33,M87=phu!$I$34,M87=phu!$I$35,M87=phu!$I$36,M87=phu!$I$37),"Cam Lộc",""),IF(OR(M87=phu!$I$38,M87=phu!$I$39,M87=phu!$I$40,M87=phu!$I$41,M87=phu!$I$42,M87=phu!$I$43,M87=phu!$I$44),"Cam Thuận",""),IF(OR(M87=phu!$I$45,M87=phu!$I$46,M87=phu!$I$47,M87=phu!$I$48,M87=phu!$I$49,M87=phu!$I$50,M87=phu!$I$51,M87=phu!$I$52,M87=phu!$I$53),"Cam Linh",""),IF(OR(M87=phu!$I$54,M87=phu!$I$55,M87=phu!$I$56,M87=phu!$I$57,M87=phu!$I$58,M87=phu!$I$59,M87=phu!$I$60,M87=phu!$I$61,M87=phu!$I$62),"Cam Lợi",""),IF(OR(M87=phu!$I$63,M87=phu!$I$64,M87=phu!$I$65,M87=phu!$I$66,M87=phu!$I$67,M87=phu!$I$68,M87=phu!$I$69,M87=phu!$I$70,M87=phu!$I$71),"Ba Ngòi",""),IF(OR(M87=phu!$I$72,M87=phu!$I$73,M87=phu!$I$74,M87=phu!$I$75,M87=phu!$I$76,M87=phu!$I$77,M87=phu!$I$78),"Cam Phước Đông",""),IF(OR(M87=phu!$I$79,M87=phu!$I$80,M87=phu!$I$81,M87=phu!$I$82,M87=phu!$I$83,M87=phu!$I$84),"Cam Thịnh Đông",""),IF(OR(M87=phu!$I$85,M87=phu!$I$86,M87=phu!$I$87,M87=phu!$I$88),"Cam Thịnh Tây",""),IF(OR(M87=phu!$I$89,M87=phu!$I$90),"Cam Lập",""),IF(OR(M87=phu!$I$91,M87=phu!$I$92,M87=phu!$I$93),"Cam Bình",""),IF(OR(M87=phu!$I$94,M87=phu!$I$95,M87=phu!$I$96,M87=phu!$I$97,M87=phu!$I$98,M87=phu!$I$99,M87=phu!$I$100),"Huyện khác",""),IF(OR(M87=phu!$I$101,M87=phu!$I$102),"Tỉnh khác",""))</f>
        <v/>
      </c>
      <c r="O87" s="829" t="str">
        <f t="shared" si="6"/>
        <v/>
      </c>
      <c r="P87" s="254"/>
      <c r="Q87" s="254"/>
      <c r="R87" s="254"/>
      <c r="S87" s="254"/>
      <c r="T87" s="254"/>
      <c r="U87" s="254"/>
      <c r="V87" s="254"/>
      <c r="W87" s="254"/>
      <c r="Y87" s="246" t="str">
        <f t="shared" si="7"/>
        <v/>
      </c>
      <c r="Z87" s="247" t="str">
        <f t="shared" si="11"/>
        <v/>
      </c>
      <c r="AA87" s="246" t="str">
        <f t="shared" si="8"/>
        <v/>
      </c>
    </row>
    <row r="88" spans="1:27" ht="18" customHeight="1" x14ac:dyDescent="0.25">
      <c r="A88" s="248" t="str">
        <f t="shared" si="9"/>
        <v/>
      </c>
      <c r="B88" s="249" t="str">
        <f t="shared" si="10"/>
        <v/>
      </c>
      <c r="C88" s="250"/>
      <c r="D88" s="251"/>
      <c r="E88" s="241"/>
      <c r="F88" s="252"/>
      <c r="G88" s="252"/>
      <c r="H88" s="253"/>
      <c r="I88" s="250"/>
      <c r="J88" s="250"/>
      <c r="K88" s="270"/>
      <c r="L88" s="250"/>
      <c r="M88" s="250"/>
      <c r="N88" s="540" t="str">
        <f>CONCATENATE(IF(OR(M88=phu!$I$1,M88=phu!$I$2,M88=phu!$I$3),"Cam Thành Nam",""),IF(OR(M88=phu!$I$4,M88=phu!$I$5,M88=phu!$I$6,M88=phu!$I$7,M88=phu!$I$8,M88=phu!$I$9,M88=phu!$I$10,M88=phu!$I$11,M88=phu!$I$12,M88=phu!$I$13,M88=phu!$I$14),"Cam Nghĩa",""),IF(OR(M88=phu!$I$15,M88=phu!$I$16,M88=phu!$I$17,M88=phu!$I$18,M88=phu!$I$19,M88=phu!$I$20,M88=phu!$I$21),"Cam Phúc Bắc",""),IF(OR(M88=phu!$I$22,M88=phu!$I$23,M88=phu!$I$24,M88=phu!$I$25),"Cam Phúc Nam",""),IF(OR(M88=phu!$I$26,M88=phu!$I$27,M88=phu!$I$28,M88=phu!$I$29,M88=phu!$I$30,M88=phu!$I$31),"Cam Phú",""),IF(OR(M88=phu!$I$32,M88=phu!$I$33,M88=phu!$I$34,M88=phu!$I$35,M88=phu!$I$36,M88=phu!$I$37),"Cam Lộc",""),IF(OR(M88=phu!$I$38,M88=phu!$I$39,M88=phu!$I$40,M88=phu!$I$41,M88=phu!$I$42,M88=phu!$I$43,M88=phu!$I$44),"Cam Thuận",""),IF(OR(M88=phu!$I$45,M88=phu!$I$46,M88=phu!$I$47,M88=phu!$I$48,M88=phu!$I$49,M88=phu!$I$50,M88=phu!$I$51,M88=phu!$I$52,M88=phu!$I$53),"Cam Linh",""),IF(OR(M88=phu!$I$54,M88=phu!$I$55,M88=phu!$I$56,M88=phu!$I$57,M88=phu!$I$58,M88=phu!$I$59,M88=phu!$I$60,M88=phu!$I$61,M88=phu!$I$62),"Cam Lợi",""),IF(OR(M88=phu!$I$63,M88=phu!$I$64,M88=phu!$I$65,M88=phu!$I$66,M88=phu!$I$67,M88=phu!$I$68,M88=phu!$I$69,M88=phu!$I$70,M88=phu!$I$71),"Ba Ngòi",""),IF(OR(M88=phu!$I$72,M88=phu!$I$73,M88=phu!$I$74,M88=phu!$I$75,M88=phu!$I$76,M88=phu!$I$77,M88=phu!$I$78),"Cam Phước Đông",""),IF(OR(M88=phu!$I$79,M88=phu!$I$80,M88=phu!$I$81,M88=phu!$I$82,M88=phu!$I$83,M88=phu!$I$84),"Cam Thịnh Đông",""),IF(OR(M88=phu!$I$85,M88=phu!$I$86,M88=phu!$I$87,M88=phu!$I$88),"Cam Thịnh Tây",""),IF(OR(M88=phu!$I$89,M88=phu!$I$90),"Cam Lập",""),IF(OR(M88=phu!$I$91,M88=phu!$I$92,M88=phu!$I$93),"Cam Bình",""),IF(OR(M88=phu!$I$94,M88=phu!$I$95,M88=phu!$I$96,M88=phu!$I$97,M88=phu!$I$98,M88=phu!$I$99,M88=phu!$I$100),"Huyện khác",""),IF(OR(M88=phu!$I$101,M88=phu!$I$102),"Tỉnh khác",""))</f>
        <v/>
      </c>
      <c r="O88" s="829" t="str">
        <f t="shared" si="6"/>
        <v/>
      </c>
      <c r="P88" s="256"/>
      <c r="Q88" s="256"/>
      <c r="R88" s="256"/>
      <c r="S88" s="254"/>
      <c r="T88" s="254"/>
      <c r="U88" s="254"/>
      <c r="V88" s="254"/>
      <c r="W88" s="254"/>
      <c r="Y88" s="246" t="str">
        <f t="shared" si="7"/>
        <v/>
      </c>
      <c r="Z88" s="247" t="str">
        <f t="shared" si="11"/>
        <v/>
      </c>
      <c r="AA88" s="246" t="str">
        <f t="shared" si="8"/>
        <v/>
      </c>
    </row>
    <row r="89" spans="1:27" ht="18" customHeight="1" x14ac:dyDescent="0.25">
      <c r="A89" s="248" t="str">
        <f t="shared" si="9"/>
        <v/>
      </c>
      <c r="B89" s="249" t="str">
        <f t="shared" si="10"/>
        <v/>
      </c>
      <c r="C89" s="250"/>
      <c r="D89" s="251"/>
      <c r="E89" s="241"/>
      <c r="F89" s="252"/>
      <c r="G89" s="252"/>
      <c r="H89" s="253"/>
      <c r="I89" s="250"/>
      <c r="J89" s="250"/>
      <c r="K89" s="270"/>
      <c r="L89" s="250"/>
      <c r="M89" s="250"/>
      <c r="N89" s="540" t="str">
        <f>CONCATENATE(IF(OR(M89=phu!$I$1,M89=phu!$I$2,M89=phu!$I$3),"Cam Thành Nam",""),IF(OR(M89=phu!$I$4,M89=phu!$I$5,M89=phu!$I$6,M89=phu!$I$7,M89=phu!$I$8,M89=phu!$I$9,M89=phu!$I$10,M89=phu!$I$11,M89=phu!$I$12,M89=phu!$I$13,M89=phu!$I$14),"Cam Nghĩa",""),IF(OR(M89=phu!$I$15,M89=phu!$I$16,M89=phu!$I$17,M89=phu!$I$18,M89=phu!$I$19,M89=phu!$I$20,M89=phu!$I$21),"Cam Phúc Bắc",""),IF(OR(M89=phu!$I$22,M89=phu!$I$23,M89=phu!$I$24,M89=phu!$I$25),"Cam Phúc Nam",""),IF(OR(M89=phu!$I$26,M89=phu!$I$27,M89=phu!$I$28,M89=phu!$I$29,M89=phu!$I$30,M89=phu!$I$31),"Cam Phú",""),IF(OR(M89=phu!$I$32,M89=phu!$I$33,M89=phu!$I$34,M89=phu!$I$35,M89=phu!$I$36,M89=phu!$I$37),"Cam Lộc",""),IF(OR(M89=phu!$I$38,M89=phu!$I$39,M89=phu!$I$40,M89=phu!$I$41,M89=phu!$I$42,M89=phu!$I$43,M89=phu!$I$44),"Cam Thuận",""),IF(OR(M89=phu!$I$45,M89=phu!$I$46,M89=phu!$I$47,M89=phu!$I$48,M89=phu!$I$49,M89=phu!$I$50,M89=phu!$I$51,M89=phu!$I$52,M89=phu!$I$53),"Cam Linh",""),IF(OR(M89=phu!$I$54,M89=phu!$I$55,M89=phu!$I$56,M89=phu!$I$57,M89=phu!$I$58,M89=phu!$I$59,M89=phu!$I$60,M89=phu!$I$61,M89=phu!$I$62),"Cam Lợi",""),IF(OR(M89=phu!$I$63,M89=phu!$I$64,M89=phu!$I$65,M89=phu!$I$66,M89=phu!$I$67,M89=phu!$I$68,M89=phu!$I$69,M89=phu!$I$70,M89=phu!$I$71),"Ba Ngòi",""),IF(OR(M89=phu!$I$72,M89=phu!$I$73,M89=phu!$I$74,M89=phu!$I$75,M89=phu!$I$76,M89=phu!$I$77,M89=phu!$I$78),"Cam Phước Đông",""),IF(OR(M89=phu!$I$79,M89=phu!$I$80,M89=phu!$I$81,M89=phu!$I$82,M89=phu!$I$83,M89=phu!$I$84),"Cam Thịnh Đông",""),IF(OR(M89=phu!$I$85,M89=phu!$I$86,M89=phu!$I$87,M89=phu!$I$88),"Cam Thịnh Tây",""),IF(OR(M89=phu!$I$89,M89=phu!$I$90),"Cam Lập",""),IF(OR(M89=phu!$I$91,M89=phu!$I$92,M89=phu!$I$93),"Cam Bình",""),IF(OR(M89=phu!$I$94,M89=phu!$I$95,M89=phu!$I$96,M89=phu!$I$97,M89=phu!$I$98,M89=phu!$I$99,M89=phu!$I$100),"Huyện khác",""),IF(OR(M89=phu!$I$101,M89=phu!$I$102),"Tỉnh khác",""))</f>
        <v/>
      </c>
      <c r="O89" s="829" t="str">
        <f t="shared" si="6"/>
        <v/>
      </c>
      <c r="P89" s="256"/>
      <c r="Q89" s="256"/>
      <c r="R89" s="256"/>
      <c r="S89" s="254"/>
      <c r="T89" s="254"/>
      <c r="U89" s="254"/>
      <c r="V89" s="254"/>
      <c r="W89" s="254"/>
      <c r="Y89" s="246" t="str">
        <f t="shared" si="7"/>
        <v/>
      </c>
      <c r="Z89" s="247" t="str">
        <f t="shared" si="11"/>
        <v/>
      </c>
      <c r="AA89" s="246" t="str">
        <f t="shared" si="8"/>
        <v/>
      </c>
    </row>
    <row r="90" spans="1:27" ht="18" customHeight="1" x14ac:dyDescent="0.25">
      <c r="A90" s="248" t="str">
        <f t="shared" si="9"/>
        <v/>
      </c>
      <c r="B90" s="249" t="str">
        <f t="shared" si="10"/>
        <v/>
      </c>
      <c r="C90" s="250"/>
      <c r="D90" s="251"/>
      <c r="E90" s="241"/>
      <c r="F90" s="252"/>
      <c r="G90" s="252"/>
      <c r="H90" s="253"/>
      <c r="I90" s="250"/>
      <c r="J90" s="250"/>
      <c r="K90" s="270"/>
      <c r="L90" s="250"/>
      <c r="M90" s="250"/>
      <c r="N90" s="540" t="str">
        <f>CONCATENATE(IF(OR(M90=phu!$I$1,M90=phu!$I$2,M90=phu!$I$3),"Cam Thành Nam",""),IF(OR(M90=phu!$I$4,M90=phu!$I$5,M90=phu!$I$6,M90=phu!$I$7,M90=phu!$I$8,M90=phu!$I$9,M90=phu!$I$10,M90=phu!$I$11,M90=phu!$I$12,M90=phu!$I$13,M90=phu!$I$14),"Cam Nghĩa",""),IF(OR(M90=phu!$I$15,M90=phu!$I$16,M90=phu!$I$17,M90=phu!$I$18,M90=phu!$I$19,M90=phu!$I$20,M90=phu!$I$21),"Cam Phúc Bắc",""),IF(OR(M90=phu!$I$22,M90=phu!$I$23,M90=phu!$I$24,M90=phu!$I$25),"Cam Phúc Nam",""),IF(OR(M90=phu!$I$26,M90=phu!$I$27,M90=phu!$I$28,M90=phu!$I$29,M90=phu!$I$30,M90=phu!$I$31),"Cam Phú",""),IF(OR(M90=phu!$I$32,M90=phu!$I$33,M90=phu!$I$34,M90=phu!$I$35,M90=phu!$I$36,M90=phu!$I$37),"Cam Lộc",""),IF(OR(M90=phu!$I$38,M90=phu!$I$39,M90=phu!$I$40,M90=phu!$I$41,M90=phu!$I$42,M90=phu!$I$43,M90=phu!$I$44),"Cam Thuận",""),IF(OR(M90=phu!$I$45,M90=phu!$I$46,M90=phu!$I$47,M90=phu!$I$48,M90=phu!$I$49,M90=phu!$I$50,M90=phu!$I$51,M90=phu!$I$52,M90=phu!$I$53),"Cam Linh",""),IF(OR(M90=phu!$I$54,M90=phu!$I$55,M90=phu!$I$56,M90=phu!$I$57,M90=phu!$I$58,M90=phu!$I$59,M90=phu!$I$60,M90=phu!$I$61,M90=phu!$I$62),"Cam Lợi",""),IF(OR(M90=phu!$I$63,M90=phu!$I$64,M90=phu!$I$65,M90=phu!$I$66,M90=phu!$I$67,M90=phu!$I$68,M90=phu!$I$69,M90=phu!$I$70,M90=phu!$I$71),"Ba Ngòi",""),IF(OR(M90=phu!$I$72,M90=phu!$I$73,M90=phu!$I$74,M90=phu!$I$75,M90=phu!$I$76,M90=phu!$I$77,M90=phu!$I$78),"Cam Phước Đông",""),IF(OR(M90=phu!$I$79,M90=phu!$I$80,M90=phu!$I$81,M90=phu!$I$82,M90=phu!$I$83,M90=phu!$I$84),"Cam Thịnh Đông",""),IF(OR(M90=phu!$I$85,M90=phu!$I$86,M90=phu!$I$87,M90=phu!$I$88),"Cam Thịnh Tây",""),IF(OR(M90=phu!$I$89,M90=phu!$I$90),"Cam Lập",""),IF(OR(M90=phu!$I$91,M90=phu!$I$92,M90=phu!$I$93),"Cam Bình",""),IF(OR(M90=phu!$I$94,M90=phu!$I$95,M90=phu!$I$96,M90=phu!$I$97,M90=phu!$I$98,M90=phu!$I$99,M90=phu!$I$100),"Huyện khác",""),IF(OR(M90=phu!$I$101,M90=phu!$I$102),"Tỉnh khác",""))</f>
        <v/>
      </c>
      <c r="O90" s="829" t="str">
        <f t="shared" si="6"/>
        <v/>
      </c>
      <c r="P90" s="256"/>
      <c r="Q90" s="256"/>
      <c r="R90" s="256"/>
      <c r="S90" s="254"/>
      <c r="T90" s="254"/>
      <c r="U90" s="254"/>
      <c r="V90" s="254"/>
      <c r="W90" s="254"/>
      <c r="Y90" s="246" t="str">
        <f t="shared" si="7"/>
        <v/>
      </c>
      <c r="Z90" s="247" t="str">
        <f t="shared" si="11"/>
        <v/>
      </c>
      <c r="AA90" s="246" t="str">
        <f t="shared" si="8"/>
        <v/>
      </c>
    </row>
    <row r="91" spans="1:27" ht="18" customHeight="1" x14ac:dyDescent="0.25">
      <c r="A91" s="248" t="str">
        <f t="shared" si="9"/>
        <v/>
      </c>
      <c r="B91" s="249" t="str">
        <f t="shared" si="10"/>
        <v/>
      </c>
      <c r="C91" s="250"/>
      <c r="D91" s="251"/>
      <c r="E91" s="241"/>
      <c r="F91" s="252"/>
      <c r="G91" s="252"/>
      <c r="H91" s="253"/>
      <c r="I91" s="250"/>
      <c r="J91" s="250"/>
      <c r="K91" s="270"/>
      <c r="L91" s="250"/>
      <c r="M91" s="250"/>
      <c r="N91" s="540" t="str">
        <f>CONCATENATE(IF(OR(M91=phu!$I$1,M91=phu!$I$2,M91=phu!$I$3),"Cam Thành Nam",""),IF(OR(M91=phu!$I$4,M91=phu!$I$5,M91=phu!$I$6,M91=phu!$I$7,M91=phu!$I$8,M91=phu!$I$9,M91=phu!$I$10,M91=phu!$I$11,M91=phu!$I$12,M91=phu!$I$13,M91=phu!$I$14),"Cam Nghĩa",""),IF(OR(M91=phu!$I$15,M91=phu!$I$16,M91=phu!$I$17,M91=phu!$I$18,M91=phu!$I$19,M91=phu!$I$20,M91=phu!$I$21),"Cam Phúc Bắc",""),IF(OR(M91=phu!$I$22,M91=phu!$I$23,M91=phu!$I$24,M91=phu!$I$25),"Cam Phúc Nam",""),IF(OR(M91=phu!$I$26,M91=phu!$I$27,M91=phu!$I$28,M91=phu!$I$29,M91=phu!$I$30,M91=phu!$I$31),"Cam Phú",""),IF(OR(M91=phu!$I$32,M91=phu!$I$33,M91=phu!$I$34,M91=phu!$I$35,M91=phu!$I$36,M91=phu!$I$37),"Cam Lộc",""),IF(OR(M91=phu!$I$38,M91=phu!$I$39,M91=phu!$I$40,M91=phu!$I$41,M91=phu!$I$42,M91=phu!$I$43,M91=phu!$I$44),"Cam Thuận",""),IF(OR(M91=phu!$I$45,M91=phu!$I$46,M91=phu!$I$47,M91=phu!$I$48,M91=phu!$I$49,M91=phu!$I$50,M91=phu!$I$51,M91=phu!$I$52,M91=phu!$I$53),"Cam Linh",""),IF(OR(M91=phu!$I$54,M91=phu!$I$55,M91=phu!$I$56,M91=phu!$I$57,M91=phu!$I$58,M91=phu!$I$59,M91=phu!$I$60,M91=phu!$I$61,M91=phu!$I$62),"Cam Lợi",""),IF(OR(M91=phu!$I$63,M91=phu!$I$64,M91=phu!$I$65,M91=phu!$I$66,M91=phu!$I$67,M91=phu!$I$68,M91=phu!$I$69,M91=phu!$I$70,M91=phu!$I$71),"Ba Ngòi",""),IF(OR(M91=phu!$I$72,M91=phu!$I$73,M91=phu!$I$74,M91=phu!$I$75,M91=phu!$I$76,M91=phu!$I$77,M91=phu!$I$78),"Cam Phước Đông",""),IF(OR(M91=phu!$I$79,M91=phu!$I$80,M91=phu!$I$81,M91=phu!$I$82,M91=phu!$I$83,M91=phu!$I$84),"Cam Thịnh Đông",""),IF(OR(M91=phu!$I$85,M91=phu!$I$86,M91=phu!$I$87,M91=phu!$I$88),"Cam Thịnh Tây",""),IF(OR(M91=phu!$I$89,M91=phu!$I$90),"Cam Lập",""),IF(OR(M91=phu!$I$91,M91=phu!$I$92,M91=phu!$I$93),"Cam Bình",""),IF(OR(M91=phu!$I$94,M91=phu!$I$95,M91=phu!$I$96,M91=phu!$I$97,M91=phu!$I$98,M91=phu!$I$99,M91=phu!$I$100),"Huyện khác",""),IF(OR(M91=phu!$I$101,M91=phu!$I$102),"Tỉnh khác",""))</f>
        <v/>
      </c>
      <c r="O91" s="829" t="str">
        <f t="shared" si="6"/>
        <v/>
      </c>
      <c r="P91" s="256"/>
      <c r="Q91" s="256"/>
      <c r="R91" s="256"/>
      <c r="S91" s="254"/>
      <c r="T91" s="254"/>
      <c r="U91" s="254"/>
      <c r="V91" s="254"/>
      <c r="W91" s="254"/>
      <c r="Y91" s="246" t="str">
        <f t="shared" si="7"/>
        <v/>
      </c>
      <c r="Z91" s="247" t="str">
        <f t="shared" si="11"/>
        <v/>
      </c>
      <c r="AA91" s="246" t="str">
        <f t="shared" si="8"/>
        <v/>
      </c>
    </row>
    <row r="92" spans="1:27" ht="18" customHeight="1" x14ac:dyDescent="0.25">
      <c r="A92" s="248" t="str">
        <f t="shared" si="9"/>
        <v/>
      </c>
      <c r="B92" s="249" t="str">
        <f t="shared" si="10"/>
        <v/>
      </c>
      <c r="C92" s="250"/>
      <c r="D92" s="251"/>
      <c r="E92" s="241"/>
      <c r="F92" s="252"/>
      <c r="G92" s="252"/>
      <c r="H92" s="253"/>
      <c r="I92" s="250"/>
      <c r="J92" s="250"/>
      <c r="K92" s="270"/>
      <c r="L92" s="250"/>
      <c r="M92" s="250"/>
      <c r="N92" s="540" t="str">
        <f>CONCATENATE(IF(OR(M92=phu!$I$1,M92=phu!$I$2,M92=phu!$I$3),"Cam Thành Nam",""),IF(OR(M92=phu!$I$4,M92=phu!$I$5,M92=phu!$I$6,M92=phu!$I$7,M92=phu!$I$8,M92=phu!$I$9,M92=phu!$I$10,M92=phu!$I$11,M92=phu!$I$12,M92=phu!$I$13,M92=phu!$I$14),"Cam Nghĩa",""),IF(OR(M92=phu!$I$15,M92=phu!$I$16,M92=phu!$I$17,M92=phu!$I$18,M92=phu!$I$19,M92=phu!$I$20,M92=phu!$I$21),"Cam Phúc Bắc",""),IF(OR(M92=phu!$I$22,M92=phu!$I$23,M92=phu!$I$24,M92=phu!$I$25),"Cam Phúc Nam",""),IF(OR(M92=phu!$I$26,M92=phu!$I$27,M92=phu!$I$28,M92=phu!$I$29,M92=phu!$I$30,M92=phu!$I$31),"Cam Phú",""),IF(OR(M92=phu!$I$32,M92=phu!$I$33,M92=phu!$I$34,M92=phu!$I$35,M92=phu!$I$36,M92=phu!$I$37),"Cam Lộc",""),IF(OR(M92=phu!$I$38,M92=phu!$I$39,M92=phu!$I$40,M92=phu!$I$41,M92=phu!$I$42,M92=phu!$I$43,M92=phu!$I$44),"Cam Thuận",""),IF(OR(M92=phu!$I$45,M92=phu!$I$46,M92=phu!$I$47,M92=phu!$I$48,M92=phu!$I$49,M92=phu!$I$50,M92=phu!$I$51,M92=phu!$I$52,M92=phu!$I$53),"Cam Linh",""),IF(OR(M92=phu!$I$54,M92=phu!$I$55,M92=phu!$I$56,M92=phu!$I$57,M92=phu!$I$58,M92=phu!$I$59,M92=phu!$I$60,M92=phu!$I$61,M92=phu!$I$62),"Cam Lợi",""),IF(OR(M92=phu!$I$63,M92=phu!$I$64,M92=phu!$I$65,M92=phu!$I$66,M92=phu!$I$67,M92=phu!$I$68,M92=phu!$I$69,M92=phu!$I$70,M92=phu!$I$71),"Ba Ngòi",""),IF(OR(M92=phu!$I$72,M92=phu!$I$73,M92=phu!$I$74,M92=phu!$I$75,M92=phu!$I$76,M92=phu!$I$77,M92=phu!$I$78),"Cam Phước Đông",""),IF(OR(M92=phu!$I$79,M92=phu!$I$80,M92=phu!$I$81,M92=phu!$I$82,M92=phu!$I$83,M92=phu!$I$84),"Cam Thịnh Đông",""),IF(OR(M92=phu!$I$85,M92=phu!$I$86,M92=phu!$I$87,M92=phu!$I$88),"Cam Thịnh Tây",""),IF(OR(M92=phu!$I$89,M92=phu!$I$90),"Cam Lập",""),IF(OR(M92=phu!$I$91,M92=phu!$I$92,M92=phu!$I$93),"Cam Bình",""),IF(OR(M92=phu!$I$94,M92=phu!$I$95,M92=phu!$I$96,M92=phu!$I$97,M92=phu!$I$98,M92=phu!$I$99,M92=phu!$I$100),"Huyện khác",""),IF(OR(M92=phu!$I$101,M92=phu!$I$102),"Tỉnh khác",""))</f>
        <v/>
      </c>
      <c r="O92" s="829" t="str">
        <f t="shared" si="6"/>
        <v/>
      </c>
      <c r="P92" s="256"/>
      <c r="Q92" s="256"/>
      <c r="R92" s="256"/>
      <c r="S92" s="254"/>
      <c r="T92" s="254"/>
      <c r="U92" s="254"/>
      <c r="V92" s="254"/>
      <c r="W92" s="254"/>
      <c r="Y92" s="246" t="str">
        <f t="shared" si="7"/>
        <v/>
      </c>
      <c r="Z92" s="247" t="str">
        <f t="shared" si="11"/>
        <v/>
      </c>
      <c r="AA92" s="246" t="str">
        <f t="shared" si="8"/>
        <v/>
      </c>
    </row>
    <row r="93" spans="1:27" ht="18" customHeight="1" x14ac:dyDescent="0.25">
      <c r="A93" s="248" t="str">
        <f t="shared" si="9"/>
        <v/>
      </c>
      <c r="B93" s="249" t="str">
        <f t="shared" si="10"/>
        <v/>
      </c>
      <c r="C93" s="250"/>
      <c r="D93" s="251"/>
      <c r="E93" s="241"/>
      <c r="F93" s="252"/>
      <c r="G93" s="252"/>
      <c r="H93" s="253"/>
      <c r="I93" s="250"/>
      <c r="J93" s="250"/>
      <c r="K93" s="270"/>
      <c r="L93" s="250"/>
      <c r="M93" s="250"/>
      <c r="N93" s="540" t="str">
        <f>CONCATENATE(IF(OR(M93=phu!$I$1,M93=phu!$I$2,M93=phu!$I$3),"Cam Thành Nam",""),IF(OR(M93=phu!$I$4,M93=phu!$I$5,M93=phu!$I$6,M93=phu!$I$7,M93=phu!$I$8,M93=phu!$I$9,M93=phu!$I$10,M93=phu!$I$11,M93=phu!$I$12,M93=phu!$I$13,M93=phu!$I$14),"Cam Nghĩa",""),IF(OR(M93=phu!$I$15,M93=phu!$I$16,M93=phu!$I$17,M93=phu!$I$18,M93=phu!$I$19,M93=phu!$I$20,M93=phu!$I$21),"Cam Phúc Bắc",""),IF(OR(M93=phu!$I$22,M93=phu!$I$23,M93=phu!$I$24,M93=phu!$I$25),"Cam Phúc Nam",""),IF(OR(M93=phu!$I$26,M93=phu!$I$27,M93=phu!$I$28,M93=phu!$I$29,M93=phu!$I$30,M93=phu!$I$31),"Cam Phú",""),IF(OR(M93=phu!$I$32,M93=phu!$I$33,M93=phu!$I$34,M93=phu!$I$35,M93=phu!$I$36,M93=phu!$I$37),"Cam Lộc",""),IF(OR(M93=phu!$I$38,M93=phu!$I$39,M93=phu!$I$40,M93=phu!$I$41,M93=phu!$I$42,M93=phu!$I$43,M93=phu!$I$44),"Cam Thuận",""),IF(OR(M93=phu!$I$45,M93=phu!$I$46,M93=phu!$I$47,M93=phu!$I$48,M93=phu!$I$49,M93=phu!$I$50,M93=phu!$I$51,M93=phu!$I$52,M93=phu!$I$53),"Cam Linh",""),IF(OR(M93=phu!$I$54,M93=phu!$I$55,M93=phu!$I$56,M93=phu!$I$57,M93=phu!$I$58,M93=phu!$I$59,M93=phu!$I$60,M93=phu!$I$61,M93=phu!$I$62),"Cam Lợi",""),IF(OR(M93=phu!$I$63,M93=phu!$I$64,M93=phu!$I$65,M93=phu!$I$66,M93=phu!$I$67,M93=phu!$I$68,M93=phu!$I$69,M93=phu!$I$70,M93=phu!$I$71),"Ba Ngòi",""),IF(OR(M93=phu!$I$72,M93=phu!$I$73,M93=phu!$I$74,M93=phu!$I$75,M93=phu!$I$76,M93=phu!$I$77,M93=phu!$I$78),"Cam Phước Đông",""),IF(OR(M93=phu!$I$79,M93=phu!$I$80,M93=phu!$I$81,M93=phu!$I$82,M93=phu!$I$83,M93=phu!$I$84),"Cam Thịnh Đông",""),IF(OR(M93=phu!$I$85,M93=phu!$I$86,M93=phu!$I$87,M93=phu!$I$88),"Cam Thịnh Tây",""),IF(OR(M93=phu!$I$89,M93=phu!$I$90),"Cam Lập",""),IF(OR(M93=phu!$I$91,M93=phu!$I$92,M93=phu!$I$93),"Cam Bình",""),IF(OR(M93=phu!$I$94,M93=phu!$I$95,M93=phu!$I$96,M93=phu!$I$97,M93=phu!$I$98,M93=phu!$I$99,M93=phu!$I$100),"Huyện khác",""),IF(OR(M93=phu!$I$101,M93=phu!$I$102),"Tỉnh khác",""))</f>
        <v/>
      </c>
      <c r="O93" s="829" t="str">
        <f t="shared" si="6"/>
        <v/>
      </c>
      <c r="P93" s="256"/>
      <c r="Q93" s="256"/>
      <c r="R93" s="256"/>
      <c r="S93" s="254"/>
      <c r="T93" s="254"/>
      <c r="U93" s="254"/>
      <c r="V93" s="254"/>
      <c r="W93" s="254"/>
      <c r="Y93" s="246" t="str">
        <f t="shared" si="7"/>
        <v/>
      </c>
      <c r="Z93" s="247" t="str">
        <f t="shared" si="11"/>
        <v/>
      </c>
      <c r="AA93" s="246" t="str">
        <f t="shared" si="8"/>
        <v/>
      </c>
    </row>
    <row r="94" spans="1:27" ht="18" customHeight="1" x14ac:dyDescent="0.25">
      <c r="A94" s="248" t="str">
        <f t="shared" si="9"/>
        <v/>
      </c>
      <c r="B94" s="249" t="str">
        <f t="shared" si="10"/>
        <v/>
      </c>
      <c r="C94" s="250"/>
      <c r="D94" s="251"/>
      <c r="E94" s="241"/>
      <c r="F94" s="252"/>
      <c r="G94" s="252"/>
      <c r="H94" s="253"/>
      <c r="I94" s="250"/>
      <c r="J94" s="250"/>
      <c r="K94" s="270"/>
      <c r="L94" s="250"/>
      <c r="M94" s="250"/>
      <c r="N94" s="540" t="str">
        <f>CONCATENATE(IF(OR(M94=phu!$I$1,M94=phu!$I$2,M94=phu!$I$3),"Cam Thành Nam",""),IF(OR(M94=phu!$I$4,M94=phu!$I$5,M94=phu!$I$6,M94=phu!$I$7,M94=phu!$I$8,M94=phu!$I$9,M94=phu!$I$10,M94=phu!$I$11,M94=phu!$I$12,M94=phu!$I$13,M94=phu!$I$14),"Cam Nghĩa",""),IF(OR(M94=phu!$I$15,M94=phu!$I$16,M94=phu!$I$17,M94=phu!$I$18,M94=phu!$I$19,M94=phu!$I$20,M94=phu!$I$21),"Cam Phúc Bắc",""),IF(OR(M94=phu!$I$22,M94=phu!$I$23,M94=phu!$I$24,M94=phu!$I$25),"Cam Phúc Nam",""),IF(OR(M94=phu!$I$26,M94=phu!$I$27,M94=phu!$I$28,M94=phu!$I$29,M94=phu!$I$30,M94=phu!$I$31),"Cam Phú",""),IF(OR(M94=phu!$I$32,M94=phu!$I$33,M94=phu!$I$34,M94=phu!$I$35,M94=phu!$I$36,M94=phu!$I$37),"Cam Lộc",""),IF(OR(M94=phu!$I$38,M94=phu!$I$39,M94=phu!$I$40,M94=phu!$I$41,M94=phu!$I$42,M94=phu!$I$43,M94=phu!$I$44),"Cam Thuận",""),IF(OR(M94=phu!$I$45,M94=phu!$I$46,M94=phu!$I$47,M94=phu!$I$48,M94=phu!$I$49,M94=phu!$I$50,M94=phu!$I$51,M94=phu!$I$52,M94=phu!$I$53),"Cam Linh",""),IF(OR(M94=phu!$I$54,M94=phu!$I$55,M94=phu!$I$56,M94=phu!$I$57,M94=phu!$I$58,M94=phu!$I$59,M94=phu!$I$60,M94=phu!$I$61,M94=phu!$I$62),"Cam Lợi",""),IF(OR(M94=phu!$I$63,M94=phu!$I$64,M94=phu!$I$65,M94=phu!$I$66,M94=phu!$I$67,M94=phu!$I$68,M94=phu!$I$69,M94=phu!$I$70,M94=phu!$I$71),"Ba Ngòi",""),IF(OR(M94=phu!$I$72,M94=phu!$I$73,M94=phu!$I$74,M94=phu!$I$75,M94=phu!$I$76,M94=phu!$I$77,M94=phu!$I$78),"Cam Phước Đông",""),IF(OR(M94=phu!$I$79,M94=phu!$I$80,M94=phu!$I$81,M94=phu!$I$82,M94=phu!$I$83,M94=phu!$I$84),"Cam Thịnh Đông",""),IF(OR(M94=phu!$I$85,M94=phu!$I$86,M94=phu!$I$87,M94=phu!$I$88),"Cam Thịnh Tây",""),IF(OR(M94=phu!$I$89,M94=phu!$I$90),"Cam Lập",""),IF(OR(M94=phu!$I$91,M94=phu!$I$92,M94=phu!$I$93),"Cam Bình",""),IF(OR(M94=phu!$I$94,M94=phu!$I$95,M94=phu!$I$96,M94=phu!$I$97,M94=phu!$I$98,M94=phu!$I$99,M94=phu!$I$100),"Huyện khác",""),IF(OR(M94=phu!$I$101,M94=phu!$I$102),"Tỉnh khác",""))</f>
        <v/>
      </c>
      <c r="O94" s="829" t="str">
        <f t="shared" si="6"/>
        <v/>
      </c>
      <c r="P94" s="256"/>
      <c r="Q94" s="256"/>
      <c r="R94" s="256"/>
      <c r="S94" s="254"/>
      <c r="T94" s="254"/>
      <c r="U94" s="254"/>
      <c r="V94" s="254"/>
      <c r="W94" s="254"/>
      <c r="Y94" s="246" t="str">
        <f t="shared" si="7"/>
        <v/>
      </c>
      <c r="Z94" s="247" t="str">
        <f t="shared" si="11"/>
        <v/>
      </c>
      <c r="AA94" s="246" t="str">
        <f t="shared" si="8"/>
        <v/>
      </c>
    </row>
    <row r="95" spans="1:27" ht="18" customHeight="1" x14ac:dyDescent="0.25">
      <c r="A95" s="248" t="str">
        <f t="shared" si="9"/>
        <v/>
      </c>
      <c r="B95" s="249" t="str">
        <f t="shared" si="10"/>
        <v/>
      </c>
      <c r="C95" s="250"/>
      <c r="D95" s="251"/>
      <c r="E95" s="241"/>
      <c r="F95" s="252"/>
      <c r="G95" s="252"/>
      <c r="H95" s="253"/>
      <c r="I95" s="250"/>
      <c r="J95" s="250"/>
      <c r="K95" s="270"/>
      <c r="L95" s="250"/>
      <c r="M95" s="250"/>
      <c r="N95" s="540" t="str">
        <f>CONCATENATE(IF(OR(M95=phu!$I$1,M95=phu!$I$2,M95=phu!$I$3),"Cam Thành Nam",""),IF(OR(M95=phu!$I$4,M95=phu!$I$5,M95=phu!$I$6,M95=phu!$I$7,M95=phu!$I$8,M95=phu!$I$9,M95=phu!$I$10,M95=phu!$I$11,M95=phu!$I$12,M95=phu!$I$13,M95=phu!$I$14),"Cam Nghĩa",""),IF(OR(M95=phu!$I$15,M95=phu!$I$16,M95=phu!$I$17,M95=phu!$I$18,M95=phu!$I$19,M95=phu!$I$20,M95=phu!$I$21),"Cam Phúc Bắc",""),IF(OR(M95=phu!$I$22,M95=phu!$I$23,M95=phu!$I$24,M95=phu!$I$25),"Cam Phúc Nam",""),IF(OR(M95=phu!$I$26,M95=phu!$I$27,M95=phu!$I$28,M95=phu!$I$29,M95=phu!$I$30,M95=phu!$I$31),"Cam Phú",""),IF(OR(M95=phu!$I$32,M95=phu!$I$33,M95=phu!$I$34,M95=phu!$I$35,M95=phu!$I$36,M95=phu!$I$37),"Cam Lộc",""),IF(OR(M95=phu!$I$38,M95=phu!$I$39,M95=phu!$I$40,M95=phu!$I$41,M95=phu!$I$42,M95=phu!$I$43,M95=phu!$I$44),"Cam Thuận",""),IF(OR(M95=phu!$I$45,M95=phu!$I$46,M95=phu!$I$47,M95=phu!$I$48,M95=phu!$I$49,M95=phu!$I$50,M95=phu!$I$51,M95=phu!$I$52,M95=phu!$I$53),"Cam Linh",""),IF(OR(M95=phu!$I$54,M95=phu!$I$55,M95=phu!$I$56,M95=phu!$I$57,M95=phu!$I$58,M95=phu!$I$59,M95=phu!$I$60,M95=phu!$I$61,M95=phu!$I$62),"Cam Lợi",""),IF(OR(M95=phu!$I$63,M95=phu!$I$64,M95=phu!$I$65,M95=phu!$I$66,M95=phu!$I$67,M95=phu!$I$68,M95=phu!$I$69,M95=phu!$I$70,M95=phu!$I$71),"Ba Ngòi",""),IF(OR(M95=phu!$I$72,M95=phu!$I$73,M95=phu!$I$74,M95=phu!$I$75,M95=phu!$I$76,M95=phu!$I$77,M95=phu!$I$78),"Cam Phước Đông",""),IF(OR(M95=phu!$I$79,M95=phu!$I$80,M95=phu!$I$81,M95=phu!$I$82,M95=phu!$I$83,M95=phu!$I$84),"Cam Thịnh Đông",""),IF(OR(M95=phu!$I$85,M95=phu!$I$86,M95=phu!$I$87,M95=phu!$I$88),"Cam Thịnh Tây",""),IF(OR(M95=phu!$I$89,M95=phu!$I$90),"Cam Lập",""),IF(OR(M95=phu!$I$91,M95=phu!$I$92,M95=phu!$I$93),"Cam Bình",""),IF(OR(M95=phu!$I$94,M95=phu!$I$95,M95=phu!$I$96,M95=phu!$I$97,M95=phu!$I$98,M95=phu!$I$99,M95=phu!$I$100),"Huyện khác",""),IF(OR(M95=phu!$I$101,M95=phu!$I$102),"Tỉnh khác",""))</f>
        <v/>
      </c>
      <c r="O95" s="829" t="str">
        <f t="shared" si="6"/>
        <v/>
      </c>
      <c r="P95" s="256"/>
      <c r="Q95" s="256"/>
      <c r="R95" s="256"/>
      <c r="S95" s="254"/>
      <c r="T95" s="254"/>
      <c r="U95" s="254"/>
      <c r="V95" s="254"/>
      <c r="W95" s="254"/>
      <c r="Y95" s="246" t="str">
        <f t="shared" si="7"/>
        <v/>
      </c>
      <c r="Z95" s="247" t="str">
        <f t="shared" si="11"/>
        <v/>
      </c>
      <c r="AA95" s="246" t="str">
        <f t="shared" si="8"/>
        <v/>
      </c>
    </row>
    <row r="96" spans="1:27" ht="18" customHeight="1" x14ac:dyDescent="0.25">
      <c r="A96" s="248" t="str">
        <f t="shared" si="9"/>
        <v/>
      </c>
      <c r="B96" s="249" t="str">
        <f t="shared" si="10"/>
        <v/>
      </c>
      <c r="C96" s="250"/>
      <c r="D96" s="251"/>
      <c r="E96" s="241"/>
      <c r="F96" s="252"/>
      <c r="G96" s="252"/>
      <c r="H96" s="253"/>
      <c r="I96" s="250"/>
      <c r="J96" s="250"/>
      <c r="K96" s="270"/>
      <c r="L96" s="250"/>
      <c r="M96" s="250"/>
      <c r="N96" s="540" t="str">
        <f>CONCATENATE(IF(OR(M96=phu!$I$1,M96=phu!$I$2,M96=phu!$I$3),"Cam Thành Nam",""),IF(OR(M96=phu!$I$4,M96=phu!$I$5,M96=phu!$I$6,M96=phu!$I$7,M96=phu!$I$8,M96=phu!$I$9,M96=phu!$I$10,M96=phu!$I$11,M96=phu!$I$12,M96=phu!$I$13,M96=phu!$I$14),"Cam Nghĩa",""),IF(OR(M96=phu!$I$15,M96=phu!$I$16,M96=phu!$I$17,M96=phu!$I$18,M96=phu!$I$19,M96=phu!$I$20,M96=phu!$I$21),"Cam Phúc Bắc",""),IF(OR(M96=phu!$I$22,M96=phu!$I$23,M96=phu!$I$24,M96=phu!$I$25),"Cam Phúc Nam",""),IF(OR(M96=phu!$I$26,M96=phu!$I$27,M96=phu!$I$28,M96=phu!$I$29,M96=phu!$I$30,M96=phu!$I$31),"Cam Phú",""),IF(OR(M96=phu!$I$32,M96=phu!$I$33,M96=phu!$I$34,M96=phu!$I$35,M96=phu!$I$36,M96=phu!$I$37),"Cam Lộc",""),IF(OR(M96=phu!$I$38,M96=phu!$I$39,M96=phu!$I$40,M96=phu!$I$41,M96=phu!$I$42,M96=phu!$I$43,M96=phu!$I$44),"Cam Thuận",""),IF(OR(M96=phu!$I$45,M96=phu!$I$46,M96=phu!$I$47,M96=phu!$I$48,M96=phu!$I$49,M96=phu!$I$50,M96=phu!$I$51,M96=phu!$I$52,M96=phu!$I$53),"Cam Linh",""),IF(OR(M96=phu!$I$54,M96=phu!$I$55,M96=phu!$I$56,M96=phu!$I$57,M96=phu!$I$58,M96=phu!$I$59,M96=phu!$I$60,M96=phu!$I$61,M96=phu!$I$62),"Cam Lợi",""),IF(OR(M96=phu!$I$63,M96=phu!$I$64,M96=phu!$I$65,M96=phu!$I$66,M96=phu!$I$67,M96=phu!$I$68,M96=phu!$I$69,M96=phu!$I$70,M96=phu!$I$71),"Ba Ngòi",""),IF(OR(M96=phu!$I$72,M96=phu!$I$73,M96=phu!$I$74,M96=phu!$I$75,M96=phu!$I$76,M96=phu!$I$77,M96=phu!$I$78),"Cam Phước Đông",""),IF(OR(M96=phu!$I$79,M96=phu!$I$80,M96=phu!$I$81,M96=phu!$I$82,M96=phu!$I$83,M96=phu!$I$84),"Cam Thịnh Đông",""),IF(OR(M96=phu!$I$85,M96=phu!$I$86,M96=phu!$I$87,M96=phu!$I$88),"Cam Thịnh Tây",""),IF(OR(M96=phu!$I$89,M96=phu!$I$90),"Cam Lập",""),IF(OR(M96=phu!$I$91,M96=phu!$I$92,M96=phu!$I$93),"Cam Bình",""),IF(OR(M96=phu!$I$94,M96=phu!$I$95,M96=phu!$I$96,M96=phu!$I$97,M96=phu!$I$98,M96=phu!$I$99,M96=phu!$I$100),"Huyện khác",""),IF(OR(M96=phu!$I$101,M96=phu!$I$102),"Tỉnh khác",""))</f>
        <v/>
      </c>
      <c r="O96" s="829" t="str">
        <f t="shared" si="6"/>
        <v/>
      </c>
      <c r="P96" s="256"/>
      <c r="Q96" s="256"/>
      <c r="R96" s="256"/>
      <c r="S96" s="254"/>
      <c r="T96" s="254"/>
      <c r="U96" s="254"/>
      <c r="V96" s="254"/>
      <c r="W96" s="254"/>
      <c r="Y96" s="246" t="str">
        <f t="shared" si="7"/>
        <v/>
      </c>
      <c r="Z96" s="247" t="str">
        <f t="shared" si="11"/>
        <v/>
      </c>
      <c r="AA96" s="246" t="str">
        <f t="shared" si="8"/>
        <v/>
      </c>
    </row>
    <row r="97" spans="1:27" ht="18" customHeight="1" x14ac:dyDescent="0.25">
      <c r="A97" s="248" t="str">
        <f t="shared" si="9"/>
        <v/>
      </c>
      <c r="B97" s="249" t="str">
        <f t="shared" si="10"/>
        <v/>
      </c>
      <c r="C97" s="250"/>
      <c r="D97" s="251"/>
      <c r="E97" s="241"/>
      <c r="F97" s="252"/>
      <c r="G97" s="252"/>
      <c r="H97" s="253"/>
      <c r="I97" s="250"/>
      <c r="J97" s="250"/>
      <c r="K97" s="270"/>
      <c r="L97" s="250"/>
      <c r="M97" s="250"/>
      <c r="N97" s="540" t="str">
        <f>CONCATENATE(IF(OR(M97=phu!$I$1,M97=phu!$I$2,M97=phu!$I$3),"Cam Thành Nam",""),IF(OR(M97=phu!$I$4,M97=phu!$I$5,M97=phu!$I$6,M97=phu!$I$7,M97=phu!$I$8,M97=phu!$I$9,M97=phu!$I$10,M97=phu!$I$11,M97=phu!$I$12,M97=phu!$I$13,M97=phu!$I$14),"Cam Nghĩa",""),IF(OR(M97=phu!$I$15,M97=phu!$I$16,M97=phu!$I$17,M97=phu!$I$18,M97=phu!$I$19,M97=phu!$I$20,M97=phu!$I$21),"Cam Phúc Bắc",""),IF(OR(M97=phu!$I$22,M97=phu!$I$23,M97=phu!$I$24,M97=phu!$I$25),"Cam Phúc Nam",""),IF(OR(M97=phu!$I$26,M97=phu!$I$27,M97=phu!$I$28,M97=phu!$I$29,M97=phu!$I$30,M97=phu!$I$31),"Cam Phú",""),IF(OR(M97=phu!$I$32,M97=phu!$I$33,M97=phu!$I$34,M97=phu!$I$35,M97=phu!$I$36,M97=phu!$I$37),"Cam Lộc",""),IF(OR(M97=phu!$I$38,M97=phu!$I$39,M97=phu!$I$40,M97=phu!$I$41,M97=phu!$I$42,M97=phu!$I$43,M97=phu!$I$44),"Cam Thuận",""),IF(OR(M97=phu!$I$45,M97=phu!$I$46,M97=phu!$I$47,M97=phu!$I$48,M97=phu!$I$49,M97=phu!$I$50,M97=phu!$I$51,M97=phu!$I$52,M97=phu!$I$53),"Cam Linh",""),IF(OR(M97=phu!$I$54,M97=phu!$I$55,M97=phu!$I$56,M97=phu!$I$57,M97=phu!$I$58,M97=phu!$I$59,M97=phu!$I$60,M97=phu!$I$61,M97=phu!$I$62),"Cam Lợi",""),IF(OR(M97=phu!$I$63,M97=phu!$I$64,M97=phu!$I$65,M97=phu!$I$66,M97=phu!$I$67,M97=phu!$I$68,M97=phu!$I$69,M97=phu!$I$70,M97=phu!$I$71),"Ba Ngòi",""),IF(OR(M97=phu!$I$72,M97=phu!$I$73,M97=phu!$I$74,M97=phu!$I$75,M97=phu!$I$76,M97=phu!$I$77,M97=phu!$I$78),"Cam Phước Đông",""),IF(OR(M97=phu!$I$79,M97=phu!$I$80,M97=phu!$I$81,M97=phu!$I$82,M97=phu!$I$83,M97=phu!$I$84),"Cam Thịnh Đông",""),IF(OR(M97=phu!$I$85,M97=phu!$I$86,M97=phu!$I$87,M97=phu!$I$88),"Cam Thịnh Tây",""),IF(OR(M97=phu!$I$89,M97=phu!$I$90),"Cam Lập",""),IF(OR(M97=phu!$I$91,M97=phu!$I$92,M97=phu!$I$93),"Cam Bình",""),IF(OR(M97=phu!$I$94,M97=phu!$I$95,M97=phu!$I$96,M97=phu!$I$97,M97=phu!$I$98,M97=phu!$I$99,M97=phu!$I$100),"Huyện khác",""),IF(OR(M97=phu!$I$101,M97=phu!$I$102),"Tỉnh khác",""))</f>
        <v/>
      </c>
      <c r="O97" s="829" t="str">
        <f t="shared" si="6"/>
        <v/>
      </c>
      <c r="P97" s="256"/>
      <c r="Q97" s="256"/>
      <c r="R97" s="256"/>
      <c r="S97" s="254"/>
      <c r="T97" s="254"/>
      <c r="U97" s="254"/>
      <c r="V97" s="254"/>
      <c r="W97" s="254"/>
      <c r="Y97" s="246" t="str">
        <f t="shared" si="7"/>
        <v/>
      </c>
      <c r="Z97" s="247" t="str">
        <f t="shared" si="11"/>
        <v/>
      </c>
      <c r="AA97" s="246" t="str">
        <f t="shared" si="8"/>
        <v/>
      </c>
    </row>
    <row r="98" spans="1:27" ht="18" customHeight="1" x14ac:dyDescent="0.25">
      <c r="A98" s="248" t="str">
        <f t="shared" si="9"/>
        <v/>
      </c>
      <c r="B98" s="249" t="str">
        <f t="shared" si="10"/>
        <v/>
      </c>
      <c r="C98" s="250"/>
      <c r="D98" s="251"/>
      <c r="E98" s="241"/>
      <c r="F98" s="252"/>
      <c r="G98" s="252"/>
      <c r="H98" s="253"/>
      <c r="I98" s="250"/>
      <c r="J98" s="250"/>
      <c r="K98" s="270"/>
      <c r="L98" s="250"/>
      <c r="M98" s="250"/>
      <c r="N98" s="540" t="str">
        <f>CONCATENATE(IF(OR(M98=phu!$I$1,M98=phu!$I$2,M98=phu!$I$3),"Cam Thành Nam",""),IF(OR(M98=phu!$I$4,M98=phu!$I$5,M98=phu!$I$6,M98=phu!$I$7,M98=phu!$I$8,M98=phu!$I$9,M98=phu!$I$10,M98=phu!$I$11,M98=phu!$I$12,M98=phu!$I$13,M98=phu!$I$14),"Cam Nghĩa",""),IF(OR(M98=phu!$I$15,M98=phu!$I$16,M98=phu!$I$17,M98=phu!$I$18,M98=phu!$I$19,M98=phu!$I$20,M98=phu!$I$21),"Cam Phúc Bắc",""),IF(OR(M98=phu!$I$22,M98=phu!$I$23,M98=phu!$I$24,M98=phu!$I$25),"Cam Phúc Nam",""),IF(OR(M98=phu!$I$26,M98=phu!$I$27,M98=phu!$I$28,M98=phu!$I$29,M98=phu!$I$30,M98=phu!$I$31),"Cam Phú",""),IF(OR(M98=phu!$I$32,M98=phu!$I$33,M98=phu!$I$34,M98=phu!$I$35,M98=phu!$I$36,M98=phu!$I$37),"Cam Lộc",""),IF(OR(M98=phu!$I$38,M98=phu!$I$39,M98=phu!$I$40,M98=phu!$I$41,M98=phu!$I$42,M98=phu!$I$43,M98=phu!$I$44),"Cam Thuận",""),IF(OR(M98=phu!$I$45,M98=phu!$I$46,M98=phu!$I$47,M98=phu!$I$48,M98=phu!$I$49,M98=phu!$I$50,M98=phu!$I$51,M98=phu!$I$52,M98=phu!$I$53),"Cam Linh",""),IF(OR(M98=phu!$I$54,M98=phu!$I$55,M98=phu!$I$56,M98=phu!$I$57,M98=phu!$I$58,M98=phu!$I$59,M98=phu!$I$60,M98=phu!$I$61,M98=phu!$I$62),"Cam Lợi",""),IF(OR(M98=phu!$I$63,M98=phu!$I$64,M98=phu!$I$65,M98=phu!$I$66,M98=phu!$I$67,M98=phu!$I$68,M98=phu!$I$69,M98=phu!$I$70,M98=phu!$I$71),"Ba Ngòi",""),IF(OR(M98=phu!$I$72,M98=phu!$I$73,M98=phu!$I$74,M98=phu!$I$75,M98=phu!$I$76,M98=phu!$I$77,M98=phu!$I$78),"Cam Phước Đông",""),IF(OR(M98=phu!$I$79,M98=phu!$I$80,M98=phu!$I$81,M98=phu!$I$82,M98=phu!$I$83,M98=phu!$I$84),"Cam Thịnh Đông",""),IF(OR(M98=phu!$I$85,M98=phu!$I$86,M98=phu!$I$87,M98=phu!$I$88),"Cam Thịnh Tây",""),IF(OR(M98=phu!$I$89,M98=phu!$I$90),"Cam Lập",""),IF(OR(M98=phu!$I$91,M98=phu!$I$92,M98=phu!$I$93),"Cam Bình",""),IF(OR(M98=phu!$I$94,M98=phu!$I$95,M98=phu!$I$96,M98=phu!$I$97,M98=phu!$I$98,M98=phu!$I$99,M98=phu!$I$100),"Huyện khác",""),IF(OR(M98=phu!$I$101,M98=phu!$I$102),"Tỉnh khác",""))</f>
        <v/>
      </c>
      <c r="O98" s="829" t="str">
        <f t="shared" si="6"/>
        <v/>
      </c>
      <c r="P98" s="256"/>
      <c r="Q98" s="256"/>
      <c r="R98" s="256"/>
      <c r="S98" s="254"/>
      <c r="T98" s="254"/>
      <c r="U98" s="254"/>
      <c r="V98" s="254"/>
      <c r="W98" s="254"/>
      <c r="Y98" s="246" t="str">
        <f t="shared" si="7"/>
        <v/>
      </c>
      <c r="Z98" s="247" t="str">
        <f t="shared" si="11"/>
        <v/>
      </c>
      <c r="AA98" s="246" t="str">
        <f t="shared" si="8"/>
        <v/>
      </c>
    </row>
    <row r="99" spans="1:27" ht="18" customHeight="1" x14ac:dyDescent="0.25">
      <c r="A99" s="248" t="str">
        <f t="shared" si="9"/>
        <v/>
      </c>
      <c r="B99" s="249" t="str">
        <f t="shared" si="10"/>
        <v/>
      </c>
      <c r="C99" s="250"/>
      <c r="D99" s="251"/>
      <c r="E99" s="241"/>
      <c r="F99" s="252"/>
      <c r="G99" s="252"/>
      <c r="H99" s="253"/>
      <c r="I99" s="250"/>
      <c r="J99" s="250"/>
      <c r="K99" s="270"/>
      <c r="L99" s="250"/>
      <c r="M99" s="250"/>
      <c r="N99" s="540" t="str">
        <f>CONCATENATE(IF(OR(M99=phu!$I$1,M99=phu!$I$2,M99=phu!$I$3),"Cam Thành Nam",""),IF(OR(M99=phu!$I$4,M99=phu!$I$5,M99=phu!$I$6,M99=phu!$I$7,M99=phu!$I$8,M99=phu!$I$9,M99=phu!$I$10,M99=phu!$I$11,M99=phu!$I$12,M99=phu!$I$13,M99=phu!$I$14),"Cam Nghĩa",""),IF(OR(M99=phu!$I$15,M99=phu!$I$16,M99=phu!$I$17,M99=phu!$I$18,M99=phu!$I$19,M99=phu!$I$20,M99=phu!$I$21),"Cam Phúc Bắc",""),IF(OR(M99=phu!$I$22,M99=phu!$I$23,M99=phu!$I$24,M99=phu!$I$25),"Cam Phúc Nam",""),IF(OR(M99=phu!$I$26,M99=phu!$I$27,M99=phu!$I$28,M99=phu!$I$29,M99=phu!$I$30,M99=phu!$I$31),"Cam Phú",""),IF(OR(M99=phu!$I$32,M99=phu!$I$33,M99=phu!$I$34,M99=phu!$I$35,M99=phu!$I$36,M99=phu!$I$37),"Cam Lộc",""),IF(OR(M99=phu!$I$38,M99=phu!$I$39,M99=phu!$I$40,M99=phu!$I$41,M99=phu!$I$42,M99=phu!$I$43,M99=phu!$I$44),"Cam Thuận",""),IF(OR(M99=phu!$I$45,M99=phu!$I$46,M99=phu!$I$47,M99=phu!$I$48,M99=phu!$I$49,M99=phu!$I$50,M99=phu!$I$51,M99=phu!$I$52,M99=phu!$I$53),"Cam Linh",""),IF(OR(M99=phu!$I$54,M99=phu!$I$55,M99=phu!$I$56,M99=phu!$I$57,M99=phu!$I$58,M99=phu!$I$59,M99=phu!$I$60,M99=phu!$I$61,M99=phu!$I$62),"Cam Lợi",""),IF(OR(M99=phu!$I$63,M99=phu!$I$64,M99=phu!$I$65,M99=phu!$I$66,M99=phu!$I$67,M99=phu!$I$68,M99=phu!$I$69,M99=phu!$I$70,M99=phu!$I$71),"Ba Ngòi",""),IF(OR(M99=phu!$I$72,M99=phu!$I$73,M99=phu!$I$74,M99=phu!$I$75,M99=phu!$I$76,M99=phu!$I$77,M99=phu!$I$78),"Cam Phước Đông",""),IF(OR(M99=phu!$I$79,M99=phu!$I$80,M99=phu!$I$81,M99=phu!$I$82,M99=phu!$I$83,M99=phu!$I$84),"Cam Thịnh Đông",""),IF(OR(M99=phu!$I$85,M99=phu!$I$86,M99=phu!$I$87,M99=phu!$I$88),"Cam Thịnh Tây",""),IF(OR(M99=phu!$I$89,M99=phu!$I$90),"Cam Lập",""),IF(OR(M99=phu!$I$91,M99=phu!$I$92,M99=phu!$I$93),"Cam Bình",""),IF(OR(M99=phu!$I$94,M99=phu!$I$95,M99=phu!$I$96,M99=phu!$I$97,M99=phu!$I$98,M99=phu!$I$99,M99=phu!$I$100),"Huyện khác",""),IF(OR(M99=phu!$I$101,M99=phu!$I$102),"Tỉnh khác",""))</f>
        <v/>
      </c>
      <c r="O99" s="829" t="str">
        <f t="shared" si="6"/>
        <v/>
      </c>
      <c r="P99" s="256"/>
      <c r="Q99" s="256"/>
      <c r="R99" s="256"/>
      <c r="S99" s="254"/>
      <c r="T99" s="254"/>
      <c r="U99" s="254"/>
      <c r="V99" s="254"/>
      <c r="W99" s="254"/>
      <c r="Y99" s="246" t="str">
        <f t="shared" si="7"/>
        <v/>
      </c>
      <c r="Z99" s="247" t="str">
        <f t="shared" si="11"/>
        <v/>
      </c>
      <c r="AA99" s="246" t="str">
        <f t="shared" si="8"/>
        <v/>
      </c>
    </row>
    <row r="100" spans="1:27" ht="18" customHeight="1" x14ac:dyDescent="0.25">
      <c r="A100" s="248" t="str">
        <f t="shared" si="9"/>
        <v/>
      </c>
      <c r="B100" s="249" t="str">
        <f t="shared" si="10"/>
        <v/>
      </c>
      <c r="C100" s="250"/>
      <c r="D100" s="251"/>
      <c r="E100" s="241"/>
      <c r="F100" s="252"/>
      <c r="G100" s="252"/>
      <c r="H100" s="253"/>
      <c r="I100" s="250"/>
      <c r="J100" s="250"/>
      <c r="K100" s="270"/>
      <c r="L100" s="250"/>
      <c r="M100" s="250"/>
      <c r="N100" s="540" t="str">
        <f>CONCATENATE(IF(OR(M100=phu!$I$1,M100=phu!$I$2,M100=phu!$I$3),"Cam Thành Nam",""),IF(OR(M100=phu!$I$4,M100=phu!$I$5,M100=phu!$I$6,M100=phu!$I$7,M100=phu!$I$8,M100=phu!$I$9,M100=phu!$I$10,M100=phu!$I$11,M100=phu!$I$12,M100=phu!$I$13,M100=phu!$I$14),"Cam Nghĩa",""),IF(OR(M100=phu!$I$15,M100=phu!$I$16,M100=phu!$I$17,M100=phu!$I$18,M100=phu!$I$19,M100=phu!$I$20,M100=phu!$I$21),"Cam Phúc Bắc",""),IF(OR(M100=phu!$I$22,M100=phu!$I$23,M100=phu!$I$24,M100=phu!$I$25),"Cam Phúc Nam",""),IF(OR(M100=phu!$I$26,M100=phu!$I$27,M100=phu!$I$28,M100=phu!$I$29,M100=phu!$I$30,M100=phu!$I$31),"Cam Phú",""),IF(OR(M100=phu!$I$32,M100=phu!$I$33,M100=phu!$I$34,M100=phu!$I$35,M100=phu!$I$36,M100=phu!$I$37),"Cam Lộc",""),IF(OR(M100=phu!$I$38,M100=phu!$I$39,M100=phu!$I$40,M100=phu!$I$41,M100=phu!$I$42,M100=phu!$I$43,M100=phu!$I$44),"Cam Thuận",""),IF(OR(M100=phu!$I$45,M100=phu!$I$46,M100=phu!$I$47,M100=phu!$I$48,M100=phu!$I$49,M100=phu!$I$50,M100=phu!$I$51,M100=phu!$I$52,M100=phu!$I$53),"Cam Linh",""),IF(OR(M100=phu!$I$54,M100=phu!$I$55,M100=phu!$I$56,M100=phu!$I$57,M100=phu!$I$58,M100=phu!$I$59,M100=phu!$I$60,M100=phu!$I$61,M100=phu!$I$62),"Cam Lợi",""),IF(OR(M100=phu!$I$63,M100=phu!$I$64,M100=phu!$I$65,M100=phu!$I$66,M100=phu!$I$67,M100=phu!$I$68,M100=phu!$I$69,M100=phu!$I$70,M100=phu!$I$71),"Ba Ngòi",""),IF(OR(M100=phu!$I$72,M100=phu!$I$73,M100=phu!$I$74,M100=phu!$I$75,M100=phu!$I$76,M100=phu!$I$77,M100=phu!$I$78),"Cam Phước Đông",""),IF(OR(M100=phu!$I$79,M100=phu!$I$80,M100=phu!$I$81,M100=phu!$I$82,M100=phu!$I$83,M100=phu!$I$84),"Cam Thịnh Đông",""),IF(OR(M100=phu!$I$85,M100=phu!$I$86,M100=phu!$I$87,M100=phu!$I$88),"Cam Thịnh Tây",""),IF(OR(M100=phu!$I$89,M100=phu!$I$90),"Cam Lập",""),IF(OR(M100=phu!$I$91,M100=phu!$I$92,M100=phu!$I$93),"Cam Bình",""),IF(OR(M100=phu!$I$94,M100=phu!$I$95,M100=phu!$I$96,M100=phu!$I$97,M100=phu!$I$98,M100=phu!$I$99,M100=phu!$I$100),"Huyện khác",""),IF(OR(M100=phu!$I$101,M100=phu!$I$102),"Tỉnh khác",""))</f>
        <v/>
      </c>
      <c r="O100" s="829" t="str">
        <f t="shared" si="6"/>
        <v/>
      </c>
      <c r="P100" s="256"/>
      <c r="Q100" s="256"/>
      <c r="R100" s="256"/>
      <c r="S100" s="254"/>
      <c r="T100" s="254"/>
      <c r="U100" s="254"/>
      <c r="V100" s="254"/>
      <c r="W100" s="254"/>
      <c r="Y100" s="246" t="str">
        <f t="shared" si="7"/>
        <v/>
      </c>
      <c r="Z100" s="247" t="str">
        <f t="shared" si="11"/>
        <v/>
      </c>
      <c r="AA100" s="246" t="str">
        <f t="shared" si="8"/>
        <v/>
      </c>
    </row>
    <row r="101" spans="1:27" ht="18" customHeight="1" x14ac:dyDescent="0.25">
      <c r="A101" s="248" t="str">
        <f t="shared" si="9"/>
        <v/>
      </c>
      <c r="B101" s="249" t="str">
        <f t="shared" si="10"/>
        <v/>
      </c>
      <c r="C101" s="250"/>
      <c r="D101" s="251"/>
      <c r="E101" s="241"/>
      <c r="F101" s="252"/>
      <c r="G101" s="252"/>
      <c r="H101" s="253"/>
      <c r="I101" s="250"/>
      <c r="J101" s="250"/>
      <c r="K101" s="270"/>
      <c r="L101" s="250"/>
      <c r="M101" s="250"/>
      <c r="N101" s="540" t="str">
        <f>CONCATENATE(IF(OR(M101=phu!$I$1,M101=phu!$I$2,M101=phu!$I$3),"Cam Thành Nam",""),IF(OR(M101=phu!$I$4,M101=phu!$I$5,M101=phu!$I$6,M101=phu!$I$7,M101=phu!$I$8,M101=phu!$I$9,M101=phu!$I$10,M101=phu!$I$11,M101=phu!$I$12,M101=phu!$I$13,M101=phu!$I$14),"Cam Nghĩa",""),IF(OR(M101=phu!$I$15,M101=phu!$I$16,M101=phu!$I$17,M101=phu!$I$18,M101=phu!$I$19,M101=phu!$I$20,M101=phu!$I$21),"Cam Phúc Bắc",""),IF(OR(M101=phu!$I$22,M101=phu!$I$23,M101=phu!$I$24,M101=phu!$I$25),"Cam Phúc Nam",""),IF(OR(M101=phu!$I$26,M101=phu!$I$27,M101=phu!$I$28,M101=phu!$I$29,M101=phu!$I$30,M101=phu!$I$31),"Cam Phú",""),IF(OR(M101=phu!$I$32,M101=phu!$I$33,M101=phu!$I$34,M101=phu!$I$35,M101=phu!$I$36,M101=phu!$I$37),"Cam Lộc",""),IF(OR(M101=phu!$I$38,M101=phu!$I$39,M101=phu!$I$40,M101=phu!$I$41,M101=phu!$I$42,M101=phu!$I$43,M101=phu!$I$44),"Cam Thuận",""),IF(OR(M101=phu!$I$45,M101=phu!$I$46,M101=phu!$I$47,M101=phu!$I$48,M101=phu!$I$49,M101=phu!$I$50,M101=phu!$I$51,M101=phu!$I$52,M101=phu!$I$53),"Cam Linh",""),IF(OR(M101=phu!$I$54,M101=phu!$I$55,M101=phu!$I$56,M101=phu!$I$57,M101=phu!$I$58,M101=phu!$I$59,M101=phu!$I$60,M101=phu!$I$61,M101=phu!$I$62),"Cam Lợi",""),IF(OR(M101=phu!$I$63,M101=phu!$I$64,M101=phu!$I$65,M101=phu!$I$66,M101=phu!$I$67,M101=phu!$I$68,M101=phu!$I$69,M101=phu!$I$70,M101=phu!$I$71),"Ba Ngòi",""),IF(OR(M101=phu!$I$72,M101=phu!$I$73,M101=phu!$I$74,M101=phu!$I$75,M101=phu!$I$76,M101=phu!$I$77,M101=phu!$I$78),"Cam Phước Đông",""),IF(OR(M101=phu!$I$79,M101=phu!$I$80,M101=phu!$I$81,M101=phu!$I$82,M101=phu!$I$83,M101=phu!$I$84),"Cam Thịnh Đông",""),IF(OR(M101=phu!$I$85,M101=phu!$I$86,M101=phu!$I$87,M101=phu!$I$88),"Cam Thịnh Tây",""),IF(OR(M101=phu!$I$89,M101=phu!$I$90),"Cam Lập",""),IF(OR(M101=phu!$I$91,M101=phu!$I$92,M101=phu!$I$93),"Cam Bình",""),IF(OR(M101=phu!$I$94,M101=phu!$I$95,M101=phu!$I$96,M101=phu!$I$97,M101=phu!$I$98,M101=phu!$I$99,M101=phu!$I$100),"Huyện khác",""),IF(OR(M101=phu!$I$101,M101=phu!$I$102),"Tỉnh khác",""))</f>
        <v/>
      </c>
      <c r="O101" s="829" t="str">
        <f t="shared" si="6"/>
        <v/>
      </c>
      <c r="P101" s="256"/>
      <c r="Q101" s="256"/>
      <c r="R101" s="256"/>
      <c r="S101" s="254"/>
      <c r="T101" s="254"/>
      <c r="U101" s="254"/>
      <c r="V101" s="254"/>
      <c r="W101" s="254"/>
      <c r="Y101" s="246" t="str">
        <f t="shared" si="7"/>
        <v/>
      </c>
      <c r="Z101" s="247" t="str">
        <f t="shared" si="11"/>
        <v/>
      </c>
      <c r="AA101" s="246" t="str">
        <f t="shared" si="8"/>
        <v/>
      </c>
    </row>
    <row r="102" spans="1:27" ht="18" customHeight="1" x14ac:dyDescent="0.25">
      <c r="A102" s="248" t="str">
        <f t="shared" si="9"/>
        <v/>
      </c>
      <c r="B102" s="249" t="str">
        <f t="shared" si="10"/>
        <v/>
      </c>
      <c r="C102" s="250"/>
      <c r="D102" s="251"/>
      <c r="E102" s="241"/>
      <c r="F102" s="252"/>
      <c r="G102" s="252"/>
      <c r="H102" s="253"/>
      <c r="I102" s="250"/>
      <c r="J102" s="250"/>
      <c r="K102" s="270"/>
      <c r="L102" s="250"/>
      <c r="M102" s="250"/>
      <c r="N102" s="540" t="str">
        <f>CONCATENATE(IF(OR(M102=phu!$I$1,M102=phu!$I$2,M102=phu!$I$3),"Cam Thành Nam",""),IF(OR(M102=phu!$I$4,M102=phu!$I$5,M102=phu!$I$6,M102=phu!$I$7,M102=phu!$I$8,M102=phu!$I$9,M102=phu!$I$10,M102=phu!$I$11,M102=phu!$I$12,M102=phu!$I$13,M102=phu!$I$14),"Cam Nghĩa",""),IF(OR(M102=phu!$I$15,M102=phu!$I$16,M102=phu!$I$17,M102=phu!$I$18,M102=phu!$I$19,M102=phu!$I$20,M102=phu!$I$21),"Cam Phúc Bắc",""),IF(OR(M102=phu!$I$22,M102=phu!$I$23,M102=phu!$I$24,M102=phu!$I$25),"Cam Phúc Nam",""),IF(OR(M102=phu!$I$26,M102=phu!$I$27,M102=phu!$I$28,M102=phu!$I$29,M102=phu!$I$30,M102=phu!$I$31),"Cam Phú",""),IF(OR(M102=phu!$I$32,M102=phu!$I$33,M102=phu!$I$34,M102=phu!$I$35,M102=phu!$I$36,M102=phu!$I$37),"Cam Lộc",""),IF(OR(M102=phu!$I$38,M102=phu!$I$39,M102=phu!$I$40,M102=phu!$I$41,M102=phu!$I$42,M102=phu!$I$43,M102=phu!$I$44),"Cam Thuận",""),IF(OR(M102=phu!$I$45,M102=phu!$I$46,M102=phu!$I$47,M102=phu!$I$48,M102=phu!$I$49,M102=phu!$I$50,M102=phu!$I$51,M102=phu!$I$52,M102=phu!$I$53),"Cam Linh",""),IF(OR(M102=phu!$I$54,M102=phu!$I$55,M102=phu!$I$56,M102=phu!$I$57,M102=phu!$I$58,M102=phu!$I$59,M102=phu!$I$60,M102=phu!$I$61,M102=phu!$I$62),"Cam Lợi",""),IF(OR(M102=phu!$I$63,M102=phu!$I$64,M102=phu!$I$65,M102=phu!$I$66,M102=phu!$I$67,M102=phu!$I$68,M102=phu!$I$69,M102=phu!$I$70,M102=phu!$I$71),"Ba Ngòi",""),IF(OR(M102=phu!$I$72,M102=phu!$I$73,M102=phu!$I$74,M102=phu!$I$75,M102=phu!$I$76,M102=phu!$I$77,M102=phu!$I$78),"Cam Phước Đông",""),IF(OR(M102=phu!$I$79,M102=phu!$I$80,M102=phu!$I$81,M102=phu!$I$82,M102=phu!$I$83,M102=phu!$I$84),"Cam Thịnh Đông",""),IF(OR(M102=phu!$I$85,M102=phu!$I$86,M102=phu!$I$87,M102=phu!$I$88),"Cam Thịnh Tây",""),IF(OR(M102=phu!$I$89,M102=phu!$I$90),"Cam Lập",""),IF(OR(M102=phu!$I$91,M102=phu!$I$92,M102=phu!$I$93),"Cam Bình",""),IF(OR(M102=phu!$I$94,M102=phu!$I$95,M102=phu!$I$96,M102=phu!$I$97,M102=phu!$I$98,M102=phu!$I$99,M102=phu!$I$100),"Huyện khác",""),IF(OR(M102=phu!$I$101,M102=phu!$I$102),"Tỉnh khác",""))</f>
        <v/>
      </c>
      <c r="O102" s="829" t="str">
        <f t="shared" si="6"/>
        <v/>
      </c>
      <c r="P102" s="256"/>
      <c r="Q102" s="256"/>
      <c r="R102" s="256"/>
      <c r="S102" s="254"/>
      <c r="T102" s="254"/>
      <c r="U102" s="254"/>
      <c r="V102" s="254"/>
      <c r="W102" s="254"/>
      <c r="Y102" s="246" t="str">
        <f t="shared" si="7"/>
        <v/>
      </c>
      <c r="Z102" s="247" t="str">
        <f t="shared" si="11"/>
        <v/>
      </c>
      <c r="AA102" s="246" t="str">
        <f t="shared" si="8"/>
        <v/>
      </c>
    </row>
    <row r="103" spans="1:27" ht="18" customHeight="1" x14ac:dyDescent="0.25">
      <c r="A103" s="248" t="str">
        <f t="shared" si="9"/>
        <v/>
      </c>
      <c r="B103" s="249" t="str">
        <f t="shared" si="10"/>
        <v/>
      </c>
      <c r="C103" s="250"/>
      <c r="D103" s="251"/>
      <c r="E103" s="241"/>
      <c r="F103" s="252"/>
      <c r="G103" s="252"/>
      <c r="H103" s="253"/>
      <c r="I103" s="250"/>
      <c r="J103" s="250"/>
      <c r="K103" s="270"/>
      <c r="L103" s="250"/>
      <c r="M103" s="250"/>
      <c r="N103" s="540" t="str">
        <f>CONCATENATE(IF(OR(M103=phu!$I$1,M103=phu!$I$2,M103=phu!$I$3),"Cam Thành Nam",""),IF(OR(M103=phu!$I$4,M103=phu!$I$5,M103=phu!$I$6,M103=phu!$I$7,M103=phu!$I$8,M103=phu!$I$9,M103=phu!$I$10,M103=phu!$I$11,M103=phu!$I$12,M103=phu!$I$13,M103=phu!$I$14),"Cam Nghĩa",""),IF(OR(M103=phu!$I$15,M103=phu!$I$16,M103=phu!$I$17,M103=phu!$I$18,M103=phu!$I$19,M103=phu!$I$20,M103=phu!$I$21),"Cam Phúc Bắc",""),IF(OR(M103=phu!$I$22,M103=phu!$I$23,M103=phu!$I$24,M103=phu!$I$25),"Cam Phúc Nam",""),IF(OR(M103=phu!$I$26,M103=phu!$I$27,M103=phu!$I$28,M103=phu!$I$29,M103=phu!$I$30,M103=phu!$I$31),"Cam Phú",""),IF(OR(M103=phu!$I$32,M103=phu!$I$33,M103=phu!$I$34,M103=phu!$I$35,M103=phu!$I$36,M103=phu!$I$37),"Cam Lộc",""),IF(OR(M103=phu!$I$38,M103=phu!$I$39,M103=phu!$I$40,M103=phu!$I$41,M103=phu!$I$42,M103=phu!$I$43,M103=phu!$I$44),"Cam Thuận",""),IF(OR(M103=phu!$I$45,M103=phu!$I$46,M103=phu!$I$47,M103=phu!$I$48,M103=phu!$I$49,M103=phu!$I$50,M103=phu!$I$51,M103=phu!$I$52,M103=phu!$I$53),"Cam Linh",""),IF(OR(M103=phu!$I$54,M103=phu!$I$55,M103=phu!$I$56,M103=phu!$I$57,M103=phu!$I$58,M103=phu!$I$59,M103=phu!$I$60,M103=phu!$I$61,M103=phu!$I$62),"Cam Lợi",""),IF(OR(M103=phu!$I$63,M103=phu!$I$64,M103=phu!$I$65,M103=phu!$I$66,M103=phu!$I$67,M103=phu!$I$68,M103=phu!$I$69,M103=phu!$I$70,M103=phu!$I$71),"Ba Ngòi",""),IF(OR(M103=phu!$I$72,M103=phu!$I$73,M103=phu!$I$74,M103=phu!$I$75,M103=phu!$I$76,M103=phu!$I$77,M103=phu!$I$78),"Cam Phước Đông",""),IF(OR(M103=phu!$I$79,M103=phu!$I$80,M103=phu!$I$81,M103=phu!$I$82,M103=phu!$I$83,M103=phu!$I$84),"Cam Thịnh Đông",""),IF(OR(M103=phu!$I$85,M103=phu!$I$86,M103=phu!$I$87,M103=phu!$I$88),"Cam Thịnh Tây",""),IF(OR(M103=phu!$I$89,M103=phu!$I$90),"Cam Lập",""),IF(OR(M103=phu!$I$91,M103=phu!$I$92,M103=phu!$I$93),"Cam Bình",""),IF(OR(M103=phu!$I$94,M103=phu!$I$95,M103=phu!$I$96,M103=phu!$I$97,M103=phu!$I$98,M103=phu!$I$99,M103=phu!$I$100),"Huyện khác",""),IF(OR(M103=phu!$I$101,M103=phu!$I$102),"Tỉnh khác",""))</f>
        <v/>
      </c>
      <c r="O103" s="829" t="str">
        <f t="shared" si="6"/>
        <v/>
      </c>
      <c r="P103" s="254"/>
      <c r="Q103" s="254"/>
      <c r="R103" s="254"/>
      <c r="S103" s="254"/>
      <c r="T103" s="254"/>
      <c r="U103" s="254"/>
      <c r="V103" s="254"/>
      <c r="W103" s="254"/>
      <c r="Y103" s="246" t="str">
        <f t="shared" si="7"/>
        <v/>
      </c>
      <c r="Z103" s="247" t="str">
        <f t="shared" si="11"/>
        <v/>
      </c>
      <c r="AA103" s="246" t="str">
        <f t="shared" si="8"/>
        <v/>
      </c>
    </row>
    <row r="104" spans="1:27" ht="18" customHeight="1" x14ac:dyDescent="0.25">
      <c r="A104" s="248" t="str">
        <f t="shared" si="9"/>
        <v/>
      </c>
      <c r="B104" s="249" t="str">
        <f t="shared" si="10"/>
        <v/>
      </c>
      <c r="C104" s="250"/>
      <c r="D104" s="251"/>
      <c r="E104" s="241"/>
      <c r="F104" s="252"/>
      <c r="G104" s="252"/>
      <c r="H104" s="253"/>
      <c r="I104" s="250"/>
      <c r="J104" s="250"/>
      <c r="K104" s="270"/>
      <c r="L104" s="250"/>
      <c r="M104" s="250"/>
      <c r="N104" s="540" t="str">
        <f>CONCATENATE(IF(OR(M104=phu!$I$1,M104=phu!$I$2,M104=phu!$I$3),"Cam Thành Nam",""),IF(OR(M104=phu!$I$4,M104=phu!$I$5,M104=phu!$I$6,M104=phu!$I$7,M104=phu!$I$8,M104=phu!$I$9,M104=phu!$I$10,M104=phu!$I$11,M104=phu!$I$12,M104=phu!$I$13,M104=phu!$I$14),"Cam Nghĩa",""),IF(OR(M104=phu!$I$15,M104=phu!$I$16,M104=phu!$I$17,M104=phu!$I$18,M104=phu!$I$19,M104=phu!$I$20,M104=phu!$I$21),"Cam Phúc Bắc",""),IF(OR(M104=phu!$I$22,M104=phu!$I$23,M104=phu!$I$24,M104=phu!$I$25),"Cam Phúc Nam",""),IF(OR(M104=phu!$I$26,M104=phu!$I$27,M104=phu!$I$28,M104=phu!$I$29,M104=phu!$I$30,M104=phu!$I$31),"Cam Phú",""),IF(OR(M104=phu!$I$32,M104=phu!$I$33,M104=phu!$I$34,M104=phu!$I$35,M104=phu!$I$36,M104=phu!$I$37),"Cam Lộc",""),IF(OR(M104=phu!$I$38,M104=phu!$I$39,M104=phu!$I$40,M104=phu!$I$41,M104=phu!$I$42,M104=phu!$I$43,M104=phu!$I$44),"Cam Thuận",""),IF(OR(M104=phu!$I$45,M104=phu!$I$46,M104=phu!$I$47,M104=phu!$I$48,M104=phu!$I$49,M104=phu!$I$50,M104=phu!$I$51,M104=phu!$I$52,M104=phu!$I$53),"Cam Linh",""),IF(OR(M104=phu!$I$54,M104=phu!$I$55,M104=phu!$I$56,M104=phu!$I$57,M104=phu!$I$58,M104=phu!$I$59,M104=phu!$I$60,M104=phu!$I$61,M104=phu!$I$62),"Cam Lợi",""),IF(OR(M104=phu!$I$63,M104=phu!$I$64,M104=phu!$I$65,M104=phu!$I$66,M104=phu!$I$67,M104=phu!$I$68,M104=phu!$I$69,M104=phu!$I$70,M104=phu!$I$71),"Ba Ngòi",""),IF(OR(M104=phu!$I$72,M104=phu!$I$73,M104=phu!$I$74,M104=phu!$I$75,M104=phu!$I$76,M104=phu!$I$77,M104=phu!$I$78),"Cam Phước Đông",""),IF(OR(M104=phu!$I$79,M104=phu!$I$80,M104=phu!$I$81,M104=phu!$I$82,M104=phu!$I$83,M104=phu!$I$84),"Cam Thịnh Đông",""),IF(OR(M104=phu!$I$85,M104=phu!$I$86,M104=phu!$I$87,M104=phu!$I$88),"Cam Thịnh Tây",""),IF(OR(M104=phu!$I$89,M104=phu!$I$90),"Cam Lập",""),IF(OR(M104=phu!$I$91,M104=phu!$I$92,M104=phu!$I$93),"Cam Bình",""),IF(OR(M104=phu!$I$94,M104=phu!$I$95,M104=phu!$I$96,M104=phu!$I$97,M104=phu!$I$98,M104=phu!$I$99,M104=phu!$I$100),"Huyện khác",""),IF(OR(M104=phu!$I$101,M104=phu!$I$102),"Tỉnh khác",""))</f>
        <v/>
      </c>
      <c r="O104" s="829" t="str">
        <f t="shared" si="6"/>
        <v/>
      </c>
      <c r="P104" s="254"/>
      <c r="Q104" s="254"/>
      <c r="R104" s="254"/>
      <c r="S104" s="254"/>
      <c r="T104" s="254"/>
      <c r="U104" s="254"/>
      <c r="V104" s="254"/>
      <c r="W104" s="254"/>
      <c r="Y104" s="246" t="str">
        <f t="shared" si="7"/>
        <v/>
      </c>
      <c r="Z104" s="247" t="str">
        <f t="shared" si="11"/>
        <v/>
      </c>
      <c r="AA104" s="246" t="str">
        <f t="shared" si="8"/>
        <v/>
      </c>
    </row>
    <row r="105" spans="1:27" ht="18" customHeight="1" x14ac:dyDescent="0.25">
      <c r="A105" s="248" t="str">
        <f t="shared" si="9"/>
        <v/>
      </c>
      <c r="B105" s="249" t="str">
        <f t="shared" si="10"/>
        <v/>
      </c>
      <c r="C105" s="250"/>
      <c r="D105" s="251"/>
      <c r="E105" s="241"/>
      <c r="F105" s="252"/>
      <c r="G105" s="252"/>
      <c r="H105" s="253"/>
      <c r="I105" s="250"/>
      <c r="J105" s="250"/>
      <c r="K105" s="270"/>
      <c r="L105" s="250"/>
      <c r="M105" s="250"/>
      <c r="N105" s="540" t="str">
        <f>CONCATENATE(IF(OR(M105=phu!$I$1,M105=phu!$I$2,M105=phu!$I$3),"Cam Thành Nam",""),IF(OR(M105=phu!$I$4,M105=phu!$I$5,M105=phu!$I$6,M105=phu!$I$7,M105=phu!$I$8,M105=phu!$I$9,M105=phu!$I$10,M105=phu!$I$11,M105=phu!$I$12,M105=phu!$I$13,M105=phu!$I$14),"Cam Nghĩa",""),IF(OR(M105=phu!$I$15,M105=phu!$I$16,M105=phu!$I$17,M105=phu!$I$18,M105=phu!$I$19,M105=phu!$I$20,M105=phu!$I$21),"Cam Phúc Bắc",""),IF(OR(M105=phu!$I$22,M105=phu!$I$23,M105=phu!$I$24,M105=phu!$I$25),"Cam Phúc Nam",""),IF(OR(M105=phu!$I$26,M105=phu!$I$27,M105=phu!$I$28,M105=phu!$I$29,M105=phu!$I$30,M105=phu!$I$31),"Cam Phú",""),IF(OR(M105=phu!$I$32,M105=phu!$I$33,M105=phu!$I$34,M105=phu!$I$35,M105=phu!$I$36,M105=phu!$I$37),"Cam Lộc",""),IF(OR(M105=phu!$I$38,M105=phu!$I$39,M105=phu!$I$40,M105=phu!$I$41,M105=phu!$I$42,M105=phu!$I$43,M105=phu!$I$44),"Cam Thuận",""),IF(OR(M105=phu!$I$45,M105=phu!$I$46,M105=phu!$I$47,M105=phu!$I$48,M105=phu!$I$49,M105=phu!$I$50,M105=phu!$I$51,M105=phu!$I$52,M105=phu!$I$53),"Cam Linh",""),IF(OR(M105=phu!$I$54,M105=phu!$I$55,M105=phu!$I$56,M105=phu!$I$57,M105=phu!$I$58,M105=phu!$I$59,M105=phu!$I$60,M105=phu!$I$61,M105=phu!$I$62),"Cam Lợi",""),IF(OR(M105=phu!$I$63,M105=phu!$I$64,M105=phu!$I$65,M105=phu!$I$66,M105=phu!$I$67,M105=phu!$I$68,M105=phu!$I$69,M105=phu!$I$70,M105=phu!$I$71),"Ba Ngòi",""),IF(OR(M105=phu!$I$72,M105=phu!$I$73,M105=phu!$I$74,M105=phu!$I$75,M105=phu!$I$76,M105=phu!$I$77,M105=phu!$I$78),"Cam Phước Đông",""),IF(OR(M105=phu!$I$79,M105=phu!$I$80,M105=phu!$I$81,M105=phu!$I$82,M105=phu!$I$83,M105=phu!$I$84),"Cam Thịnh Đông",""),IF(OR(M105=phu!$I$85,M105=phu!$I$86,M105=phu!$I$87,M105=phu!$I$88),"Cam Thịnh Tây",""),IF(OR(M105=phu!$I$89,M105=phu!$I$90),"Cam Lập",""),IF(OR(M105=phu!$I$91,M105=phu!$I$92,M105=phu!$I$93),"Cam Bình",""),IF(OR(M105=phu!$I$94,M105=phu!$I$95,M105=phu!$I$96,M105=phu!$I$97,M105=phu!$I$98,M105=phu!$I$99,M105=phu!$I$100),"Huyện khác",""),IF(OR(M105=phu!$I$101,M105=phu!$I$102),"Tỉnh khác",""))</f>
        <v/>
      </c>
      <c r="O105" s="829" t="str">
        <f t="shared" si="6"/>
        <v/>
      </c>
      <c r="P105" s="254"/>
      <c r="Q105" s="254"/>
      <c r="R105" s="254"/>
      <c r="S105" s="254"/>
      <c r="T105" s="254"/>
      <c r="U105" s="254"/>
      <c r="V105" s="254"/>
      <c r="W105" s="254"/>
      <c r="Y105" s="246" t="str">
        <f t="shared" si="7"/>
        <v/>
      </c>
      <c r="Z105" s="247" t="str">
        <f t="shared" si="11"/>
        <v/>
      </c>
      <c r="AA105" s="246" t="str">
        <f t="shared" si="8"/>
        <v/>
      </c>
    </row>
    <row r="106" spans="1:27" ht="18" customHeight="1" x14ac:dyDescent="0.25">
      <c r="A106" s="248" t="str">
        <f t="shared" si="9"/>
        <v/>
      </c>
      <c r="B106" s="249" t="str">
        <f t="shared" si="10"/>
        <v/>
      </c>
      <c r="C106" s="250"/>
      <c r="D106" s="251"/>
      <c r="E106" s="241"/>
      <c r="F106" s="252"/>
      <c r="G106" s="252"/>
      <c r="H106" s="253"/>
      <c r="I106" s="250"/>
      <c r="J106" s="250"/>
      <c r="K106" s="270"/>
      <c r="L106" s="250"/>
      <c r="M106" s="250"/>
      <c r="N106" s="540" t="str">
        <f>CONCATENATE(IF(OR(M106=phu!$I$1,M106=phu!$I$2,M106=phu!$I$3),"Cam Thành Nam",""),IF(OR(M106=phu!$I$4,M106=phu!$I$5,M106=phu!$I$6,M106=phu!$I$7,M106=phu!$I$8,M106=phu!$I$9,M106=phu!$I$10,M106=phu!$I$11,M106=phu!$I$12,M106=phu!$I$13,M106=phu!$I$14),"Cam Nghĩa",""),IF(OR(M106=phu!$I$15,M106=phu!$I$16,M106=phu!$I$17,M106=phu!$I$18,M106=phu!$I$19,M106=phu!$I$20,M106=phu!$I$21),"Cam Phúc Bắc",""),IF(OR(M106=phu!$I$22,M106=phu!$I$23,M106=phu!$I$24,M106=phu!$I$25),"Cam Phúc Nam",""),IF(OR(M106=phu!$I$26,M106=phu!$I$27,M106=phu!$I$28,M106=phu!$I$29,M106=phu!$I$30,M106=phu!$I$31),"Cam Phú",""),IF(OR(M106=phu!$I$32,M106=phu!$I$33,M106=phu!$I$34,M106=phu!$I$35,M106=phu!$I$36,M106=phu!$I$37),"Cam Lộc",""),IF(OR(M106=phu!$I$38,M106=phu!$I$39,M106=phu!$I$40,M106=phu!$I$41,M106=phu!$I$42,M106=phu!$I$43,M106=phu!$I$44),"Cam Thuận",""),IF(OR(M106=phu!$I$45,M106=phu!$I$46,M106=phu!$I$47,M106=phu!$I$48,M106=phu!$I$49,M106=phu!$I$50,M106=phu!$I$51,M106=phu!$I$52,M106=phu!$I$53),"Cam Linh",""),IF(OR(M106=phu!$I$54,M106=phu!$I$55,M106=phu!$I$56,M106=phu!$I$57,M106=phu!$I$58,M106=phu!$I$59,M106=phu!$I$60,M106=phu!$I$61,M106=phu!$I$62),"Cam Lợi",""),IF(OR(M106=phu!$I$63,M106=phu!$I$64,M106=phu!$I$65,M106=phu!$I$66,M106=phu!$I$67,M106=phu!$I$68,M106=phu!$I$69,M106=phu!$I$70,M106=phu!$I$71),"Ba Ngòi",""),IF(OR(M106=phu!$I$72,M106=phu!$I$73,M106=phu!$I$74,M106=phu!$I$75,M106=phu!$I$76,M106=phu!$I$77,M106=phu!$I$78),"Cam Phước Đông",""),IF(OR(M106=phu!$I$79,M106=phu!$I$80,M106=phu!$I$81,M106=phu!$I$82,M106=phu!$I$83,M106=phu!$I$84),"Cam Thịnh Đông",""),IF(OR(M106=phu!$I$85,M106=phu!$I$86,M106=phu!$I$87,M106=phu!$I$88),"Cam Thịnh Tây",""),IF(OR(M106=phu!$I$89,M106=phu!$I$90),"Cam Lập",""),IF(OR(M106=phu!$I$91,M106=phu!$I$92,M106=phu!$I$93),"Cam Bình",""),IF(OR(M106=phu!$I$94,M106=phu!$I$95,M106=phu!$I$96,M106=phu!$I$97,M106=phu!$I$98,M106=phu!$I$99,M106=phu!$I$100),"Huyện khác",""),IF(OR(M106=phu!$I$101,M106=phu!$I$102),"Tỉnh khác",""))</f>
        <v/>
      </c>
      <c r="O106" s="829" t="str">
        <f t="shared" si="6"/>
        <v/>
      </c>
      <c r="P106" s="254"/>
      <c r="Q106" s="254"/>
      <c r="R106" s="254"/>
      <c r="S106" s="254"/>
      <c r="T106" s="254"/>
      <c r="U106" s="254"/>
      <c r="V106" s="254"/>
      <c r="W106" s="254"/>
      <c r="Y106" s="246" t="str">
        <f t="shared" si="7"/>
        <v/>
      </c>
      <c r="Z106" s="247" t="str">
        <f t="shared" si="11"/>
        <v/>
      </c>
      <c r="AA106" s="246" t="str">
        <f t="shared" si="8"/>
        <v/>
      </c>
    </row>
    <row r="107" spans="1:27" ht="18" customHeight="1" x14ac:dyDescent="0.25">
      <c r="A107" s="248" t="str">
        <f t="shared" si="9"/>
        <v/>
      </c>
      <c r="B107" s="249" t="str">
        <f t="shared" si="10"/>
        <v/>
      </c>
      <c r="C107" s="250"/>
      <c r="D107" s="251"/>
      <c r="E107" s="241"/>
      <c r="F107" s="252"/>
      <c r="G107" s="252"/>
      <c r="H107" s="253"/>
      <c r="I107" s="250"/>
      <c r="J107" s="250"/>
      <c r="K107" s="270"/>
      <c r="L107" s="250"/>
      <c r="M107" s="250"/>
      <c r="N107" s="540" t="str">
        <f>CONCATENATE(IF(OR(M107=phu!$I$1,M107=phu!$I$2,M107=phu!$I$3),"Cam Thành Nam",""),IF(OR(M107=phu!$I$4,M107=phu!$I$5,M107=phu!$I$6,M107=phu!$I$7,M107=phu!$I$8,M107=phu!$I$9,M107=phu!$I$10,M107=phu!$I$11,M107=phu!$I$12,M107=phu!$I$13,M107=phu!$I$14),"Cam Nghĩa",""),IF(OR(M107=phu!$I$15,M107=phu!$I$16,M107=phu!$I$17,M107=phu!$I$18,M107=phu!$I$19,M107=phu!$I$20,M107=phu!$I$21),"Cam Phúc Bắc",""),IF(OR(M107=phu!$I$22,M107=phu!$I$23,M107=phu!$I$24,M107=phu!$I$25),"Cam Phúc Nam",""),IF(OR(M107=phu!$I$26,M107=phu!$I$27,M107=phu!$I$28,M107=phu!$I$29,M107=phu!$I$30,M107=phu!$I$31),"Cam Phú",""),IF(OR(M107=phu!$I$32,M107=phu!$I$33,M107=phu!$I$34,M107=phu!$I$35,M107=phu!$I$36,M107=phu!$I$37),"Cam Lộc",""),IF(OR(M107=phu!$I$38,M107=phu!$I$39,M107=phu!$I$40,M107=phu!$I$41,M107=phu!$I$42,M107=phu!$I$43,M107=phu!$I$44),"Cam Thuận",""),IF(OR(M107=phu!$I$45,M107=phu!$I$46,M107=phu!$I$47,M107=phu!$I$48,M107=phu!$I$49,M107=phu!$I$50,M107=phu!$I$51,M107=phu!$I$52,M107=phu!$I$53),"Cam Linh",""),IF(OR(M107=phu!$I$54,M107=phu!$I$55,M107=phu!$I$56,M107=phu!$I$57,M107=phu!$I$58,M107=phu!$I$59,M107=phu!$I$60,M107=phu!$I$61,M107=phu!$I$62),"Cam Lợi",""),IF(OR(M107=phu!$I$63,M107=phu!$I$64,M107=phu!$I$65,M107=phu!$I$66,M107=phu!$I$67,M107=phu!$I$68,M107=phu!$I$69,M107=phu!$I$70,M107=phu!$I$71),"Ba Ngòi",""),IF(OR(M107=phu!$I$72,M107=phu!$I$73,M107=phu!$I$74,M107=phu!$I$75,M107=phu!$I$76,M107=phu!$I$77,M107=phu!$I$78),"Cam Phước Đông",""),IF(OR(M107=phu!$I$79,M107=phu!$I$80,M107=phu!$I$81,M107=phu!$I$82,M107=phu!$I$83,M107=phu!$I$84),"Cam Thịnh Đông",""),IF(OR(M107=phu!$I$85,M107=phu!$I$86,M107=phu!$I$87,M107=phu!$I$88),"Cam Thịnh Tây",""),IF(OR(M107=phu!$I$89,M107=phu!$I$90),"Cam Lập",""),IF(OR(M107=phu!$I$91,M107=phu!$I$92,M107=phu!$I$93),"Cam Bình",""),IF(OR(M107=phu!$I$94,M107=phu!$I$95,M107=phu!$I$96,M107=phu!$I$97,M107=phu!$I$98,M107=phu!$I$99,M107=phu!$I$100),"Huyện khác",""),IF(OR(M107=phu!$I$101,M107=phu!$I$102),"Tỉnh khác",""))</f>
        <v/>
      </c>
      <c r="O107" s="829" t="str">
        <f t="shared" si="6"/>
        <v/>
      </c>
      <c r="P107" s="254"/>
      <c r="Q107" s="254"/>
      <c r="R107" s="254"/>
      <c r="S107" s="254"/>
      <c r="T107" s="254"/>
      <c r="U107" s="254"/>
      <c r="V107" s="254"/>
      <c r="W107" s="254"/>
      <c r="Y107" s="246" t="str">
        <f t="shared" si="7"/>
        <v/>
      </c>
      <c r="Z107" s="247" t="str">
        <f t="shared" si="11"/>
        <v/>
      </c>
      <c r="AA107" s="246" t="str">
        <f t="shared" si="8"/>
        <v/>
      </c>
    </row>
    <row r="108" spans="1:27" ht="18" customHeight="1" x14ac:dyDescent="0.25">
      <c r="A108" s="248" t="str">
        <f t="shared" si="9"/>
        <v/>
      </c>
      <c r="B108" s="249" t="str">
        <f t="shared" si="10"/>
        <v/>
      </c>
      <c r="C108" s="250"/>
      <c r="D108" s="251"/>
      <c r="E108" s="241"/>
      <c r="F108" s="252"/>
      <c r="G108" s="252"/>
      <c r="H108" s="253"/>
      <c r="I108" s="250"/>
      <c r="J108" s="250"/>
      <c r="K108" s="270"/>
      <c r="L108" s="250"/>
      <c r="M108" s="250"/>
      <c r="N108" s="540" t="str">
        <f>CONCATENATE(IF(OR(M108=phu!$I$1,M108=phu!$I$2,M108=phu!$I$3),"Cam Thành Nam",""),IF(OR(M108=phu!$I$4,M108=phu!$I$5,M108=phu!$I$6,M108=phu!$I$7,M108=phu!$I$8,M108=phu!$I$9,M108=phu!$I$10,M108=phu!$I$11,M108=phu!$I$12,M108=phu!$I$13,M108=phu!$I$14),"Cam Nghĩa",""),IF(OR(M108=phu!$I$15,M108=phu!$I$16,M108=phu!$I$17,M108=phu!$I$18,M108=phu!$I$19,M108=phu!$I$20,M108=phu!$I$21),"Cam Phúc Bắc",""),IF(OR(M108=phu!$I$22,M108=phu!$I$23,M108=phu!$I$24,M108=phu!$I$25),"Cam Phúc Nam",""),IF(OR(M108=phu!$I$26,M108=phu!$I$27,M108=phu!$I$28,M108=phu!$I$29,M108=phu!$I$30,M108=phu!$I$31),"Cam Phú",""),IF(OR(M108=phu!$I$32,M108=phu!$I$33,M108=phu!$I$34,M108=phu!$I$35,M108=phu!$I$36,M108=phu!$I$37),"Cam Lộc",""),IF(OR(M108=phu!$I$38,M108=phu!$I$39,M108=phu!$I$40,M108=phu!$I$41,M108=phu!$I$42,M108=phu!$I$43,M108=phu!$I$44),"Cam Thuận",""),IF(OR(M108=phu!$I$45,M108=phu!$I$46,M108=phu!$I$47,M108=phu!$I$48,M108=phu!$I$49,M108=phu!$I$50,M108=phu!$I$51,M108=phu!$I$52,M108=phu!$I$53),"Cam Linh",""),IF(OR(M108=phu!$I$54,M108=phu!$I$55,M108=phu!$I$56,M108=phu!$I$57,M108=phu!$I$58,M108=phu!$I$59,M108=phu!$I$60,M108=phu!$I$61,M108=phu!$I$62),"Cam Lợi",""),IF(OR(M108=phu!$I$63,M108=phu!$I$64,M108=phu!$I$65,M108=phu!$I$66,M108=phu!$I$67,M108=phu!$I$68,M108=phu!$I$69,M108=phu!$I$70,M108=phu!$I$71),"Ba Ngòi",""),IF(OR(M108=phu!$I$72,M108=phu!$I$73,M108=phu!$I$74,M108=phu!$I$75,M108=phu!$I$76,M108=phu!$I$77,M108=phu!$I$78),"Cam Phước Đông",""),IF(OR(M108=phu!$I$79,M108=phu!$I$80,M108=phu!$I$81,M108=phu!$I$82,M108=phu!$I$83,M108=phu!$I$84),"Cam Thịnh Đông",""),IF(OR(M108=phu!$I$85,M108=phu!$I$86,M108=phu!$I$87,M108=phu!$I$88),"Cam Thịnh Tây",""),IF(OR(M108=phu!$I$89,M108=phu!$I$90),"Cam Lập",""),IF(OR(M108=phu!$I$91,M108=phu!$I$92,M108=phu!$I$93),"Cam Bình",""),IF(OR(M108=phu!$I$94,M108=phu!$I$95,M108=phu!$I$96,M108=phu!$I$97,M108=phu!$I$98,M108=phu!$I$99,M108=phu!$I$100),"Huyện khác",""),IF(OR(M108=phu!$I$101,M108=phu!$I$102),"Tỉnh khác",""))</f>
        <v/>
      </c>
      <c r="O108" s="829" t="str">
        <f t="shared" si="6"/>
        <v/>
      </c>
      <c r="P108" s="254"/>
      <c r="Q108" s="254"/>
      <c r="R108" s="254"/>
      <c r="S108" s="254"/>
      <c r="T108" s="254"/>
      <c r="U108" s="254"/>
      <c r="V108" s="254"/>
      <c r="W108" s="254"/>
      <c r="Y108" s="246" t="str">
        <f t="shared" si="7"/>
        <v/>
      </c>
      <c r="Z108" s="247" t="str">
        <f t="shared" si="11"/>
        <v/>
      </c>
      <c r="AA108" s="246" t="str">
        <f t="shared" si="8"/>
        <v/>
      </c>
    </row>
    <row r="109" spans="1:27" ht="18" customHeight="1" x14ac:dyDescent="0.25">
      <c r="A109" s="248" t="str">
        <f t="shared" si="9"/>
        <v/>
      </c>
      <c r="B109" s="249" t="str">
        <f t="shared" si="10"/>
        <v/>
      </c>
      <c r="C109" s="250"/>
      <c r="D109" s="251"/>
      <c r="E109" s="241"/>
      <c r="F109" s="252"/>
      <c r="G109" s="252"/>
      <c r="H109" s="253"/>
      <c r="I109" s="250"/>
      <c r="J109" s="250"/>
      <c r="K109" s="270"/>
      <c r="L109" s="250"/>
      <c r="M109" s="250"/>
      <c r="N109" s="540" t="str">
        <f>CONCATENATE(IF(OR(M109=phu!$I$1,M109=phu!$I$2,M109=phu!$I$3),"Cam Thành Nam",""),IF(OR(M109=phu!$I$4,M109=phu!$I$5,M109=phu!$I$6,M109=phu!$I$7,M109=phu!$I$8,M109=phu!$I$9,M109=phu!$I$10,M109=phu!$I$11,M109=phu!$I$12,M109=phu!$I$13,M109=phu!$I$14),"Cam Nghĩa",""),IF(OR(M109=phu!$I$15,M109=phu!$I$16,M109=phu!$I$17,M109=phu!$I$18,M109=phu!$I$19,M109=phu!$I$20,M109=phu!$I$21),"Cam Phúc Bắc",""),IF(OR(M109=phu!$I$22,M109=phu!$I$23,M109=phu!$I$24,M109=phu!$I$25),"Cam Phúc Nam",""),IF(OR(M109=phu!$I$26,M109=phu!$I$27,M109=phu!$I$28,M109=phu!$I$29,M109=phu!$I$30,M109=phu!$I$31),"Cam Phú",""),IF(OR(M109=phu!$I$32,M109=phu!$I$33,M109=phu!$I$34,M109=phu!$I$35,M109=phu!$I$36,M109=phu!$I$37),"Cam Lộc",""),IF(OR(M109=phu!$I$38,M109=phu!$I$39,M109=phu!$I$40,M109=phu!$I$41,M109=phu!$I$42,M109=phu!$I$43,M109=phu!$I$44),"Cam Thuận",""),IF(OR(M109=phu!$I$45,M109=phu!$I$46,M109=phu!$I$47,M109=phu!$I$48,M109=phu!$I$49,M109=phu!$I$50,M109=phu!$I$51,M109=phu!$I$52,M109=phu!$I$53),"Cam Linh",""),IF(OR(M109=phu!$I$54,M109=phu!$I$55,M109=phu!$I$56,M109=phu!$I$57,M109=phu!$I$58,M109=phu!$I$59,M109=phu!$I$60,M109=phu!$I$61,M109=phu!$I$62),"Cam Lợi",""),IF(OR(M109=phu!$I$63,M109=phu!$I$64,M109=phu!$I$65,M109=phu!$I$66,M109=phu!$I$67,M109=phu!$I$68,M109=phu!$I$69,M109=phu!$I$70,M109=phu!$I$71),"Ba Ngòi",""),IF(OR(M109=phu!$I$72,M109=phu!$I$73,M109=phu!$I$74,M109=phu!$I$75,M109=phu!$I$76,M109=phu!$I$77,M109=phu!$I$78),"Cam Phước Đông",""),IF(OR(M109=phu!$I$79,M109=phu!$I$80,M109=phu!$I$81,M109=phu!$I$82,M109=phu!$I$83,M109=phu!$I$84),"Cam Thịnh Đông",""),IF(OR(M109=phu!$I$85,M109=phu!$I$86,M109=phu!$I$87,M109=phu!$I$88),"Cam Thịnh Tây",""),IF(OR(M109=phu!$I$89,M109=phu!$I$90),"Cam Lập",""),IF(OR(M109=phu!$I$91,M109=phu!$I$92,M109=phu!$I$93),"Cam Bình",""),IF(OR(M109=phu!$I$94,M109=phu!$I$95,M109=phu!$I$96,M109=phu!$I$97,M109=phu!$I$98,M109=phu!$I$99,M109=phu!$I$100),"Huyện khác",""),IF(OR(M109=phu!$I$101,M109=phu!$I$102),"Tỉnh khác",""))</f>
        <v/>
      </c>
      <c r="O109" s="829" t="str">
        <f t="shared" si="6"/>
        <v/>
      </c>
      <c r="P109" s="254"/>
      <c r="Q109" s="254"/>
      <c r="R109" s="254"/>
      <c r="S109" s="254"/>
      <c r="T109" s="254"/>
      <c r="U109" s="254"/>
      <c r="V109" s="254"/>
      <c r="W109" s="254"/>
      <c r="Y109" s="246" t="str">
        <f t="shared" si="7"/>
        <v/>
      </c>
      <c r="Z109" s="247" t="str">
        <f t="shared" si="11"/>
        <v/>
      </c>
      <c r="AA109" s="246" t="str">
        <f t="shared" si="8"/>
        <v/>
      </c>
    </row>
    <row r="110" spans="1:27" ht="18" customHeight="1" x14ac:dyDescent="0.25">
      <c r="A110" s="248" t="str">
        <f t="shared" si="9"/>
        <v/>
      </c>
      <c r="B110" s="249" t="str">
        <f t="shared" si="10"/>
        <v/>
      </c>
      <c r="C110" s="250"/>
      <c r="D110" s="251"/>
      <c r="E110" s="241"/>
      <c r="F110" s="252"/>
      <c r="G110" s="252"/>
      <c r="H110" s="253"/>
      <c r="I110" s="250"/>
      <c r="J110" s="250"/>
      <c r="K110" s="270"/>
      <c r="L110" s="250"/>
      <c r="M110" s="250"/>
      <c r="N110" s="540" t="str">
        <f>CONCATENATE(IF(OR(M110=phu!$I$1,M110=phu!$I$2,M110=phu!$I$3),"Cam Thành Nam",""),IF(OR(M110=phu!$I$4,M110=phu!$I$5,M110=phu!$I$6,M110=phu!$I$7,M110=phu!$I$8,M110=phu!$I$9,M110=phu!$I$10,M110=phu!$I$11,M110=phu!$I$12,M110=phu!$I$13,M110=phu!$I$14),"Cam Nghĩa",""),IF(OR(M110=phu!$I$15,M110=phu!$I$16,M110=phu!$I$17,M110=phu!$I$18,M110=phu!$I$19,M110=phu!$I$20,M110=phu!$I$21),"Cam Phúc Bắc",""),IF(OR(M110=phu!$I$22,M110=phu!$I$23,M110=phu!$I$24,M110=phu!$I$25),"Cam Phúc Nam",""),IF(OR(M110=phu!$I$26,M110=phu!$I$27,M110=phu!$I$28,M110=phu!$I$29,M110=phu!$I$30,M110=phu!$I$31),"Cam Phú",""),IF(OR(M110=phu!$I$32,M110=phu!$I$33,M110=phu!$I$34,M110=phu!$I$35,M110=phu!$I$36,M110=phu!$I$37),"Cam Lộc",""),IF(OR(M110=phu!$I$38,M110=phu!$I$39,M110=phu!$I$40,M110=phu!$I$41,M110=phu!$I$42,M110=phu!$I$43,M110=phu!$I$44),"Cam Thuận",""),IF(OR(M110=phu!$I$45,M110=phu!$I$46,M110=phu!$I$47,M110=phu!$I$48,M110=phu!$I$49,M110=phu!$I$50,M110=phu!$I$51,M110=phu!$I$52,M110=phu!$I$53),"Cam Linh",""),IF(OR(M110=phu!$I$54,M110=phu!$I$55,M110=phu!$I$56,M110=phu!$I$57,M110=phu!$I$58,M110=phu!$I$59,M110=phu!$I$60,M110=phu!$I$61,M110=phu!$I$62),"Cam Lợi",""),IF(OR(M110=phu!$I$63,M110=phu!$I$64,M110=phu!$I$65,M110=phu!$I$66,M110=phu!$I$67,M110=phu!$I$68,M110=phu!$I$69,M110=phu!$I$70,M110=phu!$I$71),"Ba Ngòi",""),IF(OR(M110=phu!$I$72,M110=phu!$I$73,M110=phu!$I$74,M110=phu!$I$75,M110=phu!$I$76,M110=phu!$I$77,M110=phu!$I$78),"Cam Phước Đông",""),IF(OR(M110=phu!$I$79,M110=phu!$I$80,M110=phu!$I$81,M110=phu!$I$82,M110=phu!$I$83,M110=phu!$I$84),"Cam Thịnh Đông",""),IF(OR(M110=phu!$I$85,M110=phu!$I$86,M110=phu!$I$87,M110=phu!$I$88),"Cam Thịnh Tây",""),IF(OR(M110=phu!$I$89,M110=phu!$I$90),"Cam Lập",""),IF(OR(M110=phu!$I$91,M110=phu!$I$92,M110=phu!$I$93),"Cam Bình",""),IF(OR(M110=phu!$I$94,M110=phu!$I$95,M110=phu!$I$96,M110=phu!$I$97,M110=phu!$I$98,M110=phu!$I$99,M110=phu!$I$100),"Huyện khác",""),IF(OR(M110=phu!$I$101,M110=phu!$I$102),"Tỉnh khác",""))</f>
        <v/>
      </c>
      <c r="O110" s="829" t="str">
        <f t="shared" si="6"/>
        <v/>
      </c>
      <c r="P110" s="254"/>
      <c r="Q110" s="254"/>
      <c r="R110" s="254"/>
      <c r="S110" s="254"/>
      <c r="T110" s="254"/>
      <c r="U110" s="254"/>
      <c r="V110" s="254"/>
      <c r="W110" s="254"/>
      <c r="Y110" s="246" t="str">
        <f t="shared" si="7"/>
        <v/>
      </c>
      <c r="Z110" s="247" t="str">
        <f t="shared" si="11"/>
        <v/>
      </c>
      <c r="AA110" s="246" t="str">
        <f t="shared" si="8"/>
        <v/>
      </c>
    </row>
    <row r="111" spans="1:27" ht="18" customHeight="1" x14ac:dyDescent="0.25">
      <c r="A111" s="248" t="str">
        <f t="shared" si="9"/>
        <v/>
      </c>
      <c r="B111" s="249" t="str">
        <f t="shared" si="10"/>
        <v/>
      </c>
      <c r="C111" s="250"/>
      <c r="D111" s="251"/>
      <c r="E111" s="241"/>
      <c r="F111" s="252"/>
      <c r="G111" s="252"/>
      <c r="H111" s="253"/>
      <c r="I111" s="250"/>
      <c r="J111" s="250"/>
      <c r="K111" s="270"/>
      <c r="L111" s="250"/>
      <c r="M111" s="250"/>
      <c r="N111" s="540" t="str">
        <f>CONCATENATE(IF(OR(M111=phu!$I$1,M111=phu!$I$2,M111=phu!$I$3),"Cam Thành Nam",""),IF(OR(M111=phu!$I$4,M111=phu!$I$5,M111=phu!$I$6,M111=phu!$I$7,M111=phu!$I$8,M111=phu!$I$9,M111=phu!$I$10,M111=phu!$I$11,M111=phu!$I$12,M111=phu!$I$13,M111=phu!$I$14),"Cam Nghĩa",""),IF(OR(M111=phu!$I$15,M111=phu!$I$16,M111=phu!$I$17,M111=phu!$I$18,M111=phu!$I$19,M111=phu!$I$20,M111=phu!$I$21),"Cam Phúc Bắc",""),IF(OR(M111=phu!$I$22,M111=phu!$I$23,M111=phu!$I$24,M111=phu!$I$25),"Cam Phúc Nam",""),IF(OR(M111=phu!$I$26,M111=phu!$I$27,M111=phu!$I$28,M111=phu!$I$29,M111=phu!$I$30,M111=phu!$I$31),"Cam Phú",""),IF(OR(M111=phu!$I$32,M111=phu!$I$33,M111=phu!$I$34,M111=phu!$I$35,M111=phu!$I$36,M111=phu!$I$37),"Cam Lộc",""),IF(OR(M111=phu!$I$38,M111=phu!$I$39,M111=phu!$I$40,M111=phu!$I$41,M111=phu!$I$42,M111=phu!$I$43,M111=phu!$I$44),"Cam Thuận",""),IF(OR(M111=phu!$I$45,M111=phu!$I$46,M111=phu!$I$47,M111=phu!$I$48,M111=phu!$I$49,M111=phu!$I$50,M111=phu!$I$51,M111=phu!$I$52,M111=phu!$I$53),"Cam Linh",""),IF(OR(M111=phu!$I$54,M111=phu!$I$55,M111=phu!$I$56,M111=phu!$I$57,M111=phu!$I$58,M111=phu!$I$59,M111=phu!$I$60,M111=phu!$I$61,M111=phu!$I$62),"Cam Lợi",""),IF(OR(M111=phu!$I$63,M111=phu!$I$64,M111=phu!$I$65,M111=phu!$I$66,M111=phu!$I$67,M111=phu!$I$68,M111=phu!$I$69,M111=phu!$I$70,M111=phu!$I$71),"Ba Ngòi",""),IF(OR(M111=phu!$I$72,M111=phu!$I$73,M111=phu!$I$74,M111=phu!$I$75,M111=phu!$I$76,M111=phu!$I$77,M111=phu!$I$78),"Cam Phước Đông",""),IF(OR(M111=phu!$I$79,M111=phu!$I$80,M111=phu!$I$81,M111=phu!$I$82,M111=phu!$I$83,M111=phu!$I$84),"Cam Thịnh Đông",""),IF(OR(M111=phu!$I$85,M111=phu!$I$86,M111=phu!$I$87,M111=phu!$I$88),"Cam Thịnh Tây",""),IF(OR(M111=phu!$I$89,M111=phu!$I$90),"Cam Lập",""),IF(OR(M111=phu!$I$91,M111=phu!$I$92,M111=phu!$I$93),"Cam Bình",""),IF(OR(M111=phu!$I$94,M111=phu!$I$95,M111=phu!$I$96,M111=phu!$I$97,M111=phu!$I$98,M111=phu!$I$99,M111=phu!$I$100),"Huyện khác",""),IF(OR(M111=phu!$I$101,M111=phu!$I$102),"Tỉnh khác",""))</f>
        <v/>
      </c>
      <c r="O111" s="829" t="str">
        <f t="shared" si="6"/>
        <v/>
      </c>
      <c r="P111" s="254"/>
      <c r="Q111" s="254"/>
      <c r="R111" s="254"/>
      <c r="S111" s="254"/>
      <c r="T111" s="254"/>
      <c r="U111" s="254"/>
      <c r="V111" s="254"/>
      <c r="W111" s="254"/>
      <c r="Y111" s="246" t="str">
        <f t="shared" si="7"/>
        <v/>
      </c>
      <c r="Z111" s="247" t="str">
        <f t="shared" si="11"/>
        <v/>
      </c>
      <c r="AA111" s="246" t="str">
        <f t="shared" si="8"/>
        <v/>
      </c>
    </row>
    <row r="112" spans="1:27" ht="18" customHeight="1" x14ac:dyDescent="0.25">
      <c r="A112" s="248" t="str">
        <f t="shared" si="9"/>
        <v/>
      </c>
      <c r="B112" s="249" t="str">
        <f t="shared" si="10"/>
        <v/>
      </c>
      <c r="C112" s="250"/>
      <c r="D112" s="251"/>
      <c r="E112" s="241"/>
      <c r="F112" s="252"/>
      <c r="G112" s="252"/>
      <c r="H112" s="253"/>
      <c r="I112" s="250"/>
      <c r="J112" s="250"/>
      <c r="K112" s="270"/>
      <c r="L112" s="250"/>
      <c r="M112" s="250"/>
      <c r="N112" s="540" t="str">
        <f>CONCATENATE(IF(OR(M112=phu!$I$1,M112=phu!$I$2,M112=phu!$I$3),"Cam Thành Nam",""),IF(OR(M112=phu!$I$4,M112=phu!$I$5,M112=phu!$I$6,M112=phu!$I$7,M112=phu!$I$8,M112=phu!$I$9,M112=phu!$I$10,M112=phu!$I$11,M112=phu!$I$12,M112=phu!$I$13,M112=phu!$I$14),"Cam Nghĩa",""),IF(OR(M112=phu!$I$15,M112=phu!$I$16,M112=phu!$I$17,M112=phu!$I$18,M112=phu!$I$19,M112=phu!$I$20,M112=phu!$I$21),"Cam Phúc Bắc",""),IF(OR(M112=phu!$I$22,M112=phu!$I$23,M112=phu!$I$24,M112=phu!$I$25),"Cam Phúc Nam",""),IF(OR(M112=phu!$I$26,M112=phu!$I$27,M112=phu!$I$28,M112=phu!$I$29,M112=phu!$I$30,M112=phu!$I$31),"Cam Phú",""),IF(OR(M112=phu!$I$32,M112=phu!$I$33,M112=phu!$I$34,M112=phu!$I$35,M112=phu!$I$36,M112=phu!$I$37),"Cam Lộc",""),IF(OR(M112=phu!$I$38,M112=phu!$I$39,M112=phu!$I$40,M112=phu!$I$41,M112=phu!$I$42,M112=phu!$I$43,M112=phu!$I$44),"Cam Thuận",""),IF(OR(M112=phu!$I$45,M112=phu!$I$46,M112=phu!$I$47,M112=phu!$I$48,M112=phu!$I$49,M112=phu!$I$50,M112=phu!$I$51,M112=phu!$I$52,M112=phu!$I$53),"Cam Linh",""),IF(OR(M112=phu!$I$54,M112=phu!$I$55,M112=phu!$I$56,M112=phu!$I$57,M112=phu!$I$58,M112=phu!$I$59,M112=phu!$I$60,M112=phu!$I$61,M112=phu!$I$62),"Cam Lợi",""),IF(OR(M112=phu!$I$63,M112=phu!$I$64,M112=phu!$I$65,M112=phu!$I$66,M112=phu!$I$67,M112=phu!$I$68,M112=phu!$I$69,M112=phu!$I$70,M112=phu!$I$71),"Ba Ngòi",""),IF(OR(M112=phu!$I$72,M112=phu!$I$73,M112=phu!$I$74,M112=phu!$I$75,M112=phu!$I$76,M112=phu!$I$77,M112=phu!$I$78),"Cam Phước Đông",""),IF(OR(M112=phu!$I$79,M112=phu!$I$80,M112=phu!$I$81,M112=phu!$I$82,M112=phu!$I$83,M112=phu!$I$84),"Cam Thịnh Đông",""),IF(OR(M112=phu!$I$85,M112=phu!$I$86,M112=phu!$I$87,M112=phu!$I$88),"Cam Thịnh Tây",""),IF(OR(M112=phu!$I$89,M112=phu!$I$90),"Cam Lập",""),IF(OR(M112=phu!$I$91,M112=phu!$I$92,M112=phu!$I$93),"Cam Bình",""),IF(OR(M112=phu!$I$94,M112=phu!$I$95,M112=phu!$I$96,M112=phu!$I$97,M112=phu!$I$98,M112=phu!$I$99,M112=phu!$I$100),"Huyện khác",""),IF(OR(M112=phu!$I$101,M112=phu!$I$102),"Tỉnh khác",""))</f>
        <v/>
      </c>
      <c r="O112" s="829" t="str">
        <f t="shared" si="6"/>
        <v/>
      </c>
      <c r="P112" s="254"/>
      <c r="Q112" s="254"/>
      <c r="R112" s="254"/>
      <c r="S112" s="254"/>
      <c r="T112" s="254"/>
      <c r="U112" s="254"/>
      <c r="V112" s="254"/>
      <c r="W112" s="254"/>
      <c r="Y112" s="246" t="str">
        <f t="shared" si="7"/>
        <v/>
      </c>
      <c r="Z112" s="247" t="str">
        <f t="shared" si="11"/>
        <v/>
      </c>
      <c r="AA112" s="246" t="str">
        <f t="shared" si="8"/>
        <v/>
      </c>
    </row>
    <row r="113" spans="1:27" ht="18" customHeight="1" x14ac:dyDescent="0.25">
      <c r="A113" s="248" t="str">
        <f t="shared" si="9"/>
        <v/>
      </c>
      <c r="B113" s="249" t="str">
        <f t="shared" si="10"/>
        <v/>
      </c>
      <c r="C113" s="250"/>
      <c r="D113" s="251"/>
      <c r="E113" s="241"/>
      <c r="F113" s="252"/>
      <c r="G113" s="252"/>
      <c r="H113" s="253"/>
      <c r="I113" s="250"/>
      <c r="J113" s="250"/>
      <c r="K113" s="270"/>
      <c r="L113" s="250"/>
      <c r="M113" s="250"/>
      <c r="N113" s="540" t="str">
        <f>CONCATENATE(IF(OR(M113=phu!$I$1,M113=phu!$I$2,M113=phu!$I$3),"Cam Thành Nam",""),IF(OR(M113=phu!$I$4,M113=phu!$I$5,M113=phu!$I$6,M113=phu!$I$7,M113=phu!$I$8,M113=phu!$I$9,M113=phu!$I$10,M113=phu!$I$11,M113=phu!$I$12,M113=phu!$I$13,M113=phu!$I$14),"Cam Nghĩa",""),IF(OR(M113=phu!$I$15,M113=phu!$I$16,M113=phu!$I$17,M113=phu!$I$18,M113=phu!$I$19,M113=phu!$I$20,M113=phu!$I$21),"Cam Phúc Bắc",""),IF(OR(M113=phu!$I$22,M113=phu!$I$23,M113=phu!$I$24,M113=phu!$I$25),"Cam Phúc Nam",""),IF(OR(M113=phu!$I$26,M113=phu!$I$27,M113=phu!$I$28,M113=phu!$I$29,M113=phu!$I$30,M113=phu!$I$31),"Cam Phú",""),IF(OR(M113=phu!$I$32,M113=phu!$I$33,M113=phu!$I$34,M113=phu!$I$35,M113=phu!$I$36,M113=phu!$I$37),"Cam Lộc",""),IF(OR(M113=phu!$I$38,M113=phu!$I$39,M113=phu!$I$40,M113=phu!$I$41,M113=phu!$I$42,M113=phu!$I$43,M113=phu!$I$44),"Cam Thuận",""),IF(OR(M113=phu!$I$45,M113=phu!$I$46,M113=phu!$I$47,M113=phu!$I$48,M113=phu!$I$49,M113=phu!$I$50,M113=phu!$I$51,M113=phu!$I$52,M113=phu!$I$53),"Cam Linh",""),IF(OR(M113=phu!$I$54,M113=phu!$I$55,M113=phu!$I$56,M113=phu!$I$57,M113=phu!$I$58,M113=phu!$I$59,M113=phu!$I$60,M113=phu!$I$61,M113=phu!$I$62),"Cam Lợi",""),IF(OR(M113=phu!$I$63,M113=phu!$I$64,M113=phu!$I$65,M113=phu!$I$66,M113=phu!$I$67,M113=phu!$I$68,M113=phu!$I$69,M113=phu!$I$70,M113=phu!$I$71),"Ba Ngòi",""),IF(OR(M113=phu!$I$72,M113=phu!$I$73,M113=phu!$I$74,M113=phu!$I$75,M113=phu!$I$76,M113=phu!$I$77,M113=phu!$I$78),"Cam Phước Đông",""),IF(OR(M113=phu!$I$79,M113=phu!$I$80,M113=phu!$I$81,M113=phu!$I$82,M113=phu!$I$83,M113=phu!$I$84),"Cam Thịnh Đông",""),IF(OR(M113=phu!$I$85,M113=phu!$I$86,M113=phu!$I$87,M113=phu!$I$88),"Cam Thịnh Tây",""),IF(OR(M113=phu!$I$89,M113=phu!$I$90),"Cam Lập",""),IF(OR(M113=phu!$I$91,M113=phu!$I$92,M113=phu!$I$93),"Cam Bình",""),IF(OR(M113=phu!$I$94,M113=phu!$I$95,M113=phu!$I$96,M113=phu!$I$97,M113=phu!$I$98,M113=phu!$I$99,M113=phu!$I$100),"Huyện khác",""),IF(OR(M113=phu!$I$101,M113=phu!$I$102),"Tỉnh khác",""))</f>
        <v/>
      </c>
      <c r="O113" s="829" t="str">
        <f t="shared" si="6"/>
        <v/>
      </c>
      <c r="P113" s="254"/>
      <c r="Q113" s="254"/>
      <c r="R113" s="254"/>
      <c r="S113" s="254"/>
      <c r="T113" s="254"/>
      <c r="U113" s="254"/>
      <c r="V113" s="254"/>
      <c r="W113" s="254"/>
      <c r="Y113" s="246" t="str">
        <f t="shared" si="7"/>
        <v/>
      </c>
      <c r="Z113" s="247" t="str">
        <f t="shared" si="11"/>
        <v/>
      </c>
      <c r="AA113" s="246" t="str">
        <f t="shared" si="8"/>
        <v/>
      </c>
    </row>
    <row r="114" spans="1:27" ht="18" customHeight="1" x14ac:dyDescent="0.25">
      <c r="A114" s="248" t="str">
        <f t="shared" si="9"/>
        <v/>
      </c>
      <c r="B114" s="249" t="str">
        <f t="shared" si="10"/>
        <v/>
      </c>
      <c r="C114" s="250"/>
      <c r="D114" s="251"/>
      <c r="E114" s="241"/>
      <c r="F114" s="252"/>
      <c r="G114" s="252"/>
      <c r="H114" s="253"/>
      <c r="I114" s="250"/>
      <c r="J114" s="250"/>
      <c r="K114" s="270"/>
      <c r="L114" s="250"/>
      <c r="M114" s="250"/>
      <c r="N114" s="540" t="str">
        <f>CONCATENATE(IF(OR(M114=phu!$I$1,M114=phu!$I$2,M114=phu!$I$3),"Cam Thành Nam",""),IF(OR(M114=phu!$I$4,M114=phu!$I$5,M114=phu!$I$6,M114=phu!$I$7,M114=phu!$I$8,M114=phu!$I$9,M114=phu!$I$10,M114=phu!$I$11,M114=phu!$I$12,M114=phu!$I$13,M114=phu!$I$14),"Cam Nghĩa",""),IF(OR(M114=phu!$I$15,M114=phu!$I$16,M114=phu!$I$17,M114=phu!$I$18,M114=phu!$I$19,M114=phu!$I$20,M114=phu!$I$21),"Cam Phúc Bắc",""),IF(OR(M114=phu!$I$22,M114=phu!$I$23,M114=phu!$I$24,M114=phu!$I$25),"Cam Phúc Nam",""),IF(OR(M114=phu!$I$26,M114=phu!$I$27,M114=phu!$I$28,M114=phu!$I$29,M114=phu!$I$30,M114=phu!$I$31),"Cam Phú",""),IF(OR(M114=phu!$I$32,M114=phu!$I$33,M114=phu!$I$34,M114=phu!$I$35,M114=phu!$I$36,M114=phu!$I$37),"Cam Lộc",""),IF(OR(M114=phu!$I$38,M114=phu!$I$39,M114=phu!$I$40,M114=phu!$I$41,M114=phu!$I$42,M114=phu!$I$43,M114=phu!$I$44),"Cam Thuận",""),IF(OR(M114=phu!$I$45,M114=phu!$I$46,M114=phu!$I$47,M114=phu!$I$48,M114=phu!$I$49,M114=phu!$I$50,M114=phu!$I$51,M114=phu!$I$52,M114=phu!$I$53),"Cam Linh",""),IF(OR(M114=phu!$I$54,M114=phu!$I$55,M114=phu!$I$56,M114=phu!$I$57,M114=phu!$I$58,M114=phu!$I$59,M114=phu!$I$60,M114=phu!$I$61,M114=phu!$I$62),"Cam Lợi",""),IF(OR(M114=phu!$I$63,M114=phu!$I$64,M114=phu!$I$65,M114=phu!$I$66,M114=phu!$I$67,M114=phu!$I$68,M114=phu!$I$69,M114=phu!$I$70,M114=phu!$I$71),"Ba Ngòi",""),IF(OR(M114=phu!$I$72,M114=phu!$I$73,M114=phu!$I$74,M114=phu!$I$75,M114=phu!$I$76,M114=phu!$I$77,M114=phu!$I$78),"Cam Phước Đông",""),IF(OR(M114=phu!$I$79,M114=phu!$I$80,M114=phu!$I$81,M114=phu!$I$82,M114=phu!$I$83,M114=phu!$I$84),"Cam Thịnh Đông",""),IF(OR(M114=phu!$I$85,M114=phu!$I$86,M114=phu!$I$87,M114=phu!$I$88),"Cam Thịnh Tây",""),IF(OR(M114=phu!$I$89,M114=phu!$I$90),"Cam Lập",""),IF(OR(M114=phu!$I$91,M114=phu!$I$92,M114=phu!$I$93),"Cam Bình",""),IF(OR(M114=phu!$I$94,M114=phu!$I$95,M114=phu!$I$96,M114=phu!$I$97,M114=phu!$I$98,M114=phu!$I$99,M114=phu!$I$100),"Huyện khác",""),IF(OR(M114=phu!$I$101,M114=phu!$I$102),"Tỉnh khác",""))</f>
        <v/>
      </c>
      <c r="O114" s="829" t="str">
        <f t="shared" si="6"/>
        <v/>
      </c>
      <c r="P114" s="254"/>
      <c r="Q114" s="254"/>
      <c r="R114" s="254"/>
      <c r="S114" s="254"/>
      <c r="T114" s="254"/>
      <c r="U114" s="254"/>
      <c r="V114" s="254"/>
      <c r="W114" s="254"/>
      <c r="Y114" s="246" t="str">
        <f t="shared" si="7"/>
        <v/>
      </c>
      <c r="Z114" s="247" t="str">
        <f t="shared" si="11"/>
        <v/>
      </c>
      <c r="AA114" s="246" t="str">
        <f t="shared" si="8"/>
        <v/>
      </c>
    </row>
    <row r="115" spans="1:27" ht="18" customHeight="1" x14ac:dyDescent="0.25">
      <c r="A115" s="248" t="str">
        <f t="shared" si="9"/>
        <v/>
      </c>
      <c r="B115" s="249" t="str">
        <f t="shared" si="10"/>
        <v/>
      </c>
      <c r="C115" s="250"/>
      <c r="D115" s="251"/>
      <c r="E115" s="241"/>
      <c r="F115" s="252"/>
      <c r="G115" s="252"/>
      <c r="H115" s="253"/>
      <c r="I115" s="250"/>
      <c r="J115" s="250"/>
      <c r="K115" s="270"/>
      <c r="L115" s="250"/>
      <c r="M115" s="250"/>
      <c r="N115" s="540" t="str">
        <f>CONCATENATE(IF(OR(M115=phu!$I$1,M115=phu!$I$2,M115=phu!$I$3),"Cam Thành Nam",""),IF(OR(M115=phu!$I$4,M115=phu!$I$5,M115=phu!$I$6,M115=phu!$I$7,M115=phu!$I$8,M115=phu!$I$9,M115=phu!$I$10,M115=phu!$I$11,M115=phu!$I$12,M115=phu!$I$13,M115=phu!$I$14),"Cam Nghĩa",""),IF(OR(M115=phu!$I$15,M115=phu!$I$16,M115=phu!$I$17,M115=phu!$I$18,M115=phu!$I$19,M115=phu!$I$20,M115=phu!$I$21),"Cam Phúc Bắc",""),IF(OR(M115=phu!$I$22,M115=phu!$I$23,M115=phu!$I$24,M115=phu!$I$25),"Cam Phúc Nam",""),IF(OR(M115=phu!$I$26,M115=phu!$I$27,M115=phu!$I$28,M115=phu!$I$29,M115=phu!$I$30,M115=phu!$I$31),"Cam Phú",""),IF(OR(M115=phu!$I$32,M115=phu!$I$33,M115=phu!$I$34,M115=phu!$I$35,M115=phu!$I$36,M115=phu!$I$37),"Cam Lộc",""),IF(OR(M115=phu!$I$38,M115=phu!$I$39,M115=phu!$I$40,M115=phu!$I$41,M115=phu!$I$42,M115=phu!$I$43,M115=phu!$I$44),"Cam Thuận",""),IF(OR(M115=phu!$I$45,M115=phu!$I$46,M115=phu!$I$47,M115=phu!$I$48,M115=phu!$I$49,M115=phu!$I$50,M115=phu!$I$51,M115=phu!$I$52,M115=phu!$I$53),"Cam Linh",""),IF(OR(M115=phu!$I$54,M115=phu!$I$55,M115=phu!$I$56,M115=phu!$I$57,M115=phu!$I$58,M115=phu!$I$59,M115=phu!$I$60,M115=phu!$I$61,M115=phu!$I$62),"Cam Lợi",""),IF(OR(M115=phu!$I$63,M115=phu!$I$64,M115=phu!$I$65,M115=phu!$I$66,M115=phu!$I$67,M115=phu!$I$68,M115=phu!$I$69,M115=phu!$I$70,M115=phu!$I$71),"Ba Ngòi",""),IF(OR(M115=phu!$I$72,M115=phu!$I$73,M115=phu!$I$74,M115=phu!$I$75,M115=phu!$I$76,M115=phu!$I$77,M115=phu!$I$78),"Cam Phước Đông",""),IF(OR(M115=phu!$I$79,M115=phu!$I$80,M115=phu!$I$81,M115=phu!$I$82,M115=phu!$I$83,M115=phu!$I$84),"Cam Thịnh Đông",""),IF(OR(M115=phu!$I$85,M115=phu!$I$86,M115=phu!$I$87,M115=phu!$I$88),"Cam Thịnh Tây",""),IF(OR(M115=phu!$I$89,M115=phu!$I$90),"Cam Lập",""),IF(OR(M115=phu!$I$91,M115=phu!$I$92,M115=phu!$I$93),"Cam Bình",""),IF(OR(M115=phu!$I$94,M115=phu!$I$95,M115=phu!$I$96,M115=phu!$I$97,M115=phu!$I$98,M115=phu!$I$99,M115=phu!$I$100),"Huyện khác",""),IF(OR(M115=phu!$I$101,M115=phu!$I$102),"Tỉnh khác",""))</f>
        <v/>
      </c>
      <c r="O115" s="829" t="str">
        <f t="shared" si="6"/>
        <v/>
      </c>
      <c r="P115" s="254"/>
      <c r="Q115" s="254"/>
      <c r="R115" s="254"/>
      <c r="S115" s="254"/>
      <c r="T115" s="254"/>
      <c r="U115" s="254"/>
      <c r="V115" s="254"/>
      <c r="W115" s="254"/>
      <c r="Y115" s="246" t="str">
        <f t="shared" si="7"/>
        <v/>
      </c>
      <c r="Z115" s="247" t="str">
        <f t="shared" si="11"/>
        <v/>
      </c>
      <c r="AA115" s="246" t="str">
        <f t="shared" si="8"/>
        <v/>
      </c>
    </row>
    <row r="116" spans="1:27" ht="18" customHeight="1" x14ac:dyDescent="0.25">
      <c r="A116" s="248" t="str">
        <f t="shared" si="9"/>
        <v/>
      </c>
      <c r="B116" s="249" t="str">
        <f t="shared" si="10"/>
        <v/>
      </c>
      <c r="C116" s="250"/>
      <c r="D116" s="251"/>
      <c r="E116" s="241"/>
      <c r="F116" s="252"/>
      <c r="G116" s="252"/>
      <c r="H116" s="253"/>
      <c r="I116" s="250"/>
      <c r="J116" s="250"/>
      <c r="K116" s="270"/>
      <c r="L116" s="250"/>
      <c r="M116" s="250"/>
      <c r="N116" s="540" t="str">
        <f>CONCATENATE(IF(OR(M116=phu!$I$1,M116=phu!$I$2,M116=phu!$I$3),"Cam Thành Nam",""),IF(OR(M116=phu!$I$4,M116=phu!$I$5,M116=phu!$I$6,M116=phu!$I$7,M116=phu!$I$8,M116=phu!$I$9,M116=phu!$I$10,M116=phu!$I$11,M116=phu!$I$12,M116=phu!$I$13,M116=phu!$I$14),"Cam Nghĩa",""),IF(OR(M116=phu!$I$15,M116=phu!$I$16,M116=phu!$I$17,M116=phu!$I$18,M116=phu!$I$19,M116=phu!$I$20,M116=phu!$I$21),"Cam Phúc Bắc",""),IF(OR(M116=phu!$I$22,M116=phu!$I$23,M116=phu!$I$24,M116=phu!$I$25),"Cam Phúc Nam",""),IF(OR(M116=phu!$I$26,M116=phu!$I$27,M116=phu!$I$28,M116=phu!$I$29,M116=phu!$I$30,M116=phu!$I$31),"Cam Phú",""),IF(OR(M116=phu!$I$32,M116=phu!$I$33,M116=phu!$I$34,M116=phu!$I$35,M116=phu!$I$36,M116=phu!$I$37),"Cam Lộc",""),IF(OR(M116=phu!$I$38,M116=phu!$I$39,M116=phu!$I$40,M116=phu!$I$41,M116=phu!$I$42,M116=phu!$I$43,M116=phu!$I$44),"Cam Thuận",""),IF(OR(M116=phu!$I$45,M116=phu!$I$46,M116=phu!$I$47,M116=phu!$I$48,M116=phu!$I$49,M116=phu!$I$50,M116=phu!$I$51,M116=phu!$I$52,M116=phu!$I$53),"Cam Linh",""),IF(OR(M116=phu!$I$54,M116=phu!$I$55,M116=phu!$I$56,M116=phu!$I$57,M116=phu!$I$58,M116=phu!$I$59,M116=phu!$I$60,M116=phu!$I$61,M116=phu!$I$62),"Cam Lợi",""),IF(OR(M116=phu!$I$63,M116=phu!$I$64,M116=phu!$I$65,M116=phu!$I$66,M116=phu!$I$67,M116=phu!$I$68,M116=phu!$I$69,M116=phu!$I$70,M116=phu!$I$71),"Ba Ngòi",""),IF(OR(M116=phu!$I$72,M116=phu!$I$73,M116=phu!$I$74,M116=phu!$I$75,M116=phu!$I$76,M116=phu!$I$77,M116=phu!$I$78),"Cam Phước Đông",""),IF(OR(M116=phu!$I$79,M116=phu!$I$80,M116=phu!$I$81,M116=phu!$I$82,M116=phu!$I$83,M116=phu!$I$84),"Cam Thịnh Đông",""),IF(OR(M116=phu!$I$85,M116=phu!$I$86,M116=phu!$I$87,M116=phu!$I$88),"Cam Thịnh Tây",""),IF(OR(M116=phu!$I$89,M116=phu!$I$90),"Cam Lập",""),IF(OR(M116=phu!$I$91,M116=phu!$I$92,M116=phu!$I$93),"Cam Bình",""),IF(OR(M116=phu!$I$94,M116=phu!$I$95,M116=phu!$I$96,M116=phu!$I$97,M116=phu!$I$98,M116=phu!$I$99,M116=phu!$I$100),"Huyện khác",""),IF(OR(M116=phu!$I$101,M116=phu!$I$102),"Tỉnh khác",""))</f>
        <v/>
      </c>
      <c r="O116" s="829" t="str">
        <f t="shared" si="6"/>
        <v/>
      </c>
      <c r="P116" s="254"/>
      <c r="Q116" s="254"/>
      <c r="R116" s="254"/>
      <c r="S116" s="254"/>
      <c r="T116" s="254"/>
      <c r="U116" s="254"/>
      <c r="V116" s="254"/>
      <c r="W116" s="254"/>
      <c r="Y116" s="246" t="str">
        <f t="shared" si="7"/>
        <v/>
      </c>
      <c r="Z116" s="247" t="str">
        <f t="shared" si="11"/>
        <v/>
      </c>
      <c r="AA116" s="246" t="str">
        <f t="shared" si="8"/>
        <v/>
      </c>
    </row>
    <row r="117" spans="1:27" ht="18" customHeight="1" x14ac:dyDescent="0.25">
      <c r="A117" s="248" t="str">
        <f t="shared" si="9"/>
        <v/>
      </c>
      <c r="B117" s="249" t="str">
        <f t="shared" si="10"/>
        <v/>
      </c>
      <c r="C117" s="250"/>
      <c r="D117" s="251"/>
      <c r="E117" s="241"/>
      <c r="F117" s="252"/>
      <c r="G117" s="252"/>
      <c r="H117" s="253"/>
      <c r="I117" s="250"/>
      <c r="J117" s="250"/>
      <c r="K117" s="270"/>
      <c r="L117" s="250"/>
      <c r="M117" s="250"/>
      <c r="N117" s="540" t="str">
        <f>CONCATENATE(IF(OR(M117=phu!$I$1,M117=phu!$I$2,M117=phu!$I$3),"Cam Thành Nam",""),IF(OR(M117=phu!$I$4,M117=phu!$I$5,M117=phu!$I$6,M117=phu!$I$7,M117=phu!$I$8,M117=phu!$I$9,M117=phu!$I$10,M117=phu!$I$11,M117=phu!$I$12,M117=phu!$I$13,M117=phu!$I$14),"Cam Nghĩa",""),IF(OR(M117=phu!$I$15,M117=phu!$I$16,M117=phu!$I$17,M117=phu!$I$18,M117=phu!$I$19,M117=phu!$I$20,M117=phu!$I$21),"Cam Phúc Bắc",""),IF(OR(M117=phu!$I$22,M117=phu!$I$23,M117=phu!$I$24,M117=phu!$I$25),"Cam Phúc Nam",""),IF(OR(M117=phu!$I$26,M117=phu!$I$27,M117=phu!$I$28,M117=phu!$I$29,M117=phu!$I$30,M117=phu!$I$31),"Cam Phú",""),IF(OR(M117=phu!$I$32,M117=phu!$I$33,M117=phu!$I$34,M117=phu!$I$35,M117=phu!$I$36,M117=phu!$I$37),"Cam Lộc",""),IF(OR(M117=phu!$I$38,M117=phu!$I$39,M117=phu!$I$40,M117=phu!$I$41,M117=phu!$I$42,M117=phu!$I$43,M117=phu!$I$44),"Cam Thuận",""),IF(OR(M117=phu!$I$45,M117=phu!$I$46,M117=phu!$I$47,M117=phu!$I$48,M117=phu!$I$49,M117=phu!$I$50,M117=phu!$I$51,M117=phu!$I$52,M117=phu!$I$53),"Cam Linh",""),IF(OR(M117=phu!$I$54,M117=phu!$I$55,M117=phu!$I$56,M117=phu!$I$57,M117=phu!$I$58,M117=phu!$I$59,M117=phu!$I$60,M117=phu!$I$61,M117=phu!$I$62),"Cam Lợi",""),IF(OR(M117=phu!$I$63,M117=phu!$I$64,M117=phu!$I$65,M117=phu!$I$66,M117=phu!$I$67,M117=phu!$I$68,M117=phu!$I$69,M117=phu!$I$70,M117=phu!$I$71),"Ba Ngòi",""),IF(OR(M117=phu!$I$72,M117=phu!$I$73,M117=phu!$I$74,M117=phu!$I$75,M117=phu!$I$76,M117=phu!$I$77,M117=phu!$I$78),"Cam Phước Đông",""),IF(OR(M117=phu!$I$79,M117=phu!$I$80,M117=phu!$I$81,M117=phu!$I$82,M117=phu!$I$83,M117=phu!$I$84),"Cam Thịnh Đông",""),IF(OR(M117=phu!$I$85,M117=phu!$I$86,M117=phu!$I$87,M117=phu!$I$88),"Cam Thịnh Tây",""),IF(OR(M117=phu!$I$89,M117=phu!$I$90),"Cam Lập",""),IF(OR(M117=phu!$I$91,M117=phu!$I$92,M117=phu!$I$93),"Cam Bình",""),IF(OR(M117=phu!$I$94,M117=phu!$I$95,M117=phu!$I$96,M117=phu!$I$97,M117=phu!$I$98,M117=phu!$I$99,M117=phu!$I$100),"Huyện khác",""),IF(OR(M117=phu!$I$101,M117=phu!$I$102),"Tỉnh khác",""))</f>
        <v/>
      </c>
      <c r="O117" s="829" t="str">
        <f t="shared" si="6"/>
        <v/>
      </c>
      <c r="P117" s="254"/>
      <c r="Q117" s="254"/>
      <c r="R117" s="254"/>
      <c r="S117" s="254"/>
      <c r="T117" s="254"/>
      <c r="U117" s="254"/>
      <c r="V117" s="254"/>
      <c r="W117" s="254"/>
      <c r="Y117" s="246" t="str">
        <f t="shared" si="7"/>
        <v/>
      </c>
      <c r="Z117" s="247" t="str">
        <f t="shared" si="11"/>
        <v/>
      </c>
      <c r="AA117" s="246" t="str">
        <f t="shared" si="8"/>
        <v/>
      </c>
    </row>
    <row r="118" spans="1:27" ht="18" customHeight="1" x14ac:dyDescent="0.25">
      <c r="A118" s="248" t="str">
        <f t="shared" si="9"/>
        <v/>
      </c>
      <c r="B118" s="249" t="str">
        <f t="shared" si="10"/>
        <v/>
      </c>
      <c r="C118" s="250"/>
      <c r="D118" s="251"/>
      <c r="E118" s="241"/>
      <c r="F118" s="252"/>
      <c r="G118" s="252"/>
      <c r="H118" s="253"/>
      <c r="I118" s="250"/>
      <c r="J118" s="250"/>
      <c r="K118" s="270"/>
      <c r="L118" s="250"/>
      <c r="M118" s="250"/>
      <c r="N118" s="540" t="str">
        <f>CONCATENATE(IF(OR(M118=phu!$I$1,M118=phu!$I$2,M118=phu!$I$3),"Cam Thành Nam",""),IF(OR(M118=phu!$I$4,M118=phu!$I$5,M118=phu!$I$6,M118=phu!$I$7,M118=phu!$I$8,M118=phu!$I$9,M118=phu!$I$10,M118=phu!$I$11,M118=phu!$I$12,M118=phu!$I$13,M118=phu!$I$14),"Cam Nghĩa",""),IF(OR(M118=phu!$I$15,M118=phu!$I$16,M118=phu!$I$17,M118=phu!$I$18,M118=phu!$I$19,M118=phu!$I$20,M118=phu!$I$21),"Cam Phúc Bắc",""),IF(OR(M118=phu!$I$22,M118=phu!$I$23,M118=phu!$I$24,M118=phu!$I$25),"Cam Phúc Nam",""),IF(OR(M118=phu!$I$26,M118=phu!$I$27,M118=phu!$I$28,M118=phu!$I$29,M118=phu!$I$30,M118=phu!$I$31),"Cam Phú",""),IF(OR(M118=phu!$I$32,M118=phu!$I$33,M118=phu!$I$34,M118=phu!$I$35,M118=phu!$I$36,M118=phu!$I$37),"Cam Lộc",""),IF(OR(M118=phu!$I$38,M118=phu!$I$39,M118=phu!$I$40,M118=phu!$I$41,M118=phu!$I$42,M118=phu!$I$43,M118=phu!$I$44),"Cam Thuận",""),IF(OR(M118=phu!$I$45,M118=phu!$I$46,M118=phu!$I$47,M118=phu!$I$48,M118=phu!$I$49,M118=phu!$I$50,M118=phu!$I$51,M118=phu!$I$52,M118=phu!$I$53),"Cam Linh",""),IF(OR(M118=phu!$I$54,M118=phu!$I$55,M118=phu!$I$56,M118=phu!$I$57,M118=phu!$I$58,M118=phu!$I$59,M118=phu!$I$60,M118=phu!$I$61,M118=phu!$I$62),"Cam Lợi",""),IF(OR(M118=phu!$I$63,M118=phu!$I$64,M118=phu!$I$65,M118=phu!$I$66,M118=phu!$I$67,M118=phu!$I$68,M118=phu!$I$69,M118=phu!$I$70,M118=phu!$I$71),"Ba Ngòi",""),IF(OR(M118=phu!$I$72,M118=phu!$I$73,M118=phu!$I$74,M118=phu!$I$75,M118=phu!$I$76,M118=phu!$I$77,M118=phu!$I$78),"Cam Phước Đông",""),IF(OR(M118=phu!$I$79,M118=phu!$I$80,M118=phu!$I$81,M118=phu!$I$82,M118=phu!$I$83,M118=phu!$I$84),"Cam Thịnh Đông",""),IF(OR(M118=phu!$I$85,M118=phu!$I$86,M118=phu!$I$87,M118=phu!$I$88),"Cam Thịnh Tây",""),IF(OR(M118=phu!$I$89,M118=phu!$I$90),"Cam Lập",""),IF(OR(M118=phu!$I$91,M118=phu!$I$92,M118=phu!$I$93),"Cam Bình",""),IF(OR(M118=phu!$I$94,M118=phu!$I$95,M118=phu!$I$96,M118=phu!$I$97,M118=phu!$I$98,M118=phu!$I$99,M118=phu!$I$100),"Huyện khác",""),IF(OR(M118=phu!$I$101,M118=phu!$I$102),"Tỉnh khác",""))</f>
        <v/>
      </c>
      <c r="O118" s="829" t="str">
        <f t="shared" si="6"/>
        <v/>
      </c>
      <c r="P118" s="254"/>
      <c r="Q118" s="254"/>
      <c r="R118" s="254"/>
      <c r="S118" s="254"/>
      <c r="T118" s="254"/>
      <c r="U118" s="254"/>
      <c r="V118" s="254"/>
      <c r="W118" s="254"/>
      <c r="Y118" s="246" t="str">
        <f t="shared" si="7"/>
        <v/>
      </c>
      <c r="Z118" s="247" t="str">
        <f t="shared" si="11"/>
        <v/>
      </c>
      <c r="AA118" s="246" t="str">
        <f t="shared" si="8"/>
        <v/>
      </c>
    </row>
    <row r="119" spans="1:27" ht="18" customHeight="1" x14ac:dyDescent="0.25">
      <c r="A119" s="248" t="str">
        <f t="shared" si="9"/>
        <v/>
      </c>
      <c r="B119" s="249" t="str">
        <f t="shared" si="10"/>
        <v/>
      </c>
      <c r="C119" s="250"/>
      <c r="D119" s="251"/>
      <c r="E119" s="241"/>
      <c r="F119" s="252"/>
      <c r="G119" s="252"/>
      <c r="H119" s="253"/>
      <c r="I119" s="250"/>
      <c r="J119" s="250"/>
      <c r="K119" s="270"/>
      <c r="L119" s="250"/>
      <c r="M119" s="250"/>
      <c r="N119" s="540" t="str">
        <f>CONCATENATE(IF(OR(M119=phu!$I$1,M119=phu!$I$2,M119=phu!$I$3),"Cam Thành Nam",""),IF(OR(M119=phu!$I$4,M119=phu!$I$5,M119=phu!$I$6,M119=phu!$I$7,M119=phu!$I$8,M119=phu!$I$9,M119=phu!$I$10,M119=phu!$I$11,M119=phu!$I$12,M119=phu!$I$13,M119=phu!$I$14),"Cam Nghĩa",""),IF(OR(M119=phu!$I$15,M119=phu!$I$16,M119=phu!$I$17,M119=phu!$I$18,M119=phu!$I$19,M119=phu!$I$20,M119=phu!$I$21),"Cam Phúc Bắc",""),IF(OR(M119=phu!$I$22,M119=phu!$I$23,M119=phu!$I$24,M119=phu!$I$25),"Cam Phúc Nam",""),IF(OR(M119=phu!$I$26,M119=phu!$I$27,M119=phu!$I$28,M119=phu!$I$29,M119=phu!$I$30,M119=phu!$I$31),"Cam Phú",""),IF(OR(M119=phu!$I$32,M119=phu!$I$33,M119=phu!$I$34,M119=phu!$I$35,M119=phu!$I$36,M119=phu!$I$37),"Cam Lộc",""),IF(OR(M119=phu!$I$38,M119=phu!$I$39,M119=phu!$I$40,M119=phu!$I$41,M119=phu!$I$42,M119=phu!$I$43,M119=phu!$I$44),"Cam Thuận",""),IF(OR(M119=phu!$I$45,M119=phu!$I$46,M119=phu!$I$47,M119=phu!$I$48,M119=phu!$I$49,M119=phu!$I$50,M119=phu!$I$51,M119=phu!$I$52,M119=phu!$I$53),"Cam Linh",""),IF(OR(M119=phu!$I$54,M119=phu!$I$55,M119=phu!$I$56,M119=phu!$I$57,M119=phu!$I$58,M119=phu!$I$59,M119=phu!$I$60,M119=phu!$I$61,M119=phu!$I$62),"Cam Lợi",""),IF(OR(M119=phu!$I$63,M119=phu!$I$64,M119=phu!$I$65,M119=phu!$I$66,M119=phu!$I$67,M119=phu!$I$68,M119=phu!$I$69,M119=phu!$I$70,M119=phu!$I$71),"Ba Ngòi",""),IF(OR(M119=phu!$I$72,M119=phu!$I$73,M119=phu!$I$74,M119=phu!$I$75,M119=phu!$I$76,M119=phu!$I$77,M119=phu!$I$78),"Cam Phước Đông",""),IF(OR(M119=phu!$I$79,M119=phu!$I$80,M119=phu!$I$81,M119=phu!$I$82,M119=phu!$I$83,M119=phu!$I$84),"Cam Thịnh Đông",""),IF(OR(M119=phu!$I$85,M119=phu!$I$86,M119=phu!$I$87,M119=phu!$I$88),"Cam Thịnh Tây",""),IF(OR(M119=phu!$I$89,M119=phu!$I$90),"Cam Lập",""),IF(OR(M119=phu!$I$91,M119=phu!$I$92,M119=phu!$I$93),"Cam Bình",""),IF(OR(M119=phu!$I$94,M119=phu!$I$95,M119=phu!$I$96,M119=phu!$I$97,M119=phu!$I$98,M119=phu!$I$99,M119=phu!$I$100),"Huyện khác",""),IF(OR(M119=phu!$I$101,M119=phu!$I$102),"Tỉnh khác",""))</f>
        <v/>
      </c>
      <c r="O119" s="829" t="str">
        <f t="shared" si="6"/>
        <v/>
      </c>
      <c r="P119" s="254"/>
      <c r="Q119" s="254"/>
      <c r="R119" s="254"/>
      <c r="S119" s="254"/>
      <c r="T119" s="254"/>
      <c r="U119" s="254"/>
      <c r="V119" s="254"/>
      <c r="W119" s="254"/>
      <c r="Y119" s="246" t="str">
        <f t="shared" si="7"/>
        <v/>
      </c>
      <c r="Z119" s="247" t="str">
        <f t="shared" si="11"/>
        <v/>
      </c>
      <c r="AA119" s="246" t="str">
        <f t="shared" si="8"/>
        <v/>
      </c>
    </row>
    <row r="120" spans="1:27" ht="18" customHeight="1" x14ac:dyDescent="0.25">
      <c r="A120" s="248" t="str">
        <f t="shared" si="9"/>
        <v/>
      </c>
      <c r="B120" s="249" t="str">
        <f t="shared" si="10"/>
        <v/>
      </c>
      <c r="C120" s="250"/>
      <c r="D120" s="251"/>
      <c r="E120" s="241"/>
      <c r="F120" s="252"/>
      <c r="G120" s="252"/>
      <c r="H120" s="253"/>
      <c r="I120" s="250"/>
      <c r="J120" s="250"/>
      <c r="K120" s="270"/>
      <c r="L120" s="250"/>
      <c r="M120" s="250"/>
      <c r="N120" s="540" t="str">
        <f>CONCATENATE(IF(OR(M120=phu!$I$1,M120=phu!$I$2,M120=phu!$I$3),"Cam Thành Nam",""),IF(OR(M120=phu!$I$4,M120=phu!$I$5,M120=phu!$I$6,M120=phu!$I$7,M120=phu!$I$8,M120=phu!$I$9,M120=phu!$I$10,M120=phu!$I$11,M120=phu!$I$12,M120=phu!$I$13,M120=phu!$I$14),"Cam Nghĩa",""),IF(OR(M120=phu!$I$15,M120=phu!$I$16,M120=phu!$I$17,M120=phu!$I$18,M120=phu!$I$19,M120=phu!$I$20,M120=phu!$I$21),"Cam Phúc Bắc",""),IF(OR(M120=phu!$I$22,M120=phu!$I$23,M120=phu!$I$24,M120=phu!$I$25),"Cam Phúc Nam",""),IF(OR(M120=phu!$I$26,M120=phu!$I$27,M120=phu!$I$28,M120=phu!$I$29,M120=phu!$I$30,M120=phu!$I$31),"Cam Phú",""),IF(OR(M120=phu!$I$32,M120=phu!$I$33,M120=phu!$I$34,M120=phu!$I$35,M120=phu!$I$36,M120=phu!$I$37),"Cam Lộc",""),IF(OR(M120=phu!$I$38,M120=phu!$I$39,M120=phu!$I$40,M120=phu!$I$41,M120=phu!$I$42,M120=phu!$I$43,M120=phu!$I$44),"Cam Thuận",""),IF(OR(M120=phu!$I$45,M120=phu!$I$46,M120=phu!$I$47,M120=phu!$I$48,M120=phu!$I$49,M120=phu!$I$50,M120=phu!$I$51,M120=phu!$I$52,M120=phu!$I$53),"Cam Linh",""),IF(OR(M120=phu!$I$54,M120=phu!$I$55,M120=phu!$I$56,M120=phu!$I$57,M120=phu!$I$58,M120=phu!$I$59,M120=phu!$I$60,M120=phu!$I$61,M120=phu!$I$62),"Cam Lợi",""),IF(OR(M120=phu!$I$63,M120=phu!$I$64,M120=phu!$I$65,M120=phu!$I$66,M120=phu!$I$67,M120=phu!$I$68,M120=phu!$I$69,M120=phu!$I$70,M120=phu!$I$71),"Ba Ngòi",""),IF(OR(M120=phu!$I$72,M120=phu!$I$73,M120=phu!$I$74,M120=phu!$I$75,M120=phu!$I$76,M120=phu!$I$77,M120=phu!$I$78),"Cam Phước Đông",""),IF(OR(M120=phu!$I$79,M120=phu!$I$80,M120=phu!$I$81,M120=phu!$I$82,M120=phu!$I$83,M120=phu!$I$84),"Cam Thịnh Đông",""),IF(OR(M120=phu!$I$85,M120=phu!$I$86,M120=phu!$I$87,M120=phu!$I$88),"Cam Thịnh Tây",""),IF(OR(M120=phu!$I$89,M120=phu!$I$90),"Cam Lập",""),IF(OR(M120=phu!$I$91,M120=phu!$I$92,M120=phu!$I$93),"Cam Bình",""),IF(OR(M120=phu!$I$94,M120=phu!$I$95,M120=phu!$I$96,M120=phu!$I$97,M120=phu!$I$98,M120=phu!$I$99,M120=phu!$I$100),"Huyện khác",""),IF(OR(M120=phu!$I$101,M120=phu!$I$102),"Tỉnh khác",""))</f>
        <v/>
      </c>
      <c r="O120" s="829" t="str">
        <f t="shared" si="6"/>
        <v/>
      </c>
      <c r="P120" s="254"/>
      <c r="Q120" s="254"/>
      <c r="R120" s="254"/>
      <c r="S120" s="254"/>
      <c r="T120" s="254"/>
      <c r="U120" s="254"/>
      <c r="V120" s="254"/>
      <c r="W120" s="254"/>
      <c r="Y120" s="246" t="str">
        <f t="shared" si="7"/>
        <v/>
      </c>
      <c r="Z120" s="247" t="str">
        <f t="shared" si="11"/>
        <v/>
      </c>
      <c r="AA120" s="246" t="str">
        <f t="shared" si="8"/>
        <v/>
      </c>
    </row>
    <row r="121" spans="1:27" ht="18" customHeight="1" x14ac:dyDescent="0.25">
      <c r="A121" s="248" t="str">
        <f t="shared" si="9"/>
        <v/>
      </c>
      <c r="B121" s="249" t="str">
        <f t="shared" si="10"/>
        <v/>
      </c>
      <c r="C121" s="250"/>
      <c r="D121" s="251"/>
      <c r="E121" s="241"/>
      <c r="F121" s="252"/>
      <c r="G121" s="252"/>
      <c r="H121" s="253"/>
      <c r="I121" s="250"/>
      <c r="J121" s="250"/>
      <c r="K121" s="270"/>
      <c r="L121" s="250"/>
      <c r="M121" s="250"/>
      <c r="N121" s="540" t="str">
        <f>CONCATENATE(IF(OR(M121=phu!$I$1,M121=phu!$I$2,M121=phu!$I$3),"Cam Thành Nam",""),IF(OR(M121=phu!$I$4,M121=phu!$I$5,M121=phu!$I$6,M121=phu!$I$7,M121=phu!$I$8,M121=phu!$I$9,M121=phu!$I$10,M121=phu!$I$11,M121=phu!$I$12,M121=phu!$I$13,M121=phu!$I$14),"Cam Nghĩa",""),IF(OR(M121=phu!$I$15,M121=phu!$I$16,M121=phu!$I$17,M121=phu!$I$18,M121=phu!$I$19,M121=phu!$I$20,M121=phu!$I$21),"Cam Phúc Bắc",""),IF(OR(M121=phu!$I$22,M121=phu!$I$23,M121=phu!$I$24,M121=phu!$I$25),"Cam Phúc Nam",""),IF(OR(M121=phu!$I$26,M121=phu!$I$27,M121=phu!$I$28,M121=phu!$I$29,M121=phu!$I$30,M121=phu!$I$31),"Cam Phú",""),IF(OR(M121=phu!$I$32,M121=phu!$I$33,M121=phu!$I$34,M121=phu!$I$35,M121=phu!$I$36,M121=phu!$I$37),"Cam Lộc",""),IF(OR(M121=phu!$I$38,M121=phu!$I$39,M121=phu!$I$40,M121=phu!$I$41,M121=phu!$I$42,M121=phu!$I$43,M121=phu!$I$44),"Cam Thuận",""),IF(OR(M121=phu!$I$45,M121=phu!$I$46,M121=phu!$I$47,M121=phu!$I$48,M121=phu!$I$49,M121=phu!$I$50,M121=phu!$I$51,M121=phu!$I$52,M121=phu!$I$53),"Cam Linh",""),IF(OR(M121=phu!$I$54,M121=phu!$I$55,M121=phu!$I$56,M121=phu!$I$57,M121=phu!$I$58,M121=phu!$I$59,M121=phu!$I$60,M121=phu!$I$61,M121=phu!$I$62),"Cam Lợi",""),IF(OR(M121=phu!$I$63,M121=phu!$I$64,M121=phu!$I$65,M121=phu!$I$66,M121=phu!$I$67,M121=phu!$I$68,M121=phu!$I$69,M121=phu!$I$70,M121=phu!$I$71),"Ba Ngòi",""),IF(OR(M121=phu!$I$72,M121=phu!$I$73,M121=phu!$I$74,M121=phu!$I$75,M121=phu!$I$76,M121=phu!$I$77,M121=phu!$I$78),"Cam Phước Đông",""),IF(OR(M121=phu!$I$79,M121=phu!$I$80,M121=phu!$I$81,M121=phu!$I$82,M121=phu!$I$83,M121=phu!$I$84),"Cam Thịnh Đông",""),IF(OR(M121=phu!$I$85,M121=phu!$I$86,M121=phu!$I$87,M121=phu!$I$88),"Cam Thịnh Tây",""),IF(OR(M121=phu!$I$89,M121=phu!$I$90),"Cam Lập",""),IF(OR(M121=phu!$I$91,M121=phu!$I$92,M121=phu!$I$93),"Cam Bình",""),IF(OR(M121=phu!$I$94,M121=phu!$I$95,M121=phu!$I$96,M121=phu!$I$97,M121=phu!$I$98,M121=phu!$I$99,M121=phu!$I$100),"Huyện khác",""),IF(OR(M121=phu!$I$101,M121=phu!$I$102),"Tỉnh khác",""))</f>
        <v/>
      </c>
      <c r="O121" s="829" t="str">
        <f t="shared" si="6"/>
        <v/>
      </c>
      <c r="P121" s="254"/>
      <c r="Q121" s="254"/>
      <c r="R121" s="254"/>
      <c r="S121" s="254"/>
      <c r="T121" s="254"/>
      <c r="U121" s="254"/>
      <c r="V121" s="254"/>
      <c r="W121" s="254"/>
      <c r="Y121" s="246" t="str">
        <f t="shared" si="7"/>
        <v/>
      </c>
      <c r="Z121" s="247" t="str">
        <f t="shared" si="11"/>
        <v/>
      </c>
      <c r="AA121" s="246" t="str">
        <f t="shared" si="8"/>
        <v/>
      </c>
    </row>
    <row r="122" spans="1:27" ht="18" customHeight="1" x14ac:dyDescent="0.25">
      <c r="A122" s="248" t="str">
        <f t="shared" si="9"/>
        <v/>
      </c>
      <c r="B122" s="249" t="str">
        <f t="shared" si="10"/>
        <v/>
      </c>
      <c r="C122" s="250"/>
      <c r="D122" s="251"/>
      <c r="E122" s="241"/>
      <c r="F122" s="252"/>
      <c r="G122" s="252"/>
      <c r="H122" s="253"/>
      <c r="I122" s="250"/>
      <c r="J122" s="250"/>
      <c r="K122" s="270"/>
      <c r="L122" s="250"/>
      <c r="M122" s="250"/>
      <c r="N122" s="540" t="str">
        <f>CONCATENATE(IF(OR(M122=phu!$I$1,M122=phu!$I$2,M122=phu!$I$3),"Cam Thành Nam",""),IF(OR(M122=phu!$I$4,M122=phu!$I$5,M122=phu!$I$6,M122=phu!$I$7,M122=phu!$I$8,M122=phu!$I$9,M122=phu!$I$10,M122=phu!$I$11,M122=phu!$I$12,M122=phu!$I$13,M122=phu!$I$14),"Cam Nghĩa",""),IF(OR(M122=phu!$I$15,M122=phu!$I$16,M122=phu!$I$17,M122=phu!$I$18,M122=phu!$I$19,M122=phu!$I$20,M122=phu!$I$21),"Cam Phúc Bắc",""),IF(OR(M122=phu!$I$22,M122=phu!$I$23,M122=phu!$I$24,M122=phu!$I$25),"Cam Phúc Nam",""),IF(OR(M122=phu!$I$26,M122=phu!$I$27,M122=phu!$I$28,M122=phu!$I$29,M122=phu!$I$30,M122=phu!$I$31),"Cam Phú",""),IF(OR(M122=phu!$I$32,M122=phu!$I$33,M122=phu!$I$34,M122=phu!$I$35,M122=phu!$I$36,M122=phu!$I$37),"Cam Lộc",""),IF(OR(M122=phu!$I$38,M122=phu!$I$39,M122=phu!$I$40,M122=phu!$I$41,M122=phu!$I$42,M122=phu!$I$43,M122=phu!$I$44),"Cam Thuận",""),IF(OR(M122=phu!$I$45,M122=phu!$I$46,M122=phu!$I$47,M122=phu!$I$48,M122=phu!$I$49,M122=phu!$I$50,M122=phu!$I$51,M122=phu!$I$52,M122=phu!$I$53),"Cam Linh",""),IF(OR(M122=phu!$I$54,M122=phu!$I$55,M122=phu!$I$56,M122=phu!$I$57,M122=phu!$I$58,M122=phu!$I$59,M122=phu!$I$60,M122=phu!$I$61,M122=phu!$I$62),"Cam Lợi",""),IF(OR(M122=phu!$I$63,M122=phu!$I$64,M122=phu!$I$65,M122=phu!$I$66,M122=phu!$I$67,M122=phu!$I$68,M122=phu!$I$69,M122=phu!$I$70,M122=phu!$I$71),"Ba Ngòi",""),IF(OR(M122=phu!$I$72,M122=phu!$I$73,M122=phu!$I$74,M122=phu!$I$75,M122=phu!$I$76,M122=phu!$I$77,M122=phu!$I$78),"Cam Phước Đông",""),IF(OR(M122=phu!$I$79,M122=phu!$I$80,M122=phu!$I$81,M122=phu!$I$82,M122=phu!$I$83,M122=phu!$I$84),"Cam Thịnh Đông",""),IF(OR(M122=phu!$I$85,M122=phu!$I$86,M122=phu!$I$87,M122=phu!$I$88),"Cam Thịnh Tây",""),IF(OR(M122=phu!$I$89,M122=phu!$I$90),"Cam Lập",""),IF(OR(M122=phu!$I$91,M122=phu!$I$92,M122=phu!$I$93),"Cam Bình",""),IF(OR(M122=phu!$I$94,M122=phu!$I$95,M122=phu!$I$96,M122=phu!$I$97,M122=phu!$I$98,M122=phu!$I$99,M122=phu!$I$100),"Huyện khác",""),IF(OR(M122=phu!$I$101,M122=phu!$I$102),"Tỉnh khác",""))</f>
        <v/>
      </c>
      <c r="O122" s="829" t="str">
        <f t="shared" si="6"/>
        <v/>
      </c>
      <c r="P122" s="254"/>
      <c r="Q122" s="254"/>
      <c r="R122" s="254"/>
      <c r="S122" s="254"/>
      <c r="T122" s="254"/>
      <c r="U122" s="254"/>
      <c r="V122" s="254"/>
      <c r="W122" s="254"/>
      <c r="Y122" s="246" t="str">
        <f t="shared" si="7"/>
        <v/>
      </c>
      <c r="Z122" s="247" t="str">
        <f t="shared" si="11"/>
        <v/>
      </c>
      <c r="AA122" s="246" t="str">
        <f t="shared" si="8"/>
        <v/>
      </c>
    </row>
    <row r="123" spans="1:27" ht="18" customHeight="1" x14ac:dyDescent="0.25">
      <c r="A123" s="248" t="str">
        <f t="shared" si="9"/>
        <v/>
      </c>
      <c r="B123" s="249" t="str">
        <f t="shared" si="10"/>
        <v/>
      </c>
      <c r="C123" s="250"/>
      <c r="D123" s="251"/>
      <c r="E123" s="241"/>
      <c r="F123" s="252"/>
      <c r="G123" s="252"/>
      <c r="H123" s="253"/>
      <c r="I123" s="250"/>
      <c r="J123" s="250"/>
      <c r="K123" s="270"/>
      <c r="L123" s="250"/>
      <c r="M123" s="250"/>
      <c r="N123" s="540" t="str">
        <f>CONCATENATE(IF(OR(M123=phu!$I$1,M123=phu!$I$2,M123=phu!$I$3),"Cam Thành Nam",""),IF(OR(M123=phu!$I$4,M123=phu!$I$5,M123=phu!$I$6,M123=phu!$I$7,M123=phu!$I$8,M123=phu!$I$9,M123=phu!$I$10,M123=phu!$I$11,M123=phu!$I$12,M123=phu!$I$13,M123=phu!$I$14),"Cam Nghĩa",""),IF(OR(M123=phu!$I$15,M123=phu!$I$16,M123=phu!$I$17,M123=phu!$I$18,M123=phu!$I$19,M123=phu!$I$20,M123=phu!$I$21),"Cam Phúc Bắc",""),IF(OR(M123=phu!$I$22,M123=phu!$I$23,M123=phu!$I$24,M123=phu!$I$25),"Cam Phúc Nam",""),IF(OR(M123=phu!$I$26,M123=phu!$I$27,M123=phu!$I$28,M123=phu!$I$29,M123=phu!$I$30,M123=phu!$I$31),"Cam Phú",""),IF(OR(M123=phu!$I$32,M123=phu!$I$33,M123=phu!$I$34,M123=phu!$I$35,M123=phu!$I$36,M123=phu!$I$37),"Cam Lộc",""),IF(OR(M123=phu!$I$38,M123=phu!$I$39,M123=phu!$I$40,M123=phu!$I$41,M123=phu!$I$42,M123=phu!$I$43,M123=phu!$I$44),"Cam Thuận",""),IF(OR(M123=phu!$I$45,M123=phu!$I$46,M123=phu!$I$47,M123=phu!$I$48,M123=phu!$I$49,M123=phu!$I$50,M123=phu!$I$51,M123=phu!$I$52,M123=phu!$I$53),"Cam Linh",""),IF(OR(M123=phu!$I$54,M123=phu!$I$55,M123=phu!$I$56,M123=phu!$I$57,M123=phu!$I$58,M123=phu!$I$59,M123=phu!$I$60,M123=phu!$I$61,M123=phu!$I$62),"Cam Lợi",""),IF(OR(M123=phu!$I$63,M123=phu!$I$64,M123=phu!$I$65,M123=phu!$I$66,M123=phu!$I$67,M123=phu!$I$68,M123=phu!$I$69,M123=phu!$I$70,M123=phu!$I$71),"Ba Ngòi",""),IF(OR(M123=phu!$I$72,M123=phu!$I$73,M123=phu!$I$74,M123=phu!$I$75,M123=phu!$I$76,M123=phu!$I$77,M123=phu!$I$78),"Cam Phước Đông",""),IF(OR(M123=phu!$I$79,M123=phu!$I$80,M123=phu!$I$81,M123=phu!$I$82,M123=phu!$I$83,M123=phu!$I$84),"Cam Thịnh Đông",""),IF(OR(M123=phu!$I$85,M123=phu!$I$86,M123=phu!$I$87,M123=phu!$I$88),"Cam Thịnh Tây",""),IF(OR(M123=phu!$I$89,M123=phu!$I$90),"Cam Lập",""),IF(OR(M123=phu!$I$91,M123=phu!$I$92,M123=phu!$I$93),"Cam Bình",""),IF(OR(M123=phu!$I$94,M123=phu!$I$95,M123=phu!$I$96,M123=phu!$I$97,M123=phu!$I$98,M123=phu!$I$99,M123=phu!$I$100),"Huyện khác",""),IF(OR(M123=phu!$I$101,M123=phu!$I$102),"Tỉnh khác",""))</f>
        <v/>
      </c>
      <c r="O123" s="829" t="str">
        <f t="shared" si="6"/>
        <v/>
      </c>
      <c r="P123" s="254"/>
      <c r="Q123" s="254"/>
      <c r="R123" s="254"/>
      <c r="S123" s="254"/>
      <c r="T123" s="254"/>
      <c r="U123" s="254"/>
      <c r="V123" s="254"/>
      <c r="W123" s="254"/>
      <c r="Y123" s="246" t="str">
        <f t="shared" si="7"/>
        <v/>
      </c>
      <c r="Z123" s="247" t="str">
        <f t="shared" si="11"/>
        <v/>
      </c>
      <c r="AA123" s="246" t="str">
        <f t="shared" si="8"/>
        <v/>
      </c>
    </row>
    <row r="124" spans="1:27" ht="18" customHeight="1" x14ac:dyDescent="0.25">
      <c r="A124" s="248" t="str">
        <f t="shared" si="9"/>
        <v/>
      </c>
      <c r="B124" s="249" t="str">
        <f t="shared" si="10"/>
        <v/>
      </c>
      <c r="C124" s="250"/>
      <c r="D124" s="251"/>
      <c r="E124" s="241"/>
      <c r="F124" s="252"/>
      <c r="G124" s="252"/>
      <c r="H124" s="253"/>
      <c r="I124" s="250"/>
      <c r="J124" s="250"/>
      <c r="K124" s="270"/>
      <c r="L124" s="250"/>
      <c r="M124" s="250"/>
      <c r="N124" s="540" t="str">
        <f>CONCATENATE(IF(OR(M124=phu!$I$1,M124=phu!$I$2,M124=phu!$I$3),"Cam Thành Nam",""),IF(OR(M124=phu!$I$4,M124=phu!$I$5,M124=phu!$I$6,M124=phu!$I$7,M124=phu!$I$8,M124=phu!$I$9,M124=phu!$I$10,M124=phu!$I$11,M124=phu!$I$12,M124=phu!$I$13,M124=phu!$I$14),"Cam Nghĩa",""),IF(OR(M124=phu!$I$15,M124=phu!$I$16,M124=phu!$I$17,M124=phu!$I$18,M124=phu!$I$19,M124=phu!$I$20,M124=phu!$I$21),"Cam Phúc Bắc",""),IF(OR(M124=phu!$I$22,M124=phu!$I$23,M124=phu!$I$24,M124=phu!$I$25),"Cam Phúc Nam",""),IF(OR(M124=phu!$I$26,M124=phu!$I$27,M124=phu!$I$28,M124=phu!$I$29,M124=phu!$I$30,M124=phu!$I$31),"Cam Phú",""),IF(OR(M124=phu!$I$32,M124=phu!$I$33,M124=phu!$I$34,M124=phu!$I$35,M124=phu!$I$36,M124=phu!$I$37),"Cam Lộc",""),IF(OR(M124=phu!$I$38,M124=phu!$I$39,M124=phu!$I$40,M124=phu!$I$41,M124=phu!$I$42,M124=phu!$I$43,M124=phu!$I$44),"Cam Thuận",""),IF(OR(M124=phu!$I$45,M124=phu!$I$46,M124=phu!$I$47,M124=phu!$I$48,M124=phu!$I$49,M124=phu!$I$50,M124=phu!$I$51,M124=phu!$I$52,M124=phu!$I$53),"Cam Linh",""),IF(OR(M124=phu!$I$54,M124=phu!$I$55,M124=phu!$I$56,M124=phu!$I$57,M124=phu!$I$58,M124=phu!$I$59,M124=phu!$I$60,M124=phu!$I$61,M124=phu!$I$62),"Cam Lợi",""),IF(OR(M124=phu!$I$63,M124=phu!$I$64,M124=phu!$I$65,M124=phu!$I$66,M124=phu!$I$67,M124=phu!$I$68,M124=phu!$I$69,M124=phu!$I$70,M124=phu!$I$71),"Ba Ngòi",""),IF(OR(M124=phu!$I$72,M124=phu!$I$73,M124=phu!$I$74,M124=phu!$I$75,M124=phu!$I$76,M124=phu!$I$77,M124=phu!$I$78),"Cam Phước Đông",""),IF(OR(M124=phu!$I$79,M124=phu!$I$80,M124=phu!$I$81,M124=phu!$I$82,M124=phu!$I$83,M124=phu!$I$84),"Cam Thịnh Đông",""),IF(OR(M124=phu!$I$85,M124=phu!$I$86,M124=phu!$I$87,M124=phu!$I$88),"Cam Thịnh Tây",""),IF(OR(M124=phu!$I$89,M124=phu!$I$90),"Cam Lập",""),IF(OR(M124=phu!$I$91,M124=phu!$I$92,M124=phu!$I$93),"Cam Bình",""),IF(OR(M124=phu!$I$94,M124=phu!$I$95,M124=phu!$I$96,M124=phu!$I$97,M124=phu!$I$98,M124=phu!$I$99,M124=phu!$I$100),"Huyện khác",""),IF(OR(M124=phu!$I$101,M124=phu!$I$102),"Tỉnh khác",""))</f>
        <v/>
      </c>
      <c r="O124" s="829" t="str">
        <f t="shared" si="6"/>
        <v/>
      </c>
      <c r="P124" s="254"/>
      <c r="Q124" s="254"/>
      <c r="R124" s="254"/>
      <c r="S124" s="254"/>
      <c r="T124" s="254"/>
      <c r="U124" s="254"/>
      <c r="V124" s="254"/>
      <c r="W124" s="254"/>
      <c r="Y124" s="246" t="str">
        <f t="shared" si="7"/>
        <v/>
      </c>
      <c r="Z124" s="247" t="str">
        <f t="shared" si="11"/>
        <v/>
      </c>
      <c r="AA124" s="246" t="str">
        <f t="shared" si="8"/>
        <v/>
      </c>
    </row>
    <row r="125" spans="1:27" ht="18" customHeight="1" x14ac:dyDescent="0.25">
      <c r="A125" s="248" t="str">
        <f t="shared" si="9"/>
        <v/>
      </c>
      <c r="B125" s="249" t="str">
        <f t="shared" si="10"/>
        <v/>
      </c>
      <c r="C125" s="250"/>
      <c r="D125" s="251"/>
      <c r="E125" s="241"/>
      <c r="F125" s="252"/>
      <c r="G125" s="252"/>
      <c r="H125" s="253"/>
      <c r="I125" s="250"/>
      <c r="J125" s="250"/>
      <c r="K125" s="270"/>
      <c r="L125" s="250"/>
      <c r="M125" s="250"/>
      <c r="N125" s="540" t="str">
        <f>CONCATENATE(IF(OR(M125=phu!$I$1,M125=phu!$I$2,M125=phu!$I$3),"Cam Thành Nam",""),IF(OR(M125=phu!$I$4,M125=phu!$I$5,M125=phu!$I$6,M125=phu!$I$7,M125=phu!$I$8,M125=phu!$I$9,M125=phu!$I$10,M125=phu!$I$11,M125=phu!$I$12,M125=phu!$I$13,M125=phu!$I$14),"Cam Nghĩa",""),IF(OR(M125=phu!$I$15,M125=phu!$I$16,M125=phu!$I$17,M125=phu!$I$18,M125=phu!$I$19,M125=phu!$I$20,M125=phu!$I$21),"Cam Phúc Bắc",""),IF(OR(M125=phu!$I$22,M125=phu!$I$23,M125=phu!$I$24,M125=phu!$I$25),"Cam Phúc Nam",""),IF(OR(M125=phu!$I$26,M125=phu!$I$27,M125=phu!$I$28,M125=phu!$I$29,M125=phu!$I$30,M125=phu!$I$31),"Cam Phú",""),IF(OR(M125=phu!$I$32,M125=phu!$I$33,M125=phu!$I$34,M125=phu!$I$35,M125=phu!$I$36,M125=phu!$I$37),"Cam Lộc",""),IF(OR(M125=phu!$I$38,M125=phu!$I$39,M125=phu!$I$40,M125=phu!$I$41,M125=phu!$I$42,M125=phu!$I$43,M125=phu!$I$44),"Cam Thuận",""),IF(OR(M125=phu!$I$45,M125=phu!$I$46,M125=phu!$I$47,M125=phu!$I$48,M125=phu!$I$49,M125=phu!$I$50,M125=phu!$I$51,M125=phu!$I$52,M125=phu!$I$53),"Cam Linh",""),IF(OR(M125=phu!$I$54,M125=phu!$I$55,M125=phu!$I$56,M125=phu!$I$57,M125=phu!$I$58,M125=phu!$I$59,M125=phu!$I$60,M125=phu!$I$61,M125=phu!$I$62),"Cam Lợi",""),IF(OR(M125=phu!$I$63,M125=phu!$I$64,M125=phu!$I$65,M125=phu!$I$66,M125=phu!$I$67,M125=phu!$I$68,M125=phu!$I$69,M125=phu!$I$70,M125=phu!$I$71),"Ba Ngòi",""),IF(OR(M125=phu!$I$72,M125=phu!$I$73,M125=phu!$I$74,M125=phu!$I$75,M125=phu!$I$76,M125=phu!$I$77,M125=phu!$I$78),"Cam Phước Đông",""),IF(OR(M125=phu!$I$79,M125=phu!$I$80,M125=phu!$I$81,M125=phu!$I$82,M125=phu!$I$83,M125=phu!$I$84),"Cam Thịnh Đông",""),IF(OR(M125=phu!$I$85,M125=phu!$I$86,M125=phu!$I$87,M125=phu!$I$88),"Cam Thịnh Tây",""),IF(OR(M125=phu!$I$89,M125=phu!$I$90),"Cam Lập",""),IF(OR(M125=phu!$I$91,M125=phu!$I$92,M125=phu!$I$93),"Cam Bình",""),IF(OR(M125=phu!$I$94,M125=phu!$I$95,M125=phu!$I$96,M125=phu!$I$97,M125=phu!$I$98,M125=phu!$I$99,M125=phu!$I$100),"Huyện khác",""),IF(OR(M125=phu!$I$101,M125=phu!$I$102),"Tỉnh khác",""))</f>
        <v/>
      </c>
      <c r="O125" s="829" t="str">
        <f t="shared" si="6"/>
        <v/>
      </c>
      <c r="P125" s="254"/>
      <c r="Q125" s="254"/>
      <c r="R125" s="254"/>
      <c r="S125" s="254"/>
      <c r="T125" s="254"/>
      <c r="U125" s="254"/>
      <c r="V125" s="254"/>
      <c r="W125" s="254"/>
      <c r="Y125" s="246" t="str">
        <f t="shared" si="7"/>
        <v/>
      </c>
      <c r="Z125" s="247" t="str">
        <f t="shared" si="11"/>
        <v/>
      </c>
      <c r="AA125" s="246" t="str">
        <f t="shared" si="8"/>
        <v/>
      </c>
    </row>
    <row r="126" spans="1:27" ht="18" customHeight="1" x14ac:dyDescent="0.25">
      <c r="A126" s="248" t="str">
        <f t="shared" si="9"/>
        <v/>
      </c>
      <c r="B126" s="249" t="str">
        <f t="shared" si="10"/>
        <v/>
      </c>
      <c r="C126" s="250"/>
      <c r="D126" s="251"/>
      <c r="E126" s="241"/>
      <c r="F126" s="252"/>
      <c r="G126" s="252"/>
      <c r="H126" s="253"/>
      <c r="I126" s="250"/>
      <c r="J126" s="250"/>
      <c r="K126" s="270"/>
      <c r="L126" s="250"/>
      <c r="M126" s="250"/>
      <c r="N126" s="540" t="str">
        <f>CONCATENATE(IF(OR(M126=phu!$I$1,M126=phu!$I$2,M126=phu!$I$3),"Cam Thành Nam",""),IF(OR(M126=phu!$I$4,M126=phu!$I$5,M126=phu!$I$6,M126=phu!$I$7,M126=phu!$I$8,M126=phu!$I$9,M126=phu!$I$10,M126=phu!$I$11,M126=phu!$I$12,M126=phu!$I$13,M126=phu!$I$14),"Cam Nghĩa",""),IF(OR(M126=phu!$I$15,M126=phu!$I$16,M126=phu!$I$17,M126=phu!$I$18,M126=phu!$I$19,M126=phu!$I$20,M126=phu!$I$21),"Cam Phúc Bắc",""),IF(OR(M126=phu!$I$22,M126=phu!$I$23,M126=phu!$I$24,M126=phu!$I$25),"Cam Phúc Nam",""),IF(OR(M126=phu!$I$26,M126=phu!$I$27,M126=phu!$I$28,M126=phu!$I$29,M126=phu!$I$30,M126=phu!$I$31),"Cam Phú",""),IF(OR(M126=phu!$I$32,M126=phu!$I$33,M126=phu!$I$34,M126=phu!$I$35,M126=phu!$I$36,M126=phu!$I$37),"Cam Lộc",""),IF(OR(M126=phu!$I$38,M126=phu!$I$39,M126=phu!$I$40,M126=phu!$I$41,M126=phu!$I$42,M126=phu!$I$43,M126=phu!$I$44),"Cam Thuận",""),IF(OR(M126=phu!$I$45,M126=phu!$I$46,M126=phu!$I$47,M126=phu!$I$48,M126=phu!$I$49,M126=phu!$I$50,M126=phu!$I$51,M126=phu!$I$52,M126=phu!$I$53),"Cam Linh",""),IF(OR(M126=phu!$I$54,M126=phu!$I$55,M126=phu!$I$56,M126=phu!$I$57,M126=phu!$I$58,M126=phu!$I$59,M126=phu!$I$60,M126=phu!$I$61,M126=phu!$I$62),"Cam Lợi",""),IF(OR(M126=phu!$I$63,M126=phu!$I$64,M126=phu!$I$65,M126=phu!$I$66,M126=phu!$I$67,M126=phu!$I$68,M126=phu!$I$69,M126=phu!$I$70,M126=phu!$I$71),"Ba Ngòi",""),IF(OR(M126=phu!$I$72,M126=phu!$I$73,M126=phu!$I$74,M126=phu!$I$75,M126=phu!$I$76,M126=phu!$I$77,M126=phu!$I$78),"Cam Phước Đông",""),IF(OR(M126=phu!$I$79,M126=phu!$I$80,M126=phu!$I$81,M126=phu!$I$82,M126=phu!$I$83,M126=phu!$I$84),"Cam Thịnh Đông",""),IF(OR(M126=phu!$I$85,M126=phu!$I$86,M126=phu!$I$87,M126=phu!$I$88),"Cam Thịnh Tây",""),IF(OR(M126=phu!$I$89,M126=phu!$I$90),"Cam Lập",""),IF(OR(M126=phu!$I$91,M126=phu!$I$92,M126=phu!$I$93),"Cam Bình",""),IF(OR(M126=phu!$I$94,M126=phu!$I$95,M126=phu!$I$96,M126=phu!$I$97,M126=phu!$I$98,M126=phu!$I$99,M126=phu!$I$100),"Huyện khác",""),IF(OR(M126=phu!$I$101,M126=phu!$I$102),"Tỉnh khác",""))</f>
        <v/>
      </c>
      <c r="O126" s="829" t="str">
        <f t="shared" si="6"/>
        <v/>
      </c>
      <c r="P126" s="254"/>
      <c r="Q126" s="254"/>
      <c r="R126" s="254"/>
      <c r="S126" s="254"/>
      <c r="T126" s="254"/>
      <c r="U126" s="254"/>
      <c r="V126" s="254"/>
      <c r="W126" s="254"/>
      <c r="Y126" s="246" t="str">
        <f t="shared" si="7"/>
        <v/>
      </c>
      <c r="Z126" s="247" t="str">
        <f t="shared" si="11"/>
        <v/>
      </c>
      <c r="AA126" s="246" t="str">
        <f t="shared" si="8"/>
        <v/>
      </c>
    </row>
    <row r="127" spans="1:27" ht="18" customHeight="1" x14ac:dyDescent="0.25">
      <c r="A127" s="248" t="str">
        <f t="shared" si="9"/>
        <v/>
      </c>
      <c r="B127" s="249" t="str">
        <f t="shared" si="10"/>
        <v/>
      </c>
      <c r="C127" s="250"/>
      <c r="D127" s="251"/>
      <c r="E127" s="241"/>
      <c r="F127" s="252"/>
      <c r="G127" s="252"/>
      <c r="H127" s="253"/>
      <c r="I127" s="250"/>
      <c r="J127" s="250"/>
      <c r="K127" s="270"/>
      <c r="L127" s="250"/>
      <c r="M127" s="250"/>
      <c r="N127" s="540" t="str">
        <f>CONCATENATE(IF(OR(M127=phu!$I$1,M127=phu!$I$2,M127=phu!$I$3),"Cam Thành Nam",""),IF(OR(M127=phu!$I$4,M127=phu!$I$5,M127=phu!$I$6,M127=phu!$I$7,M127=phu!$I$8,M127=phu!$I$9,M127=phu!$I$10,M127=phu!$I$11,M127=phu!$I$12,M127=phu!$I$13,M127=phu!$I$14),"Cam Nghĩa",""),IF(OR(M127=phu!$I$15,M127=phu!$I$16,M127=phu!$I$17,M127=phu!$I$18,M127=phu!$I$19,M127=phu!$I$20,M127=phu!$I$21),"Cam Phúc Bắc",""),IF(OR(M127=phu!$I$22,M127=phu!$I$23,M127=phu!$I$24,M127=phu!$I$25),"Cam Phúc Nam",""),IF(OR(M127=phu!$I$26,M127=phu!$I$27,M127=phu!$I$28,M127=phu!$I$29,M127=phu!$I$30,M127=phu!$I$31),"Cam Phú",""),IF(OR(M127=phu!$I$32,M127=phu!$I$33,M127=phu!$I$34,M127=phu!$I$35,M127=phu!$I$36,M127=phu!$I$37),"Cam Lộc",""),IF(OR(M127=phu!$I$38,M127=phu!$I$39,M127=phu!$I$40,M127=phu!$I$41,M127=phu!$I$42,M127=phu!$I$43,M127=phu!$I$44),"Cam Thuận",""),IF(OR(M127=phu!$I$45,M127=phu!$I$46,M127=phu!$I$47,M127=phu!$I$48,M127=phu!$I$49,M127=phu!$I$50,M127=phu!$I$51,M127=phu!$I$52,M127=phu!$I$53),"Cam Linh",""),IF(OR(M127=phu!$I$54,M127=phu!$I$55,M127=phu!$I$56,M127=phu!$I$57,M127=phu!$I$58,M127=phu!$I$59,M127=phu!$I$60,M127=phu!$I$61,M127=phu!$I$62),"Cam Lợi",""),IF(OR(M127=phu!$I$63,M127=phu!$I$64,M127=phu!$I$65,M127=phu!$I$66,M127=phu!$I$67,M127=phu!$I$68,M127=phu!$I$69,M127=phu!$I$70,M127=phu!$I$71),"Ba Ngòi",""),IF(OR(M127=phu!$I$72,M127=phu!$I$73,M127=phu!$I$74,M127=phu!$I$75,M127=phu!$I$76,M127=phu!$I$77,M127=phu!$I$78),"Cam Phước Đông",""),IF(OR(M127=phu!$I$79,M127=phu!$I$80,M127=phu!$I$81,M127=phu!$I$82,M127=phu!$I$83,M127=phu!$I$84),"Cam Thịnh Đông",""),IF(OR(M127=phu!$I$85,M127=phu!$I$86,M127=phu!$I$87,M127=phu!$I$88),"Cam Thịnh Tây",""),IF(OR(M127=phu!$I$89,M127=phu!$I$90),"Cam Lập",""),IF(OR(M127=phu!$I$91,M127=phu!$I$92,M127=phu!$I$93),"Cam Bình",""),IF(OR(M127=phu!$I$94,M127=phu!$I$95,M127=phu!$I$96,M127=phu!$I$97,M127=phu!$I$98,M127=phu!$I$99,M127=phu!$I$100),"Huyện khác",""),IF(OR(M127=phu!$I$101,M127=phu!$I$102),"Tỉnh khác",""))</f>
        <v/>
      </c>
      <c r="O127" s="829" t="str">
        <f t="shared" si="6"/>
        <v/>
      </c>
      <c r="P127" s="254"/>
      <c r="Q127" s="254"/>
      <c r="R127" s="254"/>
      <c r="S127" s="254"/>
      <c r="T127" s="254"/>
      <c r="U127" s="254"/>
      <c r="V127" s="254"/>
      <c r="W127" s="254"/>
      <c r="Y127" s="246" t="str">
        <f t="shared" si="7"/>
        <v/>
      </c>
      <c r="Z127" s="247" t="str">
        <f t="shared" si="11"/>
        <v/>
      </c>
      <c r="AA127" s="246" t="str">
        <f t="shared" si="8"/>
        <v/>
      </c>
    </row>
    <row r="128" spans="1:27" ht="18" customHeight="1" x14ac:dyDescent="0.25">
      <c r="A128" s="248" t="str">
        <f t="shared" si="9"/>
        <v/>
      </c>
      <c r="B128" s="249" t="str">
        <f t="shared" si="10"/>
        <v/>
      </c>
      <c r="C128" s="250"/>
      <c r="D128" s="251"/>
      <c r="E128" s="241"/>
      <c r="F128" s="252"/>
      <c r="G128" s="252"/>
      <c r="H128" s="253"/>
      <c r="I128" s="250"/>
      <c r="J128" s="250"/>
      <c r="K128" s="270"/>
      <c r="L128" s="250"/>
      <c r="M128" s="250"/>
      <c r="N128" s="540" t="str">
        <f>CONCATENATE(IF(OR(M128=phu!$I$1,M128=phu!$I$2,M128=phu!$I$3),"Cam Thành Nam",""),IF(OR(M128=phu!$I$4,M128=phu!$I$5,M128=phu!$I$6,M128=phu!$I$7,M128=phu!$I$8,M128=phu!$I$9,M128=phu!$I$10,M128=phu!$I$11,M128=phu!$I$12,M128=phu!$I$13,M128=phu!$I$14),"Cam Nghĩa",""),IF(OR(M128=phu!$I$15,M128=phu!$I$16,M128=phu!$I$17,M128=phu!$I$18,M128=phu!$I$19,M128=phu!$I$20,M128=phu!$I$21),"Cam Phúc Bắc",""),IF(OR(M128=phu!$I$22,M128=phu!$I$23,M128=phu!$I$24,M128=phu!$I$25),"Cam Phúc Nam",""),IF(OR(M128=phu!$I$26,M128=phu!$I$27,M128=phu!$I$28,M128=phu!$I$29,M128=phu!$I$30,M128=phu!$I$31),"Cam Phú",""),IF(OR(M128=phu!$I$32,M128=phu!$I$33,M128=phu!$I$34,M128=phu!$I$35,M128=phu!$I$36,M128=phu!$I$37),"Cam Lộc",""),IF(OR(M128=phu!$I$38,M128=phu!$I$39,M128=phu!$I$40,M128=phu!$I$41,M128=phu!$I$42,M128=phu!$I$43,M128=phu!$I$44),"Cam Thuận",""),IF(OR(M128=phu!$I$45,M128=phu!$I$46,M128=phu!$I$47,M128=phu!$I$48,M128=phu!$I$49,M128=phu!$I$50,M128=phu!$I$51,M128=phu!$I$52,M128=phu!$I$53),"Cam Linh",""),IF(OR(M128=phu!$I$54,M128=phu!$I$55,M128=phu!$I$56,M128=phu!$I$57,M128=phu!$I$58,M128=phu!$I$59,M128=phu!$I$60,M128=phu!$I$61,M128=phu!$I$62),"Cam Lợi",""),IF(OR(M128=phu!$I$63,M128=phu!$I$64,M128=phu!$I$65,M128=phu!$I$66,M128=phu!$I$67,M128=phu!$I$68,M128=phu!$I$69,M128=phu!$I$70,M128=phu!$I$71),"Ba Ngòi",""),IF(OR(M128=phu!$I$72,M128=phu!$I$73,M128=phu!$I$74,M128=phu!$I$75,M128=phu!$I$76,M128=phu!$I$77,M128=phu!$I$78),"Cam Phước Đông",""),IF(OR(M128=phu!$I$79,M128=phu!$I$80,M128=phu!$I$81,M128=phu!$I$82,M128=phu!$I$83,M128=phu!$I$84),"Cam Thịnh Đông",""),IF(OR(M128=phu!$I$85,M128=phu!$I$86,M128=phu!$I$87,M128=phu!$I$88),"Cam Thịnh Tây",""),IF(OR(M128=phu!$I$89,M128=phu!$I$90),"Cam Lập",""),IF(OR(M128=phu!$I$91,M128=phu!$I$92,M128=phu!$I$93),"Cam Bình",""),IF(OR(M128=phu!$I$94,M128=phu!$I$95,M128=phu!$I$96,M128=phu!$I$97,M128=phu!$I$98,M128=phu!$I$99,M128=phu!$I$100),"Huyện khác",""),IF(OR(M128=phu!$I$101,M128=phu!$I$102),"Tỉnh khác",""))</f>
        <v/>
      </c>
      <c r="O128" s="829" t="str">
        <f t="shared" si="6"/>
        <v/>
      </c>
      <c r="P128" s="254"/>
      <c r="Q128" s="254"/>
      <c r="R128" s="254"/>
      <c r="S128" s="254"/>
      <c r="T128" s="254"/>
      <c r="U128" s="254"/>
      <c r="V128" s="254"/>
      <c r="W128" s="254"/>
      <c r="Y128" s="246" t="str">
        <f t="shared" si="7"/>
        <v/>
      </c>
      <c r="Z128" s="247" t="str">
        <f t="shared" si="11"/>
        <v/>
      </c>
      <c r="AA128" s="246" t="str">
        <f t="shared" si="8"/>
        <v/>
      </c>
    </row>
    <row r="129" spans="1:27" ht="18" customHeight="1" x14ac:dyDescent="0.25">
      <c r="A129" s="248" t="str">
        <f t="shared" si="9"/>
        <v/>
      </c>
      <c r="B129" s="249" t="str">
        <f t="shared" si="10"/>
        <v/>
      </c>
      <c r="C129" s="250"/>
      <c r="D129" s="251"/>
      <c r="E129" s="241"/>
      <c r="F129" s="252"/>
      <c r="G129" s="252"/>
      <c r="H129" s="253"/>
      <c r="I129" s="250"/>
      <c r="J129" s="250"/>
      <c r="K129" s="270"/>
      <c r="L129" s="250"/>
      <c r="M129" s="250"/>
      <c r="N129" s="540" t="str">
        <f>CONCATENATE(IF(OR(M129=phu!$I$1,M129=phu!$I$2,M129=phu!$I$3),"Cam Thành Nam",""),IF(OR(M129=phu!$I$4,M129=phu!$I$5,M129=phu!$I$6,M129=phu!$I$7,M129=phu!$I$8,M129=phu!$I$9,M129=phu!$I$10,M129=phu!$I$11,M129=phu!$I$12,M129=phu!$I$13,M129=phu!$I$14),"Cam Nghĩa",""),IF(OR(M129=phu!$I$15,M129=phu!$I$16,M129=phu!$I$17,M129=phu!$I$18,M129=phu!$I$19,M129=phu!$I$20,M129=phu!$I$21),"Cam Phúc Bắc",""),IF(OR(M129=phu!$I$22,M129=phu!$I$23,M129=phu!$I$24,M129=phu!$I$25),"Cam Phúc Nam",""),IF(OR(M129=phu!$I$26,M129=phu!$I$27,M129=phu!$I$28,M129=phu!$I$29,M129=phu!$I$30,M129=phu!$I$31),"Cam Phú",""),IF(OR(M129=phu!$I$32,M129=phu!$I$33,M129=phu!$I$34,M129=phu!$I$35,M129=phu!$I$36,M129=phu!$I$37),"Cam Lộc",""),IF(OR(M129=phu!$I$38,M129=phu!$I$39,M129=phu!$I$40,M129=phu!$I$41,M129=phu!$I$42,M129=phu!$I$43,M129=phu!$I$44),"Cam Thuận",""),IF(OR(M129=phu!$I$45,M129=phu!$I$46,M129=phu!$I$47,M129=phu!$I$48,M129=phu!$I$49,M129=phu!$I$50,M129=phu!$I$51,M129=phu!$I$52,M129=phu!$I$53),"Cam Linh",""),IF(OR(M129=phu!$I$54,M129=phu!$I$55,M129=phu!$I$56,M129=phu!$I$57,M129=phu!$I$58,M129=phu!$I$59,M129=phu!$I$60,M129=phu!$I$61,M129=phu!$I$62),"Cam Lợi",""),IF(OR(M129=phu!$I$63,M129=phu!$I$64,M129=phu!$I$65,M129=phu!$I$66,M129=phu!$I$67,M129=phu!$I$68,M129=phu!$I$69,M129=phu!$I$70,M129=phu!$I$71),"Ba Ngòi",""),IF(OR(M129=phu!$I$72,M129=phu!$I$73,M129=phu!$I$74,M129=phu!$I$75,M129=phu!$I$76,M129=phu!$I$77,M129=phu!$I$78),"Cam Phước Đông",""),IF(OR(M129=phu!$I$79,M129=phu!$I$80,M129=phu!$I$81,M129=phu!$I$82,M129=phu!$I$83,M129=phu!$I$84),"Cam Thịnh Đông",""),IF(OR(M129=phu!$I$85,M129=phu!$I$86,M129=phu!$I$87,M129=phu!$I$88),"Cam Thịnh Tây",""),IF(OR(M129=phu!$I$89,M129=phu!$I$90),"Cam Lập",""),IF(OR(M129=phu!$I$91,M129=phu!$I$92,M129=phu!$I$93),"Cam Bình",""),IF(OR(M129=phu!$I$94,M129=phu!$I$95,M129=phu!$I$96,M129=phu!$I$97,M129=phu!$I$98,M129=phu!$I$99,M129=phu!$I$100),"Huyện khác",""),IF(OR(M129=phu!$I$101,M129=phu!$I$102),"Tỉnh khác",""))</f>
        <v/>
      </c>
      <c r="O129" s="829" t="str">
        <f t="shared" si="6"/>
        <v/>
      </c>
      <c r="P129" s="254"/>
      <c r="Q129" s="254"/>
      <c r="R129" s="254"/>
      <c r="S129" s="254"/>
      <c r="T129" s="254"/>
      <c r="U129" s="254"/>
      <c r="V129" s="254"/>
      <c r="W129" s="254"/>
      <c r="Y129" s="246" t="str">
        <f t="shared" si="7"/>
        <v/>
      </c>
      <c r="Z129" s="247" t="str">
        <f t="shared" si="11"/>
        <v/>
      </c>
      <c r="AA129" s="246" t="str">
        <f t="shared" si="8"/>
        <v/>
      </c>
    </row>
    <row r="130" spans="1:27" ht="18" customHeight="1" x14ac:dyDescent="0.25">
      <c r="A130" s="248" t="str">
        <f t="shared" si="9"/>
        <v/>
      </c>
      <c r="B130" s="249" t="str">
        <f t="shared" si="10"/>
        <v/>
      </c>
      <c r="C130" s="250"/>
      <c r="D130" s="251"/>
      <c r="E130" s="241"/>
      <c r="F130" s="252"/>
      <c r="G130" s="252"/>
      <c r="H130" s="253"/>
      <c r="I130" s="250"/>
      <c r="J130" s="250"/>
      <c r="K130" s="270"/>
      <c r="L130" s="250"/>
      <c r="M130" s="250"/>
      <c r="N130" s="540" t="str">
        <f>CONCATENATE(IF(OR(M130=phu!$I$1,M130=phu!$I$2,M130=phu!$I$3),"Cam Thành Nam",""),IF(OR(M130=phu!$I$4,M130=phu!$I$5,M130=phu!$I$6,M130=phu!$I$7,M130=phu!$I$8,M130=phu!$I$9,M130=phu!$I$10,M130=phu!$I$11,M130=phu!$I$12,M130=phu!$I$13,M130=phu!$I$14),"Cam Nghĩa",""),IF(OR(M130=phu!$I$15,M130=phu!$I$16,M130=phu!$I$17,M130=phu!$I$18,M130=phu!$I$19,M130=phu!$I$20,M130=phu!$I$21),"Cam Phúc Bắc",""),IF(OR(M130=phu!$I$22,M130=phu!$I$23,M130=phu!$I$24,M130=phu!$I$25),"Cam Phúc Nam",""),IF(OR(M130=phu!$I$26,M130=phu!$I$27,M130=phu!$I$28,M130=phu!$I$29,M130=phu!$I$30,M130=phu!$I$31),"Cam Phú",""),IF(OR(M130=phu!$I$32,M130=phu!$I$33,M130=phu!$I$34,M130=phu!$I$35,M130=phu!$I$36,M130=phu!$I$37),"Cam Lộc",""),IF(OR(M130=phu!$I$38,M130=phu!$I$39,M130=phu!$I$40,M130=phu!$I$41,M130=phu!$I$42,M130=phu!$I$43,M130=phu!$I$44),"Cam Thuận",""),IF(OR(M130=phu!$I$45,M130=phu!$I$46,M130=phu!$I$47,M130=phu!$I$48,M130=phu!$I$49,M130=phu!$I$50,M130=phu!$I$51,M130=phu!$I$52,M130=phu!$I$53),"Cam Linh",""),IF(OR(M130=phu!$I$54,M130=phu!$I$55,M130=phu!$I$56,M130=phu!$I$57,M130=phu!$I$58,M130=phu!$I$59,M130=phu!$I$60,M130=phu!$I$61,M130=phu!$I$62),"Cam Lợi",""),IF(OR(M130=phu!$I$63,M130=phu!$I$64,M130=phu!$I$65,M130=phu!$I$66,M130=phu!$I$67,M130=phu!$I$68,M130=phu!$I$69,M130=phu!$I$70,M130=phu!$I$71),"Ba Ngòi",""),IF(OR(M130=phu!$I$72,M130=phu!$I$73,M130=phu!$I$74,M130=phu!$I$75,M130=phu!$I$76,M130=phu!$I$77,M130=phu!$I$78),"Cam Phước Đông",""),IF(OR(M130=phu!$I$79,M130=phu!$I$80,M130=phu!$I$81,M130=phu!$I$82,M130=phu!$I$83,M130=phu!$I$84),"Cam Thịnh Đông",""),IF(OR(M130=phu!$I$85,M130=phu!$I$86,M130=phu!$I$87,M130=phu!$I$88),"Cam Thịnh Tây",""),IF(OR(M130=phu!$I$89,M130=phu!$I$90),"Cam Lập",""),IF(OR(M130=phu!$I$91,M130=phu!$I$92,M130=phu!$I$93),"Cam Bình",""),IF(OR(M130=phu!$I$94,M130=phu!$I$95,M130=phu!$I$96,M130=phu!$I$97,M130=phu!$I$98,M130=phu!$I$99,M130=phu!$I$100),"Huyện khác",""),IF(OR(M130=phu!$I$101,M130=phu!$I$102),"Tỉnh khác",""))</f>
        <v/>
      </c>
      <c r="O130" s="829" t="str">
        <f t="shared" si="6"/>
        <v/>
      </c>
      <c r="P130" s="254"/>
      <c r="Q130" s="254"/>
      <c r="R130" s="254"/>
      <c r="S130" s="254"/>
      <c r="T130" s="254"/>
      <c r="U130" s="254"/>
      <c r="V130" s="254"/>
      <c r="W130" s="254"/>
      <c r="Y130" s="246" t="str">
        <f t="shared" si="7"/>
        <v/>
      </c>
      <c r="Z130" s="247" t="str">
        <f t="shared" si="11"/>
        <v/>
      </c>
      <c r="AA130" s="246" t="str">
        <f t="shared" si="8"/>
        <v/>
      </c>
    </row>
    <row r="131" spans="1:27" ht="18" customHeight="1" x14ac:dyDescent="0.25">
      <c r="A131" s="248" t="str">
        <f t="shared" si="9"/>
        <v/>
      </c>
      <c r="B131" s="249" t="str">
        <f t="shared" si="10"/>
        <v/>
      </c>
      <c r="C131" s="250"/>
      <c r="D131" s="251"/>
      <c r="E131" s="241"/>
      <c r="F131" s="252"/>
      <c r="G131" s="252"/>
      <c r="H131" s="253"/>
      <c r="I131" s="250"/>
      <c r="J131" s="250"/>
      <c r="K131" s="270"/>
      <c r="L131" s="250"/>
      <c r="M131" s="250"/>
      <c r="N131" s="540" t="str">
        <f>CONCATENATE(IF(OR(M131=phu!$I$1,M131=phu!$I$2,M131=phu!$I$3),"Cam Thành Nam",""),IF(OR(M131=phu!$I$4,M131=phu!$I$5,M131=phu!$I$6,M131=phu!$I$7,M131=phu!$I$8,M131=phu!$I$9,M131=phu!$I$10,M131=phu!$I$11,M131=phu!$I$12,M131=phu!$I$13,M131=phu!$I$14),"Cam Nghĩa",""),IF(OR(M131=phu!$I$15,M131=phu!$I$16,M131=phu!$I$17,M131=phu!$I$18,M131=phu!$I$19,M131=phu!$I$20,M131=phu!$I$21),"Cam Phúc Bắc",""),IF(OR(M131=phu!$I$22,M131=phu!$I$23,M131=phu!$I$24,M131=phu!$I$25),"Cam Phúc Nam",""),IF(OR(M131=phu!$I$26,M131=phu!$I$27,M131=phu!$I$28,M131=phu!$I$29,M131=phu!$I$30,M131=phu!$I$31),"Cam Phú",""),IF(OR(M131=phu!$I$32,M131=phu!$I$33,M131=phu!$I$34,M131=phu!$I$35,M131=phu!$I$36,M131=phu!$I$37),"Cam Lộc",""),IF(OR(M131=phu!$I$38,M131=phu!$I$39,M131=phu!$I$40,M131=phu!$I$41,M131=phu!$I$42,M131=phu!$I$43,M131=phu!$I$44),"Cam Thuận",""),IF(OR(M131=phu!$I$45,M131=phu!$I$46,M131=phu!$I$47,M131=phu!$I$48,M131=phu!$I$49,M131=phu!$I$50,M131=phu!$I$51,M131=phu!$I$52,M131=phu!$I$53),"Cam Linh",""),IF(OR(M131=phu!$I$54,M131=phu!$I$55,M131=phu!$I$56,M131=phu!$I$57,M131=phu!$I$58,M131=phu!$I$59,M131=phu!$I$60,M131=phu!$I$61,M131=phu!$I$62),"Cam Lợi",""),IF(OR(M131=phu!$I$63,M131=phu!$I$64,M131=phu!$I$65,M131=phu!$I$66,M131=phu!$I$67,M131=phu!$I$68,M131=phu!$I$69,M131=phu!$I$70,M131=phu!$I$71),"Ba Ngòi",""),IF(OR(M131=phu!$I$72,M131=phu!$I$73,M131=phu!$I$74,M131=phu!$I$75,M131=phu!$I$76,M131=phu!$I$77,M131=phu!$I$78),"Cam Phước Đông",""),IF(OR(M131=phu!$I$79,M131=phu!$I$80,M131=phu!$I$81,M131=phu!$I$82,M131=phu!$I$83,M131=phu!$I$84),"Cam Thịnh Đông",""),IF(OR(M131=phu!$I$85,M131=phu!$I$86,M131=phu!$I$87,M131=phu!$I$88),"Cam Thịnh Tây",""),IF(OR(M131=phu!$I$89,M131=phu!$I$90),"Cam Lập",""),IF(OR(M131=phu!$I$91,M131=phu!$I$92,M131=phu!$I$93),"Cam Bình",""),IF(OR(M131=phu!$I$94,M131=phu!$I$95,M131=phu!$I$96,M131=phu!$I$97,M131=phu!$I$98,M131=phu!$I$99,M131=phu!$I$100),"Huyện khác",""),IF(OR(M131=phu!$I$101,M131=phu!$I$102),"Tỉnh khác",""))</f>
        <v/>
      </c>
      <c r="O131" s="829" t="str">
        <f t="shared" si="6"/>
        <v/>
      </c>
      <c r="P131" s="254"/>
      <c r="Q131" s="254"/>
      <c r="R131" s="254"/>
      <c r="S131" s="254"/>
      <c r="T131" s="254"/>
      <c r="U131" s="254"/>
      <c r="V131" s="254"/>
      <c r="W131" s="254"/>
      <c r="Y131" s="246" t="str">
        <f t="shared" si="7"/>
        <v/>
      </c>
      <c r="Z131" s="247" t="str">
        <f t="shared" si="11"/>
        <v/>
      </c>
      <c r="AA131" s="246" t="str">
        <f t="shared" si="8"/>
        <v/>
      </c>
    </row>
    <row r="132" spans="1:27" ht="18" customHeight="1" x14ac:dyDescent="0.25">
      <c r="A132" s="248" t="str">
        <f t="shared" si="9"/>
        <v/>
      </c>
      <c r="B132" s="249" t="str">
        <f t="shared" si="10"/>
        <v/>
      </c>
      <c r="C132" s="250"/>
      <c r="D132" s="251"/>
      <c r="E132" s="241"/>
      <c r="F132" s="252"/>
      <c r="G132" s="252"/>
      <c r="H132" s="253"/>
      <c r="I132" s="250"/>
      <c r="J132" s="250"/>
      <c r="K132" s="270"/>
      <c r="L132" s="250"/>
      <c r="M132" s="250"/>
      <c r="N132" s="540" t="str">
        <f>CONCATENATE(IF(OR(M132=phu!$I$1,M132=phu!$I$2,M132=phu!$I$3),"Cam Thành Nam",""),IF(OR(M132=phu!$I$4,M132=phu!$I$5,M132=phu!$I$6,M132=phu!$I$7,M132=phu!$I$8,M132=phu!$I$9,M132=phu!$I$10,M132=phu!$I$11,M132=phu!$I$12,M132=phu!$I$13,M132=phu!$I$14),"Cam Nghĩa",""),IF(OR(M132=phu!$I$15,M132=phu!$I$16,M132=phu!$I$17,M132=phu!$I$18,M132=phu!$I$19,M132=phu!$I$20,M132=phu!$I$21),"Cam Phúc Bắc",""),IF(OR(M132=phu!$I$22,M132=phu!$I$23,M132=phu!$I$24,M132=phu!$I$25),"Cam Phúc Nam",""),IF(OR(M132=phu!$I$26,M132=phu!$I$27,M132=phu!$I$28,M132=phu!$I$29,M132=phu!$I$30,M132=phu!$I$31),"Cam Phú",""),IF(OR(M132=phu!$I$32,M132=phu!$I$33,M132=phu!$I$34,M132=phu!$I$35,M132=phu!$I$36,M132=phu!$I$37),"Cam Lộc",""),IF(OR(M132=phu!$I$38,M132=phu!$I$39,M132=phu!$I$40,M132=phu!$I$41,M132=phu!$I$42,M132=phu!$I$43,M132=phu!$I$44),"Cam Thuận",""),IF(OR(M132=phu!$I$45,M132=phu!$I$46,M132=phu!$I$47,M132=phu!$I$48,M132=phu!$I$49,M132=phu!$I$50,M132=phu!$I$51,M132=phu!$I$52,M132=phu!$I$53),"Cam Linh",""),IF(OR(M132=phu!$I$54,M132=phu!$I$55,M132=phu!$I$56,M132=phu!$I$57,M132=phu!$I$58,M132=phu!$I$59,M132=phu!$I$60,M132=phu!$I$61,M132=phu!$I$62),"Cam Lợi",""),IF(OR(M132=phu!$I$63,M132=phu!$I$64,M132=phu!$I$65,M132=phu!$I$66,M132=phu!$I$67,M132=phu!$I$68,M132=phu!$I$69,M132=phu!$I$70,M132=phu!$I$71),"Ba Ngòi",""),IF(OR(M132=phu!$I$72,M132=phu!$I$73,M132=phu!$I$74,M132=phu!$I$75,M132=phu!$I$76,M132=phu!$I$77,M132=phu!$I$78),"Cam Phước Đông",""),IF(OR(M132=phu!$I$79,M132=phu!$I$80,M132=phu!$I$81,M132=phu!$I$82,M132=phu!$I$83,M132=phu!$I$84),"Cam Thịnh Đông",""),IF(OR(M132=phu!$I$85,M132=phu!$I$86,M132=phu!$I$87,M132=phu!$I$88),"Cam Thịnh Tây",""),IF(OR(M132=phu!$I$89,M132=phu!$I$90),"Cam Lập",""),IF(OR(M132=phu!$I$91,M132=phu!$I$92,M132=phu!$I$93),"Cam Bình",""),IF(OR(M132=phu!$I$94,M132=phu!$I$95,M132=phu!$I$96,M132=phu!$I$97,M132=phu!$I$98,M132=phu!$I$99,M132=phu!$I$100),"Huyện khác",""),IF(OR(M132=phu!$I$101,M132=phu!$I$102),"Tỉnh khác",""))</f>
        <v/>
      </c>
      <c r="O132" s="829" t="str">
        <f t="shared" si="6"/>
        <v/>
      </c>
      <c r="P132" s="254"/>
      <c r="Q132" s="254"/>
      <c r="R132" s="254"/>
      <c r="S132" s="254"/>
      <c r="T132" s="254"/>
      <c r="U132" s="254"/>
      <c r="V132" s="254"/>
      <c r="W132" s="254"/>
      <c r="Y132" s="246" t="str">
        <f t="shared" si="7"/>
        <v/>
      </c>
      <c r="Z132" s="247" t="str">
        <f t="shared" si="11"/>
        <v/>
      </c>
      <c r="AA132" s="246" t="str">
        <f t="shared" si="8"/>
        <v/>
      </c>
    </row>
    <row r="133" spans="1:27" ht="18" customHeight="1" x14ac:dyDescent="0.25">
      <c r="A133" s="248" t="str">
        <f t="shared" si="9"/>
        <v/>
      </c>
      <c r="B133" s="249" t="str">
        <f t="shared" si="10"/>
        <v/>
      </c>
      <c r="C133" s="250"/>
      <c r="D133" s="251"/>
      <c r="E133" s="241"/>
      <c r="F133" s="252"/>
      <c r="G133" s="252"/>
      <c r="H133" s="253"/>
      <c r="I133" s="250"/>
      <c r="J133" s="250"/>
      <c r="K133" s="270"/>
      <c r="L133" s="250"/>
      <c r="M133" s="250"/>
      <c r="N133" s="540" t="str">
        <f>CONCATENATE(IF(OR(M133=phu!$I$1,M133=phu!$I$2,M133=phu!$I$3),"Cam Thành Nam",""),IF(OR(M133=phu!$I$4,M133=phu!$I$5,M133=phu!$I$6,M133=phu!$I$7,M133=phu!$I$8,M133=phu!$I$9,M133=phu!$I$10,M133=phu!$I$11,M133=phu!$I$12,M133=phu!$I$13,M133=phu!$I$14),"Cam Nghĩa",""),IF(OR(M133=phu!$I$15,M133=phu!$I$16,M133=phu!$I$17,M133=phu!$I$18,M133=phu!$I$19,M133=phu!$I$20,M133=phu!$I$21),"Cam Phúc Bắc",""),IF(OR(M133=phu!$I$22,M133=phu!$I$23,M133=phu!$I$24,M133=phu!$I$25),"Cam Phúc Nam",""),IF(OR(M133=phu!$I$26,M133=phu!$I$27,M133=phu!$I$28,M133=phu!$I$29,M133=phu!$I$30,M133=phu!$I$31),"Cam Phú",""),IF(OR(M133=phu!$I$32,M133=phu!$I$33,M133=phu!$I$34,M133=phu!$I$35,M133=phu!$I$36,M133=phu!$I$37),"Cam Lộc",""),IF(OR(M133=phu!$I$38,M133=phu!$I$39,M133=phu!$I$40,M133=phu!$I$41,M133=phu!$I$42,M133=phu!$I$43,M133=phu!$I$44),"Cam Thuận",""),IF(OR(M133=phu!$I$45,M133=phu!$I$46,M133=phu!$I$47,M133=phu!$I$48,M133=phu!$I$49,M133=phu!$I$50,M133=phu!$I$51,M133=phu!$I$52,M133=phu!$I$53),"Cam Linh",""),IF(OR(M133=phu!$I$54,M133=phu!$I$55,M133=phu!$I$56,M133=phu!$I$57,M133=phu!$I$58,M133=phu!$I$59,M133=phu!$I$60,M133=phu!$I$61,M133=phu!$I$62),"Cam Lợi",""),IF(OR(M133=phu!$I$63,M133=phu!$I$64,M133=phu!$I$65,M133=phu!$I$66,M133=phu!$I$67,M133=phu!$I$68,M133=phu!$I$69,M133=phu!$I$70,M133=phu!$I$71),"Ba Ngòi",""),IF(OR(M133=phu!$I$72,M133=phu!$I$73,M133=phu!$I$74,M133=phu!$I$75,M133=phu!$I$76,M133=phu!$I$77,M133=phu!$I$78),"Cam Phước Đông",""),IF(OR(M133=phu!$I$79,M133=phu!$I$80,M133=phu!$I$81,M133=phu!$I$82,M133=phu!$I$83,M133=phu!$I$84),"Cam Thịnh Đông",""),IF(OR(M133=phu!$I$85,M133=phu!$I$86,M133=phu!$I$87,M133=phu!$I$88),"Cam Thịnh Tây",""),IF(OR(M133=phu!$I$89,M133=phu!$I$90),"Cam Lập",""),IF(OR(M133=phu!$I$91,M133=phu!$I$92,M133=phu!$I$93),"Cam Bình",""),IF(OR(M133=phu!$I$94,M133=phu!$I$95,M133=phu!$I$96,M133=phu!$I$97,M133=phu!$I$98,M133=phu!$I$99,M133=phu!$I$100),"Huyện khác",""),IF(OR(M133=phu!$I$101,M133=phu!$I$102),"Tỉnh khác",""))</f>
        <v/>
      </c>
      <c r="O133" s="829" t="str">
        <f t="shared" si="6"/>
        <v/>
      </c>
      <c r="P133" s="254"/>
      <c r="Q133" s="254"/>
      <c r="R133" s="254"/>
      <c r="S133" s="254"/>
      <c r="T133" s="254"/>
      <c r="U133" s="254"/>
      <c r="V133" s="254"/>
      <c r="W133" s="254"/>
      <c r="Y133" s="246" t="str">
        <f t="shared" si="7"/>
        <v/>
      </c>
      <c r="Z133" s="247" t="str">
        <f t="shared" si="11"/>
        <v/>
      </c>
      <c r="AA133" s="246" t="str">
        <f t="shared" si="8"/>
        <v/>
      </c>
    </row>
    <row r="134" spans="1:27" ht="18" customHeight="1" x14ac:dyDescent="0.25">
      <c r="A134" s="248" t="str">
        <f t="shared" si="9"/>
        <v/>
      </c>
      <c r="B134" s="249" t="str">
        <f t="shared" si="10"/>
        <v/>
      </c>
      <c r="C134" s="250"/>
      <c r="D134" s="251"/>
      <c r="E134" s="241"/>
      <c r="F134" s="252"/>
      <c r="G134" s="252"/>
      <c r="H134" s="253"/>
      <c r="I134" s="250"/>
      <c r="J134" s="250"/>
      <c r="K134" s="270"/>
      <c r="L134" s="250"/>
      <c r="M134" s="250"/>
      <c r="N134" s="540" t="str">
        <f>CONCATENATE(IF(OR(M134=phu!$I$1,M134=phu!$I$2,M134=phu!$I$3),"Cam Thành Nam",""),IF(OR(M134=phu!$I$4,M134=phu!$I$5,M134=phu!$I$6,M134=phu!$I$7,M134=phu!$I$8,M134=phu!$I$9,M134=phu!$I$10,M134=phu!$I$11,M134=phu!$I$12,M134=phu!$I$13,M134=phu!$I$14),"Cam Nghĩa",""),IF(OR(M134=phu!$I$15,M134=phu!$I$16,M134=phu!$I$17,M134=phu!$I$18,M134=phu!$I$19,M134=phu!$I$20,M134=phu!$I$21),"Cam Phúc Bắc",""),IF(OR(M134=phu!$I$22,M134=phu!$I$23,M134=phu!$I$24,M134=phu!$I$25),"Cam Phúc Nam",""),IF(OR(M134=phu!$I$26,M134=phu!$I$27,M134=phu!$I$28,M134=phu!$I$29,M134=phu!$I$30,M134=phu!$I$31),"Cam Phú",""),IF(OR(M134=phu!$I$32,M134=phu!$I$33,M134=phu!$I$34,M134=phu!$I$35,M134=phu!$I$36,M134=phu!$I$37),"Cam Lộc",""),IF(OR(M134=phu!$I$38,M134=phu!$I$39,M134=phu!$I$40,M134=phu!$I$41,M134=phu!$I$42,M134=phu!$I$43,M134=phu!$I$44),"Cam Thuận",""),IF(OR(M134=phu!$I$45,M134=phu!$I$46,M134=phu!$I$47,M134=phu!$I$48,M134=phu!$I$49,M134=phu!$I$50,M134=phu!$I$51,M134=phu!$I$52,M134=phu!$I$53),"Cam Linh",""),IF(OR(M134=phu!$I$54,M134=phu!$I$55,M134=phu!$I$56,M134=phu!$I$57,M134=phu!$I$58,M134=phu!$I$59,M134=phu!$I$60,M134=phu!$I$61,M134=phu!$I$62),"Cam Lợi",""),IF(OR(M134=phu!$I$63,M134=phu!$I$64,M134=phu!$I$65,M134=phu!$I$66,M134=phu!$I$67,M134=phu!$I$68,M134=phu!$I$69,M134=phu!$I$70,M134=phu!$I$71),"Ba Ngòi",""),IF(OR(M134=phu!$I$72,M134=phu!$I$73,M134=phu!$I$74,M134=phu!$I$75,M134=phu!$I$76,M134=phu!$I$77,M134=phu!$I$78),"Cam Phước Đông",""),IF(OR(M134=phu!$I$79,M134=phu!$I$80,M134=phu!$I$81,M134=phu!$I$82,M134=phu!$I$83,M134=phu!$I$84),"Cam Thịnh Đông",""),IF(OR(M134=phu!$I$85,M134=phu!$I$86,M134=phu!$I$87,M134=phu!$I$88),"Cam Thịnh Tây",""),IF(OR(M134=phu!$I$89,M134=phu!$I$90),"Cam Lập",""),IF(OR(M134=phu!$I$91,M134=phu!$I$92,M134=phu!$I$93),"Cam Bình",""),IF(OR(M134=phu!$I$94,M134=phu!$I$95,M134=phu!$I$96,M134=phu!$I$97,M134=phu!$I$98,M134=phu!$I$99,M134=phu!$I$100),"Huyện khác",""),IF(OR(M134=phu!$I$101,M134=phu!$I$102),"Tỉnh khác",""))</f>
        <v/>
      </c>
      <c r="O134" s="829" t="str">
        <f t="shared" si="6"/>
        <v/>
      </c>
      <c r="P134" s="254"/>
      <c r="Q134" s="254"/>
      <c r="R134" s="254"/>
      <c r="S134" s="254"/>
      <c r="T134" s="254"/>
      <c r="U134" s="254"/>
      <c r="V134" s="254"/>
      <c r="W134" s="254"/>
      <c r="Y134" s="246" t="str">
        <f t="shared" si="7"/>
        <v/>
      </c>
      <c r="Z134" s="247" t="str">
        <f t="shared" si="11"/>
        <v/>
      </c>
      <c r="AA134" s="246" t="str">
        <f t="shared" si="8"/>
        <v/>
      </c>
    </row>
    <row r="135" spans="1:27" ht="18" customHeight="1" x14ac:dyDescent="0.25">
      <c r="A135" s="248" t="str">
        <f t="shared" si="9"/>
        <v/>
      </c>
      <c r="B135" s="249" t="str">
        <f t="shared" si="10"/>
        <v/>
      </c>
      <c r="C135" s="250"/>
      <c r="D135" s="251"/>
      <c r="E135" s="241"/>
      <c r="F135" s="252"/>
      <c r="G135" s="252"/>
      <c r="H135" s="253"/>
      <c r="I135" s="250"/>
      <c r="J135" s="250"/>
      <c r="K135" s="270"/>
      <c r="L135" s="250"/>
      <c r="M135" s="250"/>
      <c r="N135" s="540" t="str">
        <f>CONCATENATE(IF(OR(M135=phu!$I$1,M135=phu!$I$2,M135=phu!$I$3),"Cam Thành Nam",""),IF(OR(M135=phu!$I$4,M135=phu!$I$5,M135=phu!$I$6,M135=phu!$I$7,M135=phu!$I$8,M135=phu!$I$9,M135=phu!$I$10,M135=phu!$I$11,M135=phu!$I$12,M135=phu!$I$13,M135=phu!$I$14),"Cam Nghĩa",""),IF(OR(M135=phu!$I$15,M135=phu!$I$16,M135=phu!$I$17,M135=phu!$I$18,M135=phu!$I$19,M135=phu!$I$20,M135=phu!$I$21),"Cam Phúc Bắc",""),IF(OR(M135=phu!$I$22,M135=phu!$I$23,M135=phu!$I$24,M135=phu!$I$25),"Cam Phúc Nam",""),IF(OR(M135=phu!$I$26,M135=phu!$I$27,M135=phu!$I$28,M135=phu!$I$29,M135=phu!$I$30,M135=phu!$I$31),"Cam Phú",""),IF(OR(M135=phu!$I$32,M135=phu!$I$33,M135=phu!$I$34,M135=phu!$I$35,M135=phu!$I$36,M135=phu!$I$37),"Cam Lộc",""),IF(OR(M135=phu!$I$38,M135=phu!$I$39,M135=phu!$I$40,M135=phu!$I$41,M135=phu!$I$42,M135=phu!$I$43,M135=phu!$I$44),"Cam Thuận",""),IF(OR(M135=phu!$I$45,M135=phu!$I$46,M135=phu!$I$47,M135=phu!$I$48,M135=phu!$I$49,M135=phu!$I$50,M135=phu!$I$51,M135=phu!$I$52,M135=phu!$I$53),"Cam Linh",""),IF(OR(M135=phu!$I$54,M135=phu!$I$55,M135=phu!$I$56,M135=phu!$I$57,M135=phu!$I$58,M135=phu!$I$59,M135=phu!$I$60,M135=phu!$I$61,M135=phu!$I$62),"Cam Lợi",""),IF(OR(M135=phu!$I$63,M135=phu!$I$64,M135=phu!$I$65,M135=phu!$I$66,M135=phu!$I$67,M135=phu!$I$68,M135=phu!$I$69,M135=phu!$I$70,M135=phu!$I$71),"Ba Ngòi",""),IF(OR(M135=phu!$I$72,M135=phu!$I$73,M135=phu!$I$74,M135=phu!$I$75,M135=phu!$I$76,M135=phu!$I$77,M135=phu!$I$78),"Cam Phước Đông",""),IF(OR(M135=phu!$I$79,M135=phu!$I$80,M135=phu!$I$81,M135=phu!$I$82,M135=phu!$I$83,M135=phu!$I$84),"Cam Thịnh Đông",""),IF(OR(M135=phu!$I$85,M135=phu!$I$86,M135=phu!$I$87,M135=phu!$I$88),"Cam Thịnh Tây",""),IF(OR(M135=phu!$I$89,M135=phu!$I$90),"Cam Lập",""),IF(OR(M135=phu!$I$91,M135=phu!$I$92,M135=phu!$I$93),"Cam Bình",""),IF(OR(M135=phu!$I$94,M135=phu!$I$95,M135=phu!$I$96,M135=phu!$I$97,M135=phu!$I$98,M135=phu!$I$99,M135=phu!$I$100),"Huyện khác",""),IF(OR(M135=phu!$I$101,M135=phu!$I$102),"Tỉnh khác",""))</f>
        <v/>
      </c>
      <c r="O135" s="829" t="str">
        <f t="shared" ref="O135:O198" si="12">CONCATENATE(IF(OR(N135="Cam Thành Nam",N135="Cam Nghĩa",N135="Cam Phúc Bắc"),"Bắc Cam Ranh",""),IF(OR(N135="Cam Phúc Nam",N135="Cam Phú",N135="Cam Lộc"),"Cam Ranh",""),IF(OR(N135="Cam Thuận",N135="Cam Linh",N135="Cam Lợi"),"Cam Linh",""),IF(OR(N135="Ba Ngòi",N135="Cam Phước Đông"),"Ba Ngòi",""),IF(OR(N135="Cam Thịnh Đông",N135="Cam Thịnh Tây",N135="Cam Lập",N135="Cam Bình"),"Nam Cam Ranh",""),IF(N135="Huyện khác","Huyện khác",""),IF(N135="Tỉnh khác","Tỉnh khác",""))</f>
        <v/>
      </c>
      <c r="P135" s="254"/>
      <c r="Q135" s="254"/>
      <c r="R135" s="254"/>
      <c r="S135" s="254"/>
      <c r="T135" s="254"/>
      <c r="U135" s="254"/>
      <c r="V135" s="254"/>
      <c r="W135" s="254"/>
      <c r="Y135" s="246" t="str">
        <f t="shared" ref="Y135:Y198" si="13">IF(OR(AND(B135="",C135="",D135="",E135="",F135="",G135="",H135="",I135="",J135="",L135="",M135="",N135="",P135="",Q135="",R135="",S135=""),AND(B135&lt;&gt;"",C135&lt;&gt;"",D135&lt;&gt;"",E135&lt;&gt;"",F135&lt;&gt;"",G135&lt;&gt;"",H135&lt;&gt;"",J135&lt;&gt;"",M135&lt;&gt;"",N135&lt;&gt;"",P135&lt;&gt;"",OR(AND(Q135&lt;&gt;"",R135=""),AND(Q135="",R135&lt;&gt;""),AND(Q135&lt;&gt;"",R135&lt;&gt;"")),OR(AND(K135="X",T135&lt;&gt;""),AND(K135="",T135="")))),"","er")</f>
        <v/>
      </c>
      <c r="Z135" s="247" t="str">
        <f t="shared" si="11"/>
        <v/>
      </c>
      <c r="AA135" s="246" t="str">
        <f t="shared" ref="AA135:AA198" si="14">IF(OR(AND(Z135&lt;=10,B135&gt;5),AND(Z135&lt;=11,B135&gt;6),AND(Z135&lt;=12,B135&gt;7),AND(Z135&lt;=13,B135&gt;8),AND(Z135&lt;=14,B135&gt;9),AND(Z135=11,B135=6,L135="X"),AND(Z135=12,B135=7,L135="X"),AND(Z135=13,B135=8,L135="X"),AND(Z135=14,B135=9,L135="X")),"er","")</f>
        <v/>
      </c>
    </row>
    <row r="136" spans="1:27" ht="18" customHeight="1" x14ac:dyDescent="0.25">
      <c r="A136" s="248" t="str">
        <f t="shared" ref="A136:A199" si="15">IF(OR(A135="",B136="",C136="",D136="",E136=""),"",A135+1)</f>
        <v/>
      </c>
      <c r="B136" s="249" t="str">
        <f t="shared" ref="B136:B199" si="16">IF(C136="","",VALUE(LEFT(C136,1)))</f>
        <v/>
      </c>
      <c r="C136" s="250"/>
      <c r="D136" s="251"/>
      <c r="E136" s="241"/>
      <c r="F136" s="252"/>
      <c r="G136" s="252"/>
      <c r="H136" s="253"/>
      <c r="I136" s="250"/>
      <c r="J136" s="250"/>
      <c r="K136" s="270"/>
      <c r="L136" s="250"/>
      <c r="M136" s="250"/>
      <c r="N136" s="540" t="str">
        <f>CONCATENATE(IF(OR(M136=phu!$I$1,M136=phu!$I$2,M136=phu!$I$3),"Cam Thành Nam",""),IF(OR(M136=phu!$I$4,M136=phu!$I$5,M136=phu!$I$6,M136=phu!$I$7,M136=phu!$I$8,M136=phu!$I$9,M136=phu!$I$10,M136=phu!$I$11,M136=phu!$I$12,M136=phu!$I$13,M136=phu!$I$14),"Cam Nghĩa",""),IF(OR(M136=phu!$I$15,M136=phu!$I$16,M136=phu!$I$17,M136=phu!$I$18,M136=phu!$I$19,M136=phu!$I$20,M136=phu!$I$21),"Cam Phúc Bắc",""),IF(OR(M136=phu!$I$22,M136=phu!$I$23,M136=phu!$I$24,M136=phu!$I$25),"Cam Phúc Nam",""),IF(OR(M136=phu!$I$26,M136=phu!$I$27,M136=phu!$I$28,M136=phu!$I$29,M136=phu!$I$30,M136=phu!$I$31),"Cam Phú",""),IF(OR(M136=phu!$I$32,M136=phu!$I$33,M136=phu!$I$34,M136=phu!$I$35,M136=phu!$I$36,M136=phu!$I$37),"Cam Lộc",""),IF(OR(M136=phu!$I$38,M136=phu!$I$39,M136=phu!$I$40,M136=phu!$I$41,M136=phu!$I$42,M136=phu!$I$43,M136=phu!$I$44),"Cam Thuận",""),IF(OR(M136=phu!$I$45,M136=phu!$I$46,M136=phu!$I$47,M136=phu!$I$48,M136=phu!$I$49,M136=phu!$I$50,M136=phu!$I$51,M136=phu!$I$52,M136=phu!$I$53),"Cam Linh",""),IF(OR(M136=phu!$I$54,M136=phu!$I$55,M136=phu!$I$56,M136=phu!$I$57,M136=phu!$I$58,M136=phu!$I$59,M136=phu!$I$60,M136=phu!$I$61,M136=phu!$I$62),"Cam Lợi",""),IF(OR(M136=phu!$I$63,M136=phu!$I$64,M136=phu!$I$65,M136=phu!$I$66,M136=phu!$I$67,M136=phu!$I$68,M136=phu!$I$69,M136=phu!$I$70,M136=phu!$I$71),"Ba Ngòi",""),IF(OR(M136=phu!$I$72,M136=phu!$I$73,M136=phu!$I$74,M136=phu!$I$75,M136=phu!$I$76,M136=phu!$I$77,M136=phu!$I$78),"Cam Phước Đông",""),IF(OR(M136=phu!$I$79,M136=phu!$I$80,M136=phu!$I$81,M136=phu!$I$82,M136=phu!$I$83,M136=phu!$I$84),"Cam Thịnh Đông",""),IF(OR(M136=phu!$I$85,M136=phu!$I$86,M136=phu!$I$87,M136=phu!$I$88),"Cam Thịnh Tây",""),IF(OR(M136=phu!$I$89,M136=phu!$I$90),"Cam Lập",""),IF(OR(M136=phu!$I$91,M136=phu!$I$92,M136=phu!$I$93),"Cam Bình",""),IF(OR(M136=phu!$I$94,M136=phu!$I$95,M136=phu!$I$96,M136=phu!$I$97,M136=phu!$I$98,M136=phu!$I$99,M136=phu!$I$100),"Huyện khác",""),IF(OR(M136=phu!$I$101,M136=phu!$I$102),"Tỉnh khác",""))</f>
        <v/>
      </c>
      <c r="O136" s="829" t="str">
        <f t="shared" si="12"/>
        <v/>
      </c>
      <c r="P136" s="254"/>
      <c r="Q136" s="254"/>
      <c r="R136" s="254"/>
      <c r="S136" s="254"/>
      <c r="T136" s="254"/>
      <c r="U136" s="254"/>
      <c r="V136" s="254"/>
      <c r="W136" s="254"/>
      <c r="Y136" s="246" t="str">
        <f t="shared" si="13"/>
        <v/>
      </c>
      <c r="Z136" s="247" t="str">
        <f t="shared" ref="Z136:Z199" si="17">IF(H136="","",$Z$1-H136)</f>
        <v/>
      </c>
      <c r="AA136" s="246" t="str">
        <f t="shared" si="14"/>
        <v/>
      </c>
    </row>
    <row r="137" spans="1:27" ht="18" customHeight="1" x14ac:dyDescent="0.25">
      <c r="A137" s="248" t="str">
        <f t="shared" si="15"/>
        <v/>
      </c>
      <c r="B137" s="249" t="str">
        <f t="shared" si="16"/>
        <v/>
      </c>
      <c r="C137" s="250"/>
      <c r="D137" s="251"/>
      <c r="E137" s="241"/>
      <c r="F137" s="252"/>
      <c r="G137" s="252"/>
      <c r="H137" s="253"/>
      <c r="I137" s="250"/>
      <c r="J137" s="250"/>
      <c r="K137" s="270"/>
      <c r="L137" s="250"/>
      <c r="M137" s="250"/>
      <c r="N137" s="540" t="str">
        <f>CONCATENATE(IF(OR(M137=phu!$I$1,M137=phu!$I$2,M137=phu!$I$3),"Cam Thành Nam",""),IF(OR(M137=phu!$I$4,M137=phu!$I$5,M137=phu!$I$6,M137=phu!$I$7,M137=phu!$I$8,M137=phu!$I$9,M137=phu!$I$10,M137=phu!$I$11,M137=phu!$I$12,M137=phu!$I$13,M137=phu!$I$14),"Cam Nghĩa",""),IF(OR(M137=phu!$I$15,M137=phu!$I$16,M137=phu!$I$17,M137=phu!$I$18,M137=phu!$I$19,M137=phu!$I$20,M137=phu!$I$21),"Cam Phúc Bắc",""),IF(OR(M137=phu!$I$22,M137=phu!$I$23,M137=phu!$I$24,M137=phu!$I$25),"Cam Phúc Nam",""),IF(OR(M137=phu!$I$26,M137=phu!$I$27,M137=phu!$I$28,M137=phu!$I$29,M137=phu!$I$30,M137=phu!$I$31),"Cam Phú",""),IF(OR(M137=phu!$I$32,M137=phu!$I$33,M137=phu!$I$34,M137=phu!$I$35,M137=phu!$I$36,M137=phu!$I$37),"Cam Lộc",""),IF(OR(M137=phu!$I$38,M137=phu!$I$39,M137=phu!$I$40,M137=phu!$I$41,M137=phu!$I$42,M137=phu!$I$43,M137=phu!$I$44),"Cam Thuận",""),IF(OR(M137=phu!$I$45,M137=phu!$I$46,M137=phu!$I$47,M137=phu!$I$48,M137=phu!$I$49,M137=phu!$I$50,M137=phu!$I$51,M137=phu!$I$52,M137=phu!$I$53),"Cam Linh",""),IF(OR(M137=phu!$I$54,M137=phu!$I$55,M137=phu!$I$56,M137=phu!$I$57,M137=phu!$I$58,M137=phu!$I$59,M137=phu!$I$60,M137=phu!$I$61,M137=phu!$I$62),"Cam Lợi",""),IF(OR(M137=phu!$I$63,M137=phu!$I$64,M137=phu!$I$65,M137=phu!$I$66,M137=phu!$I$67,M137=phu!$I$68,M137=phu!$I$69,M137=phu!$I$70,M137=phu!$I$71),"Ba Ngòi",""),IF(OR(M137=phu!$I$72,M137=phu!$I$73,M137=phu!$I$74,M137=phu!$I$75,M137=phu!$I$76,M137=phu!$I$77,M137=phu!$I$78),"Cam Phước Đông",""),IF(OR(M137=phu!$I$79,M137=phu!$I$80,M137=phu!$I$81,M137=phu!$I$82,M137=phu!$I$83,M137=phu!$I$84),"Cam Thịnh Đông",""),IF(OR(M137=phu!$I$85,M137=phu!$I$86,M137=phu!$I$87,M137=phu!$I$88),"Cam Thịnh Tây",""),IF(OR(M137=phu!$I$89,M137=phu!$I$90),"Cam Lập",""),IF(OR(M137=phu!$I$91,M137=phu!$I$92,M137=phu!$I$93),"Cam Bình",""),IF(OR(M137=phu!$I$94,M137=phu!$I$95,M137=phu!$I$96,M137=phu!$I$97,M137=phu!$I$98,M137=phu!$I$99,M137=phu!$I$100),"Huyện khác",""),IF(OR(M137=phu!$I$101,M137=phu!$I$102),"Tỉnh khác",""))</f>
        <v/>
      </c>
      <c r="O137" s="829" t="str">
        <f t="shared" si="12"/>
        <v/>
      </c>
      <c r="P137" s="254"/>
      <c r="Q137" s="254"/>
      <c r="R137" s="254"/>
      <c r="S137" s="254"/>
      <c r="T137" s="254"/>
      <c r="U137" s="254"/>
      <c r="V137" s="254"/>
      <c r="W137" s="254"/>
      <c r="Y137" s="246" t="str">
        <f t="shared" si="13"/>
        <v/>
      </c>
      <c r="Z137" s="247" t="str">
        <f t="shared" si="17"/>
        <v/>
      </c>
      <c r="AA137" s="246" t="str">
        <f t="shared" si="14"/>
        <v/>
      </c>
    </row>
    <row r="138" spans="1:27" ht="18" customHeight="1" x14ac:dyDescent="0.25">
      <c r="A138" s="248" t="str">
        <f t="shared" si="15"/>
        <v/>
      </c>
      <c r="B138" s="249" t="str">
        <f t="shared" si="16"/>
        <v/>
      </c>
      <c r="C138" s="250"/>
      <c r="D138" s="251"/>
      <c r="E138" s="241"/>
      <c r="F138" s="252"/>
      <c r="G138" s="252"/>
      <c r="H138" s="253"/>
      <c r="I138" s="250"/>
      <c r="J138" s="250"/>
      <c r="K138" s="270"/>
      <c r="L138" s="250"/>
      <c r="M138" s="250"/>
      <c r="N138" s="540" t="str">
        <f>CONCATENATE(IF(OR(M138=phu!$I$1,M138=phu!$I$2,M138=phu!$I$3),"Cam Thành Nam",""),IF(OR(M138=phu!$I$4,M138=phu!$I$5,M138=phu!$I$6,M138=phu!$I$7,M138=phu!$I$8,M138=phu!$I$9,M138=phu!$I$10,M138=phu!$I$11,M138=phu!$I$12,M138=phu!$I$13,M138=phu!$I$14),"Cam Nghĩa",""),IF(OR(M138=phu!$I$15,M138=phu!$I$16,M138=phu!$I$17,M138=phu!$I$18,M138=phu!$I$19,M138=phu!$I$20,M138=phu!$I$21),"Cam Phúc Bắc",""),IF(OR(M138=phu!$I$22,M138=phu!$I$23,M138=phu!$I$24,M138=phu!$I$25),"Cam Phúc Nam",""),IF(OR(M138=phu!$I$26,M138=phu!$I$27,M138=phu!$I$28,M138=phu!$I$29,M138=phu!$I$30,M138=phu!$I$31),"Cam Phú",""),IF(OR(M138=phu!$I$32,M138=phu!$I$33,M138=phu!$I$34,M138=phu!$I$35,M138=phu!$I$36,M138=phu!$I$37),"Cam Lộc",""),IF(OR(M138=phu!$I$38,M138=phu!$I$39,M138=phu!$I$40,M138=phu!$I$41,M138=phu!$I$42,M138=phu!$I$43,M138=phu!$I$44),"Cam Thuận",""),IF(OR(M138=phu!$I$45,M138=phu!$I$46,M138=phu!$I$47,M138=phu!$I$48,M138=phu!$I$49,M138=phu!$I$50,M138=phu!$I$51,M138=phu!$I$52,M138=phu!$I$53),"Cam Linh",""),IF(OR(M138=phu!$I$54,M138=phu!$I$55,M138=phu!$I$56,M138=phu!$I$57,M138=phu!$I$58,M138=phu!$I$59,M138=phu!$I$60,M138=phu!$I$61,M138=phu!$I$62),"Cam Lợi",""),IF(OR(M138=phu!$I$63,M138=phu!$I$64,M138=phu!$I$65,M138=phu!$I$66,M138=phu!$I$67,M138=phu!$I$68,M138=phu!$I$69,M138=phu!$I$70,M138=phu!$I$71),"Ba Ngòi",""),IF(OR(M138=phu!$I$72,M138=phu!$I$73,M138=phu!$I$74,M138=phu!$I$75,M138=phu!$I$76,M138=phu!$I$77,M138=phu!$I$78),"Cam Phước Đông",""),IF(OR(M138=phu!$I$79,M138=phu!$I$80,M138=phu!$I$81,M138=phu!$I$82,M138=phu!$I$83,M138=phu!$I$84),"Cam Thịnh Đông",""),IF(OR(M138=phu!$I$85,M138=phu!$I$86,M138=phu!$I$87,M138=phu!$I$88),"Cam Thịnh Tây",""),IF(OR(M138=phu!$I$89,M138=phu!$I$90),"Cam Lập",""),IF(OR(M138=phu!$I$91,M138=phu!$I$92,M138=phu!$I$93),"Cam Bình",""),IF(OR(M138=phu!$I$94,M138=phu!$I$95,M138=phu!$I$96,M138=phu!$I$97,M138=phu!$I$98,M138=phu!$I$99,M138=phu!$I$100),"Huyện khác",""),IF(OR(M138=phu!$I$101,M138=phu!$I$102),"Tỉnh khác",""))</f>
        <v/>
      </c>
      <c r="O138" s="829" t="str">
        <f t="shared" si="12"/>
        <v/>
      </c>
      <c r="P138" s="254"/>
      <c r="Q138" s="254"/>
      <c r="R138" s="254"/>
      <c r="S138" s="254"/>
      <c r="T138" s="254"/>
      <c r="U138" s="254"/>
      <c r="V138" s="254"/>
      <c r="W138" s="254"/>
      <c r="Y138" s="246" t="str">
        <f t="shared" si="13"/>
        <v/>
      </c>
      <c r="Z138" s="247" t="str">
        <f t="shared" si="17"/>
        <v/>
      </c>
      <c r="AA138" s="246" t="str">
        <f t="shared" si="14"/>
        <v/>
      </c>
    </row>
    <row r="139" spans="1:27" ht="18" customHeight="1" x14ac:dyDescent="0.25">
      <c r="A139" s="248" t="str">
        <f t="shared" si="15"/>
        <v/>
      </c>
      <c r="B139" s="249" t="str">
        <f t="shared" si="16"/>
        <v/>
      </c>
      <c r="C139" s="250"/>
      <c r="D139" s="251"/>
      <c r="E139" s="241"/>
      <c r="F139" s="252"/>
      <c r="G139" s="252"/>
      <c r="H139" s="253"/>
      <c r="I139" s="250"/>
      <c r="J139" s="250"/>
      <c r="K139" s="270"/>
      <c r="L139" s="250"/>
      <c r="M139" s="250"/>
      <c r="N139" s="540" t="str">
        <f>CONCATENATE(IF(OR(M139=phu!$I$1,M139=phu!$I$2,M139=phu!$I$3),"Cam Thành Nam",""),IF(OR(M139=phu!$I$4,M139=phu!$I$5,M139=phu!$I$6,M139=phu!$I$7,M139=phu!$I$8,M139=phu!$I$9,M139=phu!$I$10,M139=phu!$I$11,M139=phu!$I$12,M139=phu!$I$13,M139=phu!$I$14),"Cam Nghĩa",""),IF(OR(M139=phu!$I$15,M139=phu!$I$16,M139=phu!$I$17,M139=phu!$I$18,M139=phu!$I$19,M139=phu!$I$20,M139=phu!$I$21),"Cam Phúc Bắc",""),IF(OR(M139=phu!$I$22,M139=phu!$I$23,M139=phu!$I$24,M139=phu!$I$25),"Cam Phúc Nam",""),IF(OR(M139=phu!$I$26,M139=phu!$I$27,M139=phu!$I$28,M139=phu!$I$29,M139=phu!$I$30,M139=phu!$I$31),"Cam Phú",""),IF(OR(M139=phu!$I$32,M139=phu!$I$33,M139=phu!$I$34,M139=phu!$I$35,M139=phu!$I$36,M139=phu!$I$37),"Cam Lộc",""),IF(OR(M139=phu!$I$38,M139=phu!$I$39,M139=phu!$I$40,M139=phu!$I$41,M139=phu!$I$42,M139=phu!$I$43,M139=phu!$I$44),"Cam Thuận",""),IF(OR(M139=phu!$I$45,M139=phu!$I$46,M139=phu!$I$47,M139=phu!$I$48,M139=phu!$I$49,M139=phu!$I$50,M139=phu!$I$51,M139=phu!$I$52,M139=phu!$I$53),"Cam Linh",""),IF(OR(M139=phu!$I$54,M139=phu!$I$55,M139=phu!$I$56,M139=phu!$I$57,M139=phu!$I$58,M139=phu!$I$59,M139=phu!$I$60,M139=phu!$I$61,M139=phu!$I$62),"Cam Lợi",""),IF(OR(M139=phu!$I$63,M139=phu!$I$64,M139=phu!$I$65,M139=phu!$I$66,M139=phu!$I$67,M139=phu!$I$68,M139=phu!$I$69,M139=phu!$I$70,M139=phu!$I$71),"Ba Ngòi",""),IF(OR(M139=phu!$I$72,M139=phu!$I$73,M139=phu!$I$74,M139=phu!$I$75,M139=phu!$I$76,M139=phu!$I$77,M139=phu!$I$78),"Cam Phước Đông",""),IF(OR(M139=phu!$I$79,M139=phu!$I$80,M139=phu!$I$81,M139=phu!$I$82,M139=phu!$I$83,M139=phu!$I$84),"Cam Thịnh Đông",""),IF(OR(M139=phu!$I$85,M139=phu!$I$86,M139=phu!$I$87,M139=phu!$I$88),"Cam Thịnh Tây",""),IF(OR(M139=phu!$I$89,M139=phu!$I$90),"Cam Lập",""),IF(OR(M139=phu!$I$91,M139=phu!$I$92,M139=phu!$I$93),"Cam Bình",""),IF(OR(M139=phu!$I$94,M139=phu!$I$95,M139=phu!$I$96,M139=phu!$I$97,M139=phu!$I$98,M139=phu!$I$99,M139=phu!$I$100),"Huyện khác",""),IF(OR(M139=phu!$I$101,M139=phu!$I$102),"Tỉnh khác",""))</f>
        <v/>
      </c>
      <c r="O139" s="829" t="str">
        <f t="shared" si="12"/>
        <v/>
      </c>
      <c r="P139" s="254"/>
      <c r="Q139" s="254"/>
      <c r="R139" s="254"/>
      <c r="S139" s="254"/>
      <c r="T139" s="254"/>
      <c r="U139" s="254"/>
      <c r="V139" s="254"/>
      <c r="W139" s="254"/>
      <c r="Y139" s="246" t="str">
        <f t="shared" si="13"/>
        <v/>
      </c>
      <c r="Z139" s="247" t="str">
        <f t="shared" si="17"/>
        <v/>
      </c>
      <c r="AA139" s="246" t="str">
        <f t="shared" si="14"/>
        <v/>
      </c>
    </row>
    <row r="140" spans="1:27" ht="18" customHeight="1" x14ac:dyDescent="0.25">
      <c r="A140" s="248" t="str">
        <f t="shared" si="15"/>
        <v/>
      </c>
      <c r="B140" s="249" t="str">
        <f t="shared" si="16"/>
        <v/>
      </c>
      <c r="C140" s="250"/>
      <c r="D140" s="251"/>
      <c r="E140" s="241"/>
      <c r="F140" s="252"/>
      <c r="G140" s="252"/>
      <c r="H140" s="253"/>
      <c r="I140" s="250"/>
      <c r="J140" s="250"/>
      <c r="K140" s="270"/>
      <c r="L140" s="250"/>
      <c r="M140" s="250"/>
      <c r="N140" s="540" t="str">
        <f>CONCATENATE(IF(OR(M140=phu!$I$1,M140=phu!$I$2,M140=phu!$I$3),"Cam Thành Nam",""),IF(OR(M140=phu!$I$4,M140=phu!$I$5,M140=phu!$I$6,M140=phu!$I$7,M140=phu!$I$8,M140=phu!$I$9,M140=phu!$I$10,M140=phu!$I$11,M140=phu!$I$12,M140=phu!$I$13,M140=phu!$I$14),"Cam Nghĩa",""),IF(OR(M140=phu!$I$15,M140=phu!$I$16,M140=phu!$I$17,M140=phu!$I$18,M140=phu!$I$19,M140=phu!$I$20,M140=phu!$I$21),"Cam Phúc Bắc",""),IF(OR(M140=phu!$I$22,M140=phu!$I$23,M140=phu!$I$24,M140=phu!$I$25),"Cam Phúc Nam",""),IF(OR(M140=phu!$I$26,M140=phu!$I$27,M140=phu!$I$28,M140=phu!$I$29,M140=phu!$I$30,M140=phu!$I$31),"Cam Phú",""),IF(OR(M140=phu!$I$32,M140=phu!$I$33,M140=phu!$I$34,M140=phu!$I$35,M140=phu!$I$36,M140=phu!$I$37),"Cam Lộc",""),IF(OR(M140=phu!$I$38,M140=phu!$I$39,M140=phu!$I$40,M140=phu!$I$41,M140=phu!$I$42,M140=phu!$I$43,M140=phu!$I$44),"Cam Thuận",""),IF(OR(M140=phu!$I$45,M140=phu!$I$46,M140=phu!$I$47,M140=phu!$I$48,M140=phu!$I$49,M140=phu!$I$50,M140=phu!$I$51,M140=phu!$I$52,M140=phu!$I$53),"Cam Linh",""),IF(OR(M140=phu!$I$54,M140=phu!$I$55,M140=phu!$I$56,M140=phu!$I$57,M140=phu!$I$58,M140=phu!$I$59,M140=phu!$I$60,M140=phu!$I$61,M140=phu!$I$62),"Cam Lợi",""),IF(OR(M140=phu!$I$63,M140=phu!$I$64,M140=phu!$I$65,M140=phu!$I$66,M140=phu!$I$67,M140=phu!$I$68,M140=phu!$I$69,M140=phu!$I$70,M140=phu!$I$71),"Ba Ngòi",""),IF(OR(M140=phu!$I$72,M140=phu!$I$73,M140=phu!$I$74,M140=phu!$I$75,M140=phu!$I$76,M140=phu!$I$77,M140=phu!$I$78),"Cam Phước Đông",""),IF(OR(M140=phu!$I$79,M140=phu!$I$80,M140=phu!$I$81,M140=phu!$I$82,M140=phu!$I$83,M140=phu!$I$84),"Cam Thịnh Đông",""),IF(OR(M140=phu!$I$85,M140=phu!$I$86,M140=phu!$I$87,M140=phu!$I$88),"Cam Thịnh Tây",""),IF(OR(M140=phu!$I$89,M140=phu!$I$90),"Cam Lập",""),IF(OR(M140=phu!$I$91,M140=phu!$I$92,M140=phu!$I$93),"Cam Bình",""),IF(OR(M140=phu!$I$94,M140=phu!$I$95,M140=phu!$I$96,M140=phu!$I$97,M140=phu!$I$98,M140=phu!$I$99,M140=phu!$I$100),"Huyện khác",""),IF(OR(M140=phu!$I$101,M140=phu!$I$102),"Tỉnh khác",""))</f>
        <v/>
      </c>
      <c r="O140" s="829" t="str">
        <f t="shared" si="12"/>
        <v/>
      </c>
      <c r="P140" s="254"/>
      <c r="Q140" s="254"/>
      <c r="R140" s="254"/>
      <c r="S140" s="254"/>
      <c r="T140" s="254"/>
      <c r="U140" s="254"/>
      <c r="V140" s="254"/>
      <c r="W140" s="254"/>
      <c r="Y140" s="246" t="str">
        <f t="shared" si="13"/>
        <v/>
      </c>
      <c r="Z140" s="247" t="str">
        <f t="shared" si="17"/>
        <v/>
      </c>
      <c r="AA140" s="246" t="str">
        <f t="shared" si="14"/>
        <v/>
      </c>
    </row>
    <row r="141" spans="1:27" ht="18" customHeight="1" x14ac:dyDescent="0.25">
      <c r="A141" s="248" t="str">
        <f t="shared" si="15"/>
        <v/>
      </c>
      <c r="B141" s="249" t="str">
        <f t="shared" si="16"/>
        <v/>
      </c>
      <c r="C141" s="250"/>
      <c r="D141" s="251"/>
      <c r="E141" s="241"/>
      <c r="F141" s="252"/>
      <c r="G141" s="252"/>
      <c r="H141" s="253"/>
      <c r="I141" s="250"/>
      <c r="J141" s="250"/>
      <c r="K141" s="270"/>
      <c r="L141" s="250"/>
      <c r="M141" s="250"/>
      <c r="N141" s="540" t="str">
        <f>CONCATENATE(IF(OR(M141=phu!$I$1,M141=phu!$I$2,M141=phu!$I$3),"Cam Thành Nam",""),IF(OR(M141=phu!$I$4,M141=phu!$I$5,M141=phu!$I$6,M141=phu!$I$7,M141=phu!$I$8,M141=phu!$I$9,M141=phu!$I$10,M141=phu!$I$11,M141=phu!$I$12,M141=phu!$I$13,M141=phu!$I$14),"Cam Nghĩa",""),IF(OR(M141=phu!$I$15,M141=phu!$I$16,M141=phu!$I$17,M141=phu!$I$18,M141=phu!$I$19,M141=phu!$I$20,M141=phu!$I$21),"Cam Phúc Bắc",""),IF(OR(M141=phu!$I$22,M141=phu!$I$23,M141=phu!$I$24,M141=phu!$I$25),"Cam Phúc Nam",""),IF(OR(M141=phu!$I$26,M141=phu!$I$27,M141=phu!$I$28,M141=phu!$I$29,M141=phu!$I$30,M141=phu!$I$31),"Cam Phú",""),IF(OR(M141=phu!$I$32,M141=phu!$I$33,M141=phu!$I$34,M141=phu!$I$35,M141=phu!$I$36,M141=phu!$I$37),"Cam Lộc",""),IF(OR(M141=phu!$I$38,M141=phu!$I$39,M141=phu!$I$40,M141=phu!$I$41,M141=phu!$I$42,M141=phu!$I$43,M141=phu!$I$44),"Cam Thuận",""),IF(OR(M141=phu!$I$45,M141=phu!$I$46,M141=phu!$I$47,M141=phu!$I$48,M141=phu!$I$49,M141=phu!$I$50,M141=phu!$I$51,M141=phu!$I$52,M141=phu!$I$53),"Cam Linh",""),IF(OR(M141=phu!$I$54,M141=phu!$I$55,M141=phu!$I$56,M141=phu!$I$57,M141=phu!$I$58,M141=phu!$I$59,M141=phu!$I$60,M141=phu!$I$61,M141=phu!$I$62),"Cam Lợi",""),IF(OR(M141=phu!$I$63,M141=phu!$I$64,M141=phu!$I$65,M141=phu!$I$66,M141=phu!$I$67,M141=phu!$I$68,M141=phu!$I$69,M141=phu!$I$70,M141=phu!$I$71),"Ba Ngòi",""),IF(OR(M141=phu!$I$72,M141=phu!$I$73,M141=phu!$I$74,M141=phu!$I$75,M141=phu!$I$76,M141=phu!$I$77,M141=phu!$I$78),"Cam Phước Đông",""),IF(OR(M141=phu!$I$79,M141=phu!$I$80,M141=phu!$I$81,M141=phu!$I$82,M141=phu!$I$83,M141=phu!$I$84),"Cam Thịnh Đông",""),IF(OR(M141=phu!$I$85,M141=phu!$I$86,M141=phu!$I$87,M141=phu!$I$88),"Cam Thịnh Tây",""),IF(OR(M141=phu!$I$89,M141=phu!$I$90),"Cam Lập",""),IF(OR(M141=phu!$I$91,M141=phu!$I$92,M141=phu!$I$93),"Cam Bình",""),IF(OR(M141=phu!$I$94,M141=phu!$I$95,M141=phu!$I$96,M141=phu!$I$97,M141=phu!$I$98,M141=phu!$I$99,M141=phu!$I$100),"Huyện khác",""),IF(OR(M141=phu!$I$101,M141=phu!$I$102),"Tỉnh khác",""))</f>
        <v/>
      </c>
      <c r="O141" s="829" t="str">
        <f t="shared" si="12"/>
        <v/>
      </c>
      <c r="P141" s="254"/>
      <c r="Q141" s="254"/>
      <c r="R141" s="254"/>
      <c r="S141" s="254"/>
      <c r="T141" s="254"/>
      <c r="U141" s="254"/>
      <c r="V141" s="254"/>
      <c r="W141" s="254"/>
      <c r="Y141" s="246" t="str">
        <f t="shared" si="13"/>
        <v/>
      </c>
      <c r="Z141" s="247" t="str">
        <f t="shared" si="17"/>
        <v/>
      </c>
      <c r="AA141" s="246" t="str">
        <f t="shared" si="14"/>
        <v/>
      </c>
    </row>
    <row r="142" spans="1:27" ht="18" customHeight="1" x14ac:dyDescent="0.25">
      <c r="A142" s="248" t="str">
        <f t="shared" si="15"/>
        <v/>
      </c>
      <c r="B142" s="249" t="str">
        <f t="shared" si="16"/>
        <v/>
      </c>
      <c r="C142" s="250"/>
      <c r="D142" s="251"/>
      <c r="E142" s="241"/>
      <c r="F142" s="252"/>
      <c r="G142" s="252"/>
      <c r="H142" s="253"/>
      <c r="I142" s="250"/>
      <c r="J142" s="250"/>
      <c r="K142" s="270"/>
      <c r="L142" s="250"/>
      <c r="M142" s="250"/>
      <c r="N142" s="540" t="str">
        <f>CONCATENATE(IF(OR(M142=phu!$I$1,M142=phu!$I$2,M142=phu!$I$3),"Cam Thành Nam",""),IF(OR(M142=phu!$I$4,M142=phu!$I$5,M142=phu!$I$6,M142=phu!$I$7,M142=phu!$I$8,M142=phu!$I$9,M142=phu!$I$10,M142=phu!$I$11,M142=phu!$I$12,M142=phu!$I$13,M142=phu!$I$14),"Cam Nghĩa",""),IF(OR(M142=phu!$I$15,M142=phu!$I$16,M142=phu!$I$17,M142=phu!$I$18,M142=phu!$I$19,M142=phu!$I$20,M142=phu!$I$21),"Cam Phúc Bắc",""),IF(OR(M142=phu!$I$22,M142=phu!$I$23,M142=phu!$I$24,M142=phu!$I$25),"Cam Phúc Nam",""),IF(OR(M142=phu!$I$26,M142=phu!$I$27,M142=phu!$I$28,M142=phu!$I$29,M142=phu!$I$30,M142=phu!$I$31),"Cam Phú",""),IF(OR(M142=phu!$I$32,M142=phu!$I$33,M142=phu!$I$34,M142=phu!$I$35,M142=phu!$I$36,M142=phu!$I$37),"Cam Lộc",""),IF(OR(M142=phu!$I$38,M142=phu!$I$39,M142=phu!$I$40,M142=phu!$I$41,M142=phu!$I$42,M142=phu!$I$43,M142=phu!$I$44),"Cam Thuận",""),IF(OR(M142=phu!$I$45,M142=phu!$I$46,M142=phu!$I$47,M142=phu!$I$48,M142=phu!$I$49,M142=phu!$I$50,M142=phu!$I$51,M142=phu!$I$52,M142=phu!$I$53),"Cam Linh",""),IF(OR(M142=phu!$I$54,M142=phu!$I$55,M142=phu!$I$56,M142=phu!$I$57,M142=phu!$I$58,M142=phu!$I$59,M142=phu!$I$60,M142=phu!$I$61,M142=phu!$I$62),"Cam Lợi",""),IF(OR(M142=phu!$I$63,M142=phu!$I$64,M142=phu!$I$65,M142=phu!$I$66,M142=phu!$I$67,M142=phu!$I$68,M142=phu!$I$69,M142=phu!$I$70,M142=phu!$I$71),"Ba Ngòi",""),IF(OR(M142=phu!$I$72,M142=phu!$I$73,M142=phu!$I$74,M142=phu!$I$75,M142=phu!$I$76,M142=phu!$I$77,M142=phu!$I$78),"Cam Phước Đông",""),IF(OR(M142=phu!$I$79,M142=phu!$I$80,M142=phu!$I$81,M142=phu!$I$82,M142=phu!$I$83,M142=phu!$I$84),"Cam Thịnh Đông",""),IF(OR(M142=phu!$I$85,M142=phu!$I$86,M142=phu!$I$87,M142=phu!$I$88),"Cam Thịnh Tây",""),IF(OR(M142=phu!$I$89,M142=phu!$I$90),"Cam Lập",""),IF(OR(M142=phu!$I$91,M142=phu!$I$92,M142=phu!$I$93),"Cam Bình",""),IF(OR(M142=phu!$I$94,M142=phu!$I$95,M142=phu!$I$96,M142=phu!$I$97,M142=phu!$I$98,M142=phu!$I$99,M142=phu!$I$100),"Huyện khác",""),IF(OR(M142=phu!$I$101,M142=phu!$I$102),"Tỉnh khác",""))</f>
        <v/>
      </c>
      <c r="O142" s="829" t="str">
        <f t="shared" si="12"/>
        <v/>
      </c>
      <c r="P142" s="254"/>
      <c r="Q142" s="254"/>
      <c r="R142" s="254"/>
      <c r="S142" s="254"/>
      <c r="T142" s="254"/>
      <c r="U142" s="254"/>
      <c r="V142" s="254"/>
      <c r="W142" s="254"/>
      <c r="Y142" s="246" t="str">
        <f t="shared" si="13"/>
        <v/>
      </c>
      <c r="Z142" s="247" t="str">
        <f t="shared" si="17"/>
        <v/>
      </c>
      <c r="AA142" s="246" t="str">
        <f t="shared" si="14"/>
        <v/>
      </c>
    </row>
    <row r="143" spans="1:27" ht="18" customHeight="1" x14ac:dyDescent="0.25">
      <c r="A143" s="248" t="str">
        <f t="shared" si="15"/>
        <v/>
      </c>
      <c r="B143" s="249" t="str">
        <f t="shared" si="16"/>
        <v/>
      </c>
      <c r="C143" s="250"/>
      <c r="D143" s="251"/>
      <c r="E143" s="241"/>
      <c r="F143" s="252"/>
      <c r="G143" s="252"/>
      <c r="H143" s="253"/>
      <c r="I143" s="250"/>
      <c r="J143" s="250"/>
      <c r="K143" s="270"/>
      <c r="L143" s="250"/>
      <c r="M143" s="250"/>
      <c r="N143" s="540" t="str">
        <f>CONCATENATE(IF(OR(M143=phu!$I$1,M143=phu!$I$2,M143=phu!$I$3),"Cam Thành Nam",""),IF(OR(M143=phu!$I$4,M143=phu!$I$5,M143=phu!$I$6,M143=phu!$I$7,M143=phu!$I$8,M143=phu!$I$9,M143=phu!$I$10,M143=phu!$I$11,M143=phu!$I$12,M143=phu!$I$13,M143=phu!$I$14),"Cam Nghĩa",""),IF(OR(M143=phu!$I$15,M143=phu!$I$16,M143=phu!$I$17,M143=phu!$I$18,M143=phu!$I$19,M143=phu!$I$20,M143=phu!$I$21),"Cam Phúc Bắc",""),IF(OR(M143=phu!$I$22,M143=phu!$I$23,M143=phu!$I$24,M143=phu!$I$25),"Cam Phúc Nam",""),IF(OR(M143=phu!$I$26,M143=phu!$I$27,M143=phu!$I$28,M143=phu!$I$29,M143=phu!$I$30,M143=phu!$I$31),"Cam Phú",""),IF(OR(M143=phu!$I$32,M143=phu!$I$33,M143=phu!$I$34,M143=phu!$I$35,M143=phu!$I$36,M143=phu!$I$37),"Cam Lộc",""),IF(OR(M143=phu!$I$38,M143=phu!$I$39,M143=phu!$I$40,M143=phu!$I$41,M143=phu!$I$42,M143=phu!$I$43,M143=phu!$I$44),"Cam Thuận",""),IF(OR(M143=phu!$I$45,M143=phu!$I$46,M143=phu!$I$47,M143=phu!$I$48,M143=phu!$I$49,M143=phu!$I$50,M143=phu!$I$51,M143=phu!$I$52,M143=phu!$I$53),"Cam Linh",""),IF(OR(M143=phu!$I$54,M143=phu!$I$55,M143=phu!$I$56,M143=phu!$I$57,M143=phu!$I$58,M143=phu!$I$59,M143=phu!$I$60,M143=phu!$I$61,M143=phu!$I$62),"Cam Lợi",""),IF(OR(M143=phu!$I$63,M143=phu!$I$64,M143=phu!$I$65,M143=phu!$I$66,M143=phu!$I$67,M143=phu!$I$68,M143=phu!$I$69,M143=phu!$I$70,M143=phu!$I$71),"Ba Ngòi",""),IF(OR(M143=phu!$I$72,M143=phu!$I$73,M143=phu!$I$74,M143=phu!$I$75,M143=phu!$I$76,M143=phu!$I$77,M143=phu!$I$78),"Cam Phước Đông",""),IF(OR(M143=phu!$I$79,M143=phu!$I$80,M143=phu!$I$81,M143=phu!$I$82,M143=phu!$I$83,M143=phu!$I$84),"Cam Thịnh Đông",""),IF(OR(M143=phu!$I$85,M143=phu!$I$86,M143=phu!$I$87,M143=phu!$I$88),"Cam Thịnh Tây",""),IF(OR(M143=phu!$I$89,M143=phu!$I$90),"Cam Lập",""),IF(OR(M143=phu!$I$91,M143=phu!$I$92,M143=phu!$I$93),"Cam Bình",""),IF(OR(M143=phu!$I$94,M143=phu!$I$95,M143=phu!$I$96,M143=phu!$I$97,M143=phu!$I$98,M143=phu!$I$99,M143=phu!$I$100),"Huyện khác",""),IF(OR(M143=phu!$I$101,M143=phu!$I$102),"Tỉnh khác",""))</f>
        <v/>
      </c>
      <c r="O143" s="829" t="str">
        <f t="shared" si="12"/>
        <v/>
      </c>
      <c r="P143" s="254"/>
      <c r="Q143" s="254"/>
      <c r="R143" s="254"/>
      <c r="S143" s="254"/>
      <c r="T143" s="254"/>
      <c r="U143" s="254"/>
      <c r="V143" s="254"/>
      <c r="W143" s="254"/>
      <c r="Y143" s="246" t="str">
        <f t="shared" si="13"/>
        <v/>
      </c>
      <c r="Z143" s="247" t="str">
        <f t="shared" si="17"/>
        <v/>
      </c>
      <c r="AA143" s="246" t="str">
        <f t="shared" si="14"/>
        <v/>
      </c>
    </row>
    <row r="144" spans="1:27" ht="18" customHeight="1" x14ac:dyDescent="0.25">
      <c r="A144" s="248" t="str">
        <f t="shared" si="15"/>
        <v/>
      </c>
      <c r="B144" s="249" t="str">
        <f t="shared" si="16"/>
        <v/>
      </c>
      <c r="C144" s="250"/>
      <c r="D144" s="251"/>
      <c r="E144" s="241"/>
      <c r="F144" s="252"/>
      <c r="G144" s="252"/>
      <c r="H144" s="253"/>
      <c r="I144" s="250"/>
      <c r="J144" s="250"/>
      <c r="K144" s="270"/>
      <c r="L144" s="250"/>
      <c r="M144" s="250"/>
      <c r="N144" s="540" t="str">
        <f>CONCATENATE(IF(OR(M144=phu!$I$1,M144=phu!$I$2,M144=phu!$I$3),"Cam Thành Nam",""),IF(OR(M144=phu!$I$4,M144=phu!$I$5,M144=phu!$I$6,M144=phu!$I$7,M144=phu!$I$8,M144=phu!$I$9,M144=phu!$I$10,M144=phu!$I$11,M144=phu!$I$12,M144=phu!$I$13,M144=phu!$I$14),"Cam Nghĩa",""),IF(OR(M144=phu!$I$15,M144=phu!$I$16,M144=phu!$I$17,M144=phu!$I$18,M144=phu!$I$19,M144=phu!$I$20,M144=phu!$I$21),"Cam Phúc Bắc",""),IF(OR(M144=phu!$I$22,M144=phu!$I$23,M144=phu!$I$24,M144=phu!$I$25),"Cam Phúc Nam",""),IF(OR(M144=phu!$I$26,M144=phu!$I$27,M144=phu!$I$28,M144=phu!$I$29,M144=phu!$I$30,M144=phu!$I$31),"Cam Phú",""),IF(OR(M144=phu!$I$32,M144=phu!$I$33,M144=phu!$I$34,M144=phu!$I$35,M144=phu!$I$36,M144=phu!$I$37),"Cam Lộc",""),IF(OR(M144=phu!$I$38,M144=phu!$I$39,M144=phu!$I$40,M144=phu!$I$41,M144=phu!$I$42,M144=phu!$I$43,M144=phu!$I$44),"Cam Thuận",""),IF(OR(M144=phu!$I$45,M144=phu!$I$46,M144=phu!$I$47,M144=phu!$I$48,M144=phu!$I$49,M144=phu!$I$50,M144=phu!$I$51,M144=phu!$I$52,M144=phu!$I$53),"Cam Linh",""),IF(OR(M144=phu!$I$54,M144=phu!$I$55,M144=phu!$I$56,M144=phu!$I$57,M144=phu!$I$58,M144=phu!$I$59,M144=phu!$I$60,M144=phu!$I$61,M144=phu!$I$62),"Cam Lợi",""),IF(OR(M144=phu!$I$63,M144=phu!$I$64,M144=phu!$I$65,M144=phu!$I$66,M144=phu!$I$67,M144=phu!$I$68,M144=phu!$I$69,M144=phu!$I$70,M144=phu!$I$71),"Ba Ngòi",""),IF(OR(M144=phu!$I$72,M144=phu!$I$73,M144=phu!$I$74,M144=phu!$I$75,M144=phu!$I$76,M144=phu!$I$77,M144=phu!$I$78),"Cam Phước Đông",""),IF(OR(M144=phu!$I$79,M144=phu!$I$80,M144=phu!$I$81,M144=phu!$I$82,M144=phu!$I$83,M144=phu!$I$84),"Cam Thịnh Đông",""),IF(OR(M144=phu!$I$85,M144=phu!$I$86,M144=phu!$I$87,M144=phu!$I$88),"Cam Thịnh Tây",""),IF(OR(M144=phu!$I$89,M144=phu!$I$90),"Cam Lập",""),IF(OR(M144=phu!$I$91,M144=phu!$I$92,M144=phu!$I$93),"Cam Bình",""),IF(OR(M144=phu!$I$94,M144=phu!$I$95,M144=phu!$I$96,M144=phu!$I$97,M144=phu!$I$98,M144=phu!$I$99,M144=phu!$I$100),"Huyện khác",""),IF(OR(M144=phu!$I$101,M144=phu!$I$102),"Tỉnh khác",""))</f>
        <v/>
      </c>
      <c r="O144" s="829" t="str">
        <f t="shared" si="12"/>
        <v/>
      </c>
      <c r="P144" s="254"/>
      <c r="Q144" s="254"/>
      <c r="R144" s="254"/>
      <c r="S144" s="254"/>
      <c r="T144" s="254"/>
      <c r="U144" s="254"/>
      <c r="V144" s="254"/>
      <c r="W144" s="254"/>
      <c r="Y144" s="246" t="str">
        <f t="shared" si="13"/>
        <v/>
      </c>
      <c r="Z144" s="247" t="str">
        <f t="shared" si="17"/>
        <v/>
      </c>
      <c r="AA144" s="246" t="str">
        <f t="shared" si="14"/>
        <v/>
      </c>
    </row>
    <row r="145" spans="1:27" ht="18" customHeight="1" x14ac:dyDescent="0.25">
      <c r="A145" s="248" t="str">
        <f t="shared" si="15"/>
        <v/>
      </c>
      <c r="B145" s="249" t="str">
        <f t="shared" si="16"/>
        <v/>
      </c>
      <c r="C145" s="250"/>
      <c r="D145" s="251"/>
      <c r="E145" s="241"/>
      <c r="F145" s="252"/>
      <c r="G145" s="252"/>
      <c r="H145" s="253"/>
      <c r="I145" s="250"/>
      <c r="J145" s="250"/>
      <c r="K145" s="270"/>
      <c r="L145" s="250"/>
      <c r="M145" s="250"/>
      <c r="N145" s="540" t="str">
        <f>CONCATENATE(IF(OR(M145=phu!$I$1,M145=phu!$I$2,M145=phu!$I$3),"Cam Thành Nam",""),IF(OR(M145=phu!$I$4,M145=phu!$I$5,M145=phu!$I$6,M145=phu!$I$7,M145=phu!$I$8,M145=phu!$I$9,M145=phu!$I$10,M145=phu!$I$11,M145=phu!$I$12,M145=phu!$I$13,M145=phu!$I$14),"Cam Nghĩa",""),IF(OR(M145=phu!$I$15,M145=phu!$I$16,M145=phu!$I$17,M145=phu!$I$18,M145=phu!$I$19,M145=phu!$I$20,M145=phu!$I$21),"Cam Phúc Bắc",""),IF(OR(M145=phu!$I$22,M145=phu!$I$23,M145=phu!$I$24,M145=phu!$I$25),"Cam Phúc Nam",""),IF(OR(M145=phu!$I$26,M145=phu!$I$27,M145=phu!$I$28,M145=phu!$I$29,M145=phu!$I$30,M145=phu!$I$31),"Cam Phú",""),IF(OR(M145=phu!$I$32,M145=phu!$I$33,M145=phu!$I$34,M145=phu!$I$35,M145=phu!$I$36,M145=phu!$I$37),"Cam Lộc",""),IF(OR(M145=phu!$I$38,M145=phu!$I$39,M145=phu!$I$40,M145=phu!$I$41,M145=phu!$I$42,M145=phu!$I$43,M145=phu!$I$44),"Cam Thuận",""),IF(OR(M145=phu!$I$45,M145=phu!$I$46,M145=phu!$I$47,M145=phu!$I$48,M145=phu!$I$49,M145=phu!$I$50,M145=phu!$I$51,M145=phu!$I$52,M145=phu!$I$53),"Cam Linh",""),IF(OR(M145=phu!$I$54,M145=phu!$I$55,M145=phu!$I$56,M145=phu!$I$57,M145=phu!$I$58,M145=phu!$I$59,M145=phu!$I$60,M145=phu!$I$61,M145=phu!$I$62),"Cam Lợi",""),IF(OR(M145=phu!$I$63,M145=phu!$I$64,M145=phu!$I$65,M145=phu!$I$66,M145=phu!$I$67,M145=phu!$I$68,M145=phu!$I$69,M145=phu!$I$70,M145=phu!$I$71),"Ba Ngòi",""),IF(OR(M145=phu!$I$72,M145=phu!$I$73,M145=phu!$I$74,M145=phu!$I$75,M145=phu!$I$76,M145=phu!$I$77,M145=phu!$I$78),"Cam Phước Đông",""),IF(OR(M145=phu!$I$79,M145=phu!$I$80,M145=phu!$I$81,M145=phu!$I$82,M145=phu!$I$83,M145=phu!$I$84),"Cam Thịnh Đông",""),IF(OR(M145=phu!$I$85,M145=phu!$I$86,M145=phu!$I$87,M145=phu!$I$88),"Cam Thịnh Tây",""),IF(OR(M145=phu!$I$89,M145=phu!$I$90),"Cam Lập",""),IF(OR(M145=phu!$I$91,M145=phu!$I$92,M145=phu!$I$93),"Cam Bình",""),IF(OR(M145=phu!$I$94,M145=phu!$I$95,M145=phu!$I$96,M145=phu!$I$97,M145=phu!$I$98,M145=phu!$I$99,M145=phu!$I$100),"Huyện khác",""),IF(OR(M145=phu!$I$101,M145=phu!$I$102),"Tỉnh khác",""))</f>
        <v/>
      </c>
      <c r="O145" s="829" t="str">
        <f t="shared" si="12"/>
        <v/>
      </c>
      <c r="P145" s="254"/>
      <c r="Q145" s="254"/>
      <c r="R145" s="254"/>
      <c r="S145" s="254"/>
      <c r="T145" s="254"/>
      <c r="U145" s="254"/>
      <c r="V145" s="254"/>
      <c r="W145" s="254"/>
      <c r="Y145" s="246" t="str">
        <f t="shared" si="13"/>
        <v/>
      </c>
      <c r="Z145" s="247" t="str">
        <f t="shared" si="17"/>
        <v/>
      </c>
      <c r="AA145" s="246" t="str">
        <f t="shared" si="14"/>
        <v/>
      </c>
    </row>
    <row r="146" spans="1:27" ht="18" customHeight="1" x14ac:dyDescent="0.25">
      <c r="A146" s="248" t="str">
        <f t="shared" si="15"/>
        <v/>
      </c>
      <c r="B146" s="249" t="str">
        <f t="shared" si="16"/>
        <v/>
      </c>
      <c r="C146" s="250"/>
      <c r="D146" s="251"/>
      <c r="E146" s="241"/>
      <c r="F146" s="252"/>
      <c r="G146" s="252"/>
      <c r="H146" s="253"/>
      <c r="I146" s="250"/>
      <c r="J146" s="250"/>
      <c r="K146" s="270"/>
      <c r="L146" s="250"/>
      <c r="M146" s="250"/>
      <c r="N146" s="540" t="str">
        <f>CONCATENATE(IF(OR(M146=phu!$I$1,M146=phu!$I$2,M146=phu!$I$3),"Cam Thành Nam",""),IF(OR(M146=phu!$I$4,M146=phu!$I$5,M146=phu!$I$6,M146=phu!$I$7,M146=phu!$I$8,M146=phu!$I$9,M146=phu!$I$10,M146=phu!$I$11,M146=phu!$I$12,M146=phu!$I$13,M146=phu!$I$14),"Cam Nghĩa",""),IF(OR(M146=phu!$I$15,M146=phu!$I$16,M146=phu!$I$17,M146=phu!$I$18,M146=phu!$I$19,M146=phu!$I$20,M146=phu!$I$21),"Cam Phúc Bắc",""),IF(OR(M146=phu!$I$22,M146=phu!$I$23,M146=phu!$I$24,M146=phu!$I$25),"Cam Phúc Nam",""),IF(OR(M146=phu!$I$26,M146=phu!$I$27,M146=phu!$I$28,M146=phu!$I$29,M146=phu!$I$30,M146=phu!$I$31),"Cam Phú",""),IF(OR(M146=phu!$I$32,M146=phu!$I$33,M146=phu!$I$34,M146=phu!$I$35,M146=phu!$I$36,M146=phu!$I$37),"Cam Lộc",""),IF(OR(M146=phu!$I$38,M146=phu!$I$39,M146=phu!$I$40,M146=phu!$I$41,M146=phu!$I$42,M146=phu!$I$43,M146=phu!$I$44),"Cam Thuận",""),IF(OR(M146=phu!$I$45,M146=phu!$I$46,M146=phu!$I$47,M146=phu!$I$48,M146=phu!$I$49,M146=phu!$I$50,M146=phu!$I$51,M146=phu!$I$52,M146=phu!$I$53),"Cam Linh",""),IF(OR(M146=phu!$I$54,M146=phu!$I$55,M146=phu!$I$56,M146=phu!$I$57,M146=phu!$I$58,M146=phu!$I$59,M146=phu!$I$60,M146=phu!$I$61,M146=phu!$I$62),"Cam Lợi",""),IF(OR(M146=phu!$I$63,M146=phu!$I$64,M146=phu!$I$65,M146=phu!$I$66,M146=phu!$I$67,M146=phu!$I$68,M146=phu!$I$69,M146=phu!$I$70,M146=phu!$I$71),"Ba Ngòi",""),IF(OR(M146=phu!$I$72,M146=phu!$I$73,M146=phu!$I$74,M146=phu!$I$75,M146=phu!$I$76,M146=phu!$I$77,M146=phu!$I$78),"Cam Phước Đông",""),IF(OR(M146=phu!$I$79,M146=phu!$I$80,M146=phu!$I$81,M146=phu!$I$82,M146=phu!$I$83,M146=phu!$I$84),"Cam Thịnh Đông",""),IF(OR(M146=phu!$I$85,M146=phu!$I$86,M146=phu!$I$87,M146=phu!$I$88),"Cam Thịnh Tây",""),IF(OR(M146=phu!$I$89,M146=phu!$I$90),"Cam Lập",""),IF(OR(M146=phu!$I$91,M146=phu!$I$92,M146=phu!$I$93),"Cam Bình",""),IF(OR(M146=phu!$I$94,M146=phu!$I$95,M146=phu!$I$96,M146=phu!$I$97,M146=phu!$I$98,M146=phu!$I$99,M146=phu!$I$100),"Huyện khác",""),IF(OR(M146=phu!$I$101,M146=phu!$I$102),"Tỉnh khác",""))</f>
        <v/>
      </c>
      <c r="O146" s="829" t="str">
        <f t="shared" si="12"/>
        <v/>
      </c>
      <c r="P146" s="254"/>
      <c r="Q146" s="254"/>
      <c r="R146" s="254"/>
      <c r="S146" s="254"/>
      <c r="T146" s="254"/>
      <c r="U146" s="254"/>
      <c r="V146" s="254"/>
      <c r="W146" s="254"/>
      <c r="Y146" s="246" t="str">
        <f t="shared" si="13"/>
        <v/>
      </c>
      <c r="Z146" s="247" t="str">
        <f t="shared" si="17"/>
        <v/>
      </c>
      <c r="AA146" s="246" t="str">
        <f t="shared" si="14"/>
        <v/>
      </c>
    </row>
    <row r="147" spans="1:27" ht="18" customHeight="1" x14ac:dyDescent="0.25">
      <c r="A147" s="248" t="str">
        <f t="shared" si="15"/>
        <v/>
      </c>
      <c r="B147" s="249" t="str">
        <f t="shared" si="16"/>
        <v/>
      </c>
      <c r="C147" s="250"/>
      <c r="D147" s="251"/>
      <c r="E147" s="241"/>
      <c r="F147" s="252"/>
      <c r="G147" s="252"/>
      <c r="H147" s="253"/>
      <c r="I147" s="250"/>
      <c r="J147" s="250"/>
      <c r="K147" s="270"/>
      <c r="L147" s="250"/>
      <c r="M147" s="250"/>
      <c r="N147" s="540" t="str">
        <f>CONCATENATE(IF(OR(M147=phu!$I$1,M147=phu!$I$2,M147=phu!$I$3),"Cam Thành Nam",""),IF(OR(M147=phu!$I$4,M147=phu!$I$5,M147=phu!$I$6,M147=phu!$I$7,M147=phu!$I$8,M147=phu!$I$9,M147=phu!$I$10,M147=phu!$I$11,M147=phu!$I$12,M147=phu!$I$13,M147=phu!$I$14),"Cam Nghĩa",""),IF(OR(M147=phu!$I$15,M147=phu!$I$16,M147=phu!$I$17,M147=phu!$I$18,M147=phu!$I$19,M147=phu!$I$20,M147=phu!$I$21),"Cam Phúc Bắc",""),IF(OR(M147=phu!$I$22,M147=phu!$I$23,M147=phu!$I$24,M147=phu!$I$25),"Cam Phúc Nam",""),IF(OR(M147=phu!$I$26,M147=phu!$I$27,M147=phu!$I$28,M147=phu!$I$29,M147=phu!$I$30,M147=phu!$I$31),"Cam Phú",""),IF(OR(M147=phu!$I$32,M147=phu!$I$33,M147=phu!$I$34,M147=phu!$I$35,M147=phu!$I$36,M147=phu!$I$37),"Cam Lộc",""),IF(OR(M147=phu!$I$38,M147=phu!$I$39,M147=phu!$I$40,M147=phu!$I$41,M147=phu!$I$42,M147=phu!$I$43,M147=phu!$I$44),"Cam Thuận",""),IF(OR(M147=phu!$I$45,M147=phu!$I$46,M147=phu!$I$47,M147=phu!$I$48,M147=phu!$I$49,M147=phu!$I$50,M147=phu!$I$51,M147=phu!$I$52,M147=phu!$I$53),"Cam Linh",""),IF(OR(M147=phu!$I$54,M147=phu!$I$55,M147=phu!$I$56,M147=phu!$I$57,M147=phu!$I$58,M147=phu!$I$59,M147=phu!$I$60,M147=phu!$I$61,M147=phu!$I$62),"Cam Lợi",""),IF(OR(M147=phu!$I$63,M147=phu!$I$64,M147=phu!$I$65,M147=phu!$I$66,M147=phu!$I$67,M147=phu!$I$68,M147=phu!$I$69,M147=phu!$I$70,M147=phu!$I$71),"Ba Ngòi",""),IF(OR(M147=phu!$I$72,M147=phu!$I$73,M147=phu!$I$74,M147=phu!$I$75,M147=phu!$I$76,M147=phu!$I$77,M147=phu!$I$78),"Cam Phước Đông",""),IF(OR(M147=phu!$I$79,M147=phu!$I$80,M147=phu!$I$81,M147=phu!$I$82,M147=phu!$I$83,M147=phu!$I$84),"Cam Thịnh Đông",""),IF(OR(M147=phu!$I$85,M147=phu!$I$86,M147=phu!$I$87,M147=phu!$I$88),"Cam Thịnh Tây",""),IF(OR(M147=phu!$I$89,M147=phu!$I$90),"Cam Lập",""),IF(OR(M147=phu!$I$91,M147=phu!$I$92,M147=phu!$I$93),"Cam Bình",""),IF(OR(M147=phu!$I$94,M147=phu!$I$95,M147=phu!$I$96,M147=phu!$I$97,M147=phu!$I$98,M147=phu!$I$99,M147=phu!$I$100),"Huyện khác",""),IF(OR(M147=phu!$I$101,M147=phu!$I$102),"Tỉnh khác",""))</f>
        <v/>
      </c>
      <c r="O147" s="829" t="str">
        <f t="shared" si="12"/>
        <v/>
      </c>
      <c r="P147" s="254"/>
      <c r="Q147" s="254"/>
      <c r="R147" s="254"/>
      <c r="S147" s="254"/>
      <c r="T147" s="254"/>
      <c r="U147" s="254"/>
      <c r="V147" s="254"/>
      <c r="W147" s="254"/>
      <c r="Y147" s="246" t="str">
        <f t="shared" si="13"/>
        <v/>
      </c>
      <c r="Z147" s="247" t="str">
        <f t="shared" si="17"/>
        <v/>
      </c>
      <c r="AA147" s="246" t="str">
        <f t="shared" si="14"/>
        <v/>
      </c>
    </row>
    <row r="148" spans="1:27" ht="18" customHeight="1" x14ac:dyDescent="0.25">
      <c r="A148" s="248" t="str">
        <f t="shared" si="15"/>
        <v/>
      </c>
      <c r="B148" s="249" t="str">
        <f t="shared" si="16"/>
        <v/>
      </c>
      <c r="C148" s="250"/>
      <c r="D148" s="251"/>
      <c r="E148" s="241"/>
      <c r="F148" s="252"/>
      <c r="G148" s="252"/>
      <c r="H148" s="253"/>
      <c r="I148" s="250"/>
      <c r="J148" s="250"/>
      <c r="K148" s="270"/>
      <c r="L148" s="250"/>
      <c r="M148" s="250"/>
      <c r="N148" s="540" t="str">
        <f>CONCATENATE(IF(OR(M148=phu!$I$1,M148=phu!$I$2,M148=phu!$I$3),"Cam Thành Nam",""),IF(OR(M148=phu!$I$4,M148=phu!$I$5,M148=phu!$I$6,M148=phu!$I$7,M148=phu!$I$8,M148=phu!$I$9,M148=phu!$I$10,M148=phu!$I$11,M148=phu!$I$12,M148=phu!$I$13,M148=phu!$I$14),"Cam Nghĩa",""),IF(OR(M148=phu!$I$15,M148=phu!$I$16,M148=phu!$I$17,M148=phu!$I$18,M148=phu!$I$19,M148=phu!$I$20,M148=phu!$I$21),"Cam Phúc Bắc",""),IF(OR(M148=phu!$I$22,M148=phu!$I$23,M148=phu!$I$24,M148=phu!$I$25),"Cam Phúc Nam",""),IF(OR(M148=phu!$I$26,M148=phu!$I$27,M148=phu!$I$28,M148=phu!$I$29,M148=phu!$I$30,M148=phu!$I$31),"Cam Phú",""),IF(OR(M148=phu!$I$32,M148=phu!$I$33,M148=phu!$I$34,M148=phu!$I$35,M148=phu!$I$36,M148=phu!$I$37),"Cam Lộc",""),IF(OR(M148=phu!$I$38,M148=phu!$I$39,M148=phu!$I$40,M148=phu!$I$41,M148=phu!$I$42,M148=phu!$I$43,M148=phu!$I$44),"Cam Thuận",""),IF(OR(M148=phu!$I$45,M148=phu!$I$46,M148=phu!$I$47,M148=phu!$I$48,M148=phu!$I$49,M148=phu!$I$50,M148=phu!$I$51,M148=phu!$I$52,M148=phu!$I$53),"Cam Linh",""),IF(OR(M148=phu!$I$54,M148=phu!$I$55,M148=phu!$I$56,M148=phu!$I$57,M148=phu!$I$58,M148=phu!$I$59,M148=phu!$I$60,M148=phu!$I$61,M148=phu!$I$62),"Cam Lợi",""),IF(OR(M148=phu!$I$63,M148=phu!$I$64,M148=phu!$I$65,M148=phu!$I$66,M148=phu!$I$67,M148=phu!$I$68,M148=phu!$I$69,M148=phu!$I$70,M148=phu!$I$71),"Ba Ngòi",""),IF(OR(M148=phu!$I$72,M148=phu!$I$73,M148=phu!$I$74,M148=phu!$I$75,M148=phu!$I$76,M148=phu!$I$77,M148=phu!$I$78),"Cam Phước Đông",""),IF(OR(M148=phu!$I$79,M148=phu!$I$80,M148=phu!$I$81,M148=phu!$I$82,M148=phu!$I$83,M148=phu!$I$84),"Cam Thịnh Đông",""),IF(OR(M148=phu!$I$85,M148=phu!$I$86,M148=phu!$I$87,M148=phu!$I$88),"Cam Thịnh Tây",""),IF(OR(M148=phu!$I$89,M148=phu!$I$90),"Cam Lập",""),IF(OR(M148=phu!$I$91,M148=phu!$I$92,M148=phu!$I$93),"Cam Bình",""),IF(OR(M148=phu!$I$94,M148=phu!$I$95,M148=phu!$I$96,M148=phu!$I$97,M148=phu!$I$98,M148=phu!$I$99,M148=phu!$I$100),"Huyện khác",""),IF(OR(M148=phu!$I$101,M148=phu!$I$102),"Tỉnh khác",""))</f>
        <v/>
      </c>
      <c r="O148" s="829" t="str">
        <f t="shared" si="12"/>
        <v/>
      </c>
      <c r="P148" s="254"/>
      <c r="Q148" s="254"/>
      <c r="R148" s="254"/>
      <c r="S148" s="254"/>
      <c r="T148" s="254"/>
      <c r="U148" s="254"/>
      <c r="V148" s="254"/>
      <c r="W148" s="254"/>
      <c r="Y148" s="246" t="str">
        <f t="shared" si="13"/>
        <v/>
      </c>
      <c r="Z148" s="247" t="str">
        <f t="shared" si="17"/>
        <v/>
      </c>
      <c r="AA148" s="246" t="str">
        <f t="shared" si="14"/>
        <v/>
      </c>
    </row>
    <row r="149" spans="1:27" ht="18" customHeight="1" x14ac:dyDescent="0.25">
      <c r="A149" s="248" t="str">
        <f t="shared" si="15"/>
        <v/>
      </c>
      <c r="B149" s="249" t="str">
        <f t="shared" si="16"/>
        <v/>
      </c>
      <c r="C149" s="250"/>
      <c r="D149" s="251"/>
      <c r="E149" s="241"/>
      <c r="F149" s="252"/>
      <c r="G149" s="252"/>
      <c r="H149" s="253"/>
      <c r="I149" s="250"/>
      <c r="J149" s="250"/>
      <c r="K149" s="270"/>
      <c r="L149" s="250"/>
      <c r="M149" s="250"/>
      <c r="N149" s="540" t="str">
        <f>CONCATENATE(IF(OR(M149=phu!$I$1,M149=phu!$I$2,M149=phu!$I$3),"Cam Thành Nam",""),IF(OR(M149=phu!$I$4,M149=phu!$I$5,M149=phu!$I$6,M149=phu!$I$7,M149=phu!$I$8,M149=phu!$I$9,M149=phu!$I$10,M149=phu!$I$11,M149=phu!$I$12,M149=phu!$I$13,M149=phu!$I$14),"Cam Nghĩa",""),IF(OR(M149=phu!$I$15,M149=phu!$I$16,M149=phu!$I$17,M149=phu!$I$18,M149=phu!$I$19,M149=phu!$I$20,M149=phu!$I$21),"Cam Phúc Bắc",""),IF(OR(M149=phu!$I$22,M149=phu!$I$23,M149=phu!$I$24,M149=phu!$I$25),"Cam Phúc Nam",""),IF(OR(M149=phu!$I$26,M149=phu!$I$27,M149=phu!$I$28,M149=phu!$I$29,M149=phu!$I$30,M149=phu!$I$31),"Cam Phú",""),IF(OR(M149=phu!$I$32,M149=phu!$I$33,M149=phu!$I$34,M149=phu!$I$35,M149=phu!$I$36,M149=phu!$I$37),"Cam Lộc",""),IF(OR(M149=phu!$I$38,M149=phu!$I$39,M149=phu!$I$40,M149=phu!$I$41,M149=phu!$I$42,M149=phu!$I$43,M149=phu!$I$44),"Cam Thuận",""),IF(OR(M149=phu!$I$45,M149=phu!$I$46,M149=phu!$I$47,M149=phu!$I$48,M149=phu!$I$49,M149=phu!$I$50,M149=phu!$I$51,M149=phu!$I$52,M149=phu!$I$53),"Cam Linh",""),IF(OR(M149=phu!$I$54,M149=phu!$I$55,M149=phu!$I$56,M149=phu!$I$57,M149=phu!$I$58,M149=phu!$I$59,M149=phu!$I$60,M149=phu!$I$61,M149=phu!$I$62),"Cam Lợi",""),IF(OR(M149=phu!$I$63,M149=phu!$I$64,M149=phu!$I$65,M149=phu!$I$66,M149=phu!$I$67,M149=phu!$I$68,M149=phu!$I$69,M149=phu!$I$70,M149=phu!$I$71),"Ba Ngòi",""),IF(OR(M149=phu!$I$72,M149=phu!$I$73,M149=phu!$I$74,M149=phu!$I$75,M149=phu!$I$76,M149=phu!$I$77,M149=phu!$I$78),"Cam Phước Đông",""),IF(OR(M149=phu!$I$79,M149=phu!$I$80,M149=phu!$I$81,M149=phu!$I$82,M149=phu!$I$83,M149=phu!$I$84),"Cam Thịnh Đông",""),IF(OR(M149=phu!$I$85,M149=phu!$I$86,M149=phu!$I$87,M149=phu!$I$88),"Cam Thịnh Tây",""),IF(OR(M149=phu!$I$89,M149=phu!$I$90),"Cam Lập",""),IF(OR(M149=phu!$I$91,M149=phu!$I$92,M149=phu!$I$93),"Cam Bình",""),IF(OR(M149=phu!$I$94,M149=phu!$I$95,M149=phu!$I$96,M149=phu!$I$97,M149=phu!$I$98,M149=phu!$I$99,M149=phu!$I$100),"Huyện khác",""),IF(OR(M149=phu!$I$101,M149=phu!$I$102),"Tỉnh khác",""))</f>
        <v/>
      </c>
      <c r="O149" s="829" t="str">
        <f t="shared" si="12"/>
        <v/>
      </c>
      <c r="P149" s="254"/>
      <c r="Q149" s="254"/>
      <c r="R149" s="254"/>
      <c r="S149" s="254"/>
      <c r="T149" s="254"/>
      <c r="U149" s="254"/>
      <c r="V149" s="254"/>
      <c r="W149" s="254"/>
      <c r="Y149" s="246" t="str">
        <f t="shared" si="13"/>
        <v/>
      </c>
      <c r="Z149" s="247" t="str">
        <f t="shared" si="17"/>
        <v/>
      </c>
      <c r="AA149" s="246" t="str">
        <f t="shared" si="14"/>
        <v/>
      </c>
    </row>
    <row r="150" spans="1:27" ht="18" customHeight="1" x14ac:dyDescent="0.25">
      <c r="A150" s="248" t="str">
        <f t="shared" si="15"/>
        <v/>
      </c>
      <c r="B150" s="249" t="str">
        <f t="shared" si="16"/>
        <v/>
      </c>
      <c r="C150" s="250"/>
      <c r="D150" s="251"/>
      <c r="E150" s="241"/>
      <c r="F150" s="252"/>
      <c r="G150" s="252"/>
      <c r="H150" s="253"/>
      <c r="I150" s="250"/>
      <c r="J150" s="250"/>
      <c r="K150" s="270"/>
      <c r="L150" s="250"/>
      <c r="M150" s="250"/>
      <c r="N150" s="540" t="str">
        <f>CONCATENATE(IF(OR(M150=phu!$I$1,M150=phu!$I$2,M150=phu!$I$3),"Cam Thành Nam",""),IF(OR(M150=phu!$I$4,M150=phu!$I$5,M150=phu!$I$6,M150=phu!$I$7,M150=phu!$I$8,M150=phu!$I$9,M150=phu!$I$10,M150=phu!$I$11,M150=phu!$I$12,M150=phu!$I$13,M150=phu!$I$14),"Cam Nghĩa",""),IF(OR(M150=phu!$I$15,M150=phu!$I$16,M150=phu!$I$17,M150=phu!$I$18,M150=phu!$I$19,M150=phu!$I$20,M150=phu!$I$21),"Cam Phúc Bắc",""),IF(OR(M150=phu!$I$22,M150=phu!$I$23,M150=phu!$I$24,M150=phu!$I$25),"Cam Phúc Nam",""),IF(OR(M150=phu!$I$26,M150=phu!$I$27,M150=phu!$I$28,M150=phu!$I$29,M150=phu!$I$30,M150=phu!$I$31),"Cam Phú",""),IF(OR(M150=phu!$I$32,M150=phu!$I$33,M150=phu!$I$34,M150=phu!$I$35,M150=phu!$I$36,M150=phu!$I$37),"Cam Lộc",""),IF(OR(M150=phu!$I$38,M150=phu!$I$39,M150=phu!$I$40,M150=phu!$I$41,M150=phu!$I$42,M150=phu!$I$43,M150=phu!$I$44),"Cam Thuận",""),IF(OR(M150=phu!$I$45,M150=phu!$I$46,M150=phu!$I$47,M150=phu!$I$48,M150=phu!$I$49,M150=phu!$I$50,M150=phu!$I$51,M150=phu!$I$52,M150=phu!$I$53),"Cam Linh",""),IF(OR(M150=phu!$I$54,M150=phu!$I$55,M150=phu!$I$56,M150=phu!$I$57,M150=phu!$I$58,M150=phu!$I$59,M150=phu!$I$60,M150=phu!$I$61,M150=phu!$I$62),"Cam Lợi",""),IF(OR(M150=phu!$I$63,M150=phu!$I$64,M150=phu!$I$65,M150=phu!$I$66,M150=phu!$I$67,M150=phu!$I$68,M150=phu!$I$69,M150=phu!$I$70,M150=phu!$I$71),"Ba Ngòi",""),IF(OR(M150=phu!$I$72,M150=phu!$I$73,M150=phu!$I$74,M150=phu!$I$75,M150=phu!$I$76,M150=phu!$I$77,M150=phu!$I$78),"Cam Phước Đông",""),IF(OR(M150=phu!$I$79,M150=phu!$I$80,M150=phu!$I$81,M150=phu!$I$82,M150=phu!$I$83,M150=phu!$I$84),"Cam Thịnh Đông",""),IF(OR(M150=phu!$I$85,M150=phu!$I$86,M150=phu!$I$87,M150=phu!$I$88),"Cam Thịnh Tây",""),IF(OR(M150=phu!$I$89,M150=phu!$I$90),"Cam Lập",""),IF(OR(M150=phu!$I$91,M150=phu!$I$92,M150=phu!$I$93),"Cam Bình",""),IF(OR(M150=phu!$I$94,M150=phu!$I$95,M150=phu!$I$96,M150=phu!$I$97,M150=phu!$I$98,M150=phu!$I$99,M150=phu!$I$100),"Huyện khác",""),IF(OR(M150=phu!$I$101,M150=phu!$I$102),"Tỉnh khác",""))</f>
        <v/>
      </c>
      <c r="O150" s="829" t="str">
        <f t="shared" si="12"/>
        <v/>
      </c>
      <c r="P150" s="254"/>
      <c r="Q150" s="254"/>
      <c r="R150" s="254"/>
      <c r="S150" s="254"/>
      <c r="T150" s="254"/>
      <c r="U150" s="254"/>
      <c r="V150" s="254"/>
      <c r="W150" s="254"/>
      <c r="Y150" s="246" t="str">
        <f t="shared" si="13"/>
        <v/>
      </c>
      <c r="Z150" s="247" t="str">
        <f t="shared" si="17"/>
        <v/>
      </c>
      <c r="AA150" s="246" t="str">
        <f t="shared" si="14"/>
        <v/>
      </c>
    </row>
    <row r="151" spans="1:27" ht="18" customHeight="1" x14ac:dyDescent="0.25">
      <c r="A151" s="248" t="str">
        <f t="shared" si="15"/>
        <v/>
      </c>
      <c r="B151" s="249" t="str">
        <f t="shared" si="16"/>
        <v/>
      </c>
      <c r="C151" s="250"/>
      <c r="D151" s="251"/>
      <c r="E151" s="241"/>
      <c r="F151" s="252"/>
      <c r="G151" s="252"/>
      <c r="H151" s="253"/>
      <c r="I151" s="250"/>
      <c r="J151" s="250"/>
      <c r="K151" s="270"/>
      <c r="L151" s="250"/>
      <c r="M151" s="250"/>
      <c r="N151" s="540" t="str">
        <f>CONCATENATE(IF(OR(M151=phu!$I$1,M151=phu!$I$2,M151=phu!$I$3),"Cam Thành Nam",""),IF(OR(M151=phu!$I$4,M151=phu!$I$5,M151=phu!$I$6,M151=phu!$I$7,M151=phu!$I$8,M151=phu!$I$9,M151=phu!$I$10,M151=phu!$I$11,M151=phu!$I$12,M151=phu!$I$13,M151=phu!$I$14),"Cam Nghĩa",""),IF(OR(M151=phu!$I$15,M151=phu!$I$16,M151=phu!$I$17,M151=phu!$I$18,M151=phu!$I$19,M151=phu!$I$20,M151=phu!$I$21),"Cam Phúc Bắc",""),IF(OR(M151=phu!$I$22,M151=phu!$I$23,M151=phu!$I$24,M151=phu!$I$25),"Cam Phúc Nam",""),IF(OR(M151=phu!$I$26,M151=phu!$I$27,M151=phu!$I$28,M151=phu!$I$29,M151=phu!$I$30,M151=phu!$I$31),"Cam Phú",""),IF(OR(M151=phu!$I$32,M151=phu!$I$33,M151=phu!$I$34,M151=phu!$I$35,M151=phu!$I$36,M151=phu!$I$37),"Cam Lộc",""),IF(OR(M151=phu!$I$38,M151=phu!$I$39,M151=phu!$I$40,M151=phu!$I$41,M151=phu!$I$42,M151=phu!$I$43,M151=phu!$I$44),"Cam Thuận",""),IF(OR(M151=phu!$I$45,M151=phu!$I$46,M151=phu!$I$47,M151=phu!$I$48,M151=phu!$I$49,M151=phu!$I$50,M151=phu!$I$51,M151=phu!$I$52,M151=phu!$I$53),"Cam Linh",""),IF(OR(M151=phu!$I$54,M151=phu!$I$55,M151=phu!$I$56,M151=phu!$I$57,M151=phu!$I$58,M151=phu!$I$59,M151=phu!$I$60,M151=phu!$I$61,M151=phu!$I$62),"Cam Lợi",""),IF(OR(M151=phu!$I$63,M151=phu!$I$64,M151=phu!$I$65,M151=phu!$I$66,M151=phu!$I$67,M151=phu!$I$68,M151=phu!$I$69,M151=phu!$I$70,M151=phu!$I$71),"Ba Ngòi",""),IF(OR(M151=phu!$I$72,M151=phu!$I$73,M151=phu!$I$74,M151=phu!$I$75,M151=phu!$I$76,M151=phu!$I$77,M151=phu!$I$78),"Cam Phước Đông",""),IF(OR(M151=phu!$I$79,M151=phu!$I$80,M151=phu!$I$81,M151=phu!$I$82,M151=phu!$I$83,M151=phu!$I$84),"Cam Thịnh Đông",""),IF(OR(M151=phu!$I$85,M151=phu!$I$86,M151=phu!$I$87,M151=phu!$I$88),"Cam Thịnh Tây",""),IF(OR(M151=phu!$I$89,M151=phu!$I$90),"Cam Lập",""),IF(OR(M151=phu!$I$91,M151=phu!$I$92,M151=phu!$I$93),"Cam Bình",""),IF(OR(M151=phu!$I$94,M151=phu!$I$95,M151=phu!$I$96,M151=phu!$I$97,M151=phu!$I$98,M151=phu!$I$99,M151=phu!$I$100),"Huyện khác",""),IF(OR(M151=phu!$I$101,M151=phu!$I$102),"Tỉnh khác",""))</f>
        <v/>
      </c>
      <c r="O151" s="829" t="str">
        <f t="shared" si="12"/>
        <v/>
      </c>
      <c r="P151" s="254"/>
      <c r="Q151" s="254"/>
      <c r="R151" s="254"/>
      <c r="S151" s="254"/>
      <c r="T151" s="254"/>
      <c r="U151" s="254"/>
      <c r="V151" s="254"/>
      <c r="W151" s="254"/>
      <c r="Y151" s="246" t="str">
        <f t="shared" si="13"/>
        <v/>
      </c>
      <c r="Z151" s="247" t="str">
        <f t="shared" si="17"/>
        <v/>
      </c>
      <c r="AA151" s="246" t="str">
        <f t="shared" si="14"/>
        <v/>
      </c>
    </row>
    <row r="152" spans="1:27" ht="18" customHeight="1" x14ac:dyDescent="0.25">
      <c r="A152" s="248" t="str">
        <f t="shared" si="15"/>
        <v/>
      </c>
      <c r="B152" s="249" t="str">
        <f t="shared" si="16"/>
        <v/>
      </c>
      <c r="C152" s="250"/>
      <c r="D152" s="251"/>
      <c r="E152" s="241"/>
      <c r="F152" s="252"/>
      <c r="G152" s="252"/>
      <c r="H152" s="253"/>
      <c r="I152" s="250"/>
      <c r="J152" s="250"/>
      <c r="K152" s="270"/>
      <c r="L152" s="250"/>
      <c r="M152" s="250"/>
      <c r="N152" s="540" t="str">
        <f>CONCATENATE(IF(OR(M152=phu!$I$1,M152=phu!$I$2,M152=phu!$I$3),"Cam Thành Nam",""),IF(OR(M152=phu!$I$4,M152=phu!$I$5,M152=phu!$I$6,M152=phu!$I$7,M152=phu!$I$8,M152=phu!$I$9,M152=phu!$I$10,M152=phu!$I$11,M152=phu!$I$12,M152=phu!$I$13,M152=phu!$I$14),"Cam Nghĩa",""),IF(OR(M152=phu!$I$15,M152=phu!$I$16,M152=phu!$I$17,M152=phu!$I$18,M152=phu!$I$19,M152=phu!$I$20,M152=phu!$I$21),"Cam Phúc Bắc",""),IF(OR(M152=phu!$I$22,M152=phu!$I$23,M152=phu!$I$24,M152=phu!$I$25),"Cam Phúc Nam",""),IF(OR(M152=phu!$I$26,M152=phu!$I$27,M152=phu!$I$28,M152=phu!$I$29,M152=phu!$I$30,M152=phu!$I$31),"Cam Phú",""),IF(OR(M152=phu!$I$32,M152=phu!$I$33,M152=phu!$I$34,M152=phu!$I$35,M152=phu!$I$36,M152=phu!$I$37),"Cam Lộc",""),IF(OR(M152=phu!$I$38,M152=phu!$I$39,M152=phu!$I$40,M152=phu!$I$41,M152=phu!$I$42,M152=phu!$I$43,M152=phu!$I$44),"Cam Thuận",""),IF(OR(M152=phu!$I$45,M152=phu!$I$46,M152=phu!$I$47,M152=phu!$I$48,M152=phu!$I$49,M152=phu!$I$50,M152=phu!$I$51,M152=phu!$I$52,M152=phu!$I$53),"Cam Linh",""),IF(OR(M152=phu!$I$54,M152=phu!$I$55,M152=phu!$I$56,M152=phu!$I$57,M152=phu!$I$58,M152=phu!$I$59,M152=phu!$I$60,M152=phu!$I$61,M152=phu!$I$62),"Cam Lợi",""),IF(OR(M152=phu!$I$63,M152=phu!$I$64,M152=phu!$I$65,M152=phu!$I$66,M152=phu!$I$67,M152=phu!$I$68,M152=phu!$I$69,M152=phu!$I$70,M152=phu!$I$71),"Ba Ngòi",""),IF(OR(M152=phu!$I$72,M152=phu!$I$73,M152=phu!$I$74,M152=phu!$I$75,M152=phu!$I$76,M152=phu!$I$77,M152=phu!$I$78),"Cam Phước Đông",""),IF(OR(M152=phu!$I$79,M152=phu!$I$80,M152=phu!$I$81,M152=phu!$I$82,M152=phu!$I$83,M152=phu!$I$84),"Cam Thịnh Đông",""),IF(OR(M152=phu!$I$85,M152=phu!$I$86,M152=phu!$I$87,M152=phu!$I$88),"Cam Thịnh Tây",""),IF(OR(M152=phu!$I$89,M152=phu!$I$90),"Cam Lập",""),IF(OR(M152=phu!$I$91,M152=phu!$I$92,M152=phu!$I$93),"Cam Bình",""),IF(OR(M152=phu!$I$94,M152=phu!$I$95,M152=phu!$I$96,M152=phu!$I$97,M152=phu!$I$98,M152=phu!$I$99,M152=phu!$I$100),"Huyện khác",""),IF(OR(M152=phu!$I$101,M152=phu!$I$102),"Tỉnh khác",""))</f>
        <v/>
      </c>
      <c r="O152" s="829" t="str">
        <f t="shared" si="12"/>
        <v/>
      </c>
      <c r="P152" s="254"/>
      <c r="Q152" s="254"/>
      <c r="R152" s="254"/>
      <c r="S152" s="254"/>
      <c r="T152" s="254"/>
      <c r="U152" s="254"/>
      <c r="V152" s="254"/>
      <c r="W152" s="254"/>
      <c r="Y152" s="246" t="str">
        <f t="shared" si="13"/>
        <v/>
      </c>
      <c r="Z152" s="247" t="str">
        <f t="shared" si="17"/>
        <v/>
      </c>
      <c r="AA152" s="246" t="str">
        <f t="shared" si="14"/>
        <v/>
      </c>
    </row>
    <row r="153" spans="1:27" ht="18" customHeight="1" x14ac:dyDescent="0.25">
      <c r="A153" s="248" t="str">
        <f t="shared" si="15"/>
        <v/>
      </c>
      <c r="B153" s="249" t="str">
        <f t="shared" si="16"/>
        <v/>
      </c>
      <c r="C153" s="250"/>
      <c r="D153" s="251"/>
      <c r="E153" s="241"/>
      <c r="F153" s="252"/>
      <c r="G153" s="252"/>
      <c r="H153" s="253"/>
      <c r="I153" s="250"/>
      <c r="J153" s="250"/>
      <c r="K153" s="270"/>
      <c r="L153" s="250"/>
      <c r="M153" s="250"/>
      <c r="N153" s="540" t="str">
        <f>CONCATENATE(IF(OR(M153=phu!$I$1,M153=phu!$I$2,M153=phu!$I$3),"Cam Thành Nam",""),IF(OR(M153=phu!$I$4,M153=phu!$I$5,M153=phu!$I$6,M153=phu!$I$7,M153=phu!$I$8,M153=phu!$I$9,M153=phu!$I$10,M153=phu!$I$11,M153=phu!$I$12,M153=phu!$I$13,M153=phu!$I$14),"Cam Nghĩa",""),IF(OR(M153=phu!$I$15,M153=phu!$I$16,M153=phu!$I$17,M153=phu!$I$18,M153=phu!$I$19,M153=phu!$I$20,M153=phu!$I$21),"Cam Phúc Bắc",""),IF(OR(M153=phu!$I$22,M153=phu!$I$23,M153=phu!$I$24,M153=phu!$I$25),"Cam Phúc Nam",""),IF(OR(M153=phu!$I$26,M153=phu!$I$27,M153=phu!$I$28,M153=phu!$I$29,M153=phu!$I$30,M153=phu!$I$31),"Cam Phú",""),IF(OR(M153=phu!$I$32,M153=phu!$I$33,M153=phu!$I$34,M153=phu!$I$35,M153=phu!$I$36,M153=phu!$I$37),"Cam Lộc",""),IF(OR(M153=phu!$I$38,M153=phu!$I$39,M153=phu!$I$40,M153=phu!$I$41,M153=phu!$I$42,M153=phu!$I$43,M153=phu!$I$44),"Cam Thuận",""),IF(OR(M153=phu!$I$45,M153=phu!$I$46,M153=phu!$I$47,M153=phu!$I$48,M153=phu!$I$49,M153=phu!$I$50,M153=phu!$I$51,M153=phu!$I$52,M153=phu!$I$53),"Cam Linh",""),IF(OR(M153=phu!$I$54,M153=phu!$I$55,M153=phu!$I$56,M153=phu!$I$57,M153=phu!$I$58,M153=phu!$I$59,M153=phu!$I$60,M153=phu!$I$61,M153=phu!$I$62),"Cam Lợi",""),IF(OR(M153=phu!$I$63,M153=phu!$I$64,M153=phu!$I$65,M153=phu!$I$66,M153=phu!$I$67,M153=phu!$I$68,M153=phu!$I$69,M153=phu!$I$70,M153=phu!$I$71),"Ba Ngòi",""),IF(OR(M153=phu!$I$72,M153=phu!$I$73,M153=phu!$I$74,M153=phu!$I$75,M153=phu!$I$76,M153=phu!$I$77,M153=phu!$I$78),"Cam Phước Đông",""),IF(OR(M153=phu!$I$79,M153=phu!$I$80,M153=phu!$I$81,M153=phu!$I$82,M153=phu!$I$83,M153=phu!$I$84),"Cam Thịnh Đông",""),IF(OR(M153=phu!$I$85,M153=phu!$I$86,M153=phu!$I$87,M153=phu!$I$88),"Cam Thịnh Tây",""),IF(OR(M153=phu!$I$89,M153=phu!$I$90),"Cam Lập",""),IF(OR(M153=phu!$I$91,M153=phu!$I$92,M153=phu!$I$93),"Cam Bình",""),IF(OR(M153=phu!$I$94,M153=phu!$I$95,M153=phu!$I$96,M153=phu!$I$97,M153=phu!$I$98,M153=phu!$I$99,M153=phu!$I$100),"Huyện khác",""),IF(OR(M153=phu!$I$101,M153=phu!$I$102),"Tỉnh khác",""))</f>
        <v/>
      </c>
      <c r="O153" s="829" t="str">
        <f t="shared" si="12"/>
        <v/>
      </c>
      <c r="P153" s="254"/>
      <c r="Q153" s="254"/>
      <c r="R153" s="254"/>
      <c r="S153" s="254"/>
      <c r="T153" s="254"/>
      <c r="U153" s="254"/>
      <c r="V153" s="254"/>
      <c r="W153" s="254"/>
      <c r="Y153" s="246" t="str">
        <f t="shared" si="13"/>
        <v/>
      </c>
      <c r="Z153" s="247" t="str">
        <f t="shared" si="17"/>
        <v/>
      </c>
      <c r="AA153" s="246" t="str">
        <f t="shared" si="14"/>
        <v/>
      </c>
    </row>
    <row r="154" spans="1:27" ht="18" customHeight="1" x14ac:dyDescent="0.25">
      <c r="A154" s="248" t="str">
        <f t="shared" si="15"/>
        <v/>
      </c>
      <c r="B154" s="249" t="str">
        <f t="shared" si="16"/>
        <v/>
      </c>
      <c r="C154" s="250"/>
      <c r="D154" s="251"/>
      <c r="E154" s="241"/>
      <c r="F154" s="252"/>
      <c r="G154" s="252"/>
      <c r="H154" s="253"/>
      <c r="I154" s="250"/>
      <c r="J154" s="250"/>
      <c r="K154" s="270"/>
      <c r="L154" s="250"/>
      <c r="M154" s="250"/>
      <c r="N154" s="540" t="str">
        <f>CONCATENATE(IF(OR(M154=phu!$I$1,M154=phu!$I$2,M154=phu!$I$3),"Cam Thành Nam",""),IF(OR(M154=phu!$I$4,M154=phu!$I$5,M154=phu!$I$6,M154=phu!$I$7,M154=phu!$I$8,M154=phu!$I$9,M154=phu!$I$10,M154=phu!$I$11,M154=phu!$I$12,M154=phu!$I$13,M154=phu!$I$14),"Cam Nghĩa",""),IF(OR(M154=phu!$I$15,M154=phu!$I$16,M154=phu!$I$17,M154=phu!$I$18,M154=phu!$I$19,M154=phu!$I$20,M154=phu!$I$21),"Cam Phúc Bắc",""),IF(OR(M154=phu!$I$22,M154=phu!$I$23,M154=phu!$I$24,M154=phu!$I$25),"Cam Phúc Nam",""),IF(OR(M154=phu!$I$26,M154=phu!$I$27,M154=phu!$I$28,M154=phu!$I$29,M154=phu!$I$30,M154=phu!$I$31),"Cam Phú",""),IF(OR(M154=phu!$I$32,M154=phu!$I$33,M154=phu!$I$34,M154=phu!$I$35,M154=phu!$I$36,M154=phu!$I$37),"Cam Lộc",""),IF(OR(M154=phu!$I$38,M154=phu!$I$39,M154=phu!$I$40,M154=phu!$I$41,M154=phu!$I$42,M154=phu!$I$43,M154=phu!$I$44),"Cam Thuận",""),IF(OR(M154=phu!$I$45,M154=phu!$I$46,M154=phu!$I$47,M154=phu!$I$48,M154=phu!$I$49,M154=phu!$I$50,M154=phu!$I$51,M154=phu!$I$52,M154=phu!$I$53),"Cam Linh",""),IF(OR(M154=phu!$I$54,M154=phu!$I$55,M154=phu!$I$56,M154=phu!$I$57,M154=phu!$I$58,M154=phu!$I$59,M154=phu!$I$60,M154=phu!$I$61,M154=phu!$I$62),"Cam Lợi",""),IF(OR(M154=phu!$I$63,M154=phu!$I$64,M154=phu!$I$65,M154=phu!$I$66,M154=phu!$I$67,M154=phu!$I$68,M154=phu!$I$69,M154=phu!$I$70,M154=phu!$I$71),"Ba Ngòi",""),IF(OR(M154=phu!$I$72,M154=phu!$I$73,M154=phu!$I$74,M154=phu!$I$75,M154=phu!$I$76,M154=phu!$I$77,M154=phu!$I$78),"Cam Phước Đông",""),IF(OR(M154=phu!$I$79,M154=phu!$I$80,M154=phu!$I$81,M154=phu!$I$82,M154=phu!$I$83,M154=phu!$I$84),"Cam Thịnh Đông",""),IF(OR(M154=phu!$I$85,M154=phu!$I$86,M154=phu!$I$87,M154=phu!$I$88),"Cam Thịnh Tây",""),IF(OR(M154=phu!$I$89,M154=phu!$I$90),"Cam Lập",""),IF(OR(M154=phu!$I$91,M154=phu!$I$92,M154=phu!$I$93),"Cam Bình",""),IF(OR(M154=phu!$I$94,M154=phu!$I$95,M154=phu!$I$96,M154=phu!$I$97,M154=phu!$I$98,M154=phu!$I$99,M154=phu!$I$100),"Huyện khác",""),IF(OR(M154=phu!$I$101,M154=phu!$I$102),"Tỉnh khác",""))</f>
        <v/>
      </c>
      <c r="O154" s="829" t="str">
        <f t="shared" si="12"/>
        <v/>
      </c>
      <c r="P154" s="254"/>
      <c r="Q154" s="254"/>
      <c r="R154" s="254"/>
      <c r="S154" s="254"/>
      <c r="T154" s="254"/>
      <c r="U154" s="254"/>
      <c r="V154" s="254"/>
      <c r="W154" s="254"/>
      <c r="Y154" s="246" t="str">
        <f t="shared" si="13"/>
        <v/>
      </c>
      <c r="Z154" s="247" t="str">
        <f t="shared" si="17"/>
        <v/>
      </c>
      <c r="AA154" s="246" t="str">
        <f t="shared" si="14"/>
        <v/>
      </c>
    </row>
    <row r="155" spans="1:27" ht="18" customHeight="1" x14ac:dyDescent="0.25">
      <c r="A155" s="248" t="str">
        <f t="shared" si="15"/>
        <v/>
      </c>
      <c r="B155" s="249" t="str">
        <f t="shared" si="16"/>
        <v/>
      </c>
      <c r="C155" s="250"/>
      <c r="D155" s="251"/>
      <c r="E155" s="241"/>
      <c r="F155" s="252"/>
      <c r="G155" s="252"/>
      <c r="H155" s="253"/>
      <c r="I155" s="250"/>
      <c r="J155" s="250"/>
      <c r="K155" s="270"/>
      <c r="L155" s="250"/>
      <c r="M155" s="250"/>
      <c r="N155" s="540" t="str">
        <f>CONCATENATE(IF(OR(M155=phu!$I$1,M155=phu!$I$2,M155=phu!$I$3),"Cam Thành Nam",""),IF(OR(M155=phu!$I$4,M155=phu!$I$5,M155=phu!$I$6,M155=phu!$I$7,M155=phu!$I$8,M155=phu!$I$9,M155=phu!$I$10,M155=phu!$I$11,M155=phu!$I$12,M155=phu!$I$13,M155=phu!$I$14),"Cam Nghĩa",""),IF(OR(M155=phu!$I$15,M155=phu!$I$16,M155=phu!$I$17,M155=phu!$I$18,M155=phu!$I$19,M155=phu!$I$20,M155=phu!$I$21),"Cam Phúc Bắc",""),IF(OR(M155=phu!$I$22,M155=phu!$I$23,M155=phu!$I$24,M155=phu!$I$25),"Cam Phúc Nam",""),IF(OR(M155=phu!$I$26,M155=phu!$I$27,M155=phu!$I$28,M155=phu!$I$29,M155=phu!$I$30,M155=phu!$I$31),"Cam Phú",""),IF(OR(M155=phu!$I$32,M155=phu!$I$33,M155=phu!$I$34,M155=phu!$I$35,M155=phu!$I$36,M155=phu!$I$37),"Cam Lộc",""),IF(OR(M155=phu!$I$38,M155=phu!$I$39,M155=phu!$I$40,M155=phu!$I$41,M155=phu!$I$42,M155=phu!$I$43,M155=phu!$I$44),"Cam Thuận",""),IF(OR(M155=phu!$I$45,M155=phu!$I$46,M155=phu!$I$47,M155=phu!$I$48,M155=phu!$I$49,M155=phu!$I$50,M155=phu!$I$51,M155=phu!$I$52,M155=phu!$I$53),"Cam Linh",""),IF(OR(M155=phu!$I$54,M155=phu!$I$55,M155=phu!$I$56,M155=phu!$I$57,M155=phu!$I$58,M155=phu!$I$59,M155=phu!$I$60,M155=phu!$I$61,M155=phu!$I$62),"Cam Lợi",""),IF(OR(M155=phu!$I$63,M155=phu!$I$64,M155=phu!$I$65,M155=phu!$I$66,M155=phu!$I$67,M155=phu!$I$68,M155=phu!$I$69,M155=phu!$I$70,M155=phu!$I$71),"Ba Ngòi",""),IF(OR(M155=phu!$I$72,M155=phu!$I$73,M155=phu!$I$74,M155=phu!$I$75,M155=phu!$I$76,M155=phu!$I$77,M155=phu!$I$78),"Cam Phước Đông",""),IF(OR(M155=phu!$I$79,M155=phu!$I$80,M155=phu!$I$81,M155=phu!$I$82,M155=phu!$I$83,M155=phu!$I$84),"Cam Thịnh Đông",""),IF(OR(M155=phu!$I$85,M155=phu!$I$86,M155=phu!$I$87,M155=phu!$I$88),"Cam Thịnh Tây",""),IF(OR(M155=phu!$I$89,M155=phu!$I$90),"Cam Lập",""),IF(OR(M155=phu!$I$91,M155=phu!$I$92,M155=phu!$I$93),"Cam Bình",""),IF(OR(M155=phu!$I$94,M155=phu!$I$95,M155=phu!$I$96,M155=phu!$I$97,M155=phu!$I$98,M155=phu!$I$99,M155=phu!$I$100),"Huyện khác",""),IF(OR(M155=phu!$I$101,M155=phu!$I$102),"Tỉnh khác",""))</f>
        <v/>
      </c>
      <c r="O155" s="829" t="str">
        <f t="shared" si="12"/>
        <v/>
      </c>
      <c r="P155" s="254"/>
      <c r="Q155" s="254"/>
      <c r="R155" s="254"/>
      <c r="S155" s="254"/>
      <c r="T155" s="254"/>
      <c r="U155" s="254"/>
      <c r="V155" s="254"/>
      <c r="W155" s="254"/>
      <c r="Y155" s="246" t="str">
        <f t="shared" si="13"/>
        <v/>
      </c>
      <c r="Z155" s="247" t="str">
        <f t="shared" si="17"/>
        <v/>
      </c>
      <c r="AA155" s="246" t="str">
        <f t="shared" si="14"/>
        <v/>
      </c>
    </row>
    <row r="156" spans="1:27" ht="18" customHeight="1" x14ac:dyDescent="0.25">
      <c r="A156" s="248" t="str">
        <f t="shared" si="15"/>
        <v/>
      </c>
      <c r="B156" s="249" t="str">
        <f t="shared" si="16"/>
        <v/>
      </c>
      <c r="C156" s="250"/>
      <c r="D156" s="251"/>
      <c r="E156" s="241"/>
      <c r="F156" s="252"/>
      <c r="G156" s="252"/>
      <c r="H156" s="253"/>
      <c r="I156" s="250"/>
      <c r="J156" s="250"/>
      <c r="K156" s="270"/>
      <c r="L156" s="250"/>
      <c r="M156" s="250"/>
      <c r="N156" s="540" t="str">
        <f>CONCATENATE(IF(OR(M156=phu!$I$1,M156=phu!$I$2,M156=phu!$I$3),"Cam Thành Nam",""),IF(OR(M156=phu!$I$4,M156=phu!$I$5,M156=phu!$I$6,M156=phu!$I$7,M156=phu!$I$8,M156=phu!$I$9,M156=phu!$I$10,M156=phu!$I$11,M156=phu!$I$12,M156=phu!$I$13,M156=phu!$I$14),"Cam Nghĩa",""),IF(OR(M156=phu!$I$15,M156=phu!$I$16,M156=phu!$I$17,M156=phu!$I$18,M156=phu!$I$19,M156=phu!$I$20,M156=phu!$I$21),"Cam Phúc Bắc",""),IF(OR(M156=phu!$I$22,M156=phu!$I$23,M156=phu!$I$24,M156=phu!$I$25),"Cam Phúc Nam",""),IF(OR(M156=phu!$I$26,M156=phu!$I$27,M156=phu!$I$28,M156=phu!$I$29,M156=phu!$I$30,M156=phu!$I$31),"Cam Phú",""),IF(OR(M156=phu!$I$32,M156=phu!$I$33,M156=phu!$I$34,M156=phu!$I$35,M156=phu!$I$36,M156=phu!$I$37),"Cam Lộc",""),IF(OR(M156=phu!$I$38,M156=phu!$I$39,M156=phu!$I$40,M156=phu!$I$41,M156=phu!$I$42,M156=phu!$I$43,M156=phu!$I$44),"Cam Thuận",""),IF(OR(M156=phu!$I$45,M156=phu!$I$46,M156=phu!$I$47,M156=phu!$I$48,M156=phu!$I$49,M156=phu!$I$50,M156=phu!$I$51,M156=phu!$I$52,M156=phu!$I$53),"Cam Linh",""),IF(OR(M156=phu!$I$54,M156=phu!$I$55,M156=phu!$I$56,M156=phu!$I$57,M156=phu!$I$58,M156=phu!$I$59,M156=phu!$I$60,M156=phu!$I$61,M156=phu!$I$62),"Cam Lợi",""),IF(OR(M156=phu!$I$63,M156=phu!$I$64,M156=phu!$I$65,M156=phu!$I$66,M156=phu!$I$67,M156=phu!$I$68,M156=phu!$I$69,M156=phu!$I$70,M156=phu!$I$71),"Ba Ngòi",""),IF(OR(M156=phu!$I$72,M156=phu!$I$73,M156=phu!$I$74,M156=phu!$I$75,M156=phu!$I$76,M156=phu!$I$77,M156=phu!$I$78),"Cam Phước Đông",""),IF(OR(M156=phu!$I$79,M156=phu!$I$80,M156=phu!$I$81,M156=phu!$I$82,M156=phu!$I$83,M156=phu!$I$84),"Cam Thịnh Đông",""),IF(OR(M156=phu!$I$85,M156=phu!$I$86,M156=phu!$I$87,M156=phu!$I$88),"Cam Thịnh Tây",""),IF(OR(M156=phu!$I$89,M156=phu!$I$90),"Cam Lập",""),IF(OR(M156=phu!$I$91,M156=phu!$I$92,M156=phu!$I$93),"Cam Bình",""),IF(OR(M156=phu!$I$94,M156=phu!$I$95,M156=phu!$I$96,M156=phu!$I$97,M156=phu!$I$98,M156=phu!$I$99,M156=phu!$I$100),"Huyện khác",""),IF(OR(M156=phu!$I$101,M156=phu!$I$102),"Tỉnh khác",""))</f>
        <v/>
      </c>
      <c r="O156" s="829" t="str">
        <f t="shared" si="12"/>
        <v/>
      </c>
      <c r="P156" s="254"/>
      <c r="Q156" s="254"/>
      <c r="R156" s="254"/>
      <c r="S156" s="254"/>
      <c r="T156" s="254"/>
      <c r="U156" s="254"/>
      <c r="V156" s="254"/>
      <c r="W156" s="254"/>
      <c r="Y156" s="246" t="str">
        <f t="shared" si="13"/>
        <v/>
      </c>
      <c r="Z156" s="247" t="str">
        <f t="shared" si="17"/>
        <v/>
      </c>
      <c r="AA156" s="246" t="str">
        <f t="shared" si="14"/>
        <v/>
      </c>
    </row>
    <row r="157" spans="1:27" ht="18" customHeight="1" x14ac:dyDescent="0.25">
      <c r="A157" s="248" t="str">
        <f t="shared" si="15"/>
        <v/>
      </c>
      <c r="B157" s="249" t="str">
        <f t="shared" si="16"/>
        <v/>
      </c>
      <c r="C157" s="250"/>
      <c r="D157" s="251"/>
      <c r="E157" s="241"/>
      <c r="F157" s="252"/>
      <c r="G157" s="252"/>
      <c r="H157" s="253"/>
      <c r="I157" s="250"/>
      <c r="J157" s="250"/>
      <c r="K157" s="270"/>
      <c r="L157" s="250"/>
      <c r="M157" s="250"/>
      <c r="N157" s="540" t="str">
        <f>CONCATENATE(IF(OR(M157=phu!$I$1,M157=phu!$I$2,M157=phu!$I$3),"Cam Thành Nam",""),IF(OR(M157=phu!$I$4,M157=phu!$I$5,M157=phu!$I$6,M157=phu!$I$7,M157=phu!$I$8,M157=phu!$I$9,M157=phu!$I$10,M157=phu!$I$11,M157=phu!$I$12,M157=phu!$I$13,M157=phu!$I$14),"Cam Nghĩa",""),IF(OR(M157=phu!$I$15,M157=phu!$I$16,M157=phu!$I$17,M157=phu!$I$18,M157=phu!$I$19,M157=phu!$I$20,M157=phu!$I$21),"Cam Phúc Bắc",""),IF(OR(M157=phu!$I$22,M157=phu!$I$23,M157=phu!$I$24,M157=phu!$I$25),"Cam Phúc Nam",""),IF(OR(M157=phu!$I$26,M157=phu!$I$27,M157=phu!$I$28,M157=phu!$I$29,M157=phu!$I$30,M157=phu!$I$31),"Cam Phú",""),IF(OR(M157=phu!$I$32,M157=phu!$I$33,M157=phu!$I$34,M157=phu!$I$35,M157=phu!$I$36,M157=phu!$I$37),"Cam Lộc",""),IF(OR(M157=phu!$I$38,M157=phu!$I$39,M157=phu!$I$40,M157=phu!$I$41,M157=phu!$I$42,M157=phu!$I$43,M157=phu!$I$44),"Cam Thuận",""),IF(OR(M157=phu!$I$45,M157=phu!$I$46,M157=phu!$I$47,M157=phu!$I$48,M157=phu!$I$49,M157=phu!$I$50,M157=phu!$I$51,M157=phu!$I$52,M157=phu!$I$53),"Cam Linh",""),IF(OR(M157=phu!$I$54,M157=phu!$I$55,M157=phu!$I$56,M157=phu!$I$57,M157=phu!$I$58,M157=phu!$I$59,M157=phu!$I$60,M157=phu!$I$61,M157=phu!$I$62),"Cam Lợi",""),IF(OR(M157=phu!$I$63,M157=phu!$I$64,M157=phu!$I$65,M157=phu!$I$66,M157=phu!$I$67,M157=phu!$I$68,M157=phu!$I$69,M157=phu!$I$70,M157=phu!$I$71),"Ba Ngòi",""),IF(OR(M157=phu!$I$72,M157=phu!$I$73,M157=phu!$I$74,M157=phu!$I$75,M157=phu!$I$76,M157=phu!$I$77,M157=phu!$I$78),"Cam Phước Đông",""),IF(OR(M157=phu!$I$79,M157=phu!$I$80,M157=phu!$I$81,M157=phu!$I$82,M157=phu!$I$83,M157=phu!$I$84),"Cam Thịnh Đông",""),IF(OR(M157=phu!$I$85,M157=phu!$I$86,M157=phu!$I$87,M157=phu!$I$88),"Cam Thịnh Tây",""),IF(OR(M157=phu!$I$89,M157=phu!$I$90),"Cam Lập",""),IF(OR(M157=phu!$I$91,M157=phu!$I$92,M157=phu!$I$93),"Cam Bình",""),IF(OR(M157=phu!$I$94,M157=phu!$I$95,M157=phu!$I$96,M157=phu!$I$97,M157=phu!$I$98,M157=phu!$I$99,M157=phu!$I$100),"Huyện khác",""),IF(OR(M157=phu!$I$101,M157=phu!$I$102),"Tỉnh khác",""))</f>
        <v/>
      </c>
      <c r="O157" s="829" t="str">
        <f t="shared" si="12"/>
        <v/>
      </c>
      <c r="P157" s="254"/>
      <c r="Q157" s="254"/>
      <c r="R157" s="254"/>
      <c r="S157" s="254"/>
      <c r="T157" s="254"/>
      <c r="U157" s="254"/>
      <c r="V157" s="254"/>
      <c r="W157" s="254"/>
      <c r="Y157" s="246" t="str">
        <f t="shared" si="13"/>
        <v/>
      </c>
      <c r="Z157" s="247" t="str">
        <f t="shared" si="17"/>
        <v/>
      </c>
      <c r="AA157" s="246" t="str">
        <f t="shared" si="14"/>
        <v/>
      </c>
    </row>
    <row r="158" spans="1:27" ht="18" customHeight="1" x14ac:dyDescent="0.25">
      <c r="A158" s="248" t="str">
        <f t="shared" si="15"/>
        <v/>
      </c>
      <c r="B158" s="249" t="str">
        <f t="shared" si="16"/>
        <v/>
      </c>
      <c r="C158" s="250"/>
      <c r="D158" s="251"/>
      <c r="E158" s="241"/>
      <c r="F158" s="252"/>
      <c r="G158" s="252"/>
      <c r="H158" s="253"/>
      <c r="I158" s="250"/>
      <c r="J158" s="250"/>
      <c r="K158" s="270"/>
      <c r="L158" s="250"/>
      <c r="M158" s="250"/>
      <c r="N158" s="540" t="str">
        <f>CONCATENATE(IF(OR(M158=phu!$I$1,M158=phu!$I$2,M158=phu!$I$3),"Cam Thành Nam",""),IF(OR(M158=phu!$I$4,M158=phu!$I$5,M158=phu!$I$6,M158=phu!$I$7,M158=phu!$I$8,M158=phu!$I$9,M158=phu!$I$10,M158=phu!$I$11,M158=phu!$I$12,M158=phu!$I$13,M158=phu!$I$14),"Cam Nghĩa",""),IF(OR(M158=phu!$I$15,M158=phu!$I$16,M158=phu!$I$17,M158=phu!$I$18,M158=phu!$I$19,M158=phu!$I$20,M158=phu!$I$21),"Cam Phúc Bắc",""),IF(OR(M158=phu!$I$22,M158=phu!$I$23,M158=phu!$I$24,M158=phu!$I$25),"Cam Phúc Nam",""),IF(OR(M158=phu!$I$26,M158=phu!$I$27,M158=phu!$I$28,M158=phu!$I$29,M158=phu!$I$30,M158=phu!$I$31),"Cam Phú",""),IF(OR(M158=phu!$I$32,M158=phu!$I$33,M158=phu!$I$34,M158=phu!$I$35,M158=phu!$I$36,M158=phu!$I$37),"Cam Lộc",""),IF(OR(M158=phu!$I$38,M158=phu!$I$39,M158=phu!$I$40,M158=phu!$I$41,M158=phu!$I$42,M158=phu!$I$43,M158=phu!$I$44),"Cam Thuận",""),IF(OR(M158=phu!$I$45,M158=phu!$I$46,M158=phu!$I$47,M158=phu!$I$48,M158=phu!$I$49,M158=phu!$I$50,M158=phu!$I$51,M158=phu!$I$52,M158=phu!$I$53),"Cam Linh",""),IF(OR(M158=phu!$I$54,M158=phu!$I$55,M158=phu!$I$56,M158=phu!$I$57,M158=phu!$I$58,M158=phu!$I$59,M158=phu!$I$60,M158=phu!$I$61,M158=phu!$I$62),"Cam Lợi",""),IF(OR(M158=phu!$I$63,M158=phu!$I$64,M158=phu!$I$65,M158=phu!$I$66,M158=phu!$I$67,M158=phu!$I$68,M158=phu!$I$69,M158=phu!$I$70,M158=phu!$I$71),"Ba Ngòi",""),IF(OR(M158=phu!$I$72,M158=phu!$I$73,M158=phu!$I$74,M158=phu!$I$75,M158=phu!$I$76,M158=phu!$I$77,M158=phu!$I$78),"Cam Phước Đông",""),IF(OR(M158=phu!$I$79,M158=phu!$I$80,M158=phu!$I$81,M158=phu!$I$82,M158=phu!$I$83,M158=phu!$I$84),"Cam Thịnh Đông",""),IF(OR(M158=phu!$I$85,M158=phu!$I$86,M158=phu!$I$87,M158=phu!$I$88),"Cam Thịnh Tây",""),IF(OR(M158=phu!$I$89,M158=phu!$I$90),"Cam Lập",""),IF(OR(M158=phu!$I$91,M158=phu!$I$92,M158=phu!$I$93),"Cam Bình",""),IF(OR(M158=phu!$I$94,M158=phu!$I$95,M158=phu!$I$96,M158=phu!$I$97,M158=phu!$I$98,M158=phu!$I$99,M158=phu!$I$100),"Huyện khác",""),IF(OR(M158=phu!$I$101,M158=phu!$I$102),"Tỉnh khác",""))</f>
        <v/>
      </c>
      <c r="O158" s="829" t="str">
        <f t="shared" si="12"/>
        <v/>
      </c>
      <c r="P158" s="254"/>
      <c r="Q158" s="254"/>
      <c r="R158" s="254"/>
      <c r="S158" s="254"/>
      <c r="T158" s="254"/>
      <c r="U158" s="254"/>
      <c r="V158" s="254"/>
      <c r="W158" s="254"/>
      <c r="Y158" s="246" t="str">
        <f t="shared" si="13"/>
        <v/>
      </c>
      <c r="Z158" s="247" t="str">
        <f t="shared" si="17"/>
        <v/>
      </c>
      <c r="AA158" s="246" t="str">
        <f t="shared" si="14"/>
        <v/>
      </c>
    </row>
    <row r="159" spans="1:27" ht="18" customHeight="1" x14ac:dyDescent="0.25">
      <c r="A159" s="248" t="str">
        <f t="shared" si="15"/>
        <v/>
      </c>
      <c r="B159" s="249" t="str">
        <f t="shared" si="16"/>
        <v/>
      </c>
      <c r="C159" s="250"/>
      <c r="D159" s="251"/>
      <c r="E159" s="241"/>
      <c r="F159" s="252"/>
      <c r="G159" s="252"/>
      <c r="H159" s="253"/>
      <c r="I159" s="250"/>
      <c r="J159" s="250"/>
      <c r="K159" s="270"/>
      <c r="L159" s="250"/>
      <c r="M159" s="250"/>
      <c r="N159" s="540" t="str">
        <f>CONCATENATE(IF(OR(M159=phu!$I$1,M159=phu!$I$2,M159=phu!$I$3),"Cam Thành Nam",""),IF(OR(M159=phu!$I$4,M159=phu!$I$5,M159=phu!$I$6,M159=phu!$I$7,M159=phu!$I$8,M159=phu!$I$9,M159=phu!$I$10,M159=phu!$I$11,M159=phu!$I$12,M159=phu!$I$13,M159=phu!$I$14),"Cam Nghĩa",""),IF(OR(M159=phu!$I$15,M159=phu!$I$16,M159=phu!$I$17,M159=phu!$I$18,M159=phu!$I$19,M159=phu!$I$20,M159=phu!$I$21),"Cam Phúc Bắc",""),IF(OR(M159=phu!$I$22,M159=phu!$I$23,M159=phu!$I$24,M159=phu!$I$25),"Cam Phúc Nam",""),IF(OR(M159=phu!$I$26,M159=phu!$I$27,M159=phu!$I$28,M159=phu!$I$29,M159=phu!$I$30,M159=phu!$I$31),"Cam Phú",""),IF(OR(M159=phu!$I$32,M159=phu!$I$33,M159=phu!$I$34,M159=phu!$I$35,M159=phu!$I$36,M159=phu!$I$37),"Cam Lộc",""),IF(OR(M159=phu!$I$38,M159=phu!$I$39,M159=phu!$I$40,M159=phu!$I$41,M159=phu!$I$42,M159=phu!$I$43,M159=phu!$I$44),"Cam Thuận",""),IF(OR(M159=phu!$I$45,M159=phu!$I$46,M159=phu!$I$47,M159=phu!$I$48,M159=phu!$I$49,M159=phu!$I$50,M159=phu!$I$51,M159=phu!$I$52,M159=phu!$I$53),"Cam Linh",""),IF(OR(M159=phu!$I$54,M159=phu!$I$55,M159=phu!$I$56,M159=phu!$I$57,M159=phu!$I$58,M159=phu!$I$59,M159=phu!$I$60,M159=phu!$I$61,M159=phu!$I$62),"Cam Lợi",""),IF(OR(M159=phu!$I$63,M159=phu!$I$64,M159=phu!$I$65,M159=phu!$I$66,M159=phu!$I$67,M159=phu!$I$68,M159=phu!$I$69,M159=phu!$I$70,M159=phu!$I$71),"Ba Ngòi",""),IF(OR(M159=phu!$I$72,M159=phu!$I$73,M159=phu!$I$74,M159=phu!$I$75,M159=phu!$I$76,M159=phu!$I$77,M159=phu!$I$78),"Cam Phước Đông",""),IF(OR(M159=phu!$I$79,M159=phu!$I$80,M159=phu!$I$81,M159=phu!$I$82,M159=phu!$I$83,M159=phu!$I$84),"Cam Thịnh Đông",""),IF(OR(M159=phu!$I$85,M159=phu!$I$86,M159=phu!$I$87,M159=phu!$I$88),"Cam Thịnh Tây",""),IF(OR(M159=phu!$I$89,M159=phu!$I$90),"Cam Lập",""),IF(OR(M159=phu!$I$91,M159=phu!$I$92,M159=phu!$I$93),"Cam Bình",""),IF(OR(M159=phu!$I$94,M159=phu!$I$95,M159=phu!$I$96,M159=phu!$I$97,M159=phu!$I$98,M159=phu!$I$99,M159=phu!$I$100),"Huyện khác",""),IF(OR(M159=phu!$I$101,M159=phu!$I$102),"Tỉnh khác",""))</f>
        <v/>
      </c>
      <c r="O159" s="829" t="str">
        <f t="shared" si="12"/>
        <v/>
      </c>
      <c r="P159" s="254"/>
      <c r="Q159" s="254"/>
      <c r="R159" s="254"/>
      <c r="S159" s="254"/>
      <c r="T159" s="254"/>
      <c r="U159" s="254"/>
      <c r="V159" s="254"/>
      <c r="W159" s="254"/>
      <c r="Y159" s="246" t="str">
        <f t="shared" si="13"/>
        <v/>
      </c>
      <c r="Z159" s="247" t="str">
        <f t="shared" si="17"/>
        <v/>
      </c>
      <c r="AA159" s="246" t="str">
        <f t="shared" si="14"/>
        <v/>
      </c>
    </row>
    <row r="160" spans="1:27" ht="18" customHeight="1" x14ac:dyDescent="0.25">
      <c r="A160" s="248" t="str">
        <f t="shared" si="15"/>
        <v/>
      </c>
      <c r="B160" s="249" t="str">
        <f t="shared" si="16"/>
        <v/>
      </c>
      <c r="C160" s="250"/>
      <c r="D160" s="251"/>
      <c r="E160" s="241"/>
      <c r="F160" s="252"/>
      <c r="G160" s="252"/>
      <c r="H160" s="253"/>
      <c r="I160" s="250"/>
      <c r="J160" s="250"/>
      <c r="K160" s="270"/>
      <c r="L160" s="250"/>
      <c r="M160" s="250"/>
      <c r="N160" s="540" t="str">
        <f>CONCATENATE(IF(OR(M160=phu!$I$1,M160=phu!$I$2,M160=phu!$I$3),"Cam Thành Nam",""),IF(OR(M160=phu!$I$4,M160=phu!$I$5,M160=phu!$I$6,M160=phu!$I$7,M160=phu!$I$8,M160=phu!$I$9,M160=phu!$I$10,M160=phu!$I$11,M160=phu!$I$12,M160=phu!$I$13,M160=phu!$I$14),"Cam Nghĩa",""),IF(OR(M160=phu!$I$15,M160=phu!$I$16,M160=phu!$I$17,M160=phu!$I$18,M160=phu!$I$19,M160=phu!$I$20,M160=phu!$I$21),"Cam Phúc Bắc",""),IF(OR(M160=phu!$I$22,M160=phu!$I$23,M160=phu!$I$24,M160=phu!$I$25),"Cam Phúc Nam",""),IF(OR(M160=phu!$I$26,M160=phu!$I$27,M160=phu!$I$28,M160=phu!$I$29,M160=phu!$I$30,M160=phu!$I$31),"Cam Phú",""),IF(OR(M160=phu!$I$32,M160=phu!$I$33,M160=phu!$I$34,M160=phu!$I$35,M160=phu!$I$36,M160=phu!$I$37),"Cam Lộc",""),IF(OR(M160=phu!$I$38,M160=phu!$I$39,M160=phu!$I$40,M160=phu!$I$41,M160=phu!$I$42,M160=phu!$I$43,M160=phu!$I$44),"Cam Thuận",""),IF(OR(M160=phu!$I$45,M160=phu!$I$46,M160=phu!$I$47,M160=phu!$I$48,M160=phu!$I$49,M160=phu!$I$50,M160=phu!$I$51,M160=phu!$I$52,M160=phu!$I$53),"Cam Linh",""),IF(OR(M160=phu!$I$54,M160=phu!$I$55,M160=phu!$I$56,M160=phu!$I$57,M160=phu!$I$58,M160=phu!$I$59,M160=phu!$I$60,M160=phu!$I$61,M160=phu!$I$62),"Cam Lợi",""),IF(OR(M160=phu!$I$63,M160=phu!$I$64,M160=phu!$I$65,M160=phu!$I$66,M160=phu!$I$67,M160=phu!$I$68,M160=phu!$I$69,M160=phu!$I$70,M160=phu!$I$71),"Ba Ngòi",""),IF(OR(M160=phu!$I$72,M160=phu!$I$73,M160=phu!$I$74,M160=phu!$I$75,M160=phu!$I$76,M160=phu!$I$77,M160=phu!$I$78),"Cam Phước Đông",""),IF(OR(M160=phu!$I$79,M160=phu!$I$80,M160=phu!$I$81,M160=phu!$I$82,M160=phu!$I$83,M160=phu!$I$84),"Cam Thịnh Đông",""),IF(OR(M160=phu!$I$85,M160=phu!$I$86,M160=phu!$I$87,M160=phu!$I$88),"Cam Thịnh Tây",""),IF(OR(M160=phu!$I$89,M160=phu!$I$90),"Cam Lập",""),IF(OR(M160=phu!$I$91,M160=phu!$I$92,M160=phu!$I$93),"Cam Bình",""),IF(OR(M160=phu!$I$94,M160=phu!$I$95,M160=phu!$I$96,M160=phu!$I$97,M160=phu!$I$98,M160=phu!$I$99,M160=phu!$I$100),"Huyện khác",""),IF(OR(M160=phu!$I$101,M160=phu!$I$102),"Tỉnh khác",""))</f>
        <v/>
      </c>
      <c r="O160" s="829" t="str">
        <f t="shared" si="12"/>
        <v/>
      </c>
      <c r="P160" s="254"/>
      <c r="Q160" s="254"/>
      <c r="R160" s="254"/>
      <c r="S160" s="254"/>
      <c r="T160" s="254"/>
      <c r="U160" s="254"/>
      <c r="V160" s="254"/>
      <c r="W160" s="254"/>
      <c r="Y160" s="246" t="str">
        <f t="shared" si="13"/>
        <v/>
      </c>
      <c r="Z160" s="247" t="str">
        <f t="shared" si="17"/>
        <v/>
      </c>
      <c r="AA160" s="246" t="str">
        <f t="shared" si="14"/>
        <v/>
      </c>
    </row>
    <row r="161" spans="1:27" ht="18" customHeight="1" x14ac:dyDescent="0.25">
      <c r="A161" s="248" t="str">
        <f t="shared" si="15"/>
        <v/>
      </c>
      <c r="B161" s="249" t="str">
        <f t="shared" si="16"/>
        <v/>
      </c>
      <c r="C161" s="250"/>
      <c r="D161" s="251"/>
      <c r="E161" s="241"/>
      <c r="F161" s="252"/>
      <c r="G161" s="252"/>
      <c r="H161" s="253"/>
      <c r="I161" s="250"/>
      <c r="J161" s="250"/>
      <c r="K161" s="270"/>
      <c r="L161" s="250"/>
      <c r="M161" s="250"/>
      <c r="N161" s="540" t="str">
        <f>CONCATENATE(IF(OR(M161=phu!$I$1,M161=phu!$I$2,M161=phu!$I$3),"Cam Thành Nam",""),IF(OR(M161=phu!$I$4,M161=phu!$I$5,M161=phu!$I$6,M161=phu!$I$7,M161=phu!$I$8,M161=phu!$I$9,M161=phu!$I$10,M161=phu!$I$11,M161=phu!$I$12,M161=phu!$I$13,M161=phu!$I$14),"Cam Nghĩa",""),IF(OR(M161=phu!$I$15,M161=phu!$I$16,M161=phu!$I$17,M161=phu!$I$18,M161=phu!$I$19,M161=phu!$I$20,M161=phu!$I$21),"Cam Phúc Bắc",""),IF(OR(M161=phu!$I$22,M161=phu!$I$23,M161=phu!$I$24,M161=phu!$I$25),"Cam Phúc Nam",""),IF(OR(M161=phu!$I$26,M161=phu!$I$27,M161=phu!$I$28,M161=phu!$I$29,M161=phu!$I$30,M161=phu!$I$31),"Cam Phú",""),IF(OR(M161=phu!$I$32,M161=phu!$I$33,M161=phu!$I$34,M161=phu!$I$35,M161=phu!$I$36,M161=phu!$I$37),"Cam Lộc",""),IF(OR(M161=phu!$I$38,M161=phu!$I$39,M161=phu!$I$40,M161=phu!$I$41,M161=phu!$I$42,M161=phu!$I$43,M161=phu!$I$44),"Cam Thuận",""),IF(OR(M161=phu!$I$45,M161=phu!$I$46,M161=phu!$I$47,M161=phu!$I$48,M161=phu!$I$49,M161=phu!$I$50,M161=phu!$I$51,M161=phu!$I$52,M161=phu!$I$53),"Cam Linh",""),IF(OR(M161=phu!$I$54,M161=phu!$I$55,M161=phu!$I$56,M161=phu!$I$57,M161=phu!$I$58,M161=phu!$I$59,M161=phu!$I$60,M161=phu!$I$61,M161=phu!$I$62),"Cam Lợi",""),IF(OR(M161=phu!$I$63,M161=phu!$I$64,M161=phu!$I$65,M161=phu!$I$66,M161=phu!$I$67,M161=phu!$I$68,M161=phu!$I$69,M161=phu!$I$70,M161=phu!$I$71),"Ba Ngòi",""),IF(OR(M161=phu!$I$72,M161=phu!$I$73,M161=phu!$I$74,M161=phu!$I$75,M161=phu!$I$76,M161=phu!$I$77,M161=phu!$I$78),"Cam Phước Đông",""),IF(OR(M161=phu!$I$79,M161=phu!$I$80,M161=phu!$I$81,M161=phu!$I$82,M161=phu!$I$83,M161=phu!$I$84),"Cam Thịnh Đông",""),IF(OR(M161=phu!$I$85,M161=phu!$I$86,M161=phu!$I$87,M161=phu!$I$88),"Cam Thịnh Tây",""),IF(OR(M161=phu!$I$89,M161=phu!$I$90),"Cam Lập",""),IF(OR(M161=phu!$I$91,M161=phu!$I$92,M161=phu!$I$93),"Cam Bình",""),IF(OR(M161=phu!$I$94,M161=phu!$I$95,M161=phu!$I$96,M161=phu!$I$97,M161=phu!$I$98,M161=phu!$I$99,M161=phu!$I$100),"Huyện khác",""),IF(OR(M161=phu!$I$101,M161=phu!$I$102),"Tỉnh khác",""))</f>
        <v/>
      </c>
      <c r="O161" s="829" t="str">
        <f t="shared" si="12"/>
        <v/>
      </c>
      <c r="P161" s="254"/>
      <c r="Q161" s="254"/>
      <c r="R161" s="254"/>
      <c r="S161" s="254"/>
      <c r="T161" s="254"/>
      <c r="U161" s="254"/>
      <c r="V161" s="254"/>
      <c r="W161" s="254"/>
      <c r="Y161" s="246" t="str">
        <f t="shared" si="13"/>
        <v/>
      </c>
      <c r="Z161" s="247" t="str">
        <f t="shared" si="17"/>
        <v/>
      </c>
      <c r="AA161" s="246" t="str">
        <f t="shared" si="14"/>
        <v/>
      </c>
    </row>
    <row r="162" spans="1:27" ht="18" customHeight="1" x14ac:dyDescent="0.25">
      <c r="A162" s="248" t="str">
        <f t="shared" si="15"/>
        <v/>
      </c>
      <c r="B162" s="249" t="str">
        <f t="shared" si="16"/>
        <v/>
      </c>
      <c r="C162" s="250"/>
      <c r="D162" s="251"/>
      <c r="E162" s="241"/>
      <c r="F162" s="252"/>
      <c r="G162" s="252"/>
      <c r="H162" s="253"/>
      <c r="I162" s="250"/>
      <c r="J162" s="250"/>
      <c r="K162" s="270"/>
      <c r="L162" s="250"/>
      <c r="M162" s="250"/>
      <c r="N162" s="540" t="str">
        <f>CONCATENATE(IF(OR(M162=phu!$I$1,M162=phu!$I$2,M162=phu!$I$3),"Cam Thành Nam",""),IF(OR(M162=phu!$I$4,M162=phu!$I$5,M162=phu!$I$6,M162=phu!$I$7,M162=phu!$I$8,M162=phu!$I$9,M162=phu!$I$10,M162=phu!$I$11,M162=phu!$I$12,M162=phu!$I$13,M162=phu!$I$14),"Cam Nghĩa",""),IF(OR(M162=phu!$I$15,M162=phu!$I$16,M162=phu!$I$17,M162=phu!$I$18,M162=phu!$I$19,M162=phu!$I$20,M162=phu!$I$21),"Cam Phúc Bắc",""),IF(OR(M162=phu!$I$22,M162=phu!$I$23,M162=phu!$I$24,M162=phu!$I$25),"Cam Phúc Nam",""),IF(OR(M162=phu!$I$26,M162=phu!$I$27,M162=phu!$I$28,M162=phu!$I$29,M162=phu!$I$30,M162=phu!$I$31),"Cam Phú",""),IF(OR(M162=phu!$I$32,M162=phu!$I$33,M162=phu!$I$34,M162=phu!$I$35,M162=phu!$I$36,M162=phu!$I$37),"Cam Lộc",""),IF(OR(M162=phu!$I$38,M162=phu!$I$39,M162=phu!$I$40,M162=phu!$I$41,M162=phu!$I$42,M162=phu!$I$43,M162=phu!$I$44),"Cam Thuận",""),IF(OR(M162=phu!$I$45,M162=phu!$I$46,M162=phu!$I$47,M162=phu!$I$48,M162=phu!$I$49,M162=phu!$I$50,M162=phu!$I$51,M162=phu!$I$52,M162=phu!$I$53),"Cam Linh",""),IF(OR(M162=phu!$I$54,M162=phu!$I$55,M162=phu!$I$56,M162=phu!$I$57,M162=phu!$I$58,M162=phu!$I$59,M162=phu!$I$60,M162=phu!$I$61,M162=phu!$I$62),"Cam Lợi",""),IF(OR(M162=phu!$I$63,M162=phu!$I$64,M162=phu!$I$65,M162=phu!$I$66,M162=phu!$I$67,M162=phu!$I$68,M162=phu!$I$69,M162=phu!$I$70,M162=phu!$I$71),"Ba Ngòi",""),IF(OR(M162=phu!$I$72,M162=phu!$I$73,M162=phu!$I$74,M162=phu!$I$75,M162=phu!$I$76,M162=phu!$I$77,M162=phu!$I$78),"Cam Phước Đông",""),IF(OR(M162=phu!$I$79,M162=phu!$I$80,M162=phu!$I$81,M162=phu!$I$82,M162=phu!$I$83,M162=phu!$I$84),"Cam Thịnh Đông",""),IF(OR(M162=phu!$I$85,M162=phu!$I$86,M162=phu!$I$87,M162=phu!$I$88),"Cam Thịnh Tây",""),IF(OR(M162=phu!$I$89,M162=phu!$I$90),"Cam Lập",""),IF(OR(M162=phu!$I$91,M162=phu!$I$92,M162=phu!$I$93),"Cam Bình",""),IF(OR(M162=phu!$I$94,M162=phu!$I$95,M162=phu!$I$96,M162=phu!$I$97,M162=phu!$I$98,M162=phu!$I$99,M162=phu!$I$100),"Huyện khác",""),IF(OR(M162=phu!$I$101,M162=phu!$I$102),"Tỉnh khác",""))</f>
        <v/>
      </c>
      <c r="O162" s="829" t="str">
        <f t="shared" si="12"/>
        <v/>
      </c>
      <c r="P162" s="254"/>
      <c r="Q162" s="254"/>
      <c r="R162" s="254"/>
      <c r="S162" s="254"/>
      <c r="T162" s="254"/>
      <c r="U162" s="254"/>
      <c r="V162" s="254"/>
      <c r="W162" s="254"/>
      <c r="Y162" s="246" t="str">
        <f t="shared" si="13"/>
        <v/>
      </c>
      <c r="Z162" s="247" t="str">
        <f t="shared" si="17"/>
        <v/>
      </c>
      <c r="AA162" s="246" t="str">
        <f t="shared" si="14"/>
        <v/>
      </c>
    </row>
    <row r="163" spans="1:27" ht="18" customHeight="1" x14ac:dyDescent="0.25">
      <c r="A163" s="248" t="str">
        <f t="shared" si="15"/>
        <v/>
      </c>
      <c r="B163" s="249" t="str">
        <f t="shared" si="16"/>
        <v/>
      </c>
      <c r="C163" s="250"/>
      <c r="D163" s="251"/>
      <c r="E163" s="241"/>
      <c r="F163" s="252"/>
      <c r="G163" s="252"/>
      <c r="H163" s="253"/>
      <c r="I163" s="250"/>
      <c r="J163" s="250"/>
      <c r="K163" s="270"/>
      <c r="L163" s="250"/>
      <c r="M163" s="250"/>
      <c r="N163" s="540" t="str">
        <f>CONCATENATE(IF(OR(M163=phu!$I$1,M163=phu!$I$2,M163=phu!$I$3),"Cam Thành Nam",""),IF(OR(M163=phu!$I$4,M163=phu!$I$5,M163=phu!$I$6,M163=phu!$I$7,M163=phu!$I$8,M163=phu!$I$9,M163=phu!$I$10,M163=phu!$I$11,M163=phu!$I$12,M163=phu!$I$13,M163=phu!$I$14),"Cam Nghĩa",""),IF(OR(M163=phu!$I$15,M163=phu!$I$16,M163=phu!$I$17,M163=phu!$I$18,M163=phu!$I$19,M163=phu!$I$20,M163=phu!$I$21),"Cam Phúc Bắc",""),IF(OR(M163=phu!$I$22,M163=phu!$I$23,M163=phu!$I$24,M163=phu!$I$25),"Cam Phúc Nam",""),IF(OR(M163=phu!$I$26,M163=phu!$I$27,M163=phu!$I$28,M163=phu!$I$29,M163=phu!$I$30,M163=phu!$I$31),"Cam Phú",""),IF(OR(M163=phu!$I$32,M163=phu!$I$33,M163=phu!$I$34,M163=phu!$I$35,M163=phu!$I$36,M163=phu!$I$37),"Cam Lộc",""),IF(OR(M163=phu!$I$38,M163=phu!$I$39,M163=phu!$I$40,M163=phu!$I$41,M163=phu!$I$42,M163=phu!$I$43,M163=phu!$I$44),"Cam Thuận",""),IF(OR(M163=phu!$I$45,M163=phu!$I$46,M163=phu!$I$47,M163=phu!$I$48,M163=phu!$I$49,M163=phu!$I$50,M163=phu!$I$51,M163=phu!$I$52,M163=phu!$I$53),"Cam Linh",""),IF(OR(M163=phu!$I$54,M163=phu!$I$55,M163=phu!$I$56,M163=phu!$I$57,M163=phu!$I$58,M163=phu!$I$59,M163=phu!$I$60,M163=phu!$I$61,M163=phu!$I$62),"Cam Lợi",""),IF(OR(M163=phu!$I$63,M163=phu!$I$64,M163=phu!$I$65,M163=phu!$I$66,M163=phu!$I$67,M163=phu!$I$68,M163=phu!$I$69,M163=phu!$I$70,M163=phu!$I$71),"Ba Ngòi",""),IF(OR(M163=phu!$I$72,M163=phu!$I$73,M163=phu!$I$74,M163=phu!$I$75,M163=phu!$I$76,M163=phu!$I$77,M163=phu!$I$78),"Cam Phước Đông",""),IF(OR(M163=phu!$I$79,M163=phu!$I$80,M163=phu!$I$81,M163=phu!$I$82,M163=phu!$I$83,M163=phu!$I$84),"Cam Thịnh Đông",""),IF(OR(M163=phu!$I$85,M163=phu!$I$86,M163=phu!$I$87,M163=phu!$I$88),"Cam Thịnh Tây",""),IF(OR(M163=phu!$I$89,M163=phu!$I$90),"Cam Lập",""),IF(OR(M163=phu!$I$91,M163=phu!$I$92,M163=phu!$I$93),"Cam Bình",""),IF(OR(M163=phu!$I$94,M163=phu!$I$95,M163=phu!$I$96,M163=phu!$I$97,M163=phu!$I$98,M163=phu!$I$99,M163=phu!$I$100),"Huyện khác",""),IF(OR(M163=phu!$I$101,M163=phu!$I$102),"Tỉnh khác",""))</f>
        <v/>
      </c>
      <c r="O163" s="829" t="str">
        <f t="shared" si="12"/>
        <v/>
      </c>
      <c r="P163" s="254"/>
      <c r="Q163" s="254"/>
      <c r="R163" s="254"/>
      <c r="S163" s="254"/>
      <c r="T163" s="254"/>
      <c r="U163" s="254"/>
      <c r="V163" s="254"/>
      <c r="W163" s="254"/>
      <c r="Y163" s="246" t="str">
        <f t="shared" si="13"/>
        <v/>
      </c>
      <c r="Z163" s="247" t="str">
        <f t="shared" si="17"/>
        <v/>
      </c>
      <c r="AA163" s="246" t="str">
        <f t="shared" si="14"/>
        <v/>
      </c>
    </row>
    <row r="164" spans="1:27" ht="18" customHeight="1" x14ac:dyDescent="0.25">
      <c r="A164" s="248" t="str">
        <f t="shared" si="15"/>
        <v/>
      </c>
      <c r="B164" s="249" t="str">
        <f t="shared" si="16"/>
        <v/>
      </c>
      <c r="C164" s="250"/>
      <c r="D164" s="251"/>
      <c r="E164" s="241"/>
      <c r="F164" s="252"/>
      <c r="G164" s="252"/>
      <c r="H164" s="253"/>
      <c r="I164" s="250"/>
      <c r="J164" s="250"/>
      <c r="K164" s="270"/>
      <c r="L164" s="250"/>
      <c r="M164" s="250"/>
      <c r="N164" s="540" t="str">
        <f>CONCATENATE(IF(OR(M164=phu!$I$1,M164=phu!$I$2,M164=phu!$I$3),"Cam Thành Nam",""),IF(OR(M164=phu!$I$4,M164=phu!$I$5,M164=phu!$I$6,M164=phu!$I$7,M164=phu!$I$8,M164=phu!$I$9,M164=phu!$I$10,M164=phu!$I$11,M164=phu!$I$12,M164=phu!$I$13,M164=phu!$I$14),"Cam Nghĩa",""),IF(OR(M164=phu!$I$15,M164=phu!$I$16,M164=phu!$I$17,M164=phu!$I$18,M164=phu!$I$19,M164=phu!$I$20,M164=phu!$I$21),"Cam Phúc Bắc",""),IF(OR(M164=phu!$I$22,M164=phu!$I$23,M164=phu!$I$24,M164=phu!$I$25),"Cam Phúc Nam",""),IF(OR(M164=phu!$I$26,M164=phu!$I$27,M164=phu!$I$28,M164=phu!$I$29,M164=phu!$I$30,M164=phu!$I$31),"Cam Phú",""),IF(OR(M164=phu!$I$32,M164=phu!$I$33,M164=phu!$I$34,M164=phu!$I$35,M164=phu!$I$36,M164=phu!$I$37),"Cam Lộc",""),IF(OR(M164=phu!$I$38,M164=phu!$I$39,M164=phu!$I$40,M164=phu!$I$41,M164=phu!$I$42,M164=phu!$I$43,M164=phu!$I$44),"Cam Thuận",""),IF(OR(M164=phu!$I$45,M164=phu!$I$46,M164=phu!$I$47,M164=phu!$I$48,M164=phu!$I$49,M164=phu!$I$50,M164=phu!$I$51,M164=phu!$I$52,M164=phu!$I$53),"Cam Linh",""),IF(OR(M164=phu!$I$54,M164=phu!$I$55,M164=phu!$I$56,M164=phu!$I$57,M164=phu!$I$58,M164=phu!$I$59,M164=phu!$I$60,M164=phu!$I$61,M164=phu!$I$62),"Cam Lợi",""),IF(OR(M164=phu!$I$63,M164=phu!$I$64,M164=phu!$I$65,M164=phu!$I$66,M164=phu!$I$67,M164=phu!$I$68,M164=phu!$I$69,M164=phu!$I$70,M164=phu!$I$71),"Ba Ngòi",""),IF(OR(M164=phu!$I$72,M164=phu!$I$73,M164=phu!$I$74,M164=phu!$I$75,M164=phu!$I$76,M164=phu!$I$77,M164=phu!$I$78),"Cam Phước Đông",""),IF(OR(M164=phu!$I$79,M164=phu!$I$80,M164=phu!$I$81,M164=phu!$I$82,M164=phu!$I$83,M164=phu!$I$84),"Cam Thịnh Đông",""),IF(OR(M164=phu!$I$85,M164=phu!$I$86,M164=phu!$I$87,M164=phu!$I$88),"Cam Thịnh Tây",""),IF(OR(M164=phu!$I$89,M164=phu!$I$90),"Cam Lập",""),IF(OR(M164=phu!$I$91,M164=phu!$I$92,M164=phu!$I$93),"Cam Bình",""),IF(OR(M164=phu!$I$94,M164=phu!$I$95,M164=phu!$I$96,M164=phu!$I$97,M164=phu!$I$98,M164=phu!$I$99,M164=phu!$I$100),"Huyện khác",""),IF(OR(M164=phu!$I$101,M164=phu!$I$102),"Tỉnh khác",""))</f>
        <v/>
      </c>
      <c r="O164" s="829" t="str">
        <f t="shared" si="12"/>
        <v/>
      </c>
      <c r="P164" s="254"/>
      <c r="Q164" s="254"/>
      <c r="R164" s="254"/>
      <c r="S164" s="254"/>
      <c r="T164" s="254"/>
      <c r="U164" s="254"/>
      <c r="V164" s="254"/>
      <c r="W164" s="254"/>
      <c r="Y164" s="246" t="str">
        <f t="shared" si="13"/>
        <v/>
      </c>
      <c r="Z164" s="247" t="str">
        <f t="shared" si="17"/>
        <v/>
      </c>
      <c r="AA164" s="246" t="str">
        <f t="shared" si="14"/>
        <v/>
      </c>
    </row>
    <row r="165" spans="1:27" ht="18" customHeight="1" x14ac:dyDescent="0.25">
      <c r="A165" s="248" t="str">
        <f t="shared" si="15"/>
        <v/>
      </c>
      <c r="B165" s="249" t="str">
        <f t="shared" si="16"/>
        <v/>
      </c>
      <c r="C165" s="250"/>
      <c r="D165" s="251"/>
      <c r="E165" s="241"/>
      <c r="F165" s="252"/>
      <c r="G165" s="252"/>
      <c r="H165" s="253"/>
      <c r="I165" s="250"/>
      <c r="J165" s="250"/>
      <c r="K165" s="270"/>
      <c r="L165" s="250"/>
      <c r="M165" s="250"/>
      <c r="N165" s="540" t="str">
        <f>CONCATENATE(IF(OR(M165=phu!$I$1,M165=phu!$I$2,M165=phu!$I$3),"Cam Thành Nam",""),IF(OR(M165=phu!$I$4,M165=phu!$I$5,M165=phu!$I$6,M165=phu!$I$7,M165=phu!$I$8,M165=phu!$I$9,M165=phu!$I$10,M165=phu!$I$11,M165=phu!$I$12,M165=phu!$I$13,M165=phu!$I$14),"Cam Nghĩa",""),IF(OR(M165=phu!$I$15,M165=phu!$I$16,M165=phu!$I$17,M165=phu!$I$18,M165=phu!$I$19,M165=phu!$I$20,M165=phu!$I$21),"Cam Phúc Bắc",""),IF(OR(M165=phu!$I$22,M165=phu!$I$23,M165=phu!$I$24,M165=phu!$I$25),"Cam Phúc Nam",""),IF(OR(M165=phu!$I$26,M165=phu!$I$27,M165=phu!$I$28,M165=phu!$I$29,M165=phu!$I$30,M165=phu!$I$31),"Cam Phú",""),IF(OR(M165=phu!$I$32,M165=phu!$I$33,M165=phu!$I$34,M165=phu!$I$35,M165=phu!$I$36,M165=phu!$I$37),"Cam Lộc",""),IF(OR(M165=phu!$I$38,M165=phu!$I$39,M165=phu!$I$40,M165=phu!$I$41,M165=phu!$I$42,M165=phu!$I$43,M165=phu!$I$44),"Cam Thuận",""),IF(OR(M165=phu!$I$45,M165=phu!$I$46,M165=phu!$I$47,M165=phu!$I$48,M165=phu!$I$49,M165=phu!$I$50,M165=phu!$I$51,M165=phu!$I$52,M165=phu!$I$53),"Cam Linh",""),IF(OR(M165=phu!$I$54,M165=phu!$I$55,M165=phu!$I$56,M165=phu!$I$57,M165=phu!$I$58,M165=phu!$I$59,M165=phu!$I$60,M165=phu!$I$61,M165=phu!$I$62),"Cam Lợi",""),IF(OR(M165=phu!$I$63,M165=phu!$I$64,M165=phu!$I$65,M165=phu!$I$66,M165=phu!$I$67,M165=phu!$I$68,M165=phu!$I$69,M165=phu!$I$70,M165=phu!$I$71),"Ba Ngòi",""),IF(OR(M165=phu!$I$72,M165=phu!$I$73,M165=phu!$I$74,M165=phu!$I$75,M165=phu!$I$76,M165=phu!$I$77,M165=phu!$I$78),"Cam Phước Đông",""),IF(OR(M165=phu!$I$79,M165=phu!$I$80,M165=phu!$I$81,M165=phu!$I$82,M165=phu!$I$83,M165=phu!$I$84),"Cam Thịnh Đông",""),IF(OR(M165=phu!$I$85,M165=phu!$I$86,M165=phu!$I$87,M165=phu!$I$88),"Cam Thịnh Tây",""),IF(OR(M165=phu!$I$89,M165=phu!$I$90),"Cam Lập",""),IF(OR(M165=phu!$I$91,M165=phu!$I$92,M165=phu!$I$93),"Cam Bình",""),IF(OR(M165=phu!$I$94,M165=phu!$I$95,M165=phu!$I$96,M165=phu!$I$97,M165=phu!$I$98,M165=phu!$I$99,M165=phu!$I$100),"Huyện khác",""),IF(OR(M165=phu!$I$101,M165=phu!$I$102),"Tỉnh khác",""))</f>
        <v/>
      </c>
      <c r="O165" s="829" t="str">
        <f t="shared" si="12"/>
        <v/>
      </c>
      <c r="P165" s="254"/>
      <c r="Q165" s="254"/>
      <c r="R165" s="254"/>
      <c r="S165" s="254"/>
      <c r="T165" s="254"/>
      <c r="U165" s="254"/>
      <c r="V165" s="254"/>
      <c r="W165" s="254"/>
      <c r="Y165" s="246" t="str">
        <f t="shared" si="13"/>
        <v/>
      </c>
      <c r="Z165" s="247" t="str">
        <f t="shared" si="17"/>
        <v/>
      </c>
      <c r="AA165" s="246" t="str">
        <f t="shared" si="14"/>
        <v/>
      </c>
    </row>
    <row r="166" spans="1:27" ht="18" customHeight="1" x14ac:dyDescent="0.25">
      <c r="A166" s="248" t="str">
        <f t="shared" si="15"/>
        <v/>
      </c>
      <c r="B166" s="249" t="str">
        <f t="shared" si="16"/>
        <v/>
      </c>
      <c r="C166" s="250"/>
      <c r="D166" s="251"/>
      <c r="E166" s="241"/>
      <c r="F166" s="252"/>
      <c r="G166" s="252"/>
      <c r="H166" s="253"/>
      <c r="I166" s="250"/>
      <c r="J166" s="250"/>
      <c r="K166" s="270"/>
      <c r="L166" s="250"/>
      <c r="M166" s="250"/>
      <c r="N166" s="540" t="str">
        <f>CONCATENATE(IF(OR(M166=phu!$I$1,M166=phu!$I$2,M166=phu!$I$3),"Cam Thành Nam",""),IF(OR(M166=phu!$I$4,M166=phu!$I$5,M166=phu!$I$6,M166=phu!$I$7,M166=phu!$I$8,M166=phu!$I$9,M166=phu!$I$10,M166=phu!$I$11,M166=phu!$I$12,M166=phu!$I$13,M166=phu!$I$14),"Cam Nghĩa",""),IF(OR(M166=phu!$I$15,M166=phu!$I$16,M166=phu!$I$17,M166=phu!$I$18,M166=phu!$I$19,M166=phu!$I$20,M166=phu!$I$21),"Cam Phúc Bắc",""),IF(OR(M166=phu!$I$22,M166=phu!$I$23,M166=phu!$I$24,M166=phu!$I$25),"Cam Phúc Nam",""),IF(OR(M166=phu!$I$26,M166=phu!$I$27,M166=phu!$I$28,M166=phu!$I$29,M166=phu!$I$30,M166=phu!$I$31),"Cam Phú",""),IF(OR(M166=phu!$I$32,M166=phu!$I$33,M166=phu!$I$34,M166=phu!$I$35,M166=phu!$I$36,M166=phu!$I$37),"Cam Lộc",""),IF(OR(M166=phu!$I$38,M166=phu!$I$39,M166=phu!$I$40,M166=phu!$I$41,M166=phu!$I$42,M166=phu!$I$43,M166=phu!$I$44),"Cam Thuận",""),IF(OR(M166=phu!$I$45,M166=phu!$I$46,M166=phu!$I$47,M166=phu!$I$48,M166=phu!$I$49,M166=phu!$I$50,M166=phu!$I$51,M166=phu!$I$52,M166=phu!$I$53),"Cam Linh",""),IF(OR(M166=phu!$I$54,M166=phu!$I$55,M166=phu!$I$56,M166=phu!$I$57,M166=phu!$I$58,M166=phu!$I$59,M166=phu!$I$60,M166=phu!$I$61,M166=phu!$I$62),"Cam Lợi",""),IF(OR(M166=phu!$I$63,M166=phu!$I$64,M166=phu!$I$65,M166=phu!$I$66,M166=phu!$I$67,M166=phu!$I$68,M166=phu!$I$69,M166=phu!$I$70,M166=phu!$I$71),"Ba Ngòi",""),IF(OR(M166=phu!$I$72,M166=phu!$I$73,M166=phu!$I$74,M166=phu!$I$75,M166=phu!$I$76,M166=phu!$I$77,M166=phu!$I$78),"Cam Phước Đông",""),IF(OR(M166=phu!$I$79,M166=phu!$I$80,M166=phu!$I$81,M166=phu!$I$82,M166=phu!$I$83,M166=phu!$I$84),"Cam Thịnh Đông",""),IF(OR(M166=phu!$I$85,M166=phu!$I$86,M166=phu!$I$87,M166=phu!$I$88),"Cam Thịnh Tây",""),IF(OR(M166=phu!$I$89,M166=phu!$I$90),"Cam Lập",""),IF(OR(M166=phu!$I$91,M166=phu!$I$92,M166=phu!$I$93),"Cam Bình",""),IF(OR(M166=phu!$I$94,M166=phu!$I$95,M166=phu!$I$96,M166=phu!$I$97,M166=phu!$I$98,M166=phu!$I$99,M166=phu!$I$100),"Huyện khác",""),IF(OR(M166=phu!$I$101,M166=phu!$I$102),"Tỉnh khác",""))</f>
        <v/>
      </c>
      <c r="O166" s="829" t="str">
        <f t="shared" si="12"/>
        <v/>
      </c>
      <c r="P166" s="254"/>
      <c r="Q166" s="254"/>
      <c r="R166" s="254"/>
      <c r="S166" s="254"/>
      <c r="T166" s="254"/>
      <c r="U166" s="254"/>
      <c r="V166" s="254"/>
      <c r="W166" s="254"/>
      <c r="Y166" s="246" t="str">
        <f t="shared" si="13"/>
        <v/>
      </c>
      <c r="Z166" s="247" t="str">
        <f t="shared" si="17"/>
        <v/>
      </c>
      <c r="AA166" s="246" t="str">
        <f t="shared" si="14"/>
        <v/>
      </c>
    </row>
    <row r="167" spans="1:27" ht="18" customHeight="1" x14ac:dyDescent="0.25">
      <c r="A167" s="248" t="str">
        <f t="shared" si="15"/>
        <v/>
      </c>
      <c r="B167" s="249" t="str">
        <f t="shared" si="16"/>
        <v/>
      </c>
      <c r="C167" s="250"/>
      <c r="D167" s="251"/>
      <c r="E167" s="241"/>
      <c r="F167" s="252"/>
      <c r="G167" s="252"/>
      <c r="H167" s="253"/>
      <c r="I167" s="250"/>
      <c r="J167" s="250"/>
      <c r="K167" s="270"/>
      <c r="L167" s="250"/>
      <c r="M167" s="250"/>
      <c r="N167" s="540" t="str">
        <f>CONCATENATE(IF(OR(M167=phu!$I$1,M167=phu!$I$2,M167=phu!$I$3),"Cam Thành Nam",""),IF(OR(M167=phu!$I$4,M167=phu!$I$5,M167=phu!$I$6,M167=phu!$I$7,M167=phu!$I$8,M167=phu!$I$9,M167=phu!$I$10,M167=phu!$I$11,M167=phu!$I$12,M167=phu!$I$13,M167=phu!$I$14),"Cam Nghĩa",""),IF(OR(M167=phu!$I$15,M167=phu!$I$16,M167=phu!$I$17,M167=phu!$I$18,M167=phu!$I$19,M167=phu!$I$20,M167=phu!$I$21),"Cam Phúc Bắc",""),IF(OR(M167=phu!$I$22,M167=phu!$I$23,M167=phu!$I$24,M167=phu!$I$25),"Cam Phúc Nam",""),IF(OR(M167=phu!$I$26,M167=phu!$I$27,M167=phu!$I$28,M167=phu!$I$29,M167=phu!$I$30,M167=phu!$I$31),"Cam Phú",""),IF(OR(M167=phu!$I$32,M167=phu!$I$33,M167=phu!$I$34,M167=phu!$I$35,M167=phu!$I$36,M167=phu!$I$37),"Cam Lộc",""),IF(OR(M167=phu!$I$38,M167=phu!$I$39,M167=phu!$I$40,M167=phu!$I$41,M167=phu!$I$42,M167=phu!$I$43,M167=phu!$I$44),"Cam Thuận",""),IF(OR(M167=phu!$I$45,M167=phu!$I$46,M167=phu!$I$47,M167=phu!$I$48,M167=phu!$I$49,M167=phu!$I$50,M167=phu!$I$51,M167=phu!$I$52,M167=phu!$I$53),"Cam Linh",""),IF(OR(M167=phu!$I$54,M167=phu!$I$55,M167=phu!$I$56,M167=phu!$I$57,M167=phu!$I$58,M167=phu!$I$59,M167=phu!$I$60,M167=phu!$I$61,M167=phu!$I$62),"Cam Lợi",""),IF(OR(M167=phu!$I$63,M167=phu!$I$64,M167=phu!$I$65,M167=phu!$I$66,M167=phu!$I$67,M167=phu!$I$68,M167=phu!$I$69,M167=phu!$I$70,M167=phu!$I$71),"Ba Ngòi",""),IF(OR(M167=phu!$I$72,M167=phu!$I$73,M167=phu!$I$74,M167=phu!$I$75,M167=phu!$I$76,M167=phu!$I$77,M167=phu!$I$78),"Cam Phước Đông",""),IF(OR(M167=phu!$I$79,M167=phu!$I$80,M167=phu!$I$81,M167=phu!$I$82,M167=phu!$I$83,M167=phu!$I$84),"Cam Thịnh Đông",""),IF(OR(M167=phu!$I$85,M167=phu!$I$86,M167=phu!$I$87,M167=phu!$I$88),"Cam Thịnh Tây",""),IF(OR(M167=phu!$I$89,M167=phu!$I$90),"Cam Lập",""),IF(OR(M167=phu!$I$91,M167=phu!$I$92,M167=phu!$I$93),"Cam Bình",""),IF(OR(M167=phu!$I$94,M167=phu!$I$95,M167=phu!$I$96,M167=phu!$I$97,M167=phu!$I$98,M167=phu!$I$99,M167=phu!$I$100),"Huyện khác",""),IF(OR(M167=phu!$I$101,M167=phu!$I$102),"Tỉnh khác",""))</f>
        <v/>
      </c>
      <c r="O167" s="829" t="str">
        <f t="shared" si="12"/>
        <v/>
      </c>
      <c r="P167" s="254"/>
      <c r="Q167" s="254"/>
      <c r="R167" s="254"/>
      <c r="S167" s="254"/>
      <c r="T167" s="254"/>
      <c r="U167" s="254"/>
      <c r="V167" s="254"/>
      <c r="W167" s="254"/>
      <c r="Y167" s="246" t="str">
        <f t="shared" si="13"/>
        <v/>
      </c>
      <c r="Z167" s="247" t="str">
        <f t="shared" si="17"/>
        <v/>
      </c>
      <c r="AA167" s="246" t="str">
        <f t="shared" si="14"/>
        <v/>
      </c>
    </row>
    <row r="168" spans="1:27" ht="18" customHeight="1" x14ac:dyDescent="0.25">
      <c r="A168" s="248" t="str">
        <f t="shared" si="15"/>
        <v/>
      </c>
      <c r="B168" s="249" t="str">
        <f t="shared" si="16"/>
        <v/>
      </c>
      <c r="C168" s="250"/>
      <c r="D168" s="251"/>
      <c r="E168" s="241"/>
      <c r="F168" s="252"/>
      <c r="G168" s="252"/>
      <c r="H168" s="253"/>
      <c r="I168" s="250"/>
      <c r="J168" s="250"/>
      <c r="K168" s="270"/>
      <c r="L168" s="250"/>
      <c r="M168" s="250"/>
      <c r="N168" s="540" t="str">
        <f>CONCATENATE(IF(OR(M168=phu!$I$1,M168=phu!$I$2,M168=phu!$I$3),"Cam Thành Nam",""),IF(OR(M168=phu!$I$4,M168=phu!$I$5,M168=phu!$I$6,M168=phu!$I$7,M168=phu!$I$8,M168=phu!$I$9,M168=phu!$I$10,M168=phu!$I$11,M168=phu!$I$12,M168=phu!$I$13,M168=phu!$I$14),"Cam Nghĩa",""),IF(OR(M168=phu!$I$15,M168=phu!$I$16,M168=phu!$I$17,M168=phu!$I$18,M168=phu!$I$19,M168=phu!$I$20,M168=phu!$I$21),"Cam Phúc Bắc",""),IF(OR(M168=phu!$I$22,M168=phu!$I$23,M168=phu!$I$24,M168=phu!$I$25),"Cam Phúc Nam",""),IF(OR(M168=phu!$I$26,M168=phu!$I$27,M168=phu!$I$28,M168=phu!$I$29,M168=phu!$I$30,M168=phu!$I$31),"Cam Phú",""),IF(OR(M168=phu!$I$32,M168=phu!$I$33,M168=phu!$I$34,M168=phu!$I$35,M168=phu!$I$36,M168=phu!$I$37),"Cam Lộc",""),IF(OR(M168=phu!$I$38,M168=phu!$I$39,M168=phu!$I$40,M168=phu!$I$41,M168=phu!$I$42,M168=phu!$I$43,M168=phu!$I$44),"Cam Thuận",""),IF(OR(M168=phu!$I$45,M168=phu!$I$46,M168=phu!$I$47,M168=phu!$I$48,M168=phu!$I$49,M168=phu!$I$50,M168=phu!$I$51,M168=phu!$I$52,M168=phu!$I$53),"Cam Linh",""),IF(OR(M168=phu!$I$54,M168=phu!$I$55,M168=phu!$I$56,M168=phu!$I$57,M168=phu!$I$58,M168=phu!$I$59,M168=phu!$I$60,M168=phu!$I$61,M168=phu!$I$62),"Cam Lợi",""),IF(OR(M168=phu!$I$63,M168=phu!$I$64,M168=phu!$I$65,M168=phu!$I$66,M168=phu!$I$67,M168=phu!$I$68,M168=phu!$I$69,M168=phu!$I$70,M168=phu!$I$71),"Ba Ngòi",""),IF(OR(M168=phu!$I$72,M168=phu!$I$73,M168=phu!$I$74,M168=phu!$I$75,M168=phu!$I$76,M168=phu!$I$77,M168=phu!$I$78),"Cam Phước Đông",""),IF(OR(M168=phu!$I$79,M168=phu!$I$80,M168=phu!$I$81,M168=phu!$I$82,M168=phu!$I$83,M168=phu!$I$84),"Cam Thịnh Đông",""),IF(OR(M168=phu!$I$85,M168=phu!$I$86,M168=phu!$I$87,M168=phu!$I$88),"Cam Thịnh Tây",""),IF(OR(M168=phu!$I$89,M168=phu!$I$90),"Cam Lập",""),IF(OR(M168=phu!$I$91,M168=phu!$I$92,M168=phu!$I$93),"Cam Bình",""),IF(OR(M168=phu!$I$94,M168=phu!$I$95,M168=phu!$I$96,M168=phu!$I$97,M168=phu!$I$98,M168=phu!$I$99,M168=phu!$I$100),"Huyện khác",""),IF(OR(M168=phu!$I$101,M168=phu!$I$102),"Tỉnh khác",""))</f>
        <v/>
      </c>
      <c r="O168" s="829" t="str">
        <f t="shared" si="12"/>
        <v/>
      </c>
      <c r="P168" s="254"/>
      <c r="Q168" s="254"/>
      <c r="R168" s="254"/>
      <c r="S168" s="254"/>
      <c r="T168" s="254"/>
      <c r="U168" s="254"/>
      <c r="V168" s="254"/>
      <c r="W168" s="254"/>
      <c r="Y168" s="246" t="str">
        <f t="shared" si="13"/>
        <v/>
      </c>
      <c r="Z168" s="247" t="str">
        <f t="shared" si="17"/>
        <v/>
      </c>
      <c r="AA168" s="246" t="str">
        <f t="shared" si="14"/>
        <v/>
      </c>
    </row>
    <row r="169" spans="1:27" ht="18" customHeight="1" x14ac:dyDescent="0.25">
      <c r="A169" s="248" t="str">
        <f t="shared" si="15"/>
        <v/>
      </c>
      <c r="B169" s="249" t="str">
        <f t="shared" si="16"/>
        <v/>
      </c>
      <c r="C169" s="250"/>
      <c r="D169" s="251"/>
      <c r="E169" s="241"/>
      <c r="F169" s="252"/>
      <c r="G169" s="252"/>
      <c r="H169" s="253"/>
      <c r="I169" s="250"/>
      <c r="J169" s="250"/>
      <c r="K169" s="270"/>
      <c r="L169" s="250"/>
      <c r="M169" s="250"/>
      <c r="N169" s="540" t="str">
        <f>CONCATENATE(IF(OR(M169=phu!$I$1,M169=phu!$I$2,M169=phu!$I$3),"Cam Thành Nam",""),IF(OR(M169=phu!$I$4,M169=phu!$I$5,M169=phu!$I$6,M169=phu!$I$7,M169=phu!$I$8,M169=phu!$I$9,M169=phu!$I$10,M169=phu!$I$11,M169=phu!$I$12,M169=phu!$I$13,M169=phu!$I$14),"Cam Nghĩa",""),IF(OR(M169=phu!$I$15,M169=phu!$I$16,M169=phu!$I$17,M169=phu!$I$18,M169=phu!$I$19,M169=phu!$I$20,M169=phu!$I$21),"Cam Phúc Bắc",""),IF(OR(M169=phu!$I$22,M169=phu!$I$23,M169=phu!$I$24,M169=phu!$I$25),"Cam Phúc Nam",""),IF(OR(M169=phu!$I$26,M169=phu!$I$27,M169=phu!$I$28,M169=phu!$I$29,M169=phu!$I$30,M169=phu!$I$31),"Cam Phú",""),IF(OR(M169=phu!$I$32,M169=phu!$I$33,M169=phu!$I$34,M169=phu!$I$35,M169=phu!$I$36,M169=phu!$I$37),"Cam Lộc",""),IF(OR(M169=phu!$I$38,M169=phu!$I$39,M169=phu!$I$40,M169=phu!$I$41,M169=phu!$I$42,M169=phu!$I$43,M169=phu!$I$44),"Cam Thuận",""),IF(OR(M169=phu!$I$45,M169=phu!$I$46,M169=phu!$I$47,M169=phu!$I$48,M169=phu!$I$49,M169=phu!$I$50,M169=phu!$I$51,M169=phu!$I$52,M169=phu!$I$53),"Cam Linh",""),IF(OR(M169=phu!$I$54,M169=phu!$I$55,M169=phu!$I$56,M169=phu!$I$57,M169=phu!$I$58,M169=phu!$I$59,M169=phu!$I$60,M169=phu!$I$61,M169=phu!$I$62),"Cam Lợi",""),IF(OR(M169=phu!$I$63,M169=phu!$I$64,M169=phu!$I$65,M169=phu!$I$66,M169=phu!$I$67,M169=phu!$I$68,M169=phu!$I$69,M169=phu!$I$70,M169=phu!$I$71),"Ba Ngòi",""),IF(OR(M169=phu!$I$72,M169=phu!$I$73,M169=phu!$I$74,M169=phu!$I$75,M169=phu!$I$76,M169=phu!$I$77,M169=phu!$I$78),"Cam Phước Đông",""),IF(OR(M169=phu!$I$79,M169=phu!$I$80,M169=phu!$I$81,M169=phu!$I$82,M169=phu!$I$83,M169=phu!$I$84),"Cam Thịnh Đông",""),IF(OR(M169=phu!$I$85,M169=phu!$I$86,M169=phu!$I$87,M169=phu!$I$88),"Cam Thịnh Tây",""),IF(OR(M169=phu!$I$89,M169=phu!$I$90),"Cam Lập",""),IF(OR(M169=phu!$I$91,M169=phu!$I$92,M169=phu!$I$93),"Cam Bình",""),IF(OR(M169=phu!$I$94,M169=phu!$I$95,M169=phu!$I$96,M169=phu!$I$97,M169=phu!$I$98,M169=phu!$I$99,M169=phu!$I$100),"Huyện khác",""),IF(OR(M169=phu!$I$101,M169=phu!$I$102),"Tỉnh khác",""))</f>
        <v/>
      </c>
      <c r="O169" s="829" t="str">
        <f t="shared" si="12"/>
        <v/>
      </c>
      <c r="P169" s="254"/>
      <c r="Q169" s="254"/>
      <c r="R169" s="254"/>
      <c r="S169" s="254"/>
      <c r="T169" s="254"/>
      <c r="U169" s="254"/>
      <c r="V169" s="254"/>
      <c r="W169" s="254"/>
      <c r="Y169" s="246" t="str">
        <f t="shared" si="13"/>
        <v/>
      </c>
      <c r="Z169" s="247" t="str">
        <f t="shared" si="17"/>
        <v/>
      </c>
      <c r="AA169" s="246" t="str">
        <f t="shared" si="14"/>
        <v/>
      </c>
    </row>
    <row r="170" spans="1:27" ht="18" customHeight="1" x14ac:dyDescent="0.25">
      <c r="A170" s="248" t="str">
        <f t="shared" si="15"/>
        <v/>
      </c>
      <c r="B170" s="249" t="str">
        <f t="shared" si="16"/>
        <v/>
      </c>
      <c r="C170" s="250"/>
      <c r="D170" s="251"/>
      <c r="E170" s="241"/>
      <c r="F170" s="252"/>
      <c r="G170" s="252"/>
      <c r="H170" s="253"/>
      <c r="I170" s="250"/>
      <c r="J170" s="250"/>
      <c r="K170" s="270"/>
      <c r="L170" s="250"/>
      <c r="M170" s="250"/>
      <c r="N170" s="540" t="str">
        <f>CONCATENATE(IF(OR(M170=phu!$I$1,M170=phu!$I$2,M170=phu!$I$3),"Cam Thành Nam",""),IF(OR(M170=phu!$I$4,M170=phu!$I$5,M170=phu!$I$6,M170=phu!$I$7,M170=phu!$I$8,M170=phu!$I$9,M170=phu!$I$10,M170=phu!$I$11,M170=phu!$I$12,M170=phu!$I$13,M170=phu!$I$14),"Cam Nghĩa",""),IF(OR(M170=phu!$I$15,M170=phu!$I$16,M170=phu!$I$17,M170=phu!$I$18,M170=phu!$I$19,M170=phu!$I$20,M170=phu!$I$21),"Cam Phúc Bắc",""),IF(OR(M170=phu!$I$22,M170=phu!$I$23,M170=phu!$I$24,M170=phu!$I$25),"Cam Phúc Nam",""),IF(OR(M170=phu!$I$26,M170=phu!$I$27,M170=phu!$I$28,M170=phu!$I$29,M170=phu!$I$30,M170=phu!$I$31),"Cam Phú",""),IF(OR(M170=phu!$I$32,M170=phu!$I$33,M170=phu!$I$34,M170=phu!$I$35,M170=phu!$I$36,M170=phu!$I$37),"Cam Lộc",""),IF(OR(M170=phu!$I$38,M170=phu!$I$39,M170=phu!$I$40,M170=phu!$I$41,M170=phu!$I$42,M170=phu!$I$43,M170=phu!$I$44),"Cam Thuận",""),IF(OR(M170=phu!$I$45,M170=phu!$I$46,M170=phu!$I$47,M170=phu!$I$48,M170=phu!$I$49,M170=phu!$I$50,M170=phu!$I$51,M170=phu!$I$52,M170=phu!$I$53),"Cam Linh",""),IF(OR(M170=phu!$I$54,M170=phu!$I$55,M170=phu!$I$56,M170=phu!$I$57,M170=phu!$I$58,M170=phu!$I$59,M170=phu!$I$60,M170=phu!$I$61,M170=phu!$I$62),"Cam Lợi",""),IF(OR(M170=phu!$I$63,M170=phu!$I$64,M170=phu!$I$65,M170=phu!$I$66,M170=phu!$I$67,M170=phu!$I$68,M170=phu!$I$69,M170=phu!$I$70,M170=phu!$I$71),"Ba Ngòi",""),IF(OR(M170=phu!$I$72,M170=phu!$I$73,M170=phu!$I$74,M170=phu!$I$75,M170=phu!$I$76,M170=phu!$I$77,M170=phu!$I$78),"Cam Phước Đông",""),IF(OR(M170=phu!$I$79,M170=phu!$I$80,M170=phu!$I$81,M170=phu!$I$82,M170=phu!$I$83,M170=phu!$I$84),"Cam Thịnh Đông",""),IF(OR(M170=phu!$I$85,M170=phu!$I$86,M170=phu!$I$87,M170=phu!$I$88),"Cam Thịnh Tây",""),IF(OR(M170=phu!$I$89,M170=phu!$I$90),"Cam Lập",""),IF(OR(M170=phu!$I$91,M170=phu!$I$92,M170=phu!$I$93),"Cam Bình",""),IF(OR(M170=phu!$I$94,M170=phu!$I$95,M170=phu!$I$96,M170=phu!$I$97,M170=phu!$I$98,M170=phu!$I$99,M170=phu!$I$100),"Huyện khác",""),IF(OR(M170=phu!$I$101,M170=phu!$I$102),"Tỉnh khác",""))</f>
        <v/>
      </c>
      <c r="O170" s="829" t="str">
        <f t="shared" si="12"/>
        <v/>
      </c>
      <c r="P170" s="254"/>
      <c r="Q170" s="254"/>
      <c r="R170" s="254"/>
      <c r="S170" s="254"/>
      <c r="T170" s="254"/>
      <c r="U170" s="254"/>
      <c r="V170" s="254"/>
      <c r="W170" s="254"/>
      <c r="Y170" s="246" t="str">
        <f t="shared" si="13"/>
        <v/>
      </c>
      <c r="Z170" s="247" t="str">
        <f t="shared" si="17"/>
        <v/>
      </c>
      <c r="AA170" s="246" t="str">
        <f t="shared" si="14"/>
        <v/>
      </c>
    </row>
    <row r="171" spans="1:27" ht="18" customHeight="1" x14ac:dyDescent="0.25">
      <c r="A171" s="248" t="str">
        <f t="shared" si="15"/>
        <v/>
      </c>
      <c r="B171" s="249" t="str">
        <f t="shared" si="16"/>
        <v/>
      </c>
      <c r="C171" s="250"/>
      <c r="D171" s="251"/>
      <c r="E171" s="241"/>
      <c r="F171" s="252"/>
      <c r="G171" s="252"/>
      <c r="H171" s="253"/>
      <c r="I171" s="250"/>
      <c r="J171" s="250"/>
      <c r="K171" s="270"/>
      <c r="L171" s="250"/>
      <c r="M171" s="250"/>
      <c r="N171" s="540" t="str">
        <f>CONCATENATE(IF(OR(M171=phu!$I$1,M171=phu!$I$2,M171=phu!$I$3),"Cam Thành Nam",""),IF(OR(M171=phu!$I$4,M171=phu!$I$5,M171=phu!$I$6,M171=phu!$I$7,M171=phu!$I$8,M171=phu!$I$9,M171=phu!$I$10,M171=phu!$I$11,M171=phu!$I$12,M171=phu!$I$13,M171=phu!$I$14),"Cam Nghĩa",""),IF(OR(M171=phu!$I$15,M171=phu!$I$16,M171=phu!$I$17,M171=phu!$I$18,M171=phu!$I$19,M171=phu!$I$20,M171=phu!$I$21),"Cam Phúc Bắc",""),IF(OR(M171=phu!$I$22,M171=phu!$I$23,M171=phu!$I$24,M171=phu!$I$25),"Cam Phúc Nam",""),IF(OR(M171=phu!$I$26,M171=phu!$I$27,M171=phu!$I$28,M171=phu!$I$29,M171=phu!$I$30,M171=phu!$I$31),"Cam Phú",""),IF(OR(M171=phu!$I$32,M171=phu!$I$33,M171=phu!$I$34,M171=phu!$I$35,M171=phu!$I$36,M171=phu!$I$37),"Cam Lộc",""),IF(OR(M171=phu!$I$38,M171=phu!$I$39,M171=phu!$I$40,M171=phu!$I$41,M171=phu!$I$42,M171=phu!$I$43,M171=phu!$I$44),"Cam Thuận",""),IF(OR(M171=phu!$I$45,M171=phu!$I$46,M171=phu!$I$47,M171=phu!$I$48,M171=phu!$I$49,M171=phu!$I$50,M171=phu!$I$51,M171=phu!$I$52,M171=phu!$I$53),"Cam Linh",""),IF(OR(M171=phu!$I$54,M171=phu!$I$55,M171=phu!$I$56,M171=phu!$I$57,M171=phu!$I$58,M171=phu!$I$59,M171=phu!$I$60,M171=phu!$I$61,M171=phu!$I$62),"Cam Lợi",""),IF(OR(M171=phu!$I$63,M171=phu!$I$64,M171=phu!$I$65,M171=phu!$I$66,M171=phu!$I$67,M171=phu!$I$68,M171=phu!$I$69,M171=phu!$I$70,M171=phu!$I$71),"Ba Ngòi",""),IF(OR(M171=phu!$I$72,M171=phu!$I$73,M171=phu!$I$74,M171=phu!$I$75,M171=phu!$I$76,M171=phu!$I$77,M171=phu!$I$78),"Cam Phước Đông",""),IF(OR(M171=phu!$I$79,M171=phu!$I$80,M171=phu!$I$81,M171=phu!$I$82,M171=phu!$I$83,M171=phu!$I$84),"Cam Thịnh Đông",""),IF(OR(M171=phu!$I$85,M171=phu!$I$86,M171=phu!$I$87,M171=phu!$I$88),"Cam Thịnh Tây",""),IF(OR(M171=phu!$I$89,M171=phu!$I$90),"Cam Lập",""),IF(OR(M171=phu!$I$91,M171=phu!$I$92,M171=phu!$I$93),"Cam Bình",""),IF(OR(M171=phu!$I$94,M171=phu!$I$95,M171=phu!$I$96,M171=phu!$I$97,M171=phu!$I$98,M171=phu!$I$99,M171=phu!$I$100),"Huyện khác",""),IF(OR(M171=phu!$I$101,M171=phu!$I$102),"Tỉnh khác",""))</f>
        <v/>
      </c>
      <c r="O171" s="829" t="str">
        <f t="shared" si="12"/>
        <v/>
      </c>
      <c r="P171" s="254"/>
      <c r="Q171" s="254"/>
      <c r="R171" s="254"/>
      <c r="S171" s="254"/>
      <c r="T171" s="254"/>
      <c r="U171" s="254"/>
      <c r="V171" s="254"/>
      <c r="W171" s="254"/>
      <c r="Y171" s="246" t="str">
        <f t="shared" si="13"/>
        <v/>
      </c>
      <c r="Z171" s="247" t="str">
        <f t="shared" si="17"/>
        <v/>
      </c>
      <c r="AA171" s="246" t="str">
        <f t="shared" si="14"/>
        <v/>
      </c>
    </row>
    <row r="172" spans="1:27" ht="18" customHeight="1" x14ac:dyDescent="0.25">
      <c r="A172" s="248" t="str">
        <f t="shared" si="15"/>
        <v/>
      </c>
      <c r="B172" s="249" t="str">
        <f t="shared" si="16"/>
        <v/>
      </c>
      <c r="C172" s="250"/>
      <c r="D172" s="251"/>
      <c r="E172" s="241"/>
      <c r="F172" s="252"/>
      <c r="G172" s="252"/>
      <c r="H172" s="253"/>
      <c r="I172" s="250"/>
      <c r="J172" s="250"/>
      <c r="K172" s="270"/>
      <c r="L172" s="250"/>
      <c r="M172" s="250"/>
      <c r="N172" s="540" t="str">
        <f>CONCATENATE(IF(OR(M172=phu!$I$1,M172=phu!$I$2,M172=phu!$I$3),"Cam Thành Nam",""),IF(OR(M172=phu!$I$4,M172=phu!$I$5,M172=phu!$I$6,M172=phu!$I$7,M172=phu!$I$8,M172=phu!$I$9,M172=phu!$I$10,M172=phu!$I$11,M172=phu!$I$12,M172=phu!$I$13,M172=phu!$I$14),"Cam Nghĩa",""),IF(OR(M172=phu!$I$15,M172=phu!$I$16,M172=phu!$I$17,M172=phu!$I$18,M172=phu!$I$19,M172=phu!$I$20,M172=phu!$I$21),"Cam Phúc Bắc",""),IF(OR(M172=phu!$I$22,M172=phu!$I$23,M172=phu!$I$24,M172=phu!$I$25),"Cam Phúc Nam",""),IF(OR(M172=phu!$I$26,M172=phu!$I$27,M172=phu!$I$28,M172=phu!$I$29,M172=phu!$I$30,M172=phu!$I$31),"Cam Phú",""),IF(OR(M172=phu!$I$32,M172=phu!$I$33,M172=phu!$I$34,M172=phu!$I$35,M172=phu!$I$36,M172=phu!$I$37),"Cam Lộc",""),IF(OR(M172=phu!$I$38,M172=phu!$I$39,M172=phu!$I$40,M172=phu!$I$41,M172=phu!$I$42,M172=phu!$I$43,M172=phu!$I$44),"Cam Thuận",""),IF(OR(M172=phu!$I$45,M172=phu!$I$46,M172=phu!$I$47,M172=phu!$I$48,M172=phu!$I$49,M172=phu!$I$50,M172=phu!$I$51,M172=phu!$I$52,M172=phu!$I$53),"Cam Linh",""),IF(OR(M172=phu!$I$54,M172=phu!$I$55,M172=phu!$I$56,M172=phu!$I$57,M172=phu!$I$58,M172=phu!$I$59,M172=phu!$I$60,M172=phu!$I$61,M172=phu!$I$62),"Cam Lợi",""),IF(OR(M172=phu!$I$63,M172=phu!$I$64,M172=phu!$I$65,M172=phu!$I$66,M172=phu!$I$67,M172=phu!$I$68,M172=phu!$I$69,M172=phu!$I$70,M172=phu!$I$71),"Ba Ngòi",""),IF(OR(M172=phu!$I$72,M172=phu!$I$73,M172=phu!$I$74,M172=phu!$I$75,M172=phu!$I$76,M172=phu!$I$77,M172=phu!$I$78),"Cam Phước Đông",""),IF(OR(M172=phu!$I$79,M172=phu!$I$80,M172=phu!$I$81,M172=phu!$I$82,M172=phu!$I$83,M172=phu!$I$84),"Cam Thịnh Đông",""),IF(OR(M172=phu!$I$85,M172=phu!$I$86,M172=phu!$I$87,M172=phu!$I$88),"Cam Thịnh Tây",""),IF(OR(M172=phu!$I$89,M172=phu!$I$90),"Cam Lập",""),IF(OR(M172=phu!$I$91,M172=phu!$I$92,M172=phu!$I$93),"Cam Bình",""),IF(OR(M172=phu!$I$94,M172=phu!$I$95,M172=phu!$I$96,M172=phu!$I$97,M172=phu!$I$98,M172=phu!$I$99,M172=phu!$I$100),"Huyện khác",""),IF(OR(M172=phu!$I$101,M172=phu!$I$102),"Tỉnh khác",""))</f>
        <v/>
      </c>
      <c r="O172" s="829" t="str">
        <f t="shared" si="12"/>
        <v/>
      </c>
      <c r="P172" s="254"/>
      <c r="Q172" s="254"/>
      <c r="R172" s="254"/>
      <c r="S172" s="254"/>
      <c r="T172" s="254"/>
      <c r="U172" s="254"/>
      <c r="V172" s="254"/>
      <c r="W172" s="254"/>
      <c r="Y172" s="246" t="str">
        <f t="shared" si="13"/>
        <v/>
      </c>
      <c r="Z172" s="247" t="str">
        <f t="shared" si="17"/>
        <v/>
      </c>
      <c r="AA172" s="246" t="str">
        <f t="shared" si="14"/>
        <v/>
      </c>
    </row>
    <row r="173" spans="1:27" ht="18" customHeight="1" x14ac:dyDescent="0.25">
      <c r="A173" s="248" t="str">
        <f t="shared" si="15"/>
        <v/>
      </c>
      <c r="B173" s="249" t="str">
        <f t="shared" si="16"/>
        <v/>
      </c>
      <c r="C173" s="250"/>
      <c r="D173" s="251"/>
      <c r="E173" s="241"/>
      <c r="F173" s="252"/>
      <c r="G173" s="252"/>
      <c r="H173" s="253"/>
      <c r="I173" s="250"/>
      <c r="J173" s="250"/>
      <c r="K173" s="270"/>
      <c r="L173" s="250"/>
      <c r="M173" s="250"/>
      <c r="N173" s="540" t="str">
        <f>CONCATENATE(IF(OR(M173=phu!$I$1,M173=phu!$I$2,M173=phu!$I$3),"Cam Thành Nam",""),IF(OR(M173=phu!$I$4,M173=phu!$I$5,M173=phu!$I$6,M173=phu!$I$7,M173=phu!$I$8,M173=phu!$I$9,M173=phu!$I$10,M173=phu!$I$11,M173=phu!$I$12,M173=phu!$I$13,M173=phu!$I$14),"Cam Nghĩa",""),IF(OR(M173=phu!$I$15,M173=phu!$I$16,M173=phu!$I$17,M173=phu!$I$18,M173=phu!$I$19,M173=phu!$I$20,M173=phu!$I$21),"Cam Phúc Bắc",""),IF(OR(M173=phu!$I$22,M173=phu!$I$23,M173=phu!$I$24,M173=phu!$I$25),"Cam Phúc Nam",""),IF(OR(M173=phu!$I$26,M173=phu!$I$27,M173=phu!$I$28,M173=phu!$I$29,M173=phu!$I$30,M173=phu!$I$31),"Cam Phú",""),IF(OR(M173=phu!$I$32,M173=phu!$I$33,M173=phu!$I$34,M173=phu!$I$35,M173=phu!$I$36,M173=phu!$I$37),"Cam Lộc",""),IF(OR(M173=phu!$I$38,M173=phu!$I$39,M173=phu!$I$40,M173=phu!$I$41,M173=phu!$I$42,M173=phu!$I$43,M173=phu!$I$44),"Cam Thuận",""),IF(OR(M173=phu!$I$45,M173=phu!$I$46,M173=phu!$I$47,M173=phu!$I$48,M173=phu!$I$49,M173=phu!$I$50,M173=phu!$I$51,M173=phu!$I$52,M173=phu!$I$53),"Cam Linh",""),IF(OR(M173=phu!$I$54,M173=phu!$I$55,M173=phu!$I$56,M173=phu!$I$57,M173=phu!$I$58,M173=phu!$I$59,M173=phu!$I$60,M173=phu!$I$61,M173=phu!$I$62),"Cam Lợi",""),IF(OR(M173=phu!$I$63,M173=phu!$I$64,M173=phu!$I$65,M173=phu!$I$66,M173=phu!$I$67,M173=phu!$I$68,M173=phu!$I$69,M173=phu!$I$70,M173=phu!$I$71),"Ba Ngòi",""),IF(OR(M173=phu!$I$72,M173=phu!$I$73,M173=phu!$I$74,M173=phu!$I$75,M173=phu!$I$76,M173=phu!$I$77,M173=phu!$I$78),"Cam Phước Đông",""),IF(OR(M173=phu!$I$79,M173=phu!$I$80,M173=phu!$I$81,M173=phu!$I$82,M173=phu!$I$83,M173=phu!$I$84),"Cam Thịnh Đông",""),IF(OR(M173=phu!$I$85,M173=phu!$I$86,M173=phu!$I$87,M173=phu!$I$88),"Cam Thịnh Tây",""),IF(OR(M173=phu!$I$89,M173=phu!$I$90),"Cam Lập",""),IF(OR(M173=phu!$I$91,M173=phu!$I$92,M173=phu!$I$93),"Cam Bình",""),IF(OR(M173=phu!$I$94,M173=phu!$I$95,M173=phu!$I$96,M173=phu!$I$97,M173=phu!$I$98,M173=phu!$I$99,M173=phu!$I$100),"Huyện khác",""),IF(OR(M173=phu!$I$101,M173=phu!$I$102),"Tỉnh khác",""))</f>
        <v/>
      </c>
      <c r="O173" s="829" t="str">
        <f t="shared" si="12"/>
        <v/>
      </c>
      <c r="P173" s="254"/>
      <c r="Q173" s="254"/>
      <c r="R173" s="254"/>
      <c r="S173" s="254"/>
      <c r="T173" s="254"/>
      <c r="U173" s="254"/>
      <c r="V173" s="254"/>
      <c r="W173" s="254"/>
      <c r="Y173" s="246" t="str">
        <f t="shared" si="13"/>
        <v/>
      </c>
      <c r="Z173" s="247" t="str">
        <f t="shared" si="17"/>
        <v/>
      </c>
      <c r="AA173" s="246" t="str">
        <f t="shared" si="14"/>
        <v/>
      </c>
    </row>
    <row r="174" spans="1:27" ht="18" customHeight="1" x14ac:dyDescent="0.25">
      <c r="A174" s="248" t="str">
        <f t="shared" si="15"/>
        <v/>
      </c>
      <c r="B174" s="249" t="str">
        <f t="shared" si="16"/>
        <v/>
      </c>
      <c r="C174" s="250"/>
      <c r="D174" s="251"/>
      <c r="E174" s="241"/>
      <c r="F174" s="252"/>
      <c r="G174" s="252"/>
      <c r="H174" s="253"/>
      <c r="I174" s="250"/>
      <c r="J174" s="250"/>
      <c r="K174" s="270"/>
      <c r="L174" s="250"/>
      <c r="M174" s="250"/>
      <c r="N174" s="540" t="str">
        <f>CONCATENATE(IF(OR(M174=phu!$I$1,M174=phu!$I$2,M174=phu!$I$3),"Cam Thành Nam",""),IF(OR(M174=phu!$I$4,M174=phu!$I$5,M174=phu!$I$6,M174=phu!$I$7,M174=phu!$I$8,M174=phu!$I$9,M174=phu!$I$10,M174=phu!$I$11,M174=phu!$I$12,M174=phu!$I$13,M174=phu!$I$14),"Cam Nghĩa",""),IF(OR(M174=phu!$I$15,M174=phu!$I$16,M174=phu!$I$17,M174=phu!$I$18,M174=phu!$I$19,M174=phu!$I$20,M174=phu!$I$21),"Cam Phúc Bắc",""),IF(OR(M174=phu!$I$22,M174=phu!$I$23,M174=phu!$I$24,M174=phu!$I$25),"Cam Phúc Nam",""),IF(OR(M174=phu!$I$26,M174=phu!$I$27,M174=phu!$I$28,M174=phu!$I$29,M174=phu!$I$30,M174=phu!$I$31),"Cam Phú",""),IF(OR(M174=phu!$I$32,M174=phu!$I$33,M174=phu!$I$34,M174=phu!$I$35,M174=phu!$I$36,M174=phu!$I$37),"Cam Lộc",""),IF(OR(M174=phu!$I$38,M174=phu!$I$39,M174=phu!$I$40,M174=phu!$I$41,M174=phu!$I$42,M174=phu!$I$43,M174=phu!$I$44),"Cam Thuận",""),IF(OR(M174=phu!$I$45,M174=phu!$I$46,M174=phu!$I$47,M174=phu!$I$48,M174=phu!$I$49,M174=phu!$I$50,M174=phu!$I$51,M174=phu!$I$52,M174=phu!$I$53),"Cam Linh",""),IF(OR(M174=phu!$I$54,M174=phu!$I$55,M174=phu!$I$56,M174=phu!$I$57,M174=phu!$I$58,M174=phu!$I$59,M174=phu!$I$60,M174=phu!$I$61,M174=phu!$I$62),"Cam Lợi",""),IF(OR(M174=phu!$I$63,M174=phu!$I$64,M174=phu!$I$65,M174=phu!$I$66,M174=phu!$I$67,M174=phu!$I$68,M174=phu!$I$69,M174=phu!$I$70,M174=phu!$I$71),"Ba Ngòi",""),IF(OR(M174=phu!$I$72,M174=phu!$I$73,M174=phu!$I$74,M174=phu!$I$75,M174=phu!$I$76,M174=phu!$I$77,M174=phu!$I$78),"Cam Phước Đông",""),IF(OR(M174=phu!$I$79,M174=phu!$I$80,M174=phu!$I$81,M174=phu!$I$82,M174=phu!$I$83,M174=phu!$I$84),"Cam Thịnh Đông",""),IF(OR(M174=phu!$I$85,M174=phu!$I$86,M174=phu!$I$87,M174=phu!$I$88),"Cam Thịnh Tây",""),IF(OR(M174=phu!$I$89,M174=phu!$I$90),"Cam Lập",""),IF(OR(M174=phu!$I$91,M174=phu!$I$92,M174=phu!$I$93),"Cam Bình",""),IF(OR(M174=phu!$I$94,M174=phu!$I$95,M174=phu!$I$96,M174=phu!$I$97,M174=phu!$I$98,M174=phu!$I$99,M174=phu!$I$100),"Huyện khác",""),IF(OR(M174=phu!$I$101,M174=phu!$I$102),"Tỉnh khác",""))</f>
        <v/>
      </c>
      <c r="O174" s="829" t="str">
        <f t="shared" si="12"/>
        <v/>
      </c>
      <c r="P174" s="254"/>
      <c r="Q174" s="254"/>
      <c r="R174" s="254"/>
      <c r="S174" s="254"/>
      <c r="T174" s="254"/>
      <c r="U174" s="254"/>
      <c r="V174" s="254"/>
      <c r="W174" s="254"/>
      <c r="Y174" s="246" t="str">
        <f t="shared" si="13"/>
        <v/>
      </c>
      <c r="Z174" s="247" t="str">
        <f t="shared" si="17"/>
        <v/>
      </c>
      <c r="AA174" s="246" t="str">
        <f t="shared" si="14"/>
        <v/>
      </c>
    </row>
    <row r="175" spans="1:27" ht="18" customHeight="1" x14ac:dyDescent="0.25">
      <c r="A175" s="248" t="str">
        <f t="shared" si="15"/>
        <v/>
      </c>
      <c r="B175" s="249" t="str">
        <f t="shared" si="16"/>
        <v/>
      </c>
      <c r="C175" s="250"/>
      <c r="D175" s="251"/>
      <c r="E175" s="241"/>
      <c r="F175" s="252"/>
      <c r="G175" s="252"/>
      <c r="H175" s="253"/>
      <c r="I175" s="250"/>
      <c r="J175" s="250"/>
      <c r="K175" s="270"/>
      <c r="L175" s="250"/>
      <c r="M175" s="250"/>
      <c r="N175" s="540" t="str">
        <f>CONCATENATE(IF(OR(M175=phu!$I$1,M175=phu!$I$2,M175=phu!$I$3),"Cam Thành Nam",""),IF(OR(M175=phu!$I$4,M175=phu!$I$5,M175=phu!$I$6,M175=phu!$I$7,M175=phu!$I$8,M175=phu!$I$9,M175=phu!$I$10,M175=phu!$I$11,M175=phu!$I$12,M175=phu!$I$13,M175=phu!$I$14),"Cam Nghĩa",""),IF(OR(M175=phu!$I$15,M175=phu!$I$16,M175=phu!$I$17,M175=phu!$I$18,M175=phu!$I$19,M175=phu!$I$20,M175=phu!$I$21),"Cam Phúc Bắc",""),IF(OR(M175=phu!$I$22,M175=phu!$I$23,M175=phu!$I$24,M175=phu!$I$25),"Cam Phúc Nam",""),IF(OR(M175=phu!$I$26,M175=phu!$I$27,M175=phu!$I$28,M175=phu!$I$29,M175=phu!$I$30,M175=phu!$I$31),"Cam Phú",""),IF(OR(M175=phu!$I$32,M175=phu!$I$33,M175=phu!$I$34,M175=phu!$I$35,M175=phu!$I$36,M175=phu!$I$37),"Cam Lộc",""),IF(OR(M175=phu!$I$38,M175=phu!$I$39,M175=phu!$I$40,M175=phu!$I$41,M175=phu!$I$42,M175=phu!$I$43,M175=phu!$I$44),"Cam Thuận",""),IF(OR(M175=phu!$I$45,M175=phu!$I$46,M175=phu!$I$47,M175=phu!$I$48,M175=phu!$I$49,M175=phu!$I$50,M175=phu!$I$51,M175=phu!$I$52,M175=phu!$I$53),"Cam Linh",""),IF(OR(M175=phu!$I$54,M175=phu!$I$55,M175=phu!$I$56,M175=phu!$I$57,M175=phu!$I$58,M175=phu!$I$59,M175=phu!$I$60,M175=phu!$I$61,M175=phu!$I$62),"Cam Lợi",""),IF(OR(M175=phu!$I$63,M175=phu!$I$64,M175=phu!$I$65,M175=phu!$I$66,M175=phu!$I$67,M175=phu!$I$68,M175=phu!$I$69,M175=phu!$I$70,M175=phu!$I$71),"Ba Ngòi",""),IF(OR(M175=phu!$I$72,M175=phu!$I$73,M175=phu!$I$74,M175=phu!$I$75,M175=phu!$I$76,M175=phu!$I$77,M175=phu!$I$78),"Cam Phước Đông",""),IF(OR(M175=phu!$I$79,M175=phu!$I$80,M175=phu!$I$81,M175=phu!$I$82,M175=phu!$I$83,M175=phu!$I$84),"Cam Thịnh Đông",""),IF(OR(M175=phu!$I$85,M175=phu!$I$86,M175=phu!$I$87,M175=phu!$I$88),"Cam Thịnh Tây",""),IF(OR(M175=phu!$I$89,M175=phu!$I$90),"Cam Lập",""),IF(OR(M175=phu!$I$91,M175=phu!$I$92,M175=phu!$I$93),"Cam Bình",""),IF(OR(M175=phu!$I$94,M175=phu!$I$95,M175=phu!$I$96,M175=phu!$I$97,M175=phu!$I$98,M175=phu!$I$99,M175=phu!$I$100),"Huyện khác",""),IF(OR(M175=phu!$I$101,M175=phu!$I$102),"Tỉnh khác",""))</f>
        <v/>
      </c>
      <c r="O175" s="829" t="str">
        <f t="shared" si="12"/>
        <v/>
      </c>
      <c r="P175" s="254"/>
      <c r="Q175" s="254"/>
      <c r="R175" s="254"/>
      <c r="S175" s="254"/>
      <c r="T175" s="254"/>
      <c r="U175" s="254"/>
      <c r="V175" s="254"/>
      <c r="W175" s="254"/>
      <c r="Y175" s="246" t="str">
        <f t="shared" si="13"/>
        <v/>
      </c>
      <c r="Z175" s="247" t="str">
        <f t="shared" si="17"/>
        <v/>
      </c>
      <c r="AA175" s="246" t="str">
        <f t="shared" si="14"/>
        <v/>
      </c>
    </row>
    <row r="176" spans="1:27" ht="18" customHeight="1" x14ac:dyDescent="0.25">
      <c r="A176" s="248" t="str">
        <f t="shared" si="15"/>
        <v/>
      </c>
      <c r="B176" s="249" t="str">
        <f t="shared" si="16"/>
        <v/>
      </c>
      <c r="C176" s="250"/>
      <c r="D176" s="251"/>
      <c r="E176" s="241"/>
      <c r="F176" s="252"/>
      <c r="G176" s="252"/>
      <c r="H176" s="253"/>
      <c r="I176" s="250"/>
      <c r="J176" s="250"/>
      <c r="K176" s="270"/>
      <c r="L176" s="250"/>
      <c r="M176" s="250"/>
      <c r="N176" s="540" t="str">
        <f>CONCATENATE(IF(OR(M176=phu!$I$1,M176=phu!$I$2,M176=phu!$I$3),"Cam Thành Nam",""),IF(OR(M176=phu!$I$4,M176=phu!$I$5,M176=phu!$I$6,M176=phu!$I$7,M176=phu!$I$8,M176=phu!$I$9,M176=phu!$I$10,M176=phu!$I$11,M176=phu!$I$12,M176=phu!$I$13,M176=phu!$I$14),"Cam Nghĩa",""),IF(OR(M176=phu!$I$15,M176=phu!$I$16,M176=phu!$I$17,M176=phu!$I$18,M176=phu!$I$19,M176=phu!$I$20,M176=phu!$I$21),"Cam Phúc Bắc",""),IF(OR(M176=phu!$I$22,M176=phu!$I$23,M176=phu!$I$24,M176=phu!$I$25),"Cam Phúc Nam",""),IF(OR(M176=phu!$I$26,M176=phu!$I$27,M176=phu!$I$28,M176=phu!$I$29,M176=phu!$I$30,M176=phu!$I$31),"Cam Phú",""),IF(OR(M176=phu!$I$32,M176=phu!$I$33,M176=phu!$I$34,M176=phu!$I$35,M176=phu!$I$36,M176=phu!$I$37),"Cam Lộc",""),IF(OR(M176=phu!$I$38,M176=phu!$I$39,M176=phu!$I$40,M176=phu!$I$41,M176=phu!$I$42,M176=phu!$I$43,M176=phu!$I$44),"Cam Thuận",""),IF(OR(M176=phu!$I$45,M176=phu!$I$46,M176=phu!$I$47,M176=phu!$I$48,M176=phu!$I$49,M176=phu!$I$50,M176=phu!$I$51,M176=phu!$I$52,M176=phu!$I$53),"Cam Linh",""),IF(OR(M176=phu!$I$54,M176=phu!$I$55,M176=phu!$I$56,M176=phu!$I$57,M176=phu!$I$58,M176=phu!$I$59,M176=phu!$I$60,M176=phu!$I$61,M176=phu!$I$62),"Cam Lợi",""),IF(OR(M176=phu!$I$63,M176=phu!$I$64,M176=phu!$I$65,M176=phu!$I$66,M176=phu!$I$67,M176=phu!$I$68,M176=phu!$I$69,M176=phu!$I$70,M176=phu!$I$71),"Ba Ngòi",""),IF(OR(M176=phu!$I$72,M176=phu!$I$73,M176=phu!$I$74,M176=phu!$I$75,M176=phu!$I$76,M176=phu!$I$77,M176=phu!$I$78),"Cam Phước Đông",""),IF(OR(M176=phu!$I$79,M176=phu!$I$80,M176=phu!$I$81,M176=phu!$I$82,M176=phu!$I$83,M176=phu!$I$84),"Cam Thịnh Đông",""),IF(OR(M176=phu!$I$85,M176=phu!$I$86,M176=phu!$I$87,M176=phu!$I$88),"Cam Thịnh Tây",""),IF(OR(M176=phu!$I$89,M176=phu!$I$90),"Cam Lập",""),IF(OR(M176=phu!$I$91,M176=phu!$I$92,M176=phu!$I$93),"Cam Bình",""),IF(OR(M176=phu!$I$94,M176=phu!$I$95,M176=phu!$I$96,M176=phu!$I$97,M176=phu!$I$98,M176=phu!$I$99,M176=phu!$I$100),"Huyện khác",""),IF(OR(M176=phu!$I$101,M176=phu!$I$102),"Tỉnh khác",""))</f>
        <v/>
      </c>
      <c r="O176" s="829" t="str">
        <f t="shared" si="12"/>
        <v/>
      </c>
      <c r="P176" s="254"/>
      <c r="Q176" s="254"/>
      <c r="R176" s="254"/>
      <c r="S176" s="254"/>
      <c r="T176" s="254"/>
      <c r="U176" s="254"/>
      <c r="V176" s="254"/>
      <c r="W176" s="254"/>
      <c r="Y176" s="246" t="str">
        <f t="shared" si="13"/>
        <v/>
      </c>
      <c r="Z176" s="247" t="str">
        <f t="shared" si="17"/>
        <v/>
      </c>
      <c r="AA176" s="246" t="str">
        <f t="shared" si="14"/>
        <v/>
      </c>
    </row>
    <row r="177" spans="1:27" ht="18" customHeight="1" x14ac:dyDescent="0.25">
      <c r="A177" s="248" t="str">
        <f t="shared" si="15"/>
        <v/>
      </c>
      <c r="B177" s="249" t="str">
        <f t="shared" si="16"/>
        <v/>
      </c>
      <c r="C177" s="250"/>
      <c r="D177" s="251"/>
      <c r="E177" s="241"/>
      <c r="F177" s="252"/>
      <c r="G177" s="252"/>
      <c r="H177" s="253"/>
      <c r="I177" s="250"/>
      <c r="J177" s="250"/>
      <c r="K177" s="270"/>
      <c r="L177" s="250"/>
      <c r="M177" s="250"/>
      <c r="N177" s="540" t="str">
        <f>CONCATENATE(IF(OR(M177=phu!$I$1,M177=phu!$I$2,M177=phu!$I$3),"Cam Thành Nam",""),IF(OR(M177=phu!$I$4,M177=phu!$I$5,M177=phu!$I$6,M177=phu!$I$7,M177=phu!$I$8,M177=phu!$I$9,M177=phu!$I$10,M177=phu!$I$11,M177=phu!$I$12,M177=phu!$I$13,M177=phu!$I$14),"Cam Nghĩa",""),IF(OR(M177=phu!$I$15,M177=phu!$I$16,M177=phu!$I$17,M177=phu!$I$18,M177=phu!$I$19,M177=phu!$I$20,M177=phu!$I$21),"Cam Phúc Bắc",""),IF(OR(M177=phu!$I$22,M177=phu!$I$23,M177=phu!$I$24,M177=phu!$I$25),"Cam Phúc Nam",""),IF(OR(M177=phu!$I$26,M177=phu!$I$27,M177=phu!$I$28,M177=phu!$I$29,M177=phu!$I$30,M177=phu!$I$31),"Cam Phú",""),IF(OR(M177=phu!$I$32,M177=phu!$I$33,M177=phu!$I$34,M177=phu!$I$35,M177=phu!$I$36,M177=phu!$I$37),"Cam Lộc",""),IF(OR(M177=phu!$I$38,M177=phu!$I$39,M177=phu!$I$40,M177=phu!$I$41,M177=phu!$I$42,M177=phu!$I$43,M177=phu!$I$44),"Cam Thuận",""),IF(OR(M177=phu!$I$45,M177=phu!$I$46,M177=phu!$I$47,M177=phu!$I$48,M177=phu!$I$49,M177=phu!$I$50,M177=phu!$I$51,M177=phu!$I$52,M177=phu!$I$53),"Cam Linh",""),IF(OR(M177=phu!$I$54,M177=phu!$I$55,M177=phu!$I$56,M177=phu!$I$57,M177=phu!$I$58,M177=phu!$I$59,M177=phu!$I$60,M177=phu!$I$61,M177=phu!$I$62),"Cam Lợi",""),IF(OR(M177=phu!$I$63,M177=phu!$I$64,M177=phu!$I$65,M177=phu!$I$66,M177=phu!$I$67,M177=phu!$I$68,M177=phu!$I$69,M177=phu!$I$70,M177=phu!$I$71),"Ba Ngòi",""),IF(OR(M177=phu!$I$72,M177=phu!$I$73,M177=phu!$I$74,M177=phu!$I$75,M177=phu!$I$76,M177=phu!$I$77,M177=phu!$I$78),"Cam Phước Đông",""),IF(OR(M177=phu!$I$79,M177=phu!$I$80,M177=phu!$I$81,M177=phu!$I$82,M177=phu!$I$83,M177=phu!$I$84),"Cam Thịnh Đông",""),IF(OR(M177=phu!$I$85,M177=phu!$I$86,M177=phu!$I$87,M177=phu!$I$88),"Cam Thịnh Tây",""),IF(OR(M177=phu!$I$89,M177=phu!$I$90),"Cam Lập",""),IF(OR(M177=phu!$I$91,M177=phu!$I$92,M177=phu!$I$93),"Cam Bình",""),IF(OR(M177=phu!$I$94,M177=phu!$I$95,M177=phu!$I$96,M177=phu!$I$97,M177=phu!$I$98,M177=phu!$I$99,M177=phu!$I$100),"Huyện khác",""),IF(OR(M177=phu!$I$101,M177=phu!$I$102),"Tỉnh khác",""))</f>
        <v/>
      </c>
      <c r="O177" s="829" t="str">
        <f t="shared" si="12"/>
        <v/>
      </c>
      <c r="P177" s="254"/>
      <c r="Q177" s="254"/>
      <c r="R177" s="254"/>
      <c r="S177" s="254"/>
      <c r="T177" s="254"/>
      <c r="U177" s="254"/>
      <c r="V177" s="254"/>
      <c r="W177" s="254"/>
      <c r="Y177" s="246" t="str">
        <f t="shared" si="13"/>
        <v/>
      </c>
      <c r="Z177" s="247" t="str">
        <f t="shared" si="17"/>
        <v/>
      </c>
      <c r="AA177" s="246" t="str">
        <f t="shared" si="14"/>
        <v/>
      </c>
    </row>
    <row r="178" spans="1:27" ht="18" customHeight="1" x14ac:dyDescent="0.25">
      <c r="A178" s="248" t="str">
        <f t="shared" si="15"/>
        <v/>
      </c>
      <c r="B178" s="249" t="str">
        <f t="shared" si="16"/>
        <v/>
      </c>
      <c r="C178" s="250"/>
      <c r="D178" s="251"/>
      <c r="E178" s="241"/>
      <c r="F178" s="252"/>
      <c r="G178" s="252"/>
      <c r="H178" s="253"/>
      <c r="I178" s="250"/>
      <c r="J178" s="250"/>
      <c r="K178" s="270"/>
      <c r="L178" s="250"/>
      <c r="M178" s="250"/>
      <c r="N178" s="540" t="str">
        <f>CONCATENATE(IF(OR(M178=phu!$I$1,M178=phu!$I$2,M178=phu!$I$3),"Cam Thành Nam",""),IF(OR(M178=phu!$I$4,M178=phu!$I$5,M178=phu!$I$6,M178=phu!$I$7,M178=phu!$I$8,M178=phu!$I$9,M178=phu!$I$10,M178=phu!$I$11,M178=phu!$I$12,M178=phu!$I$13,M178=phu!$I$14),"Cam Nghĩa",""),IF(OR(M178=phu!$I$15,M178=phu!$I$16,M178=phu!$I$17,M178=phu!$I$18,M178=phu!$I$19,M178=phu!$I$20,M178=phu!$I$21),"Cam Phúc Bắc",""),IF(OR(M178=phu!$I$22,M178=phu!$I$23,M178=phu!$I$24,M178=phu!$I$25),"Cam Phúc Nam",""),IF(OR(M178=phu!$I$26,M178=phu!$I$27,M178=phu!$I$28,M178=phu!$I$29,M178=phu!$I$30,M178=phu!$I$31),"Cam Phú",""),IF(OR(M178=phu!$I$32,M178=phu!$I$33,M178=phu!$I$34,M178=phu!$I$35,M178=phu!$I$36,M178=phu!$I$37),"Cam Lộc",""),IF(OR(M178=phu!$I$38,M178=phu!$I$39,M178=phu!$I$40,M178=phu!$I$41,M178=phu!$I$42,M178=phu!$I$43,M178=phu!$I$44),"Cam Thuận",""),IF(OR(M178=phu!$I$45,M178=phu!$I$46,M178=phu!$I$47,M178=phu!$I$48,M178=phu!$I$49,M178=phu!$I$50,M178=phu!$I$51,M178=phu!$I$52,M178=phu!$I$53),"Cam Linh",""),IF(OR(M178=phu!$I$54,M178=phu!$I$55,M178=phu!$I$56,M178=phu!$I$57,M178=phu!$I$58,M178=phu!$I$59,M178=phu!$I$60,M178=phu!$I$61,M178=phu!$I$62),"Cam Lợi",""),IF(OR(M178=phu!$I$63,M178=phu!$I$64,M178=phu!$I$65,M178=phu!$I$66,M178=phu!$I$67,M178=phu!$I$68,M178=phu!$I$69,M178=phu!$I$70,M178=phu!$I$71),"Ba Ngòi",""),IF(OR(M178=phu!$I$72,M178=phu!$I$73,M178=phu!$I$74,M178=phu!$I$75,M178=phu!$I$76,M178=phu!$I$77,M178=phu!$I$78),"Cam Phước Đông",""),IF(OR(M178=phu!$I$79,M178=phu!$I$80,M178=phu!$I$81,M178=phu!$I$82,M178=phu!$I$83,M178=phu!$I$84),"Cam Thịnh Đông",""),IF(OR(M178=phu!$I$85,M178=phu!$I$86,M178=phu!$I$87,M178=phu!$I$88),"Cam Thịnh Tây",""),IF(OR(M178=phu!$I$89,M178=phu!$I$90),"Cam Lập",""),IF(OR(M178=phu!$I$91,M178=phu!$I$92,M178=phu!$I$93),"Cam Bình",""),IF(OR(M178=phu!$I$94,M178=phu!$I$95,M178=phu!$I$96,M178=phu!$I$97,M178=phu!$I$98,M178=phu!$I$99,M178=phu!$I$100),"Huyện khác",""),IF(OR(M178=phu!$I$101,M178=phu!$I$102),"Tỉnh khác",""))</f>
        <v/>
      </c>
      <c r="O178" s="829" t="str">
        <f t="shared" si="12"/>
        <v/>
      </c>
      <c r="P178" s="254"/>
      <c r="Q178" s="254"/>
      <c r="R178" s="254"/>
      <c r="S178" s="254"/>
      <c r="T178" s="254"/>
      <c r="U178" s="254"/>
      <c r="V178" s="254"/>
      <c r="W178" s="254"/>
      <c r="Y178" s="246" t="str">
        <f t="shared" si="13"/>
        <v/>
      </c>
      <c r="Z178" s="247" t="str">
        <f t="shared" si="17"/>
        <v/>
      </c>
      <c r="AA178" s="246" t="str">
        <f t="shared" si="14"/>
        <v/>
      </c>
    </row>
    <row r="179" spans="1:27" ht="18" customHeight="1" x14ac:dyDescent="0.25">
      <c r="A179" s="248" t="str">
        <f t="shared" si="15"/>
        <v/>
      </c>
      <c r="B179" s="249" t="str">
        <f t="shared" si="16"/>
        <v/>
      </c>
      <c r="C179" s="250"/>
      <c r="D179" s="251"/>
      <c r="E179" s="241"/>
      <c r="F179" s="252"/>
      <c r="G179" s="252"/>
      <c r="H179" s="253"/>
      <c r="I179" s="250"/>
      <c r="J179" s="250"/>
      <c r="K179" s="270"/>
      <c r="L179" s="250"/>
      <c r="M179" s="250"/>
      <c r="N179" s="540" t="str">
        <f>CONCATENATE(IF(OR(M179=phu!$I$1,M179=phu!$I$2,M179=phu!$I$3),"Cam Thành Nam",""),IF(OR(M179=phu!$I$4,M179=phu!$I$5,M179=phu!$I$6,M179=phu!$I$7,M179=phu!$I$8,M179=phu!$I$9,M179=phu!$I$10,M179=phu!$I$11,M179=phu!$I$12,M179=phu!$I$13,M179=phu!$I$14),"Cam Nghĩa",""),IF(OR(M179=phu!$I$15,M179=phu!$I$16,M179=phu!$I$17,M179=phu!$I$18,M179=phu!$I$19,M179=phu!$I$20,M179=phu!$I$21),"Cam Phúc Bắc",""),IF(OR(M179=phu!$I$22,M179=phu!$I$23,M179=phu!$I$24,M179=phu!$I$25),"Cam Phúc Nam",""),IF(OR(M179=phu!$I$26,M179=phu!$I$27,M179=phu!$I$28,M179=phu!$I$29,M179=phu!$I$30,M179=phu!$I$31),"Cam Phú",""),IF(OR(M179=phu!$I$32,M179=phu!$I$33,M179=phu!$I$34,M179=phu!$I$35,M179=phu!$I$36,M179=phu!$I$37),"Cam Lộc",""),IF(OR(M179=phu!$I$38,M179=phu!$I$39,M179=phu!$I$40,M179=phu!$I$41,M179=phu!$I$42,M179=phu!$I$43,M179=phu!$I$44),"Cam Thuận",""),IF(OR(M179=phu!$I$45,M179=phu!$I$46,M179=phu!$I$47,M179=phu!$I$48,M179=phu!$I$49,M179=phu!$I$50,M179=phu!$I$51,M179=phu!$I$52,M179=phu!$I$53),"Cam Linh",""),IF(OR(M179=phu!$I$54,M179=phu!$I$55,M179=phu!$I$56,M179=phu!$I$57,M179=phu!$I$58,M179=phu!$I$59,M179=phu!$I$60,M179=phu!$I$61,M179=phu!$I$62),"Cam Lợi",""),IF(OR(M179=phu!$I$63,M179=phu!$I$64,M179=phu!$I$65,M179=phu!$I$66,M179=phu!$I$67,M179=phu!$I$68,M179=phu!$I$69,M179=phu!$I$70,M179=phu!$I$71),"Ba Ngòi",""),IF(OR(M179=phu!$I$72,M179=phu!$I$73,M179=phu!$I$74,M179=phu!$I$75,M179=phu!$I$76,M179=phu!$I$77,M179=phu!$I$78),"Cam Phước Đông",""),IF(OR(M179=phu!$I$79,M179=phu!$I$80,M179=phu!$I$81,M179=phu!$I$82,M179=phu!$I$83,M179=phu!$I$84),"Cam Thịnh Đông",""),IF(OR(M179=phu!$I$85,M179=phu!$I$86,M179=phu!$I$87,M179=phu!$I$88),"Cam Thịnh Tây",""),IF(OR(M179=phu!$I$89,M179=phu!$I$90),"Cam Lập",""),IF(OR(M179=phu!$I$91,M179=phu!$I$92,M179=phu!$I$93),"Cam Bình",""),IF(OR(M179=phu!$I$94,M179=phu!$I$95,M179=phu!$I$96,M179=phu!$I$97,M179=phu!$I$98,M179=phu!$I$99,M179=phu!$I$100),"Huyện khác",""),IF(OR(M179=phu!$I$101,M179=phu!$I$102),"Tỉnh khác",""))</f>
        <v/>
      </c>
      <c r="O179" s="829" t="str">
        <f t="shared" si="12"/>
        <v/>
      </c>
      <c r="P179" s="254"/>
      <c r="Q179" s="254"/>
      <c r="R179" s="254"/>
      <c r="S179" s="254"/>
      <c r="T179" s="254"/>
      <c r="U179" s="254"/>
      <c r="V179" s="254"/>
      <c r="W179" s="254"/>
      <c r="Y179" s="246" t="str">
        <f t="shared" si="13"/>
        <v/>
      </c>
      <c r="Z179" s="247" t="str">
        <f t="shared" si="17"/>
        <v/>
      </c>
      <c r="AA179" s="246" t="str">
        <f t="shared" si="14"/>
        <v/>
      </c>
    </row>
    <row r="180" spans="1:27" ht="18" customHeight="1" x14ac:dyDescent="0.25">
      <c r="A180" s="248" t="str">
        <f t="shared" si="15"/>
        <v/>
      </c>
      <c r="B180" s="249" t="str">
        <f t="shared" si="16"/>
        <v/>
      </c>
      <c r="C180" s="250"/>
      <c r="D180" s="251"/>
      <c r="E180" s="241"/>
      <c r="F180" s="252"/>
      <c r="G180" s="252"/>
      <c r="H180" s="253"/>
      <c r="I180" s="250"/>
      <c r="J180" s="250"/>
      <c r="K180" s="270"/>
      <c r="L180" s="250"/>
      <c r="M180" s="250"/>
      <c r="N180" s="540" t="str">
        <f>CONCATENATE(IF(OR(M180=phu!$I$1,M180=phu!$I$2,M180=phu!$I$3),"Cam Thành Nam",""),IF(OR(M180=phu!$I$4,M180=phu!$I$5,M180=phu!$I$6,M180=phu!$I$7,M180=phu!$I$8,M180=phu!$I$9,M180=phu!$I$10,M180=phu!$I$11,M180=phu!$I$12,M180=phu!$I$13,M180=phu!$I$14),"Cam Nghĩa",""),IF(OR(M180=phu!$I$15,M180=phu!$I$16,M180=phu!$I$17,M180=phu!$I$18,M180=phu!$I$19,M180=phu!$I$20,M180=phu!$I$21),"Cam Phúc Bắc",""),IF(OR(M180=phu!$I$22,M180=phu!$I$23,M180=phu!$I$24,M180=phu!$I$25),"Cam Phúc Nam",""),IF(OR(M180=phu!$I$26,M180=phu!$I$27,M180=phu!$I$28,M180=phu!$I$29,M180=phu!$I$30,M180=phu!$I$31),"Cam Phú",""),IF(OR(M180=phu!$I$32,M180=phu!$I$33,M180=phu!$I$34,M180=phu!$I$35,M180=phu!$I$36,M180=phu!$I$37),"Cam Lộc",""),IF(OR(M180=phu!$I$38,M180=phu!$I$39,M180=phu!$I$40,M180=phu!$I$41,M180=phu!$I$42,M180=phu!$I$43,M180=phu!$I$44),"Cam Thuận",""),IF(OR(M180=phu!$I$45,M180=phu!$I$46,M180=phu!$I$47,M180=phu!$I$48,M180=phu!$I$49,M180=phu!$I$50,M180=phu!$I$51,M180=phu!$I$52,M180=phu!$I$53),"Cam Linh",""),IF(OR(M180=phu!$I$54,M180=phu!$I$55,M180=phu!$I$56,M180=phu!$I$57,M180=phu!$I$58,M180=phu!$I$59,M180=phu!$I$60,M180=phu!$I$61,M180=phu!$I$62),"Cam Lợi",""),IF(OR(M180=phu!$I$63,M180=phu!$I$64,M180=phu!$I$65,M180=phu!$I$66,M180=phu!$I$67,M180=phu!$I$68,M180=phu!$I$69,M180=phu!$I$70,M180=phu!$I$71),"Ba Ngòi",""),IF(OR(M180=phu!$I$72,M180=phu!$I$73,M180=phu!$I$74,M180=phu!$I$75,M180=phu!$I$76,M180=phu!$I$77,M180=phu!$I$78),"Cam Phước Đông",""),IF(OR(M180=phu!$I$79,M180=phu!$I$80,M180=phu!$I$81,M180=phu!$I$82,M180=phu!$I$83,M180=phu!$I$84),"Cam Thịnh Đông",""),IF(OR(M180=phu!$I$85,M180=phu!$I$86,M180=phu!$I$87,M180=phu!$I$88),"Cam Thịnh Tây",""),IF(OR(M180=phu!$I$89,M180=phu!$I$90),"Cam Lập",""),IF(OR(M180=phu!$I$91,M180=phu!$I$92,M180=phu!$I$93),"Cam Bình",""),IF(OR(M180=phu!$I$94,M180=phu!$I$95,M180=phu!$I$96,M180=phu!$I$97,M180=phu!$I$98,M180=phu!$I$99,M180=phu!$I$100),"Huyện khác",""),IF(OR(M180=phu!$I$101,M180=phu!$I$102),"Tỉnh khác",""))</f>
        <v/>
      </c>
      <c r="O180" s="829" t="str">
        <f t="shared" si="12"/>
        <v/>
      </c>
      <c r="P180" s="254"/>
      <c r="Q180" s="254"/>
      <c r="R180" s="254"/>
      <c r="S180" s="254"/>
      <c r="T180" s="254"/>
      <c r="U180" s="254"/>
      <c r="V180" s="254"/>
      <c r="W180" s="254"/>
      <c r="Y180" s="246" t="str">
        <f t="shared" si="13"/>
        <v/>
      </c>
      <c r="Z180" s="247" t="str">
        <f t="shared" si="17"/>
        <v/>
      </c>
      <c r="AA180" s="246" t="str">
        <f t="shared" si="14"/>
        <v/>
      </c>
    </row>
    <row r="181" spans="1:27" ht="18" customHeight="1" x14ac:dyDescent="0.25">
      <c r="A181" s="248" t="str">
        <f t="shared" si="15"/>
        <v/>
      </c>
      <c r="B181" s="249" t="str">
        <f t="shared" si="16"/>
        <v/>
      </c>
      <c r="C181" s="250"/>
      <c r="D181" s="251"/>
      <c r="E181" s="241"/>
      <c r="F181" s="252"/>
      <c r="G181" s="252"/>
      <c r="H181" s="253"/>
      <c r="I181" s="250"/>
      <c r="J181" s="250"/>
      <c r="K181" s="270"/>
      <c r="L181" s="250"/>
      <c r="M181" s="250"/>
      <c r="N181" s="540" t="str">
        <f>CONCATENATE(IF(OR(M181=phu!$I$1,M181=phu!$I$2,M181=phu!$I$3),"Cam Thành Nam",""),IF(OR(M181=phu!$I$4,M181=phu!$I$5,M181=phu!$I$6,M181=phu!$I$7,M181=phu!$I$8,M181=phu!$I$9,M181=phu!$I$10,M181=phu!$I$11,M181=phu!$I$12,M181=phu!$I$13,M181=phu!$I$14),"Cam Nghĩa",""),IF(OR(M181=phu!$I$15,M181=phu!$I$16,M181=phu!$I$17,M181=phu!$I$18,M181=phu!$I$19,M181=phu!$I$20,M181=phu!$I$21),"Cam Phúc Bắc",""),IF(OR(M181=phu!$I$22,M181=phu!$I$23,M181=phu!$I$24,M181=phu!$I$25),"Cam Phúc Nam",""),IF(OR(M181=phu!$I$26,M181=phu!$I$27,M181=phu!$I$28,M181=phu!$I$29,M181=phu!$I$30,M181=phu!$I$31),"Cam Phú",""),IF(OR(M181=phu!$I$32,M181=phu!$I$33,M181=phu!$I$34,M181=phu!$I$35,M181=phu!$I$36,M181=phu!$I$37),"Cam Lộc",""),IF(OR(M181=phu!$I$38,M181=phu!$I$39,M181=phu!$I$40,M181=phu!$I$41,M181=phu!$I$42,M181=phu!$I$43,M181=phu!$I$44),"Cam Thuận",""),IF(OR(M181=phu!$I$45,M181=phu!$I$46,M181=phu!$I$47,M181=phu!$I$48,M181=phu!$I$49,M181=phu!$I$50,M181=phu!$I$51,M181=phu!$I$52,M181=phu!$I$53),"Cam Linh",""),IF(OR(M181=phu!$I$54,M181=phu!$I$55,M181=phu!$I$56,M181=phu!$I$57,M181=phu!$I$58,M181=phu!$I$59,M181=phu!$I$60,M181=phu!$I$61,M181=phu!$I$62),"Cam Lợi",""),IF(OR(M181=phu!$I$63,M181=phu!$I$64,M181=phu!$I$65,M181=phu!$I$66,M181=phu!$I$67,M181=phu!$I$68,M181=phu!$I$69,M181=phu!$I$70,M181=phu!$I$71),"Ba Ngòi",""),IF(OR(M181=phu!$I$72,M181=phu!$I$73,M181=phu!$I$74,M181=phu!$I$75,M181=phu!$I$76,M181=phu!$I$77,M181=phu!$I$78),"Cam Phước Đông",""),IF(OR(M181=phu!$I$79,M181=phu!$I$80,M181=phu!$I$81,M181=phu!$I$82,M181=phu!$I$83,M181=phu!$I$84),"Cam Thịnh Đông",""),IF(OR(M181=phu!$I$85,M181=phu!$I$86,M181=phu!$I$87,M181=phu!$I$88),"Cam Thịnh Tây",""),IF(OR(M181=phu!$I$89,M181=phu!$I$90),"Cam Lập",""),IF(OR(M181=phu!$I$91,M181=phu!$I$92,M181=phu!$I$93),"Cam Bình",""),IF(OR(M181=phu!$I$94,M181=phu!$I$95,M181=phu!$I$96,M181=phu!$I$97,M181=phu!$I$98,M181=phu!$I$99,M181=phu!$I$100),"Huyện khác",""),IF(OR(M181=phu!$I$101,M181=phu!$I$102),"Tỉnh khác",""))</f>
        <v/>
      </c>
      <c r="O181" s="829" t="str">
        <f t="shared" si="12"/>
        <v/>
      </c>
      <c r="P181" s="254"/>
      <c r="Q181" s="254"/>
      <c r="R181" s="254"/>
      <c r="S181" s="254"/>
      <c r="T181" s="254"/>
      <c r="U181" s="254"/>
      <c r="V181" s="254"/>
      <c r="W181" s="254"/>
      <c r="Y181" s="246" t="str">
        <f t="shared" si="13"/>
        <v/>
      </c>
      <c r="Z181" s="247" t="str">
        <f t="shared" si="17"/>
        <v/>
      </c>
      <c r="AA181" s="246" t="str">
        <f t="shared" si="14"/>
        <v/>
      </c>
    </row>
    <row r="182" spans="1:27" ht="18" customHeight="1" x14ac:dyDescent="0.25">
      <c r="A182" s="248" t="str">
        <f t="shared" si="15"/>
        <v/>
      </c>
      <c r="B182" s="249" t="str">
        <f t="shared" si="16"/>
        <v/>
      </c>
      <c r="C182" s="250"/>
      <c r="D182" s="251"/>
      <c r="E182" s="241"/>
      <c r="F182" s="252"/>
      <c r="G182" s="252"/>
      <c r="H182" s="253"/>
      <c r="I182" s="250"/>
      <c r="J182" s="250"/>
      <c r="K182" s="270"/>
      <c r="L182" s="250"/>
      <c r="M182" s="250"/>
      <c r="N182" s="540" t="str">
        <f>CONCATENATE(IF(OR(M182=phu!$I$1,M182=phu!$I$2,M182=phu!$I$3),"Cam Thành Nam",""),IF(OR(M182=phu!$I$4,M182=phu!$I$5,M182=phu!$I$6,M182=phu!$I$7,M182=phu!$I$8,M182=phu!$I$9,M182=phu!$I$10,M182=phu!$I$11,M182=phu!$I$12,M182=phu!$I$13,M182=phu!$I$14),"Cam Nghĩa",""),IF(OR(M182=phu!$I$15,M182=phu!$I$16,M182=phu!$I$17,M182=phu!$I$18,M182=phu!$I$19,M182=phu!$I$20,M182=phu!$I$21),"Cam Phúc Bắc",""),IF(OR(M182=phu!$I$22,M182=phu!$I$23,M182=phu!$I$24,M182=phu!$I$25),"Cam Phúc Nam",""),IF(OR(M182=phu!$I$26,M182=phu!$I$27,M182=phu!$I$28,M182=phu!$I$29,M182=phu!$I$30,M182=phu!$I$31),"Cam Phú",""),IF(OR(M182=phu!$I$32,M182=phu!$I$33,M182=phu!$I$34,M182=phu!$I$35,M182=phu!$I$36,M182=phu!$I$37),"Cam Lộc",""),IF(OR(M182=phu!$I$38,M182=phu!$I$39,M182=phu!$I$40,M182=phu!$I$41,M182=phu!$I$42,M182=phu!$I$43,M182=phu!$I$44),"Cam Thuận",""),IF(OR(M182=phu!$I$45,M182=phu!$I$46,M182=phu!$I$47,M182=phu!$I$48,M182=phu!$I$49,M182=phu!$I$50,M182=phu!$I$51,M182=phu!$I$52,M182=phu!$I$53),"Cam Linh",""),IF(OR(M182=phu!$I$54,M182=phu!$I$55,M182=phu!$I$56,M182=phu!$I$57,M182=phu!$I$58,M182=phu!$I$59,M182=phu!$I$60,M182=phu!$I$61,M182=phu!$I$62),"Cam Lợi",""),IF(OR(M182=phu!$I$63,M182=phu!$I$64,M182=phu!$I$65,M182=phu!$I$66,M182=phu!$I$67,M182=phu!$I$68,M182=phu!$I$69,M182=phu!$I$70,M182=phu!$I$71),"Ba Ngòi",""),IF(OR(M182=phu!$I$72,M182=phu!$I$73,M182=phu!$I$74,M182=phu!$I$75,M182=phu!$I$76,M182=phu!$I$77,M182=phu!$I$78),"Cam Phước Đông",""),IF(OR(M182=phu!$I$79,M182=phu!$I$80,M182=phu!$I$81,M182=phu!$I$82,M182=phu!$I$83,M182=phu!$I$84),"Cam Thịnh Đông",""),IF(OR(M182=phu!$I$85,M182=phu!$I$86,M182=phu!$I$87,M182=phu!$I$88),"Cam Thịnh Tây",""),IF(OR(M182=phu!$I$89,M182=phu!$I$90),"Cam Lập",""),IF(OR(M182=phu!$I$91,M182=phu!$I$92,M182=phu!$I$93),"Cam Bình",""),IF(OR(M182=phu!$I$94,M182=phu!$I$95,M182=phu!$I$96,M182=phu!$I$97,M182=phu!$I$98,M182=phu!$I$99,M182=phu!$I$100),"Huyện khác",""),IF(OR(M182=phu!$I$101,M182=phu!$I$102),"Tỉnh khác",""))</f>
        <v/>
      </c>
      <c r="O182" s="829" t="str">
        <f t="shared" si="12"/>
        <v/>
      </c>
      <c r="P182" s="254"/>
      <c r="Q182" s="254"/>
      <c r="R182" s="254"/>
      <c r="S182" s="254"/>
      <c r="T182" s="254"/>
      <c r="U182" s="254"/>
      <c r="V182" s="254"/>
      <c r="W182" s="254"/>
      <c r="Y182" s="246" t="str">
        <f t="shared" si="13"/>
        <v/>
      </c>
      <c r="Z182" s="247" t="str">
        <f t="shared" si="17"/>
        <v/>
      </c>
      <c r="AA182" s="246" t="str">
        <f t="shared" si="14"/>
        <v/>
      </c>
    </row>
    <row r="183" spans="1:27" ht="18" customHeight="1" x14ac:dyDescent="0.25">
      <c r="A183" s="248" t="str">
        <f t="shared" si="15"/>
        <v/>
      </c>
      <c r="B183" s="249" t="str">
        <f t="shared" si="16"/>
        <v/>
      </c>
      <c r="C183" s="250"/>
      <c r="D183" s="251"/>
      <c r="E183" s="241"/>
      <c r="F183" s="252"/>
      <c r="G183" s="252"/>
      <c r="H183" s="253"/>
      <c r="I183" s="250"/>
      <c r="J183" s="250"/>
      <c r="K183" s="270"/>
      <c r="L183" s="250"/>
      <c r="M183" s="250"/>
      <c r="N183" s="540" t="str">
        <f>CONCATENATE(IF(OR(M183=phu!$I$1,M183=phu!$I$2,M183=phu!$I$3),"Cam Thành Nam",""),IF(OR(M183=phu!$I$4,M183=phu!$I$5,M183=phu!$I$6,M183=phu!$I$7,M183=phu!$I$8,M183=phu!$I$9,M183=phu!$I$10,M183=phu!$I$11,M183=phu!$I$12,M183=phu!$I$13,M183=phu!$I$14),"Cam Nghĩa",""),IF(OR(M183=phu!$I$15,M183=phu!$I$16,M183=phu!$I$17,M183=phu!$I$18,M183=phu!$I$19,M183=phu!$I$20,M183=phu!$I$21),"Cam Phúc Bắc",""),IF(OR(M183=phu!$I$22,M183=phu!$I$23,M183=phu!$I$24,M183=phu!$I$25),"Cam Phúc Nam",""),IF(OR(M183=phu!$I$26,M183=phu!$I$27,M183=phu!$I$28,M183=phu!$I$29,M183=phu!$I$30,M183=phu!$I$31),"Cam Phú",""),IF(OR(M183=phu!$I$32,M183=phu!$I$33,M183=phu!$I$34,M183=phu!$I$35,M183=phu!$I$36,M183=phu!$I$37),"Cam Lộc",""),IF(OR(M183=phu!$I$38,M183=phu!$I$39,M183=phu!$I$40,M183=phu!$I$41,M183=phu!$I$42,M183=phu!$I$43,M183=phu!$I$44),"Cam Thuận",""),IF(OR(M183=phu!$I$45,M183=phu!$I$46,M183=phu!$I$47,M183=phu!$I$48,M183=phu!$I$49,M183=phu!$I$50,M183=phu!$I$51,M183=phu!$I$52,M183=phu!$I$53),"Cam Linh",""),IF(OR(M183=phu!$I$54,M183=phu!$I$55,M183=phu!$I$56,M183=phu!$I$57,M183=phu!$I$58,M183=phu!$I$59,M183=phu!$I$60,M183=phu!$I$61,M183=phu!$I$62),"Cam Lợi",""),IF(OR(M183=phu!$I$63,M183=phu!$I$64,M183=phu!$I$65,M183=phu!$I$66,M183=phu!$I$67,M183=phu!$I$68,M183=phu!$I$69,M183=phu!$I$70,M183=phu!$I$71),"Ba Ngòi",""),IF(OR(M183=phu!$I$72,M183=phu!$I$73,M183=phu!$I$74,M183=phu!$I$75,M183=phu!$I$76,M183=phu!$I$77,M183=phu!$I$78),"Cam Phước Đông",""),IF(OR(M183=phu!$I$79,M183=phu!$I$80,M183=phu!$I$81,M183=phu!$I$82,M183=phu!$I$83,M183=phu!$I$84),"Cam Thịnh Đông",""),IF(OR(M183=phu!$I$85,M183=phu!$I$86,M183=phu!$I$87,M183=phu!$I$88),"Cam Thịnh Tây",""),IF(OR(M183=phu!$I$89,M183=phu!$I$90),"Cam Lập",""),IF(OR(M183=phu!$I$91,M183=phu!$I$92,M183=phu!$I$93),"Cam Bình",""),IF(OR(M183=phu!$I$94,M183=phu!$I$95,M183=phu!$I$96,M183=phu!$I$97,M183=phu!$I$98,M183=phu!$I$99,M183=phu!$I$100),"Huyện khác",""),IF(OR(M183=phu!$I$101,M183=phu!$I$102),"Tỉnh khác",""))</f>
        <v/>
      </c>
      <c r="O183" s="829" t="str">
        <f t="shared" si="12"/>
        <v/>
      </c>
      <c r="P183" s="254"/>
      <c r="Q183" s="254"/>
      <c r="R183" s="254"/>
      <c r="S183" s="254"/>
      <c r="T183" s="254"/>
      <c r="U183" s="254"/>
      <c r="V183" s="254"/>
      <c r="W183" s="254"/>
      <c r="Y183" s="246" t="str">
        <f t="shared" si="13"/>
        <v/>
      </c>
      <c r="Z183" s="247" t="str">
        <f t="shared" si="17"/>
        <v/>
      </c>
      <c r="AA183" s="246" t="str">
        <f t="shared" si="14"/>
        <v/>
      </c>
    </row>
    <row r="184" spans="1:27" ht="18" customHeight="1" x14ac:dyDescent="0.25">
      <c r="A184" s="248" t="str">
        <f t="shared" si="15"/>
        <v/>
      </c>
      <c r="B184" s="249" t="str">
        <f t="shared" si="16"/>
        <v/>
      </c>
      <c r="C184" s="250"/>
      <c r="D184" s="251"/>
      <c r="E184" s="241"/>
      <c r="F184" s="252"/>
      <c r="G184" s="252"/>
      <c r="H184" s="253"/>
      <c r="I184" s="250"/>
      <c r="J184" s="250"/>
      <c r="K184" s="270"/>
      <c r="L184" s="250"/>
      <c r="M184" s="250"/>
      <c r="N184" s="540" t="str">
        <f>CONCATENATE(IF(OR(M184=phu!$I$1,M184=phu!$I$2,M184=phu!$I$3),"Cam Thành Nam",""),IF(OR(M184=phu!$I$4,M184=phu!$I$5,M184=phu!$I$6,M184=phu!$I$7,M184=phu!$I$8,M184=phu!$I$9,M184=phu!$I$10,M184=phu!$I$11,M184=phu!$I$12,M184=phu!$I$13,M184=phu!$I$14),"Cam Nghĩa",""),IF(OR(M184=phu!$I$15,M184=phu!$I$16,M184=phu!$I$17,M184=phu!$I$18,M184=phu!$I$19,M184=phu!$I$20,M184=phu!$I$21),"Cam Phúc Bắc",""),IF(OR(M184=phu!$I$22,M184=phu!$I$23,M184=phu!$I$24,M184=phu!$I$25),"Cam Phúc Nam",""),IF(OR(M184=phu!$I$26,M184=phu!$I$27,M184=phu!$I$28,M184=phu!$I$29,M184=phu!$I$30,M184=phu!$I$31),"Cam Phú",""),IF(OR(M184=phu!$I$32,M184=phu!$I$33,M184=phu!$I$34,M184=phu!$I$35,M184=phu!$I$36,M184=phu!$I$37),"Cam Lộc",""),IF(OR(M184=phu!$I$38,M184=phu!$I$39,M184=phu!$I$40,M184=phu!$I$41,M184=phu!$I$42,M184=phu!$I$43,M184=phu!$I$44),"Cam Thuận",""),IF(OR(M184=phu!$I$45,M184=phu!$I$46,M184=phu!$I$47,M184=phu!$I$48,M184=phu!$I$49,M184=phu!$I$50,M184=phu!$I$51,M184=phu!$I$52,M184=phu!$I$53),"Cam Linh",""),IF(OR(M184=phu!$I$54,M184=phu!$I$55,M184=phu!$I$56,M184=phu!$I$57,M184=phu!$I$58,M184=phu!$I$59,M184=phu!$I$60,M184=phu!$I$61,M184=phu!$I$62),"Cam Lợi",""),IF(OR(M184=phu!$I$63,M184=phu!$I$64,M184=phu!$I$65,M184=phu!$I$66,M184=phu!$I$67,M184=phu!$I$68,M184=phu!$I$69,M184=phu!$I$70,M184=phu!$I$71),"Ba Ngòi",""),IF(OR(M184=phu!$I$72,M184=phu!$I$73,M184=phu!$I$74,M184=phu!$I$75,M184=phu!$I$76,M184=phu!$I$77,M184=phu!$I$78),"Cam Phước Đông",""),IF(OR(M184=phu!$I$79,M184=phu!$I$80,M184=phu!$I$81,M184=phu!$I$82,M184=phu!$I$83,M184=phu!$I$84),"Cam Thịnh Đông",""),IF(OR(M184=phu!$I$85,M184=phu!$I$86,M184=phu!$I$87,M184=phu!$I$88),"Cam Thịnh Tây",""),IF(OR(M184=phu!$I$89,M184=phu!$I$90),"Cam Lập",""),IF(OR(M184=phu!$I$91,M184=phu!$I$92,M184=phu!$I$93),"Cam Bình",""),IF(OR(M184=phu!$I$94,M184=phu!$I$95,M184=phu!$I$96,M184=phu!$I$97,M184=phu!$I$98,M184=phu!$I$99,M184=phu!$I$100),"Huyện khác",""),IF(OR(M184=phu!$I$101,M184=phu!$I$102),"Tỉnh khác",""))</f>
        <v/>
      </c>
      <c r="O184" s="829" t="str">
        <f t="shared" si="12"/>
        <v/>
      </c>
      <c r="P184" s="254"/>
      <c r="Q184" s="254"/>
      <c r="R184" s="254"/>
      <c r="S184" s="254"/>
      <c r="T184" s="254"/>
      <c r="U184" s="254"/>
      <c r="V184" s="254"/>
      <c r="W184" s="254"/>
      <c r="Y184" s="246" t="str">
        <f t="shared" si="13"/>
        <v/>
      </c>
      <c r="Z184" s="247" t="str">
        <f t="shared" si="17"/>
        <v/>
      </c>
      <c r="AA184" s="246" t="str">
        <f t="shared" si="14"/>
        <v/>
      </c>
    </row>
    <row r="185" spans="1:27" ht="18" customHeight="1" x14ac:dyDescent="0.25">
      <c r="A185" s="248" t="str">
        <f t="shared" si="15"/>
        <v/>
      </c>
      <c r="B185" s="249" t="str">
        <f t="shared" si="16"/>
        <v/>
      </c>
      <c r="C185" s="250"/>
      <c r="D185" s="251"/>
      <c r="E185" s="241"/>
      <c r="F185" s="252"/>
      <c r="G185" s="252"/>
      <c r="H185" s="253"/>
      <c r="I185" s="250"/>
      <c r="J185" s="250"/>
      <c r="K185" s="270"/>
      <c r="L185" s="250"/>
      <c r="M185" s="250"/>
      <c r="N185" s="540" t="str">
        <f>CONCATENATE(IF(OR(M185=phu!$I$1,M185=phu!$I$2,M185=phu!$I$3),"Cam Thành Nam",""),IF(OR(M185=phu!$I$4,M185=phu!$I$5,M185=phu!$I$6,M185=phu!$I$7,M185=phu!$I$8,M185=phu!$I$9,M185=phu!$I$10,M185=phu!$I$11,M185=phu!$I$12,M185=phu!$I$13,M185=phu!$I$14),"Cam Nghĩa",""),IF(OR(M185=phu!$I$15,M185=phu!$I$16,M185=phu!$I$17,M185=phu!$I$18,M185=phu!$I$19,M185=phu!$I$20,M185=phu!$I$21),"Cam Phúc Bắc",""),IF(OR(M185=phu!$I$22,M185=phu!$I$23,M185=phu!$I$24,M185=phu!$I$25),"Cam Phúc Nam",""),IF(OR(M185=phu!$I$26,M185=phu!$I$27,M185=phu!$I$28,M185=phu!$I$29,M185=phu!$I$30,M185=phu!$I$31),"Cam Phú",""),IF(OR(M185=phu!$I$32,M185=phu!$I$33,M185=phu!$I$34,M185=phu!$I$35,M185=phu!$I$36,M185=phu!$I$37),"Cam Lộc",""),IF(OR(M185=phu!$I$38,M185=phu!$I$39,M185=phu!$I$40,M185=phu!$I$41,M185=phu!$I$42,M185=phu!$I$43,M185=phu!$I$44),"Cam Thuận",""),IF(OR(M185=phu!$I$45,M185=phu!$I$46,M185=phu!$I$47,M185=phu!$I$48,M185=phu!$I$49,M185=phu!$I$50,M185=phu!$I$51,M185=phu!$I$52,M185=phu!$I$53),"Cam Linh",""),IF(OR(M185=phu!$I$54,M185=phu!$I$55,M185=phu!$I$56,M185=phu!$I$57,M185=phu!$I$58,M185=phu!$I$59,M185=phu!$I$60,M185=phu!$I$61,M185=phu!$I$62),"Cam Lợi",""),IF(OR(M185=phu!$I$63,M185=phu!$I$64,M185=phu!$I$65,M185=phu!$I$66,M185=phu!$I$67,M185=phu!$I$68,M185=phu!$I$69,M185=phu!$I$70,M185=phu!$I$71),"Ba Ngòi",""),IF(OR(M185=phu!$I$72,M185=phu!$I$73,M185=phu!$I$74,M185=phu!$I$75,M185=phu!$I$76,M185=phu!$I$77,M185=phu!$I$78),"Cam Phước Đông",""),IF(OR(M185=phu!$I$79,M185=phu!$I$80,M185=phu!$I$81,M185=phu!$I$82,M185=phu!$I$83,M185=phu!$I$84),"Cam Thịnh Đông",""),IF(OR(M185=phu!$I$85,M185=phu!$I$86,M185=phu!$I$87,M185=phu!$I$88),"Cam Thịnh Tây",""),IF(OR(M185=phu!$I$89,M185=phu!$I$90),"Cam Lập",""),IF(OR(M185=phu!$I$91,M185=phu!$I$92,M185=phu!$I$93),"Cam Bình",""),IF(OR(M185=phu!$I$94,M185=phu!$I$95,M185=phu!$I$96,M185=phu!$I$97,M185=phu!$I$98,M185=phu!$I$99,M185=phu!$I$100),"Huyện khác",""),IF(OR(M185=phu!$I$101,M185=phu!$I$102),"Tỉnh khác",""))</f>
        <v/>
      </c>
      <c r="O185" s="829" t="str">
        <f t="shared" si="12"/>
        <v/>
      </c>
      <c r="P185" s="254"/>
      <c r="Q185" s="254"/>
      <c r="R185" s="254"/>
      <c r="S185" s="254"/>
      <c r="T185" s="254"/>
      <c r="U185" s="254"/>
      <c r="V185" s="254"/>
      <c r="W185" s="254"/>
      <c r="Y185" s="246" t="str">
        <f t="shared" si="13"/>
        <v/>
      </c>
      <c r="Z185" s="247" t="str">
        <f t="shared" si="17"/>
        <v/>
      </c>
      <c r="AA185" s="246" t="str">
        <f t="shared" si="14"/>
        <v/>
      </c>
    </row>
    <row r="186" spans="1:27" ht="18" customHeight="1" x14ac:dyDescent="0.25">
      <c r="A186" s="248" t="str">
        <f t="shared" si="15"/>
        <v/>
      </c>
      <c r="B186" s="249" t="str">
        <f t="shared" si="16"/>
        <v/>
      </c>
      <c r="C186" s="250"/>
      <c r="D186" s="251"/>
      <c r="E186" s="241"/>
      <c r="F186" s="252"/>
      <c r="G186" s="252"/>
      <c r="H186" s="253"/>
      <c r="I186" s="250"/>
      <c r="J186" s="250"/>
      <c r="K186" s="270"/>
      <c r="L186" s="250"/>
      <c r="M186" s="250"/>
      <c r="N186" s="540" t="str">
        <f>CONCATENATE(IF(OR(M186=phu!$I$1,M186=phu!$I$2,M186=phu!$I$3),"Cam Thành Nam",""),IF(OR(M186=phu!$I$4,M186=phu!$I$5,M186=phu!$I$6,M186=phu!$I$7,M186=phu!$I$8,M186=phu!$I$9,M186=phu!$I$10,M186=phu!$I$11,M186=phu!$I$12,M186=phu!$I$13,M186=phu!$I$14),"Cam Nghĩa",""),IF(OR(M186=phu!$I$15,M186=phu!$I$16,M186=phu!$I$17,M186=phu!$I$18,M186=phu!$I$19,M186=phu!$I$20,M186=phu!$I$21),"Cam Phúc Bắc",""),IF(OR(M186=phu!$I$22,M186=phu!$I$23,M186=phu!$I$24,M186=phu!$I$25),"Cam Phúc Nam",""),IF(OR(M186=phu!$I$26,M186=phu!$I$27,M186=phu!$I$28,M186=phu!$I$29,M186=phu!$I$30,M186=phu!$I$31),"Cam Phú",""),IF(OR(M186=phu!$I$32,M186=phu!$I$33,M186=phu!$I$34,M186=phu!$I$35,M186=phu!$I$36,M186=phu!$I$37),"Cam Lộc",""),IF(OR(M186=phu!$I$38,M186=phu!$I$39,M186=phu!$I$40,M186=phu!$I$41,M186=phu!$I$42,M186=phu!$I$43,M186=phu!$I$44),"Cam Thuận",""),IF(OR(M186=phu!$I$45,M186=phu!$I$46,M186=phu!$I$47,M186=phu!$I$48,M186=phu!$I$49,M186=phu!$I$50,M186=phu!$I$51,M186=phu!$I$52,M186=phu!$I$53),"Cam Linh",""),IF(OR(M186=phu!$I$54,M186=phu!$I$55,M186=phu!$I$56,M186=phu!$I$57,M186=phu!$I$58,M186=phu!$I$59,M186=phu!$I$60,M186=phu!$I$61,M186=phu!$I$62),"Cam Lợi",""),IF(OR(M186=phu!$I$63,M186=phu!$I$64,M186=phu!$I$65,M186=phu!$I$66,M186=phu!$I$67,M186=phu!$I$68,M186=phu!$I$69,M186=phu!$I$70,M186=phu!$I$71),"Ba Ngòi",""),IF(OR(M186=phu!$I$72,M186=phu!$I$73,M186=phu!$I$74,M186=phu!$I$75,M186=phu!$I$76,M186=phu!$I$77,M186=phu!$I$78),"Cam Phước Đông",""),IF(OR(M186=phu!$I$79,M186=phu!$I$80,M186=phu!$I$81,M186=phu!$I$82,M186=phu!$I$83,M186=phu!$I$84),"Cam Thịnh Đông",""),IF(OR(M186=phu!$I$85,M186=phu!$I$86,M186=phu!$I$87,M186=phu!$I$88),"Cam Thịnh Tây",""),IF(OR(M186=phu!$I$89,M186=phu!$I$90),"Cam Lập",""),IF(OR(M186=phu!$I$91,M186=phu!$I$92,M186=phu!$I$93),"Cam Bình",""),IF(OR(M186=phu!$I$94,M186=phu!$I$95,M186=phu!$I$96,M186=phu!$I$97,M186=phu!$I$98,M186=phu!$I$99,M186=phu!$I$100),"Huyện khác",""),IF(OR(M186=phu!$I$101,M186=phu!$I$102),"Tỉnh khác",""))</f>
        <v/>
      </c>
      <c r="O186" s="829" t="str">
        <f t="shared" si="12"/>
        <v/>
      </c>
      <c r="P186" s="254"/>
      <c r="Q186" s="254"/>
      <c r="R186" s="254"/>
      <c r="S186" s="254"/>
      <c r="T186" s="254"/>
      <c r="U186" s="254"/>
      <c r="V186" s="254"/>
      <c r="W186" s="254"/>
      <c r="Y186" s="246" t="str">
        <f t="shared" si="13"/>
        <v/>
      </c>
      <c r="Z186" s="247" t="str">
        <f t="shared" si="17"/>
        <v/>
      </c>
      <c r="AA186" s="246" t="str">
        <f t="shared" si="14"/>
        <v/>
      </c>
    </row>
    <row r="187" spans="1:27" ht="18" customHeight="1" x14ac:dyDescent="0.25">
      <c r="A187" s="248" t="str">
        <f t="shared" si="15"/>
        <v/>
      </c>
      <c r="B187" s="249" t="str">
        <f t="shared" si="16"/>
        <v/>
      </c>
      <c r="C187" s="250"/>
      <c r="D187" s="251"/>
      <c r="E187" s="241"/>
      <c r="F187" s="252"/>
      <c r="G187" s="252"/>
      <c r="H187" s="253"/>
      <c r="I187" s="250"/>
      <c r="J187" s="250"/>
      <c r="K187" s="270"/>
      <c r="L187" s="250"/>
      <c r="M187" s="250"/>
      <c r="N187" s="540" t="str">
        <f>CONCATENATE(IF(OR(M187=phu!$I$1,M187=phu!$I$2,M187=phu!$I$3),"Cam Thành Nam",""),IF(OR(M187=phu!$I$4,M187=phu!$I$5,M187=phu!$I$6,M187=phu!$I$7,M187=phu!$I$8,M187=phu!$I$9,M187=phu!$I$10,M187=phu!$I$11,M187=phu!$I$12,M187=phu!$I$13,M187=phu!$I$14),"Cam Nghĩa",""),IF(OR(M187=phu!$I$15,M187=phu!$I$16,M187=phu!$I$17,M187=phu!$I$18,M187=phu!$I$19,M187=phu!$I$20,M187=phu!$I$21),"Cam Phúc Bắc",""),IF(OR(M187=phu!$I$22,M187=phu!$I$23,M187=phu!$I$24,M187=phu!$I$25),"Cam Phúc Nam",""),IF(OR(M187=phu!$I$26,M187=phu!$I$27,M187=phu!$I$28,M187=phu!$I$29,M187=phu!$I$30,M187=phu!$I$31),"Cam Phú",""),IF(OR(M187=phu!$I$32,M187=phu!$I$33,M187=phu!$I$34,M187=phu!$I$35,M187=phu!$I$36,M187=phu!$I$37),"Cam Lộc",""),IF(OR(M187=phu!$I$38,M187=phu!$I$39,M187=phu!$I$40,M187=phu!$I$41,M187=phu!$I$42,M187=phu!$I$43,M187=phu!$I$44),"Cam Thuận",""),IF(OR(M187=phu!$I$45,M187=phu!$I$46,M187=phu!$I$47,M187=phu!$I$48,M187=phu!$I$49,M187=phu!$I$50,M187=phu!$I$51,M187=phu!$I$52,M187=phu!$I$53),"Cam Linh",""),IF(OR(M187=phu!$I$54,M187=phu!$I$55,M187=phu!$I$56,M187=phu!$I$57,M187=phu!$I$58,M187=phu!$I$59,M187=phu!$I$60,M187=phu!$I$61,M187=phu!$I$62),"Cam Lợi",""),IF(OR(M187=phu!$I$63,M187=phu!$I$64,M187=phu!$I$65,M187=phu!$I$66,M187=phu!$I$67,M187=phu!$I$68,M187=phu!$I$69,M187=phu!$I$70,M187=phu!$I$71),"Ba Ngòi",""),IF(OR(M187=phu!$I$72,M187=phu!$I$73,M187=phu!$I$74,M187=phu!$I$75,M187=phu!$I$76,M187=phu!$I$77,M187=phu!$I$78),"Cam Phước Đông",""),IF(OR(M187=phu!$I$79,M187=phu!$I$80,M187=phu!$I$81,M187=phu!$I$82,M187=phu!$I$83,M187=phu!$I$84),"Cam Thịnh Đông",""),IF(OR(M187=phu!$I$85,M187=phu!$I$86,M187=phu!$I$87,M187=phu!$I$88),"Cam Thịnh Tây",""),IF(OR(M187=phu!$I$89,M187=phu!$I$90),"Cam Lập",""),IF(OR(M187=phu!$I$91,M187=phu!$I$92,M187=phu!$I$93),"Cam Bình",""),IF(OR(M187=phu!$I$94,M187=phu!$I$95,M187=phu!$I$96,M187=phu!$I$97,M187=phu!$I$98,M187=phu!$I$99,M187=phu!$I$100),"Huyện khác",""),IF(OR(M187=phu!$I$101,M187=phu!$I$102),"Tỉnh khác",""))</f>
        <v/>
      </c>
      <c r="O187" s="829" t="str">
        <f t="shared" si="12"/>
        <v/>
      </c>
      <c r="P187" s="254"/>
      <c r="Q187" s="254"/>
      <c r="R187" s="254"/>
      <c r="S187" s="254"/>
      <c r="T187" s="254"/>
      <c r="U187" s="254"/>
      <c r="V187" s="254"/>
      <c r="W187" s="254"/>
      <c r="Y187" s="246" t="str">
        <f t="shared" si="13"/>
        <v/>
      </c>
      <c r="Z187" s="247" t="str">
        <f t="shared" si="17"/>
        <v/>
      </c>
      <c r="AA187" s="246" t="str">
        <f t="shared" si="14"/>
        <v/>
      </c>
    </row>
    <row r="188" spans="1:27" ht="18" customHeight="1" x14ac:dyDescent="0.25">
      <c r="A188" s="248" t="str">
        <f t="shared" si="15"/>
        <v/>
      </c>
      <c r="B188" s="249" t="str">
        <f t="shared" si="16"/>
        <v/>
      </c>
      <c r="C188" s="250"/>
      <c r="D188" s="251"/>
      <c r="E188" s="241"/>
      <c r="F188" s="252"/>
      <c r="G188" s="252"/>
      <c r="H188" s="253"/>
      <c r="I188" s="250"/>
      <c r="J188" s="250"/>
      <c r="K188" s="270"/>
      <c r="L188" s="250"/>
      <c r="M188" s="250"/>
      <c r="N188" s="540" t="str">
        <f>CONCATENATE(IF(OR(M188=phu!$I$1,M188=phu!$I$2,M188=phu!$I$3),"Cam Thành Nam",""),IF(OR(M188=phu!$I$4,M188=phu!$I$5,M188=phu!$I$6,M188=phu!$I$7,M188=phu!$I$8,M188=phu!$I$9,M188=phu!$I$10,M188=phu!$I$11,M188=phu!$I$12,M188=phu!$I$13,M188=phu!$I$14),"Cam Nghĩa",""),IF(OR(M188=phu!$I$15,M188=phu!$I$16,M188=phu!$I$17,M188=phu!$I$18,M188=phu!$I$19,M188=phu!$I$20,M188=phu!$I$21),"Cam Phúc Bắc",""),IF(OR(M188=phu!$I$22,M188=phu!$I$23,M188=phu!$I$24,M188=phu!$I$25),"Cam Phúc Nam",""),IF(OR(M188=phu!$I$26,M188=phu!$I$27,M188=phu!$I$28,M188=phu!$I$29,M188=phu!$I$30,M188=phu!$I$31),"Cam Phú",""),IF(OR(M188=phu!$I$32,M188=phu!$I$33,M188=phu!$I$34,M188=phu!$I$35,M188=phu!$I$36,M188=phu!$I$37),"Cam Lộc",""),IF(OR(M188=phu!$I$38,M188=phu!$I$39,M188=phu!$I$40,M188=phu!$I$41,M188=phu!$I$42,M188=phu!$I$43,M188=phu!$I$44),"Cam Thuận",""),IF(OR(M188=phu!$I$45,M188=phu!$I$46,M188=phu!$I$47,M188=phu!$I$48,M188=phu!$I$49,M188=phu!$I$50,M188=phu!$I$51,M188=phu!$I$52,M188=phu!$I$53),"Cam Linh",""),IF(OR(M188=phu!$I$54,M188=phu!$I$55,M188=phu!$I$56,M188=phu!$I$57,M188=phu!$I$58,M188=phu!$I$59,M188=phu!$I$60,M188=phu!$I$61,M188=phu!$I$62),"Cam Lợi",""),IF(OR(M188=phu!$I$63,M188=phu!$I$64,M188=phu!$I$65,M188=phu!$I$66,M188=phu!$I$67,M188=phu!$I$68,M188=phu!$I$69,M188=phu!$I$70,M188=phu!$I$71),"Ba Ngòi",""),IF(OR(M188=phu!$I$72,M188=phu!$I$73,M188=phu!$I$74,M188=phu!$I$75,M188=phu!$I$76,M188=phu!$I$77,M188=phu!$I$78),"Cam Phước Đông",""),IF(OR(M188=phu!$I$79,M188=phu!$I$80,M188=phu!$I$81,M188=phu!$I$82,M188=phu!$I$83,M188=phu!$I$84),"Cam Thịnh Đông",""),IF(OR(M188=phu!$I$85,M188=phu!$I$86,M188=phu!$I$87,M188=phu!$I$88),"Cam Thịnh Tây",""),IF(OR(M188=phu!$I$89,M188=phu!$I$90),"Cam Lập",""),IF(OR(M188=phu!$I$91,M188=phu!$I$92,M188=phu!$I$93),"Cam Bình",""),IF(OR(M188=phu!$I$94,M188=phu!$I$95,M188=phu!$I$96,M188=phu!$I$97,M188=phu!$I$98,M188=phu!$I$99,M188=phu!$I$100),"Huyện khác",""),IF(OR(M188=phu!$I$101,M188=phu!$I$102),"Tỉnh khác",""))</f>
        <v/>
      </c>
      <c r="O188" s="829" t="str">
        <f t="shared" si="12"/>
        <v/>
      </c>
      <c r="P188" s="254"/>
      <c r="Q188" s="254"/>
      <c r="R188" s="254"/>
      <c r="S188" s="254"/>
      <c r="T188" s="254"/>
      <c r="U188" s="254"/>
      <c r="V188" s="254"/>
      <c r="W188" s="254"/>
      <c r="Y188" s="246" t="str">
        <f t="shared" si="13"/>
        <v/>
      </c>
      <c r="Z188" s="247" t="str">
        <f t="shared" si="17"/>
        <v/>
      </c>
      <c r="AA188" s="246" t="str">
        <f t="shared" si="14"/>
        <v/>
      </c>
    </row>
    <row r="189" spans="1:27" ht="18" customHeight="1" x14ac:dyDescent="0.25">
      <c r="A189" s="248" t="str">
        <f t="shared" si="15"/>
        <v/>
      </c>
      <c r="B189" s="249" t="str">
        <f t="shared" si="16"/>
        <v/>
      </c>
      <c r="C189" s="250"/>
      <c r="D189" s="251"/>
      <c r="E189" s="241"/>
      <c r="F189" s="252"/>
      <c r="G189" s="252"/>
      <c r="H189" s="253"/>
      <c r="I189" s="250"/>
      <c r="J189" s="250"/>
      <c r="K189" s="270"/>
      <c r="L189" s="250"/>
      <c r="M189" s="250"/>
      <c r="N189" s="540" t="str">
        <f>CONCATENATE(IF(OR(M189=phu!$I$1,M189=phu!$I$2,M189=phu!$I$3),"Cam Thành Nam",""),IF(OR(M189=phu!$I$4,M189=phu!$I$5,M189=phu!$I$6,M189=phu!$I$7,M189=phu!$I$8,M189=phu!$I$9,M189=phu!$I$10,M189=phu!$I$11,M189=phu!$I$12,M189=phu!$I$13,M189=phu!$I$14),"Cam Nghĩa",""),IF(OR(M189=phu!$I$15,M189=phu!$I$16,M189=phu!$I$17,M189=phu!$I$18,M189=phu!$I$19,M189=phu!$I$20,M189=phu!$I$21),"Cam Phúc Bắc",""),IF(OR(M189=phu!$I$22,M189=phu!$I$23,M189=phu!$I$24,M189=phu!$I$25),"Cam Phúc Nam",""),IF(OR(M189=phu!$I$26,M189=phu!$I$27,M189=phu!$I$28,M189=phu!$I$29,M189=phu!$I$30,M189=phu!$I$31),"Cam Phú",""),IF(OR(M189=phu!$I$32,M189=phu!$I$33,M189=phu!$I$34,M189=phu!$I$35,M189=phu!$I$36,M189=phu!$I$37),"Cam Lộc",""),IF(OR(M189=phu!$I$38,M189=phu!$I$39,M189=phu!$I$40,M189=phu!$I$41,M189=phu!$I$42,M189=phu!$I$43,M189=phu!$I$44),"Cam Thuận",""),IF(OR(M189=phu!$I$45,M189=phu!$I$46,M189=phu!$I$47,M189=phu!$I$48,M189=phu!$I$49,M189=phu!$I$50,M189=phu!$I$51,M189=phu!$I$52,M189=phu!$I$53),"Cam Linh",""),IF(OR(M189=phu!$I$54,M189=phu!$I$55,M189=phu!$I$56,M189=phu!$I$57,M189=phu!$I$58,M189=phu!$I$59,M189=phu!$I$60,M189=phu!$I$61,M189=phu!$I$62),"Cam Lợi",""),IF(OR(M189=phu!$I$63,M189=phu!$I$64,M189=phu!$I$65,M189=phu!$I$66,M189=phu!$I$67,M189=phu!$I$68,M189=phu!$I$69,M189=phu!$I$70,M189=phu!$I$71),"Ba Ngòi",""),IF(OR(M189=phu!$I$72,M189=phu!$I$73,M189=phu!$I$74,M189=phu!$I$75,M189=phu!$I$76,M189=phu!$I$77,M189=phu!$I$78),"Cam Phước Đông",""),IF(OR(M189=phu!$I$79,M189=phu!$I$80,M189=phu!$I$81,M189=phu!$I$82,M189=phu!$I$83,M189=phu!$I$84),"Cam Thịnh Đông",""),IF(OR(M189=phu!$I$85,M189=phu!$I$86,M189=phu!$I$87,M189=phu!$I$88),"Cam Thịnh Tây",""),IF(OR(M189=phu!$I$89,M189=phu!$I$90),"Cam Lập",""),IF(OR(M189=phu!$I$91,M189=phu!$I$92,M189=phu!$I$93),"Cam Bình",""),IF(OR(M189=phu!$I$94,M189=phu!$I$95,M189=phu!$I$96,M189=phu!$I$97,M189=phu!$I$98,M189=phu!$I$99,M189=phu!$I$100),"Huyện khác",""),IF(OR(M189=phu!$I$101,M189=phu!$I$102),"Tỉnh khác",""))</f>
        <v/>
      </c>
      <c r="O189" s="829" t="str">
        <f t="shared" si="12"/>
        <v/>
      </c>
      <c r="P189" s="254"/>
      <c r="Q189" s="254"/>
      <c r="R189" s="254"/>
      <c r="S189" s="254"/>
      <c r="T189" s="254"/>
      <c r="U189" s="254"/>
      <c r="V189" s="254"/>
      <c r="W189" s="254"/>
      <c r="Y189" s="246" t="str">
        <f t="shared" si="13"/>
        <v/>
      </c>
      <c r="Z189" s="247" t="str">
        <f t="shared" si="17"/>
        <v/>
      </c>
      <c r="AA189" s="246" t="str">
        <f t="shared" si="14"/>
        <v/>
      </c>
    </row>
    <row r="190" spans="1:27" ht="18" customHeight="1" x14ac:dyDescent="0.25">
      <c r="A190" s="248" t="str">
        <f t="shared" si="15"/>
        <v/>
      </c>
      <c r="B190" s="249" t="str">
        <f t="shared" si="16"/>
        <v/>
      </c>
      <c r="C190" s="250"/>
      <c r="D190" s="251"/>
      <c r="E190" s="241"/>
      <c r="F190" s="252"/>
      <c r="G190" s="252"/>
      <c r="H190" s="253"/>
      <c r="I190" s="250"/>
      <c r="J190" s="250"/>
      <c r="K190" s="270"/>
      <c r="L190" s="250"/>
      <c r="M190" s="250"/>
      <c r="N190" s="540" t="str">
        <f>CONCATENATE(IF(OR(M190=phu!$I$1,M190=phu!$I$2,M190=phu!$I$3),"Cam Thành Nam",""),IF(OR(M190=phu!$I$4,M190=phu!$I$5,M190=phu!$I$6,M190=phu!$I$7,M190=phu!$I$8,M190=phu!$I$9,M190=phu!$I$10,M190=phu!$I$11,M190=phu!$I$12,M190=phu!$I$13,M190=phu!$I$14),"Cam Nghĩa",""),IF(OR(M190=phu!$I$15,M190=phu!$I$16,M190=phu!$I$17,M190=phu!$I$18,M190=phu!$I$19,M190=phu!$I$20,M190=phu!$I$21),"Cam Phúc Bắc",""),IF(OR(M190=phu!$I$22,M190=phu!$I$23,M190=phu!$I$24,M190=phu!$I$25),"Cam Phúc Nam",""),IF(OR(M190=phu!$I$26,M190=phu!$I$27,M190=phu!$I$28,M190=phu!$I$29,M190=phu!$I$30,M190=phu!$I$31),"Cam Phú",""),IF(OR(M190=phu!$I$32,M190=phu!$I$33,M190=phu!$I$34,M190=phu!$I$35,M190=phu!$I$36,M190=phu!$I$37),"Cam Lộc",""),IF(OR(M190=phu!$I$38,M190=phu!$I$39,M190=phu!$I$40,M190=phu!$I$41,M190=phu!$I$42,M190=phu!$I$43,M190=phu!$I$44),"Cam Thuận",""),IF(OR(M190=phu!$I$45,M190=phu!$I$46,M190=phu!$I$47,M190=phu!$I$48,M190=phu!$I$49,M190=phu!$I$50,M190=phu!$I$51,M190=phu!$I$52,M190=phu!$I$53),"Cam Linh",""),IF(OR(M190=phu!$I$54,M190=phu!$I$55,M190=phu!$I$56,M190=phu!$I$57,M190=phu!$I$58,M190=phu!$I$59,M190=phu!$I$60,M190=phu!$I$61,M190=phu!$I$62),"Cam Lợi",""),IF(OR(M190=phu!$I$63,M190=phu!$I$64,M190=phu!$I$65,M190=phu!$I$66,M190=phu!$I$67,M190=phu!$I$68,M190=phu!$I$69,M190=phu!$I$70,M190=phu!$I$71),"Ba Ngòi",""),IF(OR(M190=phu!$I$72,M190=phu!$I$73,M190=phu!$I$74,M190=phu!$I$75,M190=phu!$I$76,M190=phu!$I$77,M190=phu!$I$78),"Cam Phước Đông",""),IF(OR(M190=phu!$I$79,M190=phu!$I$80,M190=phu!$I$81,M190=phu!$I$82,M190=phu!$I$83,M190=phu!$I$84),"Cam Thịnh Đông",""),IF(OR(M190=phu!$I$85,M190=phu!$I$86,M190=phu!$I$87,M190=phu!$I$88),"Cam Thịnh Tây",""),IF(OR(M190=phu!$I$89,M190=phu!$I$90),"Cam Lập",""),IF(OR(M190=phu!$I$91,M190=phu!$I$92,M190=phu!$I$93),"Cam Bình",""),IF(OR(M190=phu!$I$94,M190=phu!$I$95,M190=phu!$I$96,M190=phu!$I$97,M190=phu!$I$98,M190=phu!$I$99,M190=phu!$I$100),"Huyện khác",""),IF(OR(M190=phu!$I$101,M190=phu!$I$102),"Tỉnh khác",""))</f>
        <v/>
      </c>
      <c r="O190" s="829" t="str">
        <f t="shared" si="12"/>
        <v/>
      </c>
      <c r="P190" s="254"/>
      <c r="Q190" s="254"/>
      <c r="R190" s="254"/>
      <c r="S190" s="254"/>
      <c r="T190" s="254"/>
      <c r="U190" s="254"/>
      <c r="V190" s="254"/>
      <c r="W190" s="254"/>
      <c r="Y190" s="246" t="str">
        <f t="shared" si="13"/>
        <v/>
      </c>
      <c r="Z190" s="247" t="str">
        <f t="shared" si="17"/>
        <v/>
      </c>
      <c r="AA190" s="246" t="str">
        <f t="shared" si="14"/>
        <v/>
      </c>
    </row>
    <row r="191" spans="1:27" ht="18" customHeight="1" x14ac:dyDescent="0.25">
      <c r="A191" s="248" t="str">
        <f t="shared" si="15"/>
        <v/>
      </c>
      <c r="B191" s="249" t="str">
        <f t="shared" si="16"/>
        <v/>
      </c>
      <c r="C191" s="250"/>
      <c r="D191" s="251"/>
      <c r="E191" s="241"/>
      <c r="F191" s="252"/>
      <c r="G191" s="252"/>
      <c r="H191" s="253"/>
      <c r="I191" s="250"/>
      <c r="J191" s="250"/>
      <c r="K191" s="270"/>
      <c r="L191" s="250"/>
      <c r="M191" s="250"/>
      <c r="N191" s="540" t="str">
        <f>CONCATENATE(IF(OR(M191=phu!$I$1,M191=phu!$I$2,M191=phu!$I$3),"Cam Thành Nam",""),IF(OR(M191=phu!$I$4,M191=phu!$I$5,M191=phu!$I$6,M191=phu!$I$7,M191=phu!$I$8,M191=phu!$I$9,M191=phu!$I$10,M191=phu!$I$11,M191=phu!$I$12,M191=phu!$I$13,M191=phu!$I$14),"Cam Nghĩa",""),IF(OR(M191=phu!$I$15,M191=phu!$I$16,M191=phu!$I$17,M191=phu!$I$18,M191=phu!$I$19,M191=phu!$I$20,M191=phu!$I$21),"Cam Phúc Bắc",""),IF(OR(M191=phu!$I$22,M191=phu!$I$23,M191=phu!$I$24,M191=phu!$I$25),"Cam Phúc Nam",""),IF(OR(M191=phu!$I$26,M191=phu!$I$27,M191=phu!$I$28,M191=phu!$I$29,M191=phu!$I$30,M191=phu!$I$31),"Cam Phú",""),IF(OR(M191=phu!$I$32,M191=phu!$I$33,M191=phu!$I$34,M191=phu!$I$35,M191=phu!$I$36,M191=phu!$I$37),"Cam Lộc",""),IF(OR(M191=phu!$I$38,M191=phu!$I$39,M191=phu!$I$40,M191=phu!$I$41,M191=phu!$I$42,M191=phu!$I$43,M191=phu!$I$44),"Cam Thuận",""),IF(OR(M191=phu!$I$45,M191=phu!$I$46,M191=phu!$I$47,M191=phu!$I$48,M191=phu!$I$49,M191=phu!$I$50,M191=phu!$I$51,M191=phu!$I$52,M191=phu!$I$53),"Cam Linh",""),IF(OR(M191=phu!$I$54,M191=phu!$I$55,M191=phu!$I$56,M191=phu!$I$57,M191=phu!$I$58,M191=phu!$I$59,M191=phu!$I$60,M191=phu!$I$61,M191=phu!$I$62),"Cam Lợi",""),IF(OR(M191=phu!$I$63,M191=phu!$I$64,M191=phu!$I$65,M191=phu!$I$66,M191=phu!$I$67,M191=phu!$I$68,M191=phu!$I$69,M191=phu!$I$70,M191=phu!$I$71),"Ba Ngòi",""),IF(OR(M191=phu!$I$72,M191=phu!$I$73,M191=phu!$I$74,M191=phu!$I$75,M191=phu!$I$76,M191=phu!$I$77,M191=phu!$I$78),"Cam Phước Đông",""),IF(OR(M191=phu!$I$79,M191=phu!$I$80,M191=phu!$I$81,M191=phu!$I$82,M191=phu!$I$83,M191=phu!$I$84),"Cam Thịnh Đông",""),IF(OR(M191=phu!$I$85,M191=phu!$I$86,M191=phu!$I$87,M191=phu!$I$88),"Cam Thịnh Tây",""),IF(OR(M191=phu!$I$89,M191=phu!$I$90),"Cam Lập",""),IF(OR(M191=phu!$I$91,M191=phu!$I$92,M191=phu!$I$93),"Cam Bình",""),IF(OR(M191=phu!$I$94,M191=phu!$I$95,M191=phu!$I$96,M191=phu!$I$97,M191=phu!$I$98,M191=phu!$I$99,M191=phu!$I$100),"Huyện khác",""),IF(OR(M191=phu!$I$101,M191=phu!$I$102),"Tỉnh khác",""))</f>
        <v/>
      </c>
      <c r="O191" s="829" t="str">
        <f t="shared" si="12"/>
        <v/>
      </c>
      <c r="P191" s="254"/>
      <c r="Q191" s="254"/>
      <c r="R191" s="254"/>
      <c r="S191" s="254"/>
      <c r="T191" s="254"/>
      <c r="U191" s="254"/>
      <c r="V191" s="254"/>
      <c r="W191" s="254"/>
      <c r="Y191" s="246" t="str">
        <f t="shared" si="13"/>
        <v/>
      </c>
      <c r="Z191" s="247" t="str">
        <f t="shared" si="17"/>
        <v/>
      </c>
      <c r="AA191" s="246" t="str">
        <f t="shared" si="14"/>
        <v/>
      </c>
    </row>
    <row r="192" spans="1:27" ht="18" customHeight="1" x14ac:dyDescent="0.25">
      <c r="A192" s="248" t="str">
        <f t="shared" si="15"/>
        <v/>
      </c>
      <c r="B192" s="249" t="str">
        <f t="shared" si="16"/>
        <v/>
      </c>
      <c r="C192" s="250"/>
      <c r="D192" s="251"/>
      <c r="E192" s="241"/>
      <c r="F192" s="252"/>
      <c r="G192" s="252"/>
      <c r="H192" s="253"/>
      <c r="I192" s="250"/>
      <c r="J192" s="250"/>
      <c r="K192" s="270"/>
      <c r="L192" s="250"/>
      <c r="M192" s="250"/>
      <c r="N192" s="540" t="str">
        <f>CONCATENATE(IF(OR(M192=phu!$I$1,M192=phu!$I$2,M192=phu!$I$3),"Cam Thành Nam",""),IF(OR(M192=phu!$I$4,M192=phu!$I$5,M192=phu!$I$6,M192=phu!$I$7,M192=phu!$I$8,M192=phu!$I$9,M192=phu!$I$10,M192=phu!$I$11,M192=phu!$I$12,M192=phu!$I$13,M192=phu!$I$14),"Cam Nghĩa",""),IF(OR(M192=phu!$I$15,M192=phu!$I$16,M192=phu!$I$17,M192=phu!$I$18,M192=phu!$I$19,M192=phu!$I$20,M192=phu!$I$21),"Cam Phúc Bắc",""),IF(OR(M192=phu!$I$22,M192=phu!$I$23,M192=phu!$I$24,M192=phu!$I$25),"Cam Phúc Nam",""),IF(OR(M192=phu!$I$26,M192=phu!$I$27,M192=phu!$I$28,M192=phu!$I$29,M192=phu!$I$30,M192=phu!$I$31),"Cam Phú",""),IF(OR(M192=phu!$I$32,M192=phu!$I$33,M192=phu!$I$34,M192=phu!$I$35,M192=phu!$I$36,M192=phu!$I$37),"Cam Lộc",""),IF(OR(M192=phu!$I$38,M192=phu!$I$39,M192=phu!$I$40,M192=phu!$I$41,M192=phu!$I$42,M192=phu!$I$43,M192=phu!$I$44),"Cam Thuận",""),IF(OR(M192=phu!$I$45,M192=phu!$I$46,M192=phu!$I$47,M192=phu!$I$48,M192=phu!$I$49,M192=phu!$I$50,M192=phu!$I$51,M192=phu!$I$52,M192=phu!$I$53),"Cam Linh",""),IF(OR(M192=phu!$I$54,M192=phu!$I$55,M192=phu!$I$56,M192=phu!$I$57,M192=phu!$I$58,M192=phu!$I$59,M192=phu!$I$60,M192=phu!$I$61,M192=phu!$I$62),"Cam Lợi",""),IF(OR(M192=phu!$I$63,M192=phu!$I$64,M192=phu!$I$65,M192=phu!$I$66,M192=phu!$I$67,M192=phu!$I$68,M192=phu!$I$69,M192=phu!$I$70,M192=phu!$I$71),"Ba Ngòi",""),IF(OR(M192=phu!$I$72,M192=phu!$I$73,M192=phu!$I$74,M192=phu!$I$75,M192=phu!$I$76,M192=phu!$I$77,M192=phu!$I$78),"Cam Phước Đông",""),IF(OR(M192=phu!$I$79,M192=phu!$I$80,M192=phu!$I$81,M192=phu!$I$82,M192=phu!$I$83,M192=phu!$I$84),"Cam Thịnh Đông",""),IF(OR(M192=phu!$I$85,M192=phu!$I$86,M192=phu!$I$87,M192=phu!$I$88),"Cam Thịnh Tây",""),IF(OR(M192=phu!$I$89,M192=phu!$I$90),"Cam Lập",""),IF(OR(M192=phu!$I$91,M192=phu!$I$92,M192=phu!$I$93),"Cam Bình",""),IF(OR(M192=phu!$I$94,M192=phu!$I$95,M192=phu!$I$96,M192=phu!$I$97,M192=phu!$I$98,M192=phu!$I$99,M192=phu!$I$100),"Huyện khác",""),IF(OR(M192=phu!$I$101,M192=phu!$I$102),"Tỉnh khác",""))</f>
        <v/>
      </c>
      <c r="O192" s="829" t="str">
        <f t="shared" si="12"/>
        <v/>
      </c>
      <c r="P192" s="254"/>
      <c r="Q192" s="254"/>
      <c r="R192" s="254"/>
      <c r="S192" s="254"/>
      <c r="T192" s="254"/>
      <c r="U192" s="254"/>
      <c r="V192" s="254"/>
      <c r="W192" s="254"/>
      <c r="Y192" s="246" t="str">
        <f t="shared" si="13"/>
        <v/>
      </c>
      <c r="Z192" s="247" t="str">
        <f t="shared" si="17"/>
        <v/>
      </c>
      <c r="AA192" s="246" t="str">
        <f t="shared" si="14"/>
        <v/>
      </c>
    </row>
    <row r="193" spans="1:27" ht="18" customHeight="1" x14ac:dyDescent="0.25">
      <c r="A193" s="248" t="str">
        <f t="shared" si="15"/>
        <v/>
      </c>
      <c r="B193" s="249" t="str">
        <f t="shared" si="16"/>
        <v/>
      </c>
      <c r="C193" s="250"/>
      <c r="D193" s="251"/>
      <c r="E193" s="241"/>
      <c r="F193" s="252"/>
      <c r="G193" s="252"/>
      <c r="H193" s="253"/>
      <c r="I193" s="250"/>
      <c r="J193" s="250"/>
      <c r="K193" s="270"/>
      <c r="L193" s="250"/>
      <c r="M193" s="250"/>
      <c r="N193" s="540" t="str">
        <f>CONCATENATE(IF(OR(M193=phu!$I$1,M193=phu!$I$2,M193=phu!$I$3),"Cam Thành Nam",""),IF(OR(M193=phu!$I$4,M193=phu!$I$5,M193=phu!$I$6,M193=phu!$I$7,M193=phu!$I$8,M193=phu!$I$9,M193=phu!$I$10,M193=phu!$I$11,M193=phu!$I$12,M193=phu!$I$13,M193=phu!$I$14),"Cam Nghĩa",""),IF(OR(M193=phu!$I$15,M193=phu!$I$16,M193=phu!$I$17,M193=phu!$I$18,M193=phu!$I$19,M193=phu!$I$20,M193=phu!$I$21),"Cam Phúc Bắc",""),IF(OR(M193=phu!$I$22,M193=phu!$I$23,M193=phu!$I$24,M193=phu!$I$25),"Cam Phúc Nam",""),IF(OR(M193=phu!$I$26,M193=phu!$I$27,M193=phu!$I$28,M193=phu!$I$29,M193=phu!$I$30,M193=phu!$I$31),"Cam Phú",""),IF(OR(M193=phu!$I$32,M193=phu!$I$33,M193=phu!$I$34,M193=phu!$I$35,M193=phu!$I$36,M193=phu!$I$37),"Cam Lộc",""),IF(OR(M193=phu!$I$38,M193=phu!$I$39,M193=phu!$I$40,M193=phu!$I$41,M193=phu!$I$42,M193=phu!$I$43,M193=phu!$I$44),"Cam Thuận",""),IF(OR(M193=phu!$I$45,M193=phu!$I$46,M193=phu!$I$47,M193=phu!$I$48,M193=phu!$I$49,M193=phu!$I$50,M193=phu!$I$51,M193=phu!$I$52,M193=phu!$I$53),"Cam Linh",""),IF(OR(M193=phu!$I$54,M193=phu!$I$55,M193=phu!$I$56,M193=phu!$I$57,M193=phu!$I$58,M193=phu!$I$59,M193=phu!$I$60,M193=phu!$I$61,M193=phu!$I$62),"Cam Lợi",""),IF(OR(M193=phu!$I$63,M193=phu!$I$64,M193=phu!$I$65,M193=phu!$I$66,M193=phu!$I$67,M193=phu!$I$68,M193=phu!$I$69,M193=phu!$I$70,M193=phu!$I$71),"Ba Ngòi",""),IF(OR(M193=phu!$I$72,M193=phu!$I$73,M193=phu!$I$74,M193=phu!$I$75,M193=phu!$I$76,M193=phu!$I$77,M193=phu!$I$78),"Cam Phước Đông",""),IF(OR(M193=phu!$I$79,M193=phu!$I$80,M193=phu!$I$81,M193=phu!$I$82,M193=phu!$I$83,M193=phu!$I$84),"Cam Thịnh Đông",""),IF(OR(M193=phu!$I$85,M193=phu!$I$86,M193=phu!$I$87,M193=phu!$I$88),"Cam Thịnh Tây",""),IF(OR(M193=phu!$I$89,M193=phu!$I$90),"Cam Lập",""),IF(OR(M193=phu!$I$91,M193=phu!$I$92,M193=phu!$I$93),"Cam Bình",""),IF(OR(M193=phu!$I$94,M193=phu!$I$95,M193=phu!$I$96,M193=phu!$I$97,M193=phu!$I$98,M193=phu!$I$99,M193=phu!$I$100),"Huyện khác",""),IF(OR(M193=phu!$I$101,M193=phu!$I$102),"Tỉnh khác",""))</f>
        <v/>
      </c>
      <c r="O193" s="829" t="str">
        <f t="shared" si="12"/>
        <v/>
      </c>
      <c r="P193" s="254"/>
      <c r="Q193" s="254"/>
      <c r="R193" s="254"/>
      <c r="S193" s="254"/>
      <c r="T193" s="254"/>
      <c r="U193" s="254"/>
      <c r="V193" s="254"/>
      <c r="W193" s="254"/>
      <c r="Y193" s="246" t="str">
        <f t="shared" si="13"/>
        <v/>
      </c>
      <c r="Z193" s="247" t="str">
        <f t="shared" si="17"/>
        <v/>
      </c>
      <c r="AA193" s="246" t="str">
        <f t="shared" si="14"/>
        <v/>
      </c>
    </row>
    <row r="194" spans="1:27" ht="18" customHeight="1" x14ac:dyDescent="0.25">
      <c r="A194" s="248" t="str">
        <f t="shared" si="15"/>
        <v/>
      </c>
      <c r="B194" s="249" t="str">
        <f t="shared" si="16"/>
        <v/>
      </c>
      <c r="C194" s="250"/>
      <c r="D194" s="251"/>
      <c r="E194" s="241"/>
      <c r="F194" s="252"/>
      <c r="G194" s="252"/>
      <c r="H194" s="253"/>
      <c r="I194" s="250"/>
      <c r="J194" s="250"/>
      <c r="K194" s="270"/>
      <c r="L194" s="250"/>
      <c r="M194" s="250"/>
      <c r="N194" s="540" t="str">
        <f>CONCATENATE(IF(OR(M194=phu!$I$1,M194=phu!$I$2,M194=phu!$I$3),"Cam Thành Nam",""),IF(OR(M194=phu!$I$4,M194=phu!$I$5,M194=phu!$I$6,M194=phu!$I$7,M194=phu!$I$8,M194=phu!$I$9,M194=phu!$I$10,M194=phu!$I$11,M194=phu!$I$12,M194=phu!$I$13,M194=phu!$I$14),"Cam Nghĩa",""),IF(OR(M194=phu!$I$15,M194=phu!$I$16,M194=phu!$I$17,M194=phu!$I$18,M194=phu!$I$19,M194=phu!$I$20,M194=phu!$I$21),"Cam Phúc Bắc",""),IF(OR(M194=phu!$I$22,M194=phu!$I$23,M194=phu!$I$24,M194=phu!$I$25),"Cam Phúc Nam",""),IF(OR(M194=phu!$I$26,M194=phu!$I$27,M194=phu!$I$28,M194=phu!$I$29,M194=phu!$I$30,M194=phu!$I$31),"Cam Phú",""),IF(OR(M194=phu!$I$32,M194=phu!$I$33,M194=phu!$I$34,M194=phu!$I$35,M194=phu!$I$36,M194=phu!$I$37),"Cam Lộc",""),IF(OR(M194=phu!$I$38,M194=phu!$I$39,M194=phu!$I$40,M194=phu!$I$41,M194=phu!$I$42,M194=phu!$I$43,M194=phu!$I$44),"Cam Thuận",""),IF(OR(M194=phu!$I$45,M194=phu!$I$46,M194=phu!$I$47,M194=phu!$I$48,M194=phu!$I$49,M194=phu!$I$50,M194=phu!$I$51,M194=phu!$I$52,M194=phu!$I$53),"Cam Linh",""),IF(OR(M194=phu!$I$54,M194=phu!$I$55,M194=phu!$I$56,M194=phu!$I$57,M194=phu!$I$58,M194=phu!$I$59,M194=phu!$I$60,M194=phu!$I$61,M194=phu!$I$62),"Cam Lợi",""),IF(OR(M194=phu!$I$63,M194=phu!$I$64,M194=phu!$I$65,M194=phu!$I$66,M194=phu!$I$67,M194=phu!$I$68,M194=phu!$I$69,M194=phu!$I$70,M194=phu!$I$71),"Ba Ngòi",""),IF(OR(M194=phu!$I$72,M194=phu!$I$73,M194=phu!$I$74,M194=phu!$I$75,M194=phu!$I$76,M194=phu!$I$77,M194=phu!$I$78),"Cam Phước Đông",""),IF(OR(M194=phu!$I$79,M194=phu!$I$80,M194=phu!$I$81,M194=phu!$I$82,M194=phu!$I$83,M194=phu!$I$84),"Cam Thịnh Đông",""),IF(OR(M194=phu!$I$85,M194=phu!$I$86,M194=phu!$I$87,M194=phu!$I$88),"Cam Thịnh Tây",""),IF(OR(M194=phu!$I$89,M194=phu!$I$90),"Cam Lập",""),IF(OR(M194=phu!$I$91,M194=phu!$I$92,M194=phu!$I$93),"Cam Bình",""),IF(OR(M194=phu!$I$94,M194=phu!$I$95,M194=phu!$I$96,M194=phu!$I$97,M194=phu!$I$98,M194=phu!$I$99,M194=phu!$I$100),"Huyện khác",""),IF(OR(M194=phu!$I$101,M194=phu!$I$102),"Tỉnh khác",""))</f>
        <v/>
      </c>
      <c r="O194" s="829" t="str">
        <f t="shared" si="12"/>
        <v/>
      </c>
      <c r="P194" s="254"/>
      <c r="Q194" s="254"/>
      <c r="R194" s="254"/>
      <c r="S194" s="254"/>
      <c r="T194" s="254"/>
      <c r="U194" s="254"/>
      <c r="V194" s="254"/>
      <c r="W194" s="254"/>
      <c r="Y194" s="246" t="str">
        <f t="shared" si="13"/>
        <v/>
      </c>
      <c r="Z194" s="247" t="str">
        <f t="shared" si="17"/>
        <v/>
      </c>
      <c r="AA194" s="246" t="str">
        <f t="shared" si="14"/>
        <v/>
      </c>
    </row>
    <row r="195" spans="1:27" ht="18" customHeight="1" x14ac:dyDescent="0.25">
      <c r="A195" s="248" t="str">
        <f t="shared" si="15"/>
        <v/>
      </c>
      <c r="B195" s="249" t="str">
        <f t="shared" si="16"/>
        <v/>
      </c>
      <c r="C195" s="250"/>
      <c r="D195" s="251"/>
      <c r="E195" s="241"/>
      <c r="F195" s="252"/>
      <c r="G195" s="252"/>
      <c r="H195" s="253"/>
      <c r="I195" s="250"/>
      <c r="J195" s="250"/>
      <c r="K195" s="270"/>
      <c r="L195" s="250"/>
      <c r="M195" s="250"/>
      <c r="N195" s="540" t="str">
        <f>CONCATENATE(IF(OR(M195=phu!$I$1,M195=phu!$I$2,M195=phu!$I$3),"Cam Thành Nam",""),IF(OR(M195=phu!$I$4,M195=phu!$I$5,M195=phu!$I$6,M195=phu!$I$7,M195=phu!$I$8,M195=phu!$I$9,M195=phu!$I$10,M195=phu!$I$11,M195=phu!$I$12,M195=phu!$I$13,M195=phu!$I$14),"Cam Nghĩa",""),IF(OR(M195=phu!$I$15,M195=phu!$I$16,M195=phu!$I$17,M195=phu!$I$18,M195=phu!$I$19,M195=phu!$I$20,M195=phu!$I$21),"Cam Phúc Bắc",""),IF(OR(M195=phu!$I$22,M195=phu!$I$23,M195=phu!$I$24,M195=phu!$I$25),"Cam Phúc Nam",""),IF(OR(M195=phu!$I$26,M195=phu!$I$27,M195=phu!$I$28,M195=phu!$I$29,M195=phu!$I$30,M195=phu!$I$31),"Cam Phú",""),IF(OR(M195=phu!$I$32,M195=phu!$I$33,M195=phu!$I$34,M195=phu!$I$35,M195=phu!$I$36,M195=phu!$I$37),"Cam Lộc",""),IF(OR(M195=phu!$I$38,M195=phu!$I$39,M195=phu!$I$40,M195=phu!$I$41,M195=phu!$I$42,M195=phu!$I$43,M195=phu!$I$44),"Cam Thuận",""),IF(OR(M195=phu!$I$45,M195=phu!$I$46,M195=phu!$I$47,M195=phu!$I$48,M195=phu!$I$49,M195=phu!$I$50,M195=phu!$I$51,M195=phu!$I$52,M195=phu!$I$53),"Cam Linh",""),IF(OR(M195=phu!$I$54,M195=phu!$I$55,M195=phu!$I$56,M195=phu!$I$57,M195=phu!$I$58,M195=phu!$I$59,M195=phu!$I$60,M195=phu!$I$61,M195=phu!$I$62),"Cam Lợi",""),IF(OR(M195=phu!$I$63,M195=phu!$I$64,M195=phu!$I$65,M195=phu!$I$66,M195=phu!$I$67,M195=phu!$I$68,M195=phu!$I$69,M195=phu!$I$70,M195=phu!$I$71),"Ba Ngòi",""),IF(OR(M195=phu!$I$72,M195=phu!$I$73,M195=phu!$I$74,M195=phu!$I$75,M195=phu!$I$76,M195=phu!$I$77,M195=phu!$I$78),"Cam Phước Đông",""),IF(OR(M195=phu!$I$79,M195=phu!$I$80,M195=phu!$I$81,M195=phu!$I$82,M195=phu!$I$83,M195=phu!$I$84),"Cam Thịnh Đông",""),IF(OR(M195=phu!$I$85,M195=phu!$I$86,M195=phu!$I$87,M195=phu!$I$88),"Cam Thịnh Tây",""),IF(OR(M195=phu!$I$89,M195=phu!$I$90),"Cam Lập",""),IF(OR(M195=phu!$I$91,M195=phu!$I$92,M195=phu!$I$93),"Cam Bình",""),IF(OR(M195=phu!$I$94,M195=phu!$I$95,M195=phu!$I$96,M195=phu!$I$97,M195=phu!$I$98,M195=phu!$I$99,M195=phu!$I$100),"Huyện khác",""),IF(OR(M195=phu!$I$101,M195=phu!$I$102),"Tỉnh khác",""))</f>
        <v/>
      </c>
      <c r="O195" s="829" t="str">
        <f t="shared" si="12"/>
        <v/>
      </c>
      <c r="P195" s="254"/>
      <c r="Q195" s="254"/>
      <c r="R195" s="254"/>
      <c r="S195" s="254"/>
      <c r="T195" s="254"/>
      <c r="U195" s="254"/>
      <c r="V195" s="254"/>
      <c r="W195" s="254"/>
      <c r="Y195" s="246" t="str">
        <f t="shared" si="13"/>
        <v/>
      </c>
      <c r="Z195" s="247" t="str">
        <f t="shared" si="17"/>
        <v/>
      </c>
      <c r="AA195" s="246" t="str">
        <f t="shared" si="14"/>
        <v/>
      </c>
    </row>
    <row r="196" spans="1:27" ht="18" customHeight="1" x14ac:dyDescent="0.25">
      <c r="A196" s="248" t="str">
        <f t="shared" si="15"/>
        <v/>
      </c>
      <c r="B196" s="249" t="str">
        <f t="shared" si="16"/>
        <v/>
      </c>
      <c r="C196" s="250"/>
      <c r="D196" s="251"/>
      <c r="E196" s="241"/>
      <c r="F196" s="252"/>
      <c r="G196" s="252"/>
      <c r="H196" s="253"/>
      <c r="I196" s="250"/>
      <c r="J196" s="250"/>
      <c r="K196" s="270"/>
      <c r="L196" s="250"/>
      <c r="M196" s="250"/>
      <c r="N196" s="540" t="str">
        <f>CONCATENATE(IF(OR(M196=phu!$I$1,M196=phu!$I$2,M196=phu!$I$3),"Cam Thành Nam",""),IF(OR(M196=phu!$I$4,M196=phu!$I$5,M196=phu!$I$6,M196=phu!$I$7,M196=phu!$I$8,M196=phu!$I$9,M196=phu!$I$10,M196=phu!$I$11,M196=phu!$I$12,M196=phu!$I$13,M196=phu!$I$14),"Cam Nghĩa",""),IF(OR(M196=phu!$I$15,M196=phu!$I$16,M196=phu!$I$17,M196=phu!$I$18,M196=phu!$I$19,M196=phu!$I$20,M196=phu!$I$21),"Cam Phúc Bắc",""),IF(OR(M196=phu!$I$22,M196=phu!$I$23,M196=phu!$I$24,M196=phu!$I$25),"Cam Phúc Nam",""),IF(OR(M196=phu!$I$26,M196=phu!$I$27,M196=phu!$I$28,M196=phu!$I$29,M196=phu!$I$30,M196=phu!$I$31),"Cam Phú",""),IF(OR(M196=phu!$I$32,M196=phu!$I$33,M196=phu!$I$34,M196=phu!$I$35,M196=phu!$I$36,M196=phu!$I$37),"Cam Lộc",""),IF(OR(M196=phu!$I$38,M196=phu!$I$39,M196=phu!$I$40,M196=phu!$I$41,M196=phu!$I$42,M196=phu!$I$43,M196=phu!$I$44),"Cam Thuận",""),IF(OR(M196=phu!$I$45,M196=phu!$I$46,M196=phu!$I$47,M196=phu!$I$48,M196=phu!$I$49,M196=phu!$I$50,M196=phu!$I$51,M196=phu!$I$52,M196=phu!$I$53),"Cam Linh",""),IF(OR(M196=phu!$I$54,M196=phu!$I$55,M196=phu!$I$56,M196=phu!$I$57,M196=phu!$I$58,M196=phu!$I$59,M196=phu!$I$60,M196=phu!$I$61,M196=phu!$I$62),"Cam Lợi",""),IF(OR(M196=phu!$I$63,M196=phu!$I$64,M196=phu!$I$65,M196=phu!$I$66,M196=phu!$I$67,M196=phu!$I$68,M196=phu!$I$69,M196=phu!$I$70,M196=phu!$I$71),"Ba Ngòi",""),IF(OR(M196=phu!$I$72,M196=phu!$I$73,M196=phu!$I$74,M196=phu!$I$75,M196=phu!$I$76,M196=phu!$I$77,M196=phu!$I$78),"Cam Phước Đông",""),IF(OR(M196=phu!$I$79,M196=phu!$I$80,M196=phu!$I$81,M196=phu!$I$82,M196=phu!$I$83,M196=phu!$I$84),"Cam Thịnh Đông",""),IF(OR(M196=phu!$I$85,M196=phu!$I$86,M196=phu!$I$87,M196=phu!$I$88),"Cam Thịnh Tây",""),IF(OR(M196=phu!$I$89,M196=phu!$I$90),"Cam Lập",""),IF(OR(M196=phu!$I$91,M196=phu!$I$92,M196=phu!$I$93),"Cam Bình",""),IF(OR(M196=phu!$I$94,M196=phu!$I$95,M196=phu!$I$96,M196=phu!$I$97,M196=phu!$I$98,M196=phu!$I$99,M196=phu!$I$100),"Huyện khác",""),IF(OR(M196=phu!$I$101,M196=phu!$I$102),"Tỉnh khác",""))</f>
        <v/>
      </c>
      <c r="O196" s="829" t="str">
        <f t="shared" si="12"/>
        <v/>
      </c>
      <c r="P196" s="254"/>
      <c r="Q196" s="254"/>
      <c r="R196" s="254"/>
      <c r="S196" s="254"/>
      <c r="T196" s="254"/>
      <c r="U196" s="254"/>
      <c r="V196" s="254"/>
      <c r="W196" s="254"/>
      <c r="Y196" s="246" t="str">
        <f t="shared" si="13"/>
        <v/>
      </c>
      <c r="Z196" s="247" t="str">
        <f t="shared" si="17"/>
        <v/>
      </c>
      <c r="AA196" s="246" t="str">
        <f t="shared" si="14"/>
        <v/>
      </c>
    </row>
    <row r="197" spans="1:27" ht="18" customHeight="1" x14ac:dyDescent="0.25">
      <c r="A197" s="248" t="str">
        <f t="shared" si="15"/>
        <v/>
      </c>
      <c r="B197" s="249" t="str">
        <f t="shared" si="16"/>
        <v/>
      </c>
      <c r="C197" s="250"/>
      <c r="D197" s="251"/>
      <c r="E197" s="241"/>
      <c r="F197" s="252"/>
      <c r="G197" s="252"/>
      <c r="H197" s="253"/>
      <c r="I197" s="250"/>
      <c r="J197" s="250"/>
      <c r="K197" s="270"/>
      <c r="L197" s="250"/>
      <c r="M197" s="250"/>
      <c r="N197" s="540" t="str">
        <f>CONCATENATE(IF(OR(M197=phu!$I$1,M197=phu!$I$2,M197=phu!$I$3),"Cam Thành Nam",""),IF(OR(M197=phu!$I$4,M197=phu!$I$5,M197=phu!$I$6,M197=phu!$I$7,M197=phu!$I$8,M197=phu!$I$9,M197=phu!$I$10,M197=phu!$I$11,M197=phu!$I$12,M197=phu!$I$13,M197=phu!$I$14),"Cam Nghĩa",""),IF(OR(M197=phu!$I$15,M197=phu!$I$16,M197=phu!$I$17,M197=phu!$I$18,M197=phu!$I$19,M197=phu!$I$20,M197=phu!$I$21),"Cam Phúc Bắc",""),IF(OR(M197=phu!$I$22,M197=phu!$I$23,M197=phu!$I$24,M197=phu!$I$25),"Cam Phúc Nam",""),IF(OR(M197=phu!$I$26,M197=phu!$I$27,M197=phu!$I$28,M197=phu!$I$29,M197=phu!$I$30,M197=phu!$I$31),"Cam Phú",""),IF(OR(M197=phu!$I$32,M197=phu!$I$33,M197=phu!$I$34,M197=phu!$I$35,M197=phu!$I$36,M197=phu!$I$37),"Cam Lộc",""),IF(OR(M197=phu!$I$38,M197=phu!$I$39,M197=phu!$I$40,M197=phu!$I$41,M197=phu!$I$42,M197=phu!$I$43,M197=phu!$I$44),"Cam Thuận",""),IF(OR(M197=phu!$I$45,M197=phu!$I$46,M197=phu!$I$47,M197=phu!$I$48,M197=phu!$I$49,M197=phu!$I$50,M197=phu!$I$51,M197=phu!$I$52,M197=phu!$I$53),"Cam Linh",""),IF(OR(M197=phu!$I$54,M197=phu!$I$55,M197=phu!$I$56,M197=phu!$I$57,M197=phu!$I$58,M197=phu!$I$59,M197=phu!$I$60,M197=phu!$I$61,M197=phu!$I$62),"Cam Lợi",""),IF(OR(M197=phu!$I$63,M197=phu!$I$64,M197=phu!$I$65,M197=phu!$I$66,M197=phu!$I$67,M197=phu!$I$68,M197=phu!$I$69,M197=phu!$I$70,M197=phu!$I$71),"Ba Ngòi",""),IF(OR(M197=phu!$I$72,M197=phu!$I$73,M197=phu!$I$74,M197=phu!$I$75,M197=phu!$I$76,M197=phu!$I$77,M197=phu!$I$78),"Cam Phước Đông",""),IF(OR(M197=phu!$I$79,M197=phu!$I$80,M197=phu!$I$81,M197=phu!$I$82,M197=phu!$I$83,M197=phu!$I$84),"Cam Thịnh Đông",""),IF(OR(M197=phu!$I$85,M197=phu!$I$86,M197=phu!$I$87,M197=phu!$I$88),"Cam Thịnh Tây",""),IF(OR(M197=phu!$I$89,M197=phu!$I$90),"Cam Lập",""),IF(OR(M197=phu!$I$91,M197=phu!$I$92,M197=phu!$I$93),"Cam Bình",""),IF(OR(M197=phu!$I$94,M197=phu!$I$95,M197=phu!$I$96,M197=phu!$I$97,M197=phu!$I$98,M197=phu!$I$99,M197=phu!$I$100),"Huyện khác",""),IF(OR(M197=phu!$I$101,M197=phu!$I$102),"Tỉnh khác",""))</f>
        <v/>
      </c>
      <c r="O197" s="829" t="str">
        <f t="shared" si="12"/>
        <v/>
      </c>
      <c r="P197" s="254"/>
      <c r="Q197" s="254"/>
      <c r="R197" s="254"/>
      <c r="S197" s="254"/>
      <c r="T197" s="254"/>
      <c r="U197" s="254"/>
      <c r="V197" s="254"/>
      <c r="W197" s="254"/>
      <c r="Y197" s="246" t="str">
        <f t="shared" si="13"/>
        <v/>
      </c>
      <c r="Z197" s="247" t="str">
        <f t="shared" si="17"/>
        <v/>
      </c>
      <c r="AA197" s="246" t="str">
        <f t="shared" si="14"/>
        <v/>
      </c>
    </row>
    <row r="198" spans="1:27" ht="18" customHeight="1" x14ac:dyDescent="0.25">
      <c r="A198" s="248" t="str">
        <f t="shared" si="15"/>
        <v/>
      </c>
      <c r="B198" s="249" t="str">
        <f t="shared" si="16"/>
        <v/>
      </c>
      <c r="C198" s="250"/>
      <c r="D198" s="251"/>
      <c r="E198" s="241"/>
      <c r="F198" s="252"/>
      <c r="G198" s="252"/>
      <c r="H198" s="253"/>
      <c r="I198" s="250"/>
      <c r="J198" s="250"/>
      <c r="K198" s="270"/>
      <c r="L198" s="250"/>
      <c r="M198" s="250"/>
      <c r="N198" s="540" t="str">
        <f>CONCATENATE(IF(OR(M198=phu!$I$1,M198=phu!$I$2,M198=phu!$I$3),"Cam Thành Nam",""),IF(OR(M198=phu!$I$4,M198=phu!$I$5,M198=phu!$I$6,M198=phu!$I$7,M198=phu!$I$8,M198=phu!$I$9,M198=phu!$I$10,M198=phu!$I$11,M198=phu!$I$12,M198=phu!$I$13,M198=phu!$I$14),"Cam Nghĩa",""),IF(OR(M198=phu!$I$15,M198=phu!$I$16,M198=phu!$I$17,M198=phu!$I$18,M198=phu!$I$19,M198=phu!$I$20,M198=phu!$I$21),"Cam Phúc Bắc",""),IF(OR(M198=phu!$I$22,M198=phu!$I$23,M198=phu!$I$24,M198=phu!$I$25),"Cam Phúc Nam",""),IF(OR(M198=phu!$I$26,M198=phu!$I$27,M198=phu!$I$28,M198=phu!$I$29,M198=phu!$I$30,M198=phu!$I$31),"Cam Phú",""),IF(OR(M198=phu!$I$32,M198=phu!$I$33,M198=phu!$I$34,M198=phu!$I$35,M198=phu!$I$36,M198=phu!$I$37),"Cam Lộc",""),IF(OR(M198=phu!$I$38,M198=phu!$I$39,M198=phu!$I$40,M198=phu!$I$41,M198=phu!$I$42,M198=phu!$I$43,M198=phu!$I$44),"Cam Thuận",""),IF(OR(M198=phu!$I$45,M198=phu!$I$46,M198=phu!$I$47,M198=phu!$I$48,M198=phu!$I$49,M198=phu!$I$50,M198=phu!$I$51,M198=phu!$I$52,M198=phu!$I$53),"Cam Linh",""),IF(OR(M198=phu!$I$54,M198=phu!$I$55,M198=phu!$I$56,M198=phu!$I$57,M198=phu!$I$58,M198=phu!$I$59,M198=phu!$I$60,M198=phu!$I$61,M198=phu!$I$62),"Cam Lợi",""),IF(OR(M198=phu!$I$63,M198=phu!$I$64,M198=phu!$I$65,M198=phu!$I$66,M198=phu!$I$67,M198=phu!$I$68,M198=phu!$I$69,M198=phu!$I$70,M198=phu!$I$71),"Ba Ngòi",""),IF(OR(M198=phu!$I$72,M198=phu!$I$73,M198=phu!$I$74,M198=phu!$I$75,M198=phu!$I$76,M198=phu!$I$77,M198=phu!$I$78),"Cam Phước Đông",""),IF(OR(M198=phu!$I$79,M198=phu!$I$80,M198=phu!$I$81,M198=phu!$I$82,M198=phu!$I$83,M198=phu!$I$84),"Cam Thịnh Đông",""),IF(OR(M198=phu!$I$85,M198=phu!$I$86,M198=phu!$I$87,M198=phu!$I$88),"Cam Thịnh Tây",""),IF(OR(M198=phu!$I$89,M198=phu!$I$90),"Cam Lập",""),IF(OR(M198=phu!$I$91,M198=phu!$I$92,M198=phu!$I$93),"Cam Bình",""),IF(OR(M198=phu!$I$94,M198=phu!$I$95,M198=phu!$I$96,M198=phu!$I$97,M198=phu!$I$98,M198=phu!$I$99,M198=phu!$I$100),"Huyện khác",""),IF(OR(M198=phu!$I$101,M198=phu!$I$102),"Tỉnh khác",""))</f>
        <v/>
      </c>
      <c r="O198" s="829" t="str">
        <f t="shared" si="12"/>
        <v/>
      </c>
      <c r="P198" s="254"/>
      <c r="Q198" s="254"/>
      <c r="R198" s="254"/>
      <c r="S198" s="254"/>
      <c r="T198" s="254"/>
      <c r="U198" s="254"/>
      <c r="V198" s="254"/>
      <c r="W198" s="254"/>
      <c r="Y198" s="246" t="str">
        <f t="shared" si="13"/>
        <v/>
      </c>
      <c r="Z198" s="247" t="str">
        <f t="shared" si="17"/>
        <v/>
      </c>
      <c r="AA198" s="246" t="str">
        <f t="shared" si="14"/>
        <v/>
      </c>
    </row>
    <row r="199" spans="1:27" ht="18" customHeight="1" x14ac:dyDescent="0.25">
      <c r="A199" s="248" t="str">
        <f t="shared" si="15"/>
        <v/>
      </c>
      <c r="B199" s="249" t="str">
        <f t="shared" si="16"/>
        <v/>
      </c>
      <c r="C199" s="250"/>
      <c r="D199" s="251"/>
      <c r="E199" s="241"/>
      <c r="F199" s="252"/>
      <c r="G199" s="252"/>
      <c r="H199" s="253"/>
      <c r="I199" s="250"/>
      <c r="J199" s="250"/>
      <c r="K199" s="270"/>
      <c r="L199" s="250"/>
      <c r="M199" s="250"/>
      <c r="N199" s="540" t="str">
        <f>CONCATENATE(IF(OR(M199=phu!$I$1,M199=phu!$I$2,M199=phu!$I$3),"Cam Thành Nam",""),IF(OR(M199=phu!$I$4,M199=phu!$I$5,M199=phu!$I$6,M199=phu!$I$7,M199=phu!$I$8,M199=phu!$I$9,M199=phu!$I$10,M199=phu!$I$11,M199=phu!$I$12,M199=phu!$I$13,M199=phu!$I$14),"Cam Nghĩa",""),IF(OR(M199=phu!$I$15,M199=phu!$I$16,M199=phu!$I$17,M199=phu!$I$18,M199=phu!$I$19,M199=phu!$I$20,M199=phu!$I$21),"Cam Phúc Bắc",""),IF(OR(M199=phu!$I$22,M199=phu!$I$23,M199=phu!$I$24,M199=phu!$I$25),"Cam Phúc Nam",""),IF(OR(M199=phu!$I$26,M199=phu!$I$27,M199=phu!$I$28,M199=phu!$I$29,M199=phu!$I$30,M199=phu!$I$31),"Cam Phú",""),IF(OR(M199=phu!$I$32,M199=phu!$I$33,M199=phu!$I$34,M199=phu!$I$35,M199=phu!$I$36,M199=phu!$I$37),"Cam Lộc",""),IF(OR(M199=phu!$I$38,M199=phu!$I$39,M199=phu!$I$40,M199=phu!$I$41,M199=phu!$I$42,M199=phu!$I$43,M199=phu!$I$44),"Cam Thuận",""),IF(OR(M199=phu!$I$45,M199=phu!$I$46,M199=phu!$I$47,M199=phu!$I$48,M199=phu!$I$49,M199=phu!$I$50,M199=phu!$I$51,M199=phu!$I$52,M199=phu!$I$53),"Cam Linh",""),IF(OR(M199=phu!$I$54,M199=phu!$I$55,M199=phu!$I$56,M199=phu!$I$57,M199=phu!$I$58,M199=phu!$I$59,M199=phu!$I$60,M199=phu!$I$61,M199=phu!$I$62),"Cam Lợi",""),IF(OR(M199=phu!$I$63,M199=phu!$I$64,M199=phu!$I$65,M199=phu!$I$66,M199=phu!$I$67,M199=phu!$I$68,M199=phu!$I$69,M199=phu!$I$70,M199=phu!$I$71),"Ba Ngòi",""),IF(OR(M199=phu!$I$72,M199=phu!$I$73,M199=phu!$I$74,M199=phu!$I$75,M199=phu!$I$76,M199=phu!$I$77,M199=phu!$I$78),"Cam Phước Đông",""),IF(OR(M199=phu!$I$79,M199=phu!$I$80,M199=phu!$I$81,M199=phu!$I$82,M199=phu!$I$83,M199=phu!$I$84),"Cam Thịnh Đông",""),IF(OR(M199=phu!$I$85,M199=phu!$I$86,M199=phu!$I$87,M199=phu!$I$88),"Cam Thịnh Tây",""),IF(OR(M199=phu!$I$89,M199=phu!$I$90),"Cam Lập",""),IF(OR(M199=phu!$I$91,M199=phu!$I$92,M199=phu!$I$93),"Cam Bình",""),IF(OR(M199=phu!$I$94,M199=phu!$I$95,M199=phu!$I$96,M199=phu!$I$97,M199=phu!$I$98,M199=phu!$I$99,M199=phu!$I$100),"Huyện khác",""),IF(OR(M199=phu!$I$101,M199=phu!$I$102),"Tỉnh khác",""))</f>
        <v/>
      </c>
      <c r="O199" s="829" t="str">
        <f t="shared" ref="O199:O262" si="18">CONCATENATE(IF(OR(N199="Cam Thành Nam",N199="Cam Nghĩa",N199="Cam Phúc Bắc"),"Bắc Cam Ranh",""),IF(OR(N199="Cam Phúc Nam",N199="Cam Phú",N199="Cam Lộc"),"Cam Ranh",""),IF(OR(N199="Cam Thuận",N199="Cam Linh",N199="Cam Lợi"),"Cam Linh",""),IF(OR(N199="Ba Ngòi",N199="Cam Phước Đông"),"Ba Ngòi",""),IF(OR(N199="Cam Thịnh Đông",N199="Cam Thịnh Tây",N199="Cam Lập",N199="Cam Bình"),"Nam Cam Ranh",""),IF(N199="Huyện khác","Huyện khác",""),IF(N199="Tỉnh khác","Tỉnh khác",""))</f>
        <v/>
      </c>
      <c r="P199" s="254"/>
      <c r="Q199" s="254"/>
      <c r="R199" s="254"/>
      <c r="S199" s="254"/>
      <c r="T199" s="254"/>
      <c r="U199" s="254"/>
      <c r="V199" s="254"/>
      <c r="W199" s="254"/>
      <c r="Y199" s="246" t="str">
        <f t="shared" ref="Y199:Y262" si="19">IF(OR(AND(B199="",C199="",D199="",E199="",F199="",G199="",H199="",I199="",J199="",L199="",M199="",N199="",P199="",Q199="",R199="",S199=""),AND(B199&lt;&gt;"",C199&lt;&gt;"",D199&lt;&gt;"",E199&lt;&gt;"",F199&lt;&gt;"",G199&lt;&gt;"",H199&lt;&gt;"",J199&lt;&gt;"",M199&lt;&gt;"",N199&lt;&gt;"",P199&lt;&gt;"",OR(AND(Q199&lt;&gt;"",R199=""),AND(Q199="",R199&lt;&gt;""),AND(Q199&lt;&gt;"",R199&lt;&gt;"")),OR(AND(K199="X",T199&lt;&gt;""),AND(K199="",T199="")))),"","er")</f>
        <v/>
      </c>
      <c r="Z199" s="247" t="str">
        <f t="shared" si="17"/>
        <v/>
      </c>
      <c r="AA199" s="246" t="str">
        <f t="shared" ref="AA199:AA262" si="20">IF(OR(AND(Z199&lt;=10,B199&gt;5),AND(Z199&lt;=11,B199&gt;6),AND(Z199&lt;=12,B199&gt;7),AND(Z199&lt;=13,B199&gt;8),AND(Z199&lt;=14,B199&gt;9),AND(Z199=11,B199=6,L199="X"),AND(Z199=12,B199=7,L199="X"),AND(Z199=13,B199=8,L199="X"),AND(Z199=14,B199=9,L199="X")),"er","")</f>
        <v/>
      </c>
    </row>
    <row r="200" spans="1:27" ht="18" customHeight="1" x14ac:dyDescent="0.25">
      <c r="A200" s="248" t="str">
        <f t="shared" ref="A200:A263" si="21">IF(OR(A199="",B200="",C200="",D200="",E200=""),"",A199+1)</f>
        <v/>
      </c>
      <c r="B200" s="249" t="str">
        <f t="shared" ref="B200:B263" si="22">IF(C200="","",VALUE(LEFT(C200,1)))</f>
        <v/>
      </c>
      <c r="C200" s="250"/>
      <c r="D200" s="251"/>
      <c r="E200" s="241"/>
      <c r="F200" s="252"/>
      <c r="G200" s="252"/>
      <c r="H200" s="253"/>
      <c r="I200" s="250"/>
      <c r="J200" s="250"/>
      <c r="K200" s="270"/>
      <c r="L200" s="250"/>
      <c r="M200" s="250"/>
      <c r="N200" s="540" t="str">
        <f>CONCATENATE(IF(OR(M200=phu!$I$1,M200=phu!$I$2,M200=phu!$I$3),"Cam Thành Nam",""),IF(OR(M200=phu!$I$4,M200=phu!$I$5,M200=phu!$I$6,M200=phu!$I$7,M200=phu!$I$8,M200=phu!$I$9,M200=phu!$I$10,M200=phu!$I$11,M200=phu!$I$12,M200=phu!$I$13,M200=phu!$I$14),"Cam Nghĩa",""),IF(OR(M200=phu!$I$15,M200=phu!$I$16,M200=phu!$I$17,M200=phu!$I$18,M200=phu!$I$19,M200=phu!$I$20,M200=phu!$I$21),"Cam Phúc Bắc",""),IF(OR(M200=phu!$I$22,M200=phu!$I$23,M200=phu!$I$24,M200=phu!$I$25),"Cam Phúc Nam",""),IF(OR(M200=phu!$I$26,M200=phu!$I$27,M200=phu!$I$28,M200=phu!$I$29,M200=phu!$I$30,M200=phu!$I$31),"Cam Phú",""),IF(OR(M200=phu!$I$32,M200=phu!$I$33,M200=phu!$I$34,M200=phu!$I$35,M200=phu!$I$36,M200=phu!$I$37),"Cam Lộc",""),IF(OR(M200=phu!$I$38,M200=phu!$I$39,M200=phu!$I$40,M200=phu!$I$41,M200=phu!$I$42,M200=phu!$I$43,M200=phu!$I$44),"Cam Thuận",""),IF(OR(M200=phu!$I$45,M200=phu!$I$46,M200=phu!$I$47,M200=phu!$I$48,M200=phu!$I$49,M200=phu!$I$50,M200=phu!$I$51,M200=phu!$I$52,M200=phu!$I$53),"Cam Linh",""),IF(OR(M200=phu!$I$54,M200=phu!$I$55,M200=phu!$I$56,M200=phu!$I$57,M200=phu!$I$58,M200=phu!$I$59,M200=phu!$I$60,M200=phu!$I$61,M200=phu!$I$62),"Cam Lợi",""),IF(OR(M200=phu!$I$63,M200=phu!$I$64,M200=phu!$I$65,M200=phu!$I$66,M200=phu!$I$67,M200=phu!$I$68,M200=phu!$I$69,M200=phu!$I$70,M200=phu!$I$71),"Ba Ngòi",""),IF(OR(M200=phu!$I$72,M200=phu!$I$73,M200=phu!$I$74,M200=phu!$I$75,M200=phu!$I$76,M200=phu!$I$77,M200=phu!$I$78),"Cam Phước Đông",""),IF(OR(M200=phu!$I$79,M200=phu!$I$80,M200=phu!$I$81,M200=phu!$I$82,M200=phu!$I$83,M200=phu!$I$84),"Cam Thịnh Đông",""),IF(OR(M200=phu!$I$85,M200=phu!$I$86,M200=phu!$I$87,M200=phu!$I$88),"Cam Thịnh Tây",""),IF(OR(M200=phu!$I$89,M200=phu!$I$90),"Cam Lập",""),IF(OR(M200=phu!$I$91,M200=phu!$I$92,M200=phu!$I$93),"Cam Bình",""),IF(OR(M200=phu!$I$94,M200=phu!$I$95,M200=phu!$I$96,M200=phu!$I$97,M200=phu!$I$98,M200=phu!$I$99,M200=phu!$I$100),"Huyện khác",""),IF(OR(M200=phu!$I$101,M200=phu!$I$102),"Tỉnh khác",""))</f>
        <v/>
      </c>
      <c r="O200" s="829" t="str">
        <f t="shared" si="18"/>
        <v/>
      </c>
      <c r="P200" s="254"/>
      <c r="Q200" s="254"/>
      <c r="R200" s="254"/>
      <c r="S200" s="254"/>
      <c r="T200" s="254"/>
      <c r="U200" s="254"/>
      <c r="V200" s="254"/>
      <c r="W200" s="254"/>
      <c r="Y200" s="246" t="str">
        <f t="shared" si="19"/>
        <v/>
      </c>
      <c r="Z200" s="247" t="str">
        <f t="shared" ref="Z200:Z263" si="23">IF(H200="","",$Z$1-H200)</f>
        <v/>
      </c>
      <c r="AA200" s="246" t="str">
        <f t="shared" si="20"/>
        <v/>
      </c>
    </row>
    <row r="201" spans="1:27" ht="18" customHeight="1" x14ac:dyDescent="0.25">
      <c r="A201" s="248" t="str">
        <f t="shared" si="21"/>
        <v/>
      </c>
      <c r="B201" s="249" t="str">
        <f t="shared" si="22"/>
        <v/>
      </c>
      <c r="C201" s="250"/>
      <c r="D201" s="251"/>
      <c r="E201" s="241"/>
      <c r="F201" s="252"/>
      <c r="G201" s="252"/>
      <c r="H201" s="253"/>
      <c r="I201" s="250"/>
      <c r="J201" s="250"/>
      <c r="K201" s="270"/>
      <c r="L201" s="250"/>
      <c r="M201" s="250"/>
      <c r="N201" s="540" t="str">
        <f>CONCATENATE(IF(OR(M201=phu!$I$1,M201=phu!$I$2,M201=phu!$I$3),"Cam Thành Nam",""),IF(OR(M201=phu!$I$4,M201=phu!$I$5,M201=phu!$I$6,M201=phu!$I$7,M201=phu!$I$8,M201=phu!$I$9,M201=phu!$I$10,M201=phu!$I$11,M201=phu!$I$12,M201=phu!$I$13,M201=phu!$I$14),"Cam Nghĩa",""),IF(OR(M201=phu!$I$15,M201=phu!$I$16,M201=phu!$I$17,M201=phu!$I$18,M201=phu!$I$19,M201=phu!$I$20,M201=phu!$I$21),"Cam Phúc Bắc",""),IF(OR(M201=phu!$I$22,M201=phu!$I$23,M201=phu!$I$24,M201=phu!$I$25),"Cam Phúc Nam",""),IF(OR(M201=phu!$I$26,M201=phu!$I$27,M201=phu!$I$28,M201=phu!$I$29,M201=phu!$I$30,M201=phu!$I$31),"Cam Phú",""),IF(OR(M201=phu!$I$32,M201=phu!$I$33,M201=phu!$I$34,M201=phu!$I$35,M201=phu!$I$36,M201=phu!$I$37),"Cam Lộc",""),IF(OR(M201=phu!$I$38,M201=phu!$I$39,M201=phu!$I$40,M201=phu!$I$41,M201=phu!$I$42,M201=phu!$I$43,M201=phu!$I$44),"Cam Thuận",""),IF(OR(M201=phu!$I$45,M201=phu!$I$46,M201=phu!$I$47,M201=phu!$I$48,M201=phu!$I$49,M201=phu!$I$50,M201=phu!$I$51,M201=phu!$I$52,M201=phu!$I$53),"Cam Linh",""),IF(OR(M201=phu!$I$54,M201=phu!$I$55,M201=phu!$I$56,M201=phu!$I$57,M201=phu!$I$58,M201=phu!$I$59,M201=phu!$I$60,M201=phu!$I$61,M201=phu!$I$62),"Cam Lợi",""),IF(OR(M201=phu!$I$63,M201=phu!$I$64,M201=phu!$I$65,M201=phu!$I$66,M201=phu!$I$67,M201=phu!$I$68,M201=phu!$I$69,M201=phu!$I$70,M201=phu!$I$71),"Ba Ngòi",""),IF(OR(M201=phu!$I$72,M201=phu!$I$73,M201=phu!$I$74,M201=phu!$I$75,M201=phu!$I$76,M201=phu!$I$77,M201=phu!$I$78),"Cam Phước Đông",""),IF(OR(M201=phu!$I$79,M201=phu!$I$80,M201=phu!$I$81,M201=phu!$I$82,M201=phu!$I$83,M201=phu!$I$84),"Cam Thịnh Đông",""),IF(OR(M201=phu!$I$85,M201=phu!$I$86,M201=phu!$I$87,M201=phu!$I$88),"Cam Thịnh Tây",""),IF(OR(M201=phu!$I$89,M201=phu!$I$90),"Cam Lập",""),IF(OR(M201=phu!$I$91,M201=phu!$I$92,M201=phu!$I$93),"Cam Bình",""),IF(OR(M201=phu!$I$94,M201=phu!$I$95,M201=phu!$I$96,M201=phu!$I$97,M201=phu!$I$98,M201=phu!$I$99,M201=phu!$I$100),"Huyện khác",""),IF(OR(M201=phu!$I$101,M201=phu!$I$102),"Tỉnh khác",""))</f>
        <v/>
      </c>
      <c r="O201" s="829" t="str">
        <f t="shared" si="18"/>
        <v/>
      </c>
      <c r="P201" s="254"/>
      <c r="Q201" s="254"/>
      <c r="R201" s="254"/>
      <c r="S201" s="254"/>
      <c r="T201" s="254"/>
      <c r="U201" s="254"/>
      <c r="V201" s="254"/>
      <c r="W201" s="254"/>
      <c r="Y201" s="246" t="str">
        <f t="shared" si="19"/>
        <v/>
      </c>
      <c r="Z201" s="247" t="str">
        <f t="shared" si="23"/>
        <v/>
      </c>
      <c r="AA201" s="246" t="str">
        <f t="shared" si="20"/>
        <v/>
      </c>
    </row>
    <row r="202" spans="1:27" ht="18" customHeight="1" x14ac:dyDescent="0.25">
      <c r="A202" s="248" t="str">
        <f t="shared" si="21"/>
        <v/>
      </c>
      <c r="B202" s="249" t="str">
        <f t="shared" si="22"/>
        <v/>
      </c>
      <c r="C202" s="250"/>
      <c r="D202" s="251"/>
      <c r="E202" s="241"/>
      <c r="F202" s="252"/>
      <c r="G202" s="252"/>
      <c r="H202" s="253"/>
      <c r="I202" s="250"/>
      <c r="J202" s="250"/>
      <c r="K202" s="270"/>
      <c r="L202" s="250"/>
      <c r="M202" s="250"/>
      <c r="N202" s="540" t="str">
        <f>CONCATENATE(IF(OR(M202=phu!$I$1,M202=phu!$I$2,M202=phu!$I$3),"Cam Thành Nam",""),IF(OR(M202=phu!$I$4,M202=phu!$I$5,M202=phu!$I$6,M202=phu!$I$7,M202=phu!$I$8,M202=phu!$I$9,M202=phu!$I$10,M202=phu!$I$11,M202=phu!$I$12,M202=phu!$I$13,M202=phu!$I$14),"Cam Nghĩa",""),IF(OR(M202=phu!$I$15,M202=phu!$I$16,M202=phu!$I$17,M202=phu!$I$18,M202=phu!$I$19,M202=phu!$I$20,M202=phu!$I$21),"Cam Phúc Bắc",""),IF(OR(M202=phu!$I$22,M202=phu!$I$23,M202=phu!$I$24,M202=phu!$I$25),"Cam Phúc Nam",""),IF(OR(M202=phu!$I$26,M202=phu!$I$27,M202=phu!$I$28,M202=phu!$I$29,M202=phu!$I$30,M202=phu!$I$31),"Cam Phú",""),IF(OR(M202=phu!$I$32,M202=phu!$I$33,M202=phu!$I$34,M202=phu!$I$35,M202=phu!$I$36,M202=phu!$I$37),"Cam Lộc",""),IF(OR(M202=phu!$I$38,M202=phu!$I$39,M202=phu!$I$40,M202=phu!$I$41,M202=phu!$I$42,M202=phu!$I$43,M202=phu!$I$44),"Cam Thuận",""),IF(OR(M202=phu!$I$45,M202=phu!$I$46,M202=phu!$I$47,M202=phu!$I$48,M202=phu!$I$49,M202=phu!$I$50,M202=phu!$I$51,M202=phu!$I$52,M202=phu!$I$53),"Cam Linh",""),IF(OR(M202=phu!$I$54,M202=phu!$I$55,M202=phu!$I$56,M202=phu!$I$57,M202=phu!$I$58,M202=phu!$I$59,M202=phu!$I$60,M202=phu!$I$61,M202=phu!$I$62),"Cam Lợi",""),IF(OR(M202=phu!$I$63,M202=phu!$I$64,M202=phu!$I$65,M202=phu!$I$66,M202=phu!$I$67,M202=phu!$I$68,M202=phu!$I$69,M202=phu!$I$70,M202=phu!$I$71),"Ba Ngòi",""),IF(OR(M202=phu!$I$72,M202=phu!$I$73,M202=phu!$I$74,M202=phu!$I$75,M202=phu!$I$76,M202=phu!$I$77,M202=phu!$I$78),"Cam Phước Đông",""),IF(OR(M202=phu!$I$79,M202=phu!$I$80,M202=phu!$I$81,M202=phu!$I$82,M202=phu!$I$83,M202=phu!$I$84),"Cam Thịnh Đông",""),IF(OR(M202=phu!$I$85,M202=phu!$I$86,M202=phu!$I$87,M202=phu!$I$88),"Cam Thịnh Tây",""),IF(OR(M202=phu!$I$89,M202=phu!$I$90),"Cam Lập",""),IF(OR(M202=phu!$I$91,M202=phu!$I$92,M202=phu!$I$93),"Cam Bình",""),IF(OR(M202=phu!$I$94,M202=phu!$I$95,M202=phu!$I$96,M202=phu!$I$97,M202=phu!$I$98,M202=phu!$I$99,M202=phu!$I$100),"Huyện khác",""),IF(OR(M202=phu!$I$101,M202=phu!$I$102),"Tỉnh khác",""))</f>
        <v/>
      </c>
      <c r="O202" s="829" t="str">
        <f t="shared" si="18"/>
        <v/>
      </c>
      <c r="P202" s="254"/>
      <c r="Q202" s="254"/>
      <c r="R202" s="254"/>
      <c r="S202" s="254"/>
      <c r="T202" s="254"/>
      <c r="U202" s="254"/>
      <c r="V202" s="254"/>
      <c r="W202" s="254"/>
      <c r="Y202" s="246" t="str">
        <f t="shared" si="19"/>
        <v/>
      </c>
      <c r="Z202" s="247" t="str">
        <f t="shared" si="23"/>
        <v/>
      </c>
      <c r="AA202" s="246" t="str">
        <f t="shared" si="20"/>
        <v/>
      </c>
    </row>
    <row r="203" spans="1:27" ht="18" customHeight="1" x14ac:dyDescent="0.25">
      <c r="A203" s="248" t="str">
        <f t="shared" si="21"/>
        <v/>
      </c>
      <c r="B203" s="249" t="str">
        <f t="shared" si="22"/>
        <v/>
      </c>
      <c r="C203" s="250"/>
      <c r="D203" s="251"/>
      <c r="E203" s="241"/>
      <c r="F203" s="252"/>
      <c r="G203" s="252"/>
      <c r="H203" s="253"/>
      <c r="I203" s="250"/>
      <c r="J203" s="250"/>
      <c r="K203" s="270"/>
      <c r="L203" s="250"/>
      <c r="M203" s="250"/>
      <c r="N203" s="540" t="str">
        <f>CONCATENATE(IF(OR(M203=phu!$I$1,M203=phu!$I$2,M203=phu!$I$3),"Cam Thành Nam",""),IF(OR(M203=phu!$I$4,M203=phu!$I$5,M203=phu!$I$6,M203=phu!$I$7,M203=phu!$I$8,M203=phu!$I$9,M203=phu!$I$10,M203=phu!$I$11,M203=phu!$I$12,M203=phu!$I$13,M203=phu!$I$14),"Cam Nghĩa",""),IF(OR(M203=phu!$I$15,M203=phu!$I$16,M203=phu!$I$17,M203=phu!$I$18,M203=phu!$I$19,M203=phu!$I$20,M203=phu!$I$21),"Cam Phúc Bắc",""),IF(OR(M203=phu!$I$22,M203=phu!$I$23,M203=phu!$I$24,M203=phu!$I$25),"Cam Phúc Nam",""),IF(OR(M203=phu!$I$26,M203=phu!$I$27,M203=phu!$I$28,M203=phu!$I$29,M203=phu!$I$30,M203=phu!$I$31),"Cam Phú",""),IF(OR(M203=phu!$I$32,M203=phu!$I$33,M203=phu!$I$34,M203=phu!$I$35,M203=phu!$I$36,M203=phu!$I$37),"Cam Lộc",""),IF(OR(M203=phu!$I$38,M203=phu!$I$39,M203=phu!$I$40,M203=phu!$I$41,M203=phu!$I$42,M203=phu!$I$43,M203=phu!$I$44),"Cam Thuận",""),IF(OR(M203=phu!$I$45,M203=phu!$I$46,M203=phu!$I$47,M203=phu!$I$48,M203=phu!$I$49,M203=phu!$I$50,M203=phu!$I$51,M203=phu!$I$52,M203=phu!$I$53),"Cam Linh",""),IF(OR(M203=phu!$I$54,M203=phu!$I$55,M203=phu!$I$56,M203=phu!$I$57,M203=phu!$I$58,M203=phu!$I$59,M203=phu!$I$60,M203=phu!$I$61,M203=phu!$I$62),"Cam Lợi",""),IF(OR(M203=phu!$I$63,M203=phu!$I$64,M203=phu!$I$65,M203=phu!$I$66,M203=phu!$I$67,M203=phu!$I$68,M203=phu!$I$69,M203=phu!$I$70,M203=phu!$I$71),"Ba Ngòi",""),IF(OR(M203=phu!$I$72,M203=phu!$I$73,M203=phu!$I$74,M203=phu!$I$75,M203=phu!$I$76,M203=phu!$I$77,M203=phu!$I$78),"Cam Phước Đông",""),IF(OR(M203=phu!$I$79,M203=phu!$I$80,M203=phu!$I$81,M203=phu!$I$82,M203=phu!$I$83,M203=phu!$I$84),"Cam Thịnh Đông",""),IF(OR(M203=phu!$I$85,M203=phu!$I$86,M203=phu!$I$87,M203=phu!$I$88),"Cam Thịnh Tây",""),IF(OR(M203=phu!$I$89,M203=phu!$I$90),"Cam Lập",""),IF(OR(M203=phu!$I$91,M203=phu!$I$92,M203=phu!$I$93),"Cam Bình",""),IF(OR(M203=phu!$I$94,M203=phu!$I$95,M203=phu!$I$96,M203=phu!$I$97,M203=phu!$I$98,M203=phu!$I$99,M203=phu!$I$100),"Huyện khác",""),IF(OR(M203=phu!$I$101,M203=phu!$I$102),"Tỉnh khác",""))</f>
        <v/>
      </c>
      <c r="O203" s="829" t="str">
        <f t="shared" si="18"/>
        <v/>
      </c>
      <c r="P203" s="254"/>
      <c r="Q203" s="254"/>
      <c r="R203" s="254"/>
      <c r="S203" s="254"/>
      <c r="T203" s="254"/>
      <c r="U203" s="254"/>
      <c r="V203" s="254"/>
      <c r="W203" s="254"/>
      <c r="Y203" s="246" t="str">
        <f t="shared" si="19"/>
        <v/>
      </c>
      <c r="Z203" s="247" t="str">
        <f t="shared" si="23"/>
        <v/>
      </c>
      <c r="AA203" s="246" t="str">
        <f t="shared" si="20"/>
        <v/>
      </c>
    </row>
    <row r="204" spans="1:27" ht="18" customHeight="1" x14ac:dyDescent="0.25">
      <c r="A204" s="248" t="str">
        <f t="shared" si="21"/>
        <v/>
      </c>
      <c r="B204" s="249" t="str">
        <f t="shared" si="22"/>
        <v/>
      </c>
      <c r="C204" s="250"/>
      <c r="D204" s="251"/>
      <c r="E204" s="241"/>
      <c r="F204" s="252"/>
      <c r="G204" s="252"/>
      <c r="H204" s="253"/>
      <c r="I204" s="250"/>
      <c r="J204" s="250"/>
      <c r="K204" s="270"/>
      <c r="L204" s="250"/>
      <c r="M204" s="250"/>
      <c r="N204" s="540" t="str">
        <f>CONCATENATE(IF(OR(M204=phu!$I$1,M204=phu!$I$2,M204=phu!$I$3),"Cam Thành Nam",""),IF(OR(M204=phu!$I$4,M204=phu!$I$5,M204=phu!$I$6,M204=phu!$I$7,M204=phu!$I$8,M204=phu!$I$9,M204=phu!$I$10,M204=phu!$I$11,M204=phu!$I$12,M204=phu!$I$13,M204=phu!$I$14),"Cam Nghĩa",""),IF(OR(M204=phu!$I$15,M204=phu!$I$16,M204=phu!$I$17,M204=phu!$I$18,M204=phu!$I$19,M204=phu!$I$20,M204=phu!$I$21),"Cam Phúc Bắc",""),IF(OR(M204=phu!$I$22,M204=phu!$I$23,M204=phu!$I$24,M204=phu!$I$25),"Cam Phúc Nam",""),IF(OR(M204=phu!$I$26,M204=phu!$I$27,M204=phu!$I$28,M204=phu!$I$29,M204=phu!$I$30,M204=phu!$I$31),"Cam Phú",""),IF(OR(M204=phu!$I$32,M204=phu!$I$33,M204=phu!$I$34,M204=phu!$I$35,M204=phu!$I$36,M204=phu!$I$37),"Cam Lộc",""),IF(OR(M204=phu!$I$38,M204=phu!$I$39,M204=phu!$I$40,M204=phu!$I$41,M204=phu!$I$42,M204=phu!$I$43,M204=phu!$I$44),"Cam Thuận",""),IF(OR(M204=phu!$I$45,M204=phu!$I$46,M204=phu!$I$47,M204=phu!$I$48,M204=phu!$I$49,M204=phu!$I$50,M204=phu!$I$51,M204=phu!$I$52,M204=phu!$I$53),"Cam Linh",""),IF(OR(M204=phu!$I$54,M204=phu!$I$55,M204=phu!$I$56,M204=phu!$I$57,M204=phu!$I$58,M204=phu!$I$59,M204=phu!$I$60,M204=phu!$I$61,M204=phu!$I$62),"Cam Lợi",""),IF(OR(M204=phu!$I$63,M204=phu!$I$64,M204=phu!$I$65,M204=phu!$I$66,M204=phu!$I$67,M204=phu!$I$68,M204=phu!$I$69,M204=phu!$I$70,M204=phu!$I$71),"Ba Ngòi",""),IF(OR(M204=phu!$I$72,M204=phu!$I$73,M204=phu!$I$74,M204=phu!$I$75,M204=phu!$I$76,M204=phu!$I$77,M204=phu!$I$78),"Cam Phước Đông",""),IF(OR(M204=phu!$I$79,M204=phu!$I$80,M204=phu!$I$81,M204=phu!$I$82,M204=phu!$I$83,M204=phu!$I$84),"Cam Thịnh Đông",""),IF(OR(M204=phu!$I$85,M204=phu!$I$86,M204=phu!$I$87,M204=phu!$I$88),"Cam Thịnh Tây",""),IF(OR(M204=phu!$I$89,M204=phu!$I$90),"Cam Lập",""),IF(OR(M204=phu!$I$91,M204=phu!$I$92,M204=phu!$I$93),"Cam Bình",""),IF(OR(M204=phu!$I$94,M204=phu!$I$95,M204=phu!$I$96,M204=phu!$I$97,M204=phu!$I$98,M204=phu!$I$99,M204=phu!$I$100),"Huyện khác",""),IF(OR(M204=phu!$I$101,M204=phu!$I$102),"Tỉnh khác",""))</f>
        <v/>
      </c>
      <c r="O204" s="829" t="str">
        <f t="shared" si="18"/>
        <v/>
      </c>
      <c r="P204" s="254"/>
      <c r="Q204" s="254"/>
      <c r="R204" s="254"/>
      <c r="S204" s="254"/>
      <c r="T204" s="254"/>
      <c r="U204" s="254"/>
      <c r="V204" s="254"/>
      <c r="W204" s="254"/>
      <c r="Y204" s="246" t="str">
        <f t="shared" si="19"/>
        <v/>
      </c>
      <c r="Z204" s="247" t="str">
        <f t="shared" si="23"/>
        <v/>
      </c>
      <c r="AA204" s="246" t="str">
        <f t="shared" si="20"/>
        <v/>
      </c>
    </row>
    <row r="205" spans="1:27" ht="18" customHeight="1" x14ac:dyDescent="0.25">
      <c r="A205" s="248" t="str">
        <f t="shared" si="21"/>
        <v/>
      </c>
      <c r="B205" s="249" t="str">
        <f t="shared" si="22"/>
        <v/>
      </c>
      <c r="C205" s="250"/>
      <c r="D205" s="251"/>
      <c r="E205" s="241"/>
      <c r="F205" s="252"/>
      <c r="G205" s="252"/>
      <c r="H205" s="253"/>
      <c r="I205" s="250"/>
      <c r="J205" s="250"/>
      <c r="K205" s="270"/>
      <c r="L205" s="250"/>
      <c r="M205" s="250"/>
      <c r="N205" s="540" t="str">
        <f>CONCATENATE(IF(OR(M205=phu!$I$1,M205=phu!$I$2,M205=phu!$I$3),"Cam Thành Nam",""),IF(OR(M205=phu!$I$4,M205=phu!$I$5,M205=phu!$I$6,M205=phu!$I$7,M205=phu!$I$8,M205=phu!$I$9,M205=phu!$I$10,M205=phu!$I$11,M205=phu!$I$12,M205=phu!$I$13,M205=phu!$I$14),"Cam Nghĩa",""),IF(OR(M205=phu!$I$15,M205=phu!$I$16,M205=phu!$I$17,M205=phu!$I$18,M205=phu!$I$19,M205=phu!$I$20,M205=phu!$I$21),"Cam Phúc Bắc",""),IF(OR(M205=phu!$I$22,M205=phu!$I$23,M205=phu!$I$24,M205=phu!$I$25),"Cam Phúc Nam",""),IF(OR(M205=phu!$I$26,M205=phu!$I$27,M205=phu!$I$28,M205=phu!$I$29,M205=phu!$I$30,M205=phu!$I$31),"Cam Phú",""),IF(OR(M205=phu!$I$32,M205=phu!$I$33,M205=phu!$I$34,M205=phu!$I$35,M205=phu!$I$36,M205=phu!$I$37),"Cam Lộc",""),IF(OR(M205=phu!$I$38,M205=phu!$I$39,M205=phu!$I$40,M205=phu!$I$41,M205=phu!$I$42,M205=phu!$I$43,M205=phu!$I$44),"Cam Thuận",""),IF(OR(M205=phu!$I$45,M205=phu!$I$46,M205=phu!$I$47,M205=phu!$I$48,M205=phu!$I$49,M205=phu!$I$50,M205=phu!$I$51,M205=phu!$I$52,M205=phu!$I$53),"Cam Linh",""),IF(OR(M205=phu!$I$54,M205=phu!$I$55,M205=phu!$I$56,M205=phu!$I$57,M205=phu!$I$58,M205=phu!$I$59,M205=phu!$I$60,M205=phu!$I$61,M205=phu!$I$62),"Cam Lợi",""),IF(OR(M205=phu!$I$63,M205=phu!$I$64,M205=phu!$I$65,M205=phu!$I$66,M205=phu!$I$67,M205=phu!$I$68,M205=phu!$I$69,M205=phu!$I$70,M205=phu!$I$71),"Ba Ngòi",""),IF(OR(M205=phu!$I$72,M205=phu!$I$73,M205=phu!$I$74,M205=phu!$I$75,M205=phu!$I$76,M205=phu!$I$77,M205=phu!$I$78),"Cam Phước Đông",""),IF(OR(M205=phu!$I$79,M205=phu!$I$80,M205=phu!$I$81,M205=phu!$I$82,M205=phu!$I$83,M205=phu!$I$84),"Cam Thịnh Đông",""),IF(OR(M205=phu!$I$85,M205=phu!$I$86,M205=phu!$I$87,M205=phu!$I$88),"Cam Thịnh Tây",""),IF(OR(M205=phu!$I$89,M205=phu!$I$90),"Cam Lập",""),IF(OR(M205=phu!$I$91,M205=phu!$I$92,M205=phu!$I$93),"Cam Bình",""),IF(OR(M205=phu!$I$94,M205=phu!$I$95,M205=phu!$I$96,M205=phu!$I$97,M205=phu!$I$98,M205=phu!$I$99,M205=phu!$I$100),"Huyện khác",""),IF(OR(M205=phu!$I$101,M205=phu!$I$102),"Tỉnh khác",""))</f>
        <v/>
      </c>
      <c r="O205" s="829" t="str">
        <f t="shared" si="18"/>
        <v/>
      </c>
      <c r="P205" s="254"/>
      <c r="Q205" s="254"/>
      <c r="R205" s="254"/>
      <c r="S205" s="254"/>
      <c r="T205" s="254"/>
      <c r="U205" s="254"/>
      <c r="V205" s="254"/>
      <c r="W205" s="254"/>
      <c r="Y205" s="246" t="str">
        <f t="shared" si="19"/>
        <v/>
      </c>
      <c r="Z205" s="247" t="str">
        <f t="shared" si="23"/>
        <v/>
      </c>
      <c r="AA205" s="246" t="str">
        <f t="shared" si="20"/>
        <v/>
      </c>
    </row>
    <row r="206" spans="1:27" ht="18" customHeight="1" x14ac:dyDescent="0.25">
      <c r="A206" s="248" t="str">
        <f t="shared" si="21"/>
        <v/>
      </c>
      <c r="B206" s="249" t="str">
        <f t="shared" si="22"/>
        <v/>
      </c>
      <c r="C206" s="250"/>
      <c r="D206" s="251"/>
      <c r="E206" s="241"/>
      <c r="F206" s="252"/>
      <c r="G206" s="252"/>
      <c r="H206" s="253"/>
      <c r="I206" s="250"/>
      <c r="J206" s="250"/>
      <c r="K206" s="270"/>
      <c r="L206" s="250"/>
      <c r="M206" s="250"/>
      <c r="N206" s="540" t="str">
        <f>CONCATENATE(IF(OR(M206=phu!$I$1,M206=phu!$I$2,M206=phu!$I$3),"Cam Thành Nam",""),IF(OR(M206=phu!$I$4,M206=phu!$I$5,M206=phu!$I$6,M206=phu!$I$7,M206=phu!$I$8,M206=phu!$I$9,M206=phu!$I$10,M206=phu!$I$11,M206=phu!$I$12,M206=phu!$I$13,M206=phu!$I$14),"Cam Nghĩa",""),IF(OR(M206=phu!$I$15,M206=phu!$I$16,M206=phu!$I$17,M206=phu!$I$18,M206=phu!$I$19,M206=phu!$I$20,M206=phu!$I$21),"Cam Phúc Bắc",""),IF(OR(M206=phu!$I$22,M206=phu!$I$23,M206=phu!$I$24,M206=phu!$I$25),"Cam Phúc Nam",""),IF(OR(M206=phu!$I$26,M206=phu!$I$27,M206=phu!$I$28,M206=phu!$I$29,M206=phu!$I$30,M206=phu!$I$31),"Cam Phú",""),IF(OR(M206=phu!$I$32,M206=phu!$I$33,M206=phu!$I$34,M206=phu!$I$35,M206=phu!$I$36,M206=phu!$I$37),"Cam Lộc",""),IF(OR(M206=phu!$I$38,M206=phu!$I$39,M206=phu!$I$40,M206=phu!$I$41,M206=phu!$I$42,M206=phu!$I$43,M206=phu!$I$44),"Cam Thuận",""),IF(OR(M206=phu!$I$45,M206=phu!$I$46,M206=phu!$I$47,M206=phu!$I$48,M206=phu!$I$49,M206=phu!$I$50,M206=phu!$I$51,M206=phu!$I$52,M206=phu!$I$53),"Cam Linh",""),IF(OR(M206=phu!$I$54,M206=phu!$I$55,M206=phu!$I$56,M206=phu!$I$57,M206=phu!$I$58,M206=phu!$I$59,M206=phu!$I$60,M206=phu!$I$61,M206=phu!$I$62),"Cam Lợi",""),IF(OR(M206=phu!$I$63,M206=phu!$I$64,M206=phu!$I$65,M206=phu!$I$66,M206=phu!$I$67,M206=phu!$I$68,M206=phu!$I$69,M206=phu!$I$70,M206=phu!$I$71),"Ba Ngòi",""),IF(OR(M206=phu!$I$72,M206=phu!$I$73,M206=phu!$I$74,M206=phu!$I$75,M206=phu!$I$76,M206=phu!$I$77,M206=phu!$I$78),"Cam Phước Đông",""),IF(OR(M206=phu!$I$79,M206=phu!$I$80,M206=phu!$I$81,M206=phu!$I$82,M206=phu!$I$83,M206=phu!$I$84),"Cam Thịnh Đông",""),IF(OR(M206=phu!$I$85,M206=phu!$I$86,M206=phu!$I$87,M206=phu!$I$88),"Cam Thịnh Tây",""),IF(OR(M206=phu!$I$89,M206=phu!$I$90),"Cam Lập",""),IF(OR(M206=phu!$I$91,M206=phu!$I$92,M206=phu!$I$93),"Cam Bình",""),IF(OR(M206=phu!$I$94,M206=phu!$I$95,M206=phu!$I$96,M206=phu!$I$97,M206=phu!$I$98,M206=phu!$I$99,M206=phu!$I$100),"Huyện khác",""),IF(OR(M206=phu!$I$101,M206=phu!$I$102),"Tỉnh khác",""))</f>
        <v/>
      </c>
      <c r="O206" s="829" t="str">
        <f t="shared" si="18"/>
        <v/>
      </c>
      <c r="P206" s="254"/>
      <c r="Q206" s="254"/>
      <c r="R206" s="254"/>
      <c r="S206" s="254"/>
      <c r="T206" s="254"/>
      <c r="U206" s="254"/>
      <c r="V206" s="254"/>
      <c r="W206" s="254"/>
      <c r="Y206" s="246" t="str">
        <f t="shared" si="19"/>
        <v/>
      </c>
      <c r="Z206" s="247" t="str">
        <f t="shared" si="23"/>
        <v/>
      </c>
      <c r="AA206" s="246" t="str">
        <f t="shared" si="20"/>
        <v/>
      </c>
    </row>
    <row r="207" spans="1:27" ht="18" customHeight="1" x14ac:dyDescent="0.25">
      <c r="A207" s="248" t="str">
        <f t="shared" si="21"/>
        <v/>
      </c>
      <c r="B207" s="249" t="str">
        <f t="shared" si="22"/>
        <v/>
      </c>
      <c r="C207" s="250"/>
      <c r="D207" s="251"/>
      <c r="E207" s="241"/>
      <c r="F207" s="252"/>
      <c r="G207" s="252"/>
      <c r="H207" s="253"/>
      <c r="I207" s="250"/>
      <c r="J207" s="250"/>
      <c r="K207" s="270"/>
      <c r="L207" s="250"/>
      <c r="M207" s="250"/>
      <c r="N207" s="540" t="str">
        <f>CONCATENATE(IF(OR(M207=phu!$I$1,M207=phu!$I$2,M207=phu!$I$3),"Cam Thành Nam",""),IF(OR(M207=phu!$I$4,M207=phu!$I$5,M207=phu!$I$6,M207=phu!$I$7,M207=phu!$I$8,M207=phu!$I$9,M207=phu!$I$10,M207=phu!$I$11,M207=phu!$I$12,M207=phu!$I$13,M207=phu!$I$14),"Cam Nghĩa",""),IF(OR(M207=phu!$I$15,M207=phu!$I$16,M207=phu!$I$17,M207=phu!$I$18,M207=phu!$I$19,M207=phu!$I$20,M207=phu!$I$21),"Cam Phúc Bắc",""),IF(OR(M207=phu!$I$22,M207=phu!$I$23,M207=phu!$I$24,M207=phu!$I$25),"Cam Phúc Nam",""),IF(OR(M207=phu!$I$26,M207=phu!$I$27,M207=phu!$I$28,M207=phu!$I$29,M207=phu!$I$30,M207=phu!$I$31),"Cam Phú",""),IF(OR(M207=phu!$I$32,M207=phu!$I$33,M207=phu!$I$34,M207=phu!$I$35,M207=phu!$I$36,M207=phu!$I$37),"Cam Lộc",""),IF(OR(M207=phu!$I$38,M207=phu!$I$39,M207=phu!$I$40,M207=phu!$I$41,M207=phu!$I$42,M207=phu!$I$43,M207=phu!$I$44),"Cam Thuận",""),IF(OR(M207=phu!$I$45,M207=phu!$I$46,M207=phu!$I$47,M207=phu!$I$48,M207=phu!$I$49,M207=phu!$I$50,M207=phu!$I$51,M207=phu!$I$52,M207=phu!$I$53),"Cam Linh",""),IF(OR(M207=phu!$I$54,M207=phu!$I$55,M207=phu!$I$56,M207=phu!$I$57,M207=phu!$I$58,M207=phu!$I$59,M207=phu!$I$60,M207=phu!$I$61,M207=phu!$I$62),"Cam Lợi",""),IF(OR(M207=phu!$I$63,M207=phu!$I$64,M207=phu!$I$65,M207=phu!$I$66,M207=phu!$I$67,M207=phu!$I$68,M207=phu!$I$69,M207=phu!$I$70,M207=phu!$I$71),"Ba Ngòi",""),IF(OR(M207=phu!$I$72,M207=phu!$I$73,M207=phu!$I$74,M207=phu!$I$75,M207=phu!$I$76,M207=phu!$I$77,M207=phu!$I$78),"Cam Phước Đông",""),IF(OR(M207=phu!$I$79,M207=phu!$I$80,M207=phu!$I$81,M207=phu!$I$82,M207=phu!$I$83,M207=phu!$I$84),"Cam Thịnh Đông",""),IF(OR(M207=phu!$I$85,M207=phu!$I$86,M207=phu!$I$87,M207=phu!$I$88),"Cam Thịnh Tây",""),IF(OR(M207=phu!$I$89,M207=phu!$I$90),"Cam Lập",""),IF(OR(M207=phu!$I$91,M207=phu!$I$92,M207=phu!$I$93),"Cam Bình",""),IF(OR(M207=phu!$I$94,M207=phu!$I$95,M207=phu!$I$96,M207=phu!$I$97,M207=phu!$I$98,M207=phu!$I$99,M207=phu!$I$100),"Huyện khác",""),IF(OR(M207=phu!$I$101,M207=phu!$I$102),"Tỉnh khác",""))</f>
        <v/>
      </c>
      <c r="O207" s="829" t="str">
        <f t="shared" si="18"/>
        <v/>
      </c>
      <c r="P207" s="254"/>
      <c r="Q207" s="254"/>
      <c r="R207" s="254"/>
      <c r="S207" s="254"/>
      <c r="T207" s="254"/>
      <c r="U207" s="254"/>
      <c r="V207" s="254"/>
      <c r="W207" s="254"/>
      <c r="Y207" s="246" t="str">
        <f t="shared" si="19"/>
        <v/>
      </c>
      <c r="Z207" s="247" t="str">
        <f t="shared" si="23"/>
        <v/>
      </c>
      <c r="AA207" s="246" t="str">
        <f t="shared" si="20"/>
        <v/>
      </c>
    </row>
    <row r="208" spans="1:27" ht="18" customHeight="1" x14ac:dyDescent="0.25">
      <c r="A208" s="248" t="str">
        <f t="shared" si="21"/>
        <v/>
      </c>
      <c r="B208" s="249" t="str">
        <f t="shared" si="22"/>
        <v/>
      </c>
      <c r="C208" s="250"/>
      <c r="D208" s="251"/>
      <c r="E208" s="241"/>
      <c r="F208" s="252"/>
      <c r="G208" s="252"/>
      <c r="H208" s="253"/>
      <c r="I208" s="250"/>
      <c r="J208" s="250"/>
      <c r="K208" s="270"/>
      <c r="L208" s="250"/>
      <c r="M208" s="250"/>
      <c r="N208" s="540" t="str">
        <f>CONCATENATE(IF(OR(M208=phu!$I$1,M208=phu!$I$2,M208=phu!$I$3),"Cam Thành Nam",""),IF(OR(M208=phu!$I$4,M208=phu!$I$5,M208=phu!$I$6,M208=phu!$I$7,M208=phu!$I$8,M208=phu!$I$9,M208=phu!$I$10,M208=phu!$I$11,M208=phu!$I$12,M208=phu!$I$13,M208=phu!$I$14),"Cam Nghĩa",""),IF(OR(M208=phu!$I$15,M208=phu!$I$16,M208=phu!$I$17,M208=phu!$I$18,M208=phu!$I$19,M208=phu!$I$20,M208=phu!$I$21),"Cam Phúc Bắc",""),IF(OR(M208=phu!$I$22,M208=phu!$I$23,M208=phu!$I$24,M208=phu!$I$25),"Cam Phúc Nam",""),IF(OR(M208=phu!$I$26,M208=phu!$I$27,M208=phu!$I$28,M208=phu!$I$29,M208=phu!$I$30,M208=phu!$I$31),"Cam Phú",""),IF(OR(M208=phu!$I$32,M208=phu!$I$33,M208=phu!$I$34,M208=phu!$I$35,M208=phu!$I$36,M208=phu!$I$37),"Cam Lộc",""),IF(OR(M208=phu!$I$38,M208=phu!$I$39,M208=phu!$I$40,M208=phu!$I$41,M208=phu!$I$42,M208=phu!$I$43,M208=phu!$I$44),"Cam Thuận",""),IF(OR(M208=phu!$I$45,M208=phu!$I$46,M208=phu!$I$47,M208=phu!$I$48,M208=phu!$I$49,M208=phu!$I$50,M208=phu!$I$51,M208=phu!$I$52,M208=phu!$I$53),"Cam Linh",""),IF(OR(M208=phu!$I$54,M208=phu!$I$55,M208=phu!$I$56,M208=phu!$I$57,M208=phu!$I$58,M208=phu!$I$59,M208=phu!$I$60,M208=phu!$I$61,M208=phu!$I$62),"Cam Lợi",""),IF(OR(M208=phu!$I$63,M208=phu!$I$64,M208=phu!$I$65,M208=phu!$I$66,M208=phu!$I$67,M208=phu!$I$68,M208=phu!$I$69,M208=phu!$I$70,M208=phu!$I$71),"Ba Ngòi",""),IF(OR(M208=phu!$I$72,M208=phu!$I$73,M208=phu!$I$74,M208=phu!$I$75,M208=phu!$I$76,M208=phu!$I$77,M208=phu!$I$78),"Cam Phước Đông",""),IF(OR(M208=phu!$I$79,M208=phu!$I$80,M208=phu!$I$81,M208=phu!$I$82,M208=phu!$I$83,M208=phu!$I$84),"Cam Thịnh Đông",""),IF(OR(M208=phu!$I$85,M208=phu!$I$86,M208=phu!$I$87,M208=phu!$I$88),"Cam Thịnh Tây",""),IF(OR(M208=phu!$I$89,M208=phu!$I$90),"Cam Lập",""),IF(OR(M208=phu!$I$91,M208=phu!$I$92,M208=phu!$I$93),"Cam Bình",""),IF(OR(M208=phu!$I$94,M208=phu!$I$95,M208=phu!$I$96,M208=phu!$I$97,M208=phu!$I$98,M208=phu!$I$99,M208=phu!$I$100),"Huyện khác",""),IF(OR(M208=phu!$I$101,M208=phu!$I$102),"Tỉnh khác",""))</f>
        <v/>
      </c>
      <c r="O208" s="829" t="str">
        <f t="shared" si="18"/>
        <v/>
      </c>
      <c r="P208" s="254"/>
      <c r="Q208" s="254"/>
      <c r="R208" s="254"/>
      <c r="S208" s="254"/>
      <c r="T208" s="254"/>
      <c r="U208" s="254"/>
      <c r="V208" s="254"/>
      <c r="W208" s="254"/>
      <c r="Y208" s="246" t="str">
        <f t="shared" si="19"/>
        <v/>
      </c>
      <c r="Z208" s="247" t="str">
        <f t="shared" si="23"/>
        <v/>
      </c>
      <c r="AA208" s="246" t="str">
        <f t="shared" si="20"/>
        <v/>
      </c>
    </row>
    <row r="209" spans="1:27" ht="18" customHeight="1" x14ac:dyDescent="0.25">
      <c r="A209" s="248" t="str">
        <f t="shared" si="21"/>
        <v/>
      </c>
      <c r="B209" s="249" t="str">
        <f t="shared" si="22"/>
        <v/>
      </c>
      <c r="C209" s="250"/>
      <c r="D209" s="251"/>
      <c r="E209" s="241"/>
      <c r="F209" s="252"/>
      <c r="G209" s="252"/>
      <c r="H209" s="253"/>
      <c r="I209" s="250"/>
      <c r="J209" s="250"/>
      <c r="K209" s="270"/>
      <c r="L209" s="250"/>
      <c r="M209" s="250"/>
      <c r="N209" s="540" t="str">
        <f>CONCATENATE(IF(OR(M209=phu!$I$1,M209=phu!$I$2,M209=phu!$I$3),"Cam Thành Nam",""),IF(OR(M209=phu!$I$4,M209=phu!$I$5,M209=phu!$I$6,M209=phu!$I$7,M209=phu!$I$8,M209=phu!$I$9,M209=phu!$I$10,M209=phu!$I$11,M209=phu!$I$12,M209=phu!$I$13,M209=phu!$I$14),"Cam Nghĩa",""),IF(OR(M209=phu!$I$15,M209=phu!$I$16,M209=phu!$I$17,M209=phu!$I$18,M209=phu!$I$19,M209=phu!$I$20,M209=phu!$I$21),"Cam Phúc Bắc",""),IF(OR(M209=phu!$I$22,M209=phu!$I$23,M209=phu!$I$24,M209=phu!$I$25),"Cam Phúc Nam",""),IF(OR(M209=phu!$I$26,M209=phu!$I$27,M209=phu!$I$28,M209=phu!$I$29,M209=phu!$I$30,M209=phu!$I$31),"Cam Phú",""),IF(OR(M209=phu!$I$32,M209=phu!$I$33,M209=phu!$I$34,M209=phu!$I$35,M209=phu!$I$36,M209=phu!$I$37),"Cam Lộc",""),IF(OR(M209=phu!$I$38,M209=phu!$I$39,M209=phu!$I$40,M209=phu!$I$41,M209=phu!$I$42,M209=phu!$I$43,M209=phu!$I$44),"Cam Thuận",""),IF(OR(M209=phu!$I$45,M209=phu!$I$46,M209=phu!$I$47,M209=phu!$I$48,M209=phu!$I$49,M209=phu!$I$50,M209=phu!$I$51,M209=phu!$I$52,M209=phu!$I$53),"Cam Linh",""),IF(OR(M209=phu!$I$54,M209=phu!$I$55,M209=phu!$I$56,M209=phu!$I$57,M209=phu!$I$58,M209=phu!$I$59,M209=phu!$I$60,M209=phu!$I$61,M209=phu!$I$62),"Cam Lợi",""),IF(OR(M209=phu!$I$63,M209=phu!$I$64,M209=phu!$I$65,M209=phu!$I$66,M209=phu!$I$67,M209=phu!$I$68,M209=phu!$I$69,M209=phu!$I$70,M209=phu!$I$71),"Ba Ngòi",""),IF(OR(M209=phu!$I$72,M209=phu!$I$73,M209=phu!$I$74,M209=phu!$I$75,M209=phu!$I$76,M209=phu!$I$77,M209=phu!$I$78),"Cam Phước Đông",""),IF(OR(M209=phu!$I$79,M209=phu!$I$80,M209=phu!$I$81,M209=phu!$I$82,M209=phu!$I$83,M209=phu!$I$84),"Cam Thịnh Đông",""),IF(OR(M209=phu!$I$85,M209=phu!$I$86,M209=phu!$I$87,M209=phu!$I$88),"Cam Thịnh Tây",""),IF(OR(M209=phu!$I$89,M209=phu!$I$90),"Cam Lập",""),IF(OR(M209=phu!$I$91,M209=phu!$I$92,M209=phu!$I$93),"Cam Bình",""),IF(OR(M209=phu!$I$94,M209=phu!$I$95,M209=phu!$I$96,M209=phu!$I$97,M209=phu!$I$98,M209=phu!$I$99,M209=phu!$I$100),"Huyện khác",""),IF(OR(M209=phu!$I$101,M209=phu!$I$102),"Tỉnh khác",""))</f>
        <v/>
      </c>
      <c r="O209" s="829" t="str">
        <f t="shared" si="18"/>
        <v/>
      </c>
      <c r="P209" s="254"/>
      <c r="Q209" s="254"/>
      <c r="R209" s="254"/>
      <c r="S209" s="254"/>
      <c r="T209" s="254"/>
      <c r="U209" s="254"/>
      <c r="V209" s="254"/>
      <c r="W209" s="254"/>
      <c r="Y209" s="246" t="str">
        <f t="shared" si="19"/>
        <v/>
      </c>
      <c r="Z209" s="247" t="str">
        <f t="shared" si="23"/>
        <v/>
      </c>
      <c r="AA209" s="246" t="str">
        <f t="shared" si="20"/>
        <v/>
      </c>
    </row>
    <row r="210" spans="1:27" ht="18" customHeight="1" x14ac:dyDescent="0.25">
      <c r="A210" s="248" t="str">
        <f t="shared" si="21"/>
        <v/>
      </c>
      <c r="B210" s="249" t="str">
        <f t="shared" si="22"/>
        <v/>
      </c>
      <c r="C210" s="250"/>
      <c r="D210" s="251"/>
      <c r="E210" s="241"/>
      <c r="F210" s="252"/>
      <c r="G210" s="252"/>
      <c r="H210" s="253"/>
      <c r="I210" s="250"/>
      <c r="J210" s="250"/>
      <c r="K210" s="270"/>
      <c r="L210" s="250"/>
      <c r="M210" s="250"/>
      <c r="N210" s="540" t="str">
        <f>CONCATENATE(IF(OR(M210=phu!$I$1,M210=phu!$I$2,M210=phu!$I$3),"Cam Thành Nam",""),IF(OR(M210=phu!$I$4,M210=phu!$I$5,M210=phu!$I$6,M210=phu!$I$7,M210=phu!$I$8,M210=phu!$I$9,M210=phu!$I$10,M210=phu!$I$11,M210=phu!$I$12,M210=phu!$I$13,M210=phu!$I$14),"Cam Nghĩa",""),IF(OR(M210=phu!$I$15,M210=phu!$I$16,M210=phu!$I$17,M210=phu!$I$18,M210=phu!$I$19,M210=phu!$I$20,M210=phu!$I$21),"Cam Phúc Bắc",""),IF(OR(M210=phu!$I$22,M210=phu!$I$23,M210=phu!$I$24,M210=phu!$I$25),"Cam Phúc Nam",""),IF(OR(M210=phu!$I$26,M210=phu!$I$27,M210=phu!$I$28,M210=phu!$I$29,M210=phu!$I$30,M210=phu!$I$31),"Cam Phú",""),IF(OR(M210=phu!$I$32,M210=phu!$I$33,M210=phu!$I$34,M210=phu!$I$35,M210=phu!$I$36,M210=phu!$I$37),"Cam Lộc",""),IF(OR(M210=phu!$I$38,M210=phu!$I$39,M210=phu!$I$40,M210=phu!$I$41,M210=phu!$I$42,M210=phu!$I$43,M210=phu!$I$44),"Cam Thuận",""),IF(OR(M210=phu!$I$45,M210=phu!$I$46,M210=phu!$I$47,M210=phu!$I$48,M210=phu!$I$49,M210=phu!$I$50,M210=phu!$I$51,M210=phu!$I$52,M210=phu!$I$53),"Cam Linh",""),IF(OR(M210=phu!$I$54,M210=phu!$I$55,M210=phu!$I$56,M210=phu!$I$57,M210=phu!$I$58,M210=phu!$I$59,M210=phu!$I$60,M210=phu!$I$61,M210=phu!$I$62),"Cam Lợi",""),IF(OR(M210=phu!$I$63,M210=phu!$I$64,M210=phu!$I$65,M210=phu!$I$66,M210=phu!$I$67,M210=phu!$I$68,M210=phu!$I$69,M210=phu!$I$70,M210=phu!$I$71),"Ba Ngòi",""),IF(OR(M210=phu!$I$72,M210=phu!$I$73,M210=phu!$I$74,M210=phu!$I$75,M210=phu!$I$76,M210=phu!$I$77,M210=phu!$I$78),"Cam Phước Đông",""),IF(OR(M210=phu!$I$79,M210=phu!$I$80,M210=phu!$I$81,M210=phu!$I$82,M210=phu!$I$83,M210=phu!$I$84),"Cam Thịnh Đông",""),IF(OR(M210=phu!$I$85,M210=phu!$I$86,M210=phu!$I$87,M210=phu!$I$88),"Cam Thịnh Tây",""),IF(OR(M210=phu!$I$89,M210=phu!$I$90),"Cam Lập",""),IF(OR(M210=phu!$I$91,M210=phu!$I$92,M210=phu!$I$93),"Cam Bình",""),IF(OR(M210=phu!$I$94,M210=phu!$I$95,M210=phu!$I$96,M210=phu!$I$97,M210=phu!$I$98,M210=phu!$I$99,M210=phu!$I$100),"Huyện khác",""),IF(OR(M210=phu!$I$101,M210=phu!$I$102),"Tỉnh khác",""))</f>
        <v/>
      </c>
      <c r="O210" s="829" t="str">
        <f t="shared" si="18"/>
        <v/>
      </c>
      <c r="P210" s="254"/>
      <c r="Q210" s="254"/>
      <c r="R210" s="254"/>
      <c r="S210" s="254"/>
      <c r="T210" s="254"/>
      <c r="U210" s="254"/>
      <c r="V210" s="254"/>
      <c r="W210" s="254"/>
      <c r="Y210" s="246" t="str">
        <f t="shared" si="19"/>
        <v/>
      </c>
      <c r="Z210" s="247" t="str">
        <f t="shared" si="23"/>
        <v/>
      </c>
      <c r="AA210" s="246" t="str">
        <f t="shared" si="20"/>
        <v/>
      </c>
    </row>
    <row r="211" spans="1:27" ht="18" customHeight="1" x14ac:dyDescent="0.25">
      <c r="A211" s="248" t="str">
        <f t="shared" si="21"/>
        <v/>
      </c>
      <c r="B211" s="249" t="str">
        <f t="shared" si="22"/>
        <v/>
      </c>
      <c r="C211" s="250"/>
      <c r="D211" s="251"/>
      <c r="E211" s="241"/>
      <c r="F211" s="252"/>
      <c r="G211" s="252"/>
      <c r="H211" s="253"/>
      <c r="I211" s="250"/>
      <c r="J211" s="250"/>
      <c r="K211" s="270"/>
      <c r="L211" s="250"/>
      <c r="M211" s="250"/>
      <c r="N211" s="540" t="str">
        <f>CONCATENATE(IF(OR(M211=phu!$I$1,M211=phu!$I$2,M211=phu!$I$3),"Cam Thành Nam",""),IF(OR(M211=phu!$I$4,M211=phu!$I$5,M211=phu!$I$6,M211=phu!$I$7,M211=phu!$I$8,M211=phu!$I$9,M211=phu!$I$10,M211=phu!$I$11,M211=phu!$I$12,M211=phu!$I$13,M211=phu!$I$14),"Cam Nghĩa",""),IF(OR(M211=phu!$I$15,M211=phu!$I$16,M211=phu!$I$17,M211=phu!$I$18,M211=phu!$I$19,M211=phu!$I$20,M211=phu!$I$21),"Cam Phúc Bắc",""),IF(OR(M211=phu!$I$22,M211=phu!$I$23,M211=phu!$I$24,M211=phu!$I$25),"Cam Phúc Nam",""),IF(OR(M211=phu!$I$26,M211=phu!$I$27,M211=phu!$I$28,M211=phu!$I$29,M211=phu!$I$30,M211=phu!$I$31),"Cam Phú",""),IF(OR(M211=phu!$I$32,M211=phu!$I$33,M211=phu!$I$34,M211=phu!$I$35,M211=phu!$I$36,M211=phu!$I$37),"Cam Lộc",""),IF(OR(M211=phu!$I$38,M211=phu!$I$39,M211=phu!$I$40,M211=phu!$I$41,M211=phu!$I$42,M211=phu!$I$43,M211=phu!$I$44),"Cam Thuận",""),IF(OR(M211=phu!$I$45,M211=phu!$I$46,M211=phu!$I$47,M211=phu!$I$48,M211=phu!$I$49,M211=phu!$I$50,M211=phu!$I$51,M211=phu!$I$52,M211=phu!$I$53),"Cam Linh",""),IF(OR(M211=phu!$I$54,M211=phu!$I$55,M211=phu!$I$56,M211=phu!$I$57,M211=phu!$I$58,M211=phu!$I$59,M211=phu!$I$60,M211=phu!$I$61,M211=phu!$I$62),"Cam Lợi",""),IF(OR(M211=phu!$I$63,M211=phu!$I$64,M211=phu!$I$65,M211=phu!$I$66,M211=phu!$I$67,M211=phu!$I$68,M211=phu!$I$69,M211=phu!$I$70,M211=phu!$I$71),"Ba Ngòi",""),IF(OR(M211=phu!$I$72,M211=phu!$I$73,M211=phu!$I$74,M211=phu!$I$75,M211=phu!$I$76,M211=phu!$I$77,M211=phu!$I$78),"Cam Phước Đông",""),IF(OR(M211=phu!$I$79,M211=phu!$I$80,M211=phu!$I$81,M211=phu!$I$82,M211=phu!$I$83,M211=phu!$I$84),"Cam Thịnh Đông",""),IF(OR(M211=phu!$I$85,M211=phu!$I$86,M211=phu!$I$87,M211=phu!$I$88),"Cam Thịnh Tây",""),IF(OR(M211=phu!$I$89,M211=phu!$I$90),"Cam Lập",""),IF(OR(M211=phu!$I$91,M211=phu!$I$92,M211=phu!$I$93),"Cam Bình",""),IF(OR(M211=phu!$I$94,M211=phu!$I$95,M211=phu!$I$96,M211=phu!$I$97,M211=phu!$I$98,M211=phu!$I$99,M211=phu!$I$100),"Huyện khác",""),IF(OR(M211=phu!$I$101,M211=phu!$I$102),"Tỉnh khác",""))</f>
        <v/>
      </c>
      <c r="O211" s="829" t="str">
        <f t="shared" si="18"/>
        <v/>
      </c>
      <c r="P211" s="254"/>
      <c r="Q211" s="254"/>
      <c r="R211" s="254"/>
      <c r="S211" s="254"/>
      <c r="T211" s="254"/>
      <c r="U211" s="254"/>
      <c r="V211" s="254"/>
      <c r="W211" s="254"/>
      <c r="Y211" s="246" t="str">
        <f t="shared" si="19"/>
        <v/>
      </c>
      <c r="Z211" s="247" t="str">
        <f t="shared" si="23"/>
        <v/>
      </c>
      <c r="AA211" s="246" t="str">
        <f t="shared" si="20"/>
        <v/>
      </c>
    </row>
    <row r="212" spans="1:27" ht="18" customHeight="1" x14ac:dyDescent="0.25">
      <c r="A212" s="248" t="str">
        <f t="shared" si="21"/>
        <v/>
      </c>
      <c r="B212" s="249" t="str">
        <f t="shared" si="22"/>
        <v/>
      </c>
      <c r="C212" s="250"/>
      <c r="D212" s="251"/>
      <c r="E212" s="241"/>
      <c r="F212" s="252"/>
      <c r="G212" s="252"/>
      <c r="H212" s="253"/>
      <c r="I212" s="250"/>
      <c r="J212" s="250"/>
      <c r="K212" s="270"/>
      <c r="L212" s="250"/>
      <c r="M212" s="250"/>
      <c r="N212" s="540" t="str">
        <f>CONCATENATE(IF(OR(M212=phu!$I$1,M212=phu!$I$2,M212=phu!$I$3),"Cam Thành Nam",""),IF(OR(M212=phu!$I$4,M212=phu!$I$5,M212=phu!$I$6,M212=phu!$I$7,M212=phu!$I$8,M212=phu!$I$9,M212=phu!$I$10,M212=phu!$I$11,M212=phu!$I$12,M212=phu!$I$13,M212=phu!$I$14),"Cam Nghĩa",""),IF(OR(M212=phu!$I$15,M212=phu!$I$16,M212=phu!$I$17,M212=phu!$I$18,M212=phu!$I$19,M212=phu!$I$20,M212=phu!$I$21),"Cam Phúc Bắc",""),IF(OR(M212=phu!$I$22,M212=phu!$I$23,M212=phu!$I$24,M212=phu!$I$25),"Cam Phúc Nam",""),IF(OR(M212=phu!$I$26,M212=phu!$I$27,M212=phu!$I$28,M212=phu!$I$29,M212=phu!$I$30,M212=phu!$I$31),"Cam Phú",""),IF(OR(M212=phu!$I$32,M212=phu!$I$33,M212=phu!$I$34,M212=phu!$I$35,M212=phu!$I$36,M212=phu!$I$37),"Cam Lộc",""),IF(OR(M212=phu!$I$38,M212=phu!$I$39,M212=phu!$I$40,M212=phu!$I$41,M212=phu!$I$42,M212=phu!$I$43,M212=phu!$I$44),"Cam Thuận",""),IF(OR(M212=phu!$I$45,M212=phu!$I$46,M212=phu!$I$47,M212=phu!$I$48,M212=phu!$I$49,M212=phu!$I$50,M212=phu!$I$51,M212=phu!$I$52,M212=phu!$I$53),"Cam Linh",""),IF(OR(M212=phu!$I$54,M212=phu!$I$55,M212=phu!$I$56,M212=phu!$I$57,M212=phu!$I$58,M212=phu!$I$59,M212=phu!$I$60,M212=phu!$I$61,M212=phu!$I$62),"Cam Lợi",""),IF(OR(M212=phu!$I$63,M212=phu!$I$64,M212=phu!$I$65,M212=phu!$I$66,M212=phu!$I$67,M212=phu!$I$68,M212=phu!$I$69,M212=phu!$I$70,M212=phu!$I$71),"Ba Ngòi",""),IF(OR(M212=phu!$I$72,M212=phu!$I$73,M212=phu!$I$74,M212=phu!$I$75,M212=phu!$I$76,M212=phu!$I$77,M212=phu!$I$78),"Cam Phước Đông",""),IF(OR(M212=phu!$I$79,M212=phu!$I$80,M212=phu!$I$81,M212=phu!$I$82,M212=phu!$I$83,M212=phu!$I$84),"Cam Thịnh Đông",""),IF(OR(M212=phu!$I$85,M212=phu!$I$86,M212=phu!$I$87,M212=phu!$I$88),"Cam Thịnh Tây",""),IF(OR(M212=phu!$I$89,M212=phu!$I$90),"Cam Lập",""),IF(OR(M212=phu!$I$91,M212=phu!$I$92,M212=phu!$I$93),"Cam Bình",""),IF(OR(M212=phu!$I$94,M212=phu!$I$95,M212=phu!$I$96,M212=phu!$I$97,M212=phu!$I$98,M212=phu!$I$99,M212=phu!$I$100),"Huyện khác",""),IF(OR(M212=phu!$I$101,M212=phu!$I$102),"Tỉnh khác",""))</f>
        <v/>
      </c>
      <c r="O212" s="829" t="str">
        <f t="shared" si="18"/>
        <v/>
      </c>
      <c r="P212" s="254"/>
      <c r="Q212" s="254"/>
      <c r="R212" s="254"/>
      <c r="S212" s="254"/>
      <c r="T212" s="254"/>
      <c r="U212" s="254"/>
      <c r="V212" s="254"/>
      <c r="W212" s="254"/>
      <c r="Y212" s="246" t="str">
        <f t="shared" si="19"/>
        <v/>
      </c>
      <c r="Z212" s="247" t="str">
        <f t="shared" si="23"/>
        <v/>
      </c>
      <c r="AA212" s="246" t="str">
        <f t="shared" si="20"/>
        <v/>
      </c>
    </row>
    <row r="213" spans="1:27" ht="18" customHeight="1" x14ac:dyDescent="0.25">
      <c r="A213" s="248" t="str">
        <f t="shared" si="21"/>
        <v/>
      </c>
      <c r="B213" s="249" t="str">
        <f t="shared" si="22"/>
        <v/>
      </c>
      <c r="C213" s="250"/>
      <c r="D213" s="251"/>
      <c r="E213" s="241"/>
      <c r="F213" s="252"/>
      <c r="G213" s="252"/>
      <c r="H213" s="253"/>
      <c r="I213" s="250"/>
      <c r="J213" s="250"/>
      <c r="K213" s="270"/>
      <c r="L213" s="250"/>
      <c r="M213" s="250"/>
      <c r="N213" s="540" t="str">
        <f>CONCATENATE(IF(OR(M213=phu!$I$1,M213=phu!$I$2,M213=phu!$I$3),"Cam Thành Nam",""),IF(OR(M213=phu!$I$4,M213=phu!$I$5,M213=phu!$I$6,M213=phu!$I$7,M213=phu!$I$8,M213=phu!$I$9,M213=phu!$I$10,M213=phu!$I$11,M213=phu!$I$12,M213=phu!$I$13,M213=phu!$I$14),"Cam Nghĩa",""),IF(OR(M213=phu!$I$15,M213=phu!$I$16,M213=phu!$I$17,M213=phu!$I$18,M213=phu!$I$19,M213=phu!$I$20,M213=phu!$I$21),"Cam Phúc Bắc",""),IF(OR(M213=phu!$I$22,M213=phu!$I$23,M213=phu!$I$24,M213=phu!$I$25),"Cam Phúc Nam",""),IF(OR(M213=phu!$I$26,M213=phu!$I$27,M213=phu!$I$28,M213=phu!$I$29,M213=phu!$I$30,M213=phu!$I$31),"Cam Phú",""),IF(OR(M213=phu!$I$32,M213=phu!$I$33,M213=phu!$I$34,M213=phu!$I$35,M213=phu!$I$36,M213=phu!$I$37),"Cam Lộc",""),IF(OR(M213=phu!$I$38,M213=phu!$I$39,M213=phu!$I$40,M213=phu!$I$41,M213=phu!$I$42,M213=phu!$I$43,M213=phu!$I$44),"Cam Thuận",""),IF(OR(M213=phu!$I$45,M213=phu!$I$46,M213=phu!$I$47,M213=phu!$I$48,M213=phu!$I$49,M213=phu!$I$50,M213=phu!$I$51,M213=phu!$I$52,M213=phu!$I$53),"Cam Linh",""),IF(OR(M213=phu!$I$54,M213=phu!$I$55,M213=phu!$I$56,M213=phu!$I$57,M213=phu!$I$58,M213=phu!$I$59,M213=phu!$I$60,M213=phu!$I$61,M213=phu!$I$62),"Cam Lợi",""),IF(OR(M213=phu!$I$63,M213=phu!$I$64,M213=phu!$I$65,M213=phu!$I$66,M213=phu!$I$67,M213=phu!$I$68,M213=phu!$I$69,M213=phu!$I$70,M213=phu!$I$71),"Ba Ngòi",""),IF(OR(M213=phu!$I$72,M213=phu!$I$73,M213=phu!$I$74,M213=phu!$I$75,M213=phu!$I$76,M213=phu!$I$77,M213=phu!$I$78),"Cam Phước Đông",""),IF(OR(M213=phu!$I$79,M213=phu!$I$80,M213=phu!$I$81,M213=phu!$I$82,M213=phu!$I$83,M213=phu!$I$84),"Cam Thịnh Đông",""),IF(OR(M213=phu!$I$85,M213=phu!$I$86,M213=phu!$I$87,M213=phu!$I$88),"Cam Thịnh Tây",""),IF(OR(M213=phu!$I$89,M213=phu!$I$90),"Cam Lập",""),IF(OR(M213=phu!$I$91,M213=phu!$I$92,M213=phu!$I$93),"Cam Bình",""),IF(OR(M213=phu!$I$94,M213=phu!$I$95,M213=phu!$I$96,M213=phu!$I$97,M213=phu!$I$98,M213=phu!$I$99,M213=phu!$I$100),"Huyện khác",""),IF(OR(M213=phu!$I$101,M213=phu!$I$102),"Tỉnh khác",""))</f>
        <v/>
      </c>
      <c r="O213" s="829" t="str">
        <f t="shared" si="18"/>
        <v/>
      </c>
      <c r="P213" s="254"/>
      <c r="Q213" s="254"/>
      <c r="R213" s="254"/>
      <c r="S213" s="254"/>
      <c r="T213" s="254"/>
      <c r="U213" s="254"/>
      <c r="V213" s="254"/>
      <c r="W213" s="254"/>
      <c r="Y213" s="246" t="str">
        <f t="shared" si="19"/>
        <v/>
      </c>
      <c r="Z213" s="247" t="str">
        <f t="shared" si="23"/>
        <v/>
      </c>
      <c r="AA213" s="246" t="str">
        <f t="shared" si="20"/>
        <v/>
      </c>
    </row>
    <row r="214" spans="1:27" ht="18" customHeight="1" x14ac:dyDescent="0.25">
      <c r="A214" s="248" t="str">
        <f t="shared" si="21"/>
        <v/>
      </c>
      <c r="B214" s="249" t="str">
        <f t="shared" si="22"/>
        <v/>
      </c>
      <c r="C214" s="250"/>
      <c r="D214" s="251"/>
      <c r="E214" s="241"/>
      <c r="F214" s="252"/>
      <c r="G214" s="252"/>
      <c r="H214" s="253"/>
      <c r="I214" s="250"/>
      <c r="J214" s="250"/>
      <c r="K214" s="270"/>
      <c r="L214" s="250"/>
      <c r="M214" s="250"/>
      <c r="N214" s="540" t="str">
        <f>CONCATENATE(IF(OR(M214=phu!$I$1,M214=phu!$I$2,M214=phu!$I$3),"Cam Thành Nam",""),IF(OR(M214=phu!$I$4,M214=phu!$I$5,M214=phu!$I$6,M214=phu!$I$7,M214=phu!$I$8,M214=phu!$I$9,M214=phu!$I$10,M214=phu!$I$11,M214=phu!$I$12,M214=phu!$I$13,M214=phu!$I$14),"Cam Nghĩa",""),IF(OR(M214=phu!$I$15,M214=phu!$I$16,M214=phu!$I$17,M214=phu!$I$18,M214=phu!$I$19,M214=phu!$I$20,M214=phu!$I$21),"Cam Phúc Bắc",""),IF(OR(M214=phu!$I$22,M214=phu!$I$23,M214=phu!$I$24,M214=phu!$I$25),"Cam Phúc Nam",""),IF(OR(M214=phu!$I$26,M214=phu!$I$27,M214=phu!$I$28,M214=phu!$I$29,M214=phu!$I$30,M214=phu!$I$31),"Cam Phú",""),IF(OR(M214=phu!$I$32,M214=phu!$I$33,M214=phu!$I$34,M214=phu!$I$35,M214=phu!$I$36,M214=phu!$I$37),"Cam Lộc",""),IF(OR(M214=phu!$I$38,M214=phu!$I$39,M214=phu!$I$40,M214=phu!$I$41,M214=phu!$I$42,M214=phu!$I$43,M214=phu!$I$44),"Cam Thuận",""),IF(OR(M214=phu!$I$45,M214=phu!$I$46,M214=phu!$I$47,M214=phu!$I$48,M214=phu!$I$49,M214=phu!$I$50,M214=phu!$I$51,M214=phu!$I$52,M214=phu!$I$53),"Cam Linh",""),IF(OR(M214=phu!$I$54,M214=phu!$I$55,M214=phu!$I$56,M214=phu!$I$57,M214=phu!$I$58,M214=phu!$I$59,M214=phu!$I$60,M214=phu!$I$61,M214=phu!$I$62),"Cam Lợi",""),IF(OR(M214=phu!$I$63,M214=phu!$I$64,M214=phu!$I$65,M214=phu!$I$66,M214=phu!$I$67,M214=phu!$I$68,M214=phu!$I$69,M214=phu!$I$70,M214=phu!$I$71),"Ba Ngòi",""),IF(OR(M214=phu!$I$72,M214=phu!$I$73,M214=phu!$I$74,M214=phu!$I$75,M214=phu!$I$76,M214=phu!$I$77,M214=phu!$I$78),"Cam Phước Đông",""),IF(OR(M214=phu!$I$79,M214=phu!$I$80,M214=phu!$I$81,M214=phu!$I$82,M214=phu!$I$83,M214=phu!$I$84),"Cam Thịnh Đông",""),IF(OR(M214=phu!$I$85,M214=phu!$I$86,M214=phu!$I$87,M214=phu!$I$88),"Cam Thịnh Tây",""),IF(OR(M214=phu!$I$89,M214=phu!$I$90),"Cam Lập",""),IF(OR(M214=phu!$I$91,M214=phu!$I$92,M214=phu!$I$93),"Cam Bình",""),IF(OR(M214=phu!$I$94,M214=phu!$I$95,M214=phu!$I$96,M214=phu!$I$97,M214=phu!$I$98,M214=phu!$I$99,M214=phu!$I$100),"Huyện khác",""),IF(OR(M214=phu!$I$101,M214=phu!$I$102),"Tỉnh khác",""))</f>
        <v/>
      </c>
      <c r="O214" s="829" t="str">
        <f t="shared" si="18"/>
        <v/>
      </c>
      <c r="P214" s="254"/>
      <c r="Q214" s="254"/>
      <c r="R214" s="254"/>
      <c r="S214" s="254"/>
      <c r="T214" s="254"/>
      <c r="U214" s="254"/>
      <c r="V214" s="254"/>
      <c r="W214" s="254"/>
      <c r="Y214" s="246" t="str">
        <f t="shared" si="19"/>
        <v/>
      </c>
      <c r="Z214" s="247" t="str">
        <f t="shared" si="23"/>
        <v/>
      </c>
      <c r="AA214" s="246" t="str">
        <f t="shared" si="20"/>
        <v/>
      </c>
    </row>
    <row r="215" spans="1:27" ht="18" customHeight="1" x14ac:dyDescent="0.25">
      <c r="A215" s="248" t="str">
        <f t="shared" si="21"/>
        <v/>
      </c>
      <c r="B215" s="249" t="str">
        <f t="shared" si="22"/>
        <v/>
      </c>
      <c r="C215" s="250"/>
      <c r="D215" s="251"/>
      <c r="E215" s="241"/>
      <c r="F215" s="252"/>
      <c r="G215" s="252"/>
      <c r="H215" s="253"/>
      <c r="I215" s="250"/>
      <c r="J215" s="250"/>
      <c r="K215" s="270"/>
      <c r="L215" s="250"/>
      <c r="M215" s="250"/>
      <c r="N215" s="540" t="str">
        <f>CONCATENATE(IF(OR(M215=phu!$I$1,M215=phu!$I$2,M215=phu!$I$3),"Cam Thành Nam",""),IF(OR(M215=phu!$I$4,M215=phu!$I$5,M215=phu!$I$6,M215=phu!$I$7,M215=phu!$I$8,M215=phu!$I$9,M215=phu!$I$10,M215=phu!$I$11,M215=phu!$I$12,M215=phu!$I$13,M215=phu!$I$14),"Cam Nghĩa",""),IF(OR(M215=phu!$I$15,M215=phu!$I$16,M215=phu!$I$17,M215=phu!$I$18,M215=phu!$I$19,M215=phu!$I$20,M215=phu!$I$21),"Cam Phúc Bắc",""),IF(OR(M215=phu!$I$22,M215=phu!$I$23,M215=phu!$I$24,M215=phu!$I$25),"Cam Phúc Nam",""),IF(OR(M215=phu!$I$26,M215=phu!$I$27,M215=phu!$I$28,M215=phu!$I$29,M215=phu!$I$30,M215=phu!$I$31),"Cam Phú",""),IF(OR(M215=phu!$I$32,M215=phu!$I$33,M215=phu!$I$34,M215=phu!$I$35,M215=phu!$I$36,M215=phu!$I$37),"Cam Lộc",""),IF(OR(M215=phu!$I$38,M215=phu!$I$39,M215=phu!$I$40,M215=phu!$I$41,M215=phu!$I$42,M215=phu!$I$43,M215=phu!$I$44),"Cam Thuận",""),IF(OR(M215=phu!$I$45,M215=phu!$I$46,M215=phu!$I$47,M215=phu!$I$48,M215=phu!$I$49,M215=phu!$I$50,M215=phu!$I$51,M215=phu!$I$52,M215=phu!$I$53),"Cam Linh",""),IF(OR(M215=phu!$I$54,M215=phu!$I$55,M215=phu!$I$56,M215=phu!$I$57,M215=phu!$I$58,M215=phu!$I$59,M215=phu!$I$60,M215=phu!$I$61,M215=phu!$I$62),"Cam Lợi",""),IF(OR(M215=phu!$I$63,M215=phu!$I$64,M215=phu!$I$65,M215=phu!$I$66,M215=phu!$I$67,M215=phu!$I$68,M215=phu!$I$69,M215=phu!$I$70,M215=phu!$I$71),"Ba Ngòi",""),IF(OR(M215=phu!$I$72,M215=phu!$I$73,M215=phu!$I$74,M215=phu!$I$75,M215=phu!$I$76,M215=phu!$I$77,M215=phu!$I$78),"Cam Phước Đông",""),IF(OR(M215=phu!$I$79,M215=phu!$I$80,M215=phu!$I$81,M215=phu!$I$82,M215=phu!$I$83,M215=phu!$I$84),"Cam Thịnh Đông",""),IF(OR(M215=phu!$I$85,M215=phu!$I$86,M215=phu!$I$87,M215=phu!$I$88),"Cam Thịnh Tây",""),IF(OR(M215=phu!$I$89,M215=phu!$I$90),"Cam Lập",""),IF(OR(M215=phu!$I$91,M215=phu!$I$92,M215=phu!$I$93),"Cam Bình",""),IF(OR(M215=phu!$I$94,M215=phu!$I$95,M215=phu!$I$96,M215=phu!$I$97,M215=phu!$I$98,M215=phu!$I$99,M215=phu!$I$100),"Huyện khác",""),IF(OR(M215=phu!$I$101,M215=phu!$I$102),"Tỉnh khác",""))</f>
        <v/>
      </c>
      <c r="O215" s="829" t="str">
        <f t="shared" si="18"/>
        <v/>
      </c>
      <c r="P215" s="254"/>
      <c r="Q215" s="254"/>
      <c r="R215" s="254"/>
      <c r="S215" s="254"/>
      <c r="T215" s="254"/>
      <c r="U215" s="254"/>
      <c r="V215" s="254"/>
      <c r="W215" s="254"/>
      <c r="Y215" s="246" t="str">
        <f t="shared" si="19"/>
        <v/>
      </c>
      <c r="Z215" s="247" t="str">
        <f t="shared" si="23"/>
        <v/>
      </c>
      <c r="AA215" s="246" t="str">
        <f t="shared" si="20"/>
        <v/>
      </c>
    </row>
    <row r="216" spans="1:27" ht="18" customHeight="1" x14ac:dyDescent="0.25">
      <c r="A216" s="248" t="str">
        <f t="shared" si="21"/>
        <v/>
      </c>
      <c r="B216" s="249" t="str">
        <f t="shared" si="22"/>
        <v/>
      </c>
      <c r="C216" s="250"/>
      <c r="D216" s="251"/>
      <c r="E216" s="241"/>
      <c r="F216" s="252"/>
      <c r="G216" s="252"/>
      <c r="H216" s="253"/>
      <c r="I216" s="250"/>
      <c r="J216" s="250"/>
      <c r="K216" s="270"/>
      <c r="L216" s="250"/>
      <c r="M216" s="250"/>
      <c r="N216" s="540" t="str">
        <f>CONCATENATE(IF(OR(M216=phu!$I$1,M216=phu!$I$2,M216=phu!$I$3),"Cam Thành Nam",""),IF(OR(M216=phu!$I$4,M216=phu!$I$5,M216=phu!$I$6,M216=phu!$I$7,M216=phu!$I$8,M216=phu!$I$9,M216=phu!$I$10,M216=phu!$I$11,M216=phu!$I$12,M216=phu!$I$13,M216=phu!$I$14),"Cam Nghĩa",""),IF(OR(M216=phu!$I$15,M216=phu!$I$16,M216=phu!$I$17,M216=phu!$I$18,M216=phu!$I$19,M216=phu!$I$20,M216=phu!$I$21),"Cam Phúc Bắc",""),IF(OR(M216=phu!$I$22,M216=phu!$I$23,M216=phu!$I$24,M216=phu!$I$25),"Cam Phúc Nam",""),IF(OR(M216=phu!$I$26,M216=phu!$I$27,M216=phu!$I$28,M216=phu!$I$29,M216=phu!$I$30,M216=phu!$I$31),"Cam Phú",""),IF(OR(M216=phu!$I$32,M216=phu!$I$33,M216=phu!$I$34,M216=phu!$I$35,M216=phu!$I$36,M216=phu!$I$37),"Cam Lộc",""),IF(OR(M216=phu!$I$38,M216=phu!$I$39,M216=phu!$I$40,M216=phu!$I$41,M216=phu!$I$42,M216=phu!$I$43,M216=phu!$I$44),"Cam Thuận",""),IF(OR(M216=phu!$I$45,M216=phu!$I$46,M216=phu!$I$47,M216=phu!$I$48,M216=phu!$I$49,M216=phu!$I$50,M216=phu!$I$51,M216=phu!$I$52,M216=phu!$I$53),"Cam Linh",""),IF(OR(M216=phu!$I$54,M216=phu!$I$55,M216=phu!$I$56,M216=phu!$I$57,M216=phu!$I$58,M216=phu!$I$59,M216=phu!$I$60,M216=phu!$I$61,M216=phu!$I$62),"Cam Lợi",""),IF(OR(M216=phu!$I$63,M216=phu!$I$64,M216=phu!$I$65,M216=phu!$I$66,M216=phu!$I$67,M216=phu!$I$68,M216=phu!$I$69,M216=phu!$I$70,M216=phu!$I$71),"Ba Ngòi",""),IF(OR(M216=phu!$I$72,M216=phu!$I$73,M216=phu!$I$74,M216=phu!$I$75,M216=phu!$I$76,M216=phu!$I$77,M216=phu!$I$78),"Cam Phước Đông",""),IF(OR(M216=phu!$I$79,M216=phu!$I$80,M216=phu!$I$81,M216=phu!$I$82,M216=phu!$I$83,M216=phu!$I$84),"Cam Thịnh Đông",""),IF(OR(M216=phu!$I$85,M216=phu!$I$86,M216=phu!$I$87,M216=phu!$I$88),"Cam Thịnh Tây",""),IF(OR(M216=phu!$I$89,M216=phu!$I$90),"Cam Lập",""),IF(OR(M216=phu!$I$91,M216=phu!$I$92,M216=phu!$I$93),"Cam Bình",""),IF(OR(M216=phu!$I$94,M216=phu!$I$95,M216=phu!$I$96,M216=phu!$I$97,M216=phu!$I$98,M216=phu!$I$99,M216=phu!$I$100),"Huyện khác",""),IF(OR(M216=phu!$I$101,M216=phu!$I$102),"Tỉnh khác",""))</f>
        <v/>
      </c>
      <c r="O216" s="829" t="str">
        <f t="shared" si="18"/>
        <v/>
      </c>
      <c r="P216" s="254"/>
      <c r="Q216" s="254"/>
      <c r="R216" s="254"/>
      <c r="S216" s="254"/>
      <c r="T216" s="254"/>
      <c r="U216" s="254"/>
      <c r="V216" s="254"/>
      <c r="W216" s="254"/>
      <c r="Y216" s="246" t="str">
        <f t="shared" si="19"/>
        <v/>
      </c>
      <c r="Z216" s="247" t="str">
        <f t="shared" si="23"/>
        <v/>
      </c>
      <c r="AA216" s="246" t="str">
        <f t="shared" si="20"/>
        <v/>
      </c>
    </row>
    <row r="217" spans="1:27" ht="18" customHeight="1" x14ac:dyDescent="0.25">
      <c r="A217" s="248" t="str">
        <f t="shared" si="21"/>
        <v/>
      </c>
      <c r="B217" s="249" t="str">
        <f t="shared" si="22"/>
        <v/>
      </c>
      <c r="C217" s="250"/>
      <c r="D217" s="251"/>
      <c r="E217" s="241"/>
      <c r="F217" s="252"/>
      <c r="G217" s="252"/>
      <c r="H217" s="253"/>
      <c r="I217" s="250"/>
      <c r="J217" s="250"/>
      <c r="K217" s="270"/>
      <c r="L217" s="250"/>
      <c r="M217" s="250"/>
      <c r="N217" s="540" t="str">
        <f>CONCATENATE(IF(OR(M217=phu!$I$1,M217=phu!$I$2,M217=phu!$I$3),"Cam Thành Nam",""),IF(OR(M217=phu!$I$4,M217=phu!$I$5,M217=phu!$I$6,M217=phu!$I$7,M217=phu!$I$8,M217=phu!$I$9,M217=phu!$I$10,M217=phu!$I$11,M217=phu!$I$12,M217=phu!$I$13,M217=phu!$I$14),"Cam Nghĩa",""),IF(OR(M217=phu!$I$15,M217=phu!$I$16,M217=phu!$I$17,M217=phu!$I$18,M217=phu!$I$19,M217=phu!$I$20,M217=phu!$I$21),"Cam Phúc Bắc",""),IF(OR(M217=phu!$I$22,M217=phu!$I$23,M217=phu!$I$24,M217=phu!$I$25),"Cam Phúc Nam",""),IF(OR(M217=phu!$I$26,M217=phu!$I$27,M217=phu!$I$28,M217=phu!$I$29,M217=phu!$I$30,M217=phu!$I$31),"Cam Phú",""),IF(OR(M217=phu!$I$32,M217=phu!$I$33,M217=phu!$I$34,M217=phu!$I$35,M217=phu!$I$36,M217=phu!$I$37),"Cam Lộc",""),IF(OR(M217=phu!$I$38,M217=phu!$I$39,M217=phu!$I$40,M217=phu!$I$41,M217=phu!$I$42,M217=phu!$I$43,M217=phu!$I$44),"Cam Thuận",""),IF(OR(M217=phu!$I$45,M217=phu!$I$46,M217=phu!$I$47,M217=phu!$I$48,M217=phu!$I$49,M217=phu!$I$50,M217=phu!$I$51,M217=phu!$I$52,M217=phu!$I$53),"Cam Linh",""),IF(OR(M217=phu!$I$54,M217=phu!$I$55,M217=phu!$I$56,M217=phu!$I$57,M217=phu!$I$58,M217=phu!$I$59,M217=phu!$I$60,M217=phu!$I$61,M217=phu!$I$62),"Cam Lợi",""),IF(OR(M217=phu!$I$63,M217=phu!$I$64,M217=phu!$I$65,M217=phu!$I$66,M217=phu!$I$67,M217=phu!$I$68,M217=phu!$I$69,M217=phu!$I$70,M217=phu!$I$71),"Ba Ngòi",""),IF(OR(M217=phu!$I$72,M217=phu!$I$73,M217=phu!$I$74,M217=phu!$I$75,M217=phu!$I$76,M217=phu!$I$77,M217=phu!$I$78),"Cam Phước Đông",""),IF(OR(M217=phu!$I$79,M217=phu!$I$80,M217=phu!$I$81,M217=phu!$I$82,M217=phu!$I$83,M217=phu!$I$84),"Cam Thịnh Đông",""),IF(OR(M217=phu!$I$85,M217=phu!$I$86,M217=phu!$I$87,M217=phu!$I$88),"Cam Thịnh Tây",""),IF(OR(M217=phu!$I$89,M217=phu!$I$90),"Cam Lập",""),IF(OR(M217=phu!$I$91,M217=phu!$I$92,M217=phu!$I$93),"Cam Bình",""),IF(OR(M217=phu!$I$94,M217=phu!$I$95,M217=phu!$I$96,M217=phu!$I$97,M217=phu!$I$98,M217=phu!$I$99,M217=phu!$I$100),"Huyện khác",""),IF(OR(M217=phu!$I$101,M217=phu!$I$102),"Tỉnh khác",""))</f>
        <v/>
      </c>
      <c r="O217" s="829" t="str">
        <f t="shared" si="18"/>
        <v/>
      </c>
      <c r="P217" s="254"/>
      <c r="Q217" s="254"/>
      <c r="R217" s="254"/>
      <c r="S217" s="254"/>
      <c r="T217" s="254"/>
      <c r="U217" s="254"/>
      <c r="V217" s="254"/>
      <c r="W217" s="254"/>
      <c r="Y217" s="246" t="str">
        <f t="shared" si="19"/>
        <v/>
      </c>
      <c r="Z217" s="247" t="str">
        <f t="shared" si="23"/>
        <v/>
      </c>
      <c r="AA217" s="246" t="str">
        <f t="shared" si="20"/>
        <v/>
      </c>
    </row>
    <row r="218" spans="1:27" ht="18" customHeight="1" x14ac:dyDescent="0.25">
      <c r="A218" s="248" t="str">
        <f t="shared" si="21"/>
        <v/>
      </c>
      <c r="B218" s="249" t="str">
        <f t="shared" si="22"/>
        <v/>
      </c>
      <c r="C218" s="250"/>
      <c r="D218" s="251"/>
      <c r="E218" s="241"/>
      <c r="F218" s="252"/>
      <c r="G218" s="252"/>
      <c r="H218" s="253"/>
      <c r="I218" s="250"/>
      <c r="J218" s="250"/>
      <c r="K218" s="270"/>
      <c r="L218" s="250"/>
      <c r="M218" s="250"/>
      <c r="N218" s="540" t="str">
        <f>CONCATENATE(IF(OR(M218=phu!$I$1,M218=phu!$I$2,M218=phu!$I$3),"Cam Thành Nam",""),IF(OR(M218=phu!$I$4,M218=phu!$I$5,M218=phu!$I$6,M218=phu!$I$7,M218=phu!$I$8,M218=phu!$I$9,M218=phu!$I$10,M218=phu!$I$11,M218=phu!$I$12,M218=phu!$I$13,M218=phu!$I$14),"Cam Nghĩa",""),IF(OR(M218=phu!$I$15,M218=phu!$I$16,M218=phu!$I$17,M218=phu!$I$18,M218=phu!$I$19,M218=phu!$I$20,M218=phu!$I$21),"Cam Phúc Bắc",""),IF(OR(M218=phu!$I$22,M218=phu!$I$23,M218=phu!$I$24,M218=phu!$I$25),"Cam Phúc Nam",""),IF(OR(M218=phu!$I$26,M218=phu!$I$27,M218=phu!$I$28,M218=phu!$I$29,M218=phu!$I$30,M218=phu!$I$31),"Cam Phú",""),IF(OR(M218=phu!$I$32,M218=phu!$I$33,M218=phu!$I$34,M218=phu!$I$35,M218=phu!$I$36,M218=phu!$I$37),"Cam Lộc",""),IF(OR(M218=phu!$I$38,M218=phu!$I$39,M218=phu!$I$40,M218=phu!$I$41,M218=phu!$I$42,M218=phu!$I$43,M218=phu!$I$44),"Cam Thuận",""),IF(OR(M218=phu!$I$45,M218=phu!$I$46,M218=phu!$I$47,M218=phu!$I$48,M218=phu!$I$49,M218=phu!$I$50,M218=phu!$I$51,M218=phu!$I$52,M218=phu!$I$53),"Cam Linh",""),IF(OR(M218=phu!$I$54,M218=phu!$I$55,M218=phu!$I$56,M218=phu!$I$57,M218=phu!$I$58,M218=phu!$I$59,M218=phu!$I$60,M218=phu!$I$61,M218=phu!$I$62),"Cam Lợi",""),IF(OR(M218=phu!$I$63,M218=phu!$I$64,M218=phu!$I$65,M218=phu!$I$66,M218=phu!$I$67,M218=phu!$I$68,M218=phu!$I$69,M218=phu!$I$70,M218=phu!$I$71),"Ba Ngòi",""),IF(OR(M218=phu!$I$72,M218=phu!$I$73,M218=phu!$I$74,M218=phu!$I$75,M218=phu!$I$76,M218=phu!$I$77,M218=phu!$I$78),"Cam Phước Đông",""),IF(OR(M218=phu!$I$79,M218=phu!$I$80,M218=phu!$I$81,M218=phu!$I$82,M218=phu!$I$83,M218=phu!$I$84),"Cam Thịnh Đông",""),IF(OR(M218=phu!$I$85,M218=phu!$I$86,M218=phu!$I$87,M218=phu!$I$88),"Cam Thịnh Tây",""),IF(OR(M218=phu!$I$89,M218=phu!$I$90),"Cam Lập",""),IF(OR(M218=phu!$I$91,M218=phu!$I$92,M218=phu!$I$93),"Cam Bình",""),IF(OR(M218=phu!$I$94,M218=phu!$I$95,M218=phu!$I$96,M218=phu!$I$97,M218=phu!$I$98,M218=phu!$I$99,M218=phu!$I$100),"Huyện khác",""),IF(OR(M218=phu!$I$101,M218=phu!$I$102),"Tỉnh khác",""))</f>
        <v/>
      </c>
      <c r="O218" s="829" t="str">
        <f t="shared" si="18"/>
        <v/>
      </c>
      <c r="P218" s="254"/>
      <c r="Q218" s="254"/>
      <c r="R218" s="254"/>
      <c r="S218" s="254"/>
      <c r="T218" s="254"/>
      <c r="U218" s="254"/>
      <c r="V218" s="254"/>
      <c r="W218" s="254"/>
      <c r="Y218" s="246" t="str">
        <f t="shared" si="19"/>
        <v/>
      </c>
      <c r="Z218" s="247" t="str">
        <f t="shared" si="23"/>
        <v/>
      </c>
      <c r="AA218" s="246" t="str">
        <f t="shared" si="20"/>
        <v/>
      </c>
    </row>
    <row r="219" spans="1:27" ht="18" customHeight="1" x14ac:dyDescent="0.25">
      <c r="A219" s="248" t="str">
        <f t="shared" si="21"/>
        <v/>
      </c>
      <c r="B219" s="249" t="str">
        <f t="shared" si="22"/>
        <v/>
      </c>
      <c r="C219" s="250"/>
      <c r="D219" s="251"/>
      <c r="E219" s="241"/>
      <c r="F219" s="252"/>
      <c r="G219" s="252"/>
      <c r="H219" s="253"/>
      <c r="I219" s="250"/>
      <c r="J219" s="250"/>
      <c r="K219" s="270"/>
      <c r="L219" s="250"/>
      <c r="M219" s="250"/>
      <c r="N219" s="540" t="str">
        <f>CONCATENATE(IF(OR(M219=phu!$I$1,M219=phu!$I$2,M219=phu!$I$3),"Cam Thành Nam",""),IF(OR(M219=phu!$I$4,M219=phu!$I$5,M219=phu!$I$6,M219=phu!$I$7,M219=phu!$I$8,M219=phu!$I$9,M219=phu!$I$10,M219=phu!$I$11,M219=phu!$I$12,M219=phu!$I$13,M219=phu!$I$14),"Cam Nghĩa",""),IF(OR(M219=phu!$I$15,M219=phu!$I$16,M219=phu!$I$17,M219=phu!$I$18,M219=phu!$I$19,M219=phu!$I$20,M219=phu!$I$21),"Cam Phúc Bắc",""),IF(OR(M219=phu!$I$22,M219=phu!$I$23,M219=phu!$I$24,M219=phu!$I$25),"Cam Phúc Nam",""),IF(OR(M219=phu!$I$26,M219=phu!$I$27,M219=phu!$I$28,M219=phu!$I$29,M219=phu!$I$30,M219=phu!$I$31),"Cam Phú",""),IF(OR(M219=phu!$I$32,M219=phu!$I$33,M219=phu!$I$34,M219=phu!$I$35,M219=phu!$I$36,M219=phu!$I$37),"Cam Lộc",""),IF(OR(M219=phu!$I$38,M219=phu!$I$39,M219=phu!$I$40,M219=phu!$I$41,M219=phu!$I$42,M219=phu!$I$43,M219=phu!$I$44),"Cam Thuận",""),IF(OR(M219=phu!$I$45,M219=phu!$I$46,M219=phu!$I$47,M219=phu!$I$48,M219=phu!$I$49,M219=phu!$I$50,M219=phu!$I$51,M219=phu!$I$52,M219=phu!$I$53),"Cam Linh",""),IF(OR(M219=phu!$I$54,M219=phu!$I$55,M219=phu!$I$56,M219=phu!$I$57,M219=phu!$I$58,M219=phu!$I$59,M219=phu!$I$60,M219=phu!$I$61,M219=phu!$I$62),"Cam Lợi",""),IF(OR(M219=phu!$I$63,M219=phu!$I$64,M219=phu!$I$65,M219=phu!$I$66,M219=phu!$I$67,M219=phu!$I$68,M219=phu!$I$69,M219=phu!$I$70,M219=phu!$I$71),"Ba Ngòi",""),IF(OR(M219=phu!$I$72,M219=phu!$I$73,M219=phu!$I$74,M219=phu!$I$75,M219=phu!$I$76,M219=phu!$I$77,M219=phu!$I$78),"Cam Phước Đông",""),IF(OR(M219=phu!$I$79,M219=phu!$I$80,M219=phu!$I$81,M219=phu!$I$82,M219=phu!$I$83,M219=phu!$I$84),"Cam Thịnh Đông",""),IF(OR(M219=phu!$I$85,M219=phu!$I$86,M219=phu!$I$87,M219=phu!$I$88),"Cam Thịnh Tây",""),IF(OR(M219=phu!$I$89,M219=phu!$I$90),"Cam Lập",""),IF(OR(M219=phu!$I$91,M219=phu!$I$92,M219=phu!$I$93),"Cam Bình",""),IF(OR(M219=phu!$I$94,M219=phu!$I$95,M219=phu!$I$96,M219=phu!$I$97,M219=phu!$I$98,M219=phu!$I$99,M219=phu!$I$100),"Huyện khác",""),IF(OR(M219=phu!$I$101,M219=phu!$I$102),"Tỉnh khác",""))</f>
        <v/>
      </c>
      <c r="O219" s="829" t="str">
        <f t="shared" si="18"/>
        <v/>
      </c>
      <c r="P219" s="254"/>
      <c r="Q219" s="254"/>
      <c r="R219" s="254"/>
      <c r="S219" s="254"/>
      <c r="T219" s="254"/>
      <c r="U219" s="254"/>
      <c r="V219" s="254"/>
      <c r="W219" s="254"/>
      <c r="Y219" s="246" t="str">
        <f t="shared" si="19"/>
        <v/>
      </c>
      <c r="Z219" s="247" t="str">
        <f t="shared" si="23"/>
        <v/>
      </c>
      <c r="AA219" s="246" t="str">
        <f t="shared" si="20"/>
        <v/>
      </c>
    </row>
    <row r="220" spans="1:27" ht="18" customHeight="1" x14ac:dyDescent="0.25">
      <c r="A220" s="248" t="str">
        <f t="shared" si="21"/>
        <v/>
      </c>
      <c r="B220" s="249" t="str">
        <f t="shared" si="22"/>
        <v/>
      </c>
      <c r="C220" s="250"/>
      <c r="D220" s="251"/>
      <c r="E220" s="241"/>
      <c r="F220" s="252"/>
      <c r="G220" s="252"/>
      <c r="H220" s="253"/>
      <c r="I220" s="250"/>
      <c r="J220" s="250"/>
      <c r="K220" s="270"/>
      <c r="L220" s="250"/>
      <c r="M220" s="250"/>
      <c r="N220" s="540" t="str">
        <f>CONCATENATE(IF(OR(M220=phu!$I$1,M220=phu!$I$2,M220=phu!$I$3),"Cam Thành Nam",""),IF(OR(M220=phu!$I$4,M220=phu!$I$5,M220=phu!$I$6,M220=phu!$I$7,M220=phu!$I$8,M220=phu!$I$9,M220=phu!$I$10,M220=phu!$I$11,M220=phu!$I$12,M220=phu!$I$13,M220=phu!$I$14),"Cam Nghĩa",""),IF(OR(M220=phu!$I$15,M220=phu!$I$16,M220=phu!$I$17,M220=phu!$I$18,M220=phu!$I$19,M220=phu!$I$20,M220=phu!$I$21),"Cam Phúc Bắc",""),IF(OR(M220=phu!$I$22,M220=phu!$I$23,M220=phu!$I$24,M220=phu!$I$25),"Cam Phúc Nam",""),IF(OR(M220=phu!$I$26,M220=phu!$I$27,M220=phu!$I$28,M220=phu!$I$29,M220=phu!$I$30,M220=phu!$I$31),"Cam Phú",""),IF(OR(M220=phu!$I$32,M220=phu!$I$33,M220=phu!$I$34,M220=phu!$I$35,M220=phu!$I$36,M220=phu!$I$37),"Cam Lộc",""),IF(OR(M220=phu!$I$38,M220=phu!$I$39,M220=phu!$I$40,M220=phu!$I$41,M220=phu!$I$42,M220=phu!$I$43,M220=phu!$I$44),"Cam Thuận",""),IF(OR(M220=phu!$I$45,M220=phu!$I$46,M220=phu!$I$47,M220=phu!$I$48,M220=phu!$I$49,M220=phu!$I$50,M220=phu!$I$51,M220=phu!$I$52,M220=phu!$I$53),"Cam Linh",""),IF(OR(M220=phu!$I$54,M220=phu!$I$55,M220=phu!$I$56,M220=phu!$I$57,M220=phu!$I$58,M220=phu!$I$59,M220=phu!$I$60,M220=phu!$I$61,M220=phu!$I$62),"Cam Lợi",""),IF(OR(M220=phu!$I$63,M220=phu!$I$64,M220=phu!$I$65,M220=phu!$I$66,M220=phu!$I$67,M220=phu!$I$68,M220=phu!$I$69,M220=phu!$I$70,M220=phu!$I$71),"Ba Ngòi",""),IF(OR(M220=phu!$I$72,M220=phu!$I$73,M220=phu!$I$74,M220=phu!$I$75,M220=phu!$I$76,M220=phu!$I$77,M220=phu!$I$78),"Cam Phước Đông",""),IF(OR(M220=phu!$I$79,M220=phu!$I$80,M220=phu!$I$81,M220=phu!$I$82,M220=phu!$I$83,M220=phu!$I$84),"Cam Thịnh Đông",""),IF(OR(M220=phu!$I$85,M220=phu!$I$86,M220=phu!$I$87,M220=phu!$I$88),"Cam Thịnh Tây",""),IF(OR(M220=phu!$I$89,M220=phu!$I$90),"Cam Lập",""),IF(OR(M220=phu!$I$91,M220=phu!$I$92,M220=phu!$I$93),"Cam Bình",""),IF(OR(M220=phu!$I$94,M220=phu!$I$95,M220=phu!$I$96,M220=phu!$I$97,M220=phu!$I$98,M220=phu!$I$99,M220=phu!$I$100),"Huyện khác",""),IF(OR(M220=phu!$I$101,M220=phu!$I$102),"Tỉnh khác",""))</f>
        <v/>
      </c>
      <c r="O220" s="829" t="str">
        <f t="shared" si="18"/>
        <v/>
      </c>
      <c r="P220" s="254"/>
      <c r="Q220" s="254"/>
      <c r="R220" s="254"/>
      <c r="S220" s="254"/>
      <c r="T220" s="254"/>
      <c r="U220" s="254"/>
      <c r="V220" s="254"/>
      <c r="W220" s="254"/>
      <c r="Y220" s="246" t="str">
        <f t="shared" si="19"/>
        <v/>
      </c>
      <c r="Z220" s="247" t="str">
        <f t="shared" si="23"/>
        <v/>
      </c>
      <c r="AA220" s="246" t="str">
        <f t="shared" si="20"/>
        <v/>
      </c>
    </row>
    <row r="221" spans="1:27" ht="18" customHeight="1" x14ac:dyDescent="0.25">
      <c r="A221" s="248" t="str">
        <f t="shared" si="21"/>
        <v/>
      </c>
      <c r="B221" s="249" t="str">
        <f t="shared" si="22"/>
        <v/>
      </c>
      <c r="C221" s="250"/>
      <c r="D221" s="251"/>
      <c r="E221" s="241"/>
      <c r="F221" s="252"/>
      <c r="G221" s="252"/>
      <c r="H221" s="253"/>
      <c r="I221" s="250"/>
      <c r="J221" s="250"/>
      <c r="K221" s="270"/>
      <c r="L221" s="250"/>
      <c r="M221" s="250"/>
      <c r="N221" s="540" t="str">
        <f>CONCATENATE(IF(OR(M221=phu!$I$1,M221=phu!$I$2,M221=phu!$I$3),"Cam Thành Nam",""),IF(OR(M221=phu!$I$4,M221=phu!$I$5,M221=phu!$I$6,M221=phu!$I$7,M221=phu!$I$8,M221=phu!$I$9,M221=phu!$I$10,M221=phu!$I$11,M221=phu!$I$12,M221=phu!$I$13,M221=phu!$I$14),"Cam Nghĩa",""),IF(OR(M221=phu!$I$15,M221=phu!$I$16,M221=phu!$I$17,M221=phu!$I$18,M221=phu!$I$19,M221=phu!$I$20,M221=phu!$I$21),"Cam Phúc Bắc",""),IF(OR(M221=phu!$I$22,M221=phu!$I$23,M221=phu!$I$24,M221=phu!$I$25),"Cam Phúc Nam",""),IF(OR(M221=phu!$I$26,M221=phu!$I$27,M221=phu!$I$28,M221=phu!$I$29,M221=phu!$I$30,M221=phu!$I$31),"Cam Phú",""),IF(OR(M221=phu!$I$32,M221=phu!$I$33,M221=phu!$I$34,M221=phu!$I$35,M221=phu!$I$36,M221=phu!$I$37),"Cam Lộc",""),IF(OR(M221=phu!$I$38,M221=phu!$I$39,M221=phu!$I$40,M221=phu!$I$41,M221=phu!$I$42,M221=phu!$I$43,M221=phu!$I$44),"Cam Thuận",""),IF(OR(M221=phu!$I$45,M221=phu!$I$46,M221=phu!$I$47,M221=phu!$I$48,M221=phu!$I$49,M221=phu!$I$50,M221=phu!$I$51,M221=phu!$I$52,M221=phu!$I$53),"Cam Linh",""),IF(OR(M221=phu!$I$54,M221=phu!$I$55,M221=phu!$I$56,M221=phu!$I$57,M221=phu!$I$58,M221=phu!$I$59,M221=phu!$I$60,M221=phu!$I$61,M221=phu!$I$62),"Cam Lợi",""),IF(OR(M221=phu!$I$63,M221=phu!$I$64,M221=phu!$I$65,M221=phu!$I$66,M221=phu!$I$67,M221=phu!$I$68,M221=phu!$I$69,M221=phu!$I$70,M221=phu!$I$71),"Ba Ngòi",""),IF(OR(M221=phu!$I$72,M221=phu!$I$73,M221=phu!$I$74,M221=phu!$I$75,M221=phu!$I$76,M221=phu!$I$77,M221=phu!$I$78),"Cam Phước Đông",""),IF(OR(M221=phu!$I$79,M221=phu!$I$80,M221=phu!$I$81,M221=phu!$I$82,M221=phu!$I$83,M221=phu!$I$84),"Cam Thịnh Đông",""),IF(OR(M221=phu!$I$85,M221=phu!$I$86,M221=phu!$I$87,M221=phu!$I$88),"Cam Thịnh Tây",""),IF(OR(M221=phu!$I$89,M221=phu!$I$90),"Cam Lập",""),IF(OR(M221=phu!$I$91,M221=phu!$I$92,M221=phu!$I$93),"Cam Bình",""),IF(OR(M221=phu!$I$94,M221=phu!$I$95,M221=phu!$I$96,M221=phu!$I$97,M221=phu!$I$98,M221=phu!$I$99,M221=phu!$I$100),"Huyện khác",""),IF(OR(M221=phu!$I$101,M221=phu!$I$102),"Tỉnh khác",""))</f>
        <v/>
      </c>
      <c r="O221" s="829" t="str">
        <f t="shared" si="18"/>
        <v/>
      </c>
      <c r="P221" s="254"/>
      <c r="Q221" s="254"/>
      <c r="R221" s="254"/>
      <c r="S221" s="254"/>
      <c r="T221" s="254"/>
      <c r="U221" s="254"/>
      <c r="V221" s="254"/>
      <c r="W221" s="254"/>
      <c r="Y221" s="246" t="str">
        <f t="shared" si="19"/>
        <v/>
      </c>
      <c r="Z221" s="247" t="str">
        <f t="shared" si="23"/>
        <v/>
      </c>
      <c r="AA221" s="246" t="str">
        <f t="shared" si="20"/>
        <v/>
      </c>
    </row>
    <row r="222" spans="1:27" ht="18" customHeight="1" x14ac:dyDescent="0.25">
      <c r="A222" s="248" t="str">
        <f t="shared" si="21"/>
        <v/>
      </c>
      <c r="B222" s="249" t="str">
        <f t="shared" si="22"/>
        <v/>
      </c>
      <c r="C222" s="250"/>
      <c r="D222" s="251"/>
      <c r="E222" s="241"/>
      <c r="F222" s="252"/>
      <c r="G222" s="252"/>
      <c r="H222" s="253"/>
      <c r="I222" s="250"/>
      <c r="J222" s="250"/>
      <c r="K222" s="270"/>
      <c r="L222" s="250"/>
      <c r="M222" s="250"/>
      <c r="N222" s="540" t="str">
        <f>CONCATENATE(IF(OR(M222=phu!$I$1,M222=phu!$I$2,M222=phu!$I$3),"Cam Thành Nam",""),IF(OR(M222=phu!$I$4,M222=phu!$I$5,M222=phu!$I$6,M222=phu!$I$7,M222=phu!$I$8,M222=phu!$I$9,M222=phu!$I$10,M222=phu!$I$11,M222=phu!$I$12,M222=phu!$I$13,M222=phu!$I$14),"Cam Nghĩa",""),IF(OR(M222=phu!$I$15,M222=phu!$I$16,M222=phu!$I$17,M222=phu!$I$18,M222=phu!$I$19,M222=phu!$I$20,M222=phu!$I$21),"Cam Phúc Bắc",""),IF(OR(M222=phu!$I$22,M222=phu!$I$23,M222=phu!$I$24,M222=phu!$I$25),"Cam Phúc Nam",""),IF(OR(M222=phu!$I$26,M222=phu!$I$27,M222=phu!$I$28,M222=phu!$I$29,M222=phu!$I$30,M222=phu!$I$31),"Cam Phú",""),IF(OR(M222=phu!$I$32,M222=phu!$I$33,M222=phu!$I$34,M222=phu!$I$35,M222=phu!$I$36,M222=phu!$I$37),"Cam Lộc",""),IF(OR(M222=phu!$I$38,M222=phu!$I$39,M222=phu!$I$40,M222=phu!$I$41,M222=phu!$I$42,M222=phu!$I$43,M222=phu!$I$44),"Cam Thuận",""),IF(OR(M222=phu!$I$45,M222=phu!$I$46,M222=phu!$I$47,M222=phu!$I$48,M222=phu!$I$49,M222=phu!$I$50,M222=phu!$I$51,M222=phu!$I$52,M222=phu!$I$53),"Cam Linh",""),IF(OR(M222=phu!$I$54,M222=phu!$I$55,M222=phu!$I$56,M222=phu!$I$57,M222=phu!$I$58,M222=phu!$I$59,M222=phu!$I$60,M222=phu!$I$61,M222=phu!$I$62),"Cam Lợi",""),IF(OR(M222=phu!$I$63,M222=phu!$I$64,M222=phu!$I$65,M222=phu!$I$66,M222=phu!$I$67,M222=phu!$I$68,M222=phu!$I$69,M222=phu!$I$70,M222=phu!$I$71),"Ba Ngòi",""),IF(OR(M222=phu!$I$72,M222=phu!$I$73,M222=phu!$I$74,M222=phu!$I$75,M222=phu!$I$76,M222=phu!$I$77,M222=phu!$I$78),"Cam Phước Đông",""),IF(OR(M222=phu!$I$79,M222=phu!$I$80,M222=phu!$I$81,M222=phu!$I$82,M222=phu!$I$83,M222=phu!$I$84),"Cam Thịnh Đông",""),IF(OR(M222=phu!$I$85,M222=phu!$I$86,M222=phu!$I$87,M222=phu!$I$88),"Cam Thịnh Tây",""),IF(OR(M222=phu!$I$89,M222=phu!$I$90),"Cam Lập",""),IF(OR(M222=phu!$I$91,M222=phu!$I$92,M222=phu!$I$93),"Cam Bình",""),IF(OR(M222=phu!$I$94,M222=phu!$I$95,M222=phu!$I$96,M222=phu!$I$97,M222=phu!$I$98,M222=phu!$I$99,M222=phu!$I$100),"Huyện khác",""),IF(OR(M222=phu!$I$101,M222=phu!$I$102),"Tỉnh khác",""))</f>
        <v/>
      </c>
      <c r="O222" s="829" t="str">
        <f t="shared" si="18"/>
        <v/>
      </c>
      <c r="P222" s="254"/>
      <c r="Q222" s="254"/>
      <c r="R222" s="254"/>
      <c r="S222" s="254"/>
      <c r="T222" s="254"/>
      <c r="U222" s="254"/>
      <c r="V222" s="254"/>
      <c r="W222" s="254"/>
      <c r="Y222" s="246" t="str">
        <f t="shared" si="19"/>
        <v/>
      </c>
      <c r="Z222" s="247" t="str">
        <f t="shared" si="23"/>
        <v/>
      </c>
      <c r="AA222" s="246" t="str">
        <f t="shared" si="20"/>
        <v/>
      </c>
    </row>
    <row r="223" spans="1:27" ht="18" customHeight="1" x14ac:dyDescent="0.25">
      <c r="A223" s="248" t="str">
        <f t="shared" si="21"/>
        <v/>
      </c>
      <c r="B223" s="249" t="str">
        <f t="shared" si="22"/>
        <v/>
      </c>
      <c r="C223" s="250"/>
      <c r="D223" s="251"/>
      <c r="E223" s="241"/>
      <c r="F223" s="252"/>
      <c r="G223" s="252"/>
      <c r="H223" s="253"/>
      <c r="I223" s="250"/>
      <c r="J223" s="250"/>
      <c r="K223" s="270"/>
      <c r="L223" s="250"/>
      <c r="M223" s="250"/>
      <c r="N223" s="540" t="str">
        <f>CONCATENATE(IF(OR(M223=phu!$I$1,M223=phu!$I$2,M223=phu!$I$3),"Cam Thành Nam",""),IF(OR(M223=phu!$I$4,M223=phu!$I$5,M223=phu!$I$6,M223=phu!$I$7,M223=phu!$I$8,M223=phu!$I$9,M223=phu!$I$10,M223=phu!$I$11,M223=phu!$I$12,M223=phu!$I$13,M223=phu!$I$14),"Cam Nghĩa",""),IF(OR(M223=phu!$I$15,M223=phu!$I$16,M223=phu!$I$17,M223=phu!$I$18,M223=phu!$I$19,M223=phu!$I$20,M223=phu!$I$21),"Cam Phúc Bắc",""),IF(OR(M223=phu!$I$22,M223=phu!$I$23,M223=phu!$I$24,M223=phu!$I$25),"Cam Phúc Nam",""),IF(OR(M223=phu!$I$26,M223=phu!$I$27,M223=phu!$I$28,M223=phu!$I$29,M223=phu!$I$30,M223=phu!$I$31),"Cam Phú",""),IF(OR(M223=phu!$I$32,M223=phu!$I$33,M223=phu!$I$34,M223=phu!$I$35,M223=phu!$I$36,M223=phu!$I$37),"Cam Lộc",""),IF(OR(M223=phu!$I$38,M223=phu!$I$39,M223=phu!$I$40,M223=phu!$I$41,M223=phu!$I$42,M223=phu!$I$43,M223=phu!$I$44),"Cam Thuận",""),IF(OR(M223=phu!$I$45,M223=phu!$I$46,M223=phu!$I$47,M223=phu!$I$48,M223=phu!$I$49,M223=phu!$I$50,M223=phu!$I$51,M223=phu!$I$52,M223=phu!$I$53),"Cam Linh",""),IF(OR(M223=phu!$I$54,M223=phu!$I$55,M223=phu!$I$56,M223=phu!$I$57,M223=phu!$I$58,M223=phu!$I$59,M223=phu!$I$60,M223=phu!$I$61,M223=phu!$I$62),"Cam Lợi",""),IF(OR(M223=phu!$I$63,M223=phu!$I$64,M223=phu!$I$65,M223=phu!$I$66,M223=phu!$I$67,M223=phu!$I$68,M223=phu!$I$69,M223=phu!$I$70,M223=phu!$I$71),"Ba Ngòi",""),IF(OR(M223=phu!$I$72,M223=phu!$I$73,M223=phu!$I$74,M223=phu!$I$75,M223=phu!$I$76,M223=phu!$I$77,M223=phu!$I$78),"Cam Phước Đông",""),IF(OR(M223=phu!$I$79,M223=phu!$I$80,M223=phu!$I$81,M223=phu!$I$82,M223=phu!$I$83,M223=phu!$I$84),"Cam Thịnh Đông",""),IF(OR(M223=phu!$I$85,M223=phu!$I$86,M223=phu!$I$87,M223=phu!$I$88),"Cam Thịnh Tây",""),IF(OR(M223=phu!$I$89,M223=phu!$I$90),"Cam Lập",""),IF(OR(M223=phu!$I$91,M223=phu!$I$92,M223=phu!$I$93),"Cam Bình",""),IF(OR(M223=phu!$I$94,M223=phu!$I$95,M223=phu!$I$96,M223=phu!$I$97,M223=phu!$I$98,M223=phu!$I$99,M223=phu!$I$100),"Huyện khác",""),IF(OR(M223=phu!$I$101,M223=phu!$I$102),"Tỉnh khác",""))</f>
        <v/>
      </c>
      <c r="O223" s="829" t="str">
        <f t="shared" si="18"/>
        <v/>
      </c>
      <c r="P223" s="254"/>
      <c r="Q223" s="254"/>
      <c r="R223" s="254"/>
      <c r="S223" s="254"/>
      <c r="T223" s="254"/>
      <c r="U223" s="254"/>
      <c r="V223" s="254"/>
      <c r="W223" s="254"/>
      <c r="Y223" s="246" t="str">
        <f t="shared" si="19"/>
        <v/>
      </c>
      <c r="Z223" s="247" t="str">
        <f t="shared" si="23"/>
        <v/>
      </c>
      <c r="AA223" s="246" t="str">
        <f t="shared" si="20"/>
        <v/>
      </c>
    </row>
    <row r="224" spans="1:27" ht="18" customHeight="1" x14ac:dyDescent="0.25">
      <c r="A224" s="248" t="str">
        <f t="shared" si="21"/>
        <v/>
      </c>
      <c r="B224" s="249" t="str">
        <f t="shared" si="22"/>
        <v/>
      </c>
      <c r="C224" s="250"/>
      <c r="D224" s="251"/>
      <c r="E224" s="241"/>
      <c r="F224" s="252"/>
      <c r="G224" s="252"/>
      <c r="H224" s="253"/>
      <c r="I224" s="250"/>
      <c r="J224" s="250"/>
      <c r="K224" s="270"/>
      <c r="L224" s="250"/>
      <c r="M224" s="250"/>
      <c r="N224" s="540" t="str">
        <f>CONCATENATE(IF(OR(M224=phu!$I$1,M224=phu!$I$2,M224=phu!$I$3),"Cam Thành Nam",""),IF(OR(M224=phu!$I$4,M224=phu!$I$5,M224=phu!$I$6,M224=phu!$I$7,M224=phu!$I$8,M224=phu!$I$9,M224=phu!$I$10,M224=phu!$I$11,M224=phu!$I$12,M224=phu!$I$13,M224=phu!$I$14),"Cam Nghĩa",""),IF(OR(M224=phu!$I$15,M224=phu!$I$16,M224=phu!$I$17,M224=phu!$I$18,M224=phu!$I$19,M224=phu!$I$20,M224=phu!$I$21),"Cam Phúc Bắc",""),IF(OR(M224=phu!$I$22,M224=phu!$I$23,M224=phu!$I$24,M224=phu!$I$25),"Cam Phúc Nam",""),IF(OR(M224=phu!$I$26,M224=phu!$I$27,M224=phu!$I$28,M224=phu!$I$29,M224=phu!$I$30,M224=phu!$I$31),"Cam Phú",""),IF(OR(M224=phu!$I$32,M224=phu!$I$33,M224=phu!$I$34,M224=phu!$I$35,M224=phu!$I$36,M224=phu!$I$37),"Cam Lộc",""),IF(OR(M224=phu!$I$38,M224=phu!$I$39,M224=phu!$I$40,M224=phu!$I$41,M224=phu!$I$42,M224=phu!$I$43,M224=phu!$I$44),"Cam Thuận",""),IF(OR(M224=phu!$I$45,M224=phu!$I$46,M224=phu!$I$47,M224=phu!$I$48,M224=phu!$I$49,M224=phu!$I$50,M224=phu!$I$51,M224=phu!$I$52,M224=phu!$I$53),"Cam Linh",""),IF(OR(M224=phu!$I$54,M224=phu!$I$55,M224=phu!$I$56,M224=phu!$I$57,M224=phu!$I$58,M224=phu!$I$59,M224=phu!$I$60,M224=phu!$I$61,M224=phu!$I$62),"Cam Lợi",""),IF(OR(M224=phu!$I$63,M224=phu!$I$64,M224=phu!$I$65,M224=phu!$I$66,M224=phu!$I$67,M224=phu!$I$68,M224=phu!$I$69,M224=phu!$I$70,M224=phu!$I$71),"Ba Ngòi",""),IF(OR(M224=phu!$I$72,M224=phu!$I$73,M224=phu!$I$74,M224=phu!$I$75,M224=phu!$I$76,M224=phu!$I$77,M224=phu!$I$78),"Cam Phước Đông",""),IF(OR(M224=phu!$I$79,M224=phu!$I$80,M224=phu!$I$81,M224=phu!$I$82,M224=phu!$I$83,M224=phu!$I$84),"Cam Thịnh Đông",""),IF(OR(M224=phu!$I$85,M224=phu!$I$86,M224=phu!$I$87,M224=phu!$I$88),"Cam Thịnh Tây",""),IF(OR(M224=phu!$I$89,M224=phu!$I$90),"Cam Lập",""),IF(OR(M224=phu!$I$91,M224=phu!$I$92,M224=phu!$I$93),"Cam Bình",""),IF(OR(M224=phu!$I$94,M224=phu!$I$95,M224=phu!$I$96,M224=phu!$I$97,M224=phu!$I$98,M224=phu!$I$99,M224=phu!$I$100),"Huyện khác",""),IF(OR(M224=phu!$I$101,M224=phu!$I$102),"Tỉnh khác",""))</f>
        <v/>
      </c>
      <c r="O224" s="829" t="str">
        <f t="shared" si="18"/>
        <v/>
      </c>
      <c r="P224" s="254"/>
      <c r="Q224" s="254"/>
      <c r="R224" s="254"/>
      <c r="S224" s="254"/>
      <c r="T224" s="254"/>
      <c r="U224" s="254"/>
      <c r="V224" s="254"/>
      <c r="W224" s="254"/>
      <c r="Y224" s="246" t="str">
        <f t="shared" si="19"/>
        <v/>
      </c>
      <c r="Z224" s="247" t="str">
        <f t="shared" si="23"/>
        <v/>
      </c>
      <c r="AA224" s="246" t="str">
        <f t="shared" si="20"/>
        <v/>
      </c>
    </row>
    <row r="225" spans="1:27" ht="18" customHeight="1" x14ac:dyDescent="0.25">
      <c r="A225" s="248" t="str">
        <f t="shared" si="21"/>
        <v/>
      </c>
      <c r="B225" s="249" t="str">
        <f t="shared" si="22"/>
        <v/>
      </c>
      <c r="C225" s="250"/>
      <c r="D225" s="251"/>
      <c r="E225" s="241"/>
      <c r="F225" s="252"/>
      <c r="G225" s="252"/>
      <c r="H225" s="253"/>
      <c r="I225" s="250"/>
      <c r="J225" s="250"/>
      <c r="K225" s="270"/>
      <c r="L225" s="250"/>
      <c r="M225" s="250"/>
      <c r="N225" s="540" t="str">
        <f>CONCATENATE(IF(OR(M225=phu!$I$1,M225=phu!$I$2,M225=phu!$I$3),"Cam Thành Nam",""),IF(OR(M225=phu!$I$4,M225=phu!$I$5,M225=phu!$I$6,M225=phu!$I$7,M225=phu!$I$8,M225=phu!$I$9,M225=phu!$I$10,M225=phu!$I$11,M225=phu!$I$12,M225=phu!$I$13,M225=phu!$I$14),"Cam Nghĩa",""),IF(OR(M225=phu!$I$15,M225=phu!$I$16,M225=phu!$I$17,M225=phu!$I$18,M225=phu!$I$19,M225=phu!$I$20,M225=phu!$I$21),"Cam Phúc Bắc",""),IF(OR(M225=phu!$I$22,M225=phu!$I$23,M225=phu!$I$24,M225=phu!$I$25),"Cam Phúc Nam",""),IF(OR(M225=phu!$I$26,M225=phu!$I$27,M225=phu!$I$28,M225=phu!$I$29,M225=phu!$I$30,M225=phu!$I$31),"Cam Phú",""),IF(OR(M225=phu!$I$32,M225=phu!$I$33,M225=phu!$I$34,M225=phu!$I$35,M225=phu!$I$36,M225=phu!$I$37),"Cam Lộc",""),IF(OR(M225=phu!$I$38,M225=phu!$I$39,M225=phu!$I$40,M225=phu!$I$41,M225=phu!$I$42,M225=phu!$I$43,M225=phu!$I$44),"Cam Thuận",""),IF(OR(M225=phu!$I$45,M225=phu!$I$46,M225=phu!$I$47,M225=phu!$I$48,M225=phu!$I$49,M225=phu!$I$50,M225=phu!$I$51,M225=phu!$I$52,M225=phu!$I$53),"Cam Linh",""),IF(OR(M225=phu!$I$54,M225=phu!$I$55,M225=phu!$I$56,M225=phu!$I$57,M225=phu!$I$58,M225=phu!$I$59,M225=phu!$I$60,M225=phu!$I$61,M225=phu!$I$62),"Cam Lợi",""),IF(OR(M225=phu!$I$63,M225=phu!$I$64,M225=phu!$I$65,M225=phu!$I$66,M225=phu!$I$67,M225=phu!$I$68,M225=phu!$I$69,M225=phu!$I$70,M225=phu!$I$71),"Ba Ngòi",""),IF(OR(M225=phu!$I$72,M225=phu!$I$73,M225=phu!$I$74,M225=phu!$I$75,M225=phu!$I$76,M225=phu!$I$77,M225=phu!$I$78),"Cam Phước Đông",""),IF(OR(M225=phu!$I$79,M225=phu!$I$80,M225=phu!$I$81,M225=phu!$I$82,M225=phu!$I$83,M225=phu!$I$84),"Cam Thịnh Đông",""),IF(OR(M225=phu!$I$85,M225=phu!$I$86,M225=phu!$I$87,M225=phu!$I$88),"Cam Thịnh Tây",""),IF(OR(M225=phu!$I$89,M225=phu!$I$90),"Cam Lập",""),IF(OR(M225=phu!$I$91,M225=phu!$I$92,M225=phu!$I$93),"Cam Bình",""),IF(OR(M225=phu!$I$94,M225=phu!$I$95,M225=phu!$I$96,M225=phu!$I$97,M225=phu!$I$98,M225=phu!$I$99,M225=phu!$I$100),"Huyện khác",""),IF(OR(M225=phu!$I$101,M225=phu!$I$102),"Tỉnh khác",""))</f>
        <v/>
      </c>
      <c r="O225" s="829" t="str">
        <f t="shared" si="18"/>
        <v/>
      </c>
      <c r="P225" s="254"/>
      <c r="Q225" s="254"/>
      <c r="R225" s="254"/>
      <c r="S225" s="254"/>
      <c r="T225" s="254"/>
      <c r="U225" s="254"/>
      <c r="V225" s="254"/>
      <c r="W225" s="254"/>
      <c r="Y225" s="246" t="str">
        <f t="shared" si="19"/>
        <v/>
      </c>
      <c r="Z225" s="247" t="str">
        <f t="shared" si="23"/>
        <v/>
      </c>
      <c r="AA225" s="246" t="str">
        <f t="shared" si="20"/>
        <v/>
      </c>
    </row>
    <row r="226" spans="1:27" ht="18" customHeight="1" x14ac:dyDescent="0.25">
      <c r="A226" s="248" t="str">
        <f t="shared" si="21"/>
        <v/>
      </c>
      <c r="B226" s="249" t="str">
        <f t="shared" si="22"/>
        <v/>
      </c>
      <c r="C226" s="250"/>
      <c r="D226" s="251"/>
      <c r="E226" s="241"/>
      <c r="F226" s="252"/>
      <c r="G226" s="252"/>
      <c r="H226" s="253"/>
      <c r="I226" s="250"/>
      <c r="J226" s="250"/>
      <c r="K226" s="270"/>
      <c r="L226" s="250"/>
      <c r="M226" s="250"/>
      <c r="N226" s="540" t="str">
        <f>CONCATENATE(IF(OR(M226=phu!$I$1,M226=phu!$I$2,M226=phu!$I$3),"Cam Thành Nam",""),IF(OR(M226=phu!$I$4,M226=phu!$I$5,M226=phu!$I$6,M226=phu!$I$7,M226=phu!$I$8,M226=phu!$I$9,M226=phu!$I$10,M226=phu!$I$11,M226=phu!$I$12,M226=phu!$I$13,M226=phu!$I$14),"Cam Nghĩa",""),IF(OR(M226=phu!$I$15,M226=phu!$I$16,M226=phu!$I$17,M226=phu!$I$18,M226=phu!$I$19,M226=phu!$I$20,M226=phu!$I$21),"Cam Phúc Bắc",""),IF(OR(M226=phu!$I$22,M226=phu!$I$23,M226=phu!$I$24,M226=phu!$I$25),"Cam Phúc Nam",""),IF(OR(M226=phu!$I$26,M226=phu!$I$27,M226=phu!$I$28,M226=phu!$I$29,M226=phu!$I$30,M226=phu!$I$31),"Cam Phú",""),IF(OR(M226=phu!$I$32,M226=phu!$I$33,M226=phu!$I$34,M226=phu!$I$35,M226=phu!$I$36,M226=phu!$I$37),"Cam Lộc",""),IF(OR(M226=phu!$I$38,M226=phu!$I$39,M226=phu!$I$40,M226=phu!$I$41,M226=phu!$I$42,M226=phu!$I$43,M226=phu!$I$44),"Cam Thuận",""),IF(OR(M226=phu!$I$45,M226=phu!$I$46,M226=phu!$I$47,M226=phu!$I$48,M226=phu!$I$49,M226=phu!$I$50,M226=phu!$I$51,M226=phu!$I$52,M226=phu!$I$53),"Cam Linh",""),IF(OR(M226=phu!$I$54,M226=phu!$I$55,M226=phu!$I$56,M226=phu!$I$57,M226=phu!$I$58,M226=phu!$I$59,M226=phu!$I$60,M226=phu!$I$61,M226=phu!$I$62),"Cam Lợi",""),IF(OR(M226=phu!$I$63,M226=phu!$I$64,M226=phu!$I$65,M226=phu!$I$66,M226=phu!$I$67,M226=phu!$I$68,M226=phu!$I$69,M226=phu!$I$70,M226=phu!$I$71),"Ba Ngòi",""),IF(OR(M226=phu!$I$72,M226=phu!$I$73,M226=phu!$I$74,M226=phu!$I$75,M226=phu!$I$76,M226=phu!$I$77,M226=phu!$I$78),"Cam Phước Đông",""),IF(OR(M226=phu!$I$79,M226=phu!$I$80,M226=phu!$I$81,M226=phu!$I$82,M226=phu!$I$83,M226=phu!$I$84),"Cam Thịnh Đông",""),IF(OR(M226=phu!$I$85,M226=phu!$I$86,M226=phu!$I$87,M226=phu!$I$88),"Cam Thịnh Tây",""),IF(OR(M226=phu!$I$89,M226=phu!$I$90),"Cam Lập",""),IF(OR(M226=phu!$I$91,M226=phu!$I$92,M226=phu!$I$93),"Cam Bình",""),IF(OR(M226=phu!$I$94,M226=phu!$I$95,M226=phu!$I$96,M226=phu!$I$97,M226=phu!$I$98,M226=phu!$I$99,M226=phu!$I$100),"Huyện khác",""),IF(OR(M226=phu!$I$101,M226=phu!$I$102),"Tỉnh khác",""))</f>
        <v/>
      </c>
      <c r="O226" s="829" t="str">
        <f t="shared" si="18"/>
        <v/>
      </c>
      <c r="P226" s="254"/>
      <c r="Q226" s="254"/>
      <c r="R226" s="254"/>
      <c r="S226" s="254"/>
      <c r="T226" s="254"/>
      <c r="U226" s="254"/>
      <c r="V226" s="254"/>
      <c r="W226" s="254"/>
      <c r="Y226" s="246" t="str">
        <f t="shared" si="19"/>
        <v/>
      </c>
      <c r="Z226" s="247" t="str">
        <f t="shared" si="23"/>
        <v/>
      </c>
      <c r="AA226" s="246" t="str">
        <f t="shared" si="20"/>
        <v/>
      </c>
    </row>
    <row r="227" spans="1:27" ht="18" customHeight="1" x14ac:dyDescent="0.25">
      <c r="A227" s="248" t="str">
        <f t="shared" si="21"/>
        <v/>
      </c>
      <c r="B227" s="249" t="str">
        <f t="shared" si="22"/>
        <v/>
      </c>
      <c r="C227" s="250"/>
      <c r="D227" s="251"/>
      <c r="E227" s="241"/>
      <c r="F227" s="252"/>
      <c r="G227" s="252"/>
      <c r="H227" s="253"/>
      <c r="I227" s="250"/>
      <c r="J227" s="250"/>
      <c r="K227" s="270"/>
      <c r="L227" s="250"/>
      <c r="M227" s="250"/>
      <c r="N227" s="540" t="str">
        <f>CONCATENATE(IF(OR(M227=phu!$I$1,M227=phu!$I$2,M227=phu!$I$3),"Cam Thành Nam",""),IF(OR(M227=phu!$I$4,M227=phu!$I$5,M227=phu!$I$6,M227=phu!$I$7,M227=phu!$I$8,M227=phu!$I$9,M227=phu!$I$10,M227=phu!$I$11,M227=phu!$I$12,M227=phu!$I$13,M227=phu!$I$14),"Cam Nghĩa",""),IF(OR(M227=phu!$I$15,M227=phu!$I$16,M227=phu!$I$17,M227=phu!$I$18,M227=phu!$I$19,M227=phu!$I$20,M227=phu!$I$21),"Cam Phúc Bắc",""),IF(OR(M227=phu!$I$22,M227=phu!$I$23,M227=phu!$I$24,M227=phu!$I$25),"Cam Phúc Nam",""),IF(OR(M227=phu!$I$26,M227=phu!$I$27,M227=phu!$I$28,M227=phu!$I$29,M227=phu!$I$30,M227=phu!$I$31),"Cam Phú",""),IF(OR(M227=phu!$I$32,M227=phu!$I$33,M227=phu!$I$34,M227=phu!$I$35,M227=phu!$I$36,M227=phu!$I$37),"Cam Lộc",""),IF(OR(M227=phu!$I$38,M227=phu!$I$39,M227=phu!$I$40,M227=phu!$I$41,M227=phu!$I$42,M227=phu!$I$43,M227=phu!$I$44),"Cam Thuận",""),IF(OR(M227=phu!$I$45,M227=phu!$I$46,M227=phu!$I$47,M227=phu!$I$48,M227=phu!$I$49,M227=phu!$I$50,M227=phu!$I$51,M227=phu!$I$52,M227=phu!$I$53),"Cam Linh",""),IF(OR(M227=phu!$I$54,M227=phu!$I$55,M227=phu!$I$56,M227=phu!$I$57,M227=phu!$I$58,M227=phu!$I$59,M227=phu!$I$60,M227=phu!$I$61,M227=phu!$I$62),"Cam Lợi",""),IF(OR(M227=phu!$I$63,M227=phu!$I$64,M227=phu!$I$65,M227=phu!$I$66,M227=phu!$I$67,M227=phu!$I$68,M227=phu!$I$69,M227=phu!$I$70,M227=phu!$I$71),"Ba Ngòi",""),IF(OR(M227=phu!$I$72,M227=phu!$I$73,M227=phu!$I$74,M227=phu!$I$75,M227=phu!$I$76,M227=phu!$I$77,M227=phu!$I$78),"Cam Phước Đông",""),IF(OR(M227=phu!$I$79,M227=phu!$I$80,M227=phu!$I$81,M227=phu!$I$82,M227=phu!$I$83,M227=phu!$I$84),"Cam Thịnh Đông",""),IF(OR(M227=phu!$I$85,M227=phu!$I$86,M227=phu!$I$87,M227=phu!$I$88),"Cam Thịnh Tây",""),IF(OR(M227=phu!$I$89,M227=phu!$I$90),"Cam Lập",""),IF(OR(M227=phu!$I$91,M227=phu!$I$92,M227=phu!$I$93),"Cam Bình",""),IF(OR(M227=phu!$I$94,M227=phu!$I$95,M227=phu!$I$96,M227=phu!$I$97,M227=phu!$I$98,M227=phu!$I$99,M227=phu!$I$100),"Huyện khác",""),IF(OR(M227=phu!$I$101,M227=phu!$I$102),"Tỉnh khác",""))</f>
        <v/>
      </c>
      <c r="O227" s="829" t="str">
        <f t="shared" si="18"/>
        <v/>
      </c>
      <c r="P227" s="254"/>
      <c r="Q227" s="254"/>
      <c r="R227" s="254"/>
      <c r="S227" s="254"/>
      <c r="T227" s="254"/>
      <c r="U227" s="254"/>
      <c r="V227" s="254"/>
      <c r="W227" s="254"/>
      <c r="Y227" s="246" t="str">
        <f t="shared" si="19"/>
        <v/>
      </c>
      <c r="Z227" s="247" t="str">
        <f t="shared" si="23"/>
        <v/>
      </c>
      <c r="AA227" s="246" t="str">
        <f t="shared" si="20"/>
        <v/>
      </c>
    </row>
    <row r="228" spans="1:27" ht="18" customHeight="1" x14ac:dyDescent="0.25">
      <c r="A228" s="248" t="str">
        <f t="shared" si="21"/>
        <v/>
      </c>
      <c r="B228" s="249" t="str">
        <f t="shared" si="22"/>
        <v/>
      </c>
      <c r="C228" s="250"/>
      <c r="D228" s="251"/>
      <c r="E228" s="241"/>
      <c r="F228" s="252"/>
      <c r="G228" s="252"/>
      <c r="H228" s="253"/>
      <c r="I228" s="250"/>
      <c r="J228" s="250"/>
      <c r="K228" s="270"/>
      <c r="L228" s="250"/>
      <c r="M228" s="250"/>
      <c r="N228" s="540" t="str">
        <f>CONCATENATE(IF(OR(M228=phu!$I$1,M228=phu!$I$2,M228=phu!$I$3),"Cam Thành Nam",""),IF(OR(M228=phu!$I$4,M228=phu!$I$5,M228=phu!$I$6,M228=phu!$I$7,M228=phu!$I$8,M228=phu!$I$9,M228=phu!$I$10,M228=phu!$I$11,M228=phu!$I$12,M228=phu!$I$13,M228=phu!$I$14),"Cam Nghĩa",""),IF(OR(M228=phu!$I$15,M228=phu!$I$16,M228=phu!$I$17,M228=phu!$I$18,M228=phu!$I$19,M228=phu!$I$20,M228=phu!$I$21),"Cam Phúc Bắc",""),IF(OR(M228=phu!$I$22,M228=phu!$I$23,M228=phu!$I$24,M228=phu!$I$25),"Cam Phúc Nam",""),IF(OR(M228=phu!$I$26,M228=phu!$I$27,M228=phu!$I$28,M228=phu!$I$29,M228=phu!$I$30,M228=phu!$I$31),"Cam Phú",""),IF(OR(M228=phu!$I$32,M228=phu!$I$33,M228=phu!$I$34,M228=phu!$I$35,M228=phu!$I$36,M228=phu!$I$37),"Cam Lộc",""),IF(OR(M228=phu!$I$38,M228=phu!$I$39,M228=phu!$I$40,M228=phu!$I$41,M228=phu!$I$42,M228=phu!$I$43,M228=phu!$I$44),"Cam Thuận",""),IF(OR(M228=phu!$I$45,M228=phu!$I$46,M228=phu!$I$47,M228=phu!$I$48,M228=phu!$I$49,M228=phu!$I$50,M228=phu!$I$51,M228=phu!$I$52,M228=phu!$I$53),"Cam Linh",""),IF(OR(M228=phu!$I$54,M228=phu!$I$55,M228=phu!$I$56,M228=phu!$I$57,M228=phu!$I$58,M228=phu!$I$59,M228=phu!$I$60,M228=phu!$I$61,M228=phu!$I$62),"Cam Lợi",""),IF(OR(M228=phu!$I$63,M228=phu!$I$64,M228=phu!$I$65,M228=phu!$I$66,M228=phu!$I$67,M228=phu!$I$68,M228=phu!$I$69,M228=phu!$I$70,M228=phu!$I$71),"Ba Ngòi",""),IF(OR(M228=phu!$I$72,M228=phu!$I$73,M228=phu!$I$74,M228=phu!$I$75,M228=phu!$I$76,M228=phu!$I$77,M228=phu!$I$78),"Cam Phước Đông",""),IF(OR(M228=phu!$I$79,M228=phu!$I$80,M228=phu!$I$81,M228=phu!$I$82,M228=phu!$I$83,M228=phu!$I$84),"Cam Thịnh Đông",""),IF(OR(M228=phu!$I$85,M228=phu!$I$86,M228=phu!$I$87,M228=phu!$I$88),"Cam Thịnh Tây",""),IF(OR(M228=phu!$I$89,M228=phu!$I$90),"Cam Lập",""),IF(OR(M228=phu!$I$91,M228=phu!$I$92,M228=phu!$I$93),"Cam Bình",""),IF(OR(M228=phu!$I$94,M228=phu!$I$95,M228=phu!$I$96,M228=phu!$I$97,M228=phu!$I$98,M228=phu!$I$99,M228=phu!$I$100),"Huyện khác",""),IF(OR(M228=phu!$I$101,M228=phu!$I$102),"Tỉnh khác",""))</f>
        <v/>
      </c>
      <c r="O228" s="829" t="str">
        <f t="shared" si="18"/>
        <v/>
      </c>
      <c r="P228" s="254"/>
      <c r="Q228" s="254"/>
      <c r="R228" s="254"/>
      <c r="S228" s="254"/>
      <c r="T228" s="254"/>
      <c r="U228" s="254"/>
      <c r="V228" s="254"/>
      <c r="W228" s="254"/>
      <c r="Y228" s="246" t="str">
        <f t="shared" si="19"/>
        <v/>
      </c>
      <c r="Z228" s="247" t="str">
        <f t="shared" si="23"/>
        <v/>
      </c>
      <c r="AA228" s="246" t="str">
        <f t="shared" si="20"/>
        <v/>
      </c>
    </row>
    <row r="229" spans="1:27" ht="18" customHeight="1" x14ac:dyDescent="0.25">
      <c r="A229" s="248" t="str">
        <f t="shared" si="21"/>
        <v/>
      </c>
      <c r="B229" s="249" t="str">
        <f t="shared" si="22"/>
        <v/>
      </c>
      <c r="C229" s="250"/>
      <c r="D229" s="251"/>
      <c r="E229" s="241"/>
      <c r="F229" s="252"/>
      <c r="G229" s="252"/>
      <c r="H229" s="253"/>
      <c r="I229" s="250"/>
      <c r="J229" s="250"/>
      <c r="K229" s="270"/>
      <c r="L229" s="250"/>
      <c r="M229" s="250"/>
      <c r="N229" s="540" t="str">
        <f>CONCATENATE(IF(OR(M229=phu!$I$1,M229=phu!$I$2,M229=phu!$I$3),"Cam Thành Nam",""),IF(OR(M229=phu!$I$4,M229=phu!$I$5,M229=phu!$I$6,M229=phu!$I$7,M229=phu!$I$8,M229=phu!$I$9,M229=phu!$I$10,M229=phu!$I$11,M229=phu!$I$12,M229=phu!$I$13,M229=phu!$I$14),"Cam Nghĩa",""),IF(OR(M229=phu!$I$15,M229=phu!$I$16,M229=phu!$I$17,M229=phu!$I$18,M229=phu!$I$19,M229=phu!$I$20,M229=phu!$I$21),"Cam Phúc Bắc",""),IF(OR(M229=phu!$I$22,M229=phu!$I$23,M229=phu!$I$24,M229=phu!$I$25),"Cam Phúc Nam",""),IF(OR(M229=phu!$I$26,M229=phu!$I$27,M229=phu!$I$28,M229=phu!$I$29,M229=phu!$I$30,M229=phu!$I$31),"Cam Phú",""),IF(OR(M229=phu!$I$32,M229=phu!$I$33,M229=phu!$I$34,M229=phu!$I$35,M229=phu!$I$36,M229=phu!$I$37),"Cam Lộc",""),IF(OR(M229=phu!$I$38,M229=phu!$I$39,M229=phu!$I$40,M229=phu!$I$41,M229=phu!$I$42,M229=phu!$I$43,M229=phu!$I$44),"Cam Thuận",""),IF(OR(M229=phu!$I$45,M229=phu!$I$46,M229=phu!$I$47,M229=phu!$I$48,M229=phu!$I$49,M229=phu!$I$50,M229=phu!$I$51,M229=phu!$I$52,M229=phu!$I$53),"Cam Linh",""),IF(OR(M229=phu!$I$54,M229=phu!$I$55,M229=phu!$I$56,M229=phu!$I$57,M229=phu!$I$58,M229=phu!$I$59,M229=phu!$I$60,M229=phu!$I$61,M229=phu!$I$62),"Cam Lợi",""),IF(OR(M229=phu!$I$63,M229=phu!$I$64,M229=phu!$I$65,M229=phu!$I$66,M229=phu!$I$67,M229=phu!$I$68,M229=phu!$I$69,M229=phu!$I$70,M229=phu!$I$71),"Ba Ngòi",""),IF(OR(M229=phu!$I$72,M229=phu!$I$73,M229=phu!$I$74,M229=phu!$I$75,M229=phu!$I$76,M229=phu!$I$77,M229=phu!$I$78),"Cam Phước Đông",""),IF(OR(M229=phu!$I$79,M229=phu!$I$80,M229=phu!$I$81,M229=phu!$I$82,M229=phu!$I$83,M229=phu!$I$84),"Cam Thịnh Đông",""),IF(OR(M229=phu!$I$85,M229=phu!$I$86,M229=phu!$I$87,M229=phu!$I$88),"Cam Thịnh Tây",""),IF(OR(M229=phu!$I$89,M229=phu!$I$90),"Cam Lập",""),IF(OR(M229=phu!$I$91,M229=phu!$I$92,M229=phu!$I$93),"Cam Bình",""),IF(OR(M229=phu!$I$94,M229=phu!$I$95,M229=phu!$I$96,M229=phu!$I$97,M229=phu!$I$98,M229=phu!$I$99,M229=phu!$I$100),"Huyện khác",""),IF(OR(M229=phu!$I$101,M229=phu!$I$102),"Tỉnh khác",""))</f>
        <v/>
      </c>
      <c r="O229" s="829" t="str">
        <f t="shared" si="18"/>
        <v/>
      </c>
      <c r="P229" s="254"/>
      <c r="Q229" s="254"/>
      <c r="R229" s="254"/>
      <c r="S229" s="254"/>
      <c r="T229" s="254"/>
      <c r="U229" s="254"/>
      <c r="V229" s="254"/>
      <c r="W229" s="254"/>
      <c r="Y229" s="246" t="str">
        <f t="shared" si="19"/>
        <v/>
      </c>
      <c r="Z229" s="247" t="str">
        <f t="shared" si="23"/>
        <v/>
      </c>
      <c r="AA229" s="246" t="str">
        <f t="shared" si="20"/>
        <v/>
      </c>
    </row>
    <row r="230" spans="1:27" ht="18" customHeight="1" x14ac:dyDescent="0.25">
      <c r="A230" s="248" t="str">
        <f t="shared" si="21"/>
        <v/>
      </c>
      <c r="B230" s="249" t="str">
        <f t="shared" si="22"/>
        <v/>
      </c>
      <c r="C230" s="250"/>
      <c r="D230" s="251"/>
      <c r="E230" s="241"/>
      <c r="F230" s="252"/>
      <c r="G230" s="252"/>
      <c r="H230" s="253"/>
      <c r="I230" s="250"/>
      <c r="J230" s="250"/>
      <c r="K230" s="270"/>
      <c r="L230" s="250"/>
      <c r="M230" s="250"/>
      <c r="N230" s="540" t="str">
        <f>CONCATENATE(IF(OR(M230=phu!$I$1,M230=phu!$I$2,M230=phu!$I$3),"Cam Thành Nam",""),IF(OR(M230=phu!$I$4,M230=phu!$I$5,M230=phu!$I$6,M230=phu!$I$7,M230=phu!$I$8,M230=phu!$I$9,M230=phu!$I$10,M230=phu!$I$11,M230=phu!$I$12,M230=phu!$I$13,M230=phu!$I$14),"Cam Nghĩa",""),IF(OR(M230=phu!$I$15,M230=phu!$I$16,M230=phu!$I$17,M230=phu!$I$18,M230=phu!$I$19,M230=phu!$I$20,M230=phu!$I$21),"Cam Phúc Bắc",""),IF(OR(M230=phu!$I$22,M230=phu!$I$23,M230=phu!$I$24,M230=phu!$I$25),"Cam Phúc Nam",""),IF(OR(M230=phu!$I$26,M230=phu!$I$27,M230=phu!$I$28,M230=phu!$I$29,M230=phu!$I$30,M230=phu!$I$31),"Cam Phú",""),IF(OR(M230=phu!$I$32,M230=phu!$I$33,M230=phu!$I$34,M230=phu!$I$35,M230=phu!$I$36,M230=phu!$I$37),"Cam Lộc",""),IF(OR(M230=phu!$I$38,M230=phu!$I$39,M230=phu!$I$40,M230=phu!$I$41,M230=phu!$I$42,M230=phu!$I$43,M230=phu!$I$44),"Cam Thuận",""),IF(OR(M230=phu!$I$45,M230=phu!$I$46,M230=phu!$I$47,M230=phu!$I$48,M230=phu!$I$49,M230=phu!$I$50,M230=phu!$I$51,M230=phu!$I$52,M230=phu!$I$53),"Cam Linh",""),IF(OR(M230=phu!$I$54,M230=phu!$I$55,M230=phu!$I$56,M230=phu!$I$57,M230=phu!$I$58,M230=phu!$I$59,M230=phu!$I$60,M230=phu!$I$61,M230=phu!$I$62),"Cam Lợi",""),IF(OR(M230=phu!$I$63,M230=phu!$I$64,M230=phu!$I$65,M230=phu!$I$66,M230=phu!$I$67,M230=phu!$I$68,M230=phu!$I$69,M230=phu!$I$70,M230=phu!$I$71),"Ba Ngòi",""),IF(OR(M230=phu!$I$72,M230=phu!$I$73,M230=phu!$I$74,M230=phu!$I$75,M230=phu!$I$76,M230=phu!$I$77,M230=phu!$I$78),"Cam Phước Đông",""),IF(OR(M230=phu!$I$79,M230=phu!$I$80,M230=phu!$I$81,M230=phu!$I$82,M230=phu!$I$83,M230=phu!$I$84),"Cam Thịnh Đông",""),IF(OR(M230=phu!$I$85,M230=phu!$I$86,M230=phu!$I$87,M230=phu!$I$88),"Cam Thịnh Tây",""),IF(OR(M230=phu!$I$89,M230=phu!$I$90),"Cam Lập",""),IF(OR(M230=phu!$I$91,M230=phu!$I$92,M230=phu!$I$93),"Cam Bình",""),IF(OR(M230=phu!$I$94,M230=phu!$I$95,M230=phu!$I$96,M230=phu!$I$97,M230=phu!$I$98,M230=phu!$I$99,M230=phu!$I$100),"Huyện khác",""),IF(OR(M230=phu!$I$101,M230=phu!$I$102),"Tỉnh khác",""))</f>
        <v/>
      </c>
      <c r="O230" s="829" t="str">
        <f t="shared" si="18"/>
        <v/>
      </c>
      <c r="P230" s="254"/>
      <c r="Q230" s="254"/>
      <c r="R230" s="254"/>
      <c r="S230" s="254"/>
      <c r="T230" s="254"/>
      <c r="U230" s="254"/>
      <c r="V230" s="254"/>
      <c r="W230" s="254"/>
      <c r="Y230" s="246" t="str">
        <f t="shared" si="19"/>
        <v/>
      </c>
      <c r="Z230" s="247" t="str">
        <f t="shared" si="23"/>
        <v/>
      </c>
      <c r="AA230" s="246" t="str">
        <f t="shared" si="20"/>
        <v/>
      </c>
    </row>
    <row r="231" spans="1:27" ht="18" customHeight="1" x14ac:dyDescent="0.25">
      <c r="A231" s="248" t="str">
        <f t="shared" si="21"/>
        <v/>
      </c>
      <c r="B231" s="249" t="str">
        <f t="shared" si="22"/>
        <v/>
      </c>
      <c r="C231" s="250"/>
      <c r="D231" s="251"/>
      <c r="E231" s="241"/>
      <c r="F231" s="252"/>
      <c r="G231" s="252"/>
      <c r="H231" s="253"/>
      <c r="I231" s="250"/>
      <c r="J231" s="250"/>
      <c r="K231" s="270"/>
      <c r="L231" s="250"/>
      <c r="M231" s="250"/>
      <c r="N231" s="540" t="str">
        <f>CONCATENATE(IF(OR(M231=phu!$I$1,M231=phu!$I$2,M231=phu!$I$3),"Cam Thành Nam",""),IF(OR(M231=phu!$I$4,M231=phu!$I$5,M231=phu!$I$6,M231=phu!$I$7,M231=phu!$I$8,M231=phu!$I$9,M231=phu!$I$10,M231=phu!$I$11,M231=phu!$I$12,M231=phu!$I$13,M231=phu!$I$14),"Cam Nghĩa",""),IF(OR(M231=phu!$I$15,M231=phu!$I$16,M231=phu!$I$17,M231=phu!$I$18,M231=phu!$I$19,M231=phu!$I$20,M231=phu!$I$21),"Cam Phúc Bắc",""),IF(OR(M231=phu!$I$22,M231=phu!$I$23,M231=phu!$I$24,M231=phu!$I$25),"Cam Phúc Nam",""),IF(OR(M231=phu!$I$26,M231=phu!$I$27,M231=phu!$I$28,M231=phu!$I$29,M231=phu!$I$30,M231=phu!$I$31),"Cam Phú",""),IF(OR(M231=phu!$I$32,M231=phu!$I$33,M231=phu!$I$34,M231=phu!$I$35,M231=phu!$I$36,M231=phu!$I$37),"Cam Lộc",""),IF(OR(M231=phu!$I$38,M231=phu!$I$39,M231=phu!$I$40,M231=phu!$I$41,M231=phu!$I$42,M231=phu!$I$43,M231=phu!$I$44),"Cam Thuận",""),IF(OR(M231=phu!$I$45,M231=phu!$I$46,M231=phu!$I$47,M231=phu!$I$48,M231=phu!$I$49,M231=phu!$I$50,M231=phu!$I$51,M231=phu!$I$52,M231=phu!$I$53),"Cam Linh",""),IF(OR(M231=phu!$I$54,M231=phu!$I$55,M231=phu!$I$56,M231=phu!$I$57,M231=phu!$I$58,M231=phu!$I$59,M231=phu!$I$60,M231=phu!$I$61,M231=phu!$I$62),"Cam Lợi",""),IF(OR(M231=phu!$I$63,M231=phu!$I$64,M231=phu!$I$65,M231=phu!$I$66,M231=phu!$I$67,M231=phu!$I$68,M231=phu!$I$69,M231=phu!$I$70,M231=phu!$I$71),"Ba Ngòi",""),IF(OR(M231=phu!$I$72,M231=phu!$I$73,M231=phu!$I$74,M231=phu!$I$75,M231=phu!$I$76,M231=phu!$I$77,M231=phu!$I$78),"Cam Phước Đông",""),IF(OR(M231=phu!$I$79,M231=phu!$I$80,M231=phu!$I$81,M231=phu!$I$82,M231=phu!$I$83,M231=phu!$I$84),"Cam Thịnh Đông",""),IF(OR(M231=phu!$I$85,M231=phu!$I$86,M231=phu!$I$87,M231=phu!$I$88),"Cam Thịnh Tây",""),IF(OR(M231=phu!$I$89,M231=phu!$I$90),"Cam Lập",""),IF(OR(M231=phu!$I$91,M231=phu!$I$92,M231=phu!$I$93),"Cam Bình",""),IF(OR(M231=phu!$I$94,M231=phu!$I$95,M231=phu!$I$96,M231=phu!$I$97,M231=phu!$I$98,M231=phu!$I$99,M231=phu!$I$100),"Huyện khác",""),IF(OR(M231=phu!$I$101,M231=phu!$I$102),"Tỉnh khác",""))</f>
        <v/>
      </c>
      <c r="O231" s="829" t="str">
        <f t="shared" si="18"/>
        <v/>
      </c>
      <c r="P231" s="254"/>
      <c r="Q231" s="254"/>
      <c r="R231" s="254"/>
      <c r="S231" s="254"/>
      <c r="T231" s="254"/>
      <c r="U231" s="254"/>
      <c r="V231" s="254"/>
      <c r="W231" s="254"/>
      <c r="Y231" s="246" t="str">
        <f t="shared" si="19"/>
        <v/>
      </c>
      <c r="Z231" s="247" t="str">
        <f t="shared" si="23"/>
        <v/>
      </c>
      <c r="AA231" s="246" t="str">
        <f t="shared" si="20"/>
        <v/>
      </c>
    </row>
    <row r="232" spans="1:27" ht="18" customHeight="1" x14ac:dyDescent="0.25">
      <c r="A232" s="248" t="str">
        <f t="shared" si="21"/>
        <v/>
      </c>
      <c r="B232" s="249" t="str">
        <f t="shared" si="22"/>
        <v/>
      </c>
      <c r="C232" s="250"/>
      <c r="D232" s="251"/>
      <c r="E232" s="241"/>
      <c r="F232" s="252"/>
      <c r="G232" s="252"/>
      <c r="H232" s="253"/>
      <c r="I232" s="250"/>
      <c r="J232" s="250"/>
      <c r="K232" s="270"/>
      <c r="L232" s="250"/>
      <c r="M232" s="250"/>
      <c r="N232" s="540" t="str">
        <f>CONCATENATE(IF(OR(M232=phu!$I$1,M232=phu!$I$2,M232=phu!$I$3),"Cam Thành Nam",""),IF(OR(M232=phu!$I$4,M232=phu!$I$5,M232=phu!$I$6,M232=phu!$I$7,M232=phu!$I$8,M232=phu!$I$9,M232=phu!$I$10,M232=phu!$I$11,M232=phu!$I$12,M232=phu!$I$13,M232=phu!$I$14),"Cam Nghĩa",""),IF(OR(M232=phu!$I$15,M232=phu!$I$16,M232=phu!$I$17,M232=phu!$I$18,M232=phu!$I$19,M232=phu!$I$20,M232=phu!$I$21),"Cam Phúc Bắc",""),IF(OR(M232=phu!$I$22,M232=phu!$I$23,M232=phu!$I$24,M232=phu!$I$25),"Cam Phúc Nam",""),IF(OR(M232=phu!$I$26,M232=phu!$I$27,M232=phu!$I$28,M232=phu!$I$29,M232=phu!$I$30,M232=phu!$I$31),"Cam Phú",""),IF(OR(M232=phu!$I$32,M232=phu!$I$33,M232=phu!$I$34,M232=phu!$I$35,M232=phu!$I$36,M232=phu!$I$37),"Cam Lộc",""),IF(OR(M232=phu!$I$38,M232=phu!$I$39,M232=phu!$I$40,M232=phu!$I$41,M232=phu!$I$42,M232=phu!$I$43,M232=phu!$I$44),"Cam Thuận",""),IF(OR(M232=phu!$I$45,M232=phu!$I$46,M232=phu!$I$47,M232=phu!$I$48,M232=phu!$I$49,M232=phu!$I$50,M232=phu!$I$51,M232=phu!$I$52,M232=phu!$I$53),"Cam Linh",""),IF(OR(M232=phu!$I$54,M232=phu!$I$55,M232=phu!$I$56,M232=phu!$I$57,M232=phu!$I$58,M232=phu!$I$59,M232=phu!$I$60,M232=phu!$I$61,M232=phu!$I$62),"Cam Lợi",""),IF(OR(M232=phu!$I$63,M232=phu!$I$64,M232=phu!$I$65,M232=phu!$I$66,M232=phu!$I$67,M232=phu!$I$68,M232=phu!$I$69,M232=phu!$I$70,M232=phu!$I$71),"Ba Ngòi",""),IF(OR(M232=phu!$I$72,M232=phu!$I$73,M232=phu!$I$74,M232=phu!$I$75,M232=phu!$I$76,M232=phu!$I$77,M232=phu!$I$78),"Cam Phước Đông",""),IF(OR(M232=phu!$I$79,M232=phu!$I$80,M232=phu!$I$81,M232=phu!$I$82,M232=phu!$I$83,M232=phu!$I$84),"Cam Thịnh Đông",""),IF(OR(M232=phu!$I$85,M232=phu!$I$86,M232=phu!$I$87,M232=phu!$I$88),"Cam Thịnh Tây",""),IF(OR(M232=phu!$I$89,M232=phu!$I$90),"Cam Lập",""),IF(OR(M232=phu!$I$91,M232=phu!$I$92,M232=phu!$I$93),"Cam Bình",""),IF(OR(M232=phu!$I$94,M232=phu!$I$95,M232=phu!$I$96,M232=phu!$I$97,M232=phu!$I$98,M232=phu!$I$99,M232=phu!$I$100),"Huyện khác",""),IF(OR(M232=phu!$I$101,M232=phu!$I$102),"Tỉnh khác",""))</f>
        <v/>
      </c>
      <c r="O232" s="829" t="str">
        <f t="shared" si="18"/>
        <v/>
      </c>
      <c r="P232" s="254"/>
      <c r="Q232" s="254"/>
      <c r="R232" s="254"/>
      <c r="S232" s="254"/>
      <c r="T232" s="254"/>
      <c r="U232" s="254"/>
      <c r="V232" s="254"/>
      <c r="W232" s="254"/>
      <c r="Y232" s="246" t="str">
        <f t="shared" si="19"/>
        <v/>
      </c>
      <c r="Z232" s="247" t="str">
        <f t="shared" si="23"/>
        <v/>
      </c>
      <c r="AA232" s="246" t="str">
        <f t="shared" si="20"/>
        <v/>
      </c>
    </row>
    <row r="233" spans="1:27" ht="18" customHeight="1" x14ac:dyDescent="0.25">
      <c r="A233" s="248" t="str">
        <f t="shared" si="21"/>
        <v/>
      </c>
      <c r="B233" s="249" t="str">
        <f t="shared" si="22"/>
        <v/>
      </c>
      <c r="C233" s="250"/>
      <c r="D233" s="251"/>
      <c r="E233" s="241"/>
      <c r="F233" s="252"/>
      <c r="G233" s="252"/>
      <c r="H233" s="253"/>
      <c r="I233" s="250"/>
      <c r="J233" s="250"/>
      <c r="K233" s="270"/>
      <c r="L233" s="250"/>
      <c r="M233" s="250"/>
      <c r="N233" s="540" t="str">
        <f>CONCATENATE(IF(OR(M233=phu!$I$1,M233=phu!$I$2,M233=phu!$I$3),"Cam Thành Nam",""),IF(OR(M233=phu!$I$4,M233=phu!$I$5,M233=phu!$I$6,M233=phu!$I$7,M233=phu!$I$8,M233=phu!$I$9,M233=phu!$I$10,M233=phu!$I$11,M233=phu!$I$12,M233=phu!$I$13,M233=phu!$I$14),"Cam Nghĩa",""),IF(OR(M233=phu!$I$15,M233=phu!$I$16,M233=phu!$I$17,M233=phu!$I$18,M233=phu!$I$19,M233=phu!$I$20,M233=phu!$I$21),"Cam Phúc Bắc",""),IF(OR(M233=phu!$I$22,M233=phu!$I$23,M233=phu!$I$24,M233=phu!$I$25),"Cam Phúc Nam",""),IF(OR(M233=phu!$I$26,M233=phu!$I$27,M233=phu!$I$28,M233=phu!$I$29,M233=phu!$I$30,M233=phu!$I$31),"Cam Phú",""),IF(OR(M233=phu!$I$32,M233=phu!$I$33,M233=phu!$I$34,M233=phu!$I$35,M233=phu!$I$36,M233=phu!$I$37),"Cam Lộc",""),IF(OR(M233=phu!$I$38,M233=phu!$I$39,M233=phu!$I$40,M233=phu!$I$41,M233=phu!$I$42,M233=phu!$I$43,M233=phu!$I$44),"Cam Thuận",""),IF(OR(M233=phu!$I$45,M233=phu!$I$46,M233=phu!$I$47,M233=phu!$I$48,M233=phu!$I$49,M233=phu!$I$50,M233=phu!$I$51,M233=phu!$I$52,M233=phu!$I$53),"Cam Linh",""),IF(OR(M233=phu!$I$54,M233=phu!$I$55,M233=phu!$I$56,M233=phu!$I$57,M233=phu!$I$58,M233=phu!$I$59,M233=phu!$I$60,M233=phu!$I$61,M233=phu!$I$62),"Cam Lợi",""),IF(OR(M233=phu!$I$63,M233=phu!$I$64,M233=phu!$I$65,M233=phu!$I$66,M233=phu!$I$67,M233=phu!$I$68,M233=phu!$I$69,M233=phu!$I$70,M233=phu!$I$71),"Ba Ngòi",""),IF(OR(M233=phu!$I$72,M233=phu!$I$73,M233=phu!$I$74,M233=phu!$I$75,M233=phu!$I$76,M233=phu!$I$77,M233=phu!$I$78),"Cam Phước Đông",""),IF(OR(M233=phu!$I$79,M233=phu!$I$80,M233=phu!$I$81,M233=phu!$I$82,M233=phu!$I$83,M233=phu!$I$84),"Cam Thịnh Đông",""),IF(OR(M233=phu!$I$85,M233=phu!$I$86,M233=phu!$I$87,M233=phu!$I$88),"Cam Thịnh Tây",""),IF(OR(M233=phu!$I$89,M233=phu!$I$90),"Cam Lập",""),IF(OR(M233=phu!$I$91,M233=phu!$I$92,M233=phu!$I$93),"Cam Bình",""),IF(OR(M233=phu!$I$94,M233=phu!$I$95,M233=phu!$I$96,M233=phu!$I$97,M233=phu!$I$98,M233=phu!$I$99,M233=phu!$I$100),"Huyện khác",""),IF(OR(M233=phu!$I$101,M233=phu!$I$102),"Tỉnh khác",""))</f>
        <v/>
      </c>
      <c r="O233" s="829" t="str">
        <f t="shared" si="18"/>
        <v/>
      </c>
      <c r="P233" s="254"/>
      <c r="Q233" s="254"/>
      <c r="R233" s="254"/>
      <c r="S233" s="254"/>
      <c r="T233" s="254"/>
      <c r="U233" s="254"/>
      <c r="V233" s="254"/>
      <c r="W233" s="254"/>
      <c r="Y233" s="246" t="str">
        <f t="shared" si="19"/>
        <v/>
      </c>
      <c r="Z233" s="247" t="str">
        <f t="shared" si="23"/>
        <v/>
      </c>
      <c r="AA233" s="246" t="str">
        <f t="shared" si="20"/>
        <v/>
      </c>
    </row>
    <row r="234" spans="1:27" ht="18" customHeight="1" x14ac:dyDescent="0.25">
      <c r="A234" s="248" t="str">
        <f t="shared" si="21"/>
        <v/>
      </c>
      <c r="B234" s="249" t="str">
        <f t="shared" si="22"/>
        <v/>
      </c>
      <c r="C234" s="250"/>
      <c r="D234" s="251"/>
      <c r="E234" s="241"/>
      <c r="F234" s="252"/>
      <c r="G234" s="252"/>
      <c r="H234" s="253"/>
      <c r="I234" s="250"/>
      <c r="J234" s="250"/>
      <c r="K234" s="270"/>
      <c r="L234" s="250"/>
      <c r="M234" s="250"/>
      <c r="N234" s="540" t="str">
        <f>CONCATENATE(IF(OR(M234=phu!$I$1,M234=phu!$I$2,M234=phu!$I$3),"Cam Thành Nam",""),IF(OR(M234=phu!$I$4,M234=phu!$I$5,M234=phu!$I$6,M234=phu!$I$7,M234=phu!$I$8,M234=phu!$I$9,M234=phu!$I$10,M234=phu!$I$11,M234=phu!$I$12,M234=phu!$I$13,M234=phu!$I$14),"Cam Nghĩa",""),IF(OR(M234=phu!$I$15,M234=phu!$I$16,M234=phu!$I$17,M234=phu!$I$18,M234=phu!$I$19,M234=phu!$I$20,M234=phu!$I$21),"Cam Phúc Bắc",""),IF(OR(M234=phu!$I$22,M234=phu!$I$23,M234=phu!$I$24,M234=phu!$I$25),"Cam Phúc Nam",""),IF(OR(M234=phu!$I$26,M234=phu!$I$27,M234=phu!$I$28,M234=phu!$I$29,M234=phu!$I$30,M234=phu!$I$31),"Cam Phú",""),IF(OR(M234=phu!$I$32,M234=phu!$I$33,M234=phu!$I$34,M234=phu!$I$35,M234=phu!$I$36,M234=phu!$I$37),"Cam Lộc",""),IF(OR(M234=phu!$I$38,M234=phu!$I$39,M234=phu!$I$40,M234=phu!$I$41,M234=phu!$I$42,M234=phu!$I$43,M234=phu!$I$44),"Cam Thuận",""),IF(OR(M234=phu!$I$45,M234=phu!$I$46,M234=phu!$I$47,M234=phu!$I$48,M234=phu!$I$49,M234=phu!$I$50,M234=phu!$I$51,M234=phu!$I$52,M234=phu!$I$53),"Cam Linh",""),IF(OR(M234=phu!$I$54,M234=phu!$I$55,M234=phu!$I$56,M234=phu!$I$57,M234=phu!$I$58,M234=phu!$I$59,M234=phu!$I$60,M234=phu!$I$61,M234=phu!$I$62),"Cam Lợi",""),IF(OR(M234=phu!$I$63,M234=phu!$I$64,M234=phu!$I$65,M234=phu!$I$66,M234=phu!$I$67,M234=phu!$I$68,M234=phu!$I$69,M234=phu!$I$70,M234=phu!$I$71),"Ba Ngòi",""),IF(OR(M234=phu!$I$72,M234=phu!$I$73,M234=phu!$I$74,M234=phu!$I$75,M234=phu!$I$76,M234=phu!$I$77,M234=phu!$I$78),"Cam Phước Đông",""),IF(OR(M234=phu!$I$79,M234=phu!$I$80,M234=phu!$I$81,M234=phu!$I$82,M234=phu!$I$83,M234=phu!$I$84),"Cam Thịnh Đông",""),IF(OR(M234=phu!$I$85,M234=phu!$I$86,M234=phu!$I$87,M234=phu!$I$88),"Cam Thịnh Tây",""),IF(OR(M234=phu!$I$89,M234=phu!$I$90),"Cam Lập",""),IF(OR(M234=phu!$I$91,M234=phu!$I$92,M234=phu!$I$93),"Cam Bình",""),IF(OR(M234=phu!$I$94,M234=phu!$I$95,M234=phu!$I$96,M234=phu!$I$97,M234=phu!$I$98,M234=phu!$I$99,M234=phu!$I$100),"Huyện khác",""),IF(OR(M234=phu!$I$101,M234=phu!$I$102),"Tỉnh khác",""))</f>
        <v/>
      </c>
      <c r="O234" s="829" t="str">
        <f t="shared" si="18"/>
        <v/>
      </c>
      <c r="P234" s="254"/>
      <c r="Q234" s="254"/>
      <c r="R234" s="254"/>
      <c r="S234" s="254"/>
      <c r="T234" s="254"/>
      <c r="U234" s="254"/>
      <c r="V234" s="254"/>
      <c r="W234" s="254"/>
      <c r="Y234" s="246" t="str">
        <f t="shared" si="19"/>
        <v/>
      </c>
      <c r="Z234" s="247" t="str">
        <f t="shared" si="23"/>
        <v/>
      </c>
      <c r="AA234" s="246" t="str">
        <f t="shared" si="20"/>
        <v/>
      </c>
    </row>
    <row r="235" spans="1:27" ht="18" customHeight="1" x14ac:dyDescent="0.25">
      <c r="A235" s="248" t="str">
        <f t="shared" si="21"/>
        <v/>
      </c>
      <c r="B235" s="249" t="str">
        <f t="shared" si="22"/>
        <v/>
      </c>
      <c r="C235" s="250"/>
      <c r="D235" s="251"/>
      <c r="E235" s="241"/>
      <c r="F235" s="252"/>
      <c r="G235" s="252"/>
      <c r="H235" s="253"/>
      <c r="I235" s="250"/>
      <c r="J235" s="250"/>
      <c r="K235" s="270"/>
      <c r="L235" s="250"/>
      <c r="M235" s="250"/>
      <c r="N235" s="540" t="str">
        <f>CONCATENATE(IF(OR(M235=phu!$I$1,M235=phu!$I$2,M235=phu!$I$3),"Cam Thành Nam",""),IF(OR(M235=phu!$I$4,M235=phu!$I$5,M235=phu!$I$6,M235=phu!$I$7,M235=phu!$I$8,M235=phu!$I$9,M235=phu!$I$10,M235=phu!$I$11,M235=phu!$I$12,M235=phu!$I$13,M235=phu!$I$14),"Cam Nghĩa",""),IF(OR(M235=phu!$I$15,M235=phu!$I$16,M235=phu!$I$17,M235=phu!$I$18,M235=phu!$I$19,M235=phu!$I$20,M235=phu!$I$21),"Cam Phúc Bắc",""),IF(OR(M235=phu!$I$22,M235=phu!$I$23,M235=phu!$I$24,M235=phu!$I$25),"Cam Phúc Nam",""),IF(OR(M235=phu!$I$26,M235=phu!$I$27,M235=phu!$I$28,M235=phu!$I$29,M235=phu!$I$30,M235=phu!$I$31),"Cam Phú",""),IF(OR(M235=phu!$I$32,M235=phu!$I$33,M235=phu!$I$34,M235=phu!$I$35,M235=phu!$I$36,M235=phu!$I$37),"Cam Lộc",""),IF(OR(M235=phu!$I$38,M235=phu!$I$39,M235=phu!$I$40,M235=phu!$I$41,M235=phu!$I$42,M235=phu!$I$43,M235=phu!$I$44),"Cam Thuận",""),IF(OR(M235=phu!$I$45,M235=phu!$I$46,M235=phu!$I$47,M235=phu!$I$48,M235=phu!$I$49,M235=phu!$I$50,M235=phu!$I$51,M235=phu!$I$52,M235=phu!$I$53),"Cam Linh",""),IF(OR(M235=phu!$I$54,M235=phu!$I$55,M235=phu!$I$56,M235=phu!$I$57,M235=phu!$I$58,M235=phu!$I$59,M235=phu!$I$60,M235=phu!$I$61,M235=phu!$I$62),"Cam Lợi",""),IF(OR(M235=phu!$I$63,M235=phu!$I$64,M235=phu!$I$65,M235=phu!$I$66,M235=phu!$I$67,M235=phu!$I$68,M235=phu!$I$69,M235=phu!$I$70,M235=phu!$I$71),"Ba Ngòi",""),IF(OR(M235=phu!$I$72,M235=phu!$I$73,M235=phu!$I$74,M235=phu!$I$75,M235=phu!$I$76,M235=phu!$I$77,M235=phu!$I$78),"Cam Phước Đông",""),IF(OR(M235=phu!$I$79,M235=phu!$I$80,M235=phu!$I$81,M235=phu!$I$82,M235=phu!$I$83,M235=phu!$I$84),"Cam Thịnh Đông",""),IF(OR(M235=phu!$I$85,M235=phu!$I$86,M235=phu!$I$87,M235=phu!$I$88),"Cam Thịnh Tây",""),IF(OR(M235=phu!$I$89,M235=phu!$I$90),"Cam Lập",""),IF(OR(M235=phu!$I$91,M235=phu!$I$92,M235=phu!$I$93),"Cam Bình",""),IF(OR(M235=phu!$I$94,M235=phu!$I$95,M235=phu!$I$96,M235=phu!$I$97,M235=phu!$I$98,M235=phu!$I$99,M235=phu!$I$100),"Huyện khác",""),IF(OR(M235=phu!$I$101,M235=phu!$I$102),"Tỉnh khác",""))</f>
        <v/>
      </c>
      <c r="O235" s="829" t="str">
        <f t="shared" si="18"/>
        <v/>
      </c>
      <c r="P235" s="254"/>
      <c r="Q235" s="254"/>
      <c r="R235" s="254"/>
      <c r="S235" s="254"/>
      <c r="T235" s="254"/>
      <c r="U235" s="254"/>
      <c r="V235" s="254"/>
      <c r="W235" s="254"/>
      <c r="Y235" s="246" t="str">
        <f t="shared" si="19"/>
        <v/>
      </c>
      <c r="Z235" s="247" t="str">
        <f t="shared" si="23"/>
        <v/>
      </c>
      <c r="AA235" s="246" t="str">
        <f t="shared" si="20"/>
        <v/>
      </c>
    </row>
    <row r="236" spans="1:27" ht="18" customHeight="1" x14ac:dyDescent="0.25">
      <c r="A236" s="248" t="str">
        <f t="shared" si="21"/>
        <v/>
      </c>
      <c r="B236" s="249" t="str">
        <f t="shared" si="22"/>
        <v/>
      </c>
      <c r="C236" s="250"/>
      <c r="D236" s="251"/>
      <c r="E236" s="241"/>
      <c r="F236" s="252"/>
      <c r="G236" s="252"/>
      <c r="H236" s="253"/>
      <c r="I236" s="250"/>
      <c r="J236" s="250"/>
      <c r="K236" s="270"/>
      <c r="L236" s="250"/>
      <c r="M236" s="250"/>
      <c r="N236" s="540" t="str">
        <f>CONCATENATE(IF(OR(M236=phu!$I$1,M236=phu!$I$2,M236=phu!$I$3),"Cam Thành Nam",""),IF(OR(M236=phu!$I$4,M236=phu!$I$5,M236=phu!$I$6,M236=phu!$I$7,M236=phu!$I$8,M236=phu!$I$9,M236=phu!$I$10,M236=phu!$I$11,M236=phu!$I$12,M236=phu!$I$13,M236=phu!$I$14),"Cam Nghĩa",""),IF(OR(M236=phu!$I$15,M236=phu!$I$16,M236=phu!$I$17,M236=phu!$I$18,M236=phu!$I$19,M236=phu!$I$20,M236=phu!$I$21),"Cam Phúc Bắc",""),IF(OR(M236=phu!$I$22,M236=phu!$I$23,M236=phu!$I$24,M236=phu!$I$25),"Cam Phúc Nam",""),IF(OR(M236=phu!$I$26,M236=phu!$I$27,M236=phu!$I$28,M236=phu!$I$29,M236=phu!$I$30,M236=phu!$I$31),"Cam Phú",""),IF(OR(M236=phu!$I$32,M236=phu!$I$33,M236=phu!$I$34,M236=phu!$I$35,M236=phu!$I$36,M236=phu!$I$37),"Cam Lộc",""),IF(OR(M236=phu!$I$38,M236=phu!$I$39,M236=phu!$I$40,M236=phu!$I$41,M236=phu!$I$42,M236=phu!$I$43,M236=phu!$I$44),"Cam Thuận",""),IF(OR(M236=phu!$I$45,M236=phu!$I$46,M236=phu!$I$47,M236=phu!$I$48,M236=phu!$I$49,M236=phu!$I$50,M236=phu!$I$51,M236=phu!$I$52,M236=phu!$I$53),"Cam Linh",""),IF(OR(M236=phu!$I$54,M236=phu!$I$55,M236=phu!$I$56,M236=phu!$I$57,M236=phu!$I$58,M236=phu!$I$59,M236=phu!$I$60,M236=phu!$I$61,M236=phu!$I$62),"Cam Lợi",""),IF(OR(M236=phu!$I$63,M236=phu!$I$64,M236=phu!$I$65,M236=phu!$I$66,M236=phu!$I$67,M236=phu!$I$68,M236=phu!$I$69,M236=phu!$I$70,M236=phu!$I$71),"Ba Ngòi",""),IF(OR(M236=phu!$I$72,M236=phu!$I$73,M236=phu!$I$74,M236=phu!$I$75,M236=phu!$I$76,M236=phu!$I$77,M236=phu!$I$78),"Cam Phước Đông",""),IF(OR(M236=phu!$I$79,M236=phu!$I$80,M236=phu!$I$81,M236=phu!$I$82,M236=phu!$I$83,M236=phu!$I$84),"Cam Thịnh Đông",""),IF(OR(M236=phu!$I$85,M236=phu!$I$86,M236=phu!$I$87,M236=phu!$I$88),"Cam Thịnh Tây",""),IF(OR(M236=phu!$I$89,M236=phu!$I$90),"Cam Lập",""),IF(OR(M236=phu!$I$91,M236=phu!$I$92,M236=phu!$I$93),"Cam Bình",""),IF(OR(M236=phu!$I$94,M236=phu!$I$95,M236=phu!$I$96,M236=phu!$I$97,M236=phu!$I$98,M236=phu!$I$99,M236=phu!$I$100),"Huyện khác",""),IF(OR(M236=phu!$I$101,M236=phu!$I$102),"Tỉnh khác",""))</f>
        <v/>
      </c>
      <c r="O236" s="829" t="str">
        <f t="shared" si="18"/>
        <v/>
      </c>
      <c r="P236" s="254"/>
      <c r="Q236" s="254"/>
      <c r="R236" s="254"/>
      <c r="S236" s="254"/>
      <c r="T236" s="254"/>
      <c r="U236" s="254"/>
      <c r="V236" s="254"/>
      <c r="W236" s="254"/>
      <c r="Y236" s="246" t="str">
        <f t="shared" si="19"/>
        <v/>
      </c>
      <c r="Z236" s="247" t="str">
        <f t="shared" si="23"/>
        <v/>
      </c>
      <c r="AA236" s="246" t="str">
        <f t="shared" si="20"/>
        <v/>
      </c>
    </row>
    <row r="237" spans="1:27" ht="18" customHeight="1" x14ac:dyDescent="0.25">
      <c r="A237" s="248" t="str">
        <f t="shared" si="21"/>
        <v/>
      </c>
      <c r="B237" s="249" t="str">
        <f t="shared" si="22"/>
        <v/>
      </c>
      <c r="C237" s="250"/>
      <c r="D237" s="251"/>
      <c r="E237" s="241"/>
      <c r="F237" s="252"/>
      <c r="G237" s="252"/>
      <c r="H237" s="253"/>
      <c r="I237" s="250"/>
      <c r="J237" s="250"/>
      <c r="K237" s="270"/>
      <c r="L237" s="250"/>
      <c r="M237" s="250"/>
      <c r="N237" s="540" t="str">
        <f>CONCATENATE(IF(OR(M237=phu!$I$1,M237=phu!$I$2,M237=phu!$I$3),"Cam Thành Nam",""),IF(OR(M237=phu!$I$4,M237=phu!$I$5,M237=phu!$I$6,M237=phu!$I$7,M237=phu!$I$8,M237=phu!$I$9,M237=phu!$I$10,M237=phu!$I$11,M237=phu!$I$12,M237=phu!$I$13,M237=phu!$I$14),"Cam Nghĩa",""),IF(OR(M237=phu!$I$15,M237=phu!$I$16,M237=phu!$I$17,M237=phu!$I$18,M237=phu!$I$19,M237=phu!$I$20,M237=phu!$I$21),"Cam Phúc Bắc",""),IF(OR(M237=phu!$I$22,M237=phu!$I$23,M237=phu!$I$24,M237=phu!$I$25),"Cam Phúc Nam",""),IF(OR(M237=phu!$I$26,M237=phu!$I$27,M237=phu!$I$28,M237=phu!$I$29,M237=phu!$I$30,M237=phu!$I$31),"Cam Phú",""),IF(OR(M237=phu!$I$32,M237=phu!$I$33,M237=phu!$I$34,M237=phu!$I$35,M237=phu!$I$36,M237=phu!$I$37),"Cam Lộc",""),IF(OR(M237=phu!$I$38,M237=phu!$I$39,M237=phu!$I$40,M237=phu!$I$41,M237=phu!$I$42,M237=phu!$I$43,M237=phu!$I$44),"Cam Thuận",""),IF(OR(M237=phu!$I$45,M237=phu!$I$46,M237=phu!$I$47,M237=phu!$I$48,M237=phu!$I$49,M237=phu!$I$50,M237=phu!$I$51,M237=phu!$I$52,M237=phu!$I$53),"Cam Linh",""),IF(OR(M237=phu!$I$54,M237=phu!$I$55,M237=phu!$I$56,M237=phu!$I$57,M237=phu!$I$58,M237=phu!$I$59,M237=phu!$I$60,M237=phu!$I$61,M237=phu!$I$62),"Cam Lợi",""),IF(OR(M237=phu!$I$63,M237=phu!$I$64,M237=phu!$I$65,M237=phu!$I$66,M237=phu!$I$67,M237=phu!$I$68,M237=phu!$I$69,M237=phu!$I$70,M237=phu!$I$71),"Ba Ngòi",""),IF(OR(M237=phu!$I$72,M237=phu!$I$73,M237=phu!$I$74,M237=phu!$I$75,M237=phu!$I$76,M237=phu!$I$77,M237=phu!$I$78),"Cam Phước Đông",""),IF(OR(M237=phu!$I$79,M237=phu!$I$80,M237=phu!$I$81,M237=phu!$I$82,M237=phu!$I$83,M237=phu!$I$84),"Cam Thịnh Đông",""),IF(OR(M237=phu!$I$85,M237=phu!$I$86,M237=phu!$I$87,M237=phu!$I$88),"Cam Thịnh Tây",""),IF(OR(M237=phu!$I$89,M237=phu!$I$90),"Cam Lập",""),IF(OR(M237=phu!$I$91,M237=phu!$I$92,M237=phu!$I$93),"Cam Bình",""),IF(OR(M237=phu!$I$94,M237=phu!$I$95,M237=phu!$I$96,M237=phu!$I$97,M237=phu!$I$98,M237=phu!$I$99,M237=phu!$I$100),"Huyện khác",""),IF(OR(M237=phu!$I$101,M237=phu!$I$102),"Tỉnh khác",""))</f>
        <v/>
      </c>
      <c r="O237" s="829" t="str">
        <f t="shared" si="18"/>
        <v/>
      </c>
      <c r="P237" s="254"/>
      <c r="Q237" s="254"/>
      <c r="R237" s="254"/>
      <c r="S237" s="254"/>
      <c r="T237" s="254"/>
      <c r="U237" s="254"/>
      <c r="V237" s="254"/>
      <c r="W237" s="254"/>
      <c r="Y237" s="246" t="str">
        <f t="shared" si="19"/>
        <v/>
      </c>
      <c r="Z237" s="247" t="str">
        <f t="shared" si="23"/>
        <v/>
      </c>
      <c r="AA237" s="246" t="str">
        <f t="shared" si="20"/>
        <v/>
      </c>
    </row>
    <row r="238" spans="1:27" ht="18" customHeight="1" x14ac:dyDescent="0.25">
      <c r="A238" s="248" t="str">
        <f t="shared" si="21"/>
        <v/>
      </c>
      <c r="B238" s="249" t="str">
        <f t="shared" si="22"/>
        <v/>
      </c>
      <c r="C238" s="250"/>
      <c r="D238" s="251"/>
      <c r="E238" s="241"/>
      <c r="F238" s="252"/>
      <c r="G238" s="252"/>
      <c r="H238" s="253"/>
      <c r="I238" s="250"/>
      <c r="J238" s="250"/>
      <c r="K238" s="270"/>
      <c r="L238" s="250"/>
      <c r="M238" s="250"/>
      <c r="N238" s="540" t="str">
        <f>CONCATENATE(IF(OR(M238=phu!$I$1,M238=phu!$I$2,M238=phu!$I$3),"Cam Thành Nam",""),IF(OR(M238=phu!$I$4,M238=phu!$I$5,M238=phu!$I$6,M238=phu!$I$7,M238=phu!$I$8,M238=phu!$I$9,M238=phu!$I$10,M238=phu!$I$11,M238=phu!$I$12,M238=phu!$I$13,M238=phu!$I$14),"Cam Nghĩa",""),IF(OR(M238=phu!$I$15,M238=phu!$I$16,M238=phu!$I$17,M238=phu!$I$18,M238=phu!$I$19,M238=phu!$I$20,M238=phu!$I$21),"Cam Phúc Bắc",""),IF(OR(M238=phu!$I$22,M238=phu!$I$23,M238=phu!$I$24,M238=phu!$I$25),"Cam Phúc Nam",""),IF(OR(M238=phu!$I$26,M238=phu!$I$27,M238=phu!$I$28,M238=phu!$I$29,M238=phu!$I$30,M238=phu!$I$31),"Cam Phú",""),IF(OR(M238=phu!$I$32,M238=phu!$I$33,M238=phu!$I$34,M238=phu!$I$35,M238=phu!$I$36,M238=phu!$I$37),"Cam Lộc",""),IF(OR(M238=phu!$I$38,M238=phu!$I$39,M238=phu!$I$40,M238=phu!$I$41,M238=phu!$I$42,M238=phu!$I$43,M238=phu!$I$44),"Cam Thuận",""),IF(OR(M238=phu!$I$45,M238=phu!$I$46,M238=phu!$I$47,M238=phu!$I$48,M238=phu!$I$49,M238=phu!$I$50,M238=phu!$I$51,M238=phu!$I$52,M238=phu!$I$53),"Cam Linh",""),IF(OR(M238=phu!$I$54,M238=phu!$I$55,M238=phu!$I$56,M238=phu!$I$57,M238=phu!$I$58,M238=phu!$I$59,M238=phu!$I$60,M238=phu!$I$61,M238=phu!$I$62),"Cam Lợi",""),IF(OR(M238=phu!$I$63,M238=phu!$I$64,M238=phu!$I$65,M238=phu!$I$66,M238=phu!$I$67,M238=phu!$I$68,M238=phu!$I$69,M238=phu!$I$70,M238=phu!$I$71),"Ba Ngòi",""),IF(OR(M238=phu!$I$72,M238=phu!$I$73,M238=phu!$I$74,M238=phu!$I$75,M238=phu!$I$76,M238=phu!$I$77,M238=phu!$I$78),"Cam Phước Đông",""),IF(OR(M238=phu!$I$79,M238=phu!$I$80,M238=phu!$I$81,M238=phu!$I$82,M238=phu!$I$83,M238=phu!$I$84),"Cam Thịnh Đông",""),IF(OR(M238=phu!$I$85,M238=phu!$I$86,M238=phu!$I$87,M238=phu!$I$88),"Cam Thịnh Tây",""),IF(OR(M238=phu!$I$89,M238=phu!$I$90),"Cam Lập",""),IF(OR(M238=phu!$I$91,M238=phu!$I$92,M238=phu!$I$93),"Cam Bình",""),IF(OR(M238=phu!$I$94,M238=phu!$I$95,M238=phu!$I$96,M238=phu!$I$97,M238=phu!$I$98,M238=phu!$I$99,M238=phu!$I$100),"Huyện khác",""),IF(OR(M238=phu!$I$101,M238=phu!$I$102),"Tỉnh khác",""))</f>
        <v/>
      </c>
      <c r="O238" s="829" t="str">
        <f t="shared" si="18"/>
        <v/>
      </c>
      <c r="P238" s="254"/>
      <c r="Q238" s="254"/>
      <c r="R238" s="254"/>
      <c r="S238" s="254"/>
      <c r="T238" s="254"/>
      <c r="U238" s="254"/>
      <c r="V238" s="254"/>
      <c r="W238" s="254"/>
      <c r="Y238" s="246" t="str">
        <f t="shared" si="19"/>
        <v/>
      </c>
      <c r="Z238" s="247" t="str">
        <f t="shared" si="23"/>
        <v/>
      </c>
      <c r="AA238" s="246" t="str">
        <f t="shared" si="20"/>
        <v/>
      </c>
    </row>
    <row r="239" spans="1:27" ht="18" customHeight="1" x14ac:dyDescent="0.25">
      <c r="A239" s="248" t="str">
        <f t="shared" si="21"/>
        <v/>
      </c>
      <c r="B239" s="249" t="str">
        <f t="shared" si="22"/>
        <v/>
      </c>
      <c r="C239" s="250"/>
      <c r="D239" s="251"/>
      <c r="E239" s="241"/>
      <c r="F239" s="252"/>
      <c r="G239" s="252"/>
      <c r="H239" s="253"/>
      <c r="I239" s="250"/>
      <c r="J239" s="250"/>
      <c r="K239" s="270"/>
      <c r="L239" s="250"/>
      <c r="M239" s="250"/>
      <c r="N239" s="540" t="str">
        <f>CONCATENATE(IF(OR(M239=phu!$I$1,M239=phu!$I$2,M239=phu!$I$3),"Cam Thành Nam",""),IF(OR(M239=phu!$I$4,M239=phu!$I$5,M239=phu!$I$6,M239=phu!$I$7,M239=phu!$I$8,M239=phu!$I$9,M239=phu!$I$10,M239=phu!$I$11,M239=phu!$I$12,M239=phu!$I$13,M239=phu!$I$14),"Cam Nghĩa",""),IF(OR(M239=phu!$I$15,M239=phu!$I$16,M239=phu!$I$17,M239=phu!$I$18,M239=phu!$I$19,M239=phu!$I$20,M239=phu!$I$21),"Cam Phúc Bắc",""),IF(OR(M239=phu!$I$22,M239=phu!$I$23,M239=phu!$I$24,M239=phu!$I$25),"Cam Phúc Nam",""),IF(OR(M239=phu!$I$26,M239=phu!$I$27,M239=phu!$I$28,M239=phu!$I$29,M239=phu!$I$30,M239=phu!$I$31),"Cam Phú",""),IF(OR(M239=phu!$I$32,M239=phu!$I$33,M239=phu!$I$34,M239=phu!$I$35,M239=phu!$I$36,M239=phu!$I$37),"Cam Lộc",""),IF(OR(M239=phu!$I$38,M239=phu!$I$39,M239=phu!$I$40,M239=phu!$I$41,M239=phu!$I$42,M239=phu!$I$43,M239=phu!$I$44),"Cam Thuận",""),IF(OR(M239=phu!$I$45,M239=phu!$I$46,M239=phu!$I$47,M239=phu!$I$48,M239=phu!$I$49,M239=phu!$I$50,M239=phu!$I$51,M239=phu!$I$52,M239=phu!$I$53),"Cam Linh",""),IF(OR(M239=phu!$I$54,M239=phu!$I$55,M239=phu!$I$56,M239=phu!$I$57,M239=phu!$I$58,M239=phu!$I$59,M239=phu!$I$60,M239=phu!$I$61,M239=phu!$I$62),"Cam Lợi",""),IF(OR(M239=phu!$I$63,M239=phu!$I$64,M239=phu!$I$65,M239=phu!$I$66,M239=phu!$I$67,M239=phu!$I$68,M239=phu!$I$69,M239=phu!$I$70,M239=phu!$I$71),"Ba Ngòi",""),IF(OR(M239=phu!$I$72,M239=phu!$I$73,M239=phu!$I$74,M239=phu!$I$75,M239=phu!$I$76,M239=phu!$I$77,M239=phu!$I$78),"Cam Phước Đông",""),IF(OR(M239=phu!$I$79,M239=phu!$I$80,M239=phu!$I$81,M239=phu!$I$82,M239=phu!$I$83,M239=phu!$I$84),"Cam Thịnh Đông",""),IF(OR(M239=phu!$I$85,M239=phu!$I$86,M239=phu!$I$87,M239=phu!$I$88),"Cam Thịnh Tây",""),IF(OR(M239=phu!$I$89,M239=phu!$I$90),"Cam Lập",""),IF(OR(M239=phu!$I$91,M239=phu!$I$92,M239=phu!$I$93),"Cam Bình",""),IF(OR(M239=phu!$I$94,M239=phu!$I$95,M239=phu!$I$96,M239=phu!$I$97,M239=phu!$I$98,M239=phu!$I$99,M239=phu!$I$100),"Huyện khác",""),IF(OR(M239=phu!$I$101,M239=phu!$I$102),"Tỉnh khác",""))</f>
        <v/>
      </c>
      <c r="O239" s="829" t="str">
        <f t="shared" si="18"/>
        <v/>
      </c>
      <c r="P239" s="254"/>
      <c r="Q239" s="254"/>
      <c r="R239" s="254"/>
      <c r="S239" s="254"/>
      <c r="T239" s="254"/>
      <c r="U239" s="254"/>
      <c r="V239" s="254"/>
      <c r="W239" s="254"/>
      <c r="Y239" s="246" t="str">
        <f t="shared" si="19"/>
        <v/>
      </c>
      <c r="Z239" s="247" t="str">
        <f t="shared" si="23"/>
        <v/>
      </c>
      <c r="AA239" s="246" t="str">
        <f t="shared" si="20"/>
        <v/>
      </c>
    </row>
    <row r="240" spans="1:27" ht="18" customHeight="1" x14ac:dyDescent="0.25">
      <c r="A240" s="248" t="str">
        <f t="shared" si="21"/>
        <v/>
      </c>
      <c r="B240" s="249" t="str">
        <f t="shared" si="22"/>
        <v/>
      </c>
      <c r="C240" s="250"/>
      <c r="D240" s="251"/>
      <c r="E240" s="241"/>
      <c r="F240" s="252"/>
      <c r="G240" s="252"/>
      <c r="H240" s="253"/>
      <c r="I240" s="250"/>
      <c r="J240" s="250"/>
      <c r="K240" s="270"/>
      <c r="L240" s="250"/>
      <c r="M240" s="250"/>
      <c r="N240" s="540" t="str">
        <f>CONCATENATE(IF(OR(M240=phu!$I$1,M240=phu!$I$2,M240=phu!$I$3),"Cam Thành Nam",""),IF(OR(M240=phu!$I$4,M240=phu!$I$5,M240=phu!$I$6,M240=phu!$I$7,M240=phu!$I$8,M240=phu!$I$9,M240=phu!$I$10,M240=phu!$I$11,M240=phu!$I$12,M240=phu!$I$13,M240=phu!$I$14),"Cam Nghĩa",""),IF(OR(M240=phu!$I$15,M240=phu!$I$16,M240=phu!$I$17,M240=phu!$I$18,M240=phu!$I$19,M240=phu!$I$20,M240=phu!$I$21),"Cam Phúc Bắc",""),IF(OR(M240=phu!$I$22,M240=phu!$I$23,M240=phu!$I$24,M240=phu!$I$25),"Cam Phúc Nam",""),IF(OR(M240=phu!$I$26,M240=phu!$I$27,M240=phu!$I$28,M240=phu!$I$29,M240=phu!$I$30,M240=phu!$I$31),"Cam Phú",""),IF(OR(M240=phu!$I$32,M240=phu!$I$33,M240=phu!$I$34,M240=phu!$I$35,M240=phu!$I$36,M240=phu!$I$37),"Cam Lộc",""),IF(OR(M240=phu!$I$38,M240=phu!$I$39,M240=phu!$I$40,M240=phu!$I$41,M240=phu!$I$42,M240=phu!$I$43,M240=phu!$I$44),"Cam Thuận",""),IF(OR(M240=phu!$I$45,M240=phu!$I$46,M240=phu!$I$47,M240=phu!$I$48,M240=phu!$I$49,M240=phu!$I$50,M240=phu!$I$51,M240=phu!$I$52,M240=phu!$I$53),"Cam Linh",""),IF(OR(M240=phu!$I$54,M240=phu!$I$55,M240=phu!$I$56,M240=phu!$I$57,M240=phu!$I$58,M240=phu!$I$59,M240=phu!$I$60,M240=phu!$I$61,M240=phu!$I$62),"Cam Lợi",""),IF(OR(M240=phu!$I$63,M240=phu!$I$64,M240=phu!$I$65,M240=phu!$I$66,M240=phu!$I$67,M240=phu!$I$68,M240=phu!$I$69,M240=phu!$I$70,M240=phu!$I$71),"Ba Ngòi",""),IF(OR(M240=phu!$I$72,M240=phu!$I$73,M240=phu!$I$74,M240=phu!$I$75,M240=phu!$I$76,M240=phu!$I$77,M240=phu!$I$78),"Cam Phước Đông",""),IF(OR(M240=phu!$I$79,M240=phu!$I$80,M240=phu!$I$81,M240=phu!$I$82,M240=phu!$I$83,M240=phu!$I$84),"Cam Thịnh Đông",""),IF(OR(M240=phu!$I$85,M240=phu!$I$86,M240=phu!$I$87,M240=phu!$I$88),"Cam Thịnh Tây",""),IF(OR(M240=phu!$I$89,M240=phu!$I$90),"Cam Lập",""),IF(OR(M240=phu!$I$91,M240=phu!$I$92,M240=phu!$I$93),"Cam Bình",""),IF(OR(M240=phu!$I$94,M240=phu!$I$95,M240=phu!$I$96,M240=phu!$I$97,M240=phu!$I$98,M240=phu!$I$99,M240=phu!$I$100),"Huyện khác",""),IF(OR(M240=phu!$I$101,M240=phu!$I$102),"Tỉnh khác",""))</f>
        <v/>
      </c>
      <c r="O240" s="829" t="str">
        <f t="shared" si="18"/>
        <v/>
      </c>
      <c r="P240" s="254"/>
      <c r="Q240" s="254"/>
      <c r="R240" s="254"/>
      <c r="S240" s="254"/>
      <c r="T240" s="254"/>
      <c r="U240" s="254"/>
      <c r="V240" s="254"/>
      <c r="W240" s="254"/>
      <c r="Y240" s="246" t="str">
        <f t="shared" si="19"/>
        <v/>
      </c>
      <c r="Z240" s="247" t="str">
        <f t="shared" si="23"/>
        <v/>
      </c>
      <c r="AA240" s="246" t="str">
        <f t="shared" si="20"/>
        <v/>
      </c>
    </row>
    <row r="241" spans="1:27" ht="18" customHeight="1" x14ac:dyDescent="0.25">
      <c r="A241" s="248" t="str">
        <f t="shared" si="21"/>
        <v/>
      </c>
      <c r="B241" s="249" t="str">
        <f t="shared" si="22"/>
        <v/>
      </c>
      <c r="C241" s="250"/>
      <c r="D241" s="251"/>
      <c r="E241" s="241"/>
      <c r="F241" s="252"/>
      <c r="G241" s="252"/>
      <c r="H241" s="253"/>
      <c r="I241" s="250"/>
      <c r="J241" s="250"/>
      <c r="K241" s="270"/>
      <c r="L241" s="250"/>
      <c r="M241" s="250"/>
      <c r="N241" s="540" t="str">
        <f>CONCATENATE(IF(OR(M241=phu!$I$1,M241=phu!$I$2,M241=phu!$I$3),"Cam Thành Nam",""),IF(OR(M241=phu!$I$4,M241=phu!$I$5,M241=phu!$I$6,M241=phu!$I$7,M241=phu!$I$8,M241=phu!$I$9,M241=phu!$I$10,M241=phu!$I$11,M241=phu!$I$12,M241=phu!$I$13,M241=phu!$I$14),"Cam Nghĩa",""),IF(OR(M241=phu!$I$15,M241=phu!$I$16,M241=phu!$I$17,M241=phu!$I$18,M241=phu!$I$19,M241=phu!$I$20,M241=phu!$I$21),"Cam Phúc Bắc",""),IF(OR(M241=phu!$I$22,M241=phu!$I$23,M241=phu!$I$24,M241=phu!$I$25),"Cam Phúc Nam",""),IF(OR(M241=phu!$I$26,M241=phu!$I$27,M241=phu!$I$28,M241=phu!$I$29,M241=phu!$I$30,M241=phu!$I$31),"Cam Phú",""),IF(OR(M241=phu!$I$32,M241=phu!$I$33,M241=phu!$I$34,M241=phu!$I$35,M241=phu!$I$36,M241=phu!$I$37),"Cam Lộc",""),IF(OR(M241=phu!$I$38,M241=phu!$I$39,M241=phu!$I$40,M241=phu!$I$41,M241=phu!$I$42,M241=phu!$I$43,M241=phu!$I$44),"Cam Thuận",""),IF(OR(M241=phu!$I$45,M241=phu!$I$46,M241=phu!$I$47,M241=phu!$I$48,M241=phu!$I$49,M241=phu!$I$50,M241=phu!$I$51,M241=phu!$I$52,M241=phu!$I$53),"Cam Linh",""),IF(OR(M241=phu!$I$54,M241=phu!$I$55,M241=phu!$I$56,M241=phu!$I$57,M241=phu!$I$58,M241=phu!$I$59,M241=phu!$I$60,M241=phu!$I$61,M241=phu!$I$62),"Cam Lợi",""),IF(OR(M241=phu!$I$63,M241=phu!$I$64,M241=phu!$I$65,M241=phu!$I$66,M241=phu!$I$67,M241=phu!$I$68,M241=phu!$I$69,M241=phu!$I$70,M241=phu!$I$71),"Ba Ngòi",""),IF(OR(M241=phu!$I$72,M241=phu!$I$73,M241=phu!$I$74,M241=phu!$I$75,M241=phu!$I$76,M241=phu!$I$77,M241=phu!$I$78),"Cam Phước Đông",""),IF(OR(M241=phu!$I$79,M241=phu!$I$80,M241=phu!$I$81,M241=phu!$I$82,M241=phu!$I$83,M241=phu!$I$84),"Cam Thịnh Đông",""),IF(OR(M241=phu!$I$85,M241=phu!$I$86,M241=phu!$I$87,M241=phu!$I$88),"Cam Thịnh Tây",""),IF(OR(M241=phu!$I$89,M241=phu!$I$90),"Cam Lập",""),IF(OR(M241=phu!$I$91,M241=phu!$I$92,M241=phu!$I$93),"Cam Bình",""),IF(OR(M241=phu!$I$94,M241=phu!$I$95,M241=phu!$I$96,M241=phu!$I$97,M241=phu!$I$98,M241=phu!$I$99,M241=phu!$I$100),"Huyện khác",""),IF(OR(M241=phu!$I$101,M241=phu!$I$102),"Tỉnh khác",""))</f>
        <v/>
      </c>
      <c r="O241" s="829" t="str">
        <f t="shared" si="18"/>
        <v/>
      </c>
      <c r="P241" s="254"/>
      <c r="Q241" s="254"/>
      <c r="R241" s="254"/>
      <c r="S241" s="254"/>
      <c r="T241" s="254"/>
      <c r="U241" s="254"/>
      <c r="V241" s="254"/>
      <c r="W241" s="254"/>
      <c r="Y241" s="246" t="str">
        <f t="shared" si="19"/>
        <v/>
      </c>
      <c r="Z241" s="247" t="str">
        <f t="shared" si="23"/>
        <v/>
      </c>
      <c r="AA241" s="246" t="str">
        <f t="shared" si="20"/>
        <v/>
      </c>
    </row>
    <row r="242" spans="1:27" ht="18" customHeight="1" x14ac:dyDescent="0.25">
      <c r="A242" s="248" t="str">
        <f t="shared" si="21"/>
        <v/>
      </c>
      <c r="B242" s="249" t="str">
        <f t="shared" si="22"/>
        <v/>
      </c>
      <c r="C242" s="250"/>
      <c r="D242" s="251"/>
      <c r="E242" s="241"/>
      <c r="F242" s="252"/>
      <c r="G242" s="252"/>
      <c r="H242" s="253"/>
      <c r="I242" s="250"/>
      <c r="J242" s="250"/>
      <c r="K242" s="270"/>
      <c r="L242" s="250"/>
      <c r="M242" s="250"/>
      <c r="N242" s="540" t="str">
        <f>CONCATENATE(IF(OR(M242=phu!$I$1,M242=phu!$I$2,M242=phu!$I$3),"Cam Thành Nam",""),IF(OR(M242=phu!$I$4,M242=phu!$I$5,M242=phu!$I$6,M242=phu!$I$7,M242=phu!$I$8,M242=phu!$I$9,M242=phu!$I$10,M242=phu!$I$11,M242=phu!$I$12,M242=phu!$I$13,M242=phu!$I$14),"Cam Nghĩa",""),IF(OR(M242=phu!$I$15,M242=phu!$I$16,M242=phu!$I$17,M242=phu!$I$18,M242=phu!$I$19,M242=phu!$I$20,M242=phu!$I$21),"Cam Phúc Bắc",""),IF(OR(M242=phu!$I$22,M242=phu!$I$23,M242=phu!$I$24,M242=phu!$I$25),"Cam Phúc Nam",""),IF(OR(M242=phu!$I$26,M242=phu!$I$27,M242=phu!$I$28,M242=phu!$I$29,M242=phu!$I$30,M242=phu!$I$31),"Cam Phú",""),IF(OR(M242=phu!$I$32,M242=phu!$I$33,M242=phu!$I$34,M242=phu!$I$35,M242=phu!$I$36,M242=phu!$I$37),"Cam Lộc",""),IF(OR(M242=phu!$I$38,M242=phu!$I$39,M242=phu!$I$40,M242=phu!$I$41,M242=phu!$I$42,M242=phu!$I$43,M242=phu!$I$44),"Cam Thuận",""),IF(OR(M242=phu!$I$45,M242=phu!$I$46,M242=phu!$I$47,M242=phu!$I$48,M242=phu!$I$49,M242=phu!$I$50,M242=phu!$I$51,M242=phu!$I$52,M242=phu!$I$53),"Cam Linh",""),IF(OR(M242=phu!$I$54,M242=phu!$I$55,M242=phu!$I$56,M242=phu!$I$57,M242=phu!$I$58,M242=phu!$I$59,M242=phu!$I$60,M242=phu!$I$61,M242=phu!$I$62),"Cam Lợi",""),IF(OR(M242=phu!$I$63,M242=phu!$I$64,M242=phu!$I$65,M242=phu!$I$66,M242=phu!$I$67,M242=phu!$I$68,M242=phu!$I$69,M242=phu!$I$70,M242=phu!$I$71),"Ba Ngòi",""),IF(OR(M242=phu!$I$72,M242=phu!$I$73,M242=phu!$I$74,M242=phu!$I$75,M242=phu!$I$76,M242=phu!$I$77,M242=phu!$I$78),"Cam Phước Đông",""),IF(OR(M242=phu!$I$79,M242=phu!$I$80,M242=phu!$I$81,M242=phu!$I$82,M242=phu!$I$83,M242=phu!$I$84),"Cam Thịnh Đông",""),IF(OR(M242=phu!$I$85,M242=phu!$I$86,M242=phu!$I$87,M242=phu!$I$88),"Cam Thịnh Tây",""),IF(OR(M242=phu!$I$89,M242=phu!$I$90),"Cam Lập",""),IF(OR(M242=phu!$I$91,M242=phu!$I$92,M242=phu!$I$93),"Cam Bình",""),IF(OR(M242=phu!$I$94,M242=phu!$I$95,M242=phu!$I$96,M242=phu!$I$97,M242=phu!$I$98,M242=phu!$I$99,M242=phu!$I$100),"Huyện khác",""),IF(OR(M242=phu!$I$101,M242=phu!$I$102),"Tỉnh khác",""))</f>
        <v/>
      </c>
      <c r="O242" s="829" t="str">
        <f t="shared" si="18"/>
        <v/>
      </c>
      <c r="P242" s="254"/>
      <c r="Q242" s="254"/>
      <c r="R242" s="254"/>
      <c r="S242" s="254"/>
      <c r="T242" s="254"/>
      <c r="U242" s="254"/>
      <c r="V242" s="254"/>
      <c r="W242" s="254"/>
      <c r="Y242" s="246" t="str">
        <f t="shared" si="19"/>
        <v/>
      </c>
      <c r="Z242" s="247" t="str">
        <f t="shared" si="23"/>
        <v/>
      </c>
      <c r="AA242" s="246" t="str">
        <f t="shared" si="20"/>
        <v/>
      </c>
    </row>
    <row r="243" spans="1:27" ht="18" customHeight="1" x14ac:dyDescent="0.25">
      <c r="A243" s="248" t="str">
        <f t="shared" si="21"/>
        <v/>
      </c>
      <c r="B243" s="249" t="str">
        <f t="shared" si="22"/>
        <v/>
      </c>
      <c r="C243" s="250"/>
      <c r="D243" s="251"/>
      <c r="E243" s="241"/>
      <c r="F243" s="252"/>
      <c r="G243" s="252"/>
      <c r="H243" s="253"/>
      <c r="I243" s="250"/>
      <c r="J243" s="250"/>
      <c r="K243" s="270"/>
      <c r="L243" s="250"/>
      <c r="M243" s="250"/>
      <c r="N243" s="540" t="str">
        <f>CONCATENATE(IF(OR(M243=phu!$I$1,M243=phu!$I$2,M243=phu!$I$3),"Cam Thành Nam",""),IF(OR(M243=phu!$I$4,M243=phu!$I$5,M243=phu!$I$6,M243=phu!$I$7,M243=phu!$I$8,M243=phu!$I$9,M243=phu!$I$10,M243=phu!$I$11,M243=phu!$I$12,M243=phu!$I$13,M243=phu!$I$14),"Cam Nghĩa",""),IF(OR(M243=phu!$I$15,M243=phu!$I$16,M243=phu!$I$17,M243=phu!$I$18,M243=phu!$I$19,M243=phu!$I$20,M243=phu!$I$21),"Cam Phúc Bắc",""),IF(OR(M243=phu!$I$22,M243=phu!$I$23,M243=phu!$I$24,M243=phu!$I$25),"Cam Phúc Nam",""),IF(OR(M243=phu!$I$26,M243=phu!$I$27,M243=phu!$I$28,M243=phu!$I$29,M243=phu!$I$30,M243=phu!$I$31),"Cam Phú",""),IF(OR(M243=phu!$I$32,M243=phu!$I$33,M243=phu!$I$34,M243=phu!$I$35,M243=phu!$I$36,M243=phu!$I$37),"Cam Lộc",""),IF(OR(M243=phu!$I$38,M243=phu!$I$39,M243=phu!$I$40,M243=phu!$I$41,M243=phu!$I$42,M243=phu!$I$43,M243=phu!$I$44),"Cam Thuận",""),IF(OR(M243=phu!$I$45,M243=phu!$I$46,M243=phu!$I$47,M243=phu!$I$48,M243=phu!$I$49,M243=phu!$I$50,M243=phu!$I$51,M243=phu!$I$52,M243=phu!$I$53),"Cam Linh",""),IF(OR(M243=phu!$I$54,M243=phu!$I$55,M243=phu!$I$56,M243=phu!$I$57,M243=phu!$I$58,M243=phu!$I$59,M243=phu!$I$60,M243=phu!$I$61,M243=phu!$I$62),"Cam Lợi",""),IF(OR(M243=phu!$I$63,M243=phu!$I$64,M243=phu!$I$65,M243=phu!$I$66,M243=phu!$I$67,M243=phu!$I$68,M243=phu!$I$69,M243=phu!$I$70,M243=phu!$I$71),"Ba Ngòi",""),IF(OR(M243=phu!$I$72,M243=phu!$I$73,M243=phu!$I$74,M243=phu!$I$75,M243=phu!$I$76,M243=phu!$I$77,M243=phu!$I$78),"Cam Phước Đông",""),IF(OR(M243=phu!$I$79,M243=phu!$I$80,M243=phu!$I$81,M243=phu!$I$82,M243=phu!$I$83,M243=phu!$I$84),"Cam Thịnh Đông",""),IF(OR(M243=phu!$I$85,M243=phu!$I$86,M243=phu!$I$87,M243=phu!$I$88),"Cam Thịnh Tây",""),IF(OR(M243=phu!$I$89,M243=phu!$I$90),"Cam Lập",""),IF(OR(M243=phu!$I$91,M243=phu!$I$92,M243=phu!$I$93),"Cam Bình",""),IF(OR(M243=phu!$I$94,M243=phu!$I$95,M243=phu!$I$96,M243=phu!$I$97,M243=phu!$I$98,M243=phu!$I$99,M243=phu!$I$100),"Huyện khác",""),IF(OR(M243=phu!$I$101,M243=phu!$I$102),"Tỉnh khác",""))</f>
        <v/>
      </c>
      <c r="O243" s="829" t="str">
        <f t="shared" si="18"/>
        <v/>
      </c>
      <c r="P243" s="254"/>
      <c r="Q243" s="254"/>
      <c r="R243" s="254"/>
      <c r="S243" s="254"/>
      <c r="T243" s="254"/>
      <c r="U243" s="254"/>
      <c r="V243" s="254"/>
      <c r="W243" s="254"/>
      <c r="Y243" s="246" t="str">
        <f t="shared" si="19"/>
        <v/>
      </c>
      <c r="Z243" s="247" t="str">
        <f t="shared" si="23"/>
        <v/>
      </c>
      <c r="AA243" s="246" t="str">
        <f t="shared" si="20"/>
        <v/>
      </c>
    </row>
    <row r="244" spans="1:27" ht="18" customHeight="1" x14ac:dyDescent="0.25">
      <c r="A244" s="248" t="str">
        <f t="shared" si="21"/>
        <v/>
      </c>
      <c r="B244" s="249" t="str">
        <f t="shared" si="22"/>
        <v/>
      </c>
      <c r="C244" s="250"/>
      <c r="D244" s="251"/>
      <c r="E244" s="241"/>
      <c r="F244" s="252"/>
      <c r="G244" s="252"/>
      <c r="H244" s="253"/>
      <c r="I244" s="250"/>
      <c r="J244" s="250"/>
      <c r="K244" s="270"/>
      <c r="L244" s="250"/>
      <c r="M244" s="250"/>
      <c r="N244" s="540" t="str">
        <f>CONCATENATE(IF(OR(M244=phu!$I$1,M244=phu!$I$2,M244=phu!$I$3),"Cam Thành Nam",""),IF(OR(M244=phu!$I$4,M244=phu!$I$5,M244=phu!$I$6,M244=phu!$I$7,M244=phu!$I$8,M244=phu!$I$9,M244=phu!$I$10,M244=phu!$I$11,M244=phu!$I$12,M244=phu!$I$13,M244=phu!$I$14),"Cam Nghĩa",""),IF(OR(M244=phu!$I$15,M244=phu!$I$16,M244=phu!$I$17,M244=phu!$I$18,M244=phu!$I$19,M244=phu!$I$20,M244=phu!$I$21),"Cam Phúc Bắc",""),IF(OR(M244=phu!$I$22,M244=phu!$I$23,M244=phu!$I$24,M244=phu!$I$25),"Cam Phúc Nam",""),IF(OR(M244=phu!$I$26,M244=phu!$I$27,M244=phu!$I$28,M244=phu!$I$29,M244=phu!$I$30,M244=phu!$I$31),"Cam Phú",""),IF(OR(M244=phu!$I$32,M244=phu!$I$33,M244=phu!$I$34,M244=phu!$I$35,M244=phu!$I$36,M244=phu!$I$37),"Cam Lộc",""),IF(OR(M244=phu!$I$38,M244=phu!$I$39,M244=phu!$I$40,M244=phu!$I$41,M244=phu!$I$42,M244=phu!$I$43,M244=phu!$I$44),"Cam Thuận",""),IF(OR(M244=phu!$I$45,M244=phu!$I$46,M244=phu!$I$47,M244=phu!$I$48,M244=phu!$I$49,M244=phu!$I$50,M244=phu!$I$51,M244=phu!$I$52,M244=phu!$I$53),"Cam Linh",""),IF(OR(M244=phu!$I$54,M244=phu!$I$55,M244=phu!$I$56,M244=phu!$I$57,M244=phu!$I$58,M244=phu!$I$59,M244=phu!$I$60,M244=phu!$I$61,M244=phu!$I$62),"Cam Lợi",""),IF(OR(M244=phu!$I$63,M244=phu!$I$64,M244=phu!$I$65,M244=phu!$I$66,M244=phu!$I$67,M244=phu!$I$68,M244=phu!$I$69,M244=phu!$I$70,M244=phu!$I$71),"Ba Ngòi",""),IF(OR(M244=phu!$I$72,M244=phu!$I$73,M244=phu!$I$74,M244=phu!$I$75,M244=phu!$I$76,M244=phu!$I$77,M244=phu!$I$78),"Cam Phước Đông",""),IF(OR(M244=phu!$I$79,M244=phu!$I$80,M244=phu!$I$81,M244=phu!$I$82,M244=phu!$I$83,M244=phu!$I$84),"Cam Thịnh Đông",""),IF(OR(M244=phu!$I$85,M244=phu!$I$86,M244=phu!$I$87,M244=phu!$I$88),"Cam Thịnh Tây",""),IF(OR(M244=phu!$I$89,M244=phu!$I$90),"Cam Lập",""),IF(OR(M244=phu!$I$91,M244=phu!$I$92,M244=phu!$I$93),"Cam Bình",""),IF(OR(M244=phu!$I$94,M244=phu!$I$95,M244=phu!$I$96,M244=phu!$I$97,M244=phu!$I$98,M244=phu!$I$99,M244=phu!$I$100),"Huyện khác",""),IF(OR(M244=phu!$I$101,M244=phu!$I$102),"Tỉnh khác",""))</f>
        <v/>
      </c>
      <c r="O244" s="829" t="str">
        <f t="shared" si="18"/>
        <v/>
      </c>
      <c r="P244" s="254"/>
      <c r="Q244" s="254"/>
      <c r="R244" s="254"/>
      <c r="S244" s="254"/>
      <c r="T244" s="254"/>
      <c r="U244" s="254"/>
      <c r="V244" s="254"/>
      <c r="W244" s="254"/>
      <c r="Y244" s="246" t="str">
        <f t="shared" si="19"/>
        <v/>
      </c>
      <c r="Z244" s="247" t="str">
        <f t="shared" si="23"/>
        <v/>
      </c>
      <c r="AA244" s="246" t="str">
        <f t="shared" si="20"/>
        <v/>
      </c>
    </row>
    <row r="245" spans="1:27" ht="18" customHeight="1" x14ac:dyDescent="0.25">
      <c r="A245" s="248" t="str">
        <f t="shared" si="21"/>
        <v/>
      </c>
      <c r="B245" s="249" t="str">
        <f t="shared" si="22"/>
        <v/>
      </c>
      <c r="C245" s="250"/>
      <c r="D245" s="251"/>
      <c r="E245" s="241"/>
      <c r="F245" s="252"/>
      <c r="G245" s="252"/>
      <c r="H245" s="253"/>
      <c r="I245" s="250"/>
      <c r="J245" s="250"/>
      <c r="K245" s="270"/>
      <c r="L245" s="250"/>
      <c r="M245" s="250"/>
      <c r="N245" s="540" t="str">
        <f>CONCATENATE(IF(OR(M245=phu!$I$1,M245=phu!$I$2,M245=phu!$I$3),"Cam Thành Nam",""),IF(OR(M245=phu!$I$4,M245=phu!$I$5,M245=phu!$I$6,M245=phu!$I$7,M245=phu!$I$8,M245=phu!$I$9,M245=phu!$I$10,M245=phu!$I$11,M245=phu!$I$12,M245=phu!$I$13,M245=phu!$I$14),"Cam Nghĩa",""),IF(OR(M245=phu!$I$15,M245=phu!$I$16,M245=phu!$I$17,M245=phu!$I$18,M245=phu!$I$19,M245=phu!$I$20,M245=phu!$I$21),"Cam Phúc Bắc",""),IF(OR(M245=phu!$I$22,M245=phu!$I$23,M245=phu!$I$24,M245=phu!$I$25),"Cam Phúc Nam",""),IF(OR(M245=phu!$I$26,M245=phu!$I$27,M245=phu!$I$28,M245=phu!$I$29,M245=phu!$I$30,M245=phu!$I$31),"Cam Phú",""),IF(OR(M245=phu!$I$32,M245=phu!$I$33,M245=phu!$I$34,M245=phu!$I$35,M245=phu!$I$36,M245=phu!$I$37),"Cam Lộc",""),IF(OR(M245=phu!$I$38,M245=phu!$I$39,M245=phu!$I$40,M245=phu!$I$41,M245=phu!$I$42,M245=phu!$I$43,M245=phu!$I$44),"Cam Thuận",""),IF(OR(M245=phu!$I$45,M245=phu!$I$46,M245=phu!$I$47,M245=phu!$I$48,M245=phu!$I$49,M245=phu!$I$50,M245=phu!$I$51,M245=phu!$I$52,M245=phu!$I$53),"Cam Linh",""),IF(OR(M245=phu!$I$54,M245=phu!$I$55,M245=phu!$I$56,M245=phu!$I$57,M245=phu!$I$58,M245=phu!$I$59,M245=phu!$I$60,M245=phu!$I$61,M245=phu!$I$62),"Cam Lợi",""),IF(OR(M245=phu!$I$63,M245=phu!$I$64,M245=phu!$I$65,M245=phu!$I$66,M245=phu!$I$67,M245=phu!$I$68,M245=phu!$I$69,M245=phu!$I$70,M245=phu!$I$71),"Ba Ngòi",""),IF(OR(M245=phu!$I$72,M245=phu!$I$73,M245=phu!$I$74,M245=phu!$I$75,M245=phu!$I$76,M245=phu!$I$77,M245=phu!$I$78),"Cam Phước Đông",""),IF(OR(M245=phu!$I$79,M245=phu!$I$80,M245=phu!$I$81,M245=phu!$I$82,M245=phu!$I$83,M245=phu!$I$84),"Cam Thịnh Đông",""),IF(OR(M245=phu!$I$85,M245=phu!$I$86,M245=phu!$I$87,M245=phu!$I$88),"Cam Thịnh Tây",""),IF(OR(M245=phu!$I$89,M245=phu!$I$90),"Cam Lập",""),IF(OR(M245=phu!$I$91,M245=phu!$I$92,M245=phu!$I$93),"Cam Bình",""),IF(OR(M245=phu!$I$94,M245=phu!$I$95,M245=phu!$I$96,M245=phu!$I$97,M245=phu!$I$98,M245=phu!$I$99,M245=phu!$I$100),"Huyện khác",""),IF(OR(M245=phu!$I$101,M245=phu!$I$102),"Tỉnh khác",""))</f>
        <v/>
      </c>
      <c r="O245" s="829" t="str">
        <f t="shared" si="18"/>
        <v/>
      </c>
      <c r="P245" s="254"/>
      <c r="Q245" s="254"/>
      <c r="R245" s="254"/>
      <c r="S245" s="254"/>
      <c r="T245" s="254"/>
      <c r="U245" s="254"/>
      <c r="V245" s="254"/>
      <c r="W245" s="254"/>
      <c r="Y245" s="246" t="str">
        <f t="shared" si="19"/>
        <v/>
      </c>
      <c r="Z245" s="247" t="str">
        <f t="shared" si="23"/>
        <v/>
      </c>
      <c r="AA245" s="246" t="str">
        <f t="shared" si="20"/>
        <v/>
      </c>
    </row>
    <row r="246" spans="1:27" ht="18" customHeight="1" x14ac:dyDescent="0.25">
      <c r="A246" s="248" t="str">
        <f t="shared" si="21"/>
        <v/>
      </c>
      <c r="B246" s="249" t="str">
        <f t="shared" si="22"/>
        <v/>
      </c>
      <c r="C246" s="250"/>
      <c r="D246" s="251"/>
      <c r="E246" s="241"/>
      <c r="F246" s="252"/>
      <c r="G246" s="252"/>
      <c r="H246" s="253"/>
      <c r="I246" s="250"/>
      <c r="J246" s="250"/>
      <c r="K246" s="270"/>
      <c r="L246" s="250"/>
      <c r="M246" s="250"/>
      <c r="N246" s="540" t="str">
        <f>CONCATENATE(IF(OR(M246=phu!$I$1,M246=phu!$I$2,M246=phu!$I$3),"Cam Thành Nam",""),IF(OR(M246=phu!$I$4,M246=phu!$I$5,M246=phu!$I$6,M246=phu!$I$7,M246=phu!$I$8,M246=phu!$I$9,M246=phu!$I$10,M246=phu!$I$11,M246=phu!$I$12,M246=phu!$I$13,M246=phu!$I$14),"Cam Nghĩa",""),IF(OR(M246=phu!$I$15,M246=phu!$I$16,M246=phu!$I$17,M246=phu!$I$18,M246=phu!$I$19,M246=phu!$I$20,M246=phu!$I$21),"Cam Phúc Bắc",""),IF(OR(M246=phu!$I$22,M246=phu!$I$23,M246=phu!$I$24,M246=phu!$I$25),"Cam Phúc Nam",""),IF(OR(M246=phu!$I$26,M246=phu!$I$27,M246=phu!$I$28,M246=phu!$I$29,M246=phu!$I$30,M246=phu!$I$31),"Cam Phú",""),IF(OR(M246=phu!$I$32,M246=phu!$I$33,M246=phu!$I$34,M246=phu!$I$35,M246=phu!$I$36,M246=phu!$I$37),"Cam Lộc",""),IF(OR(M246=phu!$I$38,M246=phu!$I$39,M246=phu!$I$40,M246=phu!$I$41,M246=phu!$I$42,M246=phu!$I$43,M246=phu!$I$44),"Cam Thuận",""),IF(OR(M246=phu!$I$45,M246=phu!$I$46,M246=phu!$I$47,M246=phu!$I$48,M246=phu!$I$49,M246=phu!$I$50,M246=phu!$I$51,M246=phu!$I$52,M246=phu!$I$53),"Cam Linh",""),IF(OR(M246=phu!$I$54,M246=phu!$I$55,M246=phu!$I$56,M246=phu!$I$57,M246=phu!$I$58,M246=phu!$I$59,M246=phu!$I$60,M246=phu!$I$61,M246=phu!$I$62),"Cam Lợi",""),IF(OR(M246=phu!$I$63,M246=phu!$I$64,M246=phu!$I$65,M246=phu!$I$66,M246=phu!$I$67,M246=phu!$I$68,M246=phu!$I$69,M246=phu!$I$70,M246=phu!$I$71),"Ba Ngòi",""),IF(OR(M246=phu!$I$72,M246=phu!$I$73,M246=phu!$I$74,M246=phu!$I$75,M246=phu!$I$76,M246=phu!$I$77,M246=phu!$I$78),"Cam Phước Đông",""),IF(OR(M246=phu!$I$79,M246=phu!$I$80,M246=phu!$I$81,M246=phu!$I$82,M246=phu!$I$83,M246=phu!$I$84),"Cam Thịnh Đông",""),IF(OR(M246=phu!$I$85,M246=phu!$I$86,M246=phu!$I$87,M246=phu!$I$88),"Cam Thịnh Tây",""),IF(OR(M246=phu!$I$89,M246=phu!$I$90),"Cam Lập",""),IF(OR(M246=phu!$I$91,M246=phu!$I$92,M246=phu!$I$93),"Cam Bình",""),IF(OR(M246=phu!$I$94,M246=phu!$I$95,M246=phu!$I$96,M246=phu!$I$97,M246=phu!$I$98,M246=phu!$I$99,M246=phu!$I$100),"Huyện khác",""),IF(OR(M246=phu!$I$101,M246=phu!$I$102),"Tỉnh khác",""))</f>
        <v/>
      </c>
      <c r="O246" s="829" t="str">
        <f t="shared" si="18"/>
        <v/>
      </c>
      <c r="P246" s="254"/>
      <c r="Q246" s="254"/>
      <c r="R246" s="254"/>
      <c r="S246" s="254"/>
      <c r="T246" s="254"/>
      <c r="U246" s="254"/>
      <c r="V246" s="254"/>
      <c r="W246" s="254"/>
      <c r="Y246" s="246" t="str">
        <f t="shared" si="19"/>
        <v/>
      </c>
      <c r="Z246" s="247" t="str">
        <f t="shared" si="23"/>
        <v/>
      </c>
      <c r="AA246" s="246" t="str">
        <f t="shared" si="20"/>
        <v/>
      </c>
    </row>
    <row r="247" spans="1:27" ht="18" customHeight="1" x14ac:dyDescent="0.25">
      <c r="A247" s="248" t="str">
        <f t="shared" si="21"/>
        <v/>
      </c>
      <c r="B247" s="249" t="str">
        <f t="shared" si="22"/>
        <v/>
      </c>
      <c r="C247" s="250"/>
      <c r="D247" s="251"/>
      <c r="E247" s="241"/>
      <c r="F247" s="252"/>
      <c r="G247" s="252"/>
      <c r="H247" s="253"/>
      <c r="I247" s="250"/>
      <c r="J247" s="250"/>
      <c r="K247" s="270"/>
      <c r="L247" s="250"/>
      <c r="M247" s="250"/>
      <c r="N247" s="540" t="str">
        <f>CONCATENATE(IF(OR(M247=phu!$I$1,M247=phu!$I$2,M247=phu!$I$3),"Cam Thành Nam",""),IF(OR(M247=phu!$I$4,M247=phu!$I$5,M247=phu!$I$6,M247=phu!$I$7,M247=phu!$I$8,M247=phu!$I$9,M247=phu!$I$10,M247=phu!$I$11,M247=phu!$I$12,M247=phu!$I$13,M247=phu!$I$14),"Cam Nghĩa",""),IF(OR(M247=phu!$I$15,M247=phu!$I$16,M247=phu!$I$17,M247=phu!$I$18,M247=phu!$I$19,M247=phu!$I$20,M247=phu!$I$21),"Cam Phúc Bắc",""),IF(OR(M247=phu!$I$22,M247=phu!$I$23,M247=phu!$I$24,M247=phu!$I$25),"Cam Phúc Nam",""),IF(OR(M247=phu!$I$26,M247=phu!$I$27,M247=phu!$I$28,M247=phu!$I$29,M247=phu!$I$30,M247=phu!$I$31),"Cam Phú",""),IF(OR(M247=phu!$I$32,M247=phu!$I$33,M247=phu!$I$34,M247=phu!$I$35,M247=phu!$I$36,M247=phu!$I$37),"Cam Lộc",""),IF(OR(M247=phu!$I$38,M247=phu!$I$39,M247=phu!$I$40,M247=phu!$I$41,M247=phu!$I$42,M247=phu!$I$43,M247=phu!$I$44),"Cam Thuận",""),IF(OR(M247=phu!$I$45,M247=phu!$I$46,M247=phu!$I$47,M247=phu!$I$48,M247=phu!$I$49,M247=phu!$I$50,M247=phu!$I$51,M247=phu!$I$52,M247=phu!$I$53),"Cam Linh",""),IF(OR(M247=phu!$I$54,M247=phu!$I$55,M247=phu!$I$56,M247=phu!$I$57,M247=phu!$I$58,M247=phu!$I$59,M247=phu!$I$60,M247=phu!$I$61,M247=phu!$I$62),"Cam Lợi",""),IF(OR(M247=phu!$I$63,M247=phu!$I$64,M247=phu!$I$65,M247=phu!$I$66,M247=phu!$I$67,M247=phu!$I$68,M247=phu!$I$69,M247=phu!$I$70,M247=phu!$I$71),"Ba Ngòi",""),IF(OR(M247=phu!$I$72,M247=phu!$I$73,M247=phu!$I$74,M247=phu!$I$75,M247=phu!$I$76,M247=phu!$I$77,M247=phu!$I$78),"Cam Phước Đông",""),IF(OR(M247=phu!$I$79,M247=phu!$I$80,M247=phu!$I$81,M247=phu!$I$82,M247=phu!$I$83,M247=phu!$I$84),"Cam Thịnh Đông",""),IF(OR(M247=phu!$I$85,M247=phu!$I$86,M247=phu!$I$87,M247=phu!$I$88),"Cam Thịnh Tây",""),IF(OR(M247=phu!$I$89,M247=phu!$I$90),"Cam Lập",""),IF(OR(M247=phu!$I$91,M247=phu!$I$92,M247=phu!$I$93),"Cam Bình",""),IF(OR(M247=phu!$I$94,M247=phu!$I$95,M247=phu!$I$96,M247=phu!$I$97,M247=phu!$I$98,M247=phu!$I$99,M247=phu!$I$100),"Huyện khác",""),IF(OR(M247=phu!$I$101,M247=phu!$I$102),"Tỉnh khác",""))</f>
        <v/>
      </c>
      <c r="O247" s="829" t="str">
        <f t="shared" si="18"/>
        <v/>
      </c>
      <c r="P247" s="254"/>
      <c r="Q247" s="254"/>
      <c r="R247" s="254"/>
      <c r="S247" s="254"/>
      <c r="T247" s="254"/>
      <c r="U247" s="254"/>
      <c r="V247" s="254"/>
      <c r="W247" s="254"/>
      <c r="Y247" s="246" t="str">
        <f t="shared" si="19"/>
        <v/>
      </c>
      <c r="Z247" s="247" t="str">
        <f t="shared" si="23"/>
        <v/>
      </c>
      <c r="AA247" s="246" t="str">
        <f t="shared" si="20"/>
        <v/>
      </c>
    </row>
    <row r="248" spans="1:27" ht="18" customHeight="1" x14ac:dyDescent="0.25">
      <c r="A248" s="248" t="str">
        <f t="shared" si="21"/>
        <v/>
      </c>
      <c r="B248" s="249" t="str">
        <f t="shared" si="22"/>
        <v/>
      </c>
      <c r="C248" s="250"/>
      <c r="D248" s="251"/>
      <c r="E248" s="241"/>
      <c r="F248" s="252"/>
      <c r="G248" s="252"/>
      <c r="H248" s="253"/>
      <c r="I248" s="250"/>
      <c r="J248" s="250"/>
      <c r="K248" s="270"/>
      <c r="L248" s="250"/>
      <c r="M248" s="250"/>
      <c r="N248" s="540" t="str">
        <f>CONCATENATE(IF(OR(M248=phu!$I$1,M248=phu!$I$2,M248=phu!$I$3),"Cam Thành Nam",""),IF(OR(M248=phu!$I$4,M248=phu!$I$5,M248=phu!$I$6,M248=phu!$I$7,M248=phu!$I$8,M248=phu!$I$9,M248=phu!$I$10,M248=phu!$I$11,M248=phu!$I$12,M248=phu!$I$13,M248=phu!$I$14),"Cam Nghĩa",""),IF(OR(M248=phu!$I$15,M248=phu!$I$16,M248=phu!$I$17,M248=phu!$I$18,M248=phu!$I$19,M248=phu!$I$20,M248=phu!$I$21),"Cam Phúc Bắc",""),IF(OR(M248=phu!$I$22,M248=phu!$I$23,M248=phu!$I$24,M248=phu!$I$25),"Cam Phúc Nam",""),IF(OR(M248=phu!$I$26,M248=phu!$I$27,M248=phu!$I$28,M248=phu!$I$29,M248=phu!$I$30,M248=phu!$I$31),"Cam Phú",""),IF(OR(M248=phu!$I$32,M248=phu!$I$33,M248=phu!$I$34,M248=phu!$I$35,M248=phu!$I$36,M248=phu!$I$37),"Cam Lộc",""),IF(OR(M248=phu!$I$38,M248=phu!$I$39,M248=phu!$I$40,M248=phu!$I$41,M248=phu!$I$42,M248=phu!$I$43,M248=phu!$I$44),"Cam Thuận",""),IF(OR(M248=phu!$I$45,M248=phu!$I$46,M248=phu!$I$47,M248=phu!$I$48,M248=phu!$I$49,M248=phu!$I$50,M248=phu!$I$51,M248=phu!$I$52,M248=phu!$I$53),"Cam Linh",""),IF(OR(M248=phu!$I$54,M248=phu!$I$55,M248=phu!$I$56,M248=phu!$I$57,M248=phu!$I$58,M248=phu!$I$59,M248=phu!$I$60,M248=phu!$I$61,M248=phu!$I$62),"Cam Lợi",""),IF(OR(M248=phu!$I$63,M248=phu!$I$64,M248=phu!$I$65,M248=phu!$I$66,M248=phu!$I$67,M248=phu!$I$68,M248=phu!$I$69,M248=phu!$I$70,M248=phu!$I$71),"Ba Ngòi",""),IF(OR(M248=phu!$I$72,M248=phu!$I$73,M248=phu!$I$74,M248=phu!$I$75,M248=phu!$I$76,M248=phu!$I$77,M248=phu!$I$78),"Cam Phước Đông",""),IF(OR(M248=phu!$I$79,M248=phu!$I$80,M248=phu!$I$81,M248=phu!$I$82,M248=phu!$I$83,M248=phu!$I$84),"Cam Thịnh Đông",""),IF(OR(M248=phu!$I$85,M248=phu!$I$86,M248=phu!$I$87,M248=phu!$I$88),"Cam Thịnh Tây",""),IF(OR(M248=phu!$I$89,M248=phu!$I$90),"Cam Lập",""),IF(OR(M248=phu!$I$91,M248=phu!$I$92,M248=phu!$I$93),"Cam Bình",""),IF(OR(M248=phu!$I$94,M248=phu!$I$95,M248=phu!$I$96,M248=phu!$I$97,M248=phu!$I$98,M248=phu!$I$99,M248=phu!$I$100),"Huyện khác",""),IF(OR(M248=phu!$I$101,M248=phu!$I$102),"Tỉnh khác",""))</f>
        <v/>
      </c>
      <c r="O248" s="829" t="str">
        <f t="shared" si="18"/>
        <v/>
      </c>
      <c r="P248" s="254"/>
      <c r="Q248" s="254"/>
      <c r="R248" s="254"/>
      <c r="S248" s="254"/>
      <c r="T248" s="254"/>
      <c r="U248" s="254"/>
      <c r="V248" s="254"/>
      <c r="W248" s="254"/>
      <c r="Y248" s="246" t="str">
        <f t="shared" si="19"/>
        <v/>
      </c>
      <c r="Z248" s="247" t="str">
        <f t="shared" si="23"/>
        <v/>
      </c>
      <c r="AA248" s="246" t="str">
        <f t="shared" si="20"/>
        <v/>
      </c>
    </row>
    <row r="249" spans="1:27" ht="18" customHeight="1" x14ac:dyDescent="0.25">
      <c r="A249" s="248" t="str">
        <f t="shared" si="21"/>
        <v/>
      </c>
      <c r="B249" s="249" t="str">
        <f t="shared" si="22"/>
        <v/>
      </c>
      <c r="C249" s="250"/>
      <c r="D249" s="251"/>
      <c r="E249" s="241"/>
      <c r="F249" s="252"/>
      <c r="G249" s="252"/>
      <c r="H249" s="253"/>
      <c r="I249" s="250"/>
      <c r="J249" s="250"/>
      <c r="K249" s="270"/>
      <c r="L249" s="250"/>
      <c r="M249" s="250"/>
      <c r="N249" s="540" t="str">
        <f>CONCATENATE(IF(OR(M249=phu!$I$1,M249=phu!$I$2,M249=phu!$I$3),"Cam Thành Nam",""),IF(OR(M249=phu!$I$4,M249=phu!$I$5,M249=phu!$I$6,M249=phu!$I$7,M249=phu!$I$8,M249=phu!$I$9,M249=phu!$I$10,M249=phu!$I$11,M249=phu!$I$12,M249=phu!$I$13,M249=phu!$I$14),"Cam Nghĩa",""),IF(OR(M249=phu!$I$15,M249=phu!$I$16,M249=phu!$I$17,M249=phu!$I$18,M249=phu!$I$19,M249=phu!$I$20,M249=phu!$I$21),"Cam Phúc Bắc",""),IF(OR(M249=phu!$I$22,M249=phu!$I$23,M249=phu!$I$24,M249=phu!$I$25),"Cam Phúc Nam",""),IF(OR(M249=phu!$I$26,M249=phu!$I$27,M249=phu!$I$28,M249=phu!$I$29,M249=phu!$I$30,M249=phu!$I$31),"Cam Phú",""),IF(OR(M249=phu!$I$32,M249=phu!$I$33,M249=phu!$I$34,M249=phu!$I$35,M249=phu!$I$36,M249=phu!$I$37),"Cam Lộc",""),IF(OR(M249=phu!$I$38,M249=phu!$I$39,M249=phu!$I$40,M249=phu!$I$41,M249=phu!$I$42,M249=phu!$I$43,M249=phu!$I$44),"Cam Thuận",""),IF(OR(M249=phu!$I$45,M249=phu!$I$46,M249=phu!$I$47,M249=phu!$I$48,M249=phu!$I$49,M249=phu!$I$50,M249=phu!$I$51,M249=phu!$I$52,M249=phu!$I$53),"Cam Linh",""),IF(OR(M249=phu!$I$54,M249=phu!$I$55,M249=phu!$I$56,M249=phu!$I$57,M249=phu!$I$58,M249=phu!$I$59,M249=phu!$I$60,M249=phu!$I$61,M249=phu!$I$62),"Cam Lợi",""),IF(OR(M249=phu!$I$63,M249=phu!$I$64,M249=phu!$I$65,M249=phu!$I$66,M249=phu!$I$67,M249=phu!$I$68,M249=phu!$I$69,M249=phu!$I$70,M249=phu!$I$71),"Ba Ngòi",""),IF(OR(M249=phu!$I$72,M249=phu!$I$73,M249=phu!$I$74,M249=phu!$I$75,M249=phu!$I$76,M249=phu!$I$77,M249=phu!$I$78),"Cam Phước Đông",""),IF(OR(M249=phu!$I$79,M249=phu!$I$80,M249=phu!$I$81,M249=phu!$I$82,M249=phu!$I$83,M249=phu!$I$84),"Cam Thịnh Đông",""),IF(OR(M249=phu!$I$85,M249=phu!$I$86,M249=phu!$I$87,M249=phu!$I$88),"Cam Thịnh Tây",""),IF(OR(M249=phu!$I$89,M249=phu!$I$90),"Cam Lập",""),IF(OR(M249=phu!$I$91,M249=phu!$I$92,M249=phu!$I$93),"Cam Bình",""),IF(OR(M249=phu!$I$94,M249=phu!$I$95,M249=phu!$I$96,M249=phu!$I$97,M249=phu!$I$98,M249=phu!$I$99,M249=phu!$I$100),"Huyện khác",""),IF(OR(M249=phu!$I$101,M249=phu!$I$102),"Tỉnh khác",""))</f>
        <v/>
      </c>
      <c r="O249" s="829" t="str">
        <f t="shared" si="18"/>
        <v/>
      </c>
      <c r="P249" s="254"/>
      <c r="Q249" s="254"/>
      <c r="R249" s="254"/>
      <c r="S249" s="254"/>
      <c r="T249" s="254"/>
      <c r="U249" s="254"/>
      <c r="V249" s="254"/>
      <c r="W249" s="254"/>
      <c r="Y249" s="246" t="str">
        <f t="shared" si="19"/>
        <v/>
      </c>
      <c r="Z249" s="247" t="str">
        <f t="shared" si="23"/>
        <v/>
      </c>
      <c r="AA249" s="246" t="str">
        <f t="shared" si="20"/>
        <v/>
      </c>
    </row>
    <row r="250" spans="1:27" ht="18" customHeight="1" x14ac:dyDescent="0.25">
      <c r="A250" s="248" t="str">
        <f t="shared" si="21"/>
        <v/>
      </c>
      <c r="B250" s="249" t="str">
        <f t="shared" si="22"/>
        <v/>
      </c>
      <c r="C250" s="250"/>
      <c r="D250" s="251"/>
      <c r="E250" s="241"/>
      <c r="F250" s="252"/>
      <c r="G250" s="252"/>
      <c r="H250" s="253"/>
      <c r="I250" s="250"/>
      <c r="J250" s="250"/>
      <c r="K250" s="270"/>
      <c r="L250" s="250"/>
      <c r="M250" s="250"/>
      <c r="N250" s="540" t="str">
        <f>CONCATENATE(IF(OR(M250=phu!$I$1,M250=phu!$I$2,M250=phu!$I$3),"Cam Thành Nam",""),IF(OR(M250=phu!$I$4,M250=phu!$I$5,M250=phu!$I$6,M250=phu!$I$7,M250=phu!$I$8,M250=phu!$I$9,M250=phu!$I$10,M250=phu!$I$11,M250=phu!$I$12,M250=phu!$I$13,M250=phu!$I$14),"Cam Nghĩa",""),IF(OR(M250=phu!$I$15,M250=phu!$I$16,M250=phu!$I$17,M250=phu!$I$18,M250=phu!$I$19,M250=phu!$I$20,M250=phu!$I$21),"Cam Phúc Bắc",""),IF(OR(M250=phu!$I$22,M250=phu!$I$23,M250=phu!$I$24,M250=phu!$I$25),"Cam Phúc Nam",""),IF(OR(M250=phu!$I$26,M250=phu!$I$27,M250=phu!$I$28,M250=phu!$I$29,M250=phu!$I$30,M250=phu!$I$31),"Cam Phú",""),IF(OR(M250=phu!$I$32,M250=phu!$I$33,M250=phu!$I$34,M250=phu!$I$35,M250=phu!$I$36,M250=phu!$I$37),"Cam Lộc",""),IF(OR(M250=phu!$I$38,M250=phu!$I$39,M250=phu!$I$40,M250=phu!$I$41,M250=phu!$I$42,M250=phu!$I$43,M250=phu!$I$44),"Cam Thuận",""),IF(OR(M250=phu!$I$45,M250=phu!$I$46,M250=phu!$I$47,M250=phu!$I$48,M250=phu!$I$49,M250=phu!$I$50,M250=phu!$I$51,M250=phu!$I$52,M250=phu!$I$53),"Cam Linh",""),IF(OR(M250=phu!$I$54,M250=phu!$I$55,M250=phu!$I$56,M250=phu!$I$57,M250=phu!$I$58,M250=phu!$I$59,M250=phu!$I$60,M250=phu!$I$61,M250=phu!$I$62),"Cam Lợi",""),IF(OR(M250=phu!$I$63,M250=phu!$I$64,M250=phu!$I$65,M250=phu!$I$66,M250=phu!$I$67,M250=phu!$I$68,M250=phu!$I$69,M250=phu!$I$70,M250=phu!$I$71),"Ba Ngòi",""),IF(OR(M250=phu!$I$72,M250=phu!$I$73,M250=phu!$I$74,M250=phu!$I$75,M250=phu!$I$76,M250=phu!$I$77,M250=phu!$I$78),"Cam Phước Đông",""),IF(OR(M250=phu!$I$79,M250=phu!$I$80,M250=phu!$I$81,M250=phu!$I$82,M250=phu!$I$83,M250=phu!$I$84),"Cam Thịnh Đông",""),IF(OR(M250=phu!$I$85,M250=phu!$I$86,M250=phu!$I$87,M250=phu!$I$88),"Cam Thịnh Tây",""),IF(OR(M250=phu!$I$89,M250=phu!$I$90),"Cam Lập",""),IF(OR(M250=phu!$I$91,M250=phu!$I$92,M250=phu!$I$93),"Cam Bình",""),IF(OR(M250=phu!$I$94,M250=phu!$I$95,M250=phu!$I$96,M250=phu!$I$97,M250=phu!$I$98,M250=phu!$I$99,M250=phu!$I$100),"Huyện khác",""),IF(OR(M250=phu!$I$101,M250=phu!$I$102),"Tỉnh khác",""))</f>
        <v/>
      </c>
      <c r="O250" s="829" t="str">
        <f t="shared" si="18"/>
        <v/>
      </c>
      <c r="P250" s="254"/>
      <c r="Q250" s="254"/>
      <c r="R250" s="254"/>
      <c r="S250" s="254"/>
      <c r="T250" s="254"/>
      <c r="U250" s="254"/>
      <c r="V250" s="254"/>
      <c r="W250" s="254"/>
      <c r="Y250" s="246" t="str">
        <f t="shared" si="19"/>
        <v/>
      </c>
      <c r="Z250" s="247" t="str">
        <f t="shared" si="23"/>
        <v/>
      </c>
      <c r="AA250" s="246" t="str">
        <f t="shared" si="20"/>
        <v/>
      </c>
    </row>
    <row r="251" spans="1:27" ht="18" customHeight="1" x14ac:dyDescent="0.25">
      <c r="A251" s="248" t="str">
        <f t="shared" si="21"/>
        <v/>
      </c>
      <c r="B251" s="249" t="str">
        <f t="shared" si="22"/>
        <v/>
      </c>
      <c r="C251" s="250"/>
      <c r="D251" s="251"/>
      <c r="E251" s="241"/>
      <c r="F251" s="252"/>
      <c r="G251" s="252"/>
      <c r="H251" s="253"/>
      <c r="I251" s="250"/>
      <c r="J251" s="250"/>
      <c r="K251" s="270"/>
      <c r="L251" s="250"/>
      <c r="M251" s="250"/>
      <c r="N251" s="540" t="str">
        <f>CONCATENATE(IF(OR(M251=phu!$I$1,M251=phu!$I$2,M251=phu!$I$3),"Cam Thành Nam",""),IF(OR(M251=phu!$I$4,M251=phu!$I$5,M251=phu!$I$6,M251=phu!$I$7,M251=phu!$I$8,M251=phu!$I$9,M251=phu!$I$10,M251=phu!$I$11,M251=phu!$I$12,M251=phu!$I$13,M251=phu!$I$14),"Cam Nghĩa",""),IF(OR(M251=phu!$I$15,M251=phu!$I$16,M251=phu!$I$17,M251=phu!$I$18,M251=phu!$I$19,M251=phu!$I$20,M251=phu!$I$21),"Cam Phúc Bắc",""),IF(OR(M251=phu!$I$22,M251=phu!$I$23,M251=phu!$I$24,M251=phu!$I$25),"Cam Phúc Nam",""),IF(OR(M251=phu!$I$26,M251=phu!$I$27,M251=phu!$I$28,M251=phu!$I$29,M251=phu!$I$30,M251=phu!$I$31),"Cam Phú",""),IF(OR(M251=phu!$I$32,M251=phu!$I$33,M251=phu!$I$34,M251=phu!$I$35,M251=phu!$I$36,M251=phu!$I$37),"Cam Lộc",""),IF(OR(M251=phu!$I$38,M251=phu!$I$39,M251=phu!$I$40,M251=phu!$I$41,M251=phu!$I$42,M251=phu!$I$43,M251=phu!$I$44),"Cam Thuận",""),IF(OR(M251=phu!$I$45,M251=phu!$I$46,M251=phu!$I$47,M251=phu!$I$48,M251=phu!$I$49,M251=phu!$I$50,M251=phu!$I$51,M251=phu!$I$52,M251=phu!$I$53),"Cam Linh",""),IF(OR(M251=phu!$I$54,M251=phu!$I$55,M251=phu!$I$56,M251=phu!$I$57,M251=phu!$I$58,M251=phu!$I$59,M251=phu!$I$60,M251=phu!$I$61,M251=phu!$I$62),"Cam Lợi",""),IF(OR(M251=phu!$I$63,M251=phu!$I$64,M251=phu!$I$65,M251=phu!$I$66,M251=phu!$I$67,M251=phu!$I$68,M251=phu!$I$69,M251=phu!$I$70,M251=phu!$I$71),"Ba Ngòi",""),IF(OR(M251=phu!$I$72,M251=phu!$I$73,M251=phu!$I$74,M251=phu!$I$75,M251=phu!$I$76,M251=phu!$I$77,M251=phu!$I$78),"Cam Phước Đông",""),IF(OR(M251=phu!$I$79,M251=phu!$I$80,M251=phu!$I$81,M251=phu!$I$82,M251=phu!$I$83,M251=phu!$I$84),"Cam Thịnh Đông",""),IF(OR(M251=phu!$I$85,M251=phu!$I$86,M251=phu!$I$87,M251=phu!$I$88),"Cam Thịnh Tây",""),IF(OR(M251=phu!$I$89,M251=phu!$I$90),"Cam Lập",""),IF(OR(M251=phu!$I$91,M251=phu!$I$92,M251=phu!$I$93),"Cam Bình",""),IF(OR(M251=phu!$I$94,M251=phu!$I$95,M251=phu!$I$96,M251=phu!$I$97,M251=phu!$I$98,M251=phu!$I$99,M251=phu!$I$100),"Huyện khác",""),IF(OR(M251=phu!$I$101,M251=phu!$I$102),"Tỉnh khác",""))</f>
        <v/>
      </c>
      <c r="O251" s="829" t="str">
        <f t="shared" si="18"/>
        <v/>
      </c>
      <c r="P251" s="254"/>
      <c r="Q251" s="254"/>
      <c r="R251" s="254"/>
      <c r="S251" s="254"/>
      <c r="T251" s="254"/>
      <c r="U251" s="254"/>
      <c r="V251" s="254"/>
      <c r="W251" s="254"/>
      <c r="Y251" s="246" t="str">
        <f t="shared" si="19"/>
        <v/>
      </c>
      <c r="Z251" s="247" t="str">
        <f t="shared" si="23"/>
        <v/>
      </c>
      <c r="AA251" s="246" t="str">
        <f t="shared" si="20"/>
        <v/>
      </c>
    </row>
    <row r="252" spans="1:27" ht="18" customHeight="1" x14ac:dyDescent="0.25">
      <c r="A252" s="248" t="str">
        <f t="shared" si="21"/>
        <v/>
      </c>
      <c r="B252" s="249" t="str">
        <f t="shared" si="22"/>
        <v/>
      </c>
      <c r="C252" s="250"/>
      <c r="D252" s="251"/>
      <c r="E252" s="241"/>
      <c r="F252" s="252"/>
      <c r="G252" s="252"/>
      <c r="H252" s="253"/>
      <c r="I252" s="250"/>
      <c r="J252" s="250"/>
      <c r="K252" s="270"/>
      <c r="L252" s="250"/>
      <c r="M252" s="250"/>
      <c r="N252" s="540" t="str">
        <f>CONCATENATE(IF(OR(M252=phu!$I$1,M252=phu!$I$2,M252=phu!$I$3),"Cam Thành Nam",""),IF(OR(M252=phu!$I$4,M252=phu!$I$5,M252=phu!$I$6,M252=phu!$I$7,M252=phu!$I$8,M252=phu!$I$9,M252=phu!$I$10,M252=phu!$I$11,M252=phu!$I$12,M252=phu!$I$13,M252=phu!$I$14),"Cam Nghĩa",""),IF(OR(M252=phu!$I$15,M252=phu!$I$16,M252=phu!$I$17,M252=phu!$I$18,M252=phu!$I$19,M252=phu!$I$20,M252=phu!$I$21),"Cam Phúc Bắc",""),IF(OR(M252=phu!$I$22,M252=phu!$I$23,M252=phu!$I$24,M252=phu!$I$25),"Cam Phúc Nam",""),IF(OR(M252=phu!$I$26,M252=phu!$I$27,M252=phu!$I$28,M252=phu!$I$29,M252=phu!$I$30,M252=phu!$I$31),"Cam Phú",""),IF(OR(M252=phu!$I$32,M252=phu!$I$33,M252=phu!$I$34,M252=phu!$I$35,M252=phu!$I$36,M252=phu!$I$37),"Cam Lộc",""),IF(OR(M252=phu!$I$38,M252=phu!$I$39,M252=phu!$I$40,M252=phu!$I$41,M252=phu!$I$42,M252=phu!$I$43,M252=phu!$I$44),"Cam Thuận",""),IF(OR(M252=phu!$I$45,M252=phu!$I$46,M252=phu!$I$47,M252=phu!$I$48,M252=phu!$I$49,M252=phu!$I$50,M252=phu!$I$51,M252=phu!$I$52,M252=phu!$I$53),"Cam Linh",""),IF(OR(M252=phu!$I$54,M252=phu!$I$55,M252=phu!$I$56,M252=phu!$I$57,M252=phu!$I$58,M252=phu!$I$59,M252=phu!$I$60,M252=phu!$I$61,M252=phu!$I$62),"Cam Lợi",""),IF(OR(M252=phu!$I$63,M252=phu!$I$64,M252=phu!$I$65,M252=phu!$I$66,M252=phu!$I$67,M252=phu!$I$68,M252=phu!$I$69,M252=phu!$I$70,M252=phu!$I$71),"Ba Ngòi",""),IF(OR(M252=phu!$I$72,M252=phu!$I$73,M252=phu!$I$74,M252=phu!$I$75,M252=phu!$I$76,M252=phu!$I$77,M252=phu!$I$78),"Cam Phước Đông",""),IF(OR(M252=phu!$I$79,M252=phu!$I$80,M252=phu!$I$81,M252=phu!$I$82,M252=phu!$I$83,M252=phu!$I$84),"Cam Thịnh Đông",""),IF(OR(M252=phu!$I$85,M252=phu!$I$86,M252=phu!$I$87,M252=phu!$I$88),"Cam Thịnh Tây",""),IF(OR(M252=phu!$I$89,M252=phu!$I$90),"Cam Lập",""),IF(OR(M252=phu!$I$91,M252=phu!$I$92,M252=phu!$I$93),"Cam Bình",""),IF(OR(M252=phu!$I$94,M252=phu!$I$95,M252=phu!$I$96,M252=phu!$I$97,M252=phu!$I$98,M252=phu!$I$99,M252=phu!$I$100),"Huyện khác",""),IF(OR(M252=phu!$I$101,M252=phu!$I$102),"Tỉnh khác",""))</f>
        <v/>
      </c>
      <c r="O252" s="829" t="str">
        <f t="shared" si="18"/>
        <v/>
      </c>
      <c r="P252" s="254"/>
      <c r="Q252" s="254"/>
      <c r="R252" s="254"/>
      <c r="S252" s="254"/>
      <c r="T252" s="254"/>
      <c r="U252" s="254"/>
      <c r="V252" s="254"/>
      <c r="W252" s="254"/>
      <c r="Y252" s="246" t="str">
        <f t="shared" si="19"/>
        <v/>
      </c>
      <c r="Z252" s="247" t="str">
        <f t="shared" si="23"/>
        <v/>
      </c>
      <c r="AA252" s="246" t="str">
        <f t="shared" si="20"/>
        <v/>
      </c>
    </row>
    <row r="253" spans="1:27" ht="18" customHeight="1" x14ac:dyDescent="0.25">
      <c r="A253" s="248" t="str">
        <f t="shared" si="21"/>
        <v/>
      </c>
      <c r="B253" s="249" t="str">
        <f t="shared" si="22"/>
        <v/>
      </c>
      <c r="C253" s="250"/>
      <c r="D253" s="251"/>
      <c r="E253" s="241"/>
      <c r="F253" s="252"/>
      <c r="G253" s="252"/>
      <c r="H253" s="253"/>
      <c r="I253" s="250"/>
      <c r="J253" s="250"/>
      <c r="K253" s="270"/>
      <c r="L253" s="250"/>
      <c r="M253" s="250"/>
      <c r="N253" s="540" t="str">
        <f>CONCATENATE(IF(OR(M253=phu!$I$1,M253=phu!$I$2,M253=phu!$I$3),"Cam Thành Nam",""),IF(OR(M253=phu!$I$4,M253=phu!$I$5,M253=phu!$I$6,M253=phu!$I$7,M253=phu!$I$8,M253=phu!$I$9,M253=phu!$I$10,M253=phu!$I$11,M253=phu!$I$12,M253=phu!$I$13,M253=phu!$I$14),"Cam Nghĩa",""),IF(OR(M253=phu!$I$15,M253=phu!$I$16,M253=phu!$I$17,M253=phu!$I$18,M253=phu!$I$19,M253=phu!$I$20,M253=phu!$I$21),"Cam Phúc Bắc",""),IF(OR(M253=phu!$I$22,M253=phu!$I$23,M253=phu!$I$24,M253=phu!$I$25),"Cam Phúc Nam",""),IF(OR(M253=phu!$I$26,M253=phu!$I$27,M253=phu!$I$28,M253=phu!$I$29,M253=phu!$I$30,M253=phu!$I$31),"Cam Phú",""),IF(OR(M253=phu!$I$32,M253=phu!$I$33,M253=phu!$I$34,M253=phu!$I$35,M253=phu!$I$36,M253=phu!$I$37),"Cam Lộc",""),IF(OR(M253=phu!$I$38,M253=phu!$I$39,M253=phu!$I$40,M253=phu!$I$41,M253=phu!$I$42,M253=phu!$I$43,M253=phu!$I$44),"Cam Thuận",""),IF(OR(M253=phu!$I$45,M253=phu!$I$46,M253=phu!$I$47,M253=phu!$I$48,M253=phu!$I$49,M253=phu!$I$50,M253=phu!$I$51,M253=phu!$I$52,M253=phu!$I$53),"Cam Linh",""),IF(OR(M253=phu!$I$54,M253=phu!$I$55,M253=phu!$I$56,M253=phu!$I$57,M253=phu!$I$58,M253=phu!$I$59,M253=phu!$I$60,M253=phu!$I$61,M253=phu!$I$62),"Cam Lợi",""),IF(OR(M253=phu!$I$63,M253=phu!$I$64,M253=phu!$I$65,M253=phu!$I$66,M253=phu!$I$67,M253=phu!$I$68,M253=phu!$I$69,M253=phu!$I$70,M253=phu!$I$71),"Ba Ngòi",""),IF(OR(M253=phu!$I$72,M253=phu!$I$73,M253=phu!$I$74,M253=phu!$I$75,M253=phu!$I$76,M253=phu!$I$77,M253=phu!$I$78),"Cam Phước Đông",""),IF(OR(M253=phu!$I$79,M253=phu!$I$80,M253=phu!$I$81,M253=phu!$I$82,M253=phu!$I$83,M253=phu!$I$84),"Cam Thịnh Đông",""),IF(OR(M253=phu!$I$85,M253=phu!$I$86,M253=phu!$I$87,M253=phu!$I$88),"Cam Thịnh Tây",""),IF(OR(M253=phu!$I$89,M253=phu!$I$90),"Cam Lập",""),IF(OR(M253=phu!$I$91,M253=phu!$I$92,M253=phu!$I$93),"Cam Bình",""),IF(OR(M253=phu!$I$94,M253=phu!$I$95,M253=phu!$I$96,M253=phu!$I$97,M253=phu!$I$98,M253=phu!$I$99,M253=phu!$I$100),"Huyện khác",""),IF(OR(M253=phu!$I$101,M253=phu!$I$102),"Tỉnh khác",""))</f>
        <v/>
      </c>
      <c r="O253" s="829" t="str">
        <f t="shared" si="18"/>
        <v/>
      </c>
      <c r="P253" s="254"/>
      <c r="Q253" s="254"/>
      <c r="R253" s="254"/>
      <c r="S253" s="254"/>
      <c r="T253" s="254"/>
      <c r="U253" s="254"/>
      <c r="V253" s="254"/>
      <c r="W253" s="254"/>
      <c r="Y253" s="246" t="str">
        <f t="shared" si="19"/>
        <v/>
      </c>
      <c r="Z253" s="247" t="str">
        <f t="shared" si="23"/>
        <v/>
      </c>
      <c r="AA253" s="246" t="str">
        <f t="shared" si="20"/>
        <v/>
      </c>
    </row>
    <row r="254" spans="1:27" ht="18" customHeight="1" x14ac:dyDescent="0.25">
      <c r="A254" s="248" t="str">
        <f t="shared" si="21"/>
        <v/>
      </c>
      <c r="B254" s="249" t="str">
        <f t="shared" si="22"/>
        <v/>
      </c>
      <c r="C254" s="250"/>
      <c r="D254" s="251"/>
      <c r="E254" s="241"/>
      <c r="F254" s="252"/>
      <c r="G254" s="252"/>
      <c r="H254" s="253"/>
      <c r="I254" s="250"/>
      <c r="J254" s="250"/>
      <c r="K254" s="270"/>
      <c r="L254" s="250"/>
      <c r="M254" s="250"/>
      <c r="N254" s="540" t="str">
        <f>CONCATENATE(IF(OR(M254=phu!$I$1,M254=phu!$I$2,M254=phu!$I$3),"Cam Thành Nam",""),IF(OR(M254=phu!$I$4,M254=phu!$I$5,M254=phu!$I$6,M254=phu!$I$7,M254=phu!$I$8,M254=phu!$I$9,M254=phu!$I$10,M254=phu!$I$11,M254=phu!$I$12,M254=phu!$I$13,M254=phu!$I$14),"Cam Nghĩa",""),IF(OR(M254=phu!$I$15,M254=phu!$I$16,M254=phu!$I$17,M254=phu!$I$18,M254=phu!$I$19,M254=phu!$I$20,M254=phu!$I$21),"Cam Phúc Bắc",""),IF(OR(M254=phu!$I$22,M254=phu!$I$23,M254=phu!$I$24,M254=phu!$I$25),"Cam Phúc Nam",""),IF(OR(M254=phu!$I$26,M254=phu!$I$27,M254=phu!$I$28,M254=phu!$I$29,M254=phu!$I$30,M254=phu!$I$31),"Cam Phú",""),IF(OR(M254=phu!$I$32,M254=phu!$I$33,M254=phu!$I$34,M254=phu!$I$35,M254=phu!$I$36,M254=phu!$I$37),"Cam Lộc",""),IF(OR(M254=phu!$I$38,M254=phu!$I$39,M254=phu!$I$40,M254=phu!$I$41,M254=phu!$I$42,M254=phu!$I$43,M254=phu!$I$44),"Cam Thuận",""),IF(OR(M254=phu!$I$45,M254=phu!$I$46,M254=phu!$I$47,M254=phu!$I$48,M254=phu!$I$49,M254=phu!$I$50,M254=phu!$I$51,M254=phu!$I$52,M254=phu!$I$53),"Cam Linh",""),IF(OR(M254=phu!$I$54,M254=phu!$I$55,M254=phu!$I$56,M254=phu!$I$57,M254=phu!$I$58,M254=phu!$I$59,M254=phu!$I$60,M254=phu!$I$61,M254=phu!$I$62),"Cam Lợi",""),IF(OR(M254=phu!$I$63,M254=phu!$I$64,M254=phu!$I$65,M254=phu!$I$66,M254=phu!$I$67,M254=phu!$I$68,M254=phu!$I$69,M254=phu!$I$70,M254=phu!$I$71),"Ba Ngòi",""),IF(OR(M254=phu!$I$72,M254=phu!$I$73,M254=phu!$I$74,M254=phu!$I$75,M254=phu!$I$76,M254=phu!$I$77,M254=phu!$I$78),"Cam Phước Đông",""),IF(OR(M254=phu!$I$79,M254=phu!$I$80,M254=phu!$I$81,M254=phu!$I$82,M254=phu!$I$83,M254=phu!$I$84),"Cam Thịnh Đông",""),IF(OR(M254=phu!$I$85,M254=phu!$I$86,M254=phu!$I$87,M254=phu!$I$88),"Cam Thịnh Tây",""),IF(OR(M254=phu!$I$89,M254=phu!$I$90),"Cam Lập",""),IF(OR(M254=phu!$I$91,M254=phu!$I$92,M254=phu!$I$93),"Cam Bình",""),IF(OR(M254=phu!$I$94,M254=phu!$I$95,M254=phu!$I$96,M254=phu!$I$97,M254=phu!$I$98,M254=phu!$I$99,M254=phu!$I$100),"Huyện khác",""),IF(OR(M254=phu!$I$101,M254=phu!$I$102),"Tỉnh khác",""))</f>
        <v/>
      </c>
      <c r="O254" s="829" t="str">
        <f t="shared" si="18"/>
        <v/>
      </c>
      <c r="P254" s="254"/>
      <c r="Q254" s="254"/>
      <c r="R254" s="254"/>
      <c r="S254" s="254"/>
      <c r="T254" s="254"/>
      <c r="U254" s="254"/>
      <c r="V254" s="254"/>
      <c r="W254" s="254"/>
      <c r="Y254" s="246" t="str">
        <f t="shared" si="19"/>
        <v/>
      </c>
      <c r="Z254" s="247" t="str">
        <f t="shared" si="23"/>
        <v/>
      </c>
      <c r="AA254" s="246" t="str">
        <f t="shared" si="20"/>
        <v/>
      </c>
    </row>
    <row r="255" spans="1:27" ht="18" customHeight="1" x14ac:dyDescent="0.25">
      <c r="A255" s="248" t="str">
        <f t="shared" si="21"/>
        <v/>
      </c>
      <c r="B255" s="249" t="str">
        <f t="shared" si="22"/>
        <v/>
      </c>
      <c r="C255" s="250"/>
      <c r="D255" s="251"/>
      <c r="E255" s="241"/>
      <c r="F255" s="252"/>
      <c r="G255" s="252"/>
      <c r="H255" s="253"/>
      <c r="I255" s="250"/>
      <c r="J255" s="250"/>
      <c r="K255" s="270"/>
      <c r="L255" s="250"/>
      <c r="M255" s="250"/>
      <c r="N255" s="540" t="str">
        <f>CONCATENATE(IF(OR(M255=phu!$I$1,M255=phu!$I$2,M255=phu!$I$3),"Cam Thành Nam",""),IF(OR(M255=phu!$I$4,M255=phu!$I$5,M255=phu!$I$6,M255=phu!$I$7,M255=phu!$I$8,M255=phu!$I$9,M255=phu!$I$10,M255=phu!$I$11,M255=phu!$I$12,M255=phu!$I$13,M255=phu!$I$14),"Cam Nghĩa",""),IF(OR(M255=phu!$I$15,M255=phu!$I$16,M255=phu!$I$17,M255=phu!$I$18,M255=phu!$I$19,M255=phu!$I$20,M255=phu!$I$21),"Cam Phúc Bắc",""),IF(OR(M255=phu!$I$22,M255=phu!$I$23,M255=phu!$I$24,M255=phu!$I$25),"Cam Phúc Nam",""),IF(OR(M255=phu!$I$26,M255=phu!$I$27,M255=phu!$I$28,M255=phu!$I$29,M255=phu!$I$30,M255=phu!$I$31),"Cam Phú",""),IF(OR(M255=phu!$I$32,M255=phu!$I$33,M255=phu!$I$34,M255=phu!$I$35,M255=phu!$I$36,M255=phu!$I$37),"Cam Lộc",""),IF(OR(M255=phu!$I$38,M255=phu!$I$39,M255=phu!$I$40,M255=phu!$I$41,M255=phu!$I$42,M255=phu!$I$43,M255=phu!$I$44),"Cam Thuận",""),IF(OR(M255=phu!$I$45,M255=phu!$I$46,M255=phu!$I$47,M255=phu!$I$48,M255=phu!$I$49,M255=phu!$I$50,M255=phu!$I$51,M255=phu!$I$52,M255=phu!$I$53),"Cam Linh",""),IF(OR(M255=phu!$I$54,M255=phu!$I$55,M255=phu!$I$56,M255=phu!$I$57,M255=phu!$I$58,M255=phu!$I$59,M255=phu!$I$60,M255=phu!$I$61,M255=phu!$I$62),"Cam Lợi",""),IF(OR(M255=phu!$I$63,M255=phu!$I$64,M255=phu!$I$65,M255=phu!$I$66,M255=phu!$I$67,M255=phu!$I$68,M255=phu!$I$69,M255=phu!$I$70,M255=phu!$I$71),"Ba Ngòi",""),IF(OR(M255=phu!$I$72,M255=phu!$I$73,M255=phu!$I$74,M255=phu!$I$75,M255=phu!$I$76,M255=phu!$I$77,M255=phu!$I$78),"Cam Phước Đông",""),IF(OR(M255=phu!$I$79,M255=phu!$I$80,M255=phu!$I$81,M255=phu!$I$82,M255=phu!$I$83,M255=phu!$I$84),"Cam Thịnh Đông",""),IF(OR(M255=phu!$I$85,M255=phu!$I$86,M255=phu!$I$87,M255=phu!$I$88),"Cam Thịnh Tây",""),IF(OR(M255=phu!$I$89,M255=phu!$I$90),"Cam Lập",""),IF(OR(M255=phu!$I$91,M255=phu!$I$92,M255=phu!$I$93),"Cam Bình",""),IF(OR(M255=phu!$I$94,M255=phu!$I$95,M255=phu!$I$96,M255=phu!$I$97,M255=phu!$I$98,M255=phu!$I$99,M255=phu!$I$100),"Huyện khác",""),IF(OR(M255=phu!$I$101,M255=phu!$I$102),"Tỉnh khác",""))</f>
        <v/>
      </c>
      <c r="O255" s="829" t="str">
        <f t="shared" si="18"/>
        <v/>
      </c>
      <c r="P255" s="254"/>
      <c r="Q255" s="254"/>
      <c r="R255" s="254"/>
      <c r="S255" s="254"/>
      <c r="T255" s="254"/>
      <c r="U255" s="254"/>
      <c r="V255" s="254"/>
      <c r="W255" s="254"/>
      <c r="Y255" s="246" t="str">
        <f t="shared" si="19"/>
        <v/>
      </c>
      <c r="Z255" s="247" t="str">
        <f t="shared" si="23"/>
        <v/>
      </c>
      <c r="AA255" s="246" t="str">
        <f t="shared" si="20"/>
        <v/>
      </c>
    </row>
    <row r="256" spans="1:27" ht="18" customHeight="1" x14ac:dyDescent="0.25">
      <c r="A256" s="248" t="str">
        <f t="shared" si="21"/>
        <v/>
      </c>
      <c r="B256" s="249" t="str">
        <f t="shared" si="22"/>
        <v/>
      </c>
      <c r="C256" s="250"/>
      <c r="D256" s="251"/>
      <c r="E256" s="241"/>
      <c r="F256" s="252"/>
      <c r="G256" s="252"/>
      <c r="H256" s="253"/>
      <c r="I256" s="250"/>
      <c r="J256" s="250"/>
      <c r="K256" s="270"/>
      <c r="L256" s="250"/>
      <c r="M256" s="250"/>
      <c r="N256" s="540" t="str">
        <f>CONCATENATE(IF(OR(M256=phu!$I$1,M256=phu!$I$2,M256=phu!$I$3),"Cam Thành Nam",""),IF(OR(M256=phu!$I$4,M256=phu!$I$5,M256=phu!$I$6,M256=phu!$I$7,M256=phu!$I$8,M256=phu!$I$9,M256=phu!$I$10,M256=phu!$I$11,M256=phu!$I$12,M256=phu!$I$13,M256=phu!$I$14),"Cam Nghĩa",""),IF(OR(M256=phu!$I$15,M256=phu!$I$16,M256=phu!$I$17,M256=phu!$I$18,M256=phu!$I$19,M256=phu!$I$20,M256=phu!$I$21),"Cam Phúc Bắc",""),IF(OR(M256=phu!$I$22,M256=phu!$I$23,M256=phu!$I$24,M256=phu!$I$25),"Cam Phúc Nam",""),IF(OR(M256=phu!$I$26,M256=phu!$I$27,M256=phu!$I$28,M256=phu!$I$29,M256=phu!$I$30,M256=phu!$I$31),"Cam Phú",""),IF(OR(M256=phu!$I$32,M256=phu!$I$33,M256=phu!$I$34,M256=phu!$I$35,M256=phu!$I$36,M256=phu!$I$37),"Cam Lộc",""),IF(OR(M256=phu!$I$38,M256=phu!$I$39,M256=phu!$I$40,M256=phu!$I$41,M256=phu!$I$42,M256=phu!$I$43,M256=phu!$I$44),"Cam Thuận",""),IF(OR(M256=phu!$I$45,M256=phu!$I$46,M256=phu!$I$47,M256=phu!$I$48,M256=phu!$I$49,M256=phu!$I$50,M256=phu!$I$51,M256=phu!$I$52,M256=phu!$I$53),"Cam Linh",""),IF(OR(M256=phu!$I$54,M256=phu!$I$55,M256=phu!$I$56,M256=phu!$I$57,M256=phu!$I$58,M256=phu!$I$59,M256=phu!$I$60,M256=phu!$I$61,M256=phu!$I$62),"Cam Lợi",""),IF(OR(M256=phu!$I$63,M256=phu!$I$64,M256=phu!$I$65,M256=phu!$I$66,M256=phu!$I$67,M256=phu!$I$68,M256=phu!$I$69,M256=phu!$I$70,M256=phu!$I$71),"Ba Ngòi",""),IF(OR(M256=phu!$I$72,M256=phu!$I$73,M256=phu!$I$74,M256=phu!$I$75,M256=phu!$I$76,M256=phu!$I$77,M256=phu!$I$78),"Cam Phước Đông",""),IF(OR(M256=phu!$I$79,M256=phu!$I$80,M256=phu!$I$81,M256=phu!$I$82,M256=phu!$I$83,M256=phu!$I$84),"Cam Thịnh Đông",""),IF(OR(M256=phu!$I$85,M256=phu!$I$86,M256=phu!$I$87,M256=phu!$I$88),"Cam Thịnh Tây",""),IF(OR(M256=phu!$I$89,M256=phu!$I$90),"Cam Lập",""),IF(OR(M256=phu!$I$91,M256=phu!$I$92,M256=phu!$I$93),"Cam Bình",""),IF(OR(M256=phu!$I$94,M256=phu!$I$95,M256=phu!$I$96,M256=phu!$I$97,M256=phu!$I$98,M256=phu!$I$99,M256=phu!$I$100),"Huyện khác",""),IF(OR(M256=phu!$I$101,M256=phu!$I$102),"Tỉnh khác",""))</f>
        <v/>
      </c>
      <c r="O256" s="829" t="str">
        <f t="shared" si="18"/>
        <v/>
      </c>
      <c r="P256" s="254"/>
      <c r="Q256" s="254"/>
      <c r="R256" s="254"/>
      <c r="S256" s="254"/>
      <c r="T256" s="254"/>
      <c r="U256" s="254"/>
      <c r="V256" s="254"/>
      <c r="W256" s="254"/>
      <c r="Y256" s="246" t="str">
        <f t="shared" si="19"/>
        <v/>
      </c>
      <c r="Z256" s="247" t="str">
        <f t="shared" si="23"/>
        <v/>
      </c>
      <c r="AA256" s="246" t="str">
        <f t="shared" si="20"/>
        <v/>
      </c>
    </row>
    <row r="257" spans="1:27" ht="18" customHeight="1" x14ac:dyDescent="0.25">
      <c r="A257" s="248" t="str">
        <f t="shared" si="21"/>
        <v/>
      </c>
      <c r="B257" s="249" t="str">
        <f t="shared" si="22"/>
        <v/>
      </c>
      <c r="C257" s="250"/>
      <c r="D257" s="251"/>
      <c r="E257" s="241"/>
      <c r="F257" s="252"/>
      <c r="G257" s="252"/>
      <c r="H257" s="253"/>
      <c r="I257" s="250"/>
      <c r="J257" s="250"/>
      <c r="K257" s="270"/>
      <c r="L257" s="250"/>
      <c r="M257" s="250"/>
      <c r="N257" s="540" t="str">
        <f>CONCATENATE(IF(OR(M257=phu!$I$1,M257=phu!$I$2,M257=phu!$I$3),"Cam Thành Nam",""),IF(OR(M257=phu!$I$4,M257=phu!$I$5,M257=phu!$I$6,M257=phu!$I$7,M257=phu!$I$8,M257=phu!$I$9,M257=phu!$I$10,M257=phu!$I$11,M257=phu!$I$12,M257=phu!$I$13,M257=phu!$I$14),"Cam Nghĩa",""),IF(OR(M257=phu!$I$15,M257=phu!$I$16,M257=phu!$I$17,M257=phu!$I$18,M257=phu!$I$19,M257=phu!$I$20,M257=phu!$I$21),"Cam Phúc Bắc",""),IF(OR(M257=phu!$I$22,M257=phu!$I$23,M257=phu!$I$24,M257=phu!$I$25),"Cam Phúc Nam",""),IF(OR(M257=phu!$I$26,M257=phu!$I$27,M257=phu!$I$28,M257=phu!$I$29,M257=phu!$I$30,M257=phu!$I$31),"Cam Phú",""),IF(OR(M257=phu!$I$32,M257=phu!$I$33,M257=phu!$I$34,M257=phu!$I$35,M257=phu!$I$36,M257=phu!$I$37),"Cam Lộc",""),IF(OR(M257=phu!$I$38,M257=phu!$I$39,M257=phu!$I$40,M257=phu!$I$41,M257=phu!$I$42,M257=phu!$I$43,M257=phu!$I$44),"Cam Thuận",""),IF(OR(M257=phu!$I$45,M257=phu!$I$46,M257=phu!$I$47,M257=phu!$I$48,M257=phu!$I$49,M257=phu!$I$50,M257=phu!$I$51,M257=phu!$I$52,M257=phu!$I$53),"Cam Linh",""),IF(OR(M257=phu!$I$54,M257=phu!$I$55,M257=phu!$I$56,M257=phu!$I$57,M257=phu!$I$58,M257=phu!$I$59,M257=phu!$I$60,M257=phu!$I$61,M257=phu!$I$62),"Cam Lợi",""),IF(OR(M257=phu!$I$63,M257=phu!$I$64,M257=phu!$I$65,M257=phu!$I$66,M257=phu!$I$67,M257=phu!$I$68,M257=phu!$I$69,M257=phu!$I$70,M257=phu!$I$71),"Ba Ngòi",""),IF(OR(M257=phu!$I$72,M257=phu!$I$73,M257=phu!$I$74,M257=phu!$I$75,M257=phu!$I$76,M257=phu!$I$77,M257=phu!$I$78),"Cam Phước Đông",""),IF(OR(M257=phu!$I$79,M257=phu!$I$80,M257=phu!$I$81,M257=phu!$I$82,M257=phu!$I$83,M257=phu!$I$84),"Cam Thịnh Đông",""),IF(OR(M257=phu!$I$85,M257=phu!$I$86,M257=phu!$I$87,M257=phu!$I$88),"Cam Thịnh Tây",""),IF(OR(M257=phu!$I$89,M257=phu!$I$90),"Cam Lập",""),IF(OR(M257=phu!$I$91,M257=phu!$I$92,M257=phu!$I$93),"Cam Bình",""),IF(OR(M257=phu!$I$94,M257=phu!$I$95,M257=phu!$I$96,M257=phu!$I$97,M257=phu!$I$98,M257=phu!$I$99,M257=phu!$I$100),"Huyện khác",""),IF(OR(M257=phu!$I$101,M257=phu!$I$102),"Tỉnh khác",""))</f>
        <v/>
      </c>
      <c r="O257" s="829" t="str">
        <f t="shared" si="18"/>
        <v/>
      </c>
      <c r="P257" s="254"/>
      <c r="Q257" s="254"/>
      <c r="R257" s="254"/>
      <c r="S257" s="254"/>
      <c r="T257" s="254"/>
      <c r="U257" s="254"/>
      <c r="V257" s="254"/>
      <c r="W257" s="254"/>
      <c r="Y257" s="246" t="str">
        <f t="shared" si="19"/>
        <v/>
      </c>
      <c r="Z257" s="247" t="str">
        <f t="shared" si="23"/>
        <v/>
      </c>
      <c r="AA257" s="246" t="str">
        <f t="shared" si="20"/>
        <v/>
      </c>
    </row>
    <row r="258" spans="1:27" ht="18" customHeight="1" x14ac:dyDescent="0.25">
      <c r="A258" s="248" t="str">
        <f t="shared" si="21"/>
        <v/>
      </c>
      <c r="B258" s="249" t="str">
        <f t="shared" si="22"/>
        <v/>
      </c>
      <c r="C258" s="250"/>
      <c r="D258" s="251"/>
      <c r="E258" s="241"/>
      <c r="F258" s="252"/>
      <c r="G258" s="252"/>
      <c r="H258" s="253"/>
      <c r="I258" s="250"/>
      <c r="J258" s="250"/>
      <c r="K258" s="270"/>
      <c r="L258" s="250"/>
      <c r="M258" s="250"/>
      <c r="N258" s="540" t="str">
        <f>CONCATENATE(IF(OR(M258=phu!$I$1,M258=phu!$I$2,M258=phu!$I$3),"Cam Thành Nam",""),IF(OR(M258=phu!$I$4,M258=phu!$I$5,M258=phu!$I$6,M258=phu!$I$7,M258=phu!$I$8,M258=phu!$I$9,M258=phu!$I$10,M258=phu!$I$11,M258=phu!$I$12,M258=phu!$I$13,M258=phu!$I$14),"Cam Nghĩa",""),IF(OR(M258=phu!$I$15,M258=phu!$I$16,M258=phu!$I$17,M258=phu!$I$18,M258=phu!$I$19,M258=phu!$I$20,M258=phu!$I$21),"Cam Phúc Bắc",""),IF(OR(M258=phu!$I$22,M258=phu!$I$23,M258=phu!$I$24,M258=phu!$I$25),"Cam Phúc Nam",""),IF(OR(M258=phu!$I$26,M258=phu!$I$27,M258=phu!$I$28,M258=phu!$I$29,M258=phu!$I$30,M258=phu!$I$31),"Cam Phú",""),IF(OR(M258=phu!$I$32,M258=phu!$I$33,M258=phu!$I$34,M258=phu!$I$35,M258=phu!$I$36,M258=phu!$I$37),"Cam Lộc",""),IF(OR(M258=phu!$I$38,M258=phu!$I$39,M258=phu!$I$40,M258=phu!$I$41,M258=phu!$I$42,M258=phu!$I$43,M258=phu!$I$44),"Cam Thuận",""),IF(OR(M258=phu!$I$45,M258=phu!$I$46,M258=phu!$I$47,M258=phu!$I$48,M258=phu!$I$49,M258=phu!$I$50,M258=phu!$I$51,M258=phu!$I$52,M258=phu!$I$53),"Cam Linh",""),IF(OR(M258=phu!$I$54,M258=phu!$I$55,M258=phu!$I$56,M258=phu!$I$57,M258=phu!$I$58,M258=phu!$I$59,M258=phu!$I$60,M258=phu!$I$61,M258=phu!$I$62),"Cam Lợi",""),IF(OR(M258=phu!$I$63,M258=phu!$I$64,M258=phu!$I$65,M258=phu!$I$66,M258=phu!$I$67,M258=phu!$I$68,M258=phu!$I$69,M258=phu!$I$70,M258=phu!$I$71),"Ba Ngòi",""),IF(OR(M258=phu!$I$72,M258=phu!$I$73,M258=phu!$I$74,M258=phu!$I$75,M258=phu!$I$76,M258=phu!$I$77,M258=phu!$I$78),"Cam Phước Đông",""),IF(OR(M258=phu!$I$79,M258=phu!$I$80,M258=phu!$I$81,M258=phu!$I$82,M258=phu!$I$83,M258=phu!$I$84),"Cam Thịnh Đông",""),IF(OR(M258=phu!$I$85,M258=phu!$I$86,M258=phu!$I$87,M258=phu!$I$88),"Cam Thịnh Tây",""),IF(OR(M258=phu!$I$89,M258=phu!$I$90),"Cam Lập",""),IF(OR(M258=phu!$I$91,M258=phu!$I$92,M258=phu!$I$93),"Cam Bình",""),IF(OR(M258=phu!$I$94,M258=phu!$I$95,M258=phu!$I$96,M258=phu!$I$97,M258=phu!$I$98,M258=phu!$I$99,M258=phu!$I$100),"Huyện khác",""),IF(OR(M258=phu!$I$101,M258=phu!$I$102),"Tỉnh khác",""))</f>
        <v/>
      </c>
      <c r="O258" s="829" t="str">
        <f t="shared" si="18"/>
        <v/>
      </c>
      <c r="P258" s="254"/>
      <c r="Q258" s="254"/>
      <c r="R258" s="254"/>
      <c r="S258" s="254"/>
      <c r="T258" s="254"/>
      <c r="U258" s="254"/>
      <c r="V258" s="254"/>
      <c r="W258" s="254"/>
      <c r="Y258" s="246" t="str">
        <f t="shared" si="19"/>
        <v/>
      </c>
      <c r="Z258" s="247" t="str">
        <f t="shared" si="23"/>
        <v/>
      </c>
      <c r="AA258" s="246" t="str">
        <f t="shared" si="20"/>
        <v/>
      </c>
    </row>
    <row r="259" spans="1:27" ht="18" customHeight="1" x14ac:dyDescent="0.25">
      <c r="A259" s="248" t="str">
        <f t="shared" si="21"/>
        <v/>
      </c>
      <c r="B259" s="249" t="str">
        <f t="shared" si="22"/>
        <v/>
      </c>
      <c r="C259" s="250"/>
      <c r="D259" s="251"/>
      <c r="E259" s="241"/>
      <c r="F259" s="252"/>
      <c r="G259" s="252"/>
      <c r="H259" s="253"/>
      <c r="I259" s="250"/>
      <c r="J259" s="250"/>
      <c r="K259" s="270"/>
      <c r="L259" s="250"/>
      <c r="M259" s="250"/>
      <c r="N259" s="540" t="str">
        <f>CONCATENATE(IF(OR(M259=phu!$I$1,M259=phu!$I$2,M259=phu!$I$3),"Cam Thành Nam",""),IF(OR(M259=phu!$I$4,M259=phu!$I$5,M259=phu!$I$6,M259=phu!$I$7,M259=phu!$I$8,M259=phu!$I$9,M259=phu!$I$10,M259=phu!$I$11,M259=phu!$I$12,M259=phu!$I$13,M259=phu!$I$14),"Cam Nghĩa",""),IF(OR(M259=phu!$I$15,M259=phu!$I$16,M259=phu!$I$17,M259=phu!$I$18,M259=phu!$I$19,M259=phu!$I$20,M259=phu!$I$21),"Cam Phúc Bắc",""),IF(OR(M259=phu!$I$22,M259=phu!$I$23,M259=phu!$I$24,M259=phu!$I$25),"Cam Phúc Nam",""),IF(OR(M259=phu!$I$26,M259=phu!$I$27,M259=phu!$I$28,M259=phu!$I$29,M259=phu!$I$30,M259=phu!$I$31),"Cam Phú",""),IF(OR(M259=phu!$I$32,M259=phu!$I$33,M259=phu!$I$34,M259=phu!$I$35,M259=phu!$I$36,M259=phu!$I$37),"Cam Lộc",""),IF(OR(M259=phu!$I$38,M259=phu!$I$39,M259=phu!$I$40,M259=phu!$I$41,M259=phu!$I$42,M259=phu!$I$43,M259=phu!$I$44),"Cam Thuận",""),IF(OR(M259=phu!$I$45,M259=phu!$I$46,M259=phu!$I$47,M259=phu!$I$48,M259=phu!$I$49,M259=phu!$I$50,M259=phu!$I$51,M259=phu!$I$52,M259=phu!$I$53),"Cam Linh",""),IF(OR(M259=phu!$I$54,M259=phu!$I$55,M259=phu!$I$56,M259=phu!$I$57,M259=phu!$I$58,M259=phu!$I$59,M259=phu!$I$60,M259=phu!$I$61,M259=phu!$I$62),"Cam Lợi",""),IF(OR(M259=phu!$I$63,M259=phu!$I$64,M259=phu!$I$65,M259=phu!$I$66,M259=phu!$I$67,M259=phu!$I$68,M259=phu!$I$69,M259=phu!$I$70,M259=phu!$I$71),"Ba Ngòi",""),IF(OR(M259=phu!$I$72,M259=phu!$I$73,M259=phu!$I$74,M259=phu!$I$75,M259=phu!$I$76,M259=phu!$I$77,M259=phu!$I$78),"Cam Phước Đông",""),IF(OR(M259=phu!$I$79,M259=phu!$I$80,M259=phu!$I$81,M259=phu!$I$82,M259=phu!$I$83,M259=phu!$I$84),"Cam Thịnh Đông",""),IF(OR(M259=phu!$I$85,M259=phu!$I$86,M259=phu!$I$87,M259=phu!$I$88),"Cam Thịnh Tây",""),IF(OR(M259=phu!$I$89,M259=phu!$I$90),"Cam Lập",""),IF(OR(M259=phu!$I$91,M259=phu!$I$92,M259=phu!$I$93),"Cam Bình",""),IF(OR(M259=phu!$I$94,M259=phu!$I$95,M259=phu!$I$96,M259=phu!$I$97,M259=phu!$I$98,M259=phu!$I$99,M259=phu!$I$100),"Huyện khác",""),IF(OR(M259=phu!$I$101,M259=phu!$I$102),"Tỉnh khác",""))</f>
        <v/>
      </c>
      <c r="O259" s="829" t="str">
        <f t="shared" si="18"/>
        <v/>
      </c>
      <c r="P259" s="254"/>
      <c r="Q259" s="254"/>
      <c r="R259" s="254"/>
      <c r="S259" s="254"/>
      <c r="T259" s="254"/>
      <c r="U259" s="254"/>
      <c r="V259" s="254"/>
      <c r="W259" s="254"/>
      <c r="Y259" s="246" t="str">
        <f t="shared" si="19"/>
        <v/>
      </c>
      <c r="Z259" s="247" t="str">
        <f t="shared" si="23"/>
        <v/>
      </c>
      <c r="AA259" s="246" t="str">
        <f t="shared" si="20"/>
        <v/>
      </c>
    </row>
    <row r="260" spans="1:27" ht="18" customHeight="1" x14ac:dyDescent="0.25">
      <c r="A260" s="248" t="str">
        <f t="shared" si="21"/>
        <v/>
      </c>
      <c r="B260" s="249" t="str">
        <f t="shared" si="22"/>
        <v/>
      </c>
      <c r="C260" s="250"/>
      <c r="D260" s="251"/>
      <c r="E260" s="241"/>
      <c r="F260" s="252"/>
      <c r="G260" s="252"/>
      <c r="H260" s="253"/>
      <c r="I260" s="250"/>
      <c r="J260" s="250"/>
      <c r="K260" s="270"/>
      <c r="L260" s="250"/>
      <c r="M260" s="250"/>
      <c r="N260" s="540" t="str">
        <f>CONCATENATE(IF(OR(M260=phu!$I$1,M260=phu!$I$2,M260=phu!$I$3),"Cam Thành Nam",""),IF(OR(M260=phu!$I$4,M260=phu!$I$5,M260=phu!$I$6,M260=phu!$I$7,M260=phu!$I$8,M260=phu!$I$9,M260=phu!$I$10,M260=phu!$I$11,M260=phu!$I$12,M260=phu!$I$13,M260=phu!$I$14),"Cam Nghĩa",""),IF(OR(M260=phu!$I$15,M260=phu!$I$16,M260=phu!$I$17,M260=phu!$I$18,M260=phu!$I$19,M260=phu!$I$20,M260=phu!$I$21),"Cam Phúc Bắc",""),IF(OR(M260=phu!$I$22,M260=phu!$I$23,M260=phu!$I$24,M260=phu!$I$25),"Cam Phúc Nam",""),IF(OR(M260=phu!$I$26,M260=phu!$I$27,M260=phu!$I$28,M260=phu!$I$29,M260=phu!$I$30,M260=phu!$I$31),"Cam Phú",""),IF(OR(M260=phu!$I$32,M260=phu!$I$33,M260=phu!$I$34,M260=phu!$I$35,M260=phu!$I$36,M260=phu!$I$37),"Cam Lộc",""),IF(OR(M260=phu!$I$38,M260=phu!$I$39,M260=phu!$I$40,M260=phu!$I$41,M260=phu!$I$42,M260=phu!$I$43,M260=phu!$I$44),"Cam Thuận",""),IF(OR(M260=phu!$I$45,M260=phu!$I$46,M260=phu!$I$47,M260=phu!$I$48,M260=phu!$I$49,M260=phu!$I$50,M260=phu!$I$51,M260=phu!$I$52,M260=phu!$I$53),"Cam Linh",""),IF(OR(M260=phu!$I$54,M260=phu!$I$55,M260=phu!$I$56,M260=phu!$I$57,M260=phu!$I$58,M260=phu!$I$59,M260=phu!$I$60,M260=phu!$I$61,M260=phu!$I$62),"Cam Lợi",""),IF(OR(M260=phu!$I$63,M260=phu!$I$64,M260=phu!$I$65,M260=phu!$I$66,M260=phu!$I$67,M260=phu!$I$68,M260=phu!$I$69,M260=phu!$I$70,M260=phu!$I$71),"Ba Ngòi",""),IF(OR(M260=phu!$I$72,M260=phu!$I$73,M260=phu!$I$74,M260=phu!$I$75,M260=phu!$I$76,M260=phu!$I$77,M260=phu!$I$78),"Cam Phước Đông",""),IF(OR(M260=phu!$I$79,M260=phu!$I$80,M260=phu!$I$81,M260=phu!$I$82,M260=phu!$I$83,M260=phu!$I$84),"Cam Thịnh Đông",""),IF(OR(M260=phu!$I$85,M260=phu!$I$86,M260=phu!$I$87,M260=phu!$I$88),"Cam Thịnh Tây",""),IF(OR(M260=phu!$I$89,M260=phu!$I$90),"Cam Lập",""),IF(OR(M260=phu!$I$91,M260=phu!$I$92,M260=phu!$I$93),"Cam Bình",""),IF(OR(M260=phu!$I$94,M260=phu!$I$95,M260=phu!$I$96,M260=phu!$I$97,M260=phu!$I$98,M260=phu!$I$99,M260=phu!$I$100),"Huyện khác",""),IF(OR(M260=phu!$I$101,M260=phu!$I$102),"Tỉnh khác",""))</f>
        <v/>
      </c>
      <c r="O260" s="829" t="str">
        <f t="shared" si="18"/>
        <v/>
      </c>
      <c r="P260" s="254"/>
      <c r="Q260" s="254"/>
      <c r="R260" s="254"/>
      <c r="S260" s="254"/>
      <c r="T260" s="254"/>
      <c r="U260" s="254"/>
      <c r="V260" s="254"/>
      <c r="W260" s="254"/>
      <c r="Y260" s="246" t="str">
        <f t="shared" si="19"/>
        <v/>
      </c>
      <c r="Z260" s="247" t="str">
        <f t="shared" si="23"/>
        <v/>
      </c>
      <c r="AA260" s="246" t="str">
        <f t="shared" si="20"/>
        <v/>
      </c>
    </row>
    <row r="261" spans="1:27" ht="18" customHeight="1" x14ac:dyDescent="0.25">
      <c r="A261" s="248" t="str">
        <f t="shared" si="21"/>
        <v/>
      </c>
      <c r="B261" s="249" t="str">
        <f t="shared" si="22"/>
        <v/>
      </c>
      <c r="C261" s="250"/>
      <c r="D261" s="251"/>
      <c r="E261" s="241"/>
      <c r="F261" s="252"/>
      <c r="G261" s="252"/>
      <c r="H261" s="253"/>
      <c r="I261" s="250"/>
      <c r="J261" s="250"/>
      <c r="K261" s="270"/>
      <c r="L261" s="250"/>
      <c r="M261" s="250"/>
      <c r="N261" s="540" t="str">
        <f>CONCATENATE(IF(OR(M261=phu!$I$1,M261=phu!$I$2,M261=phu!$I$3),"Cam Thành Nam",""),IF(OR(M261=phu!$I$4,M261=phu!$I$5,M261=phu!$I$6,M261=phu!$I$7,M261=phu!$I$8,M261=phu!$I$9,M261=phu!$I$10,M261=phu!$I$11,M261=phu!$I$12,M261=phu!$I$13,M261=phu!$I$14),"Cam Nghĩa",""),IF(OR(M261=phu!$I$15,M261=phu!$I$16,M261=phu!$I$17,M261=phu!$I$18,M261=phu!$I$19,M261=phu!$I$20,M261=phu!$I$21),"Cam Phúc Bắc",""),IF(OR(M261=phu!$I$22,M261=phu!$I$23,M261=phu!$I$24,M261=phu!$I$25),"Cam Phúc Nam",""),IF(OR(M261=phu!$I$26,M261=phu!$I$27,M261=phu!$I$28,M261=phu!$I$29,M261=phu!$I$30,M261=phu!$I$31),"Cam Phú",""),IF(OR(M261=phu!$I$32,M261=phu!$I$33,M261=phu!$I$34,M261=phu!$I$35,M261=phu!$I$36,M261=phu!$I$37),"Cam Lộc",""),IF(OR(M261=phu!$I$38,M261=phu!$I$39,M261=phu!$I$40,M261=phu!$I$41,M261=phu!$I$42,M261=phu!$I$43,M261=phu!$I$44),"Cam Thuận",""),IF(OR(M261=phu!$I$45,M261=phu!$I$46,M261=phu!$I$47,M261=phu!$I$48,M261=phu!$I$49,M261=phu!$I$50,M261=phu!$I$51,M261=phu!$I$52,M261=phu!$I$53),"Cam Linh",""),IF(OR(M261=phu!$I$54,M261=phu!$I$55,M261=phu!$I$56,M261=phu!$I$57,M261=phu!$I$58,M261=phu!$I$59,M261=phu!$I$60,M261=phu!$I$61,M261=phu!$I$62),"Cam Lợi",""),IF(OR(M261=phu!$I$63,M261=phu!$I$64,M261=phu!$I$65,M261=phu!$I$66,M261=phu!$I$67,M261=phu!$I$68,M261=phu!$I$69,M261=phu!$I$70,M261=phu!$I$71),"Ba Ngòi",""),IF(OR(M261=phu!$I$72,M261=phu!$I$73,M261=phu!$I$74,M261=phu!$I$75,M261=phu!$I$76,M261=phu!$I$77,M261=phu!$I$78),"Cam Phước Đông",""),IF(OR(M261=phu!$I$79,M261=phu!$I$80,M261=phu!$I$81,M261=phu!$I$82,M261=phu!$I$83,M261=phu!$I$84),"Cam Thịnh Đông",""),IF(OR(M261=phu!$I$85,M261=phu!$I$86,M261=phu!$I$87,M261=phu!$I$88),"Cam Thịnh Tây",""),IF(OR(M261=phu!$I$89,M261=phu!$I$90),"Cam Lập",""),IF(OR(M261=phu!$I$91,M261=phu!$I$92,M261=phu!$I$93),"Cam Bình",""),IF(OR(M261=phu!$I$94,M261=phu!$I$95,M261=phu!$I$96,M261=phu!$I$97,M261=phu!$I$98,M261=phu!$I$99,M261=phu!$I$100),"Huyện khác",""),IF(OR(M261=phu!$I$101,M261=phu!$I$102),"Tỉnh khác",""))</f>
        <v/>
      </c>
      <c r="O261" s="829" t="str">
        <f t="shared" si="18"/>
        <v/>
      </c>
      <c r="P261" s="254"/>
      <c r="Q261" s="254"/>
      <c r="R261" s="254"/>
      <c r="S261" s="254"/>
      <c r="T261" s="254"/>
      <c r="U261" s="254"/>
      <c r="V261" s="254"/>
      <c r="W261" s="254"/>
      <c r="Y261" s="246" t="str">
        <f t="shared" si="19"/>
        <v/>
      </c>
      <c r="Z261" s="247" t="str">
        <f t="shared" si="23"/>
        <v/>
      </c>
      <c r="AA261" s="246" t="str">
        <f t="shared" si="20"/>
        <v/>
      </c>
    </row>
    <row r="262" spans="1:27" ht="18" customHeight="1" x14ac:dyDescent="0.25">
      <c r="A262" s="248" t="str">
        <f t="shared" si="21"/>
        <v/>
      </c>
      <c r="B262" s="249" t="str">
        <f t="shared" si="22"/>
        <v/>
      </c>
      <c r="C262" s="250"/>
      <c r="D262" s="251"/>
      <c r="E262" s="241"/>
      <c r="F262" s="252"/>
      <c r="G262" s="252"/>
      <c r="H262" s="253"/>
      <c r="I262" s="250"/>
      <c r="J262" s="250"/>
      <c r="K262" s="270"/>
      <c r="L262" s="250"/>
      <c r="M262" s="250"/>
      <c r="N262" s="540" t="str">
        <f>CONCATENATE(IF(OR(M262=phu!$I$1,M262=phu!$I$2,M262=phu!$I$3),"Cam Thành Nam",""),IF(OR(M262=phu!$I$4,M262=phu!$I$5,M262=phu!$I$6,M262=phu!$I$7,M262=phu!$I$8,M262=phu!$I$9,M262=phu!$I$10,M262=phu!$I$11,M262=phu!$I$12,M262=phu!$I$13,M262=phu!$I$14),"Cam Nghĩa",""),IF(OR(M262=phu!$I$15,M262=phu!$I$16,M262=phu!$I$17,M262=phu!$I$18,M262=phu!$I$19,M262=phu!$I$20,M262=phu!$I$21),"Cam Phúc Bắc",""),IF(OR(M262=phu!$I$22,M262=phu!$I$23,M262=phu!$I$24,M262=phu!$I$25),"Cam Phúc Nam",""),IF(OR(M262=phu!$I$26,M262=phu!$I$27,M262=phu!$I$28,M262=phu!$I$29,M262=phu!$I$30,M262=phu!$I$31),"Cam Phú",""),IF(OR(M262=phu!$I$32,M262=phu!$I$33,M262=phu!$I$34,M262=phu!$I$35,M262=phu!$I$36,M262=phu!$I$37),"Cam Lộc",""),IF(OR(M262=phu!$I$38,M262=phu!$I$39,M262=phu!$I$40,M262=phu!$I$41,M262=phu!$I$42,M262=phu!$I$43,M262=phu!$I$44),"Cam Thuận",""),IF(OR(M262=phu!$I$45,M262=phu!$I$46,M262=phu!$I$47,M262=phu!$I$48,M262=phu!$I$49,M262=phu!$I$50,M262=phu!$I$51,M262=phu!$I$52,M262=phu!$I$53),"Cam Linh",""),IF(OR(M262=phu!$I$54,M262=phu!$I$55,M262=phu!$I$56,M262=phu!$I$57,M262=phu!$I$58,M262=phu!$I$59,M262=phu!$I$60,M262=phu!$I$61,M262=phu!$I$62),"Cam Lợi",""),IF(OR(M262=phu!$I$63,M262=phu!$I$64,M262=phu!$I$65,M262=phu!$I$66,M262=phu!$I$67,M262=phu!$I$68,M262=phu!$I$69,M262=phu!$I$70,M262=phu!$I$71),"Ba Ngòi",""),IF(OR(M262=phu!$I$72,M262=phu!$I$73,M262=phu!$I$74,M262=phu!$I$75,M262=phu!$I$76,M262=phu!$I$77,M262=phu!$I$78),"Cam Phước Đông",""),IF(OR(M262=phu!$I$79,M262=phu!$I$80,M262=phu!$I$81,M262=phu!$I$82,M262=phu!$I$83,M262=phu!$I$84),"Cam Thịnh Đông",""),IF(OR(M262=phu!$I$85,M262=phu!$I$86,M262=phu!$I$87,M262=phu!$I$88),"Cam Thịnh Tây",""),IF(OR(M262=phu!$I$89,M262=phu!$I$90),"Cam Lập",""),IF(OR(M262=phu!$I$91,M262=phu!$I$92,M262=phu!$I$93),"Cam Bình",""),IF(OR(M262=phu!$I$94,M262=phu!$I$95,M262=phu!$I$96,M262=phu!$I$97,M262=phu!$I$98,M262=phu!$I$99,M262=phu!$I$100),"Huyện khác",""),IF(OR(M262=phu!$I$101,M262=phu!$I$102),"Tỉnh khác",""))</f>
        <v/>
      </c>
      <c r="O262" s="829" t="str">
        <f t="shared" si="18"/>
        <v/>
      </c>
      <c r="P262" s="254"/>
      <c r="Q262" s="254"/>
      <c r="R262" s="254"/>
      <c r="S262" s="254"/>
      <c r="T262" s="254"/>
      <c r="U262" s="254"/>
      <c r="V262" s="254"/>
      <c r="W262" s="254"/>
      <c r="Y262" s="246" t="str">
        <f t="shared" si="19"/>
        <v/>
      </c>
      <c r="Z262" s="247" t="str">
        <f t="shared" si="23"/>
        <v/>
      </c>
      <c r="AA262" s="246" t="str">
        <f t="shared" si="20"/>
        <v/>
      </c>
    </row>
    <row r="263" spans="1:27" ht="18" customHeight="1" x14ac:dyDescent="0.25">
      <c r="A263" s="248" t="str">
        <f t="shared" si="21"/>
        <v/>
      </c>
      <c r="B263" s="249" t="str">
        <f t="shared" si="22"/>
        <v/>
      </c>
      <c r="C263" s="250"/>
      <c r="D263" s="251"/>
      <c r="E263" s="241"/>
      <c r="F263" s="252"/>
      <c r="G263" s="252"/>
      <c r="H263" s="253"/>
      <c r="I263" s="250"/>
      <c r="J263" s="250"/>
      <c r="K263" s="270"/>
      <c r="L263" s="250"/>
      <c r="M263" s="250"/>
      <c r="N263" s="540" t="str">
        <f>CONCATENATE(IF(OR(M263=phu!$I$1,M263=phu!$I$2,M263=phu!$I$3),"Cam Thành Nam",""),IF(OR(M263=phu!$I$4,M263=phu!$I$5,M263=phu!$I$6,M263=phu!$I$7,M263=phu!$I$8,M263=phu!$I$9,M263=phu!$I$10,M263=phu!$I$11,M263=phu!$I$12,M263=phu!$I$13,M263=phu!$I$14),"Cam Nghĩa",""),IF(OR(M263=phu!$I$15,M263=phu!$I$16,M263=phu!$I$17,M263=phu!$I$18,M263=phu!$I$19,M263=phu!$I$20,M263=phu!$I$21),"Cam Phúc Bắc",""),IF(OR(M263=phu!$I$22,M263=phu!$I$23,M263=phu!$I$24,M263=phu!$I$25),"Cam Phúc Nam",""),IF(OR(M263=phu!$I$26,M263=phu!$I$27,M263=phu!$I$28,M263=phu!$I$29,M263=phu!$I$30,M263=phu!$I$31),"Cam Phú",""),IF(OR(M263=phu!$I$32,M263=phu!$I$33,M263=phu!$I$34,M263=phu!$I$35,M263=phu!$I$36,M263=phu!$I$37),"Cam Lộc",""),IF(OR(M263=phu!$I$38,M263=phu!$I$39,M263=phu!$I$40,M263=phu!$I$41,M263=phu!$I$42,M263=phu!$I$43,M263=phu!$I$44),"Cam Thuận",""),IF(OR(M263=phu!$I$45,M263=phu!$I$46,M263=phu!$I$47,M263=phu!$I$48,M263=phu!$I$49,M263=phu!$I$50,M263=phu!$I$51,M263=phu!$I$52,M263=phu!$I$53),"Cam Linh",""),IF(OR(M263=phu!$I$54,M263=phu!$I$55,M263=phu!$I$56,M263=phu!$I$57,M263=phu!$I$58,M263=phu!$I$59,M263=phu!$I$60,M263=phu!$I$61,M263=phu!$I$62),"Cam Lợi",""),IF(OR(M263=phu!$I$63,M263=phu!$I$64,M263=phu!$I$65,M263=phu!$I$66,M263=phu!$I$67,M263=phu!$I$68,M263=phu!$I$69,M263=phu!$I$70,M263=phu!$I$71),"Ba Ngòi",""),IF(OR(M263=phu!$I$72,M263=phu!$I$73,M263=phu!$I$74,M263=phu!$I$75,M263=phu!$I$76,M263=phu!$I$77,M263=phu!$I$78),"Cam Phước Đông",""),IF(OR(M263=phu!$I$79,M263=phu!$I$80,M263=phu!$I$81,M263=phu!$I$82,M263=phu!$I$83,M263=phu!$I$84),"Cam Thịnh Đông",""),IF(OR(M263=phu!$I$85,M263=phu!$I$86,M263=phu!$I$87,M263=phu!$I$88),"Cam Thịnh Tây",""),IF(OR(M263=phu!$I$89,M263=phu!$I$90),"Cam Lập",""),IF(OR(M263=phu!$I$91,M263=phu!$I$92,M263=phu!$I$93),"Cam Bình",""),IF(OR(M263=phu!$I$94,M263=phu!$I$95,M263=phu!$I$96,M263=phu!$I$97,M263=phu!$I$98,M263=phu!$I$99,M263=phu!$I$100),"Huyện khác",""),IF(OR(M263=phu!$I$101,M263=phu!$I$102),"Tỉnh khác",""))</f>
        <v/>
      </c>
      <c r="O263" s="829" t="str">
        <f t="shared" ref="O263:O326" si="24">CONCATENATE(IF(OR(N263="Cam Thành Nam",N263="Cam Nghĩa",N263="Cam Phúc Bắc"),"Bắc Cam Ranh",""),IF(OR(N263="Cam Phúc Nam",N263="Cam Phú",N263="Cam Lộc"),"Cam Ranh",""),IF(OR(N263="Cam Thuận",N263="Cam Linh",N263="Cam Lợi"),"Cam Linh",""),IF(OR(N263="Ba Ngòi",N263="Cam Phước Đông"),"Ba Ngòi",""),IF(OR(N263="Cam Thịnh Đông",N263="Cam Thịnh Tây",N263="Cam Lập",N263="Cam Bình"),"Nam Cam Ranh",""),IF(N263="Huyện khác","Huyện khác",""),IF(N263="Tỉnh khác","Tỉnh khác",""))</f>
        <v/>
      </c>
      <c r="P263" s="254"/>
      <c r="Q263" s="254"/>
      <c r="R263" s="254"/>
      <c r="S263" s="254"/>
      <c r="T263" s="254"/>
      <c r="U263" s="254"/>
      <c r="V263" s="254"/>
      <c r="W263" s="254"/>
      <c r="Y263" s="246" t="str">
        <f t="shared" ref="Y263:Y326" si="25">IF(OR(AND(B263="",C263="",D263="",E263="",F263="",G263="",H263="",I263="",J263="",L263="",M263="",N263="",P263="",Q263="",R263="",S263=""),AND(B263&lt;&gt;"",C263&lt;&gt;"",D263&lt;&gt;"",E263&lt;&gt;"",F263&lt;&gt;"",G263&lt;&gt;"",H263&lt;&gt;"",J263&lt;&gt;"",M263&lt;&gt;"",N263&lt;&gt;"",P263&lt;&gt;"",OR(AND(Q263&lt;&gt;"",R263=""),AND(Q263="",R263&lt;&gt;""),AND(Q263&lt;&gt;"",R263&lt;&gt;"")),OR(AND(K263="X",T263&lt;&gt;""),AND(K263="",T263="")))),"","er")</f>
        <v/>
      </c>
      <c r="Z263" s="247" t="str">
        <f t="shared" si="23"/>
        <v/>
      </c>
      <c r="AA263" s="246" t="str">
        <f t="shared" ref="AA263:AA326" si="26">IF(OR(AND(Z263&lt;=10,B263&gt;5),AND(Z263&lt;=11,B263&gt;6),AND(Z263&lt;=12,B263&gt;7),AND(Z263&lt;=13,B263&gt;8),AND(Z263&lt;=14,B263&gt;9),AND(Z263=11,B263=6,L263="X"),AND(Z263=12,B263=7,L263="X"),AND(Z263=13,B263=8,L263="X"),AND(Z263=14,B263=9,L263="X")),"er","")</f>
        <v/>
      </c>
    </row>
    <row r="264" spans="1:27" ht="18" customHeight="1" x14ac:dyDescent="0.25">
      <c r="A264" s="248" t="str">
        <f t="shared" ref="A264:A327" si="27">IF(OR(A263="",B264="",C264="",D264="",E264=""),"",A263+1)</f>
        <v/>
      </c>
      <c r="B264" s="249" t="str">
        <f t="shared" ref="B264:B327" si="28">IF(C264="","",VALUE(LEFT(C264,1)))</f>
        <v/>
      </c>
      <c r="C264" s="250"/>
      <c r="D264" s="251"/>
      <c r="E264" s="241"/>
      <c r="F264" s="252"/>
      <c r="G264" s="252"/>
      <c r="H264" s="253"/>
      <c r="I264" s="250"/>
      <c r="J264" s="250"/>
      <c r="K264" s="270"/>
      <c r="L264" s="250"/>
      <c r="M264" s="250"/>
      <c r="N264" s="540" t="str">
        <f>CONCATENATE(IF(OR(M264=phu!$I$1,M264=phu!$I$2,M264=phu!$I$3),"Cam Thành Nam",""),IF(OR(M264=phu!$I$4,M264=phu!$I$5,M264=phu!$I$6,M264=phu!$I$7,M264=phu!$I$8,M264=phu!$I$9,M264=phu!$I$10,M264=phu!$I$11,M264=phu!$I$12,M264=phu!$I$13,M264=phu!$I$14),"Cam Nghĩa",""),IF(OR(M264=phu!$I$15,M264=phu!$I$16,M264=phu!$I$17,M264=phu!$I$18,M264=phu!$I$19,M264=phu!$I$20,M264=phu!$I$21),"Cam Phúc Bắc",""),IF(OR(M264=phu!$I$22,M264=phu!$I$23,M264=phu!$I$24,M264=phu!$I$25),"Cam Phúc Nam",""),IF(OR(M264=phu!$I$26,M264=phu!$I$27,M264=phu!$I$28,M264=phu!$I$29,M264=phu!$I$30,M264=phu!$I$31),"Cam Phú",""),IF(OR(M264=phu!$I$32,M264=phu!$I$33,M264=phu!$I$34,M264=phu!$I$35,M264=phu!$I$36,M264=phu!$I$37),"Cam Lộc",""),IF(OR(M264=phu!$I$38,M264=phu!$I$39,M264=phu!$I$40,M264=phu!$I$41,M264=phu!$I$42,M264=phu!$I$43,M264=phu!$I$44),"Cam Thuận",""),IF(OR(M264=phu!$I$45,M264=phu!$I$46,M264=phu!$I$47,M264=phu!$I$48,M264=phu!$I$49,M264=phu!$I$50,M264=phu!$I$51,M264=phu!$I$52,M264=phu!$I$53),"Cam Linh",""),IF(OR(M264=phu!$I$54,M264=phu!$I$55,M264=phu!$I$56,M264=phu!$I$57,M264=phu!$I$58,M264=phu!$I$59,M264=phu!$I$60,M264=phu!$I$61,M264=phu!$I$62),"Cam Lợi",""),IF(OR(M264=phu!$I$63,M264=phu!$I$64,M264=phu!$I$65,M264=phu!$I$66,M264=phu!$I$67,M264=phu!$I$68,M264=phu!$I$69,M264=phu!$I$70,M264=phu!$I$71),"Ba Ngòi",""),IF(OR(M264=phu!$I$72,M264=phu!$I$73,M264=phu!$I$74,M264=phu!$I$75,M264=phu!$I$76,M264=phu!$I$77,M264=phu!$I$78),"Cam Phước Đông",""),IF(OR(M264=phu!$I$79,M264=phu!$I$80,M264=phu!$I$81,M264=phu!$I$82,M264=phu!$I$83,M264=phu!$I$84),"Cam Thịnh Đông",""),IF(OR(M264=phu!$I$85,M264=phu!$I$86,M264=phu!$I$87,M264=phu!$I$88),"Cam Thịnh Tây",""),IF(OR(M264=phu!$I$89,M264=phu!$I$90),"Cam Lập",""),IF(OR(M264=phu!$I$91,M264=phu!$I$92,M264=phu!$I$93),"Cam Bình",""),IF(OR(M264=phu!$I$94,M264=phu!$I$95,M264=phu!$I$96,M264=phu!$I$97,M264=phu!$I$98,M264=phu!$I$99,M264=phu!$I$100),"Huyện khác",""),IF(OR(M264=phu!$I$101,M264=phu!$I$102),"Tỉnh khác",""))</f>
        <v/>
      </c>
      <c r="O264" s="829" t="str">
        <f t="shared" si="24"/>
        <v/>
      </c>
      <c r="P264" s="254"/>
      <c r="Q264" s="254"/>
      <c r="R264" s="254"/>
      <c r="S264" s="254"/>
      <c r="T264" s="254"/>
      <c r="U264" s="254"/>
      <c r="V264" s="254"/>
      <c r="W264" s="254"/>
      <c r="Y264" s="246" t="str">
        <f t="shared" si="25"/>
        <v/>
      </c>
      <c r="Z264" s="247" t="str">
        <f t="shared" ref="Z264:Z327" si="29">IF(H264="","",$Z$1-H264)</f>
        <v/>
      </c>
      <c r="AA264" s="246" t="str">
        <f t="shared" si="26"/>
        <v/>
      </c>
    </row>
    <row r="265" spans="1:27" ht="18" customHeight="1" x14ac:dyDescent="0.25">
      <c r="A265" s="248" t="str">
        <f t="shared" si="27"/>
        <v/>
      </c>
      <c r="B265" s="249" t="str">
        <f t="shared" si="28"/>
        <v/>
      </c>
      <c r="C265" s="250"/>
      <c r="D265" s="251"/>
      <c r="E265" s="241"/>
      <c r="F265" s="252"/>
      <c r="G265" s="252"/>
      <c r="H265" s="253"/>
      <c r="I265" s="250"/>
      <c r="J265" s="250"/>
      <c r="K265" s="270"/>
      <c r="L265" s="250"/>
      <c r="M265" s="250"/>
      <c r="N265" s="540" t="str">
        <f>CONCATENATE(IF(OR(M265=phu!$I$1,M265=phu!$I$2,M265=phu!$I$3),"Cam Thành Nam",""),IF(OR(M265=phu!$I$4,M265=phu!$I$5,M265=phu!$I$6,M265=phu!$I$7,M265=phu!$I$8,M265=phu!$I$9,M265=phu!$I$10,M265=phu!$I$11,M265=phu!$I$12,M265=phu!$I$13,M265=phu!$I$14),"Cam Nghĩa",""),IF(OR(M265=phu!$I$15,M265=phu!$I$16,M265=phu!$I$17,M265=phu!$I$18,M265=phu!$I$19,M265=phu!$I$20,M265=phu!$I$21),"Cam Phúc Bắc",""),IF(OR(M265=phu!$I$22,M265=phu!$I$23,M265=phu!$I$24,M265=phu!$I$25),"Cam Phúc Nam",""),IF(OR(M265=phu!$I$26,M265=phu!$I$27,M265=phu!$I$28,M265=phu!$I$29,M265=phu!$I$30,M265=phu!$I$31),"Cam Phú",""),IF(OR(M265=phu!$I$32,M265=phu!$I$33,M265=phu!$I$34,M265=phu!$I$35,M265=phu!$I$36,M265=phu!$I$37),"Cam Lộc",""),IF(OR(M265=phu!$I$38,M265=phu!$I$39,M265=phu!$I$40,M265=phu!$I$41,M265=phu!$I$42,M265=phu!$I$43,M265=phu!$I$44),"Cam Thuận",""),IF(OR(M265=phu!$I$45,M265=phu!$I$46,M265=phu!$I$47,M265=phu!$I$48,M265=phu!$I$49,M265=phu!$I$50,M265=phu!$I$51,M265=phu!$I$52,M265=phu!$I$53),"Cam Linh",""),IF(OR(M265=phu!$I$54,M265=phu!$I$55,M265=phu!$I$56,M265=phu!$I$57,M265=phu!$I$58,M265=phu!$I$59,M265=phu!$I$60,M265=phu!$I$61,M265=phu!$I$62),"Cam Lợi",""),IF(OR(M265=phu!$I$63,M265=phu!$I$64,M265=phu!$I$65,M265=phu!$I$66,M265=phu!$I$67,M265=phu!$I$68,M265=phu!$I$69,M265=phu!$I$70,M265=phu!$I$71),"Ba Ngòi",""),IF(OR(M265=phu!$I$72,M265=phu!$I$73,M265=phu!$I$74,M265=phu!$I$75,M265=phu!$I$76,M265=phu!$I$77,M265=phu!$I$78),"Cam Phước Đông",""),IF(OR(M265=phu!$I$79,M265=phu!$I$80,M265=phu!$I$81,M265=phu!$I$82,M265=phu!$I$83,M265=phu!$I$84),"Cam Thịnh Đông",""),IF(OR(M265=phu!$I$85,M265=phu!$I$86,M265=phu!$I$87,M265=phu!$I$88),"Cam Thịnh Tây",""),IF(OR(M265=phu!$I$89,M265=phu!$I$90),"Cam Lập",""),IF(OR(M265=phu!$I$91,M265=phu!$I$92,M265=phu!$I$93),"Cam Bình",""),IF(OR(M265=phu!$I$94,M265=phu!$I$95,M265=phu!$I$96,M265=phu!$I$97,M265=phu!$I$98,M265=phu!$I$99,M265=phu!$I$100),"Huyện khác",""),IF(OR(M265=phu!$I$101,M265=phu!$I$102),"Tỉnh khác",""))</f>
        <v/>
      </c>
      <c r="O265" s="829" t="str">
        <f t="shared" si="24"/>
        <v/>
      </c>
      <c r="P265" s="254"/>
      <c r="Q265" s="254"/>
      <c r="R265" s="254"/>
      <c r="S265" s="254"/>
      <c r="T265" s="254"/>
      <c r="U265" s="254"/>
      <c r="V265" s="254"/>
      <c r="W265" s="254"/>
      <c r="Y265" s="246" t="str">
        <f t="shared" si="25"/>
        <v/>
      </c>
      <c r="Z265" s="247" t="str">
        <f t="shared" si="29"/>
        <v/>
      </c>
      <c r="AA265" s="246" t="str">
        <f t="shared" si="26"/>
        <v/>
      </c>
    </row>
    <row r="266" spans="1:27" ht="18" customHeight="1" x14ac:dyDescent="0.25">
      <c r="A266" s="248" t="str">
        <f t="shared" si="27"/>
        <v/>
      </c>
      <c r="B266" s="249" t="str">
        <f t="shared" si="28"/>
        <v/>
      </c>
      <c r="C266" s="250"/>
      <c r="D266" s="251"/>
      <c r="E266" s="241"/>
      <c r="F266" s="252"/>
      <c r="G266" s="252"/>
      <c r="H266" s="253"/>
      <c r="I266" s="250"/>
      <c r="J266" s="250"/>
      <c r="K266" s="270"/>
      <c r="L266" s="250"/>
      <c r="M266" s="250"/>
      <c r="N266" s="540" t="str">
        <f>CONCATENATE(IF(OR(M266=phu!$I$1,M266=phu!$I$2,M266=phu!$I$3),"Cam Thành Nam",""),IF(OR(M266=phu!$I$4,M266=phu!$I$5,M266=phu!$I$6,M266=phu!$I$7,M266=phu!$I$8,M266=phu!$I$9,M266=phu!$I$10,M266=phu!$I$11,M266=phu!$I$12,M266=phu!$I$13,M266=phu!$I$14),"Cam Nghĩa",""),IF(OR(M266=phu!$I$15,M266=phu!$I$16,M266=phu!$I$17,M266=phu!$I$18,M266=phu!$I$19,M266=phu!$I$20,M266=phu!$I$21),"Cam Phúc Bắc",""),IF(OR(M266=phu!$I$22,M266=phu!$I$23,M266=phu!$I$24,M266=phu!$I$25),"Cam Phúc Nam",""),IF(OR(M266=phu!$I$26,M266=phu!$I$27,M266=phu!$I$28,M266=phu!$I$29,M266=phu!$I$30,M266=phu!$I$31),"Cam Phú",""),IF(OR(M266=phu!$I$32,M266=phu!$I$33,M266=phu!$I$34,M266=phu!$I$35,M266=phu!$I$36,M266=phu!$I$37),"Cam Lộc",""),IF(OR(M266=phu!$I$38,M266=phu!$I$39,M266=phu!$I$40,M266=phu!$I$41,M266=phu!$I$42,M266=phu!$I$43,M266=phu!$I$44),"Cam Thuận",""),IF(OR(M266=phu!$I$45,M266=phu!$I$46,M266=phu!$I$47,M266=phu!$I$48,M266=phu!$I$49,M266=phu!$I$50,M266=phu!$I$51,M266=phu!$I$52,M266=phu!$I$53),"Cam Linh",""),IF(OR(M266=phu!$I$54,M266=phu!$I$55,M266=phu!$I$56,M266=phu!$I$57,M266=phu!$I$58,M266=phu!$I$59,M266=phu!$I$60,M266=phu!$I$61,M266=phu!$I$62),"Cam Lợi",""),IF(OR(M266=phu!$I$63,M266=phu!$I$64,M266=phu!$I$65,M266=phu!$I$66,M266=phu!$I$67,M266=phu!$I$68,M266=phu!$I$69,M266=phu!$I$70,M266=phu!$I$71),"Ba Ngòi",""),IF(OR(M266=phu!$I$72,M266=phu!$I$73,M266=phu!$I$74,M266=phu!$I$75,M266=phu!$I$76,M266=phu!$I$77,M266=phu!$I$78),"Cam Phước Đông",""),IF(OR(M266=phu!$I$79,M266=phu!$I$80,M266=phu!$I$81,M266=phu!$I$82,M266=phu!$I$83,M266=phu!$I$84),"Cam Thịnh Đông",""),IF(OR(M266=phu!$I$85,M266=phu!$I$86,M266=phu!$I$87,M266=phu!$I$88),"Cam Thịnh Tây",""),IF(OR(M266=phu!$I$89,M266=phu!$I$90),"Cam Lập",""),IF(OR(M266=phu!$I$91,M266=phu!$I$92,M266=phu!$I$93),"Cam Bình",""),IF(OR(M266=phu!$I$94,M266=phu!$I$95,M266=phu!$I$96,M266=phu!$I$97,M266=phu!$I$98,M266=phu!$I$99,M266=phu!$I$100),"Huyện khác",""),IF(OR(M266=phu!$I$101,M266=phu!$I$102),"Tỉnh khác",""))</f>
        <v/>
      </c>
      <c r="O266" s="829" t="str">
        <f t="shared" si="24"/>
        <v/>
      </c>
      <c r="P266" s="254"/>
      <c r="Q266" s="254"/>
      <c r="R266" s="254"/>
      <c r="S266" s="254"/>
      <c r="T266" s="254"/>
      <c r="U266" s="254"/>
      <c r="V266" s="254"/>
      <c r="W266" s="254"/>
      <c r="Y266" s="246" t="str">
        <f t="shared" si="25"/>
        <v/>
      </c>
      <c r="Z266" s="247" t="str">
        <f t="shared" si="29"/>
        <v/>
      </c>
      <c r="AA266" s="246" t="str">
        <f t="shared" si="26"/>
        <v/>
      </c>
    </row>
    <row r="267" spans="1:27" ht="18" customHeight="1" x14ac:dyDescent="0.25">
      <c r="A267" s="248" t="str">
        <f t="shared" si="27"/>
        <v/>
      </c>
      <c r="B267" s="249" t="str">
        <f t="shared" si="28"/>
        <v/>
      </c>
      <c r="C267" s="250"/>
      <c r="D267" s="251"/>
      <c r="E267" s="241"/>
      <c r="F267" s="252"/>
      <c r="G267" s="252"/>
      <c r="H267" s="253"/>
      <c r="I267" s="250"/>
      <c r="J267" s="250"/>
      <c r="K267" s="270"/>
      <c r="L267" s="250"/>
      <c r="M267" s="250"/>
      <c r="N267" s="540" t="str">
        <f>CONCATENATE(IF(OR(M267=phu!$I$1,M267=phu!$I$2,M267=phu!$I$3),"Cam Thành Nam",""),IF(OR(M267=phu!$I$4,M267=phu!$I$5,M267=phu!$I$6,M267=phu!$I$7,M267=phu!$I$8,M267=phu!$I$9,M267=phu!$I$10,M267=phu!$I$11,M267=phu!$I$12,M267=phu!$I$13,M267=phu!$I$14),"Cam Nghĩa",""),IF(OR(M267=phu!$I$15,M267=phu!$I$16,M267=phu!$I$17,M267=phu!$I$18,M267=phu!$I$19,M267=phu!$I$20,M267=phu!$I$21),"Cam Phúc Bắc",""),IF(OR(M267=phu!$I$22,M267=phu!$I$23,M267=phu!$I$24,M267=phu!$I$25),"Cam Phúc Nam",""),IF(OR(M267=phu!$I$26,M267=phu!$I$27,M267=phu!$I$28,M267=phu!$I$29,M267=phu!$I$30,M267=phu!$I$31),"Cam Phú",""),IF(OR(M267=phu!$I$32,M267=phu!$I$33,M267=phu!$I$34,M267=phu!$I$35,M267=phu!$I$36,M267=phu!$I$37),"Cam Lộc",""),IF(OR(M267=phu!$I$38,M267=phu!$I$39,M267=phu!$I$40,M267=phu!$I$41,M267=phu!$I$42,M267=phu!$I$43,M267=phu!$I$44),"Cam Thuận",""),IF(OR(M267=phu!$I$45,M267=phu!$I$46,M267=phu!$I$47,M267=phu!$I$48,M267=phu!$I$49,M267=phu!$I$50,M267=phu!$I$51,M267=phu!$I$52,M267=phu!$I$53),"Cam Linh",""),IF(OR(M267=phu!$I$54,M267=phu!$I$55,M267=phu!$I$56,M267=phu!$I$57,M267=phu!$I$58,M267=phu!$I$59,M267=phu!$I$60,M267=phu!$I$61,M267=phu!$I$62),"Cam Lợi",""),IF(OR(M267=phu!$I$63,M267=phu!$I$64,M267=phu!$I$65,M267=phu!$I$66,M267=phu!$I$67,M267=phu!$I$68,M267=phu!$I$69,M267=phu!$I$70,M267=phu!$I$71),"Ba Ngòi",""),IF(OR(M267=phu!$I$72,M267=phu!$I$73,M267=phu!$I$74,M267=phu!$I$75,M267=phu!$I$76,M267=phu!$I$77,M267=phu!$I$78),"Cam Phước Đông",""),IF(OR(M267=phu!$I$79,M267=phu!$I$80,M267=phu!$I$81,M267=phu!$I$82,M267=phu!$I$83,M267=phu!$I$84),"Cam Thịnh Đông",""),IF(OR(M267=phu!$I$85,M267=phu!$I$86,M267=phu!$I$87,M267=phu!$I$88),"Cam Thịnh Tây",""),IF(OR(M267=phu!$I$89,M267=phu!$I$90),"Cam Lập",""),IF(OR(M267=phu!$I$91,M267=phu!$I$92,M267=phu!$I$93),"Cam Bình",""),IF(OR(M267=phu!$I$94,M267=phu!$I$95,M267=phu!$I$96,M267=phu!$I$97,M267=phu!$I$98,M267=phu!$I$99,M267=phu!$I$100),"Huyện khác",""),IF(OR(M267=phu!$I$101,M267=phu!$I$102),"Tỉnh khác",""))</f>
        <v/>
      </c>
      <c r="O267" s="829" t="str">
        <f t="shared" si="24"/>
        <v/>
      </c>
      <c r="P267" s="254"/>
      <c r="Q267" s="254"/>
      <c r="R267" s="254"/>
      <c r="S267" s="254"/>
      <c r="T267" s="254"/>
      <c r="U267" s="254"/>
      <c r="V267" s="254"/>
      <c r="W267" s="254"/>
      <c r="Y267" s="246" t="str">
        <f t="shared" si="25"/>
        <v/>
      </c>
      <c r="Z267" s="247" t="str">
        <f t="shared" si="29"/>
        <v/>
      </c>
      <c r="AA267" s="246" t="str">
        <f t="shared" si="26"/>
        <v/>
      </c>
    </row>
    <row r="268" spans="1:27" ht="18" customHeight="1" x14ac:dyDescent="0.25">
      <c r="A268" s="248" t="str">
        <f t="shared" si="27"/>
        <v/>
      </c>
      <c r="B268" s="249" t="str">
        <f t="shared" si="28"/>
        <v/>
      </c>
      <c r="C268" s="250"/>
      <c r="D268" s="251"/>
      <c r="E268" s="241"/>
      <c r="F268" s="252"/>
      <c r="G268" s="252"/>
      <c r="H268" s="253"/>
      <c r="I268" s="250"/>
      <c r="J268" s="250"/>
      <c r="K268" s="270"/>
      <c r="L268" s="250"/>
      <c r="M268" s="250"/>
      <c r="N268" s="540" t="str">
        <f>CONCATENATE(IF(OR(M268=phu!$I$1,M268=phu!$I$2,M268=phu!$I$3),"Cam Thành Nam",""),IF(OR(M268=phu!$I$4,M268=phu!$I$5,M268=phu!$I$6,M268=phu!$I$7,M268=phu!$I$8,M268=phu!$I$9,M268=phu!$I$10,M268=phu!$I$11,M268=phu!$I$12,M268=phu!$I$13,M268=phu!$I$14),"Cam Nghĩa",""),IF(OR(M268=phu!$I$15,M268=phu!$I$16,M268=phu!$I$17,M268=phu!$I$18,M268=phu!$I$19,M268=phu!$I$20,M268=phu!$I$21),"Cam Phúc Bắc",""),IF(OR(M268=phu!$I$22,M268=phu!$I$23,M268=phu!$I$24,M268=phu!$I$25),"Cam Phúc Nam",""),IF(OR(M268=phu!$I$26,M268=phu!$I$27,M268=phu!$I$28,M268=phu!$I$29,M268=phu!$I$30,M268=phu!$I$31),"Cam Phú",""),IF(OR(M268=phu!$I$32,M268=phu!$I$33,M268=phu!$I$34,M268=phu!$I$35,M268=phu!$I$36,M268=phu!$I$37),"Cam Lộc",""),IF(OR(M268=phu!$I$38,M268=phu!$I$39,M268=phu!$I$40,M268=phu!$I$41,M268=phu!$I$42,M268=phu!$I$43,M268=phu!$I$44),"Cam Thuận",""),IF(OR(M268=phu!$I$45,M268=phu!$I$46,M268=phu!$I$47,M268=phu!$I$48,M268=phu!$I$49,M268=phu!$I$50,M268=phu!$I$51,M268=phu!$I$52,M268=phu!$I$53),"Cam Linh",""),IF(OR(M268=phu!$I$54,M268=phu!$I$55,M268=phu!$I$56,M268=phu!$I$57,M268=phu!$I$58,M268=phu!$I$59,M268=phu!$I$60,M268=phu!$I$61,M268=phu!$I$62),"Cam Lợi",""),IF(OR(M268=phu!$I$63,M268=phu!$I$64,M268=phu!$I$65,M268=phu!$I$66,M268=phu!$I$67,M268=phu!$I$68,M268=phu!$I$69,M268=phu!$I$70,M268=phu!$I$71),"Ba Ngòi",""),IF(OR(M268=phu!$I$72,M268=phu!$I$73,M268=phu!$I$74,M268=phu!$I$75,M268=phu!$I$76,M268=phu!$I$77,M268=phu!$I$78),"Cam Phước Đông",""),IF(OR(M268=phu!$I$79,M268=phu!$I$80,M268=phu!$I$81,M268=phu!$I$82,M268=phu!$I$83,M268=phu!$I$84),"Cam Thịnh Đông",""),IF(OR(M268=phu!$I$85,M268=phu!$I$86,M268=phu!$I$87,M268=phu!$I$88),"Cam Thịnh Tây",""),IF(OR(M268=phu!$I$89,M268=phu!$I$90),"Cam Lập",""),IF(OR(M268=phu!$I$91,M268=phu!$I$92,M268=phu!$I$93),"Cam Bình",""),IF(OR(M268=phu!$I$94,M268=phu!$I$95,M268=phu!$I$96,M268=phu!$I$97,M268=phu!$I$98,M268=phu!$I$99,M268=phu!$I$100),"Huyện khác",""),IF(OR(M268=phu!$I$101,M268=phu!$I$102),"Tỉnh khác",""))</f>
        <v/>
      </c>
      <c r="O268" s="829" t="str">
        <f t="shared" si="24"/>
        <v/>
      </c>
      <c r="P268" s="254"/>
      <c r="Q268" s="254"/>
      <c r="R268" s="254"/>
      <c r="S268" s="254"/>
      <c r="T268" s="254"/>
      <c r="U268" s="254"/>
      <c r="V268" s="254"/>
      <c r="W268" s="254"/>
      <c r="Y268" s="246" t="str">
        <f t="shared" si="25"/>
        <v/>
      </c>
      <c r="Z268" s="247" t="str">
        <f t="shared" si="29"/>
        <v/>
      </c>
      <c r="AA268" s="246" t="str">
        <f t="shared" si="26"/>
        <v/>
      </c>
    </row>
    <row r="269" spans="1:27" ht="18" customHeight="1" x14ac:dyDescent="0.25">
      <c r="A269" s="248" t="str">
        <f t="shared" si="27"/>
        <v/>
      </c>
      <c r="B269" s="249" t="str">
        <f t="shared" si="28"/>
        <v/>
      </c>
      <c r="C269" s="250"/>
      <c r="D269" s="251"/>
      <c r="E269" s="241"/>
      <c r="F269" s="252"/>
      <c r="G269" s="252"/>
      <c r="H269" s="253"/>
      <c r="I269" s="250"/>
      <c r="J269" s="250"/>
      <c r="K269" s="270"/>
      <c r="L269" s="250"/>
      <c r="M269" s="250"/>
      <c r="N269" s="540" t="str">
        <f>CONCATENATE(IF(OR(M269=phu!$I$1,M269=phu!$I$2,M269=phu!$I$3),"Cam Thành Nam",""),IF(OR(M269=phu!$I$4,M269=phu!$I$5,M269=phu!$I$6,M269=phu!$I$7,M269=phu!$I$8,M269=phu!$I$9,M269=phu!$I$10,M269=phu!$I$11,M269=phu!$I$12,M269=phu!$I$13,M269=phu!$I$14),"Cam Nghĩa",""),IF(OR(M269=phu!$I$15,M269=phu!$I$16,M269=phu!$I$17,M269=phu!$I$18,M269=phu!$I$19,M269=phu!$I$20,M269=phu!$I$21),"Cam Phúc Bắc",""),IF(OR(M269=phu!$I$22,M269=phu!$I$23,M269=phu!$I$24,M269=phu!$I$25),"Cam Phúc Nam",""),IF(OR(M269=phu!$I$26,M269=phu!$I$27,M269=phu!$I$28,M269=phu!$I$29,M269=phu!$I$30,M269=phu!$I$31),"Cam Phú",""),IF(OR(M269=phu!$I$32,M269=phu!$I$33,M269=phu!$I$34,M269=phu!$I$35,M269=phu!$I$36,M269=phu!$I$37),"Cam Lộc",""),IF(OR(M269=phu!$I$38,M269=phu!$I$39,M269=phu!$I$40,M269=phu!$I$41,M269=phu!$I$42,M269=phu!$I$43,M269=phu!$I$44),"Cam Thuận",""),IF(OR(M269=phu!$I$45,M269=phu!$I$46,M269=phu!$I$47,M269=phu!$I$48,M269=phu!$I$49,M269=phu!$I$50,M269=phu!$I$51,M269=phu!$I$52,M269=phu!$I$53),"Cam Linh",""),IF(OR(M269=phu!$I$54,M269=phu!$I$55,M269=phu!$I$56,M269=phu!$I$57,M269=phu!$I$58,M269=phu!$I$59,M269=phu!$I$60,M269=phu!$I$61,M269=phu!$I$62),"Cam Lợi",""),IF(OR(M269=phu!$I$63,M269=phu!$I$64,M269=phu!$I$65,M269=phu!$I$66,M269=phu!$I$67,M269=phu!$I$68,M269=phu!$I$69,M269=phu!$I$70,M269=phu!$I$71),"Ba Ngòi",""),IF(OR(M269=phu!$I$72,M269=phu!$I$73,M269=phu!$I$74,M269=phu!$I$75,M269=phu!$I$76,M269=phu!$I$77,M269=phu!$I$78),"Cam Phước Đông",""),IF(OR(M269=phu!$I$79,M269=phu!$I$80,M269=phu!$I$81,M269=phu!$I$82,M269=phu!$I$83,M269=phu!$I$84),"Cam Thịnh Đông",""),IF(OR(M269=phu!$I$85,M269=phu!$I$86,M269=phu!$I$87,M269=phu!$I$88),"Cam Thịnh Tây",""),IF(OR(M269=phu!$I$89,M269=phu!$I$90),"Cam Lập",""),IF(OR(M269=phu!$I$91,M269=phu!$I$92,M269=phu!$I$93),"Cam Bình",""),IF(OR(M269=phu!$I$94,M269=phu!$I$95,M269=phu!$I$96,M269=phu!$I$97,M269=phu!$I$98,M269=phu!$I$99,M269=phu!$I$100),"Huyện khác",""),IF(OR(M269=phu!$I$101,M269=phu!$I$102),"Tỉnh khác",""))</f>
        <v/>
      </c>
      <c r="O269" s="829" t="str">
        <f t="shared" si="24"/>
        <v/>
      </c>
      <c r="P269" s="254"/>
      <c r="Q269" s="254"/>
      <c r="R269" s="254"/>
      <c r="S269" s="254"/>
      <c r="T269" s="254"/>
      <c r="U269" s="254"/>
      <c r="V269" s="254"/>
      <c r="W269" s="254"/>
      <c r="Y269" s="246" t="str">
        <f t="shared" si="25"/>
        <v/>
      </c>
      <c r="Z269" s="247" t="str">
        <f t="shared" si="29"/>
        <v/>
      </c>
      <c r="AA269" s="246" t="str">
        <f t="shared" si="26"/>
        <v/>
      </c>
    </row>
    <row r="270" spans="1:27" ht="18" customHeight="1" x14ac:dyDescent="0.25">
      <c r="A270" s="248" t="str">
        <f t="shared" si="27"/>
        <v/>
      </c>
      <c r="B270" s="249" t="str">
        <f t="shared" si="28"/>
        <v/>
      </c>
      <c r="C270" s="250"/>
      <c r="D270" s="251"/>
      <c r="E270" s="241"/>
      <c r="F270" s="252"/>
      <c r="G270" s="252"/>
      <c r="H270" s="253"/>
      <c r="I270" s="250"/>
      <c r="J270" s="250"/>
      <c r="K270" s="270"/>
      <c r="L270" s="250"/>
      <c r="M270" s="250"/>
      <c r="N270" s="540" t="str">
        <f>CONCATENATE(IF(OR(M270=phu!$I$1,M270=phu!$I$2,M270=phu!$I$3),"Cam Thành Nam",""),IF(OR(M270=phu!$I$4,M270=phu!$I$5,M270=phu!$I$6,M270=phu!$I$7,M270=phu!$I$8,M270=phu!$I$9,M270=phu!$I$10,M270=phu!$I$11,M270=phu!$I$12,M270=phu!$I$13,M270=phu!$I$14),"Cam Nghĩa",""),IF(OR(M270=phu!$I$15,M270=phu!$I$16,M270=phu!$I$17,M270=phu!$I$18,M270=phu!$I$19,M270=phu!$I$20,M270=phu!$I$21),"Cam Phúc Bắc",""),IF(OR(M270=phu!$I$22,M270=phu!$I$23,M270=phu!$I$24,M270=phu!$I$25),"Cam Phúc Nam",""),IF(OR(M270=phu!$I$26,M270=phu!$I$27,M270=phu!$I$28,M270=phu!$I$29,M270=phu!$I$30,M270=phu!$I$31),"Cam Phú",""),IF(OR(M270=phu!$I$32,M270=phu!$I$33,M270=phu!$I$34,M270=phu!$I$35,M270=phu!$I$36,M270=phu!$I$37),"Cam Lộc",""),IF(OR(M270=phu!$I$38,M270=phu!$I$39,M270=phu!$I$40,M270=phu!$I$41,M270=phu!$I$42,M270=phu!$I$43,M270=phu!$I$44),"Cam Thuận",""),IF(OR(M270=phu!$I$45,M270=phu!$I$46,M270=phu!$I$47,M270=phu!$I$48,M270=phu!$I$49,M270=phu!$I$50,M270=phu!$I$51,M270=phu!$I$52,M270=phu!$I$53),"Cam Linh",""),IF(OR(M270=phu!$I$54,M270=phu!$I$55,M270=phu!$I$56,M270=phu!$I$57,M270=phu!$I$58,M270=phu!$I$59,M270=phu!$I$60,M270=phu!$I$61,M270=phu!$I$62),"Cam Lợi",""),IF(OR(M270=phu!$I$63,M270=phu!$I$64,M270=phu!$I$65,M270=phu!$I$66,M270=phu!$I$67,M270=phu!$I$68,M270=phu!$I$69,M270=phu!$I$70,M270=phu!$I$71),"Ba Ngòi",""),IF(OR(M270=phu!$I$72,M270=phu!$I$73,M270=phu!$I$74,M270=phu!$I$75,M270=phu!$I$76,M270=phu!$I$77,M270=phu!$I$78),"Cam Phước Đông",""),IF(OR(M270=phu!$I$79,M270=phu!$I$80,M270=phu!$I$81,M270=phu!$I$82,M270=phu!$I$83,M270=phu!$I$84),"Cam Thịnh Đông",""),IF(OR(M270=phu!$I$85,M270=phu!$I$86,M270=phu!$I$87,M270=phu!$I$88),"Cam Thịnh Tây",""),IF(OR(M270=phu!$I$89,M270=phu!$I$90),"Cam Lập",""),IF(OR(M270=phu!$I$91,M270=phu!$I$92,M270=phu!$I$93),"Cam Bình",""),IF(OR(M270=phu!$I$94,M270=phu!$I$95,M270=phu!$I$96,M270=phu!$I$97,M270=phu!$I$98,M270=phu!$I$99,M270=phu!$I$100),"Huyện khác",""),IF(OR(M270=phu!$I$101,M270=phu!$I$102),"Tỉnh khác",""))</f>
        <v/>
      </c>
      <c r="O270" s="829" t="str">
        <f t="shared" si="24"/>
        <v/>
      </c>
      <c r="P270" s="254"/>
      <c r="Q270" s="254"/>
      <c r="R270" s="254"/>
      <c r="S270" s="254"/>
      <c r="T270" s="254"/>
      <c r="U270" s="254"/>
      <c r="V270" s="254"/>
      <c r="W270" s="254"/>
      <c r="Y270" s="246" t="str">
        <f t="shared" si="25"/>
        <v/>
      </c>
      <c r="Z270" s="247" t="str">
        <f t="shared" si="29"/>
        <v/>
      </c>
      <c r="AA270" s="246" t="str">
        <f t="shared" si="26"/>
        <v/>
      </c>
    </row>
    <row r="271" spans="1:27" ht="18" customHeight="1" x14ac:dyDescent="0.25">
      <c r="A271" s="248" t="str">
        <f t="shared" si="27"/>
        <v/>
      </c>
      <c r="B271" s="249" t="str">
        <f t="shared" si="28"/>
        <v/>
      </c>
      <c r="C271" s="250"/>
      <c r="D271" s="251"/>
      <c r="E271" s="241"/>
      <c r="F271" s="252"/>
      <c r="G271" s="252"/>
      <c r="H271" s="253"/>
      <c r="I271" s="250"/>
      <c r="J271" s="250"/>
      <c r="K271" s="270"/>
      <c r="L271" s="250"/>
      <c r="M271" s="250"/>
      <c r="N271" s="540" t="str">
        <f>CONCATENATE(IF(OR(M271=phu!$I$1,M271=phu!$I$2,M271=phu!$I$3),"Cam Thành Nam",""),IF(OR(M271=phu!$I$4,M271=phu!$I$5,M271=phu!$I$6,M271=phu!$I$7,M271=phu!$I$8,M271=phu!$I$9,M271=phu!$I$10,M271=phu!$I$11,M271=phu!$I$12,M271=phu!$I$13,M271=phu!$I$14),"Cam Nghĩa",""),IF(OR(M271=phu!$I$15,M271=phu!$I$16,M271=phu!$I$17,M271=phu!$I$18,M271=phu!$I$19,M271=phu!$I$20,M271=phu!$I$21),"Cam Phúc Bắc",""),IF(OR(M271=phu!$I$22,M271=phu!$I$23,M271=phu!$I$24,M271=phu!$I$25),"Cam Phúc Nam",""),IF(OR(M271=phu!$I$26,M271=phu!$I$27,M271=phu!$I$28,M271=phu!$I$29,M271=phu!$I$30,M271=phu!$I$31),"Cam Phú",""),IF(OR(M271=phu!$I$32,M271=phu!$I$33,M271=phu!$I$34,M271=phu!$I$35,M271=phu!$I$36,M271=phu!$I$37),"Cam Lộc",""),IF(OR(M271=phu!$I$38,M271=phu!$I$39,M271=phu!$I$40,M271=phu!$I$41,M271=phu!$I$42,M271=phu!$I$43,M271=phu!$I$44),"Cam Thuận",""),IF(OR(M271=phu!$I$45,M271=phu!$I$46,M271=phu!$I$47,M271=phu!$I$48,M271=phu!$I$49,M271=phu!$I$50,M271=phu!$I$51,M271=phu!$I$52,M271=phu!$I$53),"Cam Linh",""),IF(OR(M271=phu!$I$54,M271=phu!$I$55,M271=phu!$I$56,M271=phu!$I$57,M271=phu!$I$58,M271=phu!$I$59,M271=phu!$I$60,M271=phu!$I$61,M271=phu!$I$62),"Cam Lợi",""),IF(OR(M271=phu!$I$63,M271=phu!$I$64,M271=phu!$I$65,M271=phu!$I$66,M271=phu!$I$67,M271=phu!$I$68,M271=phu!$I$69,M271=phu!$I$70,M271=phu!$I$71),"Ba Ngòi",""),IF(OR(M271=phu!$I$72,M271=phu!$I$73,M271=phu!$I$74,M271=phu!$I$75,M271=phu!$I$76,M271=phu!$I$77,M271=phu!$I$78),"Cam Phước Đông",""),IF(OR(M271=phu!$I$79,M271=phu!$I$80,M271=phu!$I$81,M271=phu!$I$82,M271=phu!$I$83,M271=phu!$I$84),"Cam Thịnh Đông",""),IF(OR(M271=phu!$I$85,M271=phu!$I$86,M271=phu!$I$87,M271=phu!$I$88),"Cam Thịnh Tây",""),IF(OR(M271=phu!$I$89,M271=phu!$I$90),"Cam Lập",""),IF(OR(M271=phu!$I$91,M271=phu!$I$92,M271=phu!$I$93),"Cam Bình",""),IF(OR(M271=phu!$I$94,M271=phu!$I$95,M271=phu!$I$96,M271=phu!$I$97,M271=phu!$I$98,M271=phu!$I$99,M271=phu!$I$100),"Huyện khác",""),IF(OR(M271=phu!$I$101,M271=phu!$I$102),"Tỉnh khác",""))</f>
        <v/>
      </c>
      <c r="O271" s="829" t="str">
        <f t="shared" si="24"/>
        <v/>
      </c>
      <c r="P271" s="254"/>
      <c r="Q271" s="254"/>
      <c r="R271" s="254"/>
      <c r="S271" s="254"/>
      <c r="T271" s="254"/>
      <c r="U271" s="254"/>
      <c r="V271" s="254"/>
      <c r="W271" s="254"/>
      <c r="Y271" s="246" t="str">
        <f t="shared" si="25"/>
        <v/>
      </c>
      <c r="Z271" s="247" t="str">
        <f t="shared" si="29"/>
        <v/>
      </c>
      <c r="AA271" s="246" t="str">
        <f t="shared" si="26"/>
        <v/>
      </c>
    </row>
    <row r="272" spans="1:27" ht="18" customHeight="1" x14ac:dyDescent="0.25">
      <c r="A272" s="248" t="str">
        <f t="shared" si="27"/>
        <v/>
      </c>
      <c r="B272" s="249" t="str">
        <f t="shared" si="28"/>
        <v/>
      </c>
      <c r="C272" s="250"/>
      <c r="D272" s="251"/>
      <c r="E272" s="241"/>
      <c r="F272" s="252"/>
      <c r="G272" s="252"/>
      <c r="H272" s="253"/>
      <c r="I272" s="250"/>
      <c r="J272" s="250"/>
      <c r="K272" s="270"/>
      <c r="L272" s="250"/>
      <c r="M272" s="250"/>
      <c r="N272" s="540" t="str">
        <f>CONCATENATE(IF(OR(M272=phu!$I$1,M272=phu!$I$2,M272=phu!$I$3),"Cam Thành Nam",""),IF(OR(M272=phu!$I$4,M272=phu!$I$5,M272=phu!$I$6,M272=phu!$I$7,M272=phu!$I$8,M272=phu!$I$9,M272=phu!$I$10,M272=phu!$I$11,M272=phu!$I$12,M272=phu!$I$13,M272=phu!$I$14),"Cam Nghĩa",""),IF(OR(M272=phu!$I$15,M272=phu!$I$16,M272=phu!$I$17,M272=phu!$I$18,M272=phu!$I$19,M272=phu!$I$20,M272=phu!$I$21),"Cam Phúc Bắc",""),IF(OR(M272=phu!$I$22,M272=phu!$I$23,M272=phu!$I$24,M272=phu!$I$25),"Cam Phúc Nam",""),IF(OR(M272=phu!$I$26,M272=phu!$I$27,M272=phu!$I$28,M272=phu!$I$29,M272=phu!$I$30,M272=phu!$I$31),"Cam Phú",""),IF(OR(M272=phu!$I$32,M272=phu!$I$33,M272=phu!$I$34,M272=phu!$I$35,M272=phu!$I$36,M272=phu!$I$37),"Cam Lộc",""),IF(OR(M272=phu!$I$38,M272=phu!$I$39,M272=phu!$I$40,M272=phu!$I$41,M272=phu!$I$42,M272=phu!$I$43,M272=phu!$I$44),"Cam Thuận",""),IF(OR(M272=phu!$I$45,M272=phu!$I$46,M272=phu!$I$47,M272=phu!$I$48,M272=phu!$I$49,M272=phu!$I$50,M272=phu!$I$51,M272=phu!$I$52,M272=phu!$I$53),"Cam Linh",""),IF(OR(M272=phu!$I$54,M272=phu!$I$55,M272=phu!$I$56,M272=phu!$I$57,M272=phu!$I$58,M272=phu!$I$59,M272=phu!$I$60,M272=phu!$I$61,M272=phu!$I$62),"Cam Lợi",""),IF(OR(M272=phu!$I$63,M272=phu!$I$64,M272=phu!$I$65,M272=phu!$I$66,M272=phu!$I$67,M272=phu!$I$68,M272=phu!$I$69,M272=phu!$I$70,M272=phu!$I$71),"Ba Ngòi",""),IF(OR(M272=phu!$I$72,M272=phu!$I$73,M272=phu!$I$74,M272=phu!$I$75,M272=phu!$I$76,M272=phu!$I$77,M272=phu!$I$78),"Cam Phước Đông",""),IF(OR(M272=phu!$I$79,M272=phu!$I$80,M272=phu!$I$81,M272=phu!$I$82,M272=phu!$I$83,M272=phu!$I$84),"Cam Thịnh Đông",""),IF(OR(M272=phu!$I$85,M272=phu!$I$86,M272=phu!$I$87,M272=phu!$I$88),"Cam Thịnh Tây",""),IF(OR(M272=phu!$I$89,M272=phu!$I$90),"Cam Lập",""),IF(OR(M272=phu!$I$91,M272=phu!$I$92,M272=phu!$I$93),"Cam Bình",""),IF(OR(M272=phu!$I$94,M272=phu!$I$95,M272=phu!$I$96,M272=phu!$I$97,M272=phu!$I$98,M272=phu!$I$99,M272=phu!$I$100),"Huyện khác",""),IF(OR(M272=phu!$I$101,M272=phu!$I$102),"Tỉnh khác",""))</f>
        <v/>
      </c>
      <c r="O272" s="829" t="str">
        <f t="shared" si="24"/>
        <v/>
      </c>
      <c r="P272" s="254"/>
      <c r="Q272" s="254"/>
      <c r="R272" s="254"/>
      <c r="S272" s="254"/>
      <c r="T272" s="254"/>
      <c r="U272" s="254"/>
      <c r="V272" s="254"/>
      <c r="W272" s="254"/>
      <c r="Y272" s="246" t="str">
        <f t="shared" si="25"/>
        <v/>
      </c>
      <c r="Z272" s="247" t="str">
        <f t="shared" si="29"/>
        <v/>
      </c>
      <c r="AA272" s="246" t="str">
        <f t="shared" si="26"/>
        <v/>
      </c>
    </row>
    <row r="273" spans="1:27" ht="18" customHeight="1" x14ac:dyDescent="0.25">
      <c r="A273" s="248" t="str">
        <f t="shared" si="27"/>
        <v/>
      </c>
      <c r="B273" s="249" t="str">
        <f t="shared" si="28"/>
        <v/>
      </c>
      <c r="C273" s="250"/>
      <c r="D273" s="251"/>
      <c r="E273" s="241"/>
      <c r="F273" s="252"/>
      <c r="G273" s="252"/>
      <c r="H273" s="253"/>
      <c r="I273" s="250"/>
      <c r="J273" s="250"/>
      <c r="K273" s="270"/>
      <c r="L273" s="250"/>
      <c r="M273" s="250"/>
      <c r="N273" s="540" t="str">
        <f>CONCATENATE(IF(OR(M273=phu!$I$1,M273=phu!$I$2,M273=phu!$I$3),"Cam Thành Nam",""),IF(OR(M273=phu!$I$4,M273=phu!$I$5,M273=phu!$I$6,M273=phu!$I$7,M273=phu!$I$8,M273=phu!$I$9,M273=phu!$I$10,M273=phu!$I$11,M273=phu!$I$12,M273=phu!$I$13,M273=phu!$I$14),"Cam Nghĩa",""),IF(OR(M273=phu!$I$15,M273=phu!$I$16,M273=phu!$I$17,M273=phu!$I$18,M273=phu!$I$19,M273=phu!$I$20,M273=phu!$I$21),"Cam Phúc Bắc",""),IF(OR(M273=phu!$I$22,M273=phu!$I$23,M273=phu!$I$24,M273=phu!$I$25),"Cam Phúc Nam",""),IF(OR(M273=phu!$I$26,M273=phu!$I$27,M273=phu!$I$28,M273=phu!$I$29,M273=phu!$I$30,M273=phu!$I$31),"Cam Phú",""),IF(OR(M273=phu!$I$32,M273=phu!$I$33,M273=phu!$I$34,M273=phu!$I$35,M273=phu!$I$36,M273=phu!$I$37),"Cam Lộc",""),IF(OR(M273=phu!$I$38,M273=phu!$I$39,M273=phu!$I$40,M273=phu!$I$41,M273=phu!$I$42,M273=phu!$I$43,M273=phu!$I$44),"Cam Thuận",""),IF(OR(M273=phu!$I$45,M273=phu!$I$46,M273=phu!$I$47,M273=phu!$I$48,M273=phu!$I$49,M273=phu!$I$50,M273=phu!$I$51,M273=phu!$I$52,M273=phu!$I$53),"Cam Linh",""),IF(OR(M273=phu!$I$54,M273=phu!$I$55,M273=phu!$I$56,M273=phu!$I$57,M273=phu!$I$58,M273=phu!$I$59,M273=phu!$I$60,M273=phu!$I$61,M273=phu!$I$62),"Cam Lợi",""),IF(OR(M273=phu!$I$63,M273=phu!$I$64,M273=phu!$I$65,M273=phu!$I$66,M273=phu!$I$67,M273=phu!$I$68,M273=phu!$I$69,M273=phu!$I$70,M273=phu!$I$71),"Ba Ngòi",""),IF(OR(M273=phu!$I$72,M273=phu!$I$73,M273=phu!$I$74,M273=phu!$I$75,M273=phu!$I$76,M273=phu!$I$77,M273=phu!$I$78),"Cam Phước Đông",""),IF(OR(M273=phu!$I$79,M273=phu!$I$80,M273=phu!$I$81,M273=phu!$I$82,M273=phu!$I$83,M273=phu!$I$84),"Cam Thịnh Đông",""),IF(OR(M273=phu!$I$85,M273=phu!$I$86,M273=phu!$I$87,M273=phu!$I$88),"Cam Thịnh Tây",""),IF(OR(M273=phu!$I$89,M273=phu!$I$90),"Cam Lập",""),IF(OR(M273=phu!$I$91,M273=phu!$I$92,M273=phu!$I$93),"Cam Bình",""),IF(OR(M273=phu!$I$94,M273=phu!$I$95,M273=phu!$I$96,M273=phu!$I$97,M273=phu!$I$98,M273=phu!$I$99,M273=phu!$I$100),"Huyện khác",""),IF(OR(M273=phu!$I$101,M273=phu!$I$102),"Tỉnh khác",""))</f>
        <v/>
      </c>
      <c r="O273" s="829" t="str">
        <f t="shared" si="24"/>
        <v/>
      </c>
      <c r="P273" s="254"/>
      <c r="Q273" s="254"/>
      <c r="R273" s="254"/>
      <c r="S273" s="254"/>
      <c r="T273" s="254"/>
      <c r="U273" s="254"/>
      <c r="V273" s="254"/>
      <c r="W273" s="254"/>
      <c r="Y273" s="246" t="str">
        <f t="shared" si="25"/>
        <v/>
      </c>
      <c r="Z273" s="247" t="str">
        <f t="shared" si="29"/>
        <v/>
      </c>
      <c r="AA273" s="246" t="str">
        <f t="shared" si="26"/>
        <v/>
      </c>
    </row>
    <row r="274" spans="1:27" ht="18" customHeight="1" x14ac:dyDescent="0.25">
      <c r="A274" s="248" t="str">
        <f t="shared" si="27"/>
        <v/>
      </c>
      <c r="B274" s="249" t="str">
        <f t="shared" si="28"/>
        <v/>
      </c>
      <c r="C274" s="250"/>
      <c r="D274" s="251"/>
      <c r="E274" s="241"/>
      <c r="F274" s="252"/>
      <c r="G274" s="252"/>
      <c r="H274" s="253"/>
      <c r="I274" s="250"/>
      <c r="J274" s="250"/>
      <c r="K274" s="270"/>
      <c r="L274" s="250"/>
      <c r="M274" s="250"/>
      <c r="N274" s="540" t="str">
        <f>CONCATENATE(IF(OR(M274=phu!$I$1,M274=phu!$I$2,M274=phu!$I$3),"Cam Thành Nam",""),IF(OR(M274=phu!$I$4,M274=phu!$I$5,M274=phu!$I$6,M274=phu!$I$7,M274=phu!$I$8,M274=phu!$I$9,M274=phu!$I$10,M274=phu!$I$11,M274=phu!$I$12,M274=phu!$I$13,M274=phu!$I$14),"Cam Nghĩa",""),IF(OR(M274=phu!$I$15,M274=phu!$I$16,M274=phu!$I$17,M274=phu!$I$18,M274=phu!$I$19,M274=phu!$I$20,M274=phu!$I$21),"Cam Phúc Bắc",""),IF(OR(M274=phu!$I$22,M274=phu!$I$23,M274=phu!$I$24,M274=phu!$I$25),"Cam Phúc Nam",""),IF(OR(M274=phu!$I$26,M274=phu!$I$27,M274=phu!$I$28,M274=phu!$I$29,M274=phu!$I$30,M274=phu!$I$31),"Cam Phú",""),IF(OR(M274=phu!$I$32,M274=phu!$I$33,M274=phu!$I$34,M274=phu!$I$35,M274=phu!$I$36,M274=phu!$I$37),"Cam Lộc",""),IF(OR(M274=phu!$I$38,M274=phu!$I$39,M274=phu!$I$40,M274=phu!$I$41,M274=phu!$I$42,M274=phu!$I$43,M274=phu!$I$44),"Cam Thuận",""),IF(OR(M274=phu!$I$45,M274=phu!$I$46,M274=phu!$I$47,M274=phu!$I$48,M274=phu!$I$49,M274=phu!$I$50,M274=phu!$I$51,M274=phu!$I$52,M274=phu!$I$53),"Cam Linh",""),IF(OR(M274=phu!$I$54,M274=phu!$I$55,M274=phu!$I$56,M274=phu!$I$57,M274=phu!$I$58,M274=phu!$I$59,M274=phu!$I$60,M274=phu!$I$61,M274=phu!$I$62),"Cam Lợi",""),IF(OR(M274=phu!$I$63,M274=phu!$I$64,M274=phu!$I$65,M274=phu!$I$66,M274=phu!$I$67,M274=phu!$I$68,M274=phu!$I$69,M274=phu!$I$70,M274=phu!$I$71),"Ba Ngòi",""),IF(OR(M274=phu!$I$72,M274=phu!$I$73,M274=phu!$I$74,M274=phu!$I$75,M274=phu!$I$76,M274=phu!$I$77,M274=phu!$I$78),"Cam Phước Đông",""),IF(OR(M274=phu!$I$79,M274=phu!$I$80,M274=phu!$I$81,M274=phu!$I$82,M274=phu!$I$83,M274=phu!$I$84),"Cam Thịnh Đông",""),IF(OR(M274=phu!$I$85,M274=phu!$I$86,M274=phu!$I$87,M274=phu!$I$88),"Cam Thịnh Tây",""),IF(OR(M274=phu!$I$89,M274=phu!$I$90),"Cam Lập",""),IF(OR(M274=phu!$I$91,M274=phu!$I$92,M274=phu!$I$93),"Cam Bình",""),IF(OR(M274=phu!$I$94,M274=phu!$I$95,M274=phu!$I$96,M274=phu!$I$97,M274=phu!$I$98,M274=phu!$I$99,M274=phu!$I$100),"Huyện khác",""),IF(OR(M274=phu!$I$101,M274=phu!$I$102),"Tỉnh khác",""))</f>
        <v/>
      </c>
      <c r="O274" s="829" t="str">
        <f t="shared" si="24"/>
        <v/>
      </c>
      <c r="P274" s="254"/>
      <c r="Q274" s="254"/>
      <c r="R274" s="254"/>
      <c r="S274" s="254"/>
      <c r="T274" s="254"/>
      <c r="U274" s="254"/>
      <c r="V274" s="254"/>
      <c r="W274" s="254"/>
      <c r="Y274" s="246" t="str">
        <f t="shared" si="25"/>
        <v/>
      </c>
      <c r="Z274" s="247" t="str">
        <f t="shared" si="29"/>
        <v/>
      </c>
      <c r="AA274" s="246" t="str">
        <f t="shared" si="26"/>
        <v/>
      </c>
    </row>
    <row r="275" spans="1:27" ht="18" customHeight="1" x14ac:dyDescent="0.25">
      <c r="A275" s="248" t="str">
        <f t="shared" si="27"/>
        <v/>
      </c>
      <c r="B275" s="249" t="str">
        <f t="shared" si="28"/>
        <v/>
      </c>
      <c r="C275" s="250"/>
      <c r="D275" s="251"/>
      <c r="E275" s="241"/>
      <c r="F275" s="252"/>
      <c r="G275" s="252"/>
      <c r="H275" s="253"/>
      <c r="I275" s="250"/>
      <c r="J275" s="250"/>
      <c r="K275" s="270"/>
      <c r="L275" s="250"/>
      <c r="M275" s="250"/>
      <c r="N275" s="540" t="str">
        <f>CONCATENATE(IF(OR(M275=phu!$I$1,M275=phu!$I$2,M275=phu!$I$3),"Cam Thành Nam",""),IF(OR(M275=phu!$I$4,M275=phu!$I$5,M275=phu!$I$6,M275=phu!$I$7,M275=phu!$I$8,M275=phu!$I$9,M275=phu!$I$10,M275=phu!$I$11,M275=phu!$I$12,M275=phu!$I$13,M275=phu!$I$14),"Cam Nghĩa",""),IF(OR(M275=phu!$I$15,M275=phu!$I$16,M275=phu!$I$17,M275=phu!$I$18,M275=phu!$I$19,M275=phu!$I$20,M275=phu!$I$21),"Cam Phúc Bắc",""),IF(OR(M275=phu!$I$22,M275=phu!$I$23,M275=phu!$I$24,M275=phu!$I$25),"Cam Phúc Nam",""),IF(OR(M275=phu!$I$26,M275=phu!$I$27,M275=phu!$I$28,M275=phu!$I$29,M275=phu!$I$30,M275=phu!$I$31),"Cam Phú",""),IF(OR(M275=phu!$I$32,M275=phu!$I$33,M275=phu!$I$34,M275=phu!$I$35,M275=phu!$I$36,M275=phu!$I$37),"Cam Lộc",""),IF(OR(M275=phu!$I$38,M275=phu!$I$39,M275=phu!$I$40,M275=phu!$I$41,M275=phu!$I$42,M275=phu!$I$43,M275=phu!$I$44),"Cam Thuận",""),IF(OR(M275=phu!$I$45,M275=phu!$I$46,M275=phu!$I$47,M275=phu!$I$48,M275=phu!$I$49,M275=phu!$I$50,M275=phu!$I$51,M275=phu!$I$52,M275=phu!$I$53),"Cam Linh",""),IF(OR(M275=phu!$I$54,M275=phu!$I$55,M275=phu!$I$56,M275=phu!$I$57,M275=phu!$I$58,M275=phu!$I$59,M275=phu!$I$60,M275=phu!$I$61,M275=phu!$I$62),"Cam Lợi",""),IF(OR(M275=phu!$I$63,M275=phu!$I$64,M275=phu!$I$65,M275=phu!$I$66,M275=phu!$I$67,M275=phu!$I$68,M275=phu!$I$69,M275=phu!$I$70,M275=phu!$I$71),"Ba Ngòi",""),IF(OR(M275=phu!$I$72,M275=phu!$I$73,M275=phu!$I$74,M275=phu!$I$75,M275=phu!$I$76,M275=phu!$I$77,M275=phu!$I$78),"Cam Phước Đông",""),IF(OR(M275=phu!$I$79,M275=phu!$I$80,M275=phu!$I$81,M275=phu!$I$82,M275=phu!$I$83,M275=phu!$I$84),"Cam Thịnh Đông",""),IF(OR(M275=phu!$I$85,M275=phu!$I$86,M275=phu!$I$87,M275=phu!$I$88),"Cam Thịnh Tây",""),IF(OR(M275=phu!$I$89,M275=phu!$I$90),"Cam Lập",""),IF(OR(M275=phu!$I$91,M275=phu!$I$92,M275=phu!$I$93),"Cam Bình",""),IF(OR(M275=phu!$I$94,M275=phu!$I$95,M275=phu!$I$96,M275=phu!$I$97,M275=phu!$I$98,M275=phu!$I$99,M275=phu!$I$100),"Huyện khác",""),IF(OR(M275=phu!$I$101,M275=phu!$I$102),"Tỉnh khác",""))</f>
        <v/>
      </c>
      <c r="O275" s="829" t="str">
        <f t="shared" si="24"/>
        <v/>
      </c>
      <c r="P275" s="254"/>
      <c r="Q275" s="254"/>
      <c r="R275" s="254"/>
      <c r="S275" s="254"/>
      <c r="T275" s="254"/>
      <c r="U275" s="254"/>
      <c r="V275" s="254"/>
      <c r="W275" s="254"/>
      <c r="Y275" s="246" t="str">
        <f t="shared" si="25"/>
        <v/>
      </c>
      <c r="Z275" s="247" t="str">
        <f t="shared" si="29"/>
        <v/>
      </c>
      <c r="AA275" s="246" t="str">
        <f t="shared" si="26"/>
        <v/>
      </c>
    </row>
    <row r="276" spans="1:27" ht="18" customHeight="1" x14ac:dyDescent="0.25">
      <c r="A276" s="248" t="str">
        <f t="shared" si="27"/>
        <v/>
      </c>
      <c r="B276" s="249" t="str">
        <f t="shared" si="28"/>
        <v/>
      </c>
      <c r="C276" s="250"/>
      <c r="D276" s="251"/>
      <c r="E276" s="241"/>
      <c r="F276" s="252"/>
      <c r="G276" s="252"/>
      <c r="H276" s="253"/>
      <c r="I276" s="250"/>
      <c r="J276" s="250"/>
      <c r="K276" s="270"/>
      <c r="L276" s="250"/>
      <c r="M276" s="250"/>
      <c r="N276" s="540" t="str">
        <f>CONCATENATE(IF(OR(M276=phu!$I$1,M276=phu!$I$2,M276=phu!$I$3),"Cam Thành Nam",""),IF(OR(M276=phu!$I$4,M276=phu!$I$5,M276=phu!$I$6,M276=phu!$I$7,M276=phu!$I$8,M276=phu!$I$9,M276=phu!$I$10,M276=phu!$I$11,M276=phu!$I$12,M276=phu!$I$13,M276=phu!$I$14),"Cam Nghĩa",""),IF(OR(M276=phu!$I$15,M276=phu!$I$16,M276=phu!$I$17,M276=phu!$I$18,M276=phu!$I$19,M276=phu!$I$20,M276=phu!$I$21),"Cam Phúc Bắc",""),IF(OR(M276=phu!$I$22,M276=phu!$I$23,M276=phu!$I$24,M276=phu!$I$25),"Cam Phúc Nam",""),IF(OR(M276=phu!$I$26,M276=phu!$I$27,M276=phu!$I$28,M276=phu!$I$29,M276=phu!$I$30,M276=phu!$I$31),"Cam Phú",""),IF(OR(M276=phu!$I$32,M276=phu!$I$33,M276=phu!$I$34,M276=phu!$I$35,M276=phu!$I$36,M276=phu!$I$37),"Cam Lộc",""),IF(OR(M276=phu!$I$38,M276=phu!$I$39,M276=phu!$I$40,M276=phu!$I$41,M276=phu!$I$42,M276=phu!$I$43,M276=phu!$I$44),"Cam Thuận",""),IF(OR(M276=phu!$I$45,M276=phu!$I$46,M276=phu!$I$47,M276=phu!$I$48,M276=phu!$I$49,M276=phu!$I$50,M276=phu!$I$51,M276=phu!$I$52,M276=phu!$I$53),"Cam Linh",""),IF(OR(M276=phu!$I$54,M276=phu!$I$55,M276=phu!$I$56,M276=phu!$I$57,M276=phu!$I$58,M276=phu!$I$59,M276=phu!$I$60,M276=phu!$I$61,M276=phu!$I$62),"Cam Lợi",""),IF(OR(M276=phu!$I$63,M276=phu!$I$64,M276=phu!$I$65,M276=phu!$I$66,M276=phu!$I$67,M276=phu!$I$68,M276=phu!$I$69,M276=phu!$I$70,M276=phu!$I$71),"Ba Ngòi",""),IF(OR(M276=phu!$I$72,M276=phu!$I$73,M276=phu!$I$74,M276=phu!$I$75,M276=phu!$I$76,M276=phu!$I$77,M276=phu!$I$78),"Cam Phước Đông",""),IF(OR(M276=phu!$I$79,M276=phu!$I$80,M276=phu!$I$81,M276=phu!$I$82,M276=phu!$I$83,M276=phu!$I$84),"Cam Thịnh Đông",""),IF(OR(M276=phu!$I$85,M276=phu!$I$86,M276=phu!$I$87,M276=phu!$I$88),"Cam Thịnh Tây",""),IF(OR(M276=phu!$I$89,M276=phu!$I$90),"Cam Lập",""),IF(OR(M276=phu!$I$91,M276=phu!$I$92,M276=phu!$I$93),"Cam Bình",""),IF(OR(M276=phu!$I$94,M276=phu!$I$95,M276=phu!$I$96,M276=phu!$I$97,M276=phu!$I$98,M276=phu!$I$99,M276=phu!$I$100),"Huyện khác",""),IF(OR(M276=phu!$I$101,M276=phu!$I$102),"Tỉnh khác",""))</f>
        <v/>
      </c>
      <c r="O276" s="829" t="str">
        <f t="shared" si="24"/>
        <v/>
      </c>
      <c r="P276" s="254"/>
      <c r="Q276" s="254"/>
      <c r="R276" s="254"/>
      <c r="S276" s="254"/>
      <c r="T276" s="254"/>
      <c r="U276" s="254"/>
      <c r="V276" s="254"/>
      <c r="W276" s="254"/>
      <c r="Y276" s="246" t="str">
        <f t="shared" si="25"/>
        <v/>
      </c>
      <c r="Z276" s="247" t="str">
        <f t="shared" si="29"/>
        <v/>
      </c>
      <c r="AA276" s="246" t="str">
        <f t="shared" si="26"/>
        <v/>
      </c>
    </row>
    <row r="277" spans="1:27" ht="18" customHeight="1" x14ac:dyDescent="0.25">
      <c r="A277" s="248" t="str">
        <f t="shared" si="27"/>
        <v/>
      </c>
      <c r="B277" s="249" t="str">
        <f t="shared" si="28"/>
        <v/>
      </c>
      <c r="C277" s="250"/>
      <c r="D277" s="251"/>
      <c r="E277" s="241"/>
      <c r="F277" s="252"/>
      <c r="G277" s="252"/>
      <c r="H277" s="253"/>
      <c r="I277" s="250"/>
      <c r="J277" s="250"/>
      <c r="K277" s="270"/>
      <c r="L277" s="250"/>
      <c r="M277" s="250"/>
      <c r="N277" s="540" t="str">
        <f>CONCATENATE(IF(OR(M277=phu!$I$1,M277=phu!$I$2,M277=phu!$I$3),"Cam Thành Nam",""),IF(OR(M277=phu!$I$4,M277=phu!$I$5,M277=phu!$I$6,M277=phu!$I$7,M277=phu!$I$8,M277=phu!$I$9,M277=phu!$I$10,M277=phu!$I$11,M277=phu!$I$12,M277=phu!$I$13,M277=phu!$I$14),"Cam Nghĩa",""),IF(OR(M277=phu!$I$15,M277=phu!$I$16,M277=phu!$I$17,M277=phu!$I$18,M277=phu!$I$19,M277=phu!$I$20,M277=phu!$I$21),"Cam Phúc Bắc",""),IF(OR(M277=phu!$I$22,M277=phu!$I$23,M277=phu!$I$24,M277=phu!$I$25),"Cam Phúc Nam",""),IF(OR(M277=phu!$I$26,M277=phu!$I$27,M277=phu!$I$28,M277=phu!$I$29,M277=phu!$I$30,M277=phu!$I$31),"Cam Phú",""),IF(OR(M277=phu!$I$32,M277=phu!$I$33,M277=phu!$I$34,M277=phu!$I$35,M277=phu!$I$36,M277=phu!$I$37),"Cam Lộc",""),IF(OR(M277=phu!$I$38,M277=phu!$I$39,M277=phu!$I$40,M277=phu!$I$41,M277=phu!$I$42,M277=phu!$I$43,M277=phu!$I$44),"Cam Thuận",""),IF(OR(M277=phu!$I$45,M277=phu!$I$46,M277=phu!$I$47,M277=phu!$I$48,M277=phu!$I$49,M277=phu!$I$50,M277=phu!$I$51,M277=phu!$I$52,M277=phu!$I$53),"Cam Linh",""),IF(OR(M277=phu!$I$54,M277=phu!$I$55,M277=phu!$I$56,M277=phu!$I$57,M277=phu!$I$58,M277=phu!$I$59,M277=phu!$I$60,M277=phu!$I$61,M277=phu!$I$62),"Cam Lợi",""),IF(OR(M277=phu!$I$63,M277=phu!$I$64,M277=phu!$I$65,M277=phu!$I$66,M277=phu!$I$67,M277=phu!$I$68,M277=phu!$I$69,M277=phu!$I$70,M277=phu!$I$71),"Ba Ngòi",""),IF(OR(M277=phu!$I$72,M277=phu!$I$73,M277=phu!$I$74,M277=phu!$I$75,M277=phu!$I$76,M277=phu!$I$77,M277=phu!$I$78),"Cam Phước Đông",""),IF(OR(M277=phu!$I$79,M277=phu!$I$80,M277=phu!$I$81,M277=phu!$I$82,M277=phu!$I$83,M277=phu!$I$84),"Cam Thịnh Đông",""),IF(OR(M277=phu!$I$85,M277=phu!$I$86,M277=phu!$I$87,M277=phu!$I$88),"Cam Thịnh Tây",""),IF(OR(M277=phu!$I$89,M277=phu!$I$90),"Cam Lập",""),IF(OR(M277=phu!$I$91,M277=phu!$I$92,M277=phu!$I$93),"Cam Bình",""),IF(OR(M277=phu!$I$94,M277=phu!$I$95,M277=phu!$I$96,M277=phu!$I$97,M277=phu!$I$98,M277=phu!$I$99,M277=phu!$I$100),"Huyện khác",""),IF(OR(M277=phu!$I$101,M277=phu!$I$102),"Tỉnh khác",""))</f>
        <v/>
      </c>
      <c r="O277" s="829" t="str">
        <f t="shared" si="24"/>
        <v/>
      </c>
      <c r="P277" s="254"/>
      <c r="Q277" s="254"/>
      <c r="R277" s="254"/>
      <c r="S277" s="254"/>
      <c r="T277" s="254"/>
      <c r="U277" s="254"/>
      <c r="V277" s="254"/>
      <c r="W277" s="254"/>
      <c r="Y277" s="246" t="str">
        <f t="shared" si="25"/>
        <v/>
      </c>
      <c r="Z277" s="247" t="str">
        <f t="shared" si="29"/>
        <v/>
      </c>
      <c r="AA277" s="246" t="str">
        <f t="shared" si="26"/>
        <v/>
      </c>
    </row>
    <row r="278" spans="1:27" ht="18" customHeight="1" x14ac:dyDescent="0.25">
      <c r="A278" s="248" t="str">
        <f t="shared" si="27"/>
        <v/>
      </c>
      <c r="B278" s="249" t="str">
        <f t="shared" si="28"/>
        <v/>
      </c>
      <c r="C278" s="250"/>
      <c r="D278" s="251"/>
      <c r="E278" s="241"/>
      <c r="F278" s="252"/>
      <c r="G278" s="252"/>
      <c r="H278" s="253"/>
      <c r="I278" s="250"/>
      <c r="J278" s="250"/>
      <c r="K278" s="270"/>
      <c r="L278" s="250"/>
      <c r="M278" s="250"/>
      <c r="N278" s="540" t="str">
        <f>CONCATENATE(IF(OR(M278=phu!$I$1,M278=phu!$I$2,M278=phu!$I$3),"Cam Thành Nam",""),IF(OR(M278=phu!$I$4,M278=phu!$I$5,M278=phu!$I$6,M278=phu!$I$7,M278=phu!$I$8,M278=phu!$I$9,M278=phu!$I$10,M278=phu!$I$11,M278=phu!$I$12,M278=phu!$I$13,M278=phu!$I$14),"Cam Nghĩa",""),IF(OR(M278=phu!$I$15,M278=phu!$I$16,M278=phu!$I$17,M278=phu!$I$18,M278=phu!$I$19,M278=phu!$I$20,M278=phu!$I$21),"Cam Phúc Bắc",""),IF(OR(M278=phu!$I$22,M278=phu!$I$23,M278=phu!$I$24,M278=phu!$I$25),"Cam Phúc Nam",""),IF(OR(M278=phu!$I$26,M278=phu!$I$27,M278=phu!$I$28,M278=phu!$I$29,M278=phu!$I$30,M278=phu!$I$31),"Cam Phú",""),IF(OR(M278=phu!$I$32,M278=phu!$I$33,M278=phu!$I$34,M278=phu!$I$35,M278=phu!$I$36,M278=phu!$I$37),"Cam Lộc",""),IF(OR(M278=phu!$I$38,M278=phu!$I$39,M278=phu!$I$40,M278=phu!$I$41,M278=phu!$I$42,M278=phu!$I$43,M278=phu!$I$44),"Cam Thuận",""),IF(OR(M278=phu!$I$45,M278=phu!$I$46,M278=phu!$I$47,M278=phu!$I$48,M278=phu!$I$49,M278=phu!$I$50,M278=phu!$I$51,M278=phu!$I$52,M278=phu!$I$53),"Cam Linh",""),IF(OR(M278=phu!$I$54,M278=phu!$I$55,M278=phu!$I$56,M278=phu!$I$57,M278=phu!$I$58,M278=phu!$I$59,M278=phu!$I$60,M278=phu!$I$61,M278=phu!$I$62),"Cam Lợi",""),IF(OR(M278=phu!$I$63,M278=phu!$I$64,M278=phu!$I$65,M278=phu!$I$66,M278=phu!$I$67,M278=phu!$I$68,M278=phu!$I$69,M278=phu!$I$70,M278=phu!$I$71),"Ba Ngòi",""),IF(OR(M278=phu!$I$72,M278=phu!$I$73,M278=phu!$I$74,M278=phu!$I$75,M278=phu!$I$76,M278=phu!$I$77,M278=phu!$I$78),"Cam Phước Đông",""),IF(OR(M278=phu!$I$79,M278=phu!$I$80,M278=phu!$I$81,M278=phu!$I$82,M278=phu!$I$83,M278=phu!$I$84),"Cam Thịnh Đông",""),IF(OR(M278=phu!$I$85,M278=phu!$I$86,M278=phu!$I$87,M278=phu!$I$88),"Cam Thịnh Tây",""),IF(OR(M278=phu!$I$89,M278=phu!$I$90),"Cam Lập",""),IF(OR(M278=phu!$I$91,M278=phu!$I$92,M278=phu!$I$93),"Cam Bình",""),IF(OR(M278=phu!$I$94,M278=phu!$I$95,M278=phu!$I$96,M278=phu!$I$97,M278=phu!$I$98,M278=phu!$I$99,M278=phu!$I$100),"Huyện khác",""),IF(OR(M278=phu!$I$101,M278=phu!$I$102),"Tỉnh khác",""))</f>
        <v/>
      </c>
      <c r="O278" s="829" t="str">
        <f t="shared" si="24"/>
        <v/>
      </c>
      <c r="P278" s="254"/>
      <c r="Q278" s="254"/>
      <c r="R278" s="254"/>
      <c r="S278" s="254"/>
      <c r="T278" s="254"/>
      <c r="U278" s="254"/>
      <c r="V278" s="254"/>
      <c r="W278" s="254"/>
      <c r="Y278" s="246" t="str">
        <f t="shared" si="25"/>
        <v/>
      </c>
      <c r="Z278" s="247" t="str">
        <f t="shared" si="29"/>
        <v/>
      </c>
      <c r="AA278" s="246" t="str">
        <f t="shared" si="26"/>
        <v/>
      </c>
    </row>
    <row r="279" spans="1:27" ht="18" customHeight="1" x14ac:dyDescent="0.25">
      <c r="A279" s="248" t="str">
        <f t="shared" si="27"/>
        <v/>
      </c>
      <c r="B279" s="249" t="str">
        <f t="shared" si="28"/>
        <v/>
      </c>
      <c r="C279" s="250"/>
      <c r="D279" s="251"/>
      <c r="E279" s="241"/>
      <c r="F279" s="252"/>
      <c r="G279" s="252"/>
      <c r="H279" s="253"/>
      <c r="I279" s="250"/>
      <c r="J279" s="250"/>
      <c r="K279" s="270"/>
      <c r="L279" s="250"/>
      <c r="M279" s="250"/>
      <c r="N279" s="540" t="str">
        <f>CONCATENATE(IF(OR(M279=phu!$I$1,M279=phu!$I$2,M279=phu!$I$3),"Cam Thành Nam",""),IF(OR(M279=phu!$I$4,M279=phu!$I$5,M279=phu!$I$6,M279=phu!$I$7,M279=phu!$I$8,M279=phu!$I$9,M279=phu!$I$10,M279=phu!$I$11,M279=phu!$I$12,M279=phu!$I$13,M279=phu!$I$14),"Cam Nghĩa",""),IF(OR(M279=phu!$I$15,M279=phu!$I$16,M279=phu!$I$17,M279=phu!$I$18,M279=phu!$I$19,M279=phu!$I$20,M279=phu!$I$21),"Cam Phúc Bắc",""),IF(OR(M279=phu!$I$22,M279=phu!$I$23,M279=phu!$I$24,M279=phu!$I$25),"Cam Phúc Nam",""),IF(OR(M279=phu!$I$26,M279=phu!$I$27,M279=phu!$I$28,M279=phu!$I$29,M279=phu!$I$30,M279=phu!$I$31),"Cam Phú",""),IF(OR(M279=phu!$I$32,M279=phu!$I$33,M279=phu!$I$34,M279=phu!$I$35,M279=phu!$I$36,M279=phu!$I$37),"Cam Lộc",""),IF(OR(M279=phu!$I$38,M279=phu!$I$39,M279=phu!$I$40,M279=phu!$I$41,M279=phu!$I$42,M279=phu!$I$43,M279=phu!$I$44),"Cam Thuận",""),IF(OR(M279=phu!$I$45,M279=phu!$I$46,M279=phu!$I$47,M279=phu!$I$48,M279=phu!$I$49,M279=phu!$I$50,M279=phu!$I$51,M279=phu!$I$52,M279=phu!$I$53),"Cam Linh",""),IF(OR(M279=phu!$I$54,M279=phu!$I$55,M279=phu!$I$56,M279=phu!$I$57,M279=phu!$I$58,M279=phu!$I$59,M279=phu!$I$60,M279=phu!$I$61,M279=phu!$I$62),"Cam Lợi",""),IF(OR(M279=phu!$I$63,M279=phu!$I$64,M279=phu!$I$65,M279=phu!$I$66,M279=phu!$I$67,M279=phu!$I$68,M279=phu!$I$69,M279=phu!$I$70,M279=phu!$I$71),"Ba Ngòi",""),IF(OR(M279=phu!$I$72,M279=phu!$I$73,M279=phu!$I$74,M279=phu!$I$75,M279=phu!$I$76,M279=phu!$I$77,M279=phu!$I$78),"Cam Phước Đông",""),IF(OR(M279=phu!$I$79,M279=phu!$I$80,M279=phu!$I$81,M279=phu!$I$82,M279=phu!$I$83,M279=phu!$I$84),"Cam Thịnh Đông",""),IF(OR(M279=phu!$I$85,M279=phu!$I$86,M279=phu!$I$87,M279=phu!$I$88),"Cam Thịnh Tây",""),IF(OR(M279=phu!$I$89,M279=phu!$I$90),"Cam Lập",""),IF(OR(M279=phu!$I$91,M279=phu!$I$92,M279=phu!$I$93),"Cam Bình",""),IF(OR(M279=phu!$I$94,M279=phu!$I$95,M279=phu!$I$96,M279=phu!$I$97,M279=phu!$I$98,M279=phu!$I$99,M279=phu!$I$100),"Huyện khác",""),IF(OR(M279=phu!$I$101,M279=phu!$I$102),"Tỉnh khác",""))</f>
        <v/>
      </c>
      <c r="O279" s="829" t="str">
        <f t="shared" si="24"/>
        <v/>
      </c>
      <c r="P279" s="254"/>
      <c r="Q279" s="254"/>
      <c r="R279" s="254"/>
      <c r="S279" s="254"/>
      <c r="T279" s="254"/>
      <c r="U279" s="254"/>
      <c r="V279" s="254"/>
      <c r="W279" s="254"/>
      <c r="Y279" s="246" t="str">
        <f t="shared" si="25"/>
        <v/>
      </c>
      <c r="Z279" s="247" t="str">
        <f t="shared" si="29"/>
        <v/>
      </c>
      <c r="AA279" s="246" t="str">
        <f t="shared" si="26"/>
        <v/>
      </c>
    </row>
    <row r="280" spans="1:27" ht="18" customHeight="1" x14ac:dyDescent="0.25">
      <c r="A280" s="248" t="str">
        <f t="shared" si="27"/>
        <v/>
      </c>
      <c r="B280" s="249" t="str">
        <f t="shared" si="28"/>
        <v/>
      </c>
      <c r="C280" s="250"/>
      <c r="D280" s="251"/>
      <c r="E280" s="241"/>
      <c r="F280" s="252"/>
      <c r="G280" s="252"/>
      <c r="H280" s="253"/>
      <c r="I280" s="250"/>
      <c r="J280" s="250"/>
      <c r="K280" s="270"/>
      <c r="L280" s="250"/>
      <c r="M280" s="250"/>
      <c r="N280" s="540" t="str">
        <f>CONCATENATE(IF(OR(M280=phu!$I$1,M280=phu!$I$2,M280=phu!$I$3),"Cam Thành Nam",""),IF(OR(M280=phu!$I$4,M280=phu!$I$5,M280=phu!$I$6,M280=phu!$I$7,M280=phu!$I$8,M280=phu!$I$9,M280=phu!$I$10,M280=phu!$I$11,M280=phu!$I$12,M280=phu!$I$13,M280=phu!$I$14),"Cam Nghĩa",""),IF(OR(M280=phu!$I$15,M280=phu!$I$16,M280=phu!$I$17,M280=phu!$I$18,M280=phu!$I$19,M280=phu!$I$20,M280=phu!$I$21),"Cam Phúc Bắc",""),IF(OR(M280=phu!$I$22,M280=phu!$I$23,M280=phu!$I$24,M280=phu!$I$25),"Cam Phúc Nam",""),IF(OR(M280=phu!$I$26,M280=phu!$I$27,M280=phu!$I$28,M280=phu!$I$29,M280=phu!$I$30,M280=phu!$I$31),"Cam Phú",""),IF(OR(M280=phu!$I$32,M280=phu!$I$33,M280=phu!$I$34,M280=phu!$I$35,M280=phu!$I$36,M280=phu!$I$37),"Cam Lộc",""),IF(OR(M280=phu!$I$38,M280=phu!$I$39,M280=phu!$I$40,M280=phu!$I$41,M280=phu!$I$42,M280=phu!$I$43,M280=phu!$I$44),"Cam Thuận",""),IF(OR(M280=phu!$I$45,M280=phu!$I$46,M280=phu!$I$47,M280=phu!$I$48,M280=phu!$I$49,M280=phu!$I$50,M280=phu!$I$51,M280=phu!$I$52,M280=phu!$I$53),"Cam Linh",""),IF(OR(M280=phu!$I$54,M280=phu!$I$55,M280=phu!$I$56,M280=phu!$I$57,M280=phu!$I$58,M280=phu!$I$59,M280=phu!$I$60,M280=phu!$I$61,M280=phu!$I$62),"Cam Lợi",""),IF(OR(M280=phu!$I$63,M280=phu!$I$64,M280=phu!$I$65,M280=phu!$I$66,M280=phu!$I$67,M280=phu!$I$68,M280=phu!$I$69,M280=phu!$I$70,M280=phu!$I$71),"Ba Ngòi",""),IF(OR(M280=phu!$I$72,M280=phu!$I$73,M280=phu!$I$74,M280=phu!$I$75,M280=phu!$I$76,M280=phu!$I$77,M280=phu!$I$78),"Cam Phước Đông",""),IF(OR(M280=phu!$I$79,M280=phu!$I$80,M280=phu!$I$81,M280=phu!$I$82,M280=phu!$I$83,M280=phu!$I$84),"Cam Thịnh Đông",""),IF(OR(M280=phu!$I$85,M280=phu!$I$86,M280=phu!$I$87,M280=phu!$I$88),"Cam Thịnh Tây",""),IF(OR(M280=phu!$I$89,M280=phu!$I$90),"Cam Lập",""),IF(OR(M280=phu!$I$91,M280=phu!$I$92,M280=phu!$I$93),"Cam Bình",""),IF(OR(M280=phu!$I$94,M280=phu!$I$95,M280=phu!$I$96,M280=phu!$I$97,M280=phu!$I$98,M280=phu!$I$99,M280=phu!$I$100),"Huyện khác",""),IF(OR(M280=phu!$I$101,M280=phu!$I$102),"Tỉnh khác",""))</f>
        <v/>
      </c>
      <c r="O280" s="829" t="str">
        <f t="shared" si="24"/>
        <v/>
      </c>
      <c r="P280" s="254"/>
      <c r="Q280" s="254"/>
      <c r="R280" s="254"/>
      <c r="S280" s="254"/>
      <c r="T280" s="254"/>
      <c r="U280" s="254"/>
      <c r="V280" s="254"/>
      <c r="W280" s="254"/>
      <c r="Y280" s="246" t="str">
        <f t="shared" si="25"/>
        <v/>
      </c>
      <c r="Z280" s="247" t="str">
        <f t="shared" si="29"/>
        <v/>
      </c>
      <c r="AA280" s="246" t="str">
        <f t="shared" si="26"/>
        <v/>
      </c>
    </row>
    <row r="281" spans="1:27" ht="18" customHeight="1" x14ac:dyDescent="0.25">
      <c r="A281" s="248" t="str">
        <f t="shared" si="27"/>
        <v/>
      </c>
      <c r="B281" s="249" t="str">
        <f t="shared" si="28"/>
        <v/>
      </c>
      <c r="C281" s="250"/>
      <c r="D281" s="251"/>
      <c r="E281" s="241"/>
      <c r="F281" s="252"/>
      <c r="G281" s="252"/>
      <c r="H281" s="253"/>
      <c r="I281" s="250"/>
      <c r="J281" s="250"/>
      <c r="K281" s="270"/>
      <c r="L281" s="250"/>
      <c r="M281" s="250"/>
      <c r="N281" s="540" t="str">
        <f>CONCATENATE(IF(OR(M281=phu!$I$1,M281=phu!$I$2,M281=phu!$I$3),"Cam Thành Nam",""),IF(OR(M281=phu!$I$4,M281=phu!$I$5,M281=phu!$I$6,M281=phu!$I$7,M281=phu!$I$8,M281=phu!$I$9,M281=phu!$I$10,M281=phu!$I$11,M281=phu!$I$12,M281=phu!$I$13,M281=phu!$I$14),"Cam Nghĩa",""),IF(OR(M281=phu!$I$15,M281=phu!$I$16,M281=phu!$I$17,M281=phu!$I$18,M281=phu!$I$19,M281=phu!$I$20,M281=phu!$I$21),"Cam Phúc Bắc",""),IF(OR(M281=phu!$I$22,M281=phu!$I$23,M281=phu!$I$24,M281=phu!$I$25),"Cam Phúc Nam",""),IF(OR(M281=phu!$I$26,M281=phu!$I$27,M281=phu!$I$28,M281=phu!$I$29,M281=phu!$I$30,M281=phu!$I$31),"Cam Phú",""),IF(OR(M281=phu!$I$32,M281=phu!$I$33,M281=phu!$I$34,M281=phu!$I$35,M281=phu!$I$36,M281=phu!$I$37),"Cam Lộc",""),IF(OR(M281=phu!$I$38,M281=phu!$I$39,M281=phu!$I$40,M281=phu!$I$41,M281=phu!$I$42,M281=phu!$I$43,M281=phu!$I$44),"Cam Thuận",""),IF(OR(M281=phu!$I$45,M281=phu!$I$46,M281=phu!$I$47,M281=phu!$I$48,M281=phu!$I$49,M281=phu!$I$50,M281=phu!$I$51,M281=phu!$I$52,M281=phu!$I$53),"Cam Linh",""),IF(OR(M281=phu!$I$54,M281=phu!$I$55,M281=phu!$I$56,M281=phu!$I$57,M281=phu!$I$58,M281=phu!$I$59,M281=phu!$I$60,M281=phu!$I$61,M281=phu!$I$62),"Cam Lợi",""),IF(OR(M281=phu!$I$63,M281=phu!$I$64,M281=phu!$I$65,M281=phu!$I$66,M281=phu!$I$67,M281=phu!$I$68,M281=phu!$I$69,M281=phu!$I$70,M281=phu!$I$71),"Ba Ngòi",""),IF(OR(M281=phu!$I$72,M281=phu!$I$73,M281=phu!$I$74,M281=phu!$I$75,M281=phu!$I$76,M281=phu!$I$77,M281=phu!$I$78),"Cam Phước Đông",""),IF(OR(M281=phu!$I$79,M281=phu!$I$80,M281=phu!$I$81,M281=phu!$I$82,M281=phu!$I$83,M281=phu!$I$84),"Cam Thịnh Đông",""),IF(OR(M281=phu!$I$85,M281=phu!$I$86,M281=phu!$I$87,M281=phu!$I$88),"Cam Thịnh Tây",""),IF(OR(M281=phu!$I$89,M281=phu!$I$90),"Cam Lập",""),IF(OR(M281=phu!$I$91,M281=phu!$I$92,M281=phu!$I$93),"Cam Bình",""),IF(OR(M281=phu!$I$94,M281=phu!$I$95,M281=phu!$I$96,M281=phu!$I$97,M281=phu!$I$98,M281=phu!$I$99,M281=phu!$I$100),"Huyện khác",""),IF(OR(M281=phu!$I$101,M281=phu!$I$102),"Tỉnh khác",""))</f>
        <v/>
      </c>
      <c r="O281" s="829" t="str">
        <f t="shared" si="24"/>
        <v/>
      </c>
      <c r="P281" s="254"/>
      <c r="Q281" s="254"/>
      <c r="R281" s="254"/>
      <c r="S281" s="254"/>
      <c r="T281" s="254"/>
      <c r="U281" s="254"/>
      <c r="V281" s="254"/>
      <c r="W281" s="254"/>
      <c r="Y281" s="246" t="str">
        <f t="shared" si="25"/>
        <v/>
      </c>
      <c r="Z281" s="247" t="str">
        <f t="shared" si="29"/>
        <v/>
      </c>
      <c r="AA281" s="246" t="str">
        <f t="shared" si="26"/>
        <v/>
      </c>
    </row>
    <row r="282" spans="1:27" ht="18" customHeight="1" x14ac:dyDescent="0.25">
      <c r="A282" s="248" t="str">
        <f t="shared" si="27"/>
        <v/>
      </c>
      <c r="B282" s="249" t="str">
        <f t="shared" si="28"/>
        <v/>
      </c>
      <c r="C282" s="250"/>
      <c r="D282" s="251"/>
      <c r="E282" s="241"/>
      <c r="F282" s="252"/>
      <c r="G282" s="252"/>
      <c r="H282" s="253"/>
      <c r="I282" s="250"/>
      <c r="J282" s="250"/>
      <c r="K282" s="270"/>
      <c r="L282" s="250"/>
      <c r="M282" s="250"/>
      <c r="N282" s="540" t="str">
        <f>CONCATENATE(IF(OR(M282=phu!$I$1,M282=phu!$I$2,M282=phu!$I$3),"Cam Thành Nam",""),IF(OR(M282=phu!$I$4,M282=phu!$I$5,M282=phu!$I$6,M282=phu!$I$7,M282=phu!$I$8,M282=phu!$I$9,M282=phu!$I$10,M282=phu!$I$11,M282=phu!$I$12,M282=phu!$I$13,M282=phu!$I$14),"Cam Nghĩa",""),IF(OR(M282=phu!$I$15,M282=phu!$I$16,M282=phu!$I$17,M282=phu!$I$18,M282=phu!$I$19,M282=phu!$I$20,M282=phu!$I$21),"Cam Phúc Bắc",""),IF(OR(M282=phu!$I$22,M282=phu!$I$23,M282=phu!$I$24,M282=phu!$I$25),"Cam Phúc Nam",""),IF(OR(M282=phu!$I$26,M282=phu!$I$27,M282=phu!$I$28,M282=phu!$I$29,M282=phu!$I$30,M282=phu!$I$31),"Cam Phú",""),IF(OR(M282=phu!$I$32,M282=phu!$I$33,M282=phu!$I$34,M282=phu!$I$35,M282=phu!$I$36,M282=phu!$I$37),"Cam Lộc",""),IF(OR(M282=phu!$I$38,M282=phu!$I$39,M282=phu!$I$40,M282=phu!$I$41,M282=phu!$I$42,M282=phu!$I$43,M282=phu!$I$44),"Cam Thuận",""),IF(OR(M282=phu!$I$45,M282=phu!$I$46,M282=phu!$I$47,M282=phu!$I$48,M282=phu!$I$49,M282=phu!$I$50,M282=phu!$I$51,M282=phu!$I$52,M282=phu!$I$53),"Cam Linh",""),IF(OR(M282=phu!$I$54,M282=phu!$I$55,M282=phu!$I$56,M282=phu!$I$57,M282=phu!$I$58,M282=phu!$I$59,M282=phu!$I$60,M282=phu!$I$61,M282=phu!$I$62),"Cam Lợi",""),IF(OR(M282=phu!$I$63,M282=phu!$I$64,M282=phu!$I$65,M282=phu!$I$66,M282=phu!$I$67,M282=phu!$I$68,M282=phu!$I$69,M282=phu!$I$70,M282=phu!$I$71),"Ba Ngòi",""),IF(OR(M282=phu!$I$72,M282=phu!$I$73,M282=phu!$I$74,M282=phu!$I$75,M282=phu!$I$76,M282=phu!$I$77,M282=phu!$I$78),"Cam Phước Đông",""),IF(OR(M282=phu!$I$79,M282=phu!$I$80,M282=phu!$I$81,M282=phu!$I$82,M282=phu!$I$83,M282=phu!$I$84),"Cam Thịnh Đông",""),IF(OR(M282=phu!$I$85,M282=phu!$I$86,M282=phu!$I$87,M282=phu!$I$88),"Cam Thịnh Tây",""),IF(OR(M282=phu!$I$89,M282=phu!$I$90),"Cam Lập",""),IF(OR(M282=phu!$I$91,M282=phu!$I$92,M282=phu!$I$93),"Cam Bình",""),IF(OR(M282=phu!$I$94,M282=phu!$I$95,M282=phu!$I$96,M282=phu!$I$97,M282=phu!$I$98,M282=phu!$I$99,M282=phu!$I$100),"Huyện khác",""),IF(OR(M282=phu!$I$101,M282=phu!$I$102),"Tỉnh khác",""))</f>
        <v/>
      </c>
      <c r="O282" s="829" t="str">
        <f t="shared" si="24"/>
        <v/>
      </c>
      <c r="P282" s="254"/>
      <c r="Q282" s="254"/>
      <c r="R282" s="254"/>
      <c r="S282" s="254"/>
      <c r="T282" s="254"/>
      <c r="U282" s="254"/>
      <c r="V282" s="254"/>
      <c r="W282" s="254"/>
      <c r="Y282" s="246" t="str">
        <f t="shared" si="25"/>
        <v/>
      </c>
      <c r="Z282" s="247" t="str">
        <f t="shared" si="29"/>
        <v/>
      </c>
      <c r="AA282" s="246" t="str">
        <f t="shared" si="26"/>
        <v/>
      </c>
    </row>
    <row r="283" spans="1:27" ht="18" customHeight="1" x14ac:dyDescent="0.25">
      <c r="A283" s="248" t="str">
        <f t="shared" si="27"/>
        <v/>
      </c>
      <c r="B283" s="249" t="str">
        <f t="shared" si="28"/>
        <v/>
      </c>
      <c r="C283" s="250"/>
      <c r="D283" s="251"/>
      <c r="E283" s="241"/>
      <c r="F283" s="252"/>
      <c r="G283" s="252"/>
      <c r="H283" s="253"/>
      <c r="I283" s="250"/>
      <c r="J283" s="250"/>
      <c r="K283" s="270"/>
      <c r="L283" s="250"/>
      <c r="M283" s="250"/>
      <c r="N283" s="540" t="str">
        <f>CONCATENATE(IF(OR(M283=phu!$I$1,M283=phu!$I$2,M283=phu!$I$3),"Cam Thành Nam",""),IF(OR(M283=phu!$I$4,M283=phu!$I$5,M283=phu!$I$6,M283=phu!$I$7,M283=phu!$I$8,M283=phu!$I$9,M283=phu!$I$10,M283=phu!$I$11,M283=phu!$I$12,M283=phu!$I$13,M283=phu!$I$14),"Cam Nghĩa",""),IF(OR(M283=phu!$I$15,M283=phu!$I$16,M283=phu!$I$17,M283=phu!$I$18,M283=phu!$I$19,M283=phu!$I$20,M283=phu!$I$21),"Cam Phúc Bắc",""),IF(OR(M283=phu!$I$22,M283=phu!$I$23,M283=phu!$I$24,M283=phu!$I$25),"Cam Phúc Nam",""),IF(OR(M283=phu!$I$26,M283=phu!$I$27,M283=phu!$I$28,M283=phu!$I$29,M283=phu!$I$30,M283=phu!$I$31),"Cam Phú",""),IF(OR(M283=phu!$I$32,M283=phu!$I$33,M283=phu!$I$34,M283=phu!$I$35,M283=phu!$I$36,M283=phu!$I$37),"Cam Lộc",""),IF(OR(M283=phu!$I$38,M283=phu!$I$39,M283=phu!$I$40,M283=phu!$I$41,M283=phu!$I$42,M283=phu!$I$43,M283=phu!$I$44),"Cam Thuận",""),IF(OR(M283=phu!$I$45,M283=phu!$I$46,M283=phu!$I$47,M283=phu!$I$48,M283=phu!$I$49,M283=phu!$I$50,M283=phu!$I$51,M283=phu!$I$52,M283=phu!$I$53),"Cam Linh",""),IF(OR(M283=phu!$I$54,M283=phu!$I$55,M283=phu!$I$56,M283=phu!$I$57,M283=phu!$I$58,M283=phu!$I$59,M283=phu!$I$60,M283=phu!$I$61,M283=phu!$I$62),"Cam Lợi",""),IF(OR(M283=phu!$I$63,M283=phu!$I$64,M283=phu!$I$65,M283=phu!$I$66,M283=phu!$I$67,M283=phu!$I$68,M283=phu!$I$69,M283=phu!$I$70,M283=phu!$I$71),"Ba Ngòi",""),IF(OR(M283=phu!$I$72,M283=phu!$I$73,M283=phu!$I$74,M283=phu!$I$75,M283=phu!$I$76,M283=phu!$I$77,M283=phu!$I$78),"Cam Phước Đông",""),IF(OR(M283=phu!$I$79,M283=phu!$I$80,M283=phu!$I$81,M283=phu!$I$82,M283=phu!$I$83,M283=phu!$I$84),"Cam Thịnh Đông",""),IF(OR(M283=phu!$I$85,M283=phu!$I$86,M283=phu!$I$87,M283=phu!$I$88),"Cam Thịnh Tây",""),IF(OR(M283=phu!$I$89,M283=phu!$I$90),"Cam Lập",""),IF(OR(M283=phu!$I$91,M283=phu!$I$92,M283=phu!$I$93),"Cam Bình",""),IF(OR(M283=phu!$I$94,M283=phu!$I$95,M283=phu!$I$96,M283=phu!$I$97,M283=phu!$I$98,M283=phu!$I$99,M283=phu!$I$100),"Huyện khác",""),IF(OR(M283=phu!$I$101,M283=phu!$I$102),"Tỉnh khác",""))</f>
        <v/>
      </c>
      <c r="O283" s="829" t="str">
        <f t="shared" si="24"/>
        <v/>
      </c>
      <c r="P283" s="254"/>
      <c r="Q283" s="254"/>
      <c r="R283" s="254"/>
      <c r="S283" s="254"/>
      <c r="T283" s="254"/>
      <c r="U283" s="254"/>
      <c r="V283" s="254"/>
      <c r="W283" s="254"/>
      <c r="Y283" s="246" t="str">
        <f t="shared" si="25"/>
        <v/>
      </c>
      <c r="Z283" s="247" t="str">
        <f t="shared" si="29"/>
        <v/>
      </c>
      <c r="AA283" s="246" t="str">
        <f t="shared" si="26"/>
        <v/>
      </c>
    </row>
    <row r="284" spans="1:27" ht="18" customHeight="1" x14ac:dyDescent="0.25">
      <c r="A284" s="248" t="str">
        <f t="shared" si="27"/>
        <v/>
      </c>
      <c r="B284" s="249" t="str">
        <f t="shared" si="28"/>
        <v/>
      </c>
      <c r="C284" s="250"/>
      <c r="D284" s="251"/>
      <c r="E284" s="241"/>
      <c r="F284" s="252"/>
      <c r="G284" s="252"/>
      <c r="H284" s="253"/>
      <c r="I284" s="250"/>
      <c r="J284" s="250"/>
      <c r="K284" s="270"/>
      <c r="L284" s="250"/>
      <c r="M284" s="250"/>
      <c r="N284" s="540" t="str">
        <f>CONCATENATE(IF(OR(M284=phu!$I$1,M284=phu!$I$2,M284=phu!$I$3),"Cam Thành Nam",""),IF(OR(M284=phu!$I$4,M284=phu!$I$5,M284=phu!$I$6,M284=phu!$I$7,M284=phu!$I$8,M284=phu!$I$9,M284=phu!$I$10,M284=phu!$I$11,M284=phu!$I$12,M284=phu!$I$13,M284=phu!$I$14),"Cam Nghĩa",""),IF(OR(M284=phu!$I$15,M284=phu!$I$16,M284=phu!$I$17,M284=phu!$I$18,M284=phu!$I$19,M284=phu!$I$20,M284=phu!$I$21),"Cam Phúc Bắc",""),IF(OR(M284=phu!$I$22,M284=phu!$I$23,M284=phu!$I$24,M284=phu!$I$25),"Cam Phúc Nam",""),IF(OR(M284=phu!$I$26,M284=phu!$I$27,M284=phu!$I$28,M284=phu!$I$29,M284=phu!$I$30,M284=phu!$I$31),"Cam Phú",""),IF(OR(M284=phu!$I$32,M284=phu!$I$33,M284=phu!$I$34,M284=phu!$I$35,M284=phu!$I$36,M284=phu!$I$37),"Cam Lộc",""),IF(OR(M284=phu!$I$38,M284=phu!$I$39,M284=phu!$I$40,M284=phu!$I$41,M284=phu!$I$42,M284=phu!$I$43,M284=phu!$I$44),"Cam Thuận",""),IF(OR(M284=phu!$I$45,M284=phu!$I$46,M284=phu!$I$47,M284=phu!$I$48,M284=phu!$I$49,M284=phu!$I$50,M284=phu!$I$51,M284=phu!$I$52,M284=phu!$I$53),"Cam Linh",""),IF(OR(M284=phu!$I$54,M284=phu!$I$55,M284=phu!$I$56,M284=phu!$I$57,M284=phu!$I$58,M284=phu!$I$59,M284=phu!$I$60,M284=phu!$I$61,M284=phu!$I$62),"Cam Lợi",""),IF(OR(M284=phu!$I$63,M284=phu!$I$64,M284=phu!$I$65,M284=phu!$I$66,M284=phu!$I$67,M284=phu!$I$68,M284=phu!$I$69,M284=phu!$I$70,M284=phu!$I$71),"Ba Ngòi",""),IF(OR(M284=phu!$I$72,M284=phu!$I$73,M284=phu!$I$74,M284=phu!$I$75,M284=phu!$I$76,M284=phu!$I$77,M284=phu!$I$78),"Cam Phước Đông",""),IF(OR(M284=phu!$I$79,M284=phu!$I$80,M284=phu!$I$81,M284=phu!$I$82,M284=phu!$I$83,M284=phu!$I$84),"Cam Thịnh Đông",""),IF(OR(M284=phu!$I$85,M284=phu!$I$86,M284=phu!$I$87,M284=phu!$I$88),"Cam Thịnh Tây",""),IF(OR(M284=phu!$I$89,M284=phu!$I$90),"Cam Lập",""),IF(OR(M284=phu!$I$91,M284=phu!$I$92,M284=phu!$I$93),"Cam Bình",""),IF(OR(M284=phu!$I$94,M284=phu!$I$95,M284=phu!$I$96,M284=phu!$I$97,M284=phu!$I$98,M284=phu!$I$99,M284=phu!$I$100),"Huyện khác",""),IF(OR(M284=phu!$I$101,M284=phu!$I$102),"Tỉnh khác",""))</f>
        <v/>
      </c>
      <c r="O284" s="829" t="str">
        <f t="shared" si="24"/>
        <v/>
      </c>
      <c r="P284" s="254"/>
      <c r="Q284" s="254"/>
      <c r="R284" s="254"/>
      <c r="S284" s="254"/>
      <c r="T284" s="254"/>
      <c r="U284" s="254"/>
      <c r="V284" s="254"/>
      <c r="W284" s="254"/>
      <c r="Y284" s="246" t="str">
        <f t="shared" si="25"/>
        <v/>
      </c>
      <c r="Z284" s="247" t="str">
        <f t="shared" si="29"/>
        <v/>
      </c>
      <c r="AA284" s="246" t="str">
        <f t="shared" si="26"/>
        <v/>
      </c>
    </row>
    <row r="285" spans="1:27" ht="18" customHeight="1" x14ac:dyDescent="0.25">
      <c r="A285" s="248" t="str">
        <f t="shared" si="27"/>
        <v/>
      </c>
      <c r="B285" s="249" t="str">
        <f t="shared" si="28"/>
        <v/>
      </c>
      <c r="C285" s="250"/>
      <c r="D285" s="251"/>
      <c r="E285" s="241"/>
      <c r="F285" s="252"/>
      <c r="G285" s="252"/>
      <c r="H285" s="253"/>
      <c r="I285" s="250"/>
      <c r="J285" s="250"/>
      <c r="K285" s="270"/>
      <c r="L285" s="250"/>
      <c r="M285" s="250"/>
      <c r="N285" s="540" t="str">
        <f>CONCATENATE(IF(OR(M285=phu!$I$1,M285=phu!$I$2,M285=phu!$I$3),"Cam Thành Nam",""),IF(OR(M285=phu!$I$4,M285=phu!$I$5,M285=phu!$I$6,M285=phu!$I$7,M285=phu!$I$8,M285=phu!$I$9,M285=phu!$I$10,M285=phu!$I$11,M285=phu!$I$12,M285=phu!$I$13,M285=phu!$I$14),"Cam Nghĩa",""),IF(OR(M285=phu!$I$15,M285=phu!$I$16,M285=phu!$I$17,M285=phu!$I$18,M285=phu!$I$19,M285=phu!$I$20,M285=phu!$I$21),"Cam Phúc Bắc",""),IF(OR(M285=phu!$I$22,M285=phu!$I$23,M285=phu!$I$24,M285=phu!$I$25),"Cam Phúc Nam",""),IF(OR(M285=phu!$I$26,M285=phu!$I$27,M285=phu!$I$28,M285=phu!$I$29,M285=phu!$I$30,M285=phu!$I$31),"Cam Phú",""),IF(OR(M285=phu!$I$32,M285=phu!$I$33,M285=phu!$I$34,M285=phu!$I$35,M285=phu!$I$36,M285=phu!$I$37),"Cam Lộc",""),IF(OR(M285=phu!$I$38,M285=phu!$I$39,M285=phu!$I$40,M285=phu!$I$41,M285=phu!$I$42,M285=phu!$I$43,M285=phu!$I$44),"Cam Thuận",""),IF(OR(M285=phu!$I$45,M285=phu!$I$46,M285=phu!$I$47,M285=phu!$I$48,M285=phu!$I$49,M285=phu!$I$50,M285=phu!$I$51,M285=phu!$I$52,M285=phu!$I$53),"Cam Linh",""),IF(OR(M285=phu!$I$54,M285=phu!$I$55,M285=phu!$I$56,M285=phu!$I$57,M285=phu!$I$58,M285=phu!$I$59,M285=phu!$I$60,M285=phu!$I$61,M285=phu!$I$62),"Cam Lợi",""),IF(OR(M285=phu!$I$63,M285=phu!$I$64,M285=phu!$I$65,M285=phu!$I$66,M285=phu!$I$67,M285=phu!$I$68,M285=phu!$I$69,M285=phu!$I$70,M285=phu!$I$71),"Ba Ngòi",""),IF(OR(M285=phu!$I$72,M285=phu!$I$73,M285=phu!$I$74,M285=phu!$I$75,M285=phu!$I$76,M285=phu!$I$77,M285=phu!$I$78),"Cam Phước Đông",""),IF(OR(M285=phu!$I$79,M285=phu!$I$80,M285=phu!$I$81,M285=phu!$I$82,M285=phu!$I$83,M285=phu!$I$84),"Cam Thịnh Đông",""),IF(OR(M285=phu!$I$85,M285=phu!$I$86,M285=phu!$I$87,M285=phu!$I$88),"Cam Thịnh Tây",""),IF(OR(M285=phu!$I$89,M285=phu!$I$90),"Cam Lập",""),IF(OR(M285=phu!$I$91,M285=phu!$I$92,M285=phu!$I$93),"Cam Bình",""),IF(OR(M285=phu!$I$94,M285=phu!$I$95,M285=phu!$I$96,M285=phu!$I$97,M285=phu!$I$98,M285=phu!$I$99,M285=phu!$I$100),"Huyện khác",""),IF(OR(M285=phu!$I$101,M285=phu!$I$102),"Tỉnh khác",""))</f>
        <v/>
      </c>
      <c r="O285" s="829" t="str">
        <f t="shared" si="24"/>
        <v/>
      </c>
      <c r="P285" s="254"/>
      <c r="Q285" s="254"/>
      <c r="R285" s="254"/>
      <c r="S285" s="254"/>
      <c r="T285" s="254"/>
      <c r="U285" s="254"/>
      <c r="V285" s="254"/>
      <c r="W285" s="254"/>
      <c r="Y285" s="246" t="str">
        <f t="shared" si="25"/>
        <v/>
      </c>
      <c r="Z285" s="247" t="str">
        <f t="shared" si="29"/>
        <v/>
      </c>
      <c r="AA285" s="246" t="str">
        <f t="shared" si="26"/>
        <v/>
      </c>
    </row>
    <row r="286" spans="1:27" ht="18" customHeight="1" x14ac:dyDescent="0.25">
      <c r="A286" s="248" t="str">
        <f t="shared" si="27"/>
        <v/>
      </c>
      <c r="B286" s="249" t="str">
        <f t="shared" si="28"/>
        <v/>
      </c>
      <c r="C286" s="250"/>
      <c r="D286" s="251"/>
      <c r="E286" s="241"/>
      <c r="F286" s="252"/>
      <c r="G286" s="252"/>
      <c r="H286" s="253"/>
      <c r="I286" s="250"/>
      <c r="J286" s="250"/>
      <c r="K286" s="270"/>
      <c r="L286" s="250"/>
      <c r="M286" s="250"/>
      <c r="N286" s="540" t="str">
        <f>CONCATENATE(IF(OR(M286=phu!$I$1,M286=phu!$I$2,M286=phu!$I$3),"Cam Thành Nam",""),IF(OR(M286=phu!$I$4,M286=phu!$I$5,M286=phu!$I$6,M286=phu!$I$7,M286=phu!$I$8,M286=phu!$I$9,M286=phu!$I$10,M286=phu!$I$11,M286=phu!$I$12,M286=phu!$I$13,M286=phu!$I$14),"Cam Nghĩa",""),IF(OR(M286=phu!$I$15,M286=phu!$I$16,M286=phu!$I$17,M286=phu!$I$18,M286=phu!$I$19,M286=phu!$I$20,M286=phu!$I$21),"Cam Phúc Bắc",""),IF(OR(M286=phu!$I$22,M286=phu!$I$23,M286=phu!$I$24,M286=phu!$I$25),"Cam Phúc Nam",""),IF(OR(M286=phu!$I$26,M286=phu!$I$27,M286=phu!$I$28,M286=phu!$I$29,M286=phu!$I$30,M286=phu!$I$31),"Cam Phú",""),IF(OR(M286=phu!$I$32,M286=phu!$I$33,M286=phu!$I$34,M286=phu!$I$35,M286=phu!$I$36,M286=phu!$I$37),"Cam Lộc",""),IF(OR(M286=phu!$I$38,M286=phu!$I$39,M286=phu!$I$40,M286=phu!$I$41,M286=phu!$I$42,M286=phu!$I$43,M286=phu!$I$44),"Cam Thuận",""),IF(OR(M286=phu!$I$45,M286=phu!$I$46,M286=phu!$I$47,M286=phu!$I$48,M286=phu!$I$49,M286=phu!$I$50,M286=phu!$I$51,M286=phu!$I$52,M286=phu!$I$53),"Cam Linh",""),IF(OR(M286=phu!$I$54,M286=phu!$I$55,M286=phu!$I$56,M286=phu!$I$57,M286=phu!$I$58,M286=phu!$I$59,M286=phu!$I$60,M286=phu!$I$61,M286=phu!$I$62),"Cam Lợi",""),IF(OR(M286=phu!$I$63,M286=phu!$I$64,M286=phu!$I$65,M286=phu!$I$66,M286=phu!$I$67,M286=phu!$I$68,M286=phu!$I$69,M286=phu!$I$70,M286=phu!$I$71),"Ba Ngòi",""),IF(OR(M286=phu!$I$72,M286=phu!$I$73,M286=phu!$I$74,M286=phu!$I$75,M286=phu!$I$76,M286=phu!$I$77,M286=phu!$I$78),"Cam Phước Đông",""),IF(OR(M286=phu!$I$79,M286=phu!$I$80,M286=phu!$I$81,M286=phu!$I$82,M286=phu!$I$83,M286=phu!$I$84),"Cam Thịnh Đông",""),IF(OR(M286=phu!$I$85,M286=phu!$I$86,M286=phu!$I$87,M286=phu!$I$88),"Cam Thịnh Tây",""),IF(OR(M286=phu!$I$89,M286=phu!$I$90),"Cam Lập",""),IF(OR(M286=phu!$I$91,M286=phu!$I$92,M286=phu!$I$93),"Cam Bình",""),IF(OR(M286=phu!$I$94,M286=phu!$I$95,M286=phu!$I$96,M286=phu!$I$97,M286=phu!$I$98,M286=phu!$I$99,M286=phu!$I$100),"Huyện khác",""),IF(OR(M286=phu!$I$101,M286=phu!$I$102),"Tỉnh khác",""))</f>
        <v/>
      </c>
      <c r="O286" s="829" t="str">
        <f t="shared" si="24"/>
        <v/>
      </c>
      <c r="P286" s="254"/>
      <c r="Q286" s="254"/>
      <c r="R286" s="254"/>
      <c r="S286" s="254"/>
      <c r="T286" s="254"/>
      <c r="U286" s="254"/>
      <c r="V286" s="254"/>
      <c r="W286" s="254"/>
      <c r="Y286" s="246" t="str">
        <f t="shared" si="25"/>
        <v/>
      </c>
      <c r="Z286" s="247" t="str">
        <f t="shared" si="29"/>
        <v/>
      </c>
      <c r="AA286" s="246" t="str">
        <f t="shared" si="26"/>
        <v/>
      </c>
    </row>
    <row r="287" spans="1:27" ht="18" customHeight="1" x14ac:dyDescent="0.25">
      <c r="A287" s="248" t="str">
        <f t="shared" si="27"/>
        <v/>
      </c>
      <c r="B287" s="249" t="str">
        <f t="shared" si="28"/>
        <v/>
      </c>
      <c r="C287" s="250"/>
      <c r="D287" s="251"/>
      <c r="E287" s="241"/>
      <c r="F287" s="252"/>
      <c r="G287" s="252"/>
      <c r="H287" s="253"/>
      <c r="I287" s="250"/>
      <c r="J287" s="250"/>
      <c r="K287" s="270"/>
      <c r="L287" s="250"/>
      <c r="M287" s="250"/>
      <c r="N287" s="540" t="str">
        <f>CONCATENATE(IF(OR(M287=phu!$I$1,M287=phu!$I$2,M287=phu!$I$3),"Cam Thành Nam",""),IF(OR(M287=phu!$I$4,M287=phu!$I$5,M287=phu!$I$6,M287=phu!$I$7,M287=phu!$I$8,M287=phu!$I$9,M287=phu!$I$10,M287=phu!$I$11,M287=phu!$I$12,M287=phu!$I$13,M287=phu!$I$14),"Cam Nghĩa",""),IF(OR(M287=phu!$I$15,M287=phu!$I$16,M287=phu!$I$17,M287=phu!$I$18,M287=phu!$I$19,M287=phu!$I$20,M287=phu!$I$21),"Cam Phúc Bắc",""),IF(OR(M287=phu!$I$22,M287=phu!$I$23,M287=phu!$I$24,M287=phu!$I$25),"Cam Phúc Nam",""),IF(OR(M287=phu!$I$26,M287=phu!$I$27,M287=phu!$I$28,M287=phu!$I$29,M287=phu!$I$30,M287=phu!$I$31),"Cam Phú",""),IF(OR(M287=phu!$I$32,M287=phu!$I$33,M287=phu!$I$34,M287=phu!$I$35,M287=phu!$I$36,M287=phu!$I$37),"Cam Lộc",""),IF(OR(M287=phu!$I$38,M287=phu!$I$39,M287=phu!$I$40,M287=phu!$I$41,M287=phu!$I$42,M287=phu!$I$43,M287=phu!$I$44),"Cam Thuận",""),IF(OR(M287=phu!$I$45,M287=phu!$I$46,M287=phu!$I$47,M287=phu!$I$48,M287=phu!$I$49,M287=phu!$I$50,M287=phu!$I$51,M287=phu!$I$52,M287=phu!$I$53),"Cam Linh",""),IF(OR(M287=phu!$I$54,M287=phu!$I$55,M287=phu!$I$56,M287=phu!$I$57,M287=phu!$I$58,M287=phu!$I$59,M287=phu!$I$60,M287=phu!$I$61,M287=phu!$I$62),"Cam Lợi",""),IF(OR(M287=phu!$I$63,M287=phu!$I$64,M287=phu!$I$65,M287=phu!$I$66,M287=phu!$I$67,M287=phu!$I$68,M287=phu!$I$69,M287=phu!$I$70,M287=phu!$I$71),"Ba Ngòi",""),IF(OR(M287=phu!$I$72,M287=phu!$I$73,M287=phu!$I$74,M287=phu!$I$75,M287=phu!$I$76,M287=phu!$I$77,M287=phu!$I$78),"Cam Phước Đông",""),IF(OR(M287=phu!$I$79,M287=phu!$I$80,M287=phu!$I$81,M287=phu!$I$82,M287=phu!$I$83,M287=phu!$I$84),"Cam Thịnh Đông",""),IF(OR(M287=phu!$I$85,M287=phu!$I$86,M287=phu!$I$87,M287=phu!$I$88),"Cam Thịnh Tây",""),IF(OR(M287=phu!$I$89,M287=phu!$I$90),"Cam Lập",""),IF(OR(M287=phu!$I$91,M287=phu!$I$92,M287=phu!$I$93),"Cam Bình",""),IF(OR(M287=phu!$I$94,M287=phu!$I$95,M287=phu!$I$96,M287=phu!$I$97,M287=phu!$I$98,M287=phu!$I$99,M287=phu!$I$100),"Huyện khác",""),IF(OR(M287=phu!$I$101,M287=phu!$I$102),"Tỉnh khác",""))</f>
        <v/>
      </c>
      <c r="O287" s="829" t="str">
        <f t="shared" si="24"/>
        <v/>
      </c>
      <c r="P287" s="254"/>
      <c r="Q287" s="254"/>
      <c r="R287" s="254"/>
      <c r="S287" s="254"/>
      <c r="T287" s="254"/>
      <c r="U287" s="254"/>
      <c r="V287" s="254"/>
      <c r="W287" s="254"/>
      <c r="Y287" s="246" t="str">
        <f t="shared" si="25"/>
        <v/>
      </c>
      <c r="Z287" s="247" t="str">
        <f t="shared" si="29"/>
        <v/>
      </c>
      <c r="AA287" s="246" t="str">
        <f t="shared" si="26"/>
        <v/>
      </c>
    </row>
    <row r="288" spans="1:27" ht="18" customHeight="1" x14ac:dyDescent="0.25">
      <c r="A288" s="248" t="str">
        <f t="shared" si="27"/>
        <v/>
      </c>
      <c r="B288" s="249" t="str">
        <f t="shared" si="28"/>
        <v/>
      </c>
      <c r="C288" s="250"/>
      <c r="D288" s="251"/>
      <c r="E288" s="241"/>
      <c r="F288" s="252"/>
      <c r="G288" s="252"/>
      <c r="H288" s="253"/>
      <c r="I288" s="250"/>
      <c r="J288" s="250"/>
      <c r="K288" s="270"/>
      <c r="L288" s="250"/>
      <c r="M288" s="250"/>
      <c r="N288" s="540" t="str">
        <f>CONCATENATE(IF(OR(M288=phu!$I$1,M288=phu!$I$2,M288=phu!$I$3),"Cam Thành Nam",""),IF(OR(M288=phu!$I$4,M288=phu!$I$5,M288=phu!$I$6,M288=phu!$I$7,M288=phu!$I$8,M288=phu!$I$9,M288=phu!$I$10,M288=phu!$I$11,M288=phu!$I$12,M288=phu!$I$13,M288=phu!$I$14),"Cam Nghĩa",""),IF(OR(M288=phu!$I$15,M288=phu!$I$16,M288=phu!$I$17,M288=phu!$I$18,M288=phu!$I$19,M288=phu!$I$20,M288=phu!$I$21),"Cam Phúc Bắc",""),IF(OR(M288=phu!$I$22,M288=phu!$I$23,M288=phu!$I$24,M288=phu!$I$25),"Cam Phúc Nam",""),IF(OR(M288=phu!$I$26,M288=phu!$I$27,M288=phu!$I$28,M288=phu!$I$29,M288=phu!$I$30,M288=phu!$I$31),"Cam Phú",""),IF(OR(M288=phu!$I$32,M288=phu!$I$33,M288=phu!$I$34,M288=phu!$I$35,M288=phu!$I$36,M288=phu!$I$37),"Cam Lộc",""),IF(OR(M288=phu!$I$38,M288=phu!$I$39,M288=phu!$I$40,M288=phu!$I$41,M288=phu!$I$42,M288=phu!$I$43,M288=phu!$I$44),"Cam Thuận",""),IF(OR(M288=phu!$I$45,M288=phu!$I$46,M288=phu!$I$47,M288=phu!$I$48,M288=phu!$I$49,M288=phu!$I$50,M288=phu!$I$51,M288=phu!$I$52,M288=phu!$I$53),"Cam Linh",""),IF(OR(M288=phu!$I$54,M288=phu!$I$55,M288=phu!$I$56,M288=phu!$I$57,M288=phu!$I$58,M288=phu!$I$59,M288=phu!$I$60,M288=phu!$I$61,M288=phu!$I$62),"Cam Lợi",""),IF(OR(M288=phu!$I$63,M288=phu!$I$64,M288=phu!$I$65,M288=phu!$I$66,M288=phu!$I$67,M288=phu!$I$68,M288=phu!$I$69,M288=phu!$I$70,M288=phu!$I$71),"Ba Ngòi",""),IF(OR(M288=phu!$I$72,M288=phu!$I$73,M288=phu!$I$74,M288=phu!$I$75,M288=phu!$I$76,M288=phu!$I$77,M288=phu!$I$78),"Cam Phước Đông",""),IF(OR(M288=phu!$I$79,M288=phu!$I$80,M288=phu!$I$81,M288=phu!$I$82,M288=phu!$I$83,M288=phu!$I$84),"Cam Thịnh Đông",""),IF(OR(M288=phu!$I$85,M288=phu!$I$86,M288=phu!$I$87,M288=phu!$I$88),"Cam Thịnh Tây",""),IF(OR(M288=phu!$I$89,M288=phu!$I$90),"Cam Lập",""),IF(OR(M288=phu!$I$91,M288=phu!$I$92,M288=phu!$I$93),"Cam Bình",""),IF(OR(M288=phu!$I$94,M288=phu!$I$95,M288=phu!$I$96,M288=phu!$I$97,M288=phu!$I$98,M288=phu!$I$99,M288=phu!$I$100),"Huyện khác",""),IF(OR(M288=phu!$I$101,M288=phu!$I$102),"Tỉnh khác",""))</f>
        <v/>
      </c>
      <c r="O288" s="829" t="str">
        <f t="shared" si="24"/>
        <v/>
      </c>
      <c r="P288" s="254"/>
      <c r="Q288" s="254"/>
      <c r="R288" s="254"/>
      <c r="S288" s="254"/>
      <c r="T288" s="254"/>
      <c r="U288" s="254"/>
      <c r="V288" s="254"/>
      <c r="W288" s="254"/>
      <c r="Y288" s="246" t="str">
        <f t="shared" si="25"/>
        <v/>
      </c>
      <c r="Z288" s="247" t="str">
        <f t="shared" si="29"/>
        <v/>
      </c>
      <c r="AA288" s="246" t="str">
        <f t="shared" si="26"/>
        <v/>
      </c>
    </row>
    <row r="289" spans="1:27" ht="18" customHeight="1" x14ac:dyDescent="0.25">
      <c r="A289" s="248" t="str">
        <f t="shared" si="27"/>
        <v/>
      </c>
      <c r="B289" s="249" t="str">
        <f t="shared" si="28"/>
        <v/>
      </c>
      <c r="C289" s="250"/>
      <c r="D289" s="251"/>
      <c r="E289" s="241"/>
      <c r="F289" s="252"/>
      <c r="G289" s="252"/>
      <c r="H289" s="253"/>
      <c r="I289" s="250"/>
      <c r="J289" s="250"/>
      <c r="K289" s="270"/>
      <c r="L289" s="250"/>
      <c r="M289" s="250"/>
      <c r="N289" s="540" t="str">
        <f>CONCATENATE(IF(OR(M289=phu!$I$1,M289=phu!$I$2,M289=phu!$I$3),"Cam Thành Nam",""),IF(OR(M289=phu!$I$4,M289=phu!$I$5,M289=phu!$I$6,M289=phu!$I$7,M289=phu!$I$8,M289=phu!$I$9,M289=phu!$I$10,M289=phu!$I$11,M289=phu!$I$12,M289=phu!$I$13,M289=phu!$I$14),"Cam Nghĩa",""),IF(OR(M289=phu!$I$15,M289=phu!$I$16,M289=phu!$I$17,M289=phu!$I$18,M289=phu!$I$19,M289=phu!$I$20,M289=phu!$I$21),"Cam Phúc Bắc",""),IF(OR(M289=phu!$I$22,M289=phu!$I$23,M289=phu!$I$24,M289=phu!$I$25),"Cam Phúc Nam",""),IF(OR(M289=phu!$I$26,M289=phu!$I$27,M289=phu!$I$28,M289=phu!$I$29,M289=phu!$I$30,M289=phu!$I$31),"Cam Phú",""),IF(OR(M289=phu!$I$32,M289=phu!$I$33,M289=phu!$I$34,M289=phu!$I$35,M289=phu!$I$36,M289=phu!$I$37),"Cam Lộc",""),IF(OR(M289=phu!$I$38,M289=phu!$I$39,M289=phu!$I$40,M289=phu!$I$41,M289=phu!$I$42,M289=phu!$I$43,M289=phu!$I$44),"Cam Thuận",""),IF(OR(M289=phu!$I$45,M289=phu!$I$46,M289=phu!$I$47,M289=phu!$I$48,M289=phu!$I$49,M289=phu!$I$50,M289=phu!$I$51,M289=phu!$I$52,M289=phu!$I$53),"Cam Linh",""),IF(OR(M289=phu!$I$54,M289=phu!$I$55,M289=phu!$I$56,M289=phu!$I$57,M289=phu!$I$58,M289=phu!$I$59,M289=phu!$I$60,M289=phu!$I$61,M289=phu!$I$62),"Cam Lợi",""),IF(OR(M289=phu!$I$63,M289=phu!$I$64,M289=phu!$I$65,M289=phu!$I$66,M289=phu!$I$67,M289=phu!$I$68,M289=phu!$I$69,M289=phu!$I$70,M289=phu!$I$71),"Ba Ngòi",""),IF(OR(M289=phu!$I$72,M289=phu!$I$73,M289=phu!$I$74,M289=phu!$I$75,M289=phu!$I$76,M289=phu!$I$77,M289=phu!$I$78),"Cam Phước Đông",""),IF(OR(M289=phu!$I$79,M289=phu!$I$80,M289=phu!$I$81,M289=phu!$I$82,M289=phu!$I$83,M289=phu!$I$84),"Cam Thịnh Đông",""),IF(OR(M289=phu!$I$85,M289=phu!$I$86,M289=phu!$I$87,M289=phu!$I$88),"Cam Thịnh Tây",""),IF(OR(M289=phu!$I$89,M289=phu!$I$90),"Cam Lập",""),IF(OR(M289=phu!$I$91,M289=phu!$I$92,M289=phu!$I$93),"Cam Bình",""),IF(OR(M289=phu!$I$94,M289=phu!$I$95,M289=phu!$I$96,M289=phu!$I$97,M289=phu!$I$98,M289=phu!$I$99,M289=phu!$I$100),"Huyện khác",""),IF(OR(M289=phu!$I$101,M289=phu!$I$102),"Tỉnh khác",""))</f>
        <v/>
      </c>
      <c r="O289" s="829" t="str">
        <f t="shared" si="24"/>
        <v/>
      </c>
      <c r="P289" s="254"/>
      <c r="Q289" s="254"/>
      <c r="R289" s="254"/>
      <c r="S289" s="254"/>
      <c r="T289" s="254"/>
      <c r="U289" s="254"/>
      <c r="V289" s="254"/>
      <c r="W289" s="254"/>
      <c r="Y289" s="246" t="str">
        <f t="shared" si="25"/>
        <v/>
      </c>
      <c r="Z289" s="247" t="str">
        <f t="shared" si="29"/>
        <v/>
      </c>
      <c r="AA289" s="246" t="str">
        <f t="shared" si="26"/>
        <v/>
      </c>
    </row>
    <row r="290" spans="1:27" ht="18" customHeight="1" x14ac:dyDescent="0.25">
      <c r="A290" s="248" t="str">
        <f t="shared" si="27"/>
        <v/>
      </c>
      <c r="B290" s="249" t="str">
        <f t="shared" si="28"/>
        <v/>
      </c>
      <c r="C290" s="250"/>
      <c r="D290" s="251"/>
      <c r="E290" s="241"/>
      <c r="F290" s="252"/>
      <c r="G290" s="252"/>
      <c r="H290" s="253"/>
      <c r="I290" s="250"/>
      <c r="J290" s="250"/>
      <c r="K290" s="270"/>
      <c r="L290" s="250"/>
      <c r="M290" s="250"/>
      <c r="N290" s="540" t="str">
        <f>CONCATENATE(IF(OR(M290=phu!$I$1,M290=phu!$I$2,M290=phu!$I$3),"Cam Thành Nam",""),IF(OR(M290=phu!$I$4,M290=phu!$I$5,M290=phu!$I$6,M290=phu!$I$7,M290=phu!$I$8,M290=phu!$I$9,M290=phu!$I$10,M290=phu!$I$11,M290=phu!$I$12,M290=phu!$I$13,M290=phu!$I$14),"Cam Nghĩa",""),IF(OR(M290=phu!$I$15,M290=phu!$I$16,M290=phu!$I$17,M290=phu!$I$18,M290=phu!$I$19,M290=phu!$I$20,M290=phu!$I$21),"Cam Phúc Bắc",""),IF(OR(M290=phu!$I$22,M290=phu!$I$23,M290=phu!$I$24,M290=phu!$I$25),"Cam Phúc Nam",""),IF(OR(M290=phu!$I$26,M290=phu!$I$27,M290=phu!$I$28,M290=phu!$I$29,M290=phu!$I$30,M290=phu!$I$31),"Cam Phú",""),IF(OR(M290=phu!$I$32,M290=phu!$I$33,M290=phu!$I$34,M290=phu!$I$35,M290=phu!$I$36,M290=phu!$I$37),"Cam Lộc",""),IF(OR(M290=phu!$I$38,M290=phu!$I$39,M290=phu!$I$40,M290=phu!$I$41,M290=phu!$I$42,M290=phu!$I$43,M290=phu!$I$44),"Cam Thuận",""),IF(OR(M290=phu!$I$45,M290=phu!$I$46,M290=phu!$I$47,M290=phu!$I$48,M290=phu!$I$49,M290=phu!$I$50,M290=phu!$I$51,M290=phu!$I$52,M290=phu!$I$53),"Cam Linh",""),IF(OR(M290=phu!$I$54,M290=phu!$I$55,M290=phu!$I$56,M290=phu!$I$57,M290=phu!$I$58,M290=phu!$I$59,M290=phu!$I$60,M290=phu!$I$61,M290=phu!$I$62),"Cam Lợi",""),IF(OR(M290=phu!$I$63,M290=phu!$I$64,M290=phu!$I$65,M290=phu!$I$66,M290=phu!$I$67,M290=phu!$I$68,M290=phu!$I$69,M290=phu!$I$70,M290=phu!$I$71),"Ba Ngòi",""),IF(OR(M290=phu!$I$72,M290=phu!$I$73,M290=phu!$I$74,M290=phu!$I$75,M290=phu!$I$76,M290=phu!$I$77,M290=phu!$I$78),"Cam Phước Đông",""),IF(OR(M290=phu!$I$79,M290=phu!$I$80,M290=phu!$I$81,M290=phu!$I$82,M290=phu!$I$83,M290=phu!$I$84),"Cam Thịnh Đông",""),IF(OR(M290=phu!$I$85,M290=phu!$I$86,M290=phu!$I$87,M290=phu!$I$88),"Cam Thịnh Tây",""),IF(OR(M290=phu!$I$89,M290=phu!$I$90),"Cam Lập",""),IF(OR(M290=phu!$I$91,M290=phu!$I$92,M290=phu!$I$93),"Cam Bình",""),IF(OR(M290=phu!$I$94,M290=phu!$I$95,M290=phu!$I$96,M290=phu!$I$97,M290=phu!$I$98,M290=phu!$I$99,M290=phu!$I$100),"Huyện khác",""),IF(OR(M290=phu!$I$101,M290=phu!$I$102),"Tỉnh khác",""))</f>
        <v/>
      </c>
      <c r="O290" s="829" t="str">
        <f t="shared" si="24"/>
        <v/>
      </c>
      <c r="P290" s="254"/>
      <c r="Q290" s="254"/>
      <c r="R290" s="254"/>
      <c r="S290" s="254"/>
      <c r="T290" s="254"/>
      <c r="U290" s="254"/>
      <c r="V290" s="254"/>
      <c r="W290" s="254"/>
      <c r="Y290" s="246" t="str">
        <f t="shared" si="25"/>
        <v/>
      </c>
      <c r="Z290" s="247" t="str">
        <f t="shared" si="29"/>
        <v/>
      </c>
      <c r="AA290" s="246" t="str">
        <f t="shared" si="26"/>
        <v/>
      </c>
    </row>
    <row r="291" spans="1:27" ht="18" customHeight="1" x14ac:dyDescent="0.25">
      <c r="A291" s="248" t="str">
        <f t="shared" si="27"/>
        <v/>
      </c>
      <c r="B291" s="249" t="str">
        <f t="shared" si="28"/>
        <v/>
      </c>
      <c r="C291" s="250"/>
      <c r="D291" s="251"/>
      <c r="E291" s="241"/>
      <c r="F291" s="252"/>
      <c r="G291" s="252"/>
      <c r="H291" s="253"/>
      <c r="I291" s="250"/>
      <c r="J291" s="250"/>
      <c r="K291" s="270"/>
      <c r="L291" s="250"/>
      <c r="M291" s="250"/>
      <c r="N291" s="540" t="str">
        <f>CONCATENATE(IF(OR(M291=phu!$I$1,M291=phu!$I$2,M291=phu!$I$3),"Cam Thành Nam",""),IF(OR(M291=phu!$I$4,M291=phu!$I$5,M291=phu!$I$6,M291=phu!$I$7,M291=phu!$I$8,M291=phu!$I$9,M291=phu!$I$10,M291=phu!$I$11,M291=phu!$I$12,M291=phu!$I$13,M291=phu!$I$14),"Cam Nghĩa",""),IF(OR(M291=phu!$I$15,M291=phu!$I$16,M291=phu!$I$17,M291=phu!$I$18,M291=phu!$I$19,M291=phu!$I$20,M291=phu!$I$21),"Cam Phúc Bắc",""),IF(OR(M291=phu!$I$22,M291=phu!$I$23,M291=phu!$I$24,M291=phu!$I$25),"Cam Phúc Nam",""),IF(OR(M291=phu!$I$26,M291=phu!$I$27,M291=phu!$I$28,M291=phu!$I$29,M291=phu!$I$30,M291=phu!$I$31),"Cam Phú",""),IF(OR(M291=phu!$I$32,M291=phu!$I$33,M291=phu!$I$34,M291=phu!$I$35,M291=phu!$I$36,M291=phu!$I$37),"Cam Lộc",""),IF(OR(M291=phu!$I$38,M291=phu!$I$39,M291=phu!$I$40,M291=phu!$I$41,M291=phu!$I$42,M291=phu!$I$43,M291=phu!$I$44),"Cam Thuận",""),IF(OR(M291=phu!$I$45,M291=phu!$I$46,M291=phu!$I$47,M291=phu!$I$48,M291=phu!$I$49,M291=phu!$I$50,M291=phu!$I$51,M291=phu!$I$52,M291=phu!$I$53),"Cam Linh",""),IF(OR(M291=phu!$I$54,M291=phu!$I$55,M291=phu!$I$56,M291=phu!$I$57,M291=phu!$I$58,M291=phu!$I$59,M291=phu!$I$60,M291=phu!$I$61,M291=phu!$I$62),"Cam Lợi",""),IF(OR(M291=phu!$I$63,M291=phu!$I$64,M291=phu!$I$65,M291=phu!$I$66,M291=phu!$I$67,M291=phu!$I$68,M291=phu!$I$69,M291=phu!$I$70,M291=phu!$I$71),"Ba Ngòi",""),IF(OR(M291=phu!$I$72,M291=phu!$I$73,M291=phu!$I$74,M291=phu!$I$75,M291=phu!$I$76,M291=phu!$I$77,M291=phu!$I$78),"Cam Phước Đông",""),IF(OR(M291=phu!$I$79,M291=phu!$I$80,M291=phu!$I$81,M291=phu!$I$82,M291=phu!$I$83,M291=phu!$I$84),"Cam Thịnh Đông",""),IF(OR(M291=phu!$I$85,M291=phu!$I$86,M291=phu!$I$87,M291=phu!$I$88),"Cam Thịnh Tây",""),IF(OR(M291=phu!$I$89,M291=phu!$I$90),"Cam Lập",""),IF(OR(M291=phu!$I$91,M291=phu!$I$92,M291=phu!$I$93),"Cam Bình",""),IF(OR(M291=phu!$I$94,M291=phu!$I$95,M291=phu!$I$96,M291=phu!$I$97,M291=phu!$I$98,M291=phu!$I$99,M291=phu!$I$100),"Huyện khác",""),IF(OR(M291=phu!$I$101,M291=phu!$I$102),"Tỉnh khác",""))</f>
        <v/>
      </c>
      <c r="O291" s="829" t="str">
        <f t="shared" si="24"/>
        <v/>
      </c>
      <c r="P291" s="254"/>
      <c r="Q291" s="254"/>
      <c r="R291" s="254"/>
      <c r="S291" s="254"/>
      <c r="T291" s="254"/>
      <c r="U291" s="254"/>
      <c r="V291" s="254"/>
      <c r="W291" s="254"/>
      <c r="Y291" s="246" t="str">
        <f t="shared" si="25"/>
        <v/>
      </c>
      <c r="Z291" s="247" t="str">
        <f t="shared" si="29"/>
        <v/>
      </c>
      <c r="AA291" s="246" t="str">
        <f t="shared" si="26"/>
        <v/>
      </c>
    </row>
    <row r="292" spans="1:27" ht="18" customHeight="1" x14ac:dyDescent="0.25">
      <c r="A292" s="248" t="str">
        <f t="shared" si="27"/>
        <v/>
      </c>
      <c r="B292" s="249" t="str">
        <f t="shared" si="28"/>
        <v/>
      </c>
      <c r="C292" s="250"/>
      <c r="D292" s="251"/>
      <c r="E292" s="241"/>
      <c r="F292" s="252"/>
      <c r="G292" s="252"/>
      <c r="H292" s="253"/>
      <c r="I292" s="250"/>
      <c r="J292" s="250"/>
      <c r="K292" s="270"/>
      <c r="L292" s="250"/>
      <c r="M292" s="250"/>
      <c r="N292" s="540" t="str">
        <f>CONCATENATE(IF(OR(M292=phu!$I$1,M292=phu!$I$2,M292=phu!$I$3),"Cam Thành Nam",""),IF(OR(M292=phu!$I$4,M292=phu!$I$5,M292=phu!$I$6,M292=phu!$I$7,M292=phu!$I$8,M292=phu!$I$9,M292=phu!$I$10,M292=phu!$I$11,M292=phu!$I$12,M292=phu!$I$13,M292=phu!$I$14),"Cam Nghĩa",""),IF(OR(M292=phu!$I$15,M292=phu!$I$16,M292=phu!$I$17,M292=phu!$I$18,M292=phu!$I$19,M292=phu!$I$20,M292=phu!$I$21),"Cam Phúc Bắc",""),IF(OR(M292=phu!$I$22,M292=phu!$I$23,M292=phu!$I$24,M292=phu!$I$25),"Cam Phúc Nam",""),IF(OR(M292=phu!$I$26,M292=phu!$I$27,M292=phu!$I$28,M292=phu!$I$29,M292=phu!$I$30,M292=phu!$I$31),"Cam Phú",""),IF(OR(M292=phu!$I$32,M292=phu!$I$33,M292=phu!$I$34,M292=phu!$I$35,M292=phu!$I$36,M292=phu!$I$37),"Cam Lộc",""),IF(OR(M292=phu!$I$38,M292=phu!$I$39,M292=phu!$I$40,M292=phu!$I$41,M292=phu!$I$42,M292=phu!$I$43,M292=phu!$I$44),"Cam Thuận",""),IF(OR(M292=phu!$I$45,M292=phu!$I$46,M292=phu!$I$47,M292=phu!$I$48,M292=phu!$I$49,M292=phu!$I$50,M292=phu!$I$51,M292=phu!$I$52,M292=phu!$I$53),"Cam Linh",""),IF(OR(M292=phu!$I$54,M292=phu!$I$55,M292=phu!$I$56,M292=phu!$I$57,M292=phu!$I$58,M292=phu!$I$59,M292=phu!$I$60,M292=phu!$I$61,M292=phu!$I$62),"Cam Lợi",""),IF(OR(M292=phu!$I$63,M292=phu!$I$64,M292=phu!$I$65,M292=phu!$I$66,M292=phu!$I$67,M292=phu!$I$68,M292=phu!$I$69,M292=phu!$I$70,M292=phu!$I$71),"Ba Ngòi",""),IF(OR(M292=phu!$I$72,M292=phu!$I$73,M292=phu!$I$74,M292=phu!$I$75,M292=phu!$I$76,M292=phu!$I$77,M292=phu!$I$78),"Cam Phước Đông",""),IF(OR(M292=phu!$I$79,M292=phu!$I$80,M292=phu!$I$81,M292=phu!$I$82,M292=phu!$I$83,M292=phu!$I$84),"Cam Thịnh Đông",""),IF(OR(M292=phu!$I$85,M292=phu!$I$86,M292=phu!$I$87,M292=phu!$I$88),"Cam Thịnh Tây",""),IF(OR(M292=phu!$I$89,M292=phu!$I$90),"Cam Lập",""),IF(OR(M292=phu!$I$91,M292=phu!$I$92,M292=phu!$I$93),"Cam Bình",""),IF(OR(M292=phu!$I$94,M292=phu!$I$95,M292=phu!$I$96,M292=phu!$I$97,M292=phu!$I$98,M292=phu!$I$99,M292=phu!$I$100),"Huyện khác",""),IF(OR(M292=phu!$I$101,M292=phu!$I$102),"Tỉnh khác",""))</f>
        <v/>
      </c>
      <c r="O292" s="829" t="str">
        <f t="shared" si="24"/>
        <v/>
      </c>
      <c r="P292" s="254"/>
      <c r="Q292" s="254"/>
      <c r="R292" s="254"/>
      <c r="S292" s="254"/>
      <c r="T292" s="254"/>
      <c r="U292" s="254"/>
      <c r="V292" s="254"/>
      <c r="W292" s="254"/>
      <c r="Y292" s="246" t="str">
        <f t="shared" si="25"/>
        <v/>
      </c>
      <c r="Z292" s="247" t="str">
        <f t="shared" si="29"/>
        <v/>
      </c>
      <c r="AA292" s="246" t="str">
        <f t="shared" si="26"/>
        <v/>
      </c>
    </row>
    <row r="293" spans="1:27" ht="18" customHeight="1" x14ac:dyDescent="0.25">
      <c r="A293" s="248" t="str">
        <f t="shared" si="27"/>
        <v/>
      </c>
      <c r="B293" s="249" t="str">
        <f t="shared" si="28"/>
        <v/>
      </c>
      <c r="C293" s="250"/>
      <c r="D293" s="251"/>
      <c r="E293" s="241"/>
      <c r="F293" s="252"/>
      <c r="G293" s="252"/>
      <c r="H293" s="253"/>
      <c r="I293" s="250"/>
      <c r="J293" s="250"/>
      <c r="K293" s="270"/>
      <c r="L293" s="250"/>
      <c r="M293" s="250"/>
      <c r="N293" s="540" t="str">
        <f>CONCATENATE(IF(OR(M293=phu!$I$1,M293=phu!$I$2,M293=phu!$I$3),"Cam Thành Nam",""),IF(OR(M293=phu!$I$4,M293=phu!$I$5,M293=phu!$I$6,M293=phu!$I$7,M293=phu!$I$8,M293=phu!$I$9,M293=phu!$I$10,M293=phu!$I$11,M293=phu!$I$12,M293=phu!$I$13,M293=phu!$I$14),"Cam Nghĩa",""),IF(OR(M293=phu!$I$15,M293=phu!$I$16,M293=phu!$I$17,M293=phu!$I$18,M293=phu!$I$19,M293=phu!$I$20,M293=phu!$I$21),"Cam Phúc Bắc",""),IF(OR(M293=phu!$I$22,M293=phu!$I$23,M293=phu!$I$24,M293=phu!$I$25),"Cam Phúc Nam",""),IF(OR(M293=phu!$I$26,M293=phu!$I$27,M293=phu!$I$28,M293=phu!$I$29,M293=phu!$I$30,M293=phu!$I$31),"Cam Phú",""),IF(OR(M293=phu!$I$32,M293=phu!$I$33,M293=phu!$I$34,M293=phu!$I$35,M293=phu!$I$36,M293=phu!$I$37),"Cam Lộc",""),IF(OR(M293=phu!$I$38,M293=phu!$I$39,M293=phu!$I$40,M293=phu!$I$41,M293=phu!$I$42,M293=phu!$I$43,M293=phu!$I$44),"Cam Thuận",""),IF(OR(M293=phu!$I$45,M293=phu!$I$46,M293=phu!$I$47,M293=phu!$I$48,M293=phu!$I$49,M293=phu!$I$50,M293=phu!$I$51,M293=phu!$I$52,M293=phu!$I$53),"Cam Linh",""),IF(OR(M293=phu!$I$54,M293=phu!$I$55,M293=phu!$I$56,M293=phu!$I$57,M293=phu!$I$58,M293=phu!$I$59,M293=phu!$I$60,M293=phu!$I$61,M293=phu!$I$62),"Cam Lợi",""),IF(OR(M293=phu!$I$63,M293=phu!$I$64,M293=phu!$I$65,M293=phu!$I$66,M293=phu!$I$67,M293=phu!$I$68,M293=phu!$I$69,M293=phu!$I$70,M293=phu!$I$71),"Ba Ngòi",""),IF(OR(M293=phu!$I$72,M293=phu!$I$73,M293=phu!$I$74,M293=phu!$I$75,M293=phu!$I$76,M293=phu!$I$77,M293=phu!$I$78),"Cam Phước Đông",""),IF(OR(M293=phu!$I$79,M293=phu!$I$80,M293=phu!$I$81,M293=phu!$I$82,M293=phu!$I$83,M293=phu!$I$84),"Cam Thịnh Đông",""),IF(OR(M293=phu!$I$85,M293=phu!$I$86,M293=phu!$I$87,M293=phu!$I$88),"Cam Thịnh Tây",""),IF(OR(M293=phu!$I$89,M293=phu!$I$90),"Cam Lập",""),IF(OR(M293=phu!$I$91,M293=phu!$I$92,M293=phu!$I$93),"Cam Bình",""),IF(OR(M293=phu!$I$94,M293=phu!$I$95,M293=phu!$I$96,M293=phu!$I$97,M293=phu!$I$98,M293=phu!$I$99,M293=phu!$I$100),"Huyện khác",""),IF(OR(M293=phu!$I$101,M293=phu!$I$102),"Tỉnh khác",""))</f>
        <v/>
      </c>
      <c r="O293" s="829" t="str">
        <f t="shared" si="24"/>
        <v/>
      </c>
      <c r="P293" s="254"/>
      <c r="Q293" s="254"/>
      <c r="R293" s="254"/>
      <c r="S293" s="254"/>
      <c r="T293" s="254"/>
      <c r="U293" s="254"/>
      <c r="V293" s="254"/>
      <c r="W293" s="254"/>
      <c r="Y293" s="246" t="str">
        <f t="shared" si="25"/>
        <v/>
      </c>
      <c r="Z293" s="247" t="str">
        <f t="shared" si="29"/>
        <v/>
      </c>
      <c r="AA293" s="246" t="str">
        <f t="shared" si="26"/>
        <v/>
      </c>
    </row>
    <row r="294" spans="1:27" ht="18" customHeight="1" x14ac:dyDescent="0.25">
      <c r="A294" s="248" t="str">
        <f t="shared" si="27"/>
        <v/>
      </c>
      <c r="B294" s="249" t="str">
        <f t="shared" si="28"/>
        <v/>
      </c>
      <c r="C294" s="250"/>
      <c r="D294" s="251"/>
      <c r="E294" s="241"/>
      <c r="F294" s="252"/>
      <c r="G294" s="252"/>
      <c r="H294" s="253"/>
      <c r="I294" s="250"/>
      <c r="J294" s="250"/>
      <c r="K294" s="270"/>
      <c r="L294" s="250"/>
      <c r="M294" s="250"/>
      <c r="N294" s="540" t="str">
        <f>CONCATENATE(IF(OR(M294=phu!$I$1,M294=phu!$I$2,M294=phu!$I$3),"Cam Thành Nam",""),IF(OR(M294=phu!$I$4,M294=phu!$I$5,M294=phu!$I$6,M294=phu!$I$7,M294=phu!$I$8,M294=phu!$I$9,M294=phu!$I$10,M294=phu!$I$11,M294=phu!$I$12,M294=phu!$I$13,M294=phu!$I$14),"Cam Nghĩa",""),IF(OR(M294=phu!$I$15,M294=phu!$I$16,M294=phu!$I$17,M294=phu!$I$18,M294=phu!$I$19,M294=phu!$I$20,M294=phu!$I$21),"Cam Phúc Bắc",""),IF(OR(M294=phu!$I$22,M294=phu!$I$23,M294=phu!$I$24,M294=phu!$I$25),"Cam Phúc Nam",""),IF(OR(M294=phu!$I$26,M294=phu!$I$27,M294=phu!$I$28,M294=phu!$I$29,M294=phu!$I$30,M294=phu!$I$31),"Cam Phú",""),IF(OR(M294=phu!$I$32,M294=phu!$I$33,M294=phu!$I$34,M294=phu!$I$35,M294=phu!$I$36,M294=phu!$I$37),"Cam Lộc",""),IF(OR(M294=phu!$I$38,M294=phu!$I$39,M294=phu!$I$40,M294=phu!$I$41,M294=phu!$I$42,M294=phu!$I$43,M294=phu!$I$44),"Cam Thuận",""),IF(OR(M294=phu!$I$45,M294=phu!$I$46,M294=phu!$I$47,M294=phu!$I$48,M294=phu!$I$49,M294=phu!$I$50,M294=phu!$I$51,M294=phu!$I$52,M294=phu!$I$53),"Cam Linh",""),IF(OR(M294=phu!$I$54,M294=phu!$I$55,M294=phu!$I$56,M294=phu!$I$57,M294=phu!$I$58,M294=phu!$I$59,M294=phu!$I$60,M294=phu!$I$61,M294=phu!$I$62),"Cam Lợi",""),IF(OR(M294=phu!$I$63,M294=phu!$I$64,M294=phu!$I$65,M294=phu!$I$66,M294=phu!$I$67,M294=phu!$I$68,M294=phu!$I$69,M294=phu!$I$70,M294=phu!$I$71),"Ba Ngòi",""),IF(OR(M294=phu!$I$72,M294=phu!$I$73,M294=phu!$I$74,M294=phu!$I$75,M294=phu!$I$76,M294=phu!$I$77,M294=phu!$I$78),"Cam Phước Đông",""),IF(OR(M294=phu!$I$79,M294=phu!$I$80,M294=phu!$I$81,M294=phu!$I$82,M294=phu!$I$83,M294=phu!$I$84),"Cam Thịnh Đông",""),IF(OR(M294=phu!$I$85,M294=phu!$I$86,M294=phu!$I$87,M294=phu!$I$88),"Cam Thịnh Tây",""),IF(OR(M294=phu!$I$89,M294=phu!$I$90),"Cam Lập",""),IF(OR(M294=phu!$I$91,M294=phu!$I$92,M294=phu!$I$93),"Cam Bình",""),IF(OR(M294=phu!$I$94,M294=phu!$I$95,M294=phu!$I$96,M294=phu!$I$97,M294=phu!$I$98,M294=phu!$I$99,M294=phu!$I$100),"Huyện khác",""),IF(OR(M294=phu!$I$101,M294=phu!$I$102),"Tỉnh khác",""))</f>
        <v/>
      </c>
      <c r="O294" s="829" t="str">
        <f t="shared" si="24"/>
        <v/>
      </c>
      <c r="P294" s="254"/>
      <c r="Q294" s="254"/>
      <c r="R294" s="254"/>
      <c r="S294" s="254"/>
      <c r="T294" s="254"/>
      <c r="U294" s="254"/>
      <c r="V294" s="254"/>
      <c r="W294" s="254"/>
      <c r="Y294" s="246" t="str">
        <f t="shared" si="25"/>
        <v/>
      </c>
      <c r="Z294" s="247" t="str">
        <f t="shared" si="29"/>
        <v/>
      </c>
      <c r="AA294" s="246" t="str">
        <f t="shared" si="26"/>
        <v/>
      </c>
    </row>
    <row r="295" spans="1:27" ht="18" customHeight="1" x14ac:dyDescent="0.25">
      <c r="A295" s="248" t="str">
        <f t="shared" si="27"/>
        <v/>
      </c>
      <c r="B295" s="249" t="str">
        <f t="shared" si="28"/>
        <v/>
      </c>
      <c r="C295" s="250"/>
      <c r="D295" s="251"/>
      <c r="E295" s="241"/>
      <c r="F295" s="252"/>
      <c r="G295" s="252"/>
      <c r="H295" s="253"/>
      <c r="I295" s="250"/>
      <c r="J295" s="250"/>
      <c r="K295" s="270"/>
      <c r="L295" s="250"/>
      <c r="M295" s="250"/>
      <c r="N295" s="540" t="str">
        <f>CONCATENATE(IF(OR(M295=phu!$I$1,M295=phu!$I$2,M295=phu!$I$3),"Cam Thành Nam",""),IF(OR(M295=phu!$I$4,M295=phu!$I$5,M295=phu!$I$6,M295=phu!$I$7,M295=phu!$I$8,M295=phu!$I$9,M295=phu!$I$10,M295=phu!$I$11,M295=phu!$I$12,M295=phu!$I$13,M295=phu!$I$14),"Cam Nghĩa",""),IF(OR(M295=phu!$I$15,M295=phu!$I$16,M295=phu!$I$17,M295=phu!$I$18,M295=phu!$I$19,M295=phu!$I$20,M295=phu!$I$21),"Cam Phúc Bắc",""),IF(OR(M295=phu!$I$22,M295=phu!$I$23,M295=phu!$I$24,M295=phu!$I$25),"Cam Phúc Nam",""),IF(OR(M295=phu!$I$26,M295=phu!$I$27,M295=phu!$I$28,M295=phu!$I$29,M295=phu!$I$30,M295=phu!$I$31),"Cam Phú",""),IF(OR(M295=phu!$I$32,M295=phu!$I$33,M295=phu!$I$34,M295=phu!$I$35,M295=phu!$I$36,M295=phu!$I$37),"Cam Lộc",""),IF(OR(M295=phu!$I$38,M295=phu!$I$39,M295=phu!$I$40,M295=phu!$I$41,M295=phu!$I$42,M295=phu!$I$43,M295=phu!$I$44),"Cam Thuận",""),IF(OR(M295=phu!$I$45,M295=phu!$I$46,M295=phu!$I$47,M295=phu!$I$48,M295=phu!$I$49,M295=phu!$I$50,M295=phu!$I$51,M295=phu!$I$52,M295=phu!$I$53),"Cam Linh",""),IF(OR(M295=phu!$I$54,M295=phu!$I$55,M295=phu!$I$56,M295=phu!$I$57,M295=phu!$I$58,M295=phu!$I$59,M295=phu!$I$60,M295=phu!$I$61,M295=phu!$I$62),"Cam Lợi",""),IF(OR(M295=phu!$I$63,M295=phu!$I$64,M295=phu!$I$65,M295=phu!$I$66,M295=phu!$I$67,M295=phu!$I$68,M295=phu!$I$69,M295=phu!$I$70,M295=phu!$I$71),"Ba Ngòi",""),IF(OR(M295=phu!$I$72,M295=phu!$I$73,M295=phu!$I$74,M295=phu!$I$75,M295=phu!$I$76,M295=phu!$I$77,M295=phu!$I$78),"Cam Phước Đông",""),IF(OR(M295=phu!$I$79,M295=phu!$I$80,M295=phu!$I$81,M295=phu!$I$82,M295=phu!$I$83,M295=phu!$I$84),"Cam Thịnh Đông",""),IF(OR(M295=phu!$I$85,M295=phu!$I$86,M295=phu!$I$87,M295=phu!$I$88),"Cam Thịnh Tây",""),IF(OR(M295=phu!$I$89,M295=phu!$I$90),"Cam Lập",""),IF(OR(M295=phu!$I$91,M295=phu!$I$92,M295=phu!$I$93),"Cam Bình",""),IF(OR(M295=phu!$I$94,M295=phu!$I$95,M295=phu!$I$96,M295=phu!$I$97,M295=phu!$I$98,M295=phu!$I$99,M295=phu!$I$100),"Huyện khác",""),IF(OR(M295=phu!$I$101,M295=phu!$I$102),"Tỉnh khác",""))</f>
        <v/>
      </c>
      <c r="O295" s="829" t="str">
        <f t="shared" si="24"/>
        <v/>
      </c>
      <c r="P295" s="254"/>
      <c r="Q295" s="254"/>
      <c r="R295" s="254"/>
      <c r="S295" s="254"/>
      <c r="T295" s="254"/>
      <c r="U295" s="254"/>
      <c r="V295" s="254"/>
      <c r="W295" s="254"/>
      <c r="Y295" s="246" t="str">
        <f t="shared" si="25"/>
        <v/>
      </c>
      <c r="Z295" s="247" t="str">
        <f t="shared" si="29"/>
        <v/>
      </c>
      <c r="AA295" s="246" t="str">
        <f t="shared" si="26"/>
        <v/>
      </c>
    </row>
    <row r="296" spans="1:27" ht="18" customHeight="1" x14ac:dyDescent="0.25">
      <c r="A296" s="248" t="str">
        <f t="shared" si="27"/>
        <v/>
      </c>
      <c r="B296" s="249" t="str">
        <f t="shared" si="28"/>
        <v/>
      </c>
      <c r="C296" s="250"/>
      <c r="D296" s="251"/>
      <c r="E296" s="241"/>
      <c r="F296" s="252"/>
      <c r="G296" s="252"/>
      <c r="H296" s="253"/>
      <c r="I296" s="250"/>
      <c r="J296" s="250"/>
      <c r="K296" s="270"/>
      <c r="L296" s="250"/>
      <c r="M296" s="250"/>
      <c r="N296" s="540" t="str">
        <f>CONCATENATE(IF(OR(M296=phu!$I$1,M296=phu!$I$2,M296=phu!$I$3),"Cam Thành Nam",""),IF(OR(M296=phu!$I$4,M296=phu!$I$5,M296=phu!$I$6,M296=phu!$I$7,M296=phu!$I$8,M296=phu!$I$9,M296=phu!$I$10,M296=phu!$I$11,M296=phu!$I$12,M296=phu!$I$13,M296=phu!$I$14),"Cam Nghĩa",""),IF(OR(M296=phu!$I$15,M296=phu!$I$16,M296=phu!$I$17,M296=phu!$I$18,M296=phu!$I$19,M296=phu!$I$20,M296=phu!$I$21),"Cam Phúc Bắc",""),IF(OR(M296=phu!$I$22,M296=phu!$I$23,M296=phu!$I$24,M296=phu!$I$25),"Cam Phúc Nam",""),IF(OR(M296=phu!$I$26,M296=phu!$I$27,M296=phu!$I$28,M296=phu!$I$29,M296=phu!$I$30,M296=phu!$I$31),"Cam Phú",""),IF(OR(M296=phu!$I$32,M296=phu!$I$33,M296=phu!$I$34,M296=phu!$I$35,M296=phu!$I$36,M296=phu!$I$37),"Cam Lộc",""),IF(OR(M296=phu!$I$38,M296=phu!$I$39,M296=phu!$I$40,M296=phu!$I$41,M296=phu!$I$42,M296=phu!$I$43,M296=phu!$I$44),"Cam Thuận",""),IF(OR(M296=phu!$I$45,M296=phu!$I$46,M296=phu!$I$47,M296=phu!$I$48,M296=phu!$I$49,M296=phu!$I$50,M296=phu!$I$51,M296=phu!$I$52,M296=phu!$I$53),"Cam Linh",""),IF(OR(M296=phu!$I$54,M296=phu!$I$55,M296=phu!$I$56,M296=phu!$I$57,M296=phu!$I$58,M296=phu!$I$59,M296=phu!$I$60,M296=phu!$I$61,M296=phu!$I$62),"Cam Lợi",""),IF(OR(M296=phu!$I$63,M296=phu!$I$64,M296=phu!$I$65,M296=phu!$I$66,M296=phu!$I$67,M296=phu!$I$68,M296=phu!$I$69,M296=phu!$I$70,M296=phu!$I$71),"Ba Ngòi",""),IF(OR(M296=phu!$I$72,M296=phu!$I$73,M296=phu!$I$74,M296=phu!$I$75,M296=phu!$I$76,M296=phu!$I$77,M296=phu!$I$78),"Cam Phước Đông",""),IF(OR(M296=phu!$I$79,M296=phu!$I$80,M296=phu!$I$81,M296=phu!$I$82,M296=phu!$I$83,M296=phu!$I$84),"Cam Thịnh Đông",""),IF(OR(M296=phu!$I$85,M296=phu!$I$86,M296=phu!$I$87,M296=phu!$I$88),"Cam Thịnh Tây",""),IF(OR(M296=phu!$I$89,M296=phu!$I$90),"Cam Lập",""),IF(OR(M296=phu!$I$91,M296=phu!$I$92,M296=phu!$I$93),"Cam Bình",""),IF(OR(M296=phu!$I$94,M296=phu!$I$95,M296=phu!$I$96,M296=phu!$I$97,M296=phu!$I$98,M296=phu!$I$99,M296=phu!$I$100),"Huyện khác",""),IF(OR(M296=phu!$I$101,M296=phu!$I$102),"Tỉnh khác",""))</f>
        <v/>
      </c>
      <c r="O296" s="829" t="str">
        <f t="shared" si="24"/>
        <v/>
      </c>
      <c r="P296" s="254"/>
      <c r="Q296" s="254"/>
      <c r="R296" s="254"/>
      <c r="S296" s="254"/>
      <c r="T296" s="254"/>
      <c r="U296" s="254"/>
      <c r="V296" s="254"/>
      <c r="W296" s="254"/>
      <c r="Y296" s="246" t="str">
        <f t="shared" si="25"/>
        <v/>
      </c>
      <c r="Z296" s="247" t="str">
        <f t="shared" si="29"/>
        <v/>
      </c>
      <c r="AA296" s="246" t="str">
        <f t="shared" si="26"/>
        <v/>
      </c>
    </row>
    <row r="297" spans="1:27" ht="18" customHeight="1" x14ac:dyDescent="0.25">
      <c r="A297" s="248" t="str">
        <f t="shared" si="27"/>
        <v/>
      </c>
      <c r="B297" s="249" t="str">
        <f t="shared" si="28"/>
        <v/>
      </c>
      <c r="C297" s="250"/>
      <c r="D297" s="251"/>
      <c r="E297" s="241"/>
      <c r="F297" s="252"/>
      <c r="G297" s="252"/>
      <c r="H297" s="253"/>
      <c r="I297" s="250"/>
      <c r="J297" s="250"/>
      <c r="K297" s="270"/>
      <c r="L297" s="250"/>
      <c r="M297" s="250"/>
      <c r="N297" s="540" t="str">
        <f>CONCATENATE(IF(OR(M297=phu!$I$1,M297=phu!$I$2,M297=phu!$I$3),"Cam Thành Nam",""),IF(OR(M297=phu!$I$4,M297=phu!$I$5,M297=phu!$I$6,M297=phu!$I$7,M297=phu!$I$8,M297=phu!$I$9,M297=phu!$I$10,M297=phu!$I$11,M297=phu!$I$12,M297=phu!$I$13,M297=phu!$I$14),"Cam Nghĩa",""),IF(OR(M297=phu!$I$15,M297=phu!$I$16,M297=phu!$I$17,M297=phu!$I$18,M297=phu!$I$19,M297=phu!$I$20,M297=phu!$I$21),"Cam Phúc Bắc",""),IF(OR(M297=phu!$I$22,M297=phu!$I$23,M297=phu!$I$24,M297=phu!$I$25),"Cam Phúc Nam",""),IF(OR(M297=phu!$I$26,M297=phu!$I$27,M297=phu!$I$28,M297=phu!$I$29,M297=phu!$I$30,M297=phu!$I$31),"Cam Phú",""),IF(OR(M297=phu!$I$32,M297=phu!$I$33,M297=phu!$I$34,M297=phu!$I$35,M297=phu!$I$36,M297=phu!$I$37),"Cam Lộc",""),IF(OR(M297=phu!$I$38,M297=phu!$I$39,M297=phu!$I$40,M297=phu!$I$41,M297=phu!$I$42,M297=phu!$I$43,M297=phu!$I$44),"Cam Thuận",""),IF(OR(M297=phu!$I$45,M297=phu!$I$46,M297=phu!$I$47,M297=phu!$I$48,M297=phu!$I$49,M297=phu!$I$50,M297=phu!$I$51,M297=phu!$I$52,M297=phu!$I$53),"Cam Linh",""),IF(OR(M297=phu!$I$54,M297=phu!$I$55,M297=phu!$I$56,M297=phu!$I$57,M297=phu!$I$58,M297=phu!$I$59,M297=phu!$I$60,M297=phu!$I$61,M297=phu!$I$62),"Cam Lợi",""),IF(OR(M297=phu!$I$63,M297=phu!$I$64,M297=phu!$I$65,M297=phu!$I$66,M297=phu!$I$67,M297=phu!$I$68,M297=phu!$I$69,M297=phu!$I$70,M297=phu!$I$71),"Ba Ngòi",""),IF(OR(M297=phu!$I$72,M297=phu!$I$73,M297=phu!$I$74,M297=phu!$I$75,M297=phu!$I$76,M297=phu!$I$77,M297=phu!$I$78),"Cam Phước Đông",""),IF(OR(M297=phu!$I$79,M297=phu!$I$80,M297=phu!$I$81,M297=phu!$I$82,M297=phu!$I$83,M297=phu!$I$84),"Cam Thịnh Đông",""),IF(OR(M297=phu!$I$85,M297=phu!$I$86,M297=phu!$I$87,M297=phu!$I$88),"Cam Thịnh Tây",""),IF(OR(M297=phu!$I$89,M297=phu!$I$90),"Cam Lập",""),IF(OR(M297=phu!$I$91,M297=phu!$I$92,M297=phu!$I$93),"Cam Bình",""),IF(OR(M297=phu!$I$94,M297=phu!$I$95,M297=phu!$I$96,M297=phu!$I$97,M297=phu!$I$98,M297=phu!$I$99,M297=phu!$I$100),"Huyện khác",""),IF(OR(M297=phu!$I$101,M297=phu!$I$102),"Tỉnh khác",""))</f>
        <v/>
      </c>
      <c r="O297" s="829" t="str">
        <f t="shared" si="24"/>
        <v/>
      </c>
      <c r="P297" s="254"/>
      <c r="Q297" s="254"/>
      <c r="R297" s="254"/>
      <c r="S297" s="254"/>
      <c r="T297" s="254"/>
      <c r="U297" s="254"/>
      <c r="V297" s="254"/>
      <c r="W297" s="254"/>
      <c r="Y297" s="246" t="str">
        <f t="shared" si="25"/>
        <v/>
      </c>
      <c r="Z297" s="247" t="str">
        <f t="shared" si="29"/>
        <v/>
      </c>
      <c r="AA297" s="246" t="str">
        <f t="shared" si="26"/>
        <v/>
      </c>
    </row>
    <row r="298" spans="1:27" ht="18" customHeight="1" x14ac:dyDescent="0.25">
      <c r="A298" s="248" t="str">
        <f t="shared" si="27"/>
        <v/>
      </c>
      <c r="B298" s="249" t="str">
        <f t="shared" si="28"/>
        <v/>
      </c>
      <c r="C298" s="250"/>
      <c r="D298" s="251"/>
      <c r="E298" s="241"/>
      <c r="F298" s="252"/>
      <c r="G298" s="252"/>
      <c r="H298" s="253"/>
      <c r="I298" s="250"/>
      <c r="J298" s="250"/>
      <c r="K298" s="270"/>
      <c r="L298" s="250"/>
      <c r="M298" s="250"/>
      <c r="N298" s="540" t="str">
        <f>CONCATENATE(IF(OR(M298=phu!$I$1,M298=phu!$I$2,M298=phu!$I$3),"Cam Thành Nam",""),IF(OR(M298=phu!$I$4,M298=phu!$I$5,M298=phu!$I$6,M298=phu!$I$7,M298=phu!$I$8,M298=phu!$I$9,M298=phu!$I$10,M298=phu!$I$11,M298=phu!$I$12,M298=phu!$I$13,M298=phu!$I$14),"Cam Nghĩa",""),IF(OR(M298=phu!$I$15,M298=phu!$I$16,M298=phu!$I$17,M298=phu!$I$18,M298=phu!$I$19,M298=phu!$I$20,M298=phu!$I$21),"Cam Phúc Bắc",""),IF(OR(M298=phu!$I$22,M298=phu!$I$23,M298=phu!$I$24,M298=phu!$I$25),"Cam Phúc Nam",""),IF(OR(M298=phu!$I$26,M298=phu!$I$27,M298=phu!$I$28,M298=phu!$I$29,M298=phu!$I$30,M298=phu!$I$31),"Cam Phú",""),IF(OR(M298=phu!$I$32,M298=phu!$I$33,M298=phu!$I$34,M298=phu!$I$35,M298=phu!$I$36,M298=phu!$I$37),"Cam Lộc",""),IF(OR(M298=phu!$I$38,M298=phu!$I$39,M298=phu!$I$40,M298=phu!$I$41,M298=phu!$I$42,M298=phu!$I$43,M298=phu!$I$44),"Cam Thuận",""),IF(OR(M298=phu!$I$45,M298=phu!$I$46,M298=phu!$I$47,M298=phu!$I$48,M298=phu!$I$49,M298=phu!$I$50,M298=phu!$I$51,M298=phu!$I$52,M298=phu!$I$53),"Cam Linh",""),IF(OR(M298=phu!$I$54,M298=phu!$I$55,M298=phu!$I$56,M298=phu!$I$57,M298=phu!$I$58,M298=phu!$I$59,M298=phu!$I$60,M298=phu!$I$61,M298=phu!$I$62),"Cam Lợi",""),IF(OR(M298=phu!$I$63,M298=phu!$I$64,M298=phu!$I$65,M298=phu!$I$66,M298=phu!$I$67,M298=phu!$I$68,M298=phu!$I$69,M298=phu!$I$70,M298=phu!$I$71),"Ba Ngòi",""),IF(OR(M298=phu!$I$72,M298=phu!$I$73,M298=phu!$I$74,M298=phu!$I$75,M298=phu!$I$76,M298=phu!$I$77,M298=phu!$I$78),"Cam Phước Đông",""),IF(OR(M298=phu!$I$79,M298=phu!$I$80,M298=phu!$I$81,M298=phu!$I$82,M298=phu!$I$83,M298=phu!$I$84),"Cam Thịnh Đông",""),IF(OR(M298=phu!$I$85,M298=phu!$I$86,M298=phu!$I$87,M298=phu!$I$88),"Cam Thịnh Tây",""),IF(OR(M298=phu!$I$89,M298=phu!$I$90),"Cam Lập",""),IF(OR(M298=phu!$I$91,M298=phu!$I$92,M298=phu!$I$93),"Cam Bình",""),IF(OR(M298=phu!$I$94,M298=phu!$I$95,M298=phu!$I$96,M298=phu!$I$97,M298=phu!$I$98,M298=phu!$I$99,M298=phu!$I$100),"Huyện khác",""),IF(OR(M298=phu!$I$101,M298=phu!$I$102),"Tỉnh khác",""))</f>
        <v/>
      </c>
      <c r="O298" s="829" t="str">
        <f t="shared" si="24"/>
        <v/>
      </c>
      <c r="P298" s="254"/>
      <c r="Q298" s="254"/>
      <c r="R298" s="254"/>
      <c r="S298" s="254"/>
      <c r="T298" s="254"/>
      <c r="U298" s="254"/>
      <c r="V298" s="254"/>
      <c r="W298" s="254"/>
      <c r="Y298" s="246" t="str">
        <f t="shared" si="25"/>
        <v/>
      </c>
      <c r="Z298" s="247" t="str">
        <f t="shared" si="29"/>
        <v/>
      </c>
      <c r="AA298" s="246" t="str">
        <f t="shared" si="26"/>
        <v/>
      </c>
    </row>
    <row r="299" spans="1:27" ht="18" customHeight="1" x14ac:dyDescent="0.25">
      <c r="A299" s="248" t="str">
        <f t="shared" si="27"/>
        <v/>
      </c>
      <c r="B299" s="249" t="str">
        <f t="shared" si="28"/>
        <v/>
      </c>
      <c r="C299" s="250"/>
      <c r="D299" s="251"/>
      <c r="E299" s="241"/>
      <c r="F299" s="252"/>
      <c r="G299" s="252"/>
      <c r="H299" s="253"/>
      <c r="I299" s="250"/>
      <c r="J299" s="250"/>
      <c r="K299" s="270"/>
      <c r="L299" s="250"/>
      <c r="M299" s="250"/>
      <c r="N299" s="540" t="str">
        <f>CONCATENATE(IF(OR(M299=phu!$I$1,M299=phu!$I$2,M299=phu!$I$3),"Cam Thành Nam",""),IF(OR(M299=phu!$I$4,M299=phu!$I$5,M299=phu!$I$6,M299=phu!$I$7,M299=phu!$I$8,M299=phu!$I$9,M299=phu!$I$10,M299=phu!$I$11,M299=phu!$I$12,M299=phu!$I$13,M299=phu!$I$14),"Cam Nghĩa",""),IF(OR(M299=phu!$I$15,M299=phu!$I$16,M299=phu!$I$17,M299=phu!$I$18,M299=phu!$I$19,M299=phu!$I$20,M299=phu!$I$21),"Cam Phúc Bắc",""),IF(OR(M299=phu!$I$22,M299=phu!$I$23,M299=phu!$I$24,M299=phu!$I$25),"Cam Phúc Nam",""),IF(OR(M299=phu!$I$26,M299=phu!$I$27,M299=phu!$I$28,M299=phu!$I$29,M299=phu!$I$30,M299=phu!$I$31),"Cam Phú",""),IF(OR(M299=phu!$I$32,M299=phu!$I$33,M299=phu!$I$34,M299=phu!$I$35,M299=phu!$I$36,M299=phu!$I$37),"Cam Lộc",""),IF(OR(M299=phu!$I$38,M299=phu!$I$39,M299=phu!$I$40,M299=phu!$I$41,M299=phu!$I$42,M299=phu!$I$43,M299=phu!$I$44),"Cam Thuận",""),IF(OR(M299=phu!$I$45,M299=phu!$I$46,M299=phu!$I$47,M299=phu!$I$48,M299=phu!$I$49,M299=phu!$I$50,M299=phu!$I$51,M299=phu!$I$52,M299=phu!$I$53),"Cam Linh",""),IF(OR(M299=phu!$I$54,M299=phu!$I$55,M299=phu!$I$56,M299=phu!$I$57,M299=phu!$I$58,M299=phu!$I$59,M299=phu!$I$60,M299=phu!$I$61,M299=phu!$I$62),"Cam Lợi",""),IF(OR(M299=phu!$I$63,M299=phu!$I$64,M299=phu!$I$65,M299=phu!$I$66,M299=phu!$I$67,M299=phu!$I$68,M299=phu!$I$69,M299=phu!$I$70,M299=phu!$I$71),"Ba Ngòi",""),IF(OR(M299=phu!$I$72,M299=phu!$I$73,M299=phu!$I$74,M299=phu!$I$75,M299=phu!$I$76,M299=phu!$I$77,M299=phu!$I$78),"Cam Phước Đông",""),IF(OR(M299=phu!$I$79,M299=phu!$I$80,M299=phu!$I$81,M299=phu!$I$82,M299=phu!$I$83,M299=phu!$I$84),"Cam Thịnh Đông",""),IF(OR(M299=phu!$I$85,M299=phu!$I$86,M299=phu!$I$87,M299=phu!$I$88),"Cam Thịnh Tây",""),IF(OR(M299=phu!$I$89,M299=phu!$I$90),"Cam Lập",""),IF(OR(M299=phu!$I$91,M299=phu!$I$92,M299=phu!$I$93),"Cam Bình",""),IF(OR(M299=phu!$I$94,M299=phu!$I$95,M299=phu!$I$96,M299=phu!$I$97,M299=phu!$I$98,M299=phu!$I$99,M299=phu!$I$100),"Huyện khác",""),IF(OR(M299=phu!$I$101,M299=phu!$I$102),"Tỉnh khác",""))</f>
        <v/>
      </c>
      <c r="O299" s="829" t="str">
        <f t="shared" si="24"/>
        <v/>
      </c>
      <c r="P299" s="254"/>
      <c r="Q299" s="254"/>
      <c r="R299" s="254"/>
      <c r="S299" s="254"/>
      <c r="T299" s="254"/>
      <c r="U299" s="254"/>
      <c r="V299" s="254"/>
      <c r="W299" s="254"/>
      <c r="Y299" s="246" t="str">
        <f t="shared" si="25"/>
        <v/>
      </c>
      <c r="Z299" s="247" t="str">
        <f t="shared" si="29"/>
        <v/>
      </c>
      <c r="AA299" s="246" t="str">
        <f t="shared" si="26"/>
        <v/>
      </c>
    </row>
    <row r="300" spans="1:27" ht="18" customHeight="1" x14ac:dyDescent="0.25">
      <c r="A300" s="248" t="str">
        <f t="shared" si="27"/>
        <v/>
      </c>
      <c r="B300" s="249" t="str">
        <f t="shared" si="28"/>
        <v/>
      </c>
      <c r="C300" s="250"/>
      <c r="D300" s="251"/>
      <c r="E300" s="241"/>
      <c r="F300" s="252"/>
      <c r="G300" s="252"/>
      <c r="H300" s="253"/>
      <c r="I300" s="250"/>
      <c r="J300" s="250"/>
      <c r="K300" s="270"/>
      <c r="L300" s="250"/>
      <c r="M300" s="250"/>
      <c r="N300" s="540" t="str">
        <f>CONCATENATE(IF(OR(M300=phu!$I$1,M300=phu!$I$2,M300=phu!$I$3),"Cam Thành Nam",""),IF(OR(M300=phu!$I$4,M300=phu!$I$5,M300=phu!$I$6,M300=phu!$I$7,M300=phu!$I$8,M300=phu!$I$9,M300=phu!$I$10,M300=phu!$I$11,M300=phu!$I$12,M300=phu!$I$13,M300=phu!$I$14),"Cam Nghĩa",""),IF(OR(M300=phu!$I$15,M300=phu!$I$16,M300=phu!$I$17,M300=phu!$I$18,M300=phu!$I$19,M300=phu!$I$20,M300=phu!$I$21),"Cam Phúc Bắc",""),IF(OR(M300=phu!$I$22,M300=phu!$I$23,M300=phu!$I$24,M300=phu!$I$25),"Cam Phúc Nam",""),IF(OR(M300=phu!$I$26,M300=phu!$I$27,M300=phu!$I$28,M300=phu!$I$29,M300=phu!$I$30,M300=phu!$I$31),"Cam Phú",""),IF(OR(M300=phu!$I$32,M300=phu!$I$33,M300=phu!$I$34,M300=phu!$I$35,M300=phu!$I$36,M300=phu!$I$37),"Cam Lộc",""),IF(OR(M300=phu!$I$38,M300=phu!$I$39,M300=phu!$I$40,M300=phu!$I$41,M300=phu!$I$42,M300=phu!$I$43,M300=phu!$I$44),"Cam Thuận",""),IF(OR(M300=phu!$I$45,M300=phu!$I$46,M300=phu!$I$47,M300=phu!$I$48,M300=phu!$I$49,M300=phu!$I$50,M300=phu!$I$51,M300=phu!$I$52,M300=phu!$I$53),"Cam Linh",""),IF(OR(M300=phu!$I$54,M300=phu!$I$55,M300=phu!$I$56,M300=phu!$I$57,M300=phu!$I$58,M300=phu!$I$59,M300=phu!$I$60,M300=phu!$I$61,M300=phu!$I$62),"Cam Lợi",""),IF(OR(M300=phu!$I$63,M300=phu!$I$64,M300=phu!$I$65,M300=phu!$I$66,M300=phu!$I$67,M300=phu!$I$68,M300=phu!$I$69,M300=phu!$I$70,M300=phu!$I$71),"Ba Ngòi",""),IF(OR(M300=phu!$I$72,M300=phu!$I$73,M300=phu!$I$74,M300=phu!$I$75,M300=phu!$I$76,M300=phu!$I$77,M300=phu!$I$78),"Cam Phước Đông",""),IF(OR(M300=phu!$I$79,M300=phu!$I$80,M300=phu!$I$81,M300=phu!$I$82,M300=phu!$I$83,M300=phu!$I$84),"Cam Thịnh Đông",""),IF(OR(M300=phu!$I$85,M300=phu!$I$86,M300=phu!$I$87,M300=phu!$I$88),"Cam Thịnh Tây",""),IF(OR(M300=phu!$I$89,M300=phu!$I$90),"Cam Lập",""),IF(OR(M300=phu!$I$91,M300=phu!$I$92,M300=phu!$I$93),"Cam Bình",""),IF(OR(M300=phu!$I$94,M300=phu!$I$95,M300=phu!$I$96,M300=phu!$I$97,M300=phu!$I$98,M300=phu!$I$99,M300=phu!$I$100),"Huyện khác",""),IF(OR(M300=phu!$I$101,M300=phu!$I$102),"Tỉnh khác",""))</f>
        <v/>
      </c>
      <c r="O300" s="829" t="str">
        <f t="shared" si="24"/>
        <v/>
      </c>
      <c r="P300" s="254"/>
      <c r="Q300" s="254"/>
      <c r="R300" s="254"/>
      <c r="S300" s="254"/>
      <c r="T300" s="254"/>
      <c r="U300" s="254"/>
      <c r="V300" s="254"/>
      <c r="W300" s="254"/>
      <c r="Y300" s="246" t="str">
        <f t="shared" si="25"/>
        <v/>
      </c>
      <c r="Z300" s="247" t="str">
        <f t="shared" si="29"/>
        <v/>
      </c>
      <c r="AA300" s="246" t="str">
        <f t="shared" si="26"/>
        <v/>
      </c>
    </row>
    <row r="301" spans="1:27" ht="18" customHeight="1" x14ac:dyDescent="0.25">
      <c r="A301" s="248" t="str">
        <f t="shared" si="27"/>
        <v/>
      </c>
      <c r="B301" s="249" t="str">
        <f t="shared" si="28"/>
        <v/>
      </c>
      <c r="C301" s="250"/>
      <c r="D301" s="251"/>
      <c r="E301" s="241"/>
      <c r="F301" s="252"/>
      <c r="G301" s="252"/>
      <c r="H301" s="253"/>
      <c r="I301" s="250"/>
      <c r="J301" s="250"/>
      <c r="K301" s="270"/>
      <c r="L301" s="250"/>
      <c r="M301" s="250"/>
      <c r="N301" s="540" t="str">
        <f>CONCATENATE(IF(OR(M301=phu!$I$1,M301=phu!$I$2,M301=phu!$I$3),"Cam Thành Nam",""),IF(OR(M301=phu!$I$4,M301=phu!$I$5,M301=phu!$I$6,M301=phu!$I$7,M301=phu!$I$8,M301=phu!$I$9,M301=phu!$I$10,M301=phu!$I$11,M301=phu!$I$12,M301=phu!$I$13,M301=phu!$I$14),"Cam Nghĩa",""),IF(OR(M301=phu!$I$15,M301=phu!$I$16,M301=phu!$I$17,M301=phu!$I$18,M301=phu!$I$19,M301=phu!$I$20,M301=phu!$I$21),"Cam Phúc Bắc",""),IF(OR(M301=phu!$I$22,M301=phu!$I$23,M301=phu!$I$24,M301=phu!$I$25),"Cam Phúc Nam",""),IF(OR(M301=phu!$I$26,M301=phu!$I$27,M301=phu!$I$28,M301=phu!$I$29,M301=phu!$I$30,M301=phu!$I$31),"Cam Phú",""),IF(OR(M301=phu!$I$32,M301=phu!$I$33,M301=phu!$I$34,M301=phu!$I$35,M301=phu!$I$36,M301=phu!$I$37),"Cam Lộc",""),IF(OR(M301=phu!$I$38,M301=phu!$I$39,M301=phu!$I$40,M301=phu!$I$41,M301=phu!$I$42,M301=phu!$I$43,M301=phu!$I$44),"Cam Thuận",""),IF(OR(M301=phu!$I$45,M301=phu!$I$46,M301=phu!$I$47,M301=phu!$I$48,M301=phu!$I$49,M301=phu!$I$50,M301=phu!$I$51,M301=phu!$I$52,M301=phu!$I$53),"Cam Linh",""),IF(OR(M301=phu!$I$54,M301=phu!$I$55,M301=phu!$I$56,M301=phu!$I$57,M301=phu!$I$58,M301=phu!$I$59,M301=phu!$I$60,M301=phu!$I$61,M301=phu!$I$62),"Cam Lợi",""),IF(OR(M301=phu!$I$63,M301=phu!$I$64,M301=phu!$I$65,M301=phu!$I$66,M301=phu!$I$67,M301=phu!$I$68,M301=phu!$I$69,M301=phu!$I$70,M301=phu!$I$71),"Ba Ngòi",""),IF(OR(M301=phu!$I$72,M301=phu!$I$73,M301=phu!$I$74,M301=phu!$I$75,M301=phu!$I$76,M301=phu!$I$77,M301=phu!$I$78),"Cam Phước Đông",""),IF(OR(M301=phu!$I$79,M301=phu!$I$80,M301=phu!$I$81,M301=phu!$I$82,M301=phu!$I$83,M301=phu!$I$84),"Cam Thịnh Đông",""),IF(OR(M301=phu!$I$85,M301=phu!$I$86,M301=phu!$I$87,M301=phu!$I$88),"Cam Thịnh Tây",""),IF(OR(M301=phu!$I$89,M301=phu!$I$90),"Cam Lập",""),IF(OR(M301=phu!$I$91,M301=phu!$I$92,M301=phu!$I$93),"Cam Bình",""),IF(OR(M301=phu!$I$94,M301=phu!$I$95,M301=phu!$I$96,M301=phu!$I$97,M301=phu!$I$98,M301=phu!$I$99,M301=phu!$I$100),"Huyện khác",""),IF(OR(M301=phu!$I$101,M301=phu!$I$102),"Tỉnh khác",""))</f>
        <v/>
      </c>
      <c r="O301" s="829" t="str">
        <f t="shared" si="24"/>
        <v/>
      </c>
      <c r="P301" s="254"/>
      <c r="Q301" s="254"/>
      <c r="R301" s="254"/>
      <c r="S301" s="254"/>
      <c r="T301" s="254"/>
      <c r="U301" s="254"/>
      <c r="V301" s="254"/>
      <c r="W301" s="254"/>
      <c r="Y301" s="246" t="str">
        <f t="shared" si="25"/>
        <v/>
      </c>
      <c r="Z301" s="247" t="str">
        <f t="shared" si="29"/>
        <v/>
      </c>
      <c r="AA301" s="246" t="str">
        <f t="shared" si="26"/>
        <v/>
      </c>
    </row>
    <row r="302" spans="1:27" ht="18" customHeight="1" x14ac:dyDescent="0.25">
      <c r="A302" s="248" t="str">
        <f t="shared" si="27"/>
        <v/>
      </c>
      <c r="B302" s="249" t="str">
        <f t="shared" si="28"/>
        <v/>
      </c>
      <c r="C302" s="250"/>
      <c r="D302" s="251"/>
      <c r="E302" s="241"/>
      <c r="F302" s="252"/>
      <c r="G302" s="252"/>
      <c r="H302" s="253"/>
      <c r="I302" s="250"/>
      <c r="J302" s="250"/>
      <c r="K302" s="270"/>
      <c r="L302" s="250"/>
      <c r="M302" s="250"/>
      <c r="N302" s="540" t="str">
        <f>CONCATENATE(IF(OR(M302=phu!$I$1,M302=phu!$I$2,M302=phu!$I$3),"Cam Thành Nam",""),IF(OR(M302=phu!$I$4,M302=phu!$I$5,M302=phu!$I$6,M302=phu!$I$7,M302=phu!$I$8,M302=phu!$I$9,M302=phu!$I$10,M302=phu!$I$11,M302=phu!$I$12,M302=phu!$I$13,M302=phu!$I$14),"Cam Nghĩa",""),IF(OR(M302=phu!$I$15,M302=phu!$I$16,M302=phu!$I$17,M302=phu!$I$18,M302=phu!$I$19,M302=phu!$I$20,M302=phu!$I$21),"Cam Phúc Bắc",""),IF(OR(M302=phu!$I$22,M302=phu!$I$23,M302=phu!$I$24,M302=phu!$I$25),"Cam Phúc Nam",""),IF(OR(M302=phu!$I$26,M302=phu!$I$27,M302=phu!$I$28,M302=phu!$I$29,M302=phu!$I$30,M302=phu!$I$31),"Cam Phú",""),IF(OR(M302=phu!$I$32,M302=phu!$I$33,M302=phu!$I$34,M302=phu!$I$35,M302=phu!$I$36,M302=phu!$I$37),"Cam Lộc",""),IF(OR(M302=phu!$I$38,M302=phu!$I$39,M302=phu!$I$40,M302=phu!$I$41,M302=phu!$I$42,M302=phu!$I$43,M302=phu!$I$44),"Cam Thuận",""),IF(OR(M302=phu!$I$45,M302=phu!$I$46,M302=phu!$I$47,M302=phu!$I$48,M302=phu!$I$49,M302=phu!$I$50,M302=phu!$I$51,M302=phu!$I$52,M302=phu!$I$53),"Cam Linh",""),IF(OR(M302=phu!$I$54,M302=phu!$I$55,M302=phu!$I$56,M302=phu!$I$57,M302=phu!$I$58,M302=phu!$I$59,M302=phu!$I$60,M302=phu!$I$61,M302=phu!$I$62),"Cam Lợi",""),IF(OR(M302=phu!$I$63,M302=phu!$I$64,M302=phu!$I$65,M302=phu!$I$66,M302=phu!$I$67,M302=phu!$I$68,M302=phu!$I$69,M302=phu!$I$70,M302=phu!$I$71),"Ba Ngòi",""),IF(OR(M302=phu!$I$72,M302=phu!$I$73,M302=phu!$I$74,M302=phu!$I$75,M302=phu!$I$76,M302=phu!$I$77,M302=phu!$I$78),"Cam Phước Đông",""),IF(OR(M302=phu!$I$79,M302=phu!$I$80,M302=phu!$I$81,M302=phu!$I$82,M302=phu!$I$83,M302=phu!$I$84),"Cam Thịnh Đông",""),IF(OR(M302=phu!$I$85,M302=phu!$I$86,M302=phu!$I$87,M302=phu!$I$88),"Cam Thịnh Tây",""),IF(OR(M302=phu!$I$89,M302=phu!$I$90),"Cam Lập",""),IF(OR(M302=phu!$I$91,M302=phu!$I$92,M302=phu!$I$93),"Cam Bình",""),IF(OR(M302=phu!$I$94,M302=phu!$I$95,M302=phu!$I$96,M302=phu!$I$97,M302=phu!$I$98,M302=phu!$I$99,M302=phu!$I$100),"Huyện khác",""),IF(OR(M302=phu!$I$101,M302=phu!$I$102),"Tỉnh khác",""))</f>
        <v/>
      </c>
      <c r="O302" s="829" t="str">
        <f t="shared" si="24"/>
        <v/>
      </c>
      <c r="P302" s="254"/>
      <c r="Q302" s="254"/>
      <c r="R302" s="254"/>
      <c r="S302" s="254"/>
      <c r="T302" s="254"/>
      <c r="U302" s="254"/>
      <c r="V302" s="254"/>
      <c r="W302" s="254"/>
      <c r="Y302" s="246" t="str">
        <f t="shared" si="25"/>
        <v/>
      </c>
      <c r="Z302" s="247" t="str">
        <f t="shared" si="29"/>
        <v/>
      </c>
      <c r="AA302" s="246" t="str">
        <f t="shared" si="26"/>
        <v/>
      </c>
    </row>
    <row r="303" spans="1:27" ht="18" customHeight="1" x14ac:dyDescent="0.25">
      <c r="A303" s="248" t="str">
        <f t="shared" si="27"/>
        <v/>
      </c>
      <c r="B303" s="249" t="str">
        <f t="shared" si="28"/>
        <v/>
      </c>
      <c r="C303" s="250"/>
      <c r="D303" s="251"/>
      <c r="E303" s="241"/>
      <c r="F303" s="252"/>
      <c r="G303" s="252"/>
      <c r="H303" s="253"/>
      <c r="I303" s="250"/>
      <c r="J303" s="250"/>
      <c r="K303" s="270"/>
      <c r="L303" s="250"/>
      <c r="M303" s="250"/>
      <c r="N303" s="540" t="str">
        <f>CONCATENATE(IF(OR(M303=phu!$I$1,M303=phu!$I$2,M303=phu!$I$3),"Cam Thành Nam",""),IF(OR(M303=phu!$I$4,M303=phu!$I$5,M303=phu!$I$6,M303=phu!$I$7,M303=phu!$I$8,M303=phu!$I$9,M303=phu!$I$10,M303=phu!$I$11,M303=phu!$I$12,M303=phu!$I$13,M303=phu!$I$14),"Cam Nghĩa",""),IF(OR(M303=phu!$I$15,M303=phu!$I$16,M303=phu!$I$17,M303=phu!$I$18,M303=phu!$I$19,M303=phu!$I$20,M303=phu!$I$21),"Cam Phúc Bắc",""),IF(OR(M303=phu!$I$22,M303=phu!$I$23,M303=phu!$I$24,M303=phu!$I$25),"Cam Phúc Nam",""),IF(OR(M303=phu!$I$26,M303=phu!$I$27,M303=phu!$I$28,M303=phu!$I$29,M303=phu!$I$30,M303=phu!$I$31),"Cam Phú",""),IF(OR(M303=phu!$I$32,M303=phu!$I$33,M303=phu!$I$34,M303=phu!$I$35,M303=phu!$I$36,M303=phu!$I$37),"Cam Lộc",""),IF(OR(M303=phu!$I$38,M303=phu!$I$39,M303=phu!$I$40,M303=phu!$I$41,M303=phu!$I$42,M303=phu!$I$43,M303=phu!$I$44),"Cam Thuận",""),IF(OR(M303=phu!$I$45,M303=phu!$I$46,M303=phu!$I$47,M303=phu!$I$48,M303=phu!$I$49,M303=phu!$I$50,M303=phu!$I$51,M303=phu!$I$52,M303=phu!$I$53),"Cam Linh",""),IF(OR(M303=phu!$I$54,M303=phu!$I$55,M303=phu!$I$56,M303=phu!$I$57,M303=phu!$I$58,M303=phu!$I$59,M303=phu!$I$60,M303=phu!$I$61,M303=phu!$I$62),"Cam Lợi",""),IF(OR(M303=phu!$I$63,M303=phu!$I$64,M303=phu!$I$65,M303=phu!$I$66,M303=phu!$I$67,M303=phu!$I$68,M303=phu!$I$69,M303=phu!$I$70,M303=phu!$I$71),"Ba Ngòi",""),IF(OR(M303=phu!$I$72,M303=phu!$I$73,M303=phu!$I$74,M303=phu!$I$75,M303=phu!$I$76,M303=phu!$I$77,M303=phu!$I$78),"Cam Phước Đông",""),IF(OR(M303=phu!$I$79,M303=phu!$I$80,M303=phu!$I$81,M303=phu!$I$82,M303=phu!$I$83,M303=phu!$I$84),"Cam Thịnh Đông",""),IF(OR(M303=phu!$I$85,M303=phu!$I$86,M303=phu!$I$87,M303=phu!$I$88),"Cam Thịnh Tây",""),IF(OR(M303=phu!$I$89,M303=phu!$I$90),"Cam Lập",""),IF(OR(M303=phu!$I$91,M303=phu!$I$92,M303=phu!$I$93),"Cam Bình",""),IF(OR(M303=phu!$I$94,M303=phu!$I$95,M303=phu!$I$96,M303=phu!$I$97,M303=phu!$I$98,M303=phu!$I$99,M303=phu!$I$100),"Huyện khác",""),IF(OR(M303=phu!$I$101,M303=phu!$I$102),"Tỉnh khác",""))</f>
        <v/>
      </c>
      <c r="O303" s="829" t="str">
        <f t="shared" si="24"/>
        <v/>
      </c>
      <c r="P303" s="254"/>
      <c r="Q303" s="254"/>
      <c r="R303" s="254"/>
      <c r="S303" s="254"/>
      <c r="T303" s="254"/>
      <c r="U303" s="254"/>
      <c r="V303" s="254"/>
      <c r="W303" s="254"/>
      <c r="Y303" s="246" t="str">
        <f t="shared" si="25"/>
        <v/>
      </c>
      <c r="Z303" s="247" t="str">
        <f t="shared" si="29"/>
        <v/>
      </c>
      <c r="AA303" s="246" t="str">
        <f t="shared" si="26"/>
        <v/>
      </c>
    </row>
    <row r="304" spans="1:27" ht="18" customHeight="1" x14ac:dyDescent="0.25">
      <c r="A304" s="248" t="str">
        <f t="shared" si="27"/>
        <v/>
      </c>
      <c r="B304" s="249" t="str">
        <f t="shared" si="28"/>
        <v/>
      </c>
      <c r="C304" s="250"/>
      <c r="D304" s="251"/>
      <c r="E304" s="241"/>
      <c r="F304" s="252"/>
      <c r="G304" s="252"/>
      <c r="H304" s="253"/>
      <c r="I304" s="250"/>
      <c r="J304" s="250"/>
      <c r="K304" s="270"/>
      <c r="L304" s="250"/>
      <c r="M304" s="250"/>
      <c r="N304" s="540" t="str">
        <f>CONCATENATE(IF(OR(M304=phu!$I$1,M304=phu!$I$2,M304=phu!$I$3),"Cam Thành Nam",""),IF(OR(M304=phu!$I$4,M304=phu!$I$5,M304=phu!$I$6,M304=phu!$I$7,M304=phu!$I$8,M304=phu!$I$9,M304=phu!$I$10,M304=phu!$I$11,M304=phu!$I$12,M304=phu!$I$13,M304=phu!$I$14),"Cam Nghĩa",""),IF(OR(M304=phu!$I$15,M304=phu!$I$16,M304=phu!$I$17,M304=phu!$I$18,M304=phu!$I$19,M304=phu!$I$20,M304=phu!$I$21),"Cam Phúc Bắc",""),IF(OR(M304=phu!$I$22,M304=phu!$I$23,M304=phu!$I$24,M304=phu!$I$25),"Cam Phúc Nam",""),IF(OR(M304=phu!$I$26,M304=phu!$I$27,M304=phu!$I$28,M304=phu!$I$29,M304=phu!$I$30,M304=phu!$I$31),"Cam Phú",""),IF(OR(M304=phu!$I$32,M304=phu!$I$33,M304=phu!$I$34,M304=phu!$I$35,M304=phu!$I$36,M304=phu!$I$37),"Cam Lộc",""),IF(OR(M304=phu!$I$38,M304=phu!$I$39,M304=phu!$I$40,M304=phu!$I$41,M304=phu!$I$42,M304=phu!$I$43,M304=phu!$I$44),"Cam Thuận",""),IF(OR(M304=phu!$I$45,M304=phu!$I$46,M304=phu!$I$47,M304=phu!$I$48,M304=phu!$I$49,M304=phu!$I$50,M304=phu!$I$51,M304=phu!$I$52,M304=phu!$I$53),"Cam Linh",""),IF(OR(M304=phu!$I$54,M304=phu!$I$55,M304=phu!$I$56,M304=phu!$I$57,M304=phu!$I$58,M304=phu!$I$59,M304=phu!$I$60,M304=phu!$I$61,M304=phu!$I$62),"Cam Lợi",""),IF(OR(M304=phu!$I$63,M304=phu!$I$64,M304=phu!$I$65,M304=phu!$I$66,M304=phu!$I$67,M304=phu!$I$68,M304=phu!$I$69,M304=phu!$I$70,M304=phu!$I$71),"Ba Ngòi",""),IF(OR(M304=phu!$I$72,M304=phu!$I$73,M304=phu!$I$74,M304=phu!$I$75,M304=phu!$I$76,M304=phu!$I$77,M304=phu!$I$78),"Cam Phước Đông",""),IF(OR(M304=phu!$I$79,M304=phu!$I$80,M304=phu!$I$81,M304=phu!$I$82,M304=phu!$I$83,M304=phu!$I$84),"Cam Thịnh Đông",""),IF(OR(M304=phu!$I$85,M304=phu!$I$86,M304=phu!$I$87,M304=phu!$I$88),"Cam Thịnh Tây",""),IF(OR(M304=phu!$I$89,M304=phu!$I$90),"Cam Lập",""),IF(OR(M304=phu!$I$91,M304=phu!$I$92,M304=phu!$I$93),"Cam Bình",""),IF(OR(M304=phu!$I$94,M304=phu!$I$95,M304=phu!$I$96,M304=phu!$I$97,M304=phu!$I$98,M304=phu!$I$99,M304=phu!$I$100),"Huyện khác",""),IF(OR(M304=phu!$I$101,M304=phu!$I$102),"Tỉnh khác",""))</f>
        <v/>
      </c>
      <c r="O304" s="829" t="str">
        <f t="shared" si="24"/>
        <v/>
      </c>
      <c r="P304" s="254"/>
      <c r="Q304" s="254"/>
      <c r="R304" s="254"/>
      <c r="S304" s="254"/>
      <c r="T304" s="254"/>
      <c r="U304" s="254"/>
      <c r="V304" s="254"/>
      <c r="W304" s="254"/>
      <c r="Y304" s="246" t="str">
        <f t="shared" si="25"/>
        <v/>
      </c>
      <c r="Z304" s="247" t="str">
        <f t="shared" si="29"/>
        <v/>
      </c>
      <c r="AA304" s="246" t="str">
        <f t="shared" si="26"/>
        <v/>
      </c>
    </row>
    <row r="305" spans="1:27" ht="18" customHeight="1" x14ac:dyDescent="0.25">
      <c r="A305" s="248" t="str">
        <f t="shared" si="27"/>
        <v/>
      </c>
      <c r="B305" s="249" t="str">
        <f t="shared" si="28"/>
        <v/>
      </c>
      <c r="C305" s="250"/>
      <c r="D305" s="251"/>
      <c r="E305" s="241"/>
      <c r="F305" s="252"/>
      <c r="G305" s="252"/>
      <c r="H305" s="253"/>
      <c r="I305" s="250"/>
      <c r="J305" s="250"/>
      <c r="K305" s="270"/>
      <c r="L305" s="250"/>
      <c r="M305" s="250"/>
      <c r="N305" s="540" t="str">
        <f>CONCATENATE(IF(OR(M305=phu!$I$1,M305=phu!$I$2,M305=phu!$I$3),"Cam Thành Nam",""),IF(OR(M305=phu!$I$4,M305=phu!$I$5,M305=phu!$I$6,M305=phu!$I$7,M305=phu!$I$8,M305=phu!$I$9,M305=phu!$I$10,M305=phu!$I$11,M305=phu!$I$12,M305=phu!$I$13,M305=phu!$I$14),"Cam Nghĩa",""),IF(OR(M305=phu!$I$15,M305=phu!$I$16,M305=phu!$I$17,M305=phu!$I$18,M305=phu!$I$19,M305=phu!$I$20,M305=phu!$I$21),"Cam Phúc Bắc",""),IF(OR(M305=phu!$I$22,M305=phu!$I$23,M305=phu!$I$24,M305=phu!$I$25),"Cam Phúc Nam",""),IF(OR(M305=phu!$I$26,M305=phu!$I$27,M305=phu!$I$28,M305=phu!$I$29,M305=phu!$I$30,M305=phu!$I$31),"Cam Phú",""),IF(OR(M305=phu!$I$32,M305=phu!$I$33,M305=phu!$I$34,M305=phu!$I$35,M305=phu!$I$36,M305=phu!$I$37),"Cam Lộc",""),IF(OR(M305=phu!$I$38,M305=phu!$I$39,M305=phu!$I$40,M305=phu!$I$41,M305=phu!$I$42,M305=phu!$I$43,M305=phu!$I$44),"Cam Thuận",""),IF(OR(M305=phu!$I$45,M305=phu!$I$46,M305=phu!$I$47,M305=phu!$I$48,M305=phu!$I$49,M305=phu!$I$50,M305=phu!$I$51,M305=phu!$I$52,M305=phu!$I$53),"Cam Linh",""),IF(OR(M305=phu!$I$54,M305=phu!$I$55,M305=phu!$I$56,M305=phu!$I$57,M305=phu!$I$58,M305=phu!$I$59,M305=phu!$I$60,M305=phu!$I$61,M305=phu!$I$62),"Cam Lợi",""),IF(OR(M305=phu!$I$63,M305=phu!$I$64,M305=phu!$I$65,M305=phu!$I$66,M305=phu!$I$67,M305=phu!$I$68,M305=phu!$I$69,M305=phu!$I$70,M305=phu!$I$71),"Ba Ngòi",""),IF(OR(M305=phu!$I$72,M305=phu!$I$73,M305=phu!$I$74,M305=phu!$I$75,M305=phu!$I$76,M305=phu!$I$77,M305=phu!$I$78),"Cam Phước Đông",""),IF(OR(M305=phu!$I$79,M305=phu!$I$80,M305=phu!$I$81,M305=phu!$I$82,M305=phu!$I$83,M305=phu!$I$84),"Cam Thịnh Đông",""),IF(OR(M305=phu!$I$85,M305=phu!$I$86,M305=phu!$I$87,M305=phu!$I$88),"Cam Thịnh Tây",""),IF(OR(M305=phu!$I$89,M305=phu!$I$90),"Cam Lập",""),IF(OR(M305=phu!$I$91,M305=phu!$I$92,M305=phu!$I$93),"Cam Bình",""),IF(OR(M305=phu!$I$94,M305=phu!$I$95,M305=phu!$I$96,M305=phu!$I$97,M305=phu!$I$98,M305=phu!$I$99,M305=phu!$I$100),"Huyện khác",""),IF(OR(M305=phu!$I$101,M305=phu!$I$102),"Tỉnh khác",""))</f>
        <v/>
      </c>
      <c r="O305" s="829" t="str">
        <f t="shared" si="24"/>
        <v/>
      </c>
      <c r="P305" s="254"/>
      <c r="Q305" s="254"/>
      <c r="R305" s="254"/>
      <c r="S305" s="254"/>
      <c r="T305" s="254"/>
      <c r="U305" s="254"/>
      <c r="V305" s="254"/>
      <c r="W305" s="254"/>
      <c r="Y305" s="246" t="str">
        <f t="shared" si="25"/>
        <v/>
      </c>
      <c r="Z305" s="247" t="str">
        <f t="shared" si="29"/>
        <v/>
      </c>
      <c r="AA305" s="246" t="str">
        <f t="shared" si="26"/>
        <v/>
      </c>
    </row>
    <row r="306" spans="1:27" ht="18" customHeight="1" x14ac:dyDescent="0.25">
      <c r="A306" s="248" t="str">
        <f t="shared" si="27"/>
        <v/>
      </c>
      <c r="B306" s="249" t="str">
        <f t="shared" si="28"/>
        <v/>
      </c>
      <c r="C306" s="250"/>
      <c r="D306" s="251"/>
      <c r="E306" s="241"/>
      <c r="F306" s="252"/>
      <c r="G306" s="252"/>
      <c r="H306" s="253"/>
      <c r="I306" s="250"/>
      <c r="J306" s="250"/>
      <c r="K306" s="270"/>
      <c r="L306" s="250"/>
      <c r="M306" s="250"/>
      <c r="N306" s="540" t="str">
        <f>CONCATENATE(IF(OR(M306=phu!$I$1,M306=phu!$I$2,M306=phu!$I$3),"Cam Thành Nam",""),IF(OR(M306=phu!$I$4,M306=phu!$I$5,M306=phu!$I$6,M306=phu!$I$7,M306=phu!$I$8,M306=phu!$I$9,M306=phu!$I$10,M306=phu!$I$11,M306=phu!$I$12,M306=phu!$I$13,M306=phu!$I$14),"Cam Nghĩa",""),IF(OR(M306=phu!$I$15,M306=phu!$I$16,M306=phu!$I$17,M306=phu!$I$18,M306=phu!$I$19,M306=phu!$I$20,M306=phu!$I$21),"Cam Phúc Bắc",""),IF(OR(M306=phu!$I$22,M306=phu!$I$23,M306=phu!$I$24,M306=phu!$I$25),"Cam Phúc Nam",""),IF(OR(M306=phu!$I$26,M306=phu!$I$27,M306=phu!$I$28,M306=phu!$I$29,M306=phu!$I$30,M306=phu!$I$31),"Cam Phú",""),IF(OR(M306=phu!$I$32,M306=phu!$I$33,M306=phu!$I$34,M306=phu!$I$35,M306=phu!$I$36,M306=phu!$I$37),"Cam Lộc",""),IF(OR(M306=phu!$I$38,M306=phu!$I$39,M306=phu!$I$40,M306=phu!$I$41,M306=phu!$I$42,M306=phu!$I$43,M306=phu!$I$44),"Cam Thuận",""),IF(OR(M306=phu!$I$45,M306=phu!$I$46,M306=phu!$I$47,M306=phu!$I$48,M306=phu!$I$49,M306=phu!$I$50,M306=phu!$I$51,M306=phu!$I$52,M306=phu!$I$53),"Cam Linh",""),IF(OR(M306=phu!$I$54,M306=phu!$I$55,M306=phu!$I$56,M306=phu!$I$57,M306=phu!$I$58,M306=phu!$I$59,M306=phu!$I$60,M306=phu!$I$61,M306=phu!$I$62),"Cam Lợi",""),IF(OR(M306=phu!$I$63,M306=phu!$I$64,M306=phu!$I$65,M306=phu!$I$66,M306=phu!$I$67,M306=phu!$I$68,M306=phu!$I$69,M306=phu!$I$70,M306=phu!$I$71),"Ba Ngòi",""),IF(OR(M306=phu!$I$72,M306=phu!$I$73,M306=phu!$I$74,M306=phu!$I$75,M306=phu!$I$76,M306=phu!$I$77,M306=phu!$I$78),"Cam Phước Đông",""),IF(OR(M306=phu!$I$79,M306=phu!$I$80,M306=phu!$I$81,M306=phu!$I$82,M306=phu!$I$83,M306=phu!$I$84),"Cam Thịnh Đông",""),IF(OR(M306=phu!$I$85,M306=phu!$I$86,M306=phu!$I$87,M306=phu!$I$88),"Cam Thịnh Tây",""),IF(OR(M306=phu!$I$89,M306=phu!$I$90),"Cam Lập",""),IF(OR(M306=phu!$I$91,M306=phu!$I$92,M306=phu!$I$93),"Cam Bình",""),IF(OR(M306=phu!$I$94,M306=phu!$I$95,M306=phu!$I$96,M306=phu!$I$97,M306=phu!$I$98,M306=phu!$I$99,M306=phu!$I$100),"Huyện khác",""),IF(OR(M306=phu!$I$101,M306=phu!$I$102),"Tỉnh khác",""))</f>
        <v/>
      </c>
      <c r="O306" s="829" t="str">
        <f t="shared" si="24"/>
        <v/>
      </c>
      <c r="P306" s="254"/>
      <c r="Q306" s="254"/>
      <c r="R306" s="254"/>
      <c r="S306" s="254"/>
      <c r="T306" s="254"/>
      <c r="U306" s="254"/>
      <c r="V306" s="254"/>
      <c r="W306" s="254"/>
      <c r="Y306" s="246" t="str">
        <f t="shared" si="25"/>
        <v/>
      </c>
      <c r="Z306" s="247" t="str">
        <f t="shared" si="29"/>
        <v/>
      </c>
      <c r="AA306" s="246" t="str">
        <f t="shared" si="26"/>
        <v/>
      </c>
    </row>
    <row r="307" spans="1:27" ht="18" customHeight="1" x14ac:dyDescent="0.25">
      <c r="A307" s="248" t="str">
        <f t="shared" si="27"/>
        <v/>
      </c>
      <c r="B307" s="249" t="str">
        <f t="shared" si="28"/>
        <v/>
      </c>
      <c r="C307" s="250"/>
      <c r="D307" s="251"/>
      <c r="E307" s="241"/>
      <c r="F307" s="252"/>
      <c r="G307" s="252"/>
      <c r="H307" s="253"/>
      <c r="I307" s="250"/>
      <c r="J307" s="250"/>
      <c r="K307" s="270"/>
      <c r="L307" s="250"/>
      <c r="M307" s="250"/>
      <c r="N307" s="540" t="str">
        <f>CONCATENATE(IF(OR(M307=phu!$I$1,M307=phu!$I$2,M307=phu!$I$3),"Cam Thành Nam",""),IF(OR(M307=phu!$I$4,M307=phu!$I$5,M307=phu!$I$6,M307=phu!$I$7,M307=phu!$I$8,M307=phu!$I$9,M307=phu!$I$10,M307=phu!$I$11,M307=phu!$I$12,M307=phu!$I$13,M307=phu!$I$14),"Cam Nghĩa",""),IF(OR(M307=phu!$I$15,M307=phu!$I$16,M307=phu!$I$17,M307=phu!$I$18,M307=phu!$I$19,M307=phu!$I$20,M307=phu!$I$21),"Cam Phúc Bắc",""),IF(OR(M307=phu!$I$22,M307=phu!$I$23,M307=phu!$I$24,M307=phu!$I$25),"Cam Phúc Nam",""),IF(OR(M307=phu!$I$26,M307=phu!$I$27,M307=phu!$I$28,M307=phu!$I$29,M307=phu!$I$30,M307=phu!$I$31),"Cam Phú",""),IF(OR(M307=phu!$I$32,M307=phu!$I$33,M307=phu!$I$34,M307=phu!$I$35,M307=phu!$I$36,M307=phu!$I$37),"Cam Lộc",""),IF(OR(M307=phu!$I$38,M307=phu!$I$39,M307=phu!$I$40,M307=phu!$I$41,M307=phu!$I$42,M307=phu!$I$43,M307=phu!$I$44),"Cam Thuận",""),IF(OR(M307=phu!$I$45,M307=phu!$I$46,M307=phu!$I$47,M307=phu!$I$48,M307=phu!$I$49,M307=phu!$I$50,M307=phu!$I$51,M307=phu!$I$52,M307=phu!$I$53),"Cam Linh",""),IF(OR(M307=phu!$I$54,M307=phu!$I$55,M307=phu!$I$56,M307=phu!$I$57,M307=phu!$I$58,M307=phu!$I$59,M307=phu!$I$60,M307=phu!$I$61,M307=phu!$I$62),"Cam Lợi",""),IF(OR(M307=phu!$I$63,M307=phu!$I$64,M307=phu!$I$65,M307=phu!$I$66,M307=phu!$I$67,M307=phu!$I$68,M307=phu!$I$69,M307=phu!$I$70,M307=phu!$I$71),"Ba Ngòi",""),IF(OR(M307=phu!$I$72,M307=phu!$I$73,M307=phu!$I$74,M307=phu!$I$75,M307=phu!$I$76,M307=phu!$I$77,M307=phu!$I$78),"Cam Phước Đông",""),IF(OR(M307=phu!$I$79,M307=phu!$I$80,M307=phu!$I$81,M307=phu!$I$82,M307=phu!$I$83,M307=phu!$I$84),"Cam Thịnh Đông",""),IF(OR(M307=phu!$I$85,M307=phu!$I$86,M307=phu!$I$87,M307=phu!$I$88),"Cam Thịnh Tây",""),IF(OR(M307=phu!$I$89,M307=phu!$I$90),"Cam Lập",""),IF(OR(M307=phu!$I$91,M307=phu!$I$92,M307=phu!$I$93),"Cam Bình",""),IF(OR(M307=phu!$I$94,M307=phu!$I$95,M307=phu!$I$96,M307=phu!$I$97,M307=phu!$I$98,M307=phu!$I$99,M307=phu!$I$100),"Huyện khác",""),IF(OR(M307=phu!$I$101,M307=phu!$I$102),"Tỉnh khác",""))</f>
        <v/>
      </c>
      <c r="O307" s="829" t="str">
        <f t="shared" si="24"/>
        <v/>
      </c>
      <c r="P307" s="254"/>
      <c r="Q307" s="254"/>
      <c r="R307" s="254"/>
      <c r="S307" s="254"/>
      <c r="T307" s="254"/>
      <c r="U307" s="254"/>
      <c r="V307" s="254"/>
      <c r="W307" s="254"/>
      <c r="Y307" s="246" t="str">
        <f t="shared" si="25"/>
        <v/>
      </c>
      <c r="Z307" s="247" t="str">
        <f t="shared" si="29"/>
        <v/>
      </c>
      <c r="AA307" s="246" t="str">
        <f t="shared" si="26"/>
        <v/>
      </c>
    </row>
    <row r="308" spans="1:27" ht="18" customHeight="1" x14ac:dyDescent="0.25">
      <c r="A308" s="248" t="str">
        <f t="shared" si="27"/>
        <v/>
      </c>
      <c r="B308" s="249" t="str">
        <f t="shared" si="28"/>
        <v/>
      </c>
      <c r="C308" s="250"/>
      <c r="D308" s="251"/>
      <c r="E308" s="241"/>
      <c r="F308" s="252"/>
      <c r="G308" s="252"/>
      <c r="H308" s="253"/>
      <c r="I308" s="250"/>
      <c r="J308" s="250"/>
      <c r="K308" s="270"/>
      <c r="L308" s="250"/>
      <c r="M308" s="250"/>
      <c r="N308" s="540" t="str">
        <f>CONCATENATE(IF(OR(M308=phu!$I$1,M308=phu!$I$2,M308=phu!$I$3),"Cam Thành Nam",""),IF(OR(M308=phu!$I$4,M308=phu!$I$5,M308=phu!$I$6,M308=phu!$I$7,M308=phu!$I$8,M308=phu!$I$9,M308=phu!$I$10,M308=phu!$I$11,M308=phu!$I$12,M308=phu!$I$13,M308=phu!$I$14),"Cam Nghĩa",""),IF(OR(M308=phu!$I$15,M308=phu!$I$16,M308=phu!$I$17,M308=phu!$I$18,M308=phu!$I$19,M308=phu!$I$20,M308=phu!$I$21),"Cam Phúc Bắc",""),IF(OR(M308=phu!$I$22,M308=phu!$I$23,M308=phu!$I$24,M308=phu!$I$25),"Cam Phúc Nam",""),IF(OR(M308=phu!$I$26,M308=phu!$I$27,M308=phu!$I$28,M308=phu!$I$29,M308=phu!$I$30,M308=phu!$I$31),"Cam Phú",""),IF(OR(M308=phu!$I$32,M308=phu!$I$33,M308=phu!$I$34,M308=phu!$I$35,M308=phu!$I$36,M308=phu!$I$37),"Cam Lộc",""),IF(OR(M308=phu!$I$38,M308=phu!$I$39,M308=phu!$I$40,M308=phu!$I$41,M308=phu!$I$42,M308=phu!$I$43,M308=phu!$I$44),"Cam Thuận",""),IF(OR(M308=phu!$I$45,M308=phu!$I$46,M308=phu!$I$47,M308=phu!$I$48,M308=phu!$I$49,M308=phu!$I$50,M308=phu!$I$51,M308=phu!$I$52,M308=phu!$I$53),"Cam Linh",""),IF(OR(M308=phu!$I$54,M308=phu!$I$55,M308=phu!$I$56,M308=phu!$I$57,M308=phu!$I$58,M308=phu!$I$59,M308=phu!$I$60,M308=phu!$I$61,M308=phu!$I$62),"Cam Lợi",""),IF(OR(M308=phu!$I$63,M308=phu!$I$64,M308=phu!$I$65,M308=phu!$I$66,M308=phu!$I$67,M308=phu!$I$68,M308=phu!$I$69,M308=phu!$I$70,M308=phu!$I$71),"Ba Ngòi",""),IF(OR(M308=phu!$I$72,M308=phu!$I$73,M308=phu!$I$74,M308=phu!$I$75,M308=phu!$I$76,M308=phu!$I$77,M308=phu!$I$78),"Cam Phước Đông",""),IF(OR(M308=phu!$I$79,M308=phu!$I$80,M308=phu!$I$81,M308=phu!$I$82,M308=phu!$I$83,M308=phu!$I$84),"Cam Thịnh Đông",""),IF(OR(M308=phu!$I$85,M308=phu!$I$86,M308=phu!$I$87,M308=phu!$I$88),"Cam Thịnh Tây",""),IF(OR(M308=phu!$I$89,M308=phu!$I$90),"Cam Lập",""),IF(OR(M308=phu!$I$91,M308=phu!$I$92,M308=phu!$I$93),"Cam Bình",""),IF(OR(M308=phu!$I$94,M308=phu!$I$95,M308=phu!$I$96,M308=phu!$I$97,M308=phu!$I$98,M308=phu!$I$99,M308=phu!$I$100),"Huyện khác",""),IF(OR(M308=phu!$I$101,M308=phu!$I$102),"Tỉnh khác",""))</f>
        <v/>
      </c>
      <c r="O308" s="829" t="str">
        <f t="shared" si="24"/>
        <v/>
      </c>
      <c r="P308" s="254"/>
      <c r="Q308" s="254"/>
      <c r="R308" s="254"/>
      <c r="S308" s="254"/>
      <c r="T308" s="254"/>
      <c r="U308" s="254"/>
      <c r="V308" s="254"/>
      <c r="W308" s="254"/>
      <c r="Y308" s="246" t="str">
        <f t="shared" si="25"/>
        <v/>
      </c>
      <c r="Z308" s="247" t="str">
        <f t="shared" si="29"/>
        <v/>
      </c>
      <c r="AA308" s="246" t="str">
        <f t="shared" si="26"/>
        <v/>
      </c>
    </row>
    <row r="309" spans="1:27" ht="18" customHeight="1" x14ac:dyDescent="0.25">
      <c r="A309" s="248" t="str">
        <f t="shared" si="27"/>
        <v/>
      </c>
      <c r="B309" s="249" t="str">
        <f t="shared" si="28"/>
        <v/>
      </c>
      <c r="C309" s="250"/>
      <c r="D309" s="251"/>
      <c r="E309" s="241"/>
      <c r="F309" s="252"/>
      <c r="G309" s="252"/>
      <c r="H309" s="253"/>
      <c r="I309" s="250"/>
      <c r="J309" s="250"/>
      <c r="K309" s="270"/>
      <c r="L309" s="250"/>
      <c r="M309" s="250"/>
      <c r="N309" s="540" t="str">
        <f>CONCATENATE(IF(OR(M309=phu!$I$1,M309=phu!$I$2,M309=phu!$I$3),"Cam Thành Nam",""),IF(OR(M309=phu!$I$4,M309=phu!$I$5,M309=phu!$I$6,M309=phu!$I$7,M309=phu!$I$8,M309=phu!$I$9,M309=phu!$I$10,M309=phu!$I$11,M309=phu!$I$12,M309=phu!$I$13,M309=phu!$I$14),"Cam Nghĩa",""),IF(OR(M309=phu!$I$15,M309=phu!$I$16,M309=phu!$I$17,M309=phu!$I$18,M309=phu!$I$19,M309=phu!$I$20,M309=phu!$I$21),"Cam Phúc Bắc",""),IF(OR(M309=phu!$I$22,M309=phu!$I$23,M309=phu!$I$24,M309=phu!$I$25),"Cam Phúc Nam",""),IF(OR(M309=phu!$I$26,M309=phu!$I$27,M309=phu!$I$28,M309=phu!$I$29,M309=phu!$I$30,M309=phu!$I$31),"Cam Phú",""),IF(OR(M309=phu!$I$32,M309=phu!$I$33,M309=phu!$I$34,M309=phu!$I$35,M309=phu!$I$36,M309=phu!$I$37),"Cam Lộc",""),IF(OR(M309=phu!$I$38,M309=phu!$I$39,M309=phu!$I$40,M309=phu!$I$41,M309=phu!$I$42,M309=phu!$I$43,M309=phu!$I$44),"Cam Thuận",""),IF(OR(M309=phu!$I$45,M309=phu!$I$46,M309=phu!$I$47,M309=phu!$I$48,M309=phu!$I$49,M309=phu!$I$50,M309=phu!$I$51,M309=phu!$I$52,M309=phu!$I$53),"Cam Linh",""),IF(OR(M309=phu!$I$54,M309=phu!$I$55,M309=phu!$I$56,M309=phu!$I$57,M309=phu!$I$58,M309=phu!$I$59,M309=phu!$I$60,M309=phu!$I$61,M309=phu!$I$62),"Cam Lợi",""),IF(OR(M309=phu!$I$63,M309=phu!$I$64,M309=phu!$I$65,M309=phu!$I$66,M309=phu!$I$67,M309=phu!$I$68,M309=phu!$I$69,M309=phu!$I$70,M309=phu!$I$71),"Ba Ngòi",""),IF(OR(M309=phu!$I$72,M309=phu!$I$73,M309=phu!$I$74,M309=phu!$I$75,M309=phu!$I$76,M309=phu!$I$77,M309=phu!$I$78),"Cam Phước Đông",""),IF(OR(M309=phu!$I$79,M309=phu!$I$80,M309=phu!$I$81,M309=phu!$I$82,M309=phu!$I$83,M309=phu!$I$84),"Cam Thịnh Đông",""),IF(OR(M309=phu!$I$85,M309=phu!$I$86,M309=phu!$I$87,M309=phu!$I$88),"Cam Thịnh Tây",""),IF(OR(M309=phu!$I$89,M309=phu!$I$90),"Cam Lập",""),IF(OR(M309=phu!$I$91,M309=phu!$I$92,M309=phu!$I$93),"Cam Bình",""),IF(OR(M309=phu!$I$94,M309=phu!$I$95,M309=phu!$I$96,M309=phu!$I$97,M309=phu!$I$98,M309=phu!$I$99,M309=phu!$I$100),"Huyện khác",""),IF(OR(M309=phu!$I$101,M309=phu!$I$102),"Tỉnh khác",""))</f>
        <v/>
      </c>
      <c r="O309" s="829" t="str">
        <f t="shared" si="24"/>
        <v/>
      </c>
      <c r="P309" s="254"/>
      <c r="Q309" s="254"/>
      <c r="R309" s="254"/>
      <c r="S309" s="254"/>
      <c r="T309" s="254"/>
      <c r="U309" s="254"/>
      <c r="V309" s="254"/>
      <c r="W309" s="254"/>
      <c r="Y309" s="246" t="str">
        <f t="shared" si="25"/>
        <v/>
      </c>
      <c r="Z309" s="247" t="str">
        <f t="shared" si="29"/>
        <v/>
      </c>
      <c r="AA309" s="246" t="str">
        <f t="shared" si="26"/>
        <v/>
      </c>
    </row>
    <row r="310" spans="1:27" ht="18" customHeight="1" x14ac:dyDescent="0.25">
      <c r="A310" s="248" t="str">
        <f t="shared" si="27"/>
        <v/>
      </c>
      <c r="B310" s="249" t="str">
        <f t="shared" si="28"/>
        <v/>
      </c>
      <c r="C310" s="250"/>
      <c r="D310" s="251"/>
      <c r="E310" s="241"/>
      <c r="F310" s="252"/>
      <c r="G310" s="252"/>
      <c r="H310" s="253"/>
      <c r="I310" s="250"/>
      <c r="J310" s="250"/>
      <c r="K310" s="270"/>
      <c r="L310" s="250"/>
      <c r="M310" s="250"/>
      <c r="N310" s="540" t="str">
        <f>CONCATENATE(IF(OR(M310=phu!$I$1,M310=phu!$I$2,M310=phu!$I$3),"Cam Thành Nam",""),IF(OR(M310=phu!$I$4,M310=phu!$I$5,M310=phu!$I$6,M310=phu!$I$7,M310=phu!$I$8,M310=phu!$I$9,M310=phu!$I$10,M310=phu!$I$11,M310=phu!$I$12,M310=phu!$I$13,M310=phu!$I$14),"Cam Nghĩa",""),IF(OR(M310=phu!$I$15,M310=phu!$I$16,M310=phu!$I$17,M310=phu!$I$18,M310=phu!$I$19,M310=phu!$I$20,M310=phu!$I$21),"Cam Phúc Bắc",""),IF(OR(M310=phu!$I$22,M310=phu!$I$23,M310=phu!$I$24,M310=phu!$I$25),"Cam Phúc Nam",""),IF(OR(M310=phu!$I$26,M310=phu!$I$27,M310=phu!$I$28,M310=phu!$I$29,M310=phu!$I$30,M310=phu!$I$31),"Cam Phú",""),IF(OR(M310=phu!$I$32,M310=phu!$I$33,M310=phu!$I$34,M310=phu!$I$35,M310=phu!$I$36,M310=phu!$I$37),"Cam Lộc",""),IF(OR(M310=phu!$I$38,M310=phu!$I$39,M310=phu!$I$40,M310=phu!$I$41,M310=phu!$I$42,M310=phu!$I$43,M310=phu!$I$44),"Cam Thuận",""),IF(OR(M310=phu!$I$45,M310=phu!$I$46,M310=phu!$I$47,M310=phu!$I$48,M310=phu!$I$49,M310=phu!$I$50,M310=phu!$I$51,M310=phu!$I$52,M310=phu!$I$53),"Cam Linh",""),IF(OR(M310=phu!$I$54,M310=phu!$I$55,M310=phu!$I$56,M310=phu!$I$57,M310=phu!$I$58,M310=phu!$I$59,M310=phu!$I$60,M310=phu!$I$61,M310=phu!$I$62),"Cam Lợi",""),IF(OR(M310=phu!$I$63,M310=phu!$I$64,M310=phu!$I$65,M310=phu!$I$66,M310=phu!$I$67,M310=phu!$I$68,M310=phu!$I$69,M310=phu!$I$70,M310=phu!$I$71),"Ba Ngòi",""),IF(OR(M310=phu!$I$72,M310=phu!$I$73,M310=phu!$I$74,M310=phu!$I$75,M310=phu!$I$76,M310=phu!$I$77,M310=phu!$I$78),"Cam Phước Đông",""),IF(OR(M310=phu!$I$79,M310=phu!$I$80,M310=phu!$I$81,M310=phu!$I$82,M310=phu!$I$83,M310=phu!$I$84),"Cam Thịnh Đông",""),IF(OR(M310=phu!$I$85,M310=phu!$I$86,M310=phu!$I$87,M310=phu!$I$88),"Cam Thịnh Tây",""),IF(OR(M310=phu!$I$89,M310=phu!$I$90),"Cam Lập",""),IF(OR(M310=phu!$I$91,M310=phu!$I$92,M310=phu!$I$93),"Cam Bình",""),IF(OR(M310=phu!$I$94,M310=phu!$I$95,M310=phu!$I$96,M310=phu!$I$97,M310=phu!$I$98,M310=phu!$I$99,M310=phu!$I$100),"Huyện khác",""),IF(OR(M310=phu!$I$101,M310=phu!$I$102),"Tỉnh khác",""))</f>
        <v/>
      </c>
      <c r="O310" s="829" t="str">
        <f t="shared" si="24"/>
        <v/>
      </c>
      <c r="P310" s="254"/>
      <c r="Q310" s="254"/>
      <c r="R310" s="254"/>
      <c r="S310" s="254"/>
      <c r="T310" s="254"/>
      <c r="U310" s="254"/>
      <c r="V310" s="254"/>
      <c r="W310" s="254"/>
      <c r="Y310" s="246" t="str">
        <f t="shared" si="25"/>
        <v/>
      </c>
      <c r="Z310" s="247" t="str">
        <f t="shared" si="29"/>
        <v/>
      </c>
      <c r="AA310" s="246" t="str">
        <f t="shared" si="26"/>
        <v/>
      </c>
    </row>
    <row r="311" spans="1:27" ht="18" customHeight="1" x14ac:dyDescent="0.25">
      <c r="A311" s="248" t="str">
        <f t="shared" si="27"/>
        <v/>
      </c>
      <c r="B311" s="249" t="str">
        <f t="shared" si="28"/>
        <v/>
      </c>
      <c r="C311" s="250"/>
      <c r="D311" s="251"/>
      <c r="E311" s="241"/>
      <c r="F311" s="252"/>
      <c r="G311" s="252"/>
      <c r="H311" s="253"/>
      <c r="I311" s="250"/>
      <c r="J311" s="250"/>
      <c r="K311" s="270"/>
      <c r="L311" s="250"/>
      <c r="M311" s="250"/>
      <c r="N311" s="540" t="str">
        <f>CONCATENATE(IF(OR(M311=phu!$I$1,M311=phu!$I$2,M311=phu!$I$3),"Cam Thành Nam",""),IF(OR(M311=phu!$I$4,M311=phu!$I$5,M311=phu!$I$6,M311=phu!$I$7,M311=phu!$I$8,M311=phu!$I$9,M311=phu!$I$10,M311=phu!$I$11,M311=phu!$I$12,M311=phu!$I$13,M311=phu!$I$14),"Cam Nghĩa",""),IF(OR(M311=phu!$I$15,M311=phu!$I$16,M311=phu!$I$17,M311=phu!$I$18,M311=phu!$I$19,M311=phu!$I$20,M311=phu!$I$21),"Cam Phúc Bắc",""),IF(OR(M311=phu!$I$22,M311=phu!$I$23,M311=phu!$I$24,M311=phu!$I$25),"Cam Phúc Nam",""),IF(OR(M311=phu!$I$26,M311=phu!$I$27,M311=phu!$I$28,M311=phu!$I$29,M311=phu!$I$30,M311=phu!$I$31),"Cam Phú",""),IF(OR(M311=phu!$I$32,M311=phu!$I$33,M311=phu!$I$34,M311=phu!$I$35,M311=phu!$I$36,M311=phu!$I$37),"Cam Lộc",""),IF(OR(M311=phu!$I$38,M311=phu!$I$39,M311=phu!$I$40,M311=phu!$I$41,M311=phu!$I$42,M311=phu!$I$43,M311=phu!$I$44),"Cam Thuận",""),IF(OR(M311=phu!$I$45,M311=phu!$I$46,M311=phu!$I$47,M311=phu!$I$48,M311=phu!$I$49,M311=phu!$I$50,M311=phu!$I$51,M311=phu!$I$52,M311=phu!$I$53),"Cam Linh",""),IF(OR(M311=phu!$I$54,M311=phu!$I$55,M311=phu!$I$56,M311=phu!$I$57,M311=phu!$I$58,M311=phu!$I$59,M311=phu!$I$60,M311=phu!$I$61,M311=phu!$I$62),"Cam Lợi",""),IF(OR(M311=phu!$I$63,M311=phu!$I$64,M311=phu!$I$65,M311=phu!$I$66,M311=phu!$I$67,M311=phu!$I$68,M311=phu!$I$69,M311=phu!$I$70,M311=phu!$I$71),"Ba Ngòi",""),IF(OR(M311=phu!$I$72,M311=phu!$I$73,M311=phu!$I$74,M311=phu!$I$75,M311=phu!$I$76,M311=phu!$I$77,M311=phu!$I$78),"Cam Phước Đông",""),IF(OR(M311=phu!$I$79,M311=phu!$I$80,M311=phu!$I$81,M311=phu!$I$82,M311=phu!$I$83,M311=phu!$I$84),"Cam Thịnh Đông",""),IF(OR(M311=phu!$I$85,M311=phu!$I$86,M311=phu!$I$87,M311=phu!$I$88),"Cam Thịnh Tây",""),IF(OR(M311=phu!$I$89,M311=phu!$I$90),"Cam Lập",""),IF(OR(M311=phu!$I$91,M311=phu!$I$92,M311=phu!$I$93),"Cam Bình",""),IF(OR(M311=phu!$I$94,M311=phu!$I$95,M311=phu!$I$96,M311=phu!$I$97,M311=phu!$I$98,M311=phu!$I$99,M311=phu!$I$100),"Huyện khác",""),IF(OR(M311=phu!$I$101,M311=phu!$I$102),"Tỉnh khác",""))</f>
        <v/>
      </c>
      <c r="O311" s="829" t="str">
        <f t="shared" si="24"/>
        <v/>
      </c>
      <c r="P311" s="254"/>
      <c r="Q311" s="254"/>
      <c r="R311" s="254"/>
      <c r="S311" s="254"/>
      <c r="T311" s="254"/>
      <c r="U311" s="254"/>
      <c r="V311" s="254"/>
      <c r="W311" s="254"/>
      <c r="Y311" s="246" t="str">
        <f t="shared" si="25"/>
        <v/>
      </c>
      <c r="Z311" s="247" t="str">
        <f t="shared" si="29"/>
        <v/>
      </c>
      <c r="AA311" s="246" t="str">
        <f t="shared" si="26"/>
        <v/>
      </c>
    </row>
    <row r="312" spans="1:27" ht="18" customHeight="1" x14ac:dyDescent="0.25">
      <c r="A312" s="248" t="str">
        <f t="shared" si="27"/>
        <v/>
      </c>
      <c r="B312" s="249" t="str">
        <f t="shared" si="28"/>
        <v/>
      </c>
      <c r="C312" s="250"/>
      <c r="D312" s="251"/>
      <c r="E312" s="241"/>
      <c r="F312" s="252"/>
      <c r="G312" s="252"/>
      <c r="H312" s="253"/>
      <c r="I312" s="250"/>
      <c r="J312" s="250"/>
      <c r="K312" s="270"/>
      <c r="L312" s="250"/>
      <c r="M312" s="250"/>
      <c r="N312" s="540" t="str">
        <f>CONCATENATE(IF(OR(M312=phu!$I$1,M312=phu!$I$2,M312=phu!$I$3),"Cam Thành Nam",""),IF(OR(M312=phu!$I$4,M312=phu!$I$5,M312=phu!$I$6,M312=phu!$I$7,M312=phu!$I$8,M312=phu!$I$9,M312=phu!$I$10,M312=phu!$I$11,M312=phu!$I$12,M312=phu!$I$13,M312=phu!$I$14),"Cam Nghĩa",""),IF(OR(M312=phu!$I$15,M312=phu!$I$16,M312=phu!$I$17,M312=phu!$I$18,M312=phu!$I$19,M312=phu!$I$20,M312=phu!$I$21),"Cam Phúc Bắc",""),IF(OR(M312=phu!$I$22,M312=phu!$I$23,M312=phu!$I$24,M312=phu!$I$25),"Cam Phúc Nam",""),IF(OR(M312=phu!$I$26,M312=phu!$I$27,M312=phu!$I$28,M312=phu!$I$29,M312=phu!$I$30,M312=phu!$I$31),"Cam Phú",""),IF(OR(M312=phu!$I$32,M312=phu!$I$33,M312=phu!$I$34,M312=phu!$I$35,M312=phu!$I$36,M312=phu!$I$37),"Cam Lộc",""),IF(OR(M312=phu!$I$38,M312=phu!$I$39,M312=phu!$I$40,M312=phu!$I$41,M312=phu!$I$42,M312=phu!$I$43,M312=phu!$I$44),"Cam Thuận",""),IF(OR(M312=phu!$I$45,M312=phu!$I$46,M312=phu!$I$47,M312=phu!$I$48,M312=phu!$I$49,M312=phu!$I$50,M312=phu!$I$51,M312=phu!$I$52,M312=phu!$I$53),"Cam Linh",""),IF(OR(M312=phu!$I$54,M312=phu!$I$55,M312=phu!$I$56,M312=phu!$I$57,M312=phu!$I$58,M312=phu!$I$59,M312=phu!$I$60,M312=phu!$I$61,M312=phu!$I$62),"Cam Lợi",""),IF(OR(M312=phu!$I$63,M312=phu!$I$64,M312=phu!$I$65,M312=phu!$I$66,M312=phu!$I$67,M312=phu!$I$68,M312=phu!$I$69,M312=phu!$I$70,M312=phu!$I$71),"Ba Ngòi",""),IF(OR(M312=phu!$I$72,M312=phu!$I$73,M312=phu!$I$74,M312=phu!$I$75,M312=phu!$I$76,M312=phu!$I$77,M312=phu!$I$78),"Cam Phước Đông",""),IF(OR(M312=phu!$I$79,M312=phu!$I$80,M312=phu!$I$81,M312=phu!$I$82,M312=phu!$I$83,M312=phu!$I$84),"Cam Thịnh Đông",""),IF(OR(M312=phu!$I$85,M312=phu!$I$86,M312=phu!$I$87,M312=phu!$I$88),"Cam Thịnh Tây",""),IF(OR(M312=phu!$I$89,M312=phu!$I$90),"Cam Lập",""),IF(OR(M312=phu!$I$91,M312=phu!$I$92,M312=phu!$I$93),"Cam Bình",""),IF(OR(M312=phu!$I$94,M312=phu!$I$95,M312=phu!$I$96,M312=phu!$I$97,M312=phu!$I$98,M312=phu!$I$99,M312=phu!$I$100),"Huyện khác",""),IF(OR(M312=phu!$I$101,M312=phu!$I$102),"Tỉnh khác",""))</f>
        <v/>
      </c>
      <c r="O312" s="829" t="str">
        <f t="shared" si="24"/>
        <v/>
      </c>
      <c r="P312" s="254"/>
      <c r="Q312" s="254"/>
      <c r="R312" s="254"/>
      <c r="S312" s="254"/>
      <c r="T312" s="254"/>
      <c r="U312" s="254"/>
      <c r="V312" s="254"/>
      <c r="W312" s="254"/>
      <c r="Y312" s="246" t="str">
        <f t="shared" si="25"/>
        <v/>
      </c>
      <c r="Z312" s="247" t="str">
        <f t="shared" si="29"/>
        <v/>
      </c>
      <c r="AA312" s="246" t="str">
        <f t="shared" si="26"/>
        <v/>
      </c>
    </row>
    <row r="313" spans="1:27" ht="18" customHeight="1" x14ac:dyDescent="0.25">
      <c r="A313" s="248" t="str">
        <f t="shared" si="27"/>
        <v/>
      </c>
      <c r="B313" s="249" t="str">
        <f t="shared" si="28"/>
        <v/>
      </c>
      <c r="C313" s="250"/>
      <c r="D313" s="251"/>
      <c r="E313" s="241"/>
      <c r="F313" s="252"/>
      <c r="G313" s="252"/>
      <c r="H313" s="253"/>
      <c r="I313" s="250"/>
      <c r="J313" s="250"/>
      <c r="K313" s="270"/>
      <c r="L313" s="250"/>
      <c r="M313" s="250"/>
      <c r="N313" s="540" t="str">
        <f>CONCATENATE(IF(OR(M313=phu!$I$1,M313=phu!$I$2,M313=phu!$I$3),"Cam Thành Nam",""),IF(OR(M313=phu!$I$4,M313=phu!$I$5,M313=phu!$I$6,M313=phu!$I$7,M313=phu!$I$8,M313=phu!$I$9,M313=phu!$I$10,M313=phu!$I$11,M313=phu!$I$12,M313=phu!$I$13,M313=phu!$I$14),"Cam Nghĩa",""),IF(OR(M313=phu!$I$15,M313=phu!$I$16,M313=phu!$I$17,M313=phu!$I$18,M313=phu!$I$19,M313=phu!$I$20,M313=phu!$I$21),"Cam Phúc Bắc",""),IF(OR(M313=phu!$I$22,M313=phu!$I$23,M313=phu!$I$24,M313=phu!$I$25),"Cam Phúc Nam",""),IF(OR(M313=phu!$I$26,M313=phu!$I$27,M313=phu!$I$28,M313=phu!$I$29,M313=phu!$I$30,M313=phu!$I$31),"Cam Phú",""),IF(OR(M313=phu!$I$32,M313=phu!$I$33,M313=phu!$I$34,M313=phu!$I$35,M313=phu!$I$36,M313=phu!$I$37),"Cam Lộc",""),IF(OR(M313=phu!$I$38,M313=phu!$I$39,M313=phu!$I$40,M313=phu!$I$41,M313=phu!$I$42,M313=phu!$I$43,M313=phu!$I$44),"Cam Thuận",""),IF(OR(M313=phu!$I$45,M313=phu!$I$46,M313=phu!$I$47,M313=phu!$I$48,M313=phu!$I$49,M313=phu!$I$50,M313=phu!$I$51,M313=phu!$I$52,M313=phu!$I$53),"Cam Linh",""),IF(OR(M313=phu!$I$54,M313=phu!$I$55,M313=phu!$I$56,M313=phu!$I$57,M313=phu!$I$58,M313=phu!$I$59,M313=phu!$I$60,M313=phu!$I$61,M313=phu!$I$62),"Cam Lợi",""),IF(OR(M313=phu!$I$63,M313=phu!$I$64,M313=phu!$I$65,M313=phu!$I$66,M313=phu!$I$67,M313=phu!$I$68,M313=phu!$I$69,M313=phu!$I$70,M313=phu!$I$71),"Ba Ngòi",""),IF(OR(M313=phu!$I$72,M313=phu!$I$73,M313=phu!$I$74,M313=phu!$I$75,M313=phu!$I$76,M313=phu!$I$77,M313=phu!$I$78),"Cam Phước Đông",""),IF(OR(M313=phu!$I$79,M313=phu!$I$80,M313=phu!$I$81,M313=phu!$I$82,M313=phu!$I$83,M313=phu!$I$84),"Cam Thịnh Đông",""),IF(OR(M313=phu!$I$85,M313=phu!$I$86,M313=phu!$I$87,M313=phu!$I$88),"Cam Thịnh Tây",""),IF(OR(M313=phu!$I$89,M313=phu!$I$90),"Cam Lập",""),IF(OR(M313=phu!$I$91,M313=phu!$I$92,M313=phu!$I$93),"Cam Bình",""),IF(OR(M313=phu!$I$94,M313=phu!$I$95,M313=phu!$I$96,M313=phu!$I$97,M313=phu!$I$98,M313=phu!$I$99,M313=phu!$I$100),"Huyện khác",""),IF(OR(M313=phu!$I$101,M313=phu!$I$102),"Tỉnh khác",""))</f>
        <v/>
      </c>
      <c r="O313" s="829" t="str">
        <f t="shared" si="24"/>
        <v/>
      </c>
      <c r="P313" s="254"/>
      <c r="Q313" s="254"/>
      <c r="R313" s="254"/>
      <c r="S313" s="254"/>
      <c r="T313" s="254"/>
      <c r="U313" s="254"/>
      <c r="V313" s="254"/>
      <c r="W313" s="254"/>
      <c r="Y313" s="246" t="str">
        <f t="shared" si="25"/>
        <v/>
      </c>
      <c r="Z313" s="247" t="str">
        <f t="shared" si="29"/>
        <v/>
      </c>
      <c r="AA313" s="246" t="str">
        <f t="shared" si="26"/>
        <v/>
      </c>
    </row>
    <row r="314" spans="1:27" ht="18" customHeight="1" x14ac:dyDescent="0.25">
      <c r="A314" s="248" t="str">
        <f t="shared" si="27"/>
        <v/>
      </c>
      <c r="B314" s="249" t="str">
        <f t="shared" si="28"/>
        <v/>
      </c>
      <c r="C314" s="250"/>
      <c r="D314" s="251"/>
      <c r="E314" s="241"/>
      <c r="F314" s="252"/>
      <c r="G314" s="252"/>
      <c r="H314" s="253"/>
      <c r="I314" s="250"/>
      <c r="J314" s="250"/>
      <c r="K314" s="270"/>
      <c r="L314" s="250"/>
      <c r="M314" s="250"/>
      <c r="N314" s="540" t="str">
        <f>CONCATENATE(IF(OR(M314=phu!$I$1,M314=phu!$I$2,M314=phu!$I$3),"Cam Thành Nam",""),IF(OR(M314=phu!$I$4,M314=phu!$I$5,M314=phu!$I$6,M314=phu!$I$7,M314=phu!$I$8,M314=phu!$I$9,M314=phu!$I$10,M314=phu!$I$11,M314=phu!$I$12,M314=phu!$I$13,M314=phu!$I$14),"Cam Nghĩa",""),IF(OR(M314=phu!$I$15,M314=phu!$I$16,M314=phu!$I$17,M314=phu!$I$18,M314=phu!$I$19,M314=phu!$I$20,M314=phu!$I$21),"Cam Phúc Bắc",""),IF(OR(M314=phu!$I$22,M314=phu!$I$23,M314=phu!$I$24,M314=phu!$I$25),"Cam Phúc Nam",""),IF(OR(M314=phu!$I$26,M314=phu!$I$27,M314=phu!$I$28,M314=phu!$I$29,M314=phu!$I$30,M314=phu!$I$31),"Cam Phú",""),IF(OR(M314=phu!$I$32,M314=phu!$I$33,M314=phu!$I$34,M314=phu!$I$35,M314=phu!$I$36,M314=phu!$I$37),"Cam Lộc",""),IF(OR(M314=phu!$I$38,M314=phu!$I$39,M314=phu!$I$40,M314=phu!$I$41,M314=phu!$I$42,M314=phu!$I$43,M314=phu!$I$44),"Cam Thuận",""),IF(OR(M314=phu!$I$45,M314=phu!$I$46,M314=phu!$I$47,M314=phu!$I$48,M314=phu!$I$49,M314=phu!$I$50,M314=phu!$I$51,M314=phu!$I$52,M314=phu!$I$53),"Cam Linh",""),IF(OR(M314=phu!$I$54,M314=phu!$I$55,M314=phu!$I$56,M314=phu!$I$57,M314=phu!$I$58,M314=phu!$I$59,M314=phu!$I$60,M314=phu!$I$61,M314=phu!$I$62),"Cam Lợi",""),IF(OR(M314=phu!$I$63,M314=phu!$I$64,M314=phu!$I$65,M314=phu!$I$66,M314=phu!$I$67,M314=phu!$I$68,M314=phu!$I$69,M314=phu!$I$70,M314=phu!$I$71),"Ba Ngòi",""),IF(OR(M314=phu!$I$72,M314=phu!$I$73,M314=phu!$I$74,M314=phu!$I$75,M314=phu!$I$76,M314=phu!$I$77,M314=phu!$I$78),"Cam Phước Đông",""),IF(OR(M314=phu!$I$79,M314=phu!$I$80,M314=phu!$I$81,M314=phu!$I$82,M314=phu!$I$83,M314=phu!$I$84),"Cam Thịnh Đông",""),IF(OR(M314=phu!$I$85,M314=phu!$I$86,M314=phu!$I$87,M314=phu!$I$88),"Cam Thịnh Tây",""),IF(OR(M314=phu!$I$89,M314=phu!$I$90),"Cam Lập",""),IF(OR(M314=phu!$I$91,M314=phu!$I$92,M314=phu!$I$93),"Cam Bình",""),IF(OR(M314=phu!$I$94,M314=phu!$I$95,M314=phu!$I$96,M314=phu!$I$97,M314=phu!$I$98,M314=phu!$I$99,M314=phu!$I$100),"Huyện khác",""),IF(OR(M314=phu!$I$101,M314=phu!$I$102),"Tỉnh khác",""))</f>
        <v/>
      </c>
      <c r="O314" s="829" t="str">
        <f t="shared" si="24"/>
        <v/>
      </c>
      <c r="P314" s="254"/>
      <c r="Q314" s="254"/>
      <c r="R314" s="254"/>
      <c r="S314" s="254"/>
      <c r="T314" s="254"/>
      <c r="U314" s="254"/>
      <c r="V314" s="254"/>
      <c r="W314" s="254"/>
      <c r="Y314" s="246" t="str">
        <f t="shared" si="25"/>
        <v/>
      </c>
      <c r="Z314" s="247" t="str">
        <f t="shared" si="29"/>
        <v/>
      </c>
      <c r="AA314" s="246" t="str">
        <f t="shared" si="26"/>
        <v/>
      </c>
    </row>
    <row r="315" spans="1:27" ht="18" customHeight="1" x14ac:dyDescent="0.25">
      <c r="A315" s="248" t="str">
        <f t="shared" si="27"/>
        <v/>
      </c>
      <c r="B315" s="249" t="str">
        <f t="shared" si="28"/>
        <v/>
      </c>
      <c r="C315" s="250"/>
      <c r="D315" s="251"/>
      <c r="E315" s="241"/>
      <c r="F315" s="252"/>
      <c r="G315" s="252"/>
      <c r="H315" s="253"/>
      <c r="I315" s="250"/>
      <c r="J315" s="250"/>
      <c r="K315" s="270"/>
      <c r="L315" s="250"/>
      <c r="M315" s="250"/>
      <c r="N315" s="540" t="str">
        <f>CONCATENATE(IF(OR(M315=phu!$I$1,M315=phu!$I$2,M315=phu!$I$3),"Cam Thành Nam",""),IF(OR(M315=phu!$I$4,M315=phu!$I$5,M315=phu!$I$6,M315=phu!$I$7,M315=phu!$I$8,M315=phu!$I$9,M315=phu!$I$10,M315=phu!$I$11,M315=phu!$I$12,M315=phu!$I$13,M315=phu!$I$14),"Cam Nghĩa",""),IF(OR(M315=phu!$I$15,M315=phu!$I$16,M315=phu!$I$17,M315=phu!$I$18,M315=phu!$I$19,M315=phu!$I$20,M315=phu!$I$21),"Cam Phúc Bắc",""),IF(OR(M315=phu!$I$22,M315=phu!$I$23,M315=phu!$I$24,M315=phu!$I$25),"Cam Phúc Nam",""),IF(OR(M315=phu!$I$26,M315=phu!$I$27,M315=phu!$I$28,M315=phu!$I$29,M315=phu!$I$30,M315=phu!$I$31),"Cam Phú",""),IF(OR(M315=phu!$I$32,M315=phu!$I$33,M315=phu!$I$34,M315=phu!$I$35,M315=phu!$I$36,M315=phu!$I$37),"Cam Lộc",""),IF(OR(M315=phu!$I$38,M315=phu!$I$39,M315=phu!$I$40,M315=phu!$I$41,M315=phu!$I$42,M315=phu!$I$43,M315=phu!$I$44),"Cam Thuận",""),IF(OR(M315=phu!$I$45,M315=phu!$I$46,M315=phu!$I$47,M315=phu!$I$48,M315=phu!$I$49,M315=phu!$I$50,M315=phu!$I$51,M315=phu!$I$52,M315=phu!$I$53),"Cam Linh",""),IF(OR(M315=phu!$I$54,M315=phu!$I$55,M315=phu!$I$56,M315=phu!$I$57,M315=phu!$I$58,M315=phu!$I$59,M315=phu!$I$60,M315=phu!$I$61,M315=phu!$I$62),"Cam Lợi",""),IF(OR(M315=phu!$I$63,M315=phu!$I$64,M315=phu!$I$65,M315=phu!$I$66,M315=phu!$I$67,M315=phu!$I$68,M315=phu!$I$69,M315=phu!$I$70,M315=phu!$I$71),"Ba Ngòi",""),IF(OR(M315=phu!$I$72,M315=phu!$I$73,M315=phu!$I$74,M315=phu!$I$75,M315=phu!$I$76,M315=phu!$I$77,M315=phu!$I$78),"Cam Phước Đông",""),IF(OR(M315=phu!$I$79,M315=phu!$I$80,M315=phu!$I$81,M315=phu!$I$82,M315=phu!$I$83,M315=phu!$I$84),"Cam Thịnh Đông",""),IF(OR(M315=phu!$I$85,M315=phu!$I$86,M315=phu!$I$87,M315=phu!$I$88),"Cam Thịnh Tây",""),IF(OR(M315=phu!$I$89,M315=phu!$I$90),"Cam Lập",""),IF(OR(M315=phu!$I$91,M315=phu!$I$92,M315=phu!$I$93),"Cam Bình",""),IF(OR(M315=phu!$I$94,M315=phu!$I$95,M315=phu!$I$96,M315=phu!$I$97,M315=phu!$I$98,M315=phu!$I$99,M315=phu!$I$100),"Huyện khác",""),IF(OR(M315=phu!$I$101,M315=phu!$I$102),"Tỉnh khác",""))</f>
        <v/>
      </c>
      <c r="O315" s="829" t="str">
        <f t="shared" si="24"/>
        <v/>
      </c>
      <c r="P315" s="254"/>
      <c r="Q315" s="254"/>
      <c r="R315" s="254"/>
      <c r="S315" s="254"/>
      <c r="T315" s="254"/>
      <c r="U315" s="254"/>
      <c r="V315" s="254"/>
      <c r="W315" s="254"/>
      <c r="Y315" s="246" t="str">
        <f t="shared" si="25"/>
        <v/>
      </c>
      <c r="Z315" s="247" t="str">
        <f t="shared" si="29"/>
        <v/>
      </c>
      <c r="AA315" s="246" t="str">
        <f t="shared" si="26"/>
        <v/>
      </c>
    </row>
    <row r="316" spans="1:27" ht="18" customHeight="1" x14ac:dyDescent="0.25">
      <c r="A316" s="248" t="str">
        <f t="shared" si="27"/>
        <v/>
      </c>
      <c r="B316" s="249" t="str">
        <f t="shared" si="28"/>
        <v/>
      </c>
      <c r="C316" s="250"/>
      <c r="D316" s="251"/>
      <c r="E316" s="241"/>
      <c r="F316" s="252"/>
      <c r="G316" s="252"/>
      <c r="H316" s="253"/>
      <c r="I316" s="250"/>
      <c r="J316" s="250"/>
      <c r="K316" s="270"/>
      <c r="L316" s="250"/>
      <c r="M316" s="250"/>
      <c r="N316" s="540" t="str">
        <f>CONCATENATE(IF(OR(M316=phu!$I$1,M316=phu!$I$2,M316=phu!$I$3),"Cam Thành Nam",""),IF(OR(M316=phu!$I$4,M316=phu!$I$5,M316=phu!$I$6,M316=phu!$I$7,M316=phu!$I$8,M316=phu!$I$9,M316=phu!$I$10,M316=phu!$I$11,M316=phu!$I$12,M316=phu!$I$13,M316=phu!$I$14),"Cam Nghĩa",""),IF(OR(M316=phu!$I$15,M316=phu!$I$16,M316=phu!$I$17,M316=phu!$I$18,M316=phu!$I$19,M316=phu!$I$20,M316=phu!$I$21),"Cam Phúc Bắc",""),IF(OR(M316=phu!$I$22,M316=phu!$I$23,M316=phu!$I$24,M316=phu!$I$25),"Cam Phúc Nam",""),IF(OR(M316=phu!$I$26,M316=phu!$I$27,M316=phu!$I$28,M316=phu!$I$29,M316=phu!$I$30,M316=phu!$I$31),"Cam Phú",""),IF(OR(M316=phu!$I$32,M316=phu!$I$33,M316=phu!$I$34,M316=phu!$I$35,M316=phu!$I$36,M316=phu!$I$37),"Cam Lộc",""),IF(OR(M316=phu!$I$38,M316=phu!$I$39,M316=phu!$I$40,M316=phu!$I$41,M316=phu!$I$42,M316=phu!$I$43,M316=phu!$I$44),"Cam Thuận",""),IF(OR(M316=phu!$I$45,M316=phu!$I$46,M316=phu!$I$47,M316=phu!$I$48,M316=phu!$I$49,M316=phu!$I$50,M316=phu!$I$51,M316=phu!$I$52,M316=phu!$I$53),"Cam Linh",""),IF(OR(M316=phu!$I$54,M316=phu!$I$55,M316=phu!$I$56,M316=phu!$I$57,M316=phu!$I$58,M316=phu!$I$59,M316=phu!$I$60,M316=phu!$I$61,M316=phu!$I$62),"Cam Lợi",""),IF(OR(M316=phu!$I$63,M316=phu!$I$64,M316=phu!$I$65,M316=phu!$I$66,M316=phu!$I$67,M316=phu!$I$68,M316=phu!$I$69,M316=phu!$I$70,M316=phu!$I$71),"Ba Ngòi",""),IF(OR(M316=phu!$I$72,M316=phu!$I$73,M316=phu!$I$74,M316=phu!$I$75,M316=phu!$I$76,M316=phu!$I$77,M316=phu!$I$78),"Cam Phước Đông",""),IF(OR(M316=phu!$I$79,M316=phu!$I$80,M316=phu!$I$81,M316=phu!$I$82,M316=phu!$I$83,M316=phu!$I$84),"Cam Thịnh Đông",""),IF(OR(M316=phu!$I$85,M316=phu!$I$86,M316=phu!$I$87,M316=phu!$I$88),"Cam Thịnh Tây",""),IF(OR(M316=phu!$I$89,M316=phu!$I$90),"Cam Lập",""),IF(OR(M316=phu!$I$91,M316=phu!$I$92,M316=phu!$I$93),"Cam Bình",""),IF(OR(M316=phu!$I$94,M316=phu!$I$95,M316=phu!$I$96,M316=phu!$I$97,M316=phu!$I$98,M316=phu!$I$99,M316=phu!$I$100),"Huyện khác",""),IF(OR(M316=phu!$I$101,M316=phu!$I$102),"Tỉnh khác",""))</f>
        <v/>
      </c>
      <c r="O316" s="829" t="str">
        <f t="shared" si="24"/>
        <v/>
      </c>
      <c r="P316" s="254"/>
      <c r="Q316" s="254"/>
      <c r="R316" s="254"/>
      <c r="S316" s="254"/>
      <c r="T316" s="254"/>
      <c r="U316" s="254"/>
      <c r="V316" s="254"/>
      <c r="W316" s="254"/>
      <c r="Y316" s="246" t="str">
        <f t="shared" si="25"/>
        <v/>
      </c>
      <c r="Z316" s="247" t="str">
        <f t="shared" si="29"/>
        <v/>
      </c>
      <c r="AA316" s="246" t="str">
        <f t="shared" si="26"/>
        <v/>
      </c>
    </row>
    <row r="317" spans="1:27" ht="18" customHeight="1" x14ac:dyDescent="0.25">
      <c r="A317" s="248" t="str">
        <f t="shared" si="27"/>
        <v/>
      </c>
      <c r="B317" s="249" t="str">
        <f t="shared" si="28"/>
        <v/>
      </c>
      <c r="C317" s="250"/>
      <c r="D317" s="251"/>
      <c r="E317" s="241"/>
      <c r="F317" s="252"/>
      <c r="G317" s="252"/>
      <c r="H317" s="253"/>
      <c r="I317" s="250"/>
      <c r="J317" s="250"/>
      <c r="K317" s="270"/>
      <c r="L317" s="250"/>
      <c r="M317" s="250"/>
      <c r="N317" s="540" t="str">
        <f>CONCATENATE(IF(OR(M317=phu!$I$1,M317=phu!$I$2,M317=phu!$I$3),"Cam Thành Nam",""),IF(OR(M317=phu!$I$4,M317=phu!$I$5,M317=phu!$I$6,M317=phu!$I$7,M317=phu!$I$8,M317=phu!$I$9,M317=phu!$I$10,M317=phu!$I$11,M317=phu!$I$12,M317=phu!$I$13,M317=phu!$I$14),"Cam Nghĩa",""),IF(OR(M317=phu!$I$15,M317=phu!$I$16,M317=phu!$I$17,M317=phu!$I$18,M317=phu!$I$19,M317=phu!$I$20,M317=phu!$I$21),"Cam Phúc Bắc",""),IF(OR(M317=phu!$I$22,M317=phu!$I$23,M317=phu!$I$24,M317=phu!$I$25),"Cam Phúc Nam",""),IF(OR(M317=phu!$I$26,M317=phu!$I$27,M317=phu!$I$28,M317=phu!$I$29,M317=phu!$I$30,M317=phu!$I$31),"Cam Phú",""),IF(OR(M317=phu!$I$32,M317=phu!$I$33,M317=phu!$I$34,M317=phu!$I$35,M317=phu!$I$36,M317=phu!$I$37),"Cam Lộc",""),IF(OR(M317=phu!$I$38,M317=phu!$I$39,M317=phu!$I$40,M317=phu!$I$41,M317=phu!$I$42,M317=phu!$I$43,M317=phu!$I$44),"Cam Thuận",""),IF(OR(M317=phu!$I$45,M317=phu!$I$46,M317=phu!$I$47,M317=phu!$I$48,M317=phu!$I$49,M317=phu!$I$50,M317=phu!$I$51,M317=phu!$I$52,M317=phu!$I$53),"Cam Linh",""),IF(OR(M317=phu!$I$54,M317=phu!$I$55,M317=phu!$I$56,M317=phu!$I$57,M317=phu!$I$58,M317=phu!$I$59,M317=phu!$I$60,M317=phu!$I$61,M317=phu!$I$62),"Cam Lợi",""),IF(OR(M317=phu!$I$63,M317=phu!$I$64,M317=phu!$I$65,M317=phu!$I$66,M317=phu!$I$67,M317=phu!$I$68,M317=phu!$I$69,M317=phu!$I$70,M317=phu!$I$71),"Ba Ngòi",""),IF(OR(M317=phu!$I$72,M317=phu!$I$73,M317=phu!$I$74,M317=phu!$I$75,M317=phu!$I$76,M317=phu!$I$77,M317=phu!$I$78),"Cam Phước Đông",""),IF(OR(M317=phu!$I$79,M317=phu!$I$80,M317=phu!$I$81,M317=phu!$I$82,M317=phu!$I$83,M317=phu!$I$84),"Cam Thịnh Đông",""),IF(OR(M317=phu!$I$85,M317=phu!$I$86,M317=phu!$I$87,M317=phu!$I$88),"Cam Thịnh Tây",""),IF(OR(M317=phu!$I$89,M317=phu!$I$90),"Cam Lập",""),IF(OR(M317=phu!$I$91,M317=phu!$I$92,M317=phu!$I$93),"Cam Bình",""),IF(OR(M317=phu!$I$94,M317=phu!$I$95,M317=phu!$I$96,M317=phu!$I$97,M317=phu!$I$98,M317=phu!$I$99,M317=phu!$I$100),"Huyện khác",""),IF(OR(M317=phu!$I$101,M317=phu!$I$102),"Tỉnh khác",""))</f>
        <v/>
      </c>
      <c r="O317" s="829" t="str">
        <f t="shared" si="24"/>
        <v/>
      </c>
      <c r="P317" s="254"/>
      <c r="Q317" s="254"/>
      <c r="R317" s="254"/>
      <c r="S317" s="254"/>
      <c r="T317" s="254"/>
      <c r="U317" s="254"/>
      <c r="V317" s="254"/>
      <c r="W317" s="254"/>
      <c r="Y317" s="246" t="str">
        <f t="shared" si="25"/>
        <v/>
      </c>
      <c r="Z317" s="247" t="str">
        <f t="shared" si="29"/>
        <v/>
      </c>
      <c r="AA317" s="246" t="str">
        <f t="shared" si="26"/>
        <v/>
      </c>
    </row>
    <row r="318" spans="1:27" ht="18" customHeight="1" x14ac:dyDescent="0.25">
      <c r="A318" s="248" t="str">
        <f t="shared" si="27"/>
        <v/>
      </c>
      <c r="B318" s="249" t="str">
        <f t="shared" si="28"/>
        <v/>
      </c>
      <c r="C318" s="250"/>
      <c r="D318" s="251"/>
      <c r="E318" s="241"/>
      <c r="F318" s="252"/>
      <c r="G318" s="252"/>
      <c r="H318" s="253"/>
      <c r="I318" s="250"/>
      <c r="J318" s="250"/>
      <c r="K318" s="270"/>
      <c r="L318" s="250"/>
      <c r="M318" s="250"/>
      <c r="N318" s="540" t="str">
        <f>CONCATENATE(IF(OR(M318=phu!$I$1,M318=phu!$I$2,M318=phu!$I$3),"Cam Thành Nam",""),IF(OR(M318=phu!$I$4,M318=phu!$I$5,M318=phu!$I$6,M318=phu!$I$7,M318=phu!$I$8,M318=phu!$I$9,M318=phu!$I$10,M318=phu!$I$11,M318=phu!$I$12,M318=phu!$I$13,M318=phu!$I$14),"Cam Nghĩa",""),IF(OR(M318=phu!$I$15,M318=phu!$I$16,M318=phu!$I$17,M318=phu!$I$18,M318=phu!$I$19,M318=phu!$I$20,M318=phu!$I$21),"Cam Phúc Bắc",""),IF(OR(M318=phu!$I$22,M318=phu!$I$23,M318=phu!$I$24,M318=phu!$I$25),"Cam Phúc Nam",""),IF(OR(M318=phu!$I$26,M318=phu!$I$27,M318=phu!$I$28,M318=phu!$I$29,M318=phu!$I$30,M318=phu!$I$31),"Cam Phú",""),IF(OR(M318=phu!$I$32,M318=phu!$I$33,M318=phu!$I$34,M318=phu!$I$35,M318=phu!$I$36,M318=phu!$I$37),"Cam Lộc",""),IF(OR(M318=phu!$I$38,M318=phu!$I$39,M318=phu!$I$40,M318=phu!$I$41,M318=phu!$I$42,M318=phu!$I$43,M318=phu!$I$44),"Cam Thuận",""),IF(OR(M318=phu!$I$45,M318=phu!$I$46,M318=phu!$I$47,M318=phu!$I$48,M318=phu!$I$49,M318=phu!$I$50,M318=phu!$I$51,M318=phu!$I$52,M318=phu!$I$53),"Cam Linh",""),IF(OR(M318=phu!$I$54,M318=phu!$I$55,M318=phu!$I$56,M318=phu!$I$57,M318=phu!$I$58,M318=phu!$I$59,M318=phu!$I$60,M318=phu!$I$61,M318=phu!$I$62),"Cam Lợi",""),IF(OR(M318=phu!$I$63,M318=phu!$I$64,M318=phu!$I$65,M318=phu!$I$66,M318=phu!$I$67,M318=phu!$I$68,M318=phu!$I$69,M318=phu!$I$70,M318=phu!$I$71),"Ba Ngòi",""),IF(OR(M318=phu!$I$72,M318=phu!$I$73,M318=phu!$I$74,M318=phu!$I$75,M318=phu!$I$76,M318=phu!$I$77,M318=phu!$I$78),"Cam Phước Đông",""),IF(OR(M318=phu!$I$79,M318=phu!$I$80,M318=phu!$I$81,M318=phu!$I$82,M318=phu!$I$83,M318=phu!$I$84),"Cam Thịnh Đông",""),IF(OR(M318=phu!$I$85,M318=phu!$I$86,M318=phu!$I$87,M318=phu!$I$88),"Cam Thịnh Tây",""),IF(OR(M318=phu!$I$89,M318=phu!$I$90),"Cam Lập",""),IF(OR(M318=phu!$I$91,M318=phu!$I$92,M318=phu!$I$93),"Cam Bình",""),IF(OR(M318=phu!$I$94,M318=phu!$I$95,M318=phu!$I$96,M318=phu!$I$97,M318=phu!$I$98,M318=phu!$I$99,M318=phu!$I$100),"Huyện khác",""),IF(OR(M318=phu!$I$101,M318=phu!$I$102),"Tỉnh khác",""))</f>
        <v/>
      </c>
      <c r="O318" s="829" t="str">
        <f t="shared" si="24"/>
        <v/>
      </c>
      <c r="P318" s="254"/>
      <c r="Q318" s="254"/>
      <c r="R318" s="254"/>
      <c r="S318" s="254"/>
      <c r="T318" s="254"/>
      <c r="U318" s="254"/>
      <c r="V318" s="254"/>
      <c r="W318" s="254"/>
      <c r="Y318" s="246" t="str">
        <f t="shared" si="25"/>
        <v/>
      </c>
      <c r="Z318" s="247" t="str">
        <f t="shared" si="29"/>
        <v/>
      </c>
      <c r="AA318" s="246" t="str">
        <f t="shared" si="26"/>
        <v/>
      </c>
    </row>
    <row r="319" spans="1:27" ht="18" customHeight="1" x14ac:dyDescent="0.25">
      <c r="A319" s="248" t="str">
        <f t="shared" si="27"/>
        <v/>
      </c>
      <c r="B319" s="249" t="str">
        <f t="shared" si="28"/>
        <v/>
      </c>
      <c r="C319" s="250"/>
      <c r="D319" s="251"/>
      <c r="E319" s="241"/>
      <c r="F319" s="252"/>
      <c r="G319" s="252"/>
      <c r="H319" s="253"/>
      <c r="I319" s="250"/>
      <c r="J319" s="250"/>
      <c r="K319" s="270"/>
      <c r="L319" s="250"/>
      <c r="M319" s="250"/>
      <c r="N319" s="540" t="str">
        <f>CONCATENATE(IF(OR(M319=phu!$I$1,M319=phu!$I$2,M319=phu!$I$3),"Cam Thành Nam",""),IF(OR(M319=phu!$I$4,M319=phu!$I$5,M319=phu!$I$6,M319=phu!$I$7,M319=phu!$I$8,M319=phu!$I$9,M319=phu!$I$10,M319=phu!$I$11,M319=phu!$I$12,M319=phu!$I$13,M319=phu!$I$14),"Cam Nghĩa",""),IF(OR(M319=phu!$I$15,M319=phu!$I$16,M319=phu!$I$17,M319=phu!$I$18,M319=phu!$I$19,M319=phu!$I$20,M319=phu!$I$21),"Cam Phúc Bắc",""),IF(OR(M319=phu!$I$22,M319=phu!$I$23,M319=phu!$I$24,M319=phu!$I$25),"Cam Phúc Nam",""),IF(OR(M319=phu!$I$26,M319=phu!$I$27,M319=phu!$I$28,M319=phu!$I$29,M319=phu!$I$30,M319=phu!$I$31),"Cam Phú",""),IF(OR(M319=phu!$I$32,M319=phu!$I$33,M319=phu!$I$34,M319=phu!$I$35,M319=phu!$I$36,M319=phu!$I$37),"Cam Lộc",""),IF(OR(M319=phu!$I$38,M319=phu!$I$39,M319=phu!$I$40,M319=phu!$I$41,M319=phu!$I$42,M319=phu!$I$43,M319=phu!$I$44),"Cam Thuận",""),IF(OR(M319=phu!$I$45,M319=phu!$I$46,M319=phu!$I$47,M319=phu!$I$48,M319=phu!$I$49,M319=phu!$I$50,M319=phu!$I$51,M319=phu!$I$52,M319=phu!$I$53),"Cam Linh",""),IF(OR(M319=phu!$I$54,M319=phu!$I$55,M319=phu!$I$56,M319=phu!$I$57,M319=phu!$I$58,M319=phu!$I$59,M319=phu!$I$60,M319=phu!$I$61,M319=phu!$I$62),"Cam Lợi",""),IF(OR(M319=phu!$I$63,M319=phu!$I$64,M319=phu!$I$65,M319=phu!$I$66,M319=phu!$I$67,M319=phu!$I$68,M319=phu!$I$69,M319=phu!$I$70,M319=phu!$I$71),"Ba Ngòi",""),IF(OR(M319=phu!$I$72,M319=phu!$I$73,M319=phu!$I$74,M319=phu!$I$75,M319=phu!$I$76,M319=phu!$I$77,M319=phu!$I$78),"Cam Phước Đông",""),IF(OR(M319=phu!$I$79,M319=phu!$I$80,M319=phu!$I$81,M319=phu!$I$82,M319=phu!$I$83,M319=phu!$I$84),"Cam Thịnh Đông",""),IF(OR(M319=phu!$I$85,M319=phu!$I$86,M319=phu!$I$87,M319=phu!$I$88),"Cam Thịnh Tây",""),IF(OR(M319=phu!$I$89,M319=phu!$I$90),"Cam Lập",""),IF(OR(M319=phu!$I$91,M319=phu!$I$92,M319=phu!$I$93),"Cam Bình",""),IF(OR(M319=phu!$I$94,M319=phu!$I$95,M319=phu!$I$96,M319=phu!$I$97,M319=phu!$I$98,M319=phu!$I$99,M319=phu!$I$100),"Huyện khác",""),IF(OR(M319=phu!$I$101,M319=phu!$I$102),"Tỉnh khác",""))</f>
        <v/>
      </c>
      <c r="O319" s="829" t="str">
        <f t="shared" si="24"/>
        <v/>
      </c>
      <c r="P319" s="254"/>
      <c r="Q319" s="254"/>
      <c r="R319" s="254"/>
      <c r="S319" s="254"/>
      <c r="T319" s="254"/>
      <c r="U319" s="254"/>
      <c r="V319" s="254"/>
      <c r="W319" s="254"/>
      <c r="Y319" s="246" t="str">
        <f t="shared" si="25"/>
        <v/>
      </c>
      <c r="Z319" s="247" t="str">
        <f t="shared" si="29"/>
        <v/>
      </c>
      <c r="AA319" s="246" t="str">
        <f t="shared" si="26"/>
        <v/>
      </c>
    </row>
    <row r="320" spans="1:27" ht="18" customHeight="1" x14ac:dyDescent="0.25">
      <c r="A320" s="248" t="str">
        <f t="shared" si="27"/>
        <v/>
      </c>
      <c r="B320" s="249" t="str">
        <f t="shared" si="28"/>
        <v/>
      </c>
      <c r="C320" s="250"/>
      <c r="D320" s="251"/>
      <c r="E320" s="241"/>
      <c r="F320" s="252"/>
      <c r="G320" s="252"/>
      <c r="H320" s="253"/>
      <c r="I320" s="250"/>
      <c r="J320" s="250"/>
      <c r="K320" s="270"/>
      <c r="L320" s="250"/>
      <c r="M320" s="250"/>
      <c r="N320" s="540" t="str">
        <f>CONCATENATE(IF(OR(M320=phu!$I$1,M320=phu!$I$2,M320=phu!$I$3),"Cam Thành Nam",""),IF(OR(M320=phu!$I$4,M320=phu!$I$5,M320=phu!$I$6,M320=phu!$I$7,M320=phu!$I$8,M320=phu!$I$9,M320=phu!$I$10,M320=phu!$I$11,M320=phu!$I$12,M320=phu!$I$13,M320=phu!$I$14),"Cam Nghĩa",""),IF(OR(M320=phu!$I$15,M320=phu!$I$16,M320=phu!$I$17,M320=phu!$I$18,M320=phu!$I$19,M320=phu!$I$20,M320=phu!$I$21),"Cam Phúc Bắc",""),IF(OR(M320=phu!$I$22,M320=phu!$I$23,M320=phu!$I$24,M320=phu!$I$25),"Cam Phúc Nam",""),IF(OR(M320=phu!$I$26,M320=phu!$I$27,M320=phu!$I$28,M320=phu!$I$29,M320=phu!$I$30,M320=phu!$I$31),"Cam Phú",""),IF(OR(M320=phu!$I$32,M320=phu!$I$33,M320=phu!$I$34,M320=phu!$I$35,M320=phu!$I$36,M320=phu!$I$37),"Cam Lộc",""),IF(OR(M320=phu!$I$38,M320=phu!$I$39,M320=phu!$I$40,M320=phu!$I$41,M320=phu!$I$42,M320=phu!$I$43,M320=phu!$I$44),"Cam Thuận",""),IF(OR(M320=phu!$I$45,M320=phu!$I$46,M320=phu!$I$47,M320=phu!$I$48,M320=phu!$I$49,M320=phu!$I$50,M320=phu!$I$51,M320=phu!$I$52,M320=phu!$I$53),"Cam Linh",""),IF(OR(M320=phu!$I$54,M320=phu!$I$55,M320=phu!$I$56,M320=phu!$I$57,M320=phu!$I$58,M320=phu!$I$59,M320=phu!$I$60,M320=phu!$I$61,M320=phu!$I$62),"Cam Lợi",""),IF(OR(M320=phu!$I$63,M320=phu!$I$64,M320=phu!$I$65,M320=phu!$I$66,M320=phu!$I$67,M320=phu!$I$68,M320=phu!$I$69,M320=phu!$I$70,M320=phu!$I$71),"Ba Ngòi",""),IF(OR(M320=phu!$I$72,M320=phu!$I$73,M320=phu!$I$74,M320=phu!$I$75,M320=phu!$I$76,M320=phu!$I$77,M320=phu!$I$78),"Cam Phước Đông",""),IF(OR(M320=phu!$I$79,M320=phu!$I$80,M320=phu!$I$81,M320=phu!$I$82,M320=phu!$I$83,M320=phu!$I$84),"Cam Thịnh Đông",""),IF(OR(M320=phu!$I$85,M320=phu!$I$86,M320=phu!$I$87,M320=phu!$I$88),"Cam Thịnh Tây",""),IF(OR(M320=phu!$I$89,M320=phu!$I$90),"Cam Lập",""),IF(OR(M320=phu!$I$91,M320=phu!$I$92,M320=phu!$I$93),"Cam Bình",""),IF(OR(M320=phu!$I$94,M320=phu!$I$95,M320=phu!$I$96,M320=phu!$I$97,M320=phu!$I$98,M320=phu!$I$99,M320=phu!$I$100),"Huyện khác",""),IF(OR(M320=phu!$I$101,M320=phu!$I$102),"Tỉnh khác",""))</f>
        <v/>
      </c>
      <c r="O320" s="829" t="str">
        <f t="shared" si="24"/>
        <v/>
      </c>
      <c r="P320" s="254"/>
      <c r="Q320" s="254"/>
      <c r="R320" s="254"/>
      <c r="S320" s="254"/>
      <c r="T320" s="254"/>
      <c r="U320" s="254"/>
      <c r="V320" s="254"/>
      <c r="W320" s="254"/>
      <c r="Y320" s="246" t="str">
        <f t="shared" si="25"/>
        <v/>
      </c>
      <c r="Z320" s="247" t="str">
        <f t="shared" si="29"/>
        <v/>
      </c>
      <c r="AA320" s="246" t="str">
        <f t="shared" si="26"/>
        <v/>
      </c>
    </row>
    <row r="321" spans="1:27" ht="18" customHeight="1" x14ac:dyDescent="0.25">
      <c r="A321" s="248" t="str">
        <f t="shared" si="27"/>
        <v/>
      </c>
      <c r="B321" s="249" t="str">
        <f t="shared" si="28"/>
        <v/>
      </c>
      <c r="C321" s="250"/>
      <c r="D321" s="251"/>
      <c r="E321" s="241"/>
      <c r="F321" s="252"/>
      <c r="G321" s="252"/>
      <c r="H321" s="253"/>
      <c r="I321" s="250"/>
      <c r="J321" s="250"/>
      <c r="K321" s="270"/>
      <c r="L321" s="250"/>
      <c r="M321" s="250"/>
      <c r="N321" s="540" t="str">
        <f>CONCATENATE(IF(OR(M321=phu!$I$1,M321=phu!$I$2,M321=phu!$I$3),"Cam Thành Nam",""),IF(OR(M321=phu!$I$4,M321=phu!$I$5,M321=phu!$I$6,M321=phu!$I$7,M321=phu!$I$8,M321=phu!$I$9,M321=phu!$I$10,M321=phu!$I$11,M321=phu!$I$12,M321=phu!$I$13,M321=phu!$I$14),"Cam Nghĩa",""),IF(OR(M321=phu!$I$15,M321=phu!$I$16,M321=phu!$I$17,M321=phu!$I$18,M321=phu!$I$19,M321=phu!$I$20,M321=phu!$I$21),"Cam Phúc Bắc",""),IF(OR(M321=phu!$I$22,M321=phu!$I$23,M321=phu!$I$24,M321=phu!$I$25),"Cam Phúc Nam",""),IF(OR(M321=phu!$I$26,M321=phu!$I$27,M321=phu!$I$28,M321=phu!$I$29,M321=phu!$I$30,M321=phu!$I$31),"Cam Phú",""),IF(OR(M321=phu!$I$32,M321=phu!$I$33,M321=phu!$I$34,M321=phu!$I$35,M321=phu!$I$36,M321=phu!$I$37),"Cam Lộc",""),IF(OR(M321=phu!$I$38,M321=phu!$I$39,M321=phu!$I$40,M321=phu!$I$41,M321=phu!$I$42,M321=phu!$I$43,M321=phu!$I$44),"Cam Thuận",""),IF(OR(M321=phu!$I$45,M321=phu!$I$46,M321=phu!$I$47,M321=phu!$I$48,M321=phu!$I$49,M321=phu!$I$50,M321=phu!$I$51,M321=phu!$I$52,M321=phu!$I$53),"Cam Linh",""),IF(OR(M321=phu!$I$54,M321=phu!$I$55,M321=phu!$I$56,M321=phu!$I$57,M321=phu!$I$58,M321=phu!$I$59,M321=phu!$I$60,M321=phu!$I$61,M321=phu!$I$62),"Cam Lợi",""),IF(OR(M321=phu!$I$63,M321=phu!$I$64,M321=phu!$I$65,M321=phu!$I$66,M321=phu!$I$67,M321=phu!$I$68,M321=phu!$I$69,M321=phu!$I$70,M321=phu!$I$71),"Ba Ngòi",""),IF(OR(M321=phu!$I$72,M321=phu!$I$73,M321=phu!$I$74,M321=phu!$I$75,M321=phu!$I$76,M321=phu!$I$77,M321=phu!$I$78),"Cam Phước Đông",""),IF(OR(M321=phu!$I$79,M321=phu!$I$80,M321=phu!$I$81,M321=phu!$I$82,M321=phu!$I$83,M321=phu!$I$84),"Cam Thịnh Đông",""),IF(OR(M321=phu!$I$85,M321=phu!$I$86,M321=phu!$I$87,M321=phu!$I$88),"Cam Thịnh Tây",""),IF(OR(M321=phu!$I$89,M321=phu!$I$90),"Cam Lập",""),IF(OR(M321=phu!$I$91,M321=phu!$I$92,M321=phu!$I$93),"Cam Bình",""),IF(OR(M321=phu!$I$94,M321=phu!$I$95,M321=phu!$I$96,M321=phu!$I$97,M321=phu!$I$98,M321=phu!$I$99,M321=phu!$I$100),"Huyện khác",""),IF(OR(M321=phu!$I$101,M321=phu!$I$102),"Tỉnh khác",""))</f>
        <v/>
      </c>
      <c r="O321" s="829" t="str">
        <f t="shared" si="24"/>
        <v/>
      </c>
      <c r="P321" s="254"/>
      <c r="Q321" s="254"/>
      <c r="R321" s="254"/>
      <c r="S321" s="254"/>
      <c r="T321" s="254"/>
      <c r="U321" s="254"/>
      <c r="V321" s="254"/>
      <c r="W321" s="254"/>
      <c r="Y321" s="246" t="str">
        <f t="shared" si="25"/>
        <v/>
      </c>
      <c r="Z321" s="247" t="str">
        <f t="shared" si="29"/>
        <v/>
      </c>
      <c r="AA321" s="246" t="str">
        <f t="shared" si="26"/>
        <v/>
      </c>
    </row>
    <row r="322" spans="1:27" ht="18" customHeight="1" x14ac:dyDescent="0.25">
      <c r="A322" s="248" t="str">
        <f t="shared" si="27"/>
        <v/>
      </c>
      <c r="B322" s="249" t="str">
        <f t="shared" si="28"/>
        <v/>
      </c>
      <c r="C322" s="250"/>
      <c r="D322" s="251"/>
      <c r="E322" s="241"/>
      <c r="F322" s="252"/>
      <c r="G322" s="252"/>
      <c r="H322" s="253"/>
      <c r="I322" s="250"/>
      <c r="J322" s="250"/>
      <c r="K322" s="270"/>
      <c r="L322" s="250"/>
      <c r="M322" s="250"/>
      <c r="N322" s="540" t="str">
        <f>CONCATENATE(IF(OR(M322=phu!$I$1,M322=phu!$I$2,M322=phu!$I$3),"Cam Thành Nam",""),IF(OR(M322=phu!$I$4,M322=phu!$I$5,M322=phu!$I$6,M322=phu!$I$7,M322=phu!$I$8,M322=phu!$I$9,M322=phu!$I$10,M322=phu!$I$11,M322=phu!$I$12,M322=phu!$I$13,M322=phu!$I$14),"Cam Nghĩa",""),IF(OR(M322=phu!$I$15,M322=phu!$I$16,M322=phu!$I$17,M322=phu!$I$18,M322=phu!$I$19,M322=phu!$I$20,M322=phu!$I$21),"Cam Phúc Bắc",""),IF(OR(M322=phu!$I$22,M322=phu!$I$23,M322=phu!$I$24,M322=phu!$I$25),"Cam Phúc Nam",""),IF(OR(M322=phu!$I$26,M322=phu!$I$27,M322=phu!$I$28,M322=phu!$I$29,M322=phu!$I$30,M322=phu!$I$31),"Cam Phú",""),IF(OR(M322=phu!$I$32,M322=phu!$I$33,M322=phu!$I$34,M322=phu!$I$35,M322=phu!$I$36,M322=phu!$I$37),"Cam Lộc",""),IF(OR(M322=phu!$I$38,M322=phu!$I$39,M322=phu!$I$40,M322=phu!$I$41,M322=phu!$I$42,M322=phu!$I$43,M322=phu!$I$44),"Cam Thuận",""),IF(OR(M322=phu!$I$45,M322=phu!$I$46,M322=phu!$I$47,M322=phu!$I$48,M322=phu!$I$49,M322=phu!$I$50,M322=phu!$I$51,M322=phu!$I$52,M322=phu!$I$53),"Cam Linh",""),IF(OR(M322=phu!$I$54,M322=phu!$I$55,M322=phu!$I$56,M322=phu!$I$57,M322=phu!$I$58,M322=phu!$I$59,M322=phu!$I$60,M322=phu!$I$61,M322=phu!$I$62),"Cam Lợi",""),IF(OR(M322=phu!$I$63,M322=phu!$I$64,M322=phu!$I$65,M322=phu!$I$66,M322=phu!$I$67,M322=phu!$I$68,M322=phu!$I$69,M322=phu!$I$70,M322=phu!$I$71),"Ba Ngòi",""),IF(OR(M322=phu!$I$72,M322=phu!$I$73,M322=phu!$I$74,M322=phu!$I$75,M322=phu!$I$76,M322=phu!$I$77,M322=phu!$I$78),"Cam Phước Đông",""),IF(OR(M322=phu!$I$79,M322=phu!$I$80,M322=phu!$I$81,M322=phu!$I$82,M322=phu!$I$83,M322=phu!$I$84),"Cam Thịnh Đông",""),IF(OR(M322=phu!$I$85,M322=phu!$I$86,M322=phu!$I$87,M322=phu!$I$88),"Cam Thịnh Tây",""),IF(OR(M322=phu!$I$89,M322=phu!$I$90),"Cam Lập",""),IF(OR(M322=phu!$I$91,M322=phu!$I$92,M322=phu!$I$93),"Cam Bình",""),IF(OR(M322=phu!$I$94,M322=phu!$I$95,M322=phu!$I$96,M322=phu!$I$97,M322=phu!$I$98,M322=phu!$I$99,M322=phu!$I$100),"Huyện khác",""),IF(OR(M322=phu!$I$101,M322=phu!$I$102),"Tỉnh khác",""))</f>
        <v/>
      </c>
      <c r="O322" s="829" t="str">
        <f t="shared" si="24"/>
        <v/>
      </c>
      <c r="P322" s="254"/>
      <c r="Q322" s="254"/>
      <c r="R322" s="254"/>
      <c r="S322" s="254"/>
      <c r="T322" s="254"/>
      <c r="U322" s="254"/>
      <c r="V322" s="254"/>
      <c r="W322" s="254"/>
      <c r="Y322" s="246" t="str">
        <f t="shared" si="25"/>
        <v/>
      </c>
      <c r="Z322" s="247" t="str">
        <f t="shared" si="29"/>
        <v/>
      </c>
      <c r="AA322" s="246" t="str">
        <f t="shared" si="26"/>
        <v/>
      </c>
    </row>
    <row r="323" spans="1:27" ht="18" customHeight="1" x14ac:dyDescent="0.25">
      <c r="A323" s="248" t="str">
        <f t="shared" si="27"/>
        <v/>
      </c>
      <c r="B323" s="249" t="str">
        <f t="shared" si="28"/>
        <v/>
      </c>
      <c r="C323" s="250"/>
      <c r="D323" s="251"/>
      <c r="E323" s="241"/>
      <c r="F323" s="252"/>
      <c r="G323" s="252"/>
      <c r="H323" s="253"/>
      <c r="I323" s="250"/>
      <c r="J323" s="250"/>
      <c r="K323" s="270"/>
      <c r="L323" s="250"/>
      <c r="M323" s="250"/>
      <c r="N323" s="540" t="str">
        <f>CONCATENATE(IF(OR(M323=phu!$I$1,M323=phu!$I$2,M323=phu!$I$3),"Cam Thành Nam",""),IF(OR(M323=phu!$I$4,M323=phu!$I$5,M323=phu!$I$6,M323=phu!$I$7,M323=phu!$I$8,M323=phu!$I$9,M323=phu!$I$10,M323=phu!$I$11,M323=phu!$I$12,M323=phu!$I$13,M323=phu!$I$14),"Cam Nghĩa",""),IF(OR(M323=phu!$I$15,M323=phu!$I$16,M323=phu!$I$17,M323=phu!$I$18,M323=phu!$I$19,M323=phu!$I$20,M323=phu!$I$21),"Cam Phúc Bắc",""),IF(OR(M323=phu!$I$22,M323=phu!$I$23,M323=phu!$I$24,M323=phu!$I$25),"Cam Phúc Nam",""),IF(OR(M323=phu!$I$26,M323=phu!$I$27,M323=phu!$I$28,M323=phu!$I$29,M323=phu!$I$30,M323=phu!$I$31),"Cam Phú",""),IF(OR(M323=phu!$I$32,M323=phu!$I$33,M323=phu!$I$34,M323=phu!$I$35,M323=phu!$I$36,M323=phu!$I$37),"Cam Lộc",""),IF(OR(M323=phu!$I$38,M323=phu!$I$39,M323=phu!$I$40,M323=phu!$I$41,M323=phu!$I$42,M323=phu!$I$43,M323=phu!$I$44),"Cam Thuận",""),IF(OR(M323=phu!$I$45,M323=phu!$I$46,M323=phu!$I$47,M323=phu!$I$48,M323=phu!$I$49,M323=phu!$I$50,M323=phu!$I$51,M323=phu!$I$52,M323=phu!$I$53),"Cam Linh",""),IF(OR(M323=phu!$I$54,M323=phu!$I$55,M323=phu!$I$56,M323=phu!$I$57,M323=phu!$I$58,M323=phu!$I$59,M323=phu!$I$60,M323=phu!$I$61,M323=phu!$I$62),"Cam Lợi",""),IF(OR(M323=phu!$I$63,M323=phu!$I$64,M323=phu!$I$65,M323=phu!$I$66,M323=phu!$I$67,M323=phu!$I$68,M323=phu!$I$69,M323=phu!$I$70,M323=phu!$I$71),"Ba Ngòi",""),IF(OR(M323=phu!$I$72,M323=phu!$I$73,M323=phu!$I$74,M323=phu!$I$75,M323=phu!$I$76,M323=phu!$I$77,M323=phu!$I$78),"Cam Phước Đông",""),IF(OR(M323=phu!$I$79,M323=phu!$I$80,M323=phu!$I$81,M323=phu!$I$82,M323=phu!$I$83,M323=phu!$I$84),"Cam Thịnh Đông",""),IF(OR(M323=phu!$I$85,M323=phu!$I$86,M323=phu!$I$87,M323=phu!$I$88),"Cam Thịnh Tây",""),IF(OR(M323=phu!$I$89,M323=phu!$I$90),"Cam Lập",""),IF(OR(M323=phu!$I$91,M323=phu!$I$92,M323=phu!$I$93),"Cam Bình",""),IF(OR(M323=phu!$I$94,M323=phu!$I$95,M323=phu!$I$96,M323=phu!$I$97,M323=phu!$I$98,M323=phu!$I$99,M323=phu!$I$100),"Huyện khác",""),IF(OR(M323=phu!$I$101,M323=phu!$I$102),"Tỉnh khác",""))</f>
        <v/>
      </c>
      <c r="O323" s="829" t="str">
        <f t="shared" si="24"/>
        <v/>
      </c>
      <c r="P323" s="254"/>
      <c r="Q323" s="254"/>
      <c r="R323" s="254"/>
      <c r="S323" s="254"/>
      <c r="T323" s="254"/>
      <c r="U323" s="254"/>
      <c r="V323" s="254"/>
      <c r="W323" s="254"/>
      <c r="Y323" s="246" t="str">
        <f t="shared" si="25"/>
        <v/>
      </c>
      <c r="Z323" s="247" t="str">
        <f t="shared" si="29"/>
        <v/>
      </c>
      <c r="AA323" s="246" t="str">
        <f t="shared" si="26"/>
        <v/>
      </c>
    </row>
    <row r="324" spans="1:27" ht="18" customHeight="1" x14ac:dyDescent="0.25">
      <c r="A324" s="248" t="str">
        <f t="shared" si="27"/>
        <v/>
      </c>
      <c r="B324" s="249" t="str">
        <f t="shared" si="28"/>
        <v/>
      </c>
      <c r="C324" s="250"/>
      <c r="D324" s="251"/>
      <c r="E324" s="241"/>
      <c r="F324" s="252"/>
      <c r="G324" s="252"/>
      <c r="H324" s="253"/>
      <c r="I324" s="250"/>
      <c r="J324" s="250"/>
      <c r="K324" s="270"/>
      <c r="L324" s="250"/>
      <c r="M324" s="250"/>
      <c r="N324" s="540" t="str">
        <f>CONCATENATE(IF(OR(M324=phu!$I$1,M324=phu!$I$2,M324=phu!$I$3),"Cam Thành Nam",""),IF(OR(M324=phu!$I$4,M324=phu!$I$5,M324=phu!$I$6,M324=phu!$I$7,M324=phu!$I$8,M324=phu!$I$9,M324=phu!$I$10,M324=phu!$I$11,M324=phu!$I$12,M324=phu!$I$13,M324=phu!$I$14),"Cam Nghĩa",""),IF(OR(M324=phu!$I$15,M324=phu!$I$16,M324=phu!$I$17,M324=phu!$I$18,M324=phu!$I$19,M324=phu!$I$20,M324=phu!$I$21),"Cam Phúc Bắc",""),IF(OR(M324=phu!$I$22,M324=phu!$I$23,M324=phu!$I$24,M324=phu!$I$25),"Cam Phúc Nam",""),IF(OR(M324=phu!$I$26,M324=phu!$I$27,M324=phu!$I$28,M324=phu!$I$29,M324=phu!$I$30,M324=phu!$I$31),"Cam Phú",""),IF(OR(M324=phu!$I$32,M324=phu!$I$33,M324=phu!$I$34,M324=phu!$I$35,M324=phu!$I$36,M324=phu!$I$37),"Cam Lộc",""),IF(OR(M324=phu!$I$38,M324=phu!$I$39,M324=phu!$I$40,M324=phu!$I$41,M324=phu!$I$42,M324=phu!$I$43,M324=phu!$I$44),"Cam Thuận",""),IF(OR(M324=phu!$I$45,M324=phu!$I$46,M324=phu!$I$47,M324=phu!$I$48,M324=phu!$I$49,M324=phu!$I$50,M324=phu!$I$51,M324=phu!$I$52,M324=phu!$I$53),"Cam Linh",""),IF(OR(M324=phu!$I$54,M324=phu!$I$55,M324=phu!$I$56,M324=phu!$I$57,M324=phu!$I$58,M324=phu!$I$59,M324=phu!$I$60,M324=phu!$I$61,M324=phu!$I$62),"Cam Lợi",""),IF(OR(M324=phu!$I$63,M324=phu!$I$64,M324=phu!$I$65,M324=phu!$I$66,M324=phu!$I$67,M324=phu!$I$68,M324=phu!$I$69,M324=phu!$I$70,M324=phu!$I$71),"Ba Ngòi",""),IF(OR(M324=phu!$I$72,M324=phu!$I$73,M324=phu!$I$74,M324=phu!$I$75,M324=phu!$I$76,M324=phu!$I$77,M324=phu!$I$78),"Cam Phước Đông",""),IF(OR(M324=phu!$I$79,M324=phu!$I$80,M324=phu!$I$81,M324=phu!$I$82,M324=phu!$I$83,M324=phu!$I$84),"Cam Thịnh Đông",""),IF(OR(M324=phu!$I$85,M324=phu!$I$86,M324=phu!$I$87,M324=phu!$I$88),"Cam Thịnh Tây",""),IF(OR(M324=phu!$I$89,M324=phu!$I$90),"Cam Lập",""),IF(OR(M324=phu!$I$91,M324=phu!$I$92,M324=phu!$I$93),"Cam Bình",""),IF(OR(M324=phu!$I$94,M324=phu!$I$95,M324=phu!$I$96,M324=phu!$I$97,M324=phu!$I$98,M324=phu!$I$99,M324=phu!$I$100),"Huyện khác",""),IF(OR(M324=phu!$I$101,M324=phu!$I$102),"Tỉnh khác",""))</f>
        <v/>
      </c>
      <c r="O324" s="829" t="str">
        <f t="shared" si="24"/>
        <v/>
      </c>
      <c r="P324" s="254"/>
      <c r="Q324" s="254"/>
      <c r="R324" s="254"/>
      <c r="S324" s="254"/>
      <c r="T324" s="254"/>
      <c r="U324" s="254"/>
      <c r="V324" s="254"/>
      <c r="W324" s="254"/>
      <c r="Y324" s="246" t="str">
        <f t="shared" si="25"/>
        <v/>
      </c>
      <c r="Z324" s="247" t="str">
        <f t="shared" si="29"/>
        <v/>
      </c>
      <c r="AA324" s="246" t="str">
        <f t="shared" si="26"/>
        <v/>
      </c>
    </row>
    <row r="325" spans="1:27" ht="18" customHeight="1" x14ac:dyDescent="0.25">
      <c r="A325" s="248" t="str">
        <f t="shared" si="27"/>
        <v/>
      </c>
      <c r="B325" s="249" t="str">
        <f t="shared" si="28"/>
        <v/>
      </c>
      <c r="C325" s="250"/>
      <c r="D325" s="251"/>
      <c r="E325" s="241"/>
      <c r="F325" s="252"/>
      <c r="G325" s="252"/>
      <c r="H325" s="253"/>
      <c r="I325" s="250"/>
      <c r="J325" s="250"/>
      <c r="K325" s="270"/>
      <c r="L325" s="250"/>
      <c r="M325" s="250"/>
      <c r="N325" s="540" t="str">
        <f>CONCATENATE(IF(OR(M325=phu!$I$1,M325=phu!$I$2,M325=phu!$I$3),"Cam Thành Nam",""),IF(OR(M325=phu!$I$4,M325=phu!$I$5,M325=phu!$I$6,M325=phu!$I$7,M325=phu!$I$8,M325=phu!$I$9,M325=phu!$I$10,M325=phu!$I$11,M325=phu!$I$12,M325=phu!$I$13,M325=phu!$I$14),"Cam Nghĩa",""),IF(OR(M325=phu!$I$15,M325=phu!$I$16,M325=phu!$I$17,M325=phu!$I$18,M325=phu!$I$19,M325=phu!$I$20,M325=phu!$I$21),"Cam Phúc Bắc",""),IF(OR(M325=phu!$I$22,M325=phu!$I$23,M325=phu!$I$24,M325=phu!$I$25),"Cam Phúc Nam",""),IF(OR(M325=phu!$I$26,M325=phu!$I$27,M325=phu!$I$28,M325=phu!$I$29,M325=phu!$I$30,M325=phu!$I$31),"Cam Phú",""),IF(OR(M325=phu!$I$32,M325=phu!$I$33,M325=phu!$I$34,M325=phu!$I$35,M325=phu!$I$36,M325=phu!$I$37),"Cam Lộc",""),IF(OR(M325=phu!$I$38,M325=phu!$I$39,M325=phu!$I$40,M325=phu!$I$41,M325=phu!$I$42,M325=phu!$I$43,M325=phu!$I$44),"Cam Thuận",""),IF(OR(M325=phu!$I$45,M325=phu!$I$46,M325=phu!$I$47,M325=phu!$I$48,M325=phu!$I$49,M325=phu!$I$50,M325=phu!$I$51,M325=phu!$I$52,M325=phu!$I$53),"Cam Linh",""),IF(OR(M325=phu!$I$54,M325=phu!$I$55,M325=phu!$I$56,M325=phu!$I$57,M325=phu!$I$58,M325=phu!$I$59,M325=phu!$I$60,M325=phu!$I$61,M325=phu!$I$62),"Cam Lợi",""),IF(OR(M325=phu!$I$63,M325=phu!$I$64,M325=phu!$I$65,M325=phu!$I$66,M325=phu!$I$67,M325=phu!$I$68,M325=phu!$I$69,M325=phu!$I$70,M325=phu!$I$71),"Ba Ngòi",""),IF(OR(M325=phu!$I$72,M325=phu!$I$73,M325=phu!$I$74,M325=phu!$I$75,M325=phu!$I$76,M325=phu!$I$77,M325=phu!$I$78),"Cam Phước Đông",""),IF(OR(M325=phu!$I$79,M325=phu!$I$80,M325=phu!$I$81,M325=phu!$I$82,M325=phu!$I$83,M325=phu!$I$84),"Cam Thịnh Đông",""),IF(OR(M325=phu!$I$85,M325=phu!$I$86,M325=phu!$I$87,M325=phu!$I$88),"Cam Thịnh Tây",""),IF(OR(M325=phu!$I$89,M325=phu!$I$90),"Cam Lập",""),IF(OR(M325=phu!$I$91,M325=phu!$I$92,M325=phu!$I$93),"Cam Bình",""),IF(OR(M325=phu!$I$94,M325=phu!$I$95,M325=phu!$I$96,M325=phu!$I$97,M325=phu!$I$98,M325=phu!$I$99,M325=phu!$I$100),"Huyện khác",""),IF(OR(M325=phu!$I$101,M325=phu!$I$102),"Tỉnh khác",""))</f>
        <v/>
      </c>
      <c r="O325" s="829" t="str">
        <f t="shared" si="24"/>
        <v/>
      </c>
      <c r="P325" s="254"/>
      <c r="Q325" s="254"/>
      <c r="R325" s="254"/>
      <c r="S325" s="254"/>
      <c r="T325" s="254"/>
      <c r="U325" s="254"/>
      <c r="V325" s="254"/>
      <c r="W325" s="254"/>
      <c r="Y325" s="246" t="str">
        <f t="shared" si="25"/>
        <v/>
      </c>
      <c r="Z325" s="247" t="str">
        <f t="shared" si="29"/>
        <v/>
      </c>
      <c r="AA325" s="246" t="str">
        <f t="shared" si="26"/>
        <v/>
      </c>
    </row>
    <row r="326" spans="1:27" ht="18" customHeight="1" x14ac:dyDescent="0.25">
      <c r="A326" s="248" t="str">
        <f t="shared" si="27"/>
        <v/>
      </c>
      <c r="B326" s="249" t="str">
        <f t="shared" si="28"/>
        <v/>
      </c>
      <c r="C326" s="250"/>
      <c r="D326" s="251"/>
      <c r="E326" s="241"/>
      <c r="F326" s="252"/>
      <c r="G326" s="252"/>
      <c r="H326" s="253"/>
      <c r="I326" s="250"/>
      <c r="J326" s="250"/>
      <c r="K326" s="270"/>
      <c r="L326" s="250"/>
      <c r="M326" s="250"/>
      <c r="N326" s="540" t="str">
        <f>CONCATENATE(IF(OR(M326=phu!$I$1,M326=phu!$I$2,M326=phu!$I$3),"Cam Thành Nam",""),IF(OR(M326=phu!$I$4,M326=phu!$I$5,M326=phu!$I$6,M326=phu!$I$7,M326=phu!$I$8,M326=phu!$I$9,M326=phu!$I$10,M326=phu!$I$11,M326=phu!$I$12,M326=phu!$I$13,M326=phu!$I$14),"Cam Nghĩa",""),IF(OR(M326=phu!$I$15,M326=phu!$I$16,M326=phu!$I$17,M326=phu!$I$18,M326=phu!$I$19,M326=phu!$I$20,M326=phu!$I$21),"Cam Phúc Bắc",""),IF(OR(M326=phu!$I$22,M326=phu!$I$23,M326=phu!$I$24,M326=phu!$I$25),"Cam Phúc Nam",""),IF(OR(M326=phu!$I$26,M326=phu!$I$27,M326=phu!$I$28,M326=phu!$I$29,M326=phu!$I$30,M326=phu!$I$31),"Cam Phú",""),IF(OR(M326=phu!$I$32,M326=phu!$I$33,M326=phu!$I$34,M326=phu!$I$35,M326=phu!$I$36,M326=phu!$I$37),"Cam Lộc",""),IF(OR(M326=phu!$I$38,M326=phu!$I$39,M326=phu!$I$40,M326=phu!$I$41,M326=phu!$I$42,M326=phu!$I$43,M326=phu!$I$44),"Cam Thuận",""),IF(OR(M326=phu!$I$45,M326=phu!$I$46,M326=phu!$I$47,M326=phu!$I$48,M326=phu!$I$49,M326=phu!$I$50,M326=phu!$I$51,M326=phu!$I$52,M326=phu!$I$53),"Cam Linh",""),IF(OR(M326=phu!$I$54,M326=phu!$I$55,M326=phu!$I$56,M326=phu!$I$57,M326=phu!$I$58,M326=phu!$I$59,M326=phu!$I$60,M326=phu!$I$61,M326=phu!$I$62),"Cam Lợi",""),IF(OR(M326=phu!$I$63,M326=phu!$I$64,M326=phu!$I$65,M326=phu!$I$66,M326=phu!$I$67,M326=phu!$I$68,M326=phu!$I$69,M326=phu!$I$70,M326=phu!$I$71),"Ba Ngòi",""),IF(OR(M326=phu!$I$72,M326=phu!$I$73,M326=phu!$I$74,M326=phu!$I$75,M326=phu!$I$76,M326=phu!$I$77,M326=phu!$I$78),"Cam Phước Đông",""),IF(OR(M326=phu!$I$79,M326=phu!$I$80,M326=phu!$I$81,M326=phu!$I$82,M326=phu!$I$83,M326=phu!$I$84),"Cam Thịnh Đông",""),IF(OR(M326=phu!$I$85,M326=phu!$I$86,M326=phu!$I$87,M326=phu!$I$88),"Cam Thịnh Tây",""),IF(OR(M326=phu!$I$89,M326=phu!$I$90),"Cam Lập",""),IF(OR(M326=phu!$I$91,M326=phu!$I$92,M326=phu!$I$93),"Cam Bình",""),IF(OR(M326=phu!$I$94,M326=phu!$I$95,M326=phu!$I$96,M326=phu!$I$97,M326=phu!$I$98,M326=phu!$I$99,M326=phu!$I$100),"Huyện khác",""),IF(OR(M326=phu!$I$101,M326=phu!$I$102),"Tỉnh khác",""))</f>
        <v/>
      </c>
      <c r="O326" s="829" t="str">
        <f t="shared" si="24"/>
        <v/>
      </c>
      <c r="P326" s="254"/>
      <c r="Q326" s="254"/>
      <c r="R326" s="254"/>
      <c r="S326" s="254"/>
      <c r="T326" s="254"/>
      <c r="U326" s="254"/>
      <c r="V326" s="254"/>
      <c r="W326" s="254"/>
      <c r="Y326" s="246" t="str">
        <f t="shared" si="25"/>
        <v/>
      </c>
      <c r="Z326" s="247" t="str">
        <f t="shared" si="29"/>
        <v/>
      </c>
      <c r="AA326" s="246" t="str">
        <f t="shared" si="26"/>
        <v/>
      </c>
    </row>
    <row r="327" spans="1:27" ht="18" customHeight="1" x14ac:dyDescent="0.25">
      <c r="A327" s="248" t="str">
        <f t="shared" si="27"/>
        <v/>
      </c>
      <c r="B327" s="249" t="str">
        <f t="shared" si="28"/>
        <v/>
      </c>
      <c r="C327" s="250"/>
      <c r="D327" s="251"/>
      <c r="E327" s="241"/>
      <c r="F327" s="252"/>
      <c r="G327" s="252"/>
      <c r="H327" s="253"/>
      <c r="I327" s="250"/>
      <c r="J327" s="250"/>
      <c r="K327" s="270"/>
      <c r="L327" s="250"/>
      <c r="M327" s="250"/>
      <c r="N327" s="540" t="str">
        <f>CONCATENATE(IF(OR(M327=phu!$I$1,M327=phu!$I$2,M327=phu!$I$3),"Cam Thành Nam",""),IF(OR(M327=phu!$I$4,M327=phu!$I$5,M327=phu!$I$6,M327=phu!$I$7,M327=phu!$I$8,M327=phu!$I$9,M327=phu!$I$10,M327=phu!$I$11,M327=phu!$I$12,M327=phu!$I$13,M327=phu!$I$14),"Cam Nghĩa",""),IF(OR(M327=phu!$I$15,M327=phu!$I$16,M327=phu!$I$17,M327=phu!$I$18,M327=phu!$I$19,M327=phu!$I$20,M327=phu!$I$21),"Cam Phúc Bắc",""),IF(OR(M327=phu!$I$22,M327=phu!$I$23,M327=phu!$I$24,M327=phu!$I$25),"Cam Phúc Nam",""),IF(OR(M327=phu!$I$26,M327=phu!$I$27,M327=phu!$I$28,M327=phu!$I$29,M327=phu!$I$30,M327=phu!$I$31),"Cam Phú",""),IF(OR(M327=phu!$I$32,M327=phu!$I$33,M327=phu!$I$34,M327=phu!$I$35,M327=phu!$I$36,M327=phu!$I$37),"Cam Lộc",""),IF(OR(M327=phu!$I$38,M327=phu!$I$39,M327=phu!$I$40,M327=phu!$I$41,M327=phu!$I$42,M327=phu!$I$43,M327=phu!$I$44),"Cam Thuận",""),IF(OR(M327=phu!$I$45,M327=phu!$I$46,M327=phu!$I$47,M327=phu!$I$48,M327=phu!$I$49,M327=phu!$I$50,M327=phu!$I$51,M327=phu!$I$52,M327=phu!$I$53),"Cam Linh",""),IF(OR(M327=phu!$I$54,M327=phu!$I$55,M327=phu!$I$56,M327=phu!$I$57,M327=phu!$I$58,M327=phu!$I$59,M327=phu!$I$60,M327=phu!$I$61,M327=phu!$I$62),"Cam Lợi",""),IF(OR(M327=phu!$I$63,M327=phu!$I$64,M327=phu!$I$65,M327=phu!$I$66,M327=phu!$I$67,M327=phu!$I$68,M327=phu!$I$69,M327=phu!$I$70,M327=phu!$I$71),"Ba Ngòi",""),IF(OR(M327=phu!$I$72,M327=phu!$I$73,M327=phu!$I$74,M327=phu!$I$75,M327=phu!$I$76,M327=phu!$I$77,M327=phu!$I$78),"Cam Phước Đông",""),IF(OR(M327=phu!$I$79,M327=phu!$I$80,M327=phu!$I$81,M327=phu!$I$82,M327=phu!$I$83,M327=phu!$I$84),"Cam Thịnh Đông",""),IF(OR(M327=phu!$I$85,M327=phu!$I$86,M327=phu!$I$87,M327=phu!$I$88),"Cam Thịnh Tây",""),IF(OR(M327=phu!$I$89,M327=phu!$I$90),"Cam Lập",""),IF(OR(M327=phu!$I$91,M327=phu!$I$92,M327=phu!$I$93),"Cam Bình",""),IF(OR(M327=phu!$I$94,M327=phu!$I$95,M327=phu!$I$96,M327=phu!$I$97,M327=phu!$I$98,M327=phu!$I$99,M327=phu!$I$100),"Huyện khác",""),IF(OR(M327=phu!$I$101,M327=phu!$I$102),"Tỉnh khác",""))</f>
        <v/>
      </c>
      <c r="O327" s="829" t="str">
        <f t="shared" ref="O327:O390" si="30">CONCATENATE(IF(OR(N327="Cam Thành Nam",N327="Cam Nghĩa",N327="Cam Phúc Bắc"),"Bắc Cam Ranh",""),IF(OR(N327="Cam Phúc Nam",N327="Cam Phú",N327="Cam Lộc"),"Cam Ranh",""),IF(OR(N327="Cam Thuận",N327="Cam Linh",N327="Cam Lợi"),"Cam Linh",""),IF(OR(N327="Ba Ngòi",N327="Cam Phước Đông"),"Ba Ngòi",""),IF(OR(N327="Cam Thịnh Đông",N327="Cam Thịnh Tây",N327="Cam Lập",N327="Cam Bình"),"Nam Cam Ranh",""),IF(N327="Huyện khác","Huyện khác",""),IF(N327="Tỉnh khác","Tỉnh khác",""))</f>
        <v/>
      </c>
      <c r="P327" s="254"/>
      <c r="Q327" s="254"/>
      <c r="R327" s="254"/>
      <c r="S327" s="254"/>
      <c r="T327" s="254"/>
      <c r="U327" s="254"/>
      <c r="V327" s="254"/>
      <c r="W327" s="254"/>
      <c r="Y327" s="246" t="str">
        <f t="shared" ref="Y327:Y390" si="31">IF(OR(AND(B327="",C327="",D327="",E327="",F327="",G327="",H327="",I327="",J327="",L327="",M327="",N327="",P327="",Q327="",R327="",S327=""),AND(B327&lt;&gt;"",C327&lt;&gt;"",D327&lt;&gt;"",E327&lt;&gt;"",F327&lt;&gt;"",G327&lt;&gt;"",H327&lt;&gt;"",J327&lt;&gt;"",M327&lt;&gt;"",N327&lt;&gt;"",P327&lt;&gt;"",OR(AND(Q327&lt;&gt;"",R327=""),AND(Q327="",R327&lt;&gt;""),AND(Q327&lt;&gt;"",R327&lt;&gt;"")),OR(AND(K327="X",T327&lt;&gt;""),AND(K327="",T327="")))),"","er")</f>
        <v/>
      </c>
      <c r="Z327" s="247" t="str">
        <f t="shared" si="29"/>
        <v/>
      </c>
      <c r="AA327" s="246" t="str">
        <f t="shared" ref="AA327:AA390" si="32">IF(OR(AND(Z327&lt;=10,B327&gt;5),AND(Z327&lt;=11,B327&gt;6),AND(Z327&lt;=12,B327&gt;7),AND(Z327&lt;=13,B327&gt;8),AND(Z327&lt;=14,B327&gt;9),AND(Z327=11,B327=6,L327="X"),AND(Z327=12,B327=7,L327="X"),AND(Z327=13,B327=8,L327="X"),AND(Z327=14,B327=9,L327="X")),"er","")</f>
        <v/>
      </c>
    </row>
    <row r="328" spans="1:27" ht="18" customHeight="1" x14ac:dyDescent="0.25">
      <c r="A328" s="248" t="str">
        <f t="shared" ref="A328:A391" si="33">IF(OR(A327="",B328="",C328="",D328="",E328=""),"",A327+1)</f>
        <v/>
      </c>
      <c r="B328" s="249" t="str">
        <f t="shared" ref="B328:B391" si="34">IF(C328="","",VALUE(LEFT(C328,1)))</f>
        <v/>
      </c>
      <c r="C328" s="250"/>
      <c r="D328" s="251"/>
      <c r="E328" s="241"/>
      <c r="F328" s="252"/>
      <c r="G328" s="252"/>
      <c r="H328" s="253"/>
      <c r="I328" s="250"/>
      <c r="J328" s="250"/>
      <c r="K328" s="270"/>
      <c r="L328" s="250"/>
      <c r="M328" s="250"/>
      <c r="N328" s="540" t="str">
        <f>CONCATENATE(IF(OR(M328=phu!$I$1,M328=phu!$I$2,M328=phu!$I$3),"Cam Thành Nam",""),IF(OR(M328=phu!$I$4,M328=phu!$I$5,M328=phu!$I$6,M328=phu!$I$7,M328=phu!$I$8,M328=phu!$I$9,M328=phu!$I$10,M328=phu!$I$11,M328=phu!$I$12,M328=phu!$I$13,M328=phu!$I$14),"Cam Nghĩa",""),IF(OR(M328=phu!$I$15,M328=phu!$I$16,M328=phu!$I$17,M328=phu!$I$18,M328=phu!$I$19,M328=phu!$I$20,M328=phu!$I$21),"Cam Phúc Bắc",""),IF(OR(M328=phu!$I$22,M328=phu!$I$23,M328=phu!$I$24,M328=phu!$I$25),"Cam Phúc Nam",""),IF(OR(M328=phu!$I$26,M328=phu!$I$27,M328=phu!$I$28,M328=phu!$I$29,M328=phu!$I$30,M328=phu!$I$31),"Cam Phú",""),IF(OR(M328=phu!$I$32,M328=phu!$I$33,M328=phu!$I$34,M328=phu!$I$35,M328=phu!$I$36,M328=phu!$I$37),"Cam Lộc",""),IF(OR(M328=phu!$I$38,M328=phu!$I$39,M328=phu!$I$40,M328=phu!$I$41,M328=phu!$I$42,M328=phu!$I$43,M328=phu!$I$44),"Cam Thuận",""),IF(OR(M328=phu!$I$45,M328=phu!$I$46,M328=phu!$I$47,M328=phu!$I$48,M328=phu!$I$49,M328=phu!$I$50,M328=phu!$I$51,M328=phu!$I$52,M328=phu!$I$53),"Cam Linh",""),IF(OR(M328=phu!$I$54,M328=phu!$I$55,M328=phu!$I$56,M328=phu!$I$57,M328=phu!$I$58,M328=phu!$I$59,M328=phu!$I$60,M328=phu!$I$61,M328=phu!$I$62),"Cam Lợi",""),IF(OR(M328=phu!$I$63,M328=phu!$I$64,M328=phu!$I$65,M328=phu!$I$66,M328=phu!$I$67,M328=phu!$I$68,M328=phu!$I$69,M328=phu!$I$70,M328=phu!$I$71),"Ba Ngòi",""),IF(OR(M328=phu!$I$72,M328=phu!$I$73,M328=phu!$I$74,M328=phu!$I$75,M328=phu!$I$76,M328=phu!$I$77,M328=phu!$I$78),"Cam Phước Đông",""),IF(OR(M328=phu!$I$79,M328=phu!$I$80,M328=phu!$I$81,M328=phu!$I$82,M328=phu!$I$83,M328=phu!$I$84),"Cam Thịnh Đông",""),IF(OR(M328=phu!$I$85,M328=phu!$I$86,M328=phu!$I$87,M328=phu!$I$88),"Cam Thịnh Tây",""),IF(OR(M328=phu!$I$89,M328=phu!$I$90),"Cam Lập",""),IF(OR(M328=phu!$I$91,M328=phu!$I$92,M328=phu!$I$93),"Cam Bình",""),IF(OR(M328=phu!$I$94,M328=phu!$I$95,M328=phu!$I$96,M328=phu!$I$97,M328=phu!$I$98,M328=phu!$I$99,M328=phu!$I$100),"Huyện khác",""),IF(OR(M328=phu!$I$101,M328=phu!$I$102),"Tỉnh khác",""))</f>
        <v/>
      </c>
      <c r="O328" s="829" t="str">
        <f t="shared" si="30"/>
        <v/>
      </c>
      <c r="P328" s="254"/>
      <c r="Q328" s="254"/>
      <c r="R328" s="254"/>
      <c r="S328" s="254"/>
      <c r="T328" s="254"/>
      <c r="U328" s="254"/>
      <c r="V328" s="254"/>
      <c r="W328" s="254"/>
      <c r="Y328" s="246" t="str">
        <f t="shared" si="31"/>
        <v/>
      </c>
      <c r="Z328" s="247" t="str">
        <f t="shared" ref="Z328:Z391" si="35">IF(H328="","",$Z$1-H328)</f>
        <v/>
      </c>
      <c r="AA328" s="246" t="str">
        <f t="shared" si="32"/>
        <v/>
      </c>
    </row>
    <row r="329" spans="1:27" ht="18" customHeight="1" x14ac:dyDescent="0.25">
      <c r="A329" s="248" t="str">
        <f t="shared" si="33"/>
        <v/>
      </c>
      <c r="B329" s="249" t="str">
        <f t="shared" si="34"/>
        <v/>
      </c>
      <c r="C329" s="250"/>
      <c r="D329" s="251"/>
      <c r="E329" s="241"/>
      <c r="F329" s="252"/>
      <c r="G329" s="252"/>
      <c r="H329" s="253"/>
      <c r="I329" s="250"/>
      <c r="J329" s="250"/>
      <c r="K329" s="270"/>
      <c r="L329" s="250"/>
      <c r="M329" s="250"/>
      <c r="N329" s="540" t="str">
        <f>CONCATENATE(IF(OR(M329=phu!$I$1,M329=phu!$I$2,M329=phu!$I$3),"Cam Thành Nam",""),IF(OR(M329=phu!$I$4,M329=phu!$I$5,M329=phu!$I$6,M329=phu!$I$7,M329=phu!$I$8,M329=phu!$I$9,M329=phu!$I$10,M329=phu!$I$11,M329=phu!$I$12,M329=phu!$I$13,M329=phu!$I$14),"Cam Nghĩa",""),IF(OR(M329=phu!$I$15,M329=phu!$I$16,M329=phu!$I$17,M329=phu!$I$18,M329=phu!$I$19,M329=phu!$I$20,M329=phu!$I$21),"Cam Phúc Bắc",""),IF(OR(M329=phu!$I$22,M329=phu!$I$23,M329=phu!$I$24,M329=phu!$I$25),"Cam Phúc Nam",""),IF(OR(M329=phu!$I$26,M329=phu!$I$27,M329=phu!$I$28,M329=phu!$I$29,M329=phu!$I$30,M329=phu!$I$31),"Cam Phú",""),IF(OR(M329=phu!$I$32,M329=phu!$I$33,M329=phu!$I$34,M329=phu!$I$35,M329=phu!$I$36,M329=phu!$I$37),"Cam Lộc",""),IF(OR(M329=phu!$I$38,M329=phu!$I$39,M329=phu!$I$40,M329=phu!$I$41,M329=phu!$I$42,M329=phu!$I$43,M329=phu!$I$44),"Cam Thuận",""),IF(OR(M329=phu!$I$45,M329=phu!$I$46,M329=phu!$I$47,M329=phu!$I$48,M329=phu!$I$49,M329=phu!$I$50,M329=phu!$I$51,M329=phu!$I$52,M329=phu!$I$53),"Cam Linh",""),IF(OR(M329=phu!$I$54,M329=phu!$I$55,M329=phu!$I$56,M329=phu!$I$57,M329=phu!$I$58,M329=phu!$I$59,M329=phu!$I$60,M329=phu!$I$61,M329=phu!$I$62),"Cam Lợi",""),IF(OR(M329=phu!$I$63,M329=phu!$I$64,M329=phu!$I$65,M329=phu!$I$66,M329=phu!$I$67,M329=phu!$I$68,M329=phu!$I$69,M329=phu!$I$70,M329=phu!$I$71),"Ba Ngòi",""),IF(OR(M329=phu!$I$72,M329=phu!$I$73,M329=phu!$I$74,M329=phu!$I$75,M329=phu!$I$76,M329=phu!$I$77,M329=phu!$I$78),"Cam Phước Đông",""),IF(OR(M329=phu!$I$79,M329=phu!$I$80,M329=phu!$I$81,M329=phu!$I$82,M329=phu!$I$83,M329=phu!$I$84),"Cam Thịnh Đông",""),IF(OR(M329=phu!$I$85,M329=phu!$I$86,M329=phu!$I$87,M329=phu!$I$88),"Cam Thịnh Tây",""),IF(OR(M329=phu!$I$89,M329=phu!$I$90),"Cam Lập",""),IF(OR(M329=phu!$I$91,M329=phu!$I$92,M329=phu!$I$93),"Cam Bình",""),IF(OR(M329=phu!$I$94,M329=phu!$I$95,M329=phu!$I$96,M329=phu!$I$97,M329=phu!$I$98,M329=phu!$I$99,M329=phu!$I$100),"Huyện khác",""),IF(OR(M329=phu!$I$101,M329=phu!$I$102),"Tỉnh khác",""))</f>
        <v/>
      </c>
      <c r="O329" s="829" t="str">
        <f t="shared" si="30"/>
        <v/>
      </c>
      <c r="P329" s="254"/>
      <c r="Q329" s="254"/>
      <c r="R329" s="254"/>
      <c r="S329" s="254"/>
      <c r="T329" s="254"/>
      <c r="U329" s="254"/>
      <c r="V329" s="254"/>
      <c r="W329" s="254"/>
      <c r="Y329" s="246" t="str">
        <f t="shared" si="31"/>
        <v/>
      </c>
      <c r="Z329" s="247" t="str">
        <f t="shared" si="35"/>
        <v/>
      </c>
      <c r="AA329" s="246" t="str">
        <f t="shared" si="32"/>
        <v/>
      </c>
    </row>
    <row r="330" spans="1:27" ht="18" customHeight="1" x14ac:dyDescent="0.25">
      <c r="A330" s="248" t="str">
        <f t="shared" si="33"/>
        <v/>
      </c>
      <c r="B330" s="249" t="str">
        <f t="shared" si="34"/>
        <v/>
      </c>
      <c r="C330" s="250"/>
      <c r="D330" s="251"/>
      <c r="E330" s="241"/>
      <c r="F330" s="252"/>
      <c r="G330" s="252"/>
      <c r="H330" s="253"/>
      <c r="I330" s="250"/>
      <c r="J330" s="250"/>
      <c r="K330" s="270"/>
      <c r="L330" s="250"/>
      <c r="M330" s="250"/>
      <c r="N330" s="540" t="str">
        <f>CONCATENATE(IF(OR(M330=phu!$I$1,M330=phu!$I$2,M330=phu!$I$3),"Cam Thành Nam",""),IF(OR(M330=phu!$I$4,M330=phu!$I$5,M330=phu!$I$6,M330=phu!$I$7,M330=phu!$I$8,M330=phu!$I$9,M330=phu!$I$10,M330=phu!$I$11,M330=phu!$I$12,M330=phu!$I$13,M330=phu!$I$14),"Cam Nghĩa",""),IF(OR(M330=phu!$I$15,M330=phu!$I$16,M330=phu!$I$17,M330=phu!$I$18,M330=phu!$I$19,M330=phu!$I$20,M330=phu!$I$21),"Cam Phúc Bắc",""),IF(OR(M330=phu!$I$22,M330=phu!$I$23,M330=phu!$I$24,M330=phu!$I$25),"Cam Phúc Nam",""),IF(OR(M330=phu!$I$26,M330=phu!$I$27,M330=phu!$I$28,M330=phu!$I$29,M330=phu!$I$30,M330=phu!$I$31),"Cam Phú",""),IF(OR(M330=phu!$I$32,M330=phu!$I$33,M330=phu!$I$34,M330=phu!$I$35,M330=phu!$I$36,M330=phu!$I$37),"Cam Lộc",""),IF(OR(M330=phu!$I$38,M330=phu!$I$39,M330=phu!$I$40,M330=phu!$I$41,M330=phu!$I$42,M330=phu!$I$43,M330=phu!$I$44),"Cam Thuận",""),IF(OR(M330=phu!$I$45,M330=phu!$I$46,M330=phu!$I$47,M330=phu!$I$48,M330=phu!$I$49,M330=phu!$I$50,M330=phu!$I$51,M330=phu!$I$52,M330=phu!$I$53),"Cam Linh",""),IF(OR(M330=phu!$I$54,M330=phu!$I$55,M330=phu!$I$56,M330=phu!$I$57,M330=phu!$I$58,M330=phu!$I$59,M330=phu!$I$60,M330=phu!$I$61,M330=phu!$I$62),"Cam Lợi",""),IF(OR(M330=phu!$I$63,M330=phu!$I$64,M330=phu!$I$65,M330=phu!$I$66,M330=phu!$I$67,M330=phu!$I$68,M330=phu!$I$69,M330=phu!$I$70,M330=phu!$I$71),"Ba Ngòi",""),IF(OR(M330=phu!$I$72,M330=phu!$I$73,M330=phu!$I$74,M330=phu!$I$75,M330=phu!$I$76,M330=phu!$I$77,M330=phu!$I$78),"Cam Phước Đông",""),IF(OR(M330=phu!$I$79,M330=phu!$I$80,M330=phu!$I$81,M330=phu!$I$82,M330=phu!$I$83,M330=phu!$I$84),"Cam Thịnh Đông",""),IF(OR(M330=phu!$I$85,M330=phu!$I$86,M330=phu!$I$87,M330=phu!$I$88),"Cam Thịnh Tây",""),IF(OR(M330=phu!$I$89,M330=phu!$I$90),"Cam Lập",""),IF(OR(M330=phu!$I$91,M330=phu!$I$92,M330=phu!$I$93),"Cam Bình",""),IF(OR(M330=phu!$I$94,M330=phu!$I$95,M330=phu!$I$96,M330=phu!$I$97,M330=phu!$I$98,M330=phu!$I$99,M330=phu!$I$100),"Huyện khác",""),IF(OR(M330=phu!$I$101,M330=phu!$I$102),"Tỉnh khác",""))</f>
        <v/>
      </c>
      <c r="O330" s="829" t="str">
        <f t="shared" si="30"/>
        <v/>
      </c>
      <c r="P330" s="254"/>
      <c r="Q330" s="254"/>
      <c r="R330" s="254"/>
      <c r="S330" s="254"/>
      <c r="T330" s="254"/>
      <c r="U330" s="254"/>
      <c r="V330" s="254"/>
      <c r="W330" s="254"/>
      <c r="Y330" s="246" t="str">
        <f t="shared" si="31"/>
        <v/>
      </c>
      <c r="Z330" s="247" t="str">
        <f t="shared" si="35"/>
        <v/>
      </c>
      <c r="AA330" s="246" t="str">
        <f t="shared" si="32"/>
        <v/>
      </c>
    </row>
    <row r="331" spans="1:27" ht="18" customHeight="1" x14ac:dyDescent="0.25">
      <c r="A331" s="248" t="str">
        <f t="shared" si="33"/>
        <v/>
      </c>
      <c r="B331" s="249" t="str">
        <f t="shared" si="34"/>
        <v/>
      </c>
      <c r="C331" s="250"/>
      <c r="D331" s="251"/>
      <c r="E331" s="241"/>
      <c r="F331" s="252"/>
      <c r="G331" s="252"/>
      <c r="H331" s="253"/>
      <c r="I331" s="250"/>
      <c r="J331" s="250"/>
      <c r="K331" s="270"/>
      <c r="L331" s="250"/>
      <c r="M331" s="250"/>
      <c r="N331" s="540" t="str">
        <f>CONCATENATE(IF(OR(M331=phu!$I$1,M331=phu!$I$2,M331=phu!$I$3),"Cam Thành Nam",""),IF(OR(M331=phu!$I$4,M331=phu!$I$5,M331=phu!$I$6,M331=phu!$I$7,M331=phu!$I$8,M331=phu!$I$9,M331=phu!$I$10,M331=phu!$I$11,M331=phu!$I$12,M331=phu!$I$13,M331=phu!$I$14),"Cam Nghĩa",""),IF(OR(M331=phu!$I$15,M331=phu!$I$16,M331=phu!$I$17,M331=phu!$I$18,M331=phu!$I$19,M331=phu!$I$20,M331=phu!$I$21),"Cam Phúc Bắc",""),IF(OR(M331=phu!$I$22,M331=phu!$I$23,M331=phu!$I$24,M331=phu!$I$25),"Cam Phúc Nam",""),IF(OR(M331=phu!$I$26,M331=phu!$I$27,M331=phu!$I$28,M331=phu!$I$29,M331=phu!$I$30,M331=phu!$I$31),"Cam Phú",""),IF(OR(M331=phu!$I$32,M331=phu!$I$33,M331=phu!$I$34,M331=phu!$I$35,M331=phu!$I$36,M331=phu!$I$37),"Cam Lộc",""),IF(OR(M331=phu!$I$38,M331=phu!$I$39,M331=phu!$I$40,M331=phu!$I$41,M331=phu!$I$42,M331=phu!$I$43,M331=phu!$I$44),"Cam Thuận",""),IF(OR(M331=phu!$I$45,M331=phu!$I$46,M331=phu!$I$47,M331=phu!$I$48,M331=phu!$I$49,M331=phu!$I$50,M331=phu!$I$51,M331=phu!$I$52,M331=phu!$I$53),"Cam Linh",""),IF(OR(M331=phu!$I$54,M331=phu!$I$55,M331=phu!$I$56,M331=phu!$I$57,M331=phu!$I$58,M331=phu!$I$59,M331=phu!$I$60,M331=phu!$I$61,M331=phu!$I$62),"Cam Lợi",""),IF(OR(M331=phu!$I$63,M331=phu!$I$64,M331=phu!$I$65,M331=phu!$I$66,M331=phu!$I$67,M331=phu!$I$68,M331=phu!$I$69,M331=phu!$I$70,M331=phu!$I$71),"Ba Ngòi",""),IF(OR(M331=phu!$I$72,M331=phu!$I$73,M331=phu!$I$74,M331=phu!$I$75,M331=phu!$I$76,M331=phu!$I$77,M331=phu!$I$78),"Cam Phước Đông",""),IF(OR(M331=phu!$I$79,M331=phu!$I$80,M331=phu!$I$81,M331=phu!$I$82,M331=phu!$I$83,M331=phu!$I$84),"Cam Thịnh Đông",""),IF(OR(M331=phu!$I$85,M331=phu!$I$86,M331=phu!$I$87,M331=phu!$I$88),"Cam Thịnh Tây",""),IF(OR(M331=phu!$I$89,M331=phu!$I$90),"Cam Lập",""),IF(OR(M331=phu!$I$91,M331=phu!$I$92,M331=phu!$I$93),"Cam Bình",""),IF(OR(M331=phu!$I$94,M331=phu!$I$95,M331=phu!$I$96,M331=phu!$I$97,M331=phu!$I$98,M331=phu!$I$99,M331=phu!$I$100),"Huyện khác",""),IF(OR(M331=phu!$I$101,M331=phu!$I$102),"Tỉnh khác",""))</f>
        <v/>
      </c>
      <c r="O331" s="829" t="str">
        <f t="shared" si="30"/>
        <v/>
      </c>
      <c r="P331" s="254"/>
      <c r="Q331" s="254"/>
      <c r="R331" s="254"/>
      <c r="S331" s="254"/>
      <c r="T331" s="254"/>
      <c r="U331" s="254"/>
      <c r="V331" s="254"/>
      <c r="W331" s="254"/>
      <c r="Y331" s="246" t="str">
        <f t="shared" si="31"/>
        <v/>
      </c>
      <c r="Z331" s="247" t="str">
        <f t="shared" si="35"/>
        <v/>
      </c>
      <c r="AA331" s="246" t="str">
        <f t="shared" si="32"/>
        <v/>
      </c>
    </row>
    <row r="332" spans="1:27" ht="18" customHeight="1" x14ac:dyDescent="0.25">
      <c r="A332" s="248" t="str">
        <f t="shared" si="33"/>
        <v/>
      </c>
      <c r="B332" s="249" t="str">
        <f t="shared" si="34"/>
        <v/>
      </c>
      <c r="C332" s="250"/>
      <c r="D332" s="251"/>
      <c r="E332" s="241"/>
      <c r="F332" s="252"/>
      <c r="G332" s="252"/>
      <c r="H332" s="253"/>
      <c r="I332" s="250"/>
      <c r="J332" s="250"/>
      <c r="K332" s="270"/>
      <c r="L332" s="250"/>
      <c r="M332" s="250"/>
      <c r="N332" s="540" t="str">
        <f>CONCATENATE(IF(OR(M332=phu!$I$1,M332=phu!$I$2,M332=phu!$I$3),"Cam Thành Nam",""),IF(OR(M332=phu!$I$4,M332=phu!$I$5,M332=phu!$I$6,M332=phu!$I$7,M332=phu!$I$8,M332=phu!$I$9,M332=phu!$I$10,M332=phu!$I$11,M332=phu!$I$12,M332=phu!$I$13,M332=phu!$I$14),"Cam Nghĩa",""),IF(OR(M332=phu!$I$15,M332=phu!$I$16,M332=phu!$I$17,M332=phu!$I$18,M332=phu!$I$19,M332=phu!$I$20,M332=phu!$I$21),"Cam Phúc Bắc",""),IF(OR(M332=phu!$I$22,M332=phu!$I$23,M332=phu!$I$24,M332=phu!$I$25),"Cam Phúc Nam",""),IF(OR(M332=phu!$I$26,M332=phu!$I$27,M332=phu!$I$28,M332=phu!$I$29,M332=phu!$I$30,M332=phu!$I$31),"Cam Phú",""),IF(OR(M332=phu!$I$32,M332=phu!$I$33,M332=phu!$I$34,M332=phu!$I$35,M332=phu!$I$36,M332=phu!$I$37),"Cam Lộc",""),IF(OR(M332=phu!$I$38,M332=phu!$I$39,M332=phu!$I$40,M332=phu!$I$41,M332=phu!$I$42,M332=phu!$I$43,M332=phu!$I$44),"Cam Thuận",""),IF(OR(M332=phu!$I$45,M332=phu!$I$46,M332=phu!$I$47,M332=phu!$I$48,M332=phu!$I$49,M332=phu!$I$50,M332=phu!$I$51,M332=phu!$I$52,M332=phu!$I$53),"Cam Linh",""),IF(OR(M332=phu!$I$54,M332=phu!$I$55,M332=phu!$I$56,M332=phu!$I$57,M332=phu!$I$58,M332=phu!$I$59,M332=phu!$I$60,M332=phu!$I$61,M332=phu!$I$62),"Cam Lợi",""),IF(OR(M332=phu!$I$63,M332=phu!$I$64,M332=phu!$I$65,M332=phu!$I$66,M332=phu!$I$67,M332=phu!$I$68,M332=phu!$I$69,M332=phu!$I$70,M332=phu!$I$71),"Ba Ngòi",""),IF(OR(M332=phu!$I$72,M332=phu!$I$73,M332=phu!$I$74,M332=phu!$I$75,M332=phu!$I$76,M332=phu!$I$77,M332=phu!$I$78),"Cam Phước Đông",""),IF(OR(M332=phu!$I$79,M332=phu!$I$80,M332=phu!$I$81,M332=phu!$I$82,M332=phu!$I$83,M332=phu!$I$84),"Cam Thịnh Đông",""),IF(OR(M332=phu!$I$85,M332=phu!$I$86,M332=phu!$I$87,M332=phu!$I$88),"Cam Thịnh Tây",""),IF(OR(M332=phu!$I$89,M332=phu!$I$90),"Cam Lập",""),IF(OR(M332=phu!$I$91,M332=phu!$I$92,M332=phu!$I$93),"Cam Bình",""),IF(OR(M332=phu!$I$94,M332=phu!$I$95,M332=phu!$I$96,M332=phu!$I$97,M332=phu!$I$98,M332=phu!$I$99,M332=phu!$I$100),"Huyện khác",""),IF(OR(M332=phu!$I$101,M332=phu!$I$102),"Tỉnh khác",""))</f>
        <v/>
      </c>
      <c r="O332" s="829" t="str">
        <f t="shared" si="30"/>
        <v/>
      </c>
      <c r="P332" s="254"/>
      <c r="Q332" s="254"/>
      <c r="R332" s="254"/>
      <c r="S332" s="254"/>
      <c r="T332" s="254"/>
      <c r="U332" s="254"/>
      <c r="V332" s="254"/>
      <c r="W332" s="254"/>
      <c r="Y332" s="246" t="str">
        <f t="shared" si="31"/>
        <v/>
      </c>
      <c r="Z332" s="247" t="str">
        <f t="shared" si="35"/>
        <v/>
      </c>
      <c r="AA332" s="246" t="str">
        <f t="shared" si="32"/>
        <v/>
      </c>
    </row>
    <row r="333" spans="1:27" ht="18" customHeight="1" x14ac:dyDescent="0.25">
      <c r="A333" s="248" t="str">
        <f t="shared" si="33"/>
        <v/>
      </c>
      <c r="B333" s="249" t="str">
        <f t="shared" si="34"/>
        <v/>
      </c>
      <c r="C333" s="250"/>
      <c r="D333" s="251"/>
      <c r="E333" s="241"/>
      <c r="F333" s="252"/>
      <c r="G333" s="252"/>
      <c r="H333" s="253"/>
      <c r="I333" s="250"/>
      <c r="J333" s="250"/>
      <c r="K333" s="270"/>
      <c r="L333" s="250"/>
      <c r="M333" s="250"/>
      <c r="N333" s="540" t="str">
        <f>CONCATENATE(IF(OR(M333=phu!$I$1,M333=phu!$I$2,M333=phu!$I$3),"Cam Thành Nam",""),IF(OR(M333=phu!$I$4,M333=phu!$I$5,M333=phu!$I$6,M333=phu!$I$7,M333=phu!$I$8,M333=phu!$I$9,M333=phu!$I$10,M333=phu!$I$11,M333=phu!$I$12,M333=phu!$I$13,M333=phu!$I$14),"Cam Nghĩa",""),IF(OR(M333=phu!$I$15,M333=phu!$I$16,M333=phu!$I$17,M333=phu!$I$18,M333=phu!$I$19,M333=phu!$I$20,M333=phu!$I$21),"Cam Phúc Bắc",""),IF(OR(M333=phu!$I$22,M333=phu!$I$23,M333=phu!$I$24,M333=phu!$I$25),"Cam Phúc Nam",""),IF(OR(M333=phu!$I$26,M333=phu!$I$27,M333=phu!$I$28,M333=phu!$I$29,M333=phu!$I$30,M333=phu!$I$31),"Cam Phú",""),IF(OR(M333=phu!$I$32,M333=phu!$I$33,M333=phu!$I$34,M333=phu!$I$35,M333=phu!$I$36,M333=phu!$I$37),"Cam Lộc",""),IF(OR(M333=phu!$I$38,M333=phu!$I$39,M333=phu!$I$40,M333=phu!$I$41,M333=phu!$I$42,M333=phu!$I$43,M333=phu!$I$44),"Cam Thuận",""),IF(OR(M333=phu!$I$45,M333=phu!$I$46,M333=phu!$I$47,M333=phu!$I$48,M333=phu!$I$49,M333=phu!$I$50,M333=phu!$I$51,M333=phu!$I$52,M333=phu!$I$53),"Cam Linh",""),IF(OR(M333=phu!$I$54,M333=phu!$I$55,M333=phu!$I$56,M333=phu!$I$57,M333=phu!$I$58,M333=phu!$I$59,M333=phu!$I$60,M333=phu!$I$61,M333=phu!$I$62),"Cam Lợi",""),IF(OR(M333=phu!$I$63,M333=phu!$I$64,M333=phu!$I$65,M333=phu!$I$66,M333=phu!$I$67,M333=phu!$I$68,M333=phu!$I$69,M333=phu!$I$70,M333=phu!$I$71),"Ba Ngòi",""),IF(OR(M333=phu!$I$72,M333=phu!$I$73,M333=phu!$I$74,M333=phu!$I$75,M333=phu!$I$76,M333=phu!$I$77,M333=phu!$I$78),"Cam Phước Đông",""),IF(OR(M333=phu!$I$79,M333=phu!$I$80,M333=phu!$I$81,M333=phu!$I$82,M333=phu!$I$83,M333=phu!$I$84),"Cam Thịnh Đông",""),IF(OR(M333=phu!$I$85,M333=phu!$I$86,M333=phu!$I$87,M333=phu!$I$88),"Cam Thịnh Tây",""),IF(OR(M333=phu!$I$89,M333=phu!$I$90),"Cam Lập",""),IF(OR(M333=phu!$I$91,M333=phu!$I$92,M333=phu!$I$93),"Cam Bình",""),IF(OR(M333=phu!$I$94,M333=phu!$I$95,M333=phu!$I$96,M333=phu!$I$97,M333=phu!$I$98,M333=phu!$I$99,M333=phu!$I$100),"Huyện khác",""),IF(OR(M333=phu!$I$101,M333=phu!$I$102),"Tỉnh khác",""))</f>
        <v/>
      </c>
      <c r="O333" s="829" t="str">
        <f t="shared" si="30"/>
        <v/>
      </c>
      <c r="P333" s="254"/>
      <c r="Q333" s="254"/>
      <c r="R333" s="254"/>
      <c r="S333" s="254"/>
      <c r="T333" s="254"/>
      <c r="U333" s="254"/>
      <c r="V333" s="254"/>
      <c r="W333" s="254"/>
      <c r="Y333" s="246" t="str">
        <f t="shared" si="31"/>
        <v/>
      </c>
      <c r="Z333" s="247" t="str">
        <f t="shared" si="35"/>
        <v/>
      </c>
      <c r="AA333" s="246" t="str">
        <f t="shared" si="32"/>
        <v/>
      </c>
    </row>
    <row r="334" spans="1:27" ht="18" customHeight="1" x14ac:dyDescent="0.25">
      <c r="A334" s="248" t="str">
        <f t="shared" si="33"/>
        <v/>
      </c>
      <c r="B334" s="249" t="str">
        <f t="shared" si="34"/>
        <v/>
      </c>
      <c r="C334" s="250"/>
      <c r="D334" s="251"/>
      <c r="E334" s="241"/>
      <c r="F334" s="252"/>
      <c r="G334" s="252"/>
      <c r="H334" s="253"/>
      <c r="I334" s="250"/>
      <c r="J334" s="250"/>
      <c r="K334" s="270"/>
      <c r="L334" s="250"/>
      <c r="M334" s="250"/>
      <c r="N334" s="540" t="str">
        <f>CONCATENATE(IF(OR(M334=phu!$I$1,M334=phu!$I$2,M334=phu!$I$3),"Cam Thành Nam",""),IF(OR(M334=phu!$I$4,M334=phu!$I$5,M334=phu!$I$6,M334=phu!$I$7,M334=phu!$I$8,M334=phu!$I$9,M334=phu!$I$10,M334=phu!$I$11,M334=phu!$I$12,M334=phu!$I$13,M334=phu!$I$14),"Cam Nghĩa",""),IF(OR(M334=phu!$I$15,M334=phu!$I$16,M334=phu!$I$17,M334=phu!$I$18,M334=phu!$I$19,M334=phu!$I$20,M334=phu!$I$21),"Cam Phúc Bắc",""),IF(OR(M334=phu!$I$22,M334=phu!$I$23,M334=phu!$I$24,M334=phu!$I$25),"Cam Phúc Nam",""),IF(OR(M334=phu!$I$26,M334=phu!$I$27,M334=phu!$I$28,M334=phu!$I$29,M334=phu!$I$30,M334=phu!$I$31),"Cam Phú",""),IF(OR(M334=phu!$I$32,M334=phu!$I$33,M334=phu!$I$34,M334=phu!$I$35,M334=phu!$I$36,M334=phu!$I$37),"Cam Lộc",""),IF(OR(M334=phu!$I$38,M334=phu!$I$39,M334=phu!$I$40,M334=phu!$I$41,M334=phu!$I$42,M334=phu!$I$43,M334=phu!$I$44),"Cam Thuận",""),IF(OR(M334=phu!$I$45,M334=phu!$I$46,M334=phu!$I$47,M334=phu!$I$48,M334=phu!$I$49,M334=phu!$I$50,M334=phu!$I$51,M334=phu!$I$52,M334=phu!$I$53),"Cam Linh",""),IF(OR(M334=phu!$I$54,M334=phu!$I$55,M334=phu!$I$56,M334=phu!$I$57,M334=phu!$I$58,M334=phu!$I$59,M334=phu!$I$60,M334=phu!$I$61,M334=phu!$I$62),"Cam Lợi",""),IF(OR(M334=phu!$I$63,M334=phu!$I$64,M334=phu!$I$65,M334=phu!$I$66,M334=phu!$I$67,M334=phu!$I$68,M334=phu!$I$69,M334=phu!$I$70,M334=phu!$I$71),"Ba Ngòi",""),IF(OR(M334=phu!$I$72,M334=phu!$I$73,M334=phu!$I$74,M334=phu!$I$75,M334=phu!$I$76,M334=phu!$I$77,M334=phu!$I$78),"Cam Phước Đông",""),IF(OR(M334=phu!$I$79,M334=phu!$I$80,M334=phu!$I$81,M334=phu!$I$82,M334=phu!$I$83,M334=phu!$I$84),"Cam Thịnh Đông",""),IF(OR(M334=phu!$I$85,M334=phu!$I$86,M334=phu!$I$87,M334=phu!$I$88),"Cam Thịnh Tây",""),IF(OR(M334=phu!$I$89,M334=phu!$I$90),"Cam Lập",""),IF(OR(M334=phu!$I$91,M334=phu!$I$92,M334=phu!$I$93),"Cam Bình",""),IF(OR(M334=phu!$I$94,M334=phu!$I$95,M334=phu!$I$96,M334=phu!$I$97,M334=phu!$I$98,M334=phu!$I$99,M334=phu!$I$100),"Huyện khác",""),IF(OR(M334=phu!$I$101,M334=phu!$I$102),"Tỉnh khác",""))</f>
        <v/>
      </c>
      <c r="O334" s="829" t="str">
        <f t="shared" si="30"/>
        <v/>
      </c>
      <c r="P334" s="254"/>
      <c r="Q334" s="254"/>
      <c r="R334" s="254"/>
      <c r="S334" s="254"/>
      <c r="T334" s="254"/>
      <c r="U334" s="254"/>
      <c r="V334" s="254"/>
      <c r="W334" s="254"/>
      <c r="Y334" s="246" t="str">
        <f t="shared" si="31"/>
        <v/>
      </c>
      <c r="Z334" s="247" t="str">
        <f t="shared" si="35"/>
        <v/>
      </c>
      <c r="AA334" s="246" t="str">
        <f t="shared" si="32"/>
        <v/>
      </c>
    </row>
    <row r="335" spans="1:27" ht="18" customHeight="1" x14ac:dyDescent="0.25">
      <c r="A335" s="248" t="str">
        <f t="shared" si="33"/>
        <v/>
      </c>
      <c r="B335" s="249" t="str">
        <f t="shared" si="34"/>
        <v/>
      </c>
      <c r="C335" s="250"/>
      <c r="D335" s="251"/>
      <c r="E335" s="241"/>
      <c r="F335" s="252"/>
      <c r="G335" s="252"/>
      <c r="H335" s="253"/>
      <c r="I335" s="250"/>
      <c r="J335" s="250"/>
      <c r="K335" s="270"/>
      <c r="L335" s="250"/>
      <c r="M335" s="250"/>
      <c r="N335" s="540" t="str">
        <f>CONCATENATE(IF(OR(M335=phu!$I$1,M335=phu!$I$2,M335=phu!$I$3),"Cam Thành Nam",""),IF(OR(M335=phu!$I$4,M335=phu!$I$5,M335=phu!$I$6,M335=phu!$I$7,M335=phu!$I$8,M335=phu!$I$9,M335=phu!$I$10,M335=phu!$I$11,M335=phu!$I$12,M335=phu!$I$13,M335=phu!$I$14),"Cam Nghĩa",""),IF(OR(M335=phu!$I$15,M335=phu!$I$16,M335=phu!$I$17,M335=phu!$I$18,M335=phu!$I$19,M335=phu!$I$20,M335=phu!$I$21),"Cam Phúc Bắc",""),IF(OR(M335=phu!$I$22,M335=phu!$I$23,M335=phu!$I$24,M335=phu!$I$25),"Cam Phúc Nam",""),IF(OR(M335=phu!$I$26,M335=phu!$I$27,M335=phu!$I$28,M335=phu!$I$29,M335=phu!$I$30,M335=phu!$I$31),"Cam Phú",""),IF(OR(M335=phu!$I$32,M335=phu!$I$33,M335=phu!$I$34,M335=phu!$I$35,M335=phu!$I$36,M335=phu!$I$37),"Cam Lộc",""),IF(OR(M335=phu!$I$38,M335=phu!$I$39,M335=phu!$I$40,M335=phu!$I$41,M335=phu!$I$42,M335=phu!$I$43,M335=phu!$I$44),"Cam Thuận",""),IF(OR(M335=phu!$I$45,M335=phu!$I$46,M335=phu!$I$47,M335=phu!$I$48,M335=phu!$I$49,M335=phu!$I$50,M335=phu!$I$51,M335=phu!$I$52,M335=phu!$I$53),"Cam Linh",""),IF(OR(M335=phu!$I$54,M335=phu!$I$55,M335=phu!$I$56,M335=phu!$I$57,M335=phu!$I$58,M335=phu!$I$59,M335=phu!$I$60,M335=phu!$I$61,M335=phu!$I$62),"Cam Lợi",""),IF(OR(M335=phu!$I$63,M335=phu!$I$64,M335=phu!$I$65,M335=phu!$I$66,M335=phu!$I$67,M335=phu!$I$68,M335=phu!$I$69,M335=phu!$I$70,M335=phu!$I$71),"Ba Ngòi",""),IF(OR(M335=phu!$I$72,M335=phu!$I$73,M335=phu!$I$74,M335=phu!$I$75,M335=phu!$I$76,M335=phu!$I$77,M335=phu!$I$78),"Cam Phước Đông",""),IF(OR(M335=phu!$I$79,M335=phu!$I$80,M335=phu!$I$81,M335=phu!$I$82,M335=phu!$I$83,M335=phu!$I$84),"Cam Thịnh Đông",""),IF(OR(M335=phu!$I$85,M335=phu!$I$86,M335=phu!$I$87,M335=phu!$I$88),"Cam Thịnh Tây",""),IF(OR(M335=phu!$I$89,M335=phu!$I$90),"Cam Lập",""),IF(OR(M335=phu!$I$91,M335=phu!$I$92,M335=phu!$I$93),"Cam Bình",""),IF(OR(M335=phu!$I$94,M335=phu!$I$95,M335=phu!$I$96,M335=phu!$I$97,M335=phu!$I$98,M335=phu!$I$99,M335=phu!$I$100),"Huyện khác",""),IF(OR(M335=phu!$I$101,M335=phu!$I$102),"Tỉnh khác",""))</f>
        <v/>
      </c>
      <c r="O335" s="829" t="str">
        <f t="shared" si="30"/>
        <v/>
      </c>
      <c r="P335" s="254"/>
      <c r="Q335" s="254"/>
      <c r="R335" s="254"/>
      <c r="S335" s="254"/>
      <c r="T335" s="254"/>
      <c r="U335" s="254"/>
      <c r="V335" s="254"/>
      <c r="W335" s="254"/>
      <c r="Y335" s="246" t="str">
        <f t="shared" si="31"/>
        <v/>
      </c>
      <c r="Z335" s="247" t="str">
        <f t="shared" si="35"/>
        <v/>
      </c>
      <c r="AA335" s="246" t="str">
        <f t="shared" si="32"/>
        <v/>
      </c>
    </row>
    <row r="336" spans="1:27" ht="18" customHeight="1" x14ac:dyDescent="0.25">
      <c r="A336" s="248" t="str">
        <f t="shared" si="33"/>
        <v/>
      </c>
      <c r="B336" s="249" t="str">
        <f t="shared" si="34"/>
        <v/>
      </c>
      <c r="C336" s="250"/>
      <c r="D336" s="251"/>
      <c r="E336" s="241"/>
      <c r="F336" s="252"/>
      <c r="G336" s="252"/>
      <c r="H336" s="253"/>
      <c r="I336" s="250"/>
      <c r="J336" s="250"/>
      <c r="K336" s="270"/>
      <c r="L336" s="250"/>
      <c r="M336" s="250"/>
      <c r="N336" s="540" t="str">
        <f>CONCATENATE(IF(OR(M336=phu!$I$1,M336=phu!$I$2,M336=phu!$I$3),"Cam Thành Nam",""),IF(OR(M336=phu!$I$4,M336=phu!$I$5,M336=phu!$I$6,M336=phu!$I$7,M336=phu!$I$8,M336=phu!$I$9,M336=phu!$I$10,M336=phu!$I$11,M336=phu!$I$12,M336=phu!$I$13,M336=phu!$I$14),"Cam Nghĩa",""),IF(OR(M336=phu!$I$15,M336=phu!$I$16,M336=phu!$I$17,M336=phu!$I$18,M336=phu!$I$19,M336=phu!$I$20,M336=phu!$I$21),"Cam Phúc Bắc",""),IF(OR(M336=phu!$I$22,M336=phu!$I$23,M336=phu!$I$24,M336=phu!$I$25),"Cam Phúc Nam",""),IF(OR(M336=phu!$I$26,M336=phu!$I$27,M336=phu!$I$28,M336=phu!$I$29,M336=phu!$I$30,M336=phu!$I$31),"Cam Phú",""),IF(OR(M336=phu!$I$32,M336=phu!$I$33,M336=phu!$I$34,M336=phu!$I$35,M336=phu!$I$36,M336=phu!$I$37),"Cam Lộc",""),IF(OR(M336=phu!$I$38,M336=phu!$I$39,M336=phu!$I$40,M336=phu!$I$41,M336=phu!$I$42,M336=phu!$I$43,M336=phu!$I$44),"Cam Thuận",""),IF(OR(M336=phu!$I$45,M336=phu!$I$46,M336=phu!$I$47,M336=phu!$I$48,M336=phu!$I$49,M336=phu!$I$50,M336=phu!$I$51,M336=phu!$I$52,M336=phu!$I$53),"Cam Linh",""),IF(OR(M336=phu!$I$54,M336=phu!$I$55,M336=phu!$I$56,M336=phu!$I$57,M336=phu!$I$58,M336=phu!$I$59,M336=phu!$I$60,M336=phu!$I$61,M336=phu!$I$62),"Cam Lợi",""),IF(OR(M336=phu!$I$63,M336=phu!$I$64,M336=phu!$I$65,M336=phu!$I$66,M336=phu!$I$67,M336=phu!$I$68,M336=phu!$I$69,M336=phu!$I$70,M336=phu!$I$71),"Ba Ngòi",""),IF(OR(M336=phu!$I$72,M336=phu!$I$73,M336=phu!$I$74,M336=phu!$I$75,M336=phu!$I$76,M336=phu!$I$77,M336=phu!$I$78),"Cam Phước Đông",""),IF(OR(M336=phu!$I$79,M336=phu!$I$80,M336=phu!$I$81,M336=phu!$I$82,M336=phu!$I$83,M336=phu!$I$84),"Cam Thịnh Đông",""),IF(OR(M336=phu!$I$85,M336=phu!$I$86,M336=phu!$I$87,M336=phu!$I$88),"Cam Thịnh Tây",""),IF(OR(M336=phu!$I$89,M336=phu!$I$90),"Cam Lập",""),IF(OR(M336=phu!$I$91,M336=phu!$I$92,M336=phu!$I$93),"Cam Bình",""),IF(OR(M336=phu!$I$94,M336=phu!$I$95,M336=phu!$I$96,M336=phu!$I$97,M336=phu!$I$98,M336=phu!$I$99,M336=phu!$I$100),"Huyện khác",""),IF(OR(M336=phu!$I$101,M336=phu!$I$102),"Tỉnh khác",""))</f>
        <v/>
      </c>
      <c r="O336" s="829" t="str">
        <f t="shared" si="30"/>
        <v/>
      </c>
      <c r="P336" s="254"/>
      <c r="Q336" s="254"/>
      <c r="R336" s="254"/>
      <c r="S336" s="254"/>
      <c r="T336" s="254"/>
      <c r="U336" s="254"/>
      <c r="V336" s="254"/>
      <c r="W336" s="254"/>
      <c r="Y336" s="246" t="str">
        <f t="shared" si="31"/>
        <v/>
      </c>
      <c r="Z336" s="247" t="str">
        <f t="shared" si="35"/>
        <v/>
      </c>
      <c r="AA336" s="246" t="str">
        <f t="shared" si="32"/>
        <v/>
      </c>
    </row>
    <row r="337" spans="1:27" ht="18" customHeight="1" x14ac:dyDescent="0.25">
      <c r="A337" s="248" t="str">
        <f t="shared" si="33"/>
        <v/>
      </c>
      <c r="B337" s="249" t="str">
        <f t="shared" si="34"/>
        <v/>
      </c>
      <c r="C337" s="250"/>
      <c r="D337" s="251"/>
      <c r="E337" s="241"/>
      <c r="F337" s="252"/>
      <c r="G337" s="252"/>
      <c r="H337" s="253"/>
      <c r="I337" s="250"/>
      <c r="J337" s="250"/>
      <c r="K337" s="270"/>
      <c r="L337" s="250"/>
      <c r="M337" s="250"/>
      <c r="N337" s="540" t="str">
        <f>CONCATENATE(IF(OR(M337=phu!$I$1,M337=phu!$I$2,M337=phu!$I$3),"Cam Thành Nam",""),IF(OR(M337=phu!$I$4,M337=phu!$I$5,M337=phu!$I$6,M337=phu!$I$7,M337=phu!$I$8,M337=phu!$I$9,M337=phu!$I$10,M337=phu!$I$11,M337=phu!$I$12,M337=phu!$I$13,M337=phu!$I$14),"Cam Nghĩa",""),IF(OR(M337=phu!$I$15,M337=phu!$I$16,M337=phu!$I$17,M337=phu!$I$18,M337=phu!$I$19,M337=phu!$I$20,M337=phu!$I$21),"Cam Phúc Bắc",""),IF(OR(M337=phu!$I$22,M337=phu!$I$23,M337=phu!$I$24,M337=phu!$I$25),"Cam Phúc Nam",""),IF(OR(M337=phu!$I$26,M337=phu!$I$27,M337=phu!$I$28,M337=phu!$I$29,M337=phu!$I$30,M337=phu!$I$31),"Cam Phú",""),IF(OR(M337=phu!$I$32,M337=phu!$I$33,M337=phu!$I$34,M337=phu!$I$35,M337=phu!$I$36,M337=phu!$I$37),"Cam Lộc",""),IF(OR(M337=phu!$I$38,M337=phu!$I$39,M337=phu!$I$40,M337=phu!$I$41,M337=phu!$I$42,M337=phu!$I$43,M337=phu!$I$44),"Cam Thuận",""),IF(OR(M337=phu!$I$45,M337=phu!$I$46,M337=phu!$I$47,M337=phu!$I$48,M337=phu!$I$49,M337=phu!$I$50,M337=phu!$I$51,M337=phu!$I$52,M337=phu!$I$53),"Cam Linh",""),IF(OR(M337=phu!$I$54,M337=phu!$I$55,M337=phu!$I$56,M337=phu!$I$57,M337=phu!$I$58,M337=phu!$I$59,M337=phu!$I$60,M337=phu!$I$61,M337=phu!$I$62),"Cam Lợi",""),IF(OR(M337=phu!$I$63,M337=phu!$I$64,M337=phu!$I$65,M337=phu!$I$66,M337=phu!$I$67,M337=phu!$I$68,M337=phu!$I$69,M337=phu!$I$70,M337=phu!$I$71),"Ba Ngòi",""),IF(OR(M337=phu!$I$72,M337=phu!$I$73,M337=phu!$I$74,M337=phu!$I$75,M337=phu!$I$76,M337=phu!$I$77,M337=phu!$I$78),"Cam Phước Đông",""),IF(OR(M337=phu!$I$79,M337=phu!$I$80,M337=phu!$I$81,M337=phu!$I$82,M337=phu!$I$83,M337=phu!$I$84),"Cam Thịnh Đông",""),IF(OR(M337=phu!$I$85,M337=phu!$I$86,M337=phu!$I$87,M337=phu!$I$88),"Cam Thịnh Tây",""),IF(OR(M337=phu!$I$89,M337=phu!$I$90),"Cam Lập",""),IF(OR(M337=phu!$I$91,M337=phu!$I$92,M337=phu!$I$93),"Cam Bình",""),IF(OR(M337=phu!$I$94,M337=phu!$I$95,M337=phu!$I$96,M337=phu!$I$97,M337=phu!$I$98,M337=phu!$I$99,M337=phu!$I$100),"Huyện khác",""),IF(OR(M337=phu!$I$101,M337=phu!$I$102),"Tỉnh khác",""))</f>
        <v/>
      </c>
      <c r="O337" s="829" t="str">
        <f t="shared" si="30"/>
        <v/>
      </c>
      <c r="P337" s="254"/>
      <c r="Q337" s="254"/>
      <c r="R337" s="254"/>
      <c r="S337" s="254"/>
      <c r="T337" s="254"/>
      <c r="U337" s="254"/>
      <c r="V337" s="254"/>
      <c r="W337" s="254"/>
      <c r="Y337" s="246" t="str">
        <f t="shared" si="31"/>
        <v/>
      </c>
      <c r="Z337" s="247" t="str">
        <f t="shared" si="35"/>
        <v/>
      </c>
      <c r="AA337" s="246" t="str">
        <f t="shared" si="32"/>
        <v/>
      </c>
    </row>
    <row r="338" spans="1:27" ht="18" customHeight="1" x14ac:dyDescent="0.25">
      <c r="A338" s="248" t="str">
        <f t="shared" si="33"/>
        <v/>
      </c>
      <c r="B338" s="249" t="str">
        <f t="shared" si="34"/>
        <v/>
      </c>
      <c r="C338" s="250"/>
      <c r="D338" s="251"/>
      <c r="E338" s="241"/>
      <c r="F338" s="252"/>
      <c r="G338" s="252"/>
      <c r="H338" s="253"/>
      <c r="I338" s="250"/>
      <c r="J338" s="250"/>
      <c r="K338" s="270"/>
      <c r="L338" s="250"/>
      <c r="M338" s="250"/>
      <c r="N338" s="540" t="str">
        <f>CONCATENATE(IF(OR(M338=phu!$I$1,M338=phu!$I$2,M338=phu!$I$3),"Cam Thành Nam",""),IF(OR(M338=phu!$I$4,M338=phu!$I$5,M338=phu!$I$6,M338=phu!$I$7,M338=phu!$I$8,M338=phu!$I$9,M338=phu!$I$10,M338=phu!$I$11,M338=phu!$I$12,M338=phu!$I$13,M338=phu!$I$14),"Cam Nghĩa",""),IF(OR(M338=phu!$I$15,M338=phu!$I$16,M338=phu!$I$17,M338=phu!$I$18,M338=phu!$I$19,M338=phu!$I$20,M338=phu!$I$21),"Cam Phúc Bắc",""),IF(OR(M338=phu!$I$22,M338=phu!$I$23,M338=phu!$I$24,M338=phu!$I$25),"Cam Phúc Nam",""),IF(OR(M338=phu!$I$26,M338=phu!$I$27,M338=phu!$I$28,M338=phu!$I$29,M338=phu!$I$30,M338=phu!$I$31),"Cam Phú",""),IF(OR(M338=phu!$I$32,M338=phu!$I$33,M338=phu!$I$34,M338=phu!$I$35,M338=phu!$I$36,M338=phu!$I$37),"Cam Lộc",""),IF(OR(M338=phu!$I$38,M338=phu!$I$39,M338=phu!$I$40,M338=phu!$I$41,M338=phu!$I$42,M338=phu!$I$43,M338=phu!$I$44),"Cam Thuận",""),IF(OR(M338=phu!$I$45,M338=phu!$I$46,M338=phu!$I$47,M338=phu!$I$48,M338=phu!$I$49,M338=phu!$I$50,M338=phu!$I$51,M338=phu!$I$52,M338=phu!$I$53),"Cam Linh",""),IF(OR(M338=phu!$I$54,M338=phu!$I$55,M338=phu!$I$56,M338=phu!$I$57,M338=phu!$I$58,M338=phu!$I$59,M338=phu!$I$60,M338=phu!$I$61,M338=phu!$I$62),"Cam Lợi",""),IF(OR(M338=phu!$I$63,M338=phu!$I$64,M338=phu!$I$65,M338=phu!$I$66,M338=phu!$I$67,M338=phu!$I$68,M338=phu!$I$69,M338=phu!$I$70,M338=phu!$I$71),"Ba Ngòi",""),IF(OR(M338=phu!$I$72,M338=phu!$I$73,M338=phu!$I$74,M338=phu!$I$75,M338=phu!$I$76,M338=phu!$I$77,M338=phu!$I$78),"Cam Phước Đông",""),IF(OR(M338=phu!$I$79,M338=phu!$I$80,M338=phu!$I$81,M338=phu!$I$82,M338=phu!$I$83,M338=phu!$I$84),"Cam Thịnh Đông",""),IF(OR(M338=phu!$I$85,M338=phu!$I$86,M338=phu!$I$87,M338=phu!$I$88),"Cam Thịnh Tây",""),IF(OR(M338=phu!$I$89,M338=phu!$I$90),"Cam Lập",""),IF(OR(M338=phu!$I$91,M338=phu!$I$92,M338=phu!$I$93),"Cam Bình",""),IF(OR(M338=phu!$I$94,M338=phu!$I$95,M338=phu!$I$96,M338=phu!$I$97,M338=phu!$I$98,M338=phu!$I$99,M338=phu!$I$100),"Huyện khác",""),IF(OR(M338=phu!$I$101,M338=phu!$I$102),"Tỉnh khác",""))</f>
        <v/>
      </c>
      <c r="O338" s="829" t="str">
        <f t="shared" si="30"/>
        <v/>
      </c>
      <c r="P338" s="254"/>
      <c r="Q338" s="254"/>
      <c r="R338" s="254"/>
      <c r="S338" s="254"/>
      <c r="T338" s="254"/>
      <c r="U338" s="254"/>
      <c r="V338" s="254"/>
      <c r="W338" s="254"/>
      <c r="Y338" s="246" t="str">
        <f t="shared" si="31"/>
        <v/>
      </c>
      <c r="Z338" s="247" t="str">
        <f t="shared" si="35"/>
        <v/>
      </c>
      <c r="AA338" s="246" t="str">
        <f t="shared" si="32"/>
        <v/>
      </c>
    </row>
    <row r="339" spans="1:27" ht="18" customHeight="1" x14ac:dyDescent="0.25">
      <c r="A339" s="248" t="str">
        <f t="shared" si="33"/>
        <v/>
      </c>
      <c r="B339" s="249" t="str">
        <f t="shared" si="34"/>
        <v/>
      </c>
      <c r="C339" s="250"/>
      <c r="D339" s="251"/>
      <c r="E339" s="241"/>
      <c r="F339" s="252"/>
      <c r="G339" s="252"/>
      <c r="H339" s="253"/>
      <c r="I339" s="250"/>
      <c r="J339" s="250"/>
      <c r="K339" s="270"/>
      <c r="L339" s="250"/>
      <c r="M339" s="250"/>
      <c r="N339" s="540" t="str">
        <f>CONCATENATE(IF(OR(M339=phu!$I$1,M339=phu!$I$2,M339=phu!$I$3),"Cam Thành Nam",""),IF(OR(M339=phu!$I$4,M339=phu!$I$5,M339=phu!$I$6,M339=phu!$I$7,M339=phu!$I$8,M339=phu!$I$9,M339=phu!$I$10,M339=phu!$I$11,M339=phu!$I$12,M339=phu!$I$13,M339=phu!$I$14),"Cam Nghĩa",""),IF(OR(M339=phu!$I$15,M339=phu!$I$16,M339=phu!$I$17,M339=phu!$I$18,M339=phu!$I$19,M339=phu!$I$20,M339=phu!$I$21),"Cam Phúc Bắc",""),IF(OR(M339=phu!$I$22,M339=phu!$I$23,M339=phu!$I$24,M339=phu!$I$25),"Cam Phúc Nam",""),IF(OR(M339=phu!$I$26,M339=phu!$I$27,M339=phu!$I$28,M339=phu!$I$29,M339=phu!$I$30,M339=phu!$I$31),"Cam Phú",""),IF(OR(M339=phu!$I$32,M339=phu!$I$33,M339=phu!$I$34,M339=phu!$I$35,M339=phu!$I$36,M339=phu!$I$37),"Cam Lộc",""),IF(OR(M339=phu!$I$38,M339=phu!$I$39,M339=phu!$I$40,M339=phu!$I$41,M339=phu!$I$42,M339=phu!$I$43,M339=phu!$I$44),"Cam Thuận",""),IF(OR(M339=phu!$I$45,M339=phu!$I$46,M339=phu!$I$47,M339=phu!$I$48,M339=phu!$I$49,M339=phu!$I$50,M339=phu!$I$51,M339=phu!$I$52,M339=phu!$I$53),"Cam Linh",""),IF(OR(M339=phu!$I$54,M339=phu!$I$55,M339=phu!$I$56,M339=phu!$I$57,M339=phu!$I$58,M339=phu!$I$59,M339=phu!$I$60,M339=phu!$I$61,M339=phu!$I$62),"Cam Lợi",""),IF(OR(M339=phu!$I$63,M339=phu!$I$64,M339=phu!$I$65,M339=phu!$I$66,M339=phu!$I$67,M339=phu!$I$68,M339=phu!$I$69,M339=phu!$I$70,M339=phu!$I$71),"Ba Ngòi",""),IF(OR(M339=phu!$I$72,M339=phu!$I$73,M339=phu!$I$74,M339=phu!$I$75,M339=phu!$I$76,M339=phu!$I$77,M339=phu!$I$78),"Cam Phước Đông",""),IF(OR(M339=phu!$I$79,M339=phu!$I$80,M339=phu!$I$81,M339=phu!$I$82,M339=phu!$I$83,M339=phu!$I$84),"Cam Thịnh Đông",""),IF(OR(M339=phu!$I$85,M339=phu!$I$86,M339=phu!$I$87,M339=phu!$I$88),"Cam Thịnh Tây",""),IF(OR(M339=phu!$I$89,M339=phu!$I$90),"Cam Lập",""),IF(OR(M339=phu!$I$91,M339=phu!$I$92,M339=phu!$I$93),"Cam Bình",""),IF(OR(M339=phu!$I$94,M339=phu!$I$95,M339=phu!$I$96,M339=phu!$I$97,M339=phu!$I$98,M339=phu!$I$99,M339=phu!$I$100),"Huyện khác",""),IF(OR(M339=phu!$I$101,M339=phu!$I$102),"Tỉnh khác",""))</f>
        <v/>
      </c>
      <c r="O339" s="829" t="str">
        <f t="shared" si="30"/>
        <v/>
      </c>
      <c r="P339" s="254"/>
      <c r="Q339" s="254"/>
      <c r="R339" s="254"/>
      <c r="S339" s="254"/>
      <c r="T339" s="254"/>
      <c r="U339" s="254"/>
      <c r="V339" s="254"/>
      <c r="W339" s="254"/>
      <c r="Y339" s="246" t="str">
        <f t="shared" si="31"/>
        <v/>
      </c>
      <c r="Z339" s="247" t="str">
        <f t="shared" si="35"/>
        <v/>
      </c>
      <c r="AA339" s="246" t="str">
        <f t="shared" si="32"/>
        <v/>
      </c>
    </row>
    <row r="340" spans="1:27" ht="18" customHeight="1" x14ac:dyDescent="0.25">
      <c r="A340" s="248" t="str">
        <f t="shared" si="33"/>
        <v/>
      </c>
      <c r="B340" s="249" t="str">
        <f t="shared" si="34"/>
        <v/>
      </c>
      <c r="C340" s="250"/>
      <c r="D340" s="251"/>
      <c r="E340" s="241"/>
      <c r="F340" s="252"/>
      <c r="G340" s="252"/>
      <c r="H340" s="253"/>
      <c r="I340" s="250"/>
      <c r="J340" s="250"/>
      <c r="K340" s="270"/>
      <c r="L340" s="250"/>
      <c r="M340" s="250"/>
      <c r="N340" s="540" t="str">
        <f>CONCATENATE(IF(OR(M340=phu!$I$1,M340=phu!$I$2,M340=phu!$I$3),"Cam Thành Nam",""),IF(OR(M340=phu!$I$4,M340=phu!$I$5,M340=phu!$I$6,M340=phu!$I$7,M340=phu!$I$8,M340=phu!$I$9,M340=phu!$I$10,M340=phu!$I$11,M340=phu!$I$12,M340=phu!$I$13,M340=phu!$I$14),"Cam Nghĩa",""),IF(OR(M340=phu!$I$15,M340=phu!$I$16,M340=phu!$I$17,M340=phu!$I$18,M340=phu!$I$19,M340=phu!$I$20,M340=phu!$I$21),"Cam Phúc Bắc",""),IF(OR(M340=phu!$I$22,M340=phu!$I$23,M340=phu!$I$24,M340=phu!$I$25),"Cam Phúc Nam",""),IF(OR(M340=phu!$I$26,M340=phu!$I$27,M340=phu!$I$28,M340=phu!$I$29,M340=phu!$I$30,M340=phu!$I$31),"Cam Phú",""),IF(OR(M340=phu!$I$32,M340=phu!$I$33,M340=phu!$I$34,M340=phu!$I$35,M340=phu!$I$36,M340=phu!$I$37),"Cam Lộc",""),IF(OR(M340=phu!$I$38,M340=phu!$I$39,M340=phu!$I$40,M340=phu!$I$41,M340=phu!$I$42,M340=phu!$I$43,M340=phu!$I$44),"Cam Thuận",""),IF(OR(M340=phu!$I$45,M340=phu!$I$46,M340=phu!$I$47,M340=phu!$I$48,M340=phu!$I$49,M340=phu!$I$50,M340=phu!$I$51,M340=phu!$I$52,M340=phu!$I$53),"Cam Linh",""),IF(OR(M340=phu!$I$54,M340=phu!$I$55,M340=phu!$I$56,M340=phu!$I$57,M340=phu!$I$58,M340=phu!$I$59,M340=phu!$I$60,M340=phu!$I$61,M340=phu!$I$62),"Cam Lợi",""),IF(OR(M340=phu!$I$63,M340=phu!$I$64,M340=phu!$I$65,M340=phu!$I$66,M340=phu!$I$67,M340=phu!$I$68,M340=phu!$I$69,M340=phu!$I$70,M340=phu!$I$71),"Ba Ngòi",""),IF(OR(M340=phu!$I$72,M340=phu!$I$73,M340=phu!$I$74,M340=phu!$I$75,M340=phu!$I$76,M340=phu!$I$77,M340=phu!$I$78),"Cam Phước Đông",""),IF(OR(M340=phu!$I$79,M340=phu!$I$80,M340=phu!$I$81,M340=phu!$I$82,M340=phu!$I$83,M340=phu!$I$84),"Cam Thịnh Đông",""),IF(OR(M340=phu!$I$85,M340=phu!$I$86,M340=phu!$I$87,M340=phu!$I$88),"Cam Thịnh Tây",""),IF(OR(M340=phu!$I$89,M340=phu!$I$90),"Cam Lập",""),IF(OR(M340=phu!$I$91,M340=phu!$I$92,M340=phu!$I$93),"Cam Bình",""),IF(OR(M340=phu!$I$94,M340=phu!$I$95,M340=phu!$I$96,M340=phu!$I$97,M340=phu!$I$98,M340=phu!$I$99,M340=phu!$I$100),"Huyện khác",""),IF(OR(M340=phu!$I$101,M340=phu!$I$102),"Tỉnh khác",""))</f>
        <v/>
      </c>
      <c r="O340" s="829" t="str">
        <f t="shared" si="30"/>
        <v/>
      </c>
      <c r="P340" s="254"/>
      <c r="Q340" s="254"/>
      <c r="R340" s="254"/>
      <c r="S340" s="254"/>
      <c r="T340" s="254"/>
      <c r="U340" s="254"/>
      <c r="V340" s="254"/>
      <c r="W340" s="254"/>
      <c r="Y340" s="246" t="str">
        <f t="shared" si="31"/>
        <v/>
      </c>
      <c r="Z340" s="247" t="str">
        <f t="shared" si="35"/>
        <v/>
      </c>
      <c r="AA340" s="246" t="str">
        <f t="shared" si="32"/>
        <v/>
      </c>
    </row>
    <row r="341" spans="1:27" ht="18" customHeight="1" x14ac:dyDescent="0.25">
      <c r="A341" s="248" t="str">
        <f t="shared" si="33"/>
        <v/>
      </c>
      <c r="B341" s="249" t="str">
        <f t="shared" si="34"/>
        <v/>
      </c>
      <c r="C341" s="250"/>
      <c r="D341" s="251"/>
      <c r="E341" s="241"/>
      <c r="F341" s="252"/>
      <c r="G341" s="252"/>
      <c r="H341" s="253"/>
      <c r="I341" s="250"/>
      <c r="J341" s="250"/>
      <c r="K341" s="270"/>
      <c r="L341" s="250"/>
      <c r="M341" s="250"/>
      <c r="N341" s="540" t="str">
        <f>CONCATENATE(IF(OR(M341=phu!$I$1,M341=phu!$I$2,M341=phu!$I$3),"Cam Thành Nam",""),IF(OR(M341=phu!$I$4,M341=phu!$I$5,M341=phu!$I$6,M341=phu!$I$7,M341=phu!$I$8,M341=phu!$I$9,M341=phu!$I$10,M341=phu!$I$11,M341=phu!$I$12,M341=phu!$I$13,M341=phu!$I$14),"Cam Nghĩa",""),IF(OR(M341=phu!$I$15,M341=phu!$I$16,M341=phu!$I$17,M341=phu!$I$18,M341=phu!$I$19,M341=phu!$I$20,M341=phu!$I$21),"Cam Phúc Bắc",""),IF(OR(M341=phu!$I$22,M341=phu!$I$23,M341=phu!$I$24,M341=phu!$I$25),"Cam Phúc Nam",""),IF(OR(M341=phu!$I$26,M341=phu!$I$27,M341=phu!$I$28,M341=phu!$I$29,M341=phu!$I$30,M341=phu!$I$31),"Cam Phú",""),IF(OR(M341=phu!$I$32,M341=phu!$I$33,M341=phu!$I$34,M341=phu!$I$35,M341=phu!$I$36,M341=phu!$I$37),"Cam Lộc",""),IF(OR(M341=phu!$I$38,M341=phu!$I$39,M341=phu!$I$40,M341=phu!$I$41,M341=phu!$I$42,M341=phu!$I$43,M341=phu!$I$44),"Cam Thuận",""),IF(OR(M341=phu!$I$45,M341=phu!$I$46,M341=phu!$I$47,M341=phu!$I$48,M341=phu!$I$49,M341=phu!$I$50,M341=phu!$I$51,M341=phu!$I$52,M341=phu!$I$53),"Cam Linh",""),IF(OR(M341=phu!$I$54,M341=phu!$I$55,M341=phu!$I$56,M341=phu!$I$57,M341=phu!$I$58,M341=phu!$I$59,M341=phu!$I$60,M341=phu!$I$61,M341=phu!$I$62),"Cam Lợi",""),IF(OR(M341=phu!$I$63,M341=phu!$I$64,M341=phu!$I$65,M341=phu!$I$66,M341=phu!$I$67,M341=phu!$I$68,M341=phu!$I$69,M341=phu!$I$70,M341=phu!$I$71),"Ba Ngòi",""),IF(OR(M341=phu!$I$72,M341=phu!$I$73,M341=phu!$I$74,M341=phu!$I$75,M341=phu!$I$76,M341=phu!$I$77,M341=phu!$I$78),"Cam Phước Đông",""),IF(OR(M341=phu!$I$79,M341=phu!$I$80,M341=phu!$I$81,M341=phu!$I$82,M341=phu!$I$83,M341=phu!$I$84),"Cam Thịnh Đông",""),IF(OR(M341=phu!$I$85,M341=phu!$I$86,M341=phu!$I$87,M341=phu!$I$88),"Cam Thịnh Tây",""),IF(OR(M341=phu!$I$89,M341=phu!$I$90),"Cam Lập",""),IF(OR(M341=phu!$I$91,M341=phu!$I$92,M341=phu!$I$93),"Cam Bình",""),IF(OR(M341=phu!$I$94,M341=phu!$I$95,M341=phu!$I$96,M341=phu!$I$97,M341=phu!$I$98,M341=phu!$I$99,M341=phu!$I$100),"Huyện khác",""),IF(OR(M341=phu!$I$101,M341=phu!$I$102),"Tỉnh khác",""))</f>
        <v/>
      </c>
      <c r="O341" s="829" t="str">
        <f t="shared" si="30"/>
        <v/>
      </c>
      <c r="P341" s="254"/>
      <c r="Q341" s="254"/>
      <c r="R341" s="254"/>
      <c r="S341" s="254"/>
      <c r="T341" s="254"/>
      <c r="U341" s="254"/>
      <c r="V341" s="254"/>
      <c r="W341" s="254"/>
      <c r="Y341" s="246" t="str">
        <f t="shared" si="31"/>
        <v/>
      </c>
      <c r="Z341" s="247" t="str">
        <f t="shared" si="35"/>
        <v/>
      </c>
      <c r="AA341" s="246" t="str">
        <f t="shared" si="32"/>
        <v/>
      </c>
    </row>
    <row r="342" spans="1:27" ht="18" customHeight="1" x14ac:dyDescent="0.25">
      <c r="A342" s="248" t="str">
        <f t="shared" si="33"/>
        <v/>
      </c>
      <c r="B342" s="249" t="str">
        <f t="shared" si="34"/>
        <v/>
      </c>
      <c r="C342" s="250"/>
      <c r="D342" s="251"/>
      <c r="E342" s="241"/>
      <c r="F342" s="252"/>
      <c r="G342" s="252"/>
      <c r="H342" s="253"/>
      <c r="I342" s="250"/>
      <c r="J342" s="250"/>
      <c r="K342" s="270"/>
      <c r="L342" s="250"/>
      <c r="M342" s="250"/>
      <c r="N342" s="540" t="str">
        <f>CONCATENATE(IF(OR(M342=phu!$I$1,M342=phu!$I$2,M342=phu!$I$3),"Cam Thành Nam",""),IF(OR(M342=phu!$I$4,M342=phu!$I$5,M342=phu!$I$6,M342=phu!$I$7,M342=phu!$I$8,M342=phu!$I$9,M342=phu!$I$10,M342=phu!$I$11,M342=phu!$I$12,M342=phu!$I$13,M342=phu!$I$14),"Cam Nghĩa",""),IF(OR(M342=phu!$I$15,M342=phu!$I$16,M342=phu!$I$17,M342=phu!$I$18,M342=phu!$I$19,M342=phu!$I$20,M342=phu!$I$21),"Cam Phúc Bắc",""),IF(OR(M342=phu!$I$22,M342=phu!$I$23,M342=phu!$I$24,M342=phu!$I$25),"Cam Phúc Nam",""),IF(OR(M342=phu!$I$26,M342=phu!$I$27,M342=phu!$I$28,M342=phu!$I$29,M342=phu!$I$30,M342=phu!$I$31),"Cam Phú",""),IF(OR(M342=phu!$I$32,M342=phu!$I$33,M342=phu!$I$34,M342=phu!$I$35,M342=phu!$I$36,M342=phu!$I$37),"Cam Lộc",""),IF(OR(M342=phu!$I$38,M342=phu!$I$39,M342=phu!$I$40,M342=phu!$I$41,M342=phu!$I$42,M342=phu!$I$43,M342=phu!$I$44),"Cam Thuận",""),IF(OR(M342=phu!$I$45,M342=phu!$I$46,M342=phu!$I$47,M342=phu!$I$48,M342=phu!$I$49,M342=phu!$I$50,M342=phu!$I$51,M342=phu!$I$52,M342=phu!$I$53),"Cam Linh",""),IF(OR(M342=phu!$I$54,M342=phu!$I$55,M342=phu!$I$56,M342=phu!$I$57,M342=phu!$I$58,M342=phu!$I$59,M342=phu!$I$60,M342=phu!$I$61,M342=phu!$I$62),"Cam Lợi",""),IF(OR(M342=phu!$I$63,M342=phu!$I$64,M342=phu!$I$65,M342=phu!$I$66,M342=phu!$I$67,M342=phu!$I$68,M342=phu!$I$69,M342=phu!$I$70,M342=phu!$I$71),"Ba Ngòi",""),IF(OR(M342=phu!$I$72,M342=phu!$I$73,M342=phu!$I$74,M342=phu!$I$75,M342=phu!$I$76,M342=phu!$I$77,M342=phu!$I$78),"Cam Phước Đông",""),IF(OR(M342=phu!$I$79,M342=phu!$I$80,M342=phu!$I$81,M342=phu!$I$82,M342=phu!$I$83,M342=phu!$I$84),"Cam Thịnh Đông",""),IF(OR(M342=phu!$I$85,M342=phu!$I$86,M342=phu!$I$87,M342=phu!$I$88),"Cam Thịnh Tây",""),IF(OR(M342=phu!$I$89,M342=phu!$I$90),"Cam Lập",""),IF(OR(M342=phu!$I$91,M342=phu!$I$92,M342=phu!$I$93),"Cam Bình",""),IF(OR(M342=phu!$I$94,M342=phu!$I$95,M342=phu!$I$96,M342=phu!$I$97,M342=phu!$I$98,M342=phu!$I$99,M342=phu!$I$100),"Huyện khác",""),IF(OR(M342=phu!$I$101,M342=phu!$I$102),"Tỉnh khác",""))</f>
        <v/>
      </c>
      <c r="O342" s="829" t="str">
        <f t="shared" si="30"/>
        <v/>
      </c>
      <c r="P342" s="254"/>
      <c r="Q342" s="254"/>
      <c r="R342" s="254"/>
      <c r="S342" s="254"/>
      <c r="T342" s="254"/>
      <c r="U342" s="254"/>
      <c r="V342" s="254"/>
      <c r="W342" s="254"/>
      <c r="Y342" s="246" t="str">
        <f t="shared" si="31"/>
        <v/>
      </c>
      <c r="Z342" s="247" t="str">
        <f t="shared" si="35"/>
        <v/>
      </c>
      <c r="AA342" s="246" t="str">
        <f t="shared" si="32"/>
        <v/>
      </c>
    </row>
    <row r="343" spans="1:27" ht="18" customHeight="1" x14ac:dyDescent="0.25">
      <c r="A343" s="248" t="str">
        <f t="shared" si="33"/>
        <v/>
      </c>
      <c r="B343" s="249" t="str">
        <f t="shared" si="34"/>
        <v/>
      </c>
      <c r="C343" s="250"/>
      <c r="D343" s="251"/>
      <c r="E343" s="241"/>
      <c r="F343" s="252"/>
      <c r="G343" s="252"/>
      <c r="H343" s="253"/>
      <c r="I343" s="250"/>
      <c r="J343" s="250"/>
      <c r="K343" s="270"/>
      <c r="L343" s="250"/>
      <c r="M343" s="250"/>
      <c r="N343" s="540" t="str">
        <f>CONCATENATE(IF(OR(M343=phu!$I$1,M343=phu!$I$2,M343=phu!$I$3),"Cam Thành Nam",""),IF(OR(M343=phu!$I$4,M343=phu!$I$5,M343=phu!$I$6,M343=phu!$I$7,M343=phu!$I$8,M343=phu!$I$9,M343=phu!$I$10,M343=phu!$I$11,M343=phu!$I$12,M343=phu!$I$13,M343=phu!$I$14),"Cam Nghĩa",""),IF(OR(M343=phu!$I$15,M343=phu!$I$16,M343=phu!$I$17,M343=phu!$I$18,M343=phu!$I$19,M343=phu!$I$20,M343=phu!$I$21),"Cam Phúc Bắc",""),IF(OR(M343=phu!$I$22,M343=phu!$I$23,M343=phu!$I$24,M343=phu!$I$25),"Cam Phúc Nam",""),IF(OR(M343=phu!$I$26,M343=phu!$I$27,M343=phu!$I$28,M343=phu!$I$29,M343=phu!$I$30,M343=phu!$I$31),"Cam Phú",""),IF(OR(M343=phu!$I$32,M343=phu!$I$33,M343=phu!$I$34,M343=phu!$I$35,M343=phu!$I$36,M343=phu!$I$37),"Cam Lộc",""),IF(OR(M343=phu!$I$38,M343=phu!$I$39,M343=phu!$I$40,M343=phu!$I$41,M343=phu!$I$42,M343=phu!$I$43,M343=phu!$I$44),"Cam Thuận",""),IF(OR(M343=phu!$I$45,M343=phu!$I$46,M343=phu!$I$47,M343=phu!$I$48,M343=phu!$I$49,M343=phu!$I$50,M343=phu!$I$51,M343=phu!$I$52,M343=phu!$I$53),"Cam Linh",""),IF(OR(M343=phu!$I$54,M343=phu!$I$55,M343=phu!$I$56,M343=phu!$I$57,M343=phu!$I$58,M343=phu!$I$59,M343=phu!$I$60,M343=phu!$I$61,M343=phu!$I$62),"Cam Lợi",""),IF(OR(M343=phu!$I$63,M343=phu!$I$64,M343=phu!$I$65,M343=phu!$I$66,M343=phu!$I$67,M343=phu!$I$68,M343=phu!$I$69,M343=phu!$I$70,M343=phu!$I$71),"Ba Ngòi",""),IF(OR(M343=phu!$I$72,M343=phu!$I$73,M343=phu!$I$74,M343=phu!$I$75,M343=phu!$I$76,M343=phu!$I$77,M343=phu!$I$78),"Cam Phước Đông",""),IF(OR(M343=phu!$I$79,M343=phu!$I$80,M343=phu!$I$81,M343=phu!$I$82,M343=phu!$I$83,M343=phu!$I$84),"Cam Thịnh Đông",""),IF(OR(M343=phu!$I$85,M343=phu!$I$86,M343=phu!$I$87,M343=phu!$I$88),"Cam Thịnh Tây",""),IF(OR(M343=phu!$I$89,M343=phu!$I$90),"Cam Lập",""),IF(OR(M343=phu!$I$91,M343=phu!$I$92,M343=phu!$I$93),"Cam Bình",""),IF(OR(M343=phu!$I$94,M343=phu!$I$95,M343=phu!$I$96,M343=phu!$I$97,M343=phu!$I$98,M343=phu!$I$99,M343=phu!$I$100),"Huyện khác",""),IF(OR(M343=phu!$I$101,M343=phu!$I$102),"Tỉnh khác",""))</f>
        <v/>
      </c>
      <c r="O343" s="829" t="str">
        <f t="shared" si="30"/>
        <v/>
      </c>
      <c r="P343" s="254"/>
      <c r="Q343" s="254"/>
      <c r="R343" s="254"/>
      <c r="S343" s="254"/>
      <c r="T343" s="254"/>
      <c r="U343" s="254"/>
      <c r="V343" s="254"/>
      <c r="W343" s="254"/>
      <c r="Y343" s="246" t="str">
        <f t="shared" si="31"/>
        <v/>
      </c>
      <c r="Z343" s="247" t="str">
        <f t="shared" si="35"/>
        <v/>
      </c>
      <c r="AA343" s="246" t="str">
        <f t="shared" si="32"/>
        <v/>
      </c>
    </row>
    <row r="344" spans="1:27" ht="18" customHeight="1" x14ac:dyDescent="0.25">
      <c r="A344" s="248" t="str">
        <f t="shared" si="33"/>
        <v/>
      </c>
      <c r="B344" s="249" t="str">
        <f t="shared" si="34"/>
        <v/>
      </c>
      <c r="C344" s="250"/>
      <c r="D344" s="251"/>
      <c r="E344" s="241"/>
      <c r="F344" s="252"/>
      <c r="G344" s="252"/>
      <c r="H344" s="253"/>
      <c r="I344" s="250"/>
      <c r="J344" s="250"/>
      <c r="K344" s="270"/>
      <c r="L344" s="250"/>
      <c r="M344" s="250"/>
      <c r="N344" s="540" t="str">
        <f>CONCATENATE(IF(OR(M344=phu!$I$1,M344=phu!$I$2,M344=phu!$I$3),"Cam Thành Nam",""),IF(OR(M344=phu!$I$4,M344=phu!$I$5,M344=phu!$I$6,M344=phu!$I$7,M344=phu!$I$8,M344=phu!$I$9,M344=phu!$I$10,M344=phu!$I$11,M344=phu!$I$12,M344=phu!$I$13,M344=phu!$I$14),"Cam Nghĩa",""),IF(OR(M344=phu!$I$15,M344=phu!$I$16,M344=phu!$I$17,M344=phu!$I$18,M344=phu!$I$19,M344=phu!$I$20,M344=phu!$I$21),"Cam Phúc Bắc",""),IF(OR(M344=phu!$I$22,M344=phu!$I$23,M344=phu!$I$24,M344=phu!$I$25),"Cam Phúc Nam",""),IF(OR(M344=phu!$I$26,M344=phu!$I$27,M344=phu!$I$28,M344=phu!$I$29,M344=phu!$I$30,M344=phu!$I$31),"Cam Phú",""),IF(OR(M344=phu!$I$32,M344=phu!$I$33,M344=phu!$I$34,M344=phu!$I$35,M344=phu!$I$36,M344=phu!$I$37),"Cam Lộc",""),IF(OR(M344=phu!$I$38,M344=phu!$I$39,M344=phu!$I$40,M344=phu!$I$41,M344=phu!$I$42,M344=phu!$I$43,M344=phu!$I$44),"Cam Thuận",""),IF(OR(M344=phu!$I$45,M344=phu!$I$46,M344=phu!$I$47,M344=phu!$I$48,M344=phu!$I$49,M344=phu!$I$50,M344=phu!$I$51,M344=phu!$I$52,M344=phu!$I$53),"Cam Linh",""),IF(OR(M344=phu!$I$54,M344=phu!$I$55,M344=phu!$I$56,M344=phu!$I$57,M344=phu!$I$58,M344=phu!$I$59,M344=phu!$I$60,M344=phu!$I$61,M344=phu!$I$62),"Cam Lợi",""),IF(OR(M344=phu!$I$63,M344=phu!$I$64,M344=phu!$I$65,M344=phu!$I$66,M344=phu!$I$67,M344=phu!$I$68,M344=phu!$I$69,M344=phu!$I$70,M344=phu!$I$71),"Ba Ngòi",""),IF(OR(M344=phu!$I$72,M344=phu!$I$73,M344=phu!$I$74,M344=phu!$I$75,M344=phu!$I$76,M344=phu!$I$77,M344=phu!$I$78),"Cam Phước Đông",""),IF(OR(M344=phu!$I$79,M344=phu!$I$80,M344=phu!$I$81,M344=phu!$I$82,M344=phu!$I$83,M344=phu!$I$84),"Cam Thịnh Đông",""),IF(OR(M344=phu!$I$85,M344=phu!$I$86,M344=phu!$I$87,M344=phu!$I$88),"Cam Thịnh Tây",""),IF(OR(M344=phu!$I$89,M344=phu!$I$90),"Cam Lập",""),IF(OR(M344=phu!$I$91,M344=phu!$I$92,M344=phu!$I$93),"Cam Bình",""),IF(OR(M344=phu!$I$94,M344=phu!$I$95,M344=phu!$I$96,M344=phu!$I$97,M344=phu!$I$98,M344=phu!$I$99,M344=phu!$I$100),"Huyện khác",""),IF(OR(M344=phu!$I$101,M344=phu!$I$102),"Tỉnh khác",""))</f>
        <v/>
      </c>
      <c r="O344" s="829" t="str">
        <f t="shared" si="30"/>
        <v/>
      </c>
      <c r="P344" s="254"/>
      <c r="Q344" s="254"/>
      <c r="R344" s="254"/>
      <c r="S344" s="254"/>
      <c r="T344" s="254"/>
      <c r="U344" s="254"/>
      <c r="V344" s="254"/>
      <c r="W344" s="254"/>
      <c r="Y344" s="246" t="str">
        <f t="shared" si="31"/>
        <v/>
      </c>
      <c r="Z344" s="247" t="str">
        <f t="shared" si="35"/>
        <v/>
      </c>
      <c r="AA344" s="246" t="str">
        <f t="shared" si="32"/>
        <v/>
      </c>
    </row>
    <row r="345" spans="1:27" ht="18" customHeight="1" x14ac:dyDescent="0.25">
      <c r="A345" s="248" t="str">
        <f t="shared" si="33"/>
        <v/>
      </c>
      <c r="B345" s="249" t="str">
        <f t="shared" si="34"/>
        <v/>
      </c>
      <c r="C345" s="250"/>
      <c r="D345" s="251"/>
      <c r="E345" s="241"/>
      <c r="F345" s="252"/>
      <c r="G345" s="252"/>
      <c r="H345" s="253"/>
      <c r="I345" s="250"/>
      <c r="J345" s="250"/>
      <c r="K345" s="270"/>
      <c r="L345" s="250"/>
      <c r="M345" s="250"/>
      <c r="N345" s="540" t="str">
        <f>CONCATENATE(IF(OR(M345=phu!$I$1,M345=phu!$I$2,M345=phu!$I$3),"Cam Thành Nam",""),IF(OR(M345=phu!$I$4,M345=phu!$I$5,M345=phu!$I$6,M345=phu!$I$7,M345=phu!$I$8,M345=phu!$I$9,M345=phu!$I$10,M345=phu!$I$11,M345=phu!$I$12,M345=phu!$I$13,M345=phu!$I$14),"Cam Nghĩa",""),IF(OR(M345=phu!$I$15,M345=phu!$I$16,M345=phu!$I$17,M345=phu!$I$18,M345=phu!$I$19,M345=phu!$I$20,M345=phu!$I$21),"Cam Phúc Bắc",""),IF(OR(M345=phu!$I$22,M345=phu!$I$23,M345=phu!$I$24,M345=phu!$I$25),"Cam Phúc Nam",""),IF(OR(M345=phu!$I$26,M345=phu!$I$27,M345=phu!$I$28,M345=phu!$I$29,M345=phu!$I$30,M345=phu!$I$31),"Cam Phú",""),IF(OR(M345=phu!$I$32,M345=phu!$I$33,M345=phu!$I$34,M345=phu!$I$35,M345=phu!$I$36,M345=phu!$I$37),"Cam Lộc",""),IF(OR(M345=phu!$I$38,M345=phu!$I$39,M345=phu!$I$40,M345=phu!$I$41,M345=phu!$I$42,M345=phu!$I$43,M345=phu!$I$44),"Cam Thuận",""),IF(OR(M345=phu!$I$45,M345=phu!$I$46,M345=phu!$I$47,M345=phu!$I$48,M345=phu!$I$49,M345=phu!$I$50,M345=phu!$I$51,M345=phu!$I$52,M345=phu!$I$53),"Cam Linh",""),IF(OR(M345=phu!$I$54,M345=phu!$I$55,M345=phu!$I$56,M345=phu!$I$57,M345=phu!$I$58,M345=phu!$I$59,M345=phu!$I$60,M345=phu!$I$61,M345=phu!$I$62),"Cam Lợi",""),IF(OR(M345=phu!$I$63,M345=phu!$I$64,M345=phu!$I$65,M345=phu!$I$66,M345=phu!$I$67,M345=phu!$I$68,M345=phu!$I$69,M345=phu!$I$70,M345=phu!$I$71),"Ba Ngòi",""),IF(OR(M345=phu!$I$72,M345=phu!$I$73,M345=phu!$I$74,M345=phu!$I$75,M345=phu!$I$76,M345=phu!$I$77,M345=phu!$I$78),"Cam Phước Đông",""),IF(OR(M345=phu!$I$79,M345=phu!$I$80,M345=phu!$I$81,M345=phu!$I$82,M345=phu!$I$83,M345=phu!$I$84),"Cam Thịnh Đông",""),IF(OR(M345=phu!$I$85,M345=phu!$I$86,M345=phu!$I$87,M345=phu!$I$88),"Cam Thịnh Tây",""),IF(OR(M345=phu!$I$89,M345=phu!$I$90),"Cam Lập",""),IF(OR(M345=phu!$I$91,M345=phu!$I$92,M345=phu!$I$93),"Cam Bình",""),IF(OR(M345=phu!$I$94,M345=phu!$I$95,M345=phu!$I$96,M345=phu!$I$97,M345=phu!$I$98,M345=phu!$I$99,M345=phu!$I$100),"Huyện khác",""),IF(OR(M345=phu!$I$101,M345=phu!$I$102),"Tỉnh khác",""))</f>
        <v/>
      </c>
      <c r="O345" s="829" t="str">
        <f t="shared" si="30"/>
        <v/>
      </c>
      <c r="P345" s="254"/>
      <c r="Q345" s="254"/>
      <c r="R345" s="254"/>
      <c r="S345" s="254"/>
      <c r="T345" s="254"/>
      <c r="U345" s="254"/>
      <c r="V345" s="254"/>
      <c r="W345" s="254"/>
      <c r="Y345" s="246" t="str">
        <f t="shared" si="31"/>
        <v/>
      </c>
      <c r="Z345" s="247" t="str">
        <f t="shared" si="35"/>
        <v/>
      </c>
      <c r="AA345" s="246" t="str">
        <f t="shared" si="32"/>
        <v/>
      </c>
    </row>
    <row r="346" spans="1:27" ht="18" customHeight="1" x14ac:dyDescent="0.25">
      <c r="A346" s="248" t="str">
        <f t="shared" si="33"/>
        <v/>
      </c>
      <c r="B346" s="249" t="str">
        <f t="shared" si="34"/>
        <v/>
      </c>
      <c r="C346" s="250"/>
      <c r="D346" s="251"/>
      <c r="E346" s="241"/>
      <c r="F346" s="252"/>
      <c r="G346" s="252"/>
      <c r="H346" s="253"/>
      <c r="I346" s="250"/>
      <c r="J346" s="250"/>
      <c r="K346" s="270"/>
      <c r="L346" s="250"/>
      <c r="M346" s="250"/>
      <c r="N346" s="540" t="str">
        <f>CONCATENATE(IF(OR(M346=phu!$I$1,M346=phu!$I$2,M346=phu!$I$3),"Cam Thành Nam",""),IF(OR(M346=phu!$I$4,M346=phu!$I$5,M346=phu!$I$6,M346=phu!$I$7,M346=phu!$I$8,M346=phu!$I$9,M346=phu!$I$10,M346=phu!$I$11,M346=phu!$I$12,M346=phu!$I$13,M346=phu!$I$14),"Cam Nghĩa",""),IF(OR(M346=phu!$I$15,M346=phu!$I$16,M346=phu!$I$17,M346=phu!$I$18,M346=phu!$I$19,M346=phu!$I$20,M346=phu!$I$21),"Cam Phúc Bắc",""),IF(OR(M346=phu!$I$22,M346=phu!$I$23,M346=phu!$I$24,M346=phu!$I$25),"Cam Phúc Nam",""),IF(OR(M346=phu!$I$26,M346=phu!$I$27,M346=phu!$I$28,M346=phu!$I$29,M346=phu!$I$30,M346=phu!$I$31),"Cam Phú",""),IF(OR(M346=phu!$I$32,M346=phu!$I$33,M346=phu!$I$34,M346=phu!$I$35,M346=phu!$I$36,M346=phu!$I$37),"Cam Lộc",""),IF(OR(M346=phu!$I$38,M346=phu!$I$39,M346=phu!$I$40,M346=phu!$I$41,M346=phu!$I$42,M346=phu!$I$43,M346=phu!$I$44),"Cam Thuận",""),IF(OR(M346=phu!$I$45,M346=phu!$I$46,M346=phu!$I$47,M346=phu!$I$48,M346=phu!$I$49,M346=phu!$I$50,M346=phu!$I$51,M346=phu!$I$52,M346=phu!$I$53),"Cam Linh",""),IF(OR(M346=phu!$I$54,M346=phu!$I$55,M346=phu!$I$56,M346=phu!$I$57,M346=phu!$I$58,M346=phu!$I$59,M346=phu!$I$60,M346=phu!$I$61,M346=phu!$I$62),"Cam Lợi",""),IF(OR(M346=phu!$I$63,M346=phu!$I$64,M346=phu!$I$65,M346=phu!$I$66,M346=phu!$I$67,M346=phu!$I$68,M346=phu!$I$69,M346=phu!$I$70,M346=phu!$I$71),"Ba Ngòi",""),IF(OR(M346=phu!$I$72,M346=phu!$I$73,M346=phu!$I$74,M346=phu!$I$75,M346=phu!$I$76,M346=phu!$I$77,M346=phu!$I$78),"Cam Phước Đông",""),IF(OR(M346=phu!$I$79,M346=phu!$I$80,M346=phu!$I$81,M346=phu!$I$82,M346=phu!$I$83,M346=phu!$I$84),"Cam Thịnh Đông",""),IF(OR(M346=phu!$I$85,M346=phu!$I$86,M346=phu!$I$87,M346=phu!$I$88),"Cam Thịnh Tây",""),IF(OR(M346=phu!$I$89,M346=phu!$I$90),"Cam Lập",""),IF(OR(M346=phu!$I$91,M346=phu!$I$92,M346=phu!$I$93),"Cam Bình",""),IF(OR(M346=phu!$I$94,M346=phu!$I$95,M346=phu!$I$96,M346=phu!$I$97,M346=phu!$I$98,M346=phu!$I$99,M346=phu!$I$100),"Huyện khác",""),IF(OR(M346=phu!$I$101,M346=phu!$I$102),"Tỉnh khác",""))</f>
        <v/>
      </c>
      <c r="O346" s="829" t="str">
        <f t="shared" si="30"/>
        <v/>
      </c>
      <c r="P346" s="254"/>
      <c r="Q346" s="254"/>
      <c r="R346" s="254"/>
      <c r="S346" s="254"/>
      <c r="T346" s="254"/>
      <c r="U346" s="254"/>
      <c r="V346" s="254"/>
      <c r="W346" s="254"/>
      <c r="Y346" s="246" t="str">
        <f t="shared" si="31"/>
        <v/>
      </c>
      <c r="Z346" s="247" t="str">
        <f t="shared" si="35"/>
        <v/>
      </c>
      <c r="AA346" s="246" t="str">
        <f t="shared" si="32"/>
        <v/>
      </c>
    </row>
    <row r="347" spans="1:27" ht="18" customHeight="1" x14ac:dyDescent="0.25">
      <c r="A347" s="248" t="str">
        <f t="shared" si="33"/>
        <v/>
      </c>
      <c r="B347" s="249" t="str">
        <f t="shared" si="34"/>
        <v/>
      </c>
      <c r="C347" s="250"/>
      <c r="D347" s="251"/>
      <c r="E347" s="241"/>
      <c r="F347" s="252"/>
      <c r="G347" s="252"/>
      <c r="H347" s="253"/>
      <c r="I347" s="250"/>
      <c r="J347" s="250"/>
      <c r="K347" s="270"/>
      <c r="L347" s="250"/>
      <c r="M347" s="250"/>
      <c r="N347" s="540" t="str">
        <f>CONCATENATE(IF(OR(M347=phu!$I$1,M347=phu!$I$2,M347=phu!$I$3),"Cam Thành Nam",""),IF(OR(M347=phu!$I$4,M347=phu!$I$5,M347=phu!$I$6,M347=phu!$I$7,M347=phu!$I$8,M347=phu!$I$9,M347=phu!$I$10,M347=phu!$I$11,M347=phu!$I$12,M347=phu!$I$13,M347=phu!$I$14),"Cam Nghĩa",""),IF(OR(M347=phu!$I$15,M347=phu!$I$16,M347=phu!$I$17,M347=phu!$I$18,M347=phu!$I$19,M347=phu!$I$20,M347=phu!$I$21),"Cam Phúc Bắc",""),IF(OR(M347=phu!$I$22,M347=phu!$I$23,M347=phu!$I$24,M347=phu!$I$25),"Cam Phúc Nam",""),IF(OR(M347=phu!$I$26,M347=phu!$I$27,M347=phu!$I$28,M347=phu!$I$29,M347=phu!$I$30,M347=phu!$I$31),"Cam Phú",""),IF(OR(M347=phu!$I$32,M347=phu!$I$33,M347=phu!$I$34,M347=phu!$I$35,M347=phu!$I$36,M347=phu!$I$37),"Cam Lộc",""),IF(OR(M347=phu!$I$38,M347=phu!$I$39,M347=phu!$I$40,M347=phu!$I$41,M347=phu!$I$42,M347=phu!$I$43,M347=phu!$I$44),"Cam Thuận",""),IF(OR(M347=phu!$I$45,M347=phu!$I$46,M347=phu!$I$47,M347=phu!$I$48,M347=phu!$I$49,M347=phu!$I$50,M347=phu!$I$51,M347=phu!$I$52,M347=phu!$I$53),"Cam Linh",""),IF(OR(M347=phu!$I$54,M347=phu!$I$55,M347=phu!$I$56,M347=phu!$I$57,M347=phu!$I$58,M347=phu!$I$59,M347=phu!$I$60,M347=phu!$I$61,M347=phu!$I$62),"Cam Lợi",""),IF(OR(M347=phu!$I$63,M347=phu!$I$64,M347=phu!$I$65,M347=phu!$I$66,M347=phu!$I$67,M347=phu!$I$68,M347=phu!$I$69,M347=phu!$I$70,M347=phu!$I$71),"Ba Ngòi",""),IF(OR(M347=phu!$I$72,M347=phu!$I$73,M347=phu!$I$74,M347=phu!$I$75,M347=phu!$I$76,M347=phu!$I$77,M347=phu!$I$78),"Cam Phước Đông",""),IF(OR(M347=phu!$I$79,M347=phu!$I$80,M347=phu!$I$81,M347=phu!$I$82,M347=phu!$I$83,M347=phu!$I$84),"Cam Thịnh Đông",""),IF(OR(M347=phu!$I$85,M347=phu!$I$86,M347=phu!$I$87,M347=phu!$I$88),"Cam Thịnh Tây",""),IF(OR(M347=phu!$I$89,M347=phu!$I$90),"Cam Lập",""),IF(OR(M347=phu!$I$91,M347=phu!$I$92,M347=phu!$I$93),"Cam Bình",""),IF(OR(M347=phu!$I$94,M347=phu!$I$95,M347=phu!$I$96,M347=phu!$I$97,M347=phu!$I$98,M347=phu!$I$99,M347=phu!$I$100),"Huyện khác",""),IF(OR(M347=phu!$I$101,M347=phu!$I$102),"Tỉnh khác",""))</f>
        <v/>
      </c>
      <c r="O347" s="829" t="str">
        <f t="shared" si="30"/>
        <v/>
      </c>
      <c r="P347" s="254"/>
      <c r="Q347" s="254"/>
      <c r="R347" s="254"/>
      <c r="S347" s="254"/>
      <c r="T347" s="254"/>
      <c r="U347" s="254"/>
      <c r="V347" s="254"/>
      <c r="W347" s="254"/>
      <c r="Y347" s="246" t="str">
        <f t="shared" si="31"/>
        <v/>
      </c>
      <c r="Z347" s="247" t="str">
        <f t="shared" si="35"/>
        <v/>
      </c>
      <c r="AA347" s="246" t="str">
        <f t="shared" si="32"/>
        <v/>
      </c>
    </row>
    <row r="348" spans="1:27" ht="18" customHeight="1" x14ac:dyDescent="0.25">
      <c r="A348" s="248" t="str">
        <f t="shared" si="33"/>
        <v/>
      </c>
      <c r="B348" s="249" t="str">
        <f t="shared" si="34"/>
        <v/>
      </c>
      <c r="C348" s="250"/>
      <c r="D348" s="251"/>
      <c r="E348" s="241"/>
      <c r="F348" s="252"/>
      <c r="G348" s="252"/>
      <c r="H348" s="253"/>
      <c r="I348" s="250"/>
      <c r="J348" s="250"/>
      <c r="K348" s="270"/>
      <c r="L348" s="250"/>
      <c r="M348" s="250"/>
      <c r="N348" s="540" t="str">
        <f>CONCATENATE(IF(OR(M348=phu!$I$1,M348=phu!$I$2,M348=phu!$I$3),"Cam Thành Nam",""),IF(OR(M348=phu!$I$4,M348=phu!$I$5,M348=phu!$I$6,M348=phu!$I$7,M348=phu!$I$8,M348=phu!$I$9,M348=phu!$I$10,M348=phu!$I$11,M348=phu!$I$12,M348=phu!$I$13,M348=phu!$I$14),"Cam Nghĩa",""),IF(OR(M348=phu!$I$15,M348=phu!$I$16,M348=phu!$I$17,M348=phu!$I$18,M348=phu!$I$19,M348=phu!$I$20,M348=phu!$I$21),"Cam Phúc Bắc",""),IF(OR(M348=phu!$I$22,M348=phu!$I$23,M348=phu!$I$24,M348=phu!$I$25),"Cam Phúc Nam",""),IF(OR(M348=phu!$I$26,M348=phu!$I$27,M348=phu!$I$28,M348=phu!$I$29,M348=phu!$I$30,M348=phu!$I$31),"Cam Phú",""),IF(OR(M348=phu!$I$32,M348=phu!$I$33,M348=phu!$I$34,M348=phu!$I$35,M348=phu!$I$36,M348=phu!$I$37),"Cam Lộc",""),IF(OR(M348=phu!$I$38,M348=phu!$I$39,M348=phu!$I$40,M348=phu!$I$41,M348=phu!$I$42,M348=phu!$I$43,M348=phu!$I$44),"Cam Thuận",""),IF(OR(M348=phu!$I$45,M348=phu!$I$46,M348=phu!$I$47,M348=phu!$I$48,M348=phu!$I$49,M348=phu!$I$50,M348=phu!$I$51,M348=phu!$I$52,M348=phu!$I$53),"Cam Linh",""),IF(OR(M348=phu!$I$54,M348=phu!$I$55,M348=phu!$I$56,M348=phu!$I$57,M348=phu!$I$58,M348=phu!$I$59,M348=phu!$I$60,M348=phu!$I$61,M348=phu!$I$62),"Cam Lợi",""),IF(OR(M348=phu!$I$63,M348=phu!$I$64,M348=phu!$I$65,M348=phu!$I$66,M348=phu!$I$67,M348=phu!$I$68,M348=phu!$I$69,M348=phu!$I$70,M348=phu!$I$71),"Ba Ngòi",""),IF(OR(M348=phu!$I$72,M348=phu!$I$73,M348=phu!$I$74,M348=phu!$I$75,M348=phu!$I$76,M348=phu!$I$77,M348=phu!$I$78),"Cam Phước Đông",""),IF(OR(M348=phu!$I$79,M348=phu!$I$80,M348=phu!$I$81,M348=phu!$I$82,M348=phu!$I$83,M348=phu!$I$84),"Cam Thịnh Đông",""),IF(OR(M348=phu!$I$85,M348=phu!$I$86,M348=phu!$I$87,M348=phu!$I$88),"Cam Thịnh Tây",""),IF(OR(M348=phu!$I$89,M348=phu!$I$90),"Cam Lập",""),IF(OR(M348=phu!$I$91,M348=phu!$I$92,M348=phu!$I$93),"Cam Bình",""),IF(OR(M348=phu!$I$94,M348=phu!$I$95,M348=phu!$I$96,M348=phu!$I$97,M348=phu!$I$98,M348=phu!$I$99,M348=phu!$I$100),"Huyện khác",""),IF(OR(M348=phu!$I$101,M348=phu!$I$102),"Tỉnh khác",""))</f>
        <v/>
      </c>
      <c r="O348" s="829" t="str">
        <f t="shared" si="30"/>
        <v/>
      </c>
      <c r="P348" s="254"/>
      <c r="Q348" s="254"/>
      <c r="R348" s="254"/>
      <c r="S348" s="254"/>
      <c r="T348" s="254"/>
      <c r="U348" s="254"/>
      <c r="V348" s="254"/>
      <c r="W348" s="254"/>
      <c r="Y348" s="246" t="str">
        <f t="shared" si="31"/>
        <v/>
      </c>
      <c r="Z348" s="247" t="str">
        <f t="shared" si="35"/>
        <v/>
      </c>
      <c r="AA348" s="246" t="str">
        <f t="shared" si="32"/>
        <v/>
      </c>
    </row>
    <row r="349" spans="1:27" ht="18" customHeight="1" x14ac:dyDescent="0.25">
      <c r="A349" s="248" t="str">
        <f t="shared" si="33"/>
        <v/>
      </c>
      <c r="B349" s="249" t="str">
        <f t="shared" si="34"/>
        <v/>
      </c>
      <c r="C349" s="250"/>
      <c r="D349" s="251"/>
      <c r="E349" s="241"/>
      <c r="F349" s="252"/>
      <c r="G349" s="252"/>
      <c r="H349" s="253"/>
      <c r="I349" s="250"/>
      <c r="J349" s="250"/>
      <c r="K349" s="270"/>
      <c r="L349" s="250"/>
      <c r="M349" s="250"/>
      <c r="N349" s="540" t="str">
        <f>CONCATENATE(IF(OR(M349=phu!$I$1,M349=phu!$I$2,M349=phu!$I$3),"Cam Thành Nam",""),IF(OR(M349=phu!$I$4,M349=phu!$I$5,M349=phu!$I$6,M349=phu!$I$7,M349=phu!$I$8,M349=phu!$I$9,M349=phu!$I$10,M349=phu!$I$11,M349=phu!$I$12,M349=phu!$I$13,M349=phu!$I$14),"Cam Nghĩa",""),IF(OR(M349=phu!$I$15,M349=phu!$I$16,M349=phu!$I$17,M349=phu!$I$18,M349=phu!$I$19,M349=phu!$I$20,M349=phu!$I$21),"Cam Phúc Bắc",""),IF(OR(M349=phu!$I$22,M349=phu!$I$23,M349=phu!$I$24,M349=phu!$I$25),"Cam Phúc Nam",""),IF(OR(M349=phu!$I$26,M349=phu!$I$27,M349=phu!$I$28,M349=phu!$I$29,M349=phu!$I$30,M349=phu!$I$31),"Cam Phú",""),IF(OR(M349=phu!$I$32,M349=phu!$I$33,M349=phu!$I$34,M349=phu!$I$35,M349=phu!$I$36,M349=phu!$I$37),"Cam Lộc",""),IF(OR(M349=phu!$I$38,M349=phu!$I$39,M349=phu!$I$40,M349=phu!$I$41,M349=phu!$I$42,M349=phu!$I$43,M349=phu!$I$44),"Cam Thuận",""),IF(OR(M349=phu!$I$45,M349=phu!$I$46,M349=phu!$I$47,M349=phu!$I$48,M349=phu!$I$49,M349=phu!$I$50,M349=phu!$I$51,M349=phu!$I$52,M349=phu!$I$53),"Cam Linh",""),IF(OR(M349=phu!$I$54,M349=phu!$I$55,M349=phu!$I$56,M349=phu!$I$57,M349=phu!$I$58,M349=phu!$I$59,M349=phu!$I$60,M349=phu!$I$61,M349=phu!$I$62),"Cam Lợi",""),IF(OR(M349=phu!$I$63,M349=phu!$I$64,M349=phu!$I$65,M349=phu!$I$66,M349=phu!$I$67,M349=phu!$I$68,M349=phu!$I$69,M349=phu!$I$70,M349=phu!$I$71),"Ba Ngòi",""),IF(OR(M349=phu!$I$72,M349=phu!$I$73,M349=phu!$I$74,M349=phu!$I$75,M349=phu!$I$76,M349=phu!$I$77,M349=phu!$I$78),"Cam Phước Đông",""),IF(OR(M349=phu!$I$79,M349=phu!$I$80,M349=phu!$I$81,M349=phu!$I$82,M349=phu!$I$83,M349=phu!$I$84),"Cam Thịnh Đông",""),IF(OR(M349=phu!$I$85,M349=phu!$I$86,M349=phu!$I$87,M349=phu!$I$88),"Cam Thịnh Tây",""),IF(OR(M349=phu!$I$89,M349=phu!$I$90),"Cam Lập",""),IF(OR(M349=phu!$I$91,M349=phu!$I$92,M349=phu!$I$93),"Cam Bình",""),IF(OR(M349=phu!$I$94,M349=phu!$I$95,M349=phu!$I$96,M349=phu!$I$97,M349=phu!$I$98,M349=phu!$I$99,M349=phu!$I$100),"Huyện khác",""),IF(OR(M349=phu!$I$101,M349=phu!$I$102),"Tỉnh khác",""))</f>
        <v/>
      </c>
      <c r="O349" s="829" t="str">
        <f t="shared" si="30"/>
        <v/>
      </c>
      <c r="P349" s="254"/>
      <c r="Q349" s="254"/>
      <c r="R349" s="254"/>
      <c r="S349" s="254"/>
      <c r="T349" s="254"/>
      <c r="U349" s="254"/>
      <c r="V349" s="254"/>
      <c r="W349" s="254"/>
      <c r="Y349" s="246" t="str">
        <f t="shared" si="31"/>
        <v/>
      </c>
      <c r="Z349" s="247" t="str">
        <f t="shared" si="35"/>
        <v/>
      </c>
      <c r="AA349" s="246" t="str">
        <f t="shared" si="32"/>
        <v/>
      </c>
    </row>
    <row r="350" spans="1:27" ht="18" customHeight="1" x14ac:dyDescent="0.25">
      <c r="A350" s="248" t="str">
        <f t="shared" si="33"/>
        <v/>
      </c>
      <c r="B350" s="249" t="str">
        <f t="shared" si="34"/>
        <v/>
      </c>
      <c r="C350" s="250"/>
      <c r="D350" s="251"/>
      <c r="E350" s="241"/>
      <c r="F350" s="252"/>
      <c r="G350" s="252"/>
      <c r="H350" s="253"/>
      <c r="I350" s="250"/>
      <c r="J350" s="250"/>
      <c r="K350" s="270"/>
      <c r="L350" s="250"/>
      <c r="M350" s="250"/>
      <c r="N350" s="540" t="str">
        <f>CONCATENATE(IF(OR(M350=phu!$I$1,M350=phu!$I$2,M350=phu!$I$3),"Cam Thành Nam",""),IF(OR(M350=phu!$I$4,M350=phu!$I$5,M350=phu!$I$6,M350=phu!$I$7,M350=phu!$I$8,M350=phu!$I$9,M350=phu!$I$10,M350=phu!$I$11,M350=phu!$I$12,M350=phu!$I$13,M350=phu!$I$14),"Cam Nghĩa",""),IF(OR(M350=phu!$I$15,M350=phu!$I$16,M350=phu!$I$17,M350=phu!$I$18,M350=phu!$I$19,M350=phu!$I$20,M350=phu!$I$21),"Cam Phúc Bắc",""),IF(OR(M350=phu!$I$22,M350=phu!$I$23,M350=phu!$I$24,M350=phu!$I$25),"Cam Phúc Nam",""),IF(OR(M350=phu!$I$26,M350=phu!$I$27,M350=phu!$I$28,M350=phu!$I$29,M350=phu!$I$30,M350=phu!$I$31),"Cam Phú",""),IF(OR(M350=phu!$I$32,M350=phu!$I$33,M350=phu!$I$34,M350=phu!$I$35,M350=phu!$I$36,M350=phu!$I$37),"Cam Lộc",""),IF(OR(M350=phu!$I$38,M350=phu!$I$39,M350=phu!$I$40,M350=phu!$I$41,M350=phu!$I$42,M350=phu!$I$43,M350=phu!$I$44),"Cam Thuận",""),IF(OR(M350=phu!$I$45,M350=phu!$I$46,M350=phu!$I$47,M350=phu!$I$48,M350=phu!$I$49,M350=phu!$I$50,M350=phu!$I$51,M350=phu!$I$52,M350=phu!$I$53),"Cam Linh",""),IF(OR(M350=phu!$I$54,M350=phu!$I$55,M350=phu!$I$56,M350=phu!$I$57,M350=phu!$I$58,M350=phu!$I$59,M350=phu!$I$60,M350=phu!$I$61,M350=phu!$I$62),"Cam Lợi",""),IF(OR(M350=phu!$I$63,M350=phu!$I$64,M350=phu!$I$65,M350=phu!$I$66,M350=phu!$I$67,M350=phu!$I$68,M350=phu!$I$69,M350=phu!$I$70,M350=phu!$I$71),"Ba Ngòi",""),IF(OR(M350=phu!$I$72,M350=phu!$I$73,M350=phu!$I$74,M350=phu!$I$75,M350=phu!$I$76,M350=phu!$I$77,M350=phu!$I$78),"Cam Phước Đông",""),IF(OR(M350=phu!$I$79,M350=phu!$I$80,M350=phu!$I$81,M350=phu!$I$82,M350=phu!$I$83,M350=phu!$I$84),"Cam Thịnh Đông",""),IF(OR(M350=phu!$I$85,M350=phu!$I$86,M350=phu!$I$87,M350=phu!$I$88),"Cam Thịnh Tây",""),IF(OR(M350=phu!$I$89,M350=phu!$I$90),"Cam Lập",""),IF(OR(M350=phu!$I$91,M350=phu!$I$92,M350=phu!$I$93),"Cam Bình",""),IF(OR(M350=phu!$I$94,M350=phu!$I$95,M350=phu!$I$96,M350=phu!$I$97,M350=phu!$I$98,M350=phu!$I$99,M350=phu!$I$100),"Huyện khác",""),IF(OR(M350=phu!$I$101,M350=phu!$I$102),"Tỉnh khác",""))</f>
        <v/>
      </c>
      <c r="O350" s="829" t="str">
        <f t="shared" si="30"/>
        <v/>
      </c>
      <c r="P350" s="254"/>
      <c r="Q350" s="254"/>
      <c r="R350" s="254"/>
      <c r="S350" s="254"/>
      <c r="T350" s="254"/>
      <c r="U350" s="254"/>
      <c r="V350" s="254"/>
      <c r="W350" s="254"/>
      <c r="Y350" s="246" t="str">
        <f t="shared" si="31"/>
        <v/>
      </c>
      <c r="Z350" s="247" t="str">
        <f t="shared" si="35"/>
        <v/>
      </c>
      <c r="AA350" s="246" t="str">
        <f t="shared" si="32"/>
        <v/>
      </c>
    </row>
    <row r="351" spans="1:27" ht="18" customHeight="1" x14ac:dyDescent="0.25">
      <c r="A351" s="248" t="str">
        <f t="shared" si="33"/>
        <v/>
      </c>
      <c r="B351" s="249" t="str">
        <f t="shared" si="34"/>
        <v/>
      </c>
      <c r="C351" s="250"/>
      <c r="D351" s="251"/>
      <c r="E351" s="241"/>
      <c r="F351" s="252"/>
      <c r="G351" s="252"/>
      <c r="H351" s="253"/>
      <c r="I351" s="250"/>
      <c r="J351" s="250"/>
      <c r="K351" s="270"/>
      <c r="L351" s="250"/>
      <c r="M351" s="250"/>
      <c r="N351" s="540" t="str">
        <f>CONCATENATE(IF(OR(M351=phu!$I$1,M351=phu!$I$2,M351=phu!$I$3),"Cam Thành Nam",""),IF(OR(M351=phu!$I$4,M351=phu!$I$5,M351=phu!$I$6,M351=phu!$I$7,M351=phu!$I$8,M351=phu!$I$9,M351=phu!$I$10,M351=phu!$I$11,M351=phu!$I$12,M351=phu!$I$13,M351=phu!$I$14),"Cam Nghĩa",""),IF(OR(M351=phu!$I$15,M351=phu!$I$16,M351=phu!$I$17,M351=phu!$I$18,M351=phu!$I$19,M351=phu!$I$20,M351=phu!$I$21),"Cam Phúc Bắc",""),IF(OR(M351=phu!$I$22,M351=phu!$I$23,M351=phu!$I$24,M351=phu!$I$25),"Cam Phúc Nam",""),IF(OR(M351=phu!$I$26,M351=phu!$I$27,M351=phu!$I$28,M351=phu!$I$29,M351=phu!$I$30,M351=phu!$I$31),"Cam Phú",""),IF(OR(M351=phu!$I$32,M351=phu!$I$33,M351=phu!$I$34,M351=phu!$I$35,M351=phu!$I$36,M351=phu!$I$37),"Cam Lộc",""),IF(OR(M351=phu!$I$38,M351=phu!$I$39,M351=phu!$I$40,M351=phu!$I$41,M351=phu!$I$42,M351=phu!$I$43,M351=phu!$I$44),"Cam Thuận",""),IF(OR(M351=phu!$I$45,M351=phu!$I$46,M351=phu!$I$47,M351=phu!$I$48,M351=phu!$I$49,M351=phu!$I$50,M351=phu!$I$51,M351=phu!$I$52,M351=phu!$I$53),"Cam Linh",""),IF(OR(M351=phu!$I$54,M351=phu!$I$55,M351=phu!$I$56,M351=phu!$I$57,M351=phu!$I$58,M351=phu!$I$59,M351=phu!$I$60,M351=phu!$I$61,M351=phu!$I$62),"Cam Lợi",""),IF(OR(M351=phu!$I$63,M351=phu!$I$64,M351=phu!$I$65,M351=phu!$I$66,M351=phu!$I$67,M351=phu!$I$68,M351=phu!$I$69,M351=phu!$I$70,M351=phu!$I$71),"Ba Ngòi",""),IF(OR(M351=phu!$I$72,M351=phu!$I$73,M351=phu!$I$74,M351=phu!$I$75,M351=phu!$I$76,M351=phu!$I$77,M351=phu!$I$78),"Cam Phước Đông",""),IF(OR(M351=phu!$I$79,M351=phu!$I$80,M351=phu!$I$81,M351=phu!$I$82,M351=phu!$I$83,M351=phu!$I$84),"Cam Thịnh Đông",""),IF(OR(M351=phu!$I$85,M351=phu!$I$86,M351=phu!$I$87,M351=phu!$I$88),"Cam Thịnh Tây",""),IF(OR(M351=phu!$I$89,M351=phu!$I$90),"Cam Lập",""),IF(OR(M351=phu!$I$91,M351=phu!$I$92,M351=phu!$I$93),"Cam Bình",""),IF(OR(M351=phu!$I$94,M351=phu!$I$95,M351=phu!$I$96,M351=phu!$I$97,M351=phu!$I$98,M351=phu!$I$99,M351=phu!$I$100),"Huyện khác",""),IF(OR(M351=phu!$I$101,M351=phu!$I$102),"Tỉnh khác",""))</f>
        <v/>
      </c>
      <c r="O351" s="829" t="str">
        <f t="shared" si="30"/>
        <v/>
      </c>
      <c r="P351" s="254"/>
      <c r="Q351" s="254"/>
      <c r="R351" s="254"/>
      <c r="S351" s="254"/>
      <c r="T351" s="254"/>
      <c r="U351" s="254"/>
      <c r="V351" s="254"/>
      <c r="W351" s="254"/>
      <c r="Y351" s="246" t="str">
        <f t="shared" si="31"/>
        <v/>
      </c>
      <c r="Z351" s="247" t="str">
        <f t="shared" si="35"/>
        <v/>
      </c>
      <c r="AA351" s="246" t="str">
        <f t="shared" si="32"/>
        <v/>
      </c>
    </row>
    <row r="352" spans="1:27" ht="18" customHeight="1" x14ac:dyDescent="0.25">
      <c r="A352" s="248" t="str">
        <f t="shared" si="33"/>
        <v/>
      </c>
      <c r="B352" s="249" t="str">
        <f t="shared" si="34"/>
        <v/>
      </c>
      <c r="C352" s="250"/>
      <c r="D352" s="251"/>
      <c r="E352" s="241"/>
      <c r="F352" s="252"/>
      <c r="G352" s="252"/>
      <c r="H352" s="253"/>
      <c r="I352" s="250"/>
      <c r="J352" s="250"/>
      <c r="K352" s="270"/>
      <c r="L352" s="250"/>
      <c r="M352" s="250"/>
      <c r="N352" s="540" t="str">
        <f>CONCATENATE(IF(OR(M352=phu!$I$1,M352=phu!$I$2,M352=phu!$I$3),"Cam Thành Nam",""),IF(OR(M352=phu!$I$4,M352=phu!$I$5,M352=phu!$I$6,M352=phu!$I$7,M352=phu!$I$8,M352=phu!$I$9,M352=phu!$I$10,M352=phu!$I$11,M352=phu!$I$12,M352=phu!$I$13,M352=phu!$I$14),"Cam Nghĩa",""),IF(OR(M352=phu!$I$15,M352=phu!$I$16,M352=phu!$I$17,M352=phu!$I$18,M352=phu!$I$19,M352=phu!$I$20,M352=phu!$I$21),"Cam Phúc Bắc",""),IF(OR(M352=phu!$I$22,M352=phu!$I$23,M352=phu!$I$24,M352=phu!$I$25),"Cam Phúc Nam",""),IF(OR(M352=phu!$I$26,M352=phu!$I$27,M352=phu!$I$28,M352=phu!$I$29,M352=phu!$I$30,M352=phu!$I$31),"Cam Phú",""),IF(OR(M352=phu!$I$32,M352=phu!$I$33,M352=phu!$I$34,M352=phu!$I$35,M352=phu!$I$36,M352=phu!$I$37),"Cam Lộc",""),IF(OR(M352=phu!$I$38,M352=phu!$I$39,M352=phu!$I$40,M352=phu!$I$41,M352=phu!$I$42,M352=phu!$I$43,M352=phu!$I$44),"Cam Thuận",""),IF(OR(M352=phu!$I$45,M352=phu!$I$46,M352=phu!$I$47,M352=phu!$I$48,M352=phu!$I$49,M352=phu!$I$50,M352=phu!$I$51,M352=phu!$I$52,M352=phu!$I$53),"Cam Linh",""),IF(OR(M352=phu!$I$54,M352=phu!$I$55,M352=phu!$I$56,M352=phu!$I$57,M352=phu!$I$58,M352=phu!$I$59,M352=phu!$I$60,M352=phu!$I$61,M352=phu!$I$62),"Cam Lợi",""),IF(OR(M352=phu!$I$63,M352=phu!$I$64,M352=phu!$I$65,M352=phu!$I$66,M352=phu!$I$67,M352=phu!$I$68,M352=phu!$I$69,M352=phu!$I$70,M352=phu!$I$71),"Ba Ngòi",""),IF(OR(M352=phu!$I$72,M352=phu!$I$73,M352=phu!$I$74,M352=phu!$I$75,M352=phu!$I$76,M352=phu!$I$77,M352=phu!$I$78),"Cam Phước Đông",""),IF(OR(M352=phu!$I$79,M352=phu!$I$80,M352=phu!$I$81,M352=phu!$I$82,M352=phu!$I$83,M352=phu!$I$84),"Cam Thịnh Đông",""),IF(OR(M352=phu!$I$85,M352=phu!$I$86,M352=phu!$I$87,M352=phu!$I$88),"Cam Thịnh Tây",""),IF(OR(M352=phu!$I$89,M352=phu!$I$90),"Cam Lập",""),IF(OR(M352=phu!$I$91,M352=phu!$I$92,M352=phu!$I$93),"Cam Bình",""),IF(OR(M352=phu!$I$94,M352=phu!$I$95,M352=phu!$I$96,M352=phu!$I$97,M352=phu!$I$98,M352=phu!$I$99,M352=phu!$I$100),"Huyện khác",""),IF(OR(M352=phu!$I$101,M352=phu!$I$102),"Tỉnh khác",""))</f>
        <v/>
      </c>
      <c r="O352" s="829" t="str">
        <f t="shared" si="30"/>
        <v/>
      </c>
      <c r="P352" s="254"/>
      <c r="Q352" s="254"/>
      <c r="R352" s="254"/>
      <c r="S352" s="254"/>
      <c r="T352" s="254"/>
      <c r="U352" s="254"/>
      <c r="V352" s="254"/>
      <c r="W352" s="254"/>
      <c r="Y352" s="246" t="str">
        <f t="shared" si="31"/>
        <v/>
      </c>
      <c r="Z352" s="247" t="str">
        <f t="shared" si="35"/>
        <v/>
      </c>
      <c r="AA352" s="246" t="str">
        <f t="shared" si="32"/>
        <v/>
      </c>
    </row>
    <row r="353" spans="1:27" ht="18" customHeight="1" x14ac:dyDescent="0.25">
      <c r="A353" s="248" t="str">
        <f t="shared" si="33"/>
        <v/>
      </c>
      <c r="B353" s="249" t="str">
        <f t="shared" si="34"/>
        <v/>
      </c>
      <c r="C353" s="250"/>
      <c r="D353" s="251"/>
      <c r="E353" s="241"/>
      <c r="F353" s="252"/>
      <c r="G353" s="252"/>
      <c r="H353" s="253"/>
      <c r="I353" s="250"/>
      <c r="J353" s="250"/>
      <c r="K353" s="270"/>
      <c r="L353" s="250"/>
      <c r="M353" s="250"/>
      <c r="N353" s="540" t="str">
        <f>CONCATENATE(IF(OR(M353=phu!$I$1,M353=phu!$I$2,M353=phu!$I$3),"Cam Thành Nam",""),IF(OR(M353=phu!$I$4,M353=phu!$I$5,M353=phu!$I$6,M353=phu!$I$7,M353=phu!$I$8,M353=phu!$I$9,M353=phu!$I$10,M353=phu!$I$11,M353=phu!$I$12,M353=phu!$I$13,M353=phu!$I$14),"Cam Nghĩa",""),IF(OR(M353=phu!$I$15,M353=phu!$I$16,M353=phu!$I$17,M353=phu!$I$18,M353=phu!$I$19,M353=phu!$I$20,M353=phu!$I$21),"Cam Phúc Bắc",""),IF(OR(M353=phu!$I$22,M353=phu!$I$23,M353=phu!$I$24,M353=phu!$I$25),"Cam Phúc Nam",""),IF(OR(M353=phu!$I$26,M353=phu!$I$27,M353=phu!$I$28,M353=phu!$I$29,M353=phu!$I$30,M353=phu!$I$31),"Cam Phú",""),IF(OR(M353=phu!$I$32,M353=phu!$I$33,M353=phu!$I$34,M353=phu!$I$35,M353=phu!$I$36,M353=phu!$I$37),"Cam Lộc",""),IF(OR(M353=phu!$I$38,M353=phu!$I$39,M353=phu!$I$40,M353=phu!$I$41,M353=phu!$I$42,M353=phu!$I$43,M353=phu!$I$44),"Cam Thuận",""),IF(OR(M353=phu!$I$45,M353=phu!$I$46,M353=phu!$I$47,M353=phu!$I$48,M353=phu!$I$49,M353=phu!$I$50,M353=phu!$I$51,M353=phu!$I$52,M353=phu!$I$53),"Cam Linh",""),IF(OR(M353=phu!$I$54,M353=phu!$I$55,M353=phu!$I$56,M353=phu!$I$57,M353=phu!$I$58,M353=phu!$I$59,M353=phu!$I$60,M353=phu!$I$61,M353=phu!$I$62),"Cam Lợi",""),IF(OR(M353=phu!$I$63,M353=phu!$I$64,M353=phu!$I$65,M353=phu!$I$66,M353=phu!$I$67,M353=phu!$I$68,M353=phu!$I$69,M353=phu!$I$70,M353=phu!$I$71),"Ba Ngòi",""),IF(OR(M353=phu!$I$72,M353=phu!$I$73,M353=phu!$I$74,M353=phu!$I$75,M353=phu!$I$76,M353=phu!$I$77,M353=phu!$I$78),"Cam Phước Đông",""),IF(OR(M353=phu!$I$79,M353=phu!$I$80,M353=phu!$I$81,M353=phu!$I$82,M353=phu!$I$83,M353=phu!$I$84),"Cam Thịnh Đông",""),IF(OR(M353=phu!$I$85,M353=phu!$I$86,M353=phu!$I$87,M353=phu!$I$88),"Cam Thịnh Tây",""),IF(OR(M353=phu!$I$89,M353=phu!$I$90),"Cam Lập",""),IF(OR(M353=phu!$I$91,M353=phu!$I$92,M353=phu!$I$93),"Cam Bình",""),IF(OR(M353=phu!$I$94,M353=phu!$I$95,M353=phu!$I$96,M353=phu!$I$97,M353=phu!$I$98,M353=phu!$I$99,M353=phu!$I$100),"Huyện khác",""),IF(OR(M353=phu!$I$101,M353=phu!$I$102),"Tỉnh khác",""))</f>
        <v/>
      </c>
      <c r="O353" s="829" t="str">
        <f t="shared" si="30"/>
        <v/>
      </c>
      <c r="P353" s="254"/>
      <c r="Q353" s="254"/>
      <c r="R353" s="254"/>
      <c r="S353" s="254"/>
      <c r="T353" s="254"/>
      <c r="U353" s="254"/>
      <c r="V353" s="254"/>
      <c r="W353" s="254"/>
      <c r="Y353" s="246" t="str">
        <f t="shared" si="31"/>
        <v/>
      </c>
      <c r="Z353" s="247" t="str">
        <f t="shared" si="35"/>
        <v/>
      </c>
      <c r="AA353" s="246" t="str">
        <f t="shared" si="32"/>
        <v/>
      </c>
    </row>
    <row r="354" spans="1:27" ht="18" customHeight="1" x14ac:dyDescent="0.25">
      <c r="A354" s="248" t="str">
        <f t="shared" si="33"/>
        <v/>
      </c>
      <c r="B354" s="249" t="str">
        <f t="shared" si="34"/>
        <v/>
      </c>
      <c r="C354" s="250"/>
      <c r="D354" s="251"/>
      <c r="E354" s="241"/>
      <c r="F354" s="252"/>
      <c r="G354" s="252"/>
      <c r="H354" s="253"/>
      <c r="I354" s="250"/>
      <c r="J354" s="250"/>
      <c r="K354" s="270"/>
      <c r="L354" s="250"/>
      <c r="M354" s="250"/>
      <c r="N354" s="540" t="str">
        <f>CONCATENATE(IF(OR(M354=phu!$I$1,M354=phu!$I$2,M354=phu!$I$3),"Cam Thành Nam",""),IF(OR(M354=phu!$I$4,M354=phu!$I$5,M354=phu!$I$6,M354=phu!$I$7,M354=phu!$I$8,M354=phu!$I$9,M354=phu!$I$10,M354=phu!$I$11,M354=phu!$I$12,M354=phu!$I$13,M354=phu!$I$14),"Cam Nghĩa",""),IF(OR(M354=phu!$I$15,M354=phu!$I$16,M354=phu!$I$17,M354=phu!$I$18,M354=phu!$I$19,M354=phu!$I$20,M354=phu!$I$21),"Cam Phúc Bắc",""),IF(OR(M354=phu!$I$22,M354=phu!$I$23,M354=phu!$I$24,M354=phu!$I$25),"Cam Phúc Nam",""),IF(OR(M354=phu!$I$26,M354=phu!$I$27,M354=phu!$I$28,M354=phu!$I$29,M354=phu!$I$30,M354=phu!$I$31),"Cam Phú",""),IF(OR(M354=phu!$I$32,M354=phu!$I$33,M354=phu!$I$34,M354=phu!$I$35,M354=phu!$I$36,M354=phu!$I$37),"Cam Lộc",""),IF(OR(M354=phu!$I$38,M354=phu!$I$39,M354=phu!$I$40,M354=phu!$I$41,M354=phu!$I$42,M354=phu!$I$43,M354=phu!$I$44),"Cam Thuận",""),IF(OR(M354=phu!$I$45,M354=phu!$I$46,M354=phu!$I$47,M354=phu!$I$48,M354=phu!$I$49,M354=phu!$I$50,M354=phu!$I$51,M354=phu!$I$52,M354=phu!$I$53),"Cam Linh",""),IF(OR(M354=phu!$I$54,M354=phu!$I$55,M354=phu!$I$56,M354=phu!$I$57,M354=phu!$I$58,M354=phu!$I$59,M354=phu!$I$60,M354=phu!$I$61,M354=phu!$I$62),"Cam Lợi",""),IF(OR(M354=phu!$I$63,M354=phu!$I$64,M354=phu!$I$65,M354=phu!$I$66,M354=phu!$I$67,M354=phu!$I$68,M354=phu!$I$69,M354=phu!$I$70,M354=phu!$I$71),"Ba Ngòi",""),IF(OR(M354=phu!$I$72,M354=phu!$I$73,M354=phu!$I$74,M354=phu!$I$75,M354=phu!$I$76,M354=phu!$I$77,M354=phu!$I$78),"Cam Phước Đông",""),IF(OR(M354=phu!$I$79,M354=phu!$I$80,M354=phu!$I$81,M354=phu!$I$82,M354=phu!$I$83,M354=phu!$I$84),"Cam Thịnh Đông",""),IF(OR(M354=phu!$I$85,M354=phu!$I$86,M354=phu!$I$87,M354=phu!$I$88),"Cam Thịnh Tây",""),IF(OR(M354=phu!$I$89,M354=phu!$I$90),"Cam Lập",""),IF(OR(M354=phu!$I$91,M354=phu!$I$92,M354=phu!$I$93),"Cam Bình",""),IF(OR(M354=phu!$I$94,M354=phu!$I$95,M354=phu!$I$96,M354=phu!$I$97,M354=phu!$I$98,M354=phu!$I$99,M354=phu!$I$100),"Huyện khác",""),IF(OR(M354=phu!$I$101,M354=phu!$I$102),"Tỉnh khác",""))</f>
        <v/>
      </c>
      <c r="O354" s="829" t="str">
        <f t="shared" si="30"/>
        <v/>
      </c>
      <c r="P354" s="254"/>
      <c r="Q354" s="254"/>
      <c r="R354" s="254"/>
      <c r="S354" s="254"/>
      <c r="T354" s="254"/>
      <c r="U354" s="254"/>
      <c r="V354" s="254"/>
      <c r="W354" s="254"/>
      <c r="Y354" s="246" t="str">
        <f t="shared" si="31"/>
        <v/>
      </c>
      <c r="Z354" s="247" t="str">
        <f t="shared" si="35"/>
        <v/>
      </c>
      <c r="AA354" s="246" t="str">
        <f t="shared" si="32"/>
        <v/>
      </c>
    </row>
    <row r="355" spans="1:27" ht="18" customHeight="1" x14ac:dyDescent="0.25">
      <c r="A355" s="248" t="str">
        <f t="shared" si="33"/>
        <v/>
      </c>
      <c r="B355" s="249" t="str">
        <f t="shared" si="34"/>
        <v/>
      </c>
      <c r="C355" s="250"/>
      <c r="D355" s="251"/>
      <c r="E355" s="241"/>
      <c r="F355" s="252"/>
      <c r="G355" s="252"/>
      <c r="H355" s="253"/>
      <c r="I355" s="250"/>
      <c r="J355" s="250"/>
      <c r="K355" s="270"/>
      <c r="L355" s="250"/>
      <c r="M355" s="250"/>
      <c r="N355" s="540" t="str">
        <f>CONCATENATE(IF(OR(M355=phu!$I$1,M355=phu!$I$2,M355=phu!$I$3),"Cam Thành Nam",""),IF(OR(M355=phu!$I$4,M355=phu!$I$5,M355=phu!$I$6,M355=phu!$I$7,M355=phu!$I$8,M355=phu!$I$9,M355=phu!$I$10,M355=phu!$I$11,M355=phu!$I$12,M355=phu!$I$13,M355=phu!$I$14),"Cam Nghĩa",""),IF(OR(M355=phu!$I$15,M355=phu!$I$16,M355=phu!$I$17,M355=phu!$I$18,M355=phu!$I$19,M355=phu!$I$20,M355=phu!$I$21),"Cam Phúc Bắc",""),IF(OR(M355=phu!$I$22,M355=phu!$I$23,M355=phu!$I$24,M355=phu!$I$25),"Cam Phúc Nam",""),IF(OR(M355=phu!$I$26,M355=phu!$I$27,M355=phu!$I$28,M355=phu!$I$29,M355=phu!$I$30,M355=phu!$I$31),"Cam Phú",""),IF(OR(M355=phu!$I$32,M355=phu!$I$33,M355=phu!$I$34,M355=phu!$I$35,M355=phu!$I$36,M355=phu!$I$37),"Cam Lộc",""),IF(OR(M355=phu!$I$38,M355=phu!$I$39,M355=phu!$I$40,M355=phu!$I$41,M355=phu!$I$42,M355=phu!$I$43,M355=phu!$I$44),"Cam Thuận",""),IF(OR(M355=phu!$I$45,M355=phu!$I$46,M355=phu!$I$47,M355=phu!$I$48,M355=phu!$I$49,M355=phu!$I$50,M355=phu!$I$51,M355=phu!$I$52,M355=phu!$I$53),"Cam Linh",""),IF(OR(M355=phu!$I$54,M355=phu!$I$55,M355=phu!$I$56,M355=phu!$I$57,M355=phu!$I$58,M355=phu!$I$59,M355=phu!$I$60,M355=phu!$I$61,M355=phu!$I$62),"Cam Lợi",""),IF(OR(M355=phu!$I$63,M355=phu!$I$64,M355=phu!$I$65,M355=phu!$I$66,M355=phu!$I$67,M355=phu!$I$68,M355=phu!$I$69,M355=phu!$I$70,M355=phu!$I$71),"Ba Ngòi",""),IF(OR(M355=phu!$I$72,M355=phu!$I$73,M355=phu!$I$74,M355=phu!$I$75,M355=phu!$I$76,M355=phu!$I$77,M355=phu!$I$78),"Cam Phước Đông",""),IF(OR(M355=phu!$I$79,M355=phu!$I$80,M355=phu!$I$81,M355=phu!$I$82,M355=phu!$I$83,M355=phu!$I$84),"Cam Thịnh Đông",""),IF(OR(M355=phu!$I$85,M355=phu!$I$86,M355=phu!$I$87,M355=phu!$I$88),"Cam Thịnh Tây",""),IF(OR(M355=phu!$I$89,M355=phu!$I$90),"Cam Lập",""),IF(OR(M355=phu!$I$91,M355=phu!$I$92,M355=phu!$I$93),"Cam Bình",""),IF(OR(M355=phu!$I$94,M355=phu!$I$95,M355=phu!$I$96,M355=phu!$I$97,M355=phu!$I$98,M355=phu!$I$99,M355=phu!$I$100),"Huyện khác",""),IF(OR(M355=phu!$I$101,M355=phu!$I$102),"Tỉnh khác",""))</f>
        <v/>
      </c>
      <c r="O355" s="829" t="str">
        <f t="shared" si="30"/>
        <v/>
      </c>
      <c r="P355" s="254"/>
      <c r="Q355" s="254"/>
      <c r="R355" s="254"/>
      <c r="S355" s="254"/>
      <c r="T355" s="254"/>
      <c r="U355" s="254"/>
      <c r="V355" s="254"/>
      <c r="W355" s="254"/>
      <c r="Y355" s="246" t="str">
        <f t="shared" si="31"/>
        <v/>
      </c>
      <c r="Z355" s="247" t="str">
        <f t="shared" si="35"/>
        <v/>
      </c>
      <c r="AA355" s="246" t="str">
        <f t="shared" si="32"/>
        <v/>
      </c>
    </row>
    <row r="356" spans="1:27" ht="18" customHeight="1" x14ac:dyDescent="0.25">
      <c r="A356" s="248" t="str">
        <f t="shared" si="33"/>
        <v/>
      </c>
      <c r="B356" s="249" t="str">
        <f t="shared" si="34"/>
        <v/>
      </c>
      <c r="C356" s="250"/>
      <c r="D356" s="251"/>
      <c r="E356" s="241"/>
      <c r="F356" s="252"/>
      <c r="G356" s="252"/>
      <c r="H356" s="253"/>
      <c r="I356" s="250"/>
      <c r="J356" s="250"/>
      <c r="K356" s="270"/>
      <c r="L356" s="250"/>
      <c r="M356" s="250"/>
      <c r="N356" s="540" t="str">
        <f>CONCATENATE(IF(OR(M356=phu!$I$1,M356=phu!$I$2,M356=phu!$I$3),"Cam Thành Nam",""),IF(OR(M356=phu!$I$4,M356=phu!$I$5,M356=phu!$I$6,M356=phu!$I$7,M356=phu!$I$8,M356=phu!$I$9,M356=phu!$I$10,M356=phu!$I$11,M356=phu!$I$12,M356=phu!$I$13,M356=phu!$I$14),"Cam Nghĩa",""),IF(OR(M356=phu!$I$15,M356=phu!$I$16,M356=phu!$I$17,M356=phu!$I$18,M356=phu!$I$19,M356=phu!$I$20,M356=phu!$I$21),"Cam Phúc Bắc",""),IF(OR(M356=phu!$I$22,M356=phu!$I$23,M356=phu!$I$24,M356=phu!$I$25),"Cam Phúc Nam",""),IF(OR(M356=phu!$I$26,M356=phu!$I$27,M356=phu!$I$28,M356=phu!$I$29,M356=phu!$I$30,M356=phu!$I$31),"Cam Phú",""),IF(OR(M356=phu!$I$32,M356=phu!$I$33,M356=phu!$I$34,M356=phu!$I$35,M356=phu!$I$36,M356=phu!$I$37),"Cam Lộc",""),IF(OR(M356=phu!$I$38,M356=phu!$I$39,M356=phu!$I$40,M356=phu!$I$41,M356=phu!$I$42,M356=phu!$I$43,M356=phu!$I$44),"Cam Thuận",""),IF(OR(M356=phu!$I$45,M356=phu!$I$46,M356=phu!$I$47,M356=phu!$I$48,M356=phu!$I$49,M356=phu!$I$50,M356=phu!$I$51,M356=phu!$I$52,M356=phu!$I$53),"Cam Linh",""),IF(OR(M356=phu!$I$54,M356=phu!$I$55,M356=phu!$I$56,M356=phu!$I$57,M356=phu!$I$58,M356=phu!$I$59,M356=phu!$I$60,M356=phu!$I$61,M356=phu!$I$62),"Cam Lợi",""),IF(OR(M356=phu!$I$63,M356=phu!$I$64,M356=phu!$I$65,M356=phu!$I$66,M356=phu!$I$67,M356=phu!$I$68,M356=phu!$I$69,M356=phu!$I$70,M356=phu!$I$71),"Ba Ngòi",""),IF(OR(M356=phu!$I$72,M356=phu!$I$73,M356=phu!$I$74,M356=phu!$I$75,M356=phu!$I$76,M356=phu!$I$77,M356=phu!$I$78),"Cam Phước Đông",""),IF(OR(M356=phu!$I$79,M356=phu!$I$80,M356=phu!$I$81,M356=phu!$I$82,M356=phu!$I$83,M356=phu!$I$84),"Cam Thịnh Đông",""),IF(OR(M356=phu!$I$85,M356=phu!$I$86,M356=phu!$I$87,M356=phu!$I$88),"Cam Thịnh Tây",""),IF(OR(M356=phu!$I$89,M356=phu!$I$90),"Cam Lập",""),IF(OR(M356=phu!$I$91,M356=phu!$I$92,M356=phu!$I$93),"Cam Bình",""),IF(OR(M356=phu!$I$94,M356=phu!$I$95,M356=phu!$I$96,M356=phu!$I$97,M356=phu!$I$98,M356=phu!$I$99,M356=phu!$I$100),"Huyện khác",""),IF(OR(M356=phu!$I$101,M356=phu!$I$102),"Tỉnh khác",""))</f>
        <v/>
      </c>
      <c r="O356" s="829" t="str">
        <f t="shared" si="30"/>
        <v/>
      </c>
      <c r="P356" s="254"/>
      <c r="Q356" s="254"/>
      <c r="R356" s="254"/>
      <c r="S356" s="254"/>
      <c r="T356" s="254"/>
      <c r="U356" s="254"/>
      <c r="V356" s="254"/>
      <c r="W356" s="254"/>
      <c r="Y356" s="246" t="str">
        <f t="shared" si="31"/>
        <v/>
      </c>
      <c r="Z356" s="247" t="str">
        <f t="shared" si="35"/>
        <v/>
      </c>
      <c r="AA356" s="246" t="str">
        <f t="shared" si="32"/>
        <v/>
      </c>
    </row>
    <row r="357" spans="1:27" ht="18" customHeight="1" x14ac:dyDescent="0.25">
      <c r="A357" s="248" t="str">
        <f t="shared" si="33"/>
        <v/>
      </c>
      <c r="B357" s="249" t="str">
        <f t="shared" si="34"/>
        <v/>
      </c>
      <c r="C357" s="250"/>
      <c r="D357" s="251"/>
      <c r="E357" s="241"/>
      <c r="F357" s="252"/>
      <c r="G357" s="252"/>
      <c r="H357" s="253"/>
      <c r="I357" s="250"/>
      <c r="J357" s="250"/>
      <c r="K357" s="270"/>
      <c r="L357" s="250"/>
      <c r="M357" s="250"/>
      <c r="N357" s="540" t="str">
        <f>CONCATENATE(IF(OR(M357=phu!$I$1,M357=phu!$I$2,M357=phu!$I$3),"Cam Thành Nam",""),IF(OR(M357=phu!$I$4,M357=phu!$I$5,M357=phu!$I$6,M357=phu!$I$7,M357=phu!$I$8,M357=phu!$I$9,M357=phu!$I$10,M357=phu!$I$11,M357=phu!$I$12,M357=phu!$I$13,M357=phu!$I$14),"Cam Nghĩa",""),IF(OR(M357=phu!$I$15,M357=phu!$I$16,M357=phu!$I$17,M357=phu!$I$18,M357=phu!$I$19,M357=phu!$I$20,M357=phu!$I$21),"Cam Phúc Bắc",""),IF(OR(M357=phu!$I$22,M357=phu!$I$23,M357=phu!$I$24,M357=phu!$I$25),"Cam Phúc Nam",""),IF(OR(M357=phu!$I$26,M357=phu!$I$27,M357=phu!$I$28,M357=phu!$I$29,M357=phu!$I$30,M357=phu!$I$31),"Cam Phú",""),IF(OR(M357=phu!$I$32,M357=phu!$I$33,M357=phu!$I$34,M357=phu!$I$35,M357=phu!$I$36,M357=phu!$I$37),"Cam Lộc",""),IF(OR(M357=phu!$I$38,M357=phu!$I$39,M357=phu!$I$40,M357=phu!$I$41,M357=phu!$I$42,M357=phu!$I$43,M357=phu!$I$44),"Cam Thuận",""),IF(OR(M357=phu!$I$45,M357=phu!$I$46,M357=phu!$I$47,M357=phu!$I$48,M357=phu!$I$49,M357=phu!$I$50,M357=phu!$I$51,M357=phu!$I$52,M357=phu!$I$53),"Cam Linh",""),IF(OR(M357=phu!$I$54,M357=phu!$I$55,M357=phu!$I$56,M357=phu!$I$57,M357=phu!$I$58,M357=phu!$I$59,M357=phu!$I$60,M357=phu!$I$61,M357=phu!$I$62),"Cam Lợi",""),IF(OR(M357=phu!$I$63,M357=phu!$I$64,M357=phu!$I$65,M357=phu!$I$66,M357=phu!$I$67,M357=phu!$I$68,M357=phu!$I$69,M357=phu!$I$70,M357=phu!$I$71),"Ba Ngòi",""),IF(OR(M357=phu!$I$72,M357=phu!$I$73,M357=phu!$I$74,M357=phu!$I$75,M357=phu!$I$76,M357=phu!$I$77,M357=phu!$I$78),"Cam Phước Đông",""),IF(OR(M357=phu!$I$79,M357=phu!$I$80,M357=phu!$I$81,M357=phu!$I$82,M357=phu!$I$83,M357=phu!$I$84),"Cam Thịnh Đông",""),IF(OR(M357=phu!$I$85,M357=phu!$I$86,M357=phu!$I$87,M357=phu!$I$88),"Cam Thịnh Tây",""),IF(OR(M357=phu!$I$89,M357=phu!$I$90),"Cam Lập",""),IF(OR(M357=phu!$I$91,M357=phu!$I$92,M357=phu!$I$93),"Cam Bình",""),IF(OR(M357=phu!$I$94,M357=phu!$I$95,M357=phu!$I$96,M357=phu!$I$97,M357=phu!$I$98,M357=phu!$I$99,M357=phu!$I$100),"Huyện khác",""),IF(OR(M357=phu!$I$101,M357=phu!$I$102),"Tỉnh khác",""))</f>
        <v/>
      </c>
      <c r="O357" s="829" t="str">
        <f t="shared" si="30"/>
        <v/>
      </c>
      <c r="P357" s="254"/>
      <c r="Q357" s="254"/>
      <c r="R357" s="254"/>
      <c r="S357" s="254"/>
      <c r="T357" s="254"/>
      <c r="U357" s="254"/>
      <c r="V357" s="254"/>
      <c r="W357" s="254"/>
      <c r="Y357" s="246" t="str">
        <f t="shared" si="31"/>
        <v/>
      </c>
      <c r="Z357" s="247" t="str">
        <f t="shared" si="35"/>
        <v/>
      </c>
      <c r="AA357" s="246" t="str">
        <f t="shared" si="32"/>
        <v/>
      </c>
    </row>
    <row r="358" spans="1:27" ht="18" customHeight="1" x14ac:dyDescent="0.25">
      <c r="A358" s="248" t="str">
        <f t="shared" si="33"/>
        <v/>
      </c>
      <c r="B358" s="249" t="str">
        <f t="shared" si="34"/>
        <v/>
      </c>
      <c r="C358" s="250"/>
      <c r="D358" s="251"/>
      <c r="E358" s="241"/>
      <c r="F358" s="252"/>
      <c r="G358" s="252"/>
      <c r="H358" s="253"/>
      <c r="I358" s="250"/>
      <c r="J358" s="250"/>
      <c r="K358" s="270"/>
      <c r="L358" s="250"/>
      <c r="M358" s="250"/>
      <c r="N358" s="540" t="str">
        <f>CONCATENATE(IF(OR(M358=phu!$I$1,M358=phu!$I$2,M358=phu!$I$3),"Cam Thành Nam",""),IF(OR(M358=phu!$I$4,M358=phu!$I$5,M358=phu!$I$6,M358=phu!$I$7,M358=phu!$I$8,M358=phu!$I$9,M358=phu!$I$10,M358=phu!$I$11,M358=phu!$I$12,M358=phu!$I$13,M358=phu!$I$14),"Cam Nghĩa",""),IF(OR(M358=phu!$I$15,M358=phu!$I$16,M358=phu!$I$17,M358=phu!$I$18,M358=phu!$I$19,M358=phu!$I$20,M358=phu!$I$21),"Cam Phúc Bắc",""),IF(OR(M358=phu!$I$22,M358=phu!$I$23,M358=phu!$I$24,M358=phu!$I$25),"Cam Phúc Nam",""),IF(OR(M358=phu!$I$26,M358=phu!$I$27,M358=phu!$I$28,M358=phu!$I$29,M358=phu!$I$30,M358=phu!$I$31),"Cam Phú",""),IF(OR(M358=phu!$I$32,M358=phu!$I$33,M358=phu!$I$34,M358=phu!$I$35,M358=phu!$I$36,M358=phu!$I$37),"Cam Lộc",""),IF(OR(M358=phu!$I$38,M358=phu!$I$39,M358=phu!$I$40,M358=phu!$I$41,M358=phu!$I$42,M358=phu!$I$43,M358=phu!$I$44),"Cam Thuận",""),IF(OR(M358=phu!$I$45,M358=phu!$I$46,M358=phu!$I$47,M358=phu!$I$48,M358=phu!$I$49,M358=phu!$I$50,M358=phu!$I$51,M358=phu!$I$52,M358=phu!$I$53),"Cam Linh",""),IF(OR(M358=phu!$I$54,M358=phu!$I$55,M358=phu!$I$56,M358=phu!$I$57,M358=phu!$I$58,M358=phu!$I$59,M358=phu!$I$60,M358=phu!$I$61,M358=phu!$I$62),"Cam Lợi",""),IF(OR(M358=phu!$I$63,M358=phu!$I$64,M358=phu!$I$65,M358=phu!$I$66,M358=phu!$I$67,M358=phu!$I$68,M358=phu!$I$69,M358=phu!$I$70,M358=phu!$I$71),"Ba Ngòi",""),IF(OR(M358=phu!$I$72,M358=phu!$I$73,M358=phu!$I$74,M358=phu!$I$75,M358=phu!$I$76,M358=phu!$I$77,M358=phu!$I$78),"Cam Phước Đông",""),IF(OR(M358=phu!$I$79,M358=phu!$I$80,M358=phu!$I$81,M358=phu!$I$82,M358=phu!$I$83,M358=phu!$I$84),"Cam Thịnh Đông",""),IF(OR(M358=phu!$I$85,M358=phu!$I$86,M358=phu!$I$87,M358=phu!$I$88),"Cam Thịnh Tây",""),IF(OR(M358=phu!$I$89,M358=phu!$I$90),"Cam Lập",""),IF(OR(M358=phu!$I$91,M358=phu!$I$92,M358=phu!$I$93),"Cam Bình",""),IF(OR(M358=phu!$I$94,M358=phu!$I$95,M358=phu!$I$96,M358=phu!$I$97,M358=phu!$I$98,M358=phu!$I$99,M358=phu!$I$100),"Huyện khác",""),IF(OR(M358=phu!$I$101,M358=phu!$I$102),"Tỉnh khác",""))</f>
        <v/>
      </c>
      <c r="O358" s="829" t="str">
        <f t="shared" si="30"/>
        <v/>
      </c>
      <c r="P358" s="254"/>
      <c r="Q358" s="254"/>
      <c r="R358" s="254"/>
      <c r="S358" s="254"/>
      <c r="T358" s="254"/>
      <c r="U358" s="254"/>
      <c r="V358" s="254"/>
      <c r="W358" s="254"/>
      <c r="Y358" s="246" t="str">
        <f t="shared" si="31"/>
        <v/>
      </c>
      <c r="Z358" s="247" t="str">
        <f t="shared" si="35"/>
        <v/>
      </c>
      <c r="AA358" s="246" t="str">
        <f t="shared" si="32"/>
        <v/>
      </c>
    </row>
    <row r="359" spans="1:27" ht="18" customHeight="1" x14ac:dyDescent="0.25">
      <c r="A359" s="248" t="str">
        <f t="shared" si="33"/>
        <v/>
      </c>
      <c r="B359" s="249" t="str">
        <f t="shared" si="34"/>
        <v/>
      </c>
      <c r="C359" s="250"/>
      <c r="D359" s="251"/>
      <c r="E359" s="241"/>
      <c r="F359" s="252"/>
      <c r="G359" s="252"/>
      <c r="H359" s="253"/>
      <c r="I359" s="250"/>
      <c r="J359" s="250"/>
      <c r="K359" s="270"/>
      <c r="L359" s="250"/>
      <c r="M359" s="250"/>
      <c r="N359" s="540" t="str">
        <f>CONCATENATE(IF(OR(M359=phu!$I$1,M359=phu!$I$2,M359=phu!$I$3),"Cam Thành Nam",""),IF(OR(M359=phu!$I$4,M359=phu!$I$5,M359=phu!$I$6,M359=phu!$I$7,M359=phu!$I$8,M359=phu!$I$9,M359=phu!$I$10,M359=phu!$I$11,M359=phu!$I$12,M359=phu!$I$13,M359=phu!$I$14),"Cam Nghĩa",""),IF(OR(M359=phu!$I$15,M359=phu!$I$16,M359=phu!$I$17,M359=phu!$I$18,M359=phu!$I$19,M359=phu!$I$20,M359=phu!$I$21),"Cam Phúc Bắc",""),IF(OR(M359=phu!$I$22,M359=phu!$I$23,M359=phu!$I$24,M359=phu!$I$25),"Cam Phúc Nam",""),IF(OR(M359=phu!$I$26,M359=phu!$I$27,M359=phu!$I$28,M359=phu!$I$29,M359=phu!$I$30,M359=phu!$I$31),"Cam Phú",""),IF(OR(M359=phu!$I$32,M359=phu!$I$33,M359=phu!$I$34,M359=phu!$I$35,M359=phu!$I$36,M359=phu!$I$37),"Cam Lộc",""),IF(OR(M359=phu!$I$38,M359=phu!$I$39,M359=phu!$I$40,M359=phu!$I$41,M359=phu!$I$42,M359=phu!$I$43,M359=phu!$I$44),"Cam Thuận",""),IF(OR(M359=phu!$I$45,M359=phu!$I$46,M359=phu!$I$47,M359=phu!$I$48,M359=phu!$I$49,M359=phu!$I$50,M359=phu!$I$51,M359=phu!$I$52,M359=phu!$I$53),"Cam Linh",""),IF(OR(M359=phu!$I$54,M359=phu!$I$55,M359=phu!$I$56,M359=phu!$I$57,M359=phu!$I$58,M359=phu!$I$59,M359=phu!$I$60,M359=phu!$I$61,M359=phu!$I$62),"Cam Lợi",""),IF(OR(M359=phu!$I$63,M359=phu!$I$64,M359=phu!$I$65,M359=phu!$I$66,M359=phu!$I$67,M359=phu!$I$68,M359=phu!$I$69,M359=phu!$I$70,M359=phu!$I$71),"Ba Ngòi",""),IF(OR(M359=phu!$I$72,M359=phu!$I$73,M359=phu!$I$74,M359=phu!$I$75,M359=phu!$I$76,M359=phu!$I$77,M359=phu!$I$78),"Cam Phước Đông",""),IF(OR(M359=phu!$I$79,M359=phu!$I$80,M359=phu!$I$81,M359=phu!$I$82,M359=phu!$I$83,M359=phu!$I$84),"Cam Thịnh Đông",""),IF(OR(M359=phu!$I$85,M359=phu!$I$86,M359=phu!$I$87,M359=phu!$I$88),"Cam Thịnh Tây",""),IF(OR(M359=phu!$I$89,M359=phu!$I$90),"Cam Lập",""),IF(OR(M359=phu!$I$91,M359=phu!$I$92,M359=phu!$I$93),"Cam Bình",""),IF(OR(M359=phu!$I$94,M359=phu!$I$95,M359=phu!$I$96,M359=phu!$I$97,M359=phu!$I$98,M359=phu!$I$99,M359=phu!$I$100),"Huyện khác",""),IF(OR(M359=phu!$I$101,M359=phu!$I$102),"Tỉnh khác",""))</f>
        <v/>
      </c>
      <c r="O359" s="829" t="str">
        <f t="shared" si="30"/>
        <v/>
      </c>
      <c r="P359" s="254"/>
      <c r="Q359" s="254"/>
      <c r="R359" s="254"/>
      <c r="S359" s="254"/>
      <c r="T359" s="254"/>
      <c r="U359" s="254"/>
      <c r="V359" s="254"/>
      <c r="W359" s="254"/>
      <c r="Y359" s="246" t="str">
        <f t="shared" si="31"/>
        <v/>
      </c>
      <c r="Z359" s="247" t="str">
        <f t="shared" si="35"/>
        <v/>
      </c>
      <c r="AA359" s="246" t="str">
        <f t="shared" si="32"/>
        <v/>
      </c>
    </row>
    <row r="360" spans="1:27" ht="18" customHeight="1" x14ac:dyDescent="0.25">
      <c r="A360" s="248" t="str">
        <f t="shared" si="33"/>
        <v/>
      </c>
      <c r="B360" s="249" t="str">
        <f t="shared" si="34"/>
        <v/>
      </c>
      <c r="C360" s="250"/>
      <c r="D360" s="251"/>
      <c r="E360" s="241"/>
      <c r="F360" s="252"/>
      <c r="G360" s="252"/>
      <c r="H360" s="253"/>
      <c r="I360" s="250"/>
      <c r="J360" s="250"/>
      <c r="K360" s="270"/>
      <c r="L360" s="250"/>
      <c r="M360" s="250"/>
      <c r="N360" s="540" t="str">
        <f>CONCATENATE(IF(OR(M360=phu!$I$1,M360=phu!$I$2,M360=phu!$I$3),"Cam Thành Nam",""),IF(OR(M360=phu!$I$4,M360=phu!$I$5,M360=phu!$I$6,M360=phu!$I$7,M360=phu!$I$8,M360=phu!$I$9,M360=phu!$I$10,M360=phu!$I$11,M360=phu!$I$12,M360=phu!$I$13,M360=phu!$I$14),"Cam Nghĩa",""),IF(OR(M360=phu!$I$15,M360=phu!$I$16,M360=phu!$I$17,M360=phu!$I$18,M360=phu!$I$19,M360=phu!$I$20,M360=phu!$I$21),"Cam Phúc Bắc",""),IF(OR(M360=phu!$I$22,M360=phu!$I$23,M360=phu!$I$24,M360=phu!$I$25),"Cam Phúc Nam",""),IF(OR(M360=phu!$I$26,M360=phu!$I$27,M360=phu!$I$28,M360=phu!$I$29,M360=phu!$I$30,M360=phu!$I$31),"Cam Phú",""),IF(OR(M360=phu!$I$32,M360=phu!$I$33,M360=phu!$I$34,M360=phu!$I$35,M360=phu!$I$36,M360=phu!$I$37),"Cam Lộc",""),IF(OR(M360=phu!$I$38,M360=phu!$I$39,M360=phu!$I$40,M360=phu!$I$41,M360=phu!$I$42,M360=phu!$I$43,M360=phu!$I$44),"Cam Thuận",""),IF(OR(M360=phu!$I$45,M360=phu!$I$46,M360=phu!$I$47,M360=phu!$I$48,M360=phu!$I$49,M360=phu!$I$50,M360=phu!$I$51,M360=phu!$I$52,M360=phu!$I$53),"Cam Linh",""),IF(OR(M360=phu!$I$54,M360=phu!$I$55,M360=phu!$I$56,M360=phu!$I$57,M360=phu!$I$58,M360=phu!$I$59,M360=phu!$I$60,M360=phu!$I$61,M360=phu!$I$62),"Cam Lợi",""),IF(OR(M360=phu!$I$63,M360=phu!$I$64,M360=phu!$I$65,M360=phu!$I$66,M360=phu!$I$67,M360=phu!$I$68,M360=phu!$I$69,M360=phu!$I$70,M360=phu!$I$71),"Ba Ngòi",""),IF(OR(M360=phu!$I$72,M360=phu!$I$73,M360=phu!$I$74,M360=phu!$I$75,M360=phu!$I$76,M360=phu!$I$77,M360=phu!$I$78),"Cam Phước Đông",""),IF(OR(M360=phu!$I$79,M360=phu!$I$80,M360=phu!$I$81,M360=phu!$I$82,M360=phu!$I$83,M360=phu!$I$84),"Cam Thịnh Đông",""),IF(OR(M360=phu!$I$85,M360=phu!$I$86,M360=phu!$I$87,M360=phu!$I$88),"Cam Thịnh Tây",""),IF(OR(M360=phu!$I$89,M360=phu!$I$90),"Cam Lập",""),IF(OR(M360=phu!$I$91,M360=phu!$I$92,M360=phu!$I$93),"Cam Bình",""),IF(OR(M360=phu!$I$94,M360=phu!$I$95,M360=phu!$I$96,M360=phu!$I$97,M360=phu!$I$98,M360=phu!$I$99,M360=phu!$I$100),"Huyện khác",""),IF(OR(M360=phu!$I$101,M360=phu!$I$102),"Tỉnh khác",""))</f>
        <v/>
      </c>
      <c r="O360" s="829" t="str">
        <f t="shared" si="30"/>
        <v/>
      </c>
      <c r="P360" s="254"/>
      <c r="Q360" s="254"/>
      <c r="R360" s="254"/>
      <c r="S360" s="254"/>
      <c r="T360" s="254"/>
      <c r="U360" s="254"/>
      <c r="V360" s="254"/>
      <c r="W360" s="254"/>
      <c r="Y360" s="246" t="str">
        <f t="shared" si="31"/>
        <v/>
      </c>
      <c r="Z360" s="247" t="str">
        <f t="shared" si="35"/>
        <v/>
      </c>
      <c r="AA360" s="246" t="str">
        <f t="shared" si="32"/>
        <v/>
      </c>
    </row>
    <row r="361" spans="1:27" ht="18" customHeight="1" x14ac:dyDescent="0.25">
      <c r="A361" s="248" t="str">
        <f t="shared" si="33"/>
        <v/>
      </c>
      <c r="B361" s="249" t="str">
        <f t="shared" si="34"/>
        <v/>
      </c>
      <c r="C361" s="250"/>
      <c r="D361" s="251"/>
      <c r="E361" s="241"/>
      <c r="F361" s="252"/>
      <c r="G361" s="252"/>
      <c r="H361" s="253"/>
      <c r="I361" s="250"/>
      <c r="J361" s="250"/>
      <c r="K361" s="270"/>
      <c r="L361" s="250"/>
      <c r="M361" s="250"/>
      <c r="N361" s="540" t="str">
        <f>CONCATENATE(IF(OR(M361=phu!$I$1,M361=phu!$I$2,M361=phu!$I$3),"Cam Thành Nam",""),IF(OR(M361=phu!$I$4,M361=phu!$I$5,M361=phu!$I$6,M361=phu!$I$7,M361=phu!$I$8,M361=phu!$I$9,M361=phu!$I$10,M361=phu!$I$11,M361=phu!$I$12,M361=phu!$I$13,M361=phu!$I$14),"Cam Nghĩa",""),IF(OR(M361=phu!$I$15,M361=phu!$I$16,M361=phu!$I$17,M361=phu!$I$18,M361=phu!$I$19,M361=phu!$I$20,M361=phu!$I$21),"Cam Phúc Bắc",""),IF(OR(M361=phu!$I$22,M361=phu!$I$23,M361=phu!$I$24,M361=phu!$I$25),"Cam Phúc Nam",""),IF(OR(M361=phu!$I$26,M361=phu!$I$27,M361=phu!$I$28,M361=phu!$I$29,M361=phu!$I$30,M361=phu!$I$31),"Cam Phú",""),IF(OR(M361=phu!$I$32,M361=phu!$I$33,M361=phu!$I$34,M361=phu!$I$35,M361=phu!$I$36,M361=phu!$I$37),"Cam Lộc",""),IF(OR(M361=phu!$I$38,M361=phu!$I$39,M361=phu!$I$40,M361=phu!$I$41,M361=phu!$I$42,M361=phu!$I$43,M361=phu!$I$44),"Cam Thuận",""),IF(OR(M361=phu!$I$45,M361=phu!$I$46,M361=phu!$I$47,M361=phu!$I$48,M361=phu!$I$49,M361=phu!$I$50,M361=phu!$I$51,M361=phu!$I$52,M361=phu!$I$53),"Cam Linh",""),IF(OR(M361=phu!$I$54,M361=phu!$I$55,M361=phu!$I$56,M361=phu!$I$57,M361=phu!$I$58,M361=phu!$I$59,M361=phu!$I$60,M361=phu!$I$61,M361=phu!$I$62),"Cam Lợi",""),IF(OR(M361=phu!$I$63,M361=phu!$I$64,M361=phu!$I$65,M361=phu!$I$66,M361=phu!$I$67,M361=phu!$I$68,M361=phu!$I$69,M361=phu!$I$70,M361=phu!$I$71),"Ba Ngòi",""),IF(OR(M361=phu!$I$72,M361=phu!$I$73,M361=phu!$I$74,M361=phu!$I$75,M361=phu!$I$76,M361=phu!$I$77,M361=phu!$I$78),"Cam Phước Đông",""),IF(OR(M361=phu!$I$79,M361=phu!$I$80,M361=phu!$I$81,M361=phu!$I$82,M361=phu!$I$83,M361=phu!$I$84),"Cam Thịnh Đông",""),IF(OR(M361=phu!$I$85,M361=phu!$I$86,M361=phu!$I$87,M361=phu!$I$88),"Cam Thịnh Tây",""),IF(OR(M361=phu!$I$89,M361=phu!$I$90),"Cam Lập",""),IF(OR(M361=phu!$I$91,M361=phu!$I$92,M361=phu!$I$93),"Cam Bình",""),IF(OR(M361=phu!$I$94,M361=phu!$I$95,M361=phu!$I$96,M361=phu!$I$97,M361=phu!$I$98,M361=phu!$I$99,M361=phu!$I$100),"Huyện khác",""),IF(OR(M361=phu!$I$101,M361=phu!$I$102),"Tỉnh khác",""))</f>
        <v/>
      </c>
      <c r="O361" s="829" t="str">
        <f t="shared" si="30"/>
        <v/>
      </c>
      <c r="P361" s="254"/>
      <c r="Q361" s="254"/>
      <c r="R361" s="254"/>
      <c r="S361" s="254"/>
      <c r="T361" s="254"/>
      <c r="U361" s="254"/>
      <c r="V361" s="254"/>
      <c r="W361" s="254"/>
      <c r="Y361" s="246" t="str">
        <f t="shared" si="31"/>
        <v/>
      </c>
      <c r="Z361" s="247" t="str">
        <f t="shared" si="35"/>
        <v/>
      </c>
      <c r="AA361" s="246" t="str">
        <f t="shared" si="32"/>
        <v/>
      </c>
    </row>
    <row r="362" spans="1:27" ht="18" customHeight="1" x14ac:dyDescent="0.25">
      <c r="A362" s="248" t="str">
        <f t="shared" si="33"/>
        <v/>
      </c>
      <c r="B362" s="249" t="str">
        <f t="shared" si="34"/>
        <v/>
      </c>
      <c r="C362" s="250"/>
      <c r="D362" s="251"/>
      <c r="E362" s="241"/>
      <c r="F362" s="252"/>
      <c r="G362" s="252"/>
      <c r="H362" s="253"/>
      <c r="I362" s="250"/>
      <c r="J362" s="250"/>
      <c r="K362" s="270"/>
      <c r="L362" s="250"/>
      <c r="M362" s="250"/>
      <c r="N362" s="540" t="str">
        <f>CONCATENATE(IF(OR(M362=phu!$I$1,M362=phu!$I$2,M362=phu!$I$3),"Cam Thành Nam",""),IF(OR(M362=phu!$I$4,M362=phu!$I$5,M362=phu!$I$6,M362=phu!$I$7,M362=phu!$I$8,M362=phu!$I$9,M362=phu!$I$10,M362=phu!$I$11,M362=phu!$I$12,M362=phu!$I$13,M362=phu!$I$14),"Cam Nghĩa",""),IF(OR(M362=phu!$I$15,M362=phu!$I$16,M362=phu!$I$17,M362=phu!$I$18,M362=phu!$I$19,M362=phu!$I$20,M362=phu!$I$21),"Cam Phúc Bắc",""),IF(OR(M362=phu!$I$22,M362=phu!$I$23,M362=phu!$I$24,M362=phu!$I$25),"Cam Phúc Nam",""),IF(OR(M362=phu!$I$26,M362=phu!$I$27,M362=phu!$I$28,M362=phu!$I$29,M362=phu!$I$30,M362=phu!$I$31),"Cam Phú",""),IF(OR(M362=phu!$I$32,M362=phu!$I$33,M362=phu!$I$34,M362=phu!$I$35,M362=phu!$I$36,M362=phu!$I$37),"Cam Lộc",""),IF(OR(M362=phu!$I$38,M362=phu!$I$39,M362=phu!$I$40,M362=phu!$I$41,M362=phu!$I$42,M362=phu!$I$43,M362=phu!$I$44),"Cam Thuận",""),IF(OR(M362=phu!$I$45,M362=phu!$I$46,M362=phu!$I$47,M362=phu!$I$48,M362=phu!$I$49,M362=phu!$I$50,M362=phu!$I$51,M362=phu!$I$52,M362=phu!$I$53),"Cam Linh",""),IF(OR(M362=phu!$I$54,M362=phu!$I$55,M362=phu!$I$56,M362=phu!$I$57,M362=phu!$I$58,M362=phu!$I$59,M362=phu!$I$60,M362=phu!$I$61,M362=phu!$I$62),"Cam Lợi",""),IF(OR(M362=phu!$I$63,M362=phu!$I$64,M362=phu!$I$65,M362=phu!$I$66,M362=phu!$I$67,M362=phu!$I$68,M362=phu!$I$69,M362=phu!$I$70,M362=phu!$I$71),"Ba Ngòi",""),IF(OR(M362=phu!$I$72,M362=phu!$I$73,M362=phu!$I$74,M362=phu!$I$75,M362=phu!$I$76,M362=phu!$I$77,M362=phu!$I$78),"Cam Phước Đông",""),IF(OR(M362=phu!$I$79,M362=phu!$I$80,M362=phu!$I$81,M362=phu!$I$82,M362=phu!$I$83,M362=phu!$I$84),"Cam Thịnh Đông",""),IF(OR(M362=phu!$I$85,M362=phu!$I$86,M362=phu!$I$87,M362=phu!$I$88),"Cam Thịnh Tây",""),IF(OR(M362=phu!$I$89,M362=phu!$I$90),"Cam Lập",""),IF(OR(M362=phu!$I$91,M362=phu!$I$92,M362=phu!$I$93),"Cam Bình",""),IF(OR(M362=phu!$I$94,M362=phu!$I$95,M362=phu!$I$96,M362=phu!$I$97,M362=phu!$I$98,M362=phu!$I$99,M362=phu!$I$100),"Huyện khác",""),IF(OR(M362=phu!$I$101,M362=phu!$I$102),"Tỉnh khác",""))</f>
        <v/>
      </c>
      <c r="O362" s="829" t="str">
        <f t="shared" si="30"/>
        <v/>
      </c>
      <c r="P362" s="254"/>
      <c r="Q362" s="254"/>
      <c r="R362" s="254"/>
      <c r="S362" s="254"/>
      <c r="T362" s="254"/>
      <c r="U362" s="254"/>
      <c r="V362" s="254"/>
      <c r="W362" s="254"/>
      <c r="Y362" s="246" t="str">
        <f t="shared" si="31"/>
        <v/>
      </c>
      <c r="Z362" s="247" t="str">
        <f t="shared" si="35"/>
        <v/>
      </c>
      <c r="AA362" s="246" t="str">
        <f t="shared" si="32"/>
        <v/>
      </c>
    </row>
    <row r="363" spans="1:27" ht="18" customHeight="1" x14ac:dyDescent="0.25">
      <c r="A363" s="248" t="str">
        <f t="shared" si="33"/>
        <v/>
      </c>
      <c r="B363" s="249" t="str">
        <f t="shared" si="34"/>
        <v/>
      </c>
      <c r="C363" s="250"/>
      <c r="D363" s="251"/>
      <c r="E363" s="241"/>
      <c r="F363" s="252"/>
      <c r="G363" s="252"/>
      <c r="H363" s="253"/>
      <c r="I363" s="250"/>
      <c r="J363" s="250"/>
      <c r="K363" s="270"/>
      <c r="L363" s="250"/>
      <c r="M363" s="250"/>
      <c r="N363" s="540" t="str">
        <f>CONCATENATE(IF(OR(M363=phu!$I$1,M363=phu!$I$2,M363=phu!$I$3),"Cam Thành Nam",""),IF(OR(M363=phu!$I$4,M363=phu!$I$5,M363=phu!$I$6,M363=phu!$I$7,M363=phu!$I$8,M363=phu!$I$9,M363=phu!$I$10,M363=phu!$I$11,M363=phu!$I$12,M363=phu!$I$13,M363=phu!$I$14),"Cam Nghĩa",""),IF(OR(M363=phu!$I$15,M363=phu!$I$16,M363=phu!$I$17,M363=phu!$I$18,M363=phu!$I$19,M363=phu!$I$20,M363=phu!$I$21),"Cam Phúc Bắc",""),IF(OR(M363=phu!$I$22,M363=phu!$I$23,M363=phu!$I$24,M363=phu!$I$25),"Cam Phúc Nam",""),IF(OR(M363=phu!$I$26,M363=phu!$I$27,M363=phu!$I$28,M363=phu!$I$29,M363=phu!$I$30,M363=phu!$I$31),"Cam Phú",""),IF(OR(M363=phu!$I$32,M363=phu!$I$33,M363=phu!$I$34,M363=phu!$I$35,M363=phu!$I$36,M363=phu!$I$37),"Cam Lộc",""),IF(OR(M363=phu!$I$38,M363=phu!$I$39,M363=phu!$I$40,M363=phu!$I$41,M363=phu!$I$42,M363=phu!$I$43,M363=phu!$I$44),"Cam Thuận",""),IF(OR(M363=phu!$I$45,M363=phu!$I$46,M363=phu!$I$47,M363=phu!$I$48,M363=phu!$I$49,M363=phu!$I$50,M363=phu!$I$51,M363=phu!$I$52,M363=phu!$I$53),"Cam Linh",""),IF(OR(M363=phu!$I$54,M363=phu!$I$55,M363=phu!$I$56,M363=phu!$I$57,M363=phu!$I$58,M363=phu!$I$59,M363=phu!$I$60,M363=phu!$I$61,M363=phu!$I$62),"Cam Lợi",""),IF(OR(M363=phu!$I$63,M363=phu!$I$64,M363=phu!$I$65,M363=phu!$I$66,M363=phu!$I$67,M363=phu!$I$68,M363=phu!$I$69,M363=phu!$I$70,M363=phu!$I$71),"Ba Ngòi",""),IF(OR(M363=phu!$I$72,M363=phu!$I$73,M363=phu!$I$74,M363=phu!$I$75,M363=phu!$I$76,M363=phu!$I$77,M363=phu!$I$78),"Cam Phước Đông",""),IF(OR(M363=phu!$I$79,M363=phu!$I$80,M363=phu!$I$81,M363=phu!$I$82,M363=phu!$I$83,M363=phu!$I$84),"Cam Thịnh Đông",""),IF(OR(M363=phu!$I$85,M363=phu!$I$86,M363=phu!$I$87,M363=phu!$I$88),"Cam Thịnh Tây",""),IF(OR(M363=phu!$I$89,M363=phu!$I$90),"Cam Lập",""),IF(OR(M363=phu!$I$91,M363=phu!$I$92,M363=phu!$I$93),"Cam Bình",""),IF(OR(M363=phu!$I$94,M363=phu!$I$95,M363=phu!$I$96,M363=phu!$I$97,M363=phu!$I$98,M363=phu!$I$99,M363=phu!$I$100),"Huyện khác",""),IF(OR(M363=phu!$I$101,M363=phu!$I$102),"Tỉnh khác",""))</f>
        <v/>
      </c>
      <c r="O363" s="829" t="str">
        <f t="shared" si="30"/>
        <v/>
      </c>
      <c r="P363" s="254"/>
      <c r="Q363" s="254"/>
      <c r="R363" s="254"/>
      <c r="S363" s="254"/>
      <c r="T363" s="254"/>
      <c r="U363" s="254"/>
      <c r="V363" s="254"/>
      <c r="W363" s="254"/>
      <c r="Y363" s="246" t="str">
        <f t="shared" si="31"/>
        <v/>
      </c>
      <c r="Z363" s="247" t="str">
        <f t="shared" si="35"/>
        <v/>
      </c>
      <c r="AA363" s="246" t="str">
        <f t="shared" si="32"/>
        <v/>
      </c>
    </row>
    <row r="364" spans="1:27" ht="18" customHeight="1" x14ac:dyDescent="0.25">
      <c r="A364" s="248" t="str">
        <f t="shared" si="33"/>
        <v/>
      </c>
      <c r="B364" s="249" t="str">
        <f t="shared" si="34"/>
        <v/>
      </c>
      <c r="C364" s="250"/>
      <c r="D364" s="251"/>
      <c r="E364" s="241"/>
      <c r="F364" s="252"/>
      <c r="G364" s="252"/>
      <c r="H364" s="253"/>
      <c r="I364" s="250"/>
      <c r="J364" s="250"/>
      <c r="K364" s="270"/>
      <c r="L364" s="250"/>
      <c r="M364" s="250"/>
      <c r="N364" s="540" t="str">
        <f>CONCATENATE(IF(OR(M364=phu!$I$1,M364=phu!$I$2,M364=phu!$I$3),"Cam Thành Nam",""),IF(OR(M364=phu!$I$4,M364=phu!$I$5,M364=phu!$I$6,M364=phu!$I$7,M364=phu!$I$8,M364=phu!$I$9,M364=phu!$I$10,M364=phu!$I$11,M364=phu!$I$12,M364=phu!$I$13,M364=phu!$I$14),"Cam Nghĩa",""),IF(OR(M364=phu!$I$15,M364=phu!$I$16,M364=phu!$I$17,M364=phu!$I$18,M364=phu!$I$19,M364=phu!$I$20,M364=phu!$I$21),"Cam Phúc Bắc",""),IF(OR(M364=phu!$I$22,M364=phu!$I$23,M364=phu!$I$24,M364=phu!$I$25),"Cam Phúc Nam",""),IF(OR(M364=phu!$I$26,M364=phu!$I$27,M364=phu!$I$28,M364=phu!$I$29,M364=phu!$I$30,M364=phu!$I$31),"Cam Phú",""),IF(OR(M364=phu!$I$32,M364=phu!$I$33,M364=phu!$I$34,M364=phu!$I$35,M364=phu!$I$36,M364=phu!$I$37),"Cam Lộc",""),IF(OR(M364=phu!$I$38,M364=phu!$I$39,M364=phu!$I$40,M364=phu!$I$41,M364=phu!$I$42,M364=phu!$I$43,M364=phu!$I$44),"Cam Thuận",""),IF(OR(M364=phu!$I$45,M364=phu!$I$46,M364=phu!$I$47,M364=phu!$I$48,M364=phu!$I$49,M364=phu!$I$50,M364=phu!$I$51,M364=phu!$I$52,M364=phu!$I$53),"Cam Linh",""),IF(OR(M364=phu!$I$54,M364=phu!$I$55,M364=phu!$I$56,M364=phu!$I$57,M364=phu!$I$58,M364=phu!$I$59,M364=phu!$I$60,M364=phu!$I$61,M364=phu!$I$62),"Cam Lợi",""),IF(OR(M364=phu!$I$63,M364=phu!$I$64,M364=phu!$I$65,M364=phu!$I$66,M364=phu!$I$67,M364=phu!$I$68,M364=phu!$I$69,M364=phu!$I$70,M364=phu!$I$71),"Ba Ngòi",""),IF(OR(M364=phu!$I$72,M364=phu!$I$73,M364=phu!$I$74,M364=phu!$I$75,M364=phu!$I$76,M364=phu!$I$77,M364=phu!$I$78),"Cam Phước Đông",""),IF(OR(M364=phu!$I$79,M364=phu!$I$80,M364=phu!$I$81,M364=phu!$I$82,M364=phu!$I$83,M364=phu!$I$84),"Cam Thịnh Đông",""),IF(OR(M364=phu!$I$85,M364=phu!$I$86,M364=phu!$I$87,M364=phu!$I$88),"Cam Thịnh Tây",""),IF(OR(M364=phu!$I$89,M364=phu!$I$90),"Cam Lập",""),IF(OR(M364=phu!$I$91,M364=phu!$I$92,M364=phu!$I$93),"Cam Bình",""),IF(OR(M364=phu!$I$94,M364=phu!$I$95,M364=phu!$I$96,M364=phu!$I$97,M364=phu!$I$98,M364=phu!$I$99,M364=phu!$I$100),"Huyện khác",""),IF(OR(M364=phu!$I$101,M364=phu!$I$102),"Tỉnh khác",""))</f>
        <v/>
      </c>
      <c r="O364" s="829" t="str">
        <f t="shared" si="30"/>
        <v/>
      </c>
      <c r="P364" s="254"/>
      <c r="Q364" s="254"/>
      <c r="R364" s="254"/>
      <c r="S364" s="254"/>
      <c r="T364" s="254"/>
      <c r="U364" s="254"/>
      <c r="V364" s="254"/>
      <c r="W364" s="254"/>
      <c r="Y364" s="246" t="str">
        <f t="shared" si="31"/>
        <v/>
      </c>
      <c r="Z364" s="247" t="str">
        <f t="shared" si="35"/>
        <v/>
      </c>
      <c r="AA364" s="246" t="str">
        <f t="shared" si="32"/>
        <v/>
      </c>
    </row>
    <row r="365" spans="1:27" ht="18" customHeight="1" x14ac:dyDescent="0.25">
      <c r="A365" s="248" t="str">
        <f t="shared" si="33"/>
        <v/>
      </c>
      <c r="B365" s="249" t="str">
        <f t="shared" si="34"/>
        <v/>
      </c>
      <c r="C365" s="250"/>
      <c r="D365" s="251"/>
      <c r="E365" s="241"/>
      <c r="F365" s="252"/>
      <c r="G365" s="252"/>
      <c r="H365" s="253"/>
      <c r="I365" s="250"/>
      <c r="J365" s="250"/>
      <c r="K365" s="270"/>
      <c r="L365" s="250"/>
      <c r="M365" s="250"/>
      <c r="N365" s="540" t="str">
        <f>CONCATENATE(IF(OR(M365=phu!$I$1,M365=phu!$I$2,M365=phu!$I$3),"Cam Thành Nam",""),IF(OR(M365=phu!$I$4,M365=phu!$I$5,M365=phu!$I$6,M365=phu!$I$7,M365=phu!$I$8,M365=phu!$I$9,M365=phu!$I$10,M365=phu!$I$11,M365=phu!$I$12,M365=phu!$I$13,M365=phu!$I$14),"Cam Nghĩa",""),IF(OR(M365=phu!$I$15,M365=phu!$I$16,M365=phu!$I$17,M365=phu!$I$18,M365=phu!$I$19,M365=phu!$I$20,M365=phu!$I$21),"Cam Phúc Bắc",""),IF(OR(M365=phu!$I$22,M365=phu!$I$23,M365=phu!$I$24,M365=phu!$I$25),"Cam Phúc Nam",""),IF(OR(M365=phu!$I$26,M365=phu!$I$27,M365=phu!$I$28,M365=phu!$I$29,M365=phu!$I$30,M365=phu!$I$31),"Cam Phú",""),IF(OR(M365=phu!$I$32,M365=phu!$I$33,M365=phu!$I$34,M365=phu!$I$35,M365=phu!$I$36,M365=phu!$I$37),"Cam Lộc",""),IF(OR(M365=phu!$I$38,M365=phu!$I$39,M365=phu!$I$40,M365=phu!$I$41,M365=phu!$I$42,M365=phu!$I$43,M365=phu!$I$44),"Cam Thuận",""),IF(OR(M365=phu!$I$45,M365=phu!$I$46,M365=phu!$I$47,M365=phu!$I$48,M365=phu!$I$49,M365=phu!$I$50,M365=phu!$I$51,M365=phu!$I$52,M365=phu!$I$53),"Cam Linh",""),IF(OR(M365=phu!$I$54,M365=phu!$I$55,M365=phu!$I$56,M365=phu!$I$57,M365=phu!$I$58,M365=phu!$I$59,M365=phu!$I$60,M365=phu!$I$61,M365=phu!$I$62),"Cam Lợi",""),IF(OR(M365=phu!$I$63,M365=phu!$I$64,M365=phu!$I$65,M365=phu!$I$66,M365=phu!$I$67,M365=phu!$I$68,M365=phu!$I$69,M365=phu!$I$70,M365=phu!$I$71),"Ba Ngòi",""),IF(OR(M365=phu!$I$72,M365=phu!$I$73,M365=phu!$I$74,M365=phu!$I$75,M365=phu!$I$76,M365=phu!$I$77,M365=phu!$I$78),"Cam Phước Đông",""),IF(OR(M365=phu!$I$79,M365=phu!$I$80,M365=phu!$I$81,M365=phu!$I$82,M365=phu!$I$83,M365=phu!$I$84),"Cam Thịnh Đông",""),IF(OR(M365=phu!$I$85,M365=phu!$I$86,M365=phu!$I$87,M365=phu!$I$88),"Cam Thịnh Tây",""),IF(OR(M365=phu!$I$89,M365=phu!$I$90),"Cam Lập",""),IF(OR(M365=phu!$I$91,M365=phu!$I$92,M365=phu!$I$93),"Cam Bình",""),IF(OR(M365=phu!$I$94,M365=phu!$I$95,M365=phu!$I$96,M365=phu!$I$97,M365=phu!$I$98,M365=phu!$I$99,M365=phu!$I$100),"Huyện khác",""),IF(OR(M365=phu!$I$101,M365=phu!$I$102),"Tỉnh khác",""))</f>
        <v/>
      </c>
      <c r="O365" s="829" t="str">
        <f t="shared" si="30"/>
        <v/>
      </c>
      <c r="P365" s="254"/>
      <c r="Q365" s="254"/>
      <c r="R365" s="254"/>
      <c r="S365" s="254"/>
      <c r="T365" s="254"/>
      <c r="U365" s="254"/>
      <c r="V365" s="254"/>
      <c r="W365" s="254"/>
      <c r="Y365" s="246" t="str">
        <f t="shared" si="31"/>
        <v/>
      </c>
      <c r="Z365" s="247" t="str">
        <f t="shared" si="35"/>
        <v/>
      </c>
      <c r="AA365" s="246" t="str">
        <f t="shared" si="32"/>
        <v/>
      </c>
    </row>
    <row r="366" spans="1:27" ht="18" customHeight="1" x14ac:dyDescent="0.25">
      <c r="A366" s="248" t="str">
        <f t="shared" si="33"/>
        <v/>
      </c>
      <c r="B366" s="249" t="str">
        <f t="shared" si="34"/>
        <v/>
      </c>
      <c r="C366" s="250"/>
      <c r="D366" s="251"/>
      <c r="E366" s="241"/>
      <c r="F366" s="252"/>
      <c r="G366" s="252"/>
      <c r="H366" s="253"/>
      <c r="I366" s="250"/>
      <c r="J366" s="250"/>
      <c r="K366" s="270"/>
      <c r="L366" s="250"/>
      <c r="M366" s="250"/>
      <c r="N366" s="540" t="str">
        <f>CONCATENATE(IF(OR(M366=phu!$I$1,M366=phu!$I$2,M366=phu!$I$3),"Cam Thành Nam",""),IF(OR(M366=phu!$I$4,M366=phu!$I$5,M366=phu!$I$6,M366=phu!$I$7,M366=phu!$I$8,M366=phu!$I$9,M366=phu!$I$10,M366=phu!$I$11,M366=phu!$I$12,M366=phu!$I$13,M366=phu!$I$14),"Cam Nghĩa",""),IF(OR(M366=phu!$I$15,M366=phu!$I$16,M366=phu!$I$17,M366=phu!$I$18,M366=phu!$I$19,M366=phu!$I$20,M366=phu!$I$21),"Cam Phúc Bắc",""),IF(OR(M366=phu!$I$22,M366=phu!$I$23,M366=phu!$I$24,M366=phu!$I$25),"Cam Phúc Nam",""),IF(OR(M366=phu!$I$26,M366=phu!$I$27,M366=phu!$I$28,M366=phu!$I$29,M366=phu!$I$30,M366=phu!$I$31),"Cam Phú",""),IF(OR(M366=phu!$I$32,M366=phu!$I$33,M366=phu!$I$34,M366=phu!$I$35,M366=phu!$I$36,M366=phu!$I$37),"Cam Lộc",""),IF(OR(M366=phu!$I$38,M366=phu!$I$39,M366=phu!$I$40,M366=phu!$I$41,M366=phu!$I$42,M366=phu!$I$43,M366=phu!$I$44),"Cam Thuận",""),IF(OR(M366=phu!$I$45,M366=phu!$I$46,M366=phu!$I$47,M366=phu!$I$48,M366=phu!$I$49,M366=phu!$I$50,M366=phu!$I$51,M366=phu!$I$52,M366=phu!$I$53),"Cam Linh",""),IF(OR(M366=phu!$I$54,M366=phu!$I$55,M366=phu!$I$56,M366=phu!$I$57,M366=phu!$I$58,M366=phu!$I$59,M366=phu!$I$60,M366=phu!$I$61,M366=phu!$I$62),"Cam Lợi",""),IF(OR(M366=phu!$I$63,M366=phu!$I$64,M366=phu!$I$65,M366=phu!$I$66,M366=phu!$I$67,M366=phu!$I$68,M366=phu!$I$69,M366=phu!$I$70,M366=phu!$I$71),"Ba Ngòi",""),IF(OR(M366=phu!$I$72,M366=phu!$I$73,M366=phu!$I$74,M366=phu!$I$75,M366=phu!$I$76,M366=phu!$I$77,M366=phu!$I$78),"Cam Phước Đông",""),IF(OR(M366=phu!$I$79,M366=phu!$I$80,M366=phu!$I$81,M366=phu!$I$82,M366=phu!$I$83,M366=phu!$I$84),"Cam Thịnh Đông",""),IF(OR(M366=phu!$I$85,M366=phu!$I$86,M366=phu!$I$87,M366=phu!$I$88),"Cam Thịnh Tây",""),IF(OR(M366=phu!$I$89,M366=phu!$I$90),"Cam Lập",""),IF(OR(M366=phu!$I$91,M366=phu!$I$92,M366=phu!$I$93),"Cam Bình",""),IF(OR(M366=phu!$I$94,M366=phu!$I$95,M366=phu!$I$96,M366=phu!$I$97,M366=phu!$I$98,M366=phu!$I$99,M366=phu!$I$100),"Huyện khác",""),IF(OR(M366=phu!$I$101,M366=phu!$I$102),"Tỉnh khác",""))</f>
        <v/>
      </c>
      <c r="O366" s="829" t="str">
        <f t="shared" si="30"/>
        <v/>
      </c>
      <c r="P366" s="254"/>
      <c r="Q366" s="254"/>
      <c r="R366" s="254"/>
      <c r="S366" s="254"/>
      <c r="T366" s="254"/>
      <c r="U366" s="254"/>
      <c r="V366" s="254"/>
      <c r="W366" s="254"/>
      <c r="Y366" s="246" t="str">
        <f t="shared" si="31"/>
        <v/>
      </c>
      <c r="Z366" s="247" t="str">
        <f t="shared" si="35"/>
        <v/>
      </c>
      <c r="AA366" s="246" t="str">
        <f t="shared" si="32"/>
        <v/>
      </c>
    </row>
    <row r="367" spans="1:27" ht="18" customHeight="1" x14ac:dyDescent="0.25">
      <c r="A367" s="248" t="str">
        <f t="shared" si="33"/>
        <v/>
      </c>
      <c r="B367" s="249" t="str">
        <f t="shared" si="34"/>
        <v/>
      </c>
      <c r="C367" s="250"/>
      <c r="D367" s="251"/>
      <c r="E367" s="241"/>
      <c r="F367" s="252"/>
      <c r="G367" s="252"/>
      <c r="H367" s="253"/>
      <c r="I367" s="250"/>
      <c r="J367" s="250"/>
      <c r="K367" s="270"/>
      <c r="L367" s="250"/>
      <c r="M367" s="250"/>
      <c r="N367" s="540" t="str">
        <f>CONCATENATE(IF(OR(M367=phu!$I$1,M367=phu!$I$2,M367=phu!$I$3),"Cam Thành Nam",""),IF(OR(M367=phu!$I$4,M367=phu!$I$5,M367=phu!$I$6,M367=phu!$I$7,M367=phu!$I$8,M367=phu!$I$9,M367=phu!$I$10,M367=phu!$I$11,M367=phu!$I$12,M367=phu!$I$13,M367=phu!$I$14),"Cam Nghĩa",""),IF(OR(M367=phu!$I$15,M367=phu!$I$16,M367=phu!$I$17,M367=phu!$I$18,M367=phu!$I$19,M367=phu!$I$20,M367=phu!$I$21),"Cam Phúc Bắc",""),IF(OR(M367=phu!$I$22,M367=phu!$I$23,M367=phu!$I$24,M367=phu!$I$25),"Cam Phúc Nam",""),IF(OR(M367=phu!$I$26,M367=phu!$I$27,M367=phu!$I$28,M367=phu!$I$29,M367=phu!$I$30,M367=phu!$I$31),"Cam Phú",""),IF(OR(M367=phu!$I$32,M367=phu!$I$33,M367=phu!$I$34,M367=phu!$I$35,M367=phu!$I$36,M367=phu!$I$37),"Cam Lộc",""),IF(OR(M367=phu!$I$38,M367=phu!$I$39,M367=phu!$I$40,M367=phu!$I$41,M367=phu!$I$42,M367=phu!$I$43,M367=phu!$I$44),"Cam Thuận",""),IF(OR(M367=phu!$I$45,M367=phu!$I$46,M367=phu!$I$47,M367=phu!$I$48,M367=phu!$I$49,M367=phu!$I$50,M367=phu!$I$51,M367=phu!$I$52,M367=phu!$I$53),"Cam Linh",""),IF(OR(M367=phu!$I$54,M367=phu!$I$55,M367=phu!$I$56,M367=phu!$I$57,M367=phu!$I$58,M367=phu!$I$59,M367=phu!$I$60,M367=phu!$I$61,M367=phu!$I$62),"Cam Lợi",""),IF(OR(M367=phu!$I$63,M367=phu!$I$64,M367=phu!$I$65,M367=phu!$I$66,M367=phu!$I$67,M367=phu!$I$68,M367=phu!$I$69,M367=phu!$I$70,M367=phu!$I$71),"Ba Ngòi",""),IF(OR(M367=phu!$I$72,M367=phu!$I$73,M367=phu!$I$74,M367=phu!$I$75,M367=phu!$I$76,M367=phu!$I$77,M367=phu!$I$78),"Cam Phước Đông",""),IF(OR(M367=phu!$I$79,M367=phu!$I$80,M367=phu!$I$81,M367=phu!$I$82,M367=phu!$I$83,M367=phu!$I$84),"Cam Thịnh Đông",""),IF(OR(M367=phu!$I$85,M367=phu!$I$86,M367=phu!$I$87,M367=phu!$I$88),"Cam Thịnh Tây",""),IF(OR(M367=phu!$I$89,M367=phu!$I$90),"Cam Lập",""),IF(OR(M367=phu!$I$91,M367=phu!$I$92,M367=phu!$I$93),"Cam Bình",""),IF(OR(M367=phu!$I$94,M367=phu!$I$95,M367=phu!$I$96,M367=phu!$I$97,M367=phu!$I$98,M367=phu!$I$99,M367=phu!$I$100),"Huyện khác",""),IF(OR(M367=phu!$I$101,M367=phu!$I$102),"Tỉnh khác",""))</f>
        <v/>
      </c>
      <c r="O367" s="829" t="str">
        <f t="shared" si="30"/>
        <v/>
      </c>
      <c r="P367" s="254"/>
      <c r="Q367" s="254"/>
      <c r="R367" s="254"/>
      <c r="S367" s="254"/>
      <c r="T367" s="254"/>
      <c r="U367" s="254"/>
      <c r="V367" s="254"/>
      <c r="W367" s="254"/>
      <c r="Y367" s="246" t="str">
        <f t="shared" si="31"/>
        <v/>
      </c>
      <c r="Z367" s="247" t="str">
        <f t="shared" si="35"/>
        <v/>
      </c>
      <c r="AA367" s="246" t="str">
        <f t="shared" si="32"/>
        <v/>
      </c>
    </row>
    <row r="368" spans="1:27" ht="18" customHeight="1" x14ac:dyDescent="0.25">
      <c r="A368" s="248" t="str">
        <f t="shared" si="33"/>
        <v/>
      </c>
      <c r="B368" s="249" t="str">
        <f t="shared" si="34"/>
        <v/>
      </c>
      <c r="C368" s="250"/>
      <c r="D368" s="251"/>
      <c r="E368" s="241"/>
      <c r="F368" s="252"/>
      <c r="G368" s="252"/>
      <c r="H368" s="253"/>
      <c r="I368" s="250"/>
      <c r="J368" s="250"/>
      <c r="K368" s="270"/>
      <c r="L368" s="250"/>
      <c r="M368" s="250"/>
      <c r="N368" s="540" t="str">
        <f>CONCATENATE(IF(OR(M368=phu!$I$1,M368=phu!$I$2,M368=phu!$I$3),"Cam Thành Nam",""),IF(OR(M368=phu!$I$4,M368=phu!$I$5,M368=phu!$I$6,M368=phu!$I$7,M368=phu!$I$8,M368=phu!$I$9,M368=phu!$I$10,M368=phu!$I$11,M368=phu!$I$12,M368=phu!$I$13,M368=phu!$I$14),"Cam Nghĩa",""),IF(OR(M368=phu!$I$15,M368=phu!$I$16,M368=phu!$I$17,M368=phu!$I$18,M368=phu!$I$19,M368=phu!$I$20,M368=phu!$I$21),"Cam Phúc Bắc",""),IF(OR(M368=phu!$I$22,M368=phu!$I$23,M368=phu!$I$24,M368=phu!$I$25),"Cam Phúc Nam",""),IF(OR(M368=phu!$I$26,M368=phu!$I$27,M368=phu!$I$28,M368=phu!$I$29,M368=phu!$I$30,M368=phu!$I$31),"Cam Phú",""),IF(OR(M368=phu!$I$32,M368=phu!$I$33,M368=phu!$I$34,M368=phu!$I$35,M368=phu!$I$36,M368=phu!$I$37),"Cam Lộc",""),IF(OR(M368=phu!$I$38,M368=phu!$I$39,M368=phu!$I$40,M368=phu!$I$41,M368=phu!$I$42,M368=phu!$I$43,M368=phu!$I$44),"Cam Thuận",""),IF(OR(M368=phu!$I$45,M368=phu!$I$46,M368=phu!$I$47,M368=phu!$I$48,M368=phu!$I$49,M368=phu!$I$50,M368=phu!$I$51,M368=phu!$I$52,M368=phu!$I$53),"Cam Linh",""),IF(OR(M368=phu!$I$54,M368=phu!$I$55,M368=phu!$I$56,M368=phu!$I$57,M368=phu!$I$58,M368=phu!$I$59,M368=phu!$I$60,M368=phu!$I$61,M368=phu!$I$62),"Cam Lợi",""),IF(OR(M368=phu!$I$63,M368=phu!$I$64,M368=phu!$I$65,M368=phu!$I$66,M368=phu!$I$67,M368=phu!$I$68,M368=phu!$I$69,M368=phu!$I$70,M368=phu!$I$71),"Ba Ngòi",""),IF(OR(M368=phu!$I$72,M368=phu!$I$73,M368=phu!$I$74,M368=phu!$I$75,M368=phu!$I$76,M368=phu!$I$77,M368=phu!$I$78),"Cam Phước Đông",""),IF(OR(M368=phu!$I$79,M368=phu!$I$80,M368=phu!$I$81,M368=phu!$I$82,M368=phu!$I$83,M368=phu!$I$84),"Cam Thịnh Đông",""),IF(OR(M368=phu!$I$85,M368=phu!$I$86,M368=phu!$I$87,M368=phu!$I$88),"Cam Thịnh Tây",""),IF(OR(M368=phu!$I$89,M368=phu!$I$90),"Cam Lập",""),IF(OR(M368=phu!$I$91,M368=phu!$I$92,M368=phu!$I$93),"Cam Bình",""),IF(OR(M368=phu!$I$94,M368=phu!$I$95,M368=phu!$I$96,M368=phu!$I$97,M368=phu!$I$98,M368=phu!$I$99,M368=phu!$I$100),"Huyện khác",""),IF(OR(M368=phu!$I$101,M368=phu!$I$102),"Tỉnh khác",""))</f>
        <v/>
      </c>
      <c r="O368" s="829" t="str">
        <f t="shared" si="30"/>
        <v/>
      </c>
      <c r="P368" s="254"/>
      <c r="Q368" s="254"/>
      <c r="R368" s="254"/>
      <c r="S368" s="254"/>
      <c r="T368" s="254"/>
      <c r="U368" s="254"/>
      <c r="V368" s="254"/>
      <c r="W368" s="254"/>
      <c r="Y368" s="246" t="str">
        <f t="shared" si="31"/>
        <v/>
      </c>
      <c r="Z368" s="247" t="str">
        <f t="shared" si="35"/>
        <v/>
      </c>
      <c r="AA368" s="246" t="str">
        <f t="shared" si="32"/>
        <v/>
      </c>
    </row>
    <row r="369" spans="1:27" ht="18" customHeight="1" x14ac:dyDescent="0.25">
      <c r="A369" s="248" t="str">
        <f t="shared" si="33"/>
        <v/>
      </c>
      <c r="B369" s="249" t="str">
        <f t="shared" si="34"/>
        <v/>
      </c>
      <c r="C369" s="250"/>
      <c r="D369" s="251"/>
      <c r="E369" s="241"/>
      <c r="F369" s="252"/>
      <c r="G369" s="252"/>
      <c r="H369" s="253"/>
      <c r="I369" s="250"/>
      <c r="J369" s="250"/>
      <c r="K369" s="270"/>
      <c r="L369" s="250"/>
      <c r="M369" s="250"/>
      <c r="N369" s="540" t="str">
        <f>CONCATENATE(IF(OR(M369=phu!$I$1,M369=phu!$I$2,M369=phu!$I$3),"Cam Thành Nam",""),IF(OR(M369=phu!$I$4,M369=phu!$I$5,M369=phu!$I$6,M369=phu!$I$7,M369=phu!$I$8,M369=phu!$I$9,M369=phu!$I$10,M369=phu!$I$11,M369=phu!$I$12,M369=phu!$I$13,M369=phu!$I$14),"Cam Nghĩa",""),IF(OR(M369=phu!$I$15,M369=phu!$I$16,M369=phu!$I$17,M369=phu!$I$18,M369=phu!$I$19,M369=phu!$I$20,M369=phu!$I$21),"Cam Phúc Bắc",""),IF(OR(M369=phu!$I$22,M369=phu!$I$23,M369=phu!$I$24,M369=phu!$I$25),"Cam Phúc Nam",""),IF(OR(M369=phu!$I$26,M369=phu!$I$27,M369=phu!$I$28,M369=phu!$I$29,M369=phu!$I$30,M369=phu!$I$31),"Cam Phú",""),IF(OR(M369=phu!$I$32,M369=phu!$I$33,M369=phu!$I$34,M369=phu!$I$35,M369=phu!$I$36,M369=phu!$I$37),"Cam Lộc",""),IF(OR(M369=phu!$I$38,M369=phu!$I$39,M369=phu!$I$40,M369=phu!$I$41,M369=phu!$I$42,M369=phu!$I$43,M369=phu!$I$44),"Cam Thuận",""),IF(OR(M369=phu!$I$45,M369=phu!$I$46,M369=phu!$I$47,M369=phu!$I$48,M369=phu!$I$49,M369=phu!$I$50,M369=phu!$I$51,M369=phu!$I$52,M369=phu!$I$53),"Cam Linh",""),IF(OR(M369=phu!$I$54,M369=phu!$I$55,M369=phu!$I$56,M369=phu!$I$57,M369=phu!$I$58,M369=phu!$I$59,M369=phu!$I$60,M369=phu!$I$61,M369=phu!$I$62),"Cam Lợi",""),IF(OR(M369=phu!$I$63,M369=phu!$I$64,M369=phu!$I$65,M369=phu!$I$66,M369=phu!$I$67,M369=phu!$I$68,M369=phu!$I$69,M369=phu!$I$70,M369=phu!$I$71),"Ba Ngòi",""),IF(OR(M369=phu!$I$72,M369=phu!$I$73,M369=phu!$I$74,M369=phu!$I$75,M369=phu!$I$76,M369=phu!$I$77,M369=phu!$I$78),"Cam Phước Đông",""),IF(OR(M369=phu!$I$79,M369=phu!$I$80,M369=phu!$I$81,M369=phu!$I$82,M369=phu!$I$83,M369=phu!$I$84),"Cam Thịnh Đông",""),IF(OR(M369=phu!$I$85,M369=phu!$I$86,M369=phu!$I$87,M369=phu!$I$88),"Cam Thịnh Tây",""),IF(OR(M369=phu!$I$89,M369=phu!$I$90),"Cam Lập",""),IF(OR(M369=phu!$I$91,M369=phu!$I$92,M369=phu!$I$93),"Cam Bình",""),IF(OR(M369=phu!$I$94,M369=phu!$I$95,M369=phu!$I$96,M369=phu!$I$97,M369=phu!$I$98,M369=phu!$I$99,M369=phu!$I$100),"Huyện khác",""),IF(OR(M369=phu!$I$101,M369=phu!$I$102),"Tỉnh khác",""))</f>
        <v/>
      </c>
      <c r="O369" s="829" t="str">
        <f t="shared" si="30"/>
        <v/>
      </c>
      <c r="P369" s="254"/>
      <c r="Q369" s="254"/>
      <c r="R369" s="254"/>
      <c r="S369" s="254"/>
      <c r="T369" s="254"/>
      <c r="U369" s="254"/>
      <c r="V369" s="254"/>
      <c r="W369" s="254"/>
      <c r="Y369" s="246" t="str">
        <f t="shared" si="31"/>
        <v/>
      </c>
      <c r="Z369" s="247" t="str">
        <f t="shared" si="35"/>
        <v/>
      </c>
      <c r="AA369" s="246" t="str">
        <f t="shared" si="32"/>
        <v/>
      </c>
    </row>
    <row r="370" spans="1:27" ht="18" customHeight="1" x14ac:dyDescent="0.25">
      <c r="A370" s="248" t="str">
        <f t="shared" si="33"/>
        <v/>
      </c>
      <c r="B370" s="249" t="str">
        <f t="shared" si="34"/>
        <v/>
      </c>
      <c r="C370" s="250"/>
      <c r="D370" s="251"/>
      <c r="E370" s="241"/>
      <c r="F370" s="252"/>
      <c r="G370" s="252"/>
      <c r="H370" s="253"/>
      <c r="I370" s="250"/>
      <c r="J370" s="250"/>
      <c r="K370" s="270"/>
      <c r="L370" s="250"/>
      <c r="M370" s="250"/>
      <c r="N370" s="540" t="str">
        <f>CONCATENATE(IF(OR(M370=phu!$I$1,M370=phu!$I$2,M370=phu!$I$3),"Cam Thành Nam",""),IF(OR(M370=phu!$I$4,M370=phu!$I$5,M370=phu!$I$6,M370=phu!$I$7,M370=phu!$I$8,M370=phu!$I$9,M370=phu!$I$10,M370=phu!$I$11,M370=phu!$I$12,M370=phu!$I$13,M370=phu!$I$14),"Cam Nghĩa",""),IF(OR(M370=phu!$I$15,M370=phu!$I$16,M370=phu!$I$17,M370=phu!$I$18,M370=phu!$I$19,M370=phu!$I$20,M370=phu!$I$21),"Cam Phúc Bắc",""),IF(OR(M370=phu!$I$22,M370=phu!$I$23,M370=phu!$I$24,M370=phu!$I$25),"Cam Phúc Nam",""),IF(OR(M370=phu!$I$26,M370=phu!$I$27,M370=phu!$I$28,M370=phu!$I$29,M370=phu!$I$30,M370=phu!$I$31),"Cam Phú",""),IF(OR(M370=phu!$I$32,M370=phu!$I$33,M370=phu!$I$34,M370=phu!$I$35,M370=phu!$I$36,M370=phu!$I$37),"Cam Lộc",""),IF(OR(M370=phu!$I$38,M370=phu!$I$39,M370=phu!$I$40,M370=phu!$I$41,M370=phu!$I$42,M370=phu!$I$43,M370=phu!$I$44),"Cam Thuận",""),IF(OR(M370=phu!$I$45,M370=phu!$I$46,M370=phu!$I$47,M370=phu!$I$48,M370=phu!$I$49,M370=phu!$I$50,M370=phu!$I$51,M370=phu!$I$52,M370=phu!$I$53),"Cam Linh",""),IF(OR(M370=phu!$I$54,M370=phu!$I$55,M370=phu!$I$56,M370=phu!$I$57,M370=phu!$I$58,M370=phu!$I$59,M370=phu!$I$60,M370=phu!$I$61,M370=phu!$I$62),"Cam Lợi",""),IF(OR(M370=phu!$I$63,M370=phu!$I$64,M370=phu!$I$65,M370=phu!$I$66,M370=phu!$I$67,M370=phu!$I$68,M370=phu!$I$69,M370=phu!$I$70,M370=phu!$I$71),"Ba Ngòi",""),IF(OR(M370=phu!$I$72,M370=phu!$I$73,M370=phu!$I$74,M370=phu!$I$75,M370=phu!$I$76,M370=phu!$I$77,M370=phu!$I$78),"Cam Phước Đông",""),IF(OR(M370=phu!$I$79,M370=phu!$I$80,M370=phu!$I$81,M370=phu!$I$82,M370=phu!$I$83,M370=phu!$I$84),"Cam Thịnh Đông",""),IF(OR(M370=phu!$I$85,M370=phu!$I$86,M370=phu!$I$87,M370=phu!$I$88),"Cam Thịnh Tây",""),IF(OR(M370=phu!$I$89,M370=phu!$I$90),"Cam Lập",""),IF(OR(M370=phu!$I$91,M370=phu!$I$92,M370=phu!$I$93),"Cam Bình",""),IF(OR(M370=phu!$I$94,M370=phu!$I$95,M370=phu!$I$96,M370=phu!$I$97,M370=phu!$I$98,M370=phu!$I$99,M370=phu!$I$100),"Huyện khác",""),IF(OR(M370=phu!$I$101,M370=phu!$I$102),"Tỉnh khác",""))</f>
        <v/>
      </c>
      <c r="O370" s="829" t="str">
        <f t="shared" si="30"/>
        <v/>
      </c>
      <c r="P370" s="254"/>
      <c r="Q370" s="254"/>
      <c r="R370" s="254"/>
      <c r="S370" s="254"/>
      <c r="T370" s="254"/>
      <c r="U370" s="254"/>
      <c r="V370" s="254"/>
      <c r="W370" s="254"/>
      <c r="Y370" s="246" t="str">
        <f t="shared" si="31"/>
        <v/>
      </c>
      <c r="Z370" s="247" t="str">
        <f t="shared" si="35"/>
        <v/>
      </c>
      <c r="AA370" s="246" t="str">
        <f t="shared" si="32"/>
        <v/>
      </c>
    </row>
    <row r="371" spans="1:27" ht="18" customHeight="1" x14ac:dyDescent="0.25">
      <c r="A371" s="248" t="str">
        <f t="shared" si="33"/>
        <v/>
      </c>
      <c r="B371" s="249" t="str">
        <f t="shared" si="34"/>
        <v/>
      </c>
      <c r="C371" s="250"/>
      <c r="D371" s="251"/>
      <c r="E371" s="241"/>
      <c r="F371" s="252"/>
      <c r="G371" s="252"/>
      <c r="H371" s="253"/>
      <c r="I371" s="250"/>
      <c r="J371" s="250"/>
      <c r="K371" s="270"/>
      <c r="L371" s="250"/>
      <c r="M371" s="250"/>
      <c r="N371" s="540" t="str">
        <f>CONCATENATE(IF(OR(M371=phu!$I$1,M371=phu!$I$2,M371=phu!$I$3),"Cam Thành Nam",""),IF(OR(M371=phu!$I$4,M371=phu!$I$5,M371=phu!$I$6,M371=phu!$I$7,M371=phu!$I$8,M371=phu!$I$9,M371=phu!$I$10,M371=phu!$I$11,M371=phu!$I$12,M371=phu!$I$13,M371=phu!$I$14),"Cam Nghĩa",""),IF(OR(M371=phu!$I$15,M371=phu!$I$16,M371=phu!$I$17,M371=phu!$I$18,M371=phu!$I$19,M371=phu!$I$20,M371=phu!$I$21),"Cam Phúc Bắc",""),IF(OR(M371=phu!$I$22,M371=phu!$I$23,M371=phu!$I$24,M371=phu!$I$25),"Cam Phúc Nam",""),IF(OR(M371=phu!$I$26,M371=phu!$I$27,M371=phu!$I$28,M371=phu!$I$29,M371=phu!$I$30,M371=phu!$I$31),"Cam Phú",""),IF(OR(M371=phu!$I$32,M371=phu!$I$33,M371=phu!$I$34,M371=phu!$I$35,M371=phu!$I$36,M371=phu!$I$37),"Cam Lộc",""),IF(OR(M371=phu!$I$38,M371=phu!$I$39,M371=phu!$I$40,M371=phu!$I$41,M371=phu!$I$42,M371=phu!$I$43,M371=phu!$I$44),"Cam Thuận",""),IF(OR(M371=phu!$I$45,M371=phu!$I$46,M371=phu!$I$47,M371=phu!$I$48,M371=phu!$I$49,M371=phu!$I$50,M371=phu!$I$51,M371=phu!$I$52,M371=phu!$I$53),"Cam Linh",""),IF(OR(M371=phu!$I$54,M371=phu!$I$55,M371=phu!$I$56,M371=phu!$I$57,M371=phu!$I$58,M371=phu!$I$59,M371=phu!$I$60,M371=phu!$I$61,M371=phu!$I$62),"Cam Lợi",""),IF(OR(M371=phu!$I$63,M371=phu!$I$64,M371=phu!$I$65,M371=phu!$I$66,M371=phu!$I$67,M371=phu!$I$68,M371=phu!$I$69,M371=phu!$I$70,M371=phu!$I$71),"Ba Ngòi",""),IF(OR(M371=phu!$I$72,M371=phu!$I$73,M371=phu!$I$74,M371=phu!$I$75,M371=phu!$I$76,M371=phu!$I$77,M371=phu!$I$78),"Cam Phước Đông",""),IF(OR(M371=phu!$I$79,M371=phu!$I$80,M371=phu!$I$81,M371=phu!$I$82,M371=phu!$I$83,M371=phu!$I$84),"Cam Thịnh Đông",""),IF(OR(M371=phu!$I$85,M371=phu!$I$86,M371=phu!$I$87,M371=phu!$I$88),"Cam Thịnh Tây",""),IF(OR(M371=phu!$I$89,M371=phu!$I$90),"Cam Lập",""),IF(OR(M371=phu!$I$91,M371=phu!$I$92,M371=phu!$I$93),"Cam Bình",""),IF(OR(M371=phu!$I$94,M371=phu!$I$95,M371=phu!$I$96,M371=phu!$I$97,M371=phu!$I$98,M371=phu!$I$99,M371=phu!$I$100),"Huyện khác",""),IF(OR(M371=phu!$I$101,M371=phu!$I$102),"Tỉnh khác",""))</f>
        <v/>
      </c>
      <c r="O371" s="829" t="str">
        <f t="shared" si="30"/>
        <v/>
      </c>
      <c r="P371" s="254"/>
      <c r="Q371" s="254"/>
      <c r="R371" s="254"/>
      <c r="S371" s="254"/>
      <c r="T371" s="254"/>
      <c r="U371" s="254"/>
      <c r="V371" s="254"/>
      <c r="W371" s="254"/>
      <c r="Y371" s="246" t="str">
        <f t="shared" si="31"/>
        <v/>
      </c>
      <c r="Z371" s="247" t="str">
        <f t="shared" si="35"/>
        <v/>
      </c>
      <c r="AA371" s="246" t="str">
        <f t="shared" si="32"/>
        <v/>
      </c>
    </row>
    <row r="372" spans="1:27" ht="18" customHeight="1" x14ac:dyDescent="0.25">
      <c r="A372" s="248" t="str">
        <f t="shared" si="33"/>
        <v/>
      </c>
      <c r="B372" s="249" t="str">
        <f t="shared" si="34"/>
        <v/>
      </c>
      <c r="C372" s="250"/>
      <c r="D372" s="251"/>
      <c r="E372" s="241"/>
      <c r="F372" s="252"/>
      <c r="G372" s="252"/>
      <c r="H372" s="253"/>
      <c r="I372" s="250"/>
      <c r="J372" s="250"/>
      <c r="K372" s="270"/>
      <c r="L372" s="250"/>
      <c r="M372" s="250"/>
      <c r="N372" s="540" t="str">
        <f>CONCATENATE(IF(OR(M372=phu!$I$1,M372=phu!$I$2,M372=phu!$I$3),"Cam Thành Nam",""),IF(OR(M372=phu!$I$4,M372=phu!$I$5,M372=phu!$I$6,M372=phu!$I$7,M372=phu!$I$8,M372=phu!$I$9,M372=phu!$I$10,M372=phu!$I$11,M372=phu!$I$12,M372=phu!$I$13,M372=phu!$I$14),"Cam Nghĩa",""),IF(OR(M372=phu!$I$15,M372=phu!$I$16,M372=phu!$I$17,M372=phu!$I$18,M372=phu!$I$19,M372=phu!$I$20,M372=phu!$I$21),"Cam Phúc Bắc",""),IF(OR(M372=phu!$I$22,M372=phu!$I$23,M372=phu!$I$24,M372=phu!$I$25),"Cam Phúc Nam",""),IF(OR(M372=phu!$I$26,M372=phu!$I$27,M372=phu!$I$28,M372=phu!$I$29,M372=phu!$I$30,M372=phu!$I$31),"Cam Phú",""),IF(OR(M372=phu!$I$32,M372=phu!$I$33,M372=phu!$I$34,M372=phu!$I$35,M372=phu!$I$36,M372=phu!$I$37),"Cam Lộc",""),IF(OR(M372=phu!$I$38,M372=phu!$I$39,M372=phu!$I$40,M372=phu!$I$41,M372=phu!$I$42,M372=phu!$I$43,M372=phu!$I$44),"Cam Thuận",""),IF(OR(M372=phu!$I$45,M372=phu!$I$46,M372=phu!$I$47,M372=phu!$I$48,M372=phu!$I$49,M372=phu!$I$50,M372=phu!$I$51,M372=phu!$I$52,M372=phu!$I$53),"Cam Linh",""),IF(OR(M372=phu!$I$54,M372=phu!$I$55,M372=phu!$I$56,M372=phu!$I$57,M372=phu!$I$58,M372=phu!$I$59,M372=phu!$I$60,M372=phu!$I$61,M372=phu!$I$62),"Cam Lợi",""),IF(OR(M372=phu!$I$63,M372=phu!$I$64,M372=phu!$I$65,M372=phu!$I$66,M372=phu!$I$67,M372=phu!$I$68,M372=phu!$I$69,M372=phu!$I$70,M372=phu!$I$71),"Ba Ngòi",""),IF(OR(M372=phu!$I$72,M372=phu!$I$73,M372=phu!$I$74,M372=phu!$I$75,M372=phu!$I$76,M372=phu!$I$77,M372=phu!$I$78),"Cam Phước Đông",""),IF(OR(M372=phu!$I$79,M372=phu!$I$80,M372=phu!$I$81,M372=phu!$I$82,M372=phu!$I$83,M372=phu!$I$84),"Cam Thịnh Đông",""),IF(OR(M372=phu!$I$85,M372=phu!$I$86,M372=phu!$I$87,M372=phu!$I$88),"Cam Thịnh Tây",""),IF(OR(M372=phu!$I$89,M372=phu!$I$90),"Cam Lập",""),IF(OR(M372=phu!$I$91,M372=phu!$I$92,M372=phu!$I$93),"Cam Bình",""),IF(OR(M372=phu!$I$94,M372=phu!$I$95,M372=phu!$I$96,M372=phu!$I$97,M372=phu!$I$98,M372=phu!$I$99,M372=phu!$I$100),"Huyện khác",""),IF(OR(M372=phu!$I$101,M372=phu!$I$102),"Tỉnh khác",""))</f>
        <v/>
      </c>
      <c r="O372" s="829" t="str">
        <f t="shared" si="30"/>
        <v/>
      </c>
      <c r="P372" s="254"/>
      <c r="Q372" s="254"/>
      <c r="R372" s="254"/>
      <c r="S372" s="254"/>
      <c r="T372" s="254"/>
      <c r="U372" s="254"/>
      <c r="V372" s="254"/>
      <c r="W372" s="254"/>
      <c r="Y372" s="246" t="str">
        <f t="shared" si="31"/>
        <v/>
      </c>
      <c r="Z372" s="247" t="str">
        <f t="shared" si="35"/>
        <v/>
      </c>
      <c r="AA372" s="246" t="str">
        <f t="shared" si="32"/>
        <v/>
      </c>
    </row>
    <row r="373" spans="1:27" ht="18" customHeight="1" x14ac:dyDescent="0.25">
      <c r="A373" s="248" t="str">
        <f t="shared" si="33"/>
        <v/>
      </c>
      <c r="B373" s="249" t="str">
        <f t="shared" si="34"/>
        <v/>
      </c>
      <c r="C373" s="250"/>
      <c r="D373" s="251"/>
      <c r="E373" s="241"/>
      <c r="F373" s="252"/>
      <c r="G373" s="252"/>
      <c r="H373" s="253"/>
      <c r="I373" s="250"/>
      <c r="J373" s="250"/>
      <c r="K373" s="270"/>
      <c r="L373" s="250"/>
      <c r="M373" s="250"/>
      <c r="N373" s="540" t="str">
        <f>CONCATENATE(IF(OR(M373=phu!$I$1,M373=phu!$I$2,M373=phu!$I$3),"Cam Thành Nam",""),IF(OR(M373=phu!$I$4,M373=phu!$I$5,M373=phu!$I$6,M373=phu!$I$7,M373=phu!$I$8,M373=phu!$I$9,M373=phu!$I$10,M373=phu!$I$11,M373=phu!$I$12,M373=phu!$I$13,M373=phu!$I$14),"Cam Nghĩa",""),IF(OR(M373=phu!$I$15,M373=phu!$I$16,M373=phu!$I$17,M373=phu!$I$18,M373=phu!$I$19,M373=phu!$I$20,M373=phu!$I$21),"Cam Phúc Bắc",""),IF(OR(M373=phu!$I$22,M373=phu!$I$23,M373=phu!$I$24,M373=phu!$I$25),"Cam Phúc Nam",""),IF(OR(M373=phu!$I$26,M373=phu!$I$27,M373=phu!$I$28,M373=phu!$I$29,M373=phu!$I$30,M373=phu!$I$31),"Cam Phú",""),IF(OR(M373=phu!$I$32,M373=phu!$I$33,M373=phu!$I$34,M373=phu!$I$35,M373=phu!$I$36,M373=phu!$I$37),"Cam Lộc",""),IF(OR(M373=phu!$I$38,M373=phu!$I$39,M373=phu!$I$40,M373=phu!$I$41,M373=phu!$I$42,M373=phu!$I$43,M373=phu!$I$44),"Cam Thuận",""),IF(OR(M373=phu!$I$45,M373=phu!$I$46,M373=phu!$I$47,M373=phu!$I$48,M373=phu!$I$49,M373=phu!$I$50,M373=phu!$I$51,M373=phu!$I$52,M373=phu!$I$53),"Cam Linh",""),IF(OR(M373=phu!$I$54,M373=phu!$I$55,M373=phu!$I$56,M373=phu!$I$57,M373=phu!$I$58,M373=phu!$I$59,M373=phu!$I$60,M373=phu!$I$61,M373=phu!$I$62),"Cam Lợi",""),IF(OR(M373=phu!$I$63,M373=phu!$I$64,M373=phu!$I$65,M373=phu!$I$66,M373=phu!$I$67,M373=phu!$I$68,M373=phu!$I$69,M373=phu!$I$70,M373=phu!$I$71),"Ba Ngòi",""),IF(OR(M373=phu!$I$72,M373=phu!$I$73,M373=phu!$I$74,M373=phu!$I$75,M373=phu!$I$76,M373=phu!$I$77,M373=phu!$I$78),"Cam Phước Đông",""),IF(OR(M373=phu!$I$79,M373=phu!$I$80,M373=phu!$I$81,M373=phu!$I$82,M373=phu!$I$83,M373=phu!$I$84),"Cam Thịnh Đông",""),IF(OR(M373=phu!$I$85,M373=phu!$I$86,M373=phu!$I$87,M373=phu!$I$88),"Cam Thịnh Tây",""),IF(OR(M373=phu!$I$89,M373=phu!$I$90),"Cam Lập",""),IF(OR(M373=phu!$I$91,M373=phu!$I$92,M373=phu!$I$93),"Cam Bình",""),IF(OR(M373=phu!$I$94,M373=phu!$I$95,M373=phu!$I$96,M373=phu!$I$97,M373=phu!$I$98,M373=phu!$I$99,M373=phu!$I$100),"Huyện khác",""),IF(OR(M373=phu!$I$101,M373=phu!$I$102),"Tỉnh khác",""))</f>
        <v/>
      </c>
      <c r="O373" s="829" t="str">
        <f t="shared" si="30"/>
        <v/>
      </c>
      <c r="P373" s="254"/>
      <c r="Q373" s="254"/>
      <c r="R373" s="254"/>
      <c r="S373" s="254"/>
      <c r="T373" s="254"/>
      <c r="U373" s="254"/>
      <c r="V373" s="254"/>
      <c r="W373" s="254"/>
      <c r="Y373" s="246" t="str">
        <f t="shared" si="31"/>
        <v/>
      </c>
      <c r="Z373" s="247" t="str">
        <f t="shared" si="35"/>
        <v/>
      </c>
      <c r="AA373" s="246" t="str">
        <f t="shared" si="32"/>
        <v/>
      </c>
    </row>
    <row r="374" spans="1:27" ht="18" customHeight="1" x14ac:dyDescent="0.25">
      <c r="A374" s="248" t="str">
        <f t="shared" si="33"/>
        <v/>
      </c>
      <c r="B374" s="249" t="str">
        <f t="shared" si="34"/>
        <v/>
      </c>
      <c r="C374" s="250"/>
      <c r="D374" s="251"/>
      <c r="E374" s="241"/>
      <c r="F374" s="252"/>
      <c r="G374" s="252"/>
      <c r="H374" s="253"/>
      <c r="I374" s="250"/>
      <c r="J374" s="250"/>
      <c r="K374" s="270"/>
      <c r="L374" s="250"/>
      <c r="M374" s="250"/>
      <c r="N374" s="540" t="str">
        <f>CONCATENATE(IF(OR(M374=phu!$I$1,M374=phu!$I$2,M374=phu!$I$3),"Cam Thành Nam",""),IF(OR(M374=phu!$I$4,M374=phu!$I$5,M374=phu!$I$6,M374=phu!$I$7,M374=phu!$I$8,M374=phu!$I$9,M374=phu!$I$10,M374=phu!$I$11,M374=phu!$I$12,M374=phu!$I$13,M374=phu!$I$14),"Cam Nghĩa",""),IF(OR(M374=phu!$I$15,M374=phu!$I$16,M374=phu!$I$17,M374=phu!$I$18,M374=phu!$I$19,M374=phu!$I$20,M374=phu!$I$21),"Cam Phúc Bắc",""),IF(OR(M374=phu!$I$22,M374=phu!$I$23,M374=phu!$I$24,M374=phu!$I$25),"Cam Phúc Nam",""),IF(OR(M374=phu!$I$26,M374=phu!$I$27,M374=phu!$I$28,M374=phu!$I$29,M374=phu!$I$30,M374=phu!$I$31),"Cam Phú",""),IF(OR(M374=phu!$I$32,M374=phu!$I$33,M374=phu!$I$34,M374=phu!$I$35,M374=phu!$I$36,M374=phu!$I$37),"Cam Lộc",""),IF(OR(M374=phu!$I$38,M374=phu!$I$39,M374=phu!$I$40,M374=phu!$I$41,M374=phu!$I$42,M374=phu!$I$43,M374=phu!$I$44),"Cam Thuận",""),IF(OR(M374=phu!$I$45,M374=phu!$I$46,M374=phu!$I$47,M374=phu!$I$48,M374=phu!$I$49,M374=phu!$I$50,M374=phu!$I$51,M374=phu!$I$52,M374=phu!$I$53),"Cam Linh",""),IF(OR(M374=phu!$I$54,M374=phu!$I$55,M374=phu!$I$56,M374=phu!$I$57,M374=phu!$I$58,M374=phu!$I$59,M374=phu!$I$60,M374=phu!$I$61,M374=phu!$I$62),"Cam Lợi",""),IF(OR(M374=phu!$I$63,M374=phu!$I$64,M374=phu!$I$65,M374=phu!$I$66,M374=phu!$I$67,M374=phu!$I$68,M374=phu!$I$69,M374=phu!$I$70,M374=phu!$I$71),"Ba Ngòi",""),IF(OR(M374=phu!$I$72,M374=phu!$I$73,M374=phu!$I$74,M374=phu!$I$75,M374=phu!$I$76,M374=phu!$I$77,M374=phu!$I$78),"Cam Phước Đông",""),IF(OR(M374=phu!$I$79,M374=phu!$I$80,M374=phu!$I$81,M374=phu!$I$82,M374=phu!$I$83,M374=phu!$I$84),"Cam Thịnh Đông",""),IF(OR(M374=phu!$I$85,M374=phu!$I$86,M374=phu!$I$87,M374=phu!$I$88),"Cam Thịnh Tây",""),IF(OR(M374=phu!$I$89,M374=phu!$I$90),"Cam Lập",""),IF(OR(M374=phu!$I$91,M374=phu!$I$92,M374=phu!$I$93),"Cam Bình",""),IF(OR(M374=phu!$I$94,M374=phu!$I$95,M374=phu!$I$96,M374=phu!$I$97,M374=phu!$I$98,M374=phu!$I$99,M374=phu!$I$100),"Huyện khác",""),IF(OR(M374=phu!$I$101,M374=phu!$I$102),"Tỉnh khác",""))</f>
        <v/>
      </c>
      <c r="O374" s="829" t="str">
        <f t="shared" si="30"/>
        <v/>
      </c>
      <c r="P374" s="254"/>
      <c r="Q374" s="254"/>
      <c r="R374" s="254"/>
      <c r="S374" s="254"/>
      <c r="T374" s="254"/>
      <c r="U374" s="254"/>
      <c r="V374" s="254"/>
      <c r="W374" s="254"/>
      <c r="Y374" s="246" t="str">
        <f t="shared" si="31"/>
        <v/>
      </c>
      <c r="Z374" s="247" t="str">
        <f t="shared" si="35"/>
        <v/>
      </c>
      <c r="AA374" s="246" t="str">
        <f t="shared" si="32"/>
        <v/>
      </c>
    </row>
    <row r="375" spans="1:27" ht="18" customHeight="1" x14ac:dyDescent="0.25">
      <c r="A375" s="248" t="str">
        <f t="shared" si="33"/>
        <v/>
      </c>
      <c r="B375" s="249" t="str">
        <f t="shared" si="34"/>
        <v/>
      </c>
      <c r="C375" s="250"/>
      <c r="D375" s="251"/>
      <c r="E375" s="241"/>
      <c r="F375" s="252"/>
      <c r="G375" s="252"/>
      <c r="H375" s="253"/>
      <c r="I375" s="250"/>
      <c r="J375" s="250"/>
      <c r="K375" s="270"/>
      <c r="L375" s="250"/>
      <c r="M375" s="250"/>
      <c r="N375" s="540" t="str">
        <f>CONCATENATE(IF(OR(M375=phu!$I$1,M375=phu!$I$2,M375=phu!$I$3),"Cam Thành Nam",""),IF(OR(M375=phu!$I$4,M375=phu!$I$5,M375=phu!$I$6,M375=phu!$I$7,M375=phu!$I$8,M375=phu!$I$9,M375=phu!$I$10,M375=phu!$I$11,M375=phu!$I$12,M375=phu!$I$13,M375=phu!$I$14),"Cam Nghĩa",""),IF(OR(M375=phu!$I$15,M375=phu!$I$16,M375=phu!$I$17,M375=phu!$I$18,M375=phu!$I$19,M375=phu!$I$20,M375=phu!$I$21),"Cam Phúc Bắc",""),IF(OR(M375=phu!$I$22,M375=phu!$I$23,M375=phu!$I$24,M375=phu!$I$25),"Cam Phúc Nam",""),IF(OR(M375=phu!$I$26,M375=phu!$I$27,M375=phu!$I$28,M375=phu!$I$29,M375=phu!$I$30,M375=phu!$I$31),"Cam Phú",""),IF(OR(M375=phu!$I$32,M375=phu!$I$33,M375=phu!$I$34,M375=phu!$I$35,M375=phu!$I$36,M375=phu!$I$37),"Cam Lộc",""),IF(OR(M375=phu!$I$38,M375=phu!$I$39,M375=phu!$I$40,M375=phu!$I$41,M375=phu!$I$42,M375=phu!$I$43,M375=phu!$I$44),"Cam Thuận",""),IF(OR(M375=phu!$I$45,M375=phu!$I$46,M375=phu!$I$47,M375=phu!$I$48,M375=phu!$I$49,M375=phu!$I$50,M375=phu!$I$51,M375=phu!$I$52,M375=phu!$I$53),"Cam Linh",""),IF(OR(M375=phu!$I$54,M375=phu!$I$55,M375=phu!$I$56,M375=phu!$I$57,M375=phu!$I$58,M375=phu!$I$59,M375=phu!$I$60,M375=phu!$I$61,M375=phu!$I$62),"Cam Lợi",""),IF(OR(M375=phu!$I$63,M375=phu!$I$64,M375=phu!$I$65,M375=phu!$I$66,M375=phu!$I$67,M375=phu!$I$68,M375=phu!$I$69,M375=phu!$I$70,M375=phu!$I$71),"Ba Ngòi",""),IF(OR(M375=phu!$I$72,M375=phu!$I$73,M375=phu!$I$74,M375=phu!$I$75,M375=phu!$I$76,M375=phu!$I$77,M375=phu!$I$78),"Cam Phước Đông",""),IF(OR(M375=phu!$I$79,M375=phu!$I$80,M375=phu!$I$81,M375=phu!$I$82,M375=phu!$I$83,M375=phu!$I$84),"Cam Thịnh Đông",""),IF(OR(M375=phu!$I$85,M375=phu!$I$86,M375=phu!$I$87,M375=phu!$I$88),"Cam Thịnh Tây",""),IF(OR(M375=phu!$I$89,M375=phu!$I$90),"Cam Lập",""),IF(OR(M375=phu!$I$91,M375=phu!$I$92,M375=phu!$I$93),"Cam Bình",""),IF(OR(M375=phu!$I$94,M375=phu!$I$95,M375=phu!$I$96,M375=phu!$I$97,M375=phu!$I$98,M375=phu!$I$99,M375=phu!$I$100),"Huyện khác",""),IF(OR(M375=phu!$I$101,M375=phu!$I$102),"Tỉnh khác",""))</f>
        <v/>
      </c>
      <c r="O375" s="829" t="str">
        <f t="shared" si="30"/>
        <v/>
      </c>
      <c r="P375" s="254"/>
      <c r="Q375" s="254"/>
      <c r="R375" s="254"/>
      <c r="S375" s="254"/>
      <c r="T375" s="254"/>
      <c r="U375" s="254"/>
      <c r="V375" s="254"/>
      <c r="W375" s="254"/>
      <c r="Y375" s="246" t="str">
        <f t="shared" si="31"/>
        <v/>
      </c>
      <c r="Z375" s="247" t="str">
        <f t="shared" si="35"/>
        <v/>
      </c>
      <c r="AA375" s="246" t="str">
        <f t="shared" si="32"/>
        <v/>
      </c>
    </row>
    <row r="376" spans="1:27" ht="18" customHeight="1" x14ac:dyDescent="0.25">
      <c r="A376" s="248" t="str">
        <f t="shared" si="33"/>
        <v/>
      </c>
      <c r="B376" s="249" t="str">
        <f t="shared" si="34"/>
        <v/>
      </c>
      <c r="C376" s="250"/>
      <c r="D376" s="251"/>
      <c r="E376" s="241"/>
      <c r="F376" s="252"/>
      <c r="G376" s="252"/>
      <c r="H376" s="253"/>
      <c r="I376" s="250"/>
      <c r="J376" s="250"/>
      <c r="K376" s="270"/>
      <c r="L376" s="250"/>
      <c r="M376" s="250"/>
      <c r="N376" s="540" t="str">
        <f>CONCATENATE(IF(OR(M376=phu!$I$1,M376=phu!$I$2,M376=phu!$I$3),"Cam Thành Nam",""),IF(OR(M376=phu!$I$4,M376=phu!$I$5,M376=phu!$I$6,M376=phu!$I$7,M376=phu!$I$8,M376=phu!$I$9,M376=phu!$I$10,M376=phu!$I$11,M376=phu!$I$12,M376=phu!$I$13,M376=phu!$I$14),"Cam Nghĩa",""),IF(OR(M376=phu!$I$15,M376=phu!$I$16,M376=phu!$I$17,M376=phu!$I$18,M376=phu!$I$19,M376=phu!$I$20,M376=phu!$I$21),"Cam Phúc Bắc",""),IF(OR(M376=phu!$I$22,M376=phu!$I$23,M376=phu!$I$24,M376=phu!$I$25),"Cam Phúc Nam",""),IF(OR(M376=phu!$I$26,M376=phu!$I$27,M376=phu!$I$28,M376=phu!$I$29,M376=phu!$I$30,M376=phu!$I$31),"Cam Phú",""),IF(OR(M376=phu!$I$32,M376=phu!$I$33,M376=phu!$I$34,M376=phu!$I$35,M376=phu!$I$36,M376=phu!$I$37),"Cam Lộc",""),IF(OR(M376=phu!$I$38,M376=phu!$I$39,M376=phu!$I$40,M376=phu!$I$41,M376=phu!$I$42,M376=phu!$I$43,M376=phu!$I$44),"Cam Thuận",""),IF(OR(M376=phu!$I$45,M376=phu!$I$46,M376=phu!$I$47,M376=phu!$I$48,M376=phu!$I$49,M376=phu!$I$50,M376=phu!$I$51,M376=phu!$I$52,M376=phu!$I$53),"Cam Linh",""),IF(OR(M376=phu!$I$54,M376=phu!$I$55,M376=phu!$I$56,M376=phu!$I$57,M376=phu!$I$58,M376=phu!$I$59,M376=phu!$I$60,M376=phu!$I$61,M376=phu!$I$62),"Cam Lợi",""),IF(OR(M376=phu!$I$63,M376=phu!$I$64,M376=phu!$I$65,M376=phu!$I$66,M376=phu!$I$67,M376=phu!$I$68,M376=phu!$I$69,M376=phu!$I$70,M376=phu!$I$71),"Ba Ngòi",""),IF(OR(M376=phu!$I$72,M376=phu!$I$73,M376=phu!$I$74,M376=phu!$I$75,M376=phu!$I$76,M376=phu!$I$77,M376=phu!$I$78),"Cam Phước Đông",""),IF(OR(M376=phu!$I$79,M376=phu!$I$80,M376=phu!$I$81,M376=phu!$I$82,M376=phu!$I$83,M376=phu!$I$84),"Cam Thịnh Đông",""),IF(OR(M376=phu!$I$85,M376=phu!$I$86,M376=phu!$I$87,M376=phu!$I$88),"Cam Thịnh Tây",""),IF(OR(M376=phu!$I$89,M376=phu!$I$90),"Cam Lập",""),IF(OR(M376=phu!$I$91,M376=phu!$I$92,M376=phu!$I$93),"Cam Bình",""),IF(OR(M376=phu!$I$94,M376=phu!$I$95,M376=phu!$I$96,M376=phu!$I$97,M376=phu!$I$98,M376=phu!$I$99,M376=phu!$I$100),"Huyện khác",""),IF(OR(M376=phu!$I$101,M376=phu!$I$102),"Tỉnh khác",""))</f>
        <v/>
      </c>
      <c r="O376" s="829" t="str">
        <f t="shared" si="30"/>
        <v/>
      </c>
      <c r="P376" s="254"/>
      <c r="Q376" s="254"/>
      <c r="R376" s="254"/>
      <c r="S376" s="254"/>
      <c r="T376" s="254"/>
      <c r="U376" s="254"/>
      <c r="V376" s="254"/>
      <c r="W376" s="254"/>
      <c r="Y376" s="246" t="str">
        <f t="shared" si="31"/>
        <v/>
      </c>
      <c r="Z376" s="247" t="str">
        <f t="shared" si="35"/>
        <v/>
      </c>
      <c r="AA376" s="246" t="str">
        <f t="shared" si="32"/>
        <v/>
      </c>
    </row>
    <row r="377" spans="1:27" ht="18" customHeight="1" x14ac:dyDescent="0.25">
      <c r="A377" s="248" t="str">
        <f t="shared" si="33"/>
        <v/>
      </c>
      <c r="B377" s="249" t="str">
        <f t="shared" si="34"/>
        <v/>
      </c>
      <c r="C377" s="250"/>
      <c r="D377" s="251"/>
      <c r="E377" s="241"/>
      <c r="F377" s="252"/>
      <c r="G377" s="252"/>
      <c r="H377" s="253"/>
      <c r="I377" s="250"/>
      <c r="J377" s="250"/>
      <c r="K377" s="270"/>
      <c r="L377" s="250"/>
      <c r="M377" s="250"/>
      <c r="N377" s="540" t="str">
        <f>CONCATENATE(IF(OR(M377=phu!$I$1,M377=phu!$I$2,M377=phu!$I$3),"Cam Thành Nam",""),IF(OR(M377=phu!$I$4,M377=phu!$I$5,M377=phu!$I$6,M377=phu!$I$7,M377=phu!$I$8,M377=phu!$I$9,M377=phu!$I$10,M377=phu!$I$11,M377=phu!$I$12,M377=phu!$I$13,M377=phu!$I$14),"Cam Nghĩa",""),IF(OR(M377=phu!$I$15,M377=phu!$I$16,M377=phu!$I$17,M377=phu!$I$18,M377=phu!$I$19,M377=phu!$I$20,M377=phu!$I$21),"Cam Phúc Bắc",""),IF(OR(M377=phu!$I$22,M377=phu!$I$23,M377=phu!$I$24,M377=phu!$I$25),"Cam Phúc Nam",""),IF(OR(M377=phu!$I$26,M377=phu!$I$27,M377=phu!$I$28,M377=phu!$I$29,M377=phu!$I$30,M377=phu!$I$31),"Cam Phú",""),IF(OR(M377=phu!$I$32,M377=phu!$I$33,M377=phu!$I$34,M377=phu!$I$35,M377=phu!$I$36,M377=phu!$I$37),"Cam Lộc",""),IF(OR(M377=phu!$I$38,M377=phu!$I$39,M377=phu!$I$40,M377=phu!$I$41,M377=phu!$I$42,M377=phu!$I$43,M377=phu!$I$44),"Cam Thuận",""),IF(OR(M377=phu!$I$45,M377=phu!$I$46,M377=phu!$I$47,M377=phu!$I$48,M377=phu!$I$49,M377=phu!$I$50,M377=phu!$I$51,M377=phu!$I$52,M377=phu!$I$53),"Cam Linh",""),IF(OR(M377=phu!$I$54,M377=phu!$I$55,M377=phu!$I$56,M377=phu!$I$57,M377=phu!$I$58,M377=phu!$I$59,M377=phu!$I$60,M377=phu!$I$61,M377=phu!$I$62),"Cam Lợi",""),IF(OR(M377=phu!$I$63,M377=phu!$I$64,M377=phu!$I$65,M377=phu!$I$66,M377=phu!$I$67,M377=phu!$I$68,M377=phu!$I$69,M377=phu!$I$70,M377=phu!$I$71),"Ba Ngòi",""),IF(OR(M377=phu!$I$72,M377=phu!$I$73,M377=phu!$I$74,M377=phu!$I$75,M377=phu!$I$76,M377=phu!$I$77,M377=phu!$I$78),"Cam Phước Đông",""),IF(OR(M377=phu!$I$79,M377=phu!$I$80,M377=phu!$I$81,M377=phu!$I$82,M377=phu!$I$83,M377=phu!$I$84),"Cam Thịnh Đông",""),IF(OR(M377=phu!$I$85,M377=phu!$I$86,M377=phu!$I$87,M377=phu!$I$88),"Cam Thịnh Tây",""),IF(OR(M377=phu!$I$89,M377=phu!$I$90),"Cam Lập",""),IF(OR(M377=phu!$I$91,M377=phu!$I$92,M377=phu!$I$93),"Cam Bình",""),IF(OR(M377=phu!$I$94,M377=phu!$I$95,M377=phu!$I$96,M377=phu!$I$97,M377=phu!$I$98,M377=phu!$I$99,M377=phu!$I$100),"Huyện khác",""),IF(OR(M377=phu!$I$101,M377=phu!$I$102),"Tỉnh khác",""))</f>
        <v/>
      </c>
      <c r="O377" s="829" t="str">
        <f t="shared" si="30"/>
        <v/>
      </c>
      <c r="P377" s="254"/>
      <c r="Q377" s="254"/>
      <c r="R377" s="254"/>
      <c r="S377" s="254"/>
      <c r="T377" s="254"/>
      <c r="U377" s="254"/>
      <c r="V377" s="254"/>
      <c r="W377" s="254"/>
      <c r="Y377" s="246" t="str">
        <f t="shared" si="31"/>
        <v/>
      </c>
      <c r="Z377" s="247" t="str">
        <f t="shared" si="35"/>
        <v/>
      </c>
      <c r="AA377" s="246" t="str">
        <f t="shared" si="32"/>
        <v/>
      </c>
    </row>
    <row r="378" spans="1:27" ht="18" customHeight="1" x14ac:dyDescent="0.25">
      <c r="A378" s="248" t="str">
        <f t="shared" si="33"/>
        <v/>
      </c>
      <c r="B378" s="249" t="str">
        <f t="shared" si="34"/>
        <v/>
      </c>
      <c r="C378" s="250"/>
      <c r="D378" s="251"/>
      <c r="E378" s="241"/>
      <c r="F378" s="252"/>
      <c r="G378" s="252"/>
      <c r="H378" s="253"/>
      <c r="I378" s="250"/>
      <c r="J378" s="250"/>
      <c r="K378" s="270"/>
      <c r="L378" s="250"/>
      <c r="M378" s="250"/>
      <c r="N378" s="540" t="str">
        <f>CONCATENATE(IF(OR(M378=phu!$I$1,M378=phu!$I$2,M378=phu!$I$3),"Cam Thành Nam",""),IF(OR(M378=phu!$I$4,M378=phu!$I$5,M378=phu!$I$6,M378=phu!$I$7,M378=phu!$I$8,M378=phu!$I$9,M378=phu!$I$10,M378=phu!$I$11,M378=phu!$I$12,M378=phu!$I$13,M378=phu!$I$14),"Cam Nghĩa",""),IF(OR(M378=phu!$I$15,M378=phu!$I$16,M378=phu!$I$17,M378=phu!$I$18,M378=phu!$I$19,M378=phu!$I$20,M378=phu!$I$21),"Cam Phúc Bắc",""),IF(OR(M378=phu!$I$22,M378=phu!$I$23,M378=phu!$I$24,M378=phu!$I$25),"Cam Phúc Nam",""),IF(OR(M378=phu!$I$26,M378=phu!$I$27,M378=phu!$I$28,M378=phu!$I$29,M378=phu!$I$30,M378=phu!$I$31),"Cam Phú",""),IF(OR(M378=phu!$I$32,M378=phu!$I$33,M378=phu!$I$34,M378=phu!$I$35,M378=phu!$I$36,M378=phu!$I$37),"Cam Lộc",""),IF(OR(M378=phu!$I$38,M378=phu!$I$39,M378=phu!$I$40,M378=phu!$I$41,M378=phu!$I$42,M378=phu!$I$43,M378=phu!$I$44),"Cam Thuận",""),IF(OR(M378=phu!$I$45,M378=phu!$I$46,M378=phu!$I$47,M378=phu!$I$48,M378=phu!$I$49,M378=phu!$I$50,M378=phu!$I$51,M378=phu!$I$52,M378=phu!$I$53),"Cam Linh",""),IF(OR(M378=phu!$I$54,M378=phu!$I$55,M378=phu!$I$56,M378=phu!$I$57,M378=phu!$I$58,M378=phu!$I$59,M378=phu!$I$60,M378=phu!$I$61,M378=phu!$I$62),"Cam Lợi",""),IF(OR(M378=phu!$I$63,M378=phu!$I$64,M378=phu!$I$65,M378=phu!$I$66,M378=phu!$I$67,M378=phu!$I$68,M378=phu!$I$69,M378=phu!$I$70,M378=phu!$I$71),"Ba Ngòi",""),IF(OR(M378=phu!$I$72,M378=phu!$I$73,M378=phu!$I$74,M378=phu!$I$75,M378=phu!$I$76,M378=phu!$I$77,M378=phu!$I$78),"Cam Phước Đông",""),IF(OR(M378=phu!$I$79,M378=phu!$I$80,M378=phu!$I$81,M378=phu!$I$82,M378=phu!$I$83,M378=phu!$I$84),"Cam Thịnh Đông",""),IF(OR(M378=phu!$I$85,M378=phu!$I$86,M378=phu!$I$87,M378=phu!$I$88),"Cam Thịnh Tây",""),IF(OR(M378=phu!$I$89,M378=phu!$I$90),"Cam Lập",""),IF(OR(M378=phu!$I$91,M378=phu!$I$92,M378=phu!$I$93),"Cam Bình",""),IF(OR(M378=phu!$I$94,M378=phu!$I$95,M378=phu!$I$96,M378=phu!$I$97,M378=phu!$I$98,M378=phu!$I$99,M378=phu!$I$100),"Huyện khác",""),IF(OR(M378=phu!$I$101,M378=phu!$I$102),"Tỉnh khác",""))</f>
        <v/>
      </c>
      <c r="O378" s="829" t="str">
        <f t="shared" si="30"/>
        <v/>
      </c>
      <c r="P378" s="254"/>
      <c r="Q378" s="254"/>
      <c r="R378" s="254"/>
      <c r="S378" s="254"/>
      <c r="T378" s="254"/>
      <c r="U378" s="254"/>
      <c r="V378" s="254"/>
      <c r="W378" s="254"/>
      <c r="Y378" s="246" t="str">
        <f t="shared" si="31"/>
        <v/>
      </c>
      <c r="Z378" s="247" t="str">
        <f t="shared" si="35"/>
        <v/>
      </c>
      <c r="AA378" s="246" t="str">
        <f t="shared" si="32"/>
        <v/>
      </c>
    </row>
    <row r="379" spans="1:27" ht="18" customHeight="1" x14ac:dyDescent="0.25">
      <c r="A379" s="248" t="str">
        <f t="shared" si="33"/>
        <v/>
      </c>
      <c r="B379" s="249" t="str">
        <f t="shared" si="34"/>
        <v/>
      </c>
      <c r="C379" s="250"/>
      <c r="D379" s="251"/>
      <c r="E379" s="241"/>
      <c r="F379" s="252"/>
      <c r="G379" s="252"/>
      <c r="H379" s="253"/>
      <c r="I379" s="250"/>
      <c r="J379" s="250"/>
      <c r="K379" s="270"/>
      <c r="L379" s="250"/>
      <c r="M379" s="250"/>
      <c r="N379" s="540" t="str">
        <f>CONCATENATE(IF(OR(M379=phu!$I$1,M379=phu!$I$2,M379=phu!$I$3),"Cam Thành Nam",""),IF(OR(M379=phu!$I$4,M379=phu!$I$5,M379=phu!$I$6,M379=phu!$I$7,M379=phu!$I$8,M379=phu!$I$9,M379=phu!$I$10,M379=phu!$I$11,M379=phu!$I$12,M379=phu!$I$13,M379=phu!$I$14),"Cam Nghĩa",""),IF(OR(M379=phu!$I$15,M379=phu!$I$16,M379=phu!$I$17,M379=phu!$I$18,M379=phu!$I$19,M379=phu!$I$20,M379=phu!$I$21),"Cam Phúc Bắc",""),IF(OR(M379=phu!$I$22,M379=phu!$I$23,M379=phu!$I$24,M379=phu!$I$25),"Cam Phúc Nam",""),IF(OR(M379=phu!$I$26,M379=phu!$I$27,M379=phu!$I$28,M379=phu!$I$29,M379=phu!$I$30,M379=phu!$I$31),"Cam Phú",""),IF(OR(M379=phu!$I$32,M379=phu!$I$33,M379=phu!$I$34,M379=phu!$I$35,M379=phu!$I$36,M379=phu!$I$37),"Cam Lộc",""),IF(OR(M379=phu!$I$38,M379=phu!$I$39,M379=phu!$I$40,M379=phu!$I$41,M379=phu!$I$42,M379=phu!$I$43,M379=phu!$I$44),"Cam Thuận",""),IF(OR(M379=phu!$I$45,M379=phu!$I$46,M379=phu!$I$47,M379=phu!$I$48,M379=phu!$I$49,M379=phu!$I$50,M379=phu!$I$51,M379=phu!$I$52,M379=phu!$I$53),"Cam Linh",""),IF(OR(M379=phu!$I$54,M379=phu!$I$55,M379=phu!$I$56,M379=phu!$I$57,M379=phu!$I$58,M379=phu!$I$59,M379=phu!$I$60,M379=phu!$I$61,M379=phu!$I$62),"Cam Lợi",""),IF(OR(M379=phu!$I$63,M379=phu!$I$64,M379=phu!$I$65,M379=phu!$I$66,M379=phu!$I$67,M379=phu!$I$68,M379=phu!$I$69,M379=phu!$I$70,M379=phu!$I$71),"Ba Ngòi",""),IF(OR(M379=phu!$I$72,M379=phu!$I$73,M379=phu!$I$74,M379=phu!$I$75,M379=phu!$I$76,M379=phu!$I$77,M379=phu!$I$78),"Cam Phước Đông",""),IF(OR(M379=phu!$I$79,M379=phu!$I$80,M379=phu!$I$81,M379=phu!$I$82,M379=phu!$I$83,M379=phu!$I$84),"Cam Thịnh Đông",""),IF(OR(M379=phu!$I$85,M379=phu!$I$86,M379=phu!$I$87,M379=phu!$I$88),"Cam Thịnh Tây",""),IF(OR(M379=phu!$I$89,M379=phu!$I$90),"Cam Lập",""),IF(OR(M379=phu!$I$91,M379=phu!$I$92,M379=phu!$I$93),"Cam Bình",""),IF(OR(M379=phu!$I$94,M379=phu!$I$95,M379=phu!$I$96,M379=phu!$I$97,M379=phu!$I$98,M379=phu!$I$99,M379=phu!$I$100),"Huyện khác",""),IF(OR(M379=phu!$I$101,M379=phu!$I$102),"Tỉnh khác",""))</f>
        <v/>
      </c>
      <c r="O379" s="829" t="str">
        <f t="shared" si="30"/>
        <v/>
      </c>
      <c r="P379" s="254"/>
      <c r="Q379" s="254"/>
      <c r="R379" s="254"/>
      <c r="S379" s="254"/>
      <c r="T379" s="254"/>
      <c r="U379" s="254"/>
      <c r="V379" s="254"/>
      <c r="W379" s="254"/>
      <c r="Y379" s="246" t="str">
        <f t="shared" si="31"/>
        <v/>
      </c>
      <c r="Z379" s="247" t="str">
        <f t="shared" si="35"/>
        <v/>
      </c>
      <c r="AA379" s="246" t="str">
        <f t="shared" si="32"/>
        <v/>
      </c>
    </row>
    <row r="380" spans="1:27" ht="18" customHeight="1" x14ac:dyDescent="0.25">
      <c r="A380" s="248" t="str">
        <f t="shared" si="33"/>
        <v/>
      </c>
      <c r="B380" s="249" t="str">
        <f t="shared" si="34"/>
        <v/>
      </c>
      <c r="C380" s="250"/>
      <c r="D380" s="251"/>
      <c r="E380" s="241"/>
      <c r="F380" s="252"/>
      <c r="G380" s="252"/>
      <c r="H380" s="253"/>
      <c r="I380" s="250"/>
      <c r="J380" s="250"/>
      <c r="K380" s="270"/>
      <c r="L380" s="250"/>
      <c r="M380" s="250"/>
      <c r="N380" s="540" t="str">
        <f>CONCATENATE(IF(OR(M380=phu!$I$1,M380=phu!$I$2,M380=phu!$I$3),"Cam Thành Nam",""),IF(OR(M380=phu!$I$4,M380=phu!$I$5,M380=phu!$I$6,M380=phu!$I$7,M380=phu!$I$8,M380=phu!$I$9,M380=phu!$I$10,M380=phu!$I$11,M380=phu!$I$12,M380=phu!$I$13,M380=phu!$I$14),"Cam Nghĩa",""),IF(OR(M380=phu!$I$15,M380=phu!$I$16,M380=phu!$I$17,M380=phu!$I$18,M380=phu!$I$19,M380=phu!$I$20,M380=phu!$I$21),"Cam Phúc Bắc",""),IF(OR(M380=phu!$I$22,M380=phu!$I$23,M380=phu!$I$24,M380=phu!$I$25),"Cam Phúc Nam",""),IF(OR(M380=phu!$I$26,M380=phu!$I$27,M380=phu!$I$28,M380=phu!$I$29,M380=phu!$I$30,M380=phu!$I$31),"Cam Phú",""),IF(OR(M380=phu!$I$32,M380=phu!$I$33,M380=phu!$I$34,M380=phu!$I$35,M380=phu!$I$36,M380=phu!$I$37),"Cam Lộc",""),IF(OR(M380=phu!$I$38,M380=phu!$I$39,M380=phu!$I$40,M380=phu!$I$41,M380=phu!$I$42,M380=phu!$I$43,M380=phu!$I$44),"Cam Thuận",""),IF(OR(M380=phu!$I$45,M380=phu!$I$46,M380=phu!$I$47,M380=phu!$I$48,M380=phu!$I$49,M380=phu!$I$50,M380=phu!$I$51,M380=phu!$I$52,M380=phu!$I$53),"Cam Linh",""),IF(OR(M380=phu!$I$54,M380=phu!$I$55,M380=phu!$I$56,M380=phu!$I$57,M380=phu!$I$58,M380=phu!$I$59,M380=phu!$I$60,M380=phu!$I$61,M380=phu!$I$62),"Cam Lợi",""),IF(OR(M380=phu!$I$63,M380=phu!$I$64,M380=phu!$I$65,M380=phu!$I$66,M380=phu!$I$67,M380=phu!$I$68,M380=phu!$I$69,M380=phu!$I$70,M380=phu!$I$71),"Ba Ngòi",""),IF(OR(M380=phu!$I$72,M380=phu!$I$73,M380=phu!$I$74,M380=phu!$I$75,M380=phu!$I$76,M380=phu!$I$77,M380=phu!$I$78),"Cam Phước Đông",""),IF(OR(M380=phu!$I$79,M380=phu!$I$80,M380=phu!$I$81,M380=phu!$I$82,M380=phu!$I$83,M380=phu!$I$84),"Cam Thịnh Đông",""),IF(OR(M380=phu!$I$85,M380=phu!$I$86,M380=phu!$I$87,M380=phu!$I$88),"Cam Thịnh Tây",""),IF(OR(M380=phu!$I$89,M380=phu!$I$90),"Cam Lập",""),IF(OR(M380=phu!$I$91,M380=phu!$I$92,M380=phu!$I$93),"Cam Bình",""),IF(OR(M380=phu!$I$94,M380=phu!$I$95,M380=phu!$I$96,M380=phu!$I$97,M380=phu!$I$98,M380=phu!$I$99,M380=phu!$I$100),"Huyện khác",""),IF(OR(M380=phu!$I$101,M380=phu!$I$102),"Tỉnh khác",""))</f>
        <v/>
      </c>
      <c r="O380" s="829" t="str">
        <f t="shared" si="30"/>
        <v/>
      </c>
      <c r="P380" s="254"/>
      <c r="Q380" s="254"/>
      <c r="R380" s="254"/>
      <c r="S380" s="254"/>
      <c r="T380" s="254"/>
      <c r="U380" s="254"/>
      <c r="V380" s="254"/>
      <c r="W380" s="254"/>
      <c r="Y380" s="246" t="str">
        <f t="shared" si="31"/>
        <v/>
      </c>
      <c r="Z380" s="247" t="str">
        <f t="shared" si="35"/>
        <v/>
      </c>
      <c r="AA380" s="246" t="str">
        <f t="shared" si="32"/>
        <v/>
      </c>
    </row>
    <row r="381" spans="1:27" ht="18" customHeight="1" x14ac:dyDescent="0.25">
      <c r="A381" s="248" t="str">
        <f t="shared" si="33"/>
        <v/>
      </c>
      <c r="B381" s="249" t="str">
        <f t="shared" si="34"/>
        <v/>
      </c>
      <c r="C381" s="250"/>
      <c r="D381" s="251"/>
      <c r="E381" s="241"/>
      <c r="F381" s="252"/>
      <c r="G381" s="252"/>
      <c r="H381" s="253"/>
      <c r="I381" s="250"/>
      <c r="J381" s="250"/>
      <c r="K381" s="270"/>
      <c r="L381" s="250"/>
      <c r="M381" s="250"/>
      <c r="N381" s="540" t="str">
        <f>CONCATENATE(IF(OR(M381=phu!$I$1,M381=phu!$I$2,M381=phu!$I$3),"Cam Thành Nam",""),IF(OR(M381=phu!$I$4,M381=phu!$I$5,M381=phu!$I$6,M381=phu!$I$7,M381=phu!$I$8,M381=phu!$I$9,M381=phu!$I$10,M381=phu!$I$11,M381=phu!$I$12,M381=phu!$I$13,M381=phu!$I$14),"Cam Nghĩa",""),IF(OR(M381=phu!$I$15,M381=phu!$I$16,M381=phu!$I$17,M381=phu!$I$18,M381=phu!$I$19,M381=phu!$I$20,M381=phu!$I$21),"Cam Phúc Bắc",""),IF(OR(M381=phu!$I$22,M381=phu!$I$23,M381=phu!$I$24,M381=phu!$I$25),"Cam Phúc Nam",""),IF(OR(M381=phu!$I$26,M381=phu!$I$27,M381=phu!$I$28,M381=phu!$I$29,M381=phu!$I$30,M381=phu!$I$31),"Cam Phú",""),IF(OR(M381=phu!$I$32,M381=phu!$I$33,M381=phu!$I$34,M381=phu!$I$35,M381=phu!$I$36,M381=phu!$I$37),"Cam Lộc",""),IF(OR(M381=phu!$I$38,M381=phu!$I$39,M381=phu!$I$40,M381=phu!$I$41,M381=phu!$I$42,M381=phu!$I$43,M381=phu!$I$44),"Cam Thuận",""),IF(OR(M381=phu!$I$45,M381=phu!$I$46,M381=phu!$I$47,M381=phu!$I$48,M381=phu!$I$49,M381=phu!$I$50,M381=phu!$I$51,M381=phu!$I$52,M381=phu!$I$53),"Cam Linh",""),IF(OR(M381=phu!$I$54,M381=phu!$I$55,M381=phu!$I$56,M381=phu!$I$57,M381=phu!$I$58,M381=phu!$I$59,M381=phu!$I$60,M381=phu!$I$61,M381=phu!$I$62),"Cam Lợi",""),IF(OR(M381=phu!$I$63,M381=phu!$I$64,M381=phu!$I$65,M381=phu!$I$66,M381=phu!$I$67,M381=phu!$I$68,M381=phu!$I$69,M381=phu!$I$70,M381=phu!$I$71),"Ba Ngòi",""),IF(OR(M381=phu!$I$72,M381=phu!$I$73,M381=phu!$I$74,M381=phu!$I$75,M381=phu!$I$76,M381=phu!$I$77,M381=phu!$I$78),"Cam Phước Đông",""),IF(OR(M381=phu!$I$79,M381=phu!$I$80,M381=phu!$I$81,M381=phu!$I$82,M381=phu!$I$83,M381=phu!$I$84),"Cam Thịnh Đông",""),IF(OR(M381=phu!$I$85,M381=phu!$I$86,M381=phu!$I$87,M381=phu!$I$88),"Cam Thịnh Tây",""),IF(OR(M381=phu!$I$89,M381=phu!$I$90),"Cam Lập",""),IF(OR(M381=phu!$I$91,M381=phu!$I$92,M381=phu!$I$93),"Cam Bình",""),IF(OR(M381=phu!$I$94,M381=phu!$I$95,M381=phu!$I$96,M381=phu!$I$97,M381=phu!$I$98,M381=phu!$I$99,M381=phu!$I$100),"Huyện khác",""),IF(OR(M381=phu!$I$101,M381=phu!$I$102),"Tỉnh khác",""))</f>
        <v/>
      </c>
      <c r="O381" s="829" t="str">
        <f t="shared" si="30"/>
        <v/>
      </c>
      <c r="P381" s="254"/>
      <c r="Q381" s="254"/>
      <c r="R381" s="254"/>
      <c r="S381" s="254"/>
      <c r="T381" s="254"/>
      <c r="U381" s="254"/>
      <c r="V381" s="254"/>
      <c r="W381" s="254"/>
      <c r="Y381" s="246" t="str">
        <f t="shared" si="31"/>
        <v/>
      </c>
      <c r="Z381" s="247" t="str">
        <f t="shared" si="35"/>
        <v/>
      </c>
      <c r="AA381" s="246" t="str">
        <f t="shared" si="32"/>
        <v/>
      </c>
    </row>
    <row r="382" spans="1:27" ht="18" customHeight="1" x14ac:dyDescent="0.25">
      <c r="A382" s="248" t="str">
        <f t="shared" si="33"/>
        <v/>
      </c>
      <c r="B382" s="249" t="str">
        <f t="shared" si="34"/>
        <v/>
      </c>
      <c r="C382" s="250"/>
      <c r="D382" s="251"/>
      <c r="E382" s="241"/>
      <c r="F382" s="252"/>
      <c r="G382" s="252"/>
      <c r="H382" s="253"/>
      <c r="I382" s="250"/>
      <c r="J382" s="250"/>
      <c r="K382" s="270"/>
      <c r="L382" s="250"/>
      <c r="M382" s="250"/>
      <c r="N382" s="540" t="str">
        <f>CONCATENATE(IF(OR(M382=phu!$I$1,M382=phu!$I$2,M382=phu!$I$3),"Cam Thành Nam",""),IF(OR(M382=phu!$I$4,M382=phu!$I$5,M382=phu!$I$6,M382=phu!$I$7,M382=phu!$I$8,M382=phu!$I$9,M382=phu!$I$10,M382=phu!$I$11,M382=phu!$I$12,M382=phu!$I$13,M382=phu!$I$14),"Cam Nghĩa",""),IF(OR(M382=phu!$I$15,M382=phu!$I$16,M382=phu!$I$17,M382=phu!$I$18,M382=phu!$I$19,M382=phu!$I$20,M382=phu!$I$21),"Cam Phúc Bắc",""),IF(OR(M382=phu!$I$22,M382=phu!$I$23,M382=phu!$I$24,M382=phu!$I$25),"Cam Phúc Nam",""),IF(OR(M382=phu!$I$26,M382=phu!$I$27,M382=phu!$I$28,M382=phu!$I$29,M382=phu!$I$30,M382=phu!$I$31),"Cam Phú",""),IF(OR(M382=phu!$I$32,M382=phu!$I$33,M382=phu!$I$34,M382=phu!$I$35,M382=phu!$I$36,M382=phu!$I$37),"Cam Lộc",""),IF(OR(M382=phu!$I$38,M382=phu!$I$39,M382=phu!$I$40,M382=phu!$I$41,M382=phu!$I$42,M382=phu!$I$43,M382=phu!$I$44),"Cam Thuận",""),IF(OR(M382=phu!$I$45,M382=phu!$I$46,M382=phu!$I$47,M382=phu!$I$48,M382=phu!$I$49,M382=phu!$I$50,M382=phu!$I$51,M382=phu!$I$52,M382=phu!$I$53),"Cam Linh",""),IF(OR(M382=phu!$I$54,M382=phu!$I$55,M382=phu!$I$56,M382=phu!$I$57,M382=phu!$I$58,M382=phu!$I$59,M382=phu!$I$60,M382=phu!$I$61,M382=phu!$I$62),"Cam Lợi",""),IF(OR(M382=phu!$I$63,M382=phu!$I$64,M382=phu!$I$65,M382=phu!$I$66,M382=phu!$I$67,M382=phu!$I$68,M382=phu!$I$69,M382=phu!$I$70,M382=phu!$I$71),"Ba Ngòi",""),IF(OR(M382=phu!$I$72,M382=phu!$I$73,M382=phu!$I$74,M382=phu!$I$75,M382=phu!$I$76,M382=phu!$I$77,M382=phu!$I$78),"Cam Phước Đông",""),IF(OR(M382=phu!$I$79,M382=phu!$I$80,M382=phu!$I$81,M382=phu!$I$82,M382=phu!$I$83,M382=phu!$I$84),"Cam Thịnh Đông",""),IF(OR(M382=phu!$I$85,M382=phu!$I$86,M382=phu!$I$87,M382=phu!$I$88),"Cam Thịnh Tây",""),IF(OR(M382=phu!$I$89,M382=phu!$I$90),"Cam Lập",""),IF(OR(M382=phu!$I$91,M382=phu!$I$92,M382=phu!$I$93),"Cam Bình",""),IF(OR(M382=phu!$I$94,M382=phu!$I$95,M382=phu!$I$96,M382=phu!$I$97,M382=phu!$I$98,M382=phu!$I$99,M382=phu!$I$100),"Huyện khác",""),IF(OR(M382=phu!$I$101,M382=phu!$I$102),"Tỉnh khác",""))</f>
        <v/>
      </c>
      <c r="O382" s="829" t="str">
        <f t="shared" si="30"/>
        <v/>
      </c>
      <c r="P382" s="254"/>
      <c r="Q382" s="254"/>
      <c r="R382" s="254"/>
      <c r="S382" s="254"/>
      <c r="T382" s="254"/>
      <c r="U382" s="254"/>
      <c r="V382" s="254"/>
      <c r="W382" s="254"/>
      <c r="Y382" s="246" t="str">
        <f t="shared" si="31"/>
        <v/>
      </c>
      <c r="Z382" s="247" t="str">
        <f t="shared" si="35"/>
        <v/>
      </c>
      <c r="AA382" s="246" t="str">
        <f t="shared" si="32"/>
        <v/>
      </c>
    </row>
    <row r="383" spans="1:27" ht="18" customHeight="1" x14ac:dyDescent="0.25">
      <c r="A383" s="248" t="str">
        <f t="shared" si="33"/>
        <v/>
      </c>
      <c r="B383" s="249" t="str">
        <f t="shared" si="34"/>
        <v/>
      </c>
      <c r="C383" s="250"/>
      <c r="D383" s="251"/>
      <c r="E383" s="241"/>
      <c r="F383" s="252"/>
      <c r="G383" s="252"/>
      <c r="H383" s="253"/>
      <c r="I383" s="250"/>
      <c r="J383" s="250"/>
      <c r="K383" s="270"/>
      <c r="L383" s="250"/>
      <c r="M383" s="250"/>
      <c r="N383" s="540" t="str">
        <f>CONCATENATE(IF(OR(M383=phu!$I$1,M383=phu!$I$2,M383=phu!$I$3),"Cam Thành Nam",""),IF(OR(M383=phu!$I$4,M383=phu!$I$5,M383=phu!$I$6,M383=phu!$I$7,M383=phu!$I$8,M383=phu!$I$9,M383=phu!$I$10,M383=phu!$I$11,M383=phu!$I$12,M383=phu!$I$13,M383=phu!$I$14),"Cam Nghĩa",""),IF(OR(M383=phu!$I$15,M383=phu!$I$16,M383=phu!$I$17,M383=phu!$I$18,M383=phu!$I$19,M383=phu!$I$20,M383=phu!$I$21),"Cam Phúc Bắc",""),IF(OR(M383=phu!$I$22,M383=phu!$I$23,M383=phu!$I$24,M383=phu!$I$25),"Cam Phúc Nam",""),IF(OR(M383=phu!$I$26,M383=phu!$I$27,M383=phu!$I$28,M383=phu!$I$29,M383=phu!$I$30,M383=phu!$I$31),"Cam Phú",""),IF(OR(M383=phu!$I$32,M383=phu!$I$33,M383=phu!$I$34,M383=phu!$I$35,M383=phu!$I$36,M383=phu!$I$37),"Cam Lộc",""),IF(OR(M383=phu!$I$38,M383=phu!$I$39,M383=phu!$I$40,M383=phu!$I$41,M383=phu!$I$42,M383=phu!$I$43,M383=phu!$I$44),"Cam Thuận",""),IF(OR(M383=phu!$I$45,M383=phu!$I$46,M383=phu!$I$47,M383=phu!$I$48,M383=phu!$I$49,M383=phu!$I$50,M383=phu!$I$51,M383=phu!$I$52,M383=phu!$I$53),"Cam Linh",""),IF(OR(M383=phu!$I$54,M383=phu!$I$55,M383=phu!$I$56,M383=phu!$I$57,M383=phu!$I$58,M383=phu!$I$59,M383=phu!$I$60,M383=phu!$I$61,M383=phu!$I$62),"Cam Lợi",""),IF(OR(M383=phu!$I$63,M383=phu!$I$64,M383=phu!$I$65,M383=phu!$I$66,M383=phu!$I$67,M383=phu!$I$68,M383=phu!$I$69,M383=phu!$I$70,M383=phu!$I$71),"Ba Ngòi",""),IF(OR(M383=phu!$I$72,M383=phu!$I$73,M383=phu!$I$74,M383=phu!$I$75,M383=phu!$I$76,M383=phu!$I$77,M383=phu!$I$78),"Cam Phước Đông",""),IF(OR(M383=phu!$I$79,M383=phu!$I$80,M383=phu!$I$81,M383=phu!$I$82,M383=phu!$I$83,M383=phu!$I$84),"Cam Thịnh Đông",""),IF(OR(M383=phu!$I$85,M383=phu!$I$86,M383=phu!$I$87,M383=phu!$I$88),"Cam Thịnh Tây",""),IF(OR(M383=phu!$I$89,M383=phu!$I$90),"Cam Lập",""),IF(OR(M383=phu!$I$91,M383=phu!$I$92,M383=phu!$I$93),"Cam Bình",""),IF(OR(M383=phu!$I$94,M383=phu!$I$95,M383=phu!$I$96,M383=phu!$I$97,M383=phu!$I$98,M383=phu!$I$99,M383=phu!$I$100),"Huyện khác",""),IF(OR(M383=phu!$I$101,M383=phu!$I$102),"Tỉnh khác",""))</f>
        <v/>
      </c>
      <c r="O383" s="829" t="str">
        <f t="shared" si="30"/>
        <v/>
      </c>
      <c r="P383" s="254"/>
      <c r="Q383" s="254"/>
      <c r="R383" s="254"/>
      <c r="S383" s="254"/>
      <c r="T383" s="254"/>
      <c r="U383" s="254"/>
      <c r="V383" s="254"/>
      <c r="W383" s="254"/>
      <c r="Y383" s="246" t="str">
        <f t="shared" si="31"/>
        <v/>
      </c>
      <c r="Z383" s="247" t="str">
        <f t="shared" si="35"/>
        <v/>
      </c>
      <c r="AA383" s="246" t="str">
        <f t="shared" si="32"/>
        <v/>
      </c>
    </row>
    <row r="384" spans="1:27" ht="18" customHeight="1" x14ac:dyDescent="0.25">
      <c r="A384" s="248" t="str">
        <f t="shared" si="33"/>
        <v/>
      </c>
      <c r="B384" s="249" t="str">
        <f t="shared" si="34"/>
        <v/>
      </c>
      <c r="C384" s="250"/>
      <c r="D384" s="251"/>
      <c r="E384" s="241"/>
      <c r="F384" s="252"/>
      <c r="G384" s="252"/>
      <c r="H384" s="253"/>
      <c r="I384" s="250"/>
      <c r="J384" s="250"/>
      <c r="K384" s="270"/>
      <c r="L384" s="250"/>
      <c r="M384" s="250"/>
      <c r="N384" s="540" t="str">
        <f>CONCATENATE(IF(OR(M384=phu!$I$1,M384=phu!$I$2,M384=phu!$I$3),"Cam Thành Nam",""),IF(OR(M384=phu!$I$4,M384=phu!$I$5,M384=phu!$I$6,M384=phu!$I$7,M384=phu!$I$8,M384=phu!$I$9,M384=phu!$I$10,M384=phu!$I$11,M384=phu!$I$12,M384=phu!$I$13,M384=phu!$I$14),"Cam Nghĩa",""),IF(OR(M384=phu!$I$15,M384=phu!$I$16,M384=phu!$I$17,M384=phu!$I$18,M384=phu!$I$19,M384=phu!$I$20,M384=phu!$I$21),"Cam Phúc Bắc",""),IF(OR(M384=phu!$I$22,M384=phu!$I$23,M384=phu!$I$24,M384=phu!$I$25),"Cam Phúc Nam",""),IF(OR(M384=phu!$I$26,M384=phu!$I$27,M384=phu!$I$28,M384=phu!$I$29,M384=phu!$I$30,M384=phu!$I$31),"Cam Phú",""),IF(OR(M384=phu!$I$32,M384=phu!$I$33,M384=phu!$I$34,M384=phu!$I$35,M384=phu!$I$36,M384=phu!$I$37),"Cam Lộc",""),IF(OR(M384=phu!$I$38,M384=phu!$I$39,M384=phu!$I$40,M384=phu!$I$41,M384=phu!$I$42,M384=phu!$I$43,M384=phu!$I$44),"Cam Thuận",""),IF(OR(M384=phu!$I$45,M384=phu!$I$46,M384=phu!$I$47,M384=phu!$I$48,M384=phu!$I$49,M384=phu!$I$50,M384=phu!$I$51,M384=phu!$I$52,M384=phu!$I$53),"Cam Linh",""),IF(OR(M384=phu!$I$54,M384=phu!$I$55,M384=phu!$I$56,M384=phu!$I$57,M384=phu!$I$58,M384=phu!$I$59,M384=phu!$I$60,M384=phu!$I$61,M384=phu!$I$62),"Cam Lợi",""),IF(OR(M384=phu!$I$63,M384=phu!$I$64,M384=phu!$I$65,M384=phu!$I$66,M384=phu!$I$67,M384=phu!$I$68,M384=phu!$I$69,M384=phu!$I$70,M384=phu!$I$71),"Ba Ngòi",""),IF(OR(M384=phu!$I$72,M384=phu!$I$73,M384=phu!$I$74,M384=phu!$I$75,M384=phu!$I$76,M384=phu!$I$77,M384=phu!$I$78),"Cam Phước Đông",""),IF(OR(M384=phu!$I$79,M384=phu!$I$80,M384=phu!$I$81,M384=phu!$I$82,M384=phu!$I$83,M384=phu!$I$84),"Cam Thịnh Đông",""),IF(OR(M384=phu!$I$85,M384=phu!$I$86,M384=phu!$I$87,M384=phu!$I$88),"Cam Thịnh Tây",""),IF(OR(M384=phu!$I$89,M384=phu!$I$90),"Cam Lập",""),IF(OR(M384=phu!$I$91,M384=phu!$I$92,M384=phu!$I$93),"Cam Bình",""),IF(OR(M384=phu!$I$94,M384=phu!$I$95,M384=phu!$I$96,M384=phu!$I$97,M384=phu!$I$98,M384=phu!$I$99,M384=phu!$I$100),"Huyện khác",""),IF(OR(M384=phu!$I$101,M384=phu!$I$102),"Tỉnh khác",""))</f>
        <v/>
      </c>
      <c r="O384" s="829" t="str">
        <f t="shared" si="30"/>
        <v/>
      </c>
      <c r="P384" s="254"/>
      <c r="Q384" s="254"/>
      <c r="R384" s="254"/>
      <c r="S384" s="254"/>
      <c r="T384" s="254"/>
      <c r="U384" s="254"/>
      <c r="V384" s="254"/>
      <c r="W384" s="254"/>
      <c r="Y384" s="246" t="str">
        <f t="shared" si="31"/>
        <v/>
      </c>
      <c r="Z384" s="247" t="str">
        <f t="shared" si="35"/>
        <v/>
      </c>
      <c r="AA384" s="246" t="str">
        <f t="shared" si="32"/>
        <v/>
      </c>
    </row>
    <row r="385" spans="1:27" ht="18" customHeight="1" x14ac:dyDescent="0.25">
      <c r="A385" s="248" t="str">
        <f t="shared" si="33"/>
        <v/>
      </c>
      <c r="B385" s="249" t="str">
        <f t="shared" si="34"/>
        <v/>
      </c>
      <c r="C385" s="250"/>
      <c r="D385" s="251"/>
      <c r="E385" s="241"/>
      <c r="F385" s="252"/>
      <c r="G385" s="252"/>
      <c r="H385" s="253"/>
      <c r="I385" s="250"/>
      <c r="J385" s="250"/>
      <c r="K385" s="270"/>
      <c r="L385" s="250"/>
      <c r="M385" s="250"/>
      <c r="N385" s="540" t="str">
        <f>CONCATENATE(IF(OR(M385=phu!$I$1,M385=phu!$I$2,M385=phu!$I$3),"Cam Thành Nam",""),IF(OR(M385=phu!$I$4,M385=phu!$I$5,M385=phu!$I$6,M385=phu!$I$7,M385=phu!$I$8,M385=phu!$I$9,M385=phu!$I$10,M385=phu!$I$11,M385=phu!$I$12,M385=phu!$I$13,M385=phu!$I$14),"Cam Nghĩa",""),IF(OR(M385=phu!$I$15,M385=phu!$I$16,M385=phu!$I$17,M385=phu!$I$18,M385=phu!$I$19,M385=phu!$I$20,M385=phu!$I$21),"Cam Phúc Bắc",""),IF(OR(M385=phu!$I$22,M385=phu!$I$23,M385=phu!$I$24,M385=phu!$I$25),"Cam Phúc Nam",""),IF(OR(M385=phu!$I$26,M385=phu!$I$27,M385=phu!$I$28,M385=phu!$I$29,M385=phu!$I$30,M385=phu!$I$31),"Cam Phú",""),IF(OR(M385=phu!$I$32,M385=phu!$I$33,M385=phu!$I$34,M385=phu!$I$35,M385=phu!$I$36,M385=phu!$I$37),"Cam Lộc",""),IF(OR(M385=phu!$I$38,M385=phu!$I$39,M385=phu!$I$40,M385=phu!$I$41,M385=phu!$I$42,M385=phu!$I$43,M385=phu!$I$44),"Cam Thuận",""),IF(OR(M385=phu!$I$45,M385=phu!$I$46,M385=phu!$I$47,M385=phu!$I$48,M385=phu!$I$49,M385=phu!$I$50,M385=phu!$I$51,M385=phu!$I$52,M385=phu!$I$53),"Cam Linh",""),IF(OR(M385=phu!$I$54,M385=phu!$I$55,M385=phu!$I$56,M385=phu!$I$57,M385=phu!$I$58,M385=phu!$I$59,M385=phu!$I$60,M385=phu!$I$61,M385=phu!$I$62),"Cam Lợi",""),IF(OR(M385=phu!$I$63,M385=phu!$I$64,M385=phu!$I$65,M385=phu!$I$66,M385=phu!$I$67,M385=phu!$I$68,M385=phu!$I$69,M385=phu!$I$70,M385=phu!$I$71),"Ba Ngòi",""),IF(OR(M385=phu!$I$72,M385=phu!$I$73,M385=phu!$I$74,M385=phu!$I$75,M385=phu!$I$76,M385=phu!$I$77,M385=phu!$I$78),"Cam Phước Đông",""),IF(OR(M385=phu!$I$79,M385=phu!$I$80,M385=phu!$I$81,M385=phu!$I$82,M385=phu!$I$83,M385=phu!$I$84),"Cam Thịnh Đông",""),IF(OR(M385=phu!$I$85,M385=phu!$I$86,M385=phu!$I$87,M385=phu!$I$88),"Cam Thịnh Tây",""),IF(OR(M385=phu!$I$89,M385=phu!$I$90),"Cam Lập",""),IF(OR(M385=phu!$I$91,M385=phu!$I$92,M385=phu!$I$93),"Cam Bình",""),IF(OR(M385=phu!$I$94,M385=phu!$I$95,M385=phu!$I$96,M385=phu!$I$97,M385=phu!$I$98,M385=phu!$I$99,M385=phu!$I$100),"Huyện khác",""),IF(OR(M385=phu!$I$101,M385=phu!$I$102),"Tỉnh khác",""))</f>
        <v/>
      </c>
      <c r="O385" s="829" t="str">
        <f t="shared" si="30"/>
        <v/>
      </c>
      <c r="P385" s="254"/>
      <c r="Q385" s="254"/>
      <c r="R385" s="254"/>
      <c r="S385" s="254"/>
      <c r="T385" s="254"/>
      <c r="U385" s="254"/>
      <c r="V385" s="254"/>
      <c r="W385" s="254"/>
      <c r="Y385" s="246" t="str">
        <f t="shared" si="31"/>
        <v/>
      </c>
      <c r="Z385" s="247" t="str">
        <f t="shared" si="35"/>
        <v/>
      </c>
      <c r="AA385" s="246" t="str">
        <f t="shared" si="32"/>
        <v/>
      </c>
    </row>
    <row r="386" spans="1:27" ht="18" customHeight="1" x14ac:dyDescent="0.25">
      <c r="A386" s="248" t="str">
        <f t="shared" si="33"/>
        <v/>
      </c>
      <c r="B386" s="249" t="str">
        <f t="shared" si="34"/>
        <v/>
      </c>
      <c r="C386" s="250"/>
      <c r="D386" s="251"/>
      <c r="E386" s="241"/>
      <c r="F386" s="252"/>
      <c r="G386" s="252"/>
      <c r="H386" s="253"/>
      <c r="I386" s="250"/>
      <c r="J386" s="250"/>
      <c r="K386" s="270"/>
      <c r="L386" s="250"/>
      <c r="M386" s="250"/>
      <c r="N386" s="540" t="str">
        <f>CONCATENATE(IF(OR(M386=phu!$I$1,M386=phu!$I$2,M386=phu!$I$3),"Cam Thành Nam",""),IF(OR(M386=phu!$I$4,M386=phu!$I$5,M386=phu!$I$6,M386=phu!$I$7,M386=phu!$I$8,M386=phu!$I$9,M386=phu!$I$10,M386=phu!$I$11,M386=phu!$I$12,M386=phu!$I$13,M386=phu!$I$14),"Cam Nghĩa",""),IF(OR(M386=phu!$I$15,M386=phu!$I$16,M386=phu!$I$17,M386=phu!$I$18,M386=phu!$I$19,M386=phu!$I$20,M386=phu!$I$21),"Cam Phúc Bắc",""),IF(OR(M386=phu!$I$22,M386=phu!$I$23,M386=phu!$I$24,M386=phu!$I$25),"Cam Phúc Nam",""),IF(OR(M386=phu!$I$26,M386=phu!$I$27,M386=phu!$I$28,M386=phu!$I$29,M386=phu!$I$30,M386=phu!$I$31),"Cam Phú",""),IF(OR(M386=phu!$I$32,M386=phu!$I$33,M386=phu!$I$34,M386=phu!$I$35,M386=phu!$I$36,M386=phu!$I$37),"Cam Lộc",""),IF(OR(M386=phu!$I$38,M386=phu!$I$39,M386=phu!$I$40,M386=phu!$I$41,M386=phu!$I$42,M386=phu!$I$43,M386=phu!$I$44),"Cam Thuận",""),IF(OR(M386=phu!$I$45,M386=phu!$I$46,M386=phu!$I$47,M386=phu!$I$48,M386=phu!$I$49,M386=phu!$I$50,M386=phu!$I$51,M386=phu!$I$52,M386=phu!$I$53),"Cam Linh",""),IF(OR(M386=phu!$I$54,M386=phu!$I$55,M386=phu!$I$56,M386=phu!$I$57,M386=phu!$I$58,M386=phu!$I$59,M386=phu!$I$60,M386=phu!$I$61,M386=phu!$I$62),"Cam Lợi",""),IF(OR(M386=phu!$I$63,M386=phu!$I$64,M386=phu!$I$65,M386=phu!$I$66,M386=phu!$I$67,M386=phu!$I$68,M386=phu!$I$69,M386=phu!$I$70,M386=phu!$I$71),"Ba Ngòi",""),IF(OR(M386=phu!$I$72,M386=phu!$I$73,M386=phu!$I$74,M386=phu!$I$75,M386=phu!$I$76,M386=phu!$I$77,M386=phu!$I$78),"Cam Phước Đông",""),IF(OR(M386=phu!$I$79,M386=phu!$I$80,M386=phu!$I$81,M386=phu!$I$82,M386=phu!$I$83,M386=phu!$I$84),"Cam Thịnh Đông",""),IF(OR(M386=phu!$I$85,M386=phu!$I$86,M386=phu!$I$87,M386=phu!$I$88),"Cam Thịnh Tây",""),IF(OR(M386=phu!$I$89,M386=phu!$I$90),"Cam Lập",""),IF(OR(M386=phu!$I$91,M386=phu!$I$92,M386=phu!$I$93),"Cam Bình",""),IF(OR(M386=phu!$I$94,M386=phu!$I$95,M386=phu!$I$96,M386=phu!$I$97,M386=phu!$I$98,M386=phu!$I$99,M386=phu!$I$100),"Huyện khác",""),IF(OR(M386=phu!$I$101,M386=phu!$I$102),"Tỉnh khác",""))</f>
        <v/>
      </c>
      <c r="O386" s="829" t="str">
        <f t="shared" si="30"/>
        <v/>
      </c>
      <c r="P386" s="254"/>
      <c r="Q386" s="254"/>
      <c r="R386" s="254"/>
      <c r="S386" s="254"/>
      <c r="T386" s="254"/>
      <c r="U386" s="254"/>
      <c r="V386" s="254"/>
      <c r="W386" s="254"/>
      <c r="Y386" s="246" t="str">
        <f t="shared" si="31"/>
        <v/>
      </c>
      <c r="Z386" s="247" t="str">
        <f t="shared" si="35"/>
        <v/>
      </c>
      <c r="AA386" s="246" t="str">
        <f t="shared" si="32"/>
        <v/>
      </c>
    </row>
    <row r="387" spans="1:27" ht="18" customHeight="1" x14ac:dyDescent="0.25">
      <c r="A387" s="248" t="str">
        <f t="shared" si="33"/>
        <v/>
      </c>
      <c r="B387" s="249" t="str">
        <f t="shared" si="34"/>
        <v/>
      </c>
      <c r="C387" s="250"/>
      <c r="D387" s="251"/>
      <c r="E387" s="241"/>
      <c r="F387" s="252"/>
      <c r="G387" s="252"/>
      <c r="H387" s="253"/>
      <c r="I387" s="250"/>
      <c r="J387" s="250"/>
      <c r="K387" s="270"/>
      <c r="L387" s="250"/>
      <c r="M387" s="250"/>
      <c r="N387" s="540" t="str">
        <f>CONCATENATE(IF(OR(M387=phu!$I$1,M387=phu!$I$2,M387=phu!$I$3),"Cam Thành Nam",""),IF(OR(M387=phu!$I$4,M387=phu!$I$5,M387=phu!$I$6,M387=phu!$I$7,M387=phu!$I$8,M387=phu!$I$9,M387=phu!$I$10,M387=phu!$I$11,M387=phu!$I$12,M387=phu!$I$13,M387=phu!$I$14),"Cam Nghĩa",""),IF(OR(M387=phu!$I$15,M387=phu!$I$16,M387=phu!$I$17,M387=phu!$I$18,M387=phu!$I$19,M387=phu!$I$20,M387=phu!$I$21),"Cam Phúc Bắc",""),IF(OR(M387=phu!$I$22,M387=phu!$I$23,M387=phu!$I$24,M387=phu!$I$25),"Cam Phúc Nam",""),IF(OR(M387=phu!$I$26,M387=phu!$I$27,M387=phu!$I$28,M387=phu!$I$29,M387=phu!$I$30,M387=phu!$I$31),"Cam Phú",""),IF(OR(M387=phu!$I$32,M387=phu!$I$33,M387=phu!$I$34,M387=phu!$I$35,M387=phu!$I$36,M387=phu!$I$37),"Cam Lộc",""),IF(OR(M387=phu!$I$38,M387=phu!$I$39,M387=phu!$I$40,M387=phu!$I$41,M387=phu!$I$42,M387=phu!$I$43,M387=phu!$I$44),"Cam Thuận",""),IF(OR(M387=phu!$I$45,M387=phu!$I$46,M387=phu!$I$47,M387=phu!$I$48,M387=phu!$I$49,M387=phu!$I$50,M387=phu!$I$51,M387=phu!$I$52,M387=phu!$I$53),"Cam Linh",""),IF(OR(M387=phu!$I$54,M387=phu!$I$55,M387=phu!$I$56,M387=phu!$I$57,M387=phu!$I$58,M387=phu!$I$59,M387=phu!$I$60,M387=phu!$I$61,M387=phu!$I$62),"Cam Lợi",""),IF(OR(M387=phu!$I$63,M387=phu!$I$64,M387=phu!$I$65,M387=phu!$I$66,M387=phu!$I$67,M387=phu!$I$68,M387=phu!$I$69,M387=phu!$I$70,M387=phu!$I$71),"Ba Ngòi",""),IF(OR(M387=phu!$I$72,M387=phu!$I$73,M387=phu!$I$74,M387=phu!$I$75,M387=phu!$I$76,M387=phu!$I$77,M387=phu!$I$78),"Cam Phước Đông",""),IF(OR(M387=phu!$I$79,M387=phu!$I$80,M387=phu!$I$81,M387=phu!$I$82,M387=phu!$I$83,M387=phu!$I$84),"Cam Thịnh Đông",""),IF(OR(M387=phu!$I$85,M387=phu!$I$86,M387=phu!$I$87,M387=phu!$I$88),"Cam Thịnh Tây",""),IF(OR(M387=phu!$I$89,M387=phu!$I$90),"Cam Lập",""),IF(OR(M387=phu!$I$91,M387=phu!$I$92,M387=phu!$I$93),"Cam Bình",""),IF(OR(M387=phu!$I$94,M387=phu!$I$95,M387=phu!$I$96,M387=phu!$I$97,M387=phu!$I$98,M387=phu!$I$99,M387=phu!$I$100),"Huyện khác",""),IF(OR(M387=phu!$I$101,M387=phu!$I$102),"Tỉnh khác",""))</f>
        <v/>
      </c>
      <c r="O387" s="829" t="str">
        <f t="shared" si="30"/>
        <v/>
      </c>
      <c r="P387" s="254"/>
      <c r="Q387" s="254"/>
      <c r="R387" s="254"/>
      <c r="S387" s="254"/>
      <c r="T387" s="254"/>
      <c r="U387" s="254"/>
      <c r="V387" s="254"/>
      <c r="W387" s="254"/>
      <c r="Y387" s="246" t="str">
        <f t="shared" si="31"/>
        <v/>
      </c>
      <c r="Z387" s="247" t="str">
        <f t="shared" si="35"/>
        <v/>
      </c>
      <c r="AA387" s="246" t="str">
        <f t="shared" si="32"/>
        <v/>
      </c>
    </row>
    <row r="388" spans="1:27" ht="18" customHeight="1" x14ac:dyDescent="0.25">
      <c r="A388" s="248" t="str">
        <f t="shared" si="33"/>
        <v/>
      </c>
      <c r="B388" s="249" t="str">
        <f t="shared" si="34"/>
        <v/>
      </c>
      <c r="C388" s="250"/>
      <c r="D388" s="251"/>
      <c r="E388" s="241"/>
      <c r="F388" s="252"/>
      <c r="G388" s="252"/>
      <c r="H388" s="253"/>
      <c r="I388" s="250"/>
      <c r="J388" s="250"/>
      <c r="K388" s="270"/>
      <c r="L388" s="250"/>
      <c r="M388" s="250"/>
      <c r="N388" s="540" t="str">
        <f>CONCATENATE(IF(OR(M388=phu!$I$1,M388=phu!$I$2,M388=phu!$I$3),"Cam Thành Nam",""),IF(OR(M388=phu!$I$4,M388=phu!$I$5,M388=phu!$I$6,M388=phu!$I$7,M388=phu!$I$8,M388=phu!$I$9,M388=phu!$I$10,M388=phu!$I$11,M388=phu!$I$12,M388=phu!$I$13,M388=phu!$I$14),"Cam Nghĩa",""),IF(OR(M388=phu!$I$15,M388=phu!$I$16,M388=phu!$I$17,M388=phu!$I$18,M388=phu!$I$19,M388=phu!$I$20,M388=phu!$I$21),"Cam Phúc Bắc",""),IF(OR(M388=phu!$I$22,M388=phu!$I$23,M388=phu!$I$24,M388=phu!$I$25),"Cam Phúc Nam",""),IF(OR(M388=phu!$I$26,M388=phu!$I$27,M388=phu!$I$28,M388=phu!$I$29,M388=phu!$I$30,M388=phu!$I$31),"Cam Phú",""),IF(OR(M388=phu!$I$32,M388=phu!$I$33,M388=phu!$I$34,M388=phu!$I$35,M388=phu!$I$36,M388=phu!$I$37),"Cam Lộc",""),IF(OR(M388=phu!$I$38,M388=phu!$I$39,M388=phu!$I$40,M388=phu!$I$41,M388=phu!$I$42,M388=phu!$I$43,M388=phu!$I$44),"Cam Thuận",""),IF(OR(M388=phu!$I$45,M388=phu!$I$46,M388=phu!$I$47,M388=phu!$I$48,M388=phu!$I$49,M388=phu!$I$50,M388=phu!$I$51,M388=phu!$I$52,M388=phu!$I$53),"Cam Linh",""),IF(OR(M388=phu!$I$54,M388=phu!$I$55,M388=phu!$I$56,M388=phu!$I$57,M388=phu!$I$58,M388=phu!$I$59,M388=phu!$I$60,M388=phu!$I$61,M388=phu!$I$62),"Cam Lợi",""),IF(OR(M388=phu!$I$63,M388=phu!$I$64,M388=phu!$I$65,M388=phu!$I$66,M388=phu!$I$67,M388=phu!$I$68,M388=phu!$I$69,M388=phu!$I$70,M388=phu!$I$71),"Ba Ngòi",""),IF(OR(M388=phu!$I$72,M388=phu!$I$73,M388=phu!$I$74,M388=phu!$I$75,M388=phu!$I$76,M388=phu!$I$77,M388=phu!$I$78),"Cam Phước Đông",""),IF(OR(M388=phu!$I$79,M388=phu!$I$80,M388=phu!$I$81,M388=phu!$I$82,M388=phu!$I$83,M388=phu!$I$84),"Cam Thịnh Đông",""),IF(OR(M388=phu!$I$85,M388=phu!$I$86,M388=phu!$I$87,M388=phu!$I$88),"Cam Thịnh Tây",""),IF(OR(M388=phu!$I$89,M388=phu!$I$90),"Cam Lập",""),IF(OR(M388=phu!$I$91,M388=phu!$I$92,M388=phu!$I$93),"Cam Bình",""),IF(OR(M388=phu!$I$94,M388=phu!$I$95,M388=phu!$I$96,M388=phu!$I$97,M388=phu!$I$98,M388=phu!$I$99,M388=phu!$I$100),"Huyện khác",""),IF(OR(M388=phu!$I$101,M388=phu!$I$102),"Tỉnh khác",""))</f>
        <v/>
      </c>
      <c r="O388" s="829" t="str">
        <f t="shared" si="30"/>
        <v/>
      </c>
      <c r="P388" s="254"/>
      <c r="Q388" s="254"/>
      <c r="R388" s="254"/>
      <c r="S388" s="254"/>
      <c r="T388" s="254"/>
      <c r="U388" s="254"/>
      <c r="V388" s="254"/>
      <c r="W388" s="254"/>
      <c r="Y388" s="246" t="str">
        <f t="shared" si="31"/>
        <v/>
      </c>
      <c r="Z388" s="247" t="str">
        <f t="shared" si="35"/>
        <v/>
      </c>
      <c r="AA388" s="246" t="str">
        <f t="shared" si="32"/>
        <v/>
      </c>
    </row>
    <row r="389" spans="1:27" ht="18" customHeight="1" x14ac:dyDescent="0.25">
      <c r="A389" s="248" t="str">
        <f t="shared" si="33"/>
        <v/>
      </c>
      <c r="B389" s="249" t="str">
        <f t="shared" si="34"/>
        <v/>
      </c>
      <c r="C389" s="250"/>
      <c r="D389" s="251"/>
      <c r="E389" s="241"/>
      <c r="F389" s="252"/>
      <c r="G389" s="252"/>
      <c r="H389" s="253"/>
      <c r="I389" s="250"/>
      <c r="J389" s="250"/>
      <c r="K389" s="270"/>
      <c r="L389" s="250"/>
      <c r="M389" s="250"/>
      <c r="N389" s="540" t="str">
        <f>CONCATENATE(IF(OR(M389=phu!$I$1,M389=phu!$I$2,M389=phu!$I$3),"Cam Thành Nam",""),IF(OR(M389=phu!$I$4,M389=phu!$I$5,M389=phu!$I$6,M389=phu!$I$7,M389=phu!$I$8,M389=phu!$I$9,M389=phu!$I$10,M389=phu!$I$11,M389=phu!$I$12,M389=phu!$I$13,M389=phu!$I$14),"Cam Nghĩa",""),IF(OR(M389=phu!$I$15,M389=phu!$I$16,M389=phu!$I$17,M389=phu!$I$18,M389=phu!$I$19,M389=phu!$I$20,M389=phu!$I$21),"Cam Phúc Bắc",""),IF(OR(M389=phu!$I$22,M389=phu!$I$23,M389=phu!$I$24,M389=phu!$I$25),"Cam Phúc Nam",""),IF(OR(M389=phu!$I$26,M389=phu!$I$27,M389=phu!$I$28,M389=phu!$I$29,M389=phu!$I$30,M389=phu!$I$31),"Cam Phú",""),IF(OR(M389=phu!$I$32,M389=phu!$I$33,M389=phu!$I$34,M389=phu!$I$35,M389=phu!$I$36,M389=phu!$I$37),"Cam Lộc",""),IF(OR(M389=phu!$I$38,M389=phu!$I$39,M389=phu!$I$40,M389=phu!$I$41,M389=phu!$I$42,M389=phu!$I$43,M389=phu!$I$44),"Cam Thuận",""),IF(OR(M389=phu!$I$45,M389=phu!$I$46,M389=phu!$I$47,M389=phu!$I$48,M389=phu!$I$49,M389=phu!$I$50,M389=phu!$I$51,M389=phu!$I$52,M389=phu!$I$53),"Cam Linh",""),IF(OR(M389=phu!$I$54,M389=phu!$I$55,M389=phu!$I$56,M389=phu!$I$57,M389=phu!$I$58,M389=phu!$I$59,M389=phu!$I$60,M389=phu!$I$61,M389=phu!$I$62),"Cam Lợi",""),IF(OR(M389=phu!$I$63,M389=phu!$I$64,M389=phu!$I$65,M389=phu!$I$66,M389=phu!$I$67,M389=phu!$I$68,M389=phu!$I$69,M389=phu!$I$70,M389=phu!$I$71),"Ba Ngòi",""),IF(OR(M389=phu!$I$72,M389=phu!$I$73,M389=phu!$I$74,M389=phu!$I$75,M389=phu!$I$76,M389=phu!$I$77,M389=phu!$I$78),"Cam Phước Đông",""),IF(OR(M389=phu!$I$79,M389=phu!$I$80,M389=phu!$I$81,M389=phu!$I$82,M389=phu!$I$83,M389=phu!$I$84),"Cam Thịnh Đông",""),IF(OR(M389=phu!$I$85,M389=phu!$I$86,M389=phu!$I$87,M389=phu!$I$88),"Cam Thịnh Tây",""),IF(OR(M389=phu!$I$89,M389=phu!$I$90),"Cam Lập",""),IF(OR(M389=phu!$I$91,M389=phu!$I$92,M389=phu!$I$93),"Cam Bình",""),IF(OR(M389=phu!$I$94,M389=phu!$I$95,M389=phu!$I$96,M389=phu!$I$97,M389=phu!$I$98,M389=phu!$I$99,M389=phu!$I$100),"Huyện khác",""),IF(OR(M389=phu!$I$101,M389=phu!$I$102),"Tỉnh khác",""))</f>
        <v/>
      </c>
      <c r="O389" s="829" t="str">
        <f t="shared" si="30"/>
        <v/>
      </c>
      <c r="P389" s="254"/>
      <c r="Q389" s="254"/>
      <c r="R389" s="254"/>
      <c r="S389" s="254"/>
      <c r="T389" s="254"/>
      <c r="U389" s="254"/>
      <c r="V389" s="254"/>
      <c r="W389" s="254"/>
      <c r="Y389" s="246" t="str">
        <f t="shared" si="31"/>
        <v/>
      </c>
      <c r="Z389" s="247" t="str">
        <f t="shared" si="35"/>
        <v/>
      </c>
      <c r="AA389" s="246" t="str">
        <f t="shared" si="32"/>
        <v/>
      </c>
    </row>
    <row r="390" spans="1:27" ht="18" customHeight="1" x14ac:dyDescent="0.25">
      <c r="A390" s="248" t="str">
        <f t="shared" si="33"/>
        <v/>
      </c>
      <c r="B390" s="249" t="str">
        <f t="shared" si="34"/>
        <v/>
      </c>
      <c r="C390" s="250"/>
      <c r="D390" s="251"/>
      <c r="E390" s="241"/>
      <c r="F390" s="252"/>
      <c r="G390" s="252"/>
      <c r="H390" s="253"/>
      <c r="I390" s="250"/>
      <c r="J390" s="250"/>
      <c r="K390" s="270"/>
      <c r="L390" s="250"/>
      <c r="M390" s="250"/>
      <c r="N390" s="540" t="str">
        <f>CONCATENATE(IF(OR(M390=phu!$I$1,M390=phu!$I$2,M390=phu!$I$3),"Cam Thành Nam",""),IF(OR(M390=phu!$I$4,M390=phu!$I$5,M390=phu!$I$6,M390=phu!$I$7,M390=phu!$I$8,M390=phu!$I$9,M390=phu!$I$10,M390=phu!$I$11,M390=phu!$I$12,M390=phu!$I$13,M390=phu!$I$14),"Cam Nghĩa",""),IF(OR(M390=phu!$I$15,M390=phu!$I$16,M390=phu!$I$17,M390=phu!$I$18,M390=phu!$I$19,M390=phu!$I$20,M390=phu!$I$21),"Cam Phúc Bắc",""),IF(OR(M390=phu!$I$22,M390=phu!$I$23,M390=phu!$I$24,M390=phu!$I$25),"Cam Phúc Nam",""),IF(OR(M390=phu!$I$26,M390=phu!$I$27,M390=phu!$I$28,M390=phu!$I$29,M390=phu!$I$30,M390=phu!$I$31),"Cam Phú",""),IF(OR(M390=phu!$I$32,M390=phu!$I$33,M390=phu!$I$34,M390=phu!$I$35,M390=phu!$I$36,M390=phu!$I$37),"Cam Lộc",""),IF(OR(M390=phu!$I$38,M390=phu!$I$39,M390=phu!$I$40,M390=phu!$I$41,M390=phu!$I$42,M390=phu!$I$43,M390=phu!$I$44),"Cam Thuận",""),IF(OR(M390=phu!$I$45,M390=phu!$I$46,M390=phu!$I$47,M390=phu!$I$48,M390=phu!$I$49,M390=phu!$I$50,M390=phu!$I$51,M390=phu!$I$52,M390=phu!$I$53),"Cam Linh",""),IF(OR(M390=phu!$I$54,M390=phu!$I$55,M390=phu!$I$56,M390=phu!$I$57,M390=phu!$I$58,M390=phu!$I$59,M390=phu!$I$60,M390=phu!$I$61,M390=phu!$I$62),"Cam Lợi",""),IF(OR(M390=phu!$I$63,M390=phu!$I$64,M390=phu!$I$65,M390=phu!$I$66,M390=phu!$I$67,M390=phu!$I$68,M390=phu!$I$69,M390=phu!$I$70,M390=phu!$I$71),"Ba Ngòi",""),IF(OR(M390=phu!$I$72,M390=phu!$I$73,M390=phu!$I$74,M390=phu!$I$75,M390=phu!$I$76,M390=phu!$I$77,M390=phu!$I$78),"Cam Phước Đông",""),IF(OR(M390=phu!$I$79,M390=phu!$I$80,M390=phu!$I$81,M390=phu!$I$82,M390=phu!$I$83,M390=phu!$I$84),"Cam Thịnh Đông",""),IF(OR(M390=phu!$I$85,M390=phu!$I$86,M390=phu!$I$87,M390=phu!$I$88),"Cam Thịnh Tây",""),IF(OR(M390=phu!$I$89,M390=phu!$I$90),"Cam Lập",""),IF(OR(M390=phu!$I$91,M390=phu!$I$92,M390=phu!$I$93),"Cam Bình",""),IF(OR(M390=phu!$I$94,M390=phu!$I$95,M390=phu!$I$96,M390=phu!$I$97,M390=phu!$I$98,M390=phu!$I$99,M390=phu!$I$100),"Huyện khác",""),IF(OR(M390=phu!$I$101,M390=phu!$I$102),"Tỉnh khác",""))</f>
        <v/>
      </c>
      <c r="O390" s="829" t="str">
        <f t="shared" si="30"/>
        <v/>
      </c>
      <c r="P390" s="254"/>
      <c r="Q390" s="254"/>
      <c r="R390" s="254"/>
      <c r="S390" s="254"/>
      <c r="T390" s="254"/>
      <c r="U390" s="254"/>
      <c r="V390" s="254"/>
      <c r="W390" s="254"/>
      <c r="Y390" s="246" t="str">
        <f t="shared" si="31"/>
        <v/>
      </c>
      <c r="Z390" s="247" t="str">
        <f t="shared" si="35"/>
        <v/>
      </c>
      <c r="AA390" s="246" t="str">
        <f t="shared" si="32"/>
        <v/>
      </c>
    </row>
    <row r="391" spans="1:27" ht="18" customHeight="1" x14ac:dyDescent="0.25">
      <c r="A391" s="248" t="str">
        <f t="shared" si="33"/>
        <v/>
      </c>
      <c r="B391" s="249" t="str">
        <f t="shared" si="34"/>
        <v/>
      </c>
      <c r="C391" s="250"/>
      <c r="D391" s="251"/>
      <c r="E391" s="241"/>
      <c r="F391" s="252"/>
      <c r="G391" s="252"/>
      <c r="H391" s="253"/>
      <c r="I391" s="250"/>
      <c r="J391" s="250"/>
      <c r="K391" s="270"/>
      <c r="L391" s="250"/>
      <c r="M391" s="250"/>
      <c r="N391" s="540" t="str">
        <f>CONCATENATE(IF(OR(M391=phu!$I$1,M391=phu!$I$2,M391=phu!$I$3),"Cam Thành Nam",""),IF(OR(M391=phu!$I$4,M391=phu!$I$5,M391=phu!$I$6,M391=phu!$I$7,M391=phu!$I$8,M391=phu!$I$9,M391=phu!$I$10,M391=phu!$I$11,M391=phu!$I$12,M391=phu!$I$13,M391=phu!$I$14),"Cam Nghĩa",""),IF(OR(M391=phu!$I$15,M391=phu!$I$16,M391=phu!$I$17,M391=phu!$I$18,M391=phu!$I$19,M391=phu!$I$20,M391=phu!$I$21),"Cam Phúc Bắc",""),IF(OR(M391=phu!$I$22,M391=phu!$I$23,M391=phu!$I$24,M391=phu!$I$25),"Cam Phúc Nam",""),IF(OR(M391=phu!$I$26,M391=phu!$I$27,M391=phu!$I$28,M391=phu!$I$29,M391=phu!$I$30,M391=phu!$I$31),"Cam Phú",""),IF(OR(M391=phu!$I$32,M391=phu!$I$33,M391=phu!$I$34,M391=phu!$I$35,M391=phu!$I$36,M391=phu!$I$37),"Cam Lộc",""),IF(OR(M391=phu!$I$38,M391=phu!$I$39,M391=phu!$I$40,M391=phu!$I$41,M391=phu!$I$42,M391=phu!$I$43,M391=phu!$I$44),"Cam Thuận",""),IF(OR(M391=phu!$I$45,M391=phu!$I$46,M391=phu!$I$47,M391=phu!$I$48,M391=phu!$I$49,M391=phu!$I$50,M391=phu!$I$51,M391=phu!$I$52,M391=phu!$I$53),"Cam Linh",""),IF(OR(M391=phu!$I$54,M391=phu!$I$55,M391=phu!$I$56,M391=phu!$I$57,M391=phu!$I$58,M391=phu!$I$59,M391=phu!$I$60,M391=phu!$I$61,M391=phu!$I$62),"Cam Lợi",""),IF(OR(M391=phu!$I$63,M391=phu!$I$64,M391=phu!$I$65,M391=phu!$I$66,M391=phu!$I$67,M391=phu!$I$68,M391=phu!$I$69,M391=phu!$I$70,M391=phu!$I$71),"Ba Ngòi",""),IF(OR(M391=phu!$I$72,M391=phu!$I$73,M391=phu!$I$74,M391=phu!$I$75,M391=phu!$I$76,M391=phu!$I$77,M391=phu!$I$78),"Cam Phước Đông",""),IF(OR(M391=phu!$I$79,M391=phu!$I$80,M391=phu!$I$81,M391=phu!$I$82,M391=phu!$I$83,M391=phu!$I$84),"Cam Thịnh Đông",""),IF(OR(M391=phu!$I$85,M391=phu!$I$86,M391=phu!$I$87,M391=phu!$I$88),"Cam Thịnh Tây",""),IF(OR(M391=phu!$I$89,M391=phu!$I$90),"Cam Lập",""),IF(OR(M391=phu!$I$91,M391=phu!$I$92,M391=phu!$I$93),"Cam Bình",""),IF(OR(M391=phu!$I$94,M391=phu!$I$95,M391=phu!$I$96,M391=phu!$I$97,M391=phu!$I$98,M391=phu!$I$99,M391=phu!$I$100),"Huyện khác",""),IF(OR(M391=phu!$I$101,M391=phu!$I$102),"Tỉnh khác",""))</f>
        <v/>
      </c>
      <c r="O391" s="829" t="str">
        <f t="shared" ref="O391:O454" si="36">CONCATENATE(IF(OR(N391="Cam Thành Nam",N391="Cam Nghĩa",N391="Cam Phúc Bắc"),"Bắc Cam Ranh",""),IF(OR(N391="Cam Phúc Nam",N391="Cam Phú",N391="Cam Lộc"),"Cam Ranh",""),IF(OR(N391="Cam Thuận",N391="Cam Linh",N391="Cam Lợi"),"Cam Linh",""),IF(OR(N391="Ba Ngòi",N391="Cam Phước Đông"),"Ba Ngòi",""),IF(OR(N391="Cam Thịnh Đông",N391="Cam Thịnh Tây",N391="Cam Lập",N391="Cam Bình"),"Nam Cam Ranh",""),IF(N391="Huyện khác","Huyện khác",""),IF(N391="Tỉnh khác","Tỉnh khác",""))</f>
        <v/>
      </c>
      <c r="P391" s="254"/>
      <c r="Q391" s="254"/>
      <c r="R391" s="254"/>
      <c r="S391" s="254"/>
      <c r="T391" s="254"/>
      <c r="U391" s="254"/>
      <c r="V391" s="254"/>
      <c r="W391" s="254"/>
      <c r="Y391" s="246" t="str">
        <f t="shared" ref="Y391:Y454" si="37">IF(OR(AND(B391="",C391="",D391="",E391="",F391="",G391="",H391="",I391="",J391="",L391="",M391="",N391="",P391="",Q391="",R391="",S391=""),AND(B391&lt;&gt;"",C391&lt;&gt;"",D391&lt;&gt;"",E391&lt;&gt;"",F391&lt;&gt;"",G391&lt;&gt;"",H391&lt;&gt;"",J391&lt;&gt;"",M391&lt;&gt;"",N391&lt;&gt;"",P391&lt;&gt;"",OR(AND(Q391&lt;&gt;"",R391=""),AND(Q391="",R391&lt;&gt;""),AND(Q391&lt;&gt;"",R391&lt;&gt;"")),OR(AND(K391="X",T391&lt;&gt;""),AND(K391="",T391="")))),"","er")</f>
        <v/>
      </c>
      <c r="Z391" s="247" t="str">
        <f t="shared" si="35"/>
        <v/>
      </c>
      <c r="AA391" s="246" t="str">
        <f t="shared" ref="AA391:AA454" si="38">IF(OR(AND(Z391&lt;=10,B391&gt;5),AND(Z391&lt;=11,B391&gt;6),AND(Z391&lt;=12,B391&gt;7),AND(Z391&lt;=13,B391&gt;8),AND(Z391&lt;=14,B391&gt;9),AND(Z391=11,B391=6,L391="X"),AND(Z391=12,B391=7,L391="X"),AND(Z391=13,B391=8,L391="X"),AND(Z391=14,B391=9,L391="X")),"er","")</f>
        <v/>
      </c>
    </row>
    <row r="392" spans="1:27" ht="18" customHeight="1" x14ac:dyDescent="0.25">
      <c r="A392" s="248" t="str">
        <f t="shared" ref="A392:A455" si="39">IF(OR(A391="",B392="",C392="",D392="",E392=""),"",A391+1)</f>
        <v/>
      </c>
      <c r="B392" s="249" t="str">
        <f t="shared" ref="B392:B455" si="40">IF(C392="","",VALUE(LEFT(C392,1)))</f>
        <v/>
      </c>
      <c r="C392" s="250"/>
      <c r="D392" s="251"/>
      <c r="E392" s="241"/>
      <c r="F392" s="252"/>
      <c r="G392" s="252"/>
      <c r="H392" s="253"/>
      <c r="I392" s="250"/>
      <c r="J392" s="250"/>
      <c r="K392" s="270"/>
      <c r="L392" s="250"/>
      <c r="M392" s="250"/>
      <c r="N392" s="540" t="str">
        <f>CONCATENATE(IF(OR(M392=phu!$I$1,M392=phu!$I$2,M392=phu!$I$3),"Cam Thành Nam",""),IF(OR(M392=phu!$I$4,M392=phu!$I$5,M392=phu!$I$6,M392=phu!$I$7,M392=phu!$I$8,M392=phu!$I$9,M392=phu!$I$10,M392=phu!$I$11,M392=phu!$I$12,M392=phu!$I$13,M392=phu!$I$14),"Cam Nghĩa",""),IF(OR(M392=phu!$I$15,M392=phu!$I$16,M392=phu!$I$17,M392=phu!$I$18,M392=phu!$I$19,M392=phu!$I$20,M392=phu!$I$21),"Cam Phúc Bắc",""),IF(OR(M392=phu!$I$22,M392=phu!$I$23,M392=phu!$I$24,M392=phu!$I$25),"Cam Phúc Nam",""),IF(OR(M392=phu!$I$26,M392=phu!$I$27,M392=phu!$I$28,M392=phu!$I$29,M392=phu!$I$30,M392=phu!$I$31),"Cam Phú",""),IF(OR(M392=phu!$I$32,M392=phu!$I$33,M392=phu!$I$34,M392=phu!$I$35,M392=phu!$I$36,M392=phu!$I$37),"Cam Lộc",""),IF(OR(M392=phu!$I$38,M392=phu!$I$39,M392=phu!$I$40,M392=phu!$I$41,M392=phu!$I$42,M392=phu!$I$43,M392=phu!$I$44),"Cam Thuận",""),IF(OR(M392=phu!$I$45,M392=phu!$I$46,M392=phu!$I$47,M392=phu!$I$48,M392=phu!$I$49,M392=phu!$I$50,M392=phu!$I$51,M392=phu!$I$52,M392=phu!$I$53),"Cam Linh",""),IF(OR(M392=phu!$I$54,M392=phu!$I$55,M392=phu!$I$56,M392=phu!$I$57,M392=phu!$I$58,M392=phu!$I$59,M392=phu!$I$60,M392=phu!$I$61,M392=phu!$I$62),"Cam Lợi",""),IF(OR(M392=phu!$I$63,M392=phu!$I$64,M392=phu!$I$65,M392=phu!$I$66,M392=phu!$I$67,M392=phu!$I$68,M392=phu!$I$69,M392=phu!$I$70,M392=phu!$I$71),"Ba Ngòi",""),IF(OR(M392=phu!$I$72,M392=phu!$I$73,M392=phu!$I$74,M392=phu!$I$75,M392=phu!$I$76,M392=phu!$I$77,M392=phu!$I$78),"Cam Phước Đông",""),IF(OR(M392=phu!$I$79,M392=phu!$I$80,M392=phu!$I$81,M392=phu!$I$82,M392=phu!$I$83,M392=phu!$I$84),"Cam Thịnh Đông",""),IF(OR(M392=phu!$I$85,M392=phu!$I$86,M392=phu!$I$87,M392=phu!$I$88),"Cam Thịnh Tây",""),IF(OR(M392=phu!$I$89,M392=phu!$I$90),"Cam Lập",""),IF(OR(M392=phu!$I$91,M392=phu!$I$92,M392=phu!$I$93),"Cam Bình",""),IF(OR(M392=phu!$I$94,M392=phu!$I$95,M392=phu!$I$96,M392=phu!$I$97,M392=phu!$I$98,M392=phu!$I$99,M392=phu!$I$100),"Huyện khác",""),IF(OR(M392=phu!$I$101,M392=phu!$I$102),"Tỉnh khác",""))</f>
        <v/>
      </c>
      <c r="O392" s="829" t="str">
        <f t="shared" si="36"/>
        <v/>
      </c>
      <c r="P392" s="254"/>
      <c r="Q392" s="254"/>
      <c r="R392" s="254"/>
      <c r="S392" s="254"/>
      <c r="T392" s="254"/>
      <c r="U392" s="254"/>
      <c r="V392" s="254"/>
      <c r="W392" s="254"/>
      <c r="Y392" s="246" t="str">
        <f t="shared" si="37"/>
        <v/>
      </c>
      <c r="Z392" s="247" t="str">
        <f t="shared" ref="Z392:Z455" si="41">IF(H392="","",$Z$1-H392)</f>
        <v/>
      </c>
      <c r="AA392" s="246" t="str">
        <f t="shared" si="38"/>
        <v/>
      </c>
    </row>
    <row r="393" spans="1:27" ht="18" customHeight="1" x14ac:dyDescent="0.25">
      <c r="A393" s="248" t="str">
        <f t="shared" si="39"/>
        <v/>
      </c>
      <c r="B393" s="249" t="str">
        <f t="shared" si="40"/>
        <v/>
      </c>
      <c r="C393" s="250"/>
      <c r="D393" s="251"/>
      <c r="E393" s="241"/>
      <c r="F393" s="252"/>
      <c r="G393" s="252"/>
      <c r="H393" s="253"/>
      <c r="I393" s="250"/>
      <c r="J393" s="250"/>
      <c r="K393" s="270"/>
      <c r="L393" s="250"/>
      <c r="M393" s="250"/>
      <c r="N393" s="540" t="str">
        <f>CONCATENATE(IF(OR(M393=phu!$I$1,M393=phu!$I$2,M393=phu!$I$3),"Cam Thành Nam",""),IF(OR(M393=phu!$I$4,M393=phu!$I$5,M393=phu!$I$6,M393=phu!$I$7,M393=phu!$I$8,M393=phu!$I$9,M393=phu!$I$10,M393=phu!$I$11,M393=phu!$I$12,M393=phu!$I$13,M393=phu!$I$14),"Cam Nghĩa",""),IF(OR(M393=phu!$I$15,M393=phu!$I$16,M393=phu!$I$17,M393=phu!$I$18,M393=phu!$I$19,M393=phu!$I$20,M393=phu!$I$21),"Cam Phúc Bắc",""),IF(OR(M393=phu!$I$22,M393=phu!$I$23,M393=phu!$I$24,M393=phu!$I$25),"Cam Phúc Nam",""),IF(OR(M393=phu!$I$26,M393=phu!$I$27,M393=phu!$I$28,M393=phu!$I$29,M393=phu!$I$30,M393=phu!$I$31),"Cam Phú",""),IF(OR(M393=phu!$I$32,M393=phu!$I$33,M393=phu!$I$34,M393=phu!$I$35,M393=phu!$I$36,M393=phu!$I$37),"Cam Lộc",""),IF(OR(M393=phu!$I$38,M393=phu!$I$39,M393=phu!$I$40,M393=phu!$I$41,M393=phu!$I$42,M393=phu!$I$43,M393=phu!$I$44),"Cam Thuận",""),IF(OR(M393=phu!$I$45,M393=phu!$I$46,M393=phu!$I$47,M393=phu!$I$48,M393=phu!$I$49,M393=phu!$I$50,M393=phu!$I$51,M393=phu!$I$52,M393=phu!$I$53),"Cam Linh",""),IF(OR(M393=phu!$I$54,M393=phu!$I$55,M393=phu!$I$56,M393=phu!$I$57,M393=phu!$I$58,M393=phu!$I$59,M393=phu!$I$60,M393=phu!$I$61,M393=phu!$I$62),"Cam Lợi",""),IF(OR(M393=phu!$I$63,M393=phu!$I$64,M393=phu!$I$65,M393=phu!$I$66,M393=phu!$I$67,M393=phu!$I$68,M393=phu!$I$69,M393=phu!$I$70,M393=phu!$I$71),"Ba Ngòi",""),IF(OR(M393=phu!$I$72,M393=phu!$I$73,M393=phu!$I$74,M393=phu!$I$75,M393=phu!$I$76,M393=phu!$I$77,M393=phu!$I$78),"Cam Phước Đông",""),IF(OR(M393=phu!$I$79,M393=phu!$I$80,M393=phu!$I$81,M393=phu!$I$82,M393=phu!$I$83,M393=phu!$I$84),"Cam Thịnh Đông",""),IF(OR(M393=phu!$I$85,M393=phu!$I$86,M393=phu!$I$87,M393=phu!$I$88),"Cam Thịnh Tây",""),IF(OR(M393=phu!$I$89,M393=phu!$I$90),"Cam Lập",""),IF(OR(M393=phu!$I$91,M393=phu!$I$92,M393=phu!$I$93),"Cam Bình",""),IF(OR(M393=phu!$I$94,M393=phu!$I$95,M393=phu!$I$96,M393=phu!$I$97,M393=phu!$I$98,M393=phu!$I$99,M393=phu!$I$100),"Huyện khác",""),IF(OR(M393=phu!$I$101,M393=phu!$I$102),"Tỉnh khác",""))</f>
        <v/>
      </c>
      <c r="O393" s="829" t="str">
        <f t="shared" si="36"/>
        <v/>
      </c>
      <c r="P393" s="254"/>
      <c r="Q393" s="254"/>
      <c r="R393" s="254"/>
      <c r="S393" s="254"/>
      <c r="T393" s="254"/>
      <c r="U393" s="254"/>
      <c r="V393" s="254"/>
      <c r="W393" s="254"/>
      <c r="Y393" s="246" t="str">
        <f t="shared" si="37"/>
        <v/>
      </c>
      <c r="Z393" s="247" t="str">
        <f t="shared" si="41"/>
        <v/>
      </c>
      <c r="AA393" s="246" t="str">
        <f t="shared" si="38"/>
        <v/>
      </c>
    </row>
    <row r="394" spans="1:27" ht="18" customHeight="1" x14ac:dyDescent="0.25">
      <c r="A394" s="248" t="str">
        <f t="shared" si="39"/>
        <v/>
      </c>
      <c r="B394" s="249" t="str">
        <f t="shared" si="40"/>
        <v/>
      </c>
      <c r="C394" s="250"/>
      <c r="D394" s="251"/>
      <c r="E394" s="241"/>
      <c r="F394" s="252"/>
      <c r="G394" s="252"/>
      <c r="H394" s="253"/>
      <c r="I394" s="250"/>
      <c r="J394" s="250"/>
      <c r="K394" s="270"/>
      <c r="L394" s="250"/>
      <c r="M394" s="250"/>
      <c r="N394" s="540" t="str">
        <f>CONCATENATE(IF(OR(M394=phu!$I$1,M394=phu!$I$2,M394=phu!$I$3),"Cam Thành Nam",""),IF(OR(M394=phu!$I$4,M394=phu!$I$5,M394=phu!$I$6,M394=phu!$I$7,M394=phu!$I$8,M394=phu!$I$9,M394=phu!$I$10,M394=phu!$I$11,M394=phu!$I$12,M394=phu!$I$13,M394=phu!$I$14),"Cam Nghĩa",""),IF(OR(M394=phu!$I$15,M394=phu!$I$16,M394=phu!$I$17,M394=phu!$I$18,M394=phu!$I$19,M394=phu!$I$20,M394=phu!$I$21),"Cam Phúc Bắc",""),IF(OR(M394=phu!$I$22,M394=phu!$I$23,M394=phu!$I$24,M394=phu!$I$25),"Cam Phúc Nam",""),IF(OR(M394=phu!$I$26,M394=phu!$I$27,M394=phu!$I$28,M394=phu!$I$29,M394=phu!$I$30,M394=phu!$I$31),"Cam Phú",""),IF(OR(M394=phu!$I$32,M394=phu!$I$33,M394=phu!$I$34,M394=phu!$I$35,M394=phu!$I$36,M394=phu!$I$37),"Cam Lộc",""),IF(OR(M394=phu!$I$38,M394=phu!$I$39,M394=phu!$I$40,M394=phu!$I$41,M394=phu!$I$42,M394=phu!$I$43,M394=phu!$I$44),"Cam Thuận",""),IF(OR(M394=phu!$I$45,M394=phu!$I$46,M394=phu!$I$47,M394=phu!$I$48,M394=phu!$I$49,M394=phu!$I$50,M394=phu!$I$51,M394=phu!$I$52,M394=phu!$I$53),"Cam Linh",""),IF(OR(M394=phu!$I$54,M394=phu!$I$55,M394=phu!$I$56,M394=phu!$I$57,M394=phu!$I$58,M394=phu!$I$59,M394=phu!$I$60,M394=phu!$I$61,M394=phu!$I$62),"Cam Lợi",""),IF(OR(M394=phu!$I$63,M394=phu!$I$64,M394=phu!$I$65,M394=phu!$I$66,M394=phu!$I$67,M394=phu!$I$68,M394=phu!$I$69,M394=phu!$I$70,M394=phu!$I$71),"Ba Ngòi",""),IF(OR(M394=phu!$I$72,M394=phu!$I$73,M394=phu!$I$74,M394=phu!$I$75,M394=phu!$I$76,M394=phu!$I$77,M394=phu!$I$78),"Cam Phước Đông",""),IF(OR(M394=phu!$I$79,M394=phu!$I$80,M394=phu!$I$81,M394=phu!$I$82,M394=phu!$I$83,M394=phu!$I$84),"Cam Thịnh Đông",""),IF(OR(M394=phu!$I$85,M394=phu!$I$86,M394=phu!$I$87,M394=phu!$I$88),"Cam Thịnh Tây",""),IF(OR(M394=phu!$I$89,M394=phu!$I$90),"Cam Lập",""),IF(OR(M394=phu!$I$91,M394=phu!$I$92,M394=phu!$I$93),"Cam Bình",""),IF(OR(M394=phu!$I$94,M394=phu!$I$95,M394=phu!$I$96,M394=phu!$I$97,M394=phu!$I$98,M394=phu!$I$99,M394=phu!$I$100),"Huyện khác",""),IF(OR(M394=phu!$I$101,M394=phu!$I$102),"Tỉnh khác",""))</f>
        <v/>
      </c>
      <c r="O394" s="829" t="str">
        <f t="shared" si="36"/>
        <v/>
      </c>
      <c r="P394" s="254"/>
      <c r="Q394" s="254"/>
      <c r="R394" s="254"/>
      <c r="S394" s="254"/>
      <c r="T394" s="254"/>
      <c r="U394" s="254"/>
      <c r="V394" s="254"/>
      <c r="W394" s="254"/>
      <c r="Y394" s="246" t="str">
        <f t="shared" si="37"/>
        <v/>
      </c>
      <c r="Z394" s="247" t="str">
        <f t="shared" si="41"/>
        <v/>
      </c>
      <c r="AA394" s="246" t="str">
        <f t="shared" si="38"/>
        <v/>
      </c>
    </row>
    <row r="395" spans="1:27" ht="18" customHeight="1" x14ac:dyDescent="0.25">
      <c r="A395" s="248" t="str">
        <f t="shared" si="39"/>
        <v/>
      </c>
      <c r="B395" s="249" t="str">
        <f t="shared" si="40"/>
        <v/>
      </c>
      <c r="C395" s="250"/>
      <c r="D395" s="251"/>
      <c r="E395" s="241"/>
      <c r="F395" s="252"/>
      <c r="G395" s="252"/>
      <c r="H395" s="253"/>
      <c r="I395" s="250"/>
      <c r="J395" s="250"/>
      <c r="K395" s="270"/>
      <c r="L395" s="250"/>
      <c r="M395" s="250"/>
      <c r="N395" s="540" t="str">
        <f>CONCATENATE(IF(OR(M395=phu!$I$1,M395=phu!$I$2,M395=phu!$I$3),"Cam Thành Nam",""),IF(OR(M395=phu!$I$4,M395=phu!$I$5,M395=phu!$I$6,M395=phu!$I$7,M395=phu!$I$8,M395=phu!$I$9,M395=phu!$I$10,M395=phu!$I$11,M395=phu!$I$12,M395=phu!$I$13,M395=phu!$I$14),"Cam Nghĩa",""),IF(OR(M395=phu!$I$15,M395=phu!$I$16,M395=phu!$I$17,M395=phu!$I$18,M395=phu!$I$19,M395=phu!$I$20,M395=phu!$I$21),"Cam Phúc Bắc",""),IF(OR(M395=phu!$I$22,M395=phu!$I$23,M395=phu!$I$24,M395=phu!$I$25),"Cam Phúc Nam",""),IF(OR(M395=phu!$I$26,M395=phu!$I$27,M395=phu!$I$28,M395=phu!$I$29,M395=phu!$I$30,M395=phu!$I$31),"Cam Phú",""),IF(OR(M395=phu!$I$32,M395=phu!$I$33,M395=phu!$I$34,M395=phu!$I$35,M395=phu!$I$36,M395=phu!$I$37),"Cam Lộc",""),IF(OR(M395=phu!$I$38,M395=phu!$I$39,M395=phu!$I$40,M395=phu!$I$41,M395=phu!$I$42,M395=phu!$I$43,M395=phu!$I$44),"Cam Thuận",""),IF(OR(M395=phu!$I$45,M395=phu!$I$46,M395=phu!$I$47,M395=phu!$I$48,M395=phu!$I$49,M395=phu!$I$50,M395=phu!$I$51,M395=phu!$I$52,M395=phu!$I$53),"Cam Linh",""),IF(OR(M395=phu!$I$54,M395=phu!$I$55,M395=phu!$I$56,M395=phu!$I$57,M395=phu!$I$58,M395=phu!$I$59,M395=phu!$I$60,M395=phu!$I$61,M395=phu!$I$62),"Cam Lợi",""),IF(OR(M395=phu!$I$63,M395=phu!$I$64,M395=phu!$I$65,M395=phu!$I$66,M395=phu!$I$67,M395=phu!$I$68,M395=phu!$I$69,M395=phu!$I$70,M395=phu!$I$71),"Ba Ngòi",""),IF(OR(M395=phu!$I$72,M395=phu!$I$73,M395=phu!$I$74,M395=phu!$I$75,M395=phu!$I$76,M395=phu!$I$77,M395=phu!$I$78),"Cam Phước Đông",""),IF(OR(M395=phu!$I$79,M395=phu!$I$80,M395=phu!$I$81,M395=phu!$I$82,M395=phu!$I$83,M395=phu!$I$84),"Cam Thịnh Đông",""),IF(OR(M395=phu!$I$85,M395=phu!$I$86,M395=phu!$I$87,M395=phu!$I$88),"Cam Thịnh Tây",""),IF(OR(M395=phu!$I$89,M395=phu!$I$90),"Cam Lập",""),IF(OR(M395=phu!$I$91,M395=phu!$I$92,M395=phu!$I$93),"Cam Bình",""),IF(OR(M395=phu!$I$94,M395=phu!$I$95,M395=phu!$I$96,M395=phu!$I$97,M395=phu!$I$98,M395=phu!$I$99,M395=phu!$I$100),"Huyện khác",""),IF(OR(M395=phu!$I$101,M395=phu!$I$102),"Tỉnh khác",""))</f>
        <v/>
      </c>
      <c r="O395" s="829" t="str">
        <f t="shared" si="36"/>
        <v/>
      </c>
      <c r="P395" s="254"/>
      <c r="Q395" s="254"/>
      <c r="R395" s="254"/>
      <c r="S395" s="254"/>
      <c r="T395" s="254"/>
      <c r="U395" s="254"/>
      <c r="V395" s="254"/>
      <c r="W395" s="254"/>
      <c r="Y395" s="246" t="str">
        <f t="shared" si="37"/>
        <v/>
      </c>
      <c r="Z395" s="247" t="str">
        <f t="shared" si="41"/>
        <v/>
      </c>
      <c r="AA395" s="246" t="str">
        <f t="shared" si="38"/>
        <v/>
      </c>
    </row>
    <row r="396" spans="1:27" ht="18" customHeight="1" x14ac:dyDescent="0.25">
      <c r="A396" s="248" t="str">
        <f t="shared" si="39"/>
        <v/>
      </c>
      <c r="B396" s="249" t="str">
        <f t="shared" si="40"/>
        <v/>
      </c>
      <c r="C396" s="250"/>
      <c r="D396" s="251"/>
      <c r="E396" s="241"/>
      <c r="F396" s="252"/>
      <c r="G396" s="252"/>
      <c r="H396" s="253"/>
      <c r="I396" s="250"/>
      <c r="J396" s="250"/>
      <c r="K396" s="270"/>
      <c r="L396" s="250"/>
      <c r="M396" s="250"/>
      <c r="N396" s="540" t="str">
        <f>CONCATENATE(IF(OR(M396=phu!$I$1,M396=phu!$I$2,M396=phu!$I$3),"Cam Thành Nam",""),IF(OR(M396=phu!$I$4,M396=phu!$I$5,M396=phu!$I$6,M396=phu!$I$7,M396=phu!$I$8,M396=phu!$I$9,M396=phu!$I$10,M396=phu!$I$11,M396=phu!$I$12,M396=phu!$I$13,M396=phu!$I$14),"Cam Nghĩa",""),IF(OR(M396=phu!$I$15,M396=phu!$I$16,M396=phu!$I$17,M396=phu!$I$18,M396=phu!$I$19,M396=phu!$I$20,M396=phu!$I$21),"Cam Phúc Bắc",""),IF(OR(M396=phu!$I$22,M396=phu!$I$23,M396=phu!$I$24,M396=phu!$I$25),"Cam Phúc Nam",""),IF(OR(M396=phu!$I$26,M396=phu!$I$27,M396=phu!$I$28,M396=phu!$I$29,M396=phu!$I$30,M396=phu!$I$31),"Cam Phú",""),IF(OR(M396=phu!$I$32,M396=phu!$I$33,M396=phu!$I$34,M396=phu!$I$35,M396=phu!$I$36,M396=phu!$I$37),"Cam Lộc",""),IF(OR(M396=phu!$I$38,M396=phu!$I$39,M396=phu!$I$40,M396=phu!$I$41,M396=phu!$I$42,M396=phu!$I$43,M396=phu!$I$44),"Cam Thuận",""),IF(OR(M396=phu!$I$45,M396=phu!$I$46,M396=phu!$I$47,M396=phu!$I$48,M396=phu!$I$49,M396=phu!$I$50,M396=phu!$I$51,M396=phu!$I$52,M396=phu!$I$53),"Cam Linh",""),IF(OR(M396=phu!$I$54,M396=phu!$I$55,M396=phu!$I$56,M396=phu!$I$57,M396=phu!$I$58,M396=phu!$I$59,M396=phu!$I$60,M396=phu!$I$61,M396=phu!$I$62),"Cam Lợi",""),IF(OR(M396=phu!$I$63,M396=phu!$I$64,M396=phu!$I$65,M396=phu!$I$66,M396=phu!$I$67,M396=phu!$I$68,M396=phu!$I$69,M396=phu!$I$70,M396=phu!$I$71),"Ba Ngòi",""),IF(OR(M396=phu!$I$72,M396=phu!$I$73,M396=phu!$I$74,M396=phu!$I$75,M396=phu!$I$76,M396=phu!$I$77,M396=phu!$I$78),"Cam Phước Đông",""),IF(OR(M396=phu!$I$79,M396=phu!$I$80,M396=phu!$I$81,M396=phu!$I$82,M396=phu!$I$83,M396=phu!$I$84),"Cam Thịnh Đông",""),IF(OR(M396=phu!$I$85,M396=phu!$I$86,M396=phu!$I$87,M396=phu!$I$88),"Cam Thịnh Tây",""),IF(OR(M396=phu!$I$89,M396=phu!$I$90),"Cam Lập",""),IF(OR(M396=phu!$I$91,M396=phu!$I$92,M396=phu!$I$93),"Cam Bình",""),IF(OR(M396=phu!$I$94,M396=phu!$I$95,M396=phu!$I$96,M396=phu!$I$97,M396=phu!$I$98,M396=phu!$I$99,M396=phu!$I$100),"Huyện khác",""),IF(OR(M396=phu!$I$101,M396=phu!$I$102),"Tỉnh khác",""))</f>
        <v/>
      </c>
      <c r="O396" s="829" t="str">
        <f t="shared" si="36"/>
        <v/>
      </c>
      <c r="P396" s="254"/>
      <c r="Q396" s="254"/>
      <c r="R396" s="254"/>
      <c r="S396" s="254"/>
      <c r="T396" s="254"/>
      <c r="U396" s="254"/>
      <c r="V396" s="254"/>
      <c r="W396" s="254"/>
      <c r="Y396" s="246" t="str">
        <f t="shared" si="37"/>
        <v/>
      </c>
      <c r="Z396" s="247" t="str">
        <f t="shared" si="41"/>
        <v/>
      </c>
      <c r="AA396" s="246" t="str">
        <f t="shared" si="38"/>
        <v/>
      </c>
    </row>
    <row r="397" spans="1:27" ht="18" customHeight="1" x14ac:dyDescent="0.25">
      <c r="A397" s="248" t="str">
        <f t="shared" si="39"/>
        <v/>
      </c>
      <c r="B397" s="249" t="str">
        <f t="shared" si="40"/>
        <v/>
      </c>
      <c r="C397" s="250"/>
      <c r="D397" s="251"/>
      <c r="E397" s="241"/>
      <c r="F397" s="252"/>
      <c r="G397" s="252"/>
      <c r="H397" s="253"/>
      <c r="I397" s="250"/>
      <c r="J397" s="250"/>
      <c r="K397" s="270"/>
      <c r="L397" s="250"/>
      <c r="M397" s="250"/>
      <c r="N397" s="540" t="str">
        <f>CONCATENATE(IF(OR(M397=phu!$I$1,M397=phu!$I$2,M397=phu!$I$3),"Cam Thành Nam",""),IF(OR(M397=phu!$I$4,M397=phu!$I$5,M397=phu!$I$6,M397=phu!$I$7,M397=phu!$I$8,M397=phu!$I$9,M397=phu!$I$10,M397=phu!$I$11,M397=phu!$I$12,M397=phu!$I$13,M397=phu!$I$14),"Cam Nghĩa",""),IF(OR(M397=phu!$I$15,M397=phu!$I$16,M397=phu!$I$17,M397=phu!$I$18,M397=phu!$I$19,M397=phu!$I$20,M397=phu!$I$21),"Cam Phúc Bắc",""),IF(OR(M397=phu!$I$22,M397=phu!$I$23,M397=phu!$I$24,M397=phu!$I$25),"Cam Phúc Nam",""),IF(OR(M397=phu!$I$26,M397=phu!$I$27,M397=phu!$I$28,M397=phu!$I$29,M397=phu!$I$30,M397=phu!$I$31),"Cam Phú",""),IF(OR(M397=phu!$I$32,M397=phu!$I$33,M397=phu!$I$34,M397=phu!$I$35,M397=phu!$I$36,M397=phu!$I$37),"Cam Lộc",""),IF(OR(M397=phu!$I$38,M397=phu!$I$39,M397=phu!$I$40,M397=phu!$I$41,M397=phu!$I$42,M397=phu!$I$43,M397=phu!$I$44),"Cam Thuận",""),IF(OR(M397=phu!$I$45,M397=phu!$I$46,M397=phu!$I$47,M397=phu!$I$48,M397=phu!$I$49,M397=phu!$I$50,M397=phu!$I$51,M397=phu!$I$52,M397=phu!$I$53),"Cam Linh",""),IF(OR(M397=phu!$I$54,M397=phu!$I$55,M397=phu!$I$56,M397=phu!$I$57,M397=phu!$I$58,M397=phu!$I$59,M397=phu!$I$60,M397=phu!$I$61,M397=phu!$I$62),"Cam Lợi",""),IF(OR(M397=phu!$I$63,M397=phu!$I$64,M397=phu!$I$65,M397=phu!$I$66,M397=phu!$I$67,M397=phu!$I$68,M397=phu!$I$69,M397=phu!$I$70,M397=phu!$I$71),"Ba Ngòi",""),IF(OR(M397=phu!$I$72,M397=phu!$I$73,M397=phu!$I$74,M397=phu!$I$75,M397=phu!$I$76,M397=phu!$I$77,M397=phu!$I$78),"Cam Phước Đông",""),IF(OR(M397=phu!$I$79,M397=phu!$I$80,M397=phu!$I$81,M397=phu!$I$82,M397=phu!$I$83,M397=phu!$I$84),"Cam Thịnh Đông",""),IF(OR(M397=phu!$I$85,M397=phu!$I$86,M397=phu!$I$87,M397=phu!$I$88),"Cam Thịnh Tây",""),IF(OR(M397=phu!$I$89,M397=phu!$I$90),"Cam Lập",""),IF(OR(M397=phu!$I$91,M397=phu!$I$92,M397=phu!$I$93),"Cam Bình",""),IF(OR(M397=phu!$I$94,M397=phu!$I$95,M397=phu!$I$96,M397=phu!$I$97,M397=phu!$I$98,M397=phu!$I$99,M397=phu!$I$100),"Huyện khác",""),IF(OR(M397=phu!$I$101,M397=phu!$I$102),"Tỉnh khác",""))</f>
        <v/>
      </c>
      <c r="O397" s="829" t="str">
        <f t="shared" si="36"/>
        <v/>
      </c>
      <c r="P397" s="254"/>
      <c r="Q397" s="254"/>
      <c r="R397" s="254"/>
      <c r="S397" s="254"/>
      <c r="T397" s="254"/>
      <c r="U397" s="254"/>
      <c r="V397" s="254"/>
      <c r="W397" s="254"/>
      <c r="Y397" s="246" t="str">
        <f t="shared" si="37"/>
        <v/>
      </c>
      <c r="Z397" s="247" t="str">
        <f t="shared" si="41"/>
        <v/>
      </c>
      <c r="AA397" s="246" t="str">
        <f t="shared" si="38"/>
        <v/>
      </c>
    </row>
    <row r="398" spans="1:27" ht="18" customHeight="1" x14ac:dyDescent="0.25">
      <c r="A398" s="248" t="str">
        <f t="shared" si="39"/>
        <v/>
      </c>
      <c r="B398" s="249" t="str">
        <f t="shared" si="40"/>
        <v/>
      </c>
      <c r="C398" s="250"/>
      <c r="D398" s="251"/>
      <c r="E398" s="241"/>
      <c r="F398" s="252"/>
      <c r="G398" s="252"/>
      <c r="H398" s="253"/>
      <c r="I398" s="250"/>
      <c r="J398" s="250"/>
      <c r="K398" s="270"/>
      <c r="L398" s="250"/>
      <c r="M398" s="250"/>
      <c r="N398" s="540" t="str">
        <f>CONCATENATE(IF(OR(M398=phu!$I$1,M398=phu!$I$2,M398=phu!$I$3),"Cam Thành Nam",""),IF(OR(M398=phu!$I$4,M398=phu!$I$5,M398=phu!$I$6,M398=phu!$I$7,M398=phu!$I$8,M398=phu!$I$9,M398=phu!$I$10,M398=phu!$I$11,M398=phu!$I$12,M398=phu!$I$13,M398=phu!$I$14),"Cam Nghĩa",""),IF(OR(M398=phu!$I$15,M398=phu!$I$16,M398=phu!$I$17,M398=phu!$I$18,M398=phu!$I$19,M398=phu!$I$20,M398=phu!$I$21),"Cam Phúc Bắc",""),IF(OR(M398=phu!$I$22,M398=phu!$I$23,M398=phu!$I$24,M398=phu!$I$25),"Cam Phúc Nam",""),IF(OR(M398=phu!$I$26,M398=phu!$I$27,M398=phu!$I$28,M398=phu!$I$29,M398=phu!$I$30,M398=phu!$I$31),"Cam Phú",""),IF(OR(M398=phu!$I$32,M398=phu!$I$33,M398=phu!$I$34,M398=phu!$I$35,M398=phu!$I$36,M398=phu!$I$37),"Cam Lộc",""),IF(OR(M398=phu!$I$38,M398=phu!$I$39,M398=phu!$I$40,M398=phu!$I$41,M398=phu!$I$42,M398=phu!$I$43,M398=phu!$I$44),"Cam Thuận",""),IF(OR(M398=phu!$I$45,M398=phu!$I$46,M398=phu!$I$47,M398=phu!$I$48,M398=phu!$I$49,M398=phu!$I$50,M398=phu!$I$51,M398=phu!$I$52,M398=phu!$I$53),"Cam Linh",""),IF(OR(M398=phu!$I$54,M398=phu!$I$55,M398=phu!$I$56,M398=phu!$I$57,M398=phu!$I$58,M398=phu!$I$59,M398=phu!$I$60,M398=phu!$I$61,M398=phu!$I$62),"Cam Lợi",""),IF(OR(M398=phu!$I$63,M398=phu!$I$64,M398=phu!$I$65,M398=phu!$I$66,M398=phu!$I$67,M398=phu!$I$68,M398=phu!$I$69,M398=phu!$I$70,M398=phu!$I$71),"Ba Ngòi",""),IF(OR(M398=phu!$I$72,M398=phu!$I$73,M398=phu!$I$74,M398=phu!$I$75,M398=phu!$I$76,M398=phu!$I$77,M398=phu!$I$78),"Cam Phước Đông",""),IF(OR(M398=phu!$I$79,M398=phu!$I$80,M398=phu!$I$81,M398=phu!$I$82,M398=phu!$I$83,M398=phu!$I$84),"Cam Thịnh Đông",""),IF(OR(M398=phu!$I$85,M398=phu!$I$86,M398=phu!$I$87,M398=phu!$I$88),"Cam Thịnh Tây",""),IF(OR(M398=phu!$I$89,M398=phu!$I$90),"Cam Lập",""),IF(OR(M398=phu!$I$91,M398=phu!$I$92,M398=phu!$I$93),"Cam Bình",""),IF(OR(M398=phu!$I$94,M398=phu!$I$95,M398=phu!$I$96,M398=phu!$I$97,M398=phu!$I$98,M398=phu!$I$99,M398=phu!$I$100),"Huyện khác",""),IF(OR(M398=phu!$I$101,M398=phu!$I$102),"Tỉnh khác",""))</f>
        <v/>
      </c>
      <c r="O398" s="829" t="str">
        <f t="shared" si="36"/>
        <v/>
      </c>
      <c r="P398" s="254"/>
      <c r="Q398" s="254"/>
      <c r="R398" s="254"/>
      <c r="S398" s="254"/>
      <c r="T398" s="254"/>
      <c r="U398" s="254"/>
      <c r="V398" s="254"/>
      <c r="W398" s="254"/>
      <c r="Y398" s="246" t="str">
        <f t="shared" si="37"/>
        <v/>
      </c>
      <c r="Z398" s="247" t="str">
        <f t="shared" si="41"/>
        <v/>
      </c>
      <c r="AA398" s="246" t="str">
        <f t="shared" si="38"/>
        <v/>
      </c>
    </row>
    <row r="399" spans="1:27" ht="18" customHeight="1" x14ac:dyDescent="0.25">
      <c r="A399" s="248" t="str">
        <f t="shared" si="39"/>
        <v/>
      </c>
      <c r="B399" s="249" t="str">
        <f t="shared" si="40"/>
        <v/>
      </c>
      <c r="C399" s="250"/>
      <c r="D399" s="251"/>
      <c r="E399" s="241"/>
      <c r="F399" s="252"/>
      <c r="G399" s="252"/>
      <c r="H399" s="253"/>
      <c r="I399" s="250"/>
      <c r="J399" s="250"/>
      <c r="K399" s="270"/>
      <c r="L399" s="250"/>
      <c r="M399" s="250"/>
      <c r="N399" s="540" t="str">
        <f>CONCATENATE(IF(OR(M399=phu!$I$1,M399=phu!$I$2,M399=phu!$I$3),"Cam Thành Nam",""),IF(OR(M399=phu!$I$4,M399=phu!$I$5,M399=phu!$I$6,M399=phu!$I$7,M399=phu!$I$8,M399=phu!$I$9,M399=phu!$I$10,M399=phu!$I$11,M399=phu!$I$12,M399=phu!$I$13,M399=phu!$I$14),"Cam Nghĩa",""),IF(OR(M399=phu!$I$15,M399=phu!$I$16,M399=phu!$I$17,M399=phu!$I$18,M399=phu!$I$19,M399=phu!$I$20,M399=phu!$I$21),"Cam Phúc Bắc",""),IF(OR(M399=phu!$I$22,M399=phu!$I$23,M399=phu!$I$24,M399=phu!$I$25),"Cam Phúc Nam",""),IF(OR(M399=phu!$I$26,M399=phu!$I$27,M399=phu!$I$28,M399=phu!$I$29,M399=phu!$I$30,M399=phu!$I$31),"Cam Phú",""),IF(OR(M399=phu!$I$32,M399=phu!$I$33,M399=phu!$I$34,M399=phu!$I$35,M399=phu!$I$36,M399=phu!$I$37),"Cam Lộc",""),IF(OR(M399=phu!$I$38,M399=phu!$I$39,M399=phu!$I$40,M399=phu!$I$41,M399=phu!$I$42,M399=phu!$I$43,M399=phu!$I$44),"Cam Thuận",""),IF(OR(M399=phu!$I$45,M399=phu!$I$46,M399=phu!$I$47,M399=phu!$I$48,M399=phu!$I$49,M399=phu!$I$50,M399=phu!$I$51,M399=phu!$I$52,M399=phu!$I$53),"Cam Linh",""),IF(OR(M399=phu!$I$54,M399=phu!$I$55,M399=phu!$I$56,M399=phu!$I$57,M399=phu!$I$58,M399=phu!$I$59,M399=phu!$I$60,M399=phu!$I$61,M399=phu!$I$62),"Cam Lợi",""),IF(OR(M399=phu!$I$63,M399=phu!$I$64,M399=phu!$I$65,M399=phu!$I$66,M399=phu!$I$67,M399=phu!$I$68,M399=phu!$I$69,M399=phu!$I$70,M399=phu!$I$71),"Ba Ngòi",""),IF(OR(M399=phu!$I$72,M399=phu!$I$73,M399=phu!$I$74,M399=phu!$I$75,M399=phu!$I$76,M399=phu!$I$77,M399=phu!$I$78),"Cam Phước Đông",""),IF(OR(M399=phu!$I$79,M399=phu!$I$80,M399=phu!$I$81,M399=phu!$I$82,M399=phu!$I$83,M399=phu!$I$84),"Cam Thịnh Đông",""),IF(OR(M399=phu!$I$85,M399=phu!$I$86,M399=phu!$I$87,M399=phu!$I$88),"Cam Thịnh Tây",""),IF(OR(M399=phu!$I$89,M399=phu!$I$90),"Cam Lập",""),IF(OR(M399=phu!$I$91,M399=phu!$I$92,M399=phu!$I$93),"Cam Bình",""),IF(OR(M399=phu!$I$94,M399=phu!$I$95,M399=phu!$I$96,M399=phu!$I$97,M399=phu!$I$98,M399=phu!$I$99,M399=phu!$I$100),"Huyện khác",""),IF(OR(M399=phu!$I$101,M399=phu!$I$102),"Tỉnh khác",""))</f>
        <v/>
      </c>
      <c r="O399" s="829" t="str">
        <f t="shared" si="36"/>
        <v/>
      </c>
      <c r="P399" s="254"/>
      <c r="Q399" s="254"/>
      <c r="R399" s="254"/>
      <c r="S399" s="254"/>
      <c r="T399" s="254"/>
      <c r="U399" s="254"/>
      <c r="V399" s="254"/>
      <c r="W399" s="254"/>
      <c r="Y399" s="246" t="str">
        <f t="shared" si="37"/>
        <v/>
      </c>
      <c r="Z399" s="247" t="str">
        <f t="shared" si="41"/>
        <v/>
      </c>
      <c r="AA399" s="246" t="str">
        <f t="shared" si="38"/>
        <v/>
      </c>
    </row>
    <row r="400" spans="1:27" ht="18" customHeight="1" x14ac:dyDescent="0.25">
      <c r="A400" s="248" t="str">
        <f t="shared" si="39"/>
        <v/>
      </c>
      <c r="B400" s="249" t="str">
        <f t="shared" si="40"/>
        <v/>
      </c>
      <c r="C400" s="250"/>
      <c r="D400" s="251"/>
      <c r="E400" s="241"/>
      <c r="F400" s="252"/>
      <c r="G400" s="252"/>
      <c r="H400" s="253"/>
      <c r="I400" s="250"/>
      <c r="J400" s="250"/>
      <c r="K400" s="270"/>
      <c r="L400" s="250"/>
      <c r="M400" s="250"/>
      <c r="N400" s="540" t="str">
        <f>CONCATENATE(IF(OR(M400=phu!$I$1,M400=phu!$I$2,M400=phu!$I$3),"Cam Thành Nam",""),IF(OR(M400=phu!$I$4,M400=phu!$I$5,M400=phu!$I$6,M400=phu!$I$7,M400=phu!$I$8,M400=phu!$I$9,M400=phu!$I$10,M400=phu!$I$11,M400=phu!$I$12,M400=phu!$I$13,M400=phu!$I$14),"Cam Nghĩa",""),IF(OR(M400=phu!$I$15,M400=phu!$I$16,M400=phu!$I$17,M400=phu!$I$18,M400=phu!$I$19,M400=phu!$I$20,M400=phu!$I$21),"Cam Phúc Bắc",""),IF(OR(M400=phu!$I$22,M400=phu!$I$23,M400=phu!$I$24,M400=phu!$I$25),"Cam Phúc Nam",""),IF(OR(M400=phu!$I$26,M400=phu!$I$27,M400=phu!$I$28,M400=phu!$I$29,M400=phu!$I$30,M400=phu!$I$31),"Cam Phú",""),IF(OR(M400=phu!$I$32,M400=phu!$I$33,M400=phu!$I$34,M400=phu!$I$35,M400=phu!$I$36,M400=phu!$I$37),"Cam Lộc",""),IF(OR(M400=phu!$I$38,M400=phu!$I$39,M400=phu!$I$40,M400=phu!$I$41,M400=phu!$I$42,M400=phu!$I$43,M400=phu!$I$44),"Cam Thuận",""),IF(OR(M400=phu!$I$45,M400=phu!$I$46,M400=phu!$I$47,M400=phu!$I$48,M400=phu!$I$49,M400=phu!$I$50,M400=phu!$I$51,M400=phu!$I$52,M400=phu!$I$53),"Cam Linh",""),IF(OR(M400=phu!$I$54,M400=phu!$I$55,M400=phu!$I$56,M400=phu!$I$57,M400=phu!$I$58,M400=phu!$I$59,M400=phu!$I$60,M400=phu!$I$61,M400=phu!$I$62),"Cam Lợi",""),IF(OR(M400=phu!$I$63,M400=phu!$I$64,M400=phu!$I$65,M400=phu!$I$66,M400=phu!$I$67,M400=phu!$I$68,M400=phu!$I$69,M400=phu!$I$70,M400=phu!$I$71),"Ba Ngòi",""),IF(OR(M400=phu!$I$72,M400=phu!$I$73,M400=phu!$I$74,M400=phu!$I$75,M400=phu!$I$76,M400=phu!$I$77,M400=phu!$I$78),"Cam Phước Đông",""),IF(OR(M400=phu!$I$79,M400=phu!$I$80,M400=phu!$I$81,M400=phu!$I$82,M400=phu!$I$83,M400=phu!$I$84),"Cam Thịnh Đông",""),IF(OR(M400=phu!$I$85,M400=phu!$I$86,M400=phu!$I$87,M400=phu!$I$88),"Cam Thịnh Tây",""),IF(OR(M400=phu!$I$89,M400=phu!$I$90),"Cam Lập",""),IF(OR(M400=phu!$I$91,M400=phu!$I$92,M400=phu!$I$93),"Cam Bình",""),IF(OR(M400=phu!$I$94,M400=phu!$I$95,M400=phu!$I$96,M400=phu!$I$97,M400=phu!$I$98,M400=phu!$I$99,M400=phu!$I$100),"Huyện khác",""),IF(OR(M400=phu!$I$101,M400=phu!$I$102),"Tỉnh khác",""))</f>
        <v/>
      </c>
      <c r="O400" s="829" t="str">
        <f t="shared" si="36"/>
        <v/>
      </c>
      <c r="P400" s="254"/>
      <c r="Q400" s="254"/>
      <c r="R400" s="254"/>
      <c r="S400" s="254"/>
      <c r="T400" s="254"/>
      <c r="U400" s="254"/>
      <c r="V400" s="254"/>
      <c r="W400" s="254"/>
      <c r="Y400" s="246" t="str">
        <f t="shared" si="37"/>
        <v/>
      </c>
      <c r="Z400" s="247" t="str">
        <f t="shared" si="41"/>
        <v/>
      </c>
      <c r="AA400" s="246" t="str">
        <f t="shared" si="38"/>
        <v/>
      </c>
    </row>
    <row r="401" spans="1:27" ht="18" customHeight="1" x14ac:dyDescent="0.25">
      <c r="A401" s="248" t="str">
        <f t="shared" si="39"/>
        <v/>
      </c>
      <c r="B401" s="249" t="str">
        <f t="shared" si="40"/>
        <v/>
      </c>
      <c r="C401" s="250"/>
      <c r="D401" s="251"/>
      <c r="E401" s="241"/>
      <c r="F401" s="252"/>
      <c r="G401" s="252"/>
      <c r="H401" s="253"/>
      <c r="I401" s="250"/>
      <c r="J401" s="250"/>
      <c r="K401" s="270"/>
      <c r="L401" s="250"/>
      <c r="M401" s="250"/>
      <c r="N401" s="540" t="str">
        <f>CONCATENATE(IF(OR(M401=phu!$I$1,M401=phu!$I$2,M401=phu!$I$3),"Cam Thành Nam",""),IF(OR(M401=phu!$I$4,M401=phu!$I$5,M401=phu!$I$6,M401=phu!$I$7,M401=phu!$I$8,M401=phu!$I$9,M401=phu!$I$10,M401=phu!$I$11,M401=phu!$I$12,M401=phu!$I$13,M401=phu!$I$14),"Cam Nghĩa",""),IF(OR(M401=phu!$I$15,M401=phu!$I$16,M401=phu!$I$17,M401=phu!$I$18,M401=phu!$I$19,M401=phu!$I$20,M401=phu!$I$21),"Cam Phúc Bắc",""),IF(OR(M401=phu!$I$22,M401=phu!$I$23,M401=phu!$I$24,M401=phu!$I$25),"Cam Phúc Nam",""),IF(OR(M401=phu!$I$26,M401=phu!$I$27,M401=phu!$I$28,M401=phu!$I$29,M401=phu!$I$30,M401=phu!$I$31),"Cam Phú",""),IF(OR(M401=phu!$I$32,M401=phu!$I$33,M401=phu!$I$34,M401=phu!$I$35,M401=phu!$I$36,M401=phu!$I$37),"Cam Lộc",""),IF(OR(M401=phu!$I$38,M401=phu!$I$39,M401=phu!$I$40,M401=phu!$I$41,M401=phu!$I$42,M401=phu!$I$43,M401=phu!$I$44),"Cam Thuận",""),IF(OR(M401=phu!$I$45,M401=phu!$I$46,M401=phu!$I$47,M401=phu!$I$48,M401=phu!$I$49,M401=phu!$I$50,M401=phu!$I$51,M401=phu!$I$52,M401=phu!$I$53),"Cam Linh",""),IF(OR(M401=phu!$I$54,M401=phu!$I$55,M401=phu!$I$56,M401=phu!$I$57,M401=phu!$I$58,M401=phu!$I$59,M401=phu!$I$60,M401=phu!$I$61,M401=phu!$I$62),"Cam Lợi",""),IF(OR(M401=phu!$I$63,M401=phu!$I$64,M401=phu!$I$65,M401=phu!$I$66,M401=phu!$I$67,M401=phu!$I$68,M401=phu!$I$69,M401=phu!$I$70,M401=phu!$I$71),"Ba Ngòi",""),IF(OR(M401=phu!$I$72,M401=phu!$I$73,M401=phu!$I$74,M401=phu!$I$75,M401=phu!$I$76,M401=phu!$I$77,M401=phu!$I$78),"Cam Phước Đông",""),IF(OR(M401=phu!$I$79,M401=phu!$I$80,M401=phu!$I$81,M401=phu!$I$82,M401=phu!$I$83,M401=phu!$I$84),"Cam Thịnh Đông",""),IF(OR(M401=phu!$I$85,M401=phu!$I$86,M401=phu!$I$87,M401=phu!$I$88),"Cam Thịnh Tây",""),IF(OR(M401=phu!$I$89,M401=phu!$I$90),"Cam Lập",""),IF(OR(M401=phu!$I$91,M401=phu!$I$92,M401=phu!$I$93),"Cam Bình",""),IF(OR(M401=phu!$I$94,M401=phu!$I$95,M401=phu!$I$96,M401=phu!$I$97,M401=phu!$I$98,M401=phu!$I$99,M401=phu!$I$100),"Huyện khác",""),IF(OR(M401=phu!$I$101,M401=phu!$I$102),"Tỉnh khác",""))</f>
        <v/>
      </c>
      <c r="O401" s="829" t="str">
        <f t="shared" si="36"/>
        <v/>
      </c>
      <c r="P401" s="254"/>
      <c r="Q401" s="254"/>
      <c r="R401" s="254"/>
      <c r="S401" s="254"/>
      <c r="T401" s="254"/>
      <c r="U401" s="254"/>
      <c r="V401" s="254"/>
      <c r="W401" s="254"/>
      <c r="Y401" s="246" t="str">
        <f t="shared" si="37"/>
        <v/>
      </c>
      <c r="Z401" s="247" t="str">
        <f t="shared" si="41"/>
        <v/>
      </c>
      <c r="AA401" s="246" t="str">
        <f t="shared" si="38"/>
        <v/>
      </c>
    </row>
    <row r="402" spans="1:27" ht="18" customHeight="1" x14ac:dyDescent="0.25">
      <c r="A402" s="248" t="str">
        <f t="shared" si="39"/>
        <v/>
      </c>
      <c r="B402" s="249" t="str">
        <f t="shared" si="40"/>
        <v/>
      </c>
      <c r="C402" s="250"/>
      <c r="D402" s="251"/>
      <c r="E402" s="241"/>
      <c r="F402" s="252"/>
      <c r="G402" s="252"/>
      <c r="H402" s="253"/>
      <c r="I402" s="250"/>
      <c r="J402" s="250"/>
      <c r="K402" s="270"/>
      <c r="L402" s="250"/>
      <c r="M402" s="250"/>
      <c r="N402" s="540" t="str">
        <f>CONCATENATE(IF(OR(M402=phu!$I$1,M402=phu!$I$2,M402=phu!$I$3),"Cam Thành Nam",""),IF(OR(M402=phu!$I$4,M402=phu!$I$5,M402=phu!$I$6,M402=phu!$I$7,M402=phu!$I$8,M402=phu!$I$9,M402=phu!$I$10,M402=phu!$I$11,M402=phu!$I$12,M402=phu!$I$13,M402=phu!$I$14),"Cam Nghĩa",""),IF(OR(M402=phu!$I$15,M402=phu!$I$16,M402=phu!$I$17,M402=phu!$I$18,M402=phu!$I$19,M402=phu!$I$20,M402=phu!$I$21),"Cam Phúc Bắc",""),IF(OR(M402=phu!$I$22,M402=phu!$I$23,M402=phu!$I$24,M402=phu!$I$25),"Cam Phúc Nam",""),IF(OR(M402=phu!$I$26,M402=phu!$I$27,M402=phu!$I$28,M402=phu!$I$29,M402=phu!$I$30,M402=phu!$I$31),"Cam Phú",""),IF(OR(M402=phu!$I$32,M402=phu!$I$33,M402=phu!$I$34,M402=phu!$I$35,M402=phu!$I$36,M402=phu!$I$37),"Cam Lộc",""),IF(OR(M402=phu!$I$38,M402=phu!$I$39,M402=phu!$I$40,M402=phu!$I$41,M402=phu!$I$42,M402=phu!$I$43,M402=phu!$I$44),"Cam Thuận",""),IF(OR(M402=phu!$I$45,M402=phu!$I$46,M402=phu!$I$47,M402=phu!$I$48,M402=phu!$I$49,M402=phu!$I$50,M402=phu!$I$51,M402=phu!$I$52,M402=phu!$I$53),"Cam Linh",""),IF(OR(M402=phu!$I$54,M402=phu!$I$55,M402=phu!$I$56,M402=phu!$I$57,M402=phu!$I$58,M402=phu!$I$59,M402=phu!$I$60,M402=phu!$I$61,M402=phu!$I$62),"Cam Lợi",""),IF(OR(M402=phu!$I$63,M402=phu!$I$64,M402=phu!$I$65,M402=phu!$I$66,M402=phu!$I$67,M402=phu!$I$68,M402=phu!$I$69,M402=phu!$I$70,M402=phu!$I$71),"Ba Ngòi",""),IF(OR(M402=phu!$I$72,M402=phu!$I$73,M402=phu!$I$74,M402=phu!$I$75,M402=phu!$I$76,M402=phu!$I$77,M402=phu!$I$78),"Cam Phước Đông",""),IF(OR(M402=phu!$I$79,M402=phu!$I$80,M402=phu!$I$81,M402=phu!$I$82,M402=phu!$I$83,M402=phu!$I$84),"Cam Thịnh Đông",""),IF(OR(M402=phu!$I$85,M402=phu!$I$86,M402=phu!$I$87,M402=phu!$I$88),"Cam Thịnh Tây",""),IF(OR(M402=phu!$I$89,M402=phu!$I$90),"Cam Lập",""),IF(OR(M402=phu!$I$91,M402=phu!$I$92,M402=phu!$I$93),"Cam Bình",""),IF(OR(M402=phu!$I$94,M402=phu!$I$95,M402=phu!$I$96,M402=phu!$I$97,M402=phu!$I$98,M402=phu!$I$99,M402=phu!$I$100),"Huyện khác",""),IF(OR(M402=phu!$I$101,M402=phu!$I$102),"Tỉnh khác",""))</f>
        <v/>
      </c>
      <c r="O402" s="829" t="str">
        <f t="shared" si="36"/>
        <v/>
      </c>
      <c r="P402" s="254"/>
      <c r="Q402" s="254"/>
      <c r="R402" s="254"/>
      <c r="S402" s="254"/>
      <c r="T402" s="254"/>
      <c r="U402" s="254"/>
      <c r="V402" s="254"/>
      <c r="W402" s="254"/>
      <c r="Y402" s="246" t="str">
        <f t="shared" si="37"/>
        <v/>
      </c>
      <c r="Z402" s="247" t="str">
        <f t="shared" si="41"/>
        <v/>
      </c>
      <c r="AA402" s="246" t="str">
        <f t="shared" si="38"/>
        <v/>
      </c>
    </row>
    <row r="403" spans="1:27" ht="18" customHeight="1" x14ac:dyDescent="0.25">
      <c r="A403" s="248" t="str">
        <f t="shared" si="39"/>
        <v/>
      </c>
      <c r="B403" s="249" t="str">
        <f t="shared" si="40"/>
        <v/>
      </c>
      <c r="C403" s="250"/>
      <c r="D403" s="251"/>
      <c r="E403" s="241"/>
      <c r="F403" s="252"/>
      <c r="G403" s="252"/>
      <c r="H403" s="253"/>
      <c r="I403" s="250"/>
      <c r="J403" s="250"/>
      <c r="K403" s="270"/>
      <c r="L403" s="250"/>
      <c r="M403" s="250"/>
      <c r="N403" s="540" t="str">
        <f>CONCATENATE(IF(OR(M403=phu!$I$1,M403=phu!$I$2,M403=phu!$I$3),"Cam Thành Nam",""),IF(OR(M403=phu!$I$4,M403=phu!$I$5,M403=phu!$I$6,M403=phu!$I$7,M403=phu!$I$8,M403=phu!$I$9,M403=phu!$I$10,M403=phu!$I$11,M403=phu!$I$12,M403=phu!$I$13,M403=phu!$I$14),"Cam Nghĩa",""),IF(OR(M403=phu!$I$15,M403=phu!$I$16,M403=phu!$I$17,M403=phu!$I$18,M403=phu!$I$19,M403=phu!$I$20,M403=phu!$I$21),"Cam Phúc Bắc",""),IF(OR(M403=phu!$I$22,M403=phu!$I$23,M403=phu!$I$24,M403=phu!$I$25),"Cam Phúc Nam",""),IF(OR(M403=phu!$I$26,M403=phu!$I$27,M403=phu!$I$28,M403=phu!$I$29,M403=phu!$I$30,M403=phu!$I$31),"Cam Phú",""),IF(OR(M403=phu!$I$32,M403=phu!$I$33,M403=phu!$I$34,M403=phu!$I$35,M403=phu!$I$36,M403=phu!$I$37),"Cam Lộc",""),IF(OR(M403=phu!$I$38,M403=phu!$I$39,M403=phu!$I$40,M403=phu!$I$41,M403=phu!$I$42,M403=phu!$I$43,M403=phu!$I$44),"Cam Thuận",""),IF(OR(M403=phu!$I$45,M403=phu!$I$46,M403=phu!$I$47,M403=phu!$I$48,M403=phu!$I$49,M403=phu!$I$50,M403=phu!$I$51,M403=phu!$I$52,M403=phu!$I$53),"Cam Linh",""),IF(OR(M403=phu!$I$54,M403=phu!$I$55,M403=phu!$I$56,M403=phu!$I$57,M403=phu!$I$58,M403=phu!$I$59,M403=phu!$I$60,M403=phu!$I$61,M403=phu!$I$62),"Cam Lợi",""),IF(OR(M403=phu!$I$63,M403=phu!$I$64,M403=phu!$I$65,M403=phu!$I$66,M403=phu!$I$67,M403=phu!$I$68,M403=phu!$I$69,M403=phu!$I$70,M403=phu!$I$71),"Ba Ngòi",""),IF(OR(M403=phu!$I$72,M403=phu!$I$73,M403=phu!$I$74,M403=phu!$I$75,M403=phu!$I$76,M403=phu!$I$77,M403=phu!$I$78),"Cam Phước Đông",""),IF(OR(M403=phu!$I$79,M403=phu!$I$80,M403=phu!$I$81,M403=phu!$I$82,M403=phu!$I$83,M403=phu!$I$84),"Cam Thịnh Đông",""),IF(OR(M403=phu!$I$85,M403=phu!$I$86,M403=phu!$I$87,M403=phu!$I$88),"Cam Thịnh Tây",""),IF(OR(M403=phu!$I$89,M403=phu!$I$90),"Cam Lập",""),IF(OR(M403=phu!$I$91,M403=phu!$I$92,M403=phu!$I$93),"Cam Bình",""),IF(OR(M403=phu!$I$94,M403=phu!$I$95,M403=phu!$I$96,M403=phu!$I$97,M403=phu!$I$98,M403=phu!$I$99,M403=phu!$I$100),"Huyện khác",""),IF(OR(M403=phu!$I$101,M403=phu!$I$102),"Tỉnh khác",""))</f>
        <v/>
      </c>
      <c r="O403" s="829" t="str">
        <f t="shared" si="36"/>
        <v/>
      </c>
      <c r="P403" s="254"/>
      <c r="Q403" s="254"/>
      <c r="R403" s="254"/>
      <c r="S403" s="254"/>
      <c r="T403" s="254"/>
      <c r="U403" s="254"/>
      <c r="V403" s="254"/>
      <c r="W403" s="254"/>
      <c r="Y403" s="246" t="str">
        <f t="shared" si="37"/>
        <v/>
      </c>
      <c r="Z403" s="247" t="str">
        <f t="shared" si="41"/>
        <v/>
      </c>
      <c r="AA403" s="246" t="str">
        <f t="shared" si="38"/>
        <v/>
      </c>
    </row>
    <row r="404" spans="1:27" ht="18" customHeight="1" x14ac:dyDescent="0.25">
      <c r="A404" s="248" t="str">
        <f t="shared" si="39"/>
        <v/>
      </c>
      <c r="B404" s="249" t="str">
        <f t="shared" si="40"/>
        <v/>
      </c>
      <c r="C404" s="250"/>
      <c r="D404" s="251"/>
      <c r="E404" s="241"/>
      <c r="F404" s="252"/>
      <c r="G404" s="252"/>
      <c r="H404" s="253"/>
      <c r="I404" s="250"/>
      <c r="J404" s="250"/>
      <c r="K404" s="270"/>
      <c r="L404" s="250"/>
      <c r="M404" s="250"/>
      <c r="N404" s="540" t="str">
        <f>CONCATENATE(IF(OR(M404=phu!$I$1,M404=phu!$I$2,M404=phu!$I$3),"Cam Thành Nam",""),IF(OR(M404=phu!$I$4,M404=phu!$I$5,M404=phu!$I$6,M404=phu!$I$7,M404=phu!$I$8,M404=phu!$I$9,M404=phu!$I$10,M404=phu!$I$11,M404=phu!$I$12,M404=phu!$I$13,M404=phu!$I$14),"Cam Nghĩa",""),IF(OR(M404=phu!$I$15,M404=phu!$I$16,M404=phu!$I$17,M404=phu!$I$18,M404=phu!$I$19,M404=phu!$I$20,M404=phu!$I$21),"Cam Phúc Bắc",""),IF(OR(M404=phu!$I$22,M404=phu!$I$23,M404=phu!$I$24,M404=phu!$I$25),"Cam Phúc Nam",""),IF(OR(M404=phu!$I$26,M404=phu!$I$27,M404=phu!$I$28,M404=phu!$I$29,M404=phu!$I$30,M404=phu!$I$31),"Cam Phú",""),IF(OR(M404=phu!$I$32,M404=phu!$I$33,M404=phu!$I$34,M404=phu!$I$35,M404=phu!$I$36,M404=phu!$I$37),"Cam Lộc",""),IF(OR(M404=phu!$I$38,M404=phu!$I$39,M404=phu!$I$40,M404=phu!$I$41,M404=phu!$I$42,M404=phu!$I$43,M404=phu!$I$44),"Cam Thuận",""),IF(OR(M404=phu!$I$45,M404=phu!$I$46,M404=phu!$I$47,M404=phu!$I$48,M404=phu!$I$49,M404=phu!$I$50,M404=phu!$I$51,M404=phu!$I$52,M404=phu!$I$53),"Cam Linh",""),IF(OR(M404=phu!$I$54,M404=phu!$I$55,M404=phu!$I$56,M404=phu!$I$57,M404=phu!$I$58,M404=phu!$I$59,M404=phu!$I$60,M404=phu!$I$61,M404=phu!$I$62),"Cam Lợi",""),IF(OR(M404=phu!$I$63,M404=phu!$I$64,M404=phu!$I$65,M404=phu!$I$66,M404=phu!$I$67,M404=phu!$I$68,M404=phu!$I$69,M404=phu!$I$70,M404=phu!$I$71),"Ba Ngòi",""),IF(OR(M404=phu!$I$72,M404=phu!$I$73,M404=phu!$I$74,M404=phu!$I$75,M404=phu!$I$76,M404=phu!$I$77,M404=phu!$I$78),"Cam Phước Đông",""),IF(OR(M404=phu!$I$79,M404=phu!$I$80,M404=phu!$I$81,M404=phu!$I$82,M404=phu!$I$83,M404=phu!$I$84),"Cam Thịnh Đông",""),IF(OR(M404=phu!$I$85,M404=phu!$I$86,M404=phu!$I$87,M404=phu!$I$88),"Cam Thịnh Tây",""),IF(OR(M404=phu!$I$89,M404=phu!$I$90),"Cam Lập",""),IF(OR(M404=phu!$I$91,M404=phu!$I$92,M404=phu!$I$93),"Cam Bình",""),IF(OR(M404=phu!$I$94,M404=phu!$I$95,M404=phu!$I$96,M404=phu!$I$97,M404=phu!$I$98,M404=phu!$I$99,M404=phu!$I$100),"Huyện khác",""),IF(OR(M404=phu!$I$101,M404=phu!$I$102),"Tỉnh khác",""))</f>
        <v/>
      </c>
      <c r="O404" s="829" t="str">
        <f t="shared" si="36"/>
        <v/>
      </c>
      <c r="P404" s="254"/>
      <c r="Q404" s="254"/>
      <c r="R404" s="254"/>
      <c r="S404" s="254"/>
      <c r="T404" s="254"/>
      <c r="U404" s="254"/>
      <c r="V404" s="254"/>
      <c r="W404" s="254"/>
      <c r="Y404" s="246" t="str">
        <f t="shared" si="37"/>
        <v/>
      </c>
      <c r="Z404" s="247" t="str">
        <f t="shared" si="41"/>
        <v/>
      </c>
      <c r="AA404" s="246" t="str">
        <f t="shared" si="38"/>
        <v/>
      </c>
    </row>
    <row r="405" spans="1:27" ht="18" customHeight="1" x14ac:dyDescent="0.25">
      <c r="A405" s="248" t="str">
        <f t="shared" si="39"/>
        <v/>
      </c>
      <c r="B405" s="249" t="str">
        <f t="shared" si="40"/>
        <v/>
      </c>
      <c r="C405" s="250"/>
      <c r="D405" s="251"/>
      <c r="E405" s="241"/>
      <c r="F405" s="252"/>
      <c r="G405" s="252"/>
      <c r="H405" s="253"/>
      <c r="I405" s="250"/>
      <c r="J405" s="250"/>
      <c r="K405" s="270"/>
      <c r="L405" s="250"/>
      <c r="M405" s="250"/>
      <c r="N405" s="540" t="str">
        <f>CONCATENATE(IF(OR(M405=phu!$I$1,M405=phu!$I$2,M405=phu!$I$3),"Cam Thành Nam",""),IF(OR(M405=phu!$I$4,M405=phu!$I$5,M405=phu!$I$6,M405=phu!$I$7,M405=phu!$I$8,M405=phu!$I$9,M405=phu!$I$10,M405=phu!$I$11,M405=phu!$I$12,M405=phu!$I$13,M405=phu!$I$14),"Cam Nghĩa",""),IF(OR(M405=phu!$I$15,M405=phu!$I$16,M405=phu!$I$17,M405=phu!$I$18,M405=phu!$I$19,M405=phu!$I$20,M405=phu!$I$21),"Cam Phúc Bắc",""),IF(OR(M405=phu!$I$22,M405=phu!$I$23,M405=phu!$I$24,M405=phu!$I$25),"Cam Phúc Nam",""),IF(OR(M405=phu!$I$26,M405=phu!$I$27,M405=phu!$I$28,M405=phu!$I$29,M405=phu!$I$30,M405=phu!$I$31),"Cam Phú",""),IF(OR(M405=phu!$I$32,M405=phu!$I$33,M405=phu!$I$34,M405=phu!$I$35,M405=phu!$I$36,M405=phu!$I$37),"Cam Lộc",""),IF(OR(M405=phu!$I$38,M405=phu!$I$39,M405=phu!$I$40,M405=phu!$I$41,M405=phu!$I$42,M405=phu!$I$43,M405=phu!$I$44),"Cam Thuận",""),IF(OR(M405=phu!$I$45,M405=phu!$I$46,M405=phu!$I$47,M405=phu!$I$48,M405=phu!$I$49,M405=phu!$I$50,M405=phu!$I$51,M405=phu!$I$52,M405=phu!$I$53),"Cam Linh",""),IF(OR(M405=phu!$I$54,M405=phu!$I$55,M405=phu!$I$56,M405=phu!$I$57,M405=phu!$I$58,M405=phu!$I$59,M405=phu!$I$60,M405=phu!$I$61,M405=phu!$I$62),"Cam Lợi",""),IF(OR(M405=phu!$I$63,M405=phu!$I$64,M405=phu!$I$65,M405=phu!$I$66,M405=phu!$I$67,M405=phu!$I$68,M405=phu!$I$69,M405=phu!$I$70,M405=phu!$I$71),"Ba Ngòi",""),IF(OR(M405=phu!$I$72,M405=phu!$I$73,M405=phu!$I$74,M405=phu!$I$75,M405=phu!$I$76,M405=phu!$I$77,M405=phu!$I$78),"Cam Phước Đông",""),IF(OR(M405=phu!$I$79,M405=phu!$I$80,M405=phu!$I$81,M405=phu!$I$82,M405=phu!$I$83,M405=phu!$I$84),"Cam Thịnh Đông",""),IF(OR(M405=phu!$I$85,M405=phu!$I$86,M405=phu!$I$87,M405=phu!$I$88),"Cam Thịnh Tây",""),IF(OR(M405=phu!$I$89,M405=phu!$I$90),"Cam Lập",""),IF(OR(M405=phu!$I$91,M405=phu!$I$92,M405=phu!$I$93),"Cam Bình",""),IF(OR(M405=phu!$I$94,M405=phu!$I$95,M405=phu!$I$96,M405=phu!$I$97,M405=phu!$I$98,M405=phu!$I$99,M405=phu!$I$100),"Huyện khác",""),IF(OR(M405=phu!$I$101,M405=phu!$I$102),"Tỉnh khác",""))</f>
        <v/>
      </c>
      <c r="O405" s="829" t="str">
        <f t="shared" si="36"/>
        <v/>
      </c>
      <c r="P405" s="254"/>
      <c r="Q405" s="254"/>
      <c r="R405" s="254"/>
      <c r="S405" s="254"/>
      <c r="T405" s="254"/>
      <c r="U405" s="254"/>
      <c r="V405" s="254"/>
      <c r="W405" s="254"/>
      <c r="Y405" s="246" t="str">
        <f t="shared" si="37"/>
        <v/>
      </c>
      <c r="Z405" s="247" t="str">
        <f t="shared" si="41"/>
        <v/>
      </c>
      <c r="AA405" s="246" t="str">
        <f t="shared" si="38"/>
        <v/>
      </c>
    </row>
    <row r="406" spans="1:27" ht="18" customHeight="1" x14ac:dyDescent="0.25">
      <c r="A406" s="248" t="str">
        <f t="shared" si="39"/>
        <v/>
      </c>
      <c r="B406" s="249" t="str">
        <f t="shared" si="40"/>
        <v/>
      </c>
      <c r="C406" s="250"/>
      <c r="D406" s="251"/>
      <c r="E406" s="241"/>
      <c r="F406" s="252"/>
      <c r="G406" s="252"/>
      <c r="H406" s="253"/>
      <c r="I406" s="250"/>
      <c r="J406" s="250"/>
      <c r="K406" s="270"/>
      <c r="L406" s="250"/>
      <c r="M406" s="250"/>
      <c r="N406" s="540" t="str">
        <f>CONCATENATE(IF(OR(M406=phu!$I$1,M406=phu!$I$2,M406=phu!$I$3),"Cam Thành Nam",""),IF(OR(M406=phu!$I$4,M406=phu!$I$5,M406=phu!$I$6,M406=phu!$I$7,M406=phu!$I$8,M406=phu!$I$9,M406=phu!$I$10,M406=phu!$I$11,M406=phu!$I$12,M406=phu!$I$13,M406=phu!$I$14),"Cam Nghĩa",""),IF(OR(M406=phu!$I$15,M406=phu!$I$16,M406=phu!$I$17,M406=phu!$I$18,M406=phu!$I$19,M406=phu!$I$20,M406=phu!$I$21),"Cam Phúc Bắc",""),IF(OR(M406=phu!$I$22,M406=phu!$I$23,M406=phu!$I$24,M406=phu!$I$25),"Cam Phúc Nam",""),IF(OR(M406=phu!$I$26,M406=phu!$I$27,M406=phu!$I$28,M406=phu!$I$29,M406=phu!$I$30,M406=phu!$I$31),"Cam Phú",""),IF(OR(M406=phu!$I$32,M406=phu!$I$33,M406=phu!$I$34,M406=phu!$I$35,M406=phu!$I$36,M406=phu!$I$37),"Cam Lộc",""),IF(OR(M406=phu!$I$38,M406=phu!$I$39,M406=phu!$I$40,M406=phu!$I$41,M406=phu!$I$42,M406=phu!$I$43,M406=phu!$I$44),"Cam Thuận",""),IF(OR(M406=phu!$I$45,M406=phu!$I$46,M406=phu!$I$47,M406=phu!$I$48,M406=phu!$I$49,M406=phu!$I$50,M406=phu!$I$51,M406=phu!$I$52,M406=phu!$I$53),"Cam Linh",""),IF(OR(M406=phu!$I$54,M406=phu!$I$55,M406=phu!$I$56,M406=phu!$I$57,M406=phu!$I$58,M406=phu!$I$59,M406=phu!$I$60,M406=phu!$I$61,M406=phu!$I$62),"Cam Lợi",""),IF(OR(M406=phu!$I$63,M406=phu!$I$64,M406=phu!$I$65,M406=phu!$I$66,M406=phu!$I$67,M406=phu!$I$68,M406=phu!$I$69,M406=phu!$I$70,M406=phu!$I$71),"Ba Ngòi",""),IF(OR(M406=phu!$I$72,M406=phu!$I$73,M406=phu!$I$74,M406=phu!$I$75,M406=phu!$I$76,M406=phu!$I$77,M406=phu!$I$78),"Cam Phước Đông",""),IF(OR(M406=phu!$I$79,M406=phu!$I$80,M406=phu!$I$81,M406=phu!$I$82,M406=phu!$I$83,M406=phu!$I$84),"Cam Thịnh Đông",""),IF(OR(M406=phu!$I$85,M406=phu!$I$86,M406=phu!$I$87,M406=phu!$I$88),"Cam Thịnh Tây",""),IF(OR(M406=phu!$I$89,M406=phu!$I$90),"Cam Lập",""),IF(OR(M406=phu!$I$91,M406=phu!$I$92,M406=phu!$I$93),"Cam Bình",""),IF(OR(M406=phu!$I$94,M406=phu!$I$95,M406=phu!$I$96,M406=phu!$I$97,M406=phu!$I$98,M406=phu!$I$99,M406=phu!$I$100),"Huyện khác",""),IF(OR(M406=phu!$I$101,M406=phu!$I$102),"Tỉnh khác",""))</f>
        <v/>
      </c>
      <c r="O406" s="829" t="str">
        <f t="shared" si="36"/>
        <v/>
      </c>
      <c r="P406" s="254"/>
      <c r="Q406" s="254"/>
      <c r="R406" s="254"/>
      <c r="S406" s="254"/>
      <c r="T406" s="254"/>
      <c r="U406" s="254"/>
      <c r="V406" s="254"/>
      <c r="W406" s="254"/>
      <c r="Y406" s="246" t="str">
        <f t="shared" si="37"/>
        <v/>
      </c>
      <c r="Z406" s="247" t="str">
        <f t="shared" si="41"/>
        <v/>
      </c>
      <c r="AA406" s="246" t="str">
        <f t="shared" si="38"/>
        <v/>
      </c>
    </row>
    <row r="407" spans="1:27" ht="18" customHeight="1" x14ac:dyDescent="0.25">
      <c r="A407" s="248" t="str">
        <f t="shared" si="39"/>
        <v/>
      </c>
      <c r="B407" s="249" t="str">
        <f t="shared" si="40"/>
        <v/>
      </c>
      <c r="C407" s="250"/>
      <c r="D407" s="251"/>
      <c r="E407" s="241"/>
      <c r="F407" s="252"/>
      <c r="G407" s="252"/>
      <c r="H407" s="253"/>
      <c r="I407" s="250"/>
      <c r="J407" s="250"/>
      <c r="K407" s="270"/>
      <c r="L407" s="250"/>
      <c r="M407" s="250"/>
      <c r="N407" s="540" t="str">
        <f>CONCATENATE(IF(OR(M407=phu!$I$1,M407=phu!$I$2,M407=phu!$I$3),"Cam Thành Nam",""),IF(OR(M407=phu!$I$4,M407=phu!$I$5,M407=phu!$I$6,M407=phu!$I$7,M407=phu!$I$8,M407=phu!$I$9,M407=phu!$I$10,M407=phu!$I$11,M407=phu!$I$12,M407=phu!$I$13,M407=phu!$I$14),"Cam Nghĩa",""),IF(OR(M407=phu!$I$15,M407=phu!$I$16,M407=phu!$I$17,M407=phu!$I$18,M407=phu!$I$19,M407=phu!$I$20,M407=phu!$I$21),"Cam Phúc Bắc",""),IF(OR(M407=phu!$I$22,M407=phu!$I$23,M407=phu!$I$24,M407=phu!$I$25),"Cam Phúc Nam",""),IF(OR(M407=phu!$I$26,M407=phu!$I$27,M407=phu!$I$28,M407=phu!$I$29,M407=phu!$I$30,M407=phu!$I$31),"Cam Phú",""),IF(OR(M407=phu!$I$32,M407=phu!$I$33,M407=phu!$I$34,M407=phu!$I$35,M407=phu!$I$36,M407=phu!$I$37),"Cam Lộc",""),IF(OR(M407=phu!$I$38,M407=phu!$I$39,M407=phu!$I$40,M407=phu!$I$41,M407=phu!$I$42,M407=phu!$I$43,M407=phu!$I$44),"Cam Thuận",""),IF(OR(M407=phu!$I$45,M407=phu!$I$46,M407=phu!$I$47,M407=phu!$I$48,M407=phu!$I$49,M407=phu!$I$50,M407=phu!$I$51,M407=phu!$I$52,M407=phu!$I$53),"Cam Linh",""),IF(OR(M407=phu!$I$54,M407=phu!$I$55,M407=phu!$I$56,M407=phu!$I$57,M407=phu!$I$58,M407=phu!$I$59,M407=phu!$I$60,M407=phu!$I$61,M407=phu!$I$62),"Cam Lợi",""),IF(OR(M407=phu!$I$63,M407=phu!$I$64,M407=phu!$I$65,M407=phu!$I$66,M407=phu!$I$67,M407=phu!$I$68,M407=phu!$I$69,M407=phu!$I$70,M407=phu!$I$71),"Ba Ngòi",""),IF(OR(M407=phu!$I$72,M407=phu!$I$73,M407=phu!$I$74,M407=phu!$I$75,M407=phu!$I$76,M407=phu!$I$77,M407=phu!$I$78),"Cam Phước Đông",""),IF(OR(M407=phu!$I$79,M407=phu!$I$80,M407=phu!$I$81,M407=phu!$I$82,M407=phu!$I$83,M407=phu!$I$84),"Cam Thịnh Đông",""),IF(OR(M407=phu!$I$85,M407=phu!$I$86,M407=phu!$I$87,M407=phu!$I$88),"Cam Thịnh Tây",""),IF(OR(M407=phu!$I$89,M407=phu!$I$90),"Cam Lập",""),IF(OR(M407=phu!$I$91,M407=phu!$I$92,M407=phu!$I$93),"Cam Bình",""),IF(OR(M407=phu!$I$94,M407=phu!$I$95,M407=phu!$I$96,M407=phu!$I$97,M407=phu!$I$98,M407=phu!$I$99,M407=phu!$I$100),"Huyện khác",""),IF(OR(M407=phu!$I$101,M407=phu!$I$102),"Tỉnh khác",""))</f>
        <v/>
      </c>
      <c r="O407" s="829" t="str">
        <f t="shared" si="36"/>
        <v/>
      </c>
      <c r="P407" s="254"/>
      <c r="Q407" s="254"/>
      <c r="R407" s="254"/>
      <c r="S407" s="254"/>
      <c r="T407" s="254"/>
      <c r="U407" s="254"/>
      <c r="V407" s="254"/>
      <c r="W407" s="254"/>
      <c r="Y407" s="246" t="str">
        <f t="shared" si="37"/>
        <v/>
      </c>
      <c r="Z407" s="247" t="str">
        <f t="shared" si="41"/>
        <v/>
      </c>
      <c r="AA407" s="246" t="str">
        <f t="shared" si="38"/>
        <v/>
      </c>
    </row>
    <row r="408" spans="1:27" ht="18" customHeight="1" x14ac:dyDescent="0.25">
      <c r="A408" s="248" t="str">
        <f t="shared" si="39"/>
        <v/>
      </c>
      <c r="B408" s="249" t="str">
        <f t="shared" si="40"/>
        <v/>
      </c>
      <c r="C408" s="250"/>
      <c r="D408" s="251"/>
      <c r="E408" s="241"/>
      <c r="F408" s="252"/>
      <c r="G408" s="252"/>
      <c r="H408" s="253"/>
      <c r="I408" s="250"/>
      <c r="J408" s="250"/>
      <c r="K408" s="270"/>
      <c r="L408" s="250"/>
      <c r="M408" s="250"/>
      <c r="N408" s="540" t="str">
        <f>CONCATENATE(IF(OR(M408=phu!$I$1,M408=phu!$I$2,M408=phu!$I$3),"Cam Thành Nam",""),IF(OR(M408=phu!$I$4,M408=phu!$I$5,M408=phu!$I$6,M408=phu!$I$7,M408=phu!$I$8,M408=phu!$I$9,M408=phu!$I$10,M408=phu!$I$11,M408=phu!$I$12,M408=phu!$I$13,M408=phu!$I$14),"Cam Nghĩa",""),IF(OR(M408=phu!$I$15,M408=phu!$I$16,M408=phu!$I$17,M408=phu!$I$18,M408=phu!$I$19,M408=phu!$I$20,M408=phu!$I$21),"Cam Phúc Bắc",""),IF(OR(M408=phu!$I$22,M408=phu!$I$23,M408=phu!$I$24,M408=phu!$I$25),"Cam Phúc Nam",""),IF(OR(M408=phu!$I$26,M408=phu!$I$27,M408=phu!$I$28,M408=phu!$I$29,M408=phu!$I$30,M408=phu!$I$31),"Cam Phú",""),IF(OR(M408=phu!$I$32,M408=phu!$I$33,M408=phu!$I$34,M408=phu!$I$35,M408=phu!$I$36,M408=phu!$I$37),"Cam Lộc",""),IF(OR(M408=phu!$I$38,M408=phu!$I$39,M408=phu!$I$40,M408=phu!$I$41,M408=phu!$I$42,M408=phu!$I$43,M408=phu!$I$44),"Cam Thuận",""),IF(OR(M408=phu!$I$45,M408=phu!$I$46,M408=phu!$I$47,M408=phu!$I$48,M408=phu!$I$49,M408=phu!$I$50,M408=phu!$I$51,M408=phu!$I$52,M408=phu!$I$53),"Cam Linh",""),IF(OR(M408=phu!$I$54,M408=phu!$I$55,M408=phu!$I$56,M408=phu!$I$57,M408=phu!$I$58,M408=phu!$I$59,M408=phu!$I$60,M408=phu!$I$61,M408=phu!$I$62),"Cam Lợi",""),IF(OR(M408=phu!$I$63,M408=phu!$I$64,M408=phu!$I$65,M408=phu!$I$66,M408=phu!$I$67,M408=phu!$I$68,M408=phu!$I$69,M408=phu!$I$70,M408=phu!$I$71),"Ba Ngòi",""),IF(OR(M408=phu!$I$72,M408=phu!$I$73,M408=phu!$I$74,M408=phu!$I$75,M408=phu!$I$76,M408=phu!$I$77,M408=phu!$I$78),"Cam Phước Đông",""),IF(OR(M408=phu!$I$79,M408=phu!$I$80,M408=phu!$I$81,M408=phu!$I$82,M408=phu!$I$83,M408=phu!$I$84),"Cam Thịnh Đông",""),IF(OR(M408=phu!$I$85,M408=phu!$I$86,M408=phu!$I$87,M408=phu!$I$88),"Cam Thịnh Tây",""),IF(OR(M408=phu!$I$89,M408=phu!$I$90),"Cam Lập",""),IF(OR(M408=phu!$I$91,M408=phu!$I$92,M408=phu!$I$93),"Cam Bình",""),IF(OR(M408=phu!$I$94,M408=phu!$I$95,M408=phu!$I$96,M408=phu!$I$97,M408=phu!$I$98,M408=phu!$I$99,M408=phu!$I$100),"Huyện khác",""),IF(OR(M408=phu!$I$101,M408=phu!$I$102),"Tỉnh khác",""))</f>
        <v/>
      </c>
      <c r="O408" s="829" t="str">
        <f t="shared" si="36"/>
        <v/>
      </c>
      <c r="P408" s="254"/>
      <c r="Q408" s="254"/>
      <c r="R408" s="254"/>
      <c r="S408" s="254"/>
      <c r="T408" s="254"/>
      <c r="U408" s="254"/>
      <c r="V408" s="254"/>
      <c r="W408" s="254"/>
      <c r="Y408" s="246" t="str">
        <f t="shared" si="37"/>
        <v/>
      </c>
      <c r="Z408" s="247" t="str">
        <f t="shared" si="41"/>
        <v/>
      </c>
      <c r="AA408" s="246" t="str">
        <f t="shared" si="38"/>
        <v/>
      </c>
    </row>
    <row r="409" spans="1:27" ht="18" customHeight="1" x14ac:dyDescent="0.25">
      <c r="A409" s="248" t="str">
        <f t="shared" si="39"/>
        <v/>
      </c>
      <c r="B409" s="249" t="str">
        <f t="shared" si="40"/>
        <v/>
      </c>
      <c r="C409" s="250"/>
      <c r="D409" s="251"/>
      <c r="E409" s="241"/>
      <c r="F409" s="252"/>
      <c r="G409" s="252"/>
      <c r="H409" s="253"/>
      <c r="I409" s="250"/>
      <c r="J409" s="250"/>
      <c r="K409" s="270"/>
      <c r="L409" s="250"/>
      <c r="M409" s="250"/>
      <c r="N409" s="540" t="str">
        <f>CONCATENATE(IF(OR(M409=phu!$I$1,M409=phu!$I$2,M409=phu!$I$3),"Cam Thành Nam",""),IF(OR(M409=phu!$I$4,M409=phu!$I$5,M409=phu!$I$6,M409=phu!$I$7,M409=phu!$I$8,M409=phu!$I$9,M409=phu!$I$10,M409=phu!$I$11,M409=phu!$I$12,M409=phu!$I$13,M409=phu!$I$14),"Cam Nghĩa",""),IF(OR(M409=phu!$I$15,M409=phu!$I$16,M409=phu!$I$17,M409=phu!$I$18,M409=phu!$I$19,M409=phu!$I$20,M409=phu!$I$21),"Cam Phúc Bắc",""),IF(OR(M409=phu!$I$22,M409=phu!$I$23,M409=phu!$I$24,M409=phu!$I$25),"Cam Phúc Nam",""),IF(OR(M409=phu!$I$26,M409=phu!$I$27,M409=phu!$I$28,M409=phu!$I$29,M409=phu!$I$30,M409=phu!$I$31),"Cam Phú",""),IF(OR(M409=phu!$I$32,M409=phu!$I$33,M409=phu!$I$34,M409=phu!$I$35,M409=phu!$I$36,M409=phu!$I$37),"Cam Lộc",""),IF(OR(M409=phu!$I$38,M409=phu!$I$39,M409=phu!$I$40,M409=phu!$I$41,M409=phu!$I$42,M409=phu!$I$43,M409=phu!$I$44),"Cam Thuận",""),IF(OR(M409=phu!$I$45,M409=phu!$I$46,M409=phu!$I$47,M409=phu!$I$48,M409=phu!$I$49,M409=phu!$I$50,M409=phu!$I$51,M409=phu!$I$52,M409=phu!$I$53),"Cam Linh",""),IF(OR(M409=phu!$I$54,M409=phu!$I$55,M409=phu!$I$56,M409=phu!$I$57,M409=phu!$I$58,M409=phu!$I$59,M409=phu!$I$60,M409=phu!$I$61,M409=phu!$I$62),"Cam Lợi",""),IF(OR(M409=phu!$I$63,M409=phu!$I$64,M409=phu!$I$65,M409=phu!$I$66,M409=phu!$I$67,M409=phu!$I$68,M409=phu!$I$69,M409=phu!$I$70,M409=phu!$I$71),"Ba Ngòi",""),IF(OR(M409=phu!$I$72,M409=phu!$I$73,M409=phu!$I$74,M409=phu!$I$75,M409=phu!$I$76,M409=phu!$I$77,M409=phu!$I$78),"Cam Phước Đông",""),IF(OR(M409=phu!$I$79,M409=phu!$I$80,M409=phu!$I$81,M409=phu!$I$82,M409=phu!$I$83,M409=phu!$I$84),"Cam Thịnh Đông",""),IF(OR(M409=phu!$I$85,M409=phu!$I$86,M409=phu!$I$87,M409=phu!$I$88),"Cam Thịnh Tây",""),IF(OR(M409=phu!$I$89,M409=phu!$I$90),"Cam Lập",""),IF(OR(M409=phu!$I$91,M409=phu!$I$92,M409=phu!$I$93),"Cam Bình",""),IF(OR(M409=phu!$I$94,M409=phu!$I$95,M409=phu!$I$96,M409=phu!$I$97,M409=phu!$I$98,M409=phu!$I$99,M409=phu!$I$100),"Huyện khác",""),IF(OR(M409=phu!$I$101,M409=phu!$I$102),"Tỉnh khác",""))</f>
        <v/>
      </c>
      <c r="O409" s="829" t="str">
        <f t="shared" si="36"/>
        <v/>
      </c>
      <c r="P409" s="254"/>
      <c r="Q409" s="254"/>
      <c r="R409" s="254"/>
      <c r="S409" s="254"/>
      <c r="T409" s="254"/>
      <c r="U409" s="254"/>
      <c r="V409" s="254"/>
      <c r="W409" s="254"/>
      <c r="Y409" s="246" t="str">
        <f t="shared" si="37"/>
        <v/>
      </c>
      <c r="Z409" s="247" t="str">
        <f t="shared" si="41"/>
        <v/>
      </c>
      <c r="AA409" s="246" t="str">
        <f t="shared" si="38"/>
        <v/>
      </c>
    </row>
    <row r="410" spans="1:27" ht="18" customHeight="1" x14ac:dyDescent="0.25">
      <c r="A410" s="248" t="str">
        <f t="shared" si="39"/>
        <v/>
      </c>
      <c r="B410" s="249" t="str">
        <f t="shared" si="40"/>
        <v/>
      </c>
      <c r="C410" s="250"/>
      <c r="D410" s="251"/>
      <c r="E410" s="241"/>
      <c r="F410" s="252"/>
      <c r="G410" s="252"/>
      <c r="H410" s="253"/>
      <c r="I410" s="250"/>
      <c r="J410" s="250"/>
      <c r="K410" s="270"/>
      <c r="L410" s="250"/>
      <c r="M410" s="250"/>
      <c r="N410" s="540" t="str">
        <f>CONCATENATE(IF(OR(M410=phu!$I$1,M410=phu!$I$2,M410=phu!$I$3),"Cam Thành Nam",""),IF(OR(M410=phu!$I$4,M410=phu!$I$5,M410=phu!$I$6,M410=phu!$I$7,M410=phu!$I$8,M410=phu!$I$9,M410=phu!$I$10,M410=phu!$I$11,M410=phu!$I$12,M410=phu!$I$13,M410=phu!$I$14),"Cam Nghĩa",""),IF(OR(M410=phu!$I$15,M410=phu!$I$16,M410=phu!$I$17,M410=phu!$I$18,M410=phu!$I$19,M410=phu!$I$20,M410=phu!$I$21),"Cam Phúc Bắc",""),IF(OR(M410=phu!$I$22,M410=phu!$I$23,M410=phu!$I$24,M410=phu!$I$25),"Cam Phúc Nam",""),IF(OR(M410=phu!$I$26,M410=phu!$I$27,M410=phu!$I$28,M410=phu!$I$29,M410=phu!$I$30,M410=phu!$I$31),"Cam Phú",""),IF(OR(M410=phu!$I$32,M410=phu!$I$33,M410=phu!$I$34,M410=phu!$I$35,M410=phu!$I$36,M410=phu!$I$37),"Cam Lộc",""),IF(OR(M410=phu!$I$38,M410=phu!$I$39,M410=phu!$I$40,M410=phu!$I$41,M410=phu!$I$42,M410=phu!$I$43,M410=phu!$I$44),"Cam Thuận",""),IF(OR(M410=phu!$I$45,M410=phu!$I$46,M410=phu!$I$47,M410=phu!$I$48,M410=phu!$I$49,M410=phu!$I$50,M410=phu!$I$51,M410=phu!$I$52,M410=phu!$I$53),"Cam Linh",""),IF(OR(M410=phu!$I$54,M410=phu!$I$55,M410=phu!$I$56,M410=phu!$I$57,M410=phu!$I$58,M410=phu!$I$59,M410=phu!$I$60,M410=phu!$I$61,M410=phu!$I$62),"Cam Lợi",""),IF(OR(M410=phu!$I$63,M410=phu!$I$64,M410=phu!$I$65,M410=phu!$I$66,M410=phu!$I$67,M410=phu!$I$68,M410=phu!$I$69,M410=phu!$I$70,M410=phu!$I$71),"Ba Ngòi",""),IF(OR(M410=phu!$I$72,M410=phu!$I$73,M410=phu!$I$74,M410=phu!$I$75,M410=phu!$I$76,M410=phu!$I$77,M410=phu!$I$78),"Cam Phước Đông",""),IF(OR(M410=phu!$I$79,M410=phu!$I$80,M410=phu!$I$81,M410=phu!$I$82,M410=phu!$I$83,M410=phu!$I$84),"Cam Thịnh Đông",""),IF(OR(M410=phu!$I$85,M410=phu!$I$86,M410=phu!$I$87,M410=phu!$I$88),"Cam Thịnh Tây",""),IF(OR(M410=phu!$I$89,M410=phu!$I$90),"Cam Lập",""),IF(OR(M410=phu!$I$91,M410=phu!$I$92,M410=phu!$I$93),"Cam Bình",""),IF(OR(M410=phu!$I$94,M410=phu!$I$95,M410=phu!$I$96,M410=phu!$I$97,M410=phu!$I$98,M410=phu!$I$99,M410=phu!$I$100),"Huyện khác",""),IF(OR(M410=phu!$I$101,M410=phu!$I$102),"Tỉnh khác",""))</f>
        <v/>
      </c>
      <c r="O410" s="829" t="str">
        <f t="shared" si="36"/>
        <v/>
      </c>
      <c r="P410" s="254"/>
      <c r="Q410" s="254"/>
      <c r="R410" s="254"/>
      <c r="S410" s="254"/>
      <c r="T410" s="254"/>
      <c r="U410" s="254"/>
      <c r="V410" s="254"/>
      <c r="W410" s="254"/>
      <c r="Y410" s="246" t="str">
        <f t="shared" si="37"/>
        <v/>
      </c>
      <c r="Z410" s="247" t="str">
        <f t="shared" si="41"/>
        <v/>
      </c>
      <c r="AA410" s="246" t="str">
        <f t="shared" si="38"/>
        <v/>
      </c>
    </row>
    <row r="411" spans="1:27" ht="18" customHeight="1" x14ac:dyDescent="0.25">
      <c r="A411" s="248" t="str">
        <f t="shared" si="39"/>
        <v/>
      </c>
      <c r="B411" s="249" t="str">
        <f t="shared" si="40"/>
        <v/>
      </c>
      <c r="C411" s="250"/>
      <c r="D411" s="251"/>
      <c r="E411" s="241"/>
      <c r="F411" s="252"/>
      <c r="G411" s="252"/>
      <c r="H411" s="253"/>
      <c r="I411" s="250"/>
      <c r="J411" s="250"/>
      <c r="K411" s="270"/>
      <c r="L411" s="250"/>
      <c r="M411" s="250"/>
      <c r="N411" s="540" t="str">
        <f>CONCATENATE(IF(OR(M411=phu!$I$1,M411=phu!$I$2,M411=phu!$I$3),"Cam Thành Nam",""),IF(OR(M411=phu!$I$4,M411=phu!$I$5,M411=phu!$I$6,M411=phu!$I$7,M411=phu!$I$8,M411=phu!$I$9,M411=phu!$I$10,M411=phu!$I$11,M411=phu!$I$12,M411=phu!$I$13,M411=phu!$I$14),"Cam Nghĩa",""),IF(OR(M411=phu!$I$15,M411=phu!$I$16,M411=phu!$I$17,M411=phu!$I$18,M411=phu!$I$19,M411=phu!$I$20,M411=phu!$I$21),"Cam Phúc Bắc",""),IF(OR(M411=phu!$I$22,M411=phu!$I$23,M411=phu!$I$24,M411=phu!$I$25),"Cam Phúc Nam",""),IF(OR(M411=phu!$I$26,M411=phu!$I$27,M411=phu!$I$28,M411=phu!$I$29,M411=phu!$I$30,M411=phu!$I$31),"Cam Phú",""),IF(OR(M411=phu!$I$32,M411=phu!$I$33,M411=phu!$I$34,M411=phu!$I$35,M411=phu!$I$36,M411=phu!$I$37),"Cam Lộc",""),IF(OR(M411=phu!$I$38,M411=phu!$I$39,M411=phu!$I$40,M411=phu!$I$41,M411=phu!$I$42,M411=phu!$I$43,M411=phu!$I$44),"Cam Thuận",""),IF(OR(M411=phu!$I$45,M411=phu!$I$46,M411=phu!$I$47,M411=phu!$I$48,M411=phu!$I$49,M411=phu!$I$50,M411=phu!$I$51,M411=phu!$I$52,M411=phu!$I$53),"Cam Linh",""),IF(OR(M411=phu!$I$54,M411=phu!$I$55,M411=phu!$I$56,M411=phu!$I$57,M411=phu!$I$58,M411=phu!$I$59,M411=phu!$I$60,M411=phu!$I$61,M411=phu!$I$62),"Cam Lợi",""),IF(OR(M411=phu!$I$63,M411=phu!$I$64,M411=phu!$I$65,M411=phu!$I$66,M411=phu!$I$67,M411=phu!$I$68,M411=phu!$I$69,M411=phu!$I$70,M411=phu!$I$71),"Ba Ngòi",""),IF(OR(M411=phu!$I$72,M411=phu!$I$73,M411=phu!$I$74,M411=phu!$I$75,M411=phu!$I$76,M411=phu!$I$77,M411=phu!$I$78),"Cam Phước Đông",""),IF(OR(M411=phu!$I$79,M411=phu!$I$80,M411=phu!$I$81,M411=phu!$I$82,M411=phu!$I$83,M411=phu!$I$84),"Cam Thịnh Đông",""),IF(OR(M411=phu!$I$85,M411=phu!$I$86,M411=phu!$I$87,M411=phu!$I$88),"Cam Thịnh Tây",""),IF(OR(M411=phu!$I$89,M411=phu!$I$90),"Cam Lập",""),IF(OR(M411=phu!$I$91,M411=phu!$I$92,M411=phu!$I$93),"Cam Bình",""),IF(OR(M411=phu!$I$94,M411=phu!$I$95,M411=phu!$I$96,M411=phu!$I$97,M411=phu!$I$98,M411=phu!$I$99,M411=phu!$I$100),"Huyện khác",""),IF(OR(M411=phu!$I$101,M411=phu!$I$102),"Tỉnh khác",""))</f>
        <v/>
      </c>
      <c r="O411" s="829" t="str">
        <f t="shared" si="36"/>
        <v/>
      </c>
      <c r="P411" s="254"/>
      <c r="Q411" s="254"/>
      <c r="R411" s="254"/>
      <c r="S411" s="254"/>
      <c r="T411" s="254"/>
      <c r="U411" s="254"/>
      <c r="V411" s="254"/>
      <c r="W411" s="254"/>
      <c r="Y411" s="246" t="str">
        <f t="shared" si="37"/>
        <v/>
      </c>
      <c r="Z411" s="247" t="str">
        <f t="shared" si="41"/>
        <v/>
      </c>
      <c r="AA411" s="246" t="str">
        <f t="shared" si="38"/>
        <v/>
      </c>
    </row>
    <row r="412" spans="1:27" ht="18" customHeight="1" x14ac:dyDescent="0.25">
      <c r="A412" s="248" t="str">
        <f t="shared" si="39"/>
        <v/>
      </c>
      <c r="B412" s="249" t="str">
        <f t="shared" si="40"/>
        <v/>
      </c>
      <c r="C412" s="250"/>
      <c r="D412" s="251"/>
      <c r="E412" s="241"/>
      <c r="F412" s="252"/>
      <c r="G412" s="252"/>
      <c r="H412" s="253"/>
      <c r="I412" s="250"/>
      <c r="J412" s="250"/>
      <c r="K412" s="270"/>
      <c r="L412" s="250"/>
      <c r="M412" s="250"/>
      <c r="N412" s="540" t="str">
        <f>CONCATENATE(IF(OR(M412=phu!$I$1,M412=phu!$I$2,M412=phu!$I$3),"Cam Thành Nam",""),IF(OR(M412=phu!$I$4,M412=phu!$I$5,M412=phu!$I$6,M412=phu!$I$7,M412=phu!$I$8,M412=phu!$I$9,M412=phu!$I$10,M412=phu!$I$11,M412=phu!$I$12,M412=phu!$I$13,M412=phu!$I$14),"Cam Nghĩa",""),IF(OR(M412=phu!$I$15,M412=phu!$I$16,M412=phu!$I$17,M412=phu!$I$18,M412=phu!$I$19,M412=phu!$I$20,M412=phu!$I$21),"Cam Phúc Bắc",""),IF(OR(M412=phu!$I$22,M412=phu!$I$23,M412=phu!$I$24,M412=phu!$I$25),"Cam Phúc Nam",""),IF(OR(M412=phu!$I$26,M412=phu!$I$27,M412=phu!$I$28,M412=phu!$I$29,M412=phu!$I$30,M412=phu!$I$31),"Cam Phú",""),IF(OR(M412=phu!$I$32,M412=phu!$I$33,M412=phu!$I$34,M412=phu!$I$35,M412=phu!$I$36,M412=phu!$I$37),"Cam Lộc",""),IF(OR(M412=phu!$I$38,M412=phu!$I$39,M412=phu!$I$40,M412=phu!$I$41,M412=phu!$I$42,M412=phu!$I$43,M412=phu!$I$44),"Cam Thuận",""),IF(OR(M412=phu!$I$45,M412=phu!$I$46,M412=phu!$I$47,M412=phu!$I$48,M412=phu!$I$49,M412=phu!$I$50,M412=phu!$I$51,M412=phu!$I$52,M412=phu!$I$53),"Cam Linh",""),IF(OR(M412=phu!$I$54,M412=phu!$I$55,M412=phu!$I$56,M412=phu!$I$57,M412=phu!$I$58,M412=phu!$I$59,M412=phu!$I$60,M412=phu!$I$61,M412=phu!$I$62),"Cam Lợi",""),IF(OR(M412=phu!$I$63,M412=phu!$I$64,M412=phu!$I$65,M412=phu!$I$66,M412=phu!$I$67,M412=phu!$I$68,M412=phu!$I$69,M412=phu!$I$70,M412=phu!$I$71),"Ba Ngòi",""),IF(OR(M412=phu!$I$72,M412=phu!$I$73,M412=phu!$I$74,M412=phu!$I$75,M412=phu!$I$76,M412=phu!$I$77,M412=phu!$I$78),"Cam Phước Đông",""),IF(OR(M412=phu!$I$79,M412=phu!$I$80,M412=phu!$I$81,M412=phu!$I$82,M412=phu!$I$83,M412=phu!$I$84),"Cam Thịnh Đông",""),IF(OR(M412=phu!$I$85,M412=phu!$I$86,M412=phu!$I$87,M412=phu!$I$88),"Cam Thịnh Tây",""),IF(OR(M412=phu!$I$89,M412=phu!$I$90),"Cam Lập",""),IF(OR(M412=phu!$I$91,M412=phu!$I$92,M412=phu!$I$93),"Cam Bình",""),IF(OR(M412=phu!$I$94,M412=phu!$I$95,M412=phu!$I$96,M412=phu!$I$97,M412=phu!$I$98,M412=phu!$I$99,M412=phu!$I$100),"Huyện khác",""),IF(OR(M412=phu!$I$101,M412=phu!$I$102),"Tỉnh khác",""))</f>
        <v/>
      </c>
      <c r="O412" s="829" t="str">
        <f t="shared" si="36"/>
        <v/>
      </c>
      <c r="P412" s="254"/>
      <c r="Q412" s="254"/>
      <c r="R412" s="254"/>
      <c r="S412" s="254"/>
      <c r="T412" s="254"/>
      <c r="U412" s="254"/>
      <c r="V412" s="254"/>
      <c r="W412" s="254"/>
      <c r="Y412" s="246" t="str">
        <f t="shared" si="37"/>
        <v/>
      </c>
      <c r="Z412" s="247" t="str">
        <f t="shared" si="41"/>
        <v/>
      </c>
      <c r="AA412" s="246" t="str">
        <f t="shared" si="38"/>
        <v/>
      </c>
    </row>
    <row r="413" spans="1:27" ht="18" customHeight="1" x14ac:dyDescent="0.25">
      <c r="A413" s="248" t="str">
        <f t="shared" si="39"/>
        <v/>
      </c>
      <c r="B413" s="249" t="str">
        <f t="shared" si="40"/>
        <v/>
      </c>
      <c r="C413" s="250"/>
      <c r="D413" s="251"/>
      <c r="E413" s="241"/>
      <c r="F413" s="252"/>
      <c r="G413" s="252"/>
      <c r="H413" s="253"/>
      <c r="I413" s="250"/>
      <c r="J413" s="250"/>
      <c r="K413" s="270"/>
      <c r="L413" s="250"/>
      <c r="M413" s="250"/>
      <c r="N413" s="540" t="str">
        <f>CONCATENATE(IF(OR(M413=phu!$I$1,M413=phu!$I$2,M413=phu!$I$3),"Cam Thành Nam",""),IF(OR(M413=phu!$I$4,M413=phu!$I$5,M413=phu!$I$6,M413=phu!$I$7,M413=phu!$I$8,M413=phu!$I$9,M413=phu!$I$10,M413=phu!$I$11,M413=phu!$I$12,M413=phu!$I$13,M413=phu!$I$14),"Cam Nghĩa",""),IF(OR(M413=phu!$I$15,M413=phu!$I$16,M413=phu!$I$17,M413=phu!$I$18,M413=phu!$I$19,M413=phu!$I$20,M413=phu!$I$21),"Cam Phúc Bắc",""),IF(OR(M413=phu!$I$22,M413=phu!$I$23,M413=phu!$I$24,M413=phu!$I$25),"Cam Phúc Nam",""),IF(OR(M413=phu!$I$26,M413=phu!$I$27,M413=phu!$I$28,M413=phu!$I$29,M413=phu!$I$30,M413=phu!$I$31),"Cam Phú",""),IF(OR(M413=phu!$I$32,M413=phu!$I$33,M413=phu!$I$34,M413=phu!$I$35,M413=phu!$I$36,M413=phu!$I$37),"Cam Lộc",""),IF(OR(M413=phu!$I$38,M413=phu!$I$39,M413=phu!$I$40,M413=phu!$I$41,M413=phu!$I$42,M413=phu!$I$43,M413=phu!$I$44),"Cam Thuận",""),IF(OR(M413=phu!$I$45,M413=phu!$I$46,M413=phu!$I$47,M413=phu!$I$48,M413=phu!$I$49,M413=phu!$I$50,M413=phu!$I$51,M413=phu!$I$52,M413=phu!$I$53),"Cam Linh",""),IF(OR(M413=phu!$I$54,M413=phu!$I$55,M413=phu!$I$56,M413=phu!$I$57,M413=phu!$I$58,M413=phu!$I$59,M413=phu!$I$60,M413=phu!$I$61,M413=phu!$I$62),"Cam Lợi",""),IF(OR(M413=phu!$I$63,M413=phu!$I$64,M413=phu!$I$65,M413=phu!$I$66,M413=phu!$I$67,M413=phu!$I$68,M413=phu!$I$69,M413=phu!$I$70,M413=phu!$I$71),"Ba Ngòi",""),IF(OR(M413=phu!$I$72,M413=phu!$I$73,M413=phu!$I$74,M413=phu!$I$75,M413=phu!$I$76,M413=phu!$I$77,M413=phu!$I$78),"Cam Phước Đông",""),IF(OR(M413=phu!$I$79,M413=phu!$I$80,M413=phu!$I$81,M413=phu!$I$82,M413=phu!$I$83,M413=phu!$I$84),"Cam Thịnh Đông",""),IF(OR(M413=phu!$I$85,M413=phu!$I$86,M413=phu!$I$87,M413=phu!$I$88),"Cam Thịnh Tây",""),IF(OR(M413=phu!$I$89,M413=phu!$I$90),"Cam Lập",""),IF(OR(M413=phu!$I$91,M413=phu!$I$92,M413=phu!$I$93),"Cam Bình",""),IF(OR(M413=phu!$I$94,M413=phu!$I$95,M413=phu!$I$96,M413=phu!$I$97,M413=phu!$I$98,M413=phu!$I$99,M413=phu!$I$100),"Huyện khác",""),IF(OR(M413=phu!$I$101,M413=phu!$I$102),"Tỉnh khác",""))</f>
        <v/>
      </c>
      <c r="O413" s="829" t="str">
        <f t="shared" si="36"/>
        <v/>
      </c>
      <c r="P413" s="254"/>
      <c r="Q413" s="254"/>
      <c r="R413" s="254"/>
      <c r="S413" s="254"/>
      <c r="T413" s="254"/>
      <c r="U413" s="254"/>
      <c r="V413" s="254"/>
      <c r="W413" s="254"/>
      <c r="Y413" s="246" t="str">
        <f t="shared" si="37"/>
        <v/>
      </c>
      <c r="Z413" s="247" t="str">
        <f t="shared" si="41"/>
        <v/>
      </c>
      <c r="AA413" s="246" t="str">
        <f t="shared" si="38"/>
        <v/>
      </c>
    </row>
    <row r="414" spans="1:27" ht="18" customHeight="1" x14ac:dyDescent="0.25">
      <c r="A414" s="248" t="str">
        <f t="shared" si="39"/>
        <v/>
      </c>
      <c r="B414" s="249" t="str">
        <f t="shared" si="40"/>
        <v/>
      </c>
      <c r="C414" s="250"/>
      <c r="D414" s="251"/>
      <c r="E414" s="241"/>
      <c r="F414" s="252"/>
      <c r="G414" s="252"/>
      <c r="H414" s="253"/>
      <c r="I414" s="250"/>
      <c r="J414" s="250"/>
      <c r="K414" s="270"/>
      <c r="L414" s="250"/>
      <c r="M414" s="250"/>
      <c r="N414" s="540" t="str">
        <f>CONCATENATE(IF(OR(M414=phu!$I$1,M414=phu!$I$2,M414=phu!$I$3),"Cam Thành Nam",""),IF(OR(M414=phu!$I$4,M414=phu!$I$5,M414=phu!$I$6,M414=phu!$I$7,M414=phu!$I$8,M414=phu!$I$9,M414=phu!$I$10,M414=phu!$I$11,M414=phu!$I$12,M414=phu!$I$13,M414=phu!$I$14),"Cam Nghĩa",""),IF(OR(M414=phu!$I$15,M414=phu!$I$16,M414=phu!$I$17,M414=phu!$I$18,M414=phu!$I$19,M414=phu!$I$20,M414=phu!$I$21),"Cam Phúc Bắc",""),IF(OR(M414=phu!$I$22,M414=phu!$I$23,M414=phu!$I$24,M414=phu!$I$25),"Cam Phúc Nam",""),IF(OR(M414=phu!$I$26,M414=phu!$I$27,M414=phu!$I$28,M414=phu!$I$29,M414=phu!$I$30,M414=phu!$I$31),"Cam Phú",""),IF(OR(M414=phu!$I$32,M414=phu!$I$33,M414=phu!$I$34,M414=phu!$I$35,M414=phu!$I$36,M414=phu!$I$37),"Cam Lộc",""),IF(OR(M414=phu!$I$38,M414=phu!$I$39,M414=phu!$I$40,M414=phu!$I$41,M414=phu!$I$42,M414=phu!$I$43,M414=phu!$I$44),"Cam Thuận",""),IF(OR(M414=phu!$I$45,M414=phu!$I$46,M414=phu!$I$47,M414=phu!$I$48,M414=phu!$I$49,M414=phu!$I$50,M414=phu!$I$51,M414=phu!$I$52,M414=phu!$I$53),"Cam Linh",""),IF(OR(M414=phu!$I$54,M414=phu!$I$55,M414=phu!$I$56,M414=phu!$I$57,M414=phu!$I$58,M414=phu!$I$59,M414=phu!$I$60,M414=phu!$I$61,M414=phu!$I$62),"Cam Lợi",""),IF(OR(M414=phu!$I$63,M414=phu!$I$64,M414=phu!$I$65,M414=phu!$I$66,M414=phu!$I$67,M414=phu!$I$68,M414=phu!$I$69,M414=phu!$I$70,M414=phu!$I$71),"Ba Ngòi",""),IF(OR(M414=phu!$I$72,M414=phu!$I$73,M414=phu!$I$74,M414=phu!$I$75,M414=phu!$I$76,M414=phu!$I$77,M414=phu!$I$78),"Cam Phước Đông",""),IF(OR(M414=phu!$I$79,M414=phu!$I$80,M414=phu!$I$81,M414=phu!$I$82,M414=phu!$I$83,M414=phu!$I$84),"Cam Thịnh Đông",""),IF(OR(M414=phu!$I$85,M414=phu!$I$86,M414=phu!$I$87,M414=phu!$I$88),"Cam Thịnh Tây",""),IF(OR(M414=phu!$I$89,M414=phu!$I$90),"Cam Lập",""),IF(OR(M414=phu!$I$91,M414=phu!$I$92,M414=phu!$I$93),"Cam Bình",""),IF(OR(M414=phu!$I$94,M414=phu!$I$95,M414=phu!$I$96,M414=phu!$I$97,M414=phu!$I$98,M414=phu!$I$99,M414=phu!$I$100),"Huyện khác",""),IF(OR(M414=phu!$I$101,M414=phu!$I$102),"Tỉnh khác",""))</f>
        <v/>
      </c>
      <c r="O414" s="829" t="str">
        <f t="shared" si="36"/>
        <v/>
      </c>
      <c r="P414" s="254"/>
      <c r="Q414" s="254"/>
      <c r="R414" s="254"/>
      <c r="S414" s="254"/>
      <c r="T414" s="254"/>
      <c r="U414" s="254"/>
      <c r="V414" s="254"/>
      <c r="W414" s="254"/>
      <c r="Y414" s="246" t="str">
        <f t="shared" si="37"/>
        <v/>
      </c>
      <c r="Z414" s="247" t="str">
        <f t="shared" si="41"/>
        <v/>
      </c>
      <c r="AA414" s="246" t="str">
        <f t="shared" si="38"/>
        <v/>
      </c>
    </row>
    <row r="415" spans="1:27" ht="18" customHeight="1" x14ac:dyDescent="0.25">
      <c r="A415" s="248" t="str">
        <f t="shared" si="39"/>
        <v/>
      </c>
      <c r="B415" s="249" t="str">
        <f t="shared" si="40"/>
        <v/>
      </c>
      <c r="C415" s="250"/>
      <c r="D415" s="251"/>
      <c r="E415" s="241"/>
      <c r="F415" s="252"/>
      <c r="G415" s="252"/>
      <c r="H415" s="253"/>
      <c r="I415" s="250"/>
      <c r="J415" s="250"/>
      <c r="K415" s="270"/>
      <c r="L415" s="250"/>
      <c r="M415" s="250"/>
      <c r="N415" s="540" t="str">
        <f>CONCATENATE(IF(OR(M415=phu!$I$1,M415=phu!$I$2,M415=phu!$I$3),"Cam Thành Nam",""),IF(OR(M415=phu!$I$4,M415=phu!$I$5,M415=phu!$I$6,M415=phu!$I$7,M415=phu!$I$8,M415=phu!$I$9,M415=phu!$I$10,M415=phu!$I$11,M415=phu!$I$12,M415=phu!$I$13,M415=phu!$I$14),"Cam Nghĩa",""),IF(OR(M415=phu!$I$15,M415=phu!$I$16,M415=phu!$I$17,M415=phu!$I$18,M415=phu!$I$19,M415=phu!$I$20,M415=phu!$I$21),"Cam Phúc Bắc",""),IF(OR(M415=phu!$I$22,M415=phu!$I$23,M415=phu!$I$24,M415=phu!$I$25),"Cam Phúc Nam",""),IF(OR(M415=phu!$I$26,M415=phu!$I$27,M415=phu!$I$28,M415=phu!$I$29,M415=phu!$I$30,M415=phu!$I$31),"Cam Phú",""),IF(OR(M415=phu!$I$32,M415=phu!$I$33,M415=phu!$I$34,M415=phu!$I$35,M415=phu!$I$36,M415=phu!$I$37),"Cam Lộc",""),IF(OR(M415=phu!$I$38,M415=phu!$I$39,M415=phu!$I$40,M415=phu!$I$41,M415=phu!$I$42,M415=phu!$I$43,M415=phu!$I$44),"Cam Thuận",""),IF(OR(M415=phu!$I$45,M415=phu!$I$46,M415=phu!$I$47,M415=phu!$I$48,M415=phu!$I$49,M415=phu!$I$50,M415=phu!$I$51,M415=phu!$I$52,M415=phu!$I$53),"Cam Linh",""),IF(OR(M415=phu!$I$54,M415=phu!$I$55,M415=phu!$I$56,M415=phu!$I$57,M415=phu!$I$58,M415=phu!$I$59,M415=phu!$I$60,M415=phu!$I$61,M415=phu!$I$62),"Cam Lợi",""),IF(OR(M415=phu!$I$63,M415=phu!$I$64,M415=phu!$I$65,M415=phu!$I$66,M415=phu!$I$67,M415=phu!$I$68,M415=phu!$I$69,M415=phu!$I$70,M415=phu!$I$71),"Ba Ngòi",""),IF(OR(M415=phu!$I$72,M415=phu!$I$73,M415=phu!$I$74,M415=phu!$I$75,M415=phu!$I$76,M415=phu!$I$77,M415=phu!$I$78),"Cam Phước Đông",""),IF(OR(M415=phu!$I$79,M415=phu!$I$80,M415=phu!$I$81,M415=phu!$I$82,M415=phu!$I$83,M415=phu!$I$84),"Cam Thịnh Đông",""),IF(OR(M415=phu!$I$85,M415=phu!$I$86,M415=phu!$I$87,M415=phu!$I$88),"Cam Thịnh Tây",""),IF(OR(M415=phu!$I$89,M415=phu!$I$90),"Cam Lập",""),IF(OR(M415=phu!$I$91,M415=phu!$I$92,M415=phu!$I$93),"Cam Bình",""),IF(OR(M415=phu!$I$94,M415=phu!$I$95,M415=phu!$I$96,M415=phu!$I$97,M415=phu!$I$98,M415=phu!$I$99,M415=phu!$I$100),"Huyện khác",""),IF(OR(M415=phu!$I$101,M415=phu!$I$102),"Tỉnh khác",""))</f>
        <v/>
      </c>
      <c r="O415" s="829" t="str">
        <f t="shared" si="36"/>
        <v/>
      </c>
      <c r="P415" s="254"/>
      <c r="Q415" s="254"/>
      <c r="R415" s="254"/>
      <c r="S415" s="254"/>
      <c r="T415" s="254"/>
      <c r="U415" s="254"/>
      <c r="V415" s="254"/>
      <c r="W415" s="254"/>
      <c r="Y415" s="246" t="str">
        <f t="shared" si="37"/>
        <v/>
      </c>
      <c r="Z415" s="247" t="str">
        <f t="shared" si="41"/>
        <v/>
      </c>
      <c r="AA415" s="246" t="str">
        <f t="shared" si="38"/>
        <v/>
      </c>
    </row>
    <row r="416" spans="1:27" ht="18" customHeight="1" x14ac:dyDescent="0.25">
      <c r="A416" s="248" t="str">
        <f t="shared" si="39"/>
        <v/>
      </c>
      <c r="B416" s="249" t="str">
        <f t="shared" si="40"/>
        <v/>
      </c>
      <c r="C416" s="250"/>
      <c r="D416" s="251"/>
      <c r="E416" s="241"/>
      <c r="F416" s="252"/>
      <c r="G416" s="252"/>
      <c r="H416" s="253"/>
      <c r="I416" s="250"/>
      <c r="J416" s="250"/>
      <c r="K416" s="270"/>
      <c r="L416" s="250"/>
      <c r="M416" s="250"/>
      <c r="N416" s="540" t="str">
        <f>CONCATENATE(IF(OR(M416=phu!$I$1,M416=phu!$I$2,M416=phu!$I$3),"Cam Thành Nam",""),IF(OR(M416=phu!$I$4,M416=phu!$I$5,M416=phu!$I$6,M416=phu!$I$7,M416=phu!$I$8,M416=phu!$I$9,M416=phu!$I$10,M416=phu!$I$11,M416=phu!$I$12,M416=phu!$I$13,M416=phu!$I$14),"Cam Nghĩa",""),IF(OR(M416=phu!$I$15,M416=phu!$I$16,M416=phu!$I$17,M416=phu!$I$18,M416=phu!$I$19,M416=phu!$I$20,M416=phu!$I$21),"Cam Phúc Bắc",""),IF(OR(M416=phu!$I$22,M416=phu!$I$23,M416=phu!$I$24,M416=phu!$I$25),"Cam Phúc Nam",""),IF(OR(M416=phu!$I$26,M416=phu!$I$27,M416=phu!$I$28,M416=phu!$I$29,M416=phu!$I$30,M416=phu!$I$31),"Cam Phú",""),IF(OR(M416=phu!$I$32,M416=phu!$I$33,M416=phu!$I$34,M416=phu!$I$35,M416=phu!$I$36,M416=phu!$I$37),"Cam Lộc",""),IF(OR(M416=phu!$I$38,M416=phu!$I$39,M416=phu!$I$40,M416=phu!$I$41,M416=phu!$I$42,M416=phu!$I$43,M416=phu!$I$44),"Cam Thuận",""),IF(OR(M416=phu!$I$45,M416=phu!$I$46,M416=phu!$I$47,M416=phu!$I$48,M416=phu!$I$49,M416=phu!$I$50,M416=phu!$I$51,M416=phu!$I$52,M416=phu!$I$53),"Cam Linh",""),IF(OR(M416=phu!$I$54,M416=phu!$I$55,M416=phu!$I$56,M416=phu!$I$57,M416=phu!$I$58,M416=phu!$I$59,M416=phu!$I$60,M416=phu!$I$61,M416=phu!$I$62),"Cam Lợi",""),IF(OR(M416=phu!$I$63,M416=phu!$I$64,M416=phu!$I$65,M416=phu!$I$66,M416=phu!$I$67,M416=phu!$I$68,M416=phu!$I$69,M416=phu!$I$70,M416=phu!$I$71),"Ba Ngòi",""),IF(OR(M416=phu!$I$72,M416=phu!$I$73,M416=phu!$I$74,M416=phu!$I$75,M416=phu!$I$76,M416=phu!$I$77,M416=phu!$I$78),"Cam Phước Đông",""),IF(OR(M416=phu!$I$79,M416=phu!$I$80,M416=phu!$I$81,M416=phu!$I$82,M416=phu!$I$83,M416=phu!$I$84),"Cam Thịnh Đông",""),IF(OR(M416=phu!$I$85,M416=phu!$I$86,M416=phu!$I$87,M416=phu!$I$88),"Cam Thịnh Tây",""),IF(OR(M416=phu!$I$89,M416=phu!$I$90),"Cam Lập",""),IF(OR(M416=phu!$I$91,M416=phu!$I$92,M416=phu!$I$93),"Cam Bình",""),IF(OR(M416=phu!$I$94,M416=phu!$I$95,M416=phu!$I$96,M416=phu!$I$97,M416=phu!$I$98,M416=phu!$I$99,M416=phu!$I$100),"Huyện khác",""),IF(OR(M416=phu!$I$101,M416=phu!$I$102),"Tỉnh khác",""))</f>
        <v/>
      </c>
      <c r="O416" s="829" t="str">
        <f t="shared" si="36"/>
        <v/>
      </c>
      <c r="P416" s="254"/>
      <c r="Q416" s="254"/>
      <c r="R416" s="254"/>
      <c r="S416" s="254"/>
      <c r="T416" s="254"/>
      <c r="U416" s="254"/>
      <c r="V416" s="254"/>
      <c r="W416" s="254"/>
      <c r="Y416" s="246" t="str">
        <f t="shared" si="37"/>
        <v/>
      </c>
      <c r="Z416" s="247" t="str">
        <f t="shared" si="41"/>
        <v/>
      </c>
      <c r="AA416" s="246" t="str">
        <f t="shared" si="38"/>
        <v/>
      </c>
    </row>
    <row r="417" spans="1:27" ht="18" customHeight="1" x14ac:dyDescent="0.25">
      <c r="A417" s="248" t="str">
        <f t="shared" si="39"/>
        <v/>
      </c>
      <c r="B417" s="249" t="str">
        <f t="shared" si="40"/>
        <v/>
      </c>
      <c r="C417" s="250"/>
      <c r="D417" s="251"/>
      <c r="E417" s="241"/>
      <c r="F417" s="252"/>
      <c r="G417" s="252"/>
      <c r="H417" s="253"/>
      <c r="I417" s="250"/>
      <c r="J417" s="250"/>
      <c r="K417" s="270"/>
      <c r="L417" s="250"/>
      <c r="M417" s="250"/>
      <c r="N417" s="540" t="str">
        <f>CONCATENATE(IF(OR(M417=phu!$I$1,M417=phu!$I$2,M417=phu!$I$3),"Cam Thành Nam",""),IF(OR(M417=phu!$I$4,M417=phu!$I$5,M417=phu!$I$6,M417=phu!$I$7,M417=phu!$I$8,M417=phu!$I$9,M417=phu!$I$10,M417=phu!$I$11,M417=phu!$I$12,M417=phu!$I$13,M417=phu!$I$14),"Cam Nghĩa",""),IF(OR(M417=phu!$I$15,M417=phu!$I$16,M417=phu!$I$17,M417=phu!$I$18,M417=phu!$I$19,M417=phu!$I$20,M417=phu!$I$21),"Cam Phúc Bắc",""),IF(OR(M417=phu!$I$22,M417=phu!$I$23,M417=phu!$I$24,M417=phu!$I$25),"Cam Phúc Nam",""),IF(OR(M417=phu!$I$26,M417=phu!$I$27,M417=phu!$I$28,M417=phu!$I$29,M417=phu!$I$30,M417=phu!$I$31),"Cam Phú",""),IF(OR(M417=phu!$I$32,M417=phu!$I$33,M417=phu!$I$34,M417=phu!$I$35,M417=phu!$I$36,M417=phu!$I$37),"Cam Lộc",""),IF(OR(M417=phu!$I$38,M417=phu!$I$39,M417=phu!$I$40,M417=phu!$I$41,M417=phu!$I$42,M417=phu!$I$43,M417=phu!$I$44),"Cam Thuận",""),IF(OR(M417=phu!$I$45,M417=phu!$I$46,M417=phu!$I$47,M417=phu!$I$48,M417=phu!$I$49,M417=phu!$I$50,M417=phu!$I$51,M417=phu!$I$52,M417=phu!$I$53),"Cam Linh",""),IF(OR(M417=phu!$I$54,M417=phu!$I$55,M417=phu!$I$56,M417=phu!$I$57,M417=phu!$I$58,M417=phu!$I$59,M417=phu!$I$60,M417=phu!$I$61,M417=phu!$I$62),"Cam Lợi",""),IF(OR(M417=phu!$I$63,M417=phu!$I$64,M417=phu!$I$65,M417=phu!$I$66,M417=phu!$I$67,M417=phu!$I$68,M417=phu!$I$69,M417=phu!$I$70,M417=phu!$I$71),"Ba Ngòi",""),IF(OR(M417=phu!$I$72,M417=phu!$I$73,M417=phu!$I$74,M417=phu!$I$75,M417=phu!$I$76,M417=phu!$I$77,M417=phu!$I$78),"Cam Phước Đông",""),IF(OR(M417=phu!$I$79,M417=phu!$I$80,M417=phu!$I$81,M417=phu!$I$82,M417=phu!$I$83,M417=phu!$I$84),"Cam Thịnh Đông",""),IF(OR(M417=phu!$I$85,M417=phu!$I$86,M417=phu!$I$87,M417=phu!$I$88),"Cam Thịnh Tây",""),IF(OR(M417=phu!$I$89,M417=phu!$I$90),"Cam Lập",""),IF(OR(M417=phu!$I$91,M417=phu!$I$92,M417=phu!$I$93),"Cam Bình",""),IF(OR(M417=phu!$I$94,M417=phu!$I$95,M417=phu!$I$96,M417=phu!$I$97,M417=phu!$I$98,M417=phu!$I$99,M417=phu!$I$100),"Huyện khác",""),IF(OR(M417=phu!$I$101,M417=phu!$I$102),"Tỉnh khác",""))</f>
        <v/>
      </c>
      <c r="O417" s="829" t="str">
        <f t="shared" si="36"/>
        <v/>
      </c>
      <c r="P417" s="254"/>
      <c r="Q417" s="254"/>
      <c r="R417" s="254"/>
      <c r="S417" s="254"/>
      <c r="T417" s="254"/>
      <c r="U417" s="254"/>
      <c r="V417" s="254"/>
      <c r="W417" s="254"/>
      <c r="Y417" s="246" t="str">
        <f t="shared" si="37"/>
        <v/>
      </c>
      <c r="Z417" s="247" t="str">
        <f t="shared" si="41"/>
        <v/>
      </c>
      <c r="AA417" s="246" t="str">
        <f t="shared" si="38"/>
        <v/>
      </c>
    </row>
    <row r="418" spans="1:27" ht="18" customHeight="1" x14ac:dyDescent="0.25">
      <c r="A418" s="248" t="str">
        <f t="shared" si="39"/>
        <v/>
      </c>
      <c r="B418" s="249" t="str">
        <f t="shared" si="40"/>
        <v/>
      </c>
      <c r="C418" s="250"/>
      <c r="D418" s="251"/>
      <c r="E418" s="241"/>
      <c r="F418" s="252"/>
      <c r="G418" s="252"/>
      <c r="H418" s="253"/>
      <c r="I418" s="250"/>
      <c r="J418" s="250"/>
      <c r="K418" s="270"/>
      <c r="L418" s="250"/>
      <c r="M418" s="250"/>
      <c r="N418" s="540" t="str">
        <f>CONCATENATE(IF(OR(M418=phu!$I$1,M418=phu!$I$2,M418=phu!$I$3),"Cam Thành Nam",""),IF(OR(M418=phu!$I$4,M418=phu!$I$5,M418=phu!$I$6,M418=phu!$I$7,M418=phu!$I$8,M418=phu!$I$9,M418=phu!$I$10,M418=phu!$I$11,M418=phu!$I$12,M418=phu!$I$13,M418=phu!$I$14),"Cam Nghĩa",""),IF(OR(M418=phu!$I$15,M418=phu!$I$16,M418=phu!$I$17,M418=phu!$I$18,M418=phu!$I$19,M418=phu!$I$20,M418=phu!$I$21),"Cam Phúc Bắc",""),IF(OR(M418=phu!$I$22,M418=phu!$I$23,M418=phu!$I$24,M418=phu!$I$25),"Cam Phúc Nam",""),IF(OR(M418=phu!$I$26,M418=phu!$I$27,M418=phu!$I$28,M418=phu!$I$29,M418=phu!$I$30,M418=phu!$I$31),"Cam Phú",""),IF(OR(M418=phu!$I$32,M418=phu!$I$33,M418=phu!$I$34,M418=phu!$I$35,M418=phu!$I$36,M418=phu!$I$37),"Cam Lộc",""),IF(OR(M418=phu!$I$38,M418=phu!$I$39,M418=phu!$I$40,M418=phu!$I$41,M418=phu!$I$42,M418=phu!$I$43,M418=phu!$I$44),"Cam Thuận",""),IF(OR(M418=phu!$I$45,M418=phu!$I$46,M418=phu!$I$47,M418=phu!$I$48,M418=phu!$I$49,M418=phu!$I$50,M418=phu!$I$51,M418=phu!$I$52,M418=phu!$I$53),"Cam Linh",""),IF(OR(M418=phu!$I$54,M418=phu!$I$55,M418=phu!$I$56,M418=phu!$I$57,M418=phu!$I$58,M418=phu!$I$59,M418=phu!$I$60,M418=phu!$I$61,M418=phu!$I$62),"Cam Lợi",""),IF(OR(M418=phu!$I$63,M418=phu!$I$64,M418=phu!$I$65,M418=phu!$I$66,M418=phu!$I$67,M418=phu!$I$68,M418=phu!$I$69,M418=phu!$I$70,M418=phu!$I$71),"Ba Ngòi",""),IF(OR(M418=phu!$I$72,M418=phu!$I$73,M418=phu!$I$74,M418=phu!$I$75,M418=phu!$I$76,M418=phu!$I$77,M418=phu!$I$78),"Cam Phước Đông",""),IF(OR(M418=phu!$I$79,M418=phu!$I$80,M418=phu!$I$81,M418=phu!$I$82,M418=phu!$I$83,M418=phu!$I$84),"Cam Thịnh Đông",""),IF(OR(M418=phu!$I$85,M418=phu!$I$86,M418=phu!$I$87,M418=phu!$I$88),"Cam Thịnh Tây",""),IF(OR(M418=phu!$I$89,M418=phu!$I$90),"Cam Lập",""),IF(OR(M418=phu!$I$91,M418=phu!$I$92,M418=phu!$I$93),"Cam Bình",""),IF(OR(M418=phu!$I$94,M418=phu!$I$95,M418=phu!$I$96,M418=phu!$I$97,M418=phu!$I$98,M418=phu!$I$99,M418=phu!$I$100),"Huyện khác",""),IF(OR(M418=phu!$I$101,M418=phu!$I$102),"Tỉnh khác",""))</f>
        <v/>
      </c>
      <c r="O418" s="829" t="str">
        <f t="shared" si="36"/>
        <v/>
      </c>
      <c r="P418" s="254"/>
      <c r="Q418" s="254"/>
      <c r="R418" s="254"/>
      <c r="S418" s="254"/>
      <c r="T418" s="254"/>
      <c r="U418" s="254"/>
      <c r="V418" s="254"/>
      <c r="W418" s="254"/>
      <c r="Y418" s="246" t="str">
        <f t="shared" si="37"/>
        <v/>
      </c>
      <c r="Z418" s="247" t="str">
        <f t="shared" si="41"/>
        <v/>
      </c>
      <c r="AA418" s="246" t="str">
        <f t="shared" si="38"/>
        <v/>
      </c>
    </row>
    <row r="419" spans="1:27" ht="18" customHeight="1" x14ac:dyDescent="0.25">
      <c r="A419" s="248" t="str">
        <f t="shared" si="39"/>
        <v/>
      </c>
      <c r="B419" s="249" t="str">
        <f t="shared" si="40"/>
        <v/>
      </c>
      <c r="C419" s="250"/>
      <c r="D419" s="251"/>
      <c r="E419" s="241"/>
      <c r="F419" s="252"/>
      <c r="G419" s="252"/>
      <c r="H419" s="253"/>
      <c r="I419" s="250"/>
      <c r="J419" s="250"/>
      <c r="K419" s="270"/>
      <c r="L419" s="250"/>
      <c r="M419" s="250"/>
      <c r="N419" s="540" t="str">
        <f>CONCATENATE(IF(OR(M419=phu!$I$1,M419=phu!$I$2,M419=phu!$I$3),"Cam Thành Nam",""),IF(OR(M419=phu!$I$4,M419=phu!$I$5,M419=phu!$I$6,M419=phu!$I$7,M419=phu!$I$8,M419=phu!$I$9,M419=phu!$I$10,M419=phu!$I$11,M419=phu!$I$12,M419=phu!$I$13,M419=phu!$I$14),"Cam Nghĩa",""),IF(OR(M419=phu!$I$15,M419=phu!$I$16,M419=phu!$I$17,M419=phu!$I$18,M419=phu!$I$19,M419=phu!$I$20,M419=phu!$I$21),"Cam Phúc Bắc",""),IF(OR(M419=phu!$I$22,M419=phu!$I$23,M419=phu!$I$24,M419=phu!$I$25),"Cam Phúc Nam",""),IF(OR(M419=phu!$I$26,M419=phu!$I$27,M419=phu!$I$28,M419=phu!$I$29,M419=phu!$I$30,M419=phu!$I$31),"Cam Phú",""),IF(OR(M419=phu!$I$32,M419=phu!$I$33,M419=phu!$I$34,M419=phu!$I$35,M419=phu!$I$36,M419=phu!$I$37),"Cam Lộc",""),IF(OR(M419=phu!$I$38,M419=phu!$I$39,M419=phu!$I$40,M419=phu!$I$41,M419=phu!$I$42,M419=phu!$I$43,M419=phu!$I$44),"Cam Thuận",""),IF(OR(M419=phu!$I$45,M419=phu!$I$46,M419=phu!$I$47,M419=phu!$I$48,M419=phu!$I$49,M419=phu!$I$50,M419=phu!$I$51,M419=phu!$I$52,M419=phu!$I$53),"Cam Linh",""),IF(OR(M419=phu!$I$54,M419=phu!$I$55,M419=phu!$I$56,M419=phu!$I$57,M419=phu!$I$58,M419=phu!$I$59,M419=phu!$I$60,M419=phu!$I$61,M419=phu!$I$62),"Cam Lợi",""),IF(OR(M419=phu!$I$63,M419=phu!$I$64,M419=phu!$I$65,M419=phu!$I$66,M419=phu!$I$67,M419=phu!$I$68,M419=phu!$I$69,M419=phu!$I$70,M419=phu!$I$71),"Ba Ngòi",""),IF(OR(M419=phu!$I$72,M419=phu!$I$73,M419=phu!$I$74,M419=phu!$I$75,M419=phu!$I$76,M419=phu!$I$77,M419=phu!$I$78),"Cam Phước Đông",""),IF(OR(M419=phu!$I$79,M419=phu!$I$80,M419=phu!$I$81,M419=phu!$I$82,M419=phu!$I$83,M419=phu!$I$84),"Cam Thịnh Đông",""),IF(OR(M419=phu!$I$85,M419=phu!$I$86,M419=phu!$I$87,M419=phu!$I$88),"Cam Thịnh Tây",""),IF(OR(M419=phu!$I$89,M419=phu!$I$90),"Cam Lập",""),IF(OR(M419=phu!$I$91,M419=phu!$I$92,M419=phu!$I$93),"Cam Bình",""),IF(OR(M419=phu!$I$94,M419=phu!$I$95,M419=phu!$I$96,M419=phu!$I$97,M419=phu!$I$98,M419=phu!$I$99,M419=phu!$I$100),"Huyện khác",""),IF(OR(M419=phu!$I$101,M419=phu!$I$102),"Tỉnh khác",""))</f>
        <v/>
      </c>
      <c r="O419" s="829" t="str">
        <f t="shared" si="36"/>
        <v/>
      </c>
      <c r="P419" s="254"/>
      <c r="Q419" s="254"/>
      <c r="R419" s="254"/>
      <c r="S419" s="254"/>
      <c r="T419" s="254"/>
      <c r="U419" s="254"/>
      <c r="V419" s="254"/>
      <c r="W419" s="254"/>
      <c r="Y419" s="246" t="str">
        <f t="shared" si="37"/>
        <v/>
      </c>
      <c r="Z419" s="247" t="str">
        <f t="shared" si="41"/>
        <v/>
      </c>
      <c r="AA419" s="246" t="str">
        <f t="shared" si="38"/>
        <v/>
      </c>
    </row>
    <row r="420" spans="1:27" ht="18" customHeight="1" x14ac:dyDescent="0.25">
      <c r="A420" s="248" t="str">
        <f t="shared" si="39"/>
        <v/>
      </c>
      <c r="B420" s="249" t="str">
        <f t="shared" si="40"/>
        <v/>
      </c>
      <c r="C420" s="250"/>
      <c r="D420" s="251"/>
      <c r="E420" s="241"/>
      <c r="F420" s="252"/>
      <c r="G420" s="252"/>
      <c r="H420" s="253"/>
      <c r="I420" s="250"/>
      <c r="J420" s="250"/>
      <c r="K420" s="270"/>
      <c r="L420" s="250"/>
      <c r="M420" s="250"/>
      <c r="N420" s="540" t="str">
        <f>CONCATENATE(IF(OR(M420=phu!$I$1,M420=phu!$I$2,M420=phu!$I$3),"Cam Thành Nam",""),IF(OR(M420=phu!$I$4,M420=phu!$I$5,M420=phu!$I$6,M420=phu!$I$7,M420=phu!$I$8,M420=phu!$I$9,M420=phu!$I$10,M420=phu!$I$11,M420=phu!$I$12,M420=phu!$I$13,M420=phu!$I$14),"Cam Nghĩa",""),IF(OR(M420=phu!$I$15,M420=phu!$I$16,M420=phu!$I$17,M420=phu!$I$18,M420=phu!$I$19,M420=phu!$I$20,M420=phu!$I$21),"Cam Phúc Bắc",""),IF(OR(M420=phu!$I$22,M420=phu!$I$23,M420=phu!$I$24,M420=phu!$I$25),"Cam Phúc Nam",""),IF(OR(M420=phu!$I$26,M420=phu!$I$27,M420=phu!$I$28,M420=phu!$I$29,M420=phu!$I$30,M420=phu!$I$31),"Cam Phú",""),IF(OR(M420=phu!$I$32,M420=phu!$I$33,M420=phu!$I$34,M420=phu!$I$35,M420=phu!$I$36,M420=phu!$I$37),"Cam Lộc",""),IF(OR(M420=phu!$I$38,M420=phu!$I$39,M420=phu!$I$40,M420=phu!$I$41,M420=phu!$I$42,M420=phu!$I$43,M420=phu!$I$44),"Cam Thuận",""),IF(OR(M420=phu!$I$45,M420=phu!$I$46,M420=phu!$I$47,M420=phu!$I$48,M420=phu!$I$49,M420=phu!$I$50,M420=phu!$I$51,M420=phu!$I$52,M420=phu!$I$53),"Cam Linh",""),IF(OR(M420=phu!$I$54,M420=phu!$I$55,M420=phu!$I$56,M420=phu!$I$57,M420=phu!$I$58,M420=phu!$I$59,M420=phu!$I$60,M420=phu!$I$61,M420=phu!$I$62),"Cam Lợi",""),IF(OR(M420=phu!$I$63,M420=phu!$I$64,M420=phu!$I$65,M420=phu!$I$66,M420=phu!$I$67,M420=phu!$I$68,M420=phu!$I$69,M420=phu!$I$70,M420=phu!$I$71),"Ba Ngòi",""),IF(OR(M420=phu!$I$72,M420=phu!$I$73,M420=phu!$I$74,M420=phu!$I$75,M420=phu!$I$76,M420=phu!$I$77,M420=phu!$I$78),"Cam Phước Đông",""),IF(OR(M420=phu!$I$79,M420=phu!$I$80,M420=phu!$I$81,M420=phu!$I$82,M420=phu!$I$83,M420=phu!$I$84),"Cam Thịnh Đông",""),IF(OR(M420=phu!$I$85,M420=phu!$I$86,M420=phu!$I$87,M420=phu!$I$88),"Cam Thịnh Tây",""),IF(OR(M420=phu!$I$89,M420=phu!$I$90),"Cam Lập",""),IF(OR(M420=phu!$I$91,M420=phu!$I$92,M420=phu!$I$93),"Cam Bình",""),IF(OR(M420=phu!$I$94,M420=phu!$I$95,M420=phu!$I$96,M420=phu!$I$97,M420=phu!$I$98,M420=phu!$I$99,M420=phu!$I$100),"Huyện khác",""),IF(OR(M420=phu!$I$101,M420=phu!$I$102),"Tỉnh khác",""))</f>
        <v/>
      </c>
      <c r="O420" s="829" t="str">
        <f t="shared" si="36"/>
        <v/>
      </c>
      <c r="P420" s="254"/>
      <c r="Q420" s="254"/>
      <c r="R420" s="254"/>
      <c r="S420" s="254"/>
      <c r="T420" s="254"/>
      <c r="U420" s="254"/>
      <c r="V420" s="254"/>
      <c r="W420" s="254"/>
      <c r="Y420" s="246" t="str">
        <f t="shared" si="37"/>
        <v/>
      </c>
      <c r="Z420" s="247" t="str">
        <f t="shared" si="41"/>
        <v/>
      </c>
      <c r="AA420" s="246" t="str">
        <f t="shared" si="38"/>
        <v/>
      </c>
    </row>
    <row r="421" spans="1:27" ht="18" customHeight="1" x14ac:dyDescent="0.25">
      <c r="A421" s="248" t="str">
        <f t="shared" si="39"/>
        <v/>
      </c>
      <c r="B421" s="249" t="str">
        <f t="shared" si="40"/>
        <v/>
      </c>
      <c r="C421" s="250"/>
      <c r="D421" s="251"/>
      <c r="E421" s="241"/>
      <c r="F421" s="252"/>
      <c r="G421" s="252"/>
      <c r="H421" s="253"/>
      <c r="I421" s="250"/>
      <c r="J421" s="250"/>
      <c r="K421" s="270"/>
      <c r="L421" s="250"/>
      <c r="M421" s="250"/>
      <c r="N421" s="540" t="str">
        <f>CONCATENATE(IF(OR(M421=phu!$I$1,M421=phu!$I$2,M421=phu!$I$3),"Cam Thành Nam",""),IF(OR(M421=phu!$I$4,M421=phu!$I$5,M421=phu!$I$6,M421=phu!$I$7,M421=phu!$I$8,M421=phu!$I$9,M421=phu!$I$10,M421=phu!$I$11,M421=phu!$I$12,M421=phu!$I$13,M421=phu!$I$14),"Cam Nghĩa",""),IF(OR(M421=phu!$I$15,M421=phu!$I$16,M421=phu!$I$17,M421=phu!$I$18,M421=phu!$I$19,M421=phu!$I$20,M421=phu!$I$21),"Cam Phúc Bắc",""),IF(OR(M421=phu!$I$22,M421=phu!$I$23,M421=phu!$I$24,M421=phu!$I$25),"Cam Phúc Nam",""),IF(OR(M421=phu!$I$26,M421=phu!$I$27,M421=phu!$I$28,M421=phu!$I$29,M421=phu!$I$30,M421=phu!$I$31),"Cam Phú",""),IF(OR(M421=phu!$I$32,M421=phu!$I$33,M421=phu!$I$34,M421=phu!$I$35,M421=phu!$I$36,M421=phu!$I$37),"Cam Lộc",""),IF(OR(M421=phu!$I$38,M421=phu!$I$39,M421=phu!$I$40,M421=phu!$I$41,M421=phu!$I$42,M421=phu!$I$43,M421=phu!$I$44),"Cam Thuận",""),IF(OR(M421=phu!$I$45,M421=phu!$I$46,M421=phu!$I$47,M421=phu!$I$48,M421=phu!$I$49,M421=phu!$I$50,M421=phu!$I$51,M421=phu!$I$52,M421=phu!$I$53),"Cam Linh",""),IF(OR(M421=phu!$I$54,M421=phu!$I$55,M421=phu!$I$56,M421=phu!$I$57,M421=phu!$I$58,M421=phu!$I$59,M421=phu!$I$60,M421=phu!$I$61,M421=phu!$I$62),"Cam Lợi",""),IF(OR(M421=phu!$I$63,M421=phu!$I$64,M421=phu!$I$65,M421=phu!$I$66,M421=phu!$I$67,M421=phu!$I$68,M421=phu!$I$69,M421=phu!$I$70,M421=phu!$I$71),"Ba Ngòi",""),IF(OR(M421=phu!$I$72,M421=phu!$I$73,M421=phu!$I$74,M421=phu!$I$75,M421=phu!$I$76,M421=phu!$I$77,M421=phu!$I$78),"Cam Phước Đông",""),IF(OR(M421=phu!$I$79,M421=phu!$I$80,M421=phu!$I$81,M421=phu!$I$82,M421=phu!$I$83,M421=phu!$I$84),"Cam Thịnh Đông",""),IF(OR(M421=phu!$I$85,M421=phu!$I$86,M421=phu!$I$87,M421=phu!$I$88),"Cam Thịnh Tây",""),IF(OR(M421=phu!$I$89,M421=phu!$I$90),"Cam Lập",""),IF(OR(M421=phu!$I$91,M421=phu!$I$92,M421=phu!$I$93),"Cam Bình",""),IF(OR(M421=phu!$I$94,M421=phu!$I$95,M421=phu!$I$96,M421=phu!$I$97,M421=phu!$I$98,M421=phu!$I$99,M421=phu!$I$100),"Huyện khác",""),IF(OR(M421=phu!$I$101,M421=phu!$I$102),"Tỉnh khác",""))</f>
        <v/>
      </c>
      <c r="O421" s="829" t="str">
        <f t="shared" si="36"/>
        <v/>
      </c>
      <c r="P421" s="254"/>
      <c r="Q421" s="254"/>
      <c r="R421" s="254"/>
      <c r="S421" s="254"/>
      <c r="T421" s="254"/>
      <c r="U421" s="254"/>
      <c r="V421" s="254"/>
      <c r="W421" s="254"/>
      <c r="Y421" s="246" t="str">
        <f t="shared" si="37"/>
        <v/>
      </c>
      <c r="Z421" s="247" t="str">
        <f t="shared" si="41"/>
        <v/>
      </c>
      <c r="AA421" s="246" t="str">
        <f t="shared" si="38"/>
        <v/>
      </c>
    </row>
    <row r="422" spans="1:27" ht="18" customHeight="1" x14ac:dyDescent="0.25">
      <c r="A422" s="248" t="str">
        <f t="shared" si="39"/>
        <v/>
      </c>
      <c r="B422" s="249" t="str">
        <f t="shared" si="40"/>
        <v/>
      </c>
      <c r="C422" s="250"/>
      <c r="D422" s="251"/>
      <c r="E422" s="241"/>
      <c r="F422" s="252"/>
      <c r="G422" s="252"/>
      <c r="H422" s="253"/>
      <c r="I422" s="250"/>
      <c r="J422" s="250"/>
      <c r="K422" s="270"/>
      <c r="L422" s="250"/>
      <c r="M422" s="250"/>
      <c r="N422" s="540" t="str">
        <f>CONCATENATE(IF(OR(M422=phu!$I$1,M422=phu!$I$2,M422=phu!$I$3),"Cam Thành Nam",""),IF(OR(M422=phu!$I$4,M422=phu!$I$5,M422=phu!$I$6,M422=phu!$I$7,M422=phu!$I$8,M422=phu!$I$9,M422=phu!$I$10,M422=phu!$I$11,M422=phu!$I$12,M422=phu!$I$13,M422=phu!$I$14),"Cam Nghĩa",""),IF(OR(M422=phu!$I$15,M422=phu!$I$16,M422=phu!$I$17,M422=phu!$I$18,M422=phu!$I$19,M422=phu!$I$20,M422=phu!$I$21),"Cam Phúc Bắc",""),IF(OR(M422=phu!$I$22,M422=phu!$I$23,M422=phu!$I$24,M422=phu!$I$25),"Cam Phúc Nam",""),IF(OR(M422=phu!$I$26,M422=phu!$I$27,M422=phu!$I$28,M422=phu!$I$29,M422=phu!$I$30,M422=phu!$I$31),"Cam Phú",""),IF(OR(M422=phu!$I$32,M422=phu!$I$33,M422=phu!$I$34,M422=phu!$I$35,M422=phu!$I$36,M422=phu!$I$37),"Cam Lộc",""),IF(OR(M422=phu!$I$38,M422=phu!$I$39,M422=phu!$I$40,M422=phu!$I$41,M422=phu!$I$42,M422=phu!$I$43,M422=phu!$I$44),"Cam Thuận",""),IF(OR(M422=phu!$I$45,M422=phu!$I$46,M422=phu!$I$47,M422=phu!$I$48,M422=phu!$I$49,M422=phu!$I$50,M422=phu!$I$51,M422=phu!$I$52,M422=phu!$I$53),"Cam Linh",""),IF(OR(M422=phu!$I$54,M422=phu!$I$55,M422=phu!$I$56,M422=phu!$I$57,M422=phu!$I$58,M422=phu!$I$59,M422=phu!$I$60,M422=phu!$I$61,M422=phu!$I$62),"Cam Lợi",""),IF(OR(M422=phu!$I$63,M422=phu!$I$64,M422=phu!$I$65,M422=phu!$I$66,M422=phu!$I$67,M422=phu!$I$68,M422=phu!$I$69,M422=phu!$I$70,M422=phu!$I$71),"Ba Ngòi",""),IF(OR(M422=phu!$I$72,M422=phu!$I$73,M422=phu!$I$74,M422=phu!$I$75,M422=phu!$I$76,M422=phu!$I$77,M422=phu!$I$78),"Cam Phước Đông",""),IF(OR(M422=phu!$I$79,M422=phu!$I$80,M422=phu!$I$81,M422=phu!$I$82,M422=phu!$I$83,M422=phu!$I$84),"Cam Thịnh Đông",""),IF(OR(M422=phu!$I$85,M422=phu!$I$86,M422=phu!$I$87,M422=phu!$I$88),"Cam Thịnh Tây",""),IF(OR(M422=phu!$I$89,M422=phu!$I$90),"Cam Lập",""),IF(OR(M422=phu!$I$91,M422=phu!$I$92,M422=phu!$I$93),"Cam Bình",""),IF(OR(M422=phu!$I$94,M422=phu!$I$95,M422=phu!$I$96,M422=phu!$I$97,M422=phu!$I$98,M422=phu!$I$99,M422=phu!$I$100),"Huyện khác",""),IF(OR(M422=phu!$I$101,M422=phu!$I$102),"Tỉnh khác",""))</f>
        <v/>
      </c>
      <c r="O422" s="829" t="str">
        <f t="shared" si="36"/>
        <v/>
      </c>
      <c r="P422" s="254"/>
      <c r="Q422" s="254"/>
      <c r="R422" s="254"/>
      <c r="S422" s="254"/>
      <c r="T422" s="254"/>
      <c r="U422" s="254"/>
      <c r="V422" s="254"/>
      <c r="W422" s="254"/>
      <c r="Y422" s="246" t="str">
        <f t="shared" si="37"/>
        <v/>
      </c>
      <c r="Z422" s="247" t="str">
        <f t="shared" si="41"/>
        <v/>
      </c>
      <c r="AA422" s="246" t="str">
        <f t="shared" si="38"/>
        <v/>
      </c>
    </row>
    <row r="423" spans="1:27" ht="18" customHeight="1" x14ac:dyDescent="0.25">
      <c r="A423" s="248" t="str">
        <f t="shared" si="39"/>
        <v/>
      </c>
      <c r="B423" s="249" t="str">
        <f t="shared" si="40"/>
        <v/>
      </c>
      <c r="C423" s="250"/>
      <c r="D423" s="251"/>
      <c r="E423" s="241"/>
      <c r="F423" s="252"/>
      <c r="G423" s="252"/>
      <c r="H423" s="253"/>
      <c r="I423" s="250"/>
      <c r="J423" s="250"/>
      <c r="K423" s="270"/>
      <c r="L423" s="250"/>
      <c r="M423" s="250"/>
      <c r="N423" s="540" t="str">
        <f>CONCATENATE(IF(OR(M423=phu!$I$1,M423=phu!$I$2,M423=phu!$I$3),"Cam Thành Nam",""),IF(OR(M423=phu!$I$4,M423=phu!$I$5,M423=phu!$I$6,M423=phu!$I$7,M423=phu!$I$8,M423=phu!$I$9,M423=phu!$I$10,M423=phu!$I$11,M423=phu!$I$12,M423=phu!$I$13,M423=phu!$I$14),"Cam Nghĩa",""),IF(OR(M423=phu!$I$15,M423=phu!$I$16,M423=phu!$I$17,M423=phu!$I$18,M423=phu!$I$19,M423=phu!$I$20,M423=phu!$I$21),"Cam Phúc Bắc",""),IF(OR(M423=phu!$I$22,M423=phu!$I$23,M423=phu!$I$24,M423=phu!$I$25),"Cam Phúc Nam",""),IF(OR(M423=phu!$I$26,M423=phu!$I$27,M423=phu!$I$28,M423=phu!$I$29,M423=phu!$I$30,M423=phu!$I$31),"Cam Phú",""),IF(OR(M423=phu!$I$32,M423=phu!$I$33,M423=phu!$I$34,M423=phu!$I$35,M423=phu!$I$36,M423=phu!$I$37),"Cam Lộc",""),IF(OR(M423=phu!$I$38,M423=phu!$I$39,M423=phu!$I$40,M423=phu!$I$41,M423=phu!$I$42,M423=phu!$I$43,M423=phu!$I$44),"Cam Thuận",""),IF(OR(M423=phu!$I$45,M423=phu!$I$46,M423=phu!$I$47,M423=phu!$I$48,M423=phu!$I$49,M423=phu!$I$50,M423=phu!$I$51,M423=phu!$I$52,M423=phu!$I$53),"Cam Linh",""),IF(OR(M423=phu!$I$54,M423=phu!$I$55,M423=phu!$I$56,M423=phu!$I$57,M423=phu!$I$58,M423=phu!$I$59,M423=phu!$I$60,M423=phu!$I$61,M423=phu!$I$62),"Cam Lợi",""),IF(OR(M423=phu!$I$63,M423=phu!$I$64,M423=phu!$I$65,M423=phu!$I$66,M423=phu!$I$67,M423=phu!$I$68,M423=phu!$I$69,M423=phu!$I$70,M423=phu!$I$71),"Ba Ngòi",""),IF(OR(M423=phu!$I$72,M423=phu!$I$73,M423=phu!$I$74,M423=phu!$I$75,M423=phu!$I$76,M423=phu!$I$77,M423=phu!$I$78),"Cam Phước Đông",""),IF(OR(M423=phu!$I$79,M423=phu!$I$80,M423=phu!$I$81,M423=phu!$I$82,M423=phu!$I$83,M423=phu!$I$84),"Cam Thịnh Đông",""),IF(OR(M423=phu!$I$85,M423=phu!$I$86,M423=phu!$I$87,M423=phu!$I$88),"Cam Thịnh Tây",""),IF(OR(M423=phu!$I$89,M423=phu!$I$90),"Cam Lập",""),IF(OR(M423=phu!$I$91,M423=phu!$I$92,M423=phu!$I$93),"Cam Bình",""),IF(OR(M423=phu!$I$94,M423=phu!$I$95,M423=phu!$I$96,M423=phu!$I$97,M423=phu!$I$98,M423=phu!$I$99,M423=phu!$I$100),"Huyện khác",""),IF(OR(M423=phu!$I$101,M423=phu!$I$102),"Tỉnh khác",""))</f>
        <v/>
      </c>
      <c r="O423" s="829" t="str">
        <f t="shared" si="36"/>
        <v/>
      </c>
      <c r="P423" s="254"/>
      <c r="Q423" s="254"/>
      <c r="R423" s="254"/>
      <c r="S423" s="254"/>
      <c r="T423" s="254"/>
      <c r="U423" s="254"/>
      <c r="V423" s="254"/>
      <c r="W423" s="254"/>
      <c r="Y423" s="246" t="str">
        <f t="shared" si="37"/>
        <v/>
      </c>
      <c r="Z423" s="247" t="str">
        <f t="shared" si="41"/>
        <v/>
      </c>
      <c r="AA423" s="246" t="str">
        <f t="shared" si="38"/>
        <v/>
      </c>
    </row>
    <row r="424" spans="1:27" ht="18" customHeight="1" x14ac:dyDescent="0.25">
      <c r="A424" s="248" t="str">
        <f t="shared" si="39"/>
        <v/>
      </c>
      <c r="B424" s="249" t="str">
        <f t="shared" si="40"/>
        <v/>
      </c>
      <c r="C424" s="250"/>
      <c r="D424" s="251"/>
      <c r="E424" s="241"/>
      <c r="F424" s="252"/>
      <c r="G424" s="252"/>
      <c r="H424" s="253"/>
      <c r="I424" s="250"/>
      <c r="J424" s="250"/>
      <c r="K424" s="270"/>
      <c r="L424" s="250"/>
      <c r="M424" s="250"/>
      <c r="N424" s="540" t="str">
        <f>CONCATENATE(IF(OR(M424=phu!$I$1,M424=phu!$I$2,M424=phu!$I$3),"Cam Thành Nam",""),IF(OR(M424=phu!$I$4,M424=phu!$I$5,M424=phu!$I$6,M424=phu!$I$7,M424=phu!$I$8,M424=phu!$I$9,M424=phu!$I$10,M424=phu!$I$11,M424=phu!$I$12,M424=phu!$I$13,M424=phu!$I$14),"Cam Nghĩa",""),IF(OR(M424=phu!$I$15,M424=phu!$I$16,M424=phu!$I$17,M424=phu!$I$18,M424=phu!$I$19,M424=phu!$I$20,M424=phu!$I$21),"Cam Phúc Bắc",""),IF(OR(M424=phu!$I$22,M424=phu!$I$23,M424=phu!$I$24,M424=phu!$I$25),"Cam Phúc Nam",""),IF(OR(M424=phu!$I$26,M424=phu!$I$27,M424=phu!$I$28,M424=phu!$I$29,M424=phu!$I$30,M424=phu!$I$31),"Cam Phú",""),IF(OR(M424=phu!$I$32,M424=phu!$I$33,M424=phu!$I$34,M424=phu!$I$35,M424=phu!$I$36,M424=phu!$I$37),"Cam Lộc",""),IF(OR(M424=phu!$I$38,M424=phu!$I$39,M424=phu!$I$40,M424=phu!$I$41,M424=phu!$I$42,M424=phu!$I$43,M424=phu!$I$44),"Cam Thuận",""),IF(OR(M424=phu!$I$45,M424=phu!$I$46,M424=phu!$I$47,M424=phu!$I$48,M424=phu!$I$49,M424=phu!$I$50,M424=phu!$I$51,M424=phu!$I$52,M424=phu!$I$53),"Cam Linh",""),IF(OR(M424=phu!$I$54,M424=phu!$I$55,M424=phu!$I$56,M424=phu!$I$57,M424=phu!$I$58,M424=phu!$I$59,M424=phu!$I$60,M424=phu!$I$61,M424=phu!$I$62),"Cam Lợi",""),IF(OR(M424=phu!$I$63,M424=phu!$I$64,M424=phu!$I$65,M424=phu!$I$66,M424=phu!$I$67,M424=phu!$I$68,M424=phu!$I$69,M424=phu!$I$70,M424=phu!$I$71),"Ba Ngòi",""),IF(OR(M424=phu!$I$72,M424=phu!$I$73,M424=phu!$I$74,M424=phu!$I$75,M424=phu!$I$76,M424=phu!$I$77,M424=phu!$I$78),"Cam Phước Đông",""),IF(OR(M424=phu!$I$79,M424=phu!$I$80,M424=phu!$I$81,M424=phu!$I$82,M424=phu!$I$83,M424=phu!$I$84),"Cam Thịnh Đông",""),IF(OR(M424=phu!$I$85,M424=phu!$I$86,M424=phu!$I$87,M424=phu!$I$88),"Cam Thịnh Tây",""),IF(OR(M424=phu!$I$89,M424=phu!$I$90),"Cam Lập",""),IF(OR(M424=phu!$I$91,M424=phu!$I$92,M424=phu!$I$93),"Cam Bình",""),IF(OR(M424=phu!$I$94,M424=phu!$I$95,M424=phu!$I$96,M424=phu!$I$97,M424=phu!$I$98,M424=phu!$I$99,M424=phu!$I$100),"Huyện khác",""),IF(OR(M424=phu!$I$101,M424=phu!$I$102),"Tỉnh khác",""))</f>
        <v/>
      </c>
      <c r="O424" s="829" t="str">
        <f t="shared" si="36"/>
        <v/>
      </c>
      <c r="P424" s="254"/>
      <c r="Q424" s="254"/>
      <c r="R424" s="254"/>
      <c r="S424" s="254"/>
      <c r="T424" s="254"/>
      <c r="U424" s="254"/>
      <c r="V424" s="254"/>
      <c r="W424" s="254"/>
      <c r="Y424" s="246" t="str">
        <f t="shared" si="37"/>
        <v/>
      </c>
      <c r="Z424" s="247" t="str">
        <f t="shared" si="41"/>
        <v/>
      </c>
      <c r="AA424" s="246" t="str">
        <f t="shared" si="38"/>
        <v/>
      </c>
    </row>
    <row r="425" spans="1:27" ht="18" customHeight="1" x14ac:dyDescent="0.25">
      <c r="A425" s="248" t="str">
        <f t="shared" si="39"/>
        <v/>
      </c>
      <c r="B425" s="249" t="str">
        <f t="shared" si="40"/>
        <v/>
      </c>
      <c r="C425" s="250"/>
      <c r="D425" s="251"/>
      <c r="E425" s="241"/>
      <c r="F425" s="252"/>
      <c r="G425" s="252"/>
      <c r="H425" s="253"/>
      <c r="I425" s="250"/>
      <c r="J425" s="250"/>
      <c r="K425" s="270"/>
      <c r="L425" s="250"/>
      <c r="M425" s="250"/>
      <c r="N425" s="540" t="str">
        <f>CONCATENATE(IF(OR(M425=phu!$I$1,M425=phu!$I$2,M425=phu!$I$3),"Cam Thành Nam",""),IF(OR(M425=phu!$I$4,M425=phu!$I$5,M425=phu!$I$6,M425=phu!$I$7,M425=phu!$I$8,M425=phu!$I$9,M425=phu!$I$10,M425=phu!$I$11,M425=phu!$I$12,M425=phu!$I$13,M425=phu!$I$14),"Cam Nghĩa",""),IF(OR(M425=phu!$I$15,M425=phu!$I$16,M425=phu!$I$17,M425=phu!$I$18,M425=phu!$I$19,M425=phu!$I$20,M425=phu!$I$21),"Cam Phúc Bắc",""),IF(OR(M425=phu!$I$22,M425=phu!$I$23,M425=phu!$I$24,M425=phu!$I$25),"Cam Phúc Nam",""),IF(OR(M425=phu!$I$26,M425=phu!$I$27,M425=phu!$I$28,M425=phu!$I$29,M425=phu!$I$30,M425=phu!$I$31),"Cam Phú",""),IF(OR(M425=phu!$I$32,M425=phu!$I$33,M425=phu!$I$34,M425=phu!$I$35,M425=phu!$I$36,M425=phu!$I$37),"Cam Lộc",""),IF(OR(M425=phu!$I$38,M425=phu!$I$39,M425=phu!$I$40,M425=phu!$I$41,M425=phu!$I$42,M425=phu!$I$43,M425=phu!$I$44),"Cam Thuận",""),IF(OR(M425=phu!$I$45,M425=phu!$I$46,M425=phu!$I$47,M425=phu!$I$48,M425=phu!$I$49,M425=phu!$I$50,M425=phu!$I$51,M425=phu!$I$52,M425=phu!$I$53),"Cam Linh",""),IF(OR(M425=phu!$I$54,M425=phu!$I$55,M425=phu!$I$56,M425=phu!$I$57,M425=phu!$I$58,M425=phu!$I$59,M425=phu!$I$60,M425=phu!$I$61,M425=phu!$I$62),"Cam Lợi",""),IF(OR(M425=phu!$I$63,M425=phu!$I$64,M425=phu!$I$65,M425=phu!$I$66,M425=phu!$I$67,M425=phu!$I$68,M425=phu!$I$69,M425=phu!$I$70,M425=phu!$I$71),"Ba Ngòi",""),IF(OR(M425=phu!$I$72,M425=phu!$I$73,M425=phu!$I$74,M425=phu!$I$75,M425=phu!$I$76,M425=phu!$I$77,M425=phu!$I$78),"Cam Phước Đông",""),IF(OR(M425=phu!$I$79,M425=phu!$I$80,M425=phu!$I$81,M425=phu!$I$82,M425=phu!$I$83,M425=phu!$I$84),"Cam Thịnh Đông",""),IF(OR(M425=phu!$I$85,M425=phu!$I$86,M425=phu!$I$87,M425=phu!$I$88),"Cam Thịnh Tây",""),IF(OR(M425=phu!$I$89,M425=phu!$I$90),"Cam Lập",""),IF(OR(M425=phu!$I$91,M425=phu!$I$92,M425=phu!$I$93),"Cam Bình",""),IF(OR(M425=phu!$I$94,M425=phu!$I$95,M425=phu!$I$96,M425=phu!$I$97,M425=phu!$I$98,M425=phu!$I$99,M425=phu!$I$100),"Huyện khác",""),IF(OR(M425=phu!$I$101,M425=phu!$I$102),"Tỉnh khác",""))</f>
        <v/>
      </c>
      <c r="O425" s="829" t="str">
        <f t="shared" si="36"/>
        <v/>
      </c>
      <c r="P425" s="254"/>
      <c r="Q425" s="254"/>
      <c r="R425" s="254"/>
      <c r="S425" s="254"/>
      <c r="T425" s="254"/>
      <c r="U425" s="254"/>
      <c r="V425" s="254"/>
      <c r="W425" s="254"/>
      <c r="Y425" s="246" t="str">
        <f t="shared" si="37"/>
        <v/>
      </c>
      <c r="Z425" s="247" t="str">
        <f t="shared" si="41"/>
        <v/>
      </c>
      <c r="AA425" s="246" t="str">
        <f t="shared" si="38"/>
        <v/>
      </c>
    </row>
    <row r="426" spans="1:27" ht="18" customHeight="1" x14ac:dyDescent="0.25">
      <c r="A426" s="248" t="str">
        <f t="shared" si="39"/>
        <v/>
      </c>
      <c r="B426" s="249" t="str">
        <f t="shared" si="40"/>
        <v/>
      </c>
      <c r="C426" s="250"/>
      <c r="D426" s="251"/>
      <c r="E426" s="241"/>
      <c r="F426" s="252"/>
      <c r="G426" s="252"/>
      <c r="H426" s="253"/>
      <c r="I426" s="250"/>
      <c r="J426" s="250"/>
      <c r="K426" s="270"/>
      <c r="L426" s="250"/>
      <c r="M426" s="250"/>
      <c r="N426" s="540" t="str">
        <f>CONCATENATE(IF(OR(M426=phu!$I$1,M426=phu!$I$2,M426=phu!$I$3),"Cam Thành Nam",""),IF(OR(M426=phu!$I$4,M426=phu!$I$5,M426=phu!$I$6,M426=phu!$I$7,M426=phu!$I$8,M426=phu!$I$9,M426=phu!$I$10,M426=phu!$I$11,M426=phu!$I$12,M426=phu!$I$13,M426=phu!$I$14),"Cam Nghĩa",""),IF(OR(M426=phu!$I$15,M426=phu!$I$16,M426=phu!$I$17,M426=phu!$I$18,M426=phu!$I$19,M426=phu!$I$20,M426=phu!$I$21),"Cam Phúc Bắc",""),IF(OR(M426=phu!$I$22,M426=phu!$I$23,M426=phu!$I$24,M426=phu!$I$25),"Cam Phúc Nam",""),IF(OR(M426=phu!$I$26,M426=phu!$I$27,M426=phu!$I$28,M426=phu!$I$29,M426=phu!$I$30,M426=phu!$I$31),"Cam Phú",""),IF(OR(M426=phu!$I$32,M426=phu!$I$33,M426=phu!$I$34,M426=phu!$I$35,M426=phu!$I$36,M426=phu!$I$37),"Cam Lộc",""),IF(OR(M426=phu!$I$38,M426=phu!$I$39,M426=phu!$I$40,M426=phu!$I$41,M426=phu!$I$42,M426=phu!$I$43,M426=phu!$I$44),"Cam Thuận",""),IF(OR(M426=phu!$I$45,M426=phu!$I$46,M426=phu!$I$47,M426=phu!$I$48,M426=phu!$I$49,M426=phu!$I$50,M426=phu!$I$51,M426=phu!$I$52,M426=phu!$I$53),"Cam Linh",""),IF(OR(M426=phu!$I$54,M426=phu!$I$55,M426=phu!$I$56,M426=phu!$I$57,M426=phu!$I$58,M426=phu!$I$59,M426=phu!$I$60,M426=phu!$I$61,M426=phu!$I$62),"Cam Lợi",""),IF(OR(M426=phu!$I$63,M426=phu!$I$64,M426=phu!$I$65,M426=phu!$I$66,M426=phu!$I$67,M426=phu!$I$68,M426=phu!$I$69,M426=phu!$I$70,M426=phu!$I$71),"Ba Ngòi",""),IF(OR(M426=phu!$I$72,M426=phu!$I$73,M426=phu!$I$74,M426=phu!$I$75,M426=phu!$I$76,M426=phu!$I$77,M426=phu!$I$78),"Cam Phước Đông",""),IF(OR(M426=phu!$I$79,M426=phu!$I$80,M426=phu!$I$81,M426=phu!$I$82,M426=phu!$I$83,M426=phu!$I$84),"Cam Thịnh Đông",""),IF(OR(M426=phu!$I$85,M426=phu!$I$86,M426=phu!$I$87,M426=phu!$I$88),"Cam Thịnh Tây",""),IF(OR(M426=phu!$I$89,M426=phu!$I$90),"Cam Lập",""),IF(OR(M426=phu!$I$91,M426=phu!$I$92,M426=phu!$I$93),"Cam Bình",""),IF(OR(M426=phu!$I$94,M426=phu!$I$95,M426=phu!$I$96,M426=phu!$I$97,M426=phu!$I$98,M426=phu!$I$99,M426=phu!$I$100),"Huyện khác",""),IF(OR(M426=phu!$I$101,M426=phu!$I$102),"Tỉnh khác",""))</f>
        <v/>
      </c>
      <c r="O426" s="829" t="str">
        <f t="shared" si="36"/>
        <v/>
      </c>
      <c r="P426" s="254"/>
      <c r="Q426" s="254"/>
      <c r="R426" s="254"/>
      <c r="S426" s="254"/>
      <c r="T426" s="254"/>
      <c r="U426" s="254"/>
      <c r="V426" s="254"/>
      <c r="W426" s="254"/>
      <c r="Y426" s="246" t="str">
        <f t="shared" si="37"/>
        <v/>
      </c>
      <c r="Z426" s="247" t="str">
        <f t="shared" si="41"/>
        <v/>
      </c>
      <c r="AA426" s="246" t="str">
        <f t="shared" si="38"/>
        <v/>
      </c>
    </row>
    <row r="427" spans="1:27" ht="18" customHeight="1" x14ac:dyDescent="0.25">
      <c r="A427" s="248" t="str">
        <f t="shared" si="39"/>
        <v/>
      </c>
      <c r="B427" s="249" t="str">
        <f t="shared" si="40"/>
        <v/>
      </c>
      <c r="C427" s="250"/>
      <c r="D427" s="251"/>
      <c r="E427" s="241"/>
      <c r="F427" s="252"/>
      <c r="G427" s="252"/>
      <c r="H427" s="253"/>
      <c r="I427" s="250"/>
      <c r="J427" s="250"/>
      <c r="K427" s="270"/>
      <c r="L427" s="250"/>
      <c r="M427" s="250"/>
      <c r="N427" s="540" t="str">
        <f>CONCATENATE(IF(OR(M427=phu!$I$1,M427=phu!$I$2,M427=phu!$I$3),"Cam Thành Nam",""),IF(OR(M427=phu!$I$4,M427=phu!$I$5,M427=phu!$I$6,M427=phu!$I$7,M427=phu!$I$8,M427=phu!$I$9,M427=phu!$I$10,M427=phu!$I$11,M427=phu!$I$12,M427=phu!$I$13,M427=phu!$I$14),"Cam Nghĩa",""),IF(OR(M427=phu!$I$15,M427=phu!$I$16,M427=phu!$I$17,M427=phu!$I$18,M427=phu!$I$19,M427=phu!$I$20,M427=phu!$I$21),"Cam Phúc Bắc",""),IF(OR(M427=phu!$I$22,M427=phu!$I$23,M427=phu!$I$24,M427=phu!$I$25),"Cam Phúc Nam",""),IF(OR(M427=phu!$I$26,M427=phu!$I$27,M427=phu!$I$28,M427=phu!$I$29,M427=phu!$I$30,M427=phu!$I$31),"Cam Phú",""),IF(OR(M427=phu!$I$32,M427=phu!$I$33,M427=phu!$I$34,M427=phu!$I$35,M427=phu!$I$36,M427=phu!$I$37),"Cam Lộc",""),IF(OR(M427=phu!$I$38,M427=phu!$I$39,M427=phu!$I$40,M427=phu!$I$41,M427=phu!$I$42,M427=phu!$I$43,M427=phu!$I$44),"Cam Thuận",""),IF(OR(M427=phu!$I$45,M427=phu!$I$46,M427=phu!$I$47,M427=phu!$I$48,M427=phu!$I$49,M427=phu!$I$50,M427=phu!$I$51,M427=phu!$I$52,M427=phu!$I$53),"Cam Linh",""),IF(OR(M427=phu!$I$54,M427=phu!$I$55,M427=phu!$I$56,M427=phu!$I$57,M427=phu!$I$58,M427=phu!$I$59,M427=phu!$I$60,M427=phu!$I$61,M427=phu!$I$62),"Cam Lợi",""),IF(OR(M427=phu!$I$63,M427=phu!$I$64,M427=phu!$I$65,M427=phu!$I$66,M427=phu!$I$67,M427=phu!$I$68,M427=phu!$I$69,M427=phu!$I$70,M427=phu!$I$71),"Ba Ngòi",""),IF(OR(M427=phu!$I$72,M427=phu!$I$73,M427=phu!$I$74,M427=phu!$I$75,M427=phu!$I$76,M427=phu!$I$77,M427=phu!$I$78),"Cam Phước Đông",""),IF(OR(M427=phu!$I$79,M427=phu!$I$80,M427=phu!$I$81,M427=phu!$I$82,M427=phu!$I$83,M427=phu!$I$84),"Cam Thịnh Đông",""),IF(OR(M427=phu!$I$85,M427=phu!$I$86,M427=phu!$I$87,M427=phu!$I$88),"Cam Thịnh Tây",""),IF(OR(M427=phu!$I$89,M427=phu!$I$90),"Cam Lập",""),IF(OR(M427=phu!$I$91,M427=phu!$I$92,M427=phu!$I$93),"Cam Bình",""),IF(OR(M427=phu!$I$94,M427=phu!$I$95,M427=phu!$I$96,M427=phu!$I$97,M427=phu!$I$98,M427=phu!$I$99,M427=phu!$I$100),"Huyện khác",""),IF(OR(M427=phu!$I$101,M427=phu!$I$102),"Tỉnh khác",""))</f>
        <v/>
      </c>
      <c r="O427" s="829" t="str">
        <f t="shared" si="36"/>
        <v/>
      </c>
      <c r="P427" s="254"/>
      <c r="Q427" s="254"/>
      <c r="R427" s="254"/>
      <c r="S427" s="254"/>
      <c r="T427" s="254"/>
      <c r="U427" s="254"/>
      <c r="V427" s="254"/>
      <c r="W427" s="254"/>
      <c r="Y427" s="246" t="str">
        <f t="shared" si="37"/>
        <v/>
      </c>
      <c r="Z427" s="247" t="str">
        <f t="shared" si="41"/>
        <v/>
      </c>
      <c r="AA427" s="246" t="str">
        <f t="shared" si="38"/>
        <v/>
      </c>
    </row>
    <row r="428" spans="1:27" ht="18" customHeight="1" x14ac:dyDescent="0.25">
      <c r="A428" s="248" t="str">
        <f t="shared" si="39"/>
        <v/>
      </c>
      <c r="B428" s="249" t="str">
        <f t="shared" si="40"/>
        <v/>
      </c>
      <c r="C428" s="250"/>
      <c r="D428" s="251"/>
      <c r="E428" s="241"/>
      <c r="F428" s="252"/>
      <c r="G428" s="252"/>
      <c r="H428" s="253"/>
      <c r="I428" s="250"/>
      <c r="J428" s="250"/>
      <c r="K428" s="270"/>
      <c r="L428" s="250"/>
      <c r="M428" s="250"/>
      <c r="N428" s="540" t="str">
        <f>CONCATENATE(IF(OR(M428=phu!$I$1,M428=phu!$I$2,M428=phu!$I$3),"Cam Thành Nam",""),IF(OR(M428=phu!$I$4,M428=phu!$I$5,M428=phu!$I$6,M428=phu!$I$7,M428=phu!$I$8,M428=phu!$I$9,M428=phu!$I$10,M428=phu!$I$11,M428=phu!$I$12,M428=phu!$I$13,M428=phu!$I$14),"Cam Nghĩa",""),IF(OR(M428=phu!$I$15,M428=phu!$I$16,M428=phu!$I$17,M428=phu!$I$18,M428=phu!$I$19,M428=phu!$I$20,M428=phu!$I$21),"Cam Phúc Bắc",""),IF(OR(M428=phu!$I$22,M428=phu!$I$23,M428=phu!$I$24,M428=phu!$I$25),"Cam Phúc Nam",""),IF(OR(M428=phu!$I$26,M428=phu!$I$27,M428=phu!$I$28,M428=phu!$I$29,M428=phu!$I$30,M428=phu!$I$31),"Cam Phú",""),IF(OR(M428=phu!$I$32,M428=phu!$I$33,M428=phu!$I$34,M428=phu!$I$35,M428=phu!$I$36,M428=phu!$I$37),"Cam Lộc",""),IF(OR(M428=phu!$I$38,M428=phu!$I$39,M428=phu!$I$40,M428=phu!$I$41,M428=phu!$I$42,M428=phu!$I$43,M428=phu!$I$44),"Cam Thuận",""),IF(OR(M428=phu!$I$45,M428=phu!$I$46,M428=phu!$I$47,M428=phu!$I$48,M428=phu!$I$49,M428=phu!$I$50,M428=phu!$I$51,M428=phu!$I$52,M428=phu!$I$53),"Cam Linh",""),IF(OR(M428=phu!$I$54,M428=phu!$I$55,M428=phu!$I$56,M428=phu!$I$57,M428=phu!$I$58,M428=phu!$I$59,M428=phu!$I$60,M428=phu!$I$61,M428=phu!$I$62),"Cam Lợi",""),IF(OR(M428=phu!$I$63,M428=phu!$I$64,M428=phu!$I$65,M428=phu!$I$66,M428=phu!$I$67,M428=phu!$I$68,M428=phu!$I$69,M428=phu!$I$70,M428=phu!$I$71),"Ba Ngòi",""),IF(OR(M428=phu!$I$72,M428=phu!$I$73,M428=phu!$I$74,M428=phu!$I$75,M428=phu!$I$76,M428=phu!$I$77,M428=phu!$I$78),"Cam Phước Đông",""),IF(OR(M428=phu!$I$79,M428=phu!$I$80,M428=phu!$I$81,M428=phu!$I$82,M428=phu!$I$83,M428=phu!$I$84),"Cam Thịnh Đông",""),IF(OR(M428=phu!$I$85,M428=phu!$I$86,M428=phu!$I$87,M428=phu!$I$88),"Cam Thịnh Tây",""),IF(OR(M428=phu!$I$89,M428=phu!$I$90),"Cam Lập",""),IF(OR(M428=phu!$I$91,M428=phu!$I$92,M428=phu!$I$93),"Cam Bình",""),IF(OR(M428=phu!$I$94,M428=phu!$I$95,M428=phu!$I$96,M428=phu!$I$97,M428=phu!$I$98,M428=phu!$I$99,M428=phu!$I$100),"Huyện khác",""),IF(OR(M428=phu!$I$101,M428=phu!$I$102),"Tỉnh khác",""))</f>
        <v/>
      </c>
      <c r="O428" s="829" t="str">
        <f t="shared" si="36"/>
        <v/>
      </c>
      <c r="P428" s="254"/>
      <c r="Q428" s="254"/>
      <c r="R428" s="254"/>
      <c r="S428" s="254"/>
      <c r="T428" s="254"/>
      <c r="U428" s="254"/>
      <c r="V428" s="254"/>
      <c r="W428" s="254"/>
      <c r="Y428" s="246" t="str">
        <f t="shared" si="37"/>
        <v/>
      </c>
      <c r="Z428" s="247" t="str">
        <f t="shared" si="41"/>
        <v/>
      </c>
      <c r="AA428" s="246" t="str">
        <f t="shared" si="38"/>
        <v/>
      </c>
    </row>
    <row r="429" spans="1:27" ht="18" customHeight="1" x14ac:dyDescent="0.25">
      <c r="A429" s="248" t="str">
        <f t="shared" si="39"/>
        <v/>
      </c>
      <c r="B429" s="249" t="str">
        <f t="shared" si="40"/>
        <v/>
      </c>
      <c r="C429" s="250"/>
      <c r="D429" s="251"/>
      <c r="E429" s="241"/>
      <c r="F429" s="252"/>
      <c r="G429" s="252"/>
      <c r="H429" s="253"/>
      <c r="I429" s="250"/>
      <c r="J429" s="250"/>
      <c r="K429" s="270"/>
      <c r="L429" s="250"/>
      <c r="M429" s="250"/>
      <c r="N429" s="540" t="str">
        <f>CONCATENATE(IF(OR(M429=phu!$I$1,M429=phu!$I$2,M429=phu!$I$3),"Cam Thành Nam",""),IF(OR(M429=phu!$I$4,M429=phu!$I$5,M429=phu!$I$6,M429=phu!$I$7,M429=phu!$I$8,M429=phu!$I$9,M429=phu!$I$10,M429=phu!$I$11,M429=phu!$I$12,M429=phu!$I$13,M429=phu!$I$14),"Cam Nghĩa",""),IF(OR(M429=phu!$I$15,M429=phu!$I$16,M429=phu!$I$17,M429=phu!$I$18,M429=phu!$I$19,M429=phu!$I$20,M429=phu!$I$21),"Cam Phúc Bắc",""),IF(OR(M429=phu!$I$22,M429=phu!$I$23,M429=phu!$I$24,M429=phu!$I$25),"Cam Phúc Nam",""),IF(OR(M429=phu!$I$26,M429=phu!$I$27,M429=phu!$I$28,M429=phu!$I$29,M429=phu!$I$30,M429=phu!$I$31),"Cam Phú",""),IF(OR(M429=phu!$I$32,M429=phu!$I$33,M429=phu!$I$34,M429=phu!$I$35,M429=phu!$I$36,M429=phu!$I$37),"Cam Lộc",""),IF(OR(M429=phu!$I$38,M429=phu!$I$39,M429=phu!$I$40,M429=phu!$I$41,M429=phu!$I$42,M429=phu!$I$43,M429=phu!$I$44),"Cam Thuận",""),IF(OR(M429=phu!$I$45,M429=phu!$I$46,M429=phu!$I$47,M429=phu!$I$48,M429=phu!$I$49,M429=phu!$I$50,M429=phu!$I$51,M429=phu!$I$52,M429=phu!$I$53),"Cam Linh",""),IF(OR(M429=phu!$I$54,M429=phu!$I$55,M429=phu!$I$56,M429=phu!$I$57,M429=phu!$I$58,M429=phu!$I$59,M429=phu!$I$60,M429=phu!$I$61,M429=phu!$I$62),"Cam Lợi",""),IF(OR(M429=phu!$I$63,M429=phu!$I$64,M429=phu!$I$65,M429=phu!$I$66,M429=phu!$I$67,M429=phu!$I$68,M429=phu!$I$69,M429=phu!$I$70,M429=phu!$I$71),"Ba Ngòi",""),IF(OR(M429=phu!$I$72,M429=phu!$I$73,M429=phu!$I$74,M429=phu!$I$75,M429=phu!$I$76,M429=phu!$I$77,M429=phu!$I$78),"Cam Phước Đông",""),IF(OR(M429=phu!$I$79,M429=phu!$I$80,M429=phu!$I$81,M429=phu!$I$82,M429=phu!$I$83,M429=phu!$I$84),"Cam Thịnh Đông",""),IF(OR(M429=phu!$I$85,M429=phu!$I$86,M429=phu!$I$87,M429=phu!$I$88),"Cam Thịnh Tây",""),IF(OR(M429=phu!$I$89,M429=phu!$I$90),"Cam Lập",""),IF(OR(M429=phu!$I$91,M429=phu!$I$92,M429=phu!$I$93),"Cam Bình",""),IF(OR(M429=phu!$I$94,M429=phu!$I$95,M429=phu!$I$96,M429=phu!$I$97,M429=phu!$I$98,M429=phu!$I$99,M429=phu!$I$100),"Huyện khác",""),IF(OR(M429=phu!$I$101,M429=phu!$I$102),"Tỉnh khác",""))</f>
        <v/>
      </c>
      <c r="O429" s="829" t="str">
        <f t="shared" si="36"/>
        <v/>
      </c>
      <c r="P429" s="254"/>
      <c r="Q429" s="254"/>
      <c r="R429" s="254"/>
      <c r="S429" s="254"/>
      <c r="T429" s="254"/>
      <c r="U429" s="254"/>
      <c r="V429" s="254"/>
      <c r="W429" s="254"/>
      <c r="Y429" s="246" t="str">
        <f t="shared" si="37"/>
        <v/>
      </c>
      <c r="Z429" s="247" t="str">
        <f t="shared" si="41"/>
        <v/>
      </c>
      <c r="AA429" s="246" t="str">
        <f t="shared" si="38"/>
        <v/>
      </c>
    </row>
    <row r="430" spans="1:27" ht="18" customHeight="1" x14ac:dyDescent="0.25">
      <c r="A430" s="248" t="str">
        <f t="shared" si="39"/>
        <v/>
      </c>
      <c r="B430" s="249" t="str">
        <f t="shared" si="40"/>
        <v/>
      </c>
      <c r="C430" s="250"/>
      <c r="D430" s="251"/>
      <c r="E430" s="241"/>
      <c r="F430" s="252"/>
      <c r="G430" s="252"/>
      <c r="H430" s="253"/>
      <c r="I430" s="250"/>
      <c r="J430" s="250"/>
      <c r="K430" s="270"/>
      <c r="L430" s="250"/>
      <c r="M430" s="250"/>
      <c r="N430" s="540" t="str">
        <f>CONCATENATE(IF(OR(M430=phu!$I$1,M430=phu!$I$2,M430=phu!$I$3),"Cam Thành Nam",""),IF(OR(M430=phu!$I$4,M430=phu!$I$5,M430=phu!$I$6,M430=phu!$I$7,M430=phu!$I$8,M430=phu!$I$9,M430=phu!$I$10,M430=phu!$I$11,M430=phu!$I$12,M430=phu!$I$13,M430=phu!$I$14),"Cam Nghĩa",""),IF(OR(M430=phu!$I$15,M430=phu!$I$16,M430=phu!$I$17,M430=phu!$I$18,M430=phu!$I$19,M430=phu!$I$20,M430=phu!$I$21),"Cam Phúc Bắc",""),IF(OR(M430=phu!$I$22,M430=phu!$I$23,M430=phu!$I$24,M430=phu!$I$25),"Cam Phúc Nam",""),IF(OR(M430=phu!$I$26,M430=phu!$I$27,M430=phu!$I$28,M430=phu!$I$29,M430=phu!$I$30,M430=phu!$I$31),"Cam Phú",""),IF(OR(M430=phu!$I$32,M430=phu!$I$33,M430=phu!$I$34,M430=phu!$I$35,M430=phu!$I$36,M430=phu!$I$37),"Cam Lộc",""),IF(OR(M430=phu!$I$38,M430=phu!$I$39,M430=phu!$I$40,M430=phu!$I$41,M430=phu!$I$42,M430=phu!$I$43,M430=phu!$I$44),"Cam Thuận",""),IF(OR(M430=phu!$I$45,M430=phu!$I$46,M430=phu!$I$47,M430=phu!$I$48,M430=phu!$I$49,M430=phu!$I$50,M430=phu!$I$51,M430=phu!$I$52,M430=phu!$I$53),"Cam Linh",""),IF(OR(M430=phu!$I$54,M430=phu!$I$55,M430=phu!$I$56,M430=phu!$I$57,M430=phu!$I$58,M430=phu!$I$59,M430=phu!$I$60,M430=phu!$I$61,M430=phu!$I$62),"Cam Lợi",""),IF(OR(M430=phu!$I$63,M430=phu!$I$64,M430=phu!$I$65,M430=phu!$I$66,M430=phu!$I$67,M430=phu!$I$68,M430=phu!$I$69,M430=phu!$I$70,M430=phu!$I$71),"Ba Ngòi",""),IF(OR(M430=phu!$I$72,M430=phu!$I$73,M430=phu!$I$74,M430=phu!$I$75,M430=phu!$I$76,M430=phu!$I$77,M430=phu!$I$78),"Cam Phước Đông",""),IF(OR(M430=phu!$I$79,M430=phu!$I$80,M430=phu!$I$81,M430=phu!$I$82,M430=phu!$I$83,M430=phu!$I$84),"Cam Thịnh Đông",""),IF(OR(M430=phu!$I$85,M430=phu!$I$86,M430=phu!$I$87,M430=phu!$I$88),"Cam Thịnh Tây",""),IF(OR(M430=phu!$I$89,M430=phu!$I$90),"Cam Lập",""),IF(OR(M430=phu!$I$91,M430=phu!$I$92,M430=phu!$I$93),"Cam Bình",""),IF(OR(M430=phu!$I$94,M430=phu!$I$95,M430=phu!$I$96,M430=phu!$I$97,M430=phu!$I$98,M430=phu!$I$99,M430=phu!$I$100),"Huyện khác",""),IF(OR(M430=phu!$I$101,M430=phu!$I$102),"Tỉnh khác",""))</f>
        <v/>
      </c>
      <c r="O430" s="829" t="str">
        <f t="shared" si="36"/>
        <v/>
      </c>
      <c r="P430" s="254"/>
      <c r="Q430" s="254"/>
      <c r="R430" s="254"/>
      <c r="S430" s="254"/>
      <c r="T430" s="254"/>
      <c r="U430" s="254"/>
      <c r="V430" s="254"/>
      <c r="W430" s="254"/>
      <c r="Y430" s="246" t="str">
        <f t="shared" si="37"/>
        <v/>
      </c>
      <c r="Z430" s="247" t="str">
        <f t="shared" si="41"/>
        <v/>
      </c>
      <c r="AA430" s="246" t="str">
        <f t="shared" si="38"/>
        <v/>
      </c>
    </row>
    <row r="431" spans="1:27" ht="18" customHeight="1" x14ac:dyDescent="0.25">
      <c r="A431" s="248" t="str">
        <f t="shared" si="39"/>
        <v/>
      </c>
      <c r="B431" s="249" t="str">
        <f t="shared" si="40"/>
        <v/>
      </c>
      <c r="C431" s="250"/>
      <c r="D431" s="251"/>
      <c r="E431" s="241"/>
      <c r="F431" s="252"/>
      <c r="G431" s="252"/>
      <c r="H431" s="253"/>
      <c r="I431" s="250"/>
      <c r="J431" s="250"/>
      <c r="K431" s="270"/>
      <c r="L431" s="250"/>
      <c r="M431" s="250"/>
      <c r="N431" s="540" t="str">
        <f>CONCATENATE(IF(OR(M431=phu!$I$1,M431=phu!$I$2,M431=phu!$I$3),"Cam Thành Nam",""),IF(OR(M431=phu!$I$4,M431=phu!$I$5,M431=phu!$I$6,M431=phu!$I$7,M431=phu!$I$8,M431=phu!$I$9,M431=phu!$I$10,M431=phu!$I$11,M431=phu!$I$12,M431=phu!$I$13,M431=phu!$I$14),"Cam Nghĩa",""),IF(OR(M431=phu!$I$15,M431=phu!$I$16,M431=phu!$I$17,M431=phu!$I$18,M431=phu!$I$19,M431=phu!$I$20,M431=phu!$I$21),"Cam Phúc Bắc",""),IF(OR(M431=phu!$I$22,M431=phu!$I$23,M431=phu!$I$24,M431=phu!$I$25),"Cam Phúc Nam",""),IF(OR(M431=phu!$I$26,M431=phu!$I$27,M431=phu!$I$28,M431=phu!$I$29,M431=phu!$I$30,M431=phu!$I$31),"Cam Phú",""),IF(OR(M431=phu!$I$32,M431=phu!$I$33,M431=phu!$I$34,M431=phu!$I$35,M431=phu!$I$36,M431=phu!$I$37),"Cam Lộc",""),IF(OR(M431=phu!$I$38,M431=phu!$I$39,M431=phu!$I$40,M431=phu!$I$41,M431=phu!$I$42,M431=phu!$I$43,M431=phu!$I$44),"Cam Thuận",""),IF(OR(M431=phu!$I$45,M431=phu!$I$46,M431=phu!$I$47,M431=phu!$I$48,M431=phu!$I$49,M431=phu!$I$50,M431=phu!$I$51,M431=phu!$I$52,M431=phu!$I$53),"Cam Linh",""),IF(OR(M431=phu!$I$54,M431=phu!$I$55,M431=phu!$I$56,M431=phu!$I$57,M431=phu!$I$58,M431=phu!$I$59,M431=phu!$I$60,M431=phu!$I$61,M431=phu!$I$62),"Cam Lợi",""),IF(OR(M431=phu!$I$63,M431=phu!$I$64,M431=phu!$I$65,M431=phu!$I$66,M431=phu!$I$67,M431=phu!$I$68,M431=phu!$I$69,M431=phu!$I$70,M431=phu!$I$71),"Ba Ngòi",""),IF(OR(M431=phu!$I$72,M431=phu!$I$73,M431=phu!$I$74,M431=phu!$I$75,M431=phu!$I$76,M431=phu!$I$77,M431=phu!$I$78),"Cam Phước Đông",""),IF(OR(M431=phu!$I$79,M431=phu!$I$80,M431=phu!$I$81,M431=phu!$I$82,M431=phu!$I$83,M431=phu!$I$84),"Cam Thịnh Đông",""),IF(OR(M431=phu!$I$85,M431=phu!$I$86,M431=phu!$I$87,M431=phu!$I$88),"Cam Thịnh Tây",""),IF(OR(M431=phu!$I$89,M431=phu!$I$90),"Cam Lập",""),IF(OR(M431=phu!$I$91,M431=phu!$I$92,M431=phu!$I$93),"Cam Bình",""),IF(OR(M431=phu!$I$94,M431=phu!$I$95,M431=phu!$I$96,M431=phu!$I$97,M431=phu!$I$98,M431=phu!$I$99,M431=phu!$I$100),"Huyện khác",""),IF(OR(M431=phu!$I$101,M431=phu!$I$102),"Tỉnh khác",""))</f>
        <v/>
      </c>
      <c r="O431" s="829" t="str">
        <f t="shared" si="36"/>
        <v/>
      </c>
      <c r="P431" s="254"/>
      <c r="Q431" s="254"/>
      <c r="R431" s="254"/>
      <c r="S431" s="254"/>
      <c r="T431" s="254"/>
      <c r="U431" s="254"/>
      <c r="V431" s="254"/>
      <c r="W431" s="254"/>
      <c r="Y431" s="246" t="str">
        <f t="shared" si="37"/>
        <v/>
      </c>
      <c r="Z431" s="247" t="str">
        <f t="shared" si="41"/>
        <v/>
      </c>
      <c r="AA431" s="246" t="str">
        <f t="shared" si="38"/>
        <v/>
      </c>
    </row>
    <row r="432" spans="1:27" ht="18" customHeight="1" x14ac:dyDescent="0.25">
      <c r="A432" s="248" t="str">
        <f t="shared" si="39"/>
        <v/>
      </c>
      <c r="B432" s="249" t="str">
        <f t="shared" si="40"/>
        <v/>
      </c>
      <c r="C432" s="250"/>
      <c r="D432" s="251"/>
      <c r="E432" s="241"/>
      <c r="F432" s="252"/>
      <c r="G432" s="252"/>
      <c r="H432" s="253"/>
      <c r="I432" s="250"/>
      <c r="J432" s="250"/>
      <c r="K432" s="270"/>
      <c r="L432" s="250"/>
      <c r="M432" s="250"/>
      <c r="N432" s="540" t="str">
        <f>CONCATENATE(IF(OR(M432=phu!$I$1,M432=phu!$I$2,M432=phu!$I$3),"Cam Thành Nam",""),IF(OR(M432=phu!$I$4,M432=phu!$I$5,M432=phu!$I$6,M432=phu!$I$7,M432=phu!$I$8,M432=phu!$I$9,M432=phu!$I$10,M432=phu!$I$11,M432=phu!$I$12,M432=phu!$I$13,M432=phu!$I$14),"Cam Nghĩa",""),IF(OR(M432=phu!$I$15,M432=phu!$I$16,M432=phu!$I$17,M432=phu!$I$18,M432=phu!$I$19,M432=phu!$I$20,M432=phu!$I$21),"Cam Phúc Bắc",""),IF(OR(M432=phu!$I$22,M432=phu!$I$23,M432=phu!$I$24,M432=phu!$I$25),"Cam Phúc Nam",""),IF(OR(M432=phu!$I$26,M432=phu!$I$27,M432=phu!$I$28,M432=phu!$I$29,M432=phu!$I$30,M432=phu!$I$31),"Cam Phú",""),IF(OR(M432=phu!$I$32,M432=phu!$I$33,M432=phu!$I$34,M432=phu!$I$35,M432=phu!$I$36,M432=phu!$I$37),"Cam Lộc",""),IF(OR(M432=phu!$I$38,M432=phu!$I$39,M432=phu!$I$40,M432=phu!$I$41,M432=phu!$I$42,M432=phu!$I$43,M432=phu!$I$44),"Cam Thuận",""),IF(OR(M432=phu!$I$45,M432=phu!$I$46,M432=phu!$I$47,M432=phu!$I$48,M432=phu!$I$49,M432=phu!$I$50,M432=phu!$I$51,M432=phu!$I$52,M432=phu!$I$53),"Cam Linh",""),IF(OR(M432=phu!$I$54,M432=phu!$I$55,M432=phu!$I$56,M432=phu!$I$57,M432=phu!$I$58,M432=phu!$I$59,M432=phu!$I$60,M432=phu!$I$61,M432=phu!$I$62),"Cam Lợi",""),IF(OR(M432=phu!$I$63,M432=phu!$I$64,M432=phu!$I$65,M432=phu!$I$66,M432=phu!$I$67,M432=phu!$I$68,M432=phu!$I$69,M432=phu!$I$70,M432=phu!$I$71),"Ba Ngòi",""),IF(OR(M432=phu!$I$72,M432=phu!$I$73,M432=phu!$I$74,M432=phu!$I$75,M432=phu!$I$76,M432=phu!$I$77,M432=phu!$I$78),"Cam Phước Đông",""),IF(OR(M432=phu!$I$79,M432=phu!$I$80,M432=phu!$I$81,M432=phu!$I$82,M432=phu!$I$83,M432=phu!$I$84),"Cam Thịnh Đông",""),IF(OR(M432=phu!$I$85,M432=phu!$I$86,M432=phu!$I$87,M432=phu!$I$88),"Cam Thịnh Tây",""),IF(OR(M432=phu!$I$89,M432=phu!$I$90),"Cam Lập",""),IF(OR(M432=phu!$I$91,M432=phu!$I$92,M432=phu!$I$93),"Cam Bình",""),IF(OR(M432=phu!$I$94,M432=phu!$I$95,M432=phu!$I$96,M432=phu!$I$97,M432=phu!$I$98,M432=phu!$I$99,M432=phu!$I$100),"Huyện khác",""),IF(OR(M432=phu!$I$101,M432=phu!$I$102),"Tỉnh khác",""))</f>
        <v/>
      </c>
      <c r="O432" s="829" t="str">
        <f t="shared" si="36"/>
        <v/>
      </c>
      <c r="P432" s="254"/>
      <c r="Q432" s="254"/>
      <c r="R432" s="254"/>
      <c r="S432" s="254"/>
      <c r="T432" s="254"/>
      <c r="U432" s="254"/>
      <c r="V432" s="254"/>
      <c r="W432" s="254"/>
      <c r="Y432" s="246" t="str">
        <f t="shared" si="37"/>
        <v/>
      </c>
      <c r="Z432" s="247" t="str">
        <f t="shared" si="41"/>
        <v/>
      </c>
      <c r="AA432" s="246" t="str">
        <f t="shared" si="38"/>
        <v/>
      </c>
    </row>
    <row r="433" spans="1:27" ht="18" customHeight="1" x14ac:dyDescent="0.25">
      <c r="A433" s="248" t="str">
        <f t="shared" si="39"/>
        <v/>
      </c>
      <c r="B433" s="249" t="str">
        <f t="shared" si="40"/>
        <v/>
      </c>
      <c r="C433" s="250"/>
      <c r="D433" s="251"/>
      <c r="E433" s="241"/>
      <c r="F433" s="252"/>
      <c r="G433" s="252"/>
      <c r="H433" s="253"/>
      <c r="I433" s="250"/>
      <c r="J433" s="250"/>
      <c r="K433" s="270"/>
      <c r="L433" s="250"/>
      <c r="M433" s="250"/>
      <c r="N433" s="540" t="str">
        <f>CONCATENATE(IF(OR(M433=phu!$I$1,M433=phu!$I$2,M433=phu!$I$3),"Cam Thành Nam",""),IF(OR(M433=phu!$I$4,M433=phu!$I$5,M433=phu!$I$6,M433=phu!$I$7,M433=phu!$I$8,M433=phu!$I$9,M433=phu!$I$10,M433=phu!$I$11,M433=phu!$I$12,M433=phu!$I$13,M433=phu!$I$14),"Cam Nghĩa",""),IF(OR(M433=phu!$I$15,M433=phu!$I$16,M433=phu!$I$17,M433=phu!$I$18,M433=phu!$I$19,M433=phu!$I$20,M433=phu!$I$21),"Cam Phúc Bắc",""),IF(OR(M433=phu!$I$22,M433=phu!$I$23,M433=phu!$I$24,M433=phu!$I$25),"Cam Phúc Nam",""),IF(OR(M433=phu!$I$26,M433=phu!$I$27,M433=phu!$I$28,M433=phu!$I$29,M433=phu!$I$30,M433=phu!$I$31),"Cam Phú",""),IF(OR(M433=phu!$I$32,M433=phu!$I$33,M433=phu!$I$34,M433=phu!$I$35,M433=phu!$I$36,M433=phu!$I$37),"Cam Lộc",""),IF(OR(M433=phu!$I$38,M433=phu!$I$39,M433=phu!$I$40,M433=phu!$I$41,M433=phu!$I$42,M433=phu!$I$43,M433=phu!$I$44),"Cam Thuận",""),IF(OR(M433=phu!$I$45,M433=phu!$I$46,M433=phu!$I$47,M433=phu!$I$48,M433=phu!$I$49,M433=phu!$I$50,M433=phu!$I$51,M433=phu!$I$52,M433=phu!$I$53),"Cam Linh",""),IF(OR(M433=phu!$I$54,M433=phu!$I$55,M433=phu!$I$56,M433=phu!$I$57,M433=phu!$I$58,M433=phu!$I$59,M433=phu!$I$60,M433=phu!$I$61,M433=phu!$I$62),"Cam Lợi",""),IF(OR(M433=phu!$I$63,M433=phu!$I$64,M433=phu!$I$65,M433=phu!$I$66,M433=phu!$I$67,M433=phu!$I$68,M433=phu!$I$69,M433=phu!$I$70,M433=phu!$I$71),"Ba Ngòi",""),IF(OR(M433=phu!$I$72,M433=phu!$I$73,M433=phu!$I$74,M433=phu!$I$75,M433=phu!$I$76,M433=phu!$I$77,M433=phu!$I$78),"Cam Phước Đông",""),IF(OR(M433=phu!$I$79,M433=phu!$I$80,M433=phu!$I$81,M433=phu!$I$82,M433=phu!$I$83,M433=phu!$I$84),"Cam Thịnh Đông",""),IF(OR(M433=phu!$I$85,M433=phu!$I$86,M433=phu!$I$87,M433=phu!$I$88),"Cam Thịnh Tây",""),IF(OR(M433=phu!$I$89,M433=phu!$I$90),"Cam Lập",""),IF(OR(M433=phu!$I$91,M433=phu!$I$92,M433=phu!$I$93),"Cam Bình",""),IF(OR(M433=phu!$I$94,M433=phu!$I$95,M433=phu!$I$96,M433=phu!$I$97,M433=phu!$I$98,M433=phu!$I$99,M433=phu!$I$100),"Huyện khác",""),IF(OR(M433=phu!$I$101,M433=phu!$I$102),"Tỉnh khác",""))</f>
        <v/>
      </c>
      <c r="O433" s="829" t="str">
        <f t="shared" si="36"/>
        <v/>
      </c>
      <c r="P433" s="254"/>
      <c r="Q433" s="254"/>
      <c r="R433" s="254"/>
      <c r="S433" s="254"/>
      <c r="T433" s="254"/>
      <c r="U433" s="254"/>
      <c r="V433" s="254"/>
      <c r="W433" s="254"/>
      <c r="Y433" s="246" t="str">
        <f t="shared" si="37"/>
        <v/>
      </c>
      <c r="Z433" s="247" t="str">
        <f t="shared" si="41"/>
        <v/>
      </c>
      <c r="AA433" s="246" t="str">
        <f t="shared" si="38"/>
        <v/>
      </c>
    </row>
    <row r="434" spans="1:27" ht="18" customHeight="1" x14ac:dyDescent="0.25">
      <c r="A434" s="248" t="str">
        <f t="shared" si="39"/>
        <v/>
      </c>
      <c r="B434" s="249" t="str">
        <f t="shared" si="40"/>
        <v/>
      </c>
      <c r="C434" s="250"/>
      <c r="D434" s="251"/>
      <c r="E434" s="241"/>
      <c r="F434" s="252"/>
      <c r="G434" s="252"/>
      <c r="H434" s="253"/>
      <c r="I434" s="250"/>
      <c r="J434" s="250"/>
      <c r="K434" s="270"/>
      <c r="L434" s="250"/>
      <c r="M434" s="250"/>
      <c r="N434" s="540" t="str">
        <f>CONCATENATE(IF(OR(M434=phu!$I$1,M434=phu!$I$2,M434=phu!$I$3),"Cam Thành Nam",""),IF(OR(M434=phu!$I$4,M434=phu!$I$5,M434=phu!$I$6,M434=phu!$I$7,M434=phu!$I$8,M434=phu!$I$9,M434=phu!$I$10,M434=phu!$I$11,M434=phu!$I$12,M434=phu!$I$13,M434=phu!$I$14),"Cam Nghĩa",""),IF(OR(M434=phu!$I$15,M434=phu!$I$16,M434=phu!$I$17,M434=phu!$I$18,M434=phu!$I$19,M434=phu!$I$20,M434=phu!$I$21),"Cam Phúc Bắc",""),IF(OR(M434=phu!$I$22,M434=phu!$I$23,M434=phu!$I$24,M434=phu!$I$25),"Cam Phúc Nam",""),IF(OR(M434=phu!$I$26,M434=phu!$I$27,M434=phu!$I$28,M434=phu!$I$29,M434=phu!$I$30,M434=phu!$I$31),"Cam Phú",""),IF(OR(M434=phu!$I$32,M434=phu!$I$33,M434=phu!$I$34,M434=phu!$I$35,M434=phu!$I$36,M434=phu!$I$37),"Cam Lộc",""),IF(OR(M434=phu!$I$38,M434=phu!$I$39,M434=phu!$I$40,M434=phu!$I$41,M434=phu!$I$42,M434=phu!$I$43,M434=phu!$I$44),"Cam Thuận",""),IF(OR(M434=phu!$I$45,M434=phu!$I$46,M434=phu!$I$47,M434=phu!$I$48,M434=phu!$I$49,M434=phu!$I$50,M434=phu!$I$51,M434=phu!$I$52,M434=phu!$I$53),"Cam Linh",""),IF(OR(M434=phu!$I$54,M434=phu!$I$55,M434=phu!$I$56,M434=phu!$I$57,M434=phu!$I$58,M434=phu!$I$59,M434=phu!$I$60,M434=phu!$I$61,M434=phu!$I$62),"Cam Lợi",""),IF(OR(M434=phu!$I$63,M434=phu!$I$64,M434=phu!$I$65,M434=phu!$I$66,M434=phu!$I$67,M434=phu!$I$68,M434=phu!$I$69,M434=phu!$I$70,M434=phu!$I$71),"Ba Ngòi",""),IF(OR(M434=phu!$I$72,M434=phu!$I$73,M434=phu!$I$74,M434=phu!$I$75,M434=phu!$I$76,M434=phu!$I$77,M434=phu!$I$78),"Cam Phước Đông",""),IF(OR(M434=phu!$I$79,M434=phu!$I$80,M434=phu!$I$81,M434=phu!$I$82,M434=phu!$I$83,M434=phu!$I$84),"Cam Thịnh Đông",""),IF(OR(M434=phu!$I$85,M434=phu!$I$86,M434=phu!$I$87,M434=phu!$I$88),"Cam Thịnh Tây",""),IF(OR(M434=phu!$I$89,M434=phu!$I$90),"Cam Lập",""),IF(OR(M434=phu!$I$91,M434=phu!$I$92,M434=phu!$I$93),"Cam Bình",""),IF(OR(M434=phu!$I$94,M434=phu!$I$95,M434=phu!$I$96,M434=phu!$I$97,M434=phu!$I$98,M434=phu!$I$99,M434=phu!$I$100),"Huyện khác",""),IF(OR(M434=phu!$I$101,M434=phu!$I$102),"Tỉnh khác",""))</f>
        <v/>
      </c>
      <c r="O434" s="829" t="str">
        <f t="shared" si="36"/>
        <v/>
      </c>
      <c r="P434" s="254"/>
      <c r="Q434" s="254"/>
      <c r="R434" s="254"/>
      <c r="S434" s="254"/>
      <c r="T434" s="254"/>
      <c r="U434" s="254"/>
      <c r="V434" s="254"/>
      <c r="W434" s="254"/>
      <c r="Y434" s="246" t="str">
        <f t="shared" si="37"/>
        <v/>
      </c>
      <c r="Z434" s="247" t="str">
        <f t="shared" si="41"/>
        <v/>
      </c>
      <c r="AA434" s="246" t="str">
        <f t="shared" si="38"/>
        <v/>
      </c>
    </row>
    <row r="435" spans="1:27" ht="18" customHeight="1" x14ac:dyDescent="0.25">
      <c r="A435" s="248" t="str">
        <f t="shared" si="39"/>
        <v/>
      </c>
      <c r="B435" s="249" t="str">
        <f t="shared" si="40"/>
        <v/>
      </c>
      <c r="C435" s="250"/>
      <c r="D435" s="251"/>
      <c r="E435" s="241"/>
      <c r="F435" s="252"/>
      <c r="G435" s="252"/>
      <c r="H435" s="253"/>
      <c r="I435" s="250"/>
      <c r="J435" s="250"/>
      <c r="K435" s="270"/>
      <c r="L435" s="250"/>
      <c r="M435" s="250"/>
      <c r="N435" s="540" t="str">
        <f>CONCATENATE(IF(OR(M435=phu!$I$1,M435=phu!$I$2,M435=phu!$I$3),"Cam Thành Nam",""),IF(OR(M435=phu!$I$4,M435=phu!$I$5,M435=phu!$I$6,M435=phu!$I$7,M435=phu!$I$8,M435=phu!$I$9,M435=phu!$I$10,M435=phu!$I$11,M435=phu!$I$12,M435=phu!$I$13,M435=phu!$I$14),"Cam Nghĩa",""),IF(OR(M435=phu!$I$15,M435=phu!$I$16,M435=phu!$I$17,M435=phu!$I$18,M435=phu!$I$19,M435=phu!$I$20,M435=phu!$I$21),"Cam Phúc Bắc",""),IF(OR(M435=phu!$I$22,M435=phu!$I$23,M435=phu!$I$24,M435=phu!$I$25),"Cam Phúc Nam",""),IF(OR(M435=phu!$I$26,M435=phu!$I$27,M435=phu!$I$28,M435=phu!$I$29,M435=phu!$I$30,M435=phu!$I$31),"Cam Phú",""),IF(OR(M435=phu!$I$32,M435=phu!$I$33,M435=phu!$I$34,M435=phu!$I$35,M435=phu!$I$36,M435=phu!$I$37),"Cam Lộc",""),IF(OR(M435=phu!$I$38,M435=phu!$I$39,M435=phu!$I$40,M435=phu!$I$41,M435=phu!$I$42,M435=phu!$I$43,M435=phu!$I$44),"Cam Thuận",""),IF(OR(M435=phu!$I$45,M435=phu!$I$46,M435=phu!$I$47,M435=phu!$I$48,M435=phu!$I$49,M435=phu!$I$50,M435=phu!$I$51,M435=phu!$I$52,M435=phu!$I$53),"Cam Linh",""),IF(OR(M435=phu!$I$54,M435=phu!$I$55,M435=phu!$I$56,M435=phu!$I$57,M435=phu!$I$58,M435=phu!$I$59,M435=phu!$I$60,M435=phu!$I$61,M435=phu!$I$62),"Cam Lợi",""),IF(OR(M435=phu!$I$63,M435=phu!$I$64,M435=phu!$I$65,M435=phu!$I$66,M435=phu!$I$67,M435=phu!$I$68,M435=phu!$I$69,M435=phu!$I$70,M435=phu!$I$71),"Ba Ngòi",""),IF(OR(M435=phu!$I$72,M435=phu!$I$73,M435=phu!$I$74,M435=phu!$I$75,M435=phu!$I$76,M435=phu!$I$77,M435=phu!$I$78),"Cam Phước Đông",""),IF(OR(M435=phu!$I$79,M435=phu!$I$80,M435=phu!$I$81,M435=phu!$I$82,M435=phu!$I$83,M435=phu!$I$84),"Cam Thịnh Đông",""),IF(OR(M435=phu!$I$85,M435=phu!$I$86,M435=phu!$I$87,M435=phu!$I$88),"Cam Thịnh Tây",""),IF(OR(M435=phu!$I$89,M435=phu!$I$90),"Cam Lập",""),IF(OR(M435=phu!$I$91,M435=phu!$I$92,M435=phu!$I$93),"Cam Bình",""),IF(OR(M435=phu!$I$94,M435=phu!$I$95,M435=phu!$I$96,M435=phu!$I$97,M435=phu!$I$98,M435=phu!$I$99,M435=phu!$I$100),"Huyện khác",""),IF(OR(M435=phu!$I$101,M435=phu!$I$102),"Tỉnh khác",""))</f>
        <v/>
      </c>
      <c r="O435" s="829" t="str">
        <f t="shared" si="36"/>
        <v/>
      </c>
      <c r="P435" s="254"/>
      <c r="Q435" s="254"/>
      <c r="R435" s="254"/>
      <c r="S435" s="254"/>
      <c r="T435" s="254"/>
      <c r="U435" s="254"/>
      <c r="V435" s="254"/>
      <c r="W435" s="254"/>
      <c r="Y435" s="246" t="str">
        <f t="shared" si="37"/>
        <v/>
      </c>
      <c r="Z435" s="247" t="str">
        <f t="shared" si="41"/>
        <v/>
      </c>
      <c r="AA435" s="246" t="str">
        <f t="shared" si="38"/>
        <v/>
      </c>
    </row>
    <row r="436" spans="1:27" ht="18" customHeight="1" x14ac:dyDescent="0.25">
      <c r="A436" s="248" t="str">
        <f t="shared" si="39"/>
        <v/>
      </c>
      <c r="B436" s="249" t="str">
        <f t="shared" si="40"/>
        <v/>
      </c>
      <c r="C436" s="250"/>
      <c r="D436" s="251"/>
      <c r="E436" s="241"/>
      <c r="F436" s="252"/>
      <c r="G436" s="252"/>
      <c r="H436" s="253"/>
      <c r="I436" s="250"/>
      <c r="J436" s="250"/>
      <c r="K436" s="270"/>
      <c r="L436" s="250"/>
      <c r="M436" s="250"/>
      <c r="N436" s="540" t="str">
        <f>CONCATENATE(IF(OR(M436=phu!$I$1,M436=phu!$I$2,M436=phu!$I$3),"Cam Thành Nam",""),IF(OR(M436=phu!$I$4,M436=phu!$I$5,M436=phu!$I$6,M436=phu!$I$7,M436=phu!$I$8,M436=phu!$I$9,M436=phu!$I$10,M436=phu!$I$11,M436=phu!$I$12,M436=phu!$I$13,M436=phu!$I$14),"Cam Nghĩa",""),IF(OR(M436=phu!$I$15,M436=phu!$I$16,M436=phu!$I$17,M436=phu!$I$18,M436=phu!$I$19,M436=phu!$I$20,M436=phu!$I$21),"Cam Phúc Bắc",""),IF(OR(M436=phu!$I$22,M436=phu!$I$23,M436=phu!$I$24,M436=phu!$I$25),"Cam Phúc Nam",""),IF(OR(M436=phu!$I$26,M436=phu!$I$27,M436=phu!$I$28,M436=phu!$I$29,M436=phu!$I$30,M436=phu!$I$31),"Cam Phú",""),IF(OR(M436=phu!$I$32,M436=phu!$I$33,M436=phu!$I$34,M436=phu!$I$35,M436=phu!$I$36,M436=phu!$I$37),"Cam Lộc",""),IF(OR(M436=phu!$I$38,M436=phu!$I$39,M436=phu!$I$40,M436=phu!$I$41,M436=phu!$I$42,M436=phu!$I$43,M436=phu!$I$44),"Cam Thuận",""),IF(OR(M436=phu!$I$45,M436=phu!$I$46,M436=phu!$I$47,M436=phu!$I$48,M436=phu!$I$49,M436=phu!$I$50,M436=phu!$I$51,M436=phu!$I$52,M436=phu!$I$53),"Cam Linh",""),IF(OR(M436=phu!$I$54,M436=phu!$I$55,M436=phu!$I$56,M436=phu!$I$57,M436=phu!$I$58,M436=phu!$I$59,M436=phu!$I$60,M436=phu!$I$61,M436=phu!$I$62),"Cam Lợi",""),IF(OR(M436=phu!$I$63,M436=phu!$I$64,M436=phu!$I$65,M436=phu!$I$66,M436=phu!$I$67,M436=phu!$I$68,M436=phu!$I$69,M436=phu!$I$70,M436=phu!$I$71),"Ba Ngòi",""),IF(OR(M436=phu!$I$72,M436=phu!$I$73,M436=phu!$I$74,M436=phu!$I$75,M436=phu!$I$76,M436=phu!$I$77,M436=phu!$I$78),"Cam Phước Đông",""),IF(OR(M436=phu!$I$79,M436=phu!$I$80,M436=phu!$I$81,M436=phu!$I$82,M436=phu!$I$83,M436=phu!$I$84),"Cam Thịnh Đông",""),IF(OR(M436=phu!$I$85,M436=phu!$I$86,M436=phu!$I$87,M436=phu!$I$88),"Cam Thịnh Tây",""),IF(OR(M436=phu!$I$89,M436=phu!$I$90),"Cam Lập",""),IF(OR(M436=phu!$I$91,M436=phu!$I$92,M436=phu!$I$93),"Cam Bình",""),IF(OR(M436=phu!$I$94,M436=phu!$I$95,M436=phu!$I$96,M436=phu!$I$97,M436=phu!$I$98,M436=phu!$I$99,M436=phu!$I$100),"Huyện khác",""),IF(OR(M436=phu!$I$101,M436=phu!$I$102),"Tỉnh khác",""))</f>
        <v/>
      </c>
      <c r="O436" s="829" t="str">
        <f t="shared" si="36"/>
        <v/>
      </c>
      <c r="P436" s="254"/>
      <c r="Q436" s="254"/>
      <c r="R436" s="254"/>
      <c r="S436" s="254"/>
      <c r="T436" s="254"/>
      <c r="U436" s="254"/>
      <c r="V436" s="254"/>
      <c r="W436" s="254"/>
      <c r="Y436" s="246" t="str">
        <f t="shared" si="37"/>
        <v/>
      </c>
      <c r="Z436" s="247" t="str">
        <f t="shared" si="41"/>
        <v/>
      </c>
      <c r="AA436" s="246" t="str">
        <f t="shared" si="38"/>
        <v/>
      </c>
    </row>
    <row r="437" spans="1:27" ht="18" customHeight="1" x14ac:dyDescent="0.25">
      <c r="A437" s="248" t="str">
        <f t="shared" si="39"/>
        <v/>
      </c>
      <c r="B437" s="249" t="str">
        <f t="shared" si="40"/>
        <v/>
      </c>
      <c r="C437" s="250"/>
      <c r="D437" s="251"/>
      <c r="E437" s="241"/>
      <c r="F437" s="252"/>
      <c r="G437" s="252"/>
      <c r="H437" s="253"/>
      <c r="I437" s="250"/>
      <c r="J437" s="250"/>
      <c r="K437" s="270"/>
      <c r="L437" s="250"/>
      <c r="M437" s="250"/>
      <c r="N437" s="540" t="str">
        <f>CONCATENATE(IF(OR(M437=phu!$I$1,M437=phu!$I$2,M437=phu!$I$3),"Cam Thành Nam",""),IF(OR(M437=phu!$I$4,M437=phu!$I$5,M437=phu!$I$6,M437=phu!$I$7,M437=phu!$I$8,M437=phu!$I$9,M437=phu!$I$10,M437=phu!$I$11,M437=phu!$I$12,M437=phu!$I$13,M437=phu!$I$14),"Cam Nghĩa",""),IF(OR(M437=phu!$I$15,M437=phu!$I$16,M437=phu!$I$17,M437=phu!$I$18,M437=phu!$I$19,M437=phu!$I$20,M437=phu!$I$21),"Cam Phúc Bắc",""),IF(OR(M437=phu!$I$22,M437=phu!$I$23,M437=phu!$I$24,M437=phu!$I$25),"Cam Phúc Nam",""),IF(OR(M437=phu!$I$26,M437=phu!$I$27,M437=phu!$I$28,M437=phu!$I$29,M437=phu!$I$30,M437=phu!$I$31),"Cam Phú",""),IF(OR(M437=phu!$I$32,M437=phu!$I$33,M437=phu!$I$34,M437=phu!$I$35,M437=phu!$I$36,M437=phu!$I$37),"Cam Lộc",""),IF(OR(M437=phu!$I$38,M437=phu!$I$39,M437=phu!$I$40,M437=phu!$I$41,M437=phu!$I$42,M437=phu!$I$43,M437=phu!$I$44),"Cam Thuận",""),IF(OR(M437=phu!$I$45,M437=phu!$I$46,M437=phu!$I$47,M437=phu!$I$48,M437=phu!$I$49,M437=phu!$I$50,M437=phu!$I$51,M437=phu!$I$52,M437=phu!$I$53),"Cam Linh",""),IF(OR(M437=phu!$I$54,M437=phu!$I$55,M437=phu!$I$56,M437=phu!$I$57,M437=phu!$I$58,M437=phu!$I$59,M437=phu!$I$60,M437=phu!$I$61,M437=phu!$I$62),"Cam Lợi",""),IF(OR(M437=phu!$I$63,M437=phu!$I$64,M437=phu!$I$65,M437=phu!$I$66,M437=phu!$I$67,M437=phu!$I$68,M437=phu!$I$69,M437=phu!$I$70,M437=phu!$I$71),"Ba Ngòi",""),IF(OR(M437=phu!$I$72,M437=phu!$I$73,M437=phu!$I$74,M437=phu!$I$75,M437=phu!$I$76,M437=phu!$I$77,M437=phu!$I$78),"Cam Phước Đông",""),IF(OR(M437=phu!$I$79,M437=phu!$I$80,M437=phu!$I$81,M437=phu!$I$82,M437=phu!$I$83,M437=phu!$I$84),"Cam Thịnh Đông",""),IF(OR(M437=phu!$I$85,M437=phu!$I$86,M437=phu!$I$87,M437=phu!$I$88),"Cam Thịnh Tây",""),IF(OR(M437=phu!$I$89,M437=phu!$I$90),"Cam Lập",""),IF(OR(M437=phu!$I$91,M437=phu!$I$92,M437=phu!$I$93),"Cam Bình",""),IF(OR(M437=phu!$I$94,M437=phu!$I$95,M437=phu!$I$96,M437=phu!$I$97,M437=phu!$I$98,M437=phu!$I$99,M437=phu!$I$100),"Huyện khác",""),IF(OR(M437=phu!$I$101,M437=phu!$I$102),"Tỉnh khác",""))</f>
        <v/>
      </c>
      <c r="O437" s="829" t="str">
        <f t="shared" si="36"/>
        <v/>
      </c>
      <c r="P437" s="254"/>
      <c r="Q437" s="254"/>
      <c r="R437" s="254"/>
      <c r="S437" s="254"/>
      <c r="T437" s="254"/>
      <c r="U437" s="254"/>
      <c r="V437" s="254"/>
      <c r="W437" s="254"/>
      <c r="Y437" s="246" t="str">
        <f t="shared" si="37"/>
        <v/>
      </c>
      <c r="Z437" s="247" t="str">
        <f t="shared" si="41"/>
        <v/>
      </c>
      <c r="AA437" s="246" t="str">
        <f t="shared" si="38"/>
        <v/>
      </c>
    </row>
    <row r="438" spans="1:27" ht="18" customHeight="1" x14ac:dyDescent="0.25">
      <c r="A438" s="248" t="str">
        <f t="shared" si="39"/>
        <v/>
      </c>
      <c r="B438" s="249" t="str">
        <f t="shared" si="40"/>
        <v/>
      </c>
      <c r="C438" s="250"/>
      <c r="D438" s="251"/>
      <c r="E438" s="241"/>
      <c r="F438" s="252"/>
      <c r="G438" s="252"/>
      <c r="H438" s="253"/>
      <c r="I438" s="250"/>
      <c r="J438" s="250"/>
      <c r="K438" s="270"/>
      <c r="L438" s="250"/>
      <c r="M438" s="250"/>
      <c r="N438" s="540" t="str">
        <f>CONCATENATE(IF(OR(M438=phu!$I$1,M438=phu!$I$2,M438=phu!$I$3),"Cam Thành Nam",""),IF(OR(M438=phu!$I$4,M438=phu!$I$5,M438=phu!$I$6,M438=phu!$I$7,M438=phu!$I$8,M438=phu!$I$9,M438=phu!$I$10,M438=phu!$I$11,M438=phu!$I$12,M438=phu!$I$13,M438=phu!$I$14),"Cam Nghĩa",""),IF(OR(M438=phu!$I$15,M438=phu!$I$16,M438=phu!$I$17,M438=phu!$I$18,M438=phu!$I$19,M438=phu!$I$20,M438=phu!$I$21),"Cam Phúc Bắc",""),IF(OR(M438=phu!$I$22,M438=phu!$I$23,M438=phu!$I$24,M438=phu!$I$25),"Cam Phúc Nam",""),IF(OR(M438=phu!$I$26,M438=phu!$I$27,M438=phu!$I$28,M438=phu!$I$29,M438=phu!$I$30,M438=phu!$I$31),"Cam Phú",""),IF(OR(M438=phu!$I$32,M438=phu!$I$33,M438=phu!$I$34,M438=phu!$I$35,M438=phu!$I$36,M438=phu!$I$37),"Cam Lộc",""),IF(OR(M438=phu!$I$38,M438=phu!$I$39,M438=phu!$I$40,M438=phu!$I$41,M438=phu!$I$42,M438=phu!$I$43,M438=phu!$I$44),"Cam Thuận",""),IF(OR(M438=phu!$I$45,M438=phu!$I$46,M438=phu!$I$47,M438=phu!$I$48,M438=phu!$I$49,M438=phu!$I$50,M438=phu!$I$51,M438=phu!$I$52,M438=phu!$I$53),"Cam Linh",""),IF(OR(M438=phu!$I$54,M438=phu!$I$55,M438=phu!$I$56,M438=phu!$I$57,M438=phu!$I$58,M438=phu!$I$59,M438=phu!$I$60,M438=phu!$I$61,M438=phu!$I$62),"Cam Lợi",""),IF(OR(M438=phu!$I$63,M438=phu!$I$64,M438=phu!$I$65,M438=phu!$I$66,M438=phu!$I$67,M438=phu!$I$68,M438=phu!$I$69,M438=phu!$I$70,M438=phu!$I$71),"Ba Ngòi",""),IF(OR(M438=phu!$I$72,M438=phu!$I$73,M438=phu!$I$74,M438=phu!$I$75,M438=phu!$I$76,M438=phu!$I$77,M438=phu!$I$78),"Cam Phước Đông",""),IF(OR(M438=phu!$I$79,M438=phu!$I$80,M438=phu!$I$81,M438=phu!$I$82,M438=phu!$I$83,M438=phu!$I$84),"Cam Thịnh Đông",""),IF(OR(M438=phu!$I$85,M438=phu!$I$86,M438=phu!$I$87,M438=phu!$I$88),"Cam Thịnh Tây",""),IF(OR(M438=phu!$I$89,M438=phu!$I$90),"Cam Lập",""),IF(OR(M438=phu!$I$91,M438=phu!$I$92,M438=phu!$I$93),"Cam Bình",""),IF(OR(M438=phu!$I$94,M438=phu!$I$95,M438=phu!$I$96,M438=phu!$I$97,M438=phu!$I$98,M438=phu!$I$99,M438=phu!$I$100),"Huyện khác",""),IF(OR(M438=phu!$I$101,M438=phu!$I$102),"Tỉnh khác",""))</f>
        <v/>
      </c>
      <c r="O438" s="829" t="str">
        <f t="shared" si="36"/>
        <v/>
      </c>
      <c r="P438" s="254"/>
      <c r="Q438" s="254"/>
      <c r="R438" s="254"/>
      <c r="S438" s="254"/>
      <c r="T438" s="254"/>
      <c r="U438" s="254"/>
      <c r="V438" s="254"/>
      <c r="W438" s="254"/>
      <c r="Y438" s="246" t="str">
        <f t="shared" si="37"/>
        <v/>
      </c>
      <c r="Z438" s="247" t="str">
        <f t="shared" si="41"/>
        <v/>
      </c>
      <c r="AA438" s="246" t="str">
        <f t="shared" si="38"/>
        <v/>
      </c>
    </row>
    <row r="439" spans="1:27" ht="18" customHeight="1" x14ac:dyDescent="0.25">
      <c r="A439" s="248" t="str">
        <f t="shared" si="39"/>
        <v/>
      </c>
      <c r="B439" s="249" t="str">
        <f t="shared" si="40"/>
        <v/>
      </c>
      <c r="C439" s="250"/>
      <c r="D439" s="251"/>
      <c r="E439" s="241"/>
      <c r="F439" s="252"/>
      <c r="G439" s="252"/>
      <c r="H439" s="253"/>
      <c r="I439" s="250"/>
      <c r="J439" s="250"/>
      <c r="K439" s="270"/>
      <c r="L439" s="250"/>
      <c r="M439" s="250"/>
      <c r="N439" s="540" t="str">
        <f>CONCATENATE(IF(OR(M439=phu!$I$1,M439=phu!$I$2,M439=phu!$I$3),"Cam Thành Nam",""),IF(OR(M439=phu!$I$4,M439=phu!$I$5,M439=phu!$I$6,M439=phu!$I$7,M439=phu!$I$8,M439=phu!$I$9,M439=phu!$I$10,M439=phu!$I$11,M439=phu!$I$12,M439=phu!$I$13,M439=phu!$I$14),"Cam Nghĩa",""),IF(OR(M439=phu!$I$15,M439=phu!$I$16,M439=phu!$I$17,M439=phu!$I$18,M439=phu!$I$19,M439=phu!$I$20,M439=phu!$I$21),"Cam Phúc Bắc",""),IF(OR(M439=phu!$I$22,M439=phu!$I$23,M439=phu!$I$24,M439=phu!$I$25),"Cam Phúc Nam",""),IF(OR(M439=phu!$I$26,M439=phu!$I$27,M439=phu!$I$28,M439=phu!$I$29,M439=phu!$I$30,M439=phu!$I$31),"Cam Phú",""),IF(OR(M439=phu!$I$32,M439=phu!$I$33,M439=phu!$I$34,M439=phu!$I$35,M439=phu!$I$36,M439=phu!$I$37),"Cam Lộc",""),IF(OR(M439=phu!$I$38,M439=phu!$I$39,M439=phu!$I$40,M439=phu!$I$41,M439=phu!$I$42,M439=phu!$I$43,M439=phu!$I$44),"Cam Thuận",""),IF(OR(M439=phu!$I$45,M439=phu!$I$46,M439=phu!$I$47,M439=phu!$I$48,M439=phu!$I$49,M439=phu!$I$50,M439=phu!$I$51,M439=phu!$I$52,M439=phu!$I$53),"Cam Linh",""),IF(OR(M439=phu!$I$54,M439=phu!$I$55,M439=phu!$I$56,M439=phu!$I$57,M439=phu!$I$58,M439=phu!$I$59,M439=phu!$I$60,M439=phu!$I$61,M439=phu!$I$62),"Cam Lợi",""),IF(OR(M439=phu!$I$63,M439=phu!$I$64,M439=phu!$I$65,M439=phu!$I$66,M439=phu!$I$67,M439=phu!$I$68,M439=phu!$I$69,M439=phu!$I$70,M439=phu!$I$71),"Ba Ngòi",""),IF(OR(M439=phu!$I$72,M439=phu!$I$73,M439=phu!$I$74,M439=phu!$I$75,M439=phu!$I$76,M439=phu!$I$77,M439=phu!$I$78),"Cam Phước Đông",""),IF(OR(M439=phu!$I$79,M439=phu!$I$80,M439=phu!$I$81,M439=phu!$I$82,M439=phu!$I$83,M439=phu!$I$84),"Cam Thịnh Đông",""),IF(OR(M439=phu!$I$85,M439=phu!$I$86,M439=phu!$I$87,M439=phu!$I$88),"Cam Thịnh Tây",""),IF(OR(M439=phu!$I$89,M439=phu!$I$90),"Cam Lập",""),IF(OR(M439=phu!$I$91,M439=phu!$I$92,M439=phu!$I$93),"Cam Bình",""),IF(OR(M439=phu!$I$94,M439=phu!$I$95,M439=phu!$I$96,M439=phu!$I$97,M439=phu!$I$98,M439=phu!$I$99,M439=phu!$I$100),"Huyện khác",""),IF(OR(M439=phu!$I$101,M439=phu!$I$102),"Tỉnh khác",""))</f>
        <v/>
      </c>
      <c r="O439" s="829" t="str">
        <f t="shared" si="36"/>
        <v/>
      </c>
      <c r="P439" s="254"/>
      <c r="Q439" s="254"/>
      <c r="R439" s="254"/>
      <c r="S439" s="254"/>
      <c r="T439" s="254"/>
      <c r="U439" s="254"/>
      <c r="V439" s="254"/>
      <c r="W439" s="254"/>
      <c r="Y439" s="246" t="str">
        <f t="shared" si="37"/>
        <v/>
      </c>
      <c r="Z439" s="247" t="str">
        <f t="shared" si="41"/>
        <v/>
      </c>
      <c r="AA439" s="246" t="str">
        <f t="shared" si="38"/>
        <v/>
      </c>
    </row>
    <row r="440" spans="1:27" ht="18" customHeight="1" x14ac:dyDescent="0.25">
      <c r="A440" s="248" t="str">
        <f t="shared" si="39"/>
        <v/>
      </c>
      <c r="B440" s="249" t="str">
        <f t="shared" si="40"/>
        <v/>
      </c>
      <c r="C440" s="250"/>
      <c r="D440" s="251"/>
      <c r="E440" s="241"/>
      <c r="F440" s="252"/>
      <c r="G440" s="252"/>
      <c r="H440" s="253"/>
      <c r="I440" s="250"/>
      <c r="J440" s="250"/>
      <c r="K440" s="270"/>
      <c r="L440" s="250"/>
      <c r="M440" s="250"/>
      <c r="N440" s="540" t="str">
        <f>CONCATENATE(IF(OR(M440=phu!$I$1,M440=phu!$I$2,M440=phu!$I$3),"Cam Thành Nam",""),IF(OR(M440=phu!$I$4,M440=phu!$I$5,M440=phu!$I$6,M440=phu!$I$7,M440=phu!$I$8,M440=phu!$I$9,M440=phu!$I$10,M440=phu!$I$11,M440=phu!$I$12,M440=phu!$I$13,M440=phu!$I$14),"Cam Nghĩa",""),IF(OR(M440=phu!$I$15,M440=phu!$I$16,M440=phu!$I$17,M440=phu!$I$18,M440=phu!$I$19,M440=phu!$I$20,M440=phu!$I$21),"Cam Phúc Bắc",""),IF(OR(M440=phu!$I$22,M440=phu!$I$23,M440=phu!$I$24,M440=phu!$I$25),"Cam Phúc Nam",""),IF(OR(M440=phu!$I$26,M440=phu!$I$27,M440=phu!$I$28,M440=phu!$I$29,M440=phu!$I$30,M440=phu!$I$31),"Cam Phú",""),IF(OR(M440=phu!$I$32,M440=phu!$I$33,M440=phu!$I$34,M440=phu!$I$35,M440=phu!$I$36,M440=phu!$I$37),"Cam Lộc",""),IF(OR(M440=phu!$I$38,M440=phu!$I$39,M440=phu!$I$40,M440=phu!$I$41,M440=phu!$I$42,M440=phu!$I$43,M440=phu!$I$44),"Cam Thuận",""),IF(OR(M440=phu!$I$45,M440=phu!$I$46,M440=phu!$I$47,M440=phu!$I$48,M440=phu!$I$49,M440=phu!$I$50,M440=phu!$I$51,M440=phu!$I$52,M440=phu!$I$53),"Cam Linh",""),IF(OR(M440=phu!$I$54,M440=phu!$I$55,M440=phu!$I$56,M440=phu!$I$57,M440=phu!$I$58,M440=phu!$I$59,M440=phu!$I$60,M440=phu!$I$61,M440=phu!$I$62),"Cam Lợi",""),IF(OR(M440=phu!$I$63,M440=phu!$I$64,M440=phu!$I$65,M440=phu!$I$66,M440=phu!$I$67,M440=phu!$I$68,M440=phu!$I$69,M440=phu!$I$70,M440=phu!$I$71),"Ba Ngòi",""),IF(OR(M440=phu!$I$72,M440=phu!$I$73,M440=phu!$I$74,M440=phu!$I$75,M440=phu!$I$76,M440=phu!$I$77,M440=phu!$I$78),"Cam Phước Đông",""),IF(OR(M440=phu!$I$79,M440=phu!$I$80,M440=phu!$I$81,M440=phu!$I$82,M440=phu!$I$83,M440=phu!$I$84),"Cam Thịnh Đông",""),IF(OR(M440=phu!$I$85,M440=phu!$I$86,M440=phu!$I$87,M440=phu!$I$88),"Cam Thịnh Tây",""),IF(OR(M440=phu!$I$89,M440=phu!$I$90),"Cam Lập",""),IF(OR(M440=phu!$I$91,M440=phu!$I$92,M440=phu!$I$93),"Cam Bình",""),IF(OR(M440=phu!$I$94,M440=phu!$I$95,M440=phu!$I$96,M440=phu!$I$97,M440=phu!$I$98,M440=phu!$I$99,M440=phu!$I$100),"Huyện khác",""),IF(OR(M440=phu!$I$101,M440=phu!$I$102),"Tỉnh khác",""))</f>
        <v/>
      </c>
      <c r="O440" s="829" t="str">
        <f t="shared" si="36"/>
        <v/>
      </c>
      <c r="P440" s="254"/>
      <c r="Q440" s="254"/>
      <c r="R440" s="254"/>
      <c r="S440" s="254"/>
      <c r="T440" s="254"/>
      <c r="U440" s="254"/>
      <c r="V440" s="254"/>
      <c r="W440" s="254"/>
      <c r="Y440" s="246" t="str">
        <f t="shared" si="37"/>
        <v/>
      </c>
      <c r="Z440" s="247" t="str">
        <f t="shared" si="41"/>
        <v/>
      </c>
      <c r="AA440" s="246" t="str">
        <f t="shared" si="38"/>
        <v/>
      </c>
    </row>
    <row r="441" spans="1:27" ht="18" customHeight="1" x14ac:dyDescent="0.25">
      <c r="A441" s="248" t="str">
        <f t="shared" si="39"/>
        <v/>
      </c>
      <c r="B441" s="249" t="str">
        <f t="shared" si="40"/>
        <v/>
      </c>
      <c r="C441" s="250"/>
      <c r="D441" s="251"/>
      <c r="E441" s="241"/>
      <c r="F441" s="252"/>
      <c r="G441" s="252"/>
      <c r="H441" s="253"/>
      <c r="I441" s="250"/>
      <c r="J441" s="250"/>
      <c r="K441" s="270"/>
      <c r="L441" s="250"/>
      <c r="M441" s="250"/>
      <c r="N441" s="540" t="str">
        <f>CONCATENATE(IF(OR(M441=phu!$I$1,M441=phu!$I$2,M441=phu!$I$3),"Cam Thành Nam",""),IF(OR(M441=phu!$I$4,M441=phu!$I$5,M441=phu!$I$6,M441=phu!$I$7,M441=phu!$I$8,M441=phu!$I$9,M441=phu!$I$10,M441=phu!$I$11,M441=phu!$I$12,M441=phu!$I$13,M441=phu!$I$14),"Cam Nghĩa",""),IF(OR(M441=phu!$I$15,M441=phu!$I$16,M441=phu!$I$17,M441=phu!$I$18,M441=phu!$I$19,M441=phu!$I$20,M441=phu!$I$21),"Cam Phúc Bắc",""),IF(OR(M441=phu!$I$22,M441=phu!$I$23,M441=phu!$I$24,M441=phu!$I$25),"Cam Phúc Nam",""),IF(OR(M441=phu!$I$26,M441=phu!$I$27,M441=phu!$I$28,M441=phu!$I$29,M441=phu!$I$30,M441=phu!$I$31),"Cam Phú",""),IF(OR(M441=phu!$I$32,M441=phu!$I$33,M441=phu!$I$34,M441=phu!$I$35,M441=phu!$I$36,M441=phu!$I$37),"Cam Lộc",""),IF(OR(M441=phu!$I$38,M441=phu!$I$39,M441=phu!$I$40,M441=phu!$I$41,M441=phu!$I$42,M441=phu!$I$43,M441=phu!$I$44),"Cam Thuận",""),IF(OR(M441=phu!$I$45,M441=phu!$I$46,M441=phu!$I$47,M441=phu!$I$48,M441=phu!$I$49,M441=phu!$I$50,M441=phu!$I$51,M441=phu!$I$52,M441=phu!$I$53),"Cam Linh",""),IF(OR(M441=phu!$I$54,M441=phu!$I$55,M441=phu!$I$56,M441=phu!$I$57,M441=phu!$I$58,M441=phu!$I$59,M441=phu!$I$60,M441=phu!$I$61,M441=phu!$I$62),"Cam Lợi",""),IF(OR(M441=phu!$I$63,M441=phu!$I$64,M441=phu!$I$65,M441=phu!$I$66,M441=phu!$I$67,M441=phu!$I$68,M441=phu!$I$69,M441=phu!$I$70,M441=phu!$I$71),"Ba Ngòi",""),IF(OR(M441=phu!$I$72,M441=phu!$I$73,M441=phu!$I$74,M441=phu!$I$75,M441=phu!$I$76,M441=phu!$I$77,M441=phu!$I$78),"Cam Phước Đông",""),IF(OR(M441=phu!$I$79,M441=phu!$I$80,M441=phu!$I$81,M441=phu!$I$82,M441=phu!$I$83,M441=phu!$I$84),"Cam Thịnh Đông",""),IF(OR(M441=phu!$I$85,M441=phu!$I$86,M441=phu!$I$87,M441=phu!$I$88),"Cam Thịnh Tây",""),IF(OR(M441=phu!$I$89,M441=phu!$I$90),"Cam Lập",""),IF(OR(M441=phu!$I$91,M441=phu!$I$92,M441=phu!$I$93),"Cam Bình",""),IF(OR(M441=phu!$I$94,M441=phu!$I$95,M441=phu!$I$96,M441=phu!$I$97,M441=phu!$I$98,M441=phu!$I$99,M441=phu!$I$100),"Huyện khác",""),IF(OR(M441=phu!$I$101,M441=phu!$I$102),"Tỉnh khác",""))</f>
        <v/>
      </c>
      <c r="O441" s="829" t="str">
        <f t="shared" si="36"/>
        <v/>
      </c>
      <c r="P441" s="254"/>
      <c r="Q441" s="254"/>
      <c r="R441" s="254"/>
      <c r="S441" s="254"/>
      <c r="T441" s="254"/>
      <c r="U441" s="254"/>
      <c r="V441" s="254"/>
      <c r="W441" s="254"/>
      <c r="Y441" s="246" t="str">
        <f t="shared" si="37"/>
        <v/>
      </c>
      <c r="Z441" s="247" t="str">
        <f t="shared" si="41"/>
        <v/>
      </c>
      <c r="AA441" s="246" t="str">
        <f t="shared" si="38"/>
        <v/>
      </c>
    </row>
    <row r="442" spans="1:27" ht="18" customHeight="1" x14ac:dyDescent="0.25">
      <c r="A442" s="248" t="str">
        <f t="shared" si="39"/>
        <v/>
      </c>
      <c r="B442" s="249" t="str">
        <f t="shared" si="40"/>
        <v/>
      </c>
      <c r="C442" s="250"/>
      <c r="D442" s="251"/>
      <c r="E442" s="241"/>
      <c r="F442" s="252"/>
      <c r="G442" s="252"/>
      <c r="H442" s="253"/>
      <c r="I442" s="250"/>
      <c r="J442" s="250"/>
      <c r="K442" s="270"/>
      <c r="L442" s="250"/>
      <c r="M442" s="250"/>
      <c r="N442" s="540" t="str">
        <f>CONCATENATE(IF(OR(M442=phu!$I$1,M442=phu!$I$2,M442=phu!$I$3),"Cam Thành Nam",""),IF(OR(M442=phu!$I$4,M442=phu!$I$5,M442=phu!$I$6,M442=phu!$I$7,M442=phu!$I$8,M442=phu!$I$9,M442=phu!$I$10,M442=phu!$I$11,M442=phu!$I$12,M442=phu!$I$13,M442=phu!$I$14),"Cam Nghĩa",""),IF(OR(M442=phu!$I$15,M442=phu!$I$16,M442=phu!$I$17,M442=phu!$I$18,M442=phu!$I$19,M442=phu!$I$20,M442=phu!$I$21),"Cam Phúc Bắc",""),IF(OR(M442=phu!$I$22,M442=phu!$I$23,M442=phu!$I$24,M442=phu!$I$25),"Cam Phúc Nam",""),IF(OR(M442=phu!$I$26,M442=phu!$I$27,M442=phu!$I$28,M442=phu!$I$29,M442=phu!$I$30,M442=phu!$I$31),"Cam Phú",""),IF(OR(M442=phu!$I$32,M442=phu!$I$33,M442=phu!$I$34,M442=phu!$I$35,M442=phu!$I$36,M442=phu!$I$37),"Cam Lộc",""),IF(OR(M442=phu!$I$38,M442=phu!$I$39,M442=phu!$I$40,M442=phu!$I$41,M442=phu!$I$42,M442=phu!$I$43,M442=phu!$I$44),"Cam Thuận",""),IF(OR(M442=phu!$I$45,M442=phu!$I$46,M442=phu!$I$47,M442=phu!$I$48,M442=phu!$I$49,M442=phu!$I$50,M442=phu!$I$51,M442=phu!$I$52,M442=phu!$I$53),"Cam Linh",""),IF(OR(M442=phu!$I$54,M442=phu!$I$55,M442=phu!$I$56,M442=phu!$I$57,M442=phu!$I$58,M442=phu!$I$59,M442=phu!$I$60,M442=phu!$I$61,M442=phu!$I$62),"Cam Lợi",""),IF(OR(M442=phu!$I$63,M442=phu!$I$64,M442=phu!$I$65,M442=phu!$I$66,M442=phu!$I$67,M442=phu!$I$68,M442=phu!$I$69,M442=phu!$I$70,M442=phu!$I$71),"Ba Ngòi",""),IF(OR(M442=phu!$I$72,M442=phu!$I$73,M442=phu!$I$74,M442=phu!$I$75,M442=phu!$I$76,M442=phu!$I$77,M442=phu!$I$78),"Cam Phước Đông",""),IF(OR(M442=phu!$I$79,M442=phu!$I$80,M442=phu!$I$81,M442=phu!$I$82,M442=phu!$I$83,M442=phu!$I$84),"Cam Thịnh Đông",""),IF(OR(M442=phu!$I$85,M442=phu!$I$86,M442=phu!$I$87,M442=phu!$I$88),"Cam Thịnh Tây",""),IF(OR(M442=phu!$I$89,M442=phu!$I$90),"Cam Lập",""),IF(OR(M442=phu!$I$91,M442=phu!$I$92,M442=phu!$I$93),"Cam Bình",""),IF(OR(M442=phu!$I$94,M442=phu!$I$95,M442=phu!$I$96,M442=phu!$I$97,M442=phu!$I$98,M442=phu!$I$99,M442=phu!$I$100),"Huyện khác",""),IF(OR(M442=phu!$I$101,M442=phu!$I$102),"Tỉnh khác",""))</f>
        <v/>
      </c>
      <c r="O442" s="829" t="str">
        <f t="shared" si="36"/>
        <v/>
      </c>
      <c r="P442" s="254"/>
      <c r="Q442" s="254"/>
      <c r="R442" s="254"/>
      <c r="S442" s="254"/>
      <c r="T442" s="254"/>
      <c r="U442" s="254"/>
      <c r="V442" s="254"/>
      <c r="W442" s="254"/>
      <c r="Y442" s="246" t="str">
        <f t="shared" si="37"/>
        <v/>
      </c>
      <c r="Z442" s="247" t="str">
        <f t="shared" si="41"/>
        <v/>
      </c>
      <c r="AA442" s="246" t="str">
        <f t="shared" si="38"/>
        <v/>
      </c>
    </row>
    <row r="443" spans="1:27" ht="18" customHeight="1" x14ac:dyDescent="0.25">
      <c r="A443" s="248" t="str">
        <f t="shared" si="39"/>
        <v/>
      </c>
      <c r="B443" s="249" t="str">
        <f t="shared" si="40"/>
        <v/>
      </c>
      <c r="C443" s="250"/>
      <c r="D443" s="251"/>
      <c r="E443" s="241"/>
      <c r="F443" s="252"/>
      <c r="G443" s="252"/>
      <c r="H443" s="253"/>
      <c r="I443" s="250"/>
      <c r="J443" s="250"/>
      <c r="K443" s="270"/>
      <c r="L443" s="250"/>
      <c r="M443" s="250"/>
      <c r="N443" s="540" t="str">
        <f>CONCATENATE(IF(OR(M443=phu!$I$1,M443=phu!$I$2,M443=phu!$I$3),"Cam Thành Nam",""),IF(OR(M443=phu!$I$4,M443=phu!$I$5,M443=phu!$I$6,M443=phu!$I$7,M443=phu!$I$8,M443=phu!$I$9,M443=phu!$I$10,M443=phu!$I$11,M443=phu!$I$12,M443=phu!$I$13,M443=phu!$I$14),"Cam Nghĩa",""),IF(OR(M443=phu!$I$15,M443=phu!$I$16,M443=phu!$I$17,M443=phu!$I$18,M443=phu!$I$19,M443=phu!$I$20,M443=phu!$I$21),"Cam Phúc Bắc",""),IF(OR(M443=phu!$I$22,M443=phu!$I$23,M443=phu!$I$24,M443=phu!$I$25),"Cam Phúc Nam",""),IF(OR(M443=phu!$I$26,M443=phu!$I$27,M443=phu!$I$28,M443=phu!$I$29,M443=phu!$I$30,M443=phu!$I$31),"Cam Phú",""),IF(OR(M443=phu!$I$32,M443=phu!$I$33,M443=phu!$I$34,M443=phu!$I$35,M443=phu!$I$36,M443=phu!$I$37),"Cam Lộc",""),IF(OR(M443=phu!$I$38,M443=phu!$I$39,M443=phu!$I$40,M443=phu!$I$41,M443=phu!$I$42,M443=phu!$I$43,M443=phu!$I$44),"Cam Thuận",""),IF(OR(M443=phu!$I$45,M443=phu!$I$46,M443=phu!$I$47,M443=phu!$I$48,M443=phu!$I$49,M443=phu!$I$50,M443=phu!$I$51,M443=phu!$I$52,M443=phu!$I$53),"Cam Linh",""),IF(OR(M443=phu!$I$54,M443=phu!$I$55,M443=phu!$I$56,M443=phu!$I$57,M443=phu!$I$58,M443=phu!$I$59,M443=phu!$I$60,M443=phu!$I$61,M443=phu!$I$62),"Cam Lợi",""),IF(OR(M443=phu!$I$63,M443=phu!$I$64,M443=phu!$I$65,M443=phu!$I$66,M443=phu!$I$67,M443=phu!$I$68,M443=phu!$I$69,M443=phu!$I$70,M443=phu!$I$71),"Ba Ngòi",""),IF(OR(M443=phu!$I$72,M443=phu!$I$73,M443=phu!$I$74,M443=phu!$I$75,M443=phu!$I$76,M443=phu!$I$77,M443=phu!$I$78),"Cam Phước Đông",""),IF(OR(M443=phu!$I$79,M443=phu!$I$80,M443=phu!$I$81,M443=phu!$I$82,M443=phu!$I$83,M443=phu!$I$84),"Cam Thịnh Đông",""),IF(OR(M443=phu!$I$85,M443=phu!$I$86,M443=phu!$I$87,M443=phu!$I$88),"Cam Thịnh Tây",""),IF(OR(M443=phu!$I$89,M443=phu!$I$90),"Cam Lập",""),IF(OR(M443=phu!$I$91,M443=phu!$I$92,M443=phu!$I$93),"Cam Bình",""),IF(OR(M443=phu!$I$94,M443=phu!$I$95,M443=phu!$I$96,M443=phu!$I$97,M443=phu!$I$98,M443=phu!$I$99,M443=phu!$I$100),"Huyện khác",""),IF(OR(M443=phu!$I$101,M443=phu!$I$102),"Tỉnh khác",""))</f>
        <v/>
      </c>
      <c r="O443" s="829" t="str">
        <f t="shared" si="36"/>
        <v/>
      </c>
      <c r="P443" s="254"/>
      <c r="Q443" s="254"/>
      <c r="R443" s="254"/>
      <c r="S443" s="254"/>
      <c r="T443" s="254"/>
      <c r="U443" s="254"/>
      <c r="V443" s="254"/>
      <c r="W443" s="254"/>
      <c r="Y443" s="246" t="str">
        <f t="shared" si="37"/>
        <v/>
      </c>
      <c r="Z443" s="247" t="str">
        <f t="shared" si="41"/>
        <v/>
      </c>
      <c r="AA443" s="246" t="str">
        <f t="shared" si="38"/>
        <v/>
      </c>
    </row>
    <row r="444" spans="1:27" ht="18" customHeight="1" x14ac:dyDescent="0.25">
      <c r="A444" s="248" t="str">
        <f t="shared" si="39"/>
        <v/>
      </c>
      <c r="B444" s="249" t="str">
        <f t="shared" si="40"/>
        <v/>
      </c>
      <c r="C444" s="250"/>
      <c r="D444" s="251"/>
      <c r="E444" s="241"/>
      <c r="F444" s="252"/>
      <c r="G444" s="252"/>
      <c r="H444" s="253"/>
      <c r="I444" s="250"/>
      <c r="J444" s="250"/>
      <c r="K444" s="270"/>
      <c r="L444" s="250"/>
      <c r="M444" s="250"/>
      <c r="N444" s="540" t="str">
        <f>CONCATENATE(IF(OR(M444=phu!$I$1,M444=phu!$I$2,M444=phu!$I$3),"Cam Thành Nam",""),IF(OR(M444=phu!$I$4,M444=phu!$I$5,M444=phu!$I$6,M444=phu!$I$7,M444=phu!$I$8,M444=phu!$I$9,M444=phu!$I$10,M444=phu!$I$11,M444=phu!$I$12,M444=phu!$I$13,M444=phu!$I$14),"Cam Nghĩa",""),IF(OR(M444=phu!$I$15,M444=phu!$I$16,M444=phu!$I$17,M444=phu!$I$18,M444=phu!$I$19,M444=phu!$I$20,M444=phu!$I$21),"Cam Phúc Bắc",""),IF(OR(M444=phu!$I$22,M444=phu!$I$23,M444=phu!$I$24,M444=phu!$I$25),"Cam Phúc Nam",""),IF(OR(M444=phu!$I$26,M444=phu!$I$27,M444=phu!$I$28,M444=phu!$I$29,M444=phu!$I$30,M444=phu!$I$31),"Cam Phú",""),IF(OR(M444=phu!$I$32,M444=phu!$I$33,M444=phu!$I$34,M444=phu!$I$35,M444=phu!$I$36,M444=phu!$I$37),"Cam Lộc",""),IF(OR(M444=phu!$I$38,M444=phu!$I$39,M444=phu!$I$40,M444=phu!$I$41,M444=phu!$I$42,M444=phu!$I$43,M444=phu!$I$44),"Cam Thuận",""),IF(OR(M444=phu!$I$45,M444=phu!$I$46,M444=phu!$I$47,M444=phu!$I$48,M444=phu!$I$49,M444=phu!$I$50,M444=phu!$I$51,M444=phu!$I$52,M444=phu!$I$53),"Cam Linh",""),IF(OR(M444=phu!$I$54,M444=phu!$I$55,M444=phu!$I$56,M444=phu!$I$57,M444=phu!$I$58,M444=phu!$I$59,M444=phu!$I$60,M444=phu!$I$61,M444=phu!$I$62),"Cam Lợi",""),IF(OR(M444=phu!$I$63,M444=phu!$I$64,M444=phu!$I$65,M444=phu!$I$66,M444=phu!$I$67,M444=phu!$I$68,M444=phu!$I$69,M444=phu!$I$70,M444=phu!$I$71),"Ba Ngòi",""),IF(OR(M444=phu!$I$72,M444=phu!$I$73,M444=phu!$I$74,M444=phu!$I$75,M444=phu!$I$76,M444=phu!$I$77,M444=phu!$I$78),"Cam Phước Đông",""),IF(OR(M444=phu!$I$79,M444=phu!$I$80,M444=phu!$I$81,M444=phu!$I$82,M444=phu!$I$83,M444=phu!$I$84),"Cam Thịnh Đông",""),IF(OR(M444=phu!$I$85,M444=phu!$I$86,M444=phu!$I$87,M444=phu!$I$88),"Cam Thịnh Tây",""),IF(OR(M444=phu!$I$89,M444=phu!$I$90),"Cam Lập",""),IF(OR(M444=phu!$I$91,M444=phu!$I$92,M444=phu!$I$93),"Cam Bình",""),IF(OR(M444=phu!$I$94,M444=phu!$I$95,M444=phu!$I$96,M444=phu!$I$97,M444=phu!$I$98,M444=phu!$I$99,M444=phu!$I$100),"Huyện khác",""),IF(OR(M444=phu!$I$101,M444=phu!$I$102),"Tỉnh khác",""))</f>
        <v/>
      </c>
      <c r="O444" s="829" t="str">
        <f t="shared" si="36"/>
        <v/>
      </c>
      <c r="P444" s="254"/>
      <c r="Q444" s="254"/>
      <c r="R444" s="254"/>
      <c r="S444" s="254"/>
      <c r="T444" s="254"/>
      <c r="U444" s="254"/>
      <c r="V444" s="254"/>
      <c r="W444" s="254"/>
      <c r="Y444" s="246" t="str">
        <f t="shared" si="37"/>
        <v/>
      </c>
      <c r="Z444" s="247" t="str">
        <f t="shared" si="41"/>
        <v/>
      </c>
      <c r="AA444" s="246" t="str">
        <f t="shared" si="38"/>
        <v/>
      </c>
    </row>
    <row r="445" spans="1:27" ht="18" customHeight="1" x14ac:dyDescent="0.25">
      <c r="A445" s="248" t="str">
        <f t="shared" si="39"/>
        <v/>
      </c>
      <c r="B445" s="249" t="str">
        <f t="shared" si="40"/>
        <v/>
      </c>
      <c r="C445" s="250"/>
      <c r="D445" s="251"/>
      <c r="E445" s="241"/>
      <c r="F445" s="252"/>
      <c r="G445" s="252"/>
      <c r="H445" s="253"/>
      <c r="I445" s="250"/>
      <c r="J445" s="250"/>
      <c r="K445" s="270"/>
      <c r="L445" s="250"/>
      <c r="M445" s="250"/>
      <c r="N445" s="540" t="str">
        <f>CONCATENATE(IF(OR(M445=phu!$I$1,M445=phu!$I$2,M445=phu!$I$3),"Cam Thành Nam",""),IF(OR(M445=phu!$I$4,M445=phu!$I$5,M445=phu!$I$6,M445=phu!$I$7,M445=phu!$I$8,M445=phu!$I$9,M445=phu!$I$10,M445=phu!$I$11,M445=phu!$I$12,M445=phu!$I$13,M445=phu!$I$14),"Cam Nghĩa",""),IF(OR(M445=phu!$I$15,M445=phu!$I$16,M445=phu!$I$17,M445=phu!$I$18,M445=phu!$I$19,M445=phu!$I$20,M445=phu!$I$21),"Cam Phúc Bắc",""),IF(OR(M445=phu!$I$22,M445=phu!$I$23,M445=phu!$I$24,M445=phu!$I$25),"Cam Phúc Nam",""),IF(OR(M445=phu!$I$26,M445=phu!$I$27,M445=phu!$I$28,M445=phu!$I$29,M445=phu!$I$30,M445=phu!$I$31),"Cam Phú",""),IF(OR(M445=phu!$I$32,M445=phu!$I$33,M445=phu!$I$34,M445=phu!$I$35,M445=phu!$I$36,M445=phu!$I$37),"Cam Lộc",""),IF(OR(M445=phu!$I$38,M445=phu!$I$39,M445=phu!$I$40,M445=phu!$I$41,M445=phu!$I$42,M445=phu!$I$43,M445=phu!$I$44),"Cam Thuận",""),IF(OR(M445=phu!$I$45,M445=phu!$I$46,M445=phu!$I$47,M445=phu!$I$48,M445=phu!$I$49,M445=phu!$I$50,M445=phu!$I$51,M445=phu!$I$52,M445=phu!$I$53),"Cam Linh",""),IF(OR(M445=phu!$I$54,M445=phu!$I$55,M445=phu!$I$56,M445=phu!$I$57,M445=phu!$I$58,M445=phu!$I$59,M445=phu!$I$60,M445=phu!$I$61,M445=phu!$I$62),"Cam Lợi",""),IF(OR(M445=phu!$I$63,M445=phu!$I$64,M445=phu!$I$65,M445=phu!$I$66,M445=phu!$I$67,M445=phu!$I$68,M445=phu!$I$69,M445=phu!$I$70,M445=phu!$I$71),"Ba Ngòi",""),IF(OR(M445=phu!$I$72,M445=phu!$I$73,M445=phu!$I$74,M445=phu!$I$75,M445=phu!$I$76,M445=phu!$I$77,M445=phu!$I$78),"Cam Phước Đông",""),IF(OR(M445=phu!$I$79,M445=phu!$I$80,M445=phu!$I$81,M445=phu!$I$82,M445=phu!$I$83,M445=phu!$I$84),"Cam Thịnh Đông",""),IF(OR(M445=phu!$I$85,M445=phu!$I$86,M445=phu!$I$87,M445=phu!$I$88),"Cam Thịnh Tây",""),IF(OR(M445=phu!$I$89,M445=phu!$I$90),"Cam Lập",""),IF(OR(M445=phu!$I$91,M445=phu!$I$92,M445=phu!$I$93),"Cam Bình",""),IF(OR(M445=phu!$I$94,M445=phu!$I$95,M445=phu!$I$96,M445=phu!$I$97,M445=phu!$I$98,M445=phu!$I$99,M445=phu!$I$100),"Huyện khác",""),IF(OR(M445=phu!$I$101,M445=phu!$I$102),"Tỉnh khác",""))</f>
        <v/>
      </c>
      <c r="O445" s="829" t="str">
        <f t="shared" si="36"/>
        <v/>
      </c>
      <c r="P445" s="254"/>
      <c r="Q445" s="254"/>
      <c r="R445" s="254"/>
      <c r="S445" s="254"/>
      <c r="T445" s="254"/>
      <c r="U445" s="254"/>
      <c r="V445" s="254"/>
      <c r="W445" s="254"/>
      <c r="Y445" s="246" t="str">
        <f t="shared" si="37"/>
        <v/>
      </c>
      <c r="Z445" s="247" t="str">
        <f t="shared" si="41"/>
        <v/>
      </c>
      <c r="AA445" s="246" t="str">
        <f t="shared" si="38"/>
        <v/>
      </c>
    </row>
    <row r="446" spans="1:27" ht="18" customHeight="1" x14ac:dyDescent="0.25">
      <c r="A446" s="248" t="str">
        <f t="shared" si="39"/>
        <v/>
      </c>
      <c r="B446" s="249" t="str">
        <f t="shared" si="40"/>
        <v/>
      </c>
      <c r="C446" s="250"/>
      <c r="D446" s="251"/>
      <c r="E446" s="241"/>
      <c r="F446" s="252"/>
      <c r="G446" s="252"/>
      <c r="H446" s="253"/>
      <c r="I446" s="250"/>
      <c r="J446" s="250"/>
      <c r="K446" s="270"/>
      <c r="L446" s="250"/>
      <c r="M446" s="250"/>
      <c r="N446" s="540" t="str">
        <f>CONCATENATE(IF(OR(M446=phu!$I$1,M446=phu!$I$2,M446=phu!$I$3),"Cam Thành Nam",""),IF(OR(M446=phu!$I$4,M446=phu!$I$5,M446=phu!$I$6,M446=phu!$I$7,M446=phu!$I$8,M446=phu!$I$9,M446=phu!$I$10,M446=phu!$I$11,M446=phu!$I$12,M446=phu!$I$13,M446=phu!$I$14),"Cam Nghĩa",""),IF(OR(M446=phu!$I$15,M446=phu!$I$16,M446=phu!$I$17,M446=phu!$I$18,M446=phu!$I$19,M446=phu!$I$20,M446=phu!$I$21),"Cam Phúc Bắc",""),IF(OR(M446=phu!$I$22,M446=phu!$I$23,M446=phu!$I$24,M446=phu!$I$25),"Cam Phúc Nam",""),IF(OR(M446=phu!$I$26,M446=phu!$I$27,M446=phu!$I$28,M446=phu!$I$29,M446=phu!$I$30,M446=phu!$I$31),"Cam Phú",""),IF(OR(M446=phu!$I$32,M446=phu!$I$33,M446=phu!$I$34,M446=phu!$I$35,M446=phu!$I$36,M446=phu!$I$37),"Cam Lộc",""),IF(OR(M446=phu!$I$38,M446=phu!$I$39,M446=phu!$I$40,M446=phu!$I$41,M446=phu!$I$42,M446=phu!$I$43,M446=phu!$I$44),"Cam Thuận",""),IF(OR(M446=phu!$I$45,M446=phu!$I$46,M446=phu!$I$47,M446=phu!$I$48,M446=phu!$I$49,M446=phu!$I$50,M446=phu!$I$51,M446=phu!$I$52,M446=phu!$I$53),"Cam Linh",""),IF(OR(M446=phu!$I$54,M446=phu!$I$55,M446=phu!$I$56,M446=phu!$I$57,M446=phu!$I$58,M446=phu!$I$59,M446=phu!$I$60,M446=phu!$I$61,M446=phu!$I$62),"Cam Lợi",""),IF(OR(M446=phu!$I$63,M446=phu!$I$64,M446=phu!$I$65,M446=phu!$I$66,M446=phu!$I$67,M446=phu!$I$68,M446=phu!$I$69,M446=phu!$I$70,M446=phu!$I$71),"Ba Ngòi",""),IF(OR(M446=phu!$I$72,M446=phu!$I$73,M446=phu!$I$74,M446=phu!$I$75,M446=phu!$I$76,M446=phu!$I$77,M446=phu!$I$78),"Cam Phước Đông",""),IF(OR(M446=phu!$I$79,M446=phu!$I$80,M446=phu!$I$81,M446=phu!$I$82,M446=phu!$I$83,M446=phu!$I$84),"Cam Thịnh Đông",""),IF(OR(M446=phu!$I$85,M446=phu!$I$86,M446=phu!$I$87,M446=phu!$I$88),"Cam Thịnh Tây",""),IF(OR(M446=phu!$I$89,M446=phu!$I$90),"Cam Lập",""),IF(OR(M446=phu!$I$91,M446=phu!$I$92,M446=phu!$I$93),"Cam Bình",""),IF(OR(M446=phu!$I$94,M446=phu!$I$95,M446=phu!$I$96,M446=phu!$I$97,M446=phu!$I$98,M446=phu!$I$99,M446=phu!$I$100),"Huyện khác",""),IF(OR(M446=phu!$I$101,M446=phu!$I$102),"Tỉnh khác",""))</f>
        <v/>
      </c>
      <c r="O446" s="829" t="str">
        <f t="shared" si="36"/>
        <v/>
      </c>
      <c r="P446" s="254"/>
      <c r="Q446" s="254"/>
      <c r="R446" s="254"/>
      <c r="S446" s="254"/>
      <c r="T446" s="254"/>
      <c r="U446" s="254"/>
      <c r="V446" s="254"/>
      <c r="W446" s="254"/>
      <c r="Y446" s="246" t="str">
        <f t="shared" si="37"/>
        <v/>
      </c>
      <c r="Z446" s="247" t="str">
        <f t="shared" si="41"/>
        <v/>
      </c>
      <c r="AA446" s="246" t="str">
        <f t="shared" si="38"/>
        <v/>
      </c>
    </row>
    <row r="447" spans="1:27" ht="18" customHeight="1" x14ac:dyDescent="0.25">
      <c r="A447" s="248" t="str">
        <f t="shared" si="39"/>
        <v/>
      </c>
      <c r="B447" s="249" t="str">
        <f t="shared" si="40"/>
        <v/>
      </c>
      <c r="C447" s="250"/>
      <c r="D447" s="251"/>
      <c r="E447" s="241"/>
      <c r="F447" s="252"/>
      <c r="G447" s="252"/>
      <c r="H447" s="253"/>
      <c r="I447" s="250"/>
      <c r="J447" s="250"/>
      <c r="K447" s="270"/>
      <c r="L447" s="250"/>
      <c r="M447" s="250"/>
      <c r="N447" s="540" t="str">
        <f>CONCATENATE(IF(OR(M447=phu!$I$1,M447=phu!$I$2,M447=phu!$I$3),"Cam Thành Nam",""),IF(OR(M447=phu!$I$4,M447=phu!$I$5,M447=phu!$I$6,M447=phu!$I$7,M447=phu!$I$8,M447=phu!$I$9,M447=phu!$I$10,M447=phu!$I$11,M447=phu!$I$12,M447=phu!$I$13,M447=phu!$I$14),"Cam Nghĩa",""),IF(OR(M447=phu!$I$15,M447=phu!$I$16,M447=phu!$I$17,M447=phu!$I$18,M447=phu!$I$19,M447=phu!$I$20,M447=phu!$I$21),"Cam Phúc Bắc",""),IF(OR(M447=phu!$I$22,M447=phu!$I$23,M447=phu!$I$24,M447=phu!$I$25),"Cam Phúc Nam",""),IF(OR(M447=phu!$I$26,M447=phu!$I$27,M447=phu!$I$28,M447=phu!$I$29,M447=phu!$I$30,M447=phu!$I$31),"Cam Phú",""),IF(OR(M447=phu!$I$32,M447=phu!$I$33,M447=phu!$I$34,M447=phu!$I$35,M447=phu!$I$36,M447=phu!$I$37),"Cam Lộc",""),IF(OR(M447=phu!$I$38,M447=phu!$I$39,M447=phu!$I$40,M447=phu!$I$41,M447=phu!$I$42,M447=phu!$I$43,M447=phu!$I$44),"Cam Thuận",""),IF(OR(M447=phu!$I$45,M447=phu!$I$46,M447=phu!$I$47,M447=phu!$I$48,M447=phu!$I$49,M447=phu!$I$50,M447=phu!$I$51,M447=phu!$I$52,M447=phu!$I$53),"Cam Linh",""),IF(OR(M447=phu!$I$54,M447=phu!$I$55,M447=phu!$I$56,M447=phu!$I$57,M447=phu!$I$58,M447=phu!$I$59,M447=phu!$I$60,M447=phu!$I$61,M447=phu!$I$62),"Cam Lợi",""),IF(OR(M447=phu!$I$63,M447=phu!$I$64,M447=phu!$I$65,M447=phu!$I$66,M447=phu!$I$67,M447=phu!$I$68,M447=phu!$I$69,M447=phu!$I$70,M447=phu!$I$71),"Ba Ngòi",""),IF(OR(M447=phu!$I$72,M447=phu!$I$73,M447=phu!$I$74,M447=phu!$I$75,M447=phu!$I$76,M447=phu!$I$77,M447=phu!$I$78),"Cam Phước Đông",""),IF(OR(M447=phu!$I$79,M447=phu!$I$80,M447=phu!$I$81,M447=phu!$I$82,M447=phu!$I$83,M447=phu!$I$84),"Cam Thịnh Đông",""),IF(OR(M447=phu!$I$85,M447=phu!$I$86,M447=phu!$I$87,M447=phu!$I$88),"Cam Thịnh Tây",""),IF(OR(M447=phu!$I$89,M447=phu!$I$90),"Cam Lập",""),IF(OR(M447=phu!$I$91,M447=phu!$I$92,M447=phu!$I$93),"Cam Bình",""),IF(OR(M447=phu!$I$94,M447=phu!$I$95,M447=phu!$I$96,M447=phu!$I$97,M447=phu!$I$98,M447=phu!$I$99,M447=phu!$I$100),"Huyện khác",""),IF(OR(M447=phu!$I$101,M447=phu!$I$102),"Tỉnh khác",""))</f>
        <v/>
      </c>
      <c r="O447" s="829" t="str">
        <f t="shared" si="36"/>
        <v/>
      </c>
      <c r="P447" s="254"/>
      <c r="Q447" s="254"/>
      <c r="R447" s="254"/>
      <c r="S447" s="254"/>
      <c r="T447" s="254"/>
      <c r="U447" s="254"/>
      <c r="V447" s="254"/>
      <c r="W447" s="254"/>
      <c r="Y447" s="246" t="str">
        <f t="shared" si="37"/>
        <v/>
      </c>
      <c r="Z447" s="247" t="str">
        <f t="shared" si="41"/>
        <v/>
      </c>
      <c r="AA447" s="246" t="str">
        <f t="shared" si="38"/>
        <v/>
      </c>
    </row>
    <row r="448" spans="1:27" ht="18" customHeight="1" x14ac:dyDescent="0.25">
      <c r="A448" s="248" t="str">
        <f t="shared" si="39"/>
        <v/>
      </c>
      <c r="B448" s="249" t="str">
        <f t="shared" si="40"/>
        <v/>
      </c>
      <c r="C448" s="250"/>
      <c r="D448" s="251"/>
      <c r="E448" s="241"/>
      <c r="F448" s="252"/>
      <c r="G448" s="252"/>
      <c r="H448" s="253"/>
      <c r="I448" s="250"/>
      <c r="J448" s="250"/>
      <c r="K448" s="270"/>
      <c r="L448" s="250"/>
      <c r="M448" s="250"/>
      <c r="N448" s="540" t="str">
        <f>CONCATENATE(IF(OR(M448=phu!$I$1,M448=phu!$I$2,M448=phu!$I$3),"Cam Thành Nam",""),IF(OR(M448=phu!$I$4,M448=phu!$I$5,M448=phu!$I$6,M448=phu!$I$7,M448=phu!$I$8,M448=phu!$I$9,M448=phu!$I$10,M448=phu!$I$11,M448=phu!$I$12,M448=phu!$I$13,M448=phu!$I$14),"Cam Nghĩa",""),IF(OR(M448=phu!$I$15,M448=phu!$I$16,M448=phu!$I$17,M448=phu!$I$18,M448=phu!$I$19,M448=phu!$I$20,M448=phu!$I$21),"Cam Phúc Bắc",""),IF(OR(M448=phu!$I$22,M448=phu!$I$23,M448=phu!$I$24,M448=phu!$I$25),"Cam Phúc Nam",""),IF(OR(M448=phu!$I$26,M448=phu!$I$27,M448=phu!$I$28,M448=phu!$I$29,M448=phu!$I$30,M448=phu!$I$31),"Cam Phú",""),IF(OR(M448=phu!$I$32,M448=phu!$I$33,M448=phu!$I$34,M448=phu!$I$35,M448=phu!$I$36,M448=phu!$I$37),"Cam Lộc",""),IF(OR(M448=phu!$I$38,M448=phu!$I$39,M448=phu!$I$40,M448=phu!$I$41,M448=phu!$I$42,M448=phu!$I$43,M448=phu!$I$44),"Cam Thuận",""),IF(OR(M448=phu!$I$45,M448=phu!$I$46,M448=phu!$I$47,M448=phu!$I$48,M448=phu!$I$49,M448=phu!$I$50,M448=phu!$I$51,M448=phu!$I$52,M448=phu!$I$53),"Cam Linh",""),IF(OR(M448=phu!$I$54,M448=phu!$I$55,M448=phu!$I$56,M448=phu!$I$57,M448=phu!$I$58,M448=phu!$I$59,M448=phu!$I$60,M448=phu!$I$61,M448=phu!$I$62),"Cam Lợi",""),IF(OR(M448=phu!$I$63,M448=phu!$I$64,M448=phu!$I$65,M448=phu!$I$66,M448=phu!$I$67,M448=phu!$I$68,M448=phu!$I$69,M448=phu!$I$70,M448=phu!$I$71),"Ba Ngòi",""),IF(OR(M448=phu!$I$72,M448=phu!$I$73,M448=phu!$I$74,M448=phu!$I$75,M448=phu!$I$76,M448=phu!$I$77,M448=phu!$I$78),"Cam Phước Đông",""),IF(OR(M448=phu!$I$79,M448=phu!$I$80,M448=phu!$I$81,M448=phu!$I$82,M448=phu!$I$83,M448=phu!$I$84),"Cam Thịnh Đông",""),IF(OR(M448=phu!$I$85,M448=phu!$I$86,M448=phu!$I$87,M448=phu!$I$88),"Cam Thịnh Tây",""),IF(OR(M448=phu!$I$89,M448=phu!$I$90),"Cam Lập",""),IF(OR(M448=phu!$I$91,M448=phu!$I$92,M448=phu!$I$93),"Cam Bình",""),IF(OR(M448=phu!$I$94,M448=phu!$I$95,M448=phu!$I$96,M448=phu!$I$97,M448=phu!$I$98,M448=phu!$I$99,M448=phu!$I$100),"Huyện khác",""),IF(OR(M448=phu!$I$101,M448=phu!$I$102),"Tỉnh khác",""))</f>
        <v/>
      </c>
      <c r="O448" s="829" t="str">
        <f t="shared" si="36"/>
        <v/>
      </c>
      <c r="P448" s="254"/>
      <c r="Q448" s="254"/>
      <c r="R448" s="254"/>
      <c r="S448" s="254"/>
      <c r="T448" s="254"/>
      <c r="U448" s="254"/>
      <c r="V448" s="254"/>
      <c r="W448" s="254"/>
      <c r="Y448" s="246" t="str">
        <f t="shared" si="37"/>
        <v/>
      </c>
      <c r="Z448" s="247" t="str">
        <f t="shared" si="41"/>
        <v/>
      </c>
      <c r="AA448" s="246" t="str">
        <f t="shared" si="38"/>
        <v/>
      </c>
    </row>
    <row r="449" spans="1:27" ht="18" customHeight="1" x14ac:dyDescent="0.25">
      <c r="A449" s="248" t="str">
        <f t="shared" si="39"/>
        <v/>
      </c>
      <c r="B449" s="249" t="str">
        <f t="shared" si="40"/>
        <v/>
      </c>
      <c r="C449" s="250"/>
      <c r="D449" s="251"/>
      <c r="E449" s="241"/>
      <c r="F449" s="252"/>
      <c r="G449" s="252"/>
      <c r="H449" s="253"/>
      <c r="I449" s="250"/>
      <c r="J449" s="250"/>
      <c r="K449" s="270"/>
      <c r="L449" s="250"/>
      <c r="M449" s="250"/>
      <c r="N449" s="540" t="str">
        <f>CONCATENATE(IF(OR(M449=phu!$I$1,M449=phu!$I$2,M449=phu!$I$3),"Cam Thành Nam",""),IF(OR(M449=phu!$I$4,M449=phu!$I$5,M449=phu!$I$6,M449=phu!$I$7,M449=phu!$I$8,M449=phu!$I$9,M449=phu!$I$10,M449=phu!$I$11,M449=phu!$I$12,M449=phu!$I$13,M449=phu!$I$14),"Cam Nghĩa",""),IF(OR(M449=phu!$I$15,M449=phu!$I$16,M449=phu!$I$17,M449=phu!$I$18,M449=phu!$I$19,M449=phu!$I$20,M449=phu!$I$21),"Cam Phúc Bắc",""),IF(OR(M449=phu!$I$22,M449=phu!$I$23,M449=phu!$I$24,M449=phu!$I$25),"Cam Phúc Nam",""),IF(OR(M449=phu!$I$26,M449=phu!$I$27,M449=phu!$I$28,M449=phu!$I$29,M449=phu!$I$30,M449=phu!$I$31),"Cam Phú",""),IF(OR(M449=phu!$I$32,M449=phu!$I$33,M449=phu!$I$34,M449=phu!$I$35,M449=phu!$I$36,M449=phu!$I$37),"Cam Lộc",""),IF(OR(M449=phu!$I$38,M449=phu!$I$39,M449=phu!$I$40,M449=phu!$I$41,M449=phu!$I$42,M449=phu!$I$43,M449=phu!$I$44),"Cam Thuận",""),IF(OR(M449=phu!$I$45,M449=phu!$I$46,M449=phu!$I$47,M449=phu!$I$48,M449=phu!$I$49,M449=phu!$I$50,M449=phu!$I$51,M449=phu!$I$52,M449=phu!$I$53),"Cam Linh",""),IF(OR(M449=phu!$I$54,M449=phu!$I$55,M449=phu!$I$56,M449=phu!$I$57,M449=phu!$I$58,M449=phu!$I$59,M449=phu!$I$60,M449=phu!$I$61,M449=phu!$I$62),"Cam Lợi",""),IF(OR(M449=phu!$I$63,M449=phu!$I$64,M449=phu!$I$65,M449=phu!$I$66,M449=phu!$I$67,M449=phu!$I$68,M449=phu!$I$69,M449=phu!$I$70,M449=phu!$I$71),"Ba Ngòi",""),IF(OR(M449=phu!$I$72,M449=phu!$I$73,M449=phu!$I$74,M449=phu!$I$75,M449=phu!$I$76,M449=phu!$I$77,M449=phu!$I$78),"Cam Phước Đông",""),IF(OR(M449=phu!$I$79,M449=phu!$I$80,M449=phu!$I$81,M449=phu!$I$82,M449=phu!$I$83,M449=phu!$I$84),"Cam Thịnh Đông",""),IF(OR(M449=phu!$I$85,M449=phu!$I$86,M449=phu!$I$87,M449=phu!$I$88),"Cam Thịnh Tây",""),IF(OR(M449=phu!$I$89,M449=phu!$I$90),"Cam Lập",""),IF(OR(M449=phu!$I$91,M449=phu!$I$92,M449=phu!$I$93),"Cam Bình",""),IF(OR(M449=phu!$I$94,M449=phu!$I$95,M449=phu!$I$96,M449=phu!$I$97,M449=phu!$I$98,M449=phu!$I$99,M449=phu!$I$100),"Huyện khác",""),IF(OR(M449=phu!$I$101,M449=phu!$I$102),"Tỉnh khác",""))</f>
        <v/>
      </c>
      <c r="O449" s="829" t="str">
        <f t="shared" si="36"/>
        <v/>
      </c>
      <c r="P449" s="254"/>
      <c r="Q449" s="254"/>
      <c r="R449" s="254"/>
      <c r="S449" s="254"/>
      <c r="T449" s="254"/>
      <c r="U449" s="254"/>
      <c r="V449" s="254"/>
      <c r="W449" s="254"/>
      <c r="Y449" s="246" t="str">
        <f t="shared" si="37"/>
        <v/>
      </c>
      <c r="Z449" s="247" t="str">
        <f t="shared" si="41"/>
        <v/>
      </c>
      <c r="AA449" s="246" t="str">
        <f t="shared" si="38"/>
        <v/>
      </c>
    </row>
    <row r="450" spans="1:27" ht="18" customHeight="1" x14ac:dyDescent="0.25">
      <c r="A450" s="248" t="str">
        <f t="shared" si="39"/>
        <v/>
      </c>
      <c r="B450" s="249" t="str">
        <f t="shared" si="40"/>
        <v/>
      </c>
      <c r="C450" s="250"/>
      <c r="D450" s="251"/>
      <c r="E450" s="241"/>
      <c r="F450" s="252"/>
      <c r="G450" s="252"/>
      <c r="H450" s="253"/>
      <c r="I450" s="250"/>
      <c r="J450" s="250"/>
      <c r="K450" s="270"/>
      <c r="L450" s="250"/>
      <c r="M450" s="250"/>
      <c r="N450" s="540" t="str">
        <f>CONCATENATE(IF(OR(M450=phu!$I$1,M450=phu!$I$2,M450=phu!$I$3),"Cam Thành Nam",""),IF(OR(M450=phu!$I$4,M450=phu!$I$5,M450=phu!$I$6,M450=phu!$I$7,M450=phu!$I$8,M450=phu!$I$9,M450=phu!$I$10,M450=phu!$I$11,M450=phu!$I$12,M450=phu!$I$13,M450=phu!$I$14),"Cam Nghĩa",""),IF(OR(M450=phu!$I$15,M450=phu!$I$16,M450=phu!$I$17,M450=phu!$I$18,M450=phu!$I$19,M450=phu!$I$20,M450=phu!$I$21),"Cam Phúc Bắc",""),IF(OR(M450=phu!$I$22,M450=phu!$I$23,M450=phu!$I$24,M450=phu!$I$25),"Cam Phúc Nam",""),IF(OR(M450=phu!$I$26,M450=phu!$I$27,M450=phu!$I$28,M450=phu!$I$29,M450=phu!$I$30,M450=phu!$I$31),"Cam Phú",""),IF(OR(M450=phu!$I$32,M450=phu!$I$33,M450=phu!$I$34,M450=phu!$I$35,M450=phu!$I$36,M450=phu!$I$37),"Cam Lộc",""),IF(OR(M450=phu!$I$38,M450=phu!$I$39,M450=phu!$I$40,M450=phu!$I$41,M450=phu!$I$42,M450=phu!$I$43,M450=phu!$I$44),"Cam Thuận",""),IF(OR(M450=phu!$I$45,M450=phu!$I$46,M450=phu!$I$47,M450=phu!$I$48,M450=phu!$I$49,M450=phu!$I$50,M450=phu!$I$51,M450=phu!$I$52,M450=phu!$I$53),"Cam Linh",""),IF(OR(M450=phu!$I$54,M450=phu!$I$55,M450=phu!$I$56,M450=phu!$I$57,M450=phu!$I$58,M450=phu!$I$59,M450=phu!$I$60,M450=phu!$I$61,M450=phu!$I$62),"Cam Lợi",""),IF(OR(M450=phu!$I$63,M450=phu!$I$64,M450=phu!$I$65,M450=phu!$I$66,M450=phu!$I$67,M450=phu!$I$68,M450=phu!$I$69,M450=phu!$I$70,M450=phu!$I$71),"Ba Ngòi",""),IF(OR(M450=phu!$I$72,M450=phu!$I$73,M450=phu!$I$74,M450=phu!$I$75,M450=phu!$I$76,M450=phu!$I$77,M450=phu!$I$78),"Cam Phước Đông",""),IF(OR(M450=phu!$I$79,M450=phu!$I$80,M450=phu!$I$81,M450=phu!$I$82,M450=phu!$I$83,M450=phu!$I$84),"Cam Thịnh Đông",""),IF(OR(M450=phu!$I$85,M450=phu!$I$86,M450=phu!$I$87,M450=phu!$I$88),"Cam Thịnh Tây",""),IF(OR(M450=phu!$I$89,M450=phu!$I$90),"Cam Lập",""),IF(OR(M450=phu!$I$91,M450=phu!$I$92,M450=phu!$I$93),"Cam Bình",""),IF(OR(M450=phu!$I$94,M450=phu!$I$95,M450=phu!$I$96,M450=phu!$I$97,M450=phu!$I$98,M450=phu!$I$99,M450=phu!$I$100),"Huyện khác",""),IF(OR(M450=phu!$I$101,M450=phu!$I$102),"Tỉnh khác",""))</f>
        <v/>
      </c>
      <c r="O450" s="829" t="str">
        <f t="shared" si="36"/>
        <v/>
      </c>
      <c r="P450" s="254"/>
      <c r="Q450" s="254"/>
      <c r="R450" s="254"/>
      <c r="S450" s="254"/>
      <c r="T450" s="254"/>
      <c r="U450" s="254"/>
      <c r="V450" s="254"/>
      <c r="W450" s="254"/>
      <c r="Y450" s="246" t="str">
        <f t="shared" si="37"/>
        <v/>
      </c>
      <c r="Z450" s="247" t="str">
        <f t="shared" si="41"/>
        <v/>
      </c>
      <c r="AA450" s="246" t="str">
        <f t="shared" si="38"/>
        <v/>
      </c>
    </row>
    <row r="451" spans="1:27" ht="18" customHeight="1" x14ac:dyDescent="0.25">
      <c r="A451" s="248" t="str">
        <f t="shared" si="39"/>
        <v/>
      </c>
      <c r="B451" s="249" t="str">
        <f t="shared" si="40"/>
        <v/>
      </c>
      <c r="C451" s="250"/>
      <c r="D451" s="251"/>
      <c r="E451" s="241"/>
      <c r="F451" s="252"/>
      <c r="G451" s="252"/>
      <c r="H451" s="253"/>
      <c r="I451" s="250"/>
      <c r="J451" s="250"/>
      <c r="K451" s="270"/>
      <c r="L451" s="250"/>
      <c r="M451" s="250"/>
      <c r="N451" s="540" t="str">
        <f>CONCATENATE(IF(OR(M451=phu!$I$1,M451=phu!$I$2,M451=phu!$I$3),"Cam Thành Nam",""),IF(OR(M451=phu!$I$4,M451=phu!$I$5,M451=phu!$I$6,M451=phu!$I$7,M451=phu!$I$8,M451=phu!$I$9,M451=phu!$I$10,M451=phu!$I$11,M451=phu!$I$12,M451=phu!$I$13,M451=phu!$I$14),"Cam Nghĩa",""),IF(OR(M451=phu!$I$15,M451=phu!$I$16,M451=phu!$I$17,M451=phu!$I$18,M451=phu!$I$19,M451=phu!$I$20,M451=phu!$I$21),"Cam Phúc Bắc",""),IF(OR(M451=phu!$I$22,M451=phu!$I$23,M451=phu!$I$24,M451=phu!$I$25),"Cam Phúc Nam",""),IF(OR(M451=phu!$I$26,M451=phu!$I$27,M451=phu!$I$28,M451=phu!$I$29,M451=phu!$I$30,M451=phu!$I$31),"Cam Phú",""),IF(OR(M451=phu!$I$32,M451=phu!$I$33,M451=phu!$I$34,M451=phu!$I$35,M451=phu!$I$36,M451=phu!$I$37),"Cam Lộc",""),IF(OR(M451=phu!$I$38,M451=phu!$I$39,M451=phu!$I$40,M451=phu!$I$41,M451=phu!$I$42,M451=phu!$I$43,M451=phu!$I$44),"Cam Thuận",""),IF(OR(M451=phu!$I$45,M451=phu!$I$46,M451=phu!$I$47,M451=phu!$I$48,M451=phu!$I$49,M451=phu!$I$50,M451=phu!$I$51,M451=phu!$I$52,M451=phu!$I$53),"Cam Linh",""),IF(OR(M451=phu!$I$54,M451=phu!$I$55,M451=phu!$I$56,M451=phu!$I$57,M451=phu!$I$58,M451=phu!$I$59,M451=phu!$I$60,M451=phu!$I$61,M451=phu!$I$62),"Cam Lợi",""),IF(OR(M451=phu!$I$63,M451=phu!$I$64,M451=phu!$I$65,M451=phu!$I$66,M451=phu!$I$67,M451=phu!$I$68,M451=phu!$I$69,M451=phu!$I$70,M451=phu!$I$71),"Ba Ngòi",""),IF(OR(M451=phu!$I$72,M451=phu!$I$73,M451=phu!$I$74,M451=phu!$I$75,M451=phu!$I$76,M451=phu!$I$77,M451=phu!$I$78),"Cam Phước Đông",""),IF(OR(M451=phu!$I$79,M451=phu!$I$80,M451=phu!$I$81,M451=phu!$I$82,M451=phu!$I$83,M451=phu!$I$84),"Cam Thịnh Đông",""),IF(OR(M451=phu!$I$85,M451=phu!$I$86,M451=phu!$I$87,M451=phu!$I$88),"Cam Thịnh Tây",""),IF(OR(M451=phu!$I$89,M451=phu!$I$90),"Cam Lập",""),IF(OR(M451=phu!$I$91,M451=phu!$I$92,M451=phu!$I$93),"Cam Bình",""),IF(OR(M451=phu!$I$94,M451=phu!$I$95,M451=phu!$I$96,M451=phu!$I$97,M451=phu!$I$98,M451=phu!$I$99,M451=phu!$I$100),"Huyện khác",""),IF(OR(M451=phu!$I$101,M451=phu!$I$102),"Tỉnh khác",""))</f>
        <v/>
      </c>
      <c r="O451" s="829" t="str">
        <f t="shared" si="36"/>
        <v/>
      </c>
      <c r="P451" s="254"/>
      <c r="Q451" s="254"/>
      <c r="R451" s="254"/>
      <c r="S451" s="254"/>
      <c r="T451" s="254"/>
      <c r="U451" s="254"/>
      <c r="V451" s="254"/>
      <c r="W451" s="254"/>
      <c r="Y451" s="246" t="str">
        <f t="shared" si="37"/>
        <v/>
      </c>
      <c r="Z451" s="247" t="str">
        <f t="shared" si="41"/>
        <v/>
      </c>
      <c r="AA451" s="246" t="str">
        <f t="shared" si="38"/>
        <v/>
      </c>
    </row>
    <row r="452" spans="1:27" ht="18" customHeight="1" x14ac:dyDescent="0.25">
      <c r="A452" s="248" t="str">
        <f t="shared" si="39"/>
        <v/>
      </c>
      <c r="B452" s="249" t="str">
        <f t="shared" si="40"/>
        <v/>
      </c>
      <c r="C452" s="250"/>
      <c r="D452" s="251"/>
      <c r="E452" s="241"/>
      <c r="F452" s="252"/>
      <c r="G452" s="252"/>
      <c r="H452" s="253"/>
      <c r="I452" s="250"/>
      <c r="J452" s="250"/>
      <c r="K452" s="270"/>
      <c r="L452" s="250"/>
      <c r="M452" s="250"/>
      <c r="N452" s="540" t="str">
        <f>CONCATENATE(IF(OR(M452=phu!$I$1,M452=phu!$I$2,M452=phu!$I$3),"Cam Thành Nam",""),IF(OR(M452=phu!$I$4,M452=phu!$I$5,M452=phu!$I$6,M452=phu!$I$7,M452=phu!$I$8,M452=phu!$I$9,M452=phu!$I$10,M452=phu!$I$11,M452=phu!$I$12,M452=phu!$I$13,M452=phu!$I$14),"Cam Nghĩa",""),IF(OR(M452=phu!$I$15,M452=phu!$I$16,M452=phu!$I$17,M452=phu!$I$18,M452=phu!$I$19,M452=phu!$I$20,M452=phu!$I$21),"Cam Phúc Bắc",""),IF(OR(M452=phu!$I$22,M452=phu!$I$23,M452=phu!$I$24,M452=phu!$I$25),"Cam Phúc Nam",""),IF(OR(M452=phu!$I$26,M452=phu!$I$27,M452=phu!$I$28,M452=phu!$I$29,M452=phu!$I$30,M452=phu!$I$31),"Cam Phú",""),IF(OR(M452=phu!$I$32,M452=phu!$I$33,M452=phu!$I$34,M452=phu!$I$35,M452=phu!$I$36,M452=phu!$I$37),"Cam Lộc",""),IF(OR(M452=phu!$I$38,M452=phu!$I$39,M452=phu!$I$40,M452=phu!$I$41,M452=phu!$I$42,M452=phu!$I$43,M452=phu!$I$44),"Cam Thuận",""),IF(OR(M452=phu!$I$45,M452=phu!$I$46,M452=phu!$I$47,M452=phu!$I$48,M452=phu!$I$49,M452=phu!$I$50,M452=phu!$I$51,M452=phu!$I$52,M452=phu!$I$53),"Cam Linh",""),IF(OR(M452=phu!$I$54,M452=phu!$I$55,M452=phu!$I$56,M452=phu!$I$57,M452=phu!$I$58,M452=phu!$I$59,M452=phu!$I$60,M452=phu!$I$61,M452=phu!$I$62),"Cam Lợi",""),IF(OR(M452=phu!$I$63,M452=phu!$I$64,M452=phu!$I$65,M452=phu!$I$66,M452=phu!$I$67,M452=phu!$I$68,M452=phu!$I$69,M452=phu!$I$70,M452=phu!$I$71),"Ba Ngòi",""),IF(OR(M452=phu!$I$72,M452=phu!$I$73,M452=phu!$I$74,M452=phu!$I$75,M452=phu!$I$76,M452=phu!$I$77,M452=phu!$I$78),"Cam Phước Đông",""),IF(OR(M452=phu!$I$79,M452=phu!$I$80,M452=phu!$I$81,M452=phu!$I$82,M452=phu!$I$83,M452=phu!$I$84),"Cam Thịnh Đông",""),IF(OR(M452=phu!$I$85,M452=phu!$I$86,M452=phu!$I$87,M452=phu!$I$88),"Cam Thịnh Tây",""),IF(OR(M452=phu!$I$89,M452=phu!$I$90),"Cam Lập",""),IF(OR(M452=phu!$I$91,M452=phu!$I$92,M452=phu!$I$93),"Cam Bình",""),IF(OR(M452=phu!$I$94,M452=phu!$I$95,M452=phu!$I$96,M452=phu!$I$97,M452=phu!$I$98,M452=phu!$I$99,M452=phu!$I$100),"Huyện khác",""),IF(OR(M452=phu!$I$101,M452=phu!$I$102),"Tỉnh khác",""))</f>
        <v/>
      </c>
      <c r="O452" s="829" t="str">
        <f t="shared" si="36"/>
        <v/>
      </c>
      <c r="P452" s="254"/>
      <c r="Q452" s="254"/>
      <c r="R452" s="254"/>
      <c r="S452" s="254"/>
      <c r="T452" s="254"/>
      <c r="U452" s="254"/>
      <c r="V452" s="254"/>
      <c r="W452" s="254"/>
      <c r="Y452" s="246" t="str">
        <f t="shared" si="37"/>
        <v/>
      </c>
      <c r="Z452" s="247" t="str">
        <f t="shared" si="41"/>
        <v/>
      </c>
      <c r="AA452" s="246" t="str">
        <f t="shared" si="38"/>
        <v/>
      </c>
    </row>
    <row r="453" spans="1:27" ht="18" customHeight="1" x14ac:dyDescent="0.25">
      <c r="A453" s="248" t="str">
        <f t="shared" si="39"/>
        <v/>
      </c>
      <c r="B453" s="249" t="str">
        <f t="shared" si="40"/>
        <v/>
      </c>
      <c r="C453" s="250"/>
      <c r="D453" s="251"/>
      <c r="E453" s="241"/>
      <c r="F453" s="252"/>
      <c r="G453" s="252"/>
      <c r="H453" s="253"/>
      <c r="I453" s="250"/>
      <c r="J453" s="250"/>
      <c r="K453" s="270"/>
      <c r="L453" s="250"/>
      <c r="M453" s="250"/>
      <c r="N453" s="540" t="str">
        <f>CONCATENATE(IF(OR(M453=phu!$I$1,M453=phu!$I$2,M453=phu!$I$3),"Cam Thành Nam",""),IF(OR(M453=phu!$I$4,M453=phu!$I$5,M453=phu!$I$6,M453=phu!$I$7,M453=phu!$I$8,M453=phu!$I$9,M453=phu!$I$10,M453=phu!$I$11,M453=phu!$I$12,M453=phu!$I$13,M453=phu!$I$14),"Cam Nghĩa",""),IF(OR(M453=phu!$I$15,M453=phu!$I$16,M453=phu!$I$17,M453=phu!$I$18,M453=phu!$I$19,M453=phu!$I$20,M453=phu!$I$21),"Cam Phúc Bắc",""),IF(OR(M453=phu!$I$22,M453=phu!$I$23,M453=phu!$I$24,M453=phu!$I$25),"Cam Phúc Nam",""),IF(OR(M453=phu!$I$26,M453=phu!$I$27,M453=phu!$I$28,M453=phu!$I$29,M453=phu!$I$30,M453=phu!$I$31),"Cam Phú",""),IF(OR(M453=phu!$I$32,M453=phu!$I$33,M453=phu!$I$34,M453=phu!$I$35,M453=phu!$I$36,M453=phu!$I$37),"Cam Lộc",""),IF(OR(M453=phu!$I$38,M453=phu!$I$39,M453=phu!$I$40,M453=phu!$I$41,M453=phu!$I$42,M453=phu!$I$43,M453=phu!$I$44),"Cam Thuận",""),IF(OR(M453=phu!$I$45,M453=phu!$I$46,M453=phu!$I$47,M453=phu!$I$48,M453=phu!$I$49,M453=phu!$I$50,M453=phu!$I$51,M453=phu!$I$52,M453=phu!$I$53),"Cam Linh",""),IF(OR(M453=phu!$I$54,M453=phu!$I$55,M453=phu!$I$56,M453=phu!$I$57,M453=phu!$I$58,M453=phu!$I$59,M453=phu!$I$60,M453=phu!$I$61,M453=phu!$I$62),"Cam Lợi",""),IF(OR(M453=phu!$I$63,M453=phu!$I$64,M453=phu!$I$65,M453=phu!$I$66,M453=phu!$I$67,M453=phu!$I$68,M453=phu!$I$69,M453=phu!$I$70,M453=phu!$I$71),"Ba Ngòi",""),IF(OR(M453=phu!$I$72,M453=phu!$I$73,M453=phu!$I$74,M453=phu!$I$75,M453=phu!$I$76,M453=phu!$I$77,M453=phu!$I$78),"Cam Phước Đông",""),IF(OR(M453=phu!$I$79,M453=phu!$I$80,M453=phu!$I$81,M453=phu!$I$82,M453=phu!$I$83,M453=phu!$I$84),"Cam Thịnh Đông",""),IF(OR(M453=phu!$I$85,M453=phu!$I$86,M453=phu!$I$87,M453=phu!$I$88),"Cam Thịnh Tây",""),IF(OR(M453=phu!$I$89,M453=phu!$I$90),"Cam Lập",""),IF(OR(M453=phu!$I$91,M453=phu!$I$92,M453=phu!$I$93),"Cam Bình",""),IF(OR(M453=phu!$I$94,M453=phu!$I$95,M453=phu!$I$96,M453=phu!$I$97,M453=phu!$I$98,M453=phu!$I$99,M453=phu!$I$100),"Huyện khác",""),IF(OR(M453=phu!$I$101,M453=phu!$I$102),"Tỉnh khác",""))</f>
        <v/>
      </c>
      <c r="O453" s="829" t="str">
        <f t="shared" si="36"/>
        <v/>
      </c>
      <c r="P453" s="254"/>
      <c r="Q453" s="254"/>
      <c r="R453" s="254"/>
      <c r="S453" s="254"/>
      <c r="T453" s="254"/>
      <c r="U453" s="254"/>
      <c r="V453" s="254"/>
      <c r="W453" s="254"/>
      <c r="Y453" s="246" t="str">
        <f t="shared" si="37"/>
        <v/>
      </c>
      <c r="Z453" s="247" t="str">
        <f t="shared" si="41"/>
        <v/>
      </c>
      <c r="AA453" s="246" t="str">
        <f t="shared" si="38"/>
        <v/>
      </c>
    </row>
    <row r="454" spans="1:27" ht="18" customHeight="1" x14ac:dyDescent="0.25">
      <c r="A454" s="248" t="str">
        <f t="shared" si="39"/>
        <v/>
      </c>
      <c r="B454" s="249" t="str">
        <f t="shared" si="40"/>
        <v/>
      </c>
      <c r="C454" s="250"/>
      <c r="D454" s="251"/>
      <c r="E454" s="241"/>
      <c r="F454" s="252"/>
      <c r="G454" s="252"/>
      <c r="H454" s="253"/>
      <c r="I454" s="250"/>
      <c r="J454" s="250"/>
      <c r="K454" s="270"/>
      <c r="L454" s="250"/>
      <c r="M454" s="250"/>
      <c r="N454" s="540" t="str">
        <f>CONCATENATE(IF(OR(M454=phu!$I$1,M454=phu!$I$2,M454=phu!$I$3),"Cam Thành Nam",""),IF(OR(M454=phu!$I$4,M454=phu!$I$5,M454=phu!$I$6,M454=phu!$I$7,M454=phu!$I$8,M454=phu!$I$9,M454=phu!$I$10,M454=phu!$I$11,M454=phu!$I$12,M454=phu!$I$13,M454=phu!$I$14),"Cam Nghĩa",""),IF(OR(M454=phu!$I$15,M454=phu!$I$16,M454=phu!$I$17,M454=phu!$I$18,M454=phu!$I$19,M454=phu!$I$20,M454=phu!$I$21),"Cam Phúc Bắc",""),IF(OR(M454=phu!$I$22,M454=phu!$I$23,M454=phu!$I$24,M454=phu!$I$25),"Cam Phúc Nam",""),IF(OR(M454=phu!$I$26,M454=phu!$I$27,M454=phu!$I$28,M454=phu!$I$29,M454=phu!$I$30,M454=phu!$I$31),"Cam Phú",""),IF(OR(M454=phu!$I$32,M454=phu!$I$33,M454=phu!$I$34,M454=phu!$I$35,M454=phu!$I$36,M454=phu!$I$37),"Cam Lộc",""),IF(OR(M454=phu!$I$38,M454=phu!$I$39,M454=phu!$I$40,M454=phu!$I$41,M454=phu!$I$42,M454=phu!$I$43,M454=phu!$I$44),"Cam Thuận",""),IF(OR(M454=phu!$I$45,M454=phu!$I$46,M454=phu!$I$47,M454=phu!$I$48,M454=phu!$I$49,M454=phu!$I$50,M454=phu!$I$51,M454=phu!$I$52,M454=phu!$I$53),"Cam Linh",""),IF(OR(M454=phu!$I$54,M454=phu!$I$55,M454=phu!$I$56,M454=phu!$I$57,M454=phu!$I$58,M454=phu!$I$59,M454=phu!$I$60,M454=phu!$I$61,M454=phu!$I$62),"Cam Lợi",""),IF(OR(M454=phu!$I$63,M454=phu!$I$64,M454=phu!$I$65,M454=phu!$I$66,M454=phu!$I$67,M454=phu!$I$68,M454=phu!$I$69,M454=phu!$I$70,M454=phu!$I$71),"Ba Ngòi",""),IF(OR(M454=phu!$I$72,M454=phu!$I$73,M454=phu!$I$74,M454=phu!$I$75,M454=phu!$I$76,M454=phu!$I$77,M454=phu!$I$78),"Cam Phước Đông",""),IF(OR(M454=phu!$I$79,M454=phu!$I$80,M454=phu!$I$81,M454=phu!$I$82,M454=phu!$I$83,M454=phu!$I$84),"Cam Thịnh Đông",""),IF(OR(M454=phu!$I$85,M454=phu!$I$86,M454=phu!$I$87,M454=phu!$I$88),"Cam Thịnh Tây",""),IF(OR(M454=phu!$I$89,M454=phu!$I$90),"Cam Lập",""),IF(OR(M454=phu!$I$91,M454=phu!$I$92,M454=phu!$I$93),"Cam Bình",""),IF(OR(M454=phu!$I$94,M454=phu!$I$95,M454=phu!$I$96,M454=phu!$I$97,M454=phu!$I$98,M454=phu!$I$99,M454=phu!$I$100),"Huyện khác",""),IF(OR(M454=phu!$I$101,M454=phu!$I$102),"Tỉnh khác",""))</f>
        <v/>
      </c>
      <c r="O454" s="829" t="str">
        <f t="shared" si="36"/>
        <v/>
      </c>
      <c r="P454" s="254"/>
      <c r="Q454" s="254"/>
      <c r="R454" s="254"/>
      <c r="S454" s="254"/>
      <c r="T454" s="254"/>
      <c r="U454" s="254"/>
      <c r="V454" s="254"/>
      <c r="W454" s="254"/>
      <c r="Y454" s="246" t="str">
        <f t="shared" si="37"/>
        <v/>
      </c>
      <c r="Z454" s="247" t="str">
        <f t="shared" si="41"/>
        <v/>
      </c>
      <c r="AA454" s="246" t="str">
        <f t="shared" si="38"/>
        <v/>
      </c>
    </row>
    <row r="455" spans="1:27" ht="18" customHeight="1" x14ac:dyDescent="0.25">
      <c r="A455" s="248" t="str">
        <f t="shared" si="39"/>
        <v/>
      </c>
      <c r="B455" s="249" t="str">
        <f t="shared" si="40"/>
        <v/>
      </c>
      <c r="C455" s="250"/>
      <c r="D455" s="251"/>
      <c r="E455" s="241"/>
      <c r="F455" s="252"/>
      <c r="G455" s="252"/>
      <c r="H455" s="253"/>
      <c r="I455" s="250"/>
      <c r="J455" s="250"/>
      <c r="K455" s="270"/>
      <c r="L455" s="250"/>
      <c r="M455" s="250"/>
      <c r="N455" s="540" t="str">
        <f>CONCATENATE(IF(OR(M455=phu!$I$1,M455=phu!$I$2,M455=phu!$I$3),"Cam Thành Nam",""),IF(OR(M455=phu!$I$4,M455=phu!$I$5,M455=phu!$I$6,M455=phu!$I$7,M455=phu!$I$8,M455=phu!$I$9,M455=phu!$I$10,M455=phu!$I$11,M455=phu!$I$12,M455=phu!$I$13,M455=phu!$I$14),"Cam Nghĩa",""),IF(OR(M455=phu!$I$15,M455=phu!$I$16,M455=phu!$I$17,M455=phu!$I$18,M455=phu!$I$19,M455=phu!$I$20,M455=phu!$I$21),"Cam Phúc Bắc",""),IF(OR(M455=phu!$I$22,M455=phu!$I$23,M455=phu!$I$24,M455=phu!$I$25),"Cam Phúc Nam",""),IF(OR(M455=phu!$I$26,M455=phu!$I$27,M455=phu!$I$28,M455=phu!$I$29,M455=phu!$I$30,M455=phu!$I$31),"Cam Phú",""),IF(OR(M455=phu!$I$32,M455=phu!$I$33,M455=phu!$I$34,M455=phu!$I$35,M455=phu!$I$36,M455=phu!$I$37),"Cam Lộc",""),IF(OR(M455=phu!$I$38,M455=phu!$I$39,M455=phu!$I$40,M455=phu!$I$41,M455=phu!$I$42,M455=phu!$I$43,M455=phu!$I$44),"Cam Thuận",""),IF(OR(M455=phu!$I$45,M455=phu!$I$46,M455=phu!$I$47,M455=phu!$I$48,M455=phu!$I$49,M455=phu!$I$50,M455=phu!$I$51,M455=phu!$I$52,M455=phu!$I$53),"Cam Linh",""),IF(OR(M455=phu!$I$54,M455=phu!$I$55,M455=phu!$I$56,M455=phu!$I$57,M455=phu!$I$58,M455=phu!$I$59,M455=phu!$I$60,M455=phu!$I$61,M455=phu!$I$62),"Cam Lợi",""),IF(OR(M455=phu!$I$63,M455=phu!$I$64,M455=phu!$I$65,M455=phu!$I$66,M455=phu!$I$67,M455=phu!$I$68,M455=phu!$I$69,M455=phu!$I$70,M455=phu!$I$71),"Ba Ngòi",""),IF(OR(M455=phu!$I$72,M455=phu!$I$73,M455=phu!$I$74,M455=phu!$I$75,M455=phu!$I$76,M455=phu!$I$77,M455=phu!$I$78),"Cam Phước Đông",""),IF(OR(M455=phu!$I$79,M455=phu!$I$80,M455=phu!$I$81,M455=phu!$I$82,M455=phu!$I$83,M455=phu!$I$84),"Cam Thịnh Đông",""),IF(OR(M455=phu!$I$85,M455=phu!$I$86,M455=phu!$I$87,M455=phu!$I$88),"Cam Thịnh Tây",""),IF(OR(M455=phu!$I$89,M455=phu!$I$90),"Cam Lập",""),IF(OR(M455=phu!$I$91,M455=phu!$I$92,M455=phu!$I$93),"Cam Bình",""),IF(OR(M455=phu!$I$94,M455=phu!$I$95,M455=phu!$I$96,M455=phu!$I$97,M455=phu!$I$98,M455=phu!$I$99,M455=phu!$I$100),"Huyện khác",""),IF(OR(M455=phu!$I$101,M455=phu!$I$102),"Tỉnh khác",""))</f>
        <v/>
      </c>
      <c r="O455" s="829" t="str">
        <f t="shared" ref="O455:O518" si="42">CONCATENATE(IF(OR(N455="Cam Thành Nam",N455="Cam Nghĩa",N455="Cam Phúc Bắc"),"Bắc Cam Ranh",""),IF(OR(N455="Cam Phúc Nam",N455="Cam Phú",N455="Cam Lộc"),"Cam Ranh",""),IF(OR(N455="Cam Thuận",N455="Cam Linh",N455="Cam Lợi"),"Cam Linh",""),IF(OR(N455="Ba Ngòi",N455="Cam Phước Đông"),"Ba Ngòi",""),IF(OR(N455="Cam Thịnh Đông",N455="Cam Thịnh Tây",N455="Cam Lập",N455="Cam Bình"),"Nam Cam Ranh",""),IF(N455="Huyện khác","Huyện khác",""),IF(N455="Tỉnh khác","Tỉnh khác",""))</f>
        <v/>
      </c>
      <c r="P455" s="254"/>
      <c r="Q455" s="254"/>
      <c r="R455" s="254"/>
      <c r="S455" s="254"/>
      <c r="T455" s="254"/>
      <c r="U455" s="254"/>
      <c r="V455" s="254"/>
      <c r="W455" s="254"/>
      <c r="Y455" s="246" t="str">
        <f t="shared" ref="Y455:Y518" si="43">IF(OR(AND(B455="",C455="",D455="",E455="",F455="",G455="",H455="",I455="",J455="",L455="",M455="",N455="",P455="",Q455="",R455="",S455=""),AND(B455&lt;&gt;"",C455&lt;&gt;"",D455&lt;&gt;"",E455&lt;&gt;"",F455&lt;&gt;"",G455&lt;&gt;"",H455&lt;&gt;"",J455&lt;&gt;"",M455&lt;&gt;"",N455&lt;&gt;"",P455&lt;&gt;"",OR(AND(Q455&lt;&gt;"",R455=""),AND(Q455="",R455&lt;&gt;""),AND(Q455&lt;&gt;"",R455&lt;&gt;"")),OR(AND(K455="X",T455&lt;&gt;""),AND(K455="",T455="")))),"","er")</f>
        <v/>
      </c>
      <c r="Z455" s="247" t="str">
        <f t="shared" si="41"/>
        <v/>
      </c>
      <c r="AA455" s="246" t="str">
        <f t="shared" ref="AA455:AA518" si="44">IF(OR(AND(Z455&lt;=10,B455&gt;5),AND(Z455&lt;=11,B455&gt;6),AND(Z455&lt;=12,B455&gt;7),AND(Z455&lt;=13,B455&gt;8),AND(Z455&lt;=14,B455&gt;9),AND(Z455=11,B455=6,L455="X"),AND(Z455=12,B455=7,L455="X"),AND(Z455=13,B455=8,L455="X"),AND(Z455=14,B455=9,L455="X")),"er","")</f>
        <v/>
      </c>
    </row>
    <row r="456" spans="1:27" ht="18" customHeight="1" x14ac:dyDescent="0.25">
      <c r="A456" s="248" t="str">
        <f t="shared" ref="A456:A519" si="45">IF(OR(A455="",B456="",C456="",D456="",E456=""),"",A455+1)</f>
        <v/>
      </c>
      <c r="B456" s="249" t="str">
        <f t="shared" ref="B456:B519" si="46">IF(C456="","",VALUE(LEFT(C456,1)))</f>
        <v/>
      </c>
      <c r="C456" s="250"/>
      <c r="D456" s="251"/>
      <c r="E456" s="241"/>
      <c r="F456" s="252"/>
      <c r="G456" s="252"/>
      <c r="H456" s="253"/>
      <c r="I456" s="250"/>
      <c r="J456" s="250"/>
      <c r="K456" s="270"/>
      <c r="L456" s="250"/>
      <c r="M456" s="250"/>
      <c r="N456" s="540" t="str">
        <f>CONCATENATE(IF(OR(M456=phu!$I$1,M456=phu!$I$2,M456=phu!$I$3),"Cam Thành Nam",""),IF(OR(M456=phu!$I$4,M456=phu!$I$5,M456=phu!$I$6,M456=phu!$I$7,M456=phu!$I$8,M456=phu!$I$9,M456=phu!$I$10,M456=phu!$I$11,M456=phu!$I$12,M456=phu!$I$13,M456=phu!$I$14),"Cam Nghĩa",""),IF(OR(M456=phu!$I$15,M456=phu!$I$16,M456=phu!$I$17,M456=phu!$I$18,M456=phu!$I$19,M456=phu!$I$20,M456=phu!$I$21),"Cam Phúc Bắc",""),IF(OR(M456=phu!$I$22,M456=phu!$I$23,M456=phu!$I$24,M456=phu!$I$25),"Cam Phúc Nam",""),IF(OR(M456=phu!$I$26,M456=phu!$I$27,M456=phu!$I$28,M456=phu!$I$29,M456=phu!$I$30,M456=phu!$I$31),"Cam Phú",""),IF(OR(M456=phu!$I$32,M456=phu!$I$33,M456=phu!$I$34,M456=phu!$I$35,M456=phu!$I$36,M456=phu!$I$37),"Cam Lộc",""),IF(OR(M456=phu!$I$38,M456=phu!$I$39,M456=phu!$I$40,M456=phu!$I$41,M456=phu!$I$42,M456=phu!$I$43,M456=phu!$I$44),"Cam Thuận",""),IF(OR(M456=phu!$I$45,M456=phu!$I$46,M456=phu!$I$47,M456=phu!$I$48,M456=phu!$I$49,M456=phu!$I$50,M456=phu!$I$51,M456=phu!$I$52,M456=phu!$I$53),"Cam Linh",""),IF(OR(M456=phu!$I$54,M456=phu!$I$55,M456=phu!$I$56,M456=phu!$I$57,M456=phu!$I$58,M456=phu!$I$59,M456=phu!$I$60,M456=phu!$I$61,M456=phu!$I$62),"Cam Lợi",""),IF(OR(M456=phu!$I$63,M456=phu!$I$64,M456=phu!$I$65,M456=phu!$I$66,M456=phu!$I$67,M456=phu!$I$68,M456=phu!$I$69,M456=phu!$I$70,M456=phu!$I$71),"Ba Ngòi",""),IF(OR(M456=phu!$I$72,M456=phu!$I$73,M456=phu!$I$74,M456=phu!$I$75,M456=phu!$I$76,M456=phu!$I$77,M456=phu!$I$78),"Cam Phước Đông",""),IF(OR(M456=phu!$I$79,M456=phu!$I$80,M456=phu!$I$81,M456=phu!$I$82,M456=phu!$I$83,M456=phu!$I$84),"Cam Thịnh Đông",""),IF(OR(M456=phu!$I$85,M456=phu!$I$86,M456=phu!$I$87,M456=phu!$I$88),"Cam Thịnh Tây",""),IF(OR(M456=phu!$I$89,M456=phu!$I$90),"Cam Lập",""),IF(OR(M456=phu!$I$91,M456=phu!$I$92,M456=phu!$I$93),"Cam Bình",""),IF(OR(M456=phu!$I$94,M456=phu!$I$95,M456=phu!$I$96,M456=phu!$I$97,M456=phu!$I$98,M456=phu!$I$99,M456=phu!$I$100),"Huyện khác",""),IF(OR(M456=phu!$I$101,M456=phu!$I$102),"Tỉnh khác",""))</f>
        <v/>
      </c>
      <c r="O456" s="829" t="str">
        <f t="shared" si="42"/>
        <v/>
      </c>
      <c r="P456" s="254"/>
      <c r="Q456" s="254"/>
      <c r="R456" s="254"/>
      <c r="S456" s="254"/>
      <c r="T456" s="254"/>
      <c r="U456" s="254"/>
      <c r="V456" s="254"/>
      <c r="W456" s="254"/>
      <c r="Y456" s="246" t="str">
        <f t="shared" si="43"/>
        <v/>
      </c>
      <c r="Z456" s="247" t="str">
        <f t="shared" ref="Z456:Z519" si="47">IF(H456="","",$Z$1-H456)</f>
        <v/>
      </c>
      <c r="AA456" s="246" t="str">
        <f t="shared" si="44"/>
        <v/>
      </c>
    </row>
    <row r="457" spans="1:27" ht="18" customHeight="1" x14ac:dyDescent="0.25">
      <c r="A457" s="248" t="str">
        <f t="shared" si="45"/>
        <v/>
      </c>
      <c r="B457" s="249" t="str">
        <f t="shared" si="46"/>
        <v/>
      </c>
      <c r="C457" s="250"/>
      <c r="D457" s="251"/>
      <c r="E457" s="241"/>
      <c r="F457" s="252"/>
      <c r="G457" s="252"/>
      <c r="H457" s="253"/>
      <c r="I457" s="250"/>
      <c r="J457" s="250"/>
      <c r="K457" s="270"/>
      <c r="L457" s="250"/>
      <c r="M457" s="250"/>
      <c r="N457" s="540" t="str">
        <f>CONCATENATE(IF(OR(M457=phu!$I$1,M457=phu!$I$2,M457=phu!$I$3),"Cam Thành Nam",""),IF(OR(M457=phu!$I$4,M457=phu!$I$5,M457=phu!$I$6,M457=phu!$I$7,M457=phu!$I$8,M457=phu!$I$9,M457=phu!$I$10,M457=phu!$I$11,M457=phu!$I$12,M457=phu!$I$13,M457=phu!$I$14),"Cam Nghĩa",""),IF(OR(M457=phu!$I$15,M457=phu!$I$16,M457=phu!$I$17,M457=phu!$I$18,M457=phu!$I$19,M457=phu!$I$20,M457=phu!$I$21),"Cam Phúc Bắc",""),IF(OR(M457=phu!$I$22,M457=phu!$I$23,M457=phu!$I$24,M457=phu!$I$25),"Cam Phúc Nam",""),IF(OR(M457=phu!$I$26,M457=phu!$I$27,M457=phu!$I$28,M457=phu!$I$29,M457=phu!$I$30,M457=phu!$I$31),"Cam Phú",""),IF(OR(M457=phu!$I$32,M457=phu!$I$33,M457=phu!$I$34,M457=phu!$I$35,M457=phu!$I$36,M457=phu!$I$37),"Cam Lộc",""),IF(OR(M457=phu!$I$38,M457=phu!$I$39,M457=phu!$I$40,M457=phu!$I$41,M457=phu!$I$42,M457=phu!$I$43,M457=phu!$I$44),"Cam Thuận",""),IF(OR(M457=phu!$I$45,M457=phu!$I$46,M457=phu!$I$47,M457=phu!$I$48,M457=phu!$I$49,M457=phu!$I$50,M457=phu!$I$51,M457=phu!$I$52,M457=phu!$I$53),"Cam Linh",""),IF(OR(M457=phu!$I$54,M457=phu!$I$55,M457=phu!$I$56,M457=phu!$I$57,M457=phu!$I$58,M457=phu!$I$59,M457=phu!$I$60,M457=phu!$I$61,M457=phu!$I$62),"Cam Lợi",""),IF(OR(M457=phu!$I$63,M457=phu!$I$64,M457=phu!$I$65,M457=phu!$I$66,M457=phu!$I$67,M457=phu!$I$68,M457=phu!$I$69,M457=phu!$I$70,M457=phu!$I$71),"Ba Ngòi",""),IF(OR(M457=phu!$I$72,M457=phu!$I$73,M457=phu!$I$74,M457=phu!$I$75,M457=phu!$I$76,M457=phu!$I$77,M457=phu!$I$78),"Cam Phước Đông",""),IF(OR(M457=phu!$I$79,M457=phu!$I$80,M457=phu!$I$81,M457=phu!$I$82,M457=phu!$I$83,M457=phu!$I$84),"Cam Thịnh Đông",""),IF(OR(M457=phu!$I$85,M457=phu!$I$86,M457=phu!$I$87,M457=phu!$I$88),"Cam Thịnh Tây",""),IF(OR(M457=phu!$I$89,M457=phu!$I$90),"Cam Lập",""),IF(OR(M457=phu!$I$91,M457=phu!$I$92,M457=phu!$I$93),"Cam Bình",""),IF(OR(M457=phu!$I$94,M457=phu!$I$95,M457=phu!$I$96,M457=phu!$I$97,M457=phu!$I$98,M457=phu!$I$99,M457=phu!$I$100),"Huyện khác",""),IF(OR(M457=phu!$I$101,M457=phu!$I$102),"Tỉnh khác",""))</f>
        <v/>
      </c>
      <c r="O457" s="829" t="str">
        <f t="shared" si="42"/>
        <v/>
      </c>
      <c r="P457" s="254"/>
      <c r="Q457" s="254"/>
      <c r="R457" s="254"/>
      <c r="S457" s="254"/>
      <c r="T457" s="254"/>
      <c r="U457" s="254"/>
      <c r="V457" s="254"/>
      <c r="W457" s="254"/>
      <c r="Y457" s="246" t="str">
        <f t="shared" si="43"/>
        <v/>
      </c>
      <c r="Z457" s="247" t="str">
        <f t="shared" si="47"/>
        <v/>
      </c>
      <c r="AA457" s="246" t="str">
        <f t="shared" si="44"/>
        <v/>
      </c>
    </row>
    <row r="458" spans="1:27" ht="18" customHeight="1" x14ac:dyDescent="0.25">
      <c r="A458" s="248" t="str">
        <f t="shared" si="45"/>
        <v/>
      </c>
      <c r="B458" s="249" t="str">
        <f t="shared" si="46"/>
        <v/>
      </c>
      <c r="C458" s="250"/>
      <c r="D458" s="251"/>
      <c r="E458" s="241"/>
      <c r="F458" s="252"/>
      <c r="G458" s="252"/>
      <c r="H458" s="253"/>
      <c r="I458" s="250"/>
      <c r="J458" s="250"/>
      <c r="K458" s="270"/>
      <c r="L458" s="250"/>
      <c r="M458" s="250"/>
      <c r="N458" s="540" t="str">
        <f>CONCATENATE(IF(OR(M458=phu!$I$1,M458=phu!$I$2,M458=phu!$I$3),"Cam Thành Nam",""),IF(OR(M458=phu!$I$4,M458=phu!$I$5,M458=phu!$I$6,M458=phu!$I$7,M458=phu!$I$8,M458=phu!$I$9,M458=phu!$I$10,M458=phu!$I$11,M458=phu!$I$12,M458=phu!$I$13,M458=phu!$I$14),"Cam Nghĩa",""),IF(OR(M458=phu!$I$15,M458=phu!$I$16,M458=phu!$I$17,M458=phu!$I$18,M458=phu!$I$19,M458=phu!$I$20,M458=phu!$I$21),"Cam Phúc Bắc",""),IF(OR(M458=phu!$I$22,M458=phu!$I$23,M458=phu!$I$24,M458=phu!$I$25),"Cam Phúc Nam",""),IF(OR(M458=phu!$I$26,M458=phu!$I$27,M458=phu!$I$28,M458=phu!$I$29,M458=phu!$I$30,M458=phu!$I$31),"Cam Phú",""),IF(OR(M458=phu!$I$32,M458=phu!$I$33,M458=phu!$I$34,M458=phu!$I$35,M458=phu!$I$36,M458=phu!$I$37),"Cam Lộc",""),IF(OR(M458=phu!$I$38,M458=phu!$I$39,M458=phu!$I$40,M458=phu!$I$41,M458=phu!$I$42,M458=phu!$I$43,M458=phu!$I$44),"Cam Thuận",""),IF(OR(M458=phu!$I$45,M458=phu!$I$46,M458=phu!$I$47,M458=phu!$I$48,M458=phu!$I$49,M458=phu!$I$50,M458=phu!$I$51,M458=phu!$I$52,M458=phu!$I$53),"Cam Linh",""),IF(OR(M458=phu!$I$54,M458=phu!$I$55,M458=phu!$I$56,M458=phu!$I$57,M458=phu!$I$58,M458=phu!$I$59,M458=phu!$I$60,M458=phu!$I$61,M458=phu!$I$62),"Cam Lợi",""),IF(OR(M458=phu!$I$63,M458=phu!$I$64,M458=phu!$I$65,M458=phu!$I$66,M458=phu!$I$67,M458=phu!$I$68,M458=phu!$I$69,M458=phu!$I$70,M458=phu!$I$71),"Ba Ngòi",""),IF(OR(M458=phu!$I$72,M458=phu!$I$73,M458=phu!$I$74,M458=phu!$I$75,M458=phu!$I$76,M458=phu!$I$77,M458=phu!$I$78),"Cam Phước Đông",""),IF(OR(M458=phu!$I$79,M458=phu!$I$80,M458=phu!$I$81,M458=phu!$I$82,M458=phu!$I$83,M458=phu!$I$84),"Cam Thịnh Đông",""),IF(OR(M458=phu!$I$85,M458=phu!$I$86,M458=phu!$I$87,M458=phu!$I$88),"Cam Thịnh Tây",""),IF(OR(M458=phu!$I$89,M458=phu!$I$90),"Cam Lập",""),IF(OR(M458=phu!$I$91,M458=phu!$I$92,M458=phu!$I$93),"Cam Bình",""),IF(OR(M458=phu!$I$94,M458=phu!$I$95,M458=phu!$I$96,M458=phu!$I$97,M458=phu!$I$98,M458=phu!$I$99,M458=phu!$I$100),"Huyện khác",""),IF(OR(M458=phu!$I$101,M458=phu!$I$102),"Tỉnh khác",""))</f>
        <v/>
      </c>
      <c r="O458" s="829" t="str">
        <f t="shared" si="42"/>
        <v/>
      </c>
      <c r="P458" s="254"/>
      <c r="Q458" s="254"/>
      <c r="R458" s="254"/>
      <c r="S458" s="254"/>
      <c r="T458" s="254"/>
      <c r="U458" s="254"/>
      <c r="V458" s="254"/>
      <c r="W458" s="254"/>
      <c r="Y458" s="246" t="str">
        <f t="shared" si="43"/>
        <v/>
      </c>
      <c r="Z458" s="247" t="str">
        <f t="shared" si="47"/>
        <v/>
      </c>
      <c r="AA458" s="246" t="str">
        <f t="shared" si="44"/>
        <v/>
      </c>
    </row>
    <row r="459" spans="1:27" ht="18" customHeight="1" x14ac:dyDescent="0.25">
      <c r="A459" s="248" t="str">
        <f t="shared" si="45"/>
        <v/>
      </c>
      <c r="B459" s="249" t="str">
        <f t="shared" si="46"/>
        <v/>
      </c>
      <c r="C459" s="250"/>
      <c r="D459" s="251"/>
      <c r="E459" s="241"/>
      <c r="F459" s="252"/>
      <c r="G459" s="252"/>
      <c r="H459" s="253"/>
      <c r="I459" s="250"/>
      <c r="J459" s="250"/>
      <c r="K459" s="270"/>
      <c r="L459" s="250"/>
      <c r="M459" s="250"/>
      <c r="N459" s="540" t="str">
        <f>CONCATENATE(IF(OR(M459=phu!$I$1,M459=phu!$I$2,M459=phu!$I$3),"Cam Thành Nam",""),IF(OR(M459=phu!$I$4,M459=phu!$I$5,M459=phu!$I$6,M459=phu!$I$7,M459=phu!$I$8,M459=phu!$I$9,M459=phu!$I$10,M459=phu!$I$11,M459=phu!$I$12,M459=phu!$I$13,M459=phu!$I$14),"Cam Nghĩa",""),IF(OR(M459=phu!$I$15,M459=phu!$I$16,M459=phu!$I$17,M459=phu!$I$18,M459=phu!$I$19,M459=phu!$I$20,M459=phu!$I$21),"Cam Phúc Bắc",""),IF(OR(M459=phu!$I$22,M459=phu!$I$23,M459=phu!$I$24,M459=phu!$I$25),"Cam Phúc Nam",""),IF(OR(M459=phu!$I$26,M459=phu!$I$27,M459=phu!$I$28,M459=phu!$I$29,M459=phu!$I$30,M459=phu!$I$31),"Cam Phú",""),IF(OR(M459=phu!$I$32,M459=phu!$I$33,M459=phu!$I$34,M459=phu!$I$35,M459=phu!$I$36,M459=phu!$I$37),"Cam Lộc",""),IF(OR(M459=phu!$I$38,M459=phu!$I$39,M459=phu!$I$40,M459=phu!$I$41,M459=phu!$I$42,M459=phu!$I$43,M459=phu!$I$44),"Cam Thuận",""),IF(OR(M459=phu!$I$45,M459=phu!$I$46,M459=phu!$I$47,M459=phu!$I$48,M459=phu!$I$49,M459=phu!$I$50,M459=phu!$I$51,M459=phu!$I$52,M459=phu!$I$53),"Cam Linh",""),IF(OR(M459=phu!$I$54,M459=phu!$I$55,M459=phu!$I$56,M459=phu!$I$57,M459=phu!$I$58,M459=phu!$I$59,M459=phu!$I$60,M459=phu!$I$61,M459=phu!$I$62),"Cam Lợi",""),IF(OR(M459=phu!$I$63,M459=phu!$I$64,M459=phu!$I$65,M459=phu!$I$66,M459=phu!$I$67,M459=phu!$I$68,M459=phu!$I$69,M459=phu!$I$70,M459=phu!$I$71),"Ba Ngòi",""),IF(OR(M459=phu!$I$72,M459=phu!$I$73,M459=phu!$I$74,M459=phu!$I$75,M459=phu!$I$76,M459=phu!$I$77,M459=phu!$I$78),"Cam Phước Đông",""),IF(OR(M459=phu!$I$79,M459=phu!$I$80,M459=phu!$I$81,M459=phu!$I$82,M459=phu!$I$83,M459=phu!$I$84),"Cam Thịnh Đông",""),IF(OR(M459=phu!$I$85,M459=phu!$I$86,M459=phu!$I$87,M459=phu!$I$88),"Cam Thịnh Tây",""),IF(OR(M459=phu!$I$89,M459=phu!$I$90),"Cam Lập",""),IF(OR(M459=phu!$I$91,M459=phu!$I$92,M459=phu!$I$93),"Cam Bình",""),IF(OR(M459=phu!$I$94,M459=phu!$I$95,M459=phu!$I$96,M459=phu!$I$97,M459=phu!$I$98,M459=phu!$I$99,M459=phu!$I$100),"Huyện khác",""),IF(OR(M459=phu!$I$101,M459=phu!$I$102),"Tỉnh khác",""))</f>
        <v/>
      </c>
      <c r="O459" s="829" t="str">
        <f t="shared" si="42"/>
        <v/>
      </c>
      <c r="P459" s="254"/>
      <c r="Q459" s="254"/>
      <c r="R459" s="254"/>
      <c r="S459" s="254"/>
      <c r="T459" s="254"/>
      <c r="U459" s="254"/>
      <c r="V459" s="254"/>
      <c r="W459" s="254"/>
      <c r="Y459" s="246" t="str">
        <f t="shared" si="43"/>
        <v/>
      </c>
      <c r="Z459" s="247" t="str">
        <f t="shared" si="47"/>
        <v/>
      </c>
      <c r="AA459" s="246" t="str">
        <f t="shared" si="44"/>
        <v/>
      </c>
    </row>
    <row r="460" spans="1:27" ht="18" customHeight="1" x14ac:dyDescent="0.25">
      <c r="A460" s="248" t="str">
        <f t="shared" si="45"/>
        <v/>
      </c>
      <c r="B460" s="249" t="str">
        <f t="shared" si="46"/>
        <v/>
      </c>
      <c r="C460" s="250"/>
      <c r="D460" s="251"/>
      <c r="E460" s="241"/>
      <c r="F460" s="252"/>
      <c r="G460" s="252"/>
      <c r="H460" s="253"/>
      <c r="I460" s="250"/>
      <c r="J460" s="250"/>
      <c r="K460" s="270"/>
      <c r="L460" s="250"/>
      <c r="M460" s="250"/>
      <c r="N460" s="540" t="str">
        <f>CONCATENATE(IF(OR(M460=phu!$I$1,M460=phu!$I$2,M460=phu!$I$3),"Cam Thành Nam",""),IF(OR(M460=phu!$I$4,M460=phu!$I$5,M460=phu!$I$6,M460=phu!$I$7,M460=phu!$I$8,M460=phu!$I$9,M460=phu!$I$10,M460=phu!$I$11,M460=phu!$I$12,M460=phu!$I$13,M460=phu!$I$14),"Cam Nghĩa",""),IF(OR(M460=phu!$I$15,M460=phu!$I$16,M460=phu!$I$17,M460=phu!$I$18,M460=phu!$I$19,M460=phu!$I$20,M460=phu!$I$21),"Cam Phúc Bắc",""),IF(OR(M460=phu!$I$22,M460=phu!$I$23,M460=phu!$I$24,M460=phu!$I$25),"Cam Phúc Nam",""),IF(OR(M460=phu!$I$26,M460=phu!$I$27,M460=phu!$I$28,M460=phu!$I$29,M460=phu!$I$30,M460=phu!$I$31),"Cam Phú",""),IF(OR(M460=phu!$I$32,M460=phu!$I$33,M460=phu!$I$34,M460=phu!$I$35,M460=phu!$I$36,M460=phu!$I$37),"Cam Lộc",""),IF(OR(M460=phu!$I$38,M460=phu!$I$39,M460=phu!$I$40,M460=phu!$I$41,M460=phu!$I$42,M460=phu!$I$43,M460=phu!$I$44),"Cam Thuận",""),IF(OR(M460=phu!$I$45,M460=phu!$I$46,M460=phu!$I$47,M460=phu!$I$48,M460=phu!$I$49,M460=phu!$I$50,M460=phu!$I$51,M460=phu!$I$52,M460=phu!$I$53),"Cam Linh",""),IF(OR(M460=phu!$I$54,M460=phu!$I$55,M460=phu!$I$56,M460=phu!$I$57,M460=phu!$I$58,M460=phu!$I$59,M460=phu!$I$60,M460=phu!$I$61,M460=phu!$I$62),"Cam Lợi",""),IF(OR(M460=phu!$I$63,M460=phu!$I$64,M460=phu!$I$65,M460=phu!$I$66,M460=phu!$I$67,M460=phu!$I$68,M460=phu!$I$69,M460=phu!$I$70,M460=phu!$I$71),"Ba Ngòi",""),IF(OR(M460=phu!$I$72,M460=phu!$I$73,M460=phu!$I$74,M460=phu!$I$75,M460=phu!$I$76,M460=phu!$I$77,M460=phu!$I$78),"Cam Phước Đông",""),IF(OR(M460=phu!$I$79,M460=phu!$I$80,M460=phu!$I$81,M460=phu!$I$82,M460=phu!$I$83,M460=phu!$I$84),"Cam Thịnh Đông",""),IF(OR(M460=phu!$I$85,M460=phu!$I$86,M460=phu!$I$87,M460=phu!$I$88),"Cam Thịnh Tây",""),IF(OR(M460=phu!$I$89,M460=phu!$I$90),"Cam Lập",""),IF(OR(M460=phu!$I$91,M460=phu!$I$92,M460=phu!$I$93),"Cam Bình",""),IF(OR(M460=phu!$I$94,M460=phu!$I$95,M460=phu!$I$96,M460=phu!$I$97,M460=phu!$I$98,M460=phu!$I$99,M460=phu!$I$100),"Huyện khác",""),IF(OR(M460=phu!$I$101,M460=phu!$I$102),"Tỉnh khác",""))</f>
        <v/>
      </c>
      <c r="O460" s="829" t="str">
        <f t="shared" si="42"/>
        <v/>
      </c>
      <c r="P460" s="254"/>
      <c r="Q460" s="254"/>
      <c r="R460" s="254"/>
      <c r="S460" s="254"/>
      <c r="T460" s="254"/>
      <c r="U460" s="254"/>
      <c r="V460" s="254"/>
      <c r="W460" s="254"/>
      <c r="Y460" s="246" t="str">
        <f t="shared" si="43"/>
        <v/>
      </c>
      <c r="Z460" s="247" t="str">
        <f t="shared" si="47"/>
        <v/>
      </c>
      <c r="AA460" s="246" t="str">
        <f t="shared" si="44"/>
        <v/>
      </c>
    </row>
    <row r="461" spans="1:27" ht="18" customHeight="1" x14ac:dyDescent="0.25">
      <c r="A461" s="248" t="str">
        <f t="shared" si="45"/>
        <v/>
      </c>
      <c r="B461" s="249" t="str">
        <f t="shared" si="46"/>
        <v/>
      </c>
      <c r="C461" s="250"/>
      <c r="D461" s="251"/>
      <c r="E461" s="241"/>
      <c r="F461" s="252"/>
      <c r="G461" s="252"/>
      <c r="H461" s="253"/>
      <c r="I461" s="250"/>
      <c r="J461" s="250"/>
      <c r="K461" s="270"/>
      <c r="L461" s="250"/>
      <c r="M461" s="250"/>
      <c r="N461" s="540" t="str">
        <f>CONCATENATE(IF(OR(M461=phu!$I$1,M461=phu!$I$2,M461=phu!$I$3),"Cam Thành Nam",""),IF(OR(M461=phu!$I$4,M461=phu!$I$5,M461=phu!$I$6,M461=phu!$I$7,M461=phu!$I$8,M461=phu!$I$9,M461=phu!$I$10,M461=phu!$I$11,M461=phu!$I$12,M461=phu!$I$13,M461=phu!$I$14),"Cam Nghĩa",""),IF(OR(M461=phu!$I$15,M461=phu!$I$16,M461=phu!$I$17,M461=phu!$I$18,M461=phu!$I$19,M461=phu!$I$20,M461=phu!$I$21),"Cam Phúc Bắc",""),IF(OR(M461=phu!$I$22,M461=phu!$I$23,M461=phu!$I$24,M461=phu!$I$25),"Cam Phúc Nam",""),IF(OR(M461=phu!$I$26,M461=phu!$I$27,M461=phu!$I$28,M461=phu!$I$29,M461=phu!$I$30,M461=phu!$I$31),"Cam Phú",""),IF(OR(M461=phu!$I$32,M461=phu!$I$33,M461=phu!$I$34,M461=phu!$I$35,M461=phu!$I$36,M461=phu!$I$37),"Cam Lộc",""),IF(OR(M461=phu!$I$38,M461=phu!$I$39,M461=phu!$I$40,M461=phu!$I$41,M461=phu!$I$42,M461=phu!$I$43,M461=phu!$I$44),"Cam Thuận",""),IF(OR(M461=phu!$I$45,M461=phu!$I$46,M461=phu!$I$47,M461=phu!$I$48,M461=phu!$I$49,M461=phu!$I$50,M461=phu!$I$51,M461=phu!$I$52,M461=phu!$I$53),"Cam Linh",""),IF(OR(M461=phu!$I$54,M461=phu!$I$55,M461=phu!$I$56,M461=phu!$I$57,M461=phu!$I$58,M461=phu!$I$59,M461=phu!$I$60,M461=phu!$I$61,M461=phu!$I$62),"Cam Lợi",""),IF(OR(M461=phu!$I$63,M461=phu!$I$64,M461=phu!$I$65,M461=phu!$I$66,M461=phu!$I$67,M461=phu!$I$68,M461=phu!$I$69,M461=phu!$I$70,M461=phu!$I$71),"Ba Ngòi",""),IF(OR(M461=phu!$I$72,M461=phu!$I$73,M461=phu!$I$74,M461=phu!$I$75,M461=phu!$I$76,M461=phu!$I$77,M461=phu!$I$78),"Cam Phước Đông",""),IF(OR(M461=phu!$I$79,M461=phu!$I$80,M461=phu!$I$81,M461=phu!$I$82,M461=phu!$I$83,M461=phu!$I$84),"Cam Thịnh Đông",""),IF(OR(M461=phu!$I$85,M461=phu!$I$86,M461=phu!$I$87,M461=phu!$I$88),"Cam Thịnh Tây",""),IF(OR(M461=phu!$I$89,M461=phu!$I$90),"Cam Lập",""),IF(OR(M461=phu!$I$91,M461=phu!$I$92,M461=phu!$I$93),"Cam Bình",""),IF(OR(M461=phu!$I$94,M461=phu!$I$95,M461=phu!$I$96,M461=phu!$I$97,M461=phu!$I$98,M461=phu!$I$99,M461=phu!$I$100),"Huyện khác",""),IF(OR(M461=phu!$I$101,M461=phu!$I$102),"Tỉnh khác",""))</f>
        <v/>
      </c>
      <c r="O461" s="829" t="str">
        <f t="shared" si="42"/>
        <v/>
      </c>
      <c r="P461" s="254"/>
      <c r="Q461" s="254"/>
      <c r="R461" s="254"/>
      <c r="S461" s="254"/>
      <c r="T461" s="254"/>
      <c r="U461" s="254"/>
      <c r="V461" s="254"/>
      <c r="W461" s="254"/>
      <c r="Y461" s="246" t="str">
        <f t="shared" si="43"/>
        <v/>
      </c>
      <c r="Z461" s="247" t="str">
        <f t="shared" si="47"/>
        <v/>
      </c>
      <c r="AA461" s="246" t="str">
        <f t="shared" si="44"/>
        <v/>
      </c>
    </row>
    <row r="462" spans="1:27" ht="18" customHeight="1" x14ac:dyDescent="0.25">
      <c r="A462" s="248" t="str">
        <f t="shared" si="45"/>
        <v/>
      </c>
      <c r="B462" s="249" t="str">
        <f t="shared" si="46"/>
        <v/>
      </c>
      <c r="C462" s="250"/>
      <c r="D462" s="251"/>
      <c r="E462" s="241"/>
      <c r="F462" s="252"/>
      <c r="G462" s="252"/>
      <c r="H462" s="253"/>
      <c r="I462" s="250"/>
      <c r="J462" s="250"/>
      <c r="K462" s="270"/>
      <c r="L462" s="250"/>
      <c r="M462" s="250"/>
      <c r="N462" s="540" t="str">
        <f>CONCATENATE(IF(OR(M462=phu!$I$1,M462=phu!$I$2,M462=phu!$I$3),"Cam Thành Nam",""),IF(OR(M462=phu!$I$4,M462=phu!$I$5,M462=phu!$I$6,M462=phu!$I$7,M462=phu!$I$8,M462=phu!$I$9,M462=phu!$I$10,M462=phu!$I$11,M462=phu!$I$12,M462=phu!$I$13,M462=phu!$I$14),"Cam Nghĩa",""),IF(OR(M462=phu!$I$15,M462=phu!$I$16,M462=phu!$I$17,M462=phu!$I$18,M462=phu!$I$19,M462=phu!$I$20,M462=phu!$I$21),"Cam Phúc Bắc",""),IF(OR(M462=phu!$I$22,M462=phu!$I$23,M462=phu!$I$24,M462=phu!$I$25),"Cam Phúc Nam",""),IF(OR(M462=phu!$I$26,M462=phu!$I$27,M462=phu!$I$28,M462=phu!$I$29,M462=phu!$I$30,M462=phu!$I$31),"Cam Phú",""),IF(OR(M462=phu!$I$32,M462=phu!$I$33,M462=phu!$I$34,M462=phu!$I$35,M462=phu!$I$36,M462=phu!$I$37),"Cam Lộc",""),IF(OR(M462=phu!$I$38,M462=phu!$I$39,M462=phu!$I$40,M462=phu!$I$41,M462=phu!$I$42,M462=phu!$I$43,M462=phu!$I$44),"Cam Thuận",""),IF(OR(M462=phu!$I$45,M462=phu!$I$46,M462=phu!$I$47,M462=phu!$I$48,M462=phu!$I$49,M462=phu!$I$50,M462=phu!$I$51,M462=phu!$I$52,M462=phu!$I$53),"Cam Linh",""),IF(OR(M462=phu!$I$54,M462=phu!$I$55,M462=phu!$I$56,M462=phu!$I$57,M462=phu!$I$58,M462=phu!$I$59,M462=phu!$I$60,M462=phu!$I$61,M462=phu!$I$62),"Cam Lợi",""),IF(OR(M462=phu!$I$63,M462=phu!$I$64,M462=phu!$I$65,M462=phu!$I$66,M462=phu!$I$67,M462=phu!$I$68,M462=phu!$I$69,M462=phu!$I$70,M462=phu!$I$71),"Ba Ngòi",""),IF(OR(M462=phu!$I$72,M462=phu!$I$73,M462=phu!$I$74,M462=phu!$I$75,M462=phu!$I$76,M462=phu!$I$77,M462=phu!$I$78),"Cam Phước Đông",""),IF(OR(M462=phu!$I$79,M462=phu!$I$80,M462=phu!$I$81,M462=phu!$I$82,M462=phu!$I$83,M462=phu!$I$84),"Cam Thịnh Đông",""),IF(OR(M462=phu!$I$85,M462=phu!$I$86,M462=phu!$I$87,M462=phu!$I$88),"Cam Thịnh Tây",""),IF(OR(M462=phu!$I$89,M462=phu!$I$90),"Cam Lập",""),IF(OR(M462=phu!$I$91,M462=phu!$I$92,M462=phu!$I$93),"Cam Bình",""),IF(OR(M462=phu!$I$94,M462=phu!$I$95,M462=phu!$I$96,M462=phu!$I$97,M462=phu!$I$98,M462=phu!$I$99,M462=phu!$I$100),"Huyện khác",""),IF(OR(M462=phu!$I$101,M462=phu!$I$102),"Tỉnh khác",""))</f>
        <v/>
      </c>
      <c r="O462" s="829" t="str">
        <f t="shared" si="42"/>
        <v/>
      </c>
      <c r="P462" s="254"/>
      <c r="Q462" s="254"/>
      <c r="R462" s="254"/>
      <c r="S462" s="254"/>
      <c r="T462" s="254"/>
      <c r="U462" s="254"/>
      <c r="V462" s="254"/>
      <c r="W462" s="254"/>
      <c r="Y462" s="246" t="str">
        <f t="shared" si="43"/>
        <v/>
      </c>
      <c r="Z462" s="247" t="str">
        <f t="shared" si="47"/>
        <v/>
      </c>
      <c r="AA462" s="246" t="str">
        <f t="shared" si="44"/>
        <v/>
      </c>
    </row>
    <row r="463" spans="1:27" ht="18" customHeight="1" x14ac:dyDescent="0.25">
      <c r="A463" s="248" t="str">
        <f t="shared" si="45"/>
        <v/>
      </c>
      <c r="B463" s="249" t="str">
        <f t="shared" si="46"/>
        <v/>
      </c>
      <c r="C463" s="250"/>
      <c r="D463" s="251"/>
      <c r="E463" s="241"/>
      <c r="F463" s="252"/>
      <c r="G463" s="252"/>
      <c r="H463" s="253"/>
      <c r="I463" s="250"/>
      <c r="J463" s="250"/>
      <c r="K463" s="270"/>
      <c r="L463" s="250"/>
      <c r="M463" s="250"/>
      <c r="N463" s="540" t="str">
        <f>CONCATENATE(IF(OR(M463=phu!$I$1,M463=phu!$I$2,M463=phu!$I$3),"Cam Thành Nam",""),IF(OR(M463=phu!$I$4,M463=phu!$I$5,M463=phu!$I$6,M463=phu!$I$7,M463=phu!$I$8,M463=phu!$I$9,M463=phu!$I$10,M463=phu!$I$11,M463=phu!$I$12,M463=phu!$I$13,M463=phu!$I$14),"Cam Nghĩa",""),IF(OR(M463=phu!$I$15,M463=phu!$I$16,M463=phu!$I$17,M463=phu!$I$18,M463=phu!$I$19,M463=phu!$I$20,M463=phu!$I$21),"Cam Phúc Bắc",""),IF(OR(M463=phu!$I$22,M463=phu!$I$23,M463=phu!$I$24,M463=phu!$I$25),"Cam Phúc Nam",""),IF(OR(M463=phu!$I$26,M463=phu!$I$27,M463=phu!$I$28,M463=phu!$I$29,M463=phu!$I$30,M463=phu!$I$31),"Cam Phú",""),IF(OR(M463=phu!$I$32,M463=phu!$I$33,M463=phu!$I$34,M463=phu!$I$35,M463=phu!$I$36,M463=phu!$I$37),"Cam Lộc",""),IF(OR(M463=phu!$I$38,M463=phu!$I$39,M463=phu!$I$40,M463=phu!$I$41,M463=phu!$I$42,M463=phu!$I$43,M463=phu!$I$44),"Cam Thuận",""),IF(OR(M463=phu!$I$45,M463=phu!$I$46,M463=phu!$I$47,M463=phu!$I$48,M463=phu!$I$49,M463=phu!$I$50,M463=phu!$I$51,M463=phu!$I$52,M463=phu!$I$53),"Cam Linh",""),IF(OR(M463=phu!$I$54,M463=phu!$I$55,M463=phu!$I$56,M463=phu!$I$57,M463=phu!$I$58,M463=phu!$I$59,M463=phu!$I$60,M463=phu!$I$61,M463=phu!$I$62),"Cam Lợi",""),IF(OR(M463=phu!$I$63,M463=phu!$I$64,M463=phu!$I$65,M463=phu!$I$66,M463=phu!$I$67,M463=phu!$I$68,M463=phu!$I$69,M463=phu!$I$70,M463=phu!$I$71),"Ba Ngòi",""),IF(OR(M463=phu!$I$72,M463=phu!$I$73,M463=phu!$I$74,M463=phu!$I$75,M463=phu!$I$76,M463=phu!$I$77,M463=phu!$I$78),"Cam Phước Đông",""),IF(OR(M463=phu!$I$79,M463=phu!$I$80,M463=phu!$I$81,M463=phu!$I$82,M463=phu!$I$83,M463=phu!$I$84),"Cam Thịnh Đông",""),IF(OR(M463=phu!$I$85,M463=phu!$I$86,M463=phu!$I$87,M463=phu!$I$88),"Cam Thịnh Tây",""),IF(OR(M463=phu!$I$89,M463=phu!$I$90),"Cam Lập",""),IF(OR(M463=phu!$I$91,M463=phu!$I$92,M463=phu!$I$93),"Cam Bình",""),IF(OR(M463=phu!$I$94,M463=phu!$I$95,M463=phu!$I$96,M463=phu!$I$97,M463=phu!$I$98,M463=phu!$I$99,M463=phu!$I$100),"Huyện khác",""),IF(OR(M463=phu!$I$101,M463=phu!$I$102),"Tỉnh khác",""))</f>
        <v/>
      </c>
      <c r="O463" s="829" t="str">
        <f t="shared" si="42"/>
        <v/>
      </c>
      <c r="P463" s="254"/>
      <c r="Q463" s="254"/>
      <c r="R463" s="254"/>
      <c r="S463" s="254"/>
      <c r="T463" s="254"/>
      <c r="U463" s="254"/>
      <c r="V463" s="254"/>
      <c r="W463" s="254"/>
      <c r="Y463" s="246" t="str">
        <f t="shared" si="43"/>
        <v/>
      </c>
      <c r="Z463" s="247" t="str">
        <f t="shared" si="47"/>
        <v/>
      </c>
      <c r="AA463" s="246" t="str">
        <f t="shared" si="44"/>
        <v/>
      </c>
    </row>
    <row r="464" spans="1:27" ht="18" customHeight="1" x14ac:dyDescent="0.25">
      <c r="A464" s="248" t="str">
        <f t="shared" si="45"/>
        <v/>
      </c>
      <c r="B464" s="249" t="str">
        <f t="shared" si="46"/>
        <v/>
      </c>
      <c r="C464" s="250"/>
      <c r="D464" s="251"/>
      <c r="E464" s="241"/>
      <c r="F464" s="252"/>
      <c r="G464" s="252"/>
      <c r="H464" s="253"/>
      <c r="I464" s="250"/>
      <c r="J464" s="250"/>
      <c r="K464" s="270"/>
      <c r="L464" s="250"/>
      <c r="M464" s="250"/>
      <c r="N464" s="540" t="str">
        <f>CONCATENATE(IF(OR(M464=phu!$I$1,M464=phu!$I$2,M464=phu!$I$3),"Cam Thành Nam",""),IF(OR(M464=phu!$I$4,M464=phu!$I$5,M464=phu!$I$6,M464=phu!$I$7,M464=phu!$I$8,M464=phu!$I$9,M464=phu!$I$10,M464=phu!$I$11,M464=phu!$I$12,M464=phu!$I$13,M464=phu!$I$14),"Cam Nghĩa",""),IF(OR(M464=phu!$I$15,M464=phu!$I$16,M464=phu!$I$17,M464=phu!$I$18,M464=phu!$I$19,M464=phu!$I$20,M464=phu!$I$21),"Cam Phúc Bắc",""),IF(OR(M464=phu!$I$22,M464=phu!$I$23,M464=phu!$I$24,M464=phu!$I$25),"Cam Phúc Nam",""),IF(OR(M464=phu!$I$26,M464=phu!$I$27,M464=phu!$I$28,M464=phu!$I$29,M464=phu!$I$30,M464=phu!$I$31),"Cam Phú",""),IF(OR(M464=phu!$I$32,M464=phu!$I$33,M464=phu!$I$34,M464=phu!$I$35,M464=phu!$I$36,M464=phu!$I$37),"Cam Lộc",""),IF(OR(M464=phu!$I$38,M464=phu!$I$39,M464=phu!$I$40,M464=phu!$I$41,M464=phu!$I$42,M464=phu!$I$43,M464=phu!$I$44),"Cam Thuận",""),IF(OR(M464=phu!$I$45,M464=phu!$I$46,M464=phu!$I$47,M464=phu!$I$48,M464=phu!$I$49,M464=phu!$I$50,M464=phu!$I$51,M464=phu!$I$52,M464=phu!$I$53),"Cam Linh",""),IF(OR(M464=phu!$I$54,M464=phu!$I$55,M464=phu!$I$56,M464=phu!$I$57,M464=phu!$I$58,M464=phu!$I$59,M464=phu!$I$60,M464=phu!$I$61,M464=phu!$I$62),"Cam Lợi",""),IF(OR(M464=phu!$I$63,M464=phu!$I$64,M464=phu!$I$65,M464=phu!$I$66,M464=phu!$I$67,M464=phu!$I$68,M464=phu!$I$69,M464=phu!$I$70,M464=phu!$I$71),"Ba Ngòi",""),IF(OR(M464=phu!$I$72,M464=phu!$I$73,M464=phu!$I$74,M464=phu!$I$75,M464=phu!$I$76,M464=phu!$I$77,M464=phu!$I$78),"Cam Phước Đông",""),IF(OR(M464=phu!$I$79,M464=phu!$I$80,M464=phu!$I$81,M464=phu!$I$82,M464=phu!$I$83,M464=phu!$I$84),"Cam Thịnh Đông",""),IF(OR(M464=phu!$I$85,M464=phu!$I$86,M464=phu!$I$87,M464=phu!$I$88),"Cam Thịnh Tây",""),IF(OR(M464=phu!$I$89,M464=phu!$I$90),"Cam Lập",""),IF(OR(M464=phu!$I$91,M464=phu!$I$92,M464=phu!$I$93),"Cam Bình",""),IF(OR(M464=phu!$I$94,M464=phu!$I$95,M464=phu!$I$96,M464=phu!$I$97,M464=phu!$I$98,M464=phu!$I$99,M464=phu!$I$100),"Huyện khác",""),IF(OR(M464=phu!$I$101,M464=phu!$I$102),"Tỉnh khác",""))</f>
        <v/>
      </c>
      <c r="O464" s="829" t="str">
        <f t="shared" si="42"/>
        <v/>
      </c>
      <c r="P464" s="254"/>
      <c r="Q464" s="254"/>
      <c r="R464" s="254"/>
      <c r="S464" s="254"/>
      <c r="T464" s="254"/>
      <c r="U464" s="254"/>
      <c r="V464" s="254"/>
      <c r="W464" s="254"/>
      <c r="Y464" s="246" t="str">
        <f t="shared" si="43"/>
        <v/>
      </c>
      <c r="Z464" s="247" t="str">
        <f t="shared" si="47"/>
        <v/>
      </c>
      <c r="AA464" s="246" t="str">
        <f t="shared" si="44"/>
        <v/>
      </c>
    </row>
    <row r="465" spans="1:27" ht="18" customHeight="1" x14ac:dyDescent="0.25">
      <c r="A465" s="248" t="str">
        <f t="shared" si="45"/>
        <v/>
      </c>
      <c r="B465" s="249" t="str">
        <f t="shared" si="46"/>
        <v/>
      </c>
      <c r="C465" s="250"/>
      <c r="D465" s="251"/>
      <c r="E465" s="241"/>
      <c r="F465" s="252"/>
      <c r="G465" s="252"/>
      <c r="H465" s="253"/>
      <c r="I465" s="250"/>
      <c r="J465" s="250"/>
      <c r="K465" s="270"/>
      <c r="L465" s="250"/>
      <c r="M465" s="250"/>
      <c r="N465" s="540" t="str">
        <f>CONCATENATE(IF(OR(M465=phu!$I$1,M465=phu!$I$2,M465=phu!$I$3),"Cam Thành Nam",""),IF(OR(M465=phu!$I$4,M465=phu!$I$5,M465=phu!$I$6,M465=phu!$I$7,M465=phu!$I$8,M465=phu!$I$9,M465=phu!$I$10,M465=phu!$I$11,M465=phu!$I$12,M465=phu!$I$13,M465=phu!$I$14),"Cam Nghĩa",""),IF(OR(M465=phu!$I$15,M465=phu!$I$16,M465=phu!$I$17,M465=phu!$I$18,M465=phu!$I$19,M465=phu!$I$20,M465=phu!$I$21),"Cam Phúc Bắc",""),IF(OR(M465=phu!$I$22,M465=phu!$I$23,M465=phu!$I$24,M465=phu!$I$25),"Cam Phúc Nam",""),IF(OR(M465=phu!$I$26,M465=phu!$I$27,M465=phu!$I$28,M465=phu!$I$29,M465=phu!$I$30,M465=phu!$I$31),"Cam Phú",""),IF(OR(M465=phu!$I$32,M465=phu!$I$33,M465=phu!$I$34,M465=phu!$I$35,M465=phu!$I$36,M465=phu!$I$37),"Cam Lộc",""),IF(OR(M465=phu!$I$38,M465=phu!$I$39,M465=phu!$I$40,M465=phu!$I$41,M465=phu!$I$42,M465=phu!$I$43,M465=phu!$I$44),"Cam Thuận",""),IF(OR(M465=phu!$I$45,M465=phu!$I$46,M465=phu!$I$47,M465=phu!$I$48,M465=phu!$I$49,M465=phu!$I$50,M465=phu!$I$51,M465=phu!$I$52,M465=phu!$I$53),"Cam Linh",""),IF(OR(M465=phu!$I$54,M465=phu!$I$55,M465=phu!$I$56,M465=phu!$I$57,M465=phu!$I$58,M465=phu!$I$59,M465=phu!$I$60,M465=phu!$I$61,M465=phu!$I$62),"Cam Lợi",""),IF(OR(M465=phu!$I$63,M465=phu!$I$64,M465=phu!$I$65,M465=phu!$I$66,M465=phu!$I$67,M465=phu!$I$68,M465=phu!$I$69,M465=phu!$I$70,M465=phu!$I$71),"Ba Ngòi",""),IF(OR(M465=phu!$I$72,M465=phu!$I$73,M465=phu!$I$74,M465=phu!$I$75,M465=phu!$I$76,M465=phu!$I$77,M465=phu!$I$78),"Cam Phước Đông",""),IF(OR(M465=phu!$I$79,M465=phu!$I$80,M465=phu!$I$81,M465=phu!$I$82,M465=phu!$I$83,M465=phu!$I$84),"Cam Thịnh Đông",""),IF(OR(M465=phu!$I$85,M465=phu!$I$86,M465=phu!$I$87,M465=phu!$I$88),"Cam Thịnh Tây",""),IF(OR(M465=phu!$I$89,M465=phu!$I$90),"Cam Lập",""),IF(OR(M465=phu!$I$91,M465=phu!$I$92,M465=phu!$I$93),"Cam Bình",""),IF(OR(M465=phu!$I$94,M465=phu!$I$95,M465=phu!$I$96,M465=phu!$I$97,M465=phu!$I$98,M465=phu!$I$99,M465=phu!$I$100),"Huyện khác",""),IF(OR(M465=phu!$I$101,M465=phu!$I$102),"Tỉnh khác",""))</f>
        <v/>
      </c>
      <c r="O465" s="829" t="str">
        <f t="shared" si="42"/>
        <v/>
      </c>
      <c r="P465" s="254"/>
      <c r="Q465" s="254"/>
      <c r="R465" s="254"/>
      <c r="S465" s="254"/>
      <c r="T465" s="254"/>
      <c r="U465" s="254"/>
      <c r="V465" s="254"/>
      <c r="W465" s="254"/>
      <c r="Y465" s="246" t="str">
        <f t="shared" si="43"/>
        <v/>
      </c>
      <c r="Z465" s="247" t="str">
        <f t="shared" si="47"/>
        <v/>
      </c>
      <c r="AA465" s="246" t="str">
        <f t="shared" si="44"/>
        <v/>
      </c>
    </row>
    <row r="466" spans="1:27" ht="18" customHeight="1" x14ac:dyDescent="0.25">
      <c r="A466" s="248" t="str">
        <f t="shared" si="45"/>
        <v/>
      </c>
      <c r="B466" s="249" t="str">
        <f t="shared" si="46"/>
        <v/>
      </c>
      <c r="C466" s="250"/>
      <c r="D466" s="251"/>
      <c r="E466" s="241"/>
      <c r="F466" s="252"/>
      <c r="G466" s="252"/>
      <c r="H466" s="253"/>
      <c r="I466" s="250"/>
      <c r="J466" s="250"/>
      <c r="K466" s="270"/>
      <c r="L466" s="250"/>
      <c r="M466" s="250"/>
      <c r="N466" s="540" t="str">
        <f>CONCATENATE(IF(OR(M466=phu!$I$1,M466=phu!$I$2,M466=phu!$I$3),"Cam Thành Nam",""),IF(OR(M466=phu!$I$4,M466=phu!$I$5,M466=phu!$I$6,M466=phu!$I$7,M466=phu!$I$8,M466=phu!$I$9,M466=phu!$I$10,M466=phu!$I$11,M466=phu!$I$12,M466=phu!$I$13,M466=phu!$I$14),"Cam Nghĩa",""),IF(OR(M466=phu!$I$15,M466=phu!$I$16,M466=phu!$I$17,M466=phu!$I$18,M466=phu!$I$19,M466=phu!$I$20,M466=phu!$I$21),"Cam Phúc Bắc",""),IF(OR(M466=phu!$I$22,M466=phu!$I$23,M466=phu!$I$24,M466=phu!$I$25),"Cam Phúc Nam",""),IF(OR(M466=phu!$I$26,M466=phu!$I$27,M466=phu!$I$28,M466=phu!$I$29,M466=phu!$I$30,M466=phu!$I$31),"Cam Phú",""),IF(OR(M466=phu!$I$32,M466=phu!$I$33,M466=phu!$I$34,M466=phu!$I$35,M466=phu!$I$36,M466=phu!$I$37),"Cam Lộc",""),IF(OR(M466=phu!$I$38,M466=phu!$I$39,M466=phu!$I$40,M466=phu!$I$41,M466=phu!$I$42,M466=phu!$I$43,M466=phu!$I$44),"Cam Thuận",""),IF(OR(M466=phu!$I$45,M466=phu!$I$46,M466=phu!$I$47,M466=phu!$I$48,M466=phu!$I$49,M466=phu!$I$50,M466=phu!$I$51,M466=phu!$I$52,M466=phu!$I$53),"Cam Linh",""),IF(OR(M466=phu!$I$54,M466=phu!$I$55,M466=phu!$I$56,M466=phu!$I$57,M466=phu!$I$58,M466=phu!$I$59,M466=phu!$I$60,M466=phu!$I$61,M466=phu!$I$62),"Cam Lợi",""),IF(OR(M466=phu!$I$63,M466=phu!$I$64,M466=phu!$I$65,M466=phu!$I$66,M466=phu!$I$67,M466=phu!$I$68,M466=phu!$I$69,M466=phu!$I$70,M466=phu!$I$71),"Ba Ngòi",""),IF(OR(M466=phu!$I$72,M466=phu!$I$73,M466=phu!$I$74,M466=phu!$I$75,M466=phu!$I$76,M466=phu!$I$77,M466=phu!$I$78),"Cam Phước Đông",""),IF(OR(M466=phu!$I$79,M466=phu!$I$80,M466=phu!$I$81,M466=phu!$I$82,M466=phu!$I$83,M466=phu!$I$84),"Cam Thịnh Đông",""),IF(OR(M466=phu!$I$85,M466=phu!$I$86,M466=phu!$I$87,M466=phu!$I$88),"Cam Thịnh Tây",""),IF(OR(M466=phu!$I$89,M466=phu!$I$90),"Cam Lập",""),IF(OR(M466=phu!$I$91,M466=phu!$I$92,M466=phu!$I$93),"Cam Bình",""),IF(OR(M466=phu!$I$94,M466=phu!$I$95,M466=phu!$I$96,M466=phu!$I$97,M466=phu!$I$98,M466=phu!$I$99,M466=phu!$I$100),"Huyện khác",""),IF(OR(M466=phu!$I$101,M466=phu!$I$102),"Tỉnh khác",""))</f>
        <v/>
      </c>
      <c r="O466" s="829" t="str">
        <f t="shared" si="42"/>
        <v/>
      </c>
      <c r="P466" s="254"/>
      <c r="Q466" s="254"/>
      <c r="R466" s="254"/>
      <c r="S466" s="254"/>
      <c r="T466" s="254"/>
      <c r="U466" s="254"/>
      <c r="V466" s="254"/>
      <c r="W466" s="254"/>
      <c r="Y466" s="246" t="str">
        <f t="shared" si="43"/>
        <v/>
      </c>
      <c r="Z466" s="247" t="str">
        <f t="shared" si="47"/>
        <v/>
      </c>
      <c r="AA466" s="246" t="str">
        <f t="shared" si="44"/>
        <v/>
      </c>
    </row>
    <row r="467" spans="1:27" ht="18" customHeight="1" x14ac:dyDescent="0.25">
      <c r="A467" s="248" t="str">
        <f t="shared" si="45"/>
        <v/>
      </c>
      <c r="B467" s="249" t="str">
        <f t="shared" si="46"/>
        <v/>
      </c>
      <c r="C467" s="250"/>
      <c r="D467" s="251"/>
      <c r="E467" s="241"/>
      <c r="F467" s="252"/>
      <c r="G467" s="252"/>
      <c r="H467" s="253"/>
      <c r="I467" s="250"/>
      <c r="J467" s="250"/>
      <c r="K467" s="270"/>
      <c r="L467" s="250"/>
      <c r="M467" s="250"/>
      <c r="N467" s="540" t="str">
        <f>CONCATENATE(IF(OR(M467=phu!$I$1,M467=phu!$I$2,M467=phu!$I$3),"Cam Thành Nam",""),IF(OR(M467=phu!$I$4,M467=phu!$I$5,M467=phu!$I$6,M467=phu!$I$7,M467=phu!$I$8,M467=phu!$I$9,M467=phu!$I$10,M467=phu!$I$11,M467=phu!$I$12,M467=phu!$I$13,M467=phu!$I$14),"Cam Nghĩa",""),IF(OR(M467=phu!$I$15,M467=phu!$I$16,M467=phu!$I$17,M467=phu!$I$18,M467=phu!$I$19,M467=phu!$I$20,M467=phu!$I$21),"Cam Phúc Bắc",""),IF(OR(M467=phu!$I$22,M467=phu!$I$23,M467=phu!$I$24,M467=phu!$I$25),"Cam Phúc Nam",""),IF(OR(M467=phu!$I$26,M467=phu!$I$27,M467=phu!$I$28,M467=phu!$I$29,M467=phu!$I$30,M467=phu!$I$31),"Cam Phú",""),IF(OR(M467=phu!$I$32,M467=phu!$I$33,M467=phu!$I$34,M467=phu!$I$35,M467=phu!$I$36,M467=phu!$I$37),"Cam Lộc",""),IF(OR(M467=phu!$I$38,M467=phu!$I$39,M467=phu!$I$40,M467=phu!$I$41,M467=phu!$I$42,M467=phu!$I$43,M467=phu!$I$44),"Cam Thuận",""),IF(OR(M467=phu!$I$45,M467=phu!$I$46,M467=phu!$I$47,M467=phu!$I$48,M467=phu!$I$49,M467=phu!$I$50,M467=phu!$I$51,M467=phu!$I$52,M467=phu!$I$53),"Cam Linh",""),IF(OR(M467=phu!$I$54,M467=phu!$I$55,M467=phu!$I$56,M467=phu!$I$57,M467=phu!$I$58,M467=phu!$I$59,M467=phu!$I$60,M467=phu!$I$61,M467=phu!$I$62),"Cam Lợi",""),IF(OR(M467=phu!$I$63,M467=phu!$I$64,M467=phu!$I$65,M467=phu!$I$66,M467=phu!$I$67,M467=phu!$I$68,M467=phu!$I$69,M467=phu!$I$70,M467=phu!$I$71),"Ba Ngòi",""),IF(OR(M467=phu!$I$72,M467=phu!$I$73,M467=phu!$I$74,M467=phu!$I$75,M467=phu!$I$76,M467=phu!$I$77,M467=phu!$I$78),"Cam Phước Đông",""),IF(OR(M467=phu!$I$79,M467=phu!$I$80,M467=phu!$I$81,M467=phu!$I$82,M467=phu!$I$83,M467=phu!$I$84),"Cam Thịnh Đông",""),IF(OR(M467=phu!$I$85,M467=phu!$I$86,M467=phu!$I$87,M467=phu!$I$88),"Cam Thịnh Tây",""),IF(OR(M467=phu!$I$89,M467=phu!$I$90),"Cam Lập",""),IF(OR(M467=phu!$I$91,M467=phu!$I$92,M467=phu!$I$93),"Cam Bình",""),IF(OR(M467=phu!$I$94,M467=phu!$I$95,M467=phu!$I$96,M467=phu!$I$97,M467=phu!$I$98,M467=phu!$I$99,M467=phu!$I$100),"Huyện khác",""),IF(OR(M467=phu!$I$101,M467=phu!$I$102),"Tỉnh khác",""))</f>
        <v/>
      </c>
      <c r="O467" s="829" t="str">
        <f t="shared" si="42"/>
        <v/>
      </c>
      <c r="P467" s="254"/>
      <c r="Q467" s="254"/>
      <c r="R467" s="254"/>
      <c r="S467" s="254"/>
      <c r="T467" s="254"/>
      <c r="U467" s="254"/>
      <c r="V467" s="254"/>
      <c r="W467" s="254"/>
      <c r="Y467" s="246" t="str">
        <f t="shared" si="43"/>
        <v/>
      </c>
      <c r="Z467" s="247" t="str">
        <f t="shared" si="47"/>
        <v/>
      </c>
      <c r="AA467" s="246" t="str">
        <f t="shared" si="44"/>
        <v/>
      </c>
    </row>
    <row r="468" spans="1:27" ht="18" customHeight="1" x14ac:dyDescent="0.25">
      <c r="A468" s="248" t="str">
        <f t="shared" si="45"/>
        <v/>
      </c>
      <c r="B468" s="249" t="str">
        <f t="shared" si="46"/>
        <v/>
      </c>
      <c r="C468" s="250"/>
      <c r="D468" s="251"/>
      <c r="E468" s="241"/>
      <c r="F468" s="252"/>
      <c r="G468" s="252"/>
      <c r="H468" s="253"/>
      <c r="I468" s="250"/>
      <c r="J468" s="250"/>
      <c r="K468" s="270"/>
      <c r="L468" s="250"/>
      <c r="M468" s="250"/>
      <c r="N468" s="540" t="str">
        <f>CONCATENATE(IF(OR(M468=phu!$I$1,M468=phu!$I$2,M468=phu!$I$3),"Cam Thành Nam",""),IF(OR(M468=phu!$I$4,M468=phu!$I$5,M468=phu!$I$6,M468=phu!$I$7,M468=phu!$I$8,M468=phu!$I$9,M468=phu!$I$10,M468=phu!$I$11,M468=phu!$I$12,M468=phu!$I$13,M468=phu!$I$14),"Cam Nghĩa",""),IF(OR(M468=phu!$I$15,M468=phu!$I$16,M468=phu!$I$17,M468=phu!$I$18,M468=phu!$I$19,M468=phu!$I$20,M468=phu!$I$21),"Cam Phúc Bắc",""),IF(OR(M468=phu!$I$22,M468=phu!$I$23,M468=phu!$I$24,M468=phu!$I$25),"Cam Phúc Nam",""),IF(OR(M468=phu!$I$26,M468=phu!$I$27,M468=phu!$I$28,M468=phu!$I$29,M468=phu!$I$30,M468=phu!$I$31),"Cam Phú",""),IF(OR(M468=phu!$I$32,M468=phu!$I$33,M468=phu!$I$34,M468=phu!$I$35,M468=phu!$I$36,M468=phu!$I$37),"Cam Lộc",""),IF(OR(M468=phu!$I$38,M468=phu!$I$39,M468=phu!$I$40,M468=phu!$I$41,M468=phu!$I$42,M468=phu!$I$43,M468=phu!$I$44),"Cam Thuận",""),IF(OR(M468=phu!$I$45,M468=phu!$I$46,M468=phu!$I$47,M468=phu!$I$48,M468=phu!$I$49,M468=phu!$I$50,M468=phu!$I$51,M468=phu!$I$52,M468=phu!$I$53),"Cam Linh",""),IF(OR(M468=phu!$I$54,M468=phu!$I$55,M468=phu!$I$56,M468=phu!$I$57,M468=phu!$I$58,M468=phu!$I$59,M468=phu!$I$60,M468=phu!$I$61,M468=phu!$I$62),"Cam Lợi",""),IF(OR(M468=phu!$I$63,M468=phu!$I$64,M468=phu!$I$65,M468=phu!$I$66,M468=phu!$I$67,M468=phu!$I$68,M468=phu!$I$69,M468=phu!$I$70,M468=phu!$I$71),"Ba Ngòi",""),IF(OR(M468=phu!$I$72,M468=phu!$I$73,M468=phu!$I$74,M468=phu!$I$75,M468=phu!$I$76,M468=phu!$I$77,M468=phu!$I$78),"Cam Phước Đông",""),IF(OR(M468=phu!$I$79,M468=phu!$I$80,M468=phu!$I$81,M468=phu!$I$82,M468=phu!$I$83,M468=phu!$I$84),"Cam Thịnh Đông",""),IF(OR(M468=phu!$I$85,M468=phu!$I$86,M468=phu!$I$87,M468=phu!$I$88),"Cam Thịnh Tây",""),IF(OR(M468=phu!$I$89,M468=phu!$I$90),"Cam Lập",""),IF(OR(M468=phu!$I$91,M468=phu!$I$92,M468=phu!$I$93),"Cam Bình",""),IF(OR(M468=phu!$I$94,M468=phu!$I$95,M468=phu!$I$96,M468=phu!$I$97,M468=phu!$I$98,M468=phu!$I$99,M468=phu!$I$100),"Huyện khác",""),IF(OR(M468=phu!$I$101,M468=phu!$I$102),"Tỉnh khác",""))</f>
        <v/>
      </c>
      <c r="O468" s="829" t="str">
        <f t="shared" si="42"/>
        <v/>
      </c>
      <c r="P468" s="254"/>
      <c r="Q468" s="254"/>
      <c r="R468" s="254"/>
      <c r="S468" s="254"/>
      <c r="T468" s="254"/>
      <c r="U468" s="254"/>
      <c r="V468" s="254"/>
      <c r="W468" s="254"/>
      <c r="Y468" s="246" t="str">
        <f t="shared" si="43"/>
        <v/>
      </c>
      <c r="Z468" s="247" t="str">
        <f t="shared" si="47"/>
        <v/>
      </c>
      <c r="AA468" s="246" t="str">
        <f t="shared" si="44"/>
        <v/>
      </c>
    </row>
    <row r="469" spans="1:27" ht="18" customHeight="1" x14ac:dyDescent="0.25">
      <c r="A469" s="248" t="str">
        <f t="shared" si="45"/>
        <v/>
      </c>
      <c r="B469" s="249" t="str">
        <f t="shared" si="46"/>
        <v/>
      </c>
      <c r="C469" s="250"/>
      <c r="D469" s="251"/>
      <c r="E469" s="241"/>
      <c r="F469" s="252"/>
      <c r="G469" s="252"/>
      <c r="H469" s="253"/>
      <c r="I469" s="250"/>
      <c r="J469" s="250"/>
      <c r="K469" s="270"/>
      <c r="L469" s="250"/>
      <c r="M469" s="250"/>
      <c r="N469" s="540" t="str">
        <f>CONCATENATE(IF(OR(M469=phu!$I$1,M469=phu!$I$2,M469=phu!$I$3),"Cam Thành Nam",""),IF(OR(M469=phu!$I$4,M469=phu!$I$5,M469=phu!$I$6,M469=phu!$I$7,M469=phu!$I$8,M469=phu!$I$9,M469=phu!$I$10,M469=phu!$I$11,M469=phu!$I$12,M469=phu!$I$13,M469=phu!$I$14),"Cam Nghĩa",""),IF(OR(M469=phu!$I$15,M469=phu!$I$16,M469=phu!$I$17,M469=phu!$I$18,M469=phu!$I$19,M469=phu!$I$20,M469=phu!$I$21),"Cam Phúc Bắc",""),IF(OR(M469=phu!$I$22,M469=phu!$I$23,M469=phu!$I$24,M469=phu!$I$25),"Cam Phúc Nam",""),IF(OR(M469=phu!$I$26,M469=phu!$I$27,M469=phu!$I$28,M469=phu!$I$29,M469=phu!$I$30,M469=phu!$I$31),"Cam Phú",""),IF(OR(M469=phu!$I$32,M469=phu!$I$33,M469=phu!$I$34,M469=phu!$I$35,M469=phu!$I$36,M469=phu!$I$37),"Cam Lộc",""),IF(OR(M469=phu!$I$38,M469=phu!$I$39,M469=phu!$I$40,M469=phu!$I$41,M469=phu!$I$42,M469=phu!$I$43,M469=phu!$I$44),"Cam Thuận",""),IF(OR(M469=phu!$I$45,M469=phu!$I$46,M469=phu!$I$47,M469=phu!$I$48,M469=phu!$I$49,M469=phu!$I$50,M469=phu!$I$51,M469=phu!$I$52,M469=phu!$I$53),"Cam Linh",""),IF(OR(M469=phu!$I$54,M469=phu!$I$55,M469=phu!$I$56,M469=phu!$I$57,M469=phu!$I$58,M469=phu!$I$59,M469=phu!$I$60,M469=phu!$I$61,M469=phu!$I$62),"Cam Lợi",""),IF(OR(M469=phu!$I$63,M469=phu!$I$64,M469=phu!$I$65,M469=phu!$I$66,M469=phu!$I$67,M469=phu!$I$68,M469=phu!$I$69,M469=phu!$I$70,M469=phu!$I$71),"Ba Ngòi",""),IF(OR(M469=phu!$I$72,M469=phu!$I$73,M469=phu!$I$74,M469=phu!$I$75,M469=phu!$I$76,M469=phu!$I$77,M469=phu!$I$78),"Cam Phước Đông",""),IF(OR(M469=phu!$I$79,M469=phu!$I$80,M469=phu!$I$81,M469=phu!$I$82,M469=phu!$I$83,M469=phu!$I$84),"Cam Thịnh Đông",""),IF(OR(M469=phu!$I$85,M469=phu!$I$86,M469=phu!$I$87,M469=phu!$I$88),"Cam Thịnh Tây",""),IF(OR(M469=phu!$I$89,M469=phu!$I$90),"Cam Lập",""),IF(OR(M469=phu!$I$91,M469=phu!$I$92,M469=phu!$I$93),"Cam Bình",""),IF(OR(M469=phu!$I$94,M469=phu!$I$95,M469=phu!$I$96,M469=phu!$I$97,M469=phu!$I$98,M469=phu!$I$99,M469=phu!$I$100),"Huyện khác",""),IF(OR(M469=phu!$I$101,M469=phu!$I$102),"Tỉnh khác",""))</f>
        <v/>
      </c>
      <c r="O469" s="829" t="str">
        <f t="shared" si="42"/>
        <v/>
      </c>
      <c r="P469" s="254"/>
      <c r="Q469" s="254"/>
      <c r="R469" s="254"/>
      <c r="S469" s="254"/>
      <c r="T469" s="254"/>
      <c r="U469" s="254"/>
      <c r="V469" s="254"/>
      <c r="W469" s="254"/>
      <c r="Y469" s="246" t="str">
        <f t="shared" si="43"/>
        <v/>
      </c>
      <c r="Z469" s="247" t="str">
        <f t="shared" si="47"/>
        <v/>
      </c>
      <c r="AA469" s="246" t="str">
        <f t="shared" si="44"/>
        <v/>
      </c>
    </row>
    <row r="470" spans="1:27" ht="18" customHeight="1" x14ac:dyDescent="0.25">
      <c r="A470" s="248" t="str">
        <f t="shared" si="45"/>
        <v/>
      </c>
      <c r="B470" s="249" t="str">
        <f t="shared" si="46"/>
        <v/>
      </c>
      <c r="C470" s="250"/>
      <c r="D470" s="251"/>
      <c r="E470" s="241"/>
      <c r="F470" s="252"/>
      <c r="G470" s="252"/>
      <c r="H470" s="253"/>
      <c r="I470" s="250"/>
      <c r="J470" s="250"/>
      <c r="K470" s="270"/>
      <c r="L470" s="250"/>
      <c r="M470" s="250"/>
      <c r="N470" s="540" t="str">
        <f>CONCATENATE(IF(OR(M470=phu!$I$1,M470=phu!$I$2,M470=phu!$I$3),"Cam Thành Nam",""),IF(OR(M470=phu!$I$4,M470=phu!$I$5,M470=phu!$I$6,M470=phu!$I$7,M470=phu!$I$8,M470=phu!$I$9,M470=phu!$I$10,M470=phu!$I$11,M470=phu!$I$12,M470=phu!$I$13,M470=phu!$I$14),"Cam Nghĩa",""),IF(OR(M470=phu!$I$15,M470=phu!$I$16,M470=phu!$I$17,M470=phu!$I$18,M470=phu!$I$19,M470=phu!$I$20,M470=phu!$I$21),"Cam Phúc Bắc",""),IF(OR(M470=phu!$I$22,M470=phu!$I$23,M470=phu!$I$24,M470=phu!$I$25),"Cam Phúc Nam",""),IF(OR(M470=phu!$I$26,M470=phu!$I$27,M470=phu!$I$28,M470=phu!$I$29,M470=phu!$I$30,M470=phu!$I$31),"Cam Phú",""),IF(OR(M470=phu!$I$32,M470=phu!$I$33,M470=phu!$I$34,M470=phu!$I$35,M470=phu!$I$36,M470=phu!$I$37),"Cam Lộc",""),IF(OR(M470=phu!$I$38,M470=phu!$I$39,M470=phu!$I$40,M470=phu!$I$41,M470=phu!$I$42,M470=phu!$I$43,M470=phu!$I$44),"Cam Thuận",""),IF(OR(M470=phu!$I$45,M470=phu!$I$46,M470=phu!$I$47,M470=phu!$I$48,M470=phu!$I$49,M470=phu!$I$50,M470=phu!$I$51,M470=phu!$I$52,M470=phu!$I$53),"Cam Linh",""),IF(OR(M470=phu!$I$54,M470=phu!$I$55,M470=phu!$I$56,M470=phu!$I$57,M470=phu!$I$58,M470=phu!$I$59,M470=phu!$I$60,M470=phu!$I$61,M470=phu!$I$62),"Cam Lợi",""),IF(OR(M470=phu!$I$63,M470=phu!$I$64,M470=phu!$I$65,M470=phu!$I$66,M470=phu!$I$67,M470=phu!$I$68,M470=phu!$I$69,M470=phu!$I$70,M470=phu!$I$71),"Ba Ngòi",""),IF(OR(M470=phu!$I$72,M470=phu!$I$73,M470=phu!$I$74,M470=phu!$I$75,M470=phu!$I$76,M470=phu!$I$77,M470=phu!$I$78),"Cam Phước Đông",""),IF(OR(M470=phu!$I$79,M470=phu!$I$80,M470=phu!$I$81,M470=phu!$I$82,M470=phu!$I$83,M470=phu!$I$84),"Cam Thịnh Đông",""),IF(OR(M470=phu!$I$85,M470=phu!$I$86,M470=phu!$I$87,M470=phu!$I$88),"Cam Thịnh Tây",""),IF(OR(M470=phu!$I$89,M470=phu!$I$90),"Cam Lập",""),IF(OR(M470=phu!$I$91,M470=phu!$I$92,M470=phu!$I$93),"Cam Bình",""),IF(OR(M470=phu!$I$94,M470=phu!$I$95,M470=phu!$I$96,M470=phu!$I$97,M470=phu!$I$98,M470=phu!$I$99,M470=phu!$I$100),"Huyện khác",""),IF(OR(M470=phu!$I$101,M470=phu!$I$102),"Tỉnh khác",""))</f>
        <v/>
      </c>
      <c r="O470" s="829" t="str">
        <f t="shared" si="42"/>
        <v/>
      </c>
      <c r="P470" s="254"/>
      <c r="Q470" s="254"/>
      <c r="R470" s="254"/>
      <c r="S470" s="254"/>
      <c r="T470" s="254"/>
      <c r="U470" s="254"/>
      <c r="V470" s="254"/>
      <c r="W470" s="254"/>
      <c r="Y470" s="246" t="str">
        <f t="shared" si="43"/>
        <v/>
      </c>
      <c r="Z470" s="247" t="str">
        <f t="shared" si="47"/>
        <v/>
      </c>
      <c r="AA470" s="246" t="str">
        <f t="shared" si="44"/>
        <v/>
      </c>
    </row>
    <row r="471" spans="1:27" ht="18" customHeight="1" x14ac:dyDescent="0.25">
      <c r="A471" s="248" t="str">
        <f t="shared" si="45"/>
        <v/>
      </c>
      <c r="B471" s="249" t="str">
        <f t="shared" si="46"/>
        <v/>
      </c>
      <c r="C471" s="250"/>
      <c r="D471" s="251"/>
      <c r="E471" s="241"/>
      <c r="F471" s="252"/>
      <c r="G471" s="252"/>
      <c r="H471" s="253"/>
      <c r="I471" s="250"/>
      <c r="J471" s="250"/>
      <c r="K471" s="270"/>
      <c r="L471" s="250"/>
      <c r="M471" s="250"/>
      <c r="N471" s="540" t="str">
        <f>CONCATENATE(IF(OR(M471=phu!$I$1,M471=phu!$I$2,M471=phu!$I$3),"Cam Thành Nam",""),IF(OR(M471=phu!$I$4,M471=phu!$I$5,M471=phu!$I$6,M471=phu!$I$7,M471=phu!$I$8,M471=phu!$I$9,M471=phu!$I$10,M471=phu!$I$11,M471=phu!$I$12,M471=phu!$I$13,M471=phu!$I$14),"Cam Nghĩa",""),IF(OR(M471=phu!$I$15,M471=phu!$I$16,M471=phu!$I$17,M471=phu!$I$18,M471=phu!$I$19,M471=phu!$I$20,M471=phu!$I$21),"Cam Phúc Bắc",""),IF(OR(M471=phu!$I$22,M471=phu!$I$23,M471=phu!$I$24,M471=phu!$I$25),"Cam Phúc Nam",""),IF(OR(M471=phu!$I$26,M471=phu!$I$27,M471=phu!$I$28,M471=phu!$I$29,M471=phu!$I$30,M471=phu!$I$31),"Cam Phú",""),IF(OR(M471=phu!$I$32,M471=phu!$I$33,M471=phu!$I$34,M471=phu!$I$35,M471=phu!$I$36,M471=phu!$I$37),"Cam Lộc",""),IF(OR(M471=phu!$I$38,M471=phu!$I$39,M471=phu!$I$40,M471=phu!$I$41,M471=phu!$I$42,M471=phu!$I$43,M471=phu!$I$44),"Cam Thuận",""),IF(OR(M471=phu!$I$45,M471=phu!$I$46,M471=phu!$I$47,M471=phu!$I$48,M471=phu!$I$49,M471=phu!$I$50,M471=phu!$I$51,M471=phu!$I$52,M471=phu!$I$53),"Cam Linh",""),IF(OR(M471=phu!$I$54,M471=phu!$I$55,M471=phu!$I$56,M471=phu!$I$57,M471=phu!$I$58,M471=phu!$I$59,M471=phu!$I$60,M471=phu!$I$61,M471=phu!$I$62),"Cam Lợi",""),IF(OR(M471=phu!$I$63,M471=phu!$I$64,M471=phu!$I$65,M471=phu!$I$66,M471=phu!$I$67,M471=phu!$I$68,M471=phu!$I$69,M471=phu!$I$70,M471=phu!$I$71),"Ba Ngòi",""),IF(OR(M471=phu!$I$72,M471=phu!$I$73,M471=phu!$I$74,M471=phu!$I$75,M471=phu!$I$76,M471=phu!$I$77,M471=phu!$I$78),"Cam Phước Đông",""),IF(OR(M471=phu!$I$79,M471=phu!$I$80,M471=phu!$I$81,M471=phu!$I$82,M471=phu!$I$83,M471=phu!$I$84),"Cam Thịnh Đông",""),IF(OR(M471=phu!$I$85,M471=phu!$I$86,M471=phu!$I$87,M471=phu!$I$88),"Cam Thịnh Tây",""),IF(OR(M471=phu!$I$89,M471=phu!$I$90),"Cam Lập",""),IF(OR(M471=phu!$I$91,M471=phu!$I$92,M471=phu!$I$93),"Cam Bình",""),IF(OR(M471=phu!$I$94,M471=phu!$I$95,M471=phu!$I$96,M471=phu!$I$97,M471=phu!$I$98,M471=phu!$I$99,M471=phu!$I$100),"Huyện khác",""),IF(OR(M471=phu!$I$101,M471=phu!$I$102),"Tỉnh khác",""))</f>
        <v/>
      </c>
      <c r="O471" s="829" t="str">
        <f t="shared" si="42"/>
        <v/>
      </c>
      <c r="P471" s="254"/>
      <c r="Q471" s="254"/>
      <c r="R471" s="254"/>
      <c r="S471" s="254"/>
      <c r="T471" s="254"/>
      <c r="U471" s="254"/>
      <c r="V471" s="254"/>
      <c r="W471" s="254"/>
      <c r="Y471" s="246" t="str">
        <f t="shared" si="43"/>
        <v/>
      </c>
      <c r="Z471" s="247" t="str">
        <f t="shared" si="47"/>
        <v/>
      </c>
      <c r="AA471" s="246" t="str">
        <f t="shared" si="44"/>
        <v/>
      </c>
    </row>
    <row r="472" spans="1:27" ht="18" customHeight="1" x14ac:dyDescent="0.25">
      <c r="A472" s="248" t="str">
        <f t="shared" si="45"/>
        <v/>
      </c>
      <c r="B472" s="249" t="str">
        <f t="shared" si="46"/>
        <v/>
      </c>
      <c r="C472" s="250"/>
      <c r="D472" s="251"/>
      <c r="E472" s="241"/>
      <c r="F472" s="252"/>
      <c r="G472" s="252"/>
      <c r="H472" s="253"/>
      <c r="I472" s="250"/>
      <c r="J472" s="250"/>
      <c r="K472" s="270"/>
      <c r="L472" s="250"/>
      <c r="M472" s="250"/>
      <c r="N472" s="540" t="str">
        <f>CONCATENATE(IF(OR(M472=phu!$I$1,M472=phu!$I$2,M472=phu!$I$3),"Cam Thành Nam",""),IF(OR(M472=phu!$I$4,M472=phu!$I$5,M472=phu!$I$6,M472=phu!$I$7,M472=phu!$I$8,M472=phu!$I$9,M472=phu!$I$10,M472=phu!$I$11,M472=phu!$I$12,M472=phu!$I$13,M472=phu!$I$14),"Cam Nghĩa",""),IF(OR(M472=phu!$I$15,M472=phu!$I$16,M472=phu!$I$17,M472=phu!$I$18,M472=phu!$I$19,M472=phu!$I$20,M472=phu!$I$21),"Cam Phúc Bắc",""),IF(OR(M472=phu!$I$22,M472=phu!$I$23,M472=phu!$I$24,M472=phu!$I$25),"Cam Phúc Nam",""),IF(OR(M472=phu!$I$26,M472=phu!$I$27,M472=phu!$I$28,M472=phu!$I$29,M472=phu!$I$30,M472=phu!$I$31),"Cam Phú",""),IF(OR(M472=phu!$I$32,M472=phu!$I$33,M472=phu!$I$34,M472=phu!$I$35,M472=phu!$I$36,M472=phu!$I$37),"Cam Lộc",""),IF(OR(M472=phu!$I$38,M472=phu!$I$39,M472=phu!$I$40,M472=phu!$I$41,M472=phu!$I$42,M472=phu!$I$43,M472=phu!$I$44),"Cam Thuận",""),IF(OR(M472=phu!$I$45,M472=phu!$I$46,M472=phu!$I$47,M472=phu!$I$48,M472=phu!$I$49,M472=phu!$I$50,M472=phu!$I$51,M472=phu!$I$52,M472=phu!$I$53),"Cam Linh",""),IF(OR(M472=phu!$I$54,M472=phu!$I$55,M472=phu!$I$56,M472=phu!$I$57,M472=phu!$I$58,M472=phu!$I$59,M472=phu!$I$60,M472=phu!$I$61,M472=phu!$I$62),"Cam Lợi",""),IF(OR(M472=phu!$I$63,M472=phu!$I$64,M472=phu!$I$65,M472=phu!$I$66,M472=phu!$I$67,M472=phu!$I$68,M472=phu!$I$69,M472=phu!$I$70,M472=phu!$I$71),"Ba Ngòi",""),IF(OR(M472=phu!$I$72,M472=phu!$I$73,M472=phu!$I$74,M472=phu!$I$75,M472=phu!$I$76,M472=phu!$I$77,M472=phu!$I$78),"Cam Phước Đông",""),IF(OR(M472=phu!$I$79,M472=phu!$I$80,M472=phu!$I$81,M472=phu!$I$82,M472=phu!$I$83,M472=phu!$I$84),"Cam Thịnh Đông",""),IF(OR(M472=phu!$I$85,M472=phu!$I$86,M472=phu!$I$87,M472=phu!$I$88),"Cam Thịnh Tây",""),IF(OR(M472=phu!$I$89,M472=phu!$I$90),"Cam Lập",""),IF(OR(M472=phu!$I$91,M472=phu!$I$92,M472=phu!$I$93),"Cam Bình",""),IF(OR(M472=phu!$I$94,M472=phu!$I$95,M472=phu!$I$96,M472=phu!$I$97,M472=phu!$I$98,M472=phu!$I$99,M472=phu!$I$100),"Huyện khác",""),IF(OR(M472=phu!$I$101,M472=phu!$I$102),"Tỉnh khác",""))</f>
        <v/>
      </c>
      <c r="O472" s="829" t="str">
        <f t="shared" si="42"/>
        <v/>
      </c>
      <c r="P472" s="254"/>
      <c r="Q472" s="254"/>
      <c r="R472" s="254"/>
      <c r="S472" s="254"/>
      <c r="T472" s="254"/>
      <c r="U472" s="254"/>
      <c r="V472" s="254"/>
      <c r="W472" s="254"/>
      <c r="Y472" s="246" t="str">
        <f t="shared" si="43"/>
        <v/>
      </c>
      <c r="Z472" s="247" t="str">
        <f t="shared" si="47"/>
        <v/>
      </c>
      <c r="AA472" s="246" t="str">
        <f t="shared" si="44"/>
        <v/>
      </c>
    </row>
    <row r="473" spans="1:27" ht="18" customHeight="1" x14ac:dyDescent="0.25">
      <c r="A473" s="248" t="str">
        <f t="shared" si="45"/>
        <v/>
      </c>
      <c r="B473" s="249" t="str">
        <f t="shared" si="46"/>
        <v/>
      </c>
      <c r="C473" s="250"/>
      <c r="D473" s="251"/>
      <c r="E473" s="241"/>
      <c r="F473" s="252"/>
      <c r="G473" s="252"/>
      <c r="H473" s="253"/>
      <c r="I473" s="250"/>
      <c r="J473" s="250"/>
      <c r="K473" s="270"/>
      <c r="L473" s="250"/>
      <c r="M473" s="250"/>
      <c r="N473" s="540" t="str">
        <f>CONCATENATE(IF(OR(M473=phu!$I$1,M473=phu!$I$2,M473=phu!$I$3),"Cam Thành Nam",""),IF(OR(M473=phu!$I$4,M473=phu!$I$5,M473=phu!$I$6,M473=phu!$I$7,M473=phu!$I$8,M473=phu!$I$9,M473=phu!$I$10,M473=phu!$I$11,M473=phu!$I$12,M473=phu!$I$13,M473=phu!$I$14),"Cam Nghĩa",""),IF(OR(M473=phu!$I$15,M473=phu!$I$16,M473=phu!$I$17,M473=phu!$I$18,M473=phu!$I$19,M473=phu!$I$20,M473=phu!$I$21),"Cam Phúc Bắc",""),IF(OR(M473=phu!$I$22,M473=phu!$I$23,M473=phu!$I$24,M473=phu!$I$25),"Cam Phúc Nam",""),IF(OR(M473=phu!$I$26,M473=phu!$I$27,M473=phu!$I$28,M473=phu!$I$29,M473=phu!$I$30,M473=phu!$I$31),"Cam Phú",""),IF(OR(M473=phu!$I$32,M473=phu!$I$33,M473=phu!$I$34,M473=phu!$I$35,M473=phu!$I$36,M473=phu!$I$37),"Cam Lộc",""),IF(OR(M473=phu!$I$38,M473=phu!$I$39,M473=phu!$I$40,M473=phu!$I$41,M473=phu!$I$42,M473=phu!$I$43,M473=phu!$I$44),"Cam Thuận",""),IF(OR(M473=phu!$I$45,M473=phu!$I$46,M473=phu!$I$47,M473=phu!$I$48,M473=phu!$I$49,M473=phu!$I$50,M473=phu!$I$51,M473=phu!$I$52,M473=phu!$I$53),"Cam Linh",""),IF(OR(M473=phu!$I$54,M473=phu!$I$55,M473=phu!$I$56,M473=phu!$I$57,M473=phu!$I$58,M473=phu!$I$59,M473=phu!$I$60,M473=phu!$I$61,M473=phu!$I$62),"Cam Lợi",""),IF(OR(M473=phu!$I$63,M473=phu!$I$64,M473=phu!$I$65,M473=phu!$I$66,M473=phu!$I$67,M473=phu!$I$68,M473=phu!$I$69,M473=phu!$I$70,M473=phu!$I$71),"Ba Ngòi",""),IF(OR(M473=phu!$I$72,M473=phu!$I$73,M473=phu!$I$74,M473=phu!$I$75,M473=phu!$I$76,M473=phu!$I$77,M473=phu!$I$78),"Cam Phước Đông",""),IF(OR(M473=phu!$I$79,M473=phu!$I$80,M473=phu!$I$81,M473=phu!$I$82,M473=phu!$I$83,M473=phu!$I$84),"Cam Thịnh Đông",""),IF(OR(M473=phu!$I$85,M473=phu!$I$86,M473=phu!$I$87,M473=phu!$I$88),"Cam Thịnh Tây",""),IF(OR(M473=phu!$I$89,M473=phu!$I$90),"Cam Lập",""),IF(OR(M473=phu!$I$91,M473=phu!$I$92,M473=phu!$I$93),"Cam Bình",""),IF(OR(M473=phu!$I$94,M473=phu!$I$95,M473=phu!$I$96,M473=phu!$I$97,M473=phu!$I$98,M473=phu!$I$99,M473=phu!$I$100),"Huyện khác",""),IF(OR(M473=phu!$I$101,M473=phu!$I$102),"Tỉnh khác",""))</f>
        <v/>
      </c>
      <c r="O473" s="829" t="str">
        <f t="shared" si="42"/>
        <v/>
      </c>
      <c r="P473" s="254"/>
      <c r="Q473" s="254"/>
      <c r="R473" s="254"/>
      <c r="S473" s="254"/>
      <c r="T473" s="254"/>
      <c r="U473" s="254"/>
      <c r="V473" s="254"/>
      <c r="W473" s="254"/>
      <c r="Y473" s="246" t="str">
        <f t="shared" si="43"/>
        <v/>
      </c>
      <c r="Z473" s="247" t="str">
        <f t="shared" si="47"/>
        <v/>
      </c>
      <c r="AA473" s="246" t="str">
        <f t="shared" si="44"/>
        <v/>
      </c>
    </row>
    <row r="474" spans="1:27" ht="18" customHeight="1" x14ac:dyDescent="0.25">
      <c r="A474" s="248" t="str">
        <f t="shared" si="45"/>
        <v/>
      </c>
      <c r="B474" s="249" t="str">
        <f t="shared" si="46"/>
        <v/>
      </c>
      <c r="C474" s="250"/>
      <c r="D474" s="251"/>
      <c r="E474" s="241"/>
      <c r="F474" s="252"/>
      <c r="G474" s="252"/>
      <c r="H474" s="253"/>
      <c r="I474" s="250"/>
      <c r="J474" s="250"/>
      <c r="K474" s="270"/>
      <c r="L474" s="250"/>
      <c r="M474" s="250"/>
      <c r="N474" s="540" t="str">
        <f>CONCATENATE(IF(OR(M474=phu!$I$1,M474=phu!$I$2,M474=phu!$I$3),"Cam Thành Nam",""),IF(OR(M474=phu!$I$4,M474=phu!$I$5,M474=phu!$I$6,M474=phu!$I$7,M474=phu!$I$8,M474=phu!$I$9,M474=phu!$I$10,M474=phu!$I$11,M474=phu!$I$12,M474=phu!$I$13,M474=phu!$I$14),"Cam Nghĩa",""),IF(OR(M474=phu!$I$15,M474=phu!$I$16,M474=phu!$I$17,M474=phu!$I$18,M474=phu!$I$19,M474=phu!$I$20,M474=phu!$I$21),"Cam Phúc Bắc",""),IF(OR(M474=phu!$I$22,M474=phu!$I$23,M474=phu!$I$24,M474=phu!$I$25),"Cam Phúc Nam",""),IF(OR(M474=phu!$I$26,M474=phu!$I$27,M474=phu!$I$28,M474=phu!$I$29,M474=phu!$I$30,M474=phu!$I$31),"Cam Phú",""),IF(OR(M474=phu!$I$32,M474=phu!$I$33,M474=phu!$I$34,M474=phu!$I$35,M474=phu!$I$36,M474=phu!$I$37),"Cam Lộc",""),IF(OR(M474=phu!$I$38,M474=phu!$I$39,M474=phu!$I$40,M474=phu!$I$41,M474=phu!$I$42,M474=phu!$I$43,M474=phu!$I$44),"Cam Thuận",""),IF(OR(M474=phu!$I$45,M474=phu!$I$46,M474=phu!$I$47,M474=phu!$I$48,M474=phu!$I$49,M474=phu!$I$50,M474=phu!$I$51,M474=phu!$I$52,M474=phu!$I$53),"Cam Linh",""),IF(OR(M474=phu!$I$54,M474=phu!$I$55,M474=phu!$I$56,M474=phu!$I$57,M474=phu!$I$58,M474=phu!$I$59,M474=phu!$I$60,M474=phu!$I$61,M474=phu!$I$62),"Cam Lợi",""),IF(OR(M474=phu!$I$63,M474=phu!$I$64,M474=phu!$I$65,M474=phu!$I$66,M474=phu!$I$67,M474=phu!$I$68,M474=phu!$I$69,M474=phu!$I$70,M474=phu!$I$71),"Ba Ngòi",""),IF(OR(M474=phu!$I$72,M474=phu!$I$73,M474=phu!$I$74,M474=phu!$I$75,M474=phu!$I$76,M474=phu!$I$77,M474=phu!$I$78),"Cam Phước Đông",""),IF(OR(M474=phu!$I$79,M474=phu!$I$80,M474=phu!$I$81,M474=phu!$I$82,M474=phu!$I$83,M474=phu!$I$84),"Cam Thịnh Đông",""),IF(OR(M474=phu!$I$85,M474=phu!$I$86,M474=phu!$I$87,M474=phu!$I$88),"Cam Thịnh Tây",""),IF(OR(M474=phu!$I$89,M474=phu!$I$90),"Cam Lập",""),IF(OR(M474=phu!$I$91,M474=phu!$I$92,M474=phu!$I$93),"Cam Bình",""),IF(OR(M474=phu!$I$94,M474=phu!$I$95,M474=phu!$I$96,M474=phu!$I$97,M474=phu!$I$98,M474=phu!$I$99,M474=phu!$I$100),"Huyện khác",""),IF(OR(M474=phu!$I$101,M474=phu!$I$102),"Tỉnh khác",""))</f>
        <v/>
      </c>
      <c r="O474" s="829" t="str">
        <f t="shared" si="42"/>
        <v/>
      </c>
      <c r="P474" s="254"/>
      <c r="Q474" s="254"/>
      <c r="R474" s="254"/>
      <c r="S474" s="254"/>
      <c r="T474" s="254"/>
      <c r="U474" s="254"/>
      <c r="V474" s="254"/>
      <c r="W474" s="254"/>
      <c r="Y474" s="246" t="str">
        <f t="shared" si="43"/>
        <v/>
      </c>
      <c r="Z474" s="247" t="str">
        <f t="shared" si="47"/>
        <v/>
      </c>
      <c r="AA474" s="246" t="str">
        <f t="shared" si="44"/>
        <v/>
      </c>
    </row>
    <row r="475" spans="1:27" ht="18" customHeight="1" x14ac:dyDescent="0.25">
      <c r="A475" s="248" t="str">
        <f t="shared" si="45"/>
        <v/>
      </c>
      <c r="B475" s="249" t="str">
        <f t="shared" si="46"/>
        <v/>
      </c>
      <c r="C475" s="250"/>
      <c r="D475" s="251"/>
      <c r="E475" s="241"/>
      <c r="F475" s="252"/>
      <c r="G475" s="252"/>
      <c r="H475" s="253"/>
      <c r="I475" s="250"/>
      <c r="J475" s="250"/>
      <c r="K475" s="270"/>
      <c r="L475" s="250"/>
      <c r="M475" s="250"/>
      <c r="N475" s="540" t="str">
        <f>CONCATENATE(IF(OR(M475=phu!$I$1,M475=phu!$I$2,M475=phu!$I$3),"Cam Thành Nam",""),IF(OR(M475=phu!$I$4,M475=phu!$I$5,M475=phu!$I$6,M475=phu!$I$7,M475=phu!$I$8,M475=phu!$I$9,M475=phu!$I$10,M475=phu!$I$11,M475=phu!$I$12,M475=phu!$I$13,M475=phu!$I$14),"Cam Nghĩa",""),IF(OR(M475=phu!$I$15,M475=phu!$I$16,M475=phu!$I$17,M475=phu!$I$18,M475=phu!$I$19,M475=phu!$I$20,M475=phu!$I$21),"Cam Phúc Bắc",""),IF(OR(M475=phu!$I$22,M475=phu!$I$23,M475=phu!$I$24,M475=phu!$I$25),"Cam Phúc Nam",""),IF(OR(M475=phu!$I$26,M475=phu!$I$27,M475=phu!$I$28,M475=phu!$I$29,M475=phu!$I$30,M475=phu!$I$31),"Cam Phú",""),IF(OR(M475=phu!$I$32,M475=phu!$I$33,M475=phu!$I$34,M475=phu!$I$35,M475=phu!$I$36,M475=phu!$I$37),"Cam Lộc",""),IF(OR(M475=phu!$I$38,M475=phu!$I$39,M475=phu!$I$40,M475=phu!$I$41,M475=phu!$I$42,M475=phu!$I$43,M475=phu!$I$44),"Cam Thuận",""),IF(OR(M475=phu!$I$45,M475=phu!$I$46,M475=phu!$I$47,M475=phu!$I$48,M475=phu!$I$49,M475=phu!$I$50,M475=phu!$I$51,M475=phu!$I$52,M475=phu!$I$53),"Cam Linh",""),IF(OR(M475=phu!$I$54,M475=phu!$I$55,M475=phu!$I$56,M475=phu!$I$57,M475=phu!$I$58,M475=phu!$I$59,M475=phu!$I$60,M475=phu!$I$61,M475=phu!$I$62),"Cam Lợi",""),IF(OR(M475=phu!$I$63,M475=phu!$I$64,M475=phu!$I$65,M475=phu!$I$66,M475=phu!$I$67,M475=phu!$I$68,M475=phu!$I$69,M475=phu!$I$70,M475=phu!$I$71),"Ba Ngòi",""),IF(OR(M475=phu!$I$72,M475=phu!$I$73,M475=phu!$I$74,M475=phu!$I$75,M475=phu!$I$76,M475=phu!$I$77,M475=phu!$I$78),"Cam Phước Đông",""),IF(OR(M475=phu!$I$79,M475=phu!$I$80,M475=phu!$I$81,M475=phu!$I$82,M475=phu!$I$83,M475=phu!$I$84),"Cam Thịnh Đông",""),IF(OR(M475=phu!$I$85,M475=phu!$I$86,M475=phu!$I$87,M475=phu!$I$88),"Cam Thịnh Tây",""),IF(OR(M475=phu!$I$89,M475=phu!$I$90),"Cam Lập",""),IF(OR(M475=phu!$I$91,M475=phu!$I$92,M475=phu!$I$93),"Cam Bình",""),IF(OR(M475=phu!$I$94,M475=phu!$I$95,M475=phu!$I$96,M475=phu!$I$97,M475=phu!$I$98,M475=phu!$I$99,M475=phu!$I$100),"Huyện khác",""),IF(OR(M475=phu!$I$101,M475=phu!$I$102),"Tỉnh khác",""))</f>
        <v/>
      </c>
      <c r="O475" s="829" t="str">
        <f t="shared" si="42"/>
        <v/>
      </c>
      <c r="P475" s="254"/>
      <c r="Q475" s="254"/>
      <c r="R475" s="254"/>
      <c r="S475" s="254"/>
      <c r="T475" s="254"/>
      <c r="U475" s="254"/>
      <c r="V475" s="254"/>
      <c r="W475" s="254"/>
      <c r="Y475" s="246" t="str">
        <f t="shared" si="43"/>
        <v/>
      </c>
      <c r="Z475" s="247" t="str">
        <f t="shared" si="47"/>
        <v/>
      </c>
      <c r="AA475" s="246" t="str">
        <f t="shared" si="44"/>
        <v/>
      </c>
    </row>
    <row r="476" spans="1:27" ht="18" customHeight="1" x14ac:dyDescent="0.25">
      <c r="A476" s="248" t="str">
        <f t="shared" si="45"/>
        <v/>
      </c>
      <c r="B476" s="249" t="str">
        <f t="shared" si="46"/>
        <v/>
      </c>
      <c r="C476" s="250"/>
      <c r="D476" s="251"/>
      <c r="E476" s="241"/>
      <c r="F476" s="252"/>
      <c r="G476" s="252"/>
      <c r="H476" s="253"/>
      <c r="I476" s="250"/>
      <c r="J476" s="250"/>
      <c r="K476" s="270"/>
      <c r="L476" s="250"/>
      <c r="M476" s="250"/>
      <c r="N476" s="540" t="str">
        <f>CONCATENATE(IF(OR(M476=phu!$I$1,M476=phu!$I$2,M476=phu!$I$3),"Cam Thành Nam",""),IF(OR(M476=phu!$I$4,M476=phu!$I$5,M476=phu!$I$6,M476=phu!$I$7,M476=phu!$I$8,M476=phu!$I$9,M476=phu!$I$10,M476=phu!$I$11,M476=phu!$I$12,M476=phu!$I$13,M476=phu!$I$14),"Cam Nghĩa",""),IF(OR(M476=phu!$I$15,M476=phu!$I$16,M476=phu!$I$17,M476=phu!$I$18,M476=phu!$I$19,M476=phu!$I$20,M476=phu!$I$21),"Cam Phúc Bắc",""),IF(OR(M476=phu!$I$22,M476=phu!$I$23,M476=phu!$I$24,M476=phu!$I$25),"Cam Phúc Nam",""),IF(OR(M476=phu!$I$26,M476=phu!$I$27,M476=phu!$I$28,M476=phu!$I$29,M476=phu!$I$30,M476=phu!$I$31),"Cam Phú",""),IF(OR(M476=phu!$I$32,M476=phu!$I$33,M476=phu!$I$34,M476=phu!$I$35,M476=phu!$I$36,M476=phu!$I$37),"Cam Lộc",""),IF(OR(M476=phu!$I$38,M476=phu!$I$39,M476=phu!$I$40,M476=phu!$I$41,M476=phu!$I$42,M476=phu!$I$43,M476=phu!$I$44),"Cam Thuận",""),IF(OR(M476=phu!$I$45,M476=phu!$I$46,M476=phu!$I$47,M476=phu!$I$48,M476=phu!$I$49,M476=phu!$I$50,M476=phu!$I$51,M476=phu!$I$52,M476=phu!$I$53),"Cam Linh",""),IF(OR(M476=phu!$I$54,M476=phu!$I$55,M476=phu!$I$56,M476=phu!$I$57,M476=phu!$I$58,M476=phu!$I$59,M476=phu!$I$60,M476=phu!$I$61,M476=phu!$I$62),"Cam Lợi",""),IF(OR(M476=phu!$I$63,M476=phu!$I$64,M476=phu!$I$65,M476=phu!$I$66,M476=phu!$I$67,M476=phu!$I$68,M476=phu!$I$69,M476=phu!$I$70,M476=phu!$I$71),"Ba Ngòi",""),IF(OR(M476=phu!$I$72,M476=phu!$I$73,M476=phu!$I$74,M476=phu!$I$75,M476=phu!$I$76,M476=phu!$I$77,M476=phu!$I$78),"Cam Phước Đông",""),IF(OR(M476=phu!$I$79,M476=phu!$I$80,M476=phu!$I$81,M476=phu!$I$82,M476=phu!$I$83,M476=phu!$I$84),"Cam Thịnh Đông",""),IF(OR(M476=phu!$I$85,M476=phu!$I$86,M476=phu!$I$87,M476=phu!$I$88),"Cam Thịnh Tây",""),IF(OR(M476=phu!$I$89,M476=phu!$I$90),"Cam Lập",""),IF(OR(M476=phu!$I$91,M476=phu!$I$92,M476=phu!$I$93),"Cam Bình",""),IF(OR(M476=phu!$I$94,M476=phu!$I$95,M476=phu!$I$96,M476=phu!$I$97,M476=phu!$I$98,M476=phu!$I$99,M476=phu!$I$100),"Huyện khác",""),IF(OR(M476=phu!$I$101,M476=phu!$I$102),"Tỉnh khác",""))</f>
        <v/>
      </c>
      <c r="O476" s="829" t="str">
        <f t="shared" si="42"/>
        <v/>
      </c>
      <c r="P476" s="254"/>
      <c r="Q476" s="254"/>
      <c r="R476" s="254"/>
      <c r="S476" s="254"/>
      <c r="T476" s="254"/>
      <c r="U476" s="254"/>
      <c r="V476" s="254"/>
      <c r="W476" s="254"/>
      <c r="Y476" s="246" t="str">
        <f t="shared" si="43"/>
        <v/>
      </c>
      <c r="Z476" s="247" t="str">
        <f t="shared" si="47"/>
        <v/>
      </c>
      <c r="AA476" s="246" t="str">
        <f t="shared" si="44"/>
        <v/>
      </c>
    </row>
    <row r="477" spans="1:27" ht="18" customHeight="1" x14ac:dyDescent="0.25">
      <c r="A477" s="248" t="str">
        <f t="shared" si="45"/>
        <v/>
      </c>
      <c r="B477" s="249" t="str">
        <f t="shared" si="46"/>
        <v/>
      </c>
      <c r="C477" s="250"/>
      <c r="D477" s="251"/>
      <c r="E477" s="241"/>
      <c r="F477" s="252"/>
      <c r="G477" s="252"/>
      <c r="H477" s="253"/>
      <c r="I477" s="250"/>
      <c r="J477" s="250"/>
      <c r="K477" s="270"/>
      <c r="L477" s="250"/>
      <c r="M477" s="250"/>
      <c r="N477" s="540" t="str">
        <f>CONCATENATE(IF(OR(M477=phu!$I$1,M477=phu!$I$2,M477=phu!$I$3),"Cam Thành Nam",""),IF(OR(M477=phu!$I$4,M477=phu!$I$5,M477=phu!$I$6,M477=phu!$I$7,M477=phu!$I$8,M477=phu!$I$9,M477=phu!$I$10,M477=phu!$I$11,M477=phu!$I$12,M477=phu!$I$13,M477=phu!$I$14),"Cam Nghĩa",""),IF(OR(M477=phu!$I$15,M477=phu!$I$16,M477=phu!$I$17,M477=phu!$I$18,M477=phu!$I$19,M477=phu!$I$20,M477=phu!$I$21),"Cam Phúc Bắc",""),IF(OR(M477=phu!$I$22,M477=phu!$I$23,M477=phu!$I$24,M477=phu!$I$25),"Cam Phúc Nam",""),IF(OR(M477=phu!$I$26,M477=phu!$I$27,M477=phu!$I$28,M477=phu!$I$29,M477=phu!$I$30,M477=phu!$I$31),"Cam Phú",""),IF(OR(M477=phu!$I$32,M477=phu!$I$33,M477=phu!$I$34,M477=phu!$I$35,M477=phu!$I$36,M477=phu!$I$37),"Cam Lộc",""),IF(OR(M477=phu!$I$38,M477=phu!$I$39,M477=phu!$I$40,M477=phu!$I$41,M477=phu!$I$42,M477=phu!$I$43,M477=phu!$I$44),"Cam Thuận",""),IF(OR(M477=phu!$I$45,M477=phu!$I$46,M477=phu!$I$47,M477=phu!$I$48,M477=phu!$I$49,M477=phu!$I$50,M477=phu!$I$51,M477=phu!$I$52,M477=phu!$I$53),"Cam Linh",""),IF(OR(M477=phu!$I$54,M477=phu!$I$55,M477=phu!$I$56,M477=phu!$I$57,M477=phu!$I$58,M477=phu!$I$59,M477=phu!$I$60,M477=phu!$I$61,M477=phu!$I$62),"Cam Lợi",""),IF(OR(M477=phu!$I$63,M477=phu!$I$64,M477=phu!$I$65,M477=phu!$I$66,M477=phu!$I$67,M477=phu!$I$68,M477=phu!$I$69,M477=phu!$I$70,M477=phu!$I$71),"Ba Ngòi",""),IF(OR(M477=phu!$I$72,M477=phu!$I$73,M477=phu!$I$74,M477=phu!$I$75,M477=phu!$I$76,M477=phu!$I$77,M477=phu!$I$78),"Cam Phước Đông",""),IF(OR(M477=phu!$I$79,M477=phu!$I$80,M477=phu!$I$81,M477=phu!$I$82,M477=phu!$I$83,M477=phu!$I$84),"Cam Thịnh Đông",""),IF(OR(M477=phu!$I$85,M477=phu!$I$86,M477=phu!$I$87,M477=phu!$I$88),"Cam Thịnh Tây",""),IF(OR(M477=phu!$I$89,M477=phu!$I$90),"Cam Lập",""),IF(OR(M477=phu!$I$91,M477=phu!$I$92,M477=phu!$I$93),"Cam Bình",""),IF(OR(M477=phu!$I$94,M477=phu!$I$95,M477=phu!$I$96,M477=phu!$I$97,M477=phu!$I$98,M477=phu!$I$99,M477=phu!$I$100),"Huyện khác",""),IF(OR(M477=phu!$I$101,M477=phu!$I$102),"Tỉnh khác",""))</f>
        <v/>
      </c>
      <c r="O477" s="829" t="str">
        <f t="shared" si="42"/>
        <v/>
      </c>
      <c r="P477" s="254"/>
      <c r="Q477" s="254"/>
      <c r="R477" s="254"/>
      <c r="S477" s="254"/>
      <c r="T477" s="254"/>
      <c r="U477" s="254"/>
      <c r="V477" s="254"/>
      <c r="W477" s="254"/>
      <c r="Y477" s="246" t="str">
        <f t="shared" si="43"/>
        <v/>
      </c>
      <c r="Z477" s="247" t="str">
        <f t="shared" si="47"/>
        <v/>
      </c>
      <c r="AA477" s="246" t="str">
        <f t="shared" si="44"/>
        <v/>
      </c>
    </row>
    <row r="478" spans="1:27" ht="18" customHeight="1" x14ac:dyDescent="0.25">
      <c r="A478" s="248" t="str">
        <f t="shared" si="45"/>
        <v/>
      </c>
      <c r="B478" s="249" t="str">
        <f t="shared" si="46"/>
        <v/>
      </c>
      <c r="C478" s="250"/>
      <c r="D478" s="251"/>
      <c r="E478" s="241"/>
      <c r="F478" s="252"/>
      <c r="G478" s="252"/>
      <c r="H478" s="253"/>
      <c r="I478" s="250"/>
      <c r="J478" s="250"/>
      <c r="K478" s="270"/>
      <c r="L478" s="250"/>
      <c r="M478" s="250"/>
      <c r="N478" s="540" t="str">
        <f>CONCATENATE(IF(OR(M478=phu!$I$1,M478=phu!$I$2,M478=phu!$I$3),"Cam Thành Nam",""),IF(OR(M478=phu!$I$4,M478=phu!$I$5,M478=phu!$I$6,M478=phu!$I$7,M478=phu!$I$8,M478=phu!$I$9,M478=phu!$I$10,M478=phu!$I$11,M478=phu!$I$12,M478=phu!$I$13,M478=phu!$I$14),"Cam Nghĩa",""),IF(OR(M478=phu!$I$15,M478=phu!$I$16,M478=phu!$I$17,M478=phu!$I$18,M478=phu!$I$19,M478=phu!$I$20,M478=phu!$I$21),"Cam Phúc Bắc",""),IF(OR(M478=phu!$I$22,M478=phu!$I$23,M478=phu!$I$24,M478=phu!$I$25),"Cam Phúc Nam",""),IF(OR(M478=phu!$I$26,M478=phu!$I$27,M478=phu!$I$28,M478=phu!$I$29,M478=phu!$I$30,M478=phu!$I$31),"Cam Phú",""),IF(OR(M478=phu!$I$32,M478=phu!$I$33,M478=phu!$I$34,M478=phu!$I$35,M478=phu!$I$36,M478=phu!$I$37),"Cam Lộc",""),IF(OR(M478=phu!$I$38,M478=phu!$I$39,M478=phu!$I$40,M478=phu!$I$41,M478=phu!$I$42,M478=phu!$I$43,M478=phu!$I$44),"Cam Thuận",""),IF(OR(M478=phu!$I$45,M478=phu!$I$46,M478=phu!$I$47,M478=phu!$I$48,M478=phu!$I$49,M478=phu!$I$50,M478=phu!$I$51,M478=phu!$I$52,M478=phu!$I$53),"Cam Linh",""),IF(OR(M478=phu!$I$54,M478=phu!$I$55,M478=phu!$I$56,M478=phu!$I$57,M478=phu!$I$58,M478=phu!$I$59,M478=phu!$I$60,M478=phu!$I$61,M478=phu!$I$62),"Cam Lợi",""),IF(OR(M478=phu!$I$63,M478=phu!$I$64,M478=phu!$I$65,M478=phu!$I$66,M478=phu!$I$67,M478=phu!$I$68,M478=phu!$I$69,M478=phu!$I$70,M478=phu!$I$71),"Ba Ngòi",""),IF(OR(M478=phu!$I$72,M478=phu!$I$73,M478=phu!$I$74,M478=phu!$I$75,M478=phu!$I$76,M478=phu!$I$77,M478=phu!$I$78),"Cam Phước Đông",""),IF(OR(M478=phu!$I$79,M478=phu!$I$80,M478=phu!$I$81,M478=phu!$I$82,M478=phu!$I$83,M478=phu!$I$84),"Cam Thịnh Đông",""),IF(OR(M478=phu!$I$85,M478=phu!$I$86,M478=phu!$I$87,M478=phu!$I$88),"Cam Thịnh Tây",""),IF(OR(M478=phu!$I$89,M478=phu!$I$90),"Cam Lập",""),IF(OR(M478=phu!$I$91,M478=phu!$I$92,M478=phu!$I$93),"Cam Bình",""),IF(OR(M478=phu!$I$94,M478=phu!$I$95,M478=phu!$I$96,M478=phu!$I$97,M478=phu!$I$98,M478=phu!$I$99,M478=phu!$I$100),"Huyện khác",""),IF(OR(M478=phu!$I$101,M478=phu!$I$102),"Tỉnh khác",""))</f>
        <v/>
      </c>
      <c r="O478" s="829" t="str">
        <f t="shared" si="42"/>
        <v/>
      </c>
      <c r="P478" s="254"/>
      <c r="Q478" s="254"/>
      <c r="R478" s="254"/>
      <c r="S478" s="254"/>
      <c r="T478" s="254"/>
      <c r="U478" s="254"/>
      <c r="V478" s="254"/>
      <c r="W478" s="254"/>
      <c r="Y478" s="246" t="str">
        <f t="shared" si="43"/>
        <v/>
      </c>
      <c r="Z478" s="247" t="str">
        <f t="shared" si="47"/>
        <v/>
      </c>
      <c r="AA478" s="246" t="str">
        <f t="shared" si="44"/>
        <v/>
      </c>
    </row>
    <row r="479" spans="1:27" ht="18" customHeight="1" x14ac:dyDescent="0.25">
      <c r="A479" s="248" t="str">
        <f t="shared" si="45"/>
        <v/>
      </c>
      <c r="B479" s="249" t="str">
        <f t="shared" si="46"/>
        <v/>
      </c>
      <c r="C479" s="250"/>
      <c r="D479" s="251"/>
      <c r="E479" s="241"/>
      <c r="F479" s="252"/>
      <c r="G479" s="252"/>
      <c r="H479" s="253"/>
      <c r="I479" s="250"/>
      <c r="J479" s="250"/>
      <c r="K479" s="270"/>
      <c r="L479" s="250"/>
      <c r="M479" s="250"/>
      <c r="N479" s="540" t="str">
        <f>CONCATENATE(IF(OR(M479=phu!$I$1,M479=phu!$I$2,M479=phu!$I$3),"Cam Thành Nam",""),IF(OR(M479=phu!$I$4,M479=phu!$I$5,M479=phu!$I$6,M479=phu!$I$7,M479=phu!$I$8,M479=phu!$I$9,M479=phu!$I$10,M479=phu!$I$11,M479=phu!$I$12,M479=phu!$I$13,M479=phu!$I$14),"Cam Nghĩa",""),IF(OR(M479=phu!$I$15,M479=phu!$I$16,M479=phu!$I$17,M479=phu!$I$18,M479=phu!$I$19,M479=phu!$I$20,M479=phu!$I$21),"Cam Phúc Bắc",""),IF(OR(M479=phu!$I$22,M479=phu!$I$23,M479=phu!$I$24,M479=phu!$I$25),"Cam Phúc Nam",""),IF(OR(M479=phu!$I$26,M479=phu!$I$27,M479=phu!$I$28,M479=phu!$I$29,M479=phu!$I$30,M479=phu!$I$31),"Cam Phú",""),IF(OR(M479=phu!$I$32,M479=phu!$I$33,M479=phu!$I$34,M479=phu!$I$35,M479=phu!$I$36,M479=phu!$I$37),"Cam Lộc",""),IF(OR(M479=phu!$I$38,M479=phu!$I$39,M479=phu!$I$40,M479=phu!$I$41,M479=phu!$I$42,M479=phu!$I$43,M479=phu!$I$44),"Cam Thuận",""),IF(OR(M479=phu!$I$45,M479=phu!$I$46,M479=phu!$I$47,M479=phu!$I$48,M479=phu!$I$49,M479=phu!$I$50,M479=phu!$I$51,M479=phu!$I$52,M479=phu!$I$53),"Cam Linh",""),IF(OR(M479=phu!$I$54,M479=phu!$I$55,M479=phu!$I$56,M479=phu!$I$57,M479=phu!$I$58,M479=phu!$I$59,M479=phu!$I$60,M479=phu!$I$61,M479=phu!$I$62),"Cam Lợi",""),IF(OR(M479=phu!$I$63,M479=phu!$I$64,M479=phu!$I$65,M479=phu!$I$66,M479=phu!$I$67,M479=phu!$I$68,M479=phu!$I$69,M479=phu!$I$70,M479=phu!$I$71),"Ba Ngòi",""),IF(OR(M479=phu!$I$72,M479=phu!$I$73,M479=phu!$I$74,M479=phu!$I$75,M479=phu!$I$76,M479=phu!$I$77,M479=phu!$I$78),"Cam Phước Đông",""),IF(OR(M479=phu!$I$79,M479=phu!$I$80,M479=phu!$I$81,M479=phu!$I$82,M479=phu!$I$83,M479=phu!$I$84),"Cam Thịnh Đông",""),IF(OR(M479=phu!$I$85,M479=phu!$I$86,M479=phu!$I$87,M479=phu!$I$88),"Cam Thịnh Tây",""),IF(OR(M479=phu!$I$89,M479=phu!$I$90),"Cam Lập",""),IF(OR(M479=phu!$I$91,M479=phu!$I$92,M479=phu!$I$93),"Cam Bình",""),IF(OR(M479=phu!$I$94,M479=phu!$I$95,M479=phu!$I$96,M479=phu!$I$97,M479=phu!$I$98,M479=phu!$I$99,M479=phu!$I$100),"Huyện khác",""),IF(OR(M479=phu!$I$101,M479=phu!$I$102),"Tỉnh khác",""))</f>
        <v/>
      </c>
      <c r="O479" s="829" t="str">
        <f t="shared" si="42"/>
        <v/>
      </c>
      <c r="P479" s="254"/>
      <c r="Q479" s="254"/>
      <c r="R479" s="254"/>
      <c r="S479" s="254"/>
      <c r="T479" s="254"/>
      <c r="U479" s="254"/>
      <c r="V479" s="254"/>
      <c r="W479" s="254"/>
      <c r="Y479" s="246" t="str">
        <f t="shared" si="43"/>
        <v/>
      </c>
      <c r="Z479" s="247" t="str">
        <f t="shared" si="47"/>
        <v/>
      </c>
      <c r="AA479" s="246" t="str">
        <f t="shared" si="44"/>
        <v/>
      </c>
    </row>
    <row r="480" spans="1:27" ht="18" customHeight="1" x14ac:dyDescent="0.25">
      <c r="A480" s="248" t="str">
        <f t="shared" si="45"/>
        <v/>
      </c>
      <c r="B480" s="249" t="str">
        <f t="shared" si="46"/>
        <v/>
      </c>
      <c r="C480" s="250"/>
      <c r="D480" s="251"/>
      <c r="E480" s="241"/>
      <c r="F480" s="252"/>
      <c r="G480" s="252"/>
      <c r="H480" s="253"/>
      <c r="I480" s="250"/>
      <c r="J480" s="250"/>
      <c r="K480" s="270"/>
      <c r="L480" s="250"/>
      <c r="M480" s="250"/>
      <c r="N480" s="540" t="str">
        <f>CONCATENATE(IF(OR(M480=phu!$I$1,M480=phu!$I$2,M480=phu!$I$3),"Cam Thành Nam",""),IF(OR(M480=phu!$I$4,M480=phu!$I$5,M480=phu!$I$6,M480=phu!$I$7,M480=phu!$I$8,M480=phu!$I$9,M480=phu!$I$10,M480=phu!$I$11,M480=phu!$I$12,M480=phu!$I$13,M480=phu!$I$14),"Cam Nghĩa",""),IF(OR(M480=phu!$I$15,M480=phu!$I$16,M480=phu!$I$17,M480=phu!$I$18,M480=phu!$I$19,M480=phu!$I$20,M480=phu!$I$21),"Cam Phúc Bắc",""),IF(OR(M480=phu!$I$22,M480=phu!$I$23,M480=phu!$I$24,M480=phu!$I$25),"Cam Phúc Nam",""),IF(OR(M480=phu!$I$26,M480=phu!$I$27,M480=phu!$I$28,M480=phu!$I$29,M480=phu!$I$30,M480=phu!$I$31),"Cam Phú",""),IF(OR(M480=phu!$I$32,M480=phu!$I$33,M480=phu!$I$34,M480=phu!$I$35,M480=phu!$I$36,M480=phu!$I$37),"Cam Lộc",""),IF(OR(M480=phu!$I$38,M480=phu!$I$39,M480=phu!$I$40,M480=phu!$I$41,M480=phu!$I$42,M480=phu!$I$43,M480=phu!$I$44),"Cam Thuận",""),IF(OR(M480=phu!$I$45,M480=phu!$I$46,M480=phu!$I$47,M480=phu!$I$48,M480=phu!$I$49,M480=phu!$I$50,M480=phu!$I$51,M480=phu!$I$52,M480=phu!$I$53),"Cam Linh",""),IF(OR(M480=phu!$I$54,M480=phu!$I$55,M480=phu!$I$56,M480=phu!$I$57,M480=phu!$I$58,M480=phu!$I$59,M480=phu!$I$60,M480=phu!$I$61,M480=phu!$I$62),"Cam Lợi",""),IF(OR(M480=phu!$I$63,M480=phu!$I$64,M480=phu!$I$65,M480=phu!$I$66,M480=phu!$I$67,M480=phu!$I$68,M480=phu!$I$69,M480=phu!$I$70,M480=phu!$I$71),"Ba Ngòi",""),IF(OR(M480=phu!$I$72,M480=phu!$I$73,M480=phu!$I$74,M480=phu!$I$75,M480=phu!$I$76,M480=phu!$I$77,M480=phu!$I$78),"Cam Phước Đông",""),IF(OR(M480=phu!$I$79,M480=phu!$I$80,M480=phu!$I$81,M480=phu!$I$82,M480=phu!$I$83,M480=phu!$I$84),"Cam Thịnh Đông",""),IF(OR(M480=phu!$I$85,M480=phu!$I$86,M480=phu!$I$87,M480=phu!$I$88),"Cam Thịnh Tây",""),IF(OR(M480=phu!$I$89,M480=phu!$I$90),"Cam Lập",""),IF(OR(M480=phu!$I$91,M480=phu!$I$92,M480=phu!$I$93),"Cam Bình",""),IF(OR(M480=phu!$I$94,M480=phu!$I$95,M480=phu!$I$96,M480=phu!$I$97,M480=phu!$I$98,M480=phu!$I$99,M480=phu!$I$100),"Huyện khác",""),IF(OR(M480=phu!$I$101,M480=phu!$I$102),"Tỉnh khác",""))</f>
        <v/>
      </c>
      <c r="O480" s="829" t="str">
        <f t="shared" si="42"/>
        <v/>
      </c>
      <c r="P480" s="254"/>
      <c r="Q480" s="254"/>
      <c r="R480" s="254"/>
      <c r="S480" s="254"/>
      <c r="T480" s="254"/>
      <c r="U480" s="254"/>
      <c r="V480" s="254"/>
      <c r="W480" s="254"/>
      <c r="Y480" s="246" t="str">
        <f t="shared" si="43"/>
        <v/>
      </c>
      <c r="Z480" s="247" t="str">
        <f t="shared" si="47"/>
        <v/>
      </c>
      <c r="AA480" s="246" t="str">
        <f t="shared" si="44"/>
        <v/>
      </c>
    </row>
    <row r="481" spans="1:27" ht="18" customHeight="1" x14ac:dyDescent="0.25">
      <c r="A481" s="248" t="str">
        <f t="shared" si="45"/>
        <v/>
      </c>
      <c r="B481" s="249" t="str">
        <f t="shared" si="46"/>
        <v/>
      </c>
      <c r="C481" s="250"/>
      <c r="D481" s="251"/>
      <c r="E481" s="241"/>
      <c r="F481" s="252"/>
      <c r="G481" s="252"/>
      <c r="H481" s="253"/>
      <c r="I481" s="250"/>
      <c r="J481" s="250"/>
      <c r="K481" s="270"/>
      <c r="L481" s="250"/>
      <c r="M481" s="250"/>
      <c r="N481" s="540" t="str">
        <f>CONCATENATE(IF(OR(M481=phu!$I$1,M481=phu!$I$2,M481=phu!$I$3),"Cam Thành Nam",""),IF(OR(M481=phu!$I$4,M481=phu!$I$5,M481=phu!$I$6,M481=phu!$I$7,M481=phu!$I$8,M481=phu!$I$9,M481=phu!$I$10,M481=phu!$I$11,M481=phu!$I$12,M481=phu!$I$13,M481=phu!$I$14),"Cam Nghĩa",""),IF(OR(M481=phu!$I$15,M481=phu!$I$16,M481=phu!$I$17,M481=phu!$I$18,M481=phu!$I$19,M481=phu!$I$20,M481=phu!$I$21),"Cam Phúc Bắc",""),IF(OR(M481=phu!$I$22,M481=phu!$I$23,M481=phu!$I$24,M481=phu!$I$25),"Cam Phúc Nam",""),IF(OR(M481=phu!$I$26,M481=phu!$I$27,M481=phu!$I$28,M481=phu!$I$29,M481=phu!$I$30,M481=phu!$I$31),"Cam Phú",""),IF(OR(M481=phu!$I$32,M481=phu!$I$33,M481=phu!$I$34,M481=phu!$I$35,M481=phu!$I$36,M481=phu!$I$37),"Cam Lộc",""),IF(OR(M481=phu!$I$38,M481=phu!$I$39,M481=phu!$I$40,M481=phu!$I$41,M481=phu!$I$42,M481=phu!$I$43,M481=phu!$I$44),"Cam Thuận",""),IF(OR(M481=phu!$I$45,M481=phu!$I$46,M481=phu!$I$47,M481=phu!$I$48,M481=phu!$I$49,M481=phu!$I$50,M481=phu!$I$51,M481=phu!$I$52,M481=phu!$I$53),"Cam Linh",""),IF(OR(M481=phu!$I$54,M481=phu!$I$55,M481=phu!$I$56,M481=phu!$I$57,M481=phu!$I$58,M481=phu!$I$59,M481=phu!$I$60,M481=phu!$I$61,M481=phu!$I$62),"Cam Lợi",""),IF(OR(M481=phu!$I$63,M481=phu!$I$64,M481=phu!$I$65,M481=phu!$I$66,M481=phu!$I$67,M481=phu!$I$68,M481=phu!$I$69,M481=phu!$I$70,M481=phu!$I$71),"Ba Ngòi",""),IF(OR(M481=phu!$I$72,M481=phu!$I$73,M481=phu!$I$74,M481=phu!$I$75,M481=phu!$I$76,M481=phu!$I$77,M481=phu!$I$78),"Cam Phước Đông",""),IF(OR(M481=phu!$I$79,M481=phu!$I$80,M481=phu!$I$81,M481=phu!$I$82,M481=phu!$I$83,M481=phu!$I$84),"Cam Thịnh Đông",""),IF(OR(M481=phu!$I$85,M481=phu!$I$86,M481=phu!$I$87,M481=phu!$I$88),"Cam Thịnh Tây",""),IF(OR(M481=phu!$I$89,M481=phu!$I$90),"Cam Lập",""),IF(OR(M481=phu!$I$91,M481=phu!$I$92,M481=phu!$I$93),"Cam Bình",""),IF(OR(M481=phu!$I$94,M481=phu!$I$95,M481=phu!$I$96,M481=phu!$I$97,M481=phu!$I$98,M481=phu!$I$99,M481=phu!$I$100),"Huyện khác",""),IF(OR(M481=phu!$I$101,M481=phu!$I$102),"Tỉnh khác",""))</f>
        <v/>
      </c>
      <c r="O481" s="829" t="str">
        <f t="shared" si="42"/>
        <v/>
      </c>
      <c r="P481" s="254"/>
      <c r="Q481" s="254"/>
      <c r="R481" s="254"/>
      <c r="S481" s="254"/>
      <c r="T481" s="254"/>
      <c r="U481" s="254"/>
      <c r="V481" s="254"/>
      <c r="W481" s="254"/>
      <c r="Y481" s="246" t="str">
        <f t="shared" si="43"/>
        <v/>
      </c>
      <c r="Z481" s="247" t="str">
        <f t="shared" si="47"/>
        <v/>
      </c>
      <c r="AA481" s="246" t="str">
        <f t="shared" si="44"/>
        <v/>
      </c>
    </row>
    <row r="482" spans="1:27" ht="18" customHeight="1" x14ac:dyDescent="0.25">
      <c r="A482" s="248" t="str">
        <f t="shared" si="45"/>
        <v/>
      </c>
      <c r="B482" s="249" t="str">
        <f t="shared" si="46"/>
        <v/>
      </c>
      <c r="C482" s="250"/>
      <c r="D482" s="251"/>
      <c r="E482" s="241"/>
      <c r="F482" s="252"/>
      <c r="G482" s="252"/>
      <c r="H482" s="253"/>
      <c r="I482" s="250"/>
      <c r="J482" s="250"/>
      <c r="K482" s="270"/>
      <c r="L482" s="250"/>
      <c r="M482" s="250"/>
      <c r="N482" s="540" t="str">
        <f>CONCATENATE(IF(OR(M482=phu!$I$1,M482=phu!$I$2,M482=phu!$I$3),"Cam Thành Nam",""),IF(OR(M482=phu!$I$4,M482=phu!$I$5,M482=phu!$I$6,M482=phu!$I$7,M482=phu!$I$8,M482=phu!$I$9,M482=phu!$I$10,M482=phu!$I$11,M482=phu!$I$12,M482=phu!$I$13,M482=phu!$I$14),"Cam Nghĩa",""),IF(OR(M482=phu!$I$15,M482=phu!$I$16,M482=phu!$I$17,M482=phu!$I$18,M482=phu!$I$19,M482=phu!$I$20,M482=phu!$I$21),"Cam Phúc Bắc",""),IF(OR(M482=phu!$I$22,M482=phu!$I$23,M482=phu!$I$24,M482=phu!$I$25),"Cam Phúc Nam",""),IF(OR(M482=phu!$I$26,M482=phu!$I$27,M482=phu!$I$28,M482=phu!$I$29,M482=phu!$I$30,M482=phu!$I$31),"Cam Phú",""),IF(OR(M482=phu!$I$32,M482=phu!$I$33,M482=phu!$I$34,M482=phu!$I$35,M482=phu!$I$36,M482=phu!$I$37),"Cam Lộc",""),IF(OR(M482=phu!$I$38,M482=phu!$I$39,M482=phu!$I$40,M482=phu!$I$41,M482=phu!$I$42,M482=phu!$I$43,M482=phu!$I$44),"Cam Thuận",""),IF(OR(M482=phu!$I$45,M482=phu!$I$46,M482=phu!$I$47,M482=phu!$I$48,M482=phu!$I$49,M482=phu!$I$50,M482=phu!$I$51,M482=phu!$I$52,M482=phu!$I$53),"Cam Linh",""),IF(OR(M482=phu!$I$54,M482=phu!$I$55,M482=phu!$I$56,M482=phu!$I$57,M482=phu!$I$58,M482=phu!$I$59,M482=phu!$I$60,M482=phu!$I$61,M482=phu!$I$62),"Cam Lợi",""),IF(OR(M482=phu!$I$63,M482=phu!$I$64,M482=phu!$I$65,M482=phu!$I$66,M482=phu!$I$67,M482=phu!$I$68,M482=phu!$I$69,M482=phu!$I$70,M482=phu!$I$71),"Ba Ngòi",""),IF(OR(M482=phu!$I$72,M482=phu!$I$73,M482=phu!$I$74,M482=phu!$I$75,M482=phu!$I$76,M482=phu!$I$77,M482=phu!$I$78),"Cam Phước Đông",""),IF(OR(M482=phu!$I$79,M482=phu!$I$80,M482=phu!$I$81,M482=phu!$I$82,M482=phu!$I$83,M482=phu!$I$84),"Cam Thịnh Đông",""),IF(OR(M482=phu!$I$85,M482=phu!$I$86,M482=phu!$I$87,M482=phu!$I$88),"Cam Thịnh Tây",""),IF(OR(M482=phu!$I$89,M482=phu!$I$90),"Cam Lập",""),IF(OR(M482=phu!$I$91,M482=phu!$I$92,M482=phu!$I$93),"Cam Bình",""),IF(OR(M482=phu!$I$94,M482=phu!$I$95,M482=phu!$I$96,M482=phu!$I$97,M482=phu!$I$98,M482=phu!$I$99,M482=phu!$I$100),"Huyện khác",""),IF(OR(M482=phu!$I$101,M482=phu!$I$102),"Tỉnh khác",""))</f>
        <v/>
      </c>
      <c r="O482" s="829" t="str">
        <f t="shared" si="42"/>
        <v/>
      </c>
      <c r="P482" s="254"/>
      <c r="Q482" s="254"/>
      <c r="R482" s="254"/>
      <c r="S482" s="254"/>
      <c r="T482" s="254"/>
      <c r="U482" s="254"/>
      <c r="V482" s="254"/>
      <c r="W482" s="254"/>
      <c r="Y482" s="246" t="str">
        <f t="shared" si="43"/>
        <v/>
      </c>
      <c r="Z482" s="247" t="str">
        <f t="shared" si="47"/>
        <v/>
      </c>
      <c r="AA482" s="246" t="str">
        <f t="shared" si="44"/>
        <v/>
      </c>
    </row>
    <row r="483" spans="1:27" ht="18" customHeight="1" x14ac:dyDescent="0.25">
      <c r="A483" s="248" t="str">
        <f t="shared" si="45"/>
        <v/>
      </c>
      <c r="B483" s="249" t="str">
        <f t="shared" si="46"/>
        <v/>
      </c>
      <c r="C483" s="250"/>
      <c r="D483" s="251"/>
      <c r="E483" s="241"/>
      <c r="F483" s="252"/>
      <c r="G483" s="252"/>
      <c r="H483" s="253"/>
      <c r="I483" s="250"/>
      <c r="J483" s="250"/>
      <c r="K483" s="270"/>
      <c r="L483" s="250"/>
      <c r="M483" s="250"/>
      <c r="N483" s="540" t="str">
        <f>CONCATENATE(IF(OR(M483=phu!$I$1,M483=phu!$I$2,M483=phu!$I$3),"Cam Thành Nam",""),IF(OR(M483=phu!$I$4,M483=phu!$I$5,M483=phu!$I$6,M483=phu!$I$7,M483=phu!$I$8,M483=phu!$I$9,M483=phu!$I$10,M483=phu!$I$11,M483=phu!$I$12,M483=phu!$I$13,M483=phu!$I$14),"Cam Nghĩa",""),IF(OR(M483=phu!$I$15,M483=phu!$I$16,M483=phu!$I$17,M483=phu!$I$18,M483=phu!$I$19,M483=phu!$I$20,M483=phu!$I$21),"Cam Phúc Bắc",""),IF(OR(M483=phu!$I$22,M483=phu!$I$23,M483=phu!$I$24,M483=phu!$I$25),"Cam Phúc Nam",""),IF(OR(M483=phu!$I$26,M483=phu!$I$27,M483=phu!$I$28,M483=phu!$I$29,M483=phu!$I$30,M483=phu!$I$31),"Cam Phú",""),IF(OR(M483=phu!$I$32,M483=phu!$I$33,M483=phu!$I$34,M483=phu!$I$35,M483=phu!$I$36,M483=phu!$I$37),"Cam Lộc",""),IF(OR(M483=phu!$I$38,M483=phu!$I$39,M483=phu!$I$40,M483=phu!$I$41,M483=phu!$I$42,M483=phu!$I$43,M483=phu!$I$44),"Cam Thuận",""),IF(OR(M483=phu!$I$45,M483=phu!$I$46,M483=phu!$I$47,M483=phu!$I$48,M483=phu!$I$49,M483=phu!$I$50,M483=phu!$I$51,M483=phu!$I$52,M483=phu!$I$53),"Cam Linh",""),IF(OR(M483=phu!$I$54,M483=phu!$I$55,M483=phu!$I$56,M483=phu!$I$57,M483=phu!$I$58,M483=phu!$I$59,M483=phu!$I$60,M483=phu!$I$61,M483=phu!$I$62),"Cam Lợi",""),IF(OR(M483=phu!$I$63,M483=phu!$I$64,M483=phu!$I$65,M483=phu!$I$66,M483=phu!$I$67,M483=phu!$I$68,M483=phu!$I$69,M483=phu!$I$70,M483=phu!$I$71),"Ba Ngòi",""),IF(OR(M483=phu!$I$72,M483=phu!$I$73,M483=phu!$I$74,M483=phu!$I$75,M483=phu!$I$76,M483=phu!$I$77,M483=phu!$I$78),"Cam Phước Đông",""),IF(OR(M483=phu!$I$79,M483=phu!$I$80,M483=phu!$I$81,M483=phu!$I$82,M483=phu!$I$83,M483=phu!$I$84),"Cam Thịnh Đông",""),IF(OR(M483=phu!$I$85,M483=phu!$I$86,M483=phu!$I$87,M483=phu!$I$88),"Cam Thịnh Tây",""),IF(OR(M483=phu!$I$89,M483=phu!$I$90),"Cam Lập",""),IF(OR(M483=phu!$I$91,M483=phu!$I$92,M483=phu!$I$93),"Cam Bình",""),IF(OR(M483=phu!$I$94,M483=phu!$I$95,M483=phu!$I$96,M483=phu!$I$97,M483=phu!$I$98,M483=phu!$I$99,M483=phu!$I$100),"Huyện khác",""),IF(OR(M483=phu!$I$101,M483=phu!$I$102),"Tỉnh khác",""))</f>
        <v/>
      </c>
      <c r="O483" s="829" t="str">
        <f t="shared" si="42"/>
        <v/>
      </c>
      <c r="P483" s="254"/>
      <c r="Q483" s="254"/>
      <c r="R483" s="254"/>
      <c r="S483" s="254"/>
      <c r="T483" s="254"/>
      <c r="U483" s="254"/>
      <c r="V483" s="254"/>
      <c r="W483" s="254"/>
      <c r="Y483" s="246" t="str">
        <f t="shared" si="43"/>
        <v/>
      </c>
      <c r="Z483" s="247" t="str">
        <f t="shared" si="47"/>
        <v/>
      </c>
      <c r="AA483" s="246" t="str">
        <f t="shared" si="44"/>
        <v/>
      </c>
    </row>
    <row r="484" spans="1:27" ht="18" customHeight="1" x14ac:dyDescent="0.25">
      <c r="A484" s="248" t="str">
        <f t="shared" si="45"/>
        <v/>
      </c>
      <c r="B484" s="249" t="str">
        <f t="shared" si="46"/>
        <v/>
      </c>
      <c r="C484" s="250"/>
      <c r="D484" s="251"/>
      <c r="E484" s="241"/>
      <c r="F484" s="252"/>
      <c r="G484" s="252"/>
      <c r="H484" s="253"/>
      <c r="I484" s="250"/>
      <c r="J484" s="250"/>
      <c r="K484" s="270"/>
      <c r="L484" s="250"/>
      <c r="M484" s="250"/>
      <c r="N484" s="540" t="str">
        <f>CONCATENATE(IF(OR(M484=phu!$I$1,M484=phu!$I$2,M484=phu!$I$3),"Cam Thành Nam",""),IF(OR(M484=phu!$I$4,M484=phu!$I$5,M484=phu!$I$6,M484=phu!$I$7,M484=phu!$I$8,M484=phu!$I$9,M484=phu!$I$10,M484=phu!$I$11,M484=phu!$I$12,M484=phu!$I$13,M484=phu!$I$14),"Cam Nghĩa",""),IF(OR(M484=phu!$I$15,M484=phu!$I$16,M484=phu!$I$17,M484=phu!$I$18,M484=phu!$I$19,M484=phu!$I$20,M484=phu!$I$21),"Cam Phúc Bắc",""),IF(OR(M484=phu!$I$22,M484=phu!$I$23,M484=phu!$I$24,M484=phu!$I$25),"Cam Phúc Nam",""),IF(OR(M484=phu!$I$26,M484=phu!$I$27,M484=phu!$I$28,M484=phu!$I$29,M484=phu!$I$30,M484=phu!$I$31),"Cam Phú",""),IF(OR(M484=phu!$I$32,M484=phu!$I$33,M484=phu!$I$34,M484=phu!$I$35,M484=phu!$I$36,M484=phu!$I$37),"Cam Lộc",""),IF(OR(M484=phu!$I$38,M484=phu!$I$39,M484=phu!$I$40,M484=phu!$I$41,M484=phu!$I$42,M484=phu!$I$43,M484=phu!$I$44),"Cam Thuận",""),IF(OR(M484=phu!$I$45,M484=phu!$I$46,M484=phu!$I$47,M484=phu!$I$48,M484=phu!$I$49,M484=phu!$I$50,M484=phu!$I$51,M484=phu!$I$52,M484=phu!$I$53),"Cam Linh",""),IF(OR(M484=phu!$I$54,M484=phu!$I$55,M484=phu!$I$56,M484=phu!$I$57,M484=phu!$I$58,M484=phu!$I$59,M484=phu!$I$60,M484=phu!$I$61,M484=phu!$I$62),"Cam Lợi",""),IF(OR(M484=phu!$I$63,M484=phu!$I$64,M484=phu!$I$65,M484=phu!$I$66,M484=phu!$I$67,M484=phu!$I$68,M484=phu!$I$69,M484=phu!$I$70,M484=phu!$I$71),"Ba Ngòi",""),IF(OR(M484=phu!$I$72,M484=phu!$I$73,M484=phu!$I$74,M484=phu!$I$75,M484=phu!$I$76,M484=phu!$I$77,M484=phu!$I$78),"Cam Phước Đông",""),IF(OR(M484=phu!$I$79,M484=phu!$I$80,M484=phu!$I$81,M484=phu!$I$82,M484=phu!$I$83,M484=phu!$I$84),"Cam Thịnh Đông",""),IF(OR(M484=phu!$I$85,M484=phu!$I$86,M484=phu!$I$87,M484=phu!$I$88),"Cam Thịnh Tây",""),IF(OR(M484=phu!$I$89,M484=phu!$I$90),"Cam Lập",""),IF(OR(M484=phu!$I$91,M484=phu!$I$92,M484=phu!$I$93),"Cam Bình",""),IF(OR(M484=phu!$I$94,M484=phu!$I$95,M484=phu!$I$96,M484=phu!$I$97,M484=phu!$I$98,M484=phu!$I$99,M484=phu!$I$100),"Huyện khác",""),IF(OR(M484=phu!$I$101,M484=phu!$I$102),"Tỉnh khác",""))</f>
        <v/>
      </c>
      <c r="O484" s="829" t="str">
        <f t="shared" si="42"/>
        <v/>
      </c>
      <c r="P484" s="254"/>
      <c r="Q484" s="254"/>
      <c r="R484" s="254"/>
      <c r="S484" s="254"/>
      <c r="T484" s="254"/>
      <c r="U484" s="254"/>
      <c r="V484" s="254"/>
      <c r="W484" s="254"/>
      <c r="Y484" s="246" t="str">
        <f t="shared" si="43"/>
        <v/>
      </c>
      <c r="Z484" s="247" t="str">
        <f t="shared" si="47"/>
        <v/>
      </c>
      <c r="AA484" s="246" t="str">
        <f t="shared" si="44"/>
        <v/>
      </c>
    </row>
    <row r="485" spans="1:27" ht="18" customHeight="1" x14ac:dyDescent="0.25">
      <c r="A485" s="248" t="str">
        <f t="shared" si="45"/>
        <v/>
      </c>
      <c r="B485" s="249" t="str">
        <f t="shared" si="46"/>
        <v/>
      </c>
      <c r="C485" s="250"/>
      <c r="D485" s="251"/>
      <c r="E485" s="241"/>
      <c r="F485" s="252"/>
      <c r="G485" s="252"/>
      <c r="H485" s="253"/>
      <c r="I485" s="250"/>
      <c r="J485" s="250"/>
      <c r="K485" s="270"/>
      <c r="L485" s="250"/>
      <c r="M485" s="250"/>
      <c r="N485" s="540" t="str">
        <f>CONCATENATE(IF(OR(M485=phu!$I$1,M485=phu!$I$2,M485=phu!$I$3),"Cam Thành Nam",""),IF(OR(M485=phu!$I$4,M485=phu!$I$5,M485=phu!$I$6,M485=phu!$I$7,M485=phu!$I$8,M485=phu!$I$9,M485=phu!$I$10,M485=phu!$I$11,M485=phu!$I$12,M485=phu!$I$13,M485=phu!$I$14),"Cam Nghĩa",""),IF(OR(M485=phu!$I$15,M485=phu!$I$16,M485=phu!$I$17,M485=phu!$I$18,M485=phu!$I$19,M485=phu!$I$20,M485=phu!$I$21),"Cam Phúc Bắc",""),IF(OR(M485=phu!$I$22,M485=phu!$I$23,M485=phu!$I$24,M485=phu!$I$25),"Cam Phúc Nam",""),IF(OR(M485=phu!$I$26,M485=phu!$I$27,M485=phu!$I$28,M485=phu!$I$29,M485=phu!$I$30,M485=phu!$I$31),"Cam Phú",""),IF(OR(M485=phu!$I$32,M485=phu!$I$33,M485=phu!$I$34,M485=phu!$I$35,M485=phu!$I$36,M485=phu!$I$37),"Cam Lộc",""),IF(OR(M485=phu!$I$38,M485=phu!$I$39,M485=phu!$I$40,M485=phu!$I$41,M485=phu!$I$42,M485=phu!$I$43,M485=phu!$I$44),"Cam Thuận",""),IF(OR(M485=phu!$I$45,M485=phu!$I$46,M485=phu!$I$47,M485=phu!$I$48,M485=phu!$I$49,M485=phu!$I$50,M485=phu!$I$51,M485=phu!$I$52,M485=phu!$I$53),"Cam Linh",""),IF(OR(M485=phu!$I$54,M485=phu!$I$55,M485=phu!$I$56,M485=phu!$I$57,M485=phu!$I$58,M485=phu!$I$59,M485=phu!$I$60,M485=phu!$I$61,M485=phu!$I$62),"Cam Lợi",""),IF(OR(M485=phu!$I$63,M485=phu!$I$64,M485=phu!$I$65,M485=phu!$I$66,M485=phu!$I$67,M485=phu!$I$68,M485=phu!$I$69,M485=phu!$I$70,M485=phu!$I$71),"Ba Ngòi",""),IF(OR(M485=phu!$I$72,M485=phu!$I$73,M485=phu!$I$74,M485=phu!$I$75,M485=phu!$I$76,M485=phu!$I$77,M485=phu!$I$78),"Cam Phước Đông",""),IF(OR(M485=phu!$I$79,M485=phu!$I$80,M485=phu!$I$81,M485=phu!$I$82,M485=phu!$I$83,M485=phu!$I$84),"Cam Thịnh Đông",""),IF(OR(M485=phu!$I$85,M485=phu!$I$86,M485=phu!$I$87,M485=phu!$I$88),"Cam Thịnh Tây",""),IF(OR(M485=phu!$I$89,M485=phu!$I$90),"Cam Lập",""),IF(OR(M485=phu!$I$91,M485=phu!$I$92,M485=phu!$I$93),"Cam Bình",""),IF(OR(M485=phu!$I$94,M485=phu!$I$95,M485=phu!$I$96,M485=phu!$I$97,M485=phu!$I$98,M485=phu!$I$99,M485=phu!$I$100),"Huyện khác",""),IF(OR(M485=phu!$I$101,M485=phu!$I$102),"Tỉnh khác",""))</f>
        <v/>
      </c>
      <c r="O485" s="829" t="str">
        <f t="shared" si="42"/>
        <v/>
      </c>
      <c r="P485" s="254"/>
      <c r="Q485" s="254"/>
      <c r="R485" s="254"/>
      <c r="S485" s="254"/>
      <c r="T485" s="254"/>
      <c r="U485" s="254"/>
      <c r="V485" s="254"/>
      <c r="W485" s="254"/>
      <c r="Y485" s="246" t="str">
        <f t="shared" si="43"/>
        <v/>
      </c>
      <c r="Z485" s="247" t="str">
        <f t="shared" si="47"/>
        <v/>
      </c>
      <c r="AA485" s="246" t="str">
        <f t="shared" si="44"/>
        <v/>
      </c>
    </row>
    <row r="486" spans="1:27" ht="18" customHeight="1" x14ac:dyDescent="0.25">
      <c r="A486" s="248" t="str">
        <f t="shared" si="45"/>
        <v/>
      </c>
      <c r="B486" s="249" t="str">
        <f t="shared" si="46"/>
        <v/>
      </c>
      <c r="C486" s="250"/>
      <c r="D486" s="251"/>
      <c r="E486" s="241"/>
      <c r="F486" s="252"/>
      <c r="G486" s="252"/>
      <c r="H486" s="253"/>
      <c r="I486" s="250"/>
      <c r="J486" s="250"/>
      <c r="K486" s="270"/>
      <c r="L486" s="250"/>
      <c r="M486" s="250"/>
      <c r="N486" s="540" t="str">
        <f>CONCATENATE(IF(OR(M486=phu!$I$1,M486=phu!$I$2,M486=phu!$I$3),"Cam Thành Nam",""),IF(OR(M486=phu!$I$4,M486=phu!$I$5,M486=phu!$I$6,M486=phu!$I$7,M486=phu!$I$8,M486=phu!$I$9,M486=phu!$I$10,M486=phu!$I$11,M486=phu!$I$12,M486=phu!$I$13,M486=phu!$I$14),"Cam Nghĩa",""),IF(OR(M486=phu!$I$15,M486=phu!$I$16,M486=phu!$I$17,M486=phu!$I$18,M486=phu!$I$19,M486=phu!$I$20,M486=phu!$I$21),"Cam Phúc Bắc",""),IF(OR(M486=phu!$I$22,M486=phu!$I$23,M486=phu!$I$24,M486=phu!$I$25),"Cam Phúc Nam",""),IF(OR(M486=phu!$I$26,M486=phu!$I$27,M486=phu!$I$28,M486=phu!$I$29,M486=phu!$I$30,M486=phu!$I$31),"Cam Phú",""),IF(OR(M486=phu!$I$32,M486=phu!$I$33,M486=phu!$I$34,M486=phu!$I$35,M486=phu!$I$36,M486=phu!$I$37),"Cam Lộc",""),IF(OR(M486=phu!$I$38,M486=phu!$I$39,M486=phu!$I$40,M486=phu!$I$41,M486=phu!$I$42,M486=phu!$I$43,M486=phu!$I$44),"Cam Thuận",""),IF(OR(M486=phu!$I$45,M486=phu!$I$46,M486=phu!$I$47,M486=phu!$I$48,M486=phu!$I$49,M486=phu!$I$50,M486=phu!$I$51,M486=phu!$I$52,M486=phu!$I$53),"Cam Linh",""),IF(OR(M486=phu!$I$54,M486=phu!$I$55,M486=phu!$I$56,M486=phu!$I$57,M486=phu!$I$58,M486=phu!$I$59,M486=phu!$I$60,M486=phu!$I$61,M486=phu!$I$62),"Cam Lợi",""),IF(OR(M486=phu!$I$63,M486=phu!$I$64,M486=phu!$I$65,M486=phu!$I$66,M486=phu!$I$67,M486=phu!$I$68,M486=phu!$I$69,M486=phu!$I$70,M486=phu!$I$71),"Ba Ngòi",""),IF(OR(M486=phu!$I$72,M486=phu!$I$73,M486=phu!$I$74,M486=phu!$I$75,M486=phu!$I$76,M486=phu!$I$77,M486=phu!$I$78),"Cam Phước Đông",""),IF(OR(M486=phu!$I$79,M486=phu!$I$80,M486=phu!$I$81,M486=phu!$I$82,M486=phu!$I$83,M486=phu!$I$84),"Cam Thịnh Đông",""),IF(OR(M486=phu!$I$85,M486=phu!$I$86,M486=phu!$I$87,M486=phu!$I$88),"Cam Thịnh Tây",""),IF(OR(M486=phu!$I$89,M486=phu!$I$90),"Cam Lập",""),IF(OR(M486=phu!$I$91,M486=phu!$I$92,M486=phu!$I$93),"Cam Bình",""),IF(OR(M486=phu!$I$94,M486=phu!$I$95,M486=phu!$I$96,M486=phu!$I$97,M486=phu!$I$98,M486=phu!$I$99,M486=phu!$I$100),"Huyện khác",""),IF(OR(M486=phu!$I$101,M486=phu!$I$102),"Tỉnh khác",""))</f>
        <v/>
      </c>
      <c r="O486" s="829" t="str">
        <f t="shared" si="42"/>
        <v/>
      </c>
      <c r="P486" s="254"/>
      <c r="Q486" s="254"/>
      <c r="R486" s="254"/>
      <c r="S486" s="254"/>
      <c r="T486" s="254"/>
      <c r="U486" s="254"/>
      <c r="V486" s="254"/>
      <c r="W486" s="254"/>
      <c r="Y486" s="246" t="str">
        <f t="shared" si="43"/>
        <v/>
      </c>
      <c r="Z486" s="247" t="str">
        <f t="shared" si="47"/>
        <v/>
      </c>
      <c r="AA486" s="246" t="str">
        <f t="shared" si="44"/>
        <v/>
      </c>
    </row>
    <row r="487" spans="1:27" ht="18" customHeight="1" x14ac:dyDescent="0.25">
      <c r="A487" s="248" t="str">
        <f t="shared" si="45"/>
        <v/>
      </c>
      <c r="B487" s="249" t="str">
        <f t="shared" si="46"/>
        <v/>
      </c>
      <c r="C487" s="250"/>
      <c r="D487" s="251"/>
      <c r="E487" s="241"/>
      <c r="F487" s="252"/>
      <c r="G487" s="252"/>
      <c r="H487" s="253"/>
      <c r="I487" s="250"/>
      <c r="J487" s="250"/>
      <c r="K487" s="270"/>
      <c r="L487" s="250"/>
      <c r="M487" s="250"/>
      <c r="N487" s="540" t="str">
        <f>CONCATENATE(IF(OR(M487=phu!$I$1,M487=phu!$I$2,M487=phu!$I$3),"Cam Thành Nam",""),IF(OR(M487=phu!$I$4,M487=phu!$I$5,M487=phu!$I$6,M487=phu!$I$7,M487=phu!$I$8,M487=phu!$I$9,M487=phu!$I$10,M487=phu!$I$11,M487=phu!$I$12,M487=phu!$I$13,M487=phu!$I$14),"Cam Nghĩa",""),IF(OR(M487=phu!$I$15,M487=phu!$I$16,M487=phu!$I$17,M487=phu!$I$18,M487=phu!$I$19,M487=phu!$I$20,M487=phu!$I$21),"Cam Phúc Bắc",""),IF(OR(M487=phu!$I$22,M487=phu!$I$23,M487=phu!$I$24,M487=phu!$I$25),"Cam Phúc Nam",""),IF(OR(M487=phu!$I$26,M487=phu!$I$27,M487=phu!$I$28,M487=phu!$I$29,M487=phu!$I$30,M487=phu!$I$31),"Cam Phú",""),IF(OR(M487=phu!$I$32,M487=phu!$I$33,M487=phu!$I$34,M487=phu!$I$35,M487=phu!$I$36,M487=phu!$I$37),"Cam Lộc",""),IF(OR(M487=phu!$I$38,M487=phu!$I$39,M487=phu!$I$40,M487=phu!$I$41,M487=phu!$I$42,M487=phu!$I$43,M487=phu!$I$44),"Cam Thuận",""),IF(OR(M487=phu!$I$45,M487=phu!$I$46,M487=phu!$I$47,M487=phu!$I$48,M487=phu!$I$49,M487=phu!$I$50,M487=phu!$I$51,M487=phu!$I$52,M487=phu!$I$53),"Cam Linh",""),IF(OR(M487=phu!$I$54,M487=phu!$I$55,M487=phu!$I$56,M487=phu!$I$57,M487=phu!$I$58,M487=phu!$I$59,M487=phu!$I$60,M487=phu!$I$61,M487=phu!$I$62),"Cam Lợi",""),IF(OR(M487=phu!$I$63,M487=phu!$I$64,M487=phu!$I$65,M487=phu!$I$66,M487=phu!$I$67,M487=phu!$I$68,M487=phu!$I$69,M487=phu!$I$70,M487=phu!$I$71),"Ba Ngòi",""),IF(OR(M487=phu!$I$72,M487=phu!$I$73,M487=phu!$I$74,M487=phu!$I$75,M487=phu!$I$76,M487=phu!$I$77,M487=phu!$I$78),"Cam Phước Đông",""),IF(OR(M487=phu!$I$79,M487=phu!$I$80,M487=phu!$I$81,M487=phu!$I$82,M487=phu!$I$83,M487=phu!$I$84),"Cam Thịnh Đông",""),IF(OR(M487=phu!$I$85,M487=phu!$I$86,M487=phu!$I$87,M487=phu!$I$88),"Cam Thịnh Tây",""),IF(OR(M487=phu!$I$89,M487=phu!$I$90),"Cam Lập",""),IF(OR(M487=phu!$I$91,M487=phu!$I$92,M487=phu!$I$93),"Cam Bình",""),IF(OR(M487=phu!$I$94,M487=phu!$I$95,M487=phu!$I$96,M487=phu!$I$97,M487=phu!$I$98,M487=phu!$I$99,M487=phu!$I$100),"Huyện khác",""),IF(OR(M487=phu!$I$101,M487=phu!$I$102),"Tỉnh khác",""))</f>
        <v/>
      </c>
      <c r="O487" s="829" t="str">
        <f t="shared" si="42"/>
        <v/>
      </c>
      <c r="P487" s="254"/>
      <c r="Q487" s="254"/>
      <c r="R487" s="254"/>
      <c r="S487" s="254"/>
      <c r="T487" s="254"/>
      <c r="U487" s="254"/>
      <c r="V487" s="254"/>
      <c r="W487" s="254"/>
      <c r="Y487" s="246" t="str">
        <f t="shared" si="43"/>
        <v/>
      </c>
      <c r="Z487" s="247" t="str">
        <f t="shared" si="47"/>
        <v/>
      </c>
      <c r="AA487" s="246" t="str">
        <f t="shared" si="44"/>
        <v/>
      </c>
    </row>
    <row r="488" spans="1:27" ht="18" customHeight="1" x14ac:dyDescent="0.25">
      <c r="A488" s="248" t="str">
        <f t="shared" si="45"/>
        <v/>
      </c>
      <c r="B488" s="249" t="str">
        <f t="shared" si="46"/>
        <v/>
      </c>
      <c r="C488" s="250"/>
      <c r="D488" s="251"/>
      <c r="E488" s="241"/>
      <c r="F488" s="252"/>
      <c r="G488" s="252"/>
      <c r="H488" s="253"/>
      <c r="I488" s="250"/>
      <c r="J488" s="250"/>
      <c r="K488" s="270"/>
      <c r="L488" s="250"/>
      <c r="M488" s="250"/>
      <c r="N488" s="540" t="str">
        <f>CONCATENATE(IF(OR(M488=phu!$I$1,M488=phu!$I$2,M488=phu!$I$3),"Cam Thành Nam",""),IF(OR(M488=phu!$I$4,M488=phu!$I$5,M488=phu!$I$6,M488=phu!$I$7,M488=phu!$I$8,M488=phu!$I$9,M488=phu!$I$10,M488=phu!$I$11,M488=phu!$I$12,M488=phu!$I$13,M488=phu!$I$14),"Cam Nghĩa",""),IF(OR(M488=phu!$I$15,M488=phu!$I$16,M488=phu!$I$17,M488=phu!$I$18,M488=phu!$I$19,M488=phu!$I$20,M488=phu!$I$21),"Cam Phúc Bắc",""),IF(OR(M488=phu!$I$22,M488=phu!$I$23,M488=phu!$I$24,M488=phu!$I$25),"Cam Phúc Nam",""),IF(OR(M488=phu!$I$26,M488=phu!$I$27,M488=phu!$I$28,M488=phu!$I$29,M488=phu!$I$30,M488=phu!$I$31),"Cam Phú",""),IF(OR(M488=phu!$I$32,M488=phu!$I$33,M488=phu!$I$34,M488=phu!$I$35,M488=phu!$I$36,M488=phu!$I$37),"Cam Lộc",""),IF(OR(M488=phu!$I$38,M488=phu!$I$39,M488=phu!$I$40,M488=phu!$I$41,M488=phu!$I$42,M488=phu!$I$43,M488=phu!$I$44),"Cam Thuận",""),IF(OR(M488=phu!$I$45,M488=phu!$I$46,M488=phu!$I$47,M488=phu!$I$48,M488=phu!$I$49,M488=phu!$I$50,M488=phu!$I$51,M488=phu!$I$52,M488=phu!$I$53),"Cam Linh",""),IF(OR(M488=phu!$I$54,M488=phu!$I$55,M488=phu!$I$56,M488=phu!$I$57,M488=phu!$I$58,M488=phu!$I$59,M488=phu!$I$60,M488=phu!$I$61,M488=phu!$I$62),"Cam Lợi",""),IF(OR(M488=phu!$I$63,M488=phu!$I$64,M488=phu!$I$65,M488=phu!$I$66,M488=phu!$I$67,M488=phu!$I$68,M488=phu!$I$69,M488=phu!$I$70,M488=phu!$I$71),"Ba Ngòi",""),IF(OR(M488=phu!$I$72,M488=phu!$I$73,M488=phu!$I$74,M488=phu!$I$75,M488=phu!$I$76,M488=phu!$I$77,M488=phu!$I$78),"Cam Phước Đông",""),IF(OR(M488=phu!$I$79,M488=phu!$I$80,M488=phu!$I$81,M488=phu!$I$82,M488=phu!$I$83,M488=phu!$I$84),"Cam Thịnh Đông",""),IF(OR(M488=phu!$I$85,M488=phu!$I$86,M488=phu!$I$87,M488=phu!$I$88),"Cam Thịnh Tây",""),IF(OR(M488=phu!$I$89,M488=phu!$I$90),"Cam Lập",""),IF(OR(M488=phu!$I$91,M488=phu!$I$92,M488=phu!$I$93),"Cam Bình",""),IF(OR(M488=phu!$I$94,M488=phu!$I$95,M488=phu!$I$96,M488=phu!$I$97,M488=phu!$I$98,M488=phu!$I$99,M488=phu!$I$100),"Huyện khác",""),IF(OR(M488=phu!$I$101,M488=phu!$I$102),"Tỉnh khác",""))</f>
        <v/>
      </c>
      <c r="O488" s="829" t="str">
        <f t="shared" si="42"/>
        <v/>
      </c>
      <c r="P488" s="254"/>
      <c r="Q488" s="254"/>
      <c r="R488" s="254"/>
      <c r="S488" s="254"/>
      <c r="T488" s="254"/>
      <c r="U488" s="254"/>
      <c r="V488" s="254"/>
      <c r="W488" s="254"/>
      <c r="Y488" s="246" t="str">
        <f t="shared" si="43"/>
        <v/>
      </c>
      <c r="Z488" s="247" t="str">
        <f t="shared" si="47"/>
        <v/>
      </c>
      <c r="AA488" s="246" t="str">
        <f t="shared" si="44"/>
        <v/>
      </c>
    </row>
    <row r="489" spans="1:27" ht="18" customHeight="1" x14ac:dyDescent="0.25">
      <c r="A489" s="248" t="str">
        <f t="shared" si="45"/>
        <v/>
      </c>
      <c r="B489" s="249" t="str">
        <f t="shared" si="46"/>
        <v/>
      </c>
      <c r="C489" s="250"/>
      <c r="D489" s="251"/>
      <c r="E489" s="241"/>
      <c r="F489" s="252"/>
      <c r="G489" s="252"/>
      <c r="H489" s="253"/>
      <c r="I489" s="250"/>
      <c r="J489" s="250"/>
      <c r="K489" s="270"/>
      <c r="L489" s="250"/>
      <c r="M489" s="250"/>
      <c r="N489" s="540" t="str">
        <f>CONCATENATE(IF(OR(M489=phu!$I$1,M489=phu!$I$2,M489=phu!$I$3),"Cam Thành Nam",""),IF(OR(M489=phu!$I$4,M489=phu!$I$5,M489=phu!$I$6,M489=phu!$I$7,M489=phu!$I$8,M489=phu!$I$9,M489=phu!$I$10,M489=phu!$I$11,M489=phu!$I$12,M489=phu!$I$13,M489=phu!$I$14),"Cam Nghĩa",""),IF(OR(M489=phu!$I$15,M489=phu!$I$16,M489=phu!$I$17,M489=phu!$I$18,M489=phu!$I$19,M489=phu!$I$20,M489=phu!$I$21),"Cam Phúc Bắc",""),IF(OR(M489=phu!$I$22,M489=phu!$I$23,M489=phu!$I$24,M489=phu!$I$25),"Cam Phúc Nam",""),IF(OR(M489=phu!$I$26,M489=phu!$I$27,M489=phu!$I$28,M489=phu!$I$29,M489=phu!$I$30,M489=phu!$I$31),"Cam Phú",""),IF(OR(M489=phu!$I$32,M489=phu!$I$33,M489=phu!$I$34,M489=phu!$I$35,M489=phu!$I$36,M489=phu!$I$37),"Cam Lộc",""),IF(OR(M489=phu!$I$38,M489=phu!$I$39,M489=phu!$I$40,M489=phu!$I$41,M489=phu!$I$42,M489=phu!$I$43,M489=phu!$I$44),"Cam Thuận",""),IF(OR(M489=phu!$I$45,M489=phu!$I$46,M489=phu!$I$47,M489=phu!$I$48,M489=phu!$I$49,M489=phu!$I$50,M489=phu!$I$51,M489=phu!$I$52,M489=phu!$I$53),"Cam Linh",""),IF(OR(M489=phu!$I$54,M489=phu!$I$55,M489=phu!$I$56,M489=phu!$I$57,M489=phu!$I$58,M489=phu!$I$59,M489=phu!$I$60,M489=phu!$I$61,M489=phu!$I$62),"Cam Lợi",""),IF(OR(M489=phu!$I$63,M489=phu!$I$64,M489=phu!$I$65,M489=phu!$I$66,M489=phu!$I$67,M489=phu!$I$68,M489=phu!$I$69,M489=phu!$I$70,M489=phu!$I$71),"Ba Ngòi",""),IF(OR(M489=phu!$I$72,M489=phu!$I$73,M489=phu!$I$74,M489=phu!$I$75,M489=phu!$I$76,M489=phu!$I$77,M489=phu!$I$78),"Cam Phước Đông",""),IF(OR(M489=phu!$I$79,M489=phu!$I$80,M489=phu!$I$81,M489=phu!$I$82,M489=phu!$I$83,M489=phu!$I$84),"Cam Thịnh Đông",""),IF(OR(M489=phu!$I$85,M489=phu!$I$86,M489=phu!$I$87,M489=phu!$I$88),"Cam Thịnh Tây",""),IF(OR(M489=phu!$I$89,M489=phu!$I$90),"Cam Lập",""),IF(OR(M489=phu!$I$91,M489=phu!$I$92,M489=phu!$I$93),"Cam Bình",""),IF(OR(M489=phu!$I$94,M489=phu!$I$95,M489=phu!$I$96,M489=phu!$I$97,M489=phu!$I$98,M489=phu!$I$99,M489=phu!$I$100),"Huyện khác",""),IF(OR(M489=phu!$I$101,M489=phu!$I$102),"Tỉnh khác",""))</f>
        <v/>
      </c>
      <c r="O489" s="829" t="str">
        <f t="shared" si="42"/>
        <v/>
      </c>
      <c r="P489" s="254"/>
      <c r="Q489" s="254"/>
      <c r="R489" s="254"/>
      <c r="S489" s="254"/>
      <c r="T489" s="254"/>
      <c r="U489" s="254"/>
      <c r="V489" s="254"/>
      <c r="W489" s="254"/>
      <c r="Y489" s="246" t="str">
        <f t="shared" si="43"/>
        <v/>
      </c>
      <c r="Z489" s="247" t="str">
        <f t="shared" si="47"/>
        <v/>
      </c>
      <c r="AA489" s="246" t="str">
        <f t="shared" si="44"/>
        <v/>
      </c>
    </row>
    <row r="490" spans="1:27" ht="18" customHeight="1" x14ac:dyDescent="0.25">
      <c r="A490" s="248" t="str">
        <f t="shared" si="45"/>
        <v/>
      </c>
      <c r="B490" s="249" t="str">
        <f t="shared" si="46"/>
        <v/>
      </c>
      <c r="C490" s="250"/>
      <c r="D490" s="251"/>
      <c r="E490" s="241"/>
      <c r="F490" s="252"/>
      <c r="G490" s="252"/>
      <c r="H490" s="253"/>
      <c r="I490" s="250"/>
      <c r="J490" s="250"/>
      <c r="K490" s="270"/>
      <c r="L490" s="250"/>
      <c r="M490" s="250"/>
      <c r="N490" s="540" t="str">
        <f>CONCATENATE(IF(OR(M490=phu!$I$1,M490=phu!$I$2,M490=phu!$I$3),"Cam Thành Nam",""),IF(OR(M490=phu!$I$4,M490=phu!$I$5,M490=phu!$I$6,M490=phu!$I$7,M490=phu!$I$8,M490=phu!$I$9,M490=phu!$I$10,M490=phu!$I$11,M490=phu!$I$12,M490=phu!$I$13,M490=phu!$I$14),"Cam Nghĩa",""),IF(OR(M490=phu!$I$15,M490=phu!$I$16,M490=phu!$I$17,M490=phu!$I$18,M490=phu!$I$19,M490=phu!$I$20,M490=phu!$I$21),"Cam Phúc Bắc",""),IF(OR(M490=phu!$I$22,M490=phu!$I$23,M490=phu!$I$24,M490=phu!$I$25),"Cam Phúc Nam",""),IF(OR(M490=phu!$I$26,M490=phu!$I$27,M490=phu!$I$28,M490=phu!$I$29,M490=phu!$I$30,M490=phu!$I$31),"Cam Phú",""),IF(OR(M490=phu!$I$32,M490=phu!$I$33,M490=phu!$I$34,M490=phu!$I$35,M490=phu!$I$36,M490=phu!$I$37),"Cam Lộc",""),IF(OR(M490=phu!$I$38,M490=phu!$I$39,M490=phu!$I$40,M490=phu!$I$41,M490=phu!$I$42,M490=phu!$I$43,M490=phu!$I$44),"Cam Thuận",""),IF(OR(M490=phu!$I$45,M490=phu!$I$46,M490=phu!$I$47,M490=phu!$I$48,M490=phu!$I$49,M490=phu!$I$50,M490=phu!$I$51,M490=phu!$I$52,M490=phu!$I$53),"Cam Linh",""),IF(OR(M490=phu!$I$54,M490=phu!$I$55,M490=phu!$I$56,M490=phu!$I$57,M490=phu!$I$58,M490=phu!$I$59,M490=phu!$I$60,M490=phu!$I$61,M490=phu!$I$62),"Cam Lợi",""),IF(OR(M490=phu!$I$63,M490=phu!$I$64,M490=phu!$I$65,M490=phu!$I$66,M490=phu!$I$67,M490=phu!$I$68,M490=phu!$I$69,M490=phu!$I$70,M490=phu!$I$71),"Ba Ngòi",""),IF(OR(M490=phu!$I$72,M490=phu!$I$73,M490=phu!$I$74,M490=phu!$I$75,M490=phu!$I$76,M490=phu!$I$77,M490=phu!$I$78),"Cam Phước Đông",""),IF(OR(M490=phu!$I$79,M490=phu!$I$80,M490=phu!$I$81,M490=phu!$I$82,M490=phu!$I$83,M490=phu!$I$84),"Cam Thịnh Đông",""),IF(OR(M490=phu!$I$85,M490=phu!$I$86,M490=phu!$I$87,M490=phu!$I$88),"Cam Thịnh Tây",""),IF(OR(M490=phu!$I$89,M490=phu!$I$90),"Cam Lập",""),IF(OR(M490=phu!$I$91,M490=phu!$I$92,M490=phu!$I$93),"Cam Bình",""),IF(OR(M490=phu!$I$94,M490=phu!$I$95,M490=phu!$I$96,M490=phu!$I$97,M490=phu!$I$98,M490=phu!$I$99,M490=phu!$I$100),"Huyện khác",""),IF(OR(M490=phu!$I$101,M490=phu!$I$102),"Tỉnh khác",""))</f>
        <v/>
      </c>
      <c r="O490" s="829" t="str">
        <f t="shared" si="42"/>
        <v/>
      </c>
      <c r="P490" s="254"/>
      <c r="Q490" s="254"/>
      <c r="R490" s="254"/>
      <c r="S490" s="254"/>
      <c r="T490" s="254"/>
      <c r="U490" s="254"/>
      <c r="V490" s="254"/>
      <c r="W490" s="254"/>
      <c r="Y490" s="246" t="str">
        <f t="shared" si="43"/>
        <v/>
      </c>
      <c r="Z490" s="247" t="str">
        <f t="shared" si="47"/>
        <v/>
      </c>
      <c r="AA490" s="246" t="str">
        <f t="shared" si="44"/>
        <v/>
      </c>
    </row>
    <row r="491" spans="1:27" ht="18" customHeight="1" x14ac:dyDescent="0.25">
      <c r="A491" s="248" t="str">
        <f t="shared" si="45"/>
        <v/>
      </c>
      <c r="B491" s="249" t="str">
        <f t="shared" si="46"/>
        <v/>
      </c>
      <c r="C491" s="250"/>
      <c r="D491" s="251"/>
      <c r="E491" s="241"/>
      <c r="F491" s="252"/>
      <c r="G491" s="252"/>
      <c r="H491" s="253"/>
      <c r="I491" s="250"/>
      <c r="J491" s="250"/>
      <c r="K491" s="270"/>
      <c r="L491" s="250"/>
      <c r="M491" s="250"/>
      <c r="N491" s="540" t="str">
        <f>CONCATENATE(IF(OR(M491=phu!$I$1,M491=phu!$I$2,M491=phu!$I$3),"Cam Thành Nam",""),IF(OR(M491=phu!$I$4,M491=phu!$I$5,M491=phu!$I$6,M491=phu!$I$7,M491=phu!$I$8,M491=phu!$I$9,M491=phu!$I$10,M491=phu!$I$11,M491=phu!$I$12,M491=phu!$I$13,M491=phu!$I$14),"Cam Nghĩa",""),IF(OR(M491=phu!$I$15,M491=phu!$I$16,M491=phu!$I$17,M491=phu!$I$18,M491=phu!$I$19,M491=phu!$I$20,M491=phu!$I$21),"Cam Phúc Bắc",""),IF(OR(M491=phu!$I$22,M491=phu!$I$23,M491=phu!$I$24,M491=phu!$I$25),"Cam Phúc Nam",""),IF(OR(M491=phu!$I$26,M491=phu!$I$27,M491=phu!$I$28,M491=phu!$I$29,M491=phu!$I$30,M491=phu!$I$31),"Cam Phú",""),IF(OR(M491=phu!$I$32,M491=phu!$I$33,M491=phu!$I$34,M491=phu!$I$35,M491=phu!$I$36,M491=phu!$I$37),"Cam Lộc",""),IF(OR(M491=phu!$I$38,M491=phu!$I$39,M491=phu!$I$40,M491=phu!$I$41,M491=phu!$I$42,M491=phu!$I$43,M491=phu!$I$44),"Cam Thuận",""),IF(OR(M491=phu!$I$45,M491=phu!$I$46,M491=phu!$I$47,M491=phu!$I$48,M491=phu!$I$49,M491=phu!$I$50,M491=phu!$I$51,M491=phu!$I$52,M491=phu!$I$53),"Cam Linh",""),IF(OR(M491=phu!$I$54,M491=phu!$I$55,M491=phu!$I$56,M491=phu!$I$57,M491=phu!$I$58,M491=phu!$I$59,M491=phu!$I$60,M491=phu!$I$61,M491=phu!$I$62),"Cam Lợi",""),IF(OR(M491=phu!$I$63,M491=phu!$I$64,M491=phu!$I$65,M491=phu!$I$66,M491=phu!$I$67,M491=phu!$I$68,M491=phu!$I$69,M491=phu!$I$70,M491=phu!$I$71),"Ba Ngòi",""),IF(OR(M491=phu!$I$72,M491=phu!$I$73,M491=phu!$I$74,M491=phu!$I$75,M491=phu!$I$76,M491=phu!$I$77,M491=phu!$I$78),"Cam Phước Đông",""),IF(OR(M491=phu!$I$79,M491=phu!$I$80,M491=phu!$I$81,M491=phu!$I$82,M491=phu!$I$83,M491=phu!$I$84),"Cam Thịnh Đông",""),IF(OR(M491=phu!$I$85,M491=phu!$I$86,M491=phu!$I$87,M491=phu!$I$88),"Cam Thịnh Tây",""),IF(OR(M491=phu!$I$89,M491=phu!$I$90),"Cam Lập",""),IF(OR(M491=phu!$I$91,M491=phu!$I$92,M491=phu!$I$93),"Cam Bình",""),IF(OR(M491=phu!$I$94,M491=phu!$I$95,M491=phu!$I$96,M491=phu!$I$97,M491=phu!$I$98,M491=phu!$I$99,M491=phu!$I$100),"Huyện khác",""),IF(OR(M491=phu!$I$101,M491=phu!$I$102),"Tỉnh khác",""))</f>
        <v/>
      </c>
      <c r="O491" s="829" t="str">
        <f t="shared" si="42"/>
        <v/>
      </c>
      <c r="P491" s="254"/>
      <c r="Q491" s="254"/>
      <c r="R491" s="254"/>
      <c r="S491" s="254"/>
      <c r="T491" s="254"/>
      <c r="U491" s="254"/>
      <c r="V491" s="254"/>
      <c r="W491" s="254"/>
      <c r="Y491" s="246" t="str">
        <f t="shared" si="43"/>
        <v/>
      </c>
      <c r="Z491" s="247" t="str">
        <f t="shared" si="47"/>
        <v/>
      </c>
      <c r="AA491" s="246" t="str">
        <f t="shared" si="44"/>
        <v/>
      </c>
    </row>
    <row r="492" spans="1:27" ht="18" customHeight="1" x14ac:dyDescent="0.25">
      <c r="A492" s="248" t="str">
        <f t="shared" si="45"/>
        <v/>
      </c>
      <c r="B492" s="249" t="str">
        <f t="shared" si="46"/>
        <v/>
      </c>
      <c r="C492" s="250"/>
      <c r="D492" s="251"/>
      <c r="E492" s="241"/>
      <c r="F492" s="252"/>
      <c r="G492" s="252"/>
      <c r="H492" s="253"/>
      <c r="I492" s="250"/>
      <c r="J492" s="250"/>
      <c r="K492" s="270"/>
      <c r="L492" s="250"/>
      <c r="M492" s="250"/>
      <c r="N492" s="540" t="str">
        <f>CONCATENATE(IF(OR(M492=phu!$I$1,M492=phu!$I$2,M492=phu!$I$3),"Cam Thành Nam",""),IF(OR(M492=phu!$I$4,M492=phu!$I$5,M492=phu!$I$6,M492=phu!$I$7,M492=phu!$I$8,M492=phu!$I$9,M492=phu!$I$10,M492=phu!$I$11,M492=phu!$I$12,M492=phu!$I$13,M492=phu!$I$14),"Cam Nghĩa",""),IF(OR(M492=phu!$I$15,M492=phu!$I$16,M492=phu!$I$17,M492=phu!$I$18,M492=phu!$I$19,M492=phu!$I$20,M492=phu!$I$21),"Cam Phúc Bắc",""),IF(OR(M492=phu!$I$22,M492=phu!$I$23,M492=phu!$I$24,M492=phu!$I$25),"Cam Phúc Nam",""),IF(OR(M492=phu!$I$26,M492=phu!$I$27,M492=phu!$I$28,M492=phu!$I$29,M492=phu!$I$30,M492=phu!$I$31),"Cam Phú",""),IF(OR(M492=phu!$I$32,M492=phu!$I$33,M492=phu!$I$34,M492=phu!$I$35,M492=phu!$I$36,M492=phu!$I$37),"Cam Lộc",""),IF(OR(M492=phu!$I$38,M492=phu!$I$39,M492=phu!$I$40,M492=phu!$I$41,M492=phu!$I$42,M492=phu!$I$43,M492=phu!$I$44),"Cam Thuận",""),IF(OR(M492=phu!$I$45,M492=phu!$I$46,M492=phu!$I$47,M492=phu!$I$48,M492=phu!$I$49,M492=phu!$I$50,M492=phu!$I$51,M492=phu!$I$52,M492=phu!$I$53),"Cam Linh",""),IF(OR(M492=phu!$I$54,M492=phu!$I$55,M492=phu!$I$56,M492=phu!$I$57,M492=phu!$I$58,M492=phu!$I$59,M492=phu!$I$60,M492=phu!$I$61,M492=phu!$I$62),"Cam Lợi",""),IF(OR(M492=phu!$I$63,M492=phu!$I$64,M492=phu!$I$65,M492=phu!$I$66,M492=phu!$I$67,M492=phu!$I$68,M492=phu!$I$69,M492=phu!$I$70,M492=phu!$I$71),"Ba Ngòi",""),IF(OR(M492=phu!$I$72,M492=phu!$I$73,M492=phu!$I$74,M492=phu!$I$75,M492=phu!$I$76,M492=phu!$I$77,M492=phu!$I$78),"Cam Phước Đông",""),IF(OR(M492=phu!$I$79,M492=phu!$I$80,M492=phu!$I$81,M492=phu!$I$82,M492=phu!$I$83,M492=phu!$I$84),"Cam Thịnh Đông",""),IF(OR(M492=phu!$I$85,M492=phu!$I$86,M492=phu!$I$87,M492=phu!$I$88),"Cam Thịnh Tây",""),IF(OR(M492=phu!$I$89,M492=phu!$I$90),"Cam Lập",""),IF(OR(M492=phu!$I$91,M492=phu!$I$92,M492=phu!$I$93),"Cam Bình",""),IF(OR(M492=phu!$I$94,M492=phu!$I$95,M492=phu!$I$96,M492=phu!$I$97,M492=phu!$I$98,M492=phu!$I$99,M492=phu!$I$100),"Huyện khác",""),IF(OR(M492=phu!$I$101,M492=phu!$I$102),"Tỉnh khác",""))</f>
        <v/>
      </c>
      <c r="O492" s="829" t="str">
        <f t="shared" si="42"/>
        <v/>
      </c>
      <c r="P492" s="254"/>
      <c r="Q492" s="254"/>
      <c r="R492" s="254"/>
      <c r="S492" s="254"/>
      <c r="T492" s="254"/>
      <c r="U492" s="254"/>
      <c r="V492" s="254"/>
      <c r="W492" s="254"/>
      <c r="Y492" s="246" t="str">
        <f t="shared" si="43"/>
        <v/>
      </c>
      <c r="Z492" s="247" t="str">
        <f t="shared" si="47"/>
        <v/>
      </c>
      <c r="AA492" s="246" t="str">
        <f t="shared" si="44"/>
        <v/>
      </c>
    </row>
    <row r="493" spans="1:27" ht="18" customHeight="1" x14ac:dyDescent="0.25">
      <c r="A493" s="248" t="str">
        <f t="shared" si="45"/>
        <v/>
      </c>
      <c r="B493" s="249" t="str">
        <f t="shared" si="46"/>
        <v/>
      </c>
      <c r="C493" s="250"/>
      <c r="D493" s="251"/>
      <c r="E493" s="241"/>
      <c r="F493" s="252"/>
      <c r="G493" s="252"/>
      <c r="H493" s="253"/>
      <c r="I493" s="250"/>
      <c r="J493" s="250"/>
      <c r="K493" s="270"/>
      <c r="L493" s="250"/>
      <c r="M493" s="250"/>
      <c r="N493" s="540" t="str">
        <f>CONCATENATE(IF(OR(M493=phu!$I$1,M493=phu!$I$2,M493=phu!$I$3),"Cam Thành Nam",""),IF(OR(M493=phu!$I$4,M493=phu!$I$5,M493=phu!$I$6,M493=phu!$I$7,M493=phu!$I$8,M493=phu!$I$9,M493=phu!$I$10,M493=phu!$I$11,M493=phu!$I$12,M493=phu!$I$13,M493=phu!$I$14),"Cam Nghĩa",""),IF(OR(M493=phu!$I$15,M493=phu!$I$16,M493=phu!$I$17,M493=phu!$I$18,M493=phu!$I$19,M493=phu!$I$20,M493=phu!$I$21),"Cam Phúc Bắc",""),IF(OR(M493=phu!$I$22,M493=phu!$I$23,M493=phu!$I$24,M493=phu!$I$25),"Cam Phúc Nam",""),IF(OR(M493=phu!$I$26,M493=phu!$I$27,M493=phu!$I$28,M493=phu!$I$29,M493=phu!$I$30,M493=phu!$I$31),"Cam Phú",""),IF(OR(M493=phu!$I$32,M493=phu!$I$33,M493=phu!$I$34,M493=phu!$I$35,M493=phu!$I$36,M493=phu!$I$37),"Cam Lộc",""),IF(OR(M493=phu!$I$38,M493=phu!$I$39,M493=phu!$I$40,M493=phu!$I$41,M493=phu!$I$42,M493=phu!$I$43,M493=phu!$I$44),"Cam Thuận",""),IF(OR(M493=phu!$I$45,M493=phu!$I$46,M493=phu!$I$47,M493=phu!$I$48,M493=phu!$I$49,M493=phu!$I$50,M493=phu!$I$51,M493=phu!$I$52,M493=phu!$I$53),"Cam Linh",""),IF(OR(M493=phu!$I$54,M493=phu!$I$55,M493=phu!$I$56,M493=phu!$I$57,M493=phu!$I$58,M493=phu!$I$59,M493=phu!$I$60,M493=phu!$I$61,M493=phu!$I$62),"Cam Lợi",""),IF(OR(M493=phu!$I$63,M493=phu!$I$64,M493=phu!$I$65,M493=phu!$I$66,M493=phu!$I$67,M493=phu!$I$68,M493=phu!$I$69,M493=phu!$I$70,M493=phu!$I$71),"Ba Ngòi",""),IF(OR(M493=phu!$I$72,M493=phu!$I$73,M493=phu!$I$74,M493=phu!$I$75,M493=phu!$I$76,M493=phu!$I$77,M493=phu!$I$78),"Cam Phước Đông",""),IF(OR(M493=phu!$I$79,M493=phu!$I$80,M493=phu!$I$81,M493=phu!$I$82,M493=phu!$I$83,M493=phu!$I$84),"Cam Thịnh Đông",""),IF(OR(M493=phu!$I$85,M493=phu!$I$86,M493=phu!$I$87,M493=phu!$I$88),"Cam Thịnh Tây",""),IF(OR(M493=phu!$I$89,M493=phu!$I$90),"Cam Lập",""),IF(OR(M493=phu!$I$91,M493=phu!$I$92,M493=phu!$I$93),"Cam Bình",""),IF(OR(M493=phu!$I$94,M493=phu!$I$95,M493=phu!$I$96,M493=phu!$I$97,M493=phu!$I$98,M493=phu!$I$99,M493=phu!$I$100),"Huyện khác",""),IF(OR(M493=phu!$I$101,M493=phu!$I$102),"Tỉnh khác",""))</f>
        <v/>
      </c>
      <c r="O493" s="829" t="str">
        <f t="shared" si="42"/>
        <v/>
      </c>
      <c r="P493" s="254"/>
      <c r="Q493" s="254"/>
      <c r="R493" s="254"/>
      <c r="S493" s="254"/>
      <c r="T493" s="254"/>
      <c r="U493" s="254"/>
      <c r="V493" s="254"/>
      <c r="W493" s="254"/>
      <c r="Y493" s="246" t="str">
        <f t="shared" si="43"/>
        <v/>
      </c>
      <c r="Z493" s="247" t="str">
        <f t="shared" si="47"/>
        <v/>
      </c>
      <c r="AA493" s="246" t="str">
        <f t="shared" si="44"/>
        <v/>
      </c>
    </row>
    <row r="494" spans="1:27" ht="18" customHeight="1" x14ac:dyDescent="0.25">
      <c r="A494" s="248" t="str">
        <f t="shared" si="45"/>
        <v/>
      </c>
      <c r="B494" s="249" t="str">
        <f t="shared" si="46"/>
        <v/>
      </c>
      <c r="C494" s="250"/>
      <c r="D494" s="251"/>
      <c r="E494" s="241"/>
      <c r="F494" s="252"/>
      <c r="G494" s="252"/>
      <c r="H494" s="253"/>
      <c r="I494" s="250"/>
      <c r="J494" s="250"/>
      <c r="K494" s="270"/>
      <c r="L494" s="250"/>
      <c r="M494" s="250"/>
      <c r="N494" s="540" t="str">
        <f>CONCATENATE(IF(OR(M494=phu!$I$1,M494=phu!$I$2,M494=phu!$I$3),"Cam Thành Nam",""),IF(OR(M494=phu!$I$4,M494=phu!$I$5,M494=phu!$I$6,M494=phu!$I$7,M494=phu!$I$8,M494=phu!$I$9,M494=phu!$I$10,M494=phu!$I$11,M494=phu!$I$12,M494=phu!$I$13,M494=phu!$I$14),"Cam Nghĩa",""),IF(OR(M494=phu!$I$15,M494=phu!$I$16,M494=phu!$I$17,M494=phu!$I$18,M494=phu!$I$19,M494=phu!$I$20,M494=phu!$I$21),"Cam Phúc Bắc",""),IF(OR(M494=phu!$I$22,M494=phu!$I$23,M494=phu!$I$24,M494=phu!$I$25),"Cam Phúc Nam",""),IF(OR(M494=phu!$I$26,M494=phu!$I$27,M494=phu!$I$28,M494=phu!$I$29,M494=phu!$I$30,M494=phu!$I$31),"Cam Phú",""),IF(OR(M494=phu!$I$32,M494=phu!$I$33,M494=phu!$I$34,M494=phu!$I$35,M494=phu!$I$36,M494=phu!$I$37),"Cam Lộc",""),IF(OR(M494=phu!$I$38,M494=phu!$I$39,M494=phu!$I$40,M494=phu!$I$41,M494=phu!$I$42,M494=phu!$I$43,M494=phu!$I$44),"Cam Thuận",""),IF(OR(M494=phu!$I$45,M494=phu!$I$46,M494=phu!$I$47,M494=phu!$I$48,M494=phu!$I$49,M494=phu!$I$50,M494=phu!$I$51,M494=phu!$I$52,M494=phu!$I$53),"Cam Linh",""),IF(OR(M494=phu!$I$54,M494=phu!$I$55,M494=phu!$I$56,M494=phu!$I$57,M494=phu!$I$58,M494=phu!$I$59,M494=phu!$I$60,M494=phu!$I$61,M494=phu!$I$62),"Cam Lợi",""),IF(OR(M494=phu!$I$63,M494=phu!$I$64,M494=phu!$I$65,M494=phu!$I$66,M494=phu!$I$67,M494=phu!$I$68,M494=phu!$I$69,M494=phu!$I$70,M494=phu!$I$71),"Ba Ngòi",""),IF(OR(M494=phu!$I$72,M494=phu!$I$73,M494=phu!$I$74,M494=phu!$I$75,M494=phu!$I$76,M494=phu!$I$77,M494=phu!$I$78),"Cam Phước Đông",""),IF(OR(M494=phu!$I$79,M494=phu!$I$80,M494=phu!$I$81,M494=phu!$I$82,M494=phu!$I$83,M494=phu!$I$84),"Cam Thịnh Đông",""),IF(OR(M494=phu!$I$85,M494=phu!$I$86,M494=phu!$I$87,M494=phu!$I$88),"Cam Thịnh Tây",""),IF(OR(M494=phu!$I$89,M494=phu!$I$90),"Cam Lập",""),IF(OR(M494=phu!$I$91,M494=phu!$I$92,M494=phu!$I$93),"Cam Bình",""),IF(OR(M494=phu!$I$94,M494=phu!$I$95,M494=phu!$I$96,M494=phu!$I$97,M494=phu!$I$98,M494=phu!$I$99,M494=phu!$I$100),"Huyện khác",""),IF(OR(M494=phu!$I$101,M494=phu!$I$102),"Tỉnh khác",""))</f>
        <v/>
      </c>
      <c r="O494" s="829" t="str">
        <f t="shared" si="42"/>
        <v/>
      </c>
      <c r="P494" s="254"/>
      <c r="Q494" s="254"/>
      <c r="R494" s="254"/>
      <c r="S494" s="254"/>
      <c r="T494" s="254"/>
      <c r="U494" s="254"/>
      <c r="V494" s="254"/>
      <c r="W494" s="254"/>
      <c r="Y494" s="246" t="str">
        <f t="shared" si="43"/>
        <v/>
      </c>
      <c r="Z494" s="247" t="str">
        <f t="shared" si="47"/>
        <v/>
      </c>
      <c r="AA494" s="246" t="str">
        <f t="shared" si="44"/>
        <v/>
      </c>
    </row>
    <row r="495" spans="1:27" ht="18" customHeight="1" x14ac:dyDescent="0.25">
      <c r="A495" s="248" t="str">
        <f t="shared" si="45"/>
        <v/>
      </c>
      <c r="B495" s="249" t="str">
        <f t="shared" si="46"/>
        <v/>
      </c>
      <c r="C495" s="250"/>
      <c r="D495" s="251"/>
      <c r="E495" s="241"/>
      <c r="F495" s="252"/>
      <c r="G495" s="252"/>
      <c r="H495" s="253"/>
      <c r="I495" s="250"/>
      <c r="J495" s="250"/>
      <c r="K495" s="270"/>
      <c r="L495" s="250"/>
      <c r="M495" s="250"/>
      <c r="N495" s="540" t="str">
        <f>CONCATENATE(IF(OR(M495=phu!$I$1,M495=phu!$I$2,M495=phu!$I$3),"Cam Thành Nam",""),IF(OR(M495=phu!$I$4,M495=phu!$I$5,M495=phu!$I$6,M495=phu!$I$7,M495=phu!$I$8,M495=phu!$I$9,M495=phu!$I$10,M495=phu!$I$11,M495=phu!$I$12,M495=phu!$I$13,M495=phu!$I$14),"Cam Nghĩa",""),IF(OR(M495=phu!$I$15,M495=phu!$I$16,M495=phu!$I$17,M495=phu!$I$18,M495=phu!$I$19,M495=phu!$I$20,M495=phu!$I$21),"Cam Phúc Bắc",""),IF(OR(M495=phu!$I$22,M495=phu!$I$23,M495=phu!$I$24,M495=phu!$I$25),"Cam Phúc Nam",""),IF(OR(M495=phu!$I$26,M495=phu!$I$27,M495=phu!$I$28,M495=phu!$I$29,M495=phu!$I$30,M495=phu!$I$31),"Cam Phú",""),IF(OR(M495=phu!$I$32,M495=phu!$I$33,M495=phu!$I$34,M495=phu!$I$35,M495=phu!$I$36,M495=phu!$I$37),"Cam Lộc",""),IF(OR(M495=phu!$I$38,M495=phu!$I$39,M495=phu!$I$40,M495=phu!$I$41,M495=phu!$I$42,M495=phu!$I$43,M495=phu!$I$44),"Cam Thuận",""),IF(OR(M495=phu!$I$45,M495=phu!$I$46,M495=phu!$I$47,M495=phu!$I$48,M495=phu!$I$49,M495=phu!$I$50,M495=phu!$I$51,M495=phu!$I$52,M495=phu!$I$53),"Cam Linh",""),IF(OR(M495=phu!$I$54,M495=phu!$I$55,M495=phu!$I$56,M495=phu!$I$57,M495=phu!$I$58,M495=phu!$I$59,M495=phu!$I$60,M495=phu!$I$61,M495=phu!$I$62),"Cam Lợi",""),IF(OR(M495=phu!$I$63,M495=phu!$I$64,M495=phu!$I$65,M495=phu!$I$66,M495=phu!$I$67,M495=phu!$I$68,M495=phu!$I$69,M495=phu!$I$70,M495=phu!$I$71),"Ba Ngòi",""),IF(OR(M495=phu!$I$72,M495=phu!$I$73,M495=phu!$I$74,M495=phu!$I$75,M495=phu!$I$76,M495=phu!$I$77,M495=phu!$I$78),"Cam Phước Đông",""),IF(OR(M495=phu!$I$79,M495=phu!$I$80,M495=phu!$I$81,M495=phu!$I$82,M495=phu!$I$83,M495=phu!$I$84),"Cam Thịnh Đông",""),IF(OR(M495=phu!$I$85,M495=phu!$I$86,M495=phu!$I$87,M495=phu!$I$88),"Cam Thịnh Tây",""),IF(OR(M495=phu!$I$89,M495=phu!$I$90),"Cam Lập",""),IF(OR(M495=phu!$I$91,M495=phu!$I$92,M495=phu!$I$93),"Cam Bình",""),IF(OR(M495=phu!$I$94,M495=phu!$I$95,M495=phu!$I$96,M495=phu!$I$97,M495=phu!$I$98,M495=phu!$I$99,M495=phu!$I$100),"Huyện khác",""),IF(OR(M495=phu!$I$101,M495=phu!$I$102),"Tỉnh khác",""))</f>
        <v/>
      </c>
      <c r="O495" s="829" t="str">
        <f t="shared" si="42"/>
        <v/>
      </c>
      <c r="P495" s="254"/>
      <c r="Q495" s="254"/>
      <c r="R495" s="254"/>
      <c r="S495" s="254"/>
      <c r="T495" s="254"/>
      <c r="U495" s="254"/>
      <c r="V495" s="254"/>
      <c r="W495" s="254"/>
      <c r="Y495" s="246" t="str">
        <f t="shared" si="43"/>
        <v/>
      </c>
      <c r="Z495" s="247" t="str">
        <f t="shared" si="47"/>
        <v/>
      </c>
      <c r="AA495" s="246" t="str">
        <f t="shared" si="44"/>
        <v/>
      </c>
    </row>
    <row r="496" spans="1:27" ht="18" customHeight="1" x14ac:dyDescent="0.25">
      <c r="A496" s="248" t="str">
        <f t="shared" si="45"/>
        <v/>
      </c>
      <c r="B496" s="249" t="str">
        <f t="shared" si="46"/>
        <v/>
      </c>
      <c r="C496" s="250"/>
      <c r="D496" s="251"/>
      <c r="E496" s="241"/>
      <c r="F496" s="252"/>
      <c r="G496" s="252"/>
      <c r="H496" s="253"/>
      <c r="I496" s="250"/>
      <c r="J496" s="250"/>
      <c r="K496" s="270"/>
      <c r="L496" s="250"/>
      <c r="M496" s="250"/>
      <c r="N496" s="540" t="str">
        <f>CONCATENATE(IF(OR(M496=phu!$I$1,M496=phu!$I$2,M496=phu!$I$3),"Cam Thành Nam",""),IF(OR(M496=phu!$I$4,M496=phu!$I$5,M496=phu!$I$6,M496=phu!$I$7,M496=phu!$I$8,M496=phu!$I$9,M496=phu!$I$10,M496=phu!$I$11,M496=phu!$I$12,M496=phu!$I$13,M496=phu!$I$14),"Cam Nghĩa",""),IF(OR(M496=phu!$I$15,M496=phu!$I$16,M496=phu!$I$17,M496=phu!$I$18,M496=phu!$I$19,M496=phu!$I$20,M496=phu!$I$21),"Cam Phúc Bắc",""),IF(OR(M496=phu!$I$22,M496=phu!$I$23,M496=phu!$I$24,M496=phu!$I$25),"Cam Phúc Nam",""),IF(OR(M496=phu!$I$26,M496=phu!$I$27,M496=phu!$I$28,M496=phu!$I$29,M496=phu!$I$30,M496=phu!$I$31),"Cam Phú",""),IF(OR(M496=phu!$I$32,M496=phu!$I$33,M496=phu!$I$34,M496=phu!$I$35,M496=phu!$I$36,M496=phu!$I$37),"Cam Lộc",""),IF(OR(M496=phu!$I$38,M496=phu!$I$39,M496=phu!$I$40,M496=phu!$I$41,M496=phu!$I$42,M496=phu!$I$43,M496=phu!$I$44),"Cam Thuận",""),IF(OR(M496=phu!$I$45,M496=phu!$I$46,M496=phu!$I$47,M496=phu!$I$48,M496=phu!$I$49,M496=phu!$I$50,M496=phu!$I$51,M496=phu!$I$52,M496=phu!$I$53),"Cam Linh",""),IF(OR(M496=phu!$I$54,M496=phu!$I$55,M496=phu!$I$56,M496=phu!$I$57,M496=phu!$I$58,M496=phu!$I$59,M496=phu!$I$60,M496=phu!$I$61,M496=phu!$I$62),"Cam Lợi",""),IF(OR(M496=phu!$I$63,M496=phu!$I$64,M496=phu!$I$65,M496=phu!$I$66,M496=phu!$I$67,M496=phu!$I$68,M496=phu!$I$69,M496=phu!$I$70,M496=phu!$I$71),"Ba Ngòi",""),IF(OR(M496=phu!$I$72,M496=phu!$I$73,M496=phu!$I$74,M496=phu!$I$75,M496=phu!$I$76,M496=phu!$I$77,M496=phu!$I$78),"Cam Phước Đông",""),IF(OR(M496=phu!$I$79,M496=phu!$I$80,M496=phu!$I$81,M496=phu!$I$82,M496=phu!$I$83,M496=phu!$I$84),"Cam Thịnh Đông",""),IF(OR(M496=phu!$I$85,M496=phu!$I$86,M496=phu!$I$87,M496=phu!$I$88),"Cam Thịnh Tây",""),IF(OR(M496=phu!$I$89,M496=phu!$I$90),"Cam Lập",""),IF(OR(M496=phu!$I$91,M496=phu!$I$92,M496=phu!$I$93),"Cam Bình",""),IF(OR(M496=phu!$I$94,M496=phu!$I$95,M496=phu!$I$96,M496=phu!$I$97,M496=phu!$I$98,M496=phu!$I$99,M496=phu!$I$100),"Huyện khác",""),IF(OR(M496=phu!$I$101,M496=phu!$I$102),"Tỉnh khác",""))</f>
        <v/>
      </c>
      <c r="O496" s="829" t="str">
        <f t="shared" si="42"/>
        <v/>
      </c>
      <c r="P496" s="254"/>
      <c r="Q496" s="254"/>
      <c r="R496" s="254"/>
      <c r="S496" s="254"/>
      <c r="T496" s="254"/>
      <c r="U496" s="254"/>
      <c r="V496" s="254"/>
      <c r="W496" s="254"/>
      <c r="Y496" s="246" t="str">
        <f t="shared" si="43"/>
        <v/>
      </c>
      <c r="Z496" s="247" t="str">
        <f t="shared" si="47"/>
        <v/>
      </c>
      <c r="AA496" s="246" t="str">
        <f t="shared" si="44"/>
        <v/>
      </c>
    </row>
    <row r="497" spans="1:27" ht="18" customHeight="1" x14ac:dyDescent="0.25">
      <c r="A497" s="248" t="str">
        <f t="shared" si="45"/>
        <v/>
      </c>
      <c r="B497" s="249" t="str">
        <f t="shared" si="46"/>
        <v/>
      </c>
      <c r="C497" s="250"/>
      <c r="D497" s="251"/>
      <c r="E497" s="241"/>
      <c r="F497" s="252"/>
      <c r="G497" s="252"/>
      <c r="H497" s="253"/>
      <c r="I497" s="250"/>
      <c r="J497" s="250"/>
      <c r="K497" s="270"/>
      <c r="L497" s="250"/>
      <c r="M497" s="250"/>
      <c r="N497" s="540" t="str">
        <f>CONCATENATE(IF(OR(M497=phu!$I$1,M497=phu!$I$2,M497=phu!$I$3),"Cam Thành Nam",""),IF(OR(M497=phu!$I$4,M497=phu!$I$5,M497=phu!$I$6,M497=phu!$I$7,M497=phu!$I$8,M497=phu!$I$9,M497=phu!$I$10,M497=phu!$I$11,M497=phu!$I$12,M497=phu!$I$13,M497=phu!$I$14),"Cam Nghĩa",""),IF(OR(M497=phu!$I$15,M497=phu!$I$16,M497=phu!$I$17,M497=phu!$I$18,M497=phu!$I$19,M497=phu!$I$20,M497=phu!$I$21),"Cam Phúc Bắc",""),IF(OR(M497=phu!$I$22,M497=phu!$I$23,M497=phu!$I$24,M497=phu!$I$25),"Cam Phúc Nam",""),IF(OR(M497=phu!$I$26,M497=phu!$I$27,M497=phu!$I$28,M497=phu!$I$29,M497=phu!$I$30,M497=phu!$I$31),"Cam Phú",""),IF(OR(M497=phu!$I$32,M497=phu!$I$33,M497=phu!$I$34,M497=phu!$I$35,M497=phu!$I$36,M497=phu!$I$37),"Cam Lộc",""),IF(OR(M497=phu!$I$38,M497=phu!$I$39,M497=phu!$I$40,M497=phu!$I$41,M497=phu!$I$42,M497=phu!$I$43,M497=phu!$I$44),"Cam Thuận",""),IF(OR(M497=phu!$I$45,M497=phu!$I$46,M497=phu!$I$47,M497=phu!$I$48,M497=phu!$I$49,M497=phu!$I$50,M497=phu!$I$51,M497=phu!$I$52,M497=phu!$I$53),"Cam Linh",""),IF(OR(M497=phu!$I$54,M497=phu!$I$55,M497=phu!$I$56,M497=phu!$I$57,M497=phu!$I$58,M497=phu!$I$59,M497=phu!$I$60,M497=phu!$I$61,M497=phu!$I$62),"Cam Lợi",""),IF(OR(M497=phu!$I$63,M497=phu!$I$64,M497=phu!$I$65,M497=phu!$I$66,M497=phu!$I$67,M497=phu!$I$68,M497=phu!$I$69,M497=phu!$I$70,M497=phu!$I$71),"Ba Ngòi",""),IF(OR(M497=phu!$I$72,M497=phu!$I$73,M497=phu!$I$74,M497=phu!$I$75,M497=phu!$I$76,M497=phu!$I$77,M497=phu!$I$78),"Cam Phước Đông",""),IF(OR(M497=phu!$I$79,M497=phu!$I$80,M497=phu!$I$81,M497=phu!$I$82,M497=phu!$I$83,M497=phu!$I$84),"Cam Thịnh Đông",""),IF(OR(M497=phu!$I$85,M497=phu!$I$86,M497=phu!$I$87,M497=phu!$I$88),"Cam Thịnh Tây",""),IF(OR(M497=phu!$I$89,M497=phu!$I$90),"Cam Lập",""),IF(OR(M497=phu!$I$91,M497=phu!$I$92,M497=phu!$I$93),"Cam Bình",""),IF(OR(M497=phu!$I$94,M497=phu!$I$95,M497=phu!$I$96,M497=phu!$I$97,M497=phu!$I$98,M497=phu!$I$99,M497=phu!$I$100),"Huyện khác",""),IF(OR(M497=phu!$I$101,M497=phu!$I$102),"Tỉnh khác",""))</f>
        <v/>
      </c>
      <c r="O497" s="829" t="str">
        <f t="shared" si="42"/>
        <v/>
      </c>
      <c r="P497" s="254"/>
      <c r="Q497" s="254"/>
      <c r="R497" s="254"/>
      <c r="S497" s="254"/>
      <c r="T497" s="254"/>
      <c r="U497" s="254"/>
      <c r="V497" s="254"/>
      <c r="W497" s="254"/>
      <c r="Y497" s="246" t="str">
        <f t="shared" si="43"/>
        <v/>
      </c>
      <c r="Z497" s="247" t="str">
        <f t="shared" si="47"/>
        <v/>
      </c>
      <c r="AA497" s="246" t="str">
        <f t="shared" si="44"/>
        <v/>
      </c>
    </row>
    <row r="498" spans="1:27" ht="18" customHeight="1" x14ac:dyDescent="0.25">
      <c r="A498" s="248" t="str">
        <f t="shared" si="45"/>
        <v/>
      </c>
      <c r="B498" s="249" t="str">
        <f t="shared" si="46"/>
        <v/>
      </c>
      <c r="C498" s="250"/>
      <c r="D498" s="251"/>
      <c r="E498" s="241"/>
      <c r="F498" s="252"/>
      <c r="G498" s="252"/>
      <c r="H498" s="253"/>
      <c r="I498" s="250"/>
      <c r="J498" s="250"/>
      <c r="K498" s="270"/>
      <c r="L498" s="250"/>
      <c r="M498" s="250"/>
      <c r="N498" s="540" t="str">
        <f>CONCATENATE(IF(OR(M498=phu!$I$1,M498=phu!$I$2,M498=phu!$I$3),"Cam Thành Nam",""),IF(OR(M498=phu!$I$4,M498=phu!$I$5,M498=phu!$I$6,M498=phu!$I$7,M498=phu!$I$8,M498=phu!$I$9,M498=phu!$I$10,M498=phu!$I$11,M498=phu!$I$12,M498=phu!$I$13,M498=phu!$I$14),"Cam Nghĩa",""),IF(OR(M498=phu!$I$15,M498=phu!$I$16,M498=phu!$I$17,M498=phu!$I$18,M498=phu!$I$19,M498=phu!$I$20,M498=phu!$I$21),"Cam Phúc Bắc",""),IF(OR(M498=phu!$I$22,M498=phu!$I$23,M498=phu!$I$24,M498=phu!$I$25),"Cam Phúc Nam",""),IF(OR(M498=phu!$I$26,M498=phu!$I$27,M498=phu!$I$28,M498=phu!$I$29,M498=phu!$I$30,M498=phu!$I$31),"Cam Phú",""),IF(OR(M498=phu!$I$32,M498=phu!$I$33,M498=phu!$I$34,M498=phu!$I$35,M498=phu!$I$36,M498=phu!$I$37),"Cam Lộc",""),IF(OR(M498=phu!$I$38,M498=phu!$I$39,M498=phu!$I$40,M498=phu!$I$41,M498=phu!$I$42,M498=phu!$I$43,M498=phu!$I$44),"Cam Thuận",""),IF(OR(M498=phu!$I$45,M498=phu!$I$46,M498=phu!$I$47,M498=phu!$I$48,M498=phu!$I$49,M498=phu!$I$50,M498=phu!$I$51,M498=phu!$I$52,M498=phu!$I$53),"Cam Linh",""),IF(OR(M498=phu!$I$54,M498=phu!$I$55,M498=phu!$I$56,M498=phu!$I$57,M498=phu!$I$58,M498=phu!$I$59,M498=phu!$I$60,M498=phu!$I$61,M498=phu!$I$62),"Cam Lợi",""),IF(OR(M498=phu!$I$63,M498=phu!$I$64,M498=phu!$I$65,M498=phu!$I$66,M498=phu!$I$67,M498=phu!$I$68,M498=phu!$I$69,M498=phu!$I$70,M498=phu!$I$71),"Ba Ngòi",""),IF(OR(M498=phu!$I$72,M498=phu!$I$73,M498=phu!$I$74,M498=phu!$I$75,M498=phu!$I$76,M498=phu!$I$77,M498=phu!$I$78),"Cam Phước Đông",""),IF(OR(M498=phu!$I$79,M498=phu!$I$80,M498=phu!$I$81,M498=phu!$I$82,M498=phu!$I$83,M498=phu!$I$84),"Cam Thịnh Đông",""),IF(OR(M498=phu!$I$85,M498=phu!$I$86,M498=phu!$I$87,M498=phu!$I$88),"Cam Thịnh Tây",""),IF(OR(M498=phu!$I$89,M498=phu!$I$90),"Cam Lập",""),IF(OR(M498=phu!$I$91,M498=phu!$I$92,M498=phu!$I$93),"Cam Bình",""),IF(OR(M498=phu!$I$94,M498=phu!$I$95,M498=phu!$I$96,M498=phu!$I$97,M498=phu!$I$98,M498=phu!$I$99,M498=phu!$I$100),"Huyện khác",""),IF(OR(M498=phu!$I$101,M498=phu!$I$102),"Tỉnh khác",""))</f>
        <v/>
      </c>
      <c r="O498" s="829" t="str">
        <f t="shared" si="42"/>
        <v/>
      </c>
      <c r="P498" s="254"/>
      <c r="Q498" s="254"/>
      <c r="R498" s="254"/>
      <c r="S498" s="254"/>
      <c r="T498" s="254"/>
      <c r="U498" s="254"/>
      <c r="V498" s="254"/>
      <c r="W498" s="254"/>
      <c r="Y498" s="246" t="str">
        <f t="shared" si="43"/>
        <v/>
      </c>
      <c r="Z498" s="247" t="str">
        <f t="shared" si="47"/>
        <v/>
      </c>
      <c r="AA498" s="246" t="str">
        <f t="shared" si="44"/>
        <v/>
      </c>
    </row>
    <row r="499" spans="1:27" ht="18" customHeight="1" x14ac:dyDescent="0.25">
      <c r="A499" s="248" t="str">
        <f t="shared" si="45"/>
        <v/>
      </c>
      <c r="B499" s="249" t="str">
        <f t="shared" si="46"/>
        <v/>
      </c>
      <c r="C499" s="250"/>
      <c r="D499" s="251"/>
      <c r="E499" s="241"/>
      <c r="F499" s="252"/>
      <c r="G499" s="252"/>
      <c r="H499" s="253"/>
      <c r="I499" s="250"/>
      <c r="J499" s="250"/>
      <c r="K499" s="270"/>
      <c r="L499" s="250"/>
      <c r="M499" s="250"/>
      <c r="N499" s="540" t="str">
        <f>CONCATENATE(IF(OR(M499=phu!$I$1,M499=phu!$I$2,M499=phu!$I$3),"Cam Thành Nam",""),IF(OR(M499=phu!$I$4,M499=phu!$I$5,M499=phu!$I$6,M499=phu!$I$7,M499=phu!$I$8,M499=phu!$I$9,M499=phu!$I$10,M499=phu!$I$11,M499=phu!$I$12,M499=phu!$I$13,M499=phu!$I$14),"Cam Nghĩa",""),IF(OR(M499=phu!$I$15,M499=phu!$I$16,M499=phu!$I$17,M499=phu!$I$18,M499=phu!$I$19,M499=phu!$I$20,M499=phu!$I$21),"Cam Phúc Bắc",""),IF(OR(M499=phu!$I$22,M499=phu!$I$23,M499=phu!$I$24,M499=phu!$I$25),"Cam Phúc Nam",""),IF(OR(M499=phu!$I$26,M499=phu!$I$27,M499=phu!$I$28,M499=phu!$I$29,M499=phu!$I$30,M499=phu!$I$31),"Cam Phú",""),IF(OR(M499=phu!$I$32,M499=phu!$I$33,M499=phu!$I$34,M499=phu!$I$35,M499=phu!$I$36,M499=phu!$I$37),"Cam Lộc",""),IF(OR(M499=phu!$I$38,M499=phu!$I$39,M499=phu!$I$40,M499=phu!$I$41,M499=phu!$I$42,M499=phu!$I$43,M499=phu!$I$44),"Cam Thuận",""),IF(OR(M499=phu!$I$45,M499=phu!$I$46,M499=phu!$I$47,M499=phu!$I$48,M499=phu!$I$49,M499=phu!$I$50,M499=phu!$I$51,M499=phu!$I$52,M499=phu!$I$53),"Cam Linh",""),IF(OR(M499=phu!$I$54,M499=phu!$I$55,M499=phu!$I$56,M499=phu!$I$57,M499=phu!$I$58,M499=phu!$I$59,M499=phu!$I$60,M499=phu!$I$61,M499=phu!$I$62),"Cam Lợi",""),IF(OR(M499=phu!$I$63,M499=phu!$I$64,M499=phu!$I$65,M499=phu!$I$66,M499=phu!$I$67,M499=phu!$I$68,M499=phu!$I$69,M499=phu!$I$70,M499=phu!$I$71),"Ba Ngòi",""),IF(OR(M499=phu!$I$72,M499=phu!$I$73,M499=phu!$I$74,M499=phu!$I$75,M499=phu!$I$76,M499=phu!$I$77,M499=phu!$I$78),"Cam Phước Đông",""),IF(OR(M499=phu!$I$79,M499=phu!$I$80,M499=phu!$I$81,M499=phu!$I$82,M499=phu!$I$83,M499=phu!$I$84),"Cam Thịnh Đông",""),IF(OR(M499=phu!$I$85,M499=phu!$I$86,M499=phu!$I$87,M499=phu!$I$88),"Cam Thịnh Tây",""),IF(OR(M499=phu!$I$89,M499=phu!$I$90),"Cam Lập",""),IF(OR(M499=phu!$I$91,M499=phu!$I$92,M499=phu!$I$93),"Cam Bình",""),IF(OR(M499=phu!$I$94,M499=phu!$I$95,M499=phu!$I$96,M499=phu!$I$97,M499=phu!$I$98,M499=phu!$I$99,M499=phu!$I$100),"Huyện khác",""),IF(OR(M499=phu!$I$101,M499=phu!$I$102),"Tỉnh khác",""))</f>
        <v/>
      </c>
      <c r="O499" s="829" t="str">
        <f t="shared" si="42"/>
        <v/>
      </c>
      <c r="P499" s="254"/>
      <c r="Q499" s="254"/>
      <c r="R499" s="254"/>
      <c r="S499" s="254"/>
      <c r="T499" s="254"/>
      <c r="U499" s="254"/>
      <c r="V499" s="254"/>
      <c r="W499" s="254"/>
      <c r="Y499" s="246" t="str">
        <f t="shared" si="43"/>
        <v/>
      </c>
      <c r="Z499" s="247" t="str">
        <f t="shared" si="47"/>
        <v/>
      </c>
      <c r="AA499" s="246" t="str">
        <f t="shared" si="44"/>
        <v/>
      </c>
    </row>
    <row r="500" spans="1:27" ht="18" customHeight="1" x14ac:dyDescent="0.25">
      <c r="A500" s="248" t="str">
        <f t="shared" si="45"/>
        <v/>
      </c>
      <c r="B500" s="249" t="str">
        <f t="shared" si="46"/>
        <v/>
      </c>
      <c r="C500" s="250"/>
      <c r="D500" s="251"/>
      <c r="E500" s="241"/>
      <c r="F500" s="252"/>
      <c r="G500" s="252"/>
      <c r="H500" s="253"/>
      <c r="I500" s="250"/>
      <c r="J500" s="250"/>
      <c r="K500" s="270"/>
      <c r="L500" s="250"/>
      <c r="M500" s="250"/>
      <c r="N500" s="540" t="str">
        <f>CONCATENATE(IF(OR(M500=phu!$I$1,M500=phu!$I$2,M500=phu!$I$3),"Cam Thành Nam",""),IF(OR(M500=phu!$I$4,M500=phu!$I$5,M500=phu!$I$6,M500=phu!$I$7,M500=phu!$I$8,M500=phu!$I$9,M500=phu!$I$10,M500=phu!$I$11,M500=phu!$I$12,M500=phu!$I$13,M500=phu!$I$14),"Cam Nghĩa",""),IF(OR(M500=phu!$I$15,M500=phu!$I$16,M500=phu!$I$17,M500=phu!$I$18,M500=phu!$I$19,M500=phu!$I$20,M500=phu!$I$21),"Cam Phúc Bắc",""),IF(OR(M500=phu!$I$22,M500=phu!$I$23,M500=phu!$I$24,M500=phu!$I$25),"Cam Phúc Nam",""),IF(OR(M500=phu!$I$26,M500=phu!$I$27,M500=phu!$I$28,M500=phu!$I$29,M500=phu!$I$30,M500=phu!$I$31),"Cam Phú",""),IF(OR(M500=phu!$I$32,M500=phu!$I$33,M500=phu!$I$34,M500=phu!$I$35,M500=phu!$I$36,M500=phu!$I$37),"Cam Lộc",""),IF(OR(M500=phu!$I$38,M500=phu!$I$39,M500=phu!$I$40,M500=phu!$I$41,M500=phu!$I$42,M500=phu!$I$43,M500=phu!$I$44),"Cam Thuận",""),IF(OR(M500=phu!$I$45,M500=phu!$I$46,M500=phu!$I$47,M500=phu!$I$48,M500=phu!$I$49,M500=phu!$I$50,M500=phu!$I$51,M500=phu!$I$52,M500=phu!$I$53),"Cam Linh",""),IF(OR(M500=phu!$I$54,M500=phu!$I$55,M500=phu!$I$56,M500=phu!$I$57,M500=phu!$I$58,M500=phu!$I$59,M500=phu!$I$60,M500=phu!$I$61,M500=phu!$I$62),"Cam Lợi",""),IF(OR(M500=phu!$I$63,M500=phu!$I$64,M500=phu!$I$65,M500=phu!$I$66,M500=phu!$I$67,M500=phu!$I$68,M500=phu!$I$69,M500=phu!$I$70,M500=phu!$I$71),"Ba Ngòi",""),IF(OR(M500=phu!$I$72,M500=phu!$I$73,M500=phu!$I$74,M500=phu!$I$75,M500=phu!$I$76,M500=phu!$I$77,M500=phu!$I$78),"Cam Phước Đông",""),IF(OR(M500=phu!$I$79,M500=phu!$I$80,M500=phu!$I$81,M500=phu!$I$82,M500=phu!$I$83,M500=phu!$I$84),"Cam Thịnh Đông",""),IF(OR(M500=phu!$I$85,M500=phu!$I$86,M500=phu!$I$87,M500=phu!$I$88),"Cam Thịnh Tây",""),IF(OR(M500=phu!$I$89,M500=phu!$I$90),"Cam Lập",""),IF(OR(M500=phu!$I$91,M500=phu!$I$92,M500=phu!$I$93),"Cam Bình",""),IF(OR(M500=phu!$I$94,M500=phu!$I$95,M500=phu!$I$96,M500=phu!$I$97,M500=phu!$I$98,M500=phu!$I$99,M500=phu!$I$100),"Huyện khác",""),IF(OR(M500=phu!$I$101,M500=phu!$I$102),"Tỉnh khác",""))</f>
        <v/>
      </c>
      <c r="O500" s="829" t="str">
        <f t="shared" si="42"/>
        <v/>
      </c>
      <c r="P500" s="254"/>
      <c r="Q500" s="254"/>
      <c r="R500" s="254"/>
      <c r="S500" s="254"/>
      <c r="T500" s="254"/>
      <c r="U500" s="254"/>
      <c r="V500" s="254"/>
      <c r="W500" s="254"/>
      <c r="Y500" s="246" t="str">
        <f t="shared" si="43"/>
        <v/>
      </c>
      <c r="Z500" s="247" t="str">
        <f t="shared" si="47"/>
        <v/>
      </c>
      <c r="AA500" s="246" t="str">
        <f t="shared" si="44"/>
        <v/>
      </c>
    </row>
    <row r="501" spans="1:27" ht="18" customHeight="1" x14ac:dyDescent="0.25">
      <c r="A501" s="248" t="str">
        <f t="shared" si="45"/>
        <v/>
      </c>
      <c r="B501" s="249" t="str">
        <f t="shared" si="46"/>
        <v/>
      </c>
      <c r="C501" s="250"/>
      <c r="D501" s="251"/>
      <c r="E501" s="241"/>
      <c r="F501" s="252"/>
      <c r="G501" s="252"/>
      <c r="H501" s="253"/>
      <c r="I501" s="250"/>
      <c r="J501" s="250"/>
      <c r="K501" s="270"/>
      <c r="L501" s="250"/>
      <c r="M501" s="250"/>
      <c r="N501" s="540" t="str">
        <f>CONCATENATE(IF(OR(M501=phu!$I$1,M501=phu!$I$2,M501=phu!$I$3),"Cam Thành Nam",""),IF(OR(M501=phu!$I$4,M501=phu!$I$5,M501=phu!$I$6,M501=phu!$I$7,M501=phu!$I$8,M501=phu!$I$9,M501=phu!$I$10,M501=phu!$I$11,M501=phu!$I$12,M501=phu!$I$13,M501=phu!$I$14),"Cam Nghĩa",""),IF(OR(M501=phu!$I$15,M501=phu!$I$16,M501=phu!$I$17,M501=phu!$I$18,M501=phu!$I$19,M501=phu!$I$20,M501=phu!$I$21),"Cam Phúc Bắc",""),IF(OR(M501=phu!$I$22,M501=phu!$I$23,M501=phu!$I$24,M501=phu!$I$25),"Cam Phúc Nam",""),IF(OR(M501=phu!$I$26,M501=phu!$I$27,M501=phu!$I$28,M501=phu!$I$29,M501=phu!$I$30,M501=phu!$I$31),"Cam Phú",""),IF(OR(M501=phu!$I$32,M501=phu!$I$33,M501=phu!$I$34,M501=phu!$I$35,M501=phu!$I$36,M501=phu!$I$37),"Cam Lộc",""),IF(OR(M501=phu!$I$38,M501=phu!$I$39,M501=phu!$I$40,M501=phu!$I$41,M501=phu!$I$42,M501=phu!$I$43,M501=phu!$I$44),"Cam Thuận",""),IF(OR(M501=phu!$I$45,M501=phu!$I$46,M501=phu!$I$47,M501=phu!$I$48,M501=phu!$I$49,M501=phu!$I$50,M501=phu!$I$51,M501=phu!$I$52,M501=phu!$I$53),"Cam Linh",""),IF(OR(M501=phu!$I$54,M501=phu!$I$55,M501=phu!$I$56,M501=phu!$I$57,M501=phu!$I$58,M501=phu!$I$59,M501=phu!$I$60,M501=phu!$I$61,M501=phu!$I$62),"Cam Lợi",""),IF(OR(M501=phu!$I$63,M501=phu!$I$64,M501=phu!$I$65,M501=phu!$I$66,M501=phu!$I$67,M501=phu!$I$68,M501=phu!$I$69,M501=phu!$I$70,M501=phu!$I$71),"Ba Ngòi",""),IF(OR(M501=phu!$I$72,M501=phu!$I$73,M501=phu!$I$74,M501=phu!$I$75,M501=phu!$I$76,M501=phu!$I$77,M501=phu!$I$78),"Cam Phước Đông",""),IF(OR(M501=phu!$I$79,M501=phu!$I$80,M501=phu!$I$81,M501=phu!$I$82,M501=phu!$I$83,M501=phu!$I$84),"Cam Thịnh Đông",""),IF(OR(M501=phu!$I$85,M501=phu!$I$86,M501=phu!$I$87,M501=phu!$I$88),"Cam Thịnh Tây",""),IF(OR(M501=phu!$I$89,M501=phu!$I$90),"Cam Lập",""),IF(OR(M501=phu!$I$91,M501=phu!$I$92,M501=phu!$I$93),"Cam Bình",""),IF(OR(M501=phu!$I$94,M501=phu!$I$95,M501=phu!$I$96,M501=phu!$I$97,M501=phu!$I$98,M501=phu!$I$99,M501=phu!$I$100),"Huyện khác",""),IF(OR(M501=phu!$I$101,M501=phu!$I$102),"Tỉnh khác",""))</f>
        <v/>
      </c>
      <c r="O501" s="829" t="str">
        <f t="shared" si="42"/>
        <v/>
      </c>
      <c r="P501" s="254"/>
      <c r="Q501" s="254"/>
      <c r="R501" s="254"/>
      <c r="S501" s="254"/>
      <c r="T501" s="254"/>
      <c r="U501" s="254"/>
      <c r="V501" s="254"/>
      <c r="W501" s="254"/>
      <c r="Y501" s="246" t="str">
        <f t="shared" si="43"/>
        <v/>
      </c>
      <c r="Z501" s="247" t="str">
        <f t="shared" si="47"/>
        <v/>
      </c>
      <c r="AA501" s="246" t="str">
        <f t="shared" si="44"/>
        <v/>
      </c>
    </row>
    <row r="502" spans="1:27" ht="18" customHeight="1" x14ac:dyDescent="0.25">
      <c r="A502" s="248" t="str">
        <f t="shared" si="45"/>
        <v/>
      </c>
      <c r="B502" s="249" t="str">
        <f t="shared" si="46"/>
        <v/>
      </c>
      <c r="C502" s="250"/>
      <c r="D502" s="251"/>
      <c r="E502" s="241"/>
      <c r="F502" s="252"/>
      <c r="G502" s="252"/>
      <c r="H502" s="253"/>
      <c r="I502" s="250"/>
      <c r="J502" s="250"/>
      <c r="K502" s="270"/>
      <c r="L502" s="250"/>
      <c r="M502" s="250"/>
      <c r="N502" s="540" t="str">
        <f>CONCATENATE(IF(OR(M502=phu!$I$1,M502=phu!$I$2,M502=phu!$I$3),"Cam Thành Nam",""),IF(OR(M502=phu!$I$4,M502=phu!$I$5,M502=phu!$I$6,M502=phu!$I$7,M502=phu!$I$8,M502=phu!$I$9,M502=phu!$I$10,M502=phu!$I$11,M502=phu!$I$12,M502=phu!$I$13,M502=phu!$I$14),"Cam Nghĩa",""),IF(OR(M502=phu!$I$15,M502=phu!$I$16,M502=phu!$I$17,M502=phu!$I$18,M502=phu!$I$19,M502=phu!$I$20,M502=phu!$I$21),"Cam Phúc Bắc",""),IF(OR(M502=phu!$I$22,M502=phu!$I$23,M502=phu!$I$24,M502=phu!$I$25),"Cam Phúc Nam",""),IF(OR(M502=phu!$I$26,M502=phu!$I$27,M502=phu!$I$28,M502=phu!$I$29,M502=phu!$I$30,M502=phu!$I$31),"Cam Phú",""),IF(OR(M502=phu!$I$32,M502=phu!$I$33,M502=phu!$I$34,M502=phu!$I$35,M502=phu!$I$36,M502=phu!$I$37),"Cam Lộc",""),IF(OR(M502=phu!$I$38,M502=phu!$I$39,M502=phu!$I$40,M502=phu!$I$41,M502=phu!$I$42,M502=phu!$I$43,M502=phu!$I$44),"Cam Thuận",""),IF(OR(M502=phu!$I$45,M502=phu!$I$46,M502=phu!$I$47,M502=phu!$I$48,M502=phu!$I$49,M502=phu!$I$50,M502=phu!$I$51,M502=phu!$I$52,M502=phu!$I$53),"Cam Linh",""),IF(OR(M502=phu!$I$54,M502=phu!$I$55,M502=phu!$I$56,M502=phu!$I$57,M502=phu!$I$58,M502=phu!$I$59,M502=phu!$I$60,M502=phu!$I$61,M502=phu!$I$62),"Cam Lợi",""),IF(OR(M502=phu!$I$63,M502=phu!$I$64,M502=phu!$I$65,M502=phu!$I$66,M502=phu!$I$67,M502=phu!$I$68,M502=phu!$I$69,M502=phu!$I$70,M502=phu!$I$71),"Ba Ngòi",""),IF(OR(M502=phu!$I$72,M502=phu!$I$73,M502=phu!$I$74,M502=phu!$I$75,M502=phu!$I$76,M502=phu!$I$77,M502=phu!$I$78),"Cam Phước Đông",""),IF(OR(M502=phu!$I$79,M502=phu!$I$80,M502=phu!$I$81,M502=phu!$I$82,M502=phu!$I$83,M502=phu!$I$84),"Cam Thịnh Đông",""),IF(OR(M502=phu!$I$85,M502=phu!$I$86,M502=phu!$I$87,M502=phu!$I$88),"Cam Thịnh Tây",""),IF(OR(M502=phu!$I$89,M502=phu!$I$90),"Cam Lập",""),IF(OR(M502=phu!$I$91,M502=phu!$I$92,M502=phu!$I$93),"Cam Bình",""),IF(OR(M502=phu!$I$94,M502=phu!$I$95,M502=phu!$I$96,M502=phu!$I$97,M502=phu!$I$98,M502=phu!$I$99,M502=phu!$I$100),"Huyện khác",""),IF(OR(M502=phu!$I$101,M502=phu!$I$102),"Tỉnh khác",""))</f>
        <v/>
      </c>
      <c r="O502" s="829" t="str">
        <f t="shared" si="42"/>
        <v/>
      </c>
      <c r="P502" s="254"/>
      <c r="Q502" s="254"/>
      <c r="R502" s="254"/>
      <c r="S502" s="254"/>
      <c r="T502" s="254"/>
      <c r="U502" s="254"/>
      <c r="V502" s="254"/>
      <c r="W502" s="254"/>
      <c r="Y502" s="246" t="str">
        <f t="shared" si="43"/>
        <v/>
      </c>
      <c r="Z502" s="247" t="str">
        <f t="shared" si="47"/>
        <v/>
      </c>
      <c r="AA502" s="246" t="str">
        <f t="shared" si="44"/>
        <v/>
      </c>
    </row>
    <row r="503" spans="1:27" ht="18" customHeight="1" x14ac:dyDescent="0.25">
      <c r="A503" s="248" t="str">
        <f t="shared" si="45"/>
        <v/>
      </c>
      <c r="B503" s="249" t="str">
        <f t="shared" si="46"/>
        <v/>
      </c>
      <c r="C503" s="250"/>
      <c r="D503" s="251"/>
      <c r="E503" s="241"/>
      <c r="F503" s="252"/>
      <c r="G503" s="252"/>
      <c r="H503" s="253"/>
      <c r="I503" s="250"/>
      <c r="J503" s="250"/>
      <c r="K503" s="270"/>
      <c r="L503" s="250"/>
      <c r="M503" s="250"/>
      <c r="N503" s="540" t="str">
        <f>CONCATENATE(IF(OR(M503=phu!$I$1,M503=phu!$I$2,M503=phu!$I$3),"Cam Thành Nam",""),IF(OR(M503=phu!$I$4,M503=phu!$I$5,M503=phu!$I$6,M503=phu!$I$7,M503=phu!$I$8,M503=phu!$I$9,M503=phu!$I$10,M503=phu!$I$11,M503=phu!$I$12,M503=phu!$I$13,M503=phu!$I$14),"Cam Nghĩa",""),IF(OR(M503=phu!$I$15,M503=phu!$I$16,M503=phu!$I$17,M503=phu!$I$18,M503=phu!$I$19,M503=phu!$I$20,M503=phu!$I$21),"Cam Phúc Bắc",""),IF(OR(M503=phu!$I$22,M503=phu!$I$23,M503=phu!$I$24,M503=phu!$I$25),"Cam Phúc Nam",""),IF(OR(M503=phu!$I$26,M503=phu!$I$27,M503=phu!$I$28,M503=phu!$I$29,M503=phu!$I$30,M503=phu!$I$31),"Cam Phú",""),IF(OR(M503=phu!$I$32,M503=phu!$I$33,M503=phu!$I$34,M503=phu!$I$35,M503=phu!$I$36,M503=phu!$I$37),"Cam Lộc",""),IF(OR(M503=phu!$I$38,M503=phu!$I$39,M503=phu!$I$40,M503=phu!$I$41,M503=phu!$I$42,M503=phu!$I$43,M503=phu!$I$44),"Cam Thuận",""),IF(OR(M503=phu!$I$45,M503=phu!$I$46,M503=phu!$I$47,M503=phu!$I$48,M503=phu!$I$49,M503=phu!$I$50,M503=phu!$I$51,M503=phu!$I$52,M503=phu!$I$53),"Cam Linh",""),IF(OR(M503=phu!$I$54,M503=phu!$I$55,M503=phu!$I$56,M503=phu!$I$57,M503=phu!$I$58,M503=phu!$I$59,M503=phu!$I$60,M503=phu!$I$61,M503=phu!$I$62),"Cam Lợi",""),IF(OR(M503=phu!$I$63,M503=phu!$I$64,M503=phu!$I$65,M503=phu!$I$66,M503=phu!$I$67,M503=phu!$I$68,M503=phu!$I$69,M503=phu!$I$70,M503=phu!$I$71),"Ba Ngòi",""),IF(OR(M503=phu!$I$72,M503=phu!$I$73,M503=phu!$I$74,M503=phu!$I$75,M503=phu!$I$76,M503=phu!$I$77,M503=phu!$I$78),"Cam Phước Đông",""),IF(OR(M503=phu!$I$79,M503=phu!$I$80,M503=phu!$I$81,M503=phu!$I$82,M503=phu!$I$83,M503=phu!$I$84),"Cam Thịnh Đông",""),IF(OR(M503=phu!$I$85,M503=phu!$I$86,M503=phu!$I$87,M503=phu!$I$88),"Cam Thịnh Tây",""),IF(OR(M503=phu!$I$89,M503=phu!$I$90),"Cam Lập",""),IF(OR(M503=phu!$I$91,M503=phu!$I$92,M503=phu!$I$93),"Cam Bình",""),IF(OR(M503=phu!$I$94,M503=phu!$I$95,M503=phu!$I$96,M503=phu!$I$97,M503=phu!$I$98,M503=phu!$I$99,M503=phu!$I$100),"Huyện khác",""),IF(OR(M503=phu!$I$101,M503=phu!$I$102),"Tỉnh khác",""))</f>
        <v/>
      </c>
      <c r="O503" s="829" t="str">
        <f t="shared" si="42"/>
        <v/>
      </c>
      <c r="P503" s="254"/>
      <c r="Q503" s="254"/>
      <c r="R503" s="254"/>
      <c r="S503" s="254"/>
      <c r="T503" s="254"/>
      <c r="U503" s="254"/>
      <c r="V503" s="254"/>
      <c r="W503" s="254"/>
      <c r="Y503" s="246" t="str">
        <f t="shared" si="43"/>
        <v/>
      </c>
      <c r="Z503" s="247" t="str">
        <f t="shared" si="47"/>
        <v/>
      </c>
      <c r="AA503" s="246" t="str">
        <f t="shared" si="44"/>
        <v/>
      </c>
    </row>
    <row r="504" spans="1:27" ht="18" customHeight="1" x14ac:dyDescent="0.25">
      <c r="A504" s="248" t="str">
        <f t="shared" si="45"/>
        <v/>
      </c>
      <c r="B504" s="249" t="str">
        <f t="shared" si="46"/>
        <v/>
      </c>
      <c r="C504" s="250"/>
      <c r="D504" s="251"/>
      <c r="E504" s="241"/>
      <c r="F504" s="252"/>
      <c r="G504" s="252"/>
      <c r="H504" s="253"/>
      <c r="I504" s="250"/>
      <c r="J504" s="250"/>
      <c r="K504" s="270"/>
      <c r="L504" s="250"/>
      <c r="M504" s="250"/>
      <c r="N504" s="540" t="str">
        <f>CONCATENATE(IF(OR(M504=phu!$I$1,M504=phu!$I$2,M504=phu!$I$3),"Cam Thành Nam",""),IF(OR(M504=phu!$I$4,M504=phu!$I$5,M504=phu!$I$6,M504=phu!$I$7,M504=phu!$I$8,M504=phu!$I$9,M504=phu!$I$10,M504=phu!$I$11,M504=phu!$I$12,M504=phu!$I$13,M504=phu!$I$14),"Cam Nghĩa",""),IF(OR(M504=phu!$I$15,M504=phu!$I$16,M504=phu!$I$17,M504=phu!$I$18,M504=phu!$I$19,M504=phu!$I$20,M504=phu!$I$21),"Cam Phúc Bắc",""),IF(OR(M504=phu!$I$22,M504=phu!$I$23,M504=phu!$I$24,M504=phu!$I$25),"Cam Phúc Nam",""),IF(OR(M504=phu!$I$26,M504=phu!$I$27,M504=phu!$I$28,M504=phu!$I$29,M504=phu!$I$30,M504=phu!$I$31),"Cam Phú",""),IF(OR(M504=phu!$I$32,M504=phu!$I$33,M504=phu!$I$34,M504=phu!$I$35,M504=phu!$I$36,M504=phu!$I$37),"Cam Lộc",""),IF(OR(M504=phu!$I$38,M504=phu!$I$39,M504=phu!$I$40,M504=phu!$I$41,M504=phu!$I$42,M504=phu!$I$43,M504=phu!$I$44),"Cam Thuận",""),IF(OR(M504=phu!$I$45,M504=phu!$I$46,M504=phu!$I$47,M504=phu!$I$48,M504=phu!$I$49,M504=phu!$I$50,M504=phu!$I$51,M504=phu!$I$52,M504=phu!$I$53),"Cam Linh",""),IF(OR(M504=phu!$I$54,M504=phu!$I$55,M504=phu!$I$56,M504=phu!$I$57,M504=phu!$I$58,M504=phu!$I$59,M504=phu!$I$60,M504=phu!$I$61,M504=phu!$I$62),"Cam Lợi",""),IF(OR(M504=phu!$I$63,M504=phu!$I$64,M504=phu!$I$65,M504=phu!$I$66,M504=phu!$I$67,M504=phu!$I$68,M504=phu!$I$69,M504=phu!$I$70,M504=phu!$I$71),"Ba Ngòi",""),IF(OR(M504=phu!$I$72,M504=phu!$I$73,M504=phu!$I$74,M504=phu!$I$75,M504=phu!$I$76,M504=phu!$I$77,M504=phu!$I$78),"Cam Phước Đông",""),IF(OR(M504=phu!$I$79,M504=phu!$I$80,M504=phu!$I$81,M504=phu!$I$82,M504=phu!$I$83,M504=phu!$I$84),"Cam Thịnh Đông",""),IF(OR(M504=phu!$I$85,M504=phu!$I$86,M504=phu!$I$87,M504=phu!$I$88),"Cam Thịnh Tây",""),IF(OR(M504=phu!$I$89,M504=phu!$I$90),"Cam Lập",""),IF(OR(M504=phu!$I$91,M504=phu!$I$92,M504=phu!$I$93),"Cam Bình",""),IF(OR(M504=phu!$I$94,M504=phu!$I$95,M504=phu!$I$96,M504=phu!$I$97,M504=phu!$I$98,M504=phu!$I$99,M504=phu!$I$100),"Huyện khác",""),IF(OR(M504=phu!$I$101,M504=phu!$I$102),"Tỉnh khác",""))</f>
        <v/>
      </c>
      <c r="O504" s="829" t="str">
        <f t="shared" si="42"/>
        <v/>
      </c>
      <c r="P504" s="254"/>
      <c r="Q504" s="254"/>
      <c r="R504" s="254"/>
      <c r="S504" s="254"/>
      <c r="T504" s="254"/>
      <c r="U504" s="254"/>
      <c r="V504" s="254"/>
      <c r="W504" s="254"/>
      <c r="Y504" s="246" t="str">
        <f t="shared" si="43"/>
        <v/>
      </c>
      <c r="Z504" s="247" t="str">
        <f t="shared" si="47"/>
        <v/>
      </c>
      <c r="AA504" s="246" t="str">
        <f t="shared" si="44"/>
        <v/>
      </c>
    </row>
    <row r="505" spans="1:27" ht="18" customHeight="1" x14ac:dyDescent="0.25">
      <c r="A505" s="248" t="str">
        <f t="shared" si="45"/>
        <v/>
      </c>
      <c r="B505" s="249" t="str">
        <f t="shared" si="46"/>
        <v/>
      </c>
      <c r="C505" s="250"/>
      <c r="D505" s="251"/>
      <c r="E505" s="241"/>
      <c r="F505" s="252"/>
      <c r="G505" s="252"/>
      <c r="H505" s="253"/>
      <c r="I505" s="250"/>
      <c r="J505" s="250"/>
      <c r="K505" s="270"/>
      <c r="L505" s="250"/>
      <c r="M505" s="250"/>
      <c r="N505" s="540" t="str">
        <f>CONCATENATE(IF(OR(M505=phu!$I$1,M505=phu!$I$2,M505=phu!$I$3),"Cam Thành Nam",""),IF(OR(M505=phu!$I$4,M505=phu!$I$5,M505=phu!$I$6,M505=phu!$I$7,M505=phu!$I$8,M505=phu!$I$9,M505=phu!$I$10,M505=phu!$I$11,M505=phu!$I$12,M505=phu!$I$13,M505=phu!$I$14),"Cam Nghĩa",""),IF(OR(M505=phu!$I$15,M505=phu!$I$16,M505=phu!$I$17,M505=phu!$I$18,M505=phu!$I$19,M505=phu!$I$20,M505=phu!$I$21),"Cam Phúc Bắc",""),IF(OR(M505=phu!$I$22,M505=phu!$I$23,M505=phu!$I$24,M505=phu!$I$25),"Cam Phúc Nam",""),IF(OR(M505=phu!$I$26,M505=phu!$I$27,M505=phu!$I$28,M505=phu!$I$29,M505=phu!$I$30,M505=phu!$I$31),"Cam Phú",""),IF(OR(M505=phu!$I$32,M505=phu!$I$33,M505=phu!$I$34,M505=phu!$I$35,M505=phu!$I$36,M505=phu!$I$37),"Cam Lộc",""),IF(OR(M505=phu!$I$38,M505=phu!$I$39,M505=phu!$I$40,M505=phu!$I$41,M505=phu!$I$42,M505=phu!$I$43,M505=phu!$I$44),"Cam Thuận",""),IF(OR(M505=phu!$I$45,M505=phu!$I$46,M505=phu!$I$47,M505=phu!$I$48,M505=phu!$I$49,M505=phu!$I$50,M505=phu!$I$51,M505=phu!$I$52,M505=phu!$I$53),"Cam Linh",""),IF(OR(M505=phu!$I$54,M505=phu!$I$55,M505=phu!$I$56,M505=phu!$I$57,M505=phu!$I$58,M505=phu!$I$59,M505=phu!$I$60,M505=phu!$I$61,M505=phu!$I$62),"Cam Lợi",""),IF(OR(M505=phu!$I$63,M505=phu!$I$64,M505=phu!$I$65,M505=phu!$I$66,M505=phu!$I$67,M505=phu!$I$68,M505=phu!$I$69,M505=phu!$I$70,M505=phu!$I$71),"Ba Ngòi",""),IF(OR(M505=phu!$I$72,M505=phu!$I$73,M505=phu!$I$74,M505=phu!$I$75,M505=phu!$I$76,M505=phu!$I$77,M505=phu!$I$78),"Cam Phước Đông",""),IF(OR(M505=phu!$I$79,M505=phu!$I$80,M505=phu!$I$81,M505=phu!$I$82,M505=phu!$I$83,M505=phu!$I$84),"Cam Thịnh Đông",""),IF(OR(M505=phu!$I$85,M505=phu!$I$86,M505=phu!$I$87,M505=phu!$I$88),"Cam Thịnh Tây",""),IF(OR(M505=phu!$I$89,M505=phu!$I$90),"Cam Lập",""),IF(OR(M505=phu!$I$91,M505=phu!$I$92,M505=phu!$I$93),"Cam Bình",""),IF(OR(M505=phu!$I$94,M505=phu!$I$95,M505=phu!$I$96,M505=phu!$I$97,M505=phu!$I$98,M505=phu!$I$99,M505=phu!$I$100),"Huyện khác",""),IF(OR(M505=phu!$I$101,M505=phu!$I$102),"Tỉnh khác",""))</f>
        <v/>
      </c>
      <c r="O505" s="829" t="str">
        <f t="shared" si="42"/>
        <v/>
      </c>
      <c r="P505" s="254"/>
      <c r="Q505" s="254"/>
      <c r="R505" s="254"/>
      <c r="S505" s="254"/>
      <c r="T505" s="254"/>
      <c r="U505" s="254"/>
      <c r="V505" s="254"/>
      <c r="W505" s="254"/>
      <c r="Y505" s="246" t="str">
        <f t="shared" si="43"/>
        <v/>
      </c>
      <c r="Z505" s="247" t="str">
        <f t="shared" si="47"/>
        <v/>
      </c>
      <c r="AA505" s="246" t="str">
        <f t="shared" si="44"/>
        <v/>
      </c>
    </row>
    <row r="506" spans="1:27" ht="18" customHeight="1" x14ac:dyDescent="0.25">
      <c r="A506" s="248" t="str">
        <f t="shared" si="45"/>
        <v/>
      </c>
      <c r="B506" s="249" t="str">
        <f t="shared" si="46"/>
        <v/>
      </c>
      <c r="C506" s="250"/>
      <c r="D506" s="251"/>
      <c r="E506" s="241"/>
      <c r="F506" s="252"/>
      <c r="G506" s="252"/>
      <c r="H506" s="253"/>
      <c r="I506" s="250"/>
      <c r="J506" s="250"/>
      <c r="K506" s="270"/>
      <c r="L506" s="250"/>
      <c r="M506" s="250"/>
      <c r="N506" s="540" t="str">
        <f>CONCATENATE(IF(OR(M506=phu!$I$1,M506=phu!$I$2,M506=phu!$I$3),"Cam Thành Nam",""),IF(OR(M506=phu!$I$4,M506=phu!$I$5,M506=phu!$I$6,M506=phu!$I$7,M506=phu!$I$8,M506=phu!$I$9,M506=phu!$I$10,M506=phu!$I$11,M506=phu!$I$12,M506=phu!$I$13,M506=phu!$I$14),"Cam Nghĩa",""),IF(OR(M506=phu!$I$15,M506=phu!$I$16,M506=phu!$I$17,M506=phu!$I$18,M506=phu!$I$19,M506=phu!$I$20,M506=phu!$I$21),"Cam Phúc Bắc",""),IF(OR(M506=phu!$I$22,M506=phu!$I$23,M506=phu!$I$24,M506=phu!$I$25),"Cam Phúc Nam",""),IF(OR(M506=phu!$I$26,M506=phu!$I$27,M506=phu!$I$28,M506=phu!$I$29,M506=phu!$I$30,M506=phu!$I$31),"Cam Phú",""),IF(OR(M506=phu!$I$32,M506=phu!$I$33,M506=phu!$I$34,M506=phu!$I$35,M506=phu!$I$36,M506=phu!$I$37),"Cam Lộc",""),IF(OR(M506=phu!$I$38,M506=phu!$I$39,M506=phu!$I$40,M506=phu!$I$41,M506=phu!$I$42,M506=phu!$I$43,M506=phu!$I$44),"Cam Thuận",""),IF(OR(M506=phu!$I$45,M506=phu!$I$46,M506=phu!$I$47,M506=phu!$I$48,M506=phu!$I$49,M506=phu!$I$50,M506=phu!$I$51,M506=phu!$I$52,M506=phu!$I$53),"Cam Linh",""),IF(OR(M506=phu!$I$54,M506=phu!$I$55,M506=phu!$I$56,M506=phu!$I$57,M506=phu!$I$58,M506=phu!$I$59,M506=phu!$I$60,M506=phu!$I$61,M506=phu!$I$62),"Cam Lợi",""),IF(OR(M506=phu!$I$63,M506=phu!$I$64,M506=phu!$I$65,M506=phu!$I$66,M506=phu!$I$67,M506=phu!$I$68,M506=phu!$I$69,M506=phu!$I$70,M506=phu!$I$71),"Ba Ngòi",""),IF(OR(M506=phu!$I$72,M506=phu!$I$73,M506=phu!$I$74,M506=phu!$I$75,M506=phu!$I$76,M506=phu!$I$77,M506=phu!$I$78),"Cam Phước Đông",""),IF(OR(M506=phu!$I$79,M506=phu!$I$80,M506=phu!$I$81,M506=phu!$I$82,M506=phu!$I$83,M506=phu!$I$84),"Cam Thịnh Đông",""),IF(OR(M506=phu!$I$85,M506=phu!$I$86,M506=phu!$I$87,M506=phu!$I$88),"Cam Thịnh Tây",""),IF(OR(M506=phu!$I$89,M506=phu!$I$90),"Cam Lập",""),IF(OR(M506=phu!$I$91,M506=phu!$I$92,M506=phu!$I$93),"Cam Bình",""),IF(OR(M506=phu!$I$94,M506=phu!$I$95,M506=phu!$I$96,M506=phu!$I$97,M506=phu!$I$98,M506=phu!$I$99,M506=phu!$I$100),"Huyện khác",""),IF(OR(M506=phu!$I$101,M506=phu!$I$102),"Tỉnh khác",""))</f>
        <v/>
      </c>
      <c r="O506" s="829" t="str">
        <f t="shared" si="42"/>
        <v/>
      </c>
      <c r="P506" s="254"/>
      <c r="Q506" s="254"/>
      <c r="R506" s="254"/>
      <c r="S506" s="254"/>
      <c r="T506" s="254"/>
      <c r="U506" s="254"/>
      <c r="V506" s="254"/>
      <c r="W506" s="254"/>
      <c r="Y506" s="246" t="str">
        <f t="shared" si="43"/>
        <v/>
      </c>
      <c r="Z506" s="247" t="str">
        <f t="shared" si="47"/>
        <v/>
      </c>
      <c r="AA506" s="246" t="str">
        <f t="shared" si="44"/>
        <v/>
      </c>
    </row>
    <row r="507" spans="1:27" ht="18" customHeight="1" x14ac:dyDescent="0.25">
      <c r="A507" s="248" t="str">
        <f t="shared" si="45"/>
        <v/>
      </c>
      <c r="B507" s="249" t="str">
        <f t="shared" si="46"/>
        <v/>
      </c>
      <c r="C507" s="250"/>
      <c r="D507" s="251"/>
      <c r="E507" s="241"/>
      <c r="F507" s="252"/>
      <c r="G507" s="252"/>
      <c r="H507" s="253"/>
      <c r="I507" s="250"/>
      <c r="J507" s="250"/>
      <c r="K507" s="270"/>
      <c r="L507" s="250"/>
      <c r="M507" s="250"/>
      <c r="N507" s="540" t="str">
        <f>CONCATENATE(IF(OR(M507=phu!$I$1,M507=phu!$I$2,M507=phu!$I$3),"Cam Thành Nam",""),IF(OR(M507=phu!$I$4,M507=phu!$I$5,M507=phu!$I$6,M507=phu!$I$7,M507=phu!$I$8,M507=phu!$I$9,M507=phu!$I$10,M507=phu!$I$11,M507=phu!$I$12,M507=phu!$I$13,M507=phu!$I$14),"Cam Nghĩa",""),IF(OR(M507=phu!$I$15,M507=phu!$I$16,M507=phu!$I$17,M507=phu!$I$18,M507=phu!$I$19,M507=phu!$I$20,M507=phu!$I$21),"Cam Phúc Bắc",""),IF(OR(M507=phu!$I$22,M507=phu!$I$23,M507=phu!$I$24,M507=phu!$I$25),"Cam Phúc Nam",""),IF(OR(M507=phu!$I$26,M507=phu!$I$27,M507=phu!$I$28,M507=phu!$I$29,M507=phu!$I$30,M507=phu!$I$31),"Cam Phú",""),IF(OR(M507=phu!$I$32,M507=phu!$I$33,M507=phu!$I$34,M507=phu!$I$35,M507=phu!$I$36,M507=phu!$I$37),"Cam Lộc",""),IF(OR(M507=phu!$I$38,M507=phu!$I$39,M507=phu!$I$40,M507=phu!$I$41,M507=phu!$I$42,M507=phu!$I$43,M507=phu!$I$44),"Cam Thuận",""),IF(OR(M507=phu!$I$45,M507=phu!$I$46,M507=phu!$I$47,M507=phu!$I$48,M507=phu!$I$49,M507=phu!$I$50,M507=phu!$I$51,M507=phu!$I$52,M507=phu!$I$53),"Cam Linh",""),IF(OR(M507=phu!$I$54,M507=phu!$I$55,M507=phu!$I$56,M507=phu!$I$57,M507=phu!$I$58,M507=phu!$I$59,M507=phu!$I$60,M507=phu!$I$61,M507=phu!$I$62),"Cam Lợi",""),IF(OR(M507=phu!$I$63,M507=phu!$I$64,M507=phu!$I$65,M507=phu!$I$66,M507=phu!$I$67,M507=phu!$I$68,M507=phu!$I$69,M507=phu!$I$70,M507=phu!$I$71),"Ba Ngòi",""),IF(OR(M507=phu!$I$72,M507=phu!$I$73,M507=phu!$I$74,M507=phu!$I$75,M507=phu!$I$76,M507=phu!$I$77,M507=phu!$I$78),"Cam Phước Đông",""),IF(OR(M507=phu!$I$79,M507=phu!$I$80,M507=phu!$I$81,M507=phu!$I$82,M507=phu!$I$83,M507=phu!$I$84),"Cam Thịnh Đông",""),IF(OR(M507=phu!$I$85,M507=phu!$I$86,M507=phu!$I$87,M507=phu!$I$88),"Cam Thịnh Tây",""),IF(OR(M507=phu!$I$89,M507=phu!$I$90),"Cam Lập",""),IF(OR(M507=phu!$I$91,M507=phu!$I$92,M507=phu!$I$93),"Cam Bình",""),IF(OR(M507=phu!$I$94,M507=phu!$I$95,M507=phu!$I$96,M507=phu!$I$97,M507=phu!$I$98,M507=phu!$I$99,M507=phu!$I$100),"Huyện khác",""),IF(OR(M507=phu!$I$101,M507=phu!$I$102),"Tỉnh khác",""))</f>
        <v/>
      </c>
      <c r="O507" s="829" t="str">
        <f t="shared" si="42"/>
        <v/>
      </c>
      <c r="P507" s="254"/>
      <c r="Q507" s="254"/>
      <c r="R507" s="254"/>
      <c r="S507" s="254"/>
      <c r="T507" s="254"/>
      <c r="U507" s="254"/>
      <c r="V507" s="254"/>
      <c r="W507" s="254"/>
      <c r="Y507" s="246" t="str">
        <f t="shared" si="43"/>
        <v/>
      </c>
      <c r="Z507" s="247" t="str">
        <f t="shared" si="47"/>
        <v/>
      </c>
      <c r="AA507" s="246" t="str">
        <f t="shared" si="44"/>
        <v/>
      </c>
    </row>
    <row r="508" spans="1:27" ht="18" customHeight="1" x14ac:dyDescent="0.25">
      <c r="A508" s="248" t="str">
        <f t="shared" si="45"/>
        <v/>
      </c>
      <c r="B508" s="249" t="str">
        <f t="shared" si="46"/>
        <v/>
      </c>
      <c r="C508" s="250"/>
      <c r="D508" s="251"/>
      <c r="E508" s="241"/>
      <c r="F508" s="252"/>
      <c r="G508" s="252"/>
      <c r="H508" s="253"/>
      <c r="I508" s="250"/>
      <c r="J508" s="250"/>
      <c r="K508" s="270"/>
      <c r="L508" s="250"/>
      <c r="M508" s="250"/>
      <c r="N508" s="540" t="str">
        <f>CONCATENATE(IF(OR(M508=phu!$I$1,M508=phu!$I$2,M508=phu!$I$3),"Cam Thành Nam",""),IF(OR(M508=phu!$I$4,M508=phu!$I$5,M508=phu!$I$6,M508=phu!$I$7,M508=phu!$I$8,M508=phu!$I$9,M508=phu!$I$10,M508=phu!$I$11,M508=phu!$I$12,M508=phu!$I$13,M508=phu!$I$14),"Cam Nghĩa",""),IF(OR(M508=phu!$I$15,M508=phu!$I$16,M508=phu!$I$17,M508=phu!$I$18,M508=phu!$I$19,M508=phu!$I$20,M508=phu!$I$21),"Cam Phúc Bắc",""),IF(OR(M508=phu!$I$22,M508=phu!$I$23,M508=phu!$I$24,M508=phu!$I$25),"Cam Phúc Nam",""),IF(OR(M508=phu!$I$26,M508=phu!$I$27,M508=phu!$I$28,M508=phu!$I$29,M508=phu!$I$30,M508=phu!$I$31),"Cam Phú",""),IF(OR(M508=phu!$I$32,M508=phu!$I$33,M508=phu!$I$34,M508=phu!$I$35,M508=phu!$I$36,M508=phu!$I$37),"Cam Lộc",""),IF(OR(M508=phu!$I$38,M508=phu!$I$39,M508=phu!$I$40,M508=phu!$I$41,M508=phu!$I$42,M508=phu!$I$43,M508=phu!$I$44),"Cam Thuận",""),IF(OR(M508=phu!$I$45,M508=phu!$I$46,M508=phu!$I$47,M508=phu!$I$48,M508=phu!$I$49,M508=phu!$I$50,M508=phu!$I$51,M508=phu!$I$52,M508=phu!$I$53),"Cam Linh",""),IF(OR(M508=phu!$I$54,M508=phu!$I$55,M508=phu!$I$56,M508=phu!$I$57,M508=phu!$I$58,M508=phu!$I$59,M508=phu!$I$60,M508=phu!$I$61,M508=phu!$I$62),"Cam Lợi",""),IF(OR(M508=phu!$I$63,M508=phu!$I$64,M508=phu!$I$65,M508=phu!$I$66,M508=phu!$I$67,M508=phu!$I$68,M508=phu!$I$69,M508=phu!$I$70,M508=phu!$I$71),"Ba Ngòi",""),IF(OR(M508=phu!$I$72,M508=phu!$I$73,M508=phu!$I$74,M508=phu!$I$75,M508=phu!$I$76,M508=phu!$I$77,M508=phu!$I$78),"Cam Phước Đông",""),IF(OR(M508=phu!$I$79,M508=phu!$I$80,M508=phu!$I$81,M508=phu!$I$82,M508=phu!$I$83,M508=phu!$I$84),"Cam Thịnh Đông",""),IF(OR(M508=phu!$I$85,M508=phu!$I$86,M508=phu!$I$87,M508=phu!$I$88),"Cam Thịnh Tây",""),IF(OR(M508=phu!$I$89,M508=phu!$I$90),"Cam Lập",""),IF(OR(M508=phu!$I$91,M508=phu!$I$92,M508=phu!$I$93),"Cam Bình",""),IF(OR(M508=phu!$I$94,M508=phu!$I$95,M508=phu!$I$96,M508=phu!$I$97,M508=phu!$I$98,M508=phu!$I$99,M508=phu!$I$100),"Huyện khác",""),IF(OR(M508=phu!$I$101,M508=phu!$I$102),"Tỉnh khác",""))</f>
        <v/>
      </c>
      <c r="O508" s="829" t="str">
        <f t="shared" si="42"/>
        <v/>
      </c>
      <c r="P508" s="254"/>
      <c r="Q508" s="254"/>
      <c r="R508" s="254"/>
      <c r="S508" s="254"/>
      <c r="T508" s="254"/>
      <c r="U508" s="254"/>
      <c r="V508" s="254"/>
      <c r="W508" s="254"/>
      <c r="Y508" s="246" t="str">
        <f t="shared" si="43"/>
        <v/>
      </c>
      <c r="Z508" s="247" t="str">
        <f t="shared" si="47"/>
        <v/>
      </c>
      <c r="AA508" s="246" t="str">
        <f t="shared" si="44"/>
        <v/>
      </c>
    </row>
    <row r="509" spans="1:27" ht="18" customHeight="1" x14ac:dyDescent="0.25">
      <c r="A509" s="248" t="str">
        <f t="shared" si="45"/>
        <v/>
      </c>
      <c r="B509" s="249" t="str">
        <f t="shared" si="46"/>
        <v/>
      </c>
      <c r="C509" s="250"/>
      <c r="D509" s="251"/>
      <c r="E509" s="241"/>
      <c r="F509" s="252"/>
      <c r="G509" s="252"/>
      <c r="H509" s="253"/>
      <c r="I509" s="250"/>
      <c r="J509" s="250"/>
      <c r="K509" s="270"/>
      <c r="L509" s="250"/>
      <c r="M509" s="250"/>
      <c r="N509" s="540" t="str">
        <f>CONCATENATE(IF(OR(M509=phu!$I$1,M509=phu!$I$2,M509=phu!$I$3),"Cam Thành Nam",""),IF(OR(M509=phu!$I$4,M509=phu!$I$5,M509=phu!$I$6,M509=phu!$I$7,M509=phu!$I$8,M509=phu!$I$9,M509=phu!$I$10,M509=phu!$I$11,M509=phu!$I$12,M509=phu!$I$13,M509=phu!$I$14),"Cam Nghĩa",""),IF(OR(M509=phu!$I$15,M509=phu!$I$16,M509=phu!$I$17,M509=phu!$I$18,M509=phu!$I$19,M509=phu!$I$20,M509=phu!$I$21),"Cam Phúc Bắc",""),IF(OR(M509=phu!$I$22,M509=phu!$I$23,M509=phu!$I$24,M509=phu!$I$25),"Cam Phúc Nam",""),IF(OR(M509=phu!$I$26,M509=phu!$I$27,M509=phu!$I$28,M509=phu!$I$29,M509=phu!$I$30,M509=phu!$I$31),"Cam Phú",""),IF(OR(M509=phu!$I$32,M509=phu!$I$33,M509=phu!$I$34,M509=phu!$I$35,M509=phu!$I$36,M509=phu!$I$37),"Cam Lộc",""),IF(OR(M509=phu!$I$38,M509=phu!$I$39,M509=phu!$I$40,M509=phu!$I$41,M509=phu!$I$42,M509=phu!$I$43,M509=phu!$I$44),"Cam Thuận",""),IF(OR(M509=phu!$I$45,M509=phu!$I$46,M509=phu!$I$47,M509=phu!$I$48,M509=phu!$I$49,M509=phu!$I$50,M509=phu!$I$51,M509=phu!$I$52,M509=phu!$I$53),"Cam Linh",""),IF(OR(M509=phu!$I$54,M509=phu!$I$55,M509=phu!$I$56,M509=phu!$I$57,M509=phu!$I$58,M509=phu!$I$59,M509=phu!$I$60,M509=phu!$I$61,M509=phu!$I$62),"Cam Lợi",""),IF(OR(M509=phu!$I$63,M509=phu!$I$64,M509=phu!$I$65,M509=phu!$I$66,M509=phu!$I$67,M509=phu!$I$68,M509=phu!$I$69,M509=phu!$I$70,M509=phu!$I$71),"Ba Ngòi",""),IF(OR(M509=phu!$I$72,M509=phu!$I$73,M509=phu!$I$74,M509=phu!$I$75,M509=phu!$I$76,M509=phu!$I$77,M509=phu!$I$78),"Cam Phước Đông",""),IF(OR(M509=phu!$I$79,M509=phu!$I$80,M509=phu!$I$81,M509=phu!$I$82,M509=phu!$I$83,M509=phu!$I$84),"Cam Thịnh Đông",""),IF(OR(M509=phu!$I$85,M509=phu!$I$86,M509=phu!$I$87,M509=phu!$I$88),"Cam Thịnh Tây",""),IF(OR(M509=phu!$I$89,M509=phu!$I$90),"Cam Lập",""),IF(OR(M509=phu!$I$91,M509=phu!$I$92,M509=phu!$I$93),"Cam Bình",""),IF(OR(M509=phu!$I$94,M509=phu!$I$95,M509=phu!$I$96,M509=phu!$I$97,M509=phu!$I$98,M509=phu!$I$99,M509=phu!$I$100),"Huyện khác",""),IF(OR(M509=phu!$I$101,M509=phu!$I$102),"Tỉnh khác",""))</f>
        <v/>
      </c>
      <c r="O509" s="829" t="str">
        <f t="shared" si="42"/>
        <v/>
      </c>
      <c r="P509" s="254"/>
      <c r="Q509" s="254"/>
      <c r="R509" s="254"/>
      <c r="S509" s="254"/>
      <c r="T509" s="254"/>
      <c r="U509" s="254"/>
      <c r="V509" s="254"/>
      <c r="W509" s="254"/>
      <c r="Y509" s="246" t="str">
        <f t="shared" si="43"/>
        <v/>
      </c>
      <c r="Z509" s="247" t="str">
        <f t="shared" si="47"/>
        <v/>
      </c>
      <c r="AA509" s="246" t="str">
        <f t="shared" si="44"/>
        <v/>
      </c>
    </row>
    <row r="510" spans="1:27" ht="18" customHeight="1" x14ac:dyDescent="0.25">
      <c r="A510" s="248" t="str">
        <f t="shared" si="45"/>
        <v/>
      </c>
      <c r="B510" s="249" t="str">
        <f t="shared" si="46"/>
        <v/>
      </c>
      <c r="C510" s="250"/>
      <c r="D510" s="251"/>
      <c r="E510" s="241"/>
      <c r="F510" s="252"/>
      <c r="G510" s="252"/>
      <c r="H510" s="253"/>
      <c r="I510" s="250"/>
      <c r="J510" s="250"/>
      <c r="K510" s="270"/>
      <c r="L510" s="250"/>
      <c r="M510" s="250"/>
      <c r="N510" s="540" t="str">
        <f>CONCATENATE(IF(OR(M510=phu!$I$1,M510=phu!$I$2,M510=phu!$I$3),"Cam Thành Nam",""),IF(OR(M510=phu!$I$4,M510=phu!$I$5,M510=phu!$I$6,M510=phu!$I$7,M510=phu!$I$8,M510=phu!$I$9,M510=phu!$I$10,M510=phu!$I$11,M510=phu!$I$12,M510=phu!$I$13,M510=phu!$I$14),"Cam Nghĩa",""),IF(OR(M510=phu!$I$15,M510=phu!$I$16,M510=phu!$I$17,M510=phu!$I$18,M510=phu!$I$19,M510=phu!$I$20,M510=phu!$I$21),"Cam Phúc Bắc",""),IF(OR(M510=phu!$I$22,M510=phu!$I$23,M510=phu!$I$24,M510=phu!$I$25),"Cam Phúc Nam",""),IF(OR(M510=phu!$I$26,M510=phu!$I$27,M510=phu!$I$28,M510=phu!$I$29,M510=phu!$I$30,M510=phu!$I$31),"Cam Phú",""),IF(OR(M510=phu!$I$32,M510=phu!$I$33,M510=phu!$I$34,M510=phu!$I$35,M510=phu!$I$36,M510=phu!$I$37),"Cam Lộc",""),IF(OR(M510=phu!$I$38,M510=phu!$I$39,M510=phu!$I$40,M510=phu!$I$41,M510=phu!$I$42,M510=phu!$I$43,M510=phu!$I$44),"Cam Thuận",""),IF(OR(M510=phu!$I$45,M510=phu!$I$46,M510=phu!$I$47,M510=phu!$I$48,M510=phu!$I$49,M510=phu!$I$50,M510=phu!$I$51,M510=phu!$I$52,M510=phu!$I$53),"Cam Linh",""),IF(OR(M510=phu!$I$54,M510=phu!$I$55,M510=phu!$I$56,M510=phu!$I$57,M510=phu!$I$58,M510=phu!$I$59,M510=phu!$I$60,M510=phu!$I$61,M510=phu!$I$62),"Cam Lợi",""),IF(OR(M510=phu!$I$63,M510=phu!$I$64,M510=phu!$I$65,M510=phu!$I$66,M510=phu!$I$67,M510=phu!$I$68,M510=phu!$I$69,M510=phu!$I$70,M510=phu!$I$71),"Ba Ngòi",""),IF(OR(M510=phu!$I$72,M510=phu!$I$73,M510=phu!$I$74,M510=phu!$I$75,M510=phu!$I$76,M510=phu!$I$77,M510=phu!$I$78),"Cam Phước Đông",""),IF(OR(M510=phu!$I$79,M510=phu!$I$80,M510=phu!$I$81,M510=phu!$I$82,M510=phu!$I$83,M510=phu!$I$84),"Cam Thịnh Đông",""),IF(OR(M510=phu!$I$85,M510=phu!$I$86,M510=phu!$I$87,M510=phu!$I$88),"Cam Thịnh Tây",""),IF(OR(M510=phu!$I$89,M510=phu!$I$90),"Cam Lập",""),IF(OR(M510=phu!$I$91,M510=phu!$I$92,M510=phu!$I$93),"Cam Bình",""),IF(OR(M510=phu!$I$94,M510=phu!$I$95,M510=phu!$I$96,M510=phu!$I$97,M510=phu!$I$98,M510=phu!$I$99,M510=phu!$I$100),"Huyện khác",""),IF(OR(M510=phu!$I$101,M510=phu!$I$102),"Tỉnh khác",""))</f>
        <v/>
      </c>
      <c r="O510" s="829" t="str">
        <f t="shared" si="42"/>
        <v/>
      </c>
      <c r="P510" s="254"/>
      <c r="Q510" s="254"/>
      <c r="R510" s="254"/>
      <c r="S510" s="254"/>
      <c r="T510" s="254"/>
      <c r="U510" s="254"/>
      <c r="V510" s="254"/>
      <c r="W510" s="254"/>
      <c r="Y510" s="246" t="str">
        <f t="shared" si="43"/>
        <v/>
      </c>
      <c r="Z510" s="247" t="str">
        <f t="shared" si="47"/>
        <v/>
      </c>
      <c r="AA510" s="246" t="str">
        <f t="shared" si="44"/>
        <v/>
      </c>
    </row>
    <row r="511" spans="1:27" ht="18" customHeight="1" x14ac:dyDescent="0.25">
      <c r="A511" s="248" t="str">
        <f t="shared" si="45"/>
        <v/>
      </c>
      <c r="B511" s="249" t="str">
        <f t="shared" si="46"/>
        <v/>
      </c>
      <c r="C511" s="250"/>
      <c r="D511" s="251"/>
      <c r="E511" s="241"/>
      <c r="F511" s="252"/>
      <c r="G511" s="252"/>
      <c r="H511" s="253"/>
      <c r="I511" s="250"/>
      <c r="J511" s="250"/>
      <c r="K511" s="270"/>
      <c r="L511" s="250"/>
      <c r="M511" s="250"/>
      <c r="N511" s="540" t="str">
        <f>CONCATENATE(IF(OR(M511=phu!$I$1,M511=phu!$I$2,M511=phu!$I$3),"Cam Thành Nam",""),IF(OR(M511=phu!$I$4,M511=phu!$I$5,M511=phu!$I$6,M511=phu!$I$7,M511=phu!$I$8,M511=phu!$I$9,M511=phu!$I$10,M511=phu!$I$11,M511=phu!$I$12,M511=phu!$I$13,M511=phu!$I$14),"Cam Nghĩa",""),IF(OR(M511=phu!$I$15,M511=phu!$I$16,M511=phu!$I$17,M511=phu!$I$18,M511=phu!$I$19,M511=phu!$I$20,M511=phu!$I$21),"Cam Phúc Bắc",""),IF(OR(M511=phu!$I$22,M511=phu!$I$23,M511=phu!$I$24,M511=phu!$I$25),"Cam Phúc Nam",""),IF(OR(M511=phu!$I$26,M511=phu!$I$27,M511=phu!$I$28,M511=phu!$I$29,M511=phu!$I$30,M511=phu!$I$31),"Cam Phú",""),IF(OR(M511=phu!$I$32,M511=phu!$I$33,M511=phu!$I$34,M511=phu!$I$35,M511=phu!$I$36,M511=phu!$I$37),"Cam Lộc",""),IF(OR(M511=phu!$I$38,M511=phu!$I$39,M511=phu!$I$40,M511=phu!$I$41,M511=phu!$I$42,M511=phu!$I$43,M511=phu!$I$44),"Cam Thuận",""),IF(OR(M511=phu!$I$45,M511=phu!$I$46,M511=phu!$I$47,M511=phu!$I$48,M511=phu!$I$49,M511=phu!$I$50,M511=phu!$I$51,M511=phu!$I$52,M511=phu!$I$53),"Cam Linh",""),IF(OR(M511=phu!$I$54,M511=phu!$I$55,M511=phu!$I$56,M511=phu!$I$57,M511=phu!$I$58,M511=phu!$I$59,M511=phu!$I$60,M511=phu!$I$61,M511=phu!$I$62),"Cam Lợi",""),IF(OR(M511=phu!$I$63,M511=phu!$I$64,M511=phu!$I$65,M511=phu!$I$66,M511=phu!$I$67,M511=phu!$I$68,M511=phu!$I$69,M511=phu!$I$70,M511=phu!$I$71),"Ba Ngòi",""),IF(OR(M511=phu!$I$72,M511=phu!$I$73,M511=phu!$I$74,M511=phu!$I$75,M511=phu!$I$76,M511=phu!$I$77,M511=phu!$I$78),"Cam Phước Đông",""),IF(OR(M511=phu!$I$79,M511=phu!$I$80,M511=phu!$I$81,M511=phu!$I$82,M511=phu!$I$83,M511=phu!$I$84),"Cam Thịnh Đông",""),IF(OR(M511=phu!$I$85,M511=phu!$I$86,M511=phu!$I$87,M511=phu!$I$88),"Cam Thịnh Tây",""),IF(OR(M511=phu!$I$89,M511=phu!$I$90),"Cam Lập",""),IF(OR(M511=phu!$I$91,M511=phu!$I$92,M511=phu!$I$93),"Cam Bình",""),IF(OR(M511=phu!$I$94,M511=phu!$I$95,M511=phu!$I$96,M511=phu!$I$97,M511=phu!$I$98,M511=phu!$I$99,M511=phu!$I$100),"Huyện khác",""),IF(OR(M511=phu!$I$101,M511=phu!$I$102),"Tỉnh khác",""))</f>
        <v/>
      </c>
      <c r="O511" s="829" t="str">
        <f t="shared" si="42"/>
        <v/>
      </c>
      <c r="P511" s="254"/>
      <c r="Q511" s="254"/>
      <c r="R511" s="254"/>
      <c r="S511" s="254"/>
      <c r="T511" s="254"/>
      <c r="U511" s="254"/>
      <c r="V511" s="254"/>
      <c r="W511" s="254"/>
      <c r="Y511" s="246" t="str">
        <f t="shared" si="43"/>
        <v/>
      </c>
      <c r="Z511" s="247" t="str">
        <f t="shared" si="47"/>
        <v/>
      </c>
      <c r="AA511" s="246" t="str">
        <f t="shared" si="44"/>
        <v/>
      </c>
    </row>
    <row r="512" spans="1:27" ht="18" customHeight="1" x14ac:dyDescent="0.25">
      <c r="A512" s="248" t="str">
        <f t="shared" si="45"/>
        <v/>
      </c>
      <c r="B512" s="249" t="str">
        <f t="shared" si="46"/>
        <v/>
      </c>
      <c r="C512" s="250"/>
      <c r="D512" s="251"/>
      <c r="E512" s="241"/>
      <c r="F512" s="252"/>
      <c r="G512" s="252"/>
      <c r="H512" s="253"/>
      <c r="I512" s="250"/>
      <c r="J512" s="250"/>
      <c r="K512" s="270"/>
      <c r="L512" s="250"/>
      <c r="M512" s="250"/>
      <c r="N512" s="540" t="str">
        <f>CONCATENATE(IF(OR(M512=phu!$I$1,M512=phu!$I$2,M512=phu!$I$3),"Cam Thành Nam",""),IF(OR(M512=phu!$I$4,M512=phu!$I$5,M512=phu!$I$6,M512=phu!$I$7,M512=phu!$I$8,M512=phu!$I$9,M512=phu!$I$10,M512=phu!$I$11,M512=phu!$I$12,M512=phu!$I$13,M512=phu!$I$14),"Cam Nghĩa",""),IF(OR(M512=phu!$I$15,M512=phu!$I$16,M512=phu!$I$17,M512=phu!$I$18,M512=phu!$I$19,M512=phu!$I$20,M512=phu!$I$21),"Cam Phúc Bắc",""),IF(OR(M512=phu!$I$22,M512=phu!$I$23,M512=phu!$I$24,M512=phu!$I$25),"Cam Phúc Nam",""),IF(OR(M512=phu!$I$26,M512=phu!$I$27,M512=phu!$I$28,M512=phu!$I$29,M512=phu!$I$30,M512=phu!$I$31),"Cam Phú",""),IF(OR(M512=phu!$I$32,M512=phu!$I$33,M512=phu!$I$34,M512=phu!$I$35,M512=phu!$I$36,M512=phu!$I$37),"Cam Lộc",""),IF(OR(M512=phu!$I$38,M512=phu!$I$39,M512=phu!$I$40,M512=phu!$I$41,M512=phu!$I$42,M512=phu!$I$43,M512=phu!$I$44),"Cam Thuận",""),IF(OR(M512=phu!$I$45,M512=phu!$I$46,M512=phu!$I$47,M512=phu!$I$48,M512=phu!$I$49,M512=phu!$I$50,M512=phu!$I$51,M512=phu!$I$52,M512=phu!$I$53),"Cam Linh",""),IF(OR(M512=phu!$I$54,M512=phu!$I$55,M512=phu!$I$56,M512=phu!$I$57,M512=phu!$I$58,M512=phu!$I$59,M512=phu!$I$60,M512=phu!$I$61,M512=phu!$I$62),"Cam Lợi",""),IF(OR(M512=phu!$I$63,M512=phu!$I$64,M512=phu!$I$65,M512=phu!$I$66,M512=phu!$I$67,M512=phu!$I$68,M512=phu!$I$69,M512=phu!$I$70,M512=phu!$I$71),"Ba Ngòi",""),IF(OR(M512=phu!$I$72,M512=phu!$I$73,M512=phu!$I$74,M512=phu!$I$75,M512=phu!$I$76,M512=phu!$I$77,M512=phu!$I$78),"Cam Phước Đông",""),IF(OR(M512=phu!$I$79,M512=phu!$I$80,M512=phu!$I$81,M512=phu!$I$82,M512=phu!$I$83,M512=phu!$I$84),"Cam Thịnh Đông",""),IF(OR(M512=phu!$I$85,M512=phu!$I$86,M512=phu!$I$87,M512=phu!$I$88),"Cam Thịnh Tây",""),IF(OR(M512=phu!$I$89,M512=phu!$I$90),"Cam Lập",""),IF(OR(M512=phu!$I$91,M512=phu!$I$92,M512=phu!$I$93),"Cam Bình",""),IF(OR(M512=phu!$I$94,M512=phu!$I$95,M512=phu!$I$96,M512=phu!$I$97,M512=phu!$I$98,M512=phu!$I$99,M512=phu!$I$100),"Huyện khác",""),IF(OR(M512=phu!$I$101,M512=phu!$I$102),"Tỉnh khác",""))</f>
        <v/>
      </c>
      <c r="O512" s="829" t="str">
        <f t="shared" si="42"/>
        <v/>
      </c>
      <c r="P512" s="254"/>
      <c r="Q512" s="254"/>
      <c r="R512" s="254"/>
      <c r="S512" s="254"/>
      <c r="T512" s="254"/>
      <c r="U512" s="254"/>
      <c r="V512" s="254"/>
      <c r="W512" s="254"/>
      <c r="Y512" s="246" t="str">
        <f t="shared" si="43"/>
        <v/>
      </c>
      <c r="Z512" s="247" t="str">
        <f t="shared" si="47"/>
        <v/>
      </c>
      <c r="AA512" s="246" t="str">
        <f t="shared" si="44"/>
        <v/>
      </c>
    </row>
    <row r="513" spans="1:27" ht="18" customHeight="1" x14ac:dyDescent="0.25">
      <c r="A513" s="248" t="str">
        <f t="shared" si="45"/>
        <v/>
      </c>
      <c r="B513" s="249" t="str">
        <f t="shared" si="46"/>
        <v/>
      </c>
      <c r="C513" s="250"/>
      <c r="D513" s="251"/>
      <c r="E513" s="241"/>
      <c r="F513" s="252"/>
      <c r="G513" s="252"/>
      <c r="H513" s="253"/>
      <c r="I513" s="250"/>
      <c r="J513" s="250"/>
      <c r="K513" s="270"/>
      <c r="L513" s="250"/>
      <c r="M513" s="250"/>
      <c r="N513" s="540" t="str">
        <f>CONCATENATE(IF(OR(M513=phu!$I$1,M513=phu!$I$2,M513=phu!$I$3),"Cam Thành Nam",""),IF(OR(M513=phu!$I$4,M513=phu!$I$5,M513=phu!$I$6,M513=phu!$I$7,M513=phu!$I$8,M513=phu!$I$9,M513=phu!$I$10,M513=phu!$I$11,M513=phu!$I$12,M513=phu!$I$13,M513=phu!$I$14),"Cam Nghĩa",""),IF(OR(M513=phu!$I$15,M513=phu!$I$16,M513=phu!$I$17,M513=phu!$I$18,M513=phu!$I$19,M513=phu!$I$20,M513=phu!$I$21),"Cam Phúc Bắc",""),IF(OR(M513=phu!$I$22,M513=phu!$I$23,M513=phu!$I$24,M513=phu!$I$25),"Cam Phúc Nam",""),IF(OR(M513=phu!$I$26,M513=phu!$I$27,M513=phu!$I$28,M513=phu!$I$29,M513=phu!$I$30,M513=phu!$I$31),"Cam Phú",""),IF(OR(M513=phu!$I$32,M513=phu!$I$33,M513=phu!$I$34,M513=phu!$I$35,M513=phu!$I$36,M513=phu!$I$37),"Cam Lộc",""),IF(OR(M513=phu!$I$38,M513=phu!$I$39,M513=phu!$I$40,M513=phu!$I$41,M513=phu!$I$42,M513=phu!$I$43,M513=phu!$I$44),"Cam Thuận",""),IF(OR(M513=phu!$I$45,M513=phu!$I$46,M513=phu!$I$47,M513=phu!$I$48,M513=phu!$I$49,M513=phu!$I$50,M513=phu!$I$51,M513=phu!$I$52,M513=phu!$I$53),"Cam Linh",""),IF(OR(M513=phu!$I$54,M513=phu!$I$55,M513=phu!$I$56,M513=phu!$I$57,M513=phu!$I$58,M513=phu!$I$59,M513=phu!$I$60,M513=phu!$I$61,M513=phu!$I$62),"Cam Lợi",""),IF(OR(M513=phu!$I$63,M513=phu!$I$64,M513=phu!$I$65,M513=phu!$I$66,M513=phu!$I$67,M513=phu!$I$68,M513=phu!$I$69,M513=phu!$I$70,M513=phu!$I$71),"Ba Ngòi",""),IF(OR(M513=phu!$I$72,M513=phu!$I$73,M513=phu!$I$74,M513=phu!$I$75,M513=phu!$I$76,M513=phu!$I$77,M513=phu!$I$78),"Cam Phước Đông",""),IF(OR(M513=phu!$I$79,M513=phu!$I$80,M513=phu!$I$81,M513=phu!$I$82,M513=phu!$I$83,M513=phu!$I$84),"Cam Thịnh Đông",""),IF(OR(M513=phu!$I$85,M513=phu!$I$86,M513=phu!$I$87,M513=phu!$I$88),"Cam Thịnh Tây",""),IF(OR(M513=phu!$I$89,M513=phu!$I$90),"Cam Lập",""),IF(OR(M513=phu!$I$91,M513=phu!$I$92,M513=phu!$I$93),"Cam Bình",""),IF(OR(M513=phu!$I$94,M513=phu!$I$95,M513=phu!$I$96,M513=phu!$I$97,M513=phu!$I$98,M513=phu!$I$99,M513=phu!$I$100),"Huyện khác",""),IF(OR(M513=phu!$I$101,M513=phu!$I$102),"Tỉnh khác",""))</f>
        <v/>
      </c>
      <c r="O513" s="829" t="str">
        <f t="shared" si="42"/>
        <v/>
      </c>
      <c r="P513" s="254"/>
      <c r="Q513" s="254"/>
      <c r="R513" s="254"/>
      <c r="S513" s="254"/>
      <c r="T513" s="254"/>
      <c r="U513" s="254"/>
      <c r="V513" s="254"/>
      <c r="W513" s="254"/>
      <c r="Y513" s="246" t="str">
        <f t="shared" si="43"/>
        <v/>
      </c>
      <c r="Z513" s="247" t="str">
        <f t="shared" si="47"/>
        <v/>
      </c>
      <c r="AA513" s="246" t="str">
        <f t="shared" si="44"/>
        <v/>
      </c>
    </row>
    <row r="514" spans="1:27" ht="18" customHeight="1" x14ac:dyDescent="0.25">
      <c r="A514" s="248" t="str">
        <f t="shared" si="45"/>
        <v/>
      </c>
      <c r="B514" s="249" t="str">
        <f t="shared" si="46"/>
        <v/>
      </c>
      <c r="C514" s="250"/>
      <c r="D514" s="251"/>
      <c r="E514" s="241"/>
      <c r="F514" s="252"/>
      <c r="G514" s="252"/>
      <c r="H514" s="253"/>
      <c r="I514" s="250"/>
      <c r="J514" s="250"/>
      <c r="K514" s="270"/>
      <c r="L514" s="250"/>
      <c r="M514" s="250"/>
      <c r="N514" s="540" t="str">
        <f>CONCATENATE(IF(OR(M514=phu!$I$1,M514=phu!$I$2,M514=phu!$I$3),"Cam Thành Nam",""),IF(OR(M514=phu!$I$4,M514=phu!$I$5,M514=phu!$I$6,M514=phu!$I$7,M514=phu!$I$8,M514=phu!$I$9,M514=phu!$I$10,M514=phu!$I$11,M514=phu!$I$12,M514=phu!$I$13,M514=phu!$I$14),"Cam Nghĩa",""),IF(OR(M514=phu!$I$15,M514=phu!$I$16,M514=phu!$I$17,M514=phu!$I$18,M514=phu!$I$19,M514=phu!$I$20,M514=phu!$I$21),"Cam Phúc Bắc",""),IF(OR(M514=phu!$I$22,M514=phu!$I$23,M514=phu!$I$24,M514=phu!$I$25),"Cam Phúc Nam",""),IF(OR(M514=phu!$I$26,M514=phu!$I$27,M514=phu!$I$28,M514=phu!$I$29,M514=phu!$I$30,M514=phu!$I$31),"Cam Phú",""),IF(OR(M514=phu!$I$32,M514=phu!$I$33,M514=phu!$I$34,M514=phu!$I$35,M514=phu!$I$36,M514=phu!$I$37),"Cam Lộc",""),IF(OR(M514=phu!$I$38,M514=phu!$I$39,M514=phu!$I$40,M514=phu!$I$41,M514=phu!$I$42,M514=phu!$I$43,M514=phu!$I$44),"Cam Thuận",""),IF(OR(M514=phu!$I$45,M514=phu!$I$46,M514=phu!$I$47,M514=phu!$I$48,M514=phu!$I$49,M514=phu!$I$50,M514=phu!$I$51,M514=phu!$I$52,M514=phu!$I$53),"Cam Linh",""),IF(OR(M514=phu!$I$54,M514=phu!$I$55,M514=phu!$I$56,M514=phu!$I$57,M514=phu!$I$58,M514=phu!$I$59,M514=phu!$I$60,M514=phu!$I$61,M514=phu!$I$62),"Cam Lợi",""),IF(OR(M514=phu!$I$63,M514=phu!$I$64,M514=phu!$I$65,M514=phu!$I$66,M514=phu!$I$67,M514=phu!$I$68,M514=phu!$I$69,M514=phu!$I$70,M514=phu!$I$71),"Ba Ngòi",""),IF(OR(M514=phu!$I$72,M514=phu!$I$73,M514=phu!$I$74,M514=phu!$I$75,M514=phu!$I$76,M514=phu!$I$77,M514=phu!$I$78),"Cam Phước Đông",""),IF(OR(M514=phu!$I$79,M514=phu!$I$80,M514=phu!$I$81,M514=phu!$I$82,M514=phu!$I$83,M514=phu!$I$84),"Cam Thịnh Đông",""),IF(OR(M514=phu!$I$85,M514=phu!$I$86,M514=phu!$I$87,M514=phu!$I$88),"Cam Thịnh Tây",""),IF(OR(M514=phu!$I$89,M514=phu!$I$90),"Cam Lập",""),IF(OR(M514=phu!$I$91,M514=phu!$I$92,M514=phu!$I$93),"Cam Bình",""),IF(OR(M514=phu!$I$94,M514=phu!$I$95,M514=phu!$I$96,M514=phu!$I$97,M514=phu!$I$98,M514=phu!$I$99,M514=phu!$I$100),"Huyện khác",""),IF(OR(M514=phu!$I$101,M514=phu!$I$102),"Tỉnh khác",""))</f>
        <v/>
      </c>
      <c r="O514" s="829" t="str">
        <f t="shared" si="42"/>
        <v/>
      </c>
      <c r="P514" s="254"/>
      <c r="Q514" s="254"/>
      <c r="R514" s="254"/>
      <c r="S514" s="254"/>
      <c r="T514" s="254"/>
      <c r="U514" s="254"/>
      <c r="V514" s="254"/>
      <c r="W514" s="254"/>
      <c r="Y514" s="246" t="str">
        <f t="shared" si="43"/>
        <v/>
      </c>
      <c r="Z514" s="247" t="str">
        <f t="shared" si="47"/>
        <v/>
      </c>
      <c r="AA514" s="246" t="str">
        <f t="shared" si="44"/>
        <v/>
      </c>
    </row>
    <row r="515" spans="1:27" ht="18" customHeight="1" x14ac:dyDescent="0.25">
      <c r="A515" s="248" t="str">
        <f t="shared" si="45"/>
        <v/>
      </c>
      <c r="B515" s="249" t="str">
        <f t="shared" si="46"/>
        <v/>
      </c>
      <c r="C515" s="250"/>
      <c r="D515" s="251"/>
      <c r="E515" s="241"/>
      <c r="F515" s="252"/>
      <c r="G515" s="252"/>
      <c r="H515" s="253"/>
      <c r="I515" s="250"/>
      <c r="J515" s="250"/>
      <c r="K515" s="270"/>
      <c r="L515" s="250"/>
      <c r="M515" s="250"/>
      <c r="N515" s="540" t="str">
        <f>CONCATENATE(IF(OR(M515=phu!$I$1,M515=phu!$I$2,M515=phu!$I$3),"Cam Thành Nam",""),IF(OR(M515=phu!$I$4,M515=phu!$I$5,M515=phu!$I$6,M515=phu!$I$7,M515=phu!$I$8,M515=phu!$I$9,M515=phu!$I$10,M515=phu!$I$11,M515=phu!$I$12,M515=phu!$I$13,M515=phu!$I$14),"Cam Nghĩa",""),IF(OR(M515=phu!$I$15,M515=phu!$I$16,M515=phu!$I$17,M515=phu!$I$18,M515=phu!$I$19,M515=phu!$I$20,M515=phu!$I$21),"Cam Phúc Bắc",""),IF(OR(M515=phu!$I$22,M515=phu!$I$23,M515=phu!$I$24,M515=phu!$I$25),"Cam Phúc Nam",""),IF(OR(M515=phu!$I$26,M515=phu!$I$27,M515=phu!$I$28,M515=phu!$I$29,M515=phu!$I$30,M515=phu!$I$31),"Cam Phú",""),IF(OR(M515=phu!$I$32,M515=phu!$I$33,M515=phu!$I$34,M515=phu!$I$35,M515=phu!$I$36,M515=phu!$I$37),"Cam Lộc",""),IF(OR(M515=phu!$I$38,M515=phu!$I$39,M515=phu!$I$40,M515=phu!$I$41,M515=phu!$I$42,M515=phu!$I$43,M515=phu!$I$44),"Cam Thuận",""),IF(OR(M515=phu!$I$45,M515=phu!$I$46,M515=phu!$I$47,M515=phu!$I$48,M515=phu!$I$49,M515=phu!$I$50,M515=phu!$I$51,M515=phu!$I$52,M515=phu!$I$53),"Cam Linh",""),IF(OR(M515=phu!$I$54,M515=phu!$I$55,M515=phu!$I$56,M515=phu!$I$57,M515=phu!$I$58,M515=phu!$I$59,M515=phu!$I$60,M515=phu!$I$61,M515=phu!$I$62),"Cam Lợi",""),IF(OR(M515=phu!$I$63,M515=phu!$I$64,M515=phu!$I$65,M515=phu!$I$66,M515=phu!$I$67,M515=phu!$I$68,M515=phu!$I$69,M515=phu!$I$70,M515=phu!$I$71),"Ba Ngòi",""),IF(OR(M515=phu!$I$72,M515=phu!$I$73,M515=phu!$I$74,M515=phu!$I$75,M515=phu!$I$76,M515=phu!$I$77,M515=phu!$I$78),"Cam Phước Đông",""),IF(OR(M515=phu!$I$79,M515=phu!$I$80,M515=phu!$I$81,M515=phu!$I$82,M515=phu!$I$83,M515=phu!$I$84),"Cam Thịnh Đông",""),IF(OR(M515=phu!$I$85,M515=phu!$I$86,M515=phu!$I$87,M515=phu!$I$88),"Cam Thịnh Tây",""),IF(OR(M515=phu!$I$89,M515=phu!$I$90),"Cam Lập",""),IF(OR(M515=phu!$I$91,M515=phu!$I$92,M515=phu!$I$93),"Cam Bình",""),IF(OR(M515=phu!$I$94,M515=phu!$I$95,M515=phu!$I$96,M515=phu!$I$97,M515=phu!$I$98,M515=phu!$I$99,M515=phu!$I$100),"Huyện khác",""),IF(OR(M515=phu!$I$101,M515=phu!$I$102),"Tỉnh khác",""))</f>
        <v/>
      </c>
      <c r="O515" s="829" t="str">
        <f t="shared" si="42"/>
        <v/>
      </c>
      <c r="P515" s="254"/>
      <c r="Q515" s="254"/>
      <c r="R515" s="254"/>
      <c r="S515" s="254"/>
      <c r="T515" s="254"/>
      <c r="U515" s="254"/>
      <c r="V515" s="254"/>
      <c r="W515" s="254"/>
      <c r="Y515" s="246" t="str">
        <f t="shared" si="43"/>
        <v/>
      </c>
      <c r="Z515" s="247" t="str">
        <f t="shared" si="47"/>
        <v/>
      </c>
      <c r="AA515" s="246" t="str">
        <f t="shared" si="44"/>
        <v/>
      </c>
    </row>
    <row r="516" spans="1:27" ht="18" customHeight="1" x14ac:dyDescent="0.25">
      <c r="A516" s="248" t="str">
        <f t="shared" si="45"/>
        <v/>
      </c>
      <c r="B516" s="249" t="str">
        <f t="shared" si="46"/>
        <v/>
      </c>
      <c r="C516" s="250"/>
      <c r="D516" s="251"/>
      <c r="E516" s="241"/>
      <c r="F516" s="252"/>
      <c r="G516" s="252"/>
      <c r="H516" s="253"/>
      <c r="I516" s="250"/>
      <c r="J516" s="250"/>
      <c r="K516" s="270"/>
      <c r="L516" s="250"/>
      <c r="M516" s="250"/>
      <c r="N516" s="540" t="str">
        <f>CONCATENATE(IF(OR(M516=phu!$I$1,M516=phu!$I$2,M516=phu!$I$3),"Cam Thành Nam",""),IF(OR(M516=phu!$I$4,M516=phu!$I$5,M516=phu!$I$6,M516=phu!$I$7,M516=phu!$I$8,M516=phu!$I$9,M516=phu!$I$10,M516=phu!$I$11,M516=phu!$I$12,M516=phu!$I$13,M516=phu!$I$14),"Cam Nghĩa",""),IF(OR(M516=phu!$I$15,M516=phu!$I$16,M516=phu!$I$17,M516=phu!$I$18,M516=phu!$I$19,M516=phu!$I$20,M516=phu!$I$21),"Cam Phúc Bắc",""),IF(OR(M516=phu!$I$22,M516=phu!$I$23,M516=phu!$I$24,M516=phu!$I$25),"Cam Phúc Nam",""),IF(OR(M516=phu!$I$26,M516=phu!$I$27,M516=phu!$I$28,M516=phu!$I$29,M516=phu!$I$30,M516=phu!$I$31),"Cam Phú",""),IF(OR(M516=phu!$I$32,M516=phu!$I$33,M516=phu!$I$34,M516=phu!$I$35,M516=phu!$I$36,M516=phu!$I$37),"Cam Lộc",""),IF(OR(M516=phu!$I$38,M516=phu!$I$39,M516=phu!$I$40,M516=phu!$I$41,M516=phu!$I$42,M516=phu!$I$43,M516=phu!$I$44),"Cam Thuận",""),IF(OR(M516=phu!$I$45,M516=phu!$I$46,M516=phu!$I$47,M516=phu!$I$48,M516=phu!$I$49,M516=phu!$I$50,M516=phu!$I$51,M516=phu!$I$52,M516=phu!$I$53),"Cam Linh",""),IF(OR(M516=phu!$I$54,M516=phu!$I$55,M516=phu!$I$56,M516=phu!$I$57,M516=phu!$I$58,M516=phu!$I$59,M516=phu!$I$60,M516=phu!$I$61,M516=phu!$I$62),"Cam Lợi",""),IF(OR(M516=phu!$I$63,M516=phu!$I$64,M516=phu!$I$65,M516=phu!$I$66,M516=phu!$I$67,M516=phu!$I$68,M516=phu!$I$69,M516=phu!$I$70,M516=phu!$I$71),"Ba Ngòi",""),IF(OR(M516=phu!$I$72,M516=phu!$I$73,M516=phu!$I$74,M516=phu!$I$75,M516=phu!$I$76,M516=phu!$I$77,M516=phu!$I$78),"Cam Phước Đông",""),IF(OR(M516=phu!$I$79,M516=phu!$I$80,M516=phu!$I$81,M516=phu!$I$82,M516=phu!$I$83,M516=phu!$I$84),"Cam Thịnh Đông",""),IF(OR(M516=phu!$I$85,M516=phu!$I$86,M516=phu!$I$87,M516=phu!$I$88),"Cam Thịnh Tây",""),IF(OR(M516=phu!$I$89,M516=phu!$I$90),"Cam Lập",""),IF(OR(M516=phu!$I$91,M516=phu!$I$92,M516=phu!$I$93),"Cam Bình",""),IF(OR(M516=phu!$I$94,M516=phu!$I$95,M516=phu!$I$96,M516=phu!$I$97,M516=phu!$I$98,M516=phu!$I$99,M516=phu!$I$100),"Huyện khác",""),IF(OR(M516=phu!$I$101,M516=phu!$I$102),"Tỉnh khác",""))</f>
        <v/>
      </c>
      <c r="O516" s="829" t="str">
        <f t="shared" si="42"/>
        <v/>
      </c>
      <c r="P516" s="254"/>
      <c r="Q516" s="254"/>
      <c r="R516" s="254"/>
      <c r="S516" s="254"/>
      <c r="T516" s="254"/>
      <c r="U516" s="254"/>
      <c r="V516" s="254"/>
      <c r="W516" s="254"/>
      <c r="Y516" s="246" t="str">
        <f t="shared" si="43"/>
        <v/>
      </c>
      <c r="Z516" s="247" t="str">
        <f t="shared" si="47"/>
        <v/>
      </c>
      <c r="AA516" s="246" t="str">
        <f t="shared" si="44"/>
        <v/>
      </c>
    </row>
    <row r="517" spans="1:27" ht="18" customHeight="1" x14ac:dyDescent="0.25">
      <c r="A517" s="248" t="str">
        <f t="shared" si="45"/>
        <v/>
      </c>
      <c r="B517" s="249" t="str">
        <f t="shared" si="46"/>
        <v/>
      </c>
      <c r="C517" s="250"/>
      <c r="D517" s="251"/>
      <c r="E517" s="241"/>
      <c r="F517" s="252"/>
      <c r="G517" s="252"/>
      <c r="H517" s="253"/>
      <c r="I517" s="250"/>
      <c r="J517" s="250"/>
      <c r="K517" s="270"/>
      <c r="L517" s="250"/>
      <c r="M517" s="250"/>
      <c r="N517" s="540" t="str">
        <f>CONCATENATE(IF(OR(M517=phu!$I$1,M517=phu!$I$2,M517=phu!$I$3),"Cam Thành Nam",""),IF(OR(M517=phu!$I$4,M517=phu!$I$5,M517=phu!$I$6,M517=phu!$I$7,M517=phu!$I$8,M517=phu!$I$9,M517=phu!$I$10,M517=phu!$I$11,M517=phu!$I$12,M517=phu!$I$13,M517=phu!$I$14),"Cam Nghĩa",""),IF(OR(M517=phu!$I$15,M517=phu!$I$16,M517=phu!$I$17,M517=phu!$I$18,M517=phu!$I$19,M517=phu!$I$20,M517=phu!$I$21),"Cam Phúc Bắc",""),IF(OR(M517=phu!$I$22,M517=phu!$I$23,M517=phu!$I$24,M517=phu!$I$25),"Cam Phúc Nam",""),IF(OR(M517=phu!$I$26,M517=phu!$I$27,M517=phu!$I$28,M517=phu!$I$29,M517=phu!$I$30,M517=phu!$I$31),"Cam Phú",""),IF(OR(M517=phu!$I$32,M517=phu!$I$33,M517=phu!$I$34,M517=phu!$I$35,M517=phu!$I$36,M517=phu!$I$37),"Cam Lộc",""),IF(OR(M517=phu!$I$38,M517=phu!$I$39,M517=phu!$I$40,M517=phu!$I$41,M517=phu!$I$42,M517=phu!$I$43,M517=phu!$I$44),"Cam Thuận",""),IF(OR(M517=phu!$I$45,M517=phu!$I$46,M517=phu!$I$47,M517=phu!$I$48,M517=phu!$I$49,M517=phu!$I$50,M517=phu!$I$51,M517=phu!$I$52,M517=phu!$I$53),"Cam Linh",""),IF(OR(M517=phu!$I$54,M517=phu!$I$55,M517=phu!$I$56,M517=phu!$I$57,M517=phu!$I$58,M517=phu!$I$59,M517=phu!$I$60,M517=phu!$I$61,M517=phu!$I$62),"Cam Lợi",""),IF(OR(M517=phu!$I$63,M517=phu!$I$64,M517=phu!$I$65,M517=phu!$I$66,M517=phu!$I$67,M517=phu!$I$68,M517=phu!$I$69,M517=phu!$I$70,M517=phu!$I$71),"Ba Ngòi",""),IF(OR(M517=phu!$I$72,M517=phu!$I$73,M517=phu!$I$74,M517=phu!$I$75,M517=phu!$I$76,M517=phu!$I$77,M517=phu!$I$78),"Cam Phước Đông",""),IF(OR(M517=phu!$I$79,M517=phu!$I$80,M517=phu!$I$81,M517=phu!$I$82,M517=phu!$I$83,M517=phu!$I$84),"Cam Thịnh Đông",""),IF(OR(M517=phu!$I$85,M517=phu!$I$86,M517=phu!$I$87,M517=phu!$I$88),"Cam Thịnh Tây",""),IF(OR(M517=phu!$I$89,M517=phu!$I$90),"Cam Lập",""),IF(OR(M517=phu!$I$91,M517=phu!$I$92,M517=phu!$I$93),"Cam Bình",""),IF(OR(M517=phu!$I$94,M517=phu!$I$95,M517=phu!$I$96,M517=phu!$I$97,M517=phu!$I$98,M517=phu!$I$99,M517=phu!$I$100),"Huyện khác",""),IF(OR(M517=phu!$I$101,M517=phu!$I$102),"Tỉnh khác",""))</f>
        <v/>
      </c>
      <c r="O517" s="829" t="str">
        <f t="shared" si="42"/>
        <v/>
      </c>
      <c r="P517" s="254"/>
      <c r="Q517" s="254"/>
      <c r="R517" s="254"/>
      <c r="S517" s="254"/>
      <c r="T517" s="254"/>
      <c r="U517" s="254"/>
      <c r="V517" s="254"/>
      <c r="W517" s="254"/>
      <c r="Y517" s="246" t="str">
        <f t="shared" si="43"/>
        <v/>
      </c>
      <c r="Z517" s="247" t="str">
        <f t="shared" si="47"/>
        <v/>
      </c>
      <c r="AA517" s="246" t="str">
        <f t="shared" si="44"/>
        <v/>
      </c>
    </row>
    <row r="518" spans="1:27" ht="18" customHeight="1" x14ac:dyDescent="0.25">
      <c r="A518" s="248" t="str">
        <f t="shared" si="45"/>
        <v/>
      </c>
      <c r="B518" s="249" t="str">
        <f t="shared" si="46"/>
        <v/>
      </c>
      <c r="C518" s="250"/>
      <c r="D518" s="251"/>
      <c r="E518" s="241"/>
      <c r="F518" s="252"/>
      <c r="G518" s="252"/>
      <c r="H518" s="253"/>
      <c r="I518" s="250"/>
      <c r="J518" s="250"/>
      <c r="K518" s="270"/>
      <c r="L518" s="250"/>
      <c r="M518" s="250"/>
      <c r="N518" s="540" t="str">
        <f>CONCATENATE(IF(OR(M518=phu!$I$1,M518=phu!$I$2,M518=phu!$I$3),"Cam Thành Nam",""),IF(OR(M518=phu!$I$4,M518=phu!$I$5,M518=phu!$I$6,M518=phu!$I$7,M518=phu!$I$8,M518=phu!$I$9,M518=phu!$I$10,M518=phu!$I$11,M518=phu!$I$12,M518=phu!$I$13,M518=phu!$I$14),"Cam Nghĩa",""),IF(OR(M518=phu!$I$15,M518=phu!$I$16,M518=phu!$I$17,M518=phu!$I$18,M518=phu!$I$19,M518=phu!$I$20,M518=phu!$I$21),"Cam Phúc Bắc",""),IF(OR(M518=phu!$I$22,M518=phu!$I$23,M518=phu!$I$24,M518=phu!$I$25),"Cam Phúc Nam",""),IF(OR(M518=phu!$I$26,M518=phu!$I$27,M518=phu!$I$28,M518=phu!$I$29,M518=phu!$I$30,M518=phu!$I$31),"Cam Phú",""),IF(OR(M518=phu!$I$32,M518=phu!$I$33,M518=phu!$I$34,M518=phu!$I$35,M518=phu!$I$36,M518=phu!$I$37),"Cam Lộc",""),IF(OR(M518=phu!$I$38,M518=phu!$I$39,M518=phu!$I$40,M518=phu!$I$41,M518=phu!$I$42,M518=phu!$I$43,M518=phu!$I$44),"Cam Thuận",""),IF(OR(M518=phu!$I$45,M518=phu!$I$46,M518=phu!$I$47,M518=phu!$I$48,M518=phu!$I$49,M518=phu!$I$50,M518=phu!$I$51,M518=phu!$I$52,M518=phu!$I$53),"Cam Linh",""),IF(OR(M518=phu!$I$54,M518=phu!$I$55,M518=phu!$I$56,M518=phu!$I$57,M518=phu!$I$58,M518=phu!$I$59,M518=phu!$I$60,M518=phu!$I$61,M518=phu!$I$62),"Cam Lợi",""),IF(OR(M518=phu!$I$63,M518=phu!$I$64,M518=phu!$I$65,M518=phu!$I$66,M518=phu!$I$67,M518=phu!$I$68,M518=phu!$I$69,M518=phu!$I$70,M518=phu!$I$71),"Ba Ngòi",""),IF(OR(M518=phu!$I$72,M518=phu!$I$73,M518=phu!$I$74,M518=phu!$I$75,M518=phu!$I$76,M518=phu!$I$77,M518=phu!$I$78),"Cam Phước Đông",""),IF(OR(M518=phu!$I$79,M518=phu!$I$80,M518=phu!$I$81,M518=phu!$I$82,M518=phu!$I$83,M518=phu!$I$84),"Cam Thịnh Đông",""),IF(OR(M518=phu!$I$85,M518=phu!$I$86,M518=phu!$I$87,M518=phu!$I$88),"Cam Thịnh Tây",""),IF(OR(M518=phu!$I$89,M518=phu!$I$90),"Cam Lập",""),IF(OR(M518=phu!$I$91,M518=phu!$I$92,M518=phu!$I$93),"Cam Bình",""),IF(OR(M518=phu!$I$94,M518=phu!$I$95,M518=phu!$I$96,M518=phu!$I$97,M518=phu!$I$98,M518=phu!$I$99,M518=phu!$I$100),"Huyện khác",""),IF(OR(M518=phu!$I$101,M518=phu!$I$102),"Tỉnh khác",""))</f>
        <v/>
      </c>
      <c r="O518" s="829" t="str">
        <f t="shared" si="42"/>
        <v/>
      </c>
      <c r="P518" s="254"/>
      <c r="Q518" s="254"/>
      <c r="R518" s="254"/>
      <c r="S518" s="254"/>
      <c r="T518" s="254"/>
      <c r="U518" s="254"/>
      <c r="V518" s="254"/>
      <c r="W518" s="254"/>
      <c r="Y518" s="246" t="str">
        <f t="shared" si="43"/>
        <v/>
      </c>
      <c r="Z518" s="247" t="str">
        <f t="shared" si="47"/>
        <v/>
      </c>
      <c r="AA518" s="246" t="str">
        <f t="shared" si="44"/>
        <v/>
      </c>
    </row>
    <row r="519" spans="1:27" ht="18" customHeight="1" x14ac:dyDescent="0.25">
      <c r="A519" s="248" t="str">
        <f t="shared" si="45"/>
        <v/>
      </c>
      <c r="B519" s="249" t="str">
        <f t="shared" si="46"/>
        <v/>
      </c>
      <c r="C519" s="250"/>
      <c r="D519" s="251"/>
      <c r="E519" s="241"/>
      <c r="F519" s="252"/>
      <c r="G519" s="252"/>
      <c r="H519" s="253"/>
      <c r="I519" s="250"/>
      <c r="J519" s="250"/>
      <c r="K519" s="270"/>
      <c r="L519" s="250"/>
      <c r="M519" s="250"/>
      <c r="N519" s="540" t="str">
        <f>CONCATENATE(IF(OR(M519=phu!$I$1,M519=phu!$I$2,M519=phu!$I$3),"Cam Thành Nam",""),IF(OR(M519=phu!$I$4,M519=phu!$I$5,M519=phu!$I$6,M519=phu!$I$7,M519=phu!$I$8,M519=phu!$I$9,M519=phu!$I$10,M519=phu!$I$11,M519=phu!$I$12,M519=phu!$I$13,M519=phu!$I$14),"Cam Nghĩa",""),IF(OR(M519=phu!$I$15,M519=phu!$I$16,M519=phu!$I$17,M519=phu!$I$18,M519=phu!$I$19,M519=phu!$I$20,M519=phu!$I$21),"Cam Phúc Bắc",""),IF(OR(M519=phu!$I$22,M519=phu!$I$23,M519=phu!$I$24,M519=phu!$I$25),"Cam Phúc Nam",""),IF(OR(M519=phu!$I$26,M519=phu!$I$27,M519=phu!$I$28,M519=phu!$I$29,M519=phu!$I$30,M519=phu!$I$31),"Cam Phú",""),IF(OR(M519=phu!$I$32,M519=phu!$I$33,M519=phu!$I$34,M519=phu!$I$35,M519=phu!$I$36,M519=phu!$I$37),"Cam Lộc",""),IF(OR(M519=phu!$I$38,M519=phu!$I$39,M519=phu!$I$40,M519=phu!$I$41,M519=phu!$I$42,M519=phu!$I$43,M519=phu!$I$44),"Cam Thuận",""),IF(OR(M519=phu!$I$45,M519=phu!$I$46,M519=phu!$I$47,M519=phu!$I$48,M519=phu!$I$49,M519=phu!$I$50,M519=phu!$I$51,M519=phu!$I$52,M519=phu!$I$53),"Cam Linh",""),IF(OR(M519=phu!$I$54,M519=phu!$I$55,M519=phu!$I$56,M519=phu!$I$57,M519=phu!$I$58,M519=phu!$I$59,M519=phu!$I$60,M519=phu!$I$61,M519=phu!$I$62),"Cam Lợi",""),IF(OR(M519=phu!$I$63,M519=phu!$I$64,M519=phu!$I$65,M519=phu!$I$66,M519=phu!$I$67,M519=phu!$I$68,M519=phu!$I$69,M519=phu!$I$70,M519=phu!$I$71),"Ba Ngòi",""),IF(OR(M519=phu!$I$72,M519=phu!$I$73,M519=phu!$I$74,M519=phu!$I$75,M519=phu!$I$76,M519=phu!$I$77,M519=phu!$I$78),"Cam Phước Đông",""),IF(OR(M519=phu!$I$79,M519=phu!$I$80,M519=phu!$I$81,M519=phu!$I$82,M519=phu!$I$83,M519=phu!$I$84),"Cam Thịnh Đông",""),IF(OR(M519=phu!$I$85,M519=phu!$I$86,M519=phu!$I$87,M519=phu!$I$88),"Cam Thịnh Tây",""),IF(OR(M519=phu!$I$89,M519=phu!$I$90),"Cam Lập",""),IF(OR(M519=phu!$I$91,M519=phu!$I$92,M519=phu!$I$93),"Cam Bình",""),IF(OR(M519=phu!$I$94,M519=phu!$I$95,M519=phu!$I$96,M519=phu!$I$97,M519=phu!$I$98,M519=phu!$I$99,M519=phu!$I$100),"Huyện khác",""),IF(OR(M519=phu!$I$101,M519=phu!$I$102),"Tỉnh khác",""))</f>
        <v/>
      </c>
      <c r="O519" s="829" t="str">
        <f t="shared" ref="O519:O582" si="48">CONCATENATE(IF(OR(N519="Cam Thành Nam",N519="Cam Nghĩa",N519="Cam Phúc Bắc"),"Bắc Cam Ranh",""),IF(OR(N519="Cam Phúc Nam",N519="Cam Phú",N519="Cam Lộc"),"Cam Ranh",""),IF(OR(N519="Cam Thuận",N519="Cam Linh",N519="Cam Lợi"),"Cam Linh",""),IF(OR(N519="Ba Ngòi",N519="Cam Phước Đông"),"Ba Ngòi",""),IF(OR(N519="Cam Thịnh Đông",N519="Cam Thịnh Tây",N519="Cam Lập",N519="Cam Bình"),"Nam Cam Ranh",""),IF(N519="Huyện khác","Huyện khác",""),IF(N519="Tỉnh khác","Tỉnh khác",""))</f>
        <v/>
      </c>
      <c r="P519" s="254"/>
      <c r="Q519" s="254"/>
      <c r="R519" s="254"/>
      <c r="S519" s="254"/>
      <c r="T519" s="254"/>
      <c r="U519" s="254"/>
      <c r="V519" s="254"/>
      <c r="W519" s="254"/>
      <c r="Y519" s="246" t="str">
        <f t="shared" ref="Y519:Y582" si="49">IF(OR(AND(B519="",C519="",D519="",E519="",F519="",G519="",H519="",I519="",J519="",L519="",M519="",N519="",P519="",Q519="",R519="",S519=""),AND(B519&lt;&gt;"",C519&lt;&gt;"",D519&lt;&gt;"",E519&lt;&gt;"",F519&lt;&gt;"",G519&lt;&gt;"",H519&lt;&gt;"",J519&lt;&gt;"",M519&lt;&gt;"",N519&lt;&gt;"",P519&lt;&gt;"",OR(AND(Q519&lt;&gt;"",R519=""),AND(Q519="",R519&lt;&gt;""),AND(Q519&lt;&gt;"",R519&lt;&gt;"")),OR(AND(K519="X",T519&lt;&gt;""),AND(K519="",T519="")))),"","er")</f>
        <v/>
      </c>
      <c r="Z519" s="247" t="str">
        <f t="shared" si="47"/>
        <v/>
      </c>
      <c r="AA519" s="246" t="str">
        <f t="shared" ref="AA519:AA582" si="50">IF(OR(AND(Z519&lt;=10,B519&gt;5),AND(Z519&lt;=11,B519&gt;6),AND(Z519&lt;=12,B519&gt;7),AND(Z519&lt;=13,B519&gt;8),AND(Z519&lt;=14,B519&gt;9),AND(Z519=11,B519=6,L519="X"),AND(Z519=12,B519=7,L519="X"),AND(Z519=13,B519=8,L519="X"),AND(Z519=14,B519=9,L519="X")),"er","")</f>
        <v/>
      </c>
    </row>
    <row r="520" spans="1:27" ht="18" customHeight="1" x14ac:dyDescent="0.25">
      <c r="A520" s="248" t="str">
        <f t="shared" ref="A520:A583" si="51">IF(OR(A519="",B520="",C520="",D520="",E520=""),"",A519+1)</f>
        <v/>
      </c>
      <c r="B520" s="249" t="str">
        <f t="shared" ref="B520:B583" si="52">IF(C520="","",VALUE(LEFT(C520,1)))</f>
        <v/>
      </c>
      <c r="C520" s="250"/>
      <c r="D520" s="251"/>
      <c r="E520" s="241"/>
      <c r="F520" s="252"/>
      <c r="G520" s="252"/>
      <c r="H520" s="253"/>
      <c r="I520" s="250"/>
      <c r="J520" s="250"/>
      <c r="K520" s="270"/>
      <c r="L520" s="250"/>
      <c r="M520" s="250"/>
      <c r="N520" s="540" t="str">
        <f>CONCATENATE(IF(OR(M520=phu!$I$1,M520=phu!$I$2,M520=phu!$I$3),"Cam Thành Nam",""),IF(OR(M520=phu!$I$4,M520=phu!$I$5,M520=phu!$I$6,M520=phu!$I$7,M520=phu!$I$8,M520=phu!$I$9,M520=phu!$I$10,M520=phu!$I$11,M520=phu!$I$12,M520=phu!$I$13,M520=phu!$I$14),"Cam Nghĩa",""),IF(OR(M520=phu!$I$15,M520=phu!$I$16,M520=phu!$I$17,M520=phu!$I$18,M520=phu!$I$19,M520=phu!$I$20,M520=phu!$I$21),"Cam Phúc Bắc",""),IF(OR(M520=phu!$I$22,M520=phu!$I$23,M520=phu!$I$24,M520=phu!$I$25),"Cam Phúc Nam",""),IF(OR(M520=phu!$I$26,M520=phu!$I$27,M520=phu!$I$28,M520=phu!$I$29,M520=phu!$I$30,M520=phu!$I$31),"Cam Phú",""),IF(OR(M520=phu!$I$32,M520=phu!$I$33,M520=phu!$I$34,M520=phu!$I$35,M520=phu!$I$36,M520=phu!$I$37),"Cam Lộc",""),IF(OR(M520=phu!$I$38,M520=phu!$I$39,M520=phu!$I$40,M520=phu!$I$41,M520=phu!$I$42,M520=phu!$I$43,M520=phu!$I$44),"Cam Thuận",""),IF(OR(M520=phu!$I$45,M520=phu!$I$46,M520=phu!$I$47,M520=phu!$I$48,M520=phu!$I$49,M520=phu!$I$50,M520=phu!$I$51,M520=phu!$I$52,M520=phu!$I$53),"Cam Linh",""),IF(OR(M520=phu!$I$54,M520=phu!$I$55,M520=phu!$I$56,M520=phu!$I$57,M520=phu!$I$58,M520=phu!$I$59,M520=phu!$I$60,M520=phu!$I$61,M520=phu!$I$62),"Cam Lợi",""),IF(OR(M520=phu!$I$63,M520=phu!$I$64,M520=phu!$I$65,M520=phu!$I$66,M520=phu!$I$67,M520=phu!$I$68,M520=phu!$I$69,M520=phu!$I$70,M520=phu!$I$71),"Ba Ngòi",""),IF(OR(M520=phu!$I$72,M520=phu!$I$73,M520=phu!$I$74,M520=phu!$I$75,M520=phu!$I$76,M520=phu!$I$77,M520=phu!$I$78),"Cam Phước Đông",""),IF(OR(M520=phu!$I$79,M520=phu!$I$80,M520=phu!$I$81,M520=phu!$I$82,M520=phu!$I$83,M520=phu!$I$84),"Cam Thịnh Đông",""),IF(OR(M520=phu!$I$85,M520=phu!$I$86,M520=phu!$I$87,M520=phu!$I$88),"Cam Thịnh Tây",""),IF(OR(M520=phu!$I$89,M520=phu!$I$90),"Cam Lập",""),IF(OR(M520=phu!$I$91,M520=phu!$I$92,M520=phu!$I$93),"Cam Bình",""),IF(OR(M520=phu!$I$94,M520=phu!$I$95,M520=phu!$I$96,M520=phu!$I$97,M520=phu!$I$98,M520=phu!$I$99,M520=phu!$I$100),"Huyện khác",""),IF(OR(M520=phu!$I$101,M520=phu!$I$102),"Tỉnh khác",""))</f>
        <v/>
      </c>
      <c r="O520" s="829" t="str">
        <f t="shared" si="48"/>
        <v/>
      </c>
      <c r="P520" s="254"/>
      <c r="Q520" s="254"/>
      <c r="R520" s="254"/>
      <c r="S520" s="254"/>
      <c r="T520" s="254"/>
      <c r="U520" s="254"/>
      <c r="V520" s="254"/>
      <c r="W520" s="254"/>
      <c r="Y520" s="246" t="str">
        <f t="shared" si="49"/>
        <v/>
      </c>
      <c r="Z520" s="247" t="str">
        <f t="shared" ref="Z520:Z583" si="53">IF(H520="","",$Z$1-H520)</f>
        <v/>
      </c>
      <c r="AA520" s="246" t="str">
        <f t="shared" si="50"/>
        <v/>
      </c>
    </row>
    <row r="521" spans="1:27" ht="18" customHeight="1" x14ac:dyDescent="0.25">
      <c r="A521" s="248" t="str">
        <f t="shared" si="51"/>
        <v/>
      </c>
      <c r="B521" s="249" t="str">
        <f t="shared" si="52"/>
        <v/>
      </c>
      <c r="C521" s="250"/>
      <c r="D521" s="251"/>
      <c r="E521" s="241"/>
      <c r="F521" s="252"/>
      <c r="G521" s="252"/>
      <c r="H521" s="253"/>
      <c r="I521" s="250"/>
      <c r="J521" s="250"/>
      <c r="K521" s="270"/>
      <c r="L521" s="250"/>
      <c r="M521" s="250"/>
      <c r="N521" s="540" t="str">
        <f>CONCATENATE(IF(OR(M521=phu!$I$1,M521=phu!$I$2,M521=phu!$I$3),"Cam Thành Nam",""),IF(OR(M521=phu!$I$4,M521=phu!$I$5,M521=phu!$I$6,M521=phu!$I$7,M521=phu!$I$8,M521=phu!$I$9,M521=phu!$I$10,M521=phu!$I$11,M521=phu!$I$12,M521=phu!$I$13,M521=phu!$I$14),"Cam Nghĩa",""),IF(OR(M521=phu!$I$15,M521=phu!$I$16,M521=phu!$I$17,M521=phu!$I$18,M521=phu!$I$19,M521=phu!$I$20,M521=phu!$I$21),"Cam Phúc Bắc",""),IF(OR(M521=phu!$I$22,M521=phu!$I$23,M521=phu!$I$24,M521=phu!$I$25),"Cam Phúc Nam",""),IF(OR(M521=phu!$I$26,M521=phu!$I$27,M521=phu!$I$28,M521=phu!$I$29,M521=phu!$I$30,M521=phu!$I$31),"Cam Phú",""),IF(OR(M521=phu!$I$32,M521=phu!$I$33,M521=phu!$I$34,M521=phu!$I$35,M521=phu!$I$36,M521=phu!$I$37),"Cam Lộc",""),IF(OR(M521=phu!$I$38,M521=phu!$I$39,M521=phu!$I$40,M521=phu!$I$41,M521=phu!$I$42,M521=phu!$I$43,M521=phu!$I$44),"Cam Thuận",""),IF(OR(M521=phu!$I$45,M521=phu!$I$46,M521=phu!$I$47,M521=phu!$I$48,M521=phu!$I$49,M521=phu!$I$50,M521=phu!$I$51,M521=phu!$I$52,M521=phu!$I$53),"Cam Linh",""),IF(OR(M521=phu!$I$54,M521=phu!$I$55,M521=phu!$I$56,M521=phu!$I$57,M521=phu!$I$58,M521=phu!$I$59,M521=phu!$I$60,M521=phu!$I$61,M521=phu!$I$62),"Cam Lợi",""),IF(OR(M521=phu!$I$63,M521=phu!$I$64,M521=phu!$I$65,M521=phu!$I$66,M521=phu!$I$67,M521=phu!$I$68,M521=phu!$I$69,M521=phu!$I$70,M521=phu!$I$71),"Ba Ngòi",""),IF(OR(M521=phu!$I$72,M521=phu!$I$73,M521=phu!$I$74,M521=phu!$I$75,M521=phu!$I$76,M521=phu!$I$77,M521=phu!$I$78),"Cam Phước Đông",""),IF(OR(M521=phu!$I$79,M521=phu!$I$80,M521=phu!$I$81,M521=phu!$I$82,M521=phu!$I$83,M521=phu!$I$84),"Cam Thịnh Đông",""),IF(OR(M521=phu!$I$85,M521=phu!$I$86,M521=phu!$I$87,M521=phu!$I$88),"Cam Thịnh Tây",""),IF(OR(M521=phu!$I$89,M521=phu!$I$90),"Cam Lập",""),IF(OR(M521=phu!$I$91,M521=phu!$I$92,M521=phu!$I$93),"Cam Bình",""),IF(OR(M521=phu!$I$94,M521=phu!$I$95,M521=phu!$I$96,M521=phu!$I$97,M521=phu!$I$98,M521=phu!$I$99,M521=phu!$I$100),"Huyện khác",""),IF(OR(M521=phu!$I$101,M521=phu!$I$102),"Tỉnh khác",""))</f>
        <v/>
      </c>
      <c r="O521" s="829" t="str">
        <f t="shared" si="48"/>
        <v/>
      </c>
      <c r="P521" s="254"/>
      <c r="Q521" s="254"/>
      <c r="R521" s="254"/>
      <c r="S521" s="254"/>
      <c r="T521" s="254"/>
      <c r="U521" s="254"/>
      <c r="V521" s="254"/>
      <c r="W521" s="254"/>
      <c r="Y521" s="246" t="str">
        <f t="shared" si="49"/>
        <v/>
      </c>
      <c r="Z521" s="247" t="str">
        <f t="shared" si="53"/>
        <v/>
      </c>
      <c r="AA521" s="246" t="str">
        <f t="shared" si="50"/>
        <v/>
      </c>
    </row>
    <row r="522" spans="1:27" ht="18" customHeight="1" x14ac:dyDescent="0.25">
      <c r="A522" s="248" t="str">
        <f t="shared" si="51"/>
        <v/>
      </c>
      <c r="B522" s="249" t="str">
        <f t="shared" si="52"/>
        <v/>
      </c>
      <c r="C522" s="250"/>
      <c r="D522" s="251"/>
      <c r="E522" s="241"/>
      <c r="F522" s="252"/>
      <c r="G522" s="252"/>
      <c r="H522" s="253"/>
      <c r="I522" s="250"/>
      <c r="J522" s="250"/>
      <c r="K522" s="270"/>
      <c r="L522" s="250"/>
      <c r="M522" s="250"/>
      <c r="N522" s="540" t="str">
        <f>CONCATENATE(IF(OR(M522=phu!$I$1,M522=phu!$I$2,M522=phu!$I$3),"Cam Thành Nam",""),IF(OR(M522=phu!$I$4,M522=phu!$I$5,M522=phu!$I$6,M522=phu!$I$7,M522=phu!$I$8,M522=phu!$I$9,M522=phu!$I$10,M522=phu!$I$11,M522=phu!$I$12,M522=phu!$I$13,M522=phu!$I$14),"Cam Nghĩa",""),IF(OR(M522=phu!$I$15,M522=phu!$I$16,M522=phu!$I$17,M522=phu!$I$18,M522=phu!$I$19,M522=phu!$I$20,M522=phu!$I$21),"Cam Phúc Bắc",""),IF(OR(M522=phu!$I$22,M522=phu!$I$23,M522=phu!$I$24,M522=phu!$I$25),"Cam Phúc Nam",""),IF(OR(M522=phu!$I$26,M522=phu!$I$27,M522=phu!$I$28,M522=phu!$I$29,M522=phu!$I$30,M522=phu!$I$31),"Cam Phú",""),IF(OR(M522=phu!$I$32,M522=phu!$I$33,M522=phu!$I$34,M522=phu!$I$35,M522=phu!$I$36,M522=phu!$I$37),"Cam Lộc",""),IF(OR(M522=phu!$I$38,M522=phu!$I$39,M522=phu!$I$40,M522=phu!$I$41,M522=phu!$I$42,M522=phu!$I$43,M522=phu!$I$44),"Cam Thuận",""),IF(OR(M522=phu!$I$45,M522=phu!$I$46,M522=phu!$I$47,M522=phu!$I$48,M522=phu!$I$49,M522=phu!$I$50,M522=phu!$I$51,M522=phu!$I$52,M522=phu!$I$53),"Cam Linh",""),IF(OR(M522=phu!$I$54,M522=phu!$I$55,M522=phu!$I$56,M522=phu!$I$57,M522=phu!$I$58,M522=phu!$I$59,M522=phu!$I$60,M522=phu!$I$61,M522=phu!$I$62),"Cam Lợi",""),IF(OR(M522=phu!$I$63,M522=phu!$I$64,M522=phu!$I$65,M522=phu!$I$66,M522=phu!$I$67,M522=phu!$I$68,M522=phu!$I$69,M522=phu!$I$70,M522=phu!$I$71),"Ba Ngòi",""),IF(OR(M522=phu!$I$72,M522=phu!$I$73,M522=phu!$I$74,M522=phu!$I$75,M522=phu!$I$76,M522=phu!$I$77,M522=phu!$I$78),"Cam Phước Đông",""),IF(OR(M522=phu!$I$79,M522=phu!$I$80,M522=phu!$I$81,M522=phu!$I$82,M522=phu!$I$83,M522=phu!$I$84),"Cam Thịnh Đông",""),IF(OR(M522=phu!$I$85,M522=phu!$I$86,M522=phu!$I$87,M522=phu!$I$88),"Cam Thịnh Tây",""),IF(OR(M522=phu!$I$89,M522=phu!$I$90),"Cam Lập",""),IF(OR(M522=phu!$I$91,M522=phu!$I$92,M522=phu!$I$93),"Cam Bình",""),IF(OR(M522=phu!$I$94,M522=phu!$I$95,M522=phu!$I$96,M522=phu!$I$97,M522=phu!$I$98,M522=phu!$I$99,M522=phu!$I$100),"Huyện khác",""),IF(OR(M522=phu!$I$101,M522=phu!$I$102),"Tỉnh khác",""))</f>
        <v/>
      </c>
      <c r="O522" s="829" t="str">
        <f t="shared" si="48"/>
        <v/>
      </c>
      <c r="P522" s="254"/>
      <c r="Q522" s="254"/>
      <c r="R522" s="254"/>
      <c r="S522" s="254"/>
      <c r="T522" s="254"/>
      <c r="U522" s="254"/>
      <c r="V522" s="254"/>
      <c r="W522" s="254"/>
      <c r="Y522" s="246" t="str">
        <f t="shared" si="49"/>
        <v/>
      </c>
      <c r="Z522" s="247" t="str">
        <f t="shared" si="53"/>
        <v/>
      </c>
      <c r="AA522" s="246" t="str">
        <f t="shared" si="50"/>
        <v/>
      </c>
    </row>
    <row r="523" spans="1:27" ht="18" customHeight="1" x14ac:dyDescent="0.25">
      <c r="A523" s="248" t="str">
        <f t="shared" si="51"/>
        <v/>
      </c>
      <c r="B523" s="249" t="str">
        <f t="shared" si="52"/>
        <v/>
      </c>
      <c r="C523" s="250"/>
      <c r="D523" s="251"/>
      <c r="E523" s="241"/>
      <c r="F523" s="252"/>
      <c r="G523" s="252"/>
      <c r="H523" s="253"/>
      <c r="I523" s="250"/>
      <c r="J523" s="250"/>
      <c r="K523" s="270"/>
      <c r="L523" s="250"/>
      <c r="M523" s="250"/>
      <c r="N523" s="540" t="str">
        <f>CONCATENATE(IF(OR(M523=phu!$I$1,M523=phu!$I$2,M523=phu!$I$3),"Cam Thành Nam",""),IF(OR(M523=phu!$I$4,M523=phu!$I$5,M523=phu!$I$6,M523=phu!$I$7,M523=phu!$I$8,M523=phu!$I$9,M523=phu!$I$10,M523=phu!$I$11,M523=phu!$I$12,M523=phu!$I$13,M523=phu!$I$14),"Cam Nghĩa",""),IF(OR(M523=phu!$I$15,M523=phu!$I$16,M523=phu!$I$17,M523=phu!$I$18,M523=phu!$I$19,M523=phu!$I$20,M523=phu!$I$21),"Cam Phúc Bắc",""),IF(OR(M523=phu!$I$22,M523=phu!$I$23,M523=phu!$I$24,M523=phu!$I$25),"Cam Phúc Nam",""),IF(OR(M523=phu!$I$26,M523=phu!$I$27,M523=phu!$I$28,M523=phu!$I$29,M523=phu!$I$30,M523=phu!$I$31),"Cam Phú",""),IF(OR(M523=phu!$I$32,M523=phu!$I$33,M523=phu!$I$34,M523=phu!$I$35,M523=phu!$I$36,M523=phu!$I$37),"Cam Lộc",""),IF(OR(M523=phu!$I$38,M523=phu!$I$39,M523=phu!$I$40,M523=phu!$I$41,M523=phu!$I$42,M523=phu!$I$43,M523=phu!$I$44),"Cam Thuận",""),IF(OR(M523=phu!$I$45,M523=phu!$I$46,M523=phu!$I$47,M523=phu!$I$48,M523=phu!$I$49,M523=phu!$I$50,M523=phu!$I$51,M523=phu!$I$52,M523=phu!$I$53),"Cam Linh",""),IF(OR(M523=phu!$I$54,M523=phu!$I$55,M523=phu!$I$56,M523=phu!$I$57,M523=phu!$I$58,M523=phu!$I$59,M523=phu!$I$60,M523=phu!$I$61,M523=phu!$I$62),"Cam Lợi",""),IF(OR(M523=phu!$I$63,M523=phu!$I$64,M523=phu!$I$65,M523=phu!$I$66,M523=phu!$I$67,M523=phu!$I$68,M523=phu!$I$69,M523=phu!$I$70,M523=phu!$I$71),"Ba Ngòi",""),IF(OR(M523=phu!$I$72,M523=phu!$I$73,M523=phu!$I$74,M523=phu!$I$75,M523=phu!$I$76,M523=phu!$I$77,M523=phu!$I$78),"Cam Phước Đông",""),IF(OR(M523=phu!$I$79,M523=phu!$I$80,M523=phu!$I$81,M523=phu!$I$82,M523=phu!$I$83,M523=phu!$I$84),"Cam Thịnh Đông",""),IF(OR(M523=phu!$I$85,M523=phu!$I$86,M523=phu!$I$87,M523=phu!$I$88),"Cam Thịnh Tây",""),IF(OR(M523=phu!$I$89,M523=phu!$I$90),"Cam Lập",""),IF(OR(M523=phu!$I$91,M523=phu!$I$92,M523=phu!$I$93),"Cam Bình",""),IF(OR(M523=phu!$I$94,M523=phu!$I$95,M523=phu!$I$96,M523=phu!$I$97,M523=phu!$I$98,M523=phu!$I$99,M523=phu!$I$100),"Huyện khác",""),IF(OR(M523=phu!$I$101,M523=phu!$I$102),"Tỉnh khác",""))</f>
        <v/>
      </c>
      <c r="O523" s="829" t="str">
        <f t="shared" si="48"/>
        <v/>
      </c>
      <c r="P523" s="254"/>
      <c r="Q523" s="254"/>
      <c r="R523" s="254"/>
      <c r="S523" s="254"/>
      <c r="T523" s="254"/>
      <c r="U523" s="254"/>
      <c r="V523" s="254"/>
      <c r="W523" s="254"/>
      <c r="Y523" s="246" t="str">
        <f t="shared" si="49"/>
        <v/>
      </c>
      <c r="Z523" s="247" t="str">
        <f t="shared" si="53"/>
        <v/>
      </c>
      <c r="AA523" s="246" t="str">
        <f t="shared" si="50"/>
        <v/>
      </c>
    </row>
    <row r="524" spans="1:27" ht="18" customHeight="1" x14ac:dyDescent="0.25">
      <c r="A524" s="248" t="str">
        <f t="shared" si="51"/>
        <v/>
      </c>
      <c r="B524" s="249" t="str">
        <f t="shared" si="52"/>
        <v/>
      </c>
      <c r="C524" s="250"/>
      <c r="D524" s="251"/>
      <c r="E524" s="241"/>
      <c r="F524" s="252"/>
      <c r="G524" s="252"/>
      <c r="H524" s="253"/>
      <c r="I524" s="250"/>
      <c r="J524" s="250"/>
      <c r="K524" s="270"/>
      <c r="L524" s="250"/>
      <c r="M524" s="250"/>
      <c r="N524" s="540" t="str">
        <f>CONCATENATE(IF(OR(M524=phu!$I$1,M524=phu!$I$2,M524=phu!$I$3),"Cam Thành Nam",""),IF(OR(M524=phu!$I$4,M524=phu!$I$5,M524=phu!$I$6,M524=phu!$I$7,M524=phu!$I$8,M524=phu!$I$9,M524=phu!$I$10,M524=phu!$I$11,M524=phu!$I$12,M524=phu!$I$13,M524=phu!$I$14),"Cam Nghĩa",""),IF(OR(M524=phu!$I$15,M524=phu!$I$16,M524=phu!$I$17,M524=phu!$I$18,M524=phu!$I$19,M524=phu!$I$20,M524=phu!$I$21),"Cam Phúc Bắc",""),IF(OR(M524=phu!$I$22,M524=phu!$I$23,M524=phu!$I$24,M524=phu!$I$25),"Cam Phúc Nam",""),IF(OR(M524=phu!$I$26,M524=phu!$I$27,M524=phu!$I$28,M524=phu!$I$29,M524=phu!$I$30,M524=phu!$I$31),"Cam Phú",""),IF(OR(M524=phu!$I$32,M524=phu!$I$33,M524=phu!$I$34,M524=phu!$I$35,M524=phu!$I$36,M524=phu!$I$37),"Cam Lộc",""),IF(OR(M524=phu!$I$38,M524=phu!$I$39,M524=phu!$I$40,M524=phu!$I$41,M524=phu!$I$42,M524=phu!$I$43,M524=phu!$I$44),"Cam Thuận",""),IF(OR(M524=phu!$I$45,M524=phu!$I$46,M524=phu!$I$47,M524=phu!$I$48,M524=phu!$I$49,M524=phu!$I$50,M524=phu!$I$51,M524=phu!$I$52,M524=phu!$I$53),"Cam Linh",""),IF(OR(M524=phu!$I$54,M524=phu!$I$55,M524=phu!$I$56,M524=phu!$I$57,M524=phu!$I$58,M524=phu!$I$59,M524=phu!$I$60,M524=phu!$I$61,M524=phu!$I$62),"Cam Lợi",""),IF(OR(M524=phu!$I$63,M524=phu!$I$64,M524=phu!$I$65,M524=phu!$I$66,M524=phu!$I$67,M524=phu!$I$68,M524=phu!$I$69,M524=phu!$I$70,M524=phu!$I$71),"Ba Ngòi",""),IF(OR(M524=phu!$I$72,M524=phu!$I$73,M524=phu!$I$74,M524=phu!$I$75,M524=phu!$I$76,M524=phu!$I$77,M524=phu!$I$78),"Cam Phước Đông",""),IF(OR(M524=phu!$I$79,M524=phu!$I$80,M524=phu!$I$81,M524=phu!$I$82,M524=phu!$I$83,M524=phu!$I$84),"Cam Thịnh Đông",""),IF(OR(M524=phu!$I$85,M524=phu!$I$86,M524=phu!$I$87,M524=phu!$I$88),"Cam Thịnh Tây",""),IF(OR(M524=phu!$I$89,M524=phu!$I$90),"Cam Lập",""),IF(OR(M524=phu!$I$91,M524=phu!$I$92,M524=phu!$I$93),"Cam Bình",""),IF(OR(M524=phu!$I$94,M524=phu!$I$95,M524=phu!$I$96,M524=phu!$I$97,M524=phu!$I$98,M524=phu!$I$99,M524=phu!$I$100),"Huyện khác",""),IF(OR(M524=phu!$I$101,M524=phu!$I$102),"Tỉnh khác",""))</f>
        <v/>
      </c>
      <c r="O524" s="829" t="str">
        <f t="shared" si="48"/>
        <v/>
      </c>
      <c r="P524" s="254"/>
      <c r="Q524" s="254"/>
      <c r="R524" s="254"/>
      <c r="S524" s="254"/>
      <c r="T524" s="254"/>
      <c r="U524" s="254"/>
      <c r="V524" s="254"/>
      <c r="W524" s="254"/>
      <c r="Y524" s="246" t="str">
        <f t="shared" si="49"/>
        <v/>
      </c>
      <c r="Z524" s="247" t="str">
        <f t="shared" si="53"/>
        <v/>
      </c>
      <c r="AA524" s="246" t="str">
        <f t="shared" si="50"/>
        <v/>
      </c>
    </row>
    <row r="525" spans="1:27" ht="18" customHeight="1" x14ac:dyDescent="0.25">
      <c r="A525" s="248" t="str">
        <f t="shared" si="51"/>
        <v/>
      </c>
      <c r="B525" s="249" t="str">
        <f t="shared" si="52"/>
        <v/>
      </c>
      <c r="C525" s="250"/>
      <c r="D525" s="251"/>
      <c r="E525" s="241"/>
      <c r="F525" s="252"/>
      <c r="G525" s="252"/>
      <c r="H525" s="253"/>
      <c r="I525" s="250"/>
      <c r="J525" s="250"/>
      <c r="K525" s="270"/>
      <c r="L525" s="250"/>
      <c r="M525" s="250"/>
      <c r="N525" s="540" t="str">
        <f>CONCATENATE(IF(OR(M525=phu!$I$1,M525=phu!$I$2,M525=phu!$I$3),"Cam Thành Nam",""),IF(OR(M525=phu!$I$4,M525=phu!$I$5,M525=phu!$I$6,M525=phu!$I$7,M525=phu!$I$8,M525=phu!$I$9,M525=phu!$I$10,M525=phu!$I$11,M525=phu!$I$12,M525=phu!$I$13,M525=phu!$I$14),"Cam Nghĩa",""),IF(OR(M525=phu!$I$15,M525=phu!$I$16,M525=phu!$I$17,M525=phu!$I$18,M525=phu!$I$19,M525=phu!$I$20,M525=phu!$I$21),"Cam Phúc Bắc",""),IF(OR(M525=phu!$I$22,M525=phu!$I$23,M525=phu!$I$24,M525=phu!$I$25),"Cam Phúc Nam",""),IF(OR(M525=phu!$I$26,M525=phu!$I$27,M525=phu!$I$28,M525=phu!$I$29,M525=phu!$I$30,M525=phu!$I$31),"Cam Phú",""),IF(OR(M525=phu!$I$32,M525=phu!$I$33,M525=phu!$I$34,M525=phu!$I$35,M525=phu!$I$36,M525=phu!$I$37),"Cam Lộc",""),IF(OR(M525=phu!$I$38,M525=phu!$I$39,M525=phu!$I$40,M525=phu!$I$41,M525=phu!$I$42,M525=phu!$I$43,M525=phu!$I$44),"Cam Thuận",""),IF(OR(M525=phu!$I$45,M525=phu!$I$46,M525=phu!$I$47,M525=phu!$I$48,M525=phu!$I$49,M525=phu!$I$50,M525=phu!$I$51,M525=phu!$I$52,M525=phu!$I$53),"Cam Linh",""),IF(OR(M525=phu!$I$54,M525=phu!$I$55,M525=phu!$I$56,M525=phu!$I$57,M525=phu!$I$58,M525=phu!$I$59,M525=phu!$I$60,M525=phu!$I$61,M525=phu!$I$62),"Cam Lợi",""),IF(OR(M525=phu!$I$63,M525=phu!$I$64,M525=phu!$I$65,M525=phu!$I$66,M525=phu!$I$67,M525=phu!$I$68,M525=phu!$I$69,M525=phu!$I$70,M525=phu!$I$71),"Ba Ngòi",""),IF(OR(M525=phu!$I$72,M525=phu!$I$73,M525=phu!$I$74,M525=phu!$I$75,M525=phu!$I$76,M525=phu!$I$77,M525=phu!$I$78),"Cam Phước Đông",""),IF(OR(M525=phu!$I$79,M525=phu!$I$80,M525=phu!$I$81,M525=phu!$I$82,M525=phu!$I$83,M525=phu!$I$84),"Cam Thịnh Đông",""),IF(OR(M525=phu!$I$85,M525=phu!$I$86,M525=phu!$I$87,M525=phu!$I$88),"Cam Thịnh Tây",""),IF(OR(M525=phu!$I$89,M525=phu!$I$90),"Cam Lập",""),IF(OR(M525=phu!$I$91,M525=phu!$I$92,M525=phu!$I$93),"Cam Bình",""),IF(OR(M525=phu!$I$94,M525=phu!$I$95,M525=phu!$I$96,M525=phu!$I$97,M525=phu!$I$98,M525=phu!$I$99,M525=phu!$I$100),"Huyện khác",""),IF(OR(M525=phu!$I$101,M525=phu!$I$102),"Tỉnh khác",""))</f>
        <v/>
      </c>
      <c r="O525" s="829" t="str">
        <f t="shared" si="48"/>
        <v/>
      </c>
      <c r="P525" s="254"/>
      <c r="Q525" s="254"/>
      <c r="R525" s="254"/>
      <c r="S525" s="254"/>
      <c r="T525" s="254"/>
      <c r="U525" s="254"/>
      <c r="V525" s="254"/>
      <c r="W525" s="254"/>
      <c r="Y525" s="246" t="str">
        <f t="shared" si="49"/>
        <v/>
      </c>
      <c r="Z525" s="247" t="str">
        <f t="shared" si="53"/>
        <v/>
      </c>
      <c r="AA525" s="246" t="str">
        <f t="shared" si="50"/>
        <v/>
      </c>
    </row>
    <row r="526" spans="1:27" ht="18" customHeight="1" x14ac:dyDescent="0.25">
      <c r="A526" s="248" t="str">
        <f t="shared" si="51"/>
        <v/>
      </c>
      <c r="B526" s="249" t="str">
        <f t="shared" si="52"/>
        <v/>
      </c>
      <c r="C526" s="250"/>
      <c r="D526" s="251"/>
      <c r="E526" s="241"/>
      <c r="F526" s="252"/>
      <c r="G526" s="252"/>
      <c r="H526" s="253"/>
      <c r="I526" s="250"/>
      <c r="J526" s="250"/>
      <c r="K526" s="270"/>
      <c r="L526" s="250"/>
      <c r="M526" s="250"/>
      <c r="N526" s="540" t="str">
        <f>CONCATENATE(IF(OR(M526=phu!$I$1,M526=phu!$I$2,M526=phu!$I$3),"Cam Thành Nam",""),IF(OR(M526=phu!$I$4,M526=phu!$I$5,M526=phu!$I$6,M526=phu!$I$7,M526=phu!$I$8,M526=phu!$I$9,M526=phu!$I$10,M526=phu!$I$11,M526=phu!$I$12,M526=phu!$I$13,M526=phu!$I$14),"Cam Nghĩa",""),IF(OR(M526=phu!$I$15,M526=phu!$I$16,M526=phu!$I$17,M526=phu!$I$18,M526=phu!$I$19,M526=phu!$I$20,M526=phu!$I$21),"Cam Phúc Bắc",""),IF(OR(M526=phu!$I$22,M526=phu!$I$23,M526=phu!$I$24,M526=phu!$I$25),"Cam Phúc Nam",""),IF(OR(M526=phu!$I$26,M526=phu!$I$27,M526=phu!$I$28,M526=phu!$I$29,M526=phu!$I$30,M526=phu!$I$31),"Cam Phú",""),IF(OR(M526=phu!$I$32,M526=phu!$I$33,M526=phu!$I$34,M526=phu!$I$35,M526=phu!$I$36,M526=phu!$I$37),"Cam Lộc",""),IF(OR(M526=phu!$I$38,M526=phu!$I$39,M526=phu!$I$40,M526=phu!$I$41,M526=phu!$I$42,M526=phu!$I$43,M526=phu!$I$44),"Cam Thuận",""),IF(OR(M526=phu!$I$45,M526=phu!$I$46,M526=phu!$I$47,M526=phu!$I$48,M526=phu!$I$49,M526=phu!$I$50,M526=phu!$I$51,M526=phu!$I$52,M526=phu!$I$53),"Cam Linh",""),IF(OR(M526=phu!$I$54,M526=phu!$I$55,M526=phu!$I$56,M526=phu!$I$57,M526=phu!$I$58,M526=phu!$I$59,M526=phu!$I$60,M526=phu!$I$61,M526=phu!$I$62),"Cam Lợi",""),IF(OR(M526=phu!$I$63,M526=phu!$I$64,M526=phu!$I$65,M526=phu!$I$66,M526=phu!$I$67,M526=phu!$I$68,M526=phu!$I$69,M526=phu!$I$70,M526=phu!$I$71),"Ba Ngòi",""),IF(OR(M526=phu!$I$72,M526=phu!$I$73,M526=phu!$I$74,M526=phu!$I$75,M526=phu!$I$76,M526=phu!$I$77,M526=phu!$I$78),"Cam Phước Đông",""),IF(OR(M526=phu!$I$79,M526=phu!$I$80,M526=phu!$I$81,M526=phu!$I$82,M526=phu!$I$83,M526=phu!$I$84),"Cam Thịnh Đông",""),IF(OR(M526=phu!$I$85,M526=phu!$I$86,M526=phu!$I$87,M526=phu!$I$88),"Cam Thịnh Tây",""),IF(OR(M526=phu!$I$89,M526=phu!$I$90),"Cam Lập",""),IF(OR(M526=phu!$I$91,M526=phu!$I$92,M526=phu!$I$93),"Cam Bình",""),IF(OR(M526=phu!$I$94,M526=phu!$I$95,M526=phu!$I$96,M526=phu!$I$97,M526=phu!$I$98,M526=phu!$I$99,M526=phu!$I$100),"Huyện khác",""),IF(OR(M526=phu!$I$101,M526=phu!$I$102),"Tỉnh khác",""))</f>
        <v/>
      </c>
      <c r="O526" s="829" t="str">
        <f t="shared" si="48"/>
        <v/>
      </c>
      <c r="P526" s="254"/>
      <c r="Q526" s="254"/>
      <c r="R526" s="254"/>
      <c r="S526" s="254"/>
      <c r="T526" s="254"/>
      <c r="U526" s="254"/>
      <c r="V526" s="254"/>
      <c r="W526" s="254"/>
      <c r="Y526" s="246" t="str">
        <f t="shared" si="49"/>
        <v/>
      </c>
      <c r="Z526" s="247" t="str">
        <f t="shared" si="53"/>
        <v/>
      </c>
      <c r="AA526" s="246" t="str">
        <f t="shared" si="50"/>
        <v/>
      </c>
    </row>
    <row r="527" spans="1:27" ht="18" customHeight="1" x14ac:dyDescent="0.25">
      <c r="A527" s="248" t="str">
        <f t="shared" si="51"/>
        <v/>
      </c>
      <c r="B527" s="249" t="str">
        <f t="shared" si="52"/>
        <v/>
      </c>
      <c r="C527" s="250"/>
      <c r="D527" s="251"/>
      <c r="E527" s="241"/>
      <c r="F527" s="252"/>
      <c r="G527" s="252"/>
      <c r="H527" s="253"/>
      <c r="I527" s="250"/>
      <c r="J527" s="250"/>
      <c r="K527" s="270"/>
      <c r="L527" s="250"/>
      <c r="M527" s="250"/>
      <c r="N527" s="540" t="str">
        <f>CONCATENATE(IF(OR(M527=phu!$I$1,M527=phu!$I$2,M527=phu!$I$3),"Cam Thành Nam",""),IF(OR(M527=phu!$I$4,M527=phu!$I$5,M527=phu!$I$6,M527=phu!$I$7,M527=phu!$I$8,M527=phu!$I$9,M527=phu!$I$10,M527=phu!$I$11,M527=phu!$I$12,M527=phu!$I$13,M527=phu!$I$14),"Cam Nghĩa",""),IF(OR(M527=phu!$I$15,M527=phu!$I$16,M527=phu!$I$17,M527=phu!$I$18,M527=phu!$I$19,M527=phu!$I$20,M527=phu!$I$21),"Cam Phúc Bắc",""),IF(OR(M527=phu!$I$22,M527=phu!$I$23,M527=phu!$I$24,M527=phu!$I$25),"Cam Phúc Nam",""),IF(OR(M527=phu!$I$26,M527=phu!$I$27,M527=phu!$I$28,M527=phu!$I$29,M527=phu!$I$30,M527=phu!$I$31),"Cam Phú",""),IF(OR(M527=phu!$I$32,M527=phu!$I$33,M527=phu!$I$34,M527=phu!$I$35,M527=phu!$I$36,M527=phu!$I$37),"Cam Lộc",""),IF(OR(M527=phu!$I$38,M527=phu!$I$39,M527=phu!$I$40,M527=phu!$I$41,M527=phu!$I$42,M527=phu!$I$43,M527=phu!$I$44),"Cam Thuận",""),IF(OR(M527=phu!$I$45,M527=phu!$I$46,M527=phu!$I$47,M527=phu!$I$48,M527=phu!$I$49,M527=phu!$I$50,M527=phu!$I$51,M527=phu!$I$52,M527=phu!$I$53),"Cam Linh",""),IF(OR(M527=phu!$I$54,M527=phu!$I$55,M527=phu!$I$56,M527=phu!$I$57,M527=phu!$I$58,M527=phu!$I$59,M527=phu!$I$60,M527=phu!$I$61,M527=phu!$I$62),"Cam Lợi",""),IF(OR(M527=phu!$I$63,M527=phu!$I$64,M527=phu!$I$65,M527=phu!$I$66,M527=phu!$I$67,M527=phu!$I$68,M527=phu!$I$69,M527=phu!$I$70,M527=phu!$I$71),"Ba Ngòi",""),IF(OR(M527=phu!$I$72,M527=phu!$I$73,M527=phu!$I$74,M527=phu!$I$75,M527=phu!$I$76,M527=phu!$I$77,M527=phu!$I$78),"Cam Phước Đông",""),IF(OR(M527=phu!$I$79,M527=phu!$I$80,M527=phu!$I$81,M527=phu!$I$82,M527=phu!$I$83,M527=phu!$I$84),"Cam Thịnh Đông",""),IF(OR(M527=phu!$I$85,M527=phu!$I$86,M527=phu!$I$87,M527=phu!$I$88),"Cam Thịnh Tây",""),IF(OR(M527=phu!$I$89,M527=phu!$I$90),"Cam Lập",""),IF(OR(M527=phu!$I$91,M527=phu!$I$92,M527=phu!$I$93),"Cam Bình",""),IF(OR(M527=phu!$I$94,M527=phu!$I$95,M527=phu!$I$96,M527=phu!$I$97,M527=phu!$I$98,M527=phu!$I$99,M527=phu!$I$100),"Huyện khác",""),IF(OR(M527=phu!$I$101,M527=phu!$I$102),"Tỉnh khác",""))</f>
        <v/>
      </c>
      <c r="O527" s="829" t="str">
        <f t="shared" si="48"/>
        <v/>
      </c>
      <c r="P527" s="254"/>
      <c r="Q527" s="254"/>
      <c r="R527" s="254"/>
      <c r="S527" s="254"/>
      <c r="T527" s="254"/>
      <c r="U527" s="254"/>
      <c r="V527" s="254"/>
      <c r="W527" s="254"/>
      <c r="Y527" s="246" t="str">
        <f t="shared" si="49"/>
        <v/>
      </c>
      <c r="Z527" s="247" t="str">
        <f t="shared" si="53"/>
        <v/>
      </c>
      <c r="AA527" s="246" t="str">
        <f t="shared" si="50"/>
        <v/>
      </c>
    </row>
    <row r="528" spans="1:27" ht="18" customHeight="1" x14ac:dyDescent="0.25">
      <c r="A528" s="248" t="str">
        <f t="shared" si="51"/>
        <v/>
      </c>
      <c r="B528" s="249" t="str">
        <f t="shared" si="52"/>
        <v/>
      </c>
      <c r="C528" s="250"/>
      <c r="D528" s="251"/>
      <c r="E528" s="241"/>
      <c r="F528" s="252"/>
      <c r="G528" s="252"/>
      <c r="H528" s="253"/>
      <c r="I528" s="250"/>
      <c r="J528" s="250"/>
      <c r="K528" s="270"/>
      <c r="L528" s="250"/>
      <c r="M528" s="250"/>
      <c r="N528" s="540" t="str">
        <f>CONCATENATE(IF(OR(M528=phu!$I$1,M528=phu!$I$2,M528=phu!$I$3),"Cam Thành Nam",""),IF(OR(M528=phu!$I$4,M528=phu!$I$5,M528=phu!$I$6,M528=phu!$I$7,M528=phu!$I$8,M528=phu!$I$9,M528=phu!$I$10,M528=phu!$I$11,M528=phu!$I$12,M528=phu!$I$13,M528=phu!$I$14),"Cam Nghĩa",""),IF(OR(M528=phu!$I$15,M528=phu!$I$16,M528=phu!$I$17,M528=phu!$I$18,M528=phu!$I$19,M528=phu!$I$20,M528=phu!$I$21),"Cam Phúc Bắc",""),IF(OR(M528=phu!$I$22,M528=phu!$I$23,M528=phu!$I$24,M528=phu!$I$25),"Cam Phúc Nam",""),IF(OR(M528=phu!$I$26,M528=phu!$I$27,M528=phu!$I$28,M528=phu!$I$29,M528=phu!$I$30,M528=phu!$I$31),"Cam Phú",""),IF(OR(M528=phu!$I$32,M528=phu!$I$33,M528=phu!$I$34,M528=phu!$I$35,M528=phu!$I$36,M528=phu!$I$37),"Cam Lộc",""),IF(OR(M528=phu!$I$38,M528=phu!$I$39,M528=phu!$I$40,M528=phu!$I$41,M528=phu!$I$42,M528=phu!$I$43,M528=phu!$I$44),"Cam Thuận",""),IF(OR(M528=phu!$I$45,M528=phu!$I$46,M528=phu!$I$47,M528=phu!$I$48,M528=phu!$I$49,M528=phu!$I$50,M528=phu!$I$51,M528=phu!$I$52,M528=phu!$I$53),"Cam Linh",""),IF(OR(M528=phu!$I$54,M528=phu!$I$55,M528=phu!$I$56,M528=phu!$I$57,M528=phu!$I$58,M528=phu!$I$59,M528=phu!$I$60,M528=phu!$I$61,M528=phu!$I$62),"Cam Lợi",""),IF(OR(M528=phu!$I$63,M528=phu!$I$64,M528=phu!$I$65,M528=phu!$I$66,M528=phu!$I$67,M528=phu!$I$68,M528=phu!$I$69,M528=phu!$I$70,M528=phu!$I$71),"Ba Ngòi",""),IF(OR(M528=phu!$I$72,M528=phu!$I$73,M528=phu!$I$74,M528=phu!$I$75,M528=phu!$I$76,M528=phu!$I$77,M528=phu!$I$78),"Cam Phước Đông",""),IF(OR(M528=phu!$I$79,M528=phu!$I$80,M528=phu!$I$81,M528=phu!$I$82,M528=phu!$I$83,M528=phu!$I$84),"Cam Thịnh Đông",""),IF(OR(M528=phu!$I$85,M528=phu!$I$86,M528=phu!$I$87,M528=phu!$I$88),"Cam Thịnh Tây",""),IF(OR(M528=phu!$I$89,M528=phu!$I$90),"Cam Lập",""),IF(OR(M528=phu!$I$91,M528=phu!$I$92,M528=phu!$I$93),"Cam Bình",""),IF(OR(M528=phu!$I$94,M528=phu!$I$95,M528=phu!$I$96,M528=phu!$I$97,M528=phu!$I$98,M528=phu!$I$99,M528=phu!$I$100),"Huyện khác",""),IF(OR(M528=phu!$I$101,M528=phu!$I$102),"Tỉnh khác",""))</f>
        <v/>
      </c>
      <c r="O528" s="829" t="str">
        <f t="shared" si="48"/>
        <v/>
      </c>
      <c r="P528" s="254"/>
      <c r="Q528" s="254"/>
      <c r="R528" s="254"/>
      <c r="S528" s="254"/>
      <c r="T528" s="254"/>
      <c r="U528" s="254"/>
      <c r="V528" s="254"/>
      <c r="W528" s="254"/>
      <c r="Y528" s="246" t="str">
        <f t="shared" si="49"/>
        <v/>
      </c>
      <c r="Z528" s="247" t="str">
        <f t="shared" si="53"/>
        <v/>
      </c>
      <c r="AA528" s="246" t="str">
        <f t="shared" si="50"/>
        <v/>
      </c>
    </row>
    <row r="529" spans="1:27" ht="18" customHeight="1" x14ac:dyDescent="0.25">
      <c r="A529" s="248" t="str">
        <f t="shared" si="51"/>
        <v/>
      </c>
      <c r="B529" s="249" t="str">
        <f t="shared" si="52"/>
        <v/>
      </c>
      <c r="C529" s="250"/>
      <c r="D529" s="251"/>
      <c r="E529" s="241"/>
      <c r="F529" s="252"/>
      <c r="G529" s="252"/>
      <c r="H529" s="253"/>
      <c r="I529" s="250"/>
      <c r="J529" s="250"/>
      <c r="K529" s="270"/>
      <c r="L529" s="250"/>
      <c r="M529" s="250"/>
      <c r="N529" s="540" t="str">
        <f>CONCATENATE(IF(OR(M529=phu!$I$1,M529=phu!$I$2,M529=phu!$I$3),"Cam Thành Nam",""),IF(OR(M529=phu!$I$4,M529=phu!$I$5,M529=phu!$I$6,M529=phu!$I$7,M529=phu!$I$8,M529=phu!$I$9,M529=phu!$I$10,M529=phu!$I$11,M529=phu!$I$12,M529=phu!$I$13,M529=phu!$I$14),"Cam Nghĩa",""),IF(OR(M529=phu!$I$15,M529=phu!$I$16,M529=phu!$I$17,M529=phu!$I$18,M529=phu!$I$19,M529=phu!$I$20,M529=phu!$I$21),"Cam Phúc Bắc",""),IF(OR(M529=phu!$I$22,M529=phu!$I$23,M529=phu!$I$24,M529=phu!$I$25),"Cam Phúc Nam",""),IF(OR(M529=phu!$I$26,M529=phu!$I$27,M529=phu!$I$28,M529=phu!$I$29,M529=phu!$I$30,M529=phu!$I$31),"Cam Phú",""),IF(OR(M529=phu!$I$32,M529=phu!$I$33,M529=phu!$I$34,M529=phu!$I$35,M529=phu!$I$36,M529=phu!$I$37),"Cam Lộc",""),IF(OR(M529=phu!$I$38,M529=phu!$I$39,M529=phu!$I$40,M529=phu!$I$41,M529=phu!$I$42,M529=phu!$I$43,M529=phu!$I$44),"Cam Thuận",""),IF(OR(M529=phu!$I$45,M529=phu!$I$46,M529=phu!$I$47,M529=phu!$I$48,M529=phu!$I$49,M529=phu!$I$50,M529=phu!$I$51,M529=phu!$I$52,M529=phu!$I$53),"Cam Linh",""),IF(OR(M529=phu!$I$54,M529=phu!$I$55,M529=phu!$I$56,M529=phu!$I$57,M529=phu!$I$58,M529=phu!$I$59,M529=phu!$I$60,M529=phu!$I$61,M529=phu!$I$62),"Cam Lợi",""),IF(OR(M529=phu!$I$63,M529=phu!$I$64,M529=phu!$I$65,M529=phu!$I$66,M529=phu!$I$67,M529=phu!$I$68,M529=phu!$I$69,M529=phu!$I$70,M529=phu!$I$71),"Ba Ngòi",""),IF(OR(M529=phu!$I$72,M529=phu!$I$73,M529=phu!$I$74,M529=phu!$I$75,M529=phu!$I$76,M529=phu!$I$77,M529=phu!$I$78),"Cam Phước Đông",""),IF(OR(M529=phu!$I$79,M529=phu!$I$80,M529=phu!$I$81,M529=phu!$I$82,M529=phu!$I$83,M529=phu!$I$84),"Cam Thịnh Đông",""),IF(OR(M529=phu!$I$85,M529=phu!$I$86,M529=phu!$I$87,M529=phu!$I$88),"Cam Thịnh Tây",""),IF(OR(M529=phu!$I$89,M529=phu!$I$90),"Cam Lập",""),IF(OR(M529=phu!$I$91,M529=phu!$I$92,M529=phu!$I$93),"Cam Bình",""),IF(OR(M529=phu!$I$94,M529=phu!$I$95,M529=phu!$I$96,M529=phu!$I$97,M529=phu!$I$98,M529=phu!$I$99,M529=phu!$I$100),"Huyện khác",""),IF(OR(M529=phu!$I$101,M529=phu!$I$102),"Tỉnh khác",""))</f>
        <v/>
      </c>
      <c r="O529" s="829" t="str">
        <f t="shared" si="48"/>
        <v/>
      </c>
      <c r="P529" s="254"/>
      <c r="Q529" s="254"/>
      <c r="R529" s="254"/>
      <c r="S529" s="254"/>
      <c r="T529" s="254"/>
      <c r="U529" s="254"/>
      <c r="V529" s="254"/>
      <c r="W529" s="254"/>
      <c r="Y529" s="246" t="str">
        <f t="shared" si="49"/>
        <v/>
      </c>
      <c r="Z529" s="247" t="str">
        <f t="shared" si="53"/>
        <v/>
      </c>
      <c r="AA529" s="246" t="str">
        <f t="shared" si="50"/>
        <v/>
      </c>
    </row>
    <row r="530" spans="1:27" ht="18" customHeight="1" x14ac:dyDescent="0.25">
      <c r="A530" s="248" t="str">
        <f t="shared" si="51"/>
        <v/>
      </c>
      <c r="B530" s="249" t="str">
        <f t="shared" si="52"/>
        <v/>
      </c>
      <c r="C530" s="250"/>
      <c r="D530" s="251"/>
      <c r="E530" s="241"/>
      <c r="F530" s="252"/>
      <c r="G530" s="252"/>
      <c r="H530" s="253"/>
      <c r="I530" s="250"/>
      <c r="J530" s="250"/>
      <c r="K530" s="270"/>
      <c r="L530" s="250"/>
      <c r="M530" s="250"/>
      <c r="N530" s="540" t="str">
        <f>CONCATENATE(IF(OR(M530=phu!$I$1,M530=phu!$I$2,M530=phu!$I$3),"Cam Thành Nam",""),IF(OR(M530=phu!$I$4,M530=phu!$I$5,M530=phu!$I$6,M530=phu!$I$7,M530=phu!$I$8,M530=phu!$I$9,M530=phu!$I$10,M530=phu!$I$11,M530=phu!$I$12,M530=phu!$I$13,M530=phu!$I$14),"Cam Nghĩa",""),IF(OR(M530=phu!$I$15,M530=phu!$I$16,M530=phu!$I$17,M530=phu!$I$18,M530=phu!$I$19,M530=phu!$I$20,M530=phu!$I$21),"Cam Phúc Bắc",""),IF(OR(M530=phu!$I$22,M530=phu!$I$23,M530=phu!$I$24,M530=phu!$I$25),"Cam Phúc Nam",""),IF(OR(M530=phu!$I$26,M530=phu!$I$27,M530=phu!$I$28,M530=phu!$I$29,M530=phu!$I$30,M530=phu!$I$31),"Cam Phú",""),IF(OR(M530=phu!$I$32,M530=phu!$I$33,M530=phu!$I$34,M530=phu!$I$35,M530=phu!$I$36,M530=phu!$I$37),"Cam Lộc",""),IF(OR(M530=phu!$I$38,M530=phu!$I$39,M530=phu!$I$40,M530=phu!$I$41,M530=phu!$I$42,M530=phu!$I$43,M530=phu!$I$44),"Cam Thuận",""),IF(OR(M530=phu!$I$45,M530=phu!$I$46,M530=phu!$I$47,M530=phu!$I$48,M530=phu!$I$49,M530=phu!$I$50,M530=phu!$I$51,M530=phu!$I$52,M530=phu!$I$53),"Cam Linh",""),IF(OR(M530=phu!$I$54,M530=phu!$I$55,M530=phu!$I$56,M530=phu!$I$57,M530=phu!$I$58,M530=phu!$I$59,M530=phu!$I$60,M530=phu!$I$61,M530=phu!$I$62),"Cam Lợi",""),IF(OR(M530=phu!$I$63,M530=phu!$I$64,M530=phu!$I$65,M530=phu!$I$66,M530=phu!$I$67,M530=phu!$I$68,M530=phu!$I$69,M530=phu!$I$70,M530=phu!$I$71),"Ba Ngòi",""),IF(OR(M530=phu!$I$72,M530=phu!$I$73,M530=phu!$I$74,M530=phu!$I$75,M530=phu!$I$76,M530=phu!$I$77,M530=phu!$I$78),"Cam Phước Đông",""),IF(OR(M530=phu!$I$79,M530=phu!$I$80,M530=phu!$I$81,M530=phu!$I$82,M530=phu!$I$83,M530=phu!$I$84),"Cam Thịnh Đông",""),IF(OR(M530=phu!$I$85,M530=phu!$I$86,M530=phu!$I$87,M530=phu!$I$88),"Cam Thịnh Tây",""),IF(OR(M530=phu!$I$89,M530=phu!$I$90),"Cam Lập",""),IF(OR(M530=phu!$I$91,M530=phu!$I$92,M530=phu!$I$93),"Cam Bình",""),IF(OR(M530=phu!$I$94,M530=phu!$I$95,M530=phu!$I$96,M530=phu!$I$97,M530=phu!$I$98,M530=phu!$I$99,M530=phu!$I$100),"Huyện khác",""),IF(OR(M530=phu!$I$101,M530=phu!$I$102),"Tỉnh khác",""))</f>
        <v/>
      </c>
      <c r="O530" s="829" t="str">
        <f t="shared" si="48"/>
        <v/>
      </c>
      <c r="P530" s="254"/>
      <c r="Q530" s="254"/>
      <c r="R530" s="254"/>
      <c r="S530" s="254"/>
      <c r="T530" s="254"/>
      <c r="U530" s="254"/>
      <c r="V530" s="254"/>
      <c r="W530" s="254"/>
      <c r="Y530" s="246" t="str">
        <f t="shared" si="49"/>
        <v/>
      </c>
      <c r="Z530" s="247" t="str">
        <f t="shared" si="53"/>
        <v/>
      </c>
      <c r="AA530" s="246" t="str">
        <f t="shared" si="50"/>
        <v/>
      </c>
    </row>
    <row r="531" spans="1:27" ht="18" customHeight="1" x14ac:dyDescent="0.25">
      <c r="A531" s="248" t="str">
        <f t="shared" si="51"/>
        <v/>
      </c>
      <c r="B531" s="249" t="str">
        <f t="shared" si="52"/>
        <v/>
      </c>
      <c r="C531" s="250"/>
      <c r="D531" s="251"/>
      <c r="E531" s="241"/>
      <c r="F531" s="252"/>
      <c r="G531" s="252"/>
      <c r="H531" s="253"/>
      <c r="I531" s="250"/>
      <c r="J531" s="250"/>
      <c r="K531" s="270"/>
      <c r="L531" s="250"/>
      <c r="M531" s="250"/>
      <c r="N531" s="540" t="str">
        <f>CONCATENATE(IF(OR(M531=phu!$I$1,M531=phu!$I$2,M531=phu!$I$3),"Cam Thành Nam",""),IF(OR(M531=phu!$I$4,M531=phu!$I$5,M531=phu!$I$6,M531=phu!$I$7,M531=phu!$I$8,M531=phu!$I$9,M531=phu!$I$10,M531=phu!$I$11,M531=phu!$I$12,M531=phu!$I$13,M531=phu!$I$14),"Cam Nghĩa",""),IF(OR(M531=phu!$I$15,M531=phu!$I$16,M531=phu!$I$17,M531=phu!$I$18,M531=phu!$I$19,M531=phu!$I$20,M531=phu!$I$21),"Cam Phúc Bắc",""),IF(OR(M531=phu!$I$22,M531=phu!$I$23,M531=phu!$I$24,M531=phu!$I$25),"Cam Phúc Nam",""),IF(OR(M531=phu!$I$26,M531=phu!$I$27,M531=phu!$I$28,M531=phu!$I$29,M531=phu!$I$30,M531=phu!$I$31),"Cam Phú",""),IF(OR(M531=phu!$I$32,M531=phu!$I$33,M531=phu!$I$34,M531=phu!$I$35,M531=phu!$I$36,M531=phu!$I$37),"Cam Lộc",""),IF(OR(M531=phu!$I$38,M531=phu!$I$39,M531=phu!$I$40,M531=phu!$I$41,M531=phu!$I$42,M531=phu!$I$43,M531=phu!$I$44),"Cam Thuận",""),IF(OR(M531=phu!$I$45,M531=phu!$I$46,M531=phu!$I$47,M531=phu!$I$48,M531=phu!$I$49,M531=phu!$I$50,M531=phu!$I$51,M531=phu!$I$52,M531=phu!$I$53),"Cam Linh",""),IF(OR(M531=phu!$I$54,M531=phu!$I$55,M531=phu!$I$56,M531=phu!$I$57,M531=phu!$I$58,M531=phu!$I$59,M531=phu!$I$60,M531=phu!$I$61,M531=phu!$I$62),"Cam Lợi",""),IF(OR(M531=phu!$I$63,M531=phu!$I$64,M531=phu!$I$65,M531=phu!$I$66,M531=phu!$I$67,M531=phu!$I$68,M531=phu!$I$69,M531=phu!$I$70,M531=phu!$I$71),"Ba Ngòi",""),IF(OR(M531=phu!$I$72,M531=phu!$I$73,M531=phu!$I$74,M531=phu!$I$75,M531=phu!$I$76,M531=phu!$I$77,M531=phu!$I$78),"Cam Phước Đông",""),IF(OR(M531=phu!$I$79,M531=phu!$I$80,M531=phu!$I$81,M531=phu!$I$82,M531=phu!$I$83,M531=phu!$I$84),"Cam Thịnh Đông",""),IF(OR(M531=phu!$I$85,M531=phu!$I$86,M531=phu!$I$87,M531=phu!$I$88),"Cam Thịnh Tây",""),IF(OR(M531=phu!$I$89,M531=phu!$I$90),"Cam Lập",""),IF(OR(M531=phu!$I$91,M531=phu!$I$92,M531=phu!$I$93),"Cam Bình",""),IF(OR(M531=phu!$I$94,M531=phu!$I$95,M531=phu!$I$96,M531=phu!$I$97,M531=phu!$I$98,M531=phu!$I$99,M531=phu!$I$100),"Huyện khác",""),IF(OR(M531=phu!$I$101,M531=phu!$I$102),"Tỉnh khác",""))</f>
        <v/>
      </c>
      <c r="O531" s="829" t="str">
        <f t="shared" si="48"/>
        <v/>
      </c>
      <c r="P531" s="254"/>
      <c r="Q531" s="254"/>
      <c r="R531" s="254"/>
      <c r="S531" s="254"/>
      <c r="T531" s="254"/>
      <c r="U531" s="254"/>
      <c r="V531" s="254"/>
      <c r="W531" s="254"/>
      <c r="Y531" s="246" t="str">
        <f t="shared" si="49"/>
        <v/>
      </c>
      <c r="Z531" s="247" t="str">
        <f t="shared" si="53"/>
        <v/>
      </c>
      <c r="AA531" s="246" t="str">
        <f t="shared" si="50"/>
        <v/>
      </c>
    </row>
    <row r="532" spans="1:27" ht="18" customHeight="1" x14ac:dyDescent="0.25">
      <c r="A532" s="248" t="str">
        <f t="shared" si="51"/>
        <v/>
      </c>
      <c r="B532" s="249" t="str">
        <f t="shared" si="52"/>
        <v/>
      </c>
      <c r="C532" s="250"/>
      <c r="D532" s="251"/>
      <c r="E532" s="241"/>
      <c r="F532" s="252"/>
      <c r="G532" s="252"/>
      <c r="H532" s="253"/>
      <c r="I532" s="250"/>
      <c r="J532" s="250"/>
      <c r="K532" s="270"/>
      <c r="L532" s="250"/>
      <c r="M532" s="250"/>
      <c r="N532" s="540" t="str">
        <f>CONCATENATE(IF(OR(M532=phu!$I$1,M532=phu!$I$2,M532=phu!$I$3),"Cam Thành Nam",""),IF(OR(M532=phu!$I$4,M532=phu!$I$5,M532=phu!$I$6,M532=phu!$I$7,M532=phu!$I$8,M532=phu!$I$9,M532=phu!$I$10,M532=phu!$I$11,M532=phu!$I$12,M532=phu!$I$13,M532=phu!$I$14),"Cam Nghĩa",""),IF(OR(M532=phu!$I$15,M532=phu!$I$16,M532=phu!$I$17,M532=phu!$I$18,M532=phu!$I$19,M532=phu!$I$20,M532=phu!$I$21),"Cam Phúc Bắc",""),IF(OR(M532=phu!$I$22,M532=phu!$I$23,M532=phu!$I$24,M532=phu!$I$25),"Cam Phúc Nam",""),IF(OR(M532=phu!$I$26,M532=phu!$I$27,M532=phu!$I$28,M532=phu!$I$29,M532=phu!$I$30,M532=phu!$I$31),"Cam Phú",""),IF(OR(M532=phu!$I$32,M532=phu!$I$33,M532=phu!$I$34,M532=phu!$I$35,M532=phu!$I$36,M532=phu!$I$37),"Cam Lộc",""),IF(OR(M532=phu!$I$38,M532=phu!$I$39,M532=phu!$I$40,M532=phu!$I$41,M532=phu!$I$42,M532=phu!$I$43,M532=phu!$I$44),"Cam Thuận",""),IF(OR(M532=phu!$I$45,M532=phu!$I$46,M532=phu!$I$47,M532=phu!$I$48,M532=phu!$I$49,M532=phu!$I$50,M532=phu!$I$51,M532=phu!$I$52,M532=phu!$I$53),"Cam Linh",""),IF(OR(M532=phu!$I$54,M532=phu!$I$55,M532=phu!$I$56,M532=phu!$I$57,M532=phu!$I$58,M532=phu!$I$59,M532=phu!$I$60,M532=phu!$I$61,M532=phu!$I$62),"Cam Lợi",""),IF(OR(M532=phu!$I$63,M532=phu!$I$64,M532=phu!$I$65,M532=phu!$I$66,M532=phu!$I$67,M532=phu!$I$68,M532=phu!$I$69,M532=phu!$I$70,M532=phu!$I$71),"Ba Ngòi",""),IF(OR(M532=phu!$I$72,M532=phu!$I$73,M532=phu!$I$74,M532=phu!$I$75,M532=phu!$I$76,M532=phu!$I$77,M532=phu!$I$78),"Cam Phước Đông",""),IF(OR(M532=phu!$I$79,M532=phu!$I$80,M532=phu!$I$81,M532=phu!$I$82,M532=phu!$I$83,M532=phu!$I$84),"Cam Thịnh Đông",""),IF(OR(M532=phu!$I$85,M532=phu!$I$86,M532=phu!$I$87,M532=phu!$I$88),"Cam Thịnh Tây",""),IF(OR(M532=phu!$I$89,M532=phu!$I$90),"Cam Lập",""),IF(OR(M532=phu!$I$91,M532=phu!$I$92,M532=phu!$I$93),"Cam Bình",""),IF(OR(M532=phu!$I$94,M532=phu!$I$95,M532=phu!$I$96,M532=phu!$I$97,M532=phu!$I$98,M532=phu!$I$99,M532=phu!$I$100),"Huyện khác",""),IF(OR(M532=phu!$I$101,M532=phu!$I$102),"Tỉnh khác",""))</f>
        <v/>
      </c>
      <c r="O532" s="829" t="str">
        <f t="shared" si="48"/>
        <v/>
      </c>
      <c r="P532" s="254"/>
      <c r="Q532" s="254"/>
      <c r="R532" s="254"/>
      <c r="S532" s="254"/>
      <c r="T532" s="254"/>
      <c r="U532" s="254"/>
      <c r="V532" s="254"/>
      <c r="W532" s="254"/>
      <c r="Y532" s="246" t="str">
        <f t="shared" si="49"/>
        <v/>
      </c>
      <c r="Z532" s="247" t="str">
        <f t="shared" si="53"/>
        <v/>
      </c>
      <c r="AA532" s="246" t="str">
        <f t="shared" si="50"/>
        <v/>
      </c>
    </row>
    <row r="533" spans="1:27" ht="18" customHeight="1" x14ac:dyDescent="0.25">
      <c r="A533" s="248" t="str">
        <f t="shared" si="51"/>
        <v/>
      </c>
      <c r="B533" s="249" t="str">
        <f t="shared" si="52"/>
        <v/>
      </c>
      <c r="C533" s="250"/>
      <c r="D533" s="251"/>
      <c r="E533" s="241"/>
      <c r="F533" s="252"/>
      <c r="G533" s="252"/>
      <c r="H533" s="253"/>
      <c r="I533" s="250"/>
      <c r="J533" s="250"/>
      <c r="K533" s="270"/>
      <c r="L533" s="250"/>
      <c r="M533" s="250"/>
      <c r="N533" s="540" t="str">
        <f>CONCATENATE(IF(OR(M533=phu!$I$1,M533=phu!$I$2,M533=phu!$I$3),"Cam Thành Nam",""),IF(OR(M533=phu!$I$4,M533=phu!$I$5,M533=phu!$I$6,M533=phu!$I$7,M533=phu!$I$8,M533=phu!$I$9,M533=phu!$I$10,M533=phu!$I$11,M533=phu!$I$12,M533=phu!$I$13,M533=phu!$I$14),"Cam Nghĩa",""),IF(OR(M533=phu!$I$15,M533=phu!$I$16,M533=phu!$I$17,M533=phu!$I$18,M533=phu!$I$19,M533=phu!$I$20,M533=phu!$I$21),"Cam Phúc Bắc",""),IF(OR(M533=phu!$I$22,M533=phu!$I$23,M533=phu!$I$24,M533=phu!$I$25),"Cam Phúc Nam",""),IF(OR(M533=phu!$I$26,M533=phu!$I$27,M533=phu!$I$28,M533=phu!$I$29,M533=phu!$I$30,M533=phu!$I$31),"Cam Phú",""),IF(OR(M533=phu!$I$32,M533=phu!$I$33,M533=phu!$I$34,M533=phu!$I$35,M533=phu!$I$36,M533=phu!$I$37),"Cam Lộc",""),IF(OR(M533=phu!$I$38,M533=phu!$I$39,M533=phu!$I$40,M533=phu!$I$41,M533=phu!$I$42,M533=phu!$I$43,M533=phu!$I$44),"Cam Thuận",""),IF(OR(M533=phu!$I$45,M533=phu!$I$46,M533=phu!$I$47,M533=phu!$I$48,M533=phu!$I$49,M533=phu!$I$50,M533=phu!$I$51,M533=phu!$I$52,M533=phu!$I$53),"Cam Linh",""),IF(OR(M533=phu!$I$54,M533=phu!$I$55,M533=phu!$I$56,M533=phu!$I$57,M533=phu!$I$58,M533=phu!$I$59,M533=phu!$I$60,M533=phu!$I$61,M533=phu!$I$62),"Cam Lợi",""),IF(OR(M533=phu!$I$63,M533=phu!$I$64,M533=phu!$I$65,M533=phu!$I$66,M533=phu!$I$67,M533=phu!$I$68,M533=phu!$I$69,M533=phu!$I$70,M533=phu!$I$71),"Ba Ngòi",""),IF(OR(M533=phu!$I$72,M533=phu!$I$73,M533=phu!$I$74,M533=phu!$I$75,M533=phu!$I$76,M533=phu!$I$77,M533=phu!$I$78),"Cam Phước Đông",""),IF(OR(M533=phu!$I$79,M533=phu!$I$80,M533=phu!$I$81,M533=phu!$I$82,M533=phu!$I$83,M533=phu!$I$84),"Cam Thịnh Đông",""),IF(OR(M533=phu!$I$85,M533=phu!$I$86,M533=phu!$I$87,M533=phu!$I$88),"Cam Thịnh Tây",""),IF(OR(M533=phu!$I$89,M533=phu!$I$90),"Cam Lập",""),IF(OR(M533=phu!$I$91,M533=phu!$I$92,M533=phu!$I$93),"Cam Bình",""),IF(OR(M533=phu!$I$94,M533=phu!$I$95,M533=phu!$I$96,M533=phu!$I$97,M533=phu!$I$98,M533=phu!$I$99,M533=phu!$I$100),"Huyện khác",""),IF(OR(M533=phu!$I$101,M533=phu!$I$102),"Tỉnh khác",""))</f>
        <v/>
      </c>
      <c r="O533" s="829" t="str">
        <f t="shared" si="48"/>
        <v/>
      </c>
      <c r="P533" s="254"/>
      <c r="Q533" s="254"/>
      <c r="R533" s="254"/>
      <c r="S533" s="254"/>
      <c r="T533" s="254"/>
      <c r="U533" s="254"/>
      <c r="V533" s="254"/>
      <c r="W533" s="254"/>
      <c r="Y533" s="246" t="str">
        <f t="shared" si="49"/>
        <v/>
      </c>
      <c r="Z533" s="247" t="str">
        <f t="shared" si="53"/>
        <v/>
      </c>
      <c r="AA533" s="246" t="str">
        <f t="shared" si="50"/>
        <v/>
      </c>
    </row>
    <row r="534" spans="1:27" ht="18" customHeight="1" x14ac:dyDescent="0.25">
      <c r="A534" s="248" t="str">
        <f t="shared" si="51"/>
        <v/>
      </c>
      <c r="B534" s="249" t="str">
        <f t="shared" si="52"/>
        <v/>
      </c>
      <c r="C534" s="250"/>
      <c r="D534" s="251"/>
      <c r="E534" s="241"/>
      <c r="F534" s="252"/>
      <c r="G534" s="252"/>
      <c r="H534" s="253"/>
      <c r="I534" s="250"/>
      <c r="J534" s="250"/>
      <c r="K534" s="270"/>
      <c r="L534" s="250"/>
      <c r="M534" s="250"/>
      <c r="N534" s="540" t="str">
        <f>CONCATENATE(IF(OR(M534=phu!$I$1,M534=phu!$I$2,M534=phu!$I$3),"Cam Thành Nam",""),IF(OR(M534=phu!$I$4,M534=phu!$I$5,M534=phu!$I$6,M534=phu!$I$7,M534=phu!$I$8,M534=phu!$I$9,M534=phu!$I$10,M534=phu!$I$11,M534=phu!$I$12,M534=phu!$I$13,M534=phu!$I$14),"Cam Nghĩa",""),IF(OR(M534=phu!$I$15,M534=phu!$I$16,M534=phu!$I$17,M534=phu!$I$18,M534=phu!$I$19,M534=phu!$I$20,M534=phu!$I$21),"Cam Phúc Bắc",""),IF(OR(M534=phu!$I$22,M534=phu!$I$23,M534=phu!$I$24,M534=phu!$I$25),"Cam Phúc Nam",""),IF(OR(M534=phu!$I$26,M534=phu!$I$27,M534=phu!$I$28,M534=phu!$I$29,M534=phu!$I$30,M534=phu!$I$31),"Cam Phú",""),IF(OR(M534=phu!$I$32,M534=phu!$I$33,M534=phu!$I$34,M534=phu!$I$35,M534=phu!$I$36,M534=phu!$I$37),"Cam Lộc",""),IF(OR(M534=phu!$I$38,M534=phu!$I$39,M534=phu!$I$40,M534=phu!$I$41,M534=phu!$I$42,M534=phu!$I$43,M534=phu!$I$44),"Cam Thuận",""),IF(OR(M534=phu!$I$45,M534=phu!$I$46,M534=phu!$I$47,M534=phu!$I$48,M534=phu!$I$49,M534=phu!$I$50,M534=phu!$I$51,M534=phu!$I$52,M534=phu!$I$53),"Cam Linh",""),IF(OR(M534=phu!$I$54,M534=phu!$I$55,M534=phu!$I$56,M534=phu!$I$57,M534=phu!$I$58,M534=phu!$I$59,M534=phu!$I$60,M534=phu!$I$61,M534=phu!$I$62),"Cam Lợi",""),IF(OR(M534=phu!$I$63,M534=phu!$I$64,M534=phu!$I$65,M534=phu!$I$66,M534=phu!$I$67,M534=phu!$I$68,M534=phu!$I$69,M534=phu!$I$70,M534=phu!$I$71),"Ba Ngòi",""),IF(OR(M534=phu!$I$72,M534=phu!$I$73,M534=phu!$I$74,M534=phu!$I$75,M534=phu!$I$76,M534=phu!$I$77,M534=phu!$I$78),"Cam Phước Đông",""),IF(OR(M534=phu!$I$79,M534=phu!$I$80,M534=phu!$I$81,M534=phu!$I$82,M534=phu!$I$83,M534=phu!$I$84),"Cam Thịnh Đông",""),IF(OR(M534=phu!$I$85,M534=phu!$I$86,M534=phu!$I$87,M534=phu!$I$88),"Cam Thịnh Tây",""),IF(OR(M534=phu!$I$89,M534=phu!$I$90),"Cam Lập",""),IF(OR(M534=phu!$I$91,M534=phu!$I$92,M534=phu!$I$93),"Cam Bình",""),IF(OR(M534=phu!$I$94,M534=phu!$I$95,M534=phu!$I$96,M534=phu!$I$97,M534=phu!$I$98,M534=phu!$I$99,M534=phu!$I$100),"Huyện khác",""),IF(OR(M534=phu!$I$101,M534=phu!$I$102),"Tỉnh khác",""))</f>
        <v/>
      </c>
      <c r="O534" s="829" t="str">
        <f t="shared" si="48"/>
        <v/>
      </c>
      <c r="P534" s="254"/>
      <c r="Q534" s="254"/>
      <c r="R534" s="254"/>
      <c r="S534" s="254"/>
      <c r="T534" s="254"/>
      <c r="U534" s="254"/>
      <c r="V534" s="254"/>
      <c r="W534" s="254"/>
      <c r="Y534" s="246" t="str">
        <f t="shared" si="49"/>
        <v/>
      </c>
      <c r="Z534" s="247" t="str">
        <f t="shared" si="53"/>
        <v/>
      </c>
      <c r="AA534" s="246" t="str">
        <f t="shared" si="50"/>
        <v/>
      </c>
    </row>
    <row r="535" spans="1:27" ht="18" customHeight="1" x14ac:dyDescent="0.25">
      <c r="A535" s="248" t="str">
        <f t="shared" si="51"/>
        <v/>
      </c>
      <c r="B535" s="249" t="str">
        <f t="shared" si="52"/>
        <v/>
      </c>
      <c r="C535" s="250"/>
      <c r="D535" s="251"/>
      <c r="E535" s="241"/>
      <c r="F535" s="252"/>
      <c r="G535" s="252"/>
      <c r="H535" s="253"/>
      <c r="I535" s="250"/>
      <c r="J535" s="250"/>
      <c r="K535" s="270"/>
      <c r="L535" s="250"/>
      <c r="M535" s="250"/>
      <c r="N535" s="540" t="str">
        <f>CONCATENATE(IF(OR(M535=phu!$I$1,M535=phu!$I$2,M535=phu!$I$3),"Cam Thành Nam",""),IF(OR(M535=phu!$I$4,M535=phu!$I$5,M535=phu!$I$6,M535=phu!$I$7,M535=phu!$I$8,M535=phu!$I$9,M535=phu!$I$10,M535=phu!$I$11,M535=phu!$I$12,M535=phu!$I$13,M535=phu!$I$14),"Cam Nghĩa",""),IF(OR(M535=phu!$I$15,M535=phu!$I$16,M535=phu!$I$17,M535=phu!$I$18,M535=phu!$I$19,M535=phu!$I$20,M535=phu!$I$21),"Cam Phúc Bắc",""),IF(OR(M535=phu!$I$22,M535=phu!$I$23,M535=phu!$I$24,M535=phu!$I$25),"Cam Phúc Nam",""),IF(OR(M535=phu!$I$26,M535=phu!$I$27,M535=phu!$I$28,M535=phu!$I$29,M535=phu!$I$30,M535=phu!$I$31),"Cam Phú",""),IF(OR(M535=phu!$I$32,M535=phu!$I$33,M535=phu!$I$34,M535=phu!$I$35,M535=phu!$I$36,M535=phu!$I$37),"Cam Lộc",""),IF(OR(M535=phu!$I$38,M535=phu!$I$39,M535=phu!$I$40,M535=phu!$I$41,M535=phu!$I$42,M535=phu!$I$43,M535=phu!$I$44),"Cam Thuận",""),IF(OR(M535=phu!$I$45,M535=phu!$I$46,M535=phu!$I$47,M535=phu!$I$48,M535=phu!$I$49,M535=phu!$I$50,M535=phu!$I$51,M535=phu!$I$52,M535=phu!$I$53),"Cam Linh",""),IF(OR(M535=phu!$I$54,M535=phu!$I$55,M535=phu!$I$56,M535=phu!$I$57,M535=phu!$I$58,M535=phu!$I$59,M535=phu!$I$60,M535=phu!$I$61,M535=phu!$I$62),"Cam Lợi",""),IF(OR(M535=phu!$I$63,M535=phu!$I$64,M535=phu!$I$65,M535=phu!$I$66,M535=phu!$I$67,M535=phu!$I$68,M535=phu!$I$69,M535=phu!$I$70,M535=phu!$I$71),"Ba Ngòi",""),IF(OR(M535=phu!$I$72,M535=phu!$I$73,M535=phu!$I$74,M535=phu!$I$75,M535=phu!$I$76,M535=phu!$I$77,M535=phu!$I$78),"Cam Phước Đông",""),IF(OR(M535=phu!$I$79,M535=phu!$I$80,M535=phu!$I$81,M535=phu!$I$82,M535=phu!$I$83,M535=phu!$I$84),"Cam Thịnh Đông",""),IF(OR(M535=phu!$I$85,M535=phu!$I$86,M535=phu!$I$87,M535=phu!$I$88),"Cam Thịnh Tây",""),IF(OR(M535=phu!$I$89,M535=phu!$I$90),"Cam Lập",""),IF(OR(M535=phu!$I$91,M535=phu!$I$92,M535=phu!$I$93),"Cam Bình",""),IF(OR(M535=phu!$I$94,M535=phu!$I$95,M535=phu!$I$96,M535=phu!$I$97,M535=phu!$I$98,M535=phu!$I$99,M535=phu!$I$100),"Huyện khác",""),IF(OR(M535=phu!$I$101,M535=phu!$I$102),"Tỉnh khác",""))</f>
        <v/>
      </c>
      <c r="O535" s="829" t="str">
        <f t="shared" si="48"/>
        <v/>
      </c>
      <c r="P535" s="254"/>
      <c r="Q535" s="254"/>
      <c r="R535" s="254"/>
      <c r="S535" s="254"/>
      <c r="T535" s="254"/>
      <c r="U535" s="254"/>
      <c r="V535" s="254"/>
      <c r="W535" s="254"/>
      <c r="Y535" s="246" t="str">
        <f t="shared" si="49"/>
        <v/>
      </c>
      <c r="Z535" s="247" t="str">
        <f t="shared" si="53"/>
        <v/>
      </c>
      <c r="AA535" s="246" t="str">
        <f t="shared" si="50"/>
        <v/>
      </c>
    </row>
    <row r="536" spans="1:27" ht="18" customHeight="1" x14ac:dyDescent="0.25">
      <c r="A536" s="248" t="str">
        <f t="shared" si="51"/>
        <v/>
      </c>
      <c r="B536" s="249" t="str">
        <f t="shared" si="52"/>
        <v/>
      </c>
      <c r="C536" s="250"/>
      <c r="D536" s="251"/>
      <c r="E536" s="241"/>
      <c r="F536" s="252"/>
      <c r="G536" s="252"/>
      <c r="H536" s="253"/>
      <c r="I536" s="250"/>
      <c r="J536" s="250"/>
      <c r="K536" s="270"/>
      <c r="L536" s="250"/>
      <c r="M536" s="250"/>
      <c r="N536" s="540" t="str">
        <f>CONCATENATE(IF(OR(M536=phu!$I$1,M536=phu!$I$2,M536=phu!$I$3),"Cam Thành Nam",""),IF(OR(M536=phu!$I$4,M536=phu!$I$5,M536=phu!$I$6,M536=phu!$I$7,M536=phu!$I$8,M536=phu!$I$9,M536=phu!$I$10,M536=phu!$I$11,M536=phu!$I$12,M536=phu!$I$13,M536=phu!$I$14),"Cam Nghĩa",""),IF(OR(M536=phu!$I$15,M536=phu!$I$16,M536=phu!$I$17,M536=phu!$I$18,M536=phu!$I$19,M536=phu!$I$20,M536=phu!$I$21),"Cam Phúc Bắc",""),IF(OR(M536=phu!$I$22,M536=phu!$I$23,M536=phu!$I$24,M536=phu!$I$25),"Cam Phúc Nam",""),IF(OR(M536=phu!$I$26,M536=phu!$I$27,M536=phu!$I$28,M536=phu!$I$29,M536=phu!$I$30,M536=phu!$I$31),"Cam Phú",""),IF(OR(M536=phu!$I$32,M536=phu!$I$33,M536=phu!$I$34,M536=phu!$I$35,M536=phu!$I$36,M536=phu!$I$37),"Cam Lộc",""),IF(OR(M536=phu!$I$38,M536=phu!$I$39,M536=phu!$I$40,M536=phu!$I$41,M536=phu!$I$42,M536=phu!$I$43,M536=phu!$I$44),"Cam Thuận",""),IF(OR(M536=phu!$I$45,M536=phu!$I$46,M536=phu!$I$47,M536=phu!$I$48,M536=phu!$I$49,M536=phu!$I$50,M536=phu!$I$51,M536=phu!$I$52,M536=phu!$I$53),"Cam Linh",""),IF(OR(M536=phu!$I$54,M536=phu!$I$55,M536=phu!$I$56,M536=phu!$I$57,M536=phu!$I$58,M536=phu!$I$59,M536=phu!$I$60,M536=phu!$I$61,M536=phu!$I$62),"Cam Lợi",""),IF(OR(M536=phu!$I$63,M536=phu!$I$64,M536=phu!$I$65,M536=phu!$I$66,M536=phu!$I$67,M536=phu!$I$68,M536=phu!$I$69,M536=phu!$I$70,M536=phu!$I$71),"Ba Ngòi",""),IF(OR(M536=phu!$I$72,M536=phu!$I$73,M536=phu!$I$74,M536=phu!$I$75,M536=phu!$I$76,M536=phu!$I$77,M536=phu!$I$78),"Cam Phước Đông",""),IF(OR(M536=phu!$I$79,M536=phu!$I$80,M536=phu!$I$81,M536=phu!$I$82,M536=phu!$I$83,M536=phu!$I$84),"Cam Thịnh Đông",""),IF(OR(M536=phu!$I$85,M536=phu!$I$86,M536=phu!$I$87,M536=phu!$I$88),"Cam Thịnh Tây",""),IF(OR(M536=phu!$I$89,M536=phu!$I$90),"Cam Lập",""),IF(OR(M536=phu!$I$91,M536=phu!$I$92,M536=phu!$I$93),"Cam Bình",""),IF(OR(M536=phu!$I$94,M536=phu!$I$95,M536=phu!$I$96,M536=phu!$I$97,M536=phu!$I$98,M536=phu!$I$99,M536=phu!$I$100),"Huyện khác",""),IF(OR(M536=phu!$I$101,M536=phu!$I$102),"Tỉnh khác",""))</f>
        <v/>
      </c>
      <c r="O536" s="829" t="str">
        <f t="shared" si="48"/>
        <v/>
      </c>
      <c r="P536" s="254"/>
      <c r="Q536" s="254"/>
      <c r="R536" s="254"/>
      <c r="S536" s="254"/>
      <c r="T536" s="254"/>
      <c r="U536" s="254"/>
      <c r="V536" s="254"/>
      <c r="W536" s="254"/>
      <c r="Y536" s="246" t="str">
        <f t="shared" si="49"/>
        <v/>
      </c>
      <c r="Z536" s="247" t="str">
        <f t="shared" si="53"/>
        <v/>
      </c>
      <c r="AA536" s="246" t="str">
        <f t="shared" si="50"/>
        <v/>
      </c>
    </row>
    <row r="537" spans="1:27" ht="18" customHeight="1" x14ac:dyDescent="0.25">
      <c r="A537" s="248" t="str">
        <f t="shared" si="51"/>
        <v/>
      </c>
      <c r="B537" s="249" t="str">
        <f t="shared" si="52"/>
        <v/>
      </c>
      <c r="C537" s="250"/>
      <c r="D537" s="251"/>
      <c r="E537" s="241"/>
      <c r="F537" s="252"/>
      <c r="G537" s="252"/>
      <c r="H537" s="253"/>
      <c r="I537" s="250"/>
      <c r="J537" s="250"/>
      <c r="K537" s="270"/>
      <c r="L537" s="250"/>
      <c r="M537" s="250"/>
      <c r="N537" s="540" t="str">
        <f>CONCATENATE(IF(OR(M537=phu!$I$1,M537=phu!$I$2,M537=phu!$I$3),"Cam Thành Nam",""),IF(OR(M537=phu!$I$4,M537=phu!$I$5,M537=phu!$I$6,M537=phu!$I$7,M537=phu!$I$8,M537=phu!$I$9,M537=phu!$I$10,M537=phu!$I$11,M537=phu!$I$12,M537=phu!$I$13,M537=phu!$I$14),"Cam Nghĩa",""),IF(OR(M537=phu!$I$15,M537=phu!$I$16,M537=phu!$I$17,M537=phu!$I$18,M537=phu!$I$19,M537=phu!$I$20,M537=phu!$I$21),"Cam Phúc Bắc",""),IF(OR(M537=phu!$I$22,M537=phu!$I$23,M537=phu!$I$24,M537=phu!$I$25),"Cam Phúc Nam",""),IF(OR(M537=phu!$I$26,M537=phu!$I$27,M537=phu!$I$28,M537=phu!$I$29,M537=phu!$I$30,M537=phu!$I$31),"Cam Phú",""),IF(OR(M537=phu!$I$32,M537=phu!$I$33,M537=phu!$I$34,M537=phu!$I$35,M537=phu!$I$36,M537=phu!$I$37),"Cam Lộc",""),IF(OR(M537=phu!$I$38,M537=phu!$I$39,M537=phu!$I$40,M537=phu!$I$41,M537=phu!$I$42,M537=phu!$I$43,M537=phu!$I$44),"Cam Thuận",""),IF(OR(M537=phu!$I$45,M537=phu!$I$46,M537=phu!$I$47,M537=phu!$I$48,M537=phu!$I$49,M537=phu!$I$50,M537=phu!$I$51,M537=phu!$I$52,M537=phu!$I$53),"Cam Linh",""),IF(OR(M537=phu!$I$54,M537=phu!$I$55,M537=phu!$I$56,M537=phu!$I$57,M537=phu!$I$58,M537=phu!$I$59,M537=phu!$I$60,M537=phu!$I$61,M537=phu!$I$62),"Cam Lợi",""),IF(OR(M537=phu!$I$63,M537=phu!$I$64,M537=phu!$I$65,M537=phu!$I$66,M537=phu!$I$67,M537=phu!$I$68,M537=phu!$I$69,M537=phu!$I$70,M537=phu!$I$71),"Ba Ngòi",""),IF(OR(M537=phu!$I$72,M537=phu!$I$73,M537=phu!$I$74,M537=phu!$I$75,M537=phu!$I$76,M537=phu!$I$77,M537=phu!$I$78),"Cam Phước Đông",""),IF(OR(M537=phu!$I$79,M537=phu!$I$80,M537=phu!$I$81,M537=phu!$I$82,M537=phu!$I$83,M537=phu!$I$84),"Cam Thịnh Đông",""),IF(OR(M537=phu!$I$85,M537=phu!$I$86,M537=phu!$I$87,M537=phu!$I$88),"Cam Thịnh Tây",""),IF(OR(M537=phu!$I$89,M537=phu!$I$90),"Cam Lập",""),IF(OR(M537=phu!$I$91,M537=phu!$I$92,M537=phu!$I$93),"Cam Bình",""),IF(OR(M537=phu!$I$94,M537=phu!$I$95,M537=phu!$I$96,M537=phu!$I$97,M537=phu!$I$98,M537=phu!$I$99,M537=phu!$I$100),"Huyện khác",""),IF(OR(M537=phu!$I$101,M537=phu!$I$102),"Tỉnh khác",""))</f>
        <v/>
      </c>
      <c r="O537" s="829" t="str">
        <f t="shared" si="48"/>
        <v/>
      </c>
      <c r="P537" s="254"/>
      <c r="Q537" s="254"/>
      <c r="R537" s="254"/>
      <c r="S537" s="254"/>
      <c r="T537" s="254"/>
      <c r="U537" s="254"/>
      <c r="V537" s="254"/>
      <c r="W537" s="254"/>
      <c r="Y537" s="246" t="str">
        <f t="shared" si="49"/>
        <v/>
      </c>
      <c r="Z537" s="247" t="str">
        <f t="shared" si="53"/>
        <v/>
      </c>
      <c r="AA537" s="246" t="str">
        <f t="shared" si="50"/>
        <v/>
      </c>
    </row>
    <row r="538" spans="1:27" ht="18" customHeight="1" x14ac:dyDescent="0.25">
      <c r="A538" s="248" t="str">
        <f t="shared" si="51"/>
        <v/>
      </c>
      <c r="B538" s="249" t="str">
        <f t="shared" si="52"/>
        <v/>
      </c>
      <c r="C538" s="250"/>
      <c r="D538" s="251"/>
      <c r="E538" s="241"/>
      <c r="F538" s="252"/>
      <c r="G538" s="252"/>
      <c r="H538" s="253"/>
      <c r="I538" s="250"/>
      <c r="J538" s="250"/>
      <c r="K538" s="270"/>
      <c r="L538" s="250"/>
      <c r="M538" s="250"/>
      <c r="N538" s="540" t="str">
        <f>CONCATENATE(IF(OR(M538=phu!$I$1,M538=phu!$I$2,M538=phu!$I$3),"Cam Thành Nam",""),IF(OR(M538=phu!$I$4,M538=phu!$I$5,M538=phu!$I$6,M538=phu!$I$7,M538=phu!$I$8,M538=phu!$I$9,M538=phu!$I$10,M538=phu!$I$11,M538=phu!$I$12,M538=phu!$I$13,M538=phu!$I$14),"Cam Nghĩa",""),IF(OR(M538=phu!$I$15,M538=phu!$I$16,M538=phu!$I$17,M538=phu!$I$18,M538=phu!$I$19,M538=phu!$I$20,M538=phu!$I$21),"Cam Phúc Bắc",""),IF(OR(M538=phu!$I$22,M538=phu!$I$23,M538=phu!$I$24,M538=phu!$I$25),"Cam Phúc Nam",""),IF(OR(M538=phu!$I$26,M538=phu!$I$27,M538=phu!$I$28,M538=phu!$I$29,M538=phu!$I$30,M538=phu!$I$31),"Cam Phú",""),IF(OR(M538=phu!$I$32,M538=phu!$I$33,M538=phu!$I$34,M538=phu!$I$35,M538=phu!$I$36,M538=phu!$I$37),"Cam Lộc",""),IF(OR(M538=phu!$I$38,M538=phu!$I$39,M538=phu!$I$40,M538=phu!$I$41,M538=phu!$I$42,M538=phu!$I$43,M538=phu!$I$44),"Cam Thuận",""),IF(OR(M538=phu!$I$45,M538=phu!$I$46,M538=phu!$I$47,M538=phu!$I$48,M538=phu!$I$49,M538=phu!$I$50,M538=phu!$I$51,M538=phu!$I$52,M538=phu!$I$53),"Cam Linh",""),IF(OR(M538=phu!$I$54,M538=phu!$I$55,M538=phu!$I$56,M538=phu!$I$57,M538=phu!$I$58,M538=phu!$I$59,M538=phu!$I$60,M538=phu!$I$61,M538=phu!$I$62),"Cam Lợi",""),IF(OR(M538=phu!$I$63,M538=phu!$I$64,M538=phu!$I$65,M538=phu!$I$66,M538=phu!$I$67,M538=phu!$I$68,M538=phu!$I$69,M538=phu!$I$70,M538=phu!$I$71),"Ba Ngòi",""),IF(OR(M538=phu!$I$72,M538=phu!$I$73,M538=phu!$I$74,M538=phu!$I$75,M538=phu!$I$76,M538=phu!$I$77,M538=phu!$I$78),"Cam Phước Đông",""),IF(OR(M538=phu!$I$79,M538=phu!$I$80,M538=phu!$I$81,M538=phu!$I$82,M538=phu!$I$83,M538=phu!$I$84),"Cam Thịnh Đông",""),IF(OR(M538=phu!$I$85,M538=phu!$I$86,M538=phu!$I$87,M538=phu!$I$88),"Cam Thịnh Tây",""),IF(OR(M538=phu!$I$89,M538=phu!$I$90),"Cam Lập",""),IF(OR(M538=phu!$I$91,M538=phu!$I$92,M538=phu!$I$93),"Cam Bình",""),IF(OR(M538=phu!$I$94,M538=phu!$I$95,M538=phu!$I$96,M538=phu!$I$97,M538=phu!$I$98,M538=phu!$I$99,M538=phu!$I$100),"Huyện khác",""),IF(OR(M538=phu!$I$101,M538=phu!$I$102),"Tỉnh khác",""))</f>
        <v/>
      </c>
      <c r="O538" s="829" t="str">
        <f t="shared" si="48"/>
        <v/>
      </c>
      <c r="P538" s="254"/>
      <c r="Q538" s="254"/>
      <c r="R538" s="254"/>
      <c r="S538" s="254"/>
      <c r="T538" s="254"/>
      <c r="U538" s="254"/>
      <c r="V538" s="254"/>
      <c r="W538" s="254"/>
      <c r="Y538" s="246" t="str">
        <f t="shared" si="49"/>
        <v/>
      </c>
      <c r="Z538" s="247" t="str">
        <f t="shared" si="53"/>
        <v/>
      </c>
      <c r="AA538" s="246" t="str">
        <f t="shared" si="50"/>
        <v/>
      </c>
    </row>
    <row r="539" spans="1:27" ht="18" customHeight="1" x14ac:dyDescent="0.25">
      <c r="A539" s="248" t="str">
        <f t="shared" si="51"/>
        <v/>
      </c>
      <c r="B539" s="249" t="str">
        <f t="shared" si="52"/>
        <v/>
      </c>
      <c r="C539" s="250"/>
      <c r="D539" s="251"/>
      <c r="E539" s="241"/>
      <c r="F539" s="252"/>
      <c r="G539" s="252"/>
      <c r="H539" s="253"/>
      <c r="I539" s="250"/>
      <c r="J539" s="250"/>
      <c r="K539" s="270"/>
      <c r="L539" s="250"/>
      <c r="M539" s="250"/>
      <c r="N539" s="540" t="str">
        <f>CONCATENATE(IF(OR(M539=phu!$I$1,M539=phu!$I$2,M539=phu!$I$3),"Cam Thành Nam",""),IF(OR(M539=phu!$I$4,M539=phu!$I$5,M539=phu!$I$6,M539=phu!$I$7,M539=phu!$I$8,M539=phu!$I$9,M539=phu!$I$10,M539=phu!$I$11,M539=phu!$I$12,M539=phu!$I$13,M539=phu!$I$14),"Cam Nghĩa",""),IF(OR(M539=phu!$I$15,M539=phu!$I$16,M539=phu!$I$17,M539=phu!$I$18,M539=phu!$I$19,M539=phu!$I$20,M539=phu!$I$21),"Cam Phúc Bắc",""),IF(OR(M539=phu!$I$22,M539=phu!$I$23,M539=phu!$I$24,M539=phu!$I$25),"Cam Phúc Nam",""),IF(OR(M539=phu!$I$26,M539=phu!$I$27,M539=phu!$I$28,M539=phu!$I$29,M539=phu!$I$30,M539=phu!$I$31),"Cam Phú",""),IF(OR(M539=phu!$I$32,M539=phu!$I$33,M539=phu!$I$34,M539=phu!$I$35,M539=phu!$I$36,M539=phu!$I$37),"Cam Lộc",""),IF(OR(M539=phu!$I$38,M539=phu!$I$39,M539=phu!$I$40,M539=phu!$I$41,M539=phu!$I$42,M539=phu!$I$43,M539=phu!$I$44),"Cam Thuận",""),IF(OR(M539=phu!$I$45,M539=phu!$I$46,M539=phu!$I$47,M539=phu!$I$48,M539=phu!$I$49,M539=phu!$I$50,M539=phu!$I$51,M539=phu!$I$52,M539=phu!$I$53),"Cam Linh",""),IF(OR(M539=phu!$I$54,M539=phu!$I$55,M539=phu!$I$56,M539=phu!$I$57,M539=phu!$I$58,M539=phu!$I$59,M539=phu!$I$60,M539=phu!$I$61,M539=phu!$I$62),"Cam Lợi",""),IF(OR(M539=phu!$I$63,M539=phu!$I$64,M539=phu!$I$65,M539=phu!$I$66,M539=phu!$I$67,M539=phu!$I$68,M539=phu!$I$69,M539=phu!$I$70,M539=phu!$I$71),"Ba Ngòi",""),IF(OR(M539=phu!$I$72,M539=phu!$I$73,M539=phu!$I$74,M539=phu!$I$75,M539=phu!$I$76,M539=phu!$I$77,M539=phu!$I$78),"Cam Phước Đông",""),IF(OR(M539=phu!$I$79,M539=phu!$I$80,M539=phu!$I$81,M539=phu!$I$82,M539=phu!$I$83,M539=phu!$I$84),"Cam Thịnh Đông",""),IF(OR(M539=phu!$I$85,M539=phu!$I$86,M539=phu!$I$87,M539=phu!$I$88),"Cam Thịnh Tây",""),IF(OR(M539=phu!$I$89,M539=phu!$I$90),"Cam Lập",""),IF(OR(M539=phu!$I$91,M539=phu!$I$92,M539=phu!$I$93),"Cam Bình",""),IF(OR(M539=phu!$I$94,M539=phu!$I$95,M539=phu!$I$96,M539=phu!$I$97,M539=phu!$I$98,M539=phu!$I$99,M539=phu!$I$100),"Huyện khác",""),IF(OR(M539=phu!$I$101,M539=phu!$I$102),"Tỉnh khác",""))</f>
        <v/>
      </c>
      <c r="O539" s="829" t="str">
        <f t="shared" si="48"/>
        <v/>
      </c>
      <c r="P539" s="254"/>
      <c r="Q539" s="254"/>
      <c r="R539" s="254"/>
      <c r="S539" s="254"/>
      <c r="T539" s="254"/>
      <c r="U539" s="254"/>
      <c r="V539" s="254"/>
      <c r="W539" s="254"/>
      <c r="Y539" s="246" t="str">
        <f t="shared" si="49"/>
        <v/>
      </c>
      <c r="Z539" s="247" t="str">
        <f t="shared" si="53"/>
        <v/>
      </c>
      <c r="AA539" s="246" t="str">
        <f t="shared" si="50"/>
        <v/>
      </c>
    </row>
    <row r="540" spans="1:27" ht="18" customHeight="1" x14ac:dyDescent="0.25">
      <c r="A540" s="248" t="str">
        <f t="shared" si="51"/>
        <v/>
      </c>
      <c r="B540" s="249" t="str">
        <f t="shared" si="52"/>
        <v/>
      </c>
      <c r="C540" s="250"/>
      <c r="D540" s="251"/>
      <c r="E540" s="241"/>
      <c r="F540" s="252"/>
      <c r="G540" s="252"/>
      <c r="H540" s="253"/>
      <c r="I540" s="250"/>
      <c r="J540" s="250"/>
      <c r="K540" s="270"/>
      <c r="L540" s="250"/>
      <c r="M540" s="250"/>
      <c r="N540" s="540" t="str">
        <f>CONCATENATE(IF(OR(M540=phu!$I$1,M540=phu!$I$2,M540=phu!$I$3),"Cam Thành Nam",""),IF(OR(M540=phu!$I$4,M540=phu!$I$5,M540=phu!$I$6,M540=phu!$I$7,M540=phu!$I$8,M540=phu!$I$9,M540=phu!$I$10,M540=phu!$I$11,M540=phu!$I$12,M540=phu!$I$13,M540=phu!$I$14),"Cam Nghĩa",""),IF(OR(M540=phu!$I$15,M540=phu!$I$16,M540=phu!$I$17,M540=phu!$I$18,M540=phu!$I$19,M540=phu!$I$20,M540=phu!$I$21),"Cam Phúc Bắc",""),IF(OR(M540=phu!$I$22,M540=phu!$I$23,M540=phu!$I$24,M540=phu!$I$25),"Cam Phúc Nam",""),IF(OR(M540=phu!$I$26,M540=phu!$I$27,M540=phu!$I$28,M540=phu!$I$29,M540=phu!$I$30,M540=phu!$I$31),"Cam Phú",""),IF(OR(M540=phu!$I$32,M540=phu!$I$33,M540=phu!$I$34,M540=phu!$I$35,M540=phu!$I$36,M540=phu!$I$37),"Cam Lộc",""),IF(OR(M540=phu!$I$38,M540=phu!$I$39,M540=phu!$I$40,M540=phu!$I$41,M540=phu!$I$42,M540=phu!$I$43,M540=phu!$I$44),"Cam Thuận",""),IF(OR(M540=phu!$I$45,M540=phu!$I$46,M540=phu!$I$47,M540=phu!$I$48,M540=phu!$I$49,M540=phu!$I$50,M540=phu!$I$51,M540=phu!$I$52,M540=phu!$I$53),"Cam Linh",""),IF(OR(M540=phu!$I$54,M540=phu!$I$55,M540=phu!$I$56,M540=phu!$I$57,M540=phu!$I$58,M540=phu!$I$59,M540=phu!$I$60,M540=phu!$I$61,M540=phu!$I$62),"Cam Lợi",""),IF(OR(M540=phu!$I$63,M540=phu!$I$64,M540=phu!$I$65,M540=phu!$I$66,M540=phu!$I$67,M540=phu!$I$68,M540=phu!$I$69,M540=phu!$I$70,M540=phu!$I$71),"Ba Ngòi",""),IF(OR(M540=phu!$I$72,M540=phu!$I$73,M540=phu!$I$74,M540=phu!$I$75,M540=phu!$I$76,M540=phu!$I$77,M540=phu!$I$78),"Cam Phước Đông",""),IF(OR(M540=phu!$I$79,M540=phu!$I$80,M540=phu!$I$81,M540=phu!$I$82,M540=phu!$I$83,M540=phu!$I$84),"Cam Thịnh Đông",""),IF(OR(M540=phu!$I$85,M540=phu!$I$86,M540=phu!$I$87,M540=phu!$I$88),"Cam Thịnh Tây",""),IF(OR(M540=phu!$I$89,M540=phu!$I$90),"Cam Lập",""),IF(OR(M540=phu!$I$91,M540=phu!$I$92,M540=phu!$I$93),"Cam Bình",""),IF(OR(M540=phu!$I$94,M540=phu!$I$95,M540=phu!$I$96,M540=phu!$I$97,M540=phu!$I$98,M540=phu!$I$99,M540=phu!$I$100),"Huyện khác",""),IF(OR(M540=phu!$I$101,M540=phu!$I$102),"Tỉnh khác",""))</f>
        <v/>
      </c>
      <c r="O540" s="829" t="str">
        <f t="shared" si="48"/>
        <v/>
      </c>
      <c r="P540" s="254"/>
      <c r="Q540" s="254"/>
      <c r="R540" s="254"/>
      <c r="S540" s="254"/>
      <c r="T540" s="254"/>
      <c r="U540" s="254"/>
      <c r="V540" s="254"/>
      <c r="W540" s="254"/>
      <c r="Y540" s="246" t="str">
        <f t="shared" si="49"/>
        <v/>
      </c>
      <c r="Z540" s="247" t="str">
        <f t="shared" si="53"/>
        <v/>
      </c>
      <c r="AA540" s="246" t="str">
        <f t="shared" si="50"/>
        <v/>
      </c>
    </row>
    <row r="541" spans="1:27" ht="18" customHeight="1" x14ac:dyDescent="0.25">
      <c r="A541" s="248" t="str">
        <f t="shared" si="51"/>
        <v/>
      </c>
      <c r="B541" s="249" t="str">
        <f t="shared" si="52"/>
        <v/>
      </c>
      <c r="C541" s="250"/>
      <c r="D541" s="251"/>
      <c r="E541" s="241"/>
      <c r="F541" s="252"/>
      <c r="G541" s="252"/>
      <c r="H541" s="253"/>
      <c r="I541" s="250"/>
      <c r="J541" s="250"/>
      <c r="K541" s="270"/>
      <c r="L541" s="250"/>
      <c r="M541" s="250"/>
      <c r="N541" s="540" t="str">
        <f>CONCATENATE(IF(OR(M541=phu!$I$1,M541=phu!$I$2,M541=phu!$I$3),"Cam Thành Nam",""),IF(OR(M541=phu!$I$4,M541=phu!$I$5,M541=phu!$I$6,M541=phu!$I$7,M541=phu!$I$8,M541=phu!$I$9,M541=phu!$I$10,M541=phu!$I$11,M541=phu!$I$12,M541=phu!$I$13,M541=phu!$I$14),"Cam Nghĩa",""),IF(OR(M541=phu!$I$15,M541=phu!$I$16,M541=phu!$I$17,M541=phu!$I$18,M541=phu!$I$19,M541=phu!$I$20,M541=phu!$I$21),"Cam Phúc Bắc",""),IF(OR(M541=phu!$I$22,M541=phu!$I$23,M541=phu!$I$24,M541=phu!$I$25),"Cam Phúc Nam",""),IF(OR(M541=phu!$I$26,M541=phu!$I$27,M541=phu!$I$28,M541=phu!$I$29,M541=phu!$I$30,M541=phu!$I$31),"Cam Phú",""),IF(OR(M541=phu!$I$32,M541=phu!$I$33,M541=phu!$I$34,M541=phu!$I$35,M541=phu!$I$36,M541=phu!$I$37),"Cam Lộc",""),IF(OR(M541=phu!$I$38,M541=phu!$I$39,M541=phu!$I$40,M541=phu!$I$41,M541=phu!$I$42,M541=phu!$I$43,M541=phu!$I$44),"Cam Thuận",""),IF(OR(M541=phu!$I$45,M541=phu!$I$46,M541=phu!$I$47,M541=phu!$I$48,M541=phu!$I$49,M541=phu!$I$50,M541=phu!$I$51,M541=phu!$I$52,M541=phu!$I$53),"Cam Linh",""),IF(OR(M541=phu!$I$54,M541=phu!$I$55,M541=phu!$I$56,M541=phu!$I$57,M541=phu!$I$58,M541=phu!$I$59,M541=phu!$I$60,M541=phu!$I$61,M541=phu!$I$62),"Cam Lợi",""),IF(OR(M541=phu!$I$63,M541=phu!$I$64,M541=phu!$I$65,M541=phu!$I$66,M541=phu!$I$67,M541=phu!$I$68,M541=phu!$I$69,M541=phu!$I$70,M541=phu!$I$71),"Ba Ngòi",""),IF(OR(M541=phu!$I$72,M541=phu!$I$73,M541=phu!$I$74,M541=phu!$I$75,M541=phu!$I$76,M541=phu!$I$77,M541=phu!$I$78),"Cam Phước Đông",""),IF(OR(M541=phu!$I$79,M541=phu!$I$80,M541=phu!$I$81,M541=phu!$I$82,M541=phu!$I$83,M541=phu!$I$84),"Cam Thịnh Đông",""),IF(OR(M541=phu!$I$85,M541=phu!$I$86,M541=phu!$I$87,M541=phu!$I$88),"Cam Thịnh Tây",""),IF(OR(M541=phu!$I$89,M541=phu!$I$90),"Cam Lập",""),IF(OR(M541=phu!$I$91,M541=phu!$I$92,M541=phu!$I$93),"Cam Bình",""),IF(OR(M541=phu!$I$94,M541=phu!$I$95,M541=phu!$I$96,M541=phu!$I$97,M541=phu!$I$98,M541=phu!$I$99,M541=phu!$I$100),"Huyện khác",""),IF(OR(M541=phu!$I$101,M541=phu!$I$102),"Tỉnh khác",""))</f>
        <v/>
      </c>
      <c r="O541" s="829" t="str">
        <f t="shared" si="48"/>
        <v/>
      </c>
      <c r="P541" s="254"/>
      <c r="Q541" s="254"/>
      <c r="R541" s="254"/>
      <c r="S541" s="254"/>
      <c r="T541" s="254"/>
      <c r="U541" s="254"/>
      <c r="V541" s="254"/>
      <c r="W541" s="254"/>
      <c r="Y541" s="246" t="str">
        <f t="shared" si="49"/>
        <v/>
      </c>
      <c r="Z541" s="247" t="str">
        <f t="shared" si="53"/>
        <v/>
      </c>
      <c r="AA541" s="246" t="str">
        <f t="shared" si="50"/>
        <v/>
      </c>
    </row>
    <row r="542" spans="1:27" ht="18" customHeight="1" x14ac:dyDescent="0.25">
      <c r="A542" s="248" t="str">
        <f t="shared" si="51"/>
        <v/>
      </c>
      <c r="B542" s="249" t="str">
        <f t="shared" si="52"/>
        <v/>
      </c>
      <c r="C542" s="250"/>
      <c r="D542" s="251"/>
      <c r="E542" s="241"/>
      <c r="F542" s="252"/>
      <c r="G542" s="252"/>
      <c r="H542" s="253"/>
      <c r="I542" s="250"/>
      <c r="J542" s="250"/>
      <c r="K542" s="270"/>
      <c r="L542" s="250"/>
      <c r="M542" s="250"/>
      <c r="N542" s="540" t="str">
        <f>CONCATENATE(IF(OR(M542=phu!$I$1,M542=phu!$I$2,M542=phu!$I$3),"Cam Thành Nam",""),IF(OR(M542=phu!$I$4,M542=phu!$I$5,M542=phu!$I$6,M542=phu!$I$7,M542=phu!$I$8,M542=phu!$I$9,M542=phu!$I$10,M542=phu!$I$11,M542=phu!$I$12,M542=phu!$I$13,M542=phu!$I$14),"Cam Nghĩa",""),IF(OR(M542=phu!$I$15,M542=phu!$I$16,M542=phu!$I$17,M542=phu!$I$18,M542=phu!$I$19,M542=phu!$I$20,M542=phu!$I$21),"Cam Phúc Bắc",""),IF(OR(M542=phu!$I$22,M542=phu!$I$23,M542=phu!$I$24,M542=phu!$I$25),"Cam Phúc Nam",""),IF(OR(M542=phu!$I$26,M542=phu!$I$27,M542=phu!$I$28,M542=phu!$I$29,M542=phu!$I$30,M542=phu!$I$31),"Cam Phú",""),IF(OR(M542=phu!$I$32,M542=phu!$I$33,M542=phu!$I$34,M542=phu!$I$35,M542=phu!$I$36,M542=phu!$I$37),"Cam Lộc",""),IF(OR(M542=phu!$I$38,M542=phu!$I$39,M542=phu!$I$40,M542=phu!$I$41,M542=phu!$I$42,M542=phu!$I$43,M542=phu!$I$44),"Cam Thuận",""),IF(OR(M542=phu!$I$45,M542=phu!$I$46,M542=phu!$I$47,M542=phu!$I$48,M542=phu!$I$49,M542=phu!$I$50,M542=phu!$I$51,M542=phu!$I$52,M542=phu!$I$53),"Cam Linh",""),IF(OR(M542=phu!$I$54,M542=phu!$I$55,M542=phu!$I$56,M542=phu!$I$57,M542=phu!$I$58,M542=phu!$I$59,M542=phu!$I$60,M542=phu!$I$61,M542=phu!$I$62),"Cam Lợi",""),IF(OR(M542=phu!$I$63,M542=phu!$I$64,M542=phu!$I$65,M542=phu!$I$66,M542=phu!$I$67,M542=phu!$I$68,M542=phu!$I$69,M542=phu!$I$70,M542=phu!$I$71),"Ba Ngòi",""),IF(OR(M542=phu!$I$72,M542=phu!$I$73,M542=phu!$I$74,M542=phu!$I$75,M542=phu!$I$76,M542=phu!$I$77,M542=phu!$I$78),"Cam Phước Đông",""),IF(OR(M542=phu!$I$79,M542=phu!$I$80,M542=phu!$I$81,M542=phu!$I$82,M542=phu!$I$83,M542=phu!$I$84),"Cam Thịnh Đông",""),IF(OR(M542=phu!$I$85,M542=phu!$I$86,M542=phu!$I$87,M542=phu!$I$88),"Cam Thịnh Tây",""),IF(OR(M542=phu!$I$89,M542=phu!$I$90),"Cam Lập",""),IF(OR(M542=phu!$I$91,M542=phu!$I$92,M542=phu!$I$93),"Cam Bình",""),IF(OR(M542=phu!$I$94,M542=phu!$I$95,M542=phu!$I$96,M542=phu!$I$97,M542=phu!$I$98,M542=phu!$I$99,M542=phu!$I$100),"Huyện khác",""),IF(OR(M542=phu!$I$101,M542=phu!$I$102),"Tỉnh khác",""))</f>
        <v/>
      </c>
      <c r="O542" s="829" t="str">
        <f t="shared" si="48"/>
        <v/>
      </c>
      <c r="P542" s="254"/>
      <c r="Q542" s="254"/>
      <c r="R542" s="254"/>
      <c r="S542" s="254"/>
      <c r="T542" s="254"/>
      <c r="U542" s="254"/>
      <c r="V542" s="254"/>
      <c r="W542" s="254"/>
      <c r="Y542" s="246" t="str">
        <f t="shared" si="49"/>
        <v/>
      </c>
      <c r="Z542" s="247" t="str">
        <f t="shared" si="53"/>
        <v/>
      </c>
      <c r="AA542" s="246" t="str">
        <f t="shared" si="50"/>
        <v/>
      </c>
    </row>
    <row r="543" spans="1:27" ht="18" customHeight="1" x14ac:dyDescent="0.25">
      <c r="A543" s="248" t="str">
        <f t="shared" si="51"/>
        <v/>
      </c>
      <c r="B543" s="249" t="str">
        <f t="shared" si="52"/>
        <v/>
      </c>
      <c r="C543" s="250"/>
      <c r="D543" s="251"/>
      <c r="E543" s="241"/>
      <c r="F543" s="252"/>
      <c r="G543" s="252"/>
      <c r="H543" s="253"/>
      <c r="I543" s="250"/>
      <c r="J543" s="250"/>
      <c r="K543" s="270"/>
      <c r="L543" s="250"/>
      <c r="M543" s="250"/>
      <c r="N543" s="540" t="str">
        <f>CONCATENATE(IF(OR(M543=phu!$I$1,M543=phu!$I$2,M543=phu!$I$3),"Cam Thành Nam",""),IF(OR(M543=phu!$I$4,M543=phu!$I$5,M543=phu!$I$6,M543=phu!$I$7,M543=phu!$I$8,M543=phu!$I$9,M543=phu!$I$10,M543=phu!$I$11,M543=phu!$I$12,M543=phu!$I$13,M543=phu!$I$14),"Cam Nghĩa",""),IF(OR(M543=phu!$I$15,M543=phu!$I$16,M543=phu!$I$17,M543=phu!$I$18,M543=phu!$I$19,M543=phu!$I$20,M543=phu!$I$21),"Cam Phúc Bắc",""),IF(OR(M543=phu!$I$22,M543=phu!$I$23,M543=phu!$I$24,M543=phu!$I$25),"Cam Phúc Nam",""),IF(OR(M543=phu!$I$26,M543=phu!$I$27,M543=phu!$I$28,M543=phu!$I$29,M543=phu!$I$30,M543=phu!$I$31),"Cam Phú",""),IF(OR(M543=phu!$I$32,M543=phu!$I$33,M543=phu!$I$34,M543=phu!$I$35,M543=phu!$I$36,M543=phu!$I$37),"Cam Lộc",""),IF(OR(M543=phu!$I$38,M543=phu!$I$39,M543=phu!$I$40,M543=phu!$I$41,M543=phu!$I$42,M543=phu!$I$43,M543=phu!$I$44),"Cam Thuận",""),IF(OR(M543=phu!$I$45,M543=phu!$I$46,M543=phu!$I$47,M543=phu!$I$48,M543=phu!$I$49,M543=phu!$I$50,M543=phu!$I$51,M543=phu!$I$52,M543=phu!$I$53),"Cam Linh",""),IF(OR(M543=phu!$I$54,M543=phu!$I$55,M543=phu!$I$56,M543=phu!$I$57,M543=phu!$I$58,M543=phu!$I$59,M543=phu!$I$60,M543=phu!$I$61,M543=phu!$I$62),"Cam Lợi",""),IF(OR(M543=phu!$I$63,M543=phu!$I$64,M543=phu!$I$65,M543=phu!$I$66,M543=phu!$I$67,M543=phu!$I$68,M543=phu!$I$69,M543=phu!$I$70,M543=phu!$I$71),"Ba Ngòi",""),IF(OR(M543=phu!$I$72,M543=phu!$I$73,M543=phu!$I$74,M543=phu!$I$75,M543=phu!$I$76,M543=phu!$I$77,M543=phu!$I$78),"Cam Phước Đông",""),IF(OR(M543=phu!$I$79,M543=phu!$I$80,M543=phu!$I$81,M543=phu!$I$82,M543=phu!$I$83,M543=phu!$I$84),"Cam Thịnh Đông",""),IF(OR(M543=phu!$I$85,M543=phu!$I$86,M543=phu!$I$87,M543=phu!$I$88),"Cam Thịnh Tây",""),IF(OR(M543=phu!$I$89,M543=phu!$I$90),"Cam Lập",""),IF(OR(M543=phu!$I$91,M543=phu!$I$92,M543=phu!$I$93),"Cam Bình",""),IF(OR(M543=phu!$I$94,M543=phu!$I$95,M543=phu!$I$96,M543=phu!$I$97,M543=phu!$I$98,M543=phu!$I$99,M543=phu!$I$100),"Huyện khác",""),IF(OR(M543=phu!$I$101,M543=phu!$I$102),"Tỉnh khác",""))</f>
        <v/>
      </c>
      <c r="O543" s="829" t="str">
        <f t="shared" si="48"/>
        <v/>
      </c>
      <c r="P543" s="254"/>
      <c r="Q543" s="254"/>
      <c r="R543" s="254"/>
      <c r="S543" s="254"/>
      <c r="T543" s="254"/>
      <c r="U543" s="254"/>
      <c r="V543" s="254"/>
      <c r="W543" s="254"/>
      <c r="Y543" s="246" t="str">
        <f t="shared" si="49"/>
        <v/>
      </c>
      <c r="Z543" s="247" t="str">
        <f t="shared" si="53"/>
        <v/>
      </c>
      <c r="AA543" s="246" t="str">
        <f t="shared" si="50"/>
        <v/>
      </c>
    </row>
    <row r="544" spans="1:27" ht="18" customHeight="1" x14ac:dyDescent="0.25">
      <c r="A544" s="248" t="str">
        <f t="shared" si="51"/>
        <v/>
      </c>
      <c r="B544" s="249" t="str">
        <f t="shared" si="52"/>
        <v/>
      </c>
      <c r="C544" s="250"/>
      <c r="D544" s="251"/>
      <c r="E544" s="241"/>
      <c r="F544" s="252"/>
      <c r="G544" s="252"/>
      <c r="H544" s="253"/>
      <c r="I544" s="250"/>
      <c r="J544" s="250"/>
      <c r="K544" s="270"/>
      <c r="L544" s="250"/>
      <c r="M544" s="250"/>
      <c r="N544" s="540" t="str">
        <f>CONCATENATE(IF(OR(M544=phu!$I$1,M544=phu!$I$2,M544=phu!$I$3),"Cam Thành Nam",""),IF(OR(M544=phu!$I$4,M544=phu!$I$5,M544=phu!$I$6,M544=phu!$I$7,M544=phu!$I$8,M544=phu!$I$9,M544=phu!$I$10,M544=phu!$I$11,M544=phu!$I$12,M544=phu!$I$13,M544=phu!$I$14),"Cam Nghĩa",""),IF(OR(M544=phu!$I$15,M544=phu!$I$16,M544=phu!$I$17,M544=phu!$I$18,M544=phu!$I$19,M544=phu!$I$20,M544=phu!$I$21),"Cam Phúc Bắc",""),IF(OR(M544=phu!$I$22,M544=phu!$I$23,M544=phu!$I$24,M544=phu!$I$25),"Cam Phúc Nam",""),IF(OR(M544=phu!$I$26,M544=phu!$I$27,M544=phu!$I$28,M544=phu!$I$29,M544=phu!$I$30,M544=phu!$I$31),"Cam Phú",""),IF(OR(M544=phu!$I$32,M544=phu!$I$33,M544=phu!$I$34,M544=phu!$I$35,M544=phu!$I$36,M544=phu!$I$37),"Cam Lộc",""),IF(OR(M544=phu!$I$38,M544=phu!$I$39,M544=phu!$I$40,M544=phu!$I$41,M544=phu!$I$42,M544=phu!$I$43,M544=phu!$I$44),"Cam Thuận",""),IF(OR(M544=phu!$I$45,M544=phu!$I$46,M544=phu!$I$47,M544=phu!$I$48,M544=phu!$I$49,M544=phu!$I$50,M544=phu!$I$51,M544=phu!$I$52,M544=phu!$I$53),"Cam Linh",""),IF(OR(M544=phu!$I$54,M544=phu!$I$55,M544=phu!$I$56,M544=phu!$I$57,M544=phu!$I$58,M544=phu!$I$59,M544=phu!$I$60,M544=phu!$I$61,M544=phu!$I$62),"Cam Lợi",""),IF(OR(M544=phu!$I$63,M544=phu!$I$64,M544=phu!$I$65,M544=phu!$I$66,M544=phu!$I$67,M544=phu!$I$68,M544=phu!$I$69,M544=phu!$I$70,M544=phu!$I$71),"Ba Ngòi",""),IF(OR(M544=phu!$I$72,M544=phu!$I$73,M544=phu!$I$74,M544=phu!$I$75,M544=phu!$I$76,M544=phu!$I$77,M544=phu!$I$78),"Cam Phước Đông",""),IF(OR(M544=phu!$I$79,M544=phu!$I$80,M544=phu!$I$81,M544=phu!$I$82,M544=phu!$I$83,M544=phu!$I$84),"Cam Thịnh Đông",""),IF(OR(M544=phu!$I$85,M544=phu!$I$86,M544=phu!$I$87,M544=phu!$I$88),"Cam Thịnh Tây",""),IF(OR(M544=phu!$I$89,M544=phu!$I$90),"Cam Lập",""),IF(OR(M544=phu!$I$91,M544=phu!$I$92,M544=phu!$I$93),"Cam Bình",""),IF(OR(M544=phu!$I$94,M544=phu!$I$95,M544=phu!$I$96,M544=phu!$I$97,M544=phu!$I$98,M544=phu!$I$99,M544=phu!$I$100),"Huyện khác",""),IF(OR(M544=phu!$I$101,M544=phu!$I$102),"Tỉnh khác",""))</f>
        <v/>
      </c>
      <c r="O544" s="829" t="str">
        <f t="shared" si="48"/>
        <v/>
      </c>
      <c r="P544" s="254"/>
      <c r="Q544" s="254"/>
      <c r="R544" s="254"/>
      <c r="S544" s="254"/>
      <c r="T544" s="254"/>
      <c r="U544" s="254"/>
      <c r="V544" s="254"/>
      <c r="W544" s="254"/>
      <c r="Y544" s="246" t="str">
        <f t="shared" si="49"/>
        <v/>
      </c>
      <c r="Z544" s="247" t="str">
        <f t="shared" si="53"/>
        <v/>
      </c>
      <c r="AA544" s="246" t="str">
        <f t="shared" si="50"/>
        <v/>
      </c>
    </row>
    <row r="545" spans="1:27" ht="18" customHeight="1" x14ac:dyDescent="0.25">
      <c r="A545" s="248" t="str">
        <f t="shared" si="51"/>
        <v/>
      </c>
      <c r="B545" s="249" t="str">
        <f t="shared" si="52"/>
        <v/>
      </c>
      <c r="C545" s="250"/>
      <c r="D545" s="251"/>
      <c r="E545" s="241"/>
      <c r="F545" s="252"/>
      <c r="G545" s="252"/>
      <c r="H545" s="253"/>
      <c r="I545" s="250"/>
      <c r="J545" s="250"/>
      <c r="K545" s="270"/>
      <c r="L545" s="250"/>
      <c r="M545" s="250"/>
      <c r="N545" s="540" t="str">
        <f>CONCATENATE(IF(OR(M545=phu!$I$1,M545=phu!$I$2,M545=phu!$I$3),"Cam Thành Nam",""),IF(OR(M545=phu!$I$4,M545=phu!$I$5,M545=phu!$I$6,M545=phu!$I$7,M545=phu!$I$8,M545=phu!$I$9,M545=phu!$I$10,M545=phu!$I$11,M545=phu!$I$12,M545=phu!$I$13,M545=phu!$I$14),"Cam Nghĩa",""),IF(OR(M545=phu!$I$15,M545=phu!$I$16,M545=phu!$I$17,M545=phu!$I$18,M545=phu!$I$19,M545=phu!$I$20,M545=phu!$I$21),"Cam Phúc Bắc",""),IF(OR(M545=phu!$I$22,M545=phu!$I$23,M545=phu!$I$24,M545=phu!$I$25),"Cam Phúc Nam",""),IF(OR(M545=phu!$I$26,M545=phu!$I$27,M545=phu!$I$28,M545=phu!$I$29,M545=phu!$I$30,M545=phu!$I$31),"Cam Phú",""),IF(OR(M545=phu!$I$32,M545=phu!$I$33,M545=phu!$I$34,M545=phu!$I$35,M545=phu!$I$36,M545=phu!$I$37),"Cam Lộc",""),IF(OR(M545=phu!$I$38,M545=phu!$I$39,M545=phu!$I$40,M545=phu!$I$41,M545=phu!$I$42,M545=phu!$I$43,M545=phu!$I$44),"Cam Thuận",""),IF(OR(M545=phu!$I$45,M545=phu!$I$46,M545=phu!$I$47,M545=phu!$I$48,M545=phu!$I$49,M545=phu!$I$50,M545=phu!$I$51,M545=phu!$I$52,M545=phu!$I$53),"Cam Linh",""),IF(OR(M545=phu!$I$54,M545=phu!$I$55,M545=phu!$I$56,M545=phu!$I$57,M545=phu!$I$58,M545=phu!$I$59,M545=phu!$I$60,M545=phu!$I$61,M545=phu!$I$62),"Cam Lợi",""),IF(OR(M545=phu!$I$63,M545=phu!$I$64,M545=phu!$I$65,M545=phu!$I$66,M545=phu!$I$67,M545=phu!$I$68,M545=phu!$I$69,M545=phu!$I$70,M545=phu!$I$71),"Ba Ngòi",""),IF(OR(M545=phu!$I$72,M545=phu!$I$73,M545=phu!$I$74,M545=phu!$I$75,M545=phu!$I$76,M545=phu!$I$77,M545=phu!$I$78),"Cam Phước Đông",""),IF(OR(M545=phu!$I$79,M545=phu!$I$80,M545=phu!$I$81,M545=phu!$I$82,M545=phu!$I$83,M545=phu!$I$84),"Cam Thịnh Đông",""),IF(OR(M545=phu!$I$85,M545=phu!$I$86,M545=phu!$I$87,M545=phu!$I$88),"Cam Thịnh Tây",""),IF(OR(M545=phu!$I$89,M545=phu!$I$90),"Cam Lập",""),IF(OR(M545=phu!$I$91,M545=phu!$I$92,M545=phu!$I$93),"Cam Bình",""),IF(OR(M545=phu!$I$94,M545=phu!$I$95,M545=phu!$I$96,M545=phu!$I$97,M545=phu!$I$98,M545=phu!$I$99,M545=phu!$I$100),"Huyện khác",""),IF(OR(M545=phu!$I$101,M545=phu!$I$102),"Tỉnh khác",""))</f>
        <v/>
      </c>
      <c r="O545" s="829" t="str">
        <f t="shared" si="48"/>
        <v/>
      </c>
      <c r="P545" s="254"/>
      <c r="Q545" s="254"/>
      <c r="R545" s="254"/>
      <c r="S545" s="254"/>
      <c r="T545" s="254"/>
      <c r="U545" s="254"/>
      <c r="V545" s="254"/>
      <c r="W545" s="254"/>
      <c r="Y545" s="246" t="str">
        <f t="shared" si="49"/>
        <v/>
      </c>
      <c r="Z545" s="247" t="str">
        <f t="shared" si="53"/>
        <v/>
      </c>
      <c r="AA545" s="246" t="str">
        <f t="shared" si="50"/>
        <v/>
      </c>
    </row>
    <row r="546" spans="1:27" ht="18" customHeight="1" x14ac:dyDescent="0.25">
      <c r="A546" s="248" t="str">
        <f t="shared" si="51"/>
        <v/>
      </c>
      <c r="B546" s="249" t="str">
        <f t="shared" si="52"/>
        <v/>
      </c>
      <c r="C546" s="250"/>
      <c r="D546" s="251"/>
      <c r="E546" s="241"/>
      <c r="F546" s="252"/>
      <c r="G546" s="252"/>
      <c r="H546" s="253"/>
      <c r="I546" s="250"/>
      <c r="J546" s="250"/>
      <c r="K546" s="270"/>
      <c r="L546" s="250"/>
      <c r="M546" s="250"/>
      <c r="N546" s="540" t="str">
        <f>CONCATENATE(IF(OR(M546=phu!$I$1,M546=phu!$I$2,M546=phu!$I$3),"Cam Thành Nam",""),IF(OR(M546=phu!$I$4,M546=phu!$I$5,M546=phu!$I$6,M546=phu!$I$7,M546=phu!$I$8,M546=phu!$I$9,M546=phu!$I$10,M546=phu!$I$11,M546=phu!$I$12,M546=phu!$I$13,M546=phu!$I$14),"Cam Nghĩa",""),IF(OR(M546=phu!$I$15,M546=phu!$I$16,M546=phu!$I$17,M546=phu!$I$18,M546=phu!$I$19,M546=phu!$I$20,M546=phu!$I$21),"Cam Phúc Bắc",""),IF(OR(M546=phu!$I$22,M546=phu!$I$23,M546=phu!$I$24,M546=phu!$I$25),"Cam Phúc Nam",""),IF(OR(M546=phu!$I$26,M546=phu!$I$27,M546=phu!$I$28,M546=phu!$I$29,M546=phu!$I$30,M546=phu!$I$31),"Cam Phú",""),IF(OR(M546=phu!$I$32,M546=phu!$I$33,M546=phu!$I$34,M546=phu!$I$35,M546=phu!$I$36,M546=phu!$I$37),"Cam Lộc",""),IF(OR(M546=phu!$I$38,M546=phu!$I$39,M546=phu!$I$40,M546=phu!$I$41,M546=phu!$I$42,M546=phu!$I$43,M546=phu!$I$44),"Cam Thuận",""),IF(OR(M546=phu!$I$45,M546=phu!$I$46,M546=phu!$I$47,M546=phu!$I$48,M546=phu!$I$49,M546=phu!$I$50,M546=phu!$I$51,M546=phu!$I$52,M546=phu!$I$53),"Cam Linh",""),IF(OR(M546=phu!$I$54,M546=phu!$I$55,M546=phu!$I$56,M546=phu!$I$57,M546=phu!$I$58,M546=phu!$I$59,M546=phu!$I$60,M546=phu!$I$61,M546=phu!$I$62),"Cam Lợi",""),IF(OR(M546=phu!$I$63,M546=phu!$I$64,M546=phu!$I$65,M546=phu!$I$66,M546=phu!$I$67,M546=phu!$I$68,M546=phu!$I$69,M546=phu!$I$70,M546=phu!$I$71),"Ba Ngòi",""),IF(OR(M546=phu!$I$72,M546=phu!$I$73,M546=phu!$I$74,M546=phu!$I$75,M546=phu!$I$76,M546=phu!$I$77,M546=phu!$I$78),"Cam Phước Đông",""),IF(OR(M546=phu!$I$79,M546=phu!$I$80,M546=phu!$I$81,M546=phu!$I$82,M546=phu!$I$83,M546=phu!$I$84),"Cam Thịnh Đông",""),IF(OR(M546=phu!$I$85,M546=phu!$I$86,M546=phu!$I$87,M546=phu!$I$88),"Cam Thịnh Tây",""),IF(OR(M546=phu!$I$89,M546=phu!$I$90),"Cam Lập",""),IF(OR(M546=phu!$I$91,M546=phu!$I$92,M546=phu!$I$93),"Cam Bình",""),IF(OR(M546=phu!$I$94,M546=phu!$I$95,M546=phu!$I$96,M546=phu!$I$97,M546=phu!$I$98,M546=phu!$I$99,M546=phu!$I$100),"Huyện khác",""),IF(OR(M546=phu!$I$101,M546=phu!$I$102),"Tỉnh khác",""))</f>
        <v/>
      </c>
      <c r="O546" s="829" t="str">
        <f t="shared" si="48"/>
        <v/>
      </c>
      <c r="P546" s="254"/>
      <c r="Q546" s="254"/>
      <c r="R546" s="254"/>
      <c r="S546" s="254"/>
      <c r="T546" s="254"/>
      <c r="U546" s="254"/>
      <c r="V546" s="254"/>
      <c r="W546" s="254"/>
      <c r="Y546" s="246" t="str">
        <f t="shared" si="49"/>
        <v/>
      </c>
      <c r="Z546" s="247" t="str">
        <f t="shared" si="53"/>
        <v/>
      </c>
      <c r="AA546" s="246" t="str">
        <f t="shared" si="50"/>
        <v/>
      </c>
    </row>
    <row r="547" spans="1:27" ht="18" customHeight="1" x14ac:dyDescent="0.25">
      <c r="A547" s="248" t="str">
        <f t="shared" si="51"/>
        <v/>
      </c>
      <c r="B547" s="249" t="str">
        <f t="shared" si="52"/>
        <v/>
      </c>
      <c r="C547" s="250"/>
      <c r="D547" s="251"/>
      <c r="E547" s="241"/>
      <c r="F547" s="252"/>
      <c r="G547" s="252"/>
      <c r="H547" s="253"/>
      <c r="I547" s="250"/>
      <c r="J547" s="250"/>
      <c r="K547" s="270"/>
      <c r="L547" s="250"/>
      <c r="M547" s="250"/>
      <c r="N547" s="540" t="str">
        <f>CONCATENATE(IF(OR(M547=phu!$I$1,M547=phu!$I$2,M547=phu!$I$3),"Cam Thành Nam",""),IF(OR(M547=phu!$I$4,M547=phu!$I$5,M547=phu!$I$6,M547=phu!$I$7,M547=phu!$I$8,M547=phu!$I$9,M547=phu!$I$10,M547=phu!$I$11,M547=phu!$I$12,M547=phu!$I$13,M547=phu!$I$14),"Cam Nghĩa",""),IF(OR(M547=phu!$I$15,M547=phu!$I$16,M547=phu!$I$17,M547=phu!$I$18,M547=phu!$I$19,M547=phu!$I$20,M547=phu!$I$21),"Cam Phúc Bắc",""),IF(OR(M547=phu!$I$22,M547=phu!$I$23,M547=phu!$I$24,M547=phu!$I$25),"Cam Phúc Nam",""),IF(OR(M547=phu!$I$26,M547=phu!$I$27,M547=phu!$I$28,M547=phu!$I$29,M547=phu!$I$30,M547=phu!$I$31),"Cam Phú",""),IF(OR(M547=phu!$I$32,M547=phu!$I$33,M547=phu!$I$34,M547=phu!$I$35,M547=phu!$I$36,M547=phu!$I$37),"Cam Lộc",""),IF(OR(M547=phu!$I$38,M547=phu!$I$39,M547=phu!$I$40,M547=phu!$I$41,M547=phu!$I$42,M547=phu!$I$43,M547=phu!$I$44),"Cam Thuận",""),IF(OR(M547=phu!$I$45,M547=phu!$I$46,M547=phu!$I$47,M547=phu!$I$48,M547=phu!$I$49,M547=phu!$I$50,M547=phu!$I$51,M547=phu!$I$52,M547=phu!$I$53),"Cam Linh",""),IF(OR(M547=phu!$I$54,M547=phu!$I$55,M547=phu!$I$56,M547=phu!$I$57,M547=phu!$I$58,M547=phu!$I$59,M547=phu!$I$60,M547=phu!$I$61,M547=phu!$I$62),"Cam Lợi",""),IF(OR(M547=phu!$I$63,M547=phu!$I$64,M547=phu!$I$65,M547=phu!$I$66,M547=phu!$I$67,M547=phu!$I$68,M547=phu!$I$69,M547=phu!$I$70,M547=phu!$I$71),"Ba Ngòi",""),IF(OR(M547=phu!$I$72,M547=phu!$I$73,M547=phu!$I$74,M547=phu!$I$75,M547=phu!$I$76,M547=phu!$I$77,M547=phu!$I$78),"Cam Phước Đông",""),IF(OR(M547=phu!$I$79,M547=phu!$I$80,M547=phu!$I$81,M547=phu!$I$82,M547=phu!$I$83,M547=phu!$I$84),"Cam Thịnh Đông",""),IF(OR(M547=phu!$I$85,M547=phu!$I$86,M547=phu!$I$87,M547=phu!$I$88),"Cam Thịnh Tây",""),IF(OR(M547=phu!$I$89,M547=phu!$I$90),"Cam Lập",""),IF(OR(M547=phu!$I$91,M547=phu!$I$92,M547=phu!$I$93),"Cam Bình",""),IF(OR(M547=phu!$I$94,M547=phu!$I$95,M547=phu!$I$96,M547=phu!$I$97,M547=phu!$I$98,M547=phu!$I$99,M547=phu!$I$100),"Huyện khác",""),IF(OR(M547=phu!$I$101,M547=phu!$I$102),"Tỉnh khác",""))</f>
        <v/>
      </c>
      <c r="O547" s="829" t="str">
        <f t="shared" si="48"/>
        <v/>
      </c>
      <c r="P547" s="254"/>
      <c r="Q547" s="254"/>
      <c r="R547" s="254"/>
      <c r="S547" s="254"/>
      <c r="T547" s="254"/>
      <c r="U547" s="254"/>
      <c r="V547" s="254"/>
      <c r="W547" s="254"/>
      <c r="Y547" s="246" t="str">
        <f t="shared" si="49"/>
        <v/>
      </c>
      <c r="Z547" s="247" t="str">
        <f t="shared" si="53"/>
        <v/>
      </c>
      <c r="AA547" s="246" t="str">
        <f t="shared" si="50"/>
        <v/>
      </c>
    </row>
    <row r="548" spans="1:27" ht="18" customHeight="1" x14ac:dyDescent="0.25">
      <c r="A548" s="248" t="str">
        <f t="shared" si="51"/>
        <v/>
      </c>
      <c r="B548" s="249" t="str">
        <f t="shared" si="52"/>
        <v/>
      </c>
      <c r="C548" s="250"/>
      <c r="D548" s="251"/>
      <c r="E548" s="241"/>
      <c r="F548" s="252"/>
      <c r="G548" s="252"/>
      <c r="H548" s="253"/>
      <c r="I548" s="250"/>
      <c r="J548" s="250"/>
      <c r="K548" s="270"/>
      <c r="L548" s="250"/>
      <c r="M548" s="250"/>
      <c r="N548" s="540" t="str">
        <f>CONCATENATE(IF(OR(M548=phu!$I$1,M548=phu!$I$2,M548=phu!$I$3),"Cam Thành Nam",""),IF(OR(M548=phu!$I$4,M548=phu!$I$5,M548=phu!$I$6,M548=phu!$I$7,M548=phu!$I$8,M548=phu!$I$9,M548=phu!$I$10,M548=phu!$I$11,M548=phu!$I$12,M548=phu!$I$13,M548=phu!$I$14),"Cam Nghĩa",""),IF(OR(M548=phu!$I$15,M548=phu!$I$16,M548=phu!$I$17,M548=phu!$I$18,M548=phu!$I$19,M548=phu!$I$20,M548=phu!$I$21),"Cam Phúc Bắc",""),IF(OR(M548=phu!$I$22,M548=phu!$I$23,M548=phu!$I$24,M548=phu!$I$25),"Cam Phúc Nam",""),IF(OR(M548=phu!$I$26,M548=phu!$I$27,M548=phu!$I$28,M548=phu!$I$29,M548=phu!$I$30,M548=phu!$I$31),"Cam Phú",""),IF(OR(M548=phu!$I$32,M548=phu!$I$33,M548=phu!$I$34,M548=phu!$I$35,M548=phu!$I$36,M548=phu!$I$37),"Cam Lộc",""),IF(OR(M548=phu!$I$38,M548=phu!$I$39,M548=phu!$I$40,M548=phu!$I$41,M548=phu!$I$42,M548=phu!$I$43,M548=phu!$I$44),"Cam Thuận",""),IF(OR(M548=phu!$I$45,M548=phu!$I$46,M548=phu!$I$47,M548=phu!$I$48,M548=phu!$I$49,M548=phu!$I$50,M548=phu!$I$51,M548=phu!$I$52,M548=phu!$I$53),"Cam Linh",""),IF(OR(M548=phu!$I$54,M548=phu!$I$55,M548=phu!$I$56,M548=phu!$I$57,M548=phu!$I$58,M548=phu!$I$59,M548=phu!$I$60,M548=phu!$I$61,M548=phu!$I$62),"Cam Lợi",""),IF(OR(M548=phu!$I$63,M548=phu!$I$64,M548=phu!$I$65,M548=phu!$I$66,M548=phu!$I$67,M548=phu!$I$68,M548=phu!$I$69,M548=phu!$I$70,M548=phu!$I$71),"Ba Ngòi",""),IF(OR(M548=phu!$I$72,M548=phu!$I$73,M548=phu!$I$74,M548=phu!$I$75,M548=phu!$I$76,M548=phu!$I$77,M548=phu!$I$78),"Cam Phước Đông",""),IF(OR(M548=phu!$I$79,M548=phu!$I$80,M548=phu!$I$81,M548=phu!$I$82,M548=phu!$I$83,M548=phu!$I$84),"Cam Thịnh Đông",""),IF(OR(M548=phu!$I$85,M548=phu!$I$86,M548=phu!$I$87,M548=phu!$I$88),"Cam Thịnh Tây",""),IF(OR(M548=phu!$I$89,M548=phu!$I$90),"Cam Lập",""),IF(OR(M548=phu!$I$91,M548=phu!$I$92,M548=phu!$I$93),"Cam Bình",""),IF(OR(M548=phu!$I$94,M548=phu!$I$95,M548=phu!$I$96,M548=phu!$I$97,M548=phu!$I$98,M548=phu!$I$99,M548=phu!$I$100),"Huyện khác",""),IF(OR(M548=phu!$I$101,M548=phu!$I$102),"Tỉnh khác",""))</f>
        <v/>
      </c>
      <c r="O548" s="829" t="str">
        <f t="shared" si="48"/>
        <v/>
      </c>
      <c r="P548" s="254"/>
      <c r="Q548" s="254"/>
      <c r="R548" s="254"/>
      <c r="S548" s="254"/>
      <c r="T548" s="254"/>
      <c r="U548" s="254"/>
      <c r="V548" s="254"/>
      <c r="W548" s="254"/>
      <c r="Y548" s="246" t="str">
        <f t="shared" si="49"/>
        <v/>
      </c>
      <c r="Z548" s="247" t="str">
        <f t="shared" si="53"/>
        <v/>
      </c>
      <c r="AA548" s="246" t="str">
        <f t="shared" si="50"/>
        <v/>
      </c>
    </row>
    <row r="549" spans="1:27" ht="18" customHeight="1" x14ac:dyDescent="0.25">
      <c r="A549" s="248" t="str">
        <f t="shared" si="51"/>
        <v/>
      </c>
      <c r="B549" s="249" t="str">
        <f t="shared" si="52"/>
        <v/>
      </c>
      <c r="C549" s="250"/>
      <c r="D549" s="251"/>
      <c r="E549" s="241"/>
      <c r="F549" s="252"/>
      <c r="G549" s="252"/>
      <c r="H549" s="253"/>
      <c r="I549" s="250"/>
      <c r="J549" s="250"/>
      <c r="K549" s="270"/>
      <c r="L549" s="250"/>
      <c r="M549" s="250"/>
      <c r="N549" s="540" t="str">
        <f>CONCATENATE(IF(OR(M549=phu!$I$1,M549=phu!$I$2,M549=phu!$I$3),"Cam Thành Nam",""),IF(OR(M549=phu!$I$4,M549=phu!$I$5,M549=phu!$I$6,M549=phu!$I$7,M549=phu!$I$8,M549=phu!$I$9,M549=phu!$I$10,M549=phu!$I$11,M549=phu!$I$12,M549=phu!$I$13,M549=phu!$I$14),"Cam Nghĩa",""),IF(OR(M549=phu!$I$15,M549=phu!$I$16,M549=phu!$I$17,M549=phu!$I$18,M549=phu!$I$19,M549=phu!$I$20,M549=phu!$I$21),"Cam Phúc Bắc",""),IF(OR(M549=phu!$I$22,M549=phu!$I$23,M549=phu!$I$24,M549=phu!$I$25),"Cam Phúc Nam",""),IF(OR(M549=phu!$I$26,M549=phu!$I$27,M549=phu!$I$28,M549=phu!$I$29,M549=phu!$I$30,M549=phu!$I$31),"Cam Phú",""),IF(OR(M549=phu!$I$32,M549=phu!$I$33,M549=phu!$I$34,M549=phu!$I$35,M549=phu!$I$36,M549=phu!$I$37),"Cam Lộc",""),IF(OR(M549=phu!$I$38,M549=phu!$I$39,M549=phu!$I$40,M549=phu!$I$41,M549=phu!$I$42,M549=phu!$I$43,M549=phu!$I$44),"Cam Thuận",""),IF(OR(M549=phu!$I$45,M549=phu!$I$46,M549=phu!$I$47,M549=phu!$I$48,M549=phu!$I$49,M549=phu!$I$50,M549=phu!$I$51,M549=phu!$I$52,M549=phu!$I$53),"Cam Linh",""),IF(OR(M549=phu!$I$54,M549=phu!$I$55,M549=phu!$I$56,M549=phu!$I$57,M549=phu!$I$58,M549=phu!$I$59,M549=phu!$I$60,M549=phu!$I$61,M549=phu!$I$62),"Cam Lợi",""),IF(OR(M549=phu!$I$63,M549=phu!$I$64,M549=phu!$I$65,M549=phu!$I$66,M549=phu!$I$67,M549=phu!$I$68,M549=phu!$I$69,M549=phu!$I$70,M549=phu!$I$71),"Ba Ngòi",""),IF(OR(M549=phu!$I$72,M549=phu!$I$73,M549=phu!$I$74,M549=phu!$I$75,M549=phu!$I$76,M549=phu!$I$77,M549=phu!$I$78),"Cam Phước Đông",""),IF(OR(M549=phu!$I$79,M549=phu!$I$80,M549=phu!$I$81,M549=phu!$I$82,M549=phu!$I$83,M549=phu!$I$84),"Cam Thịnh Đông",""),IF(OR(M549=phu!$I$85,M549=phu!$I$86,M549=phu!$I$87,M549=phu!$I$88),"Cam Thịnh Tây",""),IF(OR(M549=phu!$I$89,M549=phu!$I$90),"Cam Lập",""),IF(OR(M549=phu!$I$91,M549=phu!$I$92,M549=phu!$I$93),"Cam Bình",""),IF(OR(M549=phu!$I$94,M549=phu!$I$95,M549=phu!$I$96,M549=phu!$I$97,M549=phu!$I$98,M549=phu!$I$99,M549=phu!$I$100),"Huyện khác",""),IF(OR(M549=phu!$I$101,M549=phu!$I$102),"Tỉnh khác",""))</f>
        <v/>
      </c>
      <c r="O549" s="829" t="str">
        <f t="shared" si="48"/>
        <v/>
      </c>
      <c r="P549" s="254"/>
      <c r="Q549" s="254"/>
      <c r="R549" s="254"/>
      <c r="S549" s="254"/>
      <c r="T549" s="254"/>
      <c r="U549" s="254"/>
      <c r="V549" s="254"/>
      <c r="W549" s="254"/>
      <c r="Y549" s="246" t="str">
        <f t="shared" si="49"/>
        <v/>
      </c>
      <c r="Z549" s="247" t="str">
        <f t="shared" si="53"/>
        <v/>
      </c>
      <c r="AA549" s="246" t="str">
        <f t="shared" si="50"/>
        <v/>
      </c>
    </row>
    <row r="550" spans="1:27" ht="18" customHeight="1" x14ac:dyDescent="0.25">
      <c r="A550" s="248" t="str">
        <f t="shared" si="51"/>
        <v/>
      </c>
      <c r="B550" s="249" t="str">
        <f t="shared" si="52"/>
        <v/>
      </c>
      <c r="C550" s="250"/>
      <c r="D550" s="251"/>
      <c r="E550" s="241"/>
      <c r="F550" s="252"/>
      <c r="G550" s="252"/>
      <c r="H550" s="253"/>
      <c r="I550" s="250"/>
      <c r="J550" s="250"/>
      <c r="K550" s="270"/>
      <c r="L550" s="250"/>
      <c r="M550" s="250"/>
      <c r="N550" s="540" t="str">
        <f>CONCATENATE(IF(OR(M550=phu!$I$1,M550=phu!$I$2,M550=phu!$I$3),"Cam Thành Nam",""),IF(OR(M550=phu!$I$4,M550=phu!$I$5,M550=phu!$I$6,M550=phu!$I$7,M550=phu!$I$8,M550=phu!$I$9,M550=phu!$I$10,M550=phu!$I$11,M550=phu!$I$12,M550=phu!$I$13,M550=phu!$I$14),"Cam Nghĩa",""),IF(OR(M550=phu!$I$15,M550=phu!$I$16,M550=phu!$I$17,M550=phu!$I$18,M550=phu!$I$19,M550=phu!$I$20,M550=phu!$I$21),"Cam Phúc Bắc",""),IF(OR(M550=phu!$I$22,M550=phu!$I$23,M550=phu!$I$24,M550=phu!$I$25),"Cam Phúc Nam",""),IF(OR(M550=phu!$I$26,M550=phu!$I$27,M550=phu!$I$28,M550=phu!$I$29,M550=phu!$I$30,M550=phu!$I$31),"Cam Phú",""),IF(OR(M550=phu!$I$32,M550=phu!$I$33,M550=phu!$I$34,M550=phu!$I$35,M550=phu!$I$36,M550=phu!$I$37),"Cam Lộc",""),IF(OR(M550=phu!$I$38,M550=phu!$I$39,M550=phu!$I$40,M550=phu!$I$41,M550=phu!$I$42,M550=phu!$I$43,M550=phu!$I$44),"Cam Thuận",""),IF(OR(M550=phu!$I$45,M550=phu!$I$46,M550=phu!$I$47,M550=phu!$I$48,M550=phu!$I$49,M550=phu!$I$50,M550=phu!$I$51,M550=phu!$I$52,M550=phu!$I$53),"Cam Linh",""),IF(OR(M550=phu!$I$54,M550=phu!$I$55,M550=phu!$I$56,M550=phu!$I$57,M550=phu!$I$58,M550=phu!$I$59,M550=phu!$I$60,M550=phu!$I$61,M550=phu!$I$62),"Cam Lợi",""),IF(OR(M550=phu!$I$63,M550=phu!$I$64,M550=phu!$I$65,M550=phu!$I$66,M550=phu!$I$67,M550=phu!$I$68,M550=phu!$I$69,M550=phu!$I$70,M550=phu!$I$71),"Ba Ngòi",""),IF(OR(M550=phu!$I$72,M550=phu!$I$73,M550=phu!$I$74,M550=phu!$I$75,M550=phu!$I$76,M550=phu!$I$77,M550=phu!$I$78),"Cam Phước Đông",""),IF(OR(M550=phu!$I$79,M550=phu!$I$80,M550=phu!$I$81,M550=phu!$I$82,M550=phu!$I$83,M550=phu!$I$84),"Cam Thịnh Đông",""),IF(OR(M550=phu!$I$85,M550=phu!$I$86,M550=phu!$I$87,M550=phu!$I$88),"Cam Thịnh Tây",""),IF(OR(M550=phu!$I$89,M550=phu!$I$90),"Cam Lập",""),IF(OR(M550=phu!$I$91,M550=phu!$I$92,M550=phu!$I$93),"Cam Bình",""),IF(OR(M550=phu!$I$94,M550=phu!$I$95,M550=phu!$I$96,M550=phu!$I$97,M550=phu!$I$98,M550=phu!$I$99,M550=phu!$I$100),"Huyện khác",""),IF(OR(M550=phu!$I$101,M550=phu!$I$102),"Tỉnh khác",""))</f>
        <v/>
      </c>
      <c r="O550" s="829" t="str">
        <f t="shared" si="48"/>
        <v/>
      </c>
      <c r="P550" s="254"/>
      <c r="Q550" s="254"/>
      <c r="R550" s="254"/>
      <c r="S550" s="254"/>
      <c r="T550" s="254"/>
      <c r="U550" s="254"/>
      <c r="V550" s="254"/>
      <c r="W550" s="254"/>
      <c r="Y550" s="246" t="str">
        <f t="shared" si="49"/>
        <v/>
      </c>
      <c r="Z550" s="247" t="str">
        <f t="shared" si="53"/>
        <v/>
      </c>
      <c r="AA550" s="246" t="str">
        <f t="shared" si="50"/>
        <v/>
      </c>
    </row>
    <row r="551" spans="1:27" ht="18" customHeight="1" x14ac:dyDescent="0.25">
      <c r="A551" s="248" t="str">
        <f t="shared" si="51"/>
        <v/>
      </c>
      <c r="B551" s="249" t="str">
        <f t="shared" si="52"/>
        <v/>
      </c>
      <c r="C551" s="250"/>
      <c r="D551" s="251"/>
      <c r="E551" s="241"/>
      <c r="F551" s="252"/>
      <c r="G551" s="252"/>
      <c r="H551" s="253"/>
      <c r="I551" s="250"/>
      <c r="J551" s="250"/>
      <c r="K551" s="270"/>
      <c r="L551" s="250"/>
      <c r="M551" s="250"/>
      <c r="N551" s="540" t="str">
        <f>CONCATENATE(IF(OR(M551=phu!$I$1,M551=phu!$I$2,M551=phu!$I$3),"Cam Thành Nam",""),IF(OR(M551=phu!$I$4,M551=phu!$I$5,M551=phu!$I$6,M551=phu!$I$7,M551=phu!$I$8,M551=phu!$I$9,M551=phu!$I$10,M551=phu!$I$11,M551=phu!$I$12,M551=phu!$I$13,M551=phu!$I$14),"Cam Nghĩa",""),IF(OR(M551=phu!$I$15,M551=phu!$I$16,M551=phu!$I$17,M551=phu!$I$18,M551=phu!$I$19,M551=phu!$I$20,M551=phu!$I$21),"Cam Phúc Bắc",""),IF(OR(M551=phu!$I$22,M551=phu!$I$23,M551=phu!$I$24,M551=phu!$I$25),"Cam Phúc Nam",""),IF(OR(M551=phu!$I$26,M551=phu!$I$27,M551=phu!$I$28,M551=phu!$I$29,M551=phu!$I$30,M551=phu!$I$31),"Cam Phú",""),IF(OR(M551=phu!$I$32,M551=phu!$I$33,M551=phu!$I$34,M551=phu!$I$35,M551=phu!$I$36,M551=phu!$I$37),"Cam Lộc",""),IF(OR(M551=phu!$I$38,M551=phu!$I$39,M551=phu!$I$40,M551=phu!$I$41,M551=phu!$I$42,M551=phu!$I$43,M551=phu!$I$44),"Cam Thuận",""),IF(OR(M551=phu!$I$45,M551=phu!$I$46,M551=phu!$I$47,M551=phu!$I$48,M551=phu!$I$49,M551=phu!$I$50,M551=phu!$I$51,M551=phu!$I$52,M551=phu!$I$53),"Cam Linh",""),IF(OR(M551=phu!$I$54,M551=phu!$I$55,M551=phu!$I$56,M551=phu!$I$57,M551=phu!$I$58,M551=phu!$I$59,M551=phu!$I$60,M551=phu!$I$61,M551=phu!$I$62),"Cam Lợi",""),IF(OR(M551=phu!$I$63,M551=phu!$I$64,M551=phu!$I$65,M551=phu!$I$66,M551=phu!$I$67,M551=phu!$I$68,M551=phu!$I$69,M551=phu!$I$70,M551=phu!$I$71),"Ba Ngòi",""),IF(OR(M551=phu!$I$72,M551=phu!$I$73,M551=phu!$I$74,M551=phu!$I$75,M551=phu!$I$76,M551=phu!$I$77,M551=phu!$I$78),"Cam Phước Đông",""),IF(OR(M551=phu!$I$79,M551=phu!$I$80,M551=phu!$I$81,M551=phu!$I$82,M551=phu!$I$83,M551=phu!$I$84),"Cam Thịnh Đông",""),IF(OR(M551=phu!$I$85,M551=phu!$I$86,M551=phu!$I$87,M551=phu!$I$88),"Cam Thịnh Tây",""),IF(OR(M551=phu!$I$89,M551=phu!$I$90),"Cam Lập",""),IF(OR(M551=phu!$I$91,M551=phu!$I$92,M551=phu!$I$93),"Cam Bình",""),IF(OR(M551=phu!$I$94,M551=phu!$I$95,M551=phu!$I$96,M551=phu!$I$97,M551=phu!$I$98,M551=phu!$I$99,M551=phu!$I$100),"Huyện khác",""),IF(OR(M551=phu!$I$101,M551=phu!$I$102),"Tỉnh khác",""))</f>
        <v/>
      </c>
      <c r="O551" s="829" t="str">
        <f t="shared" si="48"/>
        <v/>
      </c>
      <c r="P551" s="254"/>
      <c r="Q551" s="254"/>
      <c r="R551" s="254"/>
      <c r="S551" s="254"/>
      <c r="T551" s="254"/>
      <c r="U551" s="254"/>
      <c r="V551" s="254"/>
      <c r="W551" s="254"/>
      <c r="Y551" s="246" t="str">
        <f t="shared" si="49"/>
        <v/>
      </c>
      <c r="Z551" s="247" t="str">
        <f t="shared" si="53"/>
        <v/>
      </c>
      <c r="AA551" s="246" t="str">
        <f t="shared" si="50"/>
        <v/>
      </c>
    </row>
    <row r="552" spans="1:27" ht="18" customHeight="1" x14ac:dyDescent="0.25">
      <c r="A552" s="248" t="str">
        <f t="shared" si="51"/>
        <v/>
      </c>
      <c r="B552" s="249" t="str">
        <f t="shared" si="52"/>
        <v/>
      </c>
      <c r="C552" s="250"/>
      <c r="D552" s="251"/>
      <c r="E552" s="241"/>
      <c r="F552" s="252"/>
      <c r="G552" s="252"/>
      <c r="H552" s="253"/>
      <c r="I552" s="250"/>
      <c r="J552" s="250"/>
      <c r="K552" s="270"/>
      <c r="L552" s="250"/>
      <c r="M552" s="250"/>
      <c r="N552" s="540" t="str">
        <f>CONCATENATE(IF(OR(M552=phu!$I$1,M552=phu!$I$2,M552=phu!$I$3),"Cam Thành Nam",""),IF(OR(M552=phu!$I$4,M552=phu!$I$5,M552=phu!$I$6,M552=phu!$I$7,M552=phu!$I$8,M552=phu!$I$9,M552=phu!$I$10,M552=phu!$I$11,M552=phu!$I$12,M552=phu!$I$13,M552=phu!$I$14),"Cam Nghĩa",""),IF(OR(M552=phu!$I$15,M552=phu!$I$16,M552=phu!$I$17,M552=phu!$I$18,M552=phu!$I$19,M552=phu!$I$20,M552=phu!$I$21),"Cam Phúc Bắc",""),IF(OR(M552=phu!$I$22,M552=phu!$I$23,M552=phu!$I$24,M552=phu!$I$25),"Cam Phúc Nam",""),IF(OR(M552=phu!$I$26,M552=phu!$I$27,M552=phu!$I$28,M552=phu!$I$29,M552=phu!$I$30,M552=phu!$I$31),"Cam Phú",""),IF(OR(M552=phu!$I$32,M552=phu!$I$33,M552=phu!$I$34,M552=phu!$I$35,M552=phu!$I$36,M552=phu!$I$37),"Cam Lộc",""),IF(OR(M552=phu!$I$38,M552=phu!$I$39,M552=phu!$I$40,M552=phu!$I$41,M552=phu!$I$42,M552=phu!$I$43,M552=phu!$I$44),"Cam Thuận",""),IF(OR(M552=phu!$I$45,M552=phu!$I$46,M552=phu!$I$47,M552=phu!$I$48,M552=phu!$I$49,M552=phu!$I$50,M552=phu!$I$51,M552=phu!$I$52,M552=phu!$I$53),"Cam Linh",""),IF(OR(M552=phu!$I$54,M552=phu!$I$55,M552=phu!$I$56,M552=phu!$I$57,M552=phu!$I$58,M552=phu!$I$59,M552=phu!$I$60,M552=phu!$I$61,M552=phu!$I$62),"Cam Lợi",""),IF(OR(M552=phu!$I$63,M552=phu!$I$64,M552=phu!$I$65,M552=phu!$I$66,M552=phu!$I$67,M552=phu!$I$68,M552=phu!$I$69,M552=phu!$I$70,M552=phu!$I$71),"Ba Ngòi",""),IF(OR(M552=phu!$I$72,M552=phu!$I$73,M552=phu!$I$74,M552=phu!$I$75,M552=phu!$I$76,M552=phu!$I$77,M552=phu!$I$78),"Cam Phước Đông",""),IF(OR(M552=phu!$I$79,M552=phu!$I$80,M552=phu!$I$81,M552=phu!$I$82,M552=phu!$I$83,M552=phu!$I$84),"Cam Thịnh Đông",""),IF(OR(M552=phu!$I$85,M552=phu!$I$86,M552=phu!$I$87,M552=phu!$I$88),"Cam Thịnh Tây",""),IF(OR(M552=phu!$I$89,M552=phu!$I$90),"Cam Lập",""),IF(OR(M552=phu!$I$91,M552=phu!$I$92,M552=phu!$I$93),"Cam Bình",""),IF(OR(M552=phu!$I$94,M552=phu!$I$95,M552=phu!$I$96,M552=phu!$I$97,M552=phu!$I$98,M552=phu!$I$99,M552=phu!$I$100),"Huyện khác",""),IF(OR(M552=phu!$I$101,M552=phu!$I$102),"Tỉnh khác",""))</f>
        <v/>
      </c>
      <c r="O552" s="829" t="str">
        <f t="shared" si="48"/>
        <v/>
      </c>
      <c r="P552" s="254"/>
      <c r="Q552" s="254"/>
      <c r="R552" s="254"/>
      <c r="S552" s="254"/>
      <c r="T552" s="254"/>
      <c r="U552" s="254"/>
      <c r="V552" s="254"/>
      <c r="W552" s="254"/>
      <c r="Y552" s="246" t="str">
        <f t="shared" si="49"/>
        <v/>
      </c>
      <c r="Z552" s="247" t="str">
        <f t="shared" si="53"/>
        <v/>
      </c>
      <c r="AA552" s="246" t="str">
        <f t="shared" si="50"/>
        <v/>
      </c>
    </row>
    <row r="553" spans="1:27" ht="18" customHeight="1" x14ac:dyDescent="0.25">
      <c r="A553" s="248" t="str">
        <f t="shared" si="51"/>
        <v/>
      </c>
      <c r="B553" s="249" t="str">
        <f t="shared" si="52"/>
        <v/>
      </c>
      <c r="C553" s="250"/>
      <c r="D553" s="251"/>
      <c r="E553" s="241"/>
      <c r="F553" s="252"/>
      <c r="G553" s="252"/>
      <c r="H553" s="253"/>
      <c r="I553" s="250"/>
      <c r="J553" s="250"/>
      <c r="K553" s="270"/>
      <c r="L553" s="250"/>
      <c r="M553" s="250"/>
      <c r="N553" s="540" t="str">
        <f>CONCATENATE(IF(OR(M553=phu!$I$1,M553=phu!$I$2,M553=phu!$I$3),"Cam Thành Nam",""),IF(OR(M553=phu!$I$4,M553=phu!$I$5,M553=phu!$I$6,M553=phu!$I$7,M553=phu!$I$8,M553=phu!$I$9,M553=phu!$I$10,M553=phu!$I$11,M553=phu!$I$12,M553=phu!$I$13,M553=phu!$I$14),"Cam Nghĩa",""),IF(OR(M553=phu!$I$15,M553=phu!$I$16,M553=phu!$I$17,M553=phu!$I$18,M553=phu!$I$19,M553=phu!$I$20,M553=phu!$I$21),"Cam Phúc Bắc",""),IF(OR(M553=phu!$I$22,M553=phu!$I$23,M553=phu!$I$24,M553=phu!$I$25),"Cam Phúc Nam",""),IF(OR(M553=phu!$I$26,M553=phu!$I$27,M553=phu!$I$28,M553=phu!$I$29,M553=phu!$I$30,M553=phu!$I$31),"Cam Phú",""),IF(OR(M553=phu!$I$32,M553=phu!$I$33,M553=phu!$I$34,M553=phu!$I$35,M553=phu!$I$36,M553=phu!$I$37),"Cam Lộc",""),IF(OR(M553=phu!$I$38,M553=phu!$I$39,M553=phu!$I$40,M553=phu!$I$41,M553=phu!$I$42,M553=phu!$I$43,M553=phu!$I$44),"Cam Thuận",""),IF(OR(M553=phu!$I$45,M553=phu!$I$46,M553=phu!$I$47,M553=phu!$I$48,M553=phu!$I$49,M553=phu!$I$50,M553=phu!$I$51,M553=phu!$I$52,M553=phu!$I$53),"Cam Linh",""),IF(OR(M553=phu!$I$54,M553=phu!$I$55,M553=phu!$I$56,M553=phu!$I$57,M553=phu!$I$58,M553=phu!$I$59,M553=phu!$I$60,M553=phu!$I$61,M553=phu!$I$62),"Cam Lợi",""),IF(OR(M553=phu!$I$63,M553=phu!$I$64,M553=phu!$I$65,M553=phu!$I$66,M553=phu!$I$67,M553=phu!$I$68,M553=phu!$I$69,M553=phu!$I$70,M553=phu!$I$71),"Ba Ngòi",""),IF(OR(M553=phu!$I$72,M553=phu!$I$73,M553=phu!$I$74,M553=phu!$I$75,M553=phu!$I$76,M553=phu!$I$77,M553=phu!$I$78),"Cam Phước Đông",""),IF(OR(M553=phu!$I$79,M553=phu!$I$80,M553=phu!$I$81,M553=phu!$I$82,M553=phu!$I$83,M553=phu!$I$84),"Cam Thịnh Đông",""),IF(OR(M553=phu!$I$85,M553=phu!$I$86,M553=phu!$I$87,M553=phu!$I$88),"Cam Thịnh Tây",""),IF(OR(M553=phu!$I$89,M553=phu!$I$90),"Cam Lập",""),IF(OR(M553=phu!$I$91,M553=phu!$I$92,M553=phu!$I$93),"Cam Bình",""),IF(OR(M553=phu!$I$94,M553=phu!$I$95,M553=phu!$I$96,M553=phu!$I$97,M553=phu!$I$98,M553=phu!$I$99,M553=phu!$I$100),"Huyện khác",""),IF(OR(M553=phu!$I$101,M553=phu!$I$102),"Tỉnh khác",""))</f>
        <v/>
      </c>
      <c r="O553" s="829" t="str">
        <f t="shared" si="48"/>
        <v/>
      </c>
      <c r="P553" s="254"/>
      <c r="Q553" s="254"/>
      <c r="R553" s="254"/>
      <c r="S553" s="254"/>
      <c r="T553" s="254"/>
      <c r="U553" s="254"/>
      <c r="V553" s="254"/>
      <c r="W553" s="254"/>
      <c r="Y553" s="246" t="str">
        <f t="shared" si="49"/>
        <v/>
      </c>
      <c r="Z553" s="247" t="str">
        <f t="shared" si="53"/>
        <v/>
      </c>
      <c r="AA553" s="246" t="str">
        <f t="shared" si="50"/>
        <v/>
      </c>
    </row>
    <row r="554" spans="1:27" ht="18" customHeight="1" x14ac:dyDescent="0.25">
      <c r="A554" s="248" t="str">
        <f t="shared" si="51"/>
        <v/>
      </c>
      <c r="B554" s="249" t="str">
        <f t="shared" si="52"/>
        <v/>
      </c>
      <c r="C554" s="250"/>
      <c r="D554" s="251"/>
      <c r="E554" s="241"/>
      <c r="F554" s="252"/>
      <c r="G554" s="252"/>
      <c r="H554" s="253"/>
      <c r="I554" s="250"/>
      <c r="J554" s="250"/>
      <c r="K554" s="270"/>
      <c r="L554" s="250"/>
      <c r="M554" s="250"/>
      <c r="N554" s="540" t="str">
        <f>CONCATENATE(IF(OR(M554=phu!$I$1,M554=phu!$I$2,M554=phu!$I$3),"Cam Thành Nam",""),IF(OR(M554=phu!$I$4,M554=phu!$I$5,M554=phu!$I$6,M554=phu!$I$7,M554=phu!$I$8,M554=phu!$I$9,M554=phu!$I$10,M554=phu!$I$11,M554=phu!$I$12,M554=phu!$I$13,M554=phu!$I$14),"Cam Nghĩa",""),IF(OR(M554=phu!$I$15,M554=phu!$I$16,M554=phu!$I$17,M554=phu!$I$18,M554=phu!$I$19,M554=phu!$I$20,M554=phu!$I$21),"Cam Phúc Bắc",""),IF(OR(M554=phu!$I$22,M554=phu!$I$23,M554=phu!$I$24,M554=phu!$I$25),"Cam Phúc Nam",""),IF(OR(M554=phu!$I$26,M554=phu!$I$27,M554=phu!$I$28,M554=phu!$I$29,M554=phu!$I$30,M554=phu!$I$31),"Cam Phú",""),IF(OR(M554=phu!$I$32,M554=phu!$I$33,M554=phu!$I$34,M554=phu!$I$35,M554=phu!$I$36,M554=phu!$I$37),"Cam Lộc",""),IF(OR(M554=phu!$I$38,M554=phu!$I$39,M554=phu!$I$40,M554=phu!$I$41,M554=phu!$I$42,M554=phu!$I$43,M554=phu!$I$44),"Cam Thuận",""),IF(OR(M554=phu!$I$45,M554=phu!$I$46,M554=phu!$I$47,M554=phu!$I$48,M554=phu!$I$49,M554=phu!$I$50,M554=phu!$I$51,M554=phu!$I$52,M554=phu!$I$53),"Cam Linh",""),IF(OR(M554=phu!$I$54,M554=phu!$I$55,M554=phu!$I$56,M554=phu!$I$57,M554=phu!$I$58,M554=phu!$I$59,M554=phu!$I$60,M554=phu!$I$61,M554=phu!$I$62),"Cam Lợi",""),IF(OR(M554=phu!$I$63,M554=phu!$I$64,M554=phu!$I$65,M554=phu!$I$66,M554=phu!$I$67,M554=phu!$I$68,M554=phu!$I$69,M554=phu!$I$70,M554=phu!$I$71),"Ba Ngòi",""),IF(OR(M554=phu!$I$72,M554=phu!$I$73,M554=phu!$I$74,M554=phu!$I$75,M554=phu!$I$76,M554=phu!$I$77,M554=phu!$I$78),"Cam Phước Đông",""),IF(OR(M554=phu!$I$79,M554=phu!$I$80,M554=phu!$I$81,M554=phu!$I$82,M554=phu!$I$83,M554=phu!$I$84),"Cam Thịnh Đông",""),IF(OR(M554=phu!$I$85,M554=phu!$I$86,M554=phu!$I$87,M554=phu!$I$88),"Cam Thịnh Tây",""),IF(OR(M554=phu!$I$89,M554=phu!$I$90),"Cam Lập",""),IF(OR(M554=phu!$I$91,M554=phu!$I$92,M554=phu!$I$93),"Cam Bình",""),IF(OR(M554=phu!$I$94,M554=phu!$I$95,M554=phu!$I$96,M554=phu!$I$97,M554=phu!$I$98,M554=phu!$I$99,M554=phu!$I$100),"Huyện khác",""),IF(OR(M554=phu!$I$101,M554=phu!$I$102),"Tỉnh khác",""))</f>
        <v/>
      </c>
      <c r="O554" s="829" t="str">
        <f t="shared" si="48"/>
        <v/>
      </c>
      <c r="P554" s="254"/>
      <c r="Q554" s="254"/>
      <c r="R554" s="254"/>
      <c r="S554" s="254"/>
      <c r="T554" s="254"/>
      <c r="U554" s="254"/>
      <c r="V554" s="254"/>
      <c r="W554" s="254"/>
      <c r="Y554" s="246" t="str">
        <f t="shared" si="49"/>
        <v/>
      </c>
      <c r="Z554" s="247" t="str">
        <f t="shared" si="53"/>
        <v/>
      </c>
      <c r="AA554" s="246" t="str">
        <f t="shared" si="50"/>
        <v/>
      </c>
    </row>
    <row r="555" spans="1:27" ht="18" customHeight="1" x14ac:dyDescent="0.25">
      <c r="A555" s="248" t="str">
        <f t="shared" si="51"/>
        <v/>
      </c>
      <c r="B555" s="249" t="str">
        <f t="shared" si="52"/>
        <v/>
      </c>
      <c r="C555" s="250"/>
      <c r="D555" s="251"/>
      <c r="E555" s="241"/>
      <c r="F555" s="252"/>
      <c r="G555" s="252"/>
      <c r="H555" s="253"/>
      <c r="I555" s="250"/>
      <c r="J555" s="250"/>
      <c r="K555" s="270"/>
      <c r="L555" s="250"/>
      <c r="M555" s="250"/>
      <c r="N555" s="540" t="str">
        <f>CONCATENATE(IF(OR(M555=phu!$I$1,M555=phu!$I$2,M555=phu!$I$3),"Cam Thành Nam",""),IF(OR(M555=phu!$I$4,M555=phu!$I$5,M555=phu!$I$6,M555=phu!$I$7,M555=phu!$I$8,M555=phu!$I$9,M555=phu!$I$10,M555=phu!$I$11,M555=phu!$I$12,M555=phu!$I$13,M555=phu!$I$14),"Cam Nghĩa",""),IF(OR(M555=phu!$I$15,M555=phu!$I$16,M555=phu!$I$17,M555=phu!$I$18,M555=phu!$I$19,M555=phu!$I$20,M555=phu!$I$21),"Cam Phúc Bắc",""),IF(OR(M555=phu!$I$22,M555=phu!$I$23,M555=phu!$I$24,M555=phu!$I$25),"Cam Phúc Nam",""),IF(OR(M555=phu!$I$26,M555=phu!$I$27,M555=phu!$I$28,M555=phu!$I$29,M555=phu!$I$30,M555=phu!$I$31),"Cam Phú",""),IF(OR(M555=phu!$I$32,M555=phu!$I$33,M555=phu!$I$34,M555=phu!$I$35,M555=phu!$I$36,M555=phu!$I$37),"Cam Lộc",""),IF(OR(M555=phu!$I$38,M555=phu!$I$39,M555=phu!$I$40,M555=phu!$I$41,M555=phu!$I$42,M555=phu!$I$43,M555=phu!$I$44),"Cam Thuận",""),IF(OR(M555=phu!$I$45,M555=phu!$I$46,M555=phu!$I$47,M555=phu!$I$48,M555=phu!$I$49,M555=phu!$I$50,M555=phu!$I$51,M555=phu!$I$52,M555=phu!$I$53),"Cam Linh",""),IF(OR(M555=phu!$I$54,M555=phu!$I$55,M555=phu!$I$56,M555=phu!$I$57,M555=phu!$I$58,M555=phu!$I$59,M555=phu!$I$60,M555=phu!$I$61,M555=phu!$I$62),"Cam Lợi",""),IF(OR(M555=phu!$I$63,M555=phu!$I$64,M555=phu!$I$65,M555=phu!$I$66,M555=phu!$I$67,M555=phu!$I$68,M555=phu!$I$69,M555=phu!$I$70,M555=phu!$I$71),"Ba Ngòi",""),IF(OR(M555=phu!$I$72,M555=phu!$I$73,M555=phu!$I$74,M555=phu!$I$75,M555=phu!$I$76,M555=phu!$I$77,M555=phu!$I$78),"Cam Phước Đông",""),IF(OR(M555=phu!$I$79,M555=phu!$I$80,M555=phu!$I$81,M555=phu!$I$82,M555=phu!$I$83,M555=phu!$I$84),"Cam Thịnh Đông",""),IF(OR(M555=phu!$I$85,M555=phu!$I$86,M555=phu!$I$87,M555=phu!$I$88),"Cam Thịnh Tây",""),IF(OR(M555=phu!$I$89,M555=phu!$I$90),"Cam Lập",""),IF(OR(M555=phu!$I$91,M555=phu!$I$92,M555=phu!$I$93),"Cam Bình",""),IF(OR(M555=phu!$I$94,M555=phu!$I$95,M555=phu!$I$96,M555=phu!$I$97,M555=phu!$I$98,M555=phu!$I$99,M555=phu!$I$100),"Huyện khác",""),IF(OR(M555=phu!$I$101,M555=phu!$I$102),"Tỉnh khác",""))</f>
        <v/>
      </c>
      <c r="O555" s="829" t="str">
        <f t="shared" si="48"/>
        <v/>
      </c>
      <c r="P555" s="254"/>
      <c r="Q555" s="254"/>
      <c r="R555" s="254"/>
      <c r="S555" s="254"/>
      <c r="T555" s="254"/>
      <c r="U555" s="254"/>
      <c r="V555" s="254"/>
      <c r="W555" s="254"/>
      <c r="Y555" s="246" t="str">
        <f t="shared" si="49"/>
        <v/>
      </c>
      <c r="Z555" s="247" t="str">
        <f t="shared" si="53"/>
        <v/>
      </c>
      <c r="AA555" s="246" t="str">
        <f t="shared" si="50"/>
        <v/>
      </c>
    </row>
    <row r="556" spans="1:27" ht="18" customHeight="1" x14ac:dyDescent="0.25">
      <c r="A556" s="248" t="str">
        <f t="shared" si="51"/>
        <v/>
      </c>
      <c r="B556" s="249" t="str">
        <f t="shared" si="52"/>
        <v/>
      </c>
      <c r="C556" s="250"/>
      <c r="D556" s="251"/>
      <c r="E556" s="241"/>
      <c r="F556" s="252"/>
      <c r="G556" s="252"/>
      <c r="H556" s="253"/>
      <c r="I556" s="250"/>
      <c r="J556" s="250"/>
      <c r="K556" s="270"/>
      <c r="L556" s="250"/>
      <c r="M556" s="250"/>
      <c r="N556" s="540" t="str">
        <f>CONCATENATE(IF(OR(M556=phu!$I$1,M556=phu!$I$2,M556=phu!$I$3),"Cam Thành Nam",""),IF(OR(M556=phu!$I$4,M556=phu!$I$5,M556=phu!$I$6,M556=phu!$I$7,M556=phu!$I$8,M556=phu!$I$9,M556=phu!$I$10,M556=phu!$I$11,M556=phu!$I$12,M556=phu!$I$13,M556=phu!$I$14),"Cam Nghĩa",""),IF(OR(M556=phu!$I$15,M556=phu!$I$16,M556=phu!$I$17,M556=phu!$I$18,M556=phu!$I$19,M556=phu!$I$20,M556=phu!$I$21),"Cam Phúc Bắc",""),IF(OR(M556=phu!$I$22,M556=phu!$I$23,M556=phu!$I$24,M556=phu!$I$25),"Cam Phúc Nam",""),IF(OR(M556=phu!$I$26,M556=phu!$I$27,M556=phu!$I$28,M556=phu!$I$29,M556=phu!$I$30,M556=phu!$I$31),"Cam Phú",""),IF(OR(M556=phu!$I$32,M556=phu!$I$33,M556=phu!$I$34,M556=phu!$I$35,M556=phu!$I$36,M556=phu!$I$37),"Cam Lộc",""),IF(OR(M556=phu!$I$38,M556=phu!$I$39,M556=phu!$I$40,M556=phu!$I$41,M556=phu!$I$42,M556=phu!$I$43,M556=phu!$I$44),"Cam Thuận",""),IF(OR(M556=phu!$I$45,M556=phu!$I$46,M556=phu!$I$47,M556=phu!$I$48,M556=phu!$I$49,M556=phu!$I$50,M556=phu!$I$51,M556=phu!$I$52,M556=phu!$I$53),"Cam Linh",""),IF(OR(M556=phu!$I$54,M556=phu!$I$55,M556=phu!$I$56,M556=phu!$I$57,M556=phu!$I$58,M556=phu!$I$59,M556=phu!$I$60,M556=phu!$I$61,M556=phu!$I$62),"Cam Lợi",""),IF(OR(M556=phu!$I$63,M556=phu!$I$64,M556=phu!$I$65,M556=phu!$I$66,M556=phu!$I$67,M556=phu!$I$68,M556=phu!$I$69,M556=phu!$I$70,M556=phu!$I$71),"Ba Ngòi",""),IF(OR(M556=phu!$I$72,M556=phu!$I$73,M556=phu!$I$74,M556=phu!$I$75,M556=phu!$I$76,M556=phu!$I$77,M556=phu!$I$78),"Cam Phước Đông",""),IF(OR(M556=phu!$I$79,M556=phu!$I$80,M556=phu!$I$81,M556=phu!$I$82,M556=phu!$I$83,M556=phu!$I$84),"Cam Thịnh Đông",""),IF(OR(M556=phu!$I$85,M556=phu!$I$86,M556=phu!$I$87,M556=phu!$I$88),"Cam Thịnh Tây",""),IF(OR(M556=phu!$I$89,M556=phu!$I$90),"Cam Lập",""),IF(OR(M556=phu!$I$91,M556=phu!$I$92,M556=phu!$I$93),"Cam Bình",""),IF(OR(M556=phu!$I$94,M556=phu!$I$95,M556=phu!$I$96,M556=phu!$I$97,M556=phu!$I$98,M556=phu!$I$99,M556=phu!$I$100),"Huyện khác",""),IF(OR(M556=phu!$I$101,M556=phu!$I$102),"Tỉnh khác",""))</f>
        <v/>
      </c>
      <c r="O556" s="829" t="str">
        <f t="shared" si="48"/>
        <v/>
      </c>
      <c r="P556" s="254"/>
      <c r="Q556" s="254"/>
      <c r="R556" s="254"/>
      <c r="S556" s="254"/>
      <c r="T556" s="254"/>
      <c r="U556" s="254"/>
      <c r="V556" s="254"/>
      <c r="W556" s="254"/>
      <c r="Y556" s="246" t="str">
        <f t="shared" si="49"/>
        <v/>
      </c>
      <c r="Z556" s="247" t="str">
        <f t="shared" si="53"/>
        <v/>
      </c>
      <c r="AA556" s="246" t="str">
        <f t="shared" si="50"/>
        <v/>
      </c>
    </row>
    <row r="557" spans="1:27" ht="18" customHeight="1" x14ac:dyDescent="0.25">
      <c r="A557" s="248" t="str">
        <f t="shared" si="51"/>
        <v/>
      </c>
      <c r="B557" s="249" t="str">
        <f t="shared" si="52"/>
        <v/>
      </c>
      <c r="C557" s="250"/>
      <c r="D557" s="251"/>
      <c r="E557" s="241"/>
      <c r="F557" s="252"/>
      <c r="G557" s="252"/>
      <c r="H557" s="253"/>
      <c r="I557" s="250"/>
      <c r="J557" s="250"/>
      <c r="K557" s="270"/>
      <c r="L557" s="250"/>
      <c r="M557" s="250"/>
      <c r="N557" s="540" t="str">
        <f>CONCATENATE(IF(OR(M557=phu!$I$1,M557=phu!$I$2,M557=phu!$I$3),"Cam Thành Nam",""),IF(OR(M557=phu!$I$4,M557=phu!$I$5,M557=phu!$I$6,M557=phu!$I$7,M557=phu!$I$8,M557=phu!$I$9,M557=phu!$I$10,M557=phu!$I$11,M557=phu!$I$12,M557=phu!$I$13,M557=phu!$I$14),"Cam Nghĩa",""),IF(OR(M557=phu!$I$15,M557=phu!$I$16,M557=phu!$I$17,M557=phu!$I$18,M557=phu!$I$19,M557=phu!$I$20,M557=phu!$I$21),"Cam Phúc Bắc",""),IF(OR(M557=phu!$I$22,M557=phu!$I$23,M557=phu!$I$24,M557=phu!$I$25),"Cam Phúc Nam",""),IF(OR(M557=phu!$I$26,M557=phu!$I$27,M557=phu!$I$28,M557=phu!$I$29,M557=phu!$I$30,M557=phu!$I$31),"Cam Phú",""),IF(OR(M557=phu!$I$32,M557=phu!$I$33,M557=phu!$I$34,M557=phu!$I$35,M557=phu!$I$36,M557=phu!$I$37),"Cam Lộc",""),IF(OR(M557=phu!$I$38,M557=phu!$I$39,M557=phu!$I$40,M557=phu!$I$41,M557=phu!$I$42,M557=phu!$I$43,M557=phu!$I$44),"Cam Thuận",""),IF(OR(M557=phu!$I$45,M557=phu!$I$46,M557=phu!$I$47,M557=phu!$I$48,M557=phu!$I$49,M557=phu!$I$50,M557=phu!$I$51,M557=phu!$I$52,M557=phu!$I$53),"Cam Linh",""),IF(OR(M557=phu!$I$54,M557=phu!$I$55,M557=phu!$I$56,M557=phu!$I$57,M557=phu!$I$58,M557=phu!$I$59,M557=phu!$I$60,M557=phu!$I$61,M557=phu!$I$62),"Cam Lợi",""),IF(OR(M557=phu!$I$63,M557=phu!$I$64,M557=phu!$I$65,M557=phu!$I$66,M557=phu!$I$67,M557=phu!$I$68,M557=phu!$I$69,M557=phu!$I$70,M557=phu!$I$71),"Ba Ngòi",""),IF(OR(M557=phu!$I$72,M557=phu!$I$73,M557=phu!$I$74,M557=phu!$I$75,M557=phu!$I$76,M557=phu!$I$77,M557=phu!$I$78),"Cam Phước Đông",""),IF(OR(M557=phu!$I$79,M557=phu!$I$80,M557=phu!$I$81,M557=phu!$I$82,M557=phu!$I$83,M557=phu!$I$84),"Cam Thịnh Đông",""),IF(OR(M557=phu!$I$85,M557=phu!$I$86,M557=phu!$I$87,M557=phu!$I$88),"Cam Thịnh Tây",""),IF(OR(M557=phu!$I$89,M557=phu!$I$90),"Cam Lập",""),IF(OR(M557=phu!$I$91,M557=phu!$I$92,M557=phu!$I$93),"Cam Bình",""),IF(OR(M557=phu!$I$94,M557=phu!$I$95,M557=phu!$I$96,M557=phu!$I$97,M557=phu!$I$98,M557=phu!$I$99,M557=phu!$I$100),"Huyện khác",""),IF(OR(M557=phu!$I$101,M557=phu!$I$102),"Tỉnh khác",""))</f>
        <v/>
      </c>
      <c r="O557" s="829" t="str">
        <f t="shared" si="48"/>
        <v/>
      </c>
      <c r="P557" s="254"/>
      <c r="Q557" s="254"/>
      <c r="R557" s="254"/>
      <c r="S557" s="254"/>
      <c r="T557" s="254"/>
      <c r="U557" s="254"/>
      <c r="V557" s="254"/>
      <c r="W557" s="254"/>
      <c r="Y557" s="246" t="str">
        <f t="shared" si="49"/>
        <v/>
      </c>
      <c r="Z557" s="247" t="str">
        <f t="shared" si="53"/>
        <v/>
      </c>
      <c r="AA557" s="246" t="str">
        <f t="shared" si="50"/>
        <v/>
      </c>
    </row>
    <row r="558" spans="1:27" ht="18" customHeight="1" x14ac:dyDescent="0.25">
      <c r="A558" s="248" t="str">
        <f t="shared" si="51"/>
        <v/>
      </c>
      <c r="B558" s="249" t="str">
        <f t="shared" si="52"/>
        <v/>
      </c>
      <c r="C558" s="250"/>
      <c r="D558" s="251"/>
      <c r="E558" s="241"/>
      <c r="F558" s="252"/>
      <c r="G558" s="252"/>
      <c r="H558" s="253"/>
      <c r="I558" s="250"/>
      <c r="J558" s="250"/>
      <c r="K558" s="270"/>
      <c r="L558" s="250"/>
      <c r="M558" s="250"/>
      <c r="N558" s="540" t="str">
        <f>CONCATENATE(IF(OR(M558=phu!$I$1,M558=phu!$I$2,M558=phu!$I$3),"Cam Thành Nam",""),IF(OR(M558=phu!$I$4,M558=phu!$I$5,M558=phu!$I$6,M558=phu!$I$7,M558=phu!$I$8,M558=phu!$I$9,M558=phu!$I$10,M558=phu!$I$11,M558=phu!$I$12,M558=phu!$I$13,M558=phu!$I$14),"Cam Nghĩa",""),IF(OR(M558=phu!$I$15,M558=phu!$I$16,M558=phu!$I$17,M558=phu!$I$18,M558=phu!$I$19,M558=phu!$I$20,M558=phu!$I$21),"Cam Phúc Bắc",""),IF(OR(M558=phu!$I$22,M558=phu!$I$23,M558=phu!$I$24,M558=phu!$I$25),"Cam Phúc Nam",""),IF(OR(M558=phu!$I$26,M558=phu!$I$27,M558=phu!$I$28,M558=phu!$I$29,M558=phu!$I$30,M558=phu!$I$31),"Cam Phú",""),IF(OR(M558=phu!$I$32,M558=phu!$I$33,M558=phu!$I$34,M558=phu!$I$35,M558=phu!$I$36,M558=phu!$I$37),"Cam Lộc",""),IF(OR(M558=phu!$I$38,M558=phu!$I$39,M558=phu!$I$40,M558=phu!$I$41,M558=phu!$I$42,M558=phu!$I$43,M558=phu!$I$44),"Cam Thuận",""),IF(OR(M558=phu!$I$45,M558=phu!$I$46,M558=phu!$I$47,M558=phu!$I$48,M558=phu!$I$49,M558=phu!$I$50,M558=phu!$I$51,M558=phu!$I$52,M558=phu!$I$53),"Cam Linh",""),IF(OR(M558=phu!$I$54,M558=phu!$I$55,M558=phu!$I$56,M558=phu!$I$57,M558=phu!$I$58,M558=phu!$I$59,M558=phu!$I$60,M558=phu!$I$61,M558=phu!$I$62),"Cam Lợi",""),IF(OR(M558=phu!$I$63,M558=phu!$I$64,M558=phu!$I$65,M558=phu!$I$66,M558=phu!$I$67,M558=phu!$I$68,M558=phu!$I$69,M558=phu!$I$70,M558=phu!$I$71),"Ba Ngòi",""),IF(OR(M558=phu!$I$72,M558=phu!$I$73,M558=phu!$I$74,M558=phu!$I$75,M558=phu!$I$76,M558=phu!$I$77,M558=phu!$I$78),"Cam Phước Đông",""),IF(OR(M558=phu!$I$79,M558=phu!$I$80,M558=phu!$I$81,M558=phu!$I$82,M558=phu!$I$83,M558=phu!$I$84),"Cam Thịnh Đông",""),IF(OR(M558=phu!$I$85,M558=phu!$I$86,M558=phu!$I$87,M558=phu!$I$88),"Cam Thịnh Tây",""),IF(OR(M558=phu!$I$89,M558=phu!$I$90),"Cam Lập",""),IF(OR(M558=phu!$I$91,M558=phu!$I$92,M558=phu!$I$93),"Cam Bình",""),IF(OR(M558=phu!$I$94,M558=phu!$I$95,M558=phu!$I$96,M558=phu!$I$97,M558=phu!$I$98,M558=phu!$I$99,M558=phu!$I$100),"Huyện khác",""),IF(OR(M558=phu!$I$101,M558=phu!$I$102),"Tỉnh khác",""))</f>
        <v/>
      </c>
      <c r="O558" s="829" t="str">
        <f t="shared" si="48"/>
        <v/>
      </c>
      <c r="P558" s="254"/>
      <c r="Q558" s="254"/>
      <c r="R558" s="254"/>
      <c r="S558" s="254"/>
      <c r="T558" s="254"/>
      <c r="U558" s="254"/>
      <c r="V558" s="254"/>
      <c r="W558" s="254"/>
      <c r="Y558" s="246" t="str">
        <f t="shared" si="49"/>
        <v/>
      </c>
      <c r="Z558" s="247" t="str">
        <f t="shared" si="53"/>
        <v/>
      </c>
      <c r="AA558" s="246" t="str">
        <f t="shared" si="50"/>
        <v/>
      </c>
    </row>
    <row r="559" spans="1:27" ht="18" customHeight="1" x14ac:dyDescent="0.25">
      <c r="A559" s="248" t="str">
        <f t="shared" si="51"/>
        <v/>
      </c>
      <c r="B559" s="249" t="str">
        <f t="shared" si="52"/>
        <v/>
      </c>
      <c r="C559" s="250"/>
      <c r="D559" s="251"/>
      <c r="E559" s="241"/>
      <c r="F559" s="252"/>
      <c r="G559" s="252"/>
      <c r="H559" s="253"/>
      <c r="I559" s="250"/>
      <c r="J559" s="250"/>
      <c r="K559" s="270"/>
      <c r="L559" s="250"/>
      <c r="M559" s="250"/>
      <c r="N559" s="540" t="str">
        <f>CONCATENATE(IF(OR(M559=phu!$I$1,M559=phu!$I$2,M559=phu!$I$3),"Cam Thành Nam",""),IF(OR(M559=phu!$I$4,M559=phu!$I$5,M559=phu!$I$6,M559=phu!$I$7,M559=phu!$I$8,M559=phu!$I$9,M559=phu!$I$10,M559=phu!$I$11,M559=phu!$I$12,M559=phu!$I$13,M559=phu!$I$14),"Cam Nghĩa",""),IF(OR(M559=phu!$I$15,M559=phu!$I$16,M559=phu!$I$17,M559=phu!$I$18,M559=phu!$I$19,M559=phu!$I$20,M559=phu!$I$21),"Cam Phúc Bắc",""),IF(OR(M559=phu!$I$22,M559=phu!$I$23,M559=phu!$I$24,M559=phu!$I$25),"Cam Phúc Nam",""),IF(OR(M559=phu!$I$26,M559=phu!$I$27,M559=phu!$I$28,M559=phu!$I$29,M559=phu!$I$30,M559=phu!$I$31),"Cam Phú",""),IF(OR(M559=phu!$I$32,M559=phu!$I$33,M559=phu!$I$34,M559=phu!$I$35,M559=phu!$I$36,M559=phu!$I$37),"Cam Lộc",""),IF(OR(M559=phu!$I$38,M559=phu!$I$39,M559=phu!$I$40,M559=phu!$I$41,M559=phu!$I$42,M559=phu!$I$43,M559=phu!$I$44),"Cam Thuận",""),IF(OR(M559=phu!$I$45,M559=phu!$I$46,M559=phu!$I$47,M559=phu!$I$48,M559=phu!$I$49,M559=phu!$I$50,M559=phu!$I$51,M559=phu!$I$52,M559=phu!$I$53),"Cam Linh",""),IF(OR(M559=phu!$I$54,M559=phu!$I$55,M559=phu!$I$56,M559=phu!$I$57,M559=phu!$I$58,M559=phu!$I$59,M559=phu!$I$60,M559=phu!$I$61,M559=phu!$I$62),"Cam Lợi",""),IF(OR(M559=phu!$I$63,M559=phu!$I$64,M559=phu!$I$65,M559=phu!$I$66,M559=phu!$I$67,M559=phu!$I$68,M559=phu!$I$69,M559=phu!$I$70,M559=phu!$I$71),"Ba Ngòi",""),IF(OR(M559=phu!$I$72,M559=phu!$I$73,M559=phu!$I$74,M559=phu!$I$75,M559=phu!$I$76,M559=phu!$I$77,M559=phu!$I$78),"Cam Phước Đông",""),IF(OR(M559=phu!$I$79,M559=phu!$I$80,M559=phu!$I$81,M559=phu!$I$82,M559=phu!$I$83,M559=phu!$I$84),"Cam Thịnh Đông",""),IF(OR(M559=phu!$I$85,M559=phu!$I$86,M559=phu!$I$87,M559=phu!$I$88),"Cam Thịnh Tây",""),IF(OR(M559=phu!$I$89,M559=phu!$I$90),"Cam Lập",""),IF(OR(M559=phu!$I$91,M559=phu!$I$92,M559=phu!$I$93),"Cam Bình",""),IF(OR(M559=phu!$I$94,M559=phu!$I$95,M559=phu!$I$96,M559=phu!$I$97,M559=phu!$I$98,M559=phu!$I$99,M559=phu!$I$100),"Huyện khác",""),IF(OR(M559=phu!$I$101,M559=phu!$I$102),"Tỉnh khác",""))</f>
        <v/>
      </c>
      <c r="O559" s="829" t="str">
        <f t="shared" si="48"/>
        <v/>
      </c>
      <c r="P559" s="254"/>
      <c r="Q559" s="254"/>
      <c r="R559" s="254"/>
      <c r="S559" s="254"/>
      <c r="T559" s="254"/>
      <c r="U559" s="254"/>
      <c r="V559" s="254"/>
      <c r="W559" s="254"/>
      <c r="Y559" s="246" t="str">
        <f t="shared" si="49"/>
        <v/>
      </c>
      <c r="Z559" s="247" t="str">
        <f t="shared" si="53"/>
        <v/>
      </c>
      <c r="AA559" s="246" t="str">
        <f t="shared" si="50"/>
        <v/>
      </c>
    </row>
    <row r="560" spans="1:27" ht="18" customHeight="1" x14ac:dyDescent="0.25">
      <c r="A560" s="248" t="str">
        <f t="shared" si="51"/>
        <v/>
      </c>
      <c r="B560" s="249" t="str">
        <f t="shared" si="52"/>
        <v/>
      </c>
      <c r="C560" s="250"/>
      <c r="D560" s="251"/>
      <c r="E560" s="241"/>
      <c r="F560" s="252"/>
      <c r="G560" s="252"/>
      <c r="H560" s="253"/>
      <c r="I560" s="250"/>
      <c r="J560" s="250"/>
      <c r="K560" s="270"/>
      <c r="L560" s="250"/>
      <c r="M560" s="250"/>
      <c r="N560" s="540" t="str">
        <f>CONCATENATE(IF(OR(M560=phu!$I$1,M560=phu!$I$2,M560=phu!$I$3),"Cam Thành Nam",""),IF(OR(M560=phu!$I$4,M560=phu!$I$5,M560=phu!$I$6,M560=phu!$I$7,M560=phu!$I$8,M560=phu!$I$9,M560=phu!$I$10,M560=phu!$I$11,M560=phu!$I$12,M560=phu!$I$13,M560=phu!$I$14),"Cam Nghĩa",""),IF(OR(M560=phu!$I$15,M560=phu!$I$16,M560=phu!$I$17,M560=phu!$I$18,M560=phu!$I$19,M560=phu!$I$20,M560=phu!$I$21),"Cam Phúc Bắc",""),IF(OR(M560=phu!$I$22,M560=phu!$I$23,M560=phu!$I$24,M560=phu!$I$25),"Cam Phúc Nam",""),IF(OR(M560=phu!$I$26,M560=phu!$I$27,M560=phu!$I$28,M560=phu!$I$29,M560=phu!$I$30,M560=phu!$I$31),"Cam Phú",""),IF(OR(M560=phu!$I$32,M560=phu!$I$33,M560=phu!$I$34,M560=phu!$I$35,M560=phu!$I$36,M560=phu!$I$37),"Cam Lộc",""),IF(OR(M560=phu!$I$38,M560=phu!$I$39,M560=phu!$I$40,M560=phu!$I$41,M560=phu!$I$42,M560=phu!$I$43,M560=phu!$I$44),"Cam Thuận",""),IF(OR(M560=phu!$I$45,M560=phu!$I$46,M560=phu!$I$47,M560=phu!$I$48,M560=phu!$I$49,M560=phu!$I$50,M560=phu!$I$51,M560=phu!$I$52,M560=phu!$I$53),"Cam Linh",""),IF(OR(M560=phu!$I$54,M560=phu!$I$55,M560=phu!$I$56,M560=phu!$I$57,M560=phu!$I$58,M560=phu!$I$59,M560=phu!$I$60,M560=phu!$I$61,M560=phu!$I$62),"Cam Lợi",""),IF(OR(M560=phu!$I$63,M560=phu!$I$64,M560=phu!$I$65,M560=phu!$I$66,M560=phu!$I$67,M560=phu!$I$68,M560=phu!$I$69,M560=phu!$I$70,M560=phu!$I$71),"Ba Ngòi",""),IF(OR(M560=phu!$I$72,M560=phu!$I$73,M560=phu!$I$74,M560=phu!$I$75,M560=phu!$I$76,M560=phu!$I$77,M560=phu!$I$78),"Cam Phước Đông",""),IF(OR(M560=phu!$I$79,M560=phu!$I$80,M560=phu!$I$81,M560=phu!$I$82,M560=phu!$I$83,M560=phu!$I$84),"Cam Thịnh Đông",""),IF(OR(M560=phu!$I$85,M560=phu!$I$86,M560=phu!$I$87,M560=phu!$I$88),"Cam Thịnh Tây",""),IF(OR(M560=phu!$I$89,M560=phu!$I$90),"Cam Lập",""),IF(OR(M560=phu!$I$91,M560=phu!$I$92,M560=phu!$I$93),"Cam Bình",""),IF(OR(M560=phu!$I$94,M560=phu!$I$95,M560=phu!$I$96,M560=phu!$I$97,M560=phu!$I$98,M560=phu!$I$99,M560=phu!$I$100),"Huyện khác",""),IF(OR(M560=phu!$I$101,M560=phu!$I$102),"Tỉnh khác",""))</f>
        <v/>
      </c>
      <c r="O560" s="829" t="str">
        <f t="shared" si="48"/>
        <v/>
      </c>
      <c r="P560" s="254"/>
      <c r="Q560" s="254"/>
      <c r="R560" s="254"/>
      <c r="S560" s="254"/>
      <c r="T560" s="254"/>
      <c r="U560" s="254"/>
      <c r="V560" s="254"/>
      <c r="W560" s="254"/>
      <c r="Y560" s="246" t="str">
        <f t="shared" si="49"/>
        <v/>
      </c>
      <c r="Z560" s="247" t="str">
        <f t="shared" si="53"/>
        <v/>
      </c>
      <c r="AA560" s="246" t="str">
        <f t="shared" si="50"/>
        <v/>
      </c>
    </row>
    <row r="561" spans="1:27" ht="18" customHeight="1" x14ac:dyDescent="0.25">
      <c r="A561" s="248" t="str">
        <f t="shared" si="51"/>
        <v/>
      </c>
      <c r="B561" s="249" t="str">
        <f t="shared" si="52"/>
        <v/>
      </c>
      <c r="C561" s="250"/>
      <c r="D561" s="251"/>
      <c r="E561" s="241"/>
      <c r="F561" s="252"/>
      <c r="G561" s="252"/>
      <c r="H561" s="253"/>
      <c r="I561" s="250"/>
      <c r="J561" s="250"/>
      <c r="K561" s="270"/>
      <c r="L561" s="250"/>
      <c r="M561" s="250"/>
      <c r="N561" s="540" t="str">
        <f>CONCATENATE(IF(OR(M561=phu!$I$1,M561=phu!$I$2,M561=phu!$I$3),"Cam Thành Nam",""),IF(OR(M561=phu!$I$4,M561=phu!$I$5,M561=phu!$I$6,M561=phu!$I$7,M561=phu!$I$8,M561=phu!$I$9,M561=phu!$I$10,M561=phu!$I$11,M561=phu!$I$12,M561=phu!$I$13,M561=phu!$I$14),"Cam Nghĩa",""),IF(OR(M561=phu!$I$15,M561=phu!$I$16,M561=phu!$I$17,M561=phu!$I$18,M561=phu!$I$19,M561=phu!$I$20,M561=phu!$I$21),"Cam Phúc Bắc",""),IF(OR(M561=phu!$I$22,M561=phu!$I$23,M561=phu!$I$24,M561=phu!$I$25),"Cam Phúc Nam",""),IF(OR(M561=phu!$I$26,M561=phu!$I$27,M561=phu!$I$28,M561=phu!$I$29,M561=phu!$I$30,M561=phu!$I$31),"Cam Phú",""),IF(OR(M561=phu!$I$32,M561=phu!$I$33,M561=phu!$I$34,M561=phu!$I$35,M561=phu!$I$36,M561=phu!$I$37),"Cam Lộc",""),IF(OR(M561=phu!$I$38,M561=phu!$I$39,M561=phu!$I$40,M561=phu!$I$41,M561=phu!$I$42,M561=phu!$I$43,M561=phu!$I$44),"Cam Thuận",""),IF(OR(M561=phu!$I$45,M561=phu!$I$46,M561=phu!$I$47,M561=phu!$I$48,M561=phu!$I$49,M561=phu!$I$50,M561=phu!$I$51,M561=phu!$I$52,M561=phu!$I$53),"Cam Linh",""),IF(OR(M561=phu!$I$54,M561=phu!$I$55,M561=phu!$I$56,M561=phu!$I$57,M561=phu!$I$58,M561=phu!$I$59,M561=phu!$I$60,M561=phu!$I$61,M561=phu!$I$62),"Cam Lợi",""),IF(OR(M561=phu!$I$63,M561=phu!$I$64,M561=phu!$I$65,M561=phu!$I$66,M561=phu!$I$67,M561=phu!$I$68,M561=phu!$I$69,M561=phu!$I$70,M561=phu!$I$71),"Ba Ngòi",""),IF(OR(M561=phu!$I$72,M561=phu!$I$73,M561=phu!$I$74,M561=phu!$I$75,M561=phu!$I$76,M561=phu!$I$77,M561=phu!$I$78),"Cam Phước Đông",""),IF(OR(M561=phu!$I$79,M561=phu!$I$80,M561=phu!$I$81,M561=phu!$I$82,M561=phu!$I$83,M561=phu!$I$84),"Cam Thịnh Đông",""),IF(OR(M561=phu!$I$85,M561=phu!$I$86,M561=phu!$I$87,M561=phu!$I$88),"Cam Thịnh Tây",""),IF(OR(M561=phu!$I$89,M561=phu!$I$90),"Cam Lập",""),IF(OR(M561=phu!$I$91,M561=phu!$I$92,M561=phu!$I$93),"Cam Bình",""),IF(OR(M561=phu!$I$94,M561=phu!$I$95,M561=phu!$I$96,M561=phu!$I$97,M561=phu!$I$98,M561=phu!$I$99,M561=phu!$I$100),"Huyện khác",""),IF(OR(M561=phu!$I$101,M561=phu!$I$102),"Tỉnh khác",""))</f>
        <v/>
      </c>
      <c r="O561" s="829" t="str">
        <f t="shared" si="48"/>
        <v/>
      </c>
      <c r="P561" s="254"/>
      <c r="Q561" s="254"/>
      <c r="R561" s="254"/>
      <c r="S561" s="254"/>
      <c r="T561" s="254"/>
      <c r="U561" s="254"/>
      <c r="V561" s="254"/>
      <c r="W561" s="254"/>
      <c r="Y561" s="246" t="str">
        <f t="shared" si="49"/>
        <v/>
      </c>
      <c r="Z561" s="247" t="str">
        <f t="shared" si="53"/>
        <v/>
      </c>
      <c r="AA561" s="246" t="str">
        <f t="shared" si="50"/>
        <v/>
      </c>
    </row>
    <row r="562" spans="1:27" ht="18" customHeight="1" x14ac:dyDescent="0.25">
      <c r="A562" s="248" t="str">
        <f t="shared" si="51"/>
        <v/>
      </c>
      <c r="B562" s="249" t="str">
        <f t="shared" si="52"/>
        <v/>
      </c>
      <c r="C562" s="250"/>
      <c r="D562" s="251"/>
      <c r="E562" s="241"/>
      <c r="F562" s="252"/>
      <c r="G562" s="252"/>
      <c r="H562" s="253"/>
      <c r="I562" s="250"/>
      <c r="J562" s="250"/>
      <c r="K562" s="270"/>
      <c r="L562" s="250"/>
      <c r="M562" s="250"/>
      <c r="N562" s="540" t="str">
        <f>CONCATENATE(IF(OR(M562=phu!$I$1,M562=phu!$I$2,M562=phu!$I$3),"Cam Thành Nam",""),IF(OR(M562=phu!$I$4,M562=phu!$I$5,M562=phu!$I$6,M562=phu!$I$7,M562=phu!$I$8,M562=phu!$I$9,M562=phu!$I$10,M562=phu!$I$11,M562=phu!$I$12,M562=phu!$I$13,M562=phu!$I$14),"Cam Nghĩa",""),IF(OR(M562=phu!$I$15,M562=phu!$I$16,M562=phu!$I$17,M562=phu!$I$18,M562=phu!$I$19,M562=phu!$I$20,M562=phu!$I$21),"Cam Phúc Bắc",""),IF(OR(M562=phu!$I$22,M562=phu!$I$23,M562=phu!$I$24,M562=phu!$I$25),"Cam Phúc Nam",""),IF(OR(M562=phu!$I$26,M562=phu!$I$27,M562=phu!$I$28,M562=phu!$I$29,M562=phu!$I$30,M562=phu!$I$31),"Cam Phú",""),IF(OR(M562=phu!$I$32,M562=phu!$I$33,M562=phu!$I$34,M562=phu!$I$35,M562=phu!$I$36,M562=phu!$I$37),"Cam Lộc",""),IF(OR(M562=phu!$I$38,M562=phu!$I$39,M562=phu!$I$40,M562=phu!$I$41,M562=phu!$I$42,M562=phu!$I$43,M562=phu!$I$44),"Cam Thuận",""),IF(OR(M562=phu!$I$45,M562=phu!$I$46,M562=phu!$I$47,M562=phu!$I$48,M562=phu!$I$49,M562=phu!$I$50,M562=phu!$I$51,M562=phu!$I$52,M562=phu!$I$53),"Cam Linh",""),IF(OR(M562=phu!$I$54,M562=phu!$I$55,M562=phu!$I$56,M562=phu!$I$57,M562=phu!$I$58,M562=phu!$I$59,M562=phu!$I$60,M562=phu!$I$61,M562=phu!$I$62),"Cam Lợi",""),IF(OR(M562=phu!$I$63,M562=phu!$I$64,M562=phu!$I$65,M562=phu!$I$66,M562=phu!$I$67,M562=phu!$I$68,M562=phu!$I$69,M562=phu!$I$70,M562=phu!$I$71),"Ba Ngòi",""),IF(OR(M562=phu!$I$72,M562=phu!$I$73,M562=phu!$I$74,M562=phu!$I$75,M562=phu!$I$76,M562=phu!$I$77,M562=phu!$I$78),"Cam Phước Đông",""),IF(OR(M562=phu!$I$79,M562=phu!$I$80,M562=phu!$I$81,M562=phu!$I$82,M562=phu!$I$83,M562=phu!$I$84),"Cam Thịnh Đông",""),IF(OR(M562=phu!$I$85,M562=phu!$I$86,M562=phu!$I$87,M562=phu!$I$88),"Cam Thịnh Tây",""),IF(OR(M562=phu!$I$89,M562=phu!$I$90),"Cam Lập",""),IF(OR(M562=phu!$I$91,M562=phu!$I$92,M562=phu!$I$93),"Cam Bình",""),IF(OR(M562=phu!$I$94,M562=phu!$I$95,M562=phu!$I$96,M562=phu!$I$97,M562=phu!$I$98,M562=phu!$I$99,M562=phu!$I$100),"Huyện khác",""),IF(OR(M562=phu!$I$101,M562=phu!$I$102),"Tỉnh khác",""))</f>
        <v/>
      </c>
      <c r="O562" s="829" t="str">
        <f t="shared" si="48"/>
        <v/>
      </c>
      <c r="P562" s="254"/>
      <c r="Q562" s="254"/>
      <c r="R562" s="254"/>
      <c r="S562" s="254"/>
      <c r="T562" s="254"/>
      <c r="U562" s="254"/>
      <c r="V562" s="254"/>
      <c r="W562" s="254"/>
      <c r="Y562" s="246" t="str">
        <f t="shared" si="49"/>
        <v/>
      </c>
      <c r="Z562" s="247" t="str">
        <f t="shared" si="53"/>
        <v/>
      </c>
      <c r="AA562" s="246" t="str">
        <f t="shared" si="50"/>
        <v/>
      </c>
    </row>
    <row r="563" spans="1:27" ht="18" customHeight="1" x14ac:dyDescent="0.25">
      <c r="A563" s="248" t="str">
        <f t="shared" si="51"/>
        <v/>
      </c>
      <c r="B563" s="249" t="str">
        <f t="shared" si="52"/>
        <v/>
      </c>
      <c r="C563" s="250"/>
      <c r="D563" s="251"/>
      <c r="E563" s="241"/>
      <c r="F563" s="252"/>
      <c r="G563" s="252"/>
      <c r="H563" s="253"/>
      <c r="I563" s="250"/>
      <c r="J563" s="250"/>
      <c r="K563" s="270"/>
      <c r="L563" s="250"/>
      <c r="M563" s="250"/>
      <c r="N563" s="540" t="str">
        <f>CONCATENATE(IF(OR(M563=phu!$I$1,M563=phu!$I$2,M563=phu!$I$3),"Cam Thành Nam",""),IF(OR(M563=phu!$I$4,M563=phu!$I$5,M563=phu!$I$6,M563=phu!$I$7,M563=phu!$I$8,M563=phu!$I$9,M563=phu!$I$10,M563=phu!$I$11,M563=phu!$I$12,M563=phu!$I$13,M563=phu!$I$14),"Cam Nghĩa",""),IF(OR(M563=phu!$I$15,M563=phu!$I$16,M563=phu!$I$17,M563=phu!$I$18,M563=phu!$I$19,M563=phu!$I$20,M563=phu!$I$21),"Cam Phúc Bắc",""),IF(OR(M563=phu!$I$22,M563=phu!$I$23,M563=phu!$I$24,M563=phu!$I$25),"Cam Phúc Nam",""),IF(OR(M563=phu!$I$26,M563=phu!$I$27,M563=phu!$I$28,M563=phu!$I$29,M563=phu!$I$30,M563=phu!$I$31),"Cam Phú",""),IF(OR(M563=phu!$I$32,M563=phu!$I$33,M563=phu!$I$34,M563=phu!$I$35,M563=phu!$I$36,M563=phu!$I$37),"Cam Lộc",""),IF(OR(M563=phu!$I$38,M563=phu!$I$39,M563=phu!$I$40,M563=phu!$I$41,M563=phu!$I$42,M563=phu!$I$43,M563=phu!$I$44),"Cam Thuận",""),IF(OR(M563=phu!$I$45,M563=phu!$I$46,M563=phu!$I$47,M563=phu!$I$48,M563=phu!$I$49,M563=phu!$I$50,M563=phu!$I$51,M563=phu!$I$52,M563=phu!$I$53),"Cam Linh",""),IF(OR(M563=phu!$I$54,M563=phu!$I$55,M563=phu!$I$56,M563=phu!$I$57,M563=phu!$I$58,M563=phu!$I$59,M563=phu!$I$60,M563=phu!$I$61,M563=phu!$I$62),"Cam Lợi",""),IF(OR(M563=phu!$I$63,M563=phu!$I$64,M563=phu!$I$65,M563=phu!$I$66,M563=phu!$I$67,M563=phu!$I$68,M563=phu!$I$69,M563=phu!$I$70,M563=phu!$I$71),"Ba Ngòi",""),IF(OR(M563=phu!$I$72,M563=phu!$I$73,M563=phu!$I$74,M563=phu!$I$75,M563=phu!$I$76,M563=phu!$I$77,M563=phu!$I$78),"Cam Phước Đông",""),IF(OR(M563=phu!$I$79,M563=phu!$I$80,M563=phu!$I$81,M563=phu!$I$82,M563=phu!$I$83,M563=phu!$I$84),"Cam Thịnh Đông",""),IF(OR(M563=phu!$I$85,M563=phu!$I$86,M563=phu!$I$87,M563=phu!$I$88),"Cam Thịnh Tây",""),IF(OR(M563=phu!$I$89,M563=phu!$I$90),"Cam Lập",""),IF(OR(M563=phu!$I$91,M563=phu!$I$92,M563=phu!$I$93),"Cam Bình",""),IF(OR(M563=phu!$I$94,M563=phu!$I$95,M563=phu!$I$96,M563=phu!$I$97,M563=phu!$I$98,M563=phu!$I$99,M563=phu!$I$100),"Huyện khác",""),IF(OR(M563=phu!$I$101,M563=phu!$I$102),"Tỉnh khác",""))</f>
        <v/>
      </c>
      <c r="O563" s="829" t="str">
        <f t="shared" si="48"/>
        <v/>
      </c>
      <c r="P563" s="254"/>
      <c r="Q563" s="254"/>
      <c r="R563" s="254"/>
      <c r="S563" s="254"/>
      <c r="T563" s="254"/>
      <c r="U563" s="254"/>
      <c r="V563" s="254"/>
      <c r="W563" s="254"/>
      <c r="Y563" s="246" t="str">
        <f t="shared" si="49"/>
        <v/>
      </c>
      <c r="Z563" s="247" t="str">
        <f t="shared" si="53"/>
        <v/>
      </c>
      <c r="AA563" s="246" t="str">
        <f t="shared" si="50"/>
        <v/>
      </c>
    </row>
    <row r="564" spans="1:27" ht="18" customHeight="1" x14ac:dyDescent="0.25">
      <c r="A564" s="248" t="str">
        <f t="shared" si="51"/>
        <v/>
      </c>
      <c r="B564" s="249" t="str">
        <f t="shared" si="52"/>
        <v/>
      </c>
      <c r="C564" s="250"/>
      <c r="D564" s="251"/>
      <c r="E564" s="241"/>
      <c r="F564" s="252"/>
      <c r="G564" s="252"/>
      <c r="H564" s="253"/>
      <c r="I564" s="250"/>
      <c r="J564" s="250"/>
      <c r="K564" s="270"/>
      <c r="L564" s="250"/>
      <c r="M564" s="250"/>
      <c r="N564" s="540" t="str">
        <f>CONCATENATE(IF(OR(M564=phu!$I$1,M564=phu!$I$2,M564=phu!$I$3),"Cam Thành Nam",""),IF(OR(M564=phu!$I$4,M564=phu!$I$5,M564=phu!$I$6,M564=phu!$I$7,M564=phu!$I$8,M564=phu!$I$9,M564=phu!$I$10,M564=phu!$I$11,M564=phu!$I$12,M564=phu!$I$13,M564=phu!$I$14),"Cam Nghĩa",""),IF(OR(M564=phu!$I$15,M564=phu!$I$16,M564=phu!$I$17,M564=phu!$I$18,M564=phu!$I$19,M564=phu!$I$20,M564=phu!$I$21),"Cam Phúc Bắc",""),IF(OR(M564=phu!$I$22,M564=phu!$I$23,M564=phu!$I$24,M564=phu!$I$25),"Cam Phúc Nam",""),IF(OR(M564=phu!$I$26,M564=phu!$I$27,M564=phu!$I$28,M564=phu!$I$29,M564=phu!$I$30,M564=phu!$I$31),"Cam Phú",""),IF(OR(M564=phu!$I$32,M564=phu!$I$33,M564=phu!$I$34,M564=phu!$I$35,M564=phu!$I$36,M564=phu!$I$37),"Cam Lộc",""),IF(OR(M564=phu!$I$38,M564=phu!$I$39,M564=phu!$I$40,M564=phu!$I$41,M564=phu!$I$42,M564=phu!$I$43,M564=phu!$I$44),"Cam Thuận",""),IF(OR(M564=phu!$I$45,M564=phu!$I$46,M564=phu!$I$47,M564=phu!$I$48,M564=phu!$I$49,M564=phu!$I$50,M564=phu!$I$51,M564=phu!$I$52,M564=phu!$I$53),"Cam Linh",""),IF(OR(M564=phu!$I$54,M564=phu!$I$55,M564=phu!$I$56,M564=phu!$I$57,M564=phu!$I$58,M564=phu!$I$59,M564=phu!$I$60,M564=phu!$I$61,M564=phu!$I$62),"Cam Lợi",""),IF(OR(M564=phu!$I$63,M564=phu!$I$64,M564=phu!$I$65,M564=phu!$I$66,M564=phu!$I$67,M564=phu!$I$68,M564=phu!$I$69,M564=phu!$I$70,M564=phu!$I$71),"Ba Ngòi",""),IF(OR(M564=phu!$I$72,M564=phu!$I$73,M564=phu!$I$74,M564=phu!$I$75,M564=phu!$I$76,M564=phu!$I$77,M564=phu!$I$78),"Cam Phước Đông",""),IF(OR(M564=phu!$I$79,M564=phu!$I$80,M564=phu!$I$81,M564=phu!$I$82,M564=phu!$I$83,M564=phu!$I$84),"Cam Thịnh Đông",""),IF(OR(M564=phu!$I$85,M564=phu!$I$86,M564=phu!$I$87,M564=phu!$I$88),"Cam Thịnh Tây",""),IF(OR(M564=phu!$I$89,M564=phu!$I$90),"Cam Lập",""),IF(OR(M564=phu!$I$91,M564=phu!$I$92,M564=phu!$I$93),"Cam Bình",""),IF(OR(M564=phu!$I$94,M564=phu!$I$95,M564=phu!$I$96,M564=phu!$I$97,M564=phu!$I$98,M564=phu!$I$99,M564=phu!$I$100),"Huyện khác",""),IF(OR(M564=phu!$I$101,M564=phu!$I$102),"Tỉnh khác",""))</f>
        <v/>
      </c>
      <c r="O564" s="829" t="str">
        <f t="shared" si="48"/>
        <v/>
      </c>
      <c r="P564" s="254"/>
      <c r="Q564" s="254"/>
      <c r="R564" s="254"/>
      <c r="S564" s="254"/>
      <c r="T564" s="254"/>
      <c r="U564" s="254"/>
      <c r="V564" s="254"/>
      <c r="W564" s="254"/>
      <c r="Y564" s="246" t="str">
        <f t="shared" si="49"/>
        <v/>
      </c>
      <c r="Z564" s="247" t="str">
        <f t="shared" si="53"/>
        <v/>
      </c>
      <c r="AA564" s="246" t="str">
        <f t="shared" si="50"/>
        <v/>
      </c>
    </row>
    <row r="565" spans="1:27" ht="18" customHeight="1" x14ac:dyDescent="0.25">
      <c r="A565" s="248" t="str">
        <f t="shared" si="51"/>
        <v/>
      </c>
      <c r="B565" s="249" t="str">
        <f t="shared" si="52"/>
        <v/>
      </c>
      <c r="C565" s="250"/>
      <c r="D565" s="251"/>
      <c r="E565" s="241"/>
      <c r="F565" s="252"/>
      <c r="G565" s="252"/>
      <c r="H565" s="253"/>
      <c r="I565" s="250"/>
      <c r="J565" s="250"/>
      <c r="K565" s="270"/>
      <c r="L565" s="250"/>
      <c r="M565" s="250"/>
      <c r="N565" s="540" t="str">
        <f>CONCATENATE(IF(OR(M565=phu!$I$1,M565=phu!$I$2,M565=phu!$I$3),"Cam Thành Nam",""),IF(OR(M565=phu!$I$4,M565=phu!$I$5,M565=phu!$I$6,M565=phu!$I$7,M565=phu!$I$8,M565=phu!$I$9,M565=phu!$I$10,M565=phu!$I$11,M565=phu!$I$12,M565=phu!$I$13,M565=phu!$I$14),"Cam Nghĩa",""),IF(OR(M565=phu!$I$15,M565=phu!$I$16,M565=phu!$I$17,M565=phu!$I$18,M565=phu!$I$19,M565=phu!$I$20,M565=phu!$I$21),"Cam Phúc Bắc",""),IF(OR(M565=phu!$I$22,M565=phu!$I$23,M565=phu!$I$24,M565=phu!$I$25),"Cam Phúc Nam",""),IF(OR(M565=phu!$I$26,M565=phu!$I$27,M565=phu!$I$28,M565=phu!$I$29,M565=phu!$I$30,M565=phu!$I$31),"Cam Phú",""),IF(OR(M565=phu!$I$32,M565=phu!$I$33,M565=phu!$I$34,M565=phu!$I$35,M565=phu!$I$36,M565=phu!$I$37),"Cam Lộc",""),IF(OR(M565=phu!$I$38,M565=phu!$I$39,M565=phu!$I$40,M565=phu!$I$41,M565=phu!$I$42,M565=phu!$I$43,M565=phu!$I$44),"Cam Thuận",""),IF(OR(M565=phu!$I$45,M565=phu!$I$46,M565=phu!$I$47,M565=phu!$I$48,M565=phu!$I$49,M565=phu!$I$50,M565=phu!$I$51,M565=phu!$I$52,M565=phu!$I$53),"Cam Linh",""),IF(OR(M565=phu!$I$54,M565=phu!$I$55,M565=phu!$I$56,M565=phu!$I$57,M565=phu!$I$58,M565=phu!$I$59,M565=phu!$I$60,M565=phu!$I$61,M565=phu!$I$62),"Cam Lợi",""),IF(OR(M565=phu!$I$63,M565=phu!$I$64,M565=phu!$I$65,M565=phu!$I$66,M565=phu!$I$67,M565=phu!$I$68,M565=phu!$I$69,M565=phu!$I$70,M565=phu!$I$71),"Ba Ngòi",""),IF(OR(M565=phu!$I$72,M565=phu!$I$73,M565=phu!$I$74,M565=phu!$I$75,M565=phu!$I$76,M565=phu!$I$77,M565=phu!$I$78),"Cam Phước Đông",""),IF(OR(M565=phu!$I$79,M565=phu!$I$80,M565=phu!$I$81,M565=phu!$I$82,M565=phu!$I$83,M565=phu!$I$84),"Cam Thịnh Đông",""),IF(OR(M565=phu!$I$85,M565=phu!$I$86,M565=phu!$I$87,M565=phu!$I$88),"Cam Thịnh Tây",""),IF(OR(M565=phu!$I$89,M565=phu!$I$90),"Cam Lập",""),IF(OR(M565=phu!$I$91,M565=phu!$I$92,M565=phu!$I$93),"Cam Bình",""),IF(OR(M565=phu!$I$94,M565=phu!$I$95,M565=phu!$I$96,M565=phu!$I$97,M565=phu!$I$98,M565=phu!$I$99,M565=phu!$I$100),"Huyện khác",""),IF(OR(M565=phu!$I$101,M565=phu!$I$102),"Tỉnh khác",""))</f>
        <v/>
      </c>
      <c r="O565" s="829" t="str">
        <f t="shared" si="48"/>
        <v/>
      </c>
      <c r="P565" s="254"/>
      <c r="Q565" s="254"/>
      <c r="R565" s="254"/>
      <c r="S565" s="254"/>
      <c r="T565" s="254"/>
      <c r="U565" s="254"/>
      <c r="V565" s="254"/>
      <c r="W565" s="254"/>
      <c r="Y565" s="246" t="str">
        <f t="shared" si="49"/>
        <v/>
      </c>
      <c r="Z565" s="247" t="str">
        <f t="shared" si="53"/>
        <v/>
      </c>
      <c r="AA565" s="246" t="str">
        <f t="shared" si="50"/>
        <v/>
      </c>
    </row>
    <row r="566" spans="1:27" ht="18" customHeight="1" x14ac:dyDescent="0.25">
      <c r="A566" s="248" t="str">
        <f t="shared" si="51"/>
        <v/>
      </c>
      <c r="B566" s="249" t="str">
        <f t="shared" si="52"/>
        <v/>
      </c>
      <c r="C566" s="250"/>
      <c r="D566" s="251"/>
      <c r="E566" s="241"/>
      <c r="F566" s="252"/>
      <c r="G566" s="252"/>
      <c r="H566" s="253"/>
      <c r="I566" s="250"/>
      <c r="J566" s="250"/>
      <c r="K566" s="270"/>
      <c r="L566" s="250"/>
      <c r="M566" s="250"/>
      <c r="N566" s="540" t="str">
        <f>CONCATENATE(IF(OR(M566=phu!$I$1,M566=phu!$I$2,M566=phu!$I$3),"Cam Thành Nam",""),IF(OR(M566=phu!$I$4,M566=phu!$I$5,M566=phu!$I$6,M566=phu!$I$7,M566=phu!$I$8,M566=phu!$I$9,M566=phu!$I$10,M566=phu!$I$11,M566=phu!$I$12,M566=phu!$I$13,M566=phu!$I$14),"Cam Nghĩa",""),IF(OR(M566=phu!$I$15,M566=phu!$I$16,M566=phu!$I$17,M566=phu!$I$18,M566=phu!$I$19,M566=phu!$I$20,M566=phu!$I$21),"Cam Phúc Bắc",""),IF(OR(M566=phu!$I$22,M566=phu!$I$23,M566=phu!$I$24,M566=phu!$I$25),"Cam Phúc Nam",""),IF(OR(M566=phu!$I$26,M566=phu!$I$27,M566=phu!$I$28,M566=phu!$I$29,M566=phu!$I$30,M566=phu!$I$31),"Cam Phú",""),IF(OR(M566=phu!$I$32,M566=phu!$I$33,M566=phu!$I$34,M566=phu!$I$35,M566=phu!$I$36,M566=phu!$I$37),"Cam Lộc",""),IF(OR(M566=phu!$I$38,M566=phu!$I$39,M566=phu!$I$40,M566=phu!$I$41,M566=phu!$I$42,M566=phu!$I$43,M566=phu!$I$44),"Cam Thuận",""),IF(OR(M566=phu!$I$45,M566=phu!$I$46,M566=phu!$I$47,M566=phu!$I$48,M566=phu!$I$49,M566=phu!$I$50,M566=phu!$I$51,M566=phu!$I$52,M566=phu!$I$53),"Cam Linh",""),IF(OR(M566=phu!$I$54,M566=phu!$I$55,M566=phu!$I$56,M566=phu!$I$57,M566=phu!$I$58,M566=phu!$I$59,M566=phu!$I$60,M566=phu!$I$61,M566=phu!$I$62),"Cam Lợi",""),IF(OR(M566=phu!$I$63,M566=phu!$I$64,M566=phu!$I$65,M566=phu!$I$66,M566=phu!$I$67,M566=phu!$I$68,M566=phu!$I$69,M566=phu!$I$70,M566=phu!$I$71),"Ba Ngòi",""),IF(OR(M566=phu!$I$72,M566=phu!$I$73,M566=phu!$I$74,M566=phu!$I$75,M566=phu!$I$76,M566=phu!$I$77,M566=phu!$I$78),"Cam Phước Đông",""),IF(OR(M566=phu!$I$79,M566=phu!$I$80,M566=phu!$I$81,M566=phu!$I$82,M566=phu!$I$83,M566=phu!$I$84),"Cam Thịnh Đông",""),IF(OR(M566=phu!$I$85,M566=phu!$I$86,M566=phu!$I$87,M566=phu!$I$88),"Cam Thịnh Tây",""),IF(OR(M566=phu!$I$89,M566=phu!$I$90),"Cam Lập",""),IF(OR(M566=phu!$I$91,M566=phu!$I$92,M566=phu!$I$93),"Cam Bình",""),IF(OR(M566=phu!$I$94,M566=phu!$I$95,M566=phu!$I$96,M566=phu!$I$97,M566=phu!$I$98,M566=phu!$I$99,M566=phu!$I$100),"Huyện khác",""),IF(OR(M566=phu!$I$101,M566=phu!$I$102),"Tỉnh khác",""))</f>
        <v/>
      </c>
      <c r="O566" s="829" t="str">
        <f t="shared" si="48"/>
        <v/>
      </c>
      <c r="P566" s="254"/>
      <c r="Q566" s="254"/>
      <c r="R566" s="254"/>
      <c r="S566" s="254"/>
      <c r="T566" s="254"/>
      <c r="U566" s="254"/>
      <c r="V566" s="254"/>
      <c r="W566" s="254"/>
      <c r="Y566" s="246" t="str">
        <f t="shared" si="49"/>
        <v/>
      </c>
      <c r="Z566" s="247" t="str">
        <f t="shared" si="53"/>
        <v/>
      </c>
      <c r="AA566" s="246" t="str">
        <f t="shared" si="50"/>
        <v/>
      </c>
    </row>
    <row r="567" spans="1:27" ht="18" customHeight="1" x14ac:dyDescent="0.25">
      <c r="A567" s="248" t="str">
        <f t="shared" si="51"/>
        <v/>
      </c>
      <c r="B567" s="249" t="str">
        <f t="shared" si="52"/>
        <v/>
      </c>
      <c r="C567" s="250"/>
      <c r="D567" s="251"/>
      <c r="E567" s="241"/>
      <c r="F567" s="252"/>
      <c r="G567" s="252"/>
      <c r="H567" s="253"/>
      <c r="I567" s="250"/>
      <c r="J567" s="250"/>
      <c r="K567" s="270"/>
      <c r="L567" s="250"/>
      <c r="M567" s="250"/>
      <c r="N567" s="540" t="str">
        <f>CONCATENATE(IF(OR(M567=phu!$I$1,M567=phu!$I$2,M567=phu!$I$3),"Cam Thành Nam",""),IF(OR(M567=phu!$I$4,M567=phu!$I$5,M567=phu!$I$6,M567=phu!$I$7,M567=phu!$I$8,M567=phu!$I$9,M567=phu!$I$10,M567=phu!$I$11,M567=phu!$I$12,M567=phu!$I$13,M567=phu!$I$14),"Cam Nghĩa",""),IF(OR(M567=phu!$I$15,M567=phu!$I$16,M567=phu!$I$17,M567=phu!$I$18,M567=phu!$I$19,M567=phu!$I$20,M567=phu!$I$21),"Cam Phúc Bắc",""),IF(OR(M567=phu!$I$22,M567=phu!$I$23,M567=phu!$I$24,M567=phu!$I$25),"Cam Phúc Nam",""),IF(OR(M567=phu!$I$26,M567=phu!$I$27,M567=phu!$I$28,M567=phu!$I$29,M567=phu!$I$30,M567=phu!$I$31),"Cam Phú",""),IF(OR(M567=phu!$I$32,M567=phu!$I$33,M567=phu!$I$34,M567=phu!$I$35,M567=phu!$I$36,M567=phu!$I$37),"Cam Lộc",""),IF(OR(M567=phu!$I$38,M567=phu!$I$39,M567=phu!$I$40,M567=phu!$I$41,M567=phu!$I$42,M567=phu!$I$43,M567=phu!$I$44),"Cam Thuận",""),IF(OR(M567=phu!$I$45,M567=phu!$I$46,M567=phu!$I$47,M567=phu!$I$48,M567=phu!$I$49,M567=phu!$I$50,M567=phu!$I$51,M567=phu!$I$52,M567=phu!$I$53),"Cam Linh",""),IF(OR(M567=phu!$I$54,M567=phu!$I$55,M567=phu!$I$56,M567=phu!$I$57,M567=phu!$I$58,M567=phu!$I$59,M567=phu!$I$60,M567=phu!$I$61,M567=phu!$I$62),"Cam Lợi",""),IF(OR(M567=phu!$I$63,M567=phu!$I$64,M567=phu!$I$65,M567=phu!$I$66,M567=phu!$I$67,M567=phu!$I$68,M567=phu!$I$69,M567=phu!$I$70,M567=phu!$I$71),"Ba Ngòi",""),IF(OR(M567=phu!$I$72,M567=phu!$I$73,M567=phu!$I$74,M567=phu!$I$75,M567=phu!$I$76,M567=phu!$I$77,M567=phu!$I$78),"Cam Phước Đông",""),IF(OR(M567=phu!$I$79,M567=phu!$I$80,M567=phu!$I$81,M567=phu!$I$82,M567=phu!$I$83,M567=phu!$I$84),"Cam Thịnh Đông",""),IF(OR(M567=phu!$I$85,M567=phu!$I$86,M567=phu!$I$87,M567=phu!$I$88),"Cam Thịnh Tây",""),IF(OR(M567=phu!$I$89,M567=phu!$I$90),"Cam Lập",""),IF(OR(M567=phu!$I$91,M567=phu!$I$92,M567=phu!$I$93),"Cam Bình",""),IF(OR(M567=phu!$I$94,M567=phu!$I$95,M567=phu!$I$96,M567=phu!$I$97,M567=phu!$I$98,M567=phu!$I$99,M567=phu!$I$100),"Huyện khác",""),IF(OR(M567=phu!$I$101,M567=phu!$I$102),"Tỉnh khác",""))</f>
        <v/>
      </c>
      <c r="O567" s="829" t="str">
        <f t="shared" si="48"/>
        <v/>
      </c>
      <c r="P567" s="254"/>
      <c r="Q567" s="254"/>
      <c r="R567" s="254"/>
      <c r="S567" s="254"/>
      <c r="T567" s="254"/>
      <c r="U567" s="254"/>
      <c r="V567" s="254"/>
      <c r="W567" s="254"/>
      <c r="Y567" s="246" t="str">
        <f t="shared" si="49"/>
        <v/>
      </c>
      <c r="Z567" s="247" t="str">
        <f t="shared" si="53"/>
        <v/>
      </c>
      <c r="AA567" s="246" t="str">
        <f t="shared" si="50"/>
        <v/>
      </c>
    </row>
    <row r="568" spans="1:27" ht="18" customHeight="1" x14ac:dyDescent="0.25">
      <c r="A568" s="248" t="str">
        <f t="shared" si="51"/>
        <v/>
      </c>
      <c r="B568" s="249" t="str">
        <f t="shared" si="52"/>
        <v/>
      </c>
      <c r="C568" s="250"/>
      <c r="D568" s="251"/>
      <c r="E568" s="241"/>
      <c r="F568" s="252"/>
      <c r="G568" s="252"/>
      <c r="H568" s="253"/>
      <c r="I568" s="250"/>
      <c r="J568" s="250"/>
      <c r="K568" s="270"/>
      <c r="L568" s="250"/>
      <c r="M568" s="250"/>
      <c r="N568" s="540" t="str">
        <f>CONCATENATE(IF(OR(M568=phu!$I$1,M568=phu!$I$2,M568=phu!$I$3),"Cam Thành Nam",""),IF(OR(M568=phu!$I$4,M568=phu!$I$5,M568=phu!$I$6,M568=phu!$I$7,M568=phu!$I$8,M568=phu!$I$9,M568=phu!$I$10,M568=phu!$I$11,M568=phu!$I$12,M568=phu!$I$13,M568=phu!$I$14),"Cam Nghĩa",""),IF(OR(M568=phu!$I$15,M568=phu!$I$16,M568=phu!$I$17,M568=phu!$I$18,M568=phu!$I$19,M568=phu!$I$20,M568=phu!$I$21),"Cam Phúc Bắc",""),IF(OR(M568=phu!$I$22,M568=phu!$I$23,M568=phu!$I$24,M568=phu!$I$25),"Cam Phúc Nam",""),IF(OR(M568=phu!$I$26,M568=phu!$I$27,M568=phu!$I$28,M568=phu!$I$29,M568=phu!$I$30,M568=phu!$I$31),"Cam Phú",""),IF(OR(M568=phu!$I$32,M568=phu!$I$33,M568=phu!$I$34,M568=phu!$I$35,M568=phu!$I$36,M568=phu!$I$37),"Cam Lộc",""),IF(OR(M568=phu!$I$38,M568=phu!$I$39,M568=phu!$I$40,M568=phu!$I$41,M568=phu!$I$42,M568=phu!$I$43,M568=phu!$I$44),"Cam Thuận",""),IF(OR(M568=phu!$I$45,M568=phu!$I$46,M568=phu!$I$47,M568=phu!$I$48,M568=phu!$I$49,M568=phu!$I$50,M568=phu!$I$51,M568=phu!$I$52,M568=phu!$I$53),"Cam Linh",""),IF(OR(M568=phu!$I$54,M568=phu!$I$55,M568=phu!$I$56,M568=phu!$I$57,M568=phu!$I$58,M568=phu!$I$59,M568=phu!$I$60,M568=phu!$I$61,M568=phu!$I$62),"Cam Lợi",""),IF(OR(M568=phu!$I$63,M568=phu!$I$64,M568=phu!$I$65,M568=phu!$I$66,M568=phu!$I$67,M568=phu!$I$68,M568=phu!$I$69,M568=phu!$I$70,M568=phu!$I$71),"Ba Ngòi",""),IF(OR(M568=phu!$I$72,M568=phu!$I$73,M568=phu!$I$74,M568=phu!$I$75,M568=phu!$I$76,M568=phu!$I$77,M568=phu!$I$78),"Cam Phước Đông",""),IF(OR(M568=phu!$I$79,M568=phu!$I$80,M568=phu!$I$81,M568=phu!$I$82,M568=phu!$I$83,M568=phu!$I$84),"Cam Thịnh Đông",""),IF(OR(M568=phu!$I$85,M568=phu!$I$86,M568=phu!$I$87,M568=phu!$I$88),"Cam Thịnh Tây",""),IF(OR(M568=phu!$I$89,M568=phu!$I$90),"Cam Lập",""),IF(OR(M568=phu!$I$91,M568=phu!$I$92,M568=phu!$I$93),"Cam Bình",""),IF(OR(M568=phu!$I$94,M568=phu!$I$95,M568=phu!$I$96,M568=phu!$I$97,M568=phu!$I$98,M568=phu!$I$99,M568=phu!$I$100),"Huyện khác",""),IF(OR(M568=phu!$I$101,M568=phu!$I$102),"Tỉnh khác",""))</f>
        <v/>
      </c>
      <c r="O568" s="829" t="str">
        <f t="shared" si="48"/>
        <v/>
      </c>
      <c r="P568" s="254"/>
      <c r="Q568" s="254"/>
      <c r="R568" s="254"/>
      <c r="S568" s="254"/>
      <c r="T568" s="254"/>
      <c r="U568" s="254"/>
      <c r="V568" s="254"/>
      <c r="W568" s="254"/>
      <c r="Y568" s="246" t="str">
        <f t="shared" si="49"/>
        <v/>
      </c>
      <c r="Z568" s="247" t="str">
        <f t="shared" si="53"/>
        <v/>
      </c>
      <c r="AA568" s="246" t="str">
        <f t="shared" si="50"/>
        <v/>
      </c>
    </row>
    <row r="569" spans="1:27" ht="18" customHeight="1" x14ac:dyDescent="0.25">
      <c r="A569" s="248" t="str">
        <f t="shared" si="51"/>
        <v/>
      </c>
      <c r="B569" s="249" t="str">
        <f t="shared" si="52"/>
        <v/>
      </c>
      <c r="C569" s="250"/>
      <c r="D569" s="251"/>
      <c r="E569" s="241"/>
      <c r="F569" s="252"/>
      <c r="G569" s="252"/>
      <c r="H569" s="253"/>
      <c r="I569" s="250"/>
      <c r="J569" s="250"/>
      <c r="K569" s="270"/>
      <c r="L569" s="250"/>
      <c r="M569" s="250"/>
      <c r="N569" s="540" t="str">
        <f>CONCATENATE(IF(OR(M569=phu!$I$1,M569=phu!$I$2,M569=phu!$I$3),"Cam Thành Nam",""),IF(OR(M569=phu!$I$4,M569=phu!$I$5,M569=phu!$I$6,M569=phu!$I$7,M569=phu!$I$8,M569=phu!$I$9,M569=phu!$I$10,M569=phu!$I$11,M569=phu!$I$12,M569=phu!$I$13,M569=phu!$I$14),"Cam Nghĩa",""),IF(OR(M569=phu!$I$15,M569=phu!$I$16,M569=phu!$I$17,M569=phu!$I$18,M569=phu!$I$19,M569=phu!$I$20,M569=phu!$I$21),"Cam Phúc Bắc",""),IF(OR(M569=phu!$I$22,M569=phu!$I$23,M569=phu!$I$24,M569=phu!$I$25),"Cam Phúc Nam",""),IF(OR(M569=phu!$I$26,M569=phu!$I$27,M569=phu!$I$28,M569=phu!$I$29,M569=phu!$I$30,M569=phu!$I$31),"Cam Phú",""),IF(OR(M569=phu!$I$32,M569=phu!$I$33,M569=phu!$I$34,M569=phu!$I$35,M569=phu!$I$36,M569=phu!$I$37),"Cam Lộc",""),IF(OR(M569=phu!$I$38,M569=phu!$I$39,M569=phu!$I$40,M569=phu!$I$41,M569=phu!$I$42,M569=phu!$I$43,M569=phu!$I$44),"Cam Thuận",""),IF(OR(M569=phu!$I$45,M569=phu!$I$46,M569=phu!$I$47,M569=phu!$I$48,M569=phu!$I$49,M569=phu!$I$50,M569=phu!$I$51,M569=phu!$I$52,M569=phu!$I$53),"Cam Linh",""),IF(OR(M569=phu!$I$54,M569=phu!$I$55,M569=phu!$I$56,M569=phu!$I$57,M569=phu!$I$58,M569=phu!$I$59,M569=phu!$I$60,M569=phu!$I$61,M569=phu!$I$62),"Cam Lợi",""),IF(OR(M569=phu!$I$63,M569=phu!$I$64,M569=phu!$I$65,M569=phu!$I$66,M569=phu!$I$67,M569=phu!$I$68,M569=phu!$I$69,M569=phu!$I$70,M569=phu!$I$71),"Ba Ngòi",""),IF(OR(M569=phu!$I$72,M569=phu!$I$73,M569=phu!$I$74,M569=phu!$I$75,M569=phu!$I$76,M569=phu!$I$77,M569=phu!$I$78),"Cam Phước Đông",""),IF(OR(M569=phu!$I$79,M569=phu!$I$80,M569=phu!$I$81,M569=phu!$I$82,M569=phu!$I$83,M569=phu!$I$84),"Cam Thịnh Đông",""),IF(OR(M569=phu!$I$85,M569=phu!$I$86,M569=phu!$I$87,M569=phu!$I$88),"Cam Thịnh Tây",""),IF(OR(M569=phu!$I$89,M569=phu!$I$90),"Cam Lập",""),IF(OR(M569=phu!$I$91,M569=phu!$I$92,M569=phu!$I$93),"Cam Bình",""),IF(OR(M569=phu!$I$94,M569=phu!$I$95,M569=phu!$I$96,M569=phu!$I$97,M569=phu!$I$98,M569=phu!$I$99,M569=phu!$I$100),"Huyện khác",""),IF(OR(M569=phu!$I$101,M569=phu!$I$102),"Tỉnh khác",""))</f>
        <v/>
      </c>
      <c r="O569" s="829" t="str">
        <f t="shared" si="48"/>
        <v/>
      </c>
      <c r="P569" s="254"/>
      <c r="Q569" s="254"/>
      <c r="R569" s="254"/>
      <c r="S569" s="254"/>
      <c r="T569" s="254"/>
      <c r="U569" s="254"/>
      <c r="V569" s="254"/>
      <c r="W569" s="254"/>
      <c r="Y569" s="246" t="str">
        <f t="shared" si="49"/>
        <v/>
      </c>
      <c r="Z569" s="247" t="str">
        <f t="shared" si="53"/>
        <v/>
      </c>
      <c r="AA569" s="246" t="str">
        <f t="shared" si="50"/>
        <v/>
      </c>
    </row>
    <row r="570" spans="1:27" ht="18" customHeight="1" x14ac:dyDescent="0.25">
      <c r="A570" s="248" t="str">
        <f t="shared" si="51"/>
        <v/>
      </c>
      <c r="B570" s="249" t="str">
        <f t="shared" si="52"/>
        <v/>
      </c>
      <c r="C570" s="250"/>
      <c r="D570" s="251"/>
      <c r="E570" s="241"/>
      <c r="F570" s="252"/>
      <c r="G570" s="252"/>
      <c r="H570" s="253"/>
      <c r="I570" s="250"/>
      <c r="J570" s="250"/>
      <c r="K570" s="270"/>
      <c r="L570" s="250"/>
      <c r="M570" s="250"/>
      <c r="N570" s="540" t="str">
        <f>CONCATENATE(IF(OR(M570=phu!$I$1,M570=phu!$I$2,M570=phu!$I$3),"Cam Thành Nam",""),IF(OR(M570=phu!$I$4,M570=phu!$I$5,M570=phu!$I$6,M570=phu!$I$7,M570=phu!$I$8,M570=phu!$I$9,M570=phu!$I$10,M570=phu!$I$11,M570=phu!$I$12,M570=phu!$I$13,M570=phu!$I$14),"Cam Nghĩa",""),IF(OR(M570=phu!$I$15,M570=phu!$I$16,M570=phu!$I$17,M570=phu!$I$18,M570=phu!$I$19,M570=phu!$I$20,M570=phu!$I$21),"Cam Phúc Bắc",""),IF(OR(M570=phu!$I$22,M570=phu!$I$23,M570=phu!$I$24,M570=phu!$I$25),"Cam Phúc Nam",""),IF(OR(M570=phu!$I$26,M570=phu!$I$27,M570=phu!$I$28,M570=phu!$I$29,M570=phu!$I$30,M570=phu!$I$31),"Cam Phú",""),IF(OR(M570=phu!$I$32,M570=phu!$I$33,M570=phu!$I$34,M570=phu!$I$35,M570=phu!$I$36,M570=phu!$I$37),"Cam Lộc",""),IF(OR(M570=phu!$I$38,M570=phu!$I$39,M570=phu!$I$40,M570=phu!$I$41,M570=phu!$I$42,M570=phu!$I$43,M570=phu!$I$44),"Cam Thuận",""),IF(OR(M570=phu!$I$45,M570=phu!$I$46,M570=phu!$I$47,M570=phu!$I$48,M570=phu!$I$49,M570=phu!$I$50,M570=phu!$I$51,M570=phu!$I$52,M570=phu!$I$53),"Cam Linh",""),IF(OR(M570=phu!$I$54,M570=phu!$I$55,M570=phu!$I$56,M570=phu!$I$57,M570=phu!$I$58,M570=phu!$I$59,M570=phu!$I$60,M570=phu!$I$61,M570=phu!$I$62),"Cam Lợi",""),IF(OR(M570=phu!$I$63,M570=phu!$I$64,M570=phu!$I$65,M570=phu!$I$66,M570=phu!$I$67,M570=phu!$I$68,M570=phu!$I$69,M570=phu!$I$70,M570=phu!$I$71),"Ba Ngòi",""),IF(OR(M570=phu!$I$72,M570=phu!$I$73,M570=phu!$I$74,M570=phu!$I$75,M570=phu!$I$76,M570=phu!$I$77,M570=phu!$I$78),"Cam Phước Đông",""),IF(OR(M570=phu!$I$79,M570=phu!$I$80,M570=phu!$I$81,M570=phu!$I$82,M570=phu!$I$83,M570=phu!$I$84),"Cam Thịnh Đông",""),IF(OR(M570=phu!$I$85,M570=phu!$I$86,M570=phu!$I$87,M570=phu!$I$88),"Cam Thịnh Tây",""),IF(OR(M570=phu!$I$89,M570=phu!$I$90),"Cam Lập",""),IF(OR(M570=phu!$I$91,M570=phu!$I$92,M570=phu!$I$93),"Cam Bình",""),IF(OR(M570=phu!$I$94,M570=phu!$I$95,M570=phu!$I$96,M570=phu!$I$97,M570=phu!$I$98,M570=phu!$I$99,M570=phu!$I$100),"Huyện khác",""),IF(OR(M570=phu!$I$101,M570=phu!$I$102),"Tỉnh khác",""))</f>
        <v/>
      </c>
      <c r="O570" s="829" t="str">
        <f t="shared" si="48"/>
        <v/>
      </c>
      <c r="P570" s="254"/>
      <c r="Q570" s="254"/>
      <c r="R570" s="254"/>
      <c r="S570" s="254"/>
      <c r="T570" s="254"/>
      <c r="U570" s="254"/>
      <c r="V570" s="254"/>
      <c r="W570" s="254"/>
      <c r="Y570" s="246" t="str">
        <f t="shared" si="49"/>
        <v/>
      </c>
      <c r="Z570" s="247" t="str">
        <f t="shared" si="53"/>
        <v/>
      </c>
      <c r="AA570" s="246" t="str">
        <f t="shared" si="50"/>
        <v/>
      </c>
    </row>
    <row r="571" spans="1:27" ht="18" customHeight="1" x14ac:dyDescent="0.25">
      <c r="A571" s="248" t="str">
        <f t="shared" si="51"/>
        <v/>
      </c>
      <c r="B571" s="249" t="str">
        <f t="shared" si="52"/>
        <v/>
      </c>
      <c r="C571" s="250"/>
      <c r="D571" s="251"/>
      <c r="E571" s="241"/>
      <c r="F571" s="252"/>
      <c r="G571" s="252"/>
      <c r="H571" s="253"/>
      <c r="I571" s="250"/>
      <c r="J571" s="250"/>
      <c r="K571" s="270"/>
      <c r="L571" s="250"/>
      <c r="M571" s="250"/>
      <c r="N571" s="540" t="str">
        <f>CONCATENATE(IF(OR(M571=phu!$I$1,M571=phu!$I$2,M571=phu!$I$3),"Cam Thành Nam",""),IF(OR(M571=phu!$I$4,M571=phu!$I$5,M571=phu!$I$6,M571=phu!$I$7,M571=phu!$I$8,M571=phu!$I$9,M571=phu!$I$10,M571=phu!$I$11,M571=phu!$I$12,M571=phu!$I$13,M571=phu!$I$14),"Cam Nghĩa",""),IF(OR(M571=phu!$I$15,M571=phu!$I$16,M571=phu!$I$17,M571=phu!$I$18,M571=phu!$I$19,M571=phu!$I$20,M571=phu!$I$21),"Cam Phúc Bắc",""),IF(OR(M571=phu!$I$22,M571=phu!$I$23,M571=phu!$I$24,M571=phu!$I$25),"Cam Phúc Nam",""),IF(OR(M571=phu!$I$26,M571=phu!$I$27,M571=phu!$I$28,M571=phu!$I$29,M571=phu!$I$30,M571=phu!$I$31),"Cam Phú",""),IF(OR(M571=phu!$I$32,M571=phu!$I$33,M571=phu!$I$34,M571=phu!$I$35,M571=phu!$I$36,M571=phu!$I$37),"Cam Lộc",""),IF(OR(M571=phu!$I$38,M571=phu!$I$39,M571=phu!$I$40,M571=phu!$I$41,M571=phu!$I$42,M571=phu!$I$43,M571=phu!$I$44),"Cam Thuận",""),IF(OR(M571=phu!$I$45,M571=phu!$I$46,M571=phu!$I$47,M571=phu!$I$48,M571=phu!$I$49,M571=phu!$I$50,M571=phu!$I$51,M571=phu!$I$52,M571=phu!$I$53),"Cam Linh",""),IF(OR(M571=phu!$I$54,M571=phu!$I$55,M571=phu!$I$56,M571=phu!$I$57,M571=phu!$I$58,M571=phu!$I$59,M571=phu!$I$60,M571=phu!$I$61,M571=phu!$I$62),"Cam Lợi",""),IF(OR(M571=phu!$I$63,M571=phu!$I$64,M571=phu!$I$65,M571=phu!$I$66,M571=phu!$I$67,M571=phu!$I$68,M571=phu!$I$69,M571=phu!$I$70,M571=phu!$I$71),"Ba Ngòi",""),IF(OR(M571=phu!$I$72,M571=phu!$I$73,M571=phu!$I$74,M571=phu!$I$75,M571=phu!$I$76,M571=phu!$I$77,M571=phu!$I$78),"Cam Phước Đông",""),IF(OR(M571=phu!$I$79,M571=phu!$I$80,M571=phu!$I$81,M571=phu!$I$82,M571=phu!$I$83,M571=phu!$I$84),"Cam Thịnh Đông",""),IF(OR(M571=phu!$I$85,M571=phu!$I$86,M571=phu!$I$87,M571=phu!$I$88),"Cam Thịnh Tây",""),IF(OR(M571=phu!$I$89,M571=phu!$I$90),"Cam Lập",""),IF(OR(M571=phu!$I$91,M571=phu!$I$92,M571=phu!$I$93),"Cam Bình",""),IF(OR(M571=phu!$I$94,M571=phu!$I$95,M571=phu!$I$96,M571=phu!$I$97,M571=phu!$I$98,M571=phu!$I$99,M571=phu!$I$100),"Huyện khác",""),IF(OR(M571=phu!$I$101,M571=phu!$I$102),"Tỉnh khác",""))</f>
        <v/>
      </c>
      <c r="O571" s="829" t="str">
        <f t="shared" si="48"/>
        <v/>
      </c>
      <c r="P571" s="254"/>
      <c r="Q571" s="254"/>
      <c r="R571" s="254"/>
      <c r="S571" s="254"/>
      <c r="T571" s="254"/>
      <c r="U571" s="254"/>
      <c r="V571" s="254"/>
      <c r="W571" s="254"/>
      <c r="Y571" s="246" t="str">
        <f t="shared" si="49"/>
        <v/>
      </c>
      <c r="Z571" s="247" t="str">
        <f t="shared" si="53"/>
        <v/>
      </c>
      <c r="AA571" s="246" t="str">
        <f t="shared" si="50"/>
        <v/>
      </c>
    </row>
    <row r="572" spans="1:27" ht="18" customHeight="1" x14ac:dyDescent="0.25">
      <c r="A572" s="248" t="str">
        <f t="shared" si="51"/>
        <v/>
      </c>
      <c r="B572" s="249" t="str">
        <f t="shared" si="52"/>
        <v/>
      </c>
      <c r="C572" s="250"/>
      <c r="D572" s="251"/>
      <c r="E572" s="241"/>
      <c r="F572" s="252"/>
      <c r="G572" s="252"/>
      <c r="H572" s="253"/>
      <c r="I572" s="250"/>
      <c r="J572" s="250"/>
      <c r="K572" s="270"/>
      <c r="L572" s="250"/>
      <c r="M572" s="250"/>
      <c r="N572" s="540" t="str">
        <f>CONCATENATE(IF(OR(M572=phu!$I$1,M572=phu!$I$2,M572=phu!$I$3),"Cam Thành Nam",""),IF(OR(M572=phu!$I$4,M572=phu!$I$5,M572=phu!$I$6,M572=phu!$I$7,M572=phu!$I$8,M572=phu!$I$9,M572=phu!$I$10,M572=phu!$I$11,M572=phu!$I$12,M572=phu!$I$13,M572=phu!$I$14),"Cam Nghĩa",""),IF(OR(M572=phu!$I$15,M572=phu!$I$16,M572=phu!$I$17,M572=phu!$I$18,M572=phu!$I$19,M572=phu!$I$20,M572=phu!$I$21),"Cam Phúc Bắc",""),IF(OR(M572=phu!$I$22,M572=phu!$I$23,M572=phu!$I$24,M572=phu!$I$25),"Cam Phúc Nam",""),IF(OR(M572=phu!$I$26,M572=phu!$I$27,M572=phu!$I$28,M572=phu!$I$29,M572=phu!$I$30,M572=phu!$I$31),"Cam Phú",""),IF(OR(M572=phu!$I$32,M572=phu!$I$33,M572=phu!$I$34,M572=phu!$I$35,M572=phu!$I$36,M572=phu!$I$37),"Cam Lộc",""),IF(OR(M572=phu!$I$38,M572=phu!$I$39,M572=phu!$I$40,M572=phu!$I$41,M572=phu!$I$42,M572=phu!$I$43,M572=phu!$I$44),"Cam Thuận",""),IF(OR(M572=phu!$I$45,M572=phu!$I$46,M572=phu!$I$47,M572=phu!$I$48,M572=phu!$I$49,M572=phu!$I$50,M572=phu!$I$51,M572=phu!$I$52,M572=phu!$I$53),"Cam Linh",""),IF(OR(M572=phu!$I$54,M572=phu!$I$55,M572=phu!$I$56,M572=phu!$I$57,M572=phu!$I$58,M572=phu!$I$59,M572=phu!$I$60,M572=phu!$I$61,M572=phu!$I$62),"Cam Lợi",""),IF(OR(M572=phu!$I$63,M572=phu!$I$64,M572=phu!$I$65,M572=phu!$I$66,M572=phu!$I$67,M572=phu!$I$68,M572=phu!$I$69,M572=phu!$I$70,M572=phu!$I$71),"Ba Ngòi",""),IF(OR(M572=phu!$I$72,M572=phu!$I$73,M572=phu!$I$74,M572=phu!$I$75,M572=phu!$I$76,M572=phu!$I$77,M572=phu!$I$78),"Cam Phước Đông",""),IF(OR(M572=phu!$I$79,M572=phu!$I$80,M572=phu!$I$81,M572=phu!$I$82,M572=phu!$I$83,M572=phu!$I$84),"Cam Thịnh Đông",""),IF(OR(M572=phu!$I$85,M572=phu!$I$86,M572=phu!$I$87,M572=phu!$I$88),"Cam Thịnh Tây",""),IF(OR(M572=phu!$I$89,M572=phu!$I$90),"Cam Lập",""),IF(OR(M572=phu!$I$91,M572=phu!$I$92,M572=phu!$I$93),"Cam Bình",""),IF(OR(M572=phu!$I$94,M572=phu!$I$95,M572=phu!$I$96,M572=phu!$I$97,M572=phu!$I$98,M572=phu!$I$99,M572=phu!$I$100),"Huyện khác",""),IF(OR(M572=phu!$I$101,M572=phu!$I$102),"Tỉnh khác",""))</f>
        <v/>
      </c>
      <c r="O572" s="829" t="str">
        <f t="shared" si="48"/>
        <v/>
      </c>
      <c r="P572" s="254"/>
      <c r="Q572" s="254"/>
      <c r="R572" s="254"/>
      <c r="S572" s="254"/>
      <c r="T572" s="254"/>
      <c r="U572" s="254"/>
      <c r="V572" s="254"/>
      <c r="W572" s="254"/>
      <c r="Y572" s="246" t="str">
        <f t="shared" si="49"/>
        <v/>
      </c>
      <c r="Z572" s="247" t="str">
        <f t="shared" si="53"/>
        <v/>
      </c>
      <c r="AA572" s="246" t="str">
        <f t="shared" si="50"/>
        <v/>
      </c>
    </row>
    <row r="573" spans="1:27" ht="18" customHeight="1" x14ac:dyDescent="0.25">
      <c r="A573" s="248" t="str">
        <f t="shared" si="51"/>
        <v/>
      </c>
      <c r="B573" s="249" t="str">
        <f t="shared" si="52"/>
        <v/>
      </c>
      <c r="C573" s="250"/>
      <c r="D573" s="251"/>
      <c r="E573" s="241"/>
      <c r="F573" s="252"/>
      <c r="G573" s="252"/>
      <c r="H573" s="253"/>
      <c r="I573" s="250"/>
      <c r="J573" s="250"/>
      <c r="K573" s="270"/>
      <c r="L573" s="250"/>
      <c r="M573" s="250"/>
      <c r="N573" s="540" t="str">
        <f>CONCATENATE(IF(OR(M573=phu!$I$1,M573=phu!$I$2,M573=phu!$I$3),"Cam Thành Nam",""),IF(OR(M573=phu!$I$4,M573=phu!$I$5,M573=phu!$I$6,M573=phu!$I$7,M573=phu!$I$8,M573=phu!$I$9,M573=phu!$I$10,M573=phu!$I$11,M573=phu!$I$12,M573=phu!$I$13,M573=phu!$I$14),"Cam Nghĩa",""),IF(OR(M573=phu!$I$15,M573=phu!$I$16,M573=phu!$I$17,M573=phu!$I$18,M573=phu!$I$19,M573=phu!$I$20,M573=phu!$I$21),"Cam Phúc Bắc",""),IF(OR(M573=phu!$I$22,M573=phu!$I$23,M573=phu!$I$24,M573=phu!$I$25),"Cam Phúc Nam",""),IF(OR(M573=phu!$I$26,M573=phu!$I$27,M573=phu!$I$28,M573=phu!$I$29,M573=phu!$I$30,M573=phu!$I$31),"Cam Phú",""),IF(OR(M573=phu!$I$32,M573=phu!$I$33,M573=phu!$I$34,M573=phu!$I$35,M573=phu!$I$36,M573=phu!$I$37),"Cam Lộc",""),IF(OR(M573=phu!$I$38,M573=phu!$I$39,M573=phu!$I$40,M573=phu!$I$41,M573=phu!$I$42,M573=phu!$I$43,M573=phu!$I$44),"Cam Thuận",""),IF(OR(M573=phu!$I$45,M573=phu!$I$46,M573=phu!$I$47,M573=phu!$I$48,M573=phu!$I$49,M573=phu!$I$50,M573=phu!$I$51,M573=phu!$I$52,M573=phu!$I$53),"Cam Linh",""),IF(OR(M573=phu!$I$54,M573=phu!$I$55,M573=phu!$I$56,M573=phu!$I$57,M573=phu!$I$58,M573=phu!$I$59,M573=phu!$I$60,M573=phu!$I$61,M573=phu!$I$62),"Cam Lợi",""),IF(OR(M573=phu!$I$63,M573=phu!$I$64,M573=phu!$I$65,M573=phu!$I$66,M573=phu!$I$67,M573=phu!$I$68,M573=phu!$I$69,M573=phu!$I$70,M573=phu!$I$71),"Ba Ngòi",""),IF(OR(M573=phu!$I$72,M573=phu!$I$73,M573=phu!$I$74,M573=phu!$I$75,M573=phu!$I$76,M573=phu!$I$77,M573=phu!$I$78),"Cam Phước Đông",""),IF(OR(M573=phu!$I$79,M573=phu!$I$80,M573=phu!$I$81,M573=phu!$I$82,M573=phu!$I$83,M573=phu!$I$84),"Cam Thịnh Đông",""),IF(OR(M573=phu!$I$85,M573=phu!$I$86,M573=phu!$I$87,M573=phu!$I$88),"Cam Thịnh Tây",""),IF(OR(M573=phu!$I$89,M573=phu!$I$90),"Cam Lập",""),IF(OR(M573=phu!$I$91,M573=phu!$I$92,M573=phu!$I$93),"Cam Bình",""),IF(OR(M573=phu!$I$94,M573=phu!$I$95,M573=phu!$I$96,M573=phu!$I$97,M573=phu!$I$98,M573=phu!$I$99,M573=phu!$I$100),"Huyện khác",""),IF(OR(M573=phu!$I$101,M573=phu!$I$102),"Tỉnh khác",""))</f>
        <v/>
      </c>
      <c r="O573" s="829" t="str">
        <f t="shared" si="48"/>
        <v/>
      </c>
      <c r="P573" s="254"/>
      <c r="Q573" s="254"/>
      <c r="R573" s="254"/>
      <c r="S573" s="254"/>
      <c r="T573" s="254"/>
      <c r="U573" s="254"/>
      <c r="V573" s="254"/>
      <c r="W573" s="254"/>
      <c r="Y573" s="246" t="str">
        <f t="shared" si="49"/>
        <v/>
      </c>
      <c r="Z573" s="247" t="str">
        <f t="shared" si="53"/>
        <v/>
      </c>
      <c r="AA573" s="246" t="str">
        <f t="shared" si="50"/>
        <v/>
      </c>
    </row>
    <row r="574" spans="1:27" ht="18" customHeight="1" x14ac:dyDescent="0.25">
      <c r="A574" s="248" t="str">
        <f t="shared" si="51"/>
        <v/>
      </c>
      <c r="B574" s="249" t="str">
        <f t="shared" si="52"/>
        <v/>
      </c>
      <c r="C574" s="250"/>
      <c r="D574" s="251"/>
      <c r="E574" s="241"/>
      <c r="F574" s="252"/>
      <c r="G574" s="252"/>
      <c r="H574" s="253"/>
      <c r="I574" s="250"/>
      <c r="J574" s="250"/>
      <c r="K574" s="270"/>
      <c r="L574" s="250"/>
      <c r="M574" s="250"/>
      <c r="N574" s="540" t="str">
        <f>CONCATENATE(IF(OR(M574=phu!$I$1,M574=phu!$I$2,M574=phu!$I$3),"Cam Thành Nam",""),IF(OR(M574=phu!$I$4,M574=phu!$I$5,M574=phu!$I$6,M574=phu!$I$7,M574=phu!$I$8,M574=phu!$I$9,M574=phu!$I$10,M574=phu!$I$11,M574=phu!$I$12,M574=phu!$I$13,M574=phu!$I$14),"Cam Nghĩa",""),IF(OR(M574=phu!$I$15,M574=phu!$I$16,M574=phu!$I$17,M574=phu!$I$18,M574=phu!$I$19,M574=phu!$I$20,M574=phu!$I$21),"Cam Phúc Bắc",""),IF(OR(M574=phu!$I$22,M574=phu!$I$23,M574=phu!$I$24,M574=phu!$I$25),"Cam Phúc Nam",""),IF(OR(M574=phu!$I$26,M574=phu!$I$27,M574=phu!$I$28,M574=phu!$I$29,M574=phu!$I$30,M574=phu!$I$31),"Cam Phú",""),IF(OR(M574=phu!$I$32,M574=phu!$I$33,M574=phu!$I$34,M574=phu!$I$35,M574=phu!$I$36,M574=phu!$I$37),"Cam Lộc",""),IF(OR(M574=phu!$I$38,M574=phu!$I$39,M574=phu!$I$40,M574=phu!$I$41,M574=phu!$I$42,M574=phu!$I$43,M574=phu!$I$44),"Cam Thuận",""),IF(OR(M574=phu!$I$45,M574=phu!$I$46,M574=phu!$I$47,M574=phu!$I$48,M574=phu!$I$49,M574=phu!$I$50,M574=phu!$I$51,M574=phu!$I$52,M574=phu!$I$53),"Cam Linh",""),IF(OR(M574=phu!$I$54,M574=phu!$I$55,M574=phu!$I$56,M574=phu!$I$57,M574=phu!$I$58,M574=phu!$I$59,M574=phu!$I$60,M574=phu!$I$61,M574=phu!$I$62),"Cam Lợi",""),IF(OR(M574=phu!$I$63,M574=phu!$I$64,M574=phu!$I$65,M574=phu!$I$66,M574=phu!$I$67,M574=phu!$I$68,M574=phu!$I$69,M574=phu!$I$70,M574=phu!$I$71),"Ba Ngòi",""),IF(OR(M574=phu!$I$72,M574=phu!$I$73,M574=phu!$I$74,M574=phu!$I$75,M574=phu!$I$76,M574=phu!$I$77,M574=phu!$I$78),"Cam Phước Đông",""),IF(OR(M574=phu!$I$79,M574=phu!$I$80,M574=phu!$I$81,M574=phu!$I$82,M574=phu!$I$83,M574=phu!$I$84),"Cam Thịnh Đông",""),IF(OR(M574=phu!$I$85,M574=phu!$I$86,M574=phu!$I$87,M574=phu!$I$88),"Cam Thịnh Tây",""),IF(OR(M574=phu!$I$89,M574=phu!$I$90),"Cam Lập",""),IF(OR(M574=phu!$I$91,M574=phu!$I$92,M574=phu!$I$93),"Cam Bình",""),IF(OR(M574=phu!$I$94,M574=phu!$I$95,M574=phu!$I$96,M574=phu!$I$97,M574=phu!$I$98,M574=phu!$I$99,M574=phu!$I$100),"Huyện khác",""),IF(OR(M574=phu!$I$101,M574=phu!$I$102),"Tỉnh khác",""))</f>
        <v/>
      </c>
      <c r="O574" s="829" t="str">
        <f t="shared" si="48"/>
        <v/>
      </c>
      <c r="P574" s="254"/>
      <c r="Q574" s="254"/>
      <c r="R574" s="254"/>
      <c r="S574" s="254"/>
      <c r="T574" s="254"/>
      <c r="U574" s="254"/>
      <c r="V574" s="254"/>
      <c r="W574" s="254"/>
      <c r="Y574" s="246" t="str">
        <f t="shared" si="49"/>
        <v/>
      </c>
      <c r="Z574" s="247" t="str">
        <f t="shared" si="53"/>
        <v/>
      </c>
      <c r="AA574" s="246" t="str">
        <f t="shared" si="50"/>
        <v/>
      </c>
    </row>
    <row r="575" spans="1:27" ht="18" customHeight="1" x14ac:dyDescent="0.25">
      <c r="A575" s="248" t="str">
        <f t="shared" si="51"/>
        <v/>
      </c>
      <c r="B575" s="249" t="str">
        <f t="shared" si="52"/>
        <v/>
      </c>
      <c r="C575" s="250"/>
      <c r="D575" s="251"/>
      <c r="E575" s="241"/>
      <c r="F575" s="252"/>
      <c r="G575" s="252"/>
      <c r="H575" s="253"/>
      <c r="I575" s="250"/>
      <c r="J575" s="250"/>
      <c r="K575" s="270"/>
      <c r="L575" s="250"/>
      <c r="M575" s="250"/>
      <c r="N575" s="540" t="str">
        <f>CONCATENATE(IF(OR(M575=phu!$I$1,M575=phu!$I$2,M575=phu!$I$3),"Cam Thành Nam",""),IF(OR(M575=phu!$I$4,M575=phu!$I$5,M575=phu!$I$6,M575=phu!$I$7,M575=phu!$I$8,M575=phu!$I$9,M575=phu!$I$10,M575=phu!$I$11,M575=phu!$I$12,M575=phu!$I$13,M575=phu!$I$14),"Cam Nghĩa",""),IF(OR(M575=phu!$I$15,M575=phu!$I$16,M575=phu!$I$17,M575=phu!$I$18,M575=phu!$I$19,M575=phu!$I$20,M575=phu!$I$21),"Cam Phúc Bắc",""),IF(OR(M575=phu!$I$22,M575=phu!$I$23,M575=phu!$I$24,M575=phu!$I$25),"Cam Phúc Nam",""),IF(OR(M575=phu!$I$26,M575=phu!$I$27,M575=phu!$I$28,M575=phu!$I$29,M575=phu!$I$30,M575=phu!$I$31),"Cam Phú",""),IF(OR(M575=phu!$I$32,M575=phu!$I$33,M575=phu!$I$34,M575=phu!$I$35,M575=phu!$I$36,M575=phu!$I$37),"Cam Lộc",""),IF(OR(M575=phu!$I$38,M575=phu!$I$39,M575=phu!$I$40,M575=phu!$I$41,M575=phu!$I$42,M575=phu!$I$43,M575=phu!$I$44),"Cam Thuận",""),IF(OR(M575=phu!$I$45,M575=phu!$I$46,M575=phu!$I$47,M575=phu!$I$48,M575=phu!$I$49,M575=phu!$I$50,M575=phu!$I$51,M575=phu!$I$52,M575=phu!$I$53),"Cam Linh",""),IF(OR(M575=phu!$I$54,M575=phu!$I$55,M575=phu!$I$56,M575=phu!$I$57,M575=phu!$I$58,M575=phu!$I$59,M575=phu!$I$60,M575=phu!$I$61,M575=phu!$I$62),"Cam Lợi",""),IF(OR(M575=phu!$I$63,M575=phu!$I$64,M575=phu!$I$65,M575=phu!$I$66,M575=phu!$I$67,M575=phu!$I$68,M575=phu!$I$69,M575=phu!$I$70,M575=phu!$I$71),"Ba Ngòi",""),IF(OR(M575=phu!$I$72,M575=phu!$I$73,M575=phu!$I$74,M575=phu!$I$75,M575=phu!$I$76,M575=phu!$I$77,M575=phu!$I$78),"Cam Phước Đông",""),IF(OR(M575=phu!$I$79,M575=phu!$I$80,M575=phu!$I$81,M575=phu!$I$82,M575=phu!$I$83,M575=phu!$I$84),"Cam Thịnh Đông",""),IF(OR(M575=phu!$I$85,M575=phu!$I$86,M575=phu!$I$87,M575=phu!$I$88),"Cam Thịnh Tây",""),IF(OR(M575=phu!$I$89,M575=phu!$I$90),"Cam Lập",""),IF(OR(M575=phu!$I$91,M575=phu!$I$92,M575=phu!$I$93),"Cam Bình",""),IF(OR(M575=phu!$I$94,M575=phu!$I$95,M575=phu!$I$96,M575=phu!$I$97,M575=phu!$I$98,M575=phu!$I$99,M575=phu!$I$100),"Huyện khác",""),IF(OR(M575=phu!$I$101,M575=phu!$I$102),"Tỉnh khác",""))</f>
        <v/>
      </c>
      <c r="O575" s="829" t="str">
        <f t="shared" si="48"/>
        <v/>
      </c>
      <c r="P575" s="254"/>
      <c r="Q575" s="254"/>
      <c r="R575" s="254"/>
      <c r="S575" s="254"/>
      <c r="T575" s="254"/>
      <c r="U575" s="254"/>
      <c r="V575" s="254"/>
      <c r="W575" s="254"/>
      <c r="Y575" s="246" t="str">
        <f t="shared" si="49"/>
        <v/>
      </c>
      <c r="Z575" s="247" t="str">
        <f t="shared" si="53"/>
        <v/>
      </c>
      <c r="AA575" s="246" t="str">
        <f t="shared" si="50"/>
        <v/>
      </c>
    </row>
    <row r="576" spans="1:27" ht="18" customHeight="1" x14ac:dyDescent="0.25">
      <c r="A576" s="248" t="str">
        <f t="shared" si="51"/>
        <v/>
      </c>
      <c r="B576" s="249" t="str">
        <f t="shared" si="52"/>
        <v/>
      </c>
      <c r="C576" s="250"/>
      <c r="D576" s="251"/>
      <c r="E576" s="241"/>
      <c r="F576" s="252"/>
      <c r="G576" s="252"/>
      <c r="H576" s="253"/>
      <c r="I576" s="250"/>
      <c r="J576" s="250"/>
      <c r="K576" s="270"/>
      <c r="L576" s="250"/>
      <c r="M576" s="250"/>
      <c r="N576" s="540" t="str">
        <f>CONCATENATE(IF(OR(M576=phu!$I$1,M576=phu!$I$2,M576=phu!$I$3),"Cam Thành Nam",""),IF(OR(M576=phu!$I$4,M576=phu!$I$5,M576=phu!$I$6,M576=phu!$I$7,M576=phu!$I$8,M576=phu!$I$9,M576=phu!$I$10,M576=phu!$I$11,M576=phu!$I$12,M576=phu!$I$13,M576=phu!$I$14),"Cam Nghĩa",""),IF(OR(M576=phu!$I$15,M576=phu!$I$16,M576=phu!$I$17,M576=phu!$I$18,M576=phu!$I$19,M576=phu!$I$20,M576=phu!$I$21),"Cam Phúc Bắc",""),IF(OR(M576=phu!$I$22,M576=phu!$I$23,M576=phu!$I$24,M576=phu!$I$25),"Cam Phúc Nam",""),IF(OR(M576=phu!$I$26,M576=phu!$I$27,M576=phu!$I$28,M576=phu!$I$29,M576=phu!$I$30,M576=phu!$I$31),"Cam Phú",""),IF(OR(M576=phu!$I$32,M576=phu!$I$33,M576=phu!$I$34,M576=phu!$I$35,M576=phu!$I$36,M576=phu!$I$37),"Cam Lộc",""),IF(OR(M576=phu!$I$38,M576=phu!$I$39,M576=phu!$I$40,M576=phu!$I$41,M576=phu!$I$42,M576=phu!$I$43,M576=phu!$I$44),"Cam Thuận",""),IF(OR(M576=phu!$I$45,M576=phu!$I$46,M576=phu!$I$47,M576=phu!$I$48,M576=phu!$I$49,M576=phu!$I$50,M576=phu!$I$51,M576=phu!$I$52,M576=phu!$I$53),"Cam Linh",""),IF(OR(M576=phu!$I$54,M576=phu!$I$55,M576=phu!$I$56,M576=phu!$I$57,M576=phu!$I$58,M576=phu!$I$59,M576=phu!$I$60,M576=phu!$I$61,M576=phu!$I$62),"Cam Lợi",""),IF(OR(M576=phu!$I$63,M576=phu!$I$64,M576=phu!$I$65,M576=phu!$I$66,M576=phu!$I$67,M576=phu!$I$68,M576=phu!$I$69,M576=phu!$I$70,M576=phu!$I$71),"Ba Ngòi",""),IF(OR(M576=phu!$I$72,M576=phu!$I$73,M576=phu!$I$74,M576=phu!$I$75,M576=phu!$I$76,M576=phu!$I$77,M576=phu!$I$78),"Cam Phước Đông",""),IF(OR(M576=phu!$I$79,M576=phu!$I$80,M576=phu!$I$81,M576=phu!$I$82,M576=phu!$I$83,M576=phu!$I$84),"Cam Thịnh Đông",""),IF(OR(M576=phu!$I$85,M576=phu!$I$86,M576=phu!$I$87,M576=phu!$I$88),"Cam Thịnh Tây",""),IF(OR(M576=phu!$I$89,M576=phu!$I$90),"Cam Lập",""),IF(OR(M576=phu!$I$91,M576=phu!$I$92,M576=phu!$I$93),"Cam Bình",""),IF(OR(M576=phu!$I$94,M576=phu!$I$95,M576=phu!$I$96,M576=phu!$I$97,M576=phu!$I$98,M576=phu!$I$99,M576=phu!$I$100),"Huyện khác",""),IF(OR(M576=phu!$I$101,M576=phu!$I$102),"Tỉnh khác",""))</f>
        <v/>
      </c>
      <c r="O576" s="829" t="str">
        <f t="shared" si="48"/>
        <v/>
      </c>
      <c r="P576" s="254"/>
      <c r="Q576" s="254"/>
      <c r="R576" s="254"/>
      <c r="S576" s="254"/>
      <c r="T576" s="254"/>
      <c r="U576" s="254"/>
      <c r="V576" s="254"/>
      <c r="W576" s="254"/>
      <c r="Y576" s="246" t="str">
        <f t="shared" si="49"/>
        <v/>
      </c>
      <c r="Z576" s="247" t="str">
        <f t="shared" si="53"/>
        <v/>
      </c>
      <c r="AA576" s="246" t="str">
        <f t="shared" si="50"/>
        <v/>
      </c>
    </row>
    <row r="577" spans="1:27" ht="18" customHeight="1" x14ac:dyDescent="0.25">
      <c r="A577" s="248" t="str">
        <f t="shared" si="51"/>
        <v/>
      </c>
      <c r="B577" s="249" t="str">
        <f t="shared" si="52"/>
        <v/>
      </c>
      <c r="C577" s="250"/>
      <c r="D577" s="251"/>
      <c r="E577" s="241"/>
      <c r="F577" s="252"/>
      <c r="G577" s="252"/>
      <c r="H577" s="253"/>
      <c r="I577" s="250"/>
      <c r="J577" s="250"/>
      <c r="K577" s="270"/>
      <c r="L577" s="250"/>
      <c r="M577" s="250"/>
      <c r="N577" s="540" t="str">
        <f>CONCATENATE(IF(OR(M577=phu!$I$1,M577=phu!$I$2,M577=phu!$I$3),"Cam Thành Nam",""),IF(OR(M577=phu!$I$4,M577=phu!$I$5,M577=phu!$I$6,M577=phu!$I$7,M577=phu!$I$8,M577=phu!$I$9,M577=phu!$I$10,M577=phu!$I$11,M577=phu!$I$12,M577=phu!$I$13,M577=phu!$I$14),"Cam Nghĩa",""),IF(OR(M577=phu!$I$15,M577=phu!$I$16,M577=phu!$I$17,M577=phu!$I$18,M577=phu!$I$19,M577=phu!$I$20,M577=phu!$I$21),"Cam Phúc Bắc",""),IF(OR(M577=phu!$I$22,M577=phu!$I$23,M577=phu!$I$24,M577=phu!$I$25),"Cam Phúc Nam",""),IF(OR(M577=phu!$I$26,M577=phu!$I$27,M577=phu!$I$28,M577=phu!$I$29,M577=phu!$I$30,M577=phu!$I$31),"Cam Phú",""),IF(OR(M577=phu!$I$32,M577=phu!$I$33,M577=phu!$I$34,M577=phu!$I$35,M577=phu!$I$36,M577=phu!$I$37),"Cam Lộc",""),IF(OR(M577=phu!$I$38,M577=phu!$I$39,M577=phu!$I$40,M577=phu!$I$41,M577=phu!$I$42,M577=phu!$I$43,M577=phu!$I$44),"Cam Thuận",""),IF(OR(M577=phu!$I$45,M577=phu!$I$46,M577=phu!$I$47,M577=phu!$I$48,M577=phu!$I$49,M577=phu!$I$50,M577=phu!$I$51,M577=phu!$I$52,M577=phu!$I$53),"Cam Linh",""),IF(OR(M577=phu!$I$54,M577=phu!$I$55,M577=phu!$I$56,M577=phu!$I$57,M577=phu!$I$58,M577=phu!$I$59,M577=phu!$I$60,M577=phu!$I$61,M577=phu!$I$62),"Cam Lợi",""),IF(OR(M577=phu!$I$63,M577=phu!$I$64,M577=phu!$I$65,M577=phu!$I$66,M577=phu!$I$67,M577=phu!$I$68,M577=phu!$I$69,M577=phu!$I$70,M577=phu!$I$71),"Ba Ngòi",""),IF(OR(M577=phu!$I$72,M577=phu!$I$73,M577=phu!$I$74,M577=phu!$I$75,M577=phu!$I$76,M577=phu!$I$77,M577=phu!$I$78),"Cam Phước Đông",""),IF(OR(M577=phu!$I$79,M577=phu!$I$80,M577=phu!$I$81,M577=phu!$I$82,M577=phu!$I$83,M577=phu!$I$84),"Cam Thịnh Đông",""),IF(OR(M577=phu!$I$85,M577=phu!$I$86,M577=phu!$I$87,M577=phu!$I$88),"Cam Thịnh Tây",""),IF(OR(M577=phu!$I$89,M577=phu!$I$90),"Cam Lập",""),IF(OR(M577=phu!$I$91,M577=phu!$I$92,M577=phu!$I$93),"Cam Bình",""),IF(OR(M577=phu!$I$94,M577=phu!$I$95,M577=phu!$I$96,M577=phu!$I$97,M577=phu!$I$98,M577=phu!$I$99,M577=phu!$I$100),"Huyện khác",""),IF(OR(M577=phu!$I$101,M577=phu!$I$102),"Tỉnh khác",""))</f>
        <v/>
      </c>
      <c r="O577" s="829" t="str">
        <f t="shared" si="48"/>
        <v/>
      </c>
      <c r="P577" s="254"/>
      <c r="Q577" s="254"/>
      <c r="R577" s="254"/>
      <c r="S577" s="254"/>
      <c r="T577" s="254"/>
      <c r="U577" s="254"/>
      <c r="V577" s="254"/>
      <c r="W577" s="254"/>
      <c r="Y577" s="246" t="str">
        <f t="shared" si="49"/>
        <v/>
      </c>
      <c r="Z577" s="247" t="str">
        <f t="shared" si="53"/>
        <v/>
      </c>
      <c r="AA577" s="246" t="str">
        <f t="shared" si="50"/>
        <v/>
      </c>
    </row>
    <row r="578" spans="1:27" ht="18" customHeight="1" x14ac:dyDescent="0.25">
      <c r="A578" s="248" t="str">
        <f t="shared" si="51"/>
        <v/>
      </c>
      <c r="B578" s="249" t="str">
        <f t="shared" si="52"/>
        <v/>
      </c>
      <c r="C578" s="250"/>
      <c r="D578" s="251"/>
      <c r="E578" s="241"/>
      <c r="F578" s="252"/>
      <c r="G578" s="252"/>
      <c r="H578" s="253"/>
      <c r="I578" s="250"/>
      <c r="J578" s="250"/>
      <c r="K578" s="270"/>
      <c r="L578" s="250"/>
      <c r="M578" s="250"/>
      <c r="N578" s="540" t="str">
        <f>CONCATENATE(IF(OR(M578=phu!$I$1,M578=phu!$I$2,M578=phu!$I$3),"Cam Thành Nam",""),IF(OR(M578=phu!$I$4,M578=phu!$I$5,M578=phu!$I$6,M578=phu!$I$7,M578=phu!$I$8,M578=phu!$I$9,M578=phu!$I$10,M578=phu!$I$11,M578=phu!$I$12,M578=phu!$I$13,M578=phu!$I$14),"Cam Nghĩa",""),IF(OR(M578=phu!$I$15,M578=phu!$I$16,M578=phu!$I$17,M578=phu!$I$18,M578=phu!$I$19,M578=phu!$I$20,M578=phu!$I$21),"Cam Phúc Bắc",""),IF(OR(M578=phu!$I$22,M578=phu!$I$23,M578=phu!$I$24,M578=phu!$I$25),"Cam Phúc Nam",""),IF(OR(M578=phu!$I$26,M578=phu!$I$27,M578=phu!$I$28,M578=phu!$I$29,M578=phu!$I$30,M578=phu!$I$31),"Cam Phú",""),IF(OR(M578=phu!$I$32,M578=phu!$I$33,M578=phu!$I$34,M578=phu!$I$35,M578=phu!$I$36,M578=phu!$I$37),"Cam Lộc",""),IF(OR(M578=phu!$I$38,M578=phu!$I$39,M578=phu!$I$40,M578=phu!$I$41,M578=phu!$I$42,M578=phu!$I$43,M578=phu!$I$44),"Cam Thuận",""),IF(OR(M578=phu!$I$45,M578=phu!$I$46,M578=phu!$I$47,M578=phu!$I$48,M578=phu!$I$49,M578=phu!$I$50,M578=phu!$I$51,M578=phu!$I$52,M578=phu!$I$53),"Cam Linh",""),IF(OR(M578=phu!$I$54,M578=phu!$I$55,M578=phu!$I$56,M578=phu!$I$57,M578=phu!$I$58,M578=phu!$I$59,M578=phu!$I$60,M578=phu!$I$61,M578=phu!$I$62),"Cam Lợi",""),IF(OR(M578=phu!$I$63,M578=phu!$I$64,M578=phu!$I$65,M578=phu!$I$66,M578=phu!$I$67,M578=phu!$I$68,M578=phu!$I$69,M578=phu!$I$70,M578=phu!$I$71),"Ba Ngòi",""),IF(OR(M578=phu!$I$72,M578=phu!$I$73,M578=phu!$I$74,M578=phu!$I$75,M578=phu!$I$76,M578=phu!$I$77,M578=phu!$I$78),"Cam Phước Đông",""),IF(OR(M578=phu!$I$79,M578=phu!$I$80,M578=phu!$I$81,M578=phu!$I$82,M578=phu!$I$83,M578=phu!$I$84),"Cam Thịnh Đông",""),IF(OR(M578=phu!$I$85,M578=phu!$I$86,M578=phu!$I$87,M578=phu!$I$88),"Cam Thịnh Tây",""),IF(OR(M578=phu!$I$89,M578=phu!$I$90),"Cam Lập",""),IF(OR(M578=phu!$I$91,M578=phu!$I$92,M578=phu!$I$93),"Cam Bình",""),IF(OR(M578=phu!$I$94,M578=phu!$I$95,M578=phu!$I$96,M578=phu!$I$97,M578=phu!$I$98,M578=phu!$I$99,M578=phu!$I$100),"Huyện khác",""),IF(OR(M578=phu!$I$101,M578=phu!$I$102),"Tỉnh khác",""))</f>
        <v/>
      </c>
      <c r="O578" s="829" t="str">
        <f t="shared" si="48"/>
        <v/>
      </c>
      <c r="P578" s="254"/>
      <c r="Q578" s="254"/>
      <c r="R578" s="254"/>
      <c r="S578" s="254"/>
      <c r="T578" s="254"/>
      <c r="U578" s="254"/>
      <c r="V578" s="254"/>
      <c r="W578" s="254"/>
      <c r="Y578" s="246" t="str">
        <f t="shared" si="49"/>
        <v/>
      </c>
      <c r="Z578" s="247" t="str">
        <f t="shared" si="53"/>
        <v/>
      </c>
      <c r="AA578" s="246" t="str">
        <f t="shared" si="50"/>
        <v/>
      </c>
    </row>
    <row r="579" spans="1:27" ht="18" customHeight="1" x14ac:dyDescent="0.25">
      <c r="A579" s="248" t="str">
        <f t="shared" si="51"/>
        <v/>
      </c>
      <c r="B579" s="249" t="str">
        <f t="shared" si="52"/>
        <v/>
      </c>
      <c r="C579" s="250"/>
      <c r="D579" s="251"/>
      <c r="E579" s="241"/>
      <c r="F579" s="252"/>
      <c r="G579" s="252"/>
      <c r="H579" s="253"/>
      <c r="I579" s="250"/>
      <c r="J579" s="250"/>
      <c r="K579" s="270"/>
      <c r="L579" s="250"/>
      <c r="M579" s="250"/>
      <c r="N579" s="540" t="str">
        <f>CONCATENATE(IF(OR(M579=phu!$I$1,M579=phu!$I$2,M579=phu!$I$3),"Cam Thành Nam",""),IF(OR(M579=phu!$I$4,M579=phu!$I$5,M579=phu!$I$6,M579=phu!$I$7,M579=phu!$I$8,M579=phu!$I$9,M579=phu!$I$10,M579=phu!$I$11,M579=phu!$I$12,M579=phu!$I$13,M579=phu!$I$14),"Cam Nghĩa",""),IF(OR(M579=phu!$I$15,M579=phu!$I$16,M579=phu!$I$17,M579=phu!$I$18,M579=phu!$I$19,M579=phu!$I$20,M579=phu!$I$21),"Cam Phúc Bắc",""),IF(OR(M579=phu!$I$22,M579=phu!$I$23,M579=phu!$I$24,M579=phu!$I$25),"Cam Phúc Nam",""),IF(OR(M579=phu!$I$26,M579=phu!$I$27,M579=phu!$I$28,M579=phu!$I$29,M579=phu!$I$30,M579=phu!$I$31),"Cam Phú",""),IF(OR(M579=phu!$I$32,M579=phu!$I$33,M579=phu!$I$34,M579=phu!$I$35,M579=phu!$I$36,M579=phu!$I$37),"Cam Lộc",""),IF(OR(M579=phu!$I$38,M579=phu!$I$39,M579=phu!$I$40,M579=phu!$I$41,M579=phu!$I$42,M579=phu!$I$43,M579=phu!$I$44),"Cam Thuận",""),IF(OR(M579=phu!$I$45,M579=phu!$I$46,M579=phu!$I$47,M579=phu!$I$48,M579=phu!$I$49,M579=phu!$I$50,M579=phu!$I$51,M579=phu!$I$52,M579=phu!$I$53),"Cam Linh",""),IF(OR(M579=phu!$I$54,M579=phu!$I$55,M579=phu!$I$56,M579=phu!$I$57,M579=phu!$I$58,M579=phu!$I$59,M579=phu!$I$60,M579=phu!$I$61,M579=phu!$I$62),"Cam Lợi",""),IF(OR(M579=phu!$I$63,M579=phu!$I$64,M579=phu!$I$65,M579=phu!$I$66,M579=phu!$I$67,M579=phu!$I$68,M579=phu!$I$69,M579=phu!$I$70,M579=phu!$I$71),"Ba Ngòi",""),IF(OR(M579=phu!$I$72,M579=phu!$I$73,M579=phu!$I$74,M579=phu!$I$75,M579=phu!$I$76,M579=phu!$I$77,M579=phu!$I$78),"Cam Phước Đông",""),IF(OR(M579=phu!$I$79,M579=phu!$I$80,M579=phu!$I$81,M579=phu!$I$82,M579=phu!$I$83,M579=phu!$I$84),"Cam Thịnh Đông",""),IF(OR(M579=phu!$I$85,M579=phu!$I$86,M579=phu!$I$87,M579=phu!$I$88),"Cam Thịnh Tây",""),IF(OR(M579=phu!$I$89,M579=phu!$I$90),"Cam Lập",""),IF(OR(M579=phu!$I$91,M579=phu!$I$92,M579=phu!$I$93),"Cam Bình",""),IF(OR(M579=phu!$I$94,M579=phu!$I$95,M579=phu!$I$96,M579=phu!$I$97,M579=phu!$I$98,M579=phu!$I$99,M579=phu!$I$100),"Huyện khác",""),IF(OR(M579=phu!$I$101,M579=phu!$I$102),"Tỉnh khác",""))</f>
        <v/>
      </c>
      <c r="O579" s="829" t="str">
        <f t="shared" si="48"/>
        <v/>
      </c>
      <c r="P579" s="254"/>
      <c r="Q579" s="254"/>
      <c r="R579" s="254"/>
      <c r="S579" s="254"/>
      <c r="T579" s="254"/>
      <c r="U579" s="254"/>
      <c r="V579" s="254"/>
      <c r="W579" s="254"/>
      <c r="Y579" s="246" t="str">
        <f t="shared" si="49"/>
        <v/>
      </c>
      <c r="Z579" s="247" t="str">
        <f t="shared" si="53"/>
        <v/>
      </c>
      <c r="AA579" s="246" t="str">
        <f t="shared" si="50"/>
        <v/>
      </c>
    </row>
    <row r="580" spans="1:27" ht="18" customHeight="1" x14ac:dyDescent="0.25">
      <c r="A580" s="248" t="str">
        <f t="shared" si="51"/>
        <v/>
      </c>
      <c r="B580" s="249" t="str">
        <f t="shared" si="52"/>
        <v/>
      </c>
      <c r="C580" s="250"/>
      <c r="D580" s="251"/>
      <c r="E580" s="241"/>
      <c r="F580" s="252"/>
      <c r="G580" s="252"/>
      <c r="H580" s="253"/>
      <c r="I580" s="250"/>
      <c r="J580" s="250"/>
      <c r="K580" s="270"/>
      <c r="L580" s="250"/>
      <c r="M580" s="250"/>
      <c r="N580" s="540" t="str">
        <f>CONCATENATE(IF(OR(M580=phu!$I$1,M580=phu!$I$2,M580=phu!$I$3),"Cam Thành Nam",""),IF(OR(M580=phu!$I$4,M580=phu!$I$5,M580=phu!$I$6,M580=phu!$I$7,M580=phu!$I$8,M580=phu!$I$9,M580=phu!$I$10,M580=phu!$I$11,M580=phu!$I$12,M580=phu!$I$13,M580=phu!$I$14),"Cam Nghĩa",""),IF(OR(M580=phu!$I$15,M580=phu!$I$16,M580=phu!$I$17,M580=phu!$I$18,M580=phu!$I$19,M580=phu!$I$20,M580=phu!$I$21),"Cam Phúc Bắc",""),IF(OR(M580=phu!$I$22,M580=phu!$I$23,M580=phu!$I$24,M580=phu!$I$25),"Cam Phúc Nam",""),IF(OR(M580=phu!$I$26,M580=phu!$I$27,M580=phu!$I$28,M580=phu!$I$29,M580=phu!$I$30,M580=phu!$I$31),"Cam Phú",""),IF(OR(M580=phu!$I$32,M580=phu!$I$33,M580=phu!$I$34,M580=phu!$I$35,M580=phu!$I$36,M580=phu!$I$37),"Cam Lộc",""),IF(OR(M580=phu!$I$38,M580=phu!$I$39,M580=phu!$I$40,M580=phu!$I$41,M580=phu!$I$42,M580=phu!$I$43,M580=phu!$I$44),"Cam Thuận",""),IF(OR(M580=phu!$I$45,M580=phu!$I$46,M580=phu!$I$47,M580=phu!$I$48,M580=phu!$I$49,M580=phu!$I$50,M580=phu!$I$51,M580=phu!$I$52,M580=phu!$I$53),"Cam Linh",""),IF(OR(M580=phu!$I$54,M580=phu!$I$55,M580=phu!$I$56,M580=phu!$I$57,M580=phu!$I$58,M580=phu!$I$59,M580=phu!$I$60,M580=phu!$I$61,M580=phu!$I$62),"Cam Lợi",""),IF(OR(M580=phu!$I$63,M580=phu!$I$64,M580=phu!$I$65,M580=phu!$I$66,M580=phu!$I$67,M580=phu!$I$68,M580=phu!$I$69,M580=phu!$I$70,M580=phu!$I$71),"Ba Ngòi",""),IF(OR(M580=phu!$I$72,M580=phu!$I$73,M580=phu!$I$74,M580=phu!$I$75,M580=phu!$I$76,M580=phu!$I$77,M580=phu!$I$78),"Cam Phước Đông",""),IF(OR(M580=phu!$I$79,M580=phu!$I$80,M580=phu!$I$81,M580=phu!$I$82,M580=phu!$I$83,M580=phu!$I$84),"Cam Thịnh Đông",""),IF(OR(M580=phu!$I$85,M580=phu!$I$86,M580=phu!$I$87,M580=phu!$I$88),"Cam Thịnh Tây",""),IF(OR(M580=phu!$I$89,M580=phu!$I$90),"Cam Lập",""),IF(OR(M580=phu!$I$91,M580=phu!$I$92,M580=phu!$I$93),"Cam Bình",""),IF(OR(M580=phu!$I$94,M580=phu!$I$95,M580=phu!$I$96,M580=phu!$I$97,M580=phu!$I$98,M580=phu!$I$99,M580=phu!$I$100),"Huyện khác",""),IF(OR(M580=phu!$I$101,M580=phu!$I$102),"Tỉnh khác",""))</f>
        <v/>
      </c>
      <c r="O580" s="829" t="str">
        <f t="shared" si="48"/>
        <v/>
      </c>
      <c r="P580" s="254"/>
      <c r="Q580" s="254"/>
      <c r="R580" s="254"/>
      <c r="S580" s="254"/>
      <c r="T580" s="254"/>
      <c r="U580" s="254"/>
      <c r="V580" s="254"/>
      <c r="W580" s="254"/>
      <c r="Y580" s="246" t="str">
        <f t="shared" si="49"/>
        <v/>
      </c>
      <c r="Z580" s="247" t="str">
        <f t="shared" si="53"/>
        <v/>
      </c>
      <c r="AA580" s="246" t="str">
        <f t="shared" si="50"/>
        <v/>
      </c>
    </row>
    <row r="581" spans="1:27" ht="18" customHeight="1" x14ac:dyDescent="0.25">
      <c r="A581" s="248" t="str">
        <f t="shared" si="51"/>
        <v/>
      </c>
      <c r="B581" s="249" t="str">
        <f t="shared" si="52"/>
        <v/>
      </c>
      <c r="C581" s="250"/>
      <c r="D581" s="251"/>
      <c r="E581" s="241"/>
      <c r="F581" s="252"/>
      <c r="G581" s="252"/>
      <c r="H581" s="253"/>
      <c r="I581" s="250"/>
      <c r="J581" s="250"/>
      <c r="K581" s="270"/>
      <c r="L581" s="250"/>
      <c r="M581" s="250"/>
      <c r="N581" s="540" t="str">
        <f>CONCATENATE(IF(OR(M581=phu!$I$1,M581=phu!$I$2,M581=phu!$I$3),"Cam Thành Nam",""),IF(OR(M581=phu!$I$4,M581=phu!$I$5,M581=phu!$I$6,M581=phu!$I$7,M581=phu!$I$8,M581=phu!$I$9,M581=phu!$I$10,M581=phu!$I$11,M581=phu!$I$12,M581=phu!$I$13,M581=phu!$I$14),"Cam Nghĩa",""),IF(OR(M581=phu!$I$15,M581=phu!$I$16,M581=phu!$I$17,M581=phu!$I$18,M581=phu!$I$19,M581=phu!$I$20,M581=phu!$I$21),"Cam Phúc Bắc",""),IF(OR(M581=phu!$I$22,M581=phu!$I$23,M581=phu!$I$24,M581=phu!$I$25),"Cam Phúc Nam",""),IF(OR(M581=phu!$I$26,M581=phu!$I$27,M581=phu!$I$28,M581=phu!$I$29,M581=phu!$I$30,M581=phu!$I$31),"Cam Phú",""),IF(OR(M581=phu!$I$32,M581=phu!$I$33,M581=phu!$I$34,M581=phu!$I$35,M581=phu!$I$36,M581=phu!$I$37),"Cam Lộc",""),IF(OR(M581=phu!$I$38,M581=phu!$I$39,M581=phu!$I$40,M581=phu!$I$41,M581=phu!$I$42,M581=phu!$I$43,M581=phu!$I$44),"Cam Thuận",""),IF(OR(M581=phu!$I$45,M581=phu!$I$46,M581=phu!$I$47,M581=phu!$I$48,M581=phu!$I$49,M581=phu!$I$50,M581=phu!$I$51,M581=phu!$I$52,M581=phu!$I$53),"Cam Linh",""),IF(OR(M581=phu!$I$54,M581=phu!$I$55,M581=phu!$I$56,M581=phu!$I$57,M581=phu!$I$58,M581=phu!$I$59,M581=phu!$I$60,M581=phu!$I$61,M581=phu!$I$62),"Cam Lợi",""),IF(OR(M581=phu!$I$63,M581=phu!$I$64,M581=phu!$I$65,M581=phu!$I$66,M581=phu!$I$67,M581=phu!$I$68,M581=phu!$I$69,M581=phu!$I$70,M581=phu!$I$71),"Ba Ngòi",""),IF(OR(M581=phu!$I$72,M581=phu!$I$73,M581=phu!$I$74,M581=phu!$I$75,M581=phu!$I$76,M581=phu!$I$77,M581=phu!$I$78),"Cam Phước Đông",""),IF(OR(M581=phu!$I$79,M581=phu!$I$80,M581=phu!$I$81,M581=phu!$I$82,M581=phu!$I$83,M581=phu!$I$84),"Cam Thịnh Đông",""),IF(OR(M581=phu!$I$85,M581=phu!$I$86,M581=phu!$I$87,M581=phu!$I$88),"Cam Thịnh Tây",""),IF(OR(M581=phu!$I$89,M581=phu!$I$90),"Cam Lập",""),IF(OR(M581=phu!$I$91,M581=phu!$I$92,M581=phu!$I$93),"Cam Bình",""),IF(OR(M581=phu!$I$94,M581=phu!$I$95,M581=phu!$I$96,M581=phu!$I$97,M581=phu!$I$98,M581=phu!$I$99,M581=phu!$I$100),"Huyện khác",""),IF(OR(M581=phu!$I$101,M581=phu!$I$102),"Tỉnh khác",""))</f>
        <v/>
      </c>
      <c r="O581" s="829" t="str">
        <f t="shared" si="48"/>
        <v/>
      </c>
      <c r="P581" s="254"/>
      <c r="Q581" s="254"/>
      <c r="R581" s="254"/>
      <c r="S581" s="254"/>
      <c r="T581" s="254"/>
      <c r="U581" s="254"/>
      <c r="V581" s="254"/>
      <c r="W581" s="254"/>
      <c r="Y581" s="246" t="str">
        <f t="shared" si="49"/>
        <v/>
      </c>
      <c r="Z581" s="247" t="str">
        <f t="shared" si="53"/>
        <v/>
      </c>
      <c r="AA581" s="246" t="str">
        <f t="shared" si="50"/>
        <v/>
      </c>
    </row>
    <row r="582" spans="1:27" ht="18" customHeight="1" x14ac:dyDescent="0.25">
      <c r="A582" s="248" t="str">
        <f t="shared" si="51"/>
        <v/>
      </c>
      <c r="B582" s="249" t="str">
        <f t="shared" si="52"/>
        <v/>
      </c>
      <c r="C582" s="250"/>
      <c r="D582" s="251"/>
      <c r="E582" s="241"/>
      <c r="F582" s="252"/>
      <c r="G582" s="252"/>
      <c r="H582" s="253"/>
      <c r="I582" s="250"/>
      <c r="J582" s="250"/>
      <c r="K582" s="270"/>
      <c r="L582" s="250"/>
      <c r="M582" s="250"/>
      <c r="N582" s="540" t="str">
        <f>CONCATENATE(IF(OR(M582=phu!$I$1,M582=phu!$I$2,M582=phu!$I$3),"Cam Thành Nam",""),IF(OR(M582=phu!$I$4,M582=phu!$I$5,M582=phu!$I$6,M582=phu!$I$7,M582=phu!$I$8,M582=phu!$I$9,M582=phu!$I$10,M582=phu!$I$11,M582=phu!$I$12,M582=phu!$I$13,M582=phu!$I$14),"Cam Nghĩa",""),IF(OR(M582=phu!$I$15,M582=phu!$I$16,M582=phu!$I$17,M582=phu!$I$18,M582=phu!$I$19,M582=phu!$I$20,M582=phu!$I$21),"Cam Phúc Bắc",""),IF(OR(M582=phu!$I$22,M582=phu!$I$23,M582=phu!$I$24,M582=phu!$I$25),"Cam Phúc Nam",""),IF(OR(M582=phu!$I$26,M582=phu!$I$27,M582=phu!$I$28,M582=phu!$I$29,M582=phu!$I$30,M582=phu!$I$31),"Cam Phú",""),IF(OR(M582=phu!$I$32,M582=phu!$I$33,M582=phu!$I$34,M582=phu!$I$35,M582=phu!$I$36,M582=phu!$I$37),"Cam Lộc",""),IF(OR(M582=phu!$I$38,M582=phu!$I$39,M582=phu!$I$40,M582=phu!$I$41,M582=phu!$I$42,M582=phu!$I$43,M582=phu!$I$44),"Cam Thuận",""),IF(OR(M582=phu!$I$45,M582=phu!$I$46,M582=phu!$I$47,M582=phu!$I$48,M582=phu!$I$49,M582=phu!$I$50,M582=phu!$I$51,M582=phu!$I$52,M582=phu!$I$53),"Cam Linh",""),IF(OR(M582=phu!$I$54,M582=phu!$I$55,M582=phu!$I$56,M582=phu!$I$57,M582=phu!$I$58,M582=phu!$I$59,M582=phu!$I$60,M582=phu!$I$61,M582=phu!$I$62),"Cam Lợi",""),IF(OR(M582=phu!$I$63,M582=phu!$I$64,M582=phu!$I$65,M582=phu!$I$66,M582=phu!$I$67,M582=phu!$I$68,M582=phu!$I$69,M582=phu!$I$70,M582=phu!$I$71),"Ba Ngòi",""),IF(OR(M582=phu!$I$72,M582=phu!$I$73,M582=phu!$I$74,M582=phu!$I$75,M582=phu!$I$76,M582=phu!$I$77,M582=phu!$I$78),"Cam Phước Đông",""),IF(OR(M582=phu!$I$79,M582=phu!$I$80,M582=phu!$I$81,M582=phu!$I$82,M582=phu!$I$83,M582=phu!$I$84),"Cam Thịnh Đông",""),IF(OR(M582=phu!$I$85,M582=phu!$I$86,M582=phu!$I$87,M582=phu!$I$88),"Cam Thịnh Tây",""),IF(OR(M582=phu!$I$89,M582=phu!$I$90),"Cam Lập",""),IF(OR(M582=phu!$I$91,M582=phu!$I$92,M582=phu!$I$93),"Cam Bình",""),IF(OR(M582=phu!$I$94,M582=phu!$I$95,M582=phu!$I$96,M582=phu!$I$97,M582=phu!$I$98,M582=phu!$I$99,M582=phu!$I$100),"Huyện khác",""),IF(OR(M582=phu!$I$101,M582=phu!$I$102),"Tỉnh khác",""))</f>
        <v/>
      </c>
      <c r="O582" s="829" t="str">
        <f t="shared" si="48"/>
        <v/>
      </c>
      <c r="P582" s="254"/>
      <c r="Q582" s="254"/>
      <c r="R582" s="254"/>
      <c r="S582" s="254"/>
      <c r="T582" s="254"/>
      <c r="U582" s="254"/>
      <c r="V582" s="254"/>
      <c r="W582" s="254"/>
      <c r="Y582" s="246" t="str">
        <f t="shared" si="49"/>
        <v/>
      </c>
      <c r="Z582" s="247" t="str">
        <f t="shared" si="53"/>
        <v/>
      </c>
      <c r="AA582" s="246" t="str">
        <f t="shared" si="50"/>
        <v/>
      </c>
    </row>
    <row r="583" spans="1:27" ht="18" customHeight="1" x14ac:dyDescent="0.25">
      <c r="A583" s="248" t="str">
        <f t="shared" si="51"/>
        <v/>
      </c>
      <c r="B583" s="249" t="str">
        <f t="shared" si="52"/>
        <v/>
      </c>
      <c r="C583" s="250"/>
      <c r="D583" s="251"/>
      <c r="E583" s="241"/>
      <c r="F583" s="252"/>
      <c r="G583" s="252"/>
      <c r="H583" s="253"/>
      <c r="I583" s="250"/>
      <c r="J583" s="250"/>
      <c r="K583" s="270"/>
      <c r="L583" s="250"/>
      <c r="M583" s="250"/>
      <c r="N583" s="540" t="str">
        <f>CONCATENATE(IF(OR(M583=phu!$I$1,M583=phu!$I$2,M583=phu!$I$3),"Cam Thành Nam",""),IF(OR(M583=phu!$I$4,M583=phu!$I$5,M583=phu!$I$6,M583=phu!$I$7,M583=phu!$I$8,M583=phu!$I$9,M583=phu!$I$10,M583=phu!$I$11,M583=phu!$I$12,M583=phu!$I$13,M583=phu!$I$14),"Cam Nghĩa",""),IF(OR(M583=phu!$I$15,M583=phu!$I$16,M583=phu!$I$17,M583=phu!$I$18,M583=phu!$I$19,M583=phu!$I$20,M583=phu!$I$21),"Cam Phúc Bắc",""),IF(OR(M583=phu!$I$22,M583=phu!$I$23,M583=phu!$I$24,M583=phu!$I$25),"Cam Phúc Nam",""),IF(OR(M583=phu!$I$26,M583=phu!$I$27,M583=phu!$I$28,M583=phu!$I$29,M583=phu!$I$30,M583=phu!$I$31),"Cam Phú",""),IF(OR(M583=phu!$I$32,M583=phu!$I$33,M583=phu!$I$34,M583=phu!$I$35,M583=phu!$I$36,M583=phu!$I$37),"Cam Lộc",""),IF(OR(M583=phu!$I$38,M583=phu!$I$39,M583=phu!$I$40,M583=phu!$I$41,M583=phu!$I$42,M583=phu!$I$43,M583=phu!$I$44),"Cam Thuận",""),IF(OR(M583=phu!$I$45,M583=phu!$I$46,M583=phu!$I$47,M583=phu!$I$48,M583=phu!$I$49,M583=phu!$I$50,M583=phu!$I$51,M583=phu!$I$52,M583=phu!$I$53),"Cam Linh",""),IF(OR(M583=phu!$I$54,M583=phu!$I$55,M583=phu!$I$56,M583=phu!$I$57,M583=phu!$I$58,M583=phu!$I$59,M583=phu!$I$60,M583=phu!$I$61,M583=phu!$I$62),"Cam Lợi",""),IF(OR(M583=phu!$I$63,M583=phu!$I$64,M583=phu!$I$65,M583=phu!$I$66,M583=phu!$I$67,M583=phu!$I$68,M583=phu!$I$69,M583=phu!$I$70,M583=phu!$I$71),"Ba Ngòi",""),IF(OR(M583=phu!$I$72,M583=phu!$I$73,M583=phu!$I$74,M583=phu!$I$75,M583=phu!$I$76,M583=phu!$I$77,M583=phu!$I$78),"Cam Phước Đông",""),IF(OR(M583=phu!$I$79,M583=phu!$I$80,M583=phu!$I$81,M583=phu!$I$82,M583=phu!$I$83,M583=phu!$I$84),"Cam Thịnh Đông",""),IF(OR(M583=phu!$I$85,M583=phu!$I$86,M583=phu!$I$87,M583=phu!$I$88),"Cam Thịnh Tây",""),IF(OR(M583=phu!$I$89,M583=phu!$I$90),"Cam Lập",""),IF(OR(M583=phu!$I$91,M583=phu!$I$92,M583=phu!$I$93),"Cam Bình",""),IF(OR(M583=phu!$I$94,M583=phu!$I$95,M583=phu!$I$96,M583=phu!$I$97,M583=phu!$I$98,M583=phu!$I$99,M583=phu!$I$100),"Huyện khác",""),IF(OR(M583=phu!$I$101,M583=phu!$I$102),"Tỉnh khác",""))</f>
        <v/>
      </c>
      <c r="O583" s="829" t="str">
        <f t="shared" ref="O583:O646" si="54">CONCATENATE(IF(OR(N583="Cam Thành Nam",N583="Cam Nghĩa",N583="Cam Phúc Bắc"),"Bắc Cam Ranh",""),IF(OR(N583="Cam Phúc Nam",N583="Cam Phú",N583="Cam Lộc"),"Cam Ranh",""),IF(OR(N583="Cam Thuận",N583="Cam Linh",N583="Cam Lợi"),"Cam Linh",""),IF(OR(N583="Ba Ngòi",N583="Cam Phước Đông"),"Ba Ngòi",""),IF(OR(N583="Cam Thịnh Đông",N583="Cam Thịnh Tây",N583="Cam Lập",N583="Cam Bình"),"Nam Cam Ranh",""),IF(N583="Huyện khác","Huyện khác",""),IF(N583="Tỉnh khác","Tỉnh khác",""))</f>
        <v/>
      </c>
      <c r="P583" s="254"/>
      <c r="Q583" s="254"/>
      <c r="R583" s="254"/>
      <c r="S583" s="254"/>
      <c r="T583" s="254"/>
      <c r="U583" s="254"/>
      <c r="V583" s="254"/>
      <c r="W583" s="254"/>
      <c r="Y583" s="246" t="str">
        <f t="shared" ref="Y583:Y646" si="55">IF(OR(AND(B583="",C583="",D583="",E583="",F583="",G583="",H583="",I583="",J583="",L583="",M583="",N583="",P583="",Q583="",R583="",S583=""),AND(B583&lt;&gt;"",C583&lt;&gt;"",D583&lt;&gt;"",E583&lt;&gt;"",F583&lt;&gt;"",G583&lt;&gt;"",H583&lt;&gt;"",J583&lt;&gt;"",M583&lt;&gt;"",N583&lt;&gt;"",P583&lt;&gt;"",OR(AND(Q583&lt;&gt;"",R583=""),AND(Q583="",R583&lt;&gt;""),AND(Q583&lt;&gt;"",R583&lt;&gt;"")),OR(AND(K583="X",T583&lt;&gt;""),AND(K583="",T583="")))),"","er")</f>
        <v/>
      </c>
      <c r="Z583" s="247" t="str">
        <f t="shared" si="53"/>
        <v/>
      </c>
      <c r="AA583" s="246" t="str">
        <f t="shared" ref="AA583:AA646" si="56">IF(OR(AND(Z583&lt;=10,B583&gt;5),AND(Z583&lt;=11,B583&gt;6),AND(Z583&lt;=12,B583&gt;7),AND(Z583&lt;=13,B583&gt;8),AND(Z583&lt;=14,B583&gt;9),AND(Z583=11,B583=6,L583="X"),AND(Z583=12,B583=7,L583="X"),AND(Z583=13,B583=8,L583="X"),AND(Z583=14,B583=9,L583="X")),"er","")</f>
        <v/>
      </c>
    </row>
    <row r="584" spans="1:27" ht="18" customHeight="1" x14ac:dyDescent="0.25">
      <c r="A584" s="248" t="str">
        <f t="shared" ref="A584:A647" si="57">IF(OR(A583="",B584="",C584="",D584="",E584=""),"",A583+1)</f>
        <v/>
      </c>
      <c r="B584" s="249" t="str">
        <f t="shared" ref="B584:B647" si="58">IF(C584="","",VALUE(LEFT(C584,1)))</f>
        <v/>
      </c>
      <c r="C584" s="250"/>
      <c r="D584" s="251"/>
      <c r="E584" s="241"/>
      <c r="F584" s="252"/>
      <c r="G584" s="252"/>
      <c r="H584" s="253"/>
      <c r="I584" s="250"/>
      <c r="J584" s="250"/>
      <c r="K584" s="270"/>
      <c r="L584" s="250"/>
      <c r="M584" s="250"/>
      <c r="N584" s="540" t="str">
        <f>CONCATENATE(IF(OR(M584=phu!$I$1,M584=phu!$I$2,M584=phu!$I$3),"Cam Thành Nam",""),IF(OR(M584=phu!$I$4,M584=phu!$I$5,M584=phu!$I$6,M584=phu!$I$7,M584=phu!$I$8,M584=phu!$I$9,M584=phu!$I$10,M584=phu!$I$11,M584=phu!$I$12,M584=phu!$I$13,M584=phu!$I$14),"Cam Nghĩa",""),IF(OR(M584=phu!$I$15,M584=phu!$I$16,M584=phu!$I$17,M584=phu!$I$18,M584=phu!$I$19,M584=phu!$I$20,M584=phu!$I$21),"Cam Phúc Bắc",""),IF(OR(M584=phu!$I$22,M584=phu!$I$23,M584=phu!$I$24,M584=phu!$I$25),"Cam Phúc Nam",""),IF(OR(M584=phu!$I$26,M584=phu!$I$27,M584=phu!$I$28,M584=phu!$I$29,M584=phu!$I$30,M584=phu!$I$31),"Cam Phú",""),IF(OR(M584=phu!$I$32,M584=phu!$I$33,M584=phu!$I$34,M584=phu!$I$35,M584=phu!$I$36,M584=phu!$I$37),"Cam Lộc",""),IF(OR(M584=phu!$I$38,M584=phu!$I$39,M584=phu!$I$40,M584=phu!$I$41,M584=phu!$I$42,M584=phu!$I$43,M584=phu!$I$44),"Cam Thuận",""),IF(OR(M584=phu!$I$45,M584=phu!$I$46,M584=phu!$I$47,M584=phu!$I$48,M584=phu!$I$49,M584=phu!$I$50,M584=phu!$I$51,M584=phu!$I$52,M584=phu!$I$53),"Cam Linh",""),IF(OR(M584=phu!$I$54,M584=phu!$I$55,M584=phu!$I$56,M584=phu!$I$57,M584=phu!$I$58,M584=phu!$I$59,M584=phu!$I$60,M584=phu!$I$61,M584=phu!$I$62),"Cam Lợi",""),IF(OR(M584=phu!$I$63,M584=phu!$I$64,M584=phu!$I$65,M584=phu!$I$66,M584=phu!$I$67,M584=phu!$I$68,M584=phu!$I$69,M584=phu!$I$70,M584=phu!$I$71),"Ba Ngòi",""),IF(OR(M584=phu!$I$72,M584=phu!$I$73,M584=phu!$I$74,M584=phu!$I$75,M584=phu!$I$76,M584=phu!$I$77,M584=phu!$I$78),"Cam Phước Đông",""),IF(OR(M584=phu!$I$79,M584=phu!$I$80,M584=phu!$I$81,M584=phu!$I$82,M584=phu!$I$83,M584=phu!$I$84),"Cam Thịnh Đông",""),IF(OR(M584=phu!$I$85,M584=phu!$I$86,M584=phu!$I$87,M584=phu!$I$88),"Cam Thịnh Tây",""),IF(OR(M584=phu!$I$89,M584=phu!$I$90),"Cam Lập",""),IF(OR(M584=phu!$I$91,M584=phu!$I$92,M584=phu!$I$93),"Cam Bình",""),IF(OR(M584=phu!$I$94,M584=phu!$I$95,M584=phu!$I$96,M584=phu!$I$97,M584=phu!$I$98,M584=phu!$I$99,M584=phu!$I$100),"Huyện khác",""),IF(OR(M584=phu!$I$101,M584=phu!$I$102),"Tỉnh khác",""))</f>
        <v/>
      </c>
      <c r="O584" s="829" t="str">
        <f t="shared" si="54"/>
        <v/>
      </c>
      <c r="P584" s="254"/>
      <c r="Q584" s="254"/>
      <c r="R584" s="254"/>
      <c r="S584" s="254"/>
      <c r="T584" s="254"/>
      <c r="U584" s="254"/>
      <c r="V584" s="254"/>
      <c r="W584" s="254"/>
      <c r="Y584" s="246" t="str">
        <f t="shared" si="55"/>
        <v/>
      </c>
      <c r="Z584" s="247" t="str">
        <f t="shared" ref="Z584:Z647" si="59">IF(H584="","",$Z$1-H584)</f>
        <v/>
      </c>
      <c r="AA584" s="246" t="str">
        <f t="shared" si="56"/>
        <v/>
      </c>
    </row>
    <row r="585" spans="1:27" ht="18" customHeight="1" x14ac:dyDescent="0.25">
      <c r="A585" s="248" t="str">
        <f t="shared" si="57"/>
        <v/>
      </c>
      <c r="B585" s="249" t="str">
        <f t="shared" si="58"/>
        <v/>
      </c>
      <c r="C585" s="250"/>
      <c r="D585" s="251"/>
      <c r="E585" s="241"/>
      <c r="F585" s="252"/>
      <c r="G585" s="252"/>
      <c r="H585" s="253"/>
      <c r="I585" s="250"/>
      <c r="J585" s="250"/>
      <c r="K585" s="270"/>
      <c r="L585" s="250"/>
      <c r="M585" s="543"/>
      <c r="N585" s="540" t="str">
        <f>CONCATENATE(IF(OR(M585=phu!$I$1,M585=phu!$I$2,M585=phu!$I$3),"Cam Thành Nam",""),IF(OR(M585=phu!$I$4,M585=phu!$I$5,M585=phu!$I$6,M585=phu!$I$7,M585=phu!$I$8,M585=phu!$I$9,M585=phu!$I$10,M585=phu!$I$11,M585=phu!$I$12,M585=phu!$I$13,M585=phu!$I$14),"Cam Nghĩa",""),IF(OR(M585=phu!$I$15,M585=phu!$I$16,M585=phu!$I$17,M585=phu!$I$18,M585=phu!$I$19,M585=phu!$I$20,M585=phu!$I$21),"Cam Phúc Bắc",""),IF(OR(M585=phu!$I$22,M585=phu!$I$23,M585=phu!$I$24,M585=phu!$I$25),"Cam Phúc Nam",""),IF(OR(M585=phu!$I$26,M585=phu!$I$27,M585=phu!$I$28,M585=phu!$I$29,M585=phu!$I$30,M585=phu!$I$31),"Cam Phú",""),IF(OR(M585=phu!$I$32,M585=phu!$I$33,M585=phu!$I$34,M585=phu!$I$35,M585=phu!$I$36,M585=phu!$I$37),"Cam Lộc",""),IF(OR(M585=phu!$I$38,M585=phu!$I$39,M585=phu!$I$40,M585=phu!$I$41,M585=phu!$I$42,M585=phu!$I$43,M585=phu!$I$44),"Cam Thuận",""),IF(OR(M585=phu!$I$45,M585=phu!$I$46,M585=phu!$I$47,M585=phu!$I$48,M585=phu!$I$49,M585=phu!$I$50,M585=phu!$I$51,M585=phu!$I$52,M585=phu!$I$53),"Cam Linh",""),IF(OR(M585=phu!$I$54,M585=phu!$I$55,M585=phu!$I$56,M585=phu!$I$57,M585=phu!$I$58,M585=phu!$I$59,M585=phu!$I$60,M585=phu!$I$61,M585=phu!$I$62),"Cam Lợi",""),IF(OR(M585=phu!$I$63,M585=phu!$I$64,M585=phu!$I$65,M585=phu!$I$66,M585=phu!$I$67,M585=phu!$I$68,M585=phu!$I$69,M585=phu!$I$70,M585=phu!$I$71),"Ba Ngòi",""),IF(OR(M585=phu!$I$72,M585=phu!$I$73,M585=phu!$I$74,M585=phu!$I$75,M585=phu!$I$76,M585=phu!$I$77,M585=phu!$I$78),"Cam Phước Đông",""),IF(OR(M585=phu!$I$79,M585=phu!$I$80,M585=phu!$I$81,M585=phu!$I$82,M585=phu!$I$83,M585=phu!$I$84),"Cam Thịnh Đông",""),IF(OR(M585=phu!$I$85,M585=phu!$I$86,M585=phu!$I$87,M585=phu!$I$88),"Cam Thịnh Tây",""),IF(OR(M585=phu!$I$89,M585=phu!$I$90),"Cam Lập",""),IF(OR(M585=phu!$I$91,M585=phu!$I$92,M585=phu!$I$93),"Cam Bình",""),IF(OR(M585=phu!$I$94,M585=phu!$I$95,M585=phu!$I$96,M585=phu!$I$97,M585=phu!$I$98,M585=phu!$I$99,M585=phu!$I$100),"Huyện khác",""),IF(OR(M585=phu!$I$101,M585=phu!$I$102),"Tỉnh khác",""))</f>
        <v/>
      </c>
      <c r="O585" s="829" t="str">
        <f t="shared" si="54"/>
        <v/>
      </c>
      <c r="P585" s="254"/>
      <c r="Q585" s="254"/>
      <c r="R585" s="254"/>
      <c r="S585" s="254"/>
      <c r="T585" s="254"/>
      <c r="U585" s="254"/>
      <c r="V585" s="254"/>
      <c r="W585" s="254"/>
      <c r="Y585" s="246" t="str">
        <f t="shared" si="55"/>
        <v/>
      </c>
      <c r="Z585" s="247" t="str">
        <f t="shared" si="59"/>
        <v/>
      </c>
      <c r="AA585" s="246" t="str">
        <f t="shared" si="56"/>
        <v/>
      </c>
    </row>
    <row r="586" spans="1:27" ht="18" customHeight="1" x14ac:dyDescent="0.25">
      <c r="A586" s="248" t="str">
        <f t="shared" si="57"/>
        <v/>
      </c>
      <c r="B586" s="249" t="str">
        <f t="shared" si="58"/>
        <v/>
      </c>
      <c r="C586" s="250"/>
      <c r="D586" s="251"/>
      <c r="E586" s="241"/>
      <c r="F586" s="252"/>
      <c r="G586" s="252"/>
      <c r="H586" s="253"/>
      <c r="I586" s="250"/>
      <c r="J586" s="250"/>
      <c r="K586" s="270"/>
      <c r="L586" s="250"/>
      <c r="M586" s="250"/>
      <c r="N586" s="540" t="str">
        <f>CONCATENATE(IF(OR(M586=phu!$I$1,M586=phu!$I$2,M586=phu!$I$3),"Cam Thành Nam",""),IF(OR(M586=phu!$I$4,M586=phu!$I$5,M586=phu!$I$6,M586=phu!$I$7,M586=phu!$I$8,M586=phu!$I$9,M586=phu!$I$10,M586=phu!$I$11,M586=phu!$I$12,M586=phu!$I$13,M586=phu!$I$14),"Cam Nghĩa",""),IF(OR(M586=phu!$I$15,M586=phu!$I$16,M586=phu!$I$17,M586=phu!$I$18,M586=phu!$I$19,M586=phu!$I$20,M586=phu!$I$21),"Cam Phúc Bắc",""),IF(OR(M586=phu!$I$22,M586=phu!$I$23,M586=phu!$I$24,M586=phu!$I$25),"Cam Phúc Nam",""),IF(OR(M586=phu!$I$26,M586=phu!$I$27,M586=phu!$I$28,M586=phu!$I$29,M586=phu!$I$30,M586=phu!$I$31),"Cam Phú",""),IF(OR(M586=phu!$I$32,M586=phu!$I$33,M586=phu!$I$34,M586=phu!$I$35,M586=phu!$I$36,M586=phu!$I$37),"Cam Lộc",""),IF(OR(M586=phu!$I$38,M586=phu!$I$39,M586=phu!$I$40,M586=phu!$I$41,M586=phu!$I$42,M586=phu!$I$43,M586=phu!$I$44),"Cam Thuận",""),IF(OR(M586=phu!$I$45,M586=phu!$I$46,M586=phu!$I$47,M586=phu!$I$48,M586=phu!$I$49,M586=phu!$I$50,M586=phu!$I$51,M586=phu!$I$52,M586=phu!$I$53),"Cam Linh",""),IF(OR(M586=phu!$I$54,M586=phu!$I$55,M586=phu!$I$56,M586=phu!$I$57,M586=phu!$I$58,M586=phu!$I$59,M586=phu!$I$60,M586=phu!$I$61,M586=phu!$I$62),"Cam Lợi",""),IF(OR(M586=phu!$I$63,M586=phu!$I$64,M586=phu!$I$65,M586=phu!$I$66,M586=phu!$I$67,M586=phu!$I$68,M586=phu!$I$69,M586=phu!$I$70,M586=phu!$I$71),"Ba Ngòi",""),IF(OR(M586=phu!$I$72,M586=phu!$I$73,M586=phu!$I$74,M586=phu!$I$75,M586=phu!$I$76,M586=phu!$I$77,M586=phu!$I$78),"Cam Phước Đông",""),IF(OR(M586=phu!$I$79,M586=phu!$I$80,M586=phu!$I$81,M586=phu!$I$82,M586=phu!$I$83,M586=phu!$I$84),"Cam Thịnh Đông",""),IF(OR(M586=phu!$I$85,M586=phu!$I$86,M586=phu!$I$87,M586=phu!$I$88),"Cam Thịnh Tây",""),IF(OR(M586=phu!$I$89,M586=phu!$I$90),"Cam Lập",""),IF(OR(M586=phu!$I$91,M586=phu!$I$92,M586=phu!$I$93),"Cam Bình",""),IF(OR(M586=phu!$I$94,M586=phu!$I$95,M586=phu!$I$96,M586=phu!$I$97,M586=phu!$I$98,M586=phu!$I$99,M586=phu!$I$100),"Huyện khác",""),IF(OR(M586=phu!$I$101,M586=phu!$I$102),"Tỉnh khác",""))</f>
        <v/>
      </c>
      <c r="O586" s="829" t="str">
        <f t="shared" si="54"/>
        <v/>
      </c>
      <c r="P586" s="254"/>
      <c r="Q586" s="254"/>
      <c r="R586" s="254"/>
      <c r="S586" s="254"/>
      <c r="T586" s="254"/>
      <c r="U586" s="254"/>
      <c r="V586" s="254"/>
      <c r="W586" s="254"/>
      <c r="Y586" s="246" t="str">
        <f t="shared" si="55"/>
        <v/>
      </c>
      <c r="Z586" s="247" t="str">
        <f t="shared" si="59"/>
        <v/>
      </c>
      <c r="AA586" s="246" t="str">
        <f t="shared" si="56"/>
        <v/>
      </c>
    </row>
    <row r="587" spans="1:27" ht="18" customHeight="1" x14ac:dyDescent="0.25">
      <c r="A587" s="248" t="str">
        <f t="shared" si="57"/>
        <v/>
      </c>
      <c r="B587" s="249" t="str">
        <f t="shared" si="58"/>
        <v/>
      </c>
      <c r="C587" s="250"/>
      <c r="D587" s="251"/>
      <c r="E587" s="241"/>
      <c r="F587" s="252"/>
      <c r="G587" s="252"/>
      <c r="H587" s="253"/>
      <c r="I587" s="250"/>
      <c r="J587" s="250"/>
      <c r="K587" s="270"/>
      <c r="L587" s="250"/>
      <c r="M587" s="250"/>
      <c r="N587" s="540" t="str">
        <f>CONCATENATE(IF(OR(M587=phu!$I$1,M587=phu!$I$2,M587=phu!$I$3),"Cam Thành Nam",""),IF(OR(M587=phu!$I$4,M587=phu!$I$5,M587=phu!$I$6,M587=phu!$I$7,M587=phu!$I$8,M587=phu!$I$9,M587=phu!$I$10,M587=phu!$I$11,M587=phu!$I$12,M587=phu!$I$13,M587=phu!$I$14),"Cam Nghĩa",""),IF(OR(M587=phu!$I$15,M587=phu!$I$16,M587=phu!$I$17,M587=phu!$I$18,M587=phu!$I$19,M587=phu!$I$20,M587=phu!$I$21),"Cam Phúc Bắc",""),IF(OR(M587=phu!$I$22,M587=phu!$I$23,M587=phu!$I$24,M587=phu!$I$25),"Cam Phúc Nam",""),IF(OR(M587=phu!$I$26,M587=phu!$I$27,M587=phu!$I$28,M587=phu!$I$29,M587=phu!$I$30,M587=phu!$I$31),"Cam Phú",""),IF(OR(M587=phu!$I$32,M587=phu!$I$33,M587=phu!$I$34,M587=phu!$I$35,M587=phu!$I$36,M587=phu!$I$37),"Cam Lộc",""),IF(OR(M587=phu!$I$38,M587=phu!$I$39,M587=phu!$I$40,M587=phu!$I$41,M587=phu!$I$42,M587=phu!$I$43,M587=phu!$I$44),"Cam Thuận",""),IF(OR(M587=phu!$I$45,M587=phu!$I$46,M587=phu!$I$47,M587=phu!$I$48,M587=phu!$I$49,M587=phu!$I$50,M587=phu!$I$51,M587=phu!$I$52,M587=phu!$I$53),"Cam Linh",""),IF(OR(M587=phu!$I$54,M587=phu!$I$55,M587=phu!$I$56,M587=phu!$I$57,M587=phu!$I$58,M587=phu!$I$59,M587=phu!$I$60,M587=phu!$I$61,M587=phu!$I$62),"Cam Lợi",""),IF(OR(M587=phu!$I$63,M587=phu!$I$64,M587=phu!$I$65,M587=phu!$I$66,M587=phu!$I$67,M587=phu!$I$68,M587=phu!$I$69,M587=phu!$I$70,M587=phu!$I$71),"Ba Ngòi",""),IF(OR(M587=phu!$I$72,M587=phu!$I$73,M587=phu!$I$74,M587=phu!$I$75,M587=phu!$I$76,M587=phu!$I$77,M587=phu!$I$78),"Cam Phước Đông",""),IF(OR(M587=phu!$I$79,M587=phu!$I$80,M587=phu!$I$81,M587=phu!$I$82,M587=phu!$I$83,M587=phu!$I$84),"Cam Thịnh Đông",""),IF(OR(M587=phu!$I$85,M587=phu!$I$86,M587=phu!$I$87,M587=phu!$I$88),"Cam Thịnh Tây",""),IF(OR(M587=phu!$I$89,M587=phu!$I$90),"Cam Lập",""),IF(OR(M587=phu!$I$91,M587=phu!$I$92,M587=phu!$I$93),"Cam Bình",""),IF(OR(M587=phu!$I$94,M587=phu!$I$95,M587=phu!$I$96,M587=phu!$I$97,M587=phu!$I$98,M587=phu!$I$99,M587=phu!$I$100),"Huyện khác",""),IF(OR(M587=phu!$I$101,M587=phu!$I$102),"Tỉnh khác",""))</f>
        <v/>
      </c>
      <c r="O587" s="829" t="str">
        <f t="shared" si="54"/>
        <v/>
      </c>
      <c r="P587" s="254"/>
      <c r="Q587" s="254"/>
      <c r="R587" s="254"/>
      <c r="S587" s="254"/>
      <c r="T587" s="254"/>
      <c r="U587" s="254"/>
      <c r="V587" s="254"/>
      <c r="W587" s="254"/>
      <c r="Y587" s="246" t="str">
        <f t="shared" si="55"/>
        <v/>
      </c>
      <c r="Z587" s="247" t="str">
        <f t="shared" si="59"/>
        <v/>
      </c>
      <c r="AA587" s="246" t="str">
        <f t="shared" si="56"/>
        <v/>
      </c>
    </row>
    <row r="588" spans="1:27" ht="18" customHeight="1" x14ac:dyDescent="0.25">
      <c r="A588" s="248" t="str">
        <f t="shared" si="57"/>
        <v/>
      </c>
      <c r="B588" s="249" t="str">
        <f t="shared" si="58"/>
        <v/>
      </c>
      <c r="C588" s="250"/>
      <c r="D588" s="251"/>
      <c r="E588" s="241"/>
      <c r="F588" s="252"/>
      <c r="G588" s="252"/>
      <c r="H588" s="253"/>
      <c r="I588" s="250"/>
      <c r="J588" s="250"/>
      <c r="K588" s="270"/>
      <c r="L588" s="250"/>
      <c r="M588" s="250"/>
      <c r="N588" s="540" t="str">
        <f>CONCATENATE(IF(OR(M588=phu!$I$1,M588=phu!$I$2,M588=phu!$I$3),"Cam Thành Nam",""),IF(OR(M588=phu!$I$4,M588=phu!$I$5,M588=phu!$I$6,M588=phu!$I$7,M588=phu!$I$8,M588=phu!$I$9,M588=phu!$I$10,M588=phu!$I$11,M588=phu!$I$12,M588=phu!$I$13,M588=phu!$I$14),"Cam Nghĩa",""),IF(OR(M588=phu!$I$15,M588=phu!$I$16,M588=phu!$I$17,M588=phu!$I$18,M588=phu!$I$19,M588=phu!$I$20,M588=phu!$I$21),"Cam Phúc Bắc",""),IF(OR(M588=phu!$I$22,M588=phu!$I$23,M588=phu!$I$24,M588=phu!$I$25),"Cam Phúc Nam",""),IF(OR(M588=phu!$I$26,M588=phu!$I$27,M588=phu!$I$28,M588=phu!$I$29,M588=phu!$I$30,M588=phu!$I$31),"Cam Phú",""),IF(OR(M588=phu!$I$32,M588=phu!$I$33,M588=phu!$I$34,M588=phu!$I$35,M588=phu!$I$36,M588=phu!$I$37),"Cam Lộc",""),IF(OR(M588=phu!$I$38,M588=phu!$I$39,M588=phu!$I$40,M588=phu!$I$41,M588=phu!$I$42,M588=phu!$I$43,M588=phu!$I$44),"Cam Thuận",""),IF(OR(M588=phu!$I$45,M588=phu!$I$46,M588=phu!$I$47,M588=phu!$I$48,M588=phu!$I$49,M588=phu!$I$50,M588=phu!$I$51,M588=phu!$I$52,M588=phu!$I$53),"Cam Linh",""),IF(OR(M588=phu!$I$54,M588=phu!$I$55,M588=phu!$I$56,M588=phu!$I$57,M588=phu!$I$58,M588=phu!$I$59,M588=phu!$I$60,M588=phu!$I$61,M588=phu!$I$62),"Cam Lợi",""),IF(OR(M588=phu!$I$63,M588=phu!$I$64,M588=phu!$I$65,M588=phu!$I$66,M588=phu!$I$67,M588=phu!$I$68,M588=phu!$I$69,M588=phu!$I$70,M588=phu!$I$71),"Ba Ngòi",""),IF(OR(M588=phu!$I$72,M588=phu!$I$73,M588=phu!$I$74,M588=phu!$I$75,M588=phu!$I$76,M588=phu!$I$77,M588=phu!$I$78),"Cam Phước Đông",""),IF(OR(M588=phu!$I$79,M588=phu!$I$80,M588=phu!$I$81,M588=phu!$I$82,M588=phu!$I$83,M588=phu!$I$84),"Cam Thịnh Đông",""),IF(OR(M588=phu!$I$85,M588=phu!$I$86,M588=phu!$I$87,M588=phu!$I$88),"Cam Thịnh Tây",""),IF(OR(M588=phu!$I$89,M588=phu!$I$90),"Cam Lập",""),IF(OR(M588=phu!$I$91,M588=phu!$I$92,M588=phu!$I$93),"Cam Bình",""),IF(OR(M588=phu!$I$94,M588=phu!$I$95,M588=phu!$I$96,M588=phu!$I$97,M588=phu!$I$98,M588=phu!$I$99,M588=phu!$I$100),"Huyện khác",""),IF(OR(M588=phu!$I$101,M588=phu!$I$102),"Tỉnh khác",""))</f>
        <v/>
      </c>
      <c r="O588" s="829" t="str">
        <f t="shared" si="54"/>
        <v/>
      </c>
      <c r="P588" s="254"/>
      <c r="Q588" s="254"/>
      <c r="R588" s="254"/>
      <c r="S588" s="254"/>
      <c r="T588" s="254"/>
      <c r="U588" s="254"/>
      <c r="V588" s="254"/>
      <c r="W588" s="254"/>
      <c r="Y588" s="246" t="str">
        <f t="shared" si="55"/>
        <v/>
      </c>
      <c r="Z588" s="247" t="str">
        <f t="shared" si="59"/>
        <v/>
      </c>
      <c r="AA588" s="246" t="str">
        <f t="shared" si="56"/>
        <v/>
      </c>
    </row>
    <row r="589" spans="1:27" ht="18" customHeight="1" x14ac:dyDescent="0.25">
      <c r="A589" s="248" t="str">
        <f t="shared" si="57"/>
        <v/>
      </c>
      <c r="B589" s="249" t="str">
        <f t="shared" si="58"/>
        <v/>
      </c>
      <c r="C589" s="250"/>
      <c r="D589" s="251"/>
      <c r="E589" s="241"/>
      <c r="F589" s="252"/>
      <c r="G589" s="252"/>
      <c r="H589" s="253"/>
      <c r="I589" s="250"/>
      <c r="J589" s="250"/>
      <c r="K589" s="270"/>
      <c r="L589" s="250"/>
      <c r="M589" s="250"/>
      <c r="N589" s="540" t="str">
        <f>CONCATENATE(IF(OR(M589=phu!$I$1,M589=phu!$I$2,M589=phu!$I$3),"Cam Thành Nam",""),IF(OR(M589=phu!$I$4,M589=phu!$I$5,M589=phu!$I$6,M589=phu!$I$7,M589=phu!$I$8,M589=phu!$I$9,M589=phu!$I$10,M589=phu!$I$11,M589=phu!$I$12,M589=phu!$I$13,M589=phu!$I$14),"Cam Nghĩa",""),IF(OR(M589=phu!$I$15,M589=phu!$I$16,M589=phu!$I$17,M589=phu!$I$18,M589=phu!$I$19,M589=phu!$I$20,M589=phu!$I$21),"Cam Phúc Bắc",""),IF(OR(M589=phu!$I$22,M589=phu!$I$23,M589=phu!$I$24,M589=phu!$I$25),"Cam Phúc Nam",""),IF(OR(M589=phu!$I$26,M589=phu!$I$27,M589=phu!$I$28,M589=phu!$I$29,M589=phu!$I$30,M589=phu!$I$31),"Cam Phú",""),IF(OR(M589=phu!$I$32,M589=phu!$I$33,M589=phu!$I$34,M589=phu!$I$35,M589=phu!$I$36,M589=phu!$I$37),"Cam Lộc",""),IF(OR(M589=phu!$I$38,M589=phu!$I$39,M589=phu!$I$40,M589=phu!$I$41,M589=phu!$I$42,M589=phu!$I$43,M589=phu!$I$44),"Cam Thuận",""),IF(OR(M589=phu!$I$45,M589=phu!$I$46,M589=phu!$I$47,M589=phu!$I$48,M589=phu!$I$49,M589=phu!$I$50,M589=phu!$I$51,M589=phu!$I$52,M589=phu!$I$53),"Cam Linh",""),IF(OR(M589=phu!$I$54,M589=phu!$I$55,M589=phu!$I$56,M589=phu!$I$57,M589=phu!$I$58,M589=phu!$I$59,M589=phu!$I$60,M589=phu!$I$61,M589=phu!$I$62),"Cam Lợi",""),IF(OR(M589=phu!$I$63,M589=phu!$I$64,M589=phu!$I$65,M589=phu!$I$66,M589=phu!$I$67,M589=phu!$I$68,M589=phu!$I$69,M589=phu!$I$70,M589=phu!$I$71),"Ba Ngòi",""),IF(OR(M589=phu!$I$72,M589=phu!$I$73,M589=phu!$I$74,M589=phu!$I$75,M589=phu!$I$76,M589=phu!$I$77,M589=phu!$I$78),"Cam Phước Đông",""),IF(OR(M589=phu!$I$79,M589=phu!$I$80,M589=phu!$I$81,M589=phu!$I$82,M589=phu!$I$83,M589=phu!$I$84),"Cam Thịnh Đông",""),IF(OR(M589=phu!$I$85,M589=phu!$I$86,M589=phu!$I$87,M589=phu!$I$88),"Cam Thịnh Tây",""),IF(OR(M589=phu!$I$89,M589=phu!$I$90),"Cam Lập",""),IF(OR(M589=phu!$I$91,M589=phu!$I$92,M589=phu!$I$93),"Cam Bình",""),IF(OR(M589=phu!$I$94,M589=phu!$I$95,M589=phu!$I$96,M589=phu!$I$97,M589=phu!$I$98,M589=phu!$I$99,M589=phu!$I$100),"Huyện khác",""),IF(OR(M589=phu!$I$101,M589=phu!$I$102),"Tỉnh khác",""))</f>
        <v/>
      </c>
      <c r="O589" s="829" t="str">
        <f t="shared" si="54"/>
        <v/>
      </c>
      <c r="P589" s="254"/>
      <c r="Q589" s="254"/>
      <c r="R589" s="254"/>
      <c r="S589" s="254"/>
      <c r="T589" s="254"/>
      <c r="U589" s="254"/>
      <c r="V589" s="254"/>
      <c r="W589" s="254"/>
      <c r="Y589" s="246" t="str">
        <f t="shared" si="55"/>
        <v/>
      </c>
      <c r="Z589" s="247" t="str">
        <f t="shared" si="59"/>
        <v/>
      </c>
      <c r="AA589" s="246" t="str">
        <f t="shared" si="56"/>
        <v/>
      </c>
    </row>
    <row r="590" spans="1:27" ht="18" customHeight="1" x14ac:dyDescent="0.25">
      <c r="A590" s="248" t="str">
        <f t="shared" si="57"/>
        <v/>
      </c>
      <c r="B590" s="249" t="str">
        <f t="shared" si="58"/>
        <v/>
      </c>
      <c r="C590" s="250"/>
      <c r="D590" s="251"/>
      <c r="E590" s="241"/>
      <c r="F590" s="252"/>
      <c r="G590" s="252"/>
      <c r="H590" s="253"/>
      <c r="I590" s="250"/>
      <c r="J590" s="250"/>
      <c r="K590" s="270"/>
      <c r="L590" s="250"/>
      <c r="M590" s="250"/>
      <c r="N590" s="540" t="str">
        <f>CONCATENATE(IF(OR(M590=phu!$I$1,M590=phu!$I$2,M590=phu!$I$3),"Cam Thành Nam",""),IF(OR(M590=phu!$I$4,M590=phu!$I$5,M590=phu!$I$6,M590=phu!$I$7,M590=phu!$I$8,M590=phu!$I$9,M590=phu!$I$10,M590=phu!$I$11,M590=phu!$I$12,M590=phu!$I$13,M590=phu!$I$14),"Cam Nghĩa",""),IF(OR(M590=phu!$I$15,M590=phu!$I$16,M590=phu!$I$17,M590=phu!$I$18,M590=phu!$I$19,M590=phu!$I$20,M590=phu!$I$21),"Cam Phúc Bắc",""),IF(OR(M590=phu!$I$22,M590=phu!$I$23,M590=phu!$I$24,M590=phu!$I$25),"Cam Phúc Nam",""),IF(OR(M590=phu!$I$26,M590=phu!$I$27,M590=phu!$I$28,M590=phu!$I$29,M590=phu!$I$30,M590=phu!$I$31),"Cam Phú",""),IF(OR(M590=phu!$I$32,M590=phu!$I$33,M590=phu!$I$34,M590=phu!$I$35,M590=phu!$I$36,M590=phu!$I$37),"Cam Lộc",""),IF(OR(M590=phu!$I$38,M590=phu!$I$39,M590=phu!$I$40,M590=phu!$I$41,M590=phu!$I$42,M590=phu!$I$43,M590=phu!$I$44),"Cam Thuận",""),IF(OR(M590=phu!$I$45,M590=phu!$I$46,M590=phu!$I$47,M590=phu!$I$48,M590=phu!$I$49,M590=phu!$I$50,M590=phu!$I$51,M590=phu!$I$52,M590=phu!$I$53),"Cam Linh",""),IF(OR(M590=phu!$I$54,M590=phu!$I$55,M590=phu!$I$56,M590=phu!$I$57,M590=phu!$I$58,M590=phu!$I$59,M590=phu!$I$60,M590=phu!$I$61,M590=phu!$I$62),"Cam Lợi",""),IF(OR(M590=phu!$I$63,M590=phu!$I$64,M590=phu!$I$65,M590=phu!$I$66,M590=phu!$I$67,M590=phu!$I$68,M590=phu!$I$69,M590=phu!$I$70,M590=phu!$I$71),"Ba Ngòi",""),IF(OR(M590=phu!$I$72,M590=phu!$I$73,M590=phu!$I$74,M590=phu!$I$75,M590=phu!$I$76,M590=phu!$I$77,M590=phu!$I$78),"Cam Phước Đông",""),IF(OR(M590=phu!$I$79,M590=phu!$I$80,M590=phu!$I$81,M590=phu!$I$82,M590=phu!$I$83,M590=phu!$I$84),"Cam Thịnh Đông",""),IF(OR(M590=phu!$I$85,M590=phu!$I$86,M590=phu!$I$87,M590=phu!$I$88),"Cam Thịnh Tây",""),IF(OR(M590=phu!$I$89,M590=phu!$I$90),"Cam Lập",""),IF(OR(M590=phu!$I$91,M590=phu!$I$92,M590=phu!$I$93),"Cam Bình",""),IF(OR(M590=phu!$I$94,M590=phu!$I$95,M590=phu!$I$96,M590=phu!$I$97,M590=phu!$I$98,M590=phu!$I$99,M590=phu!$I$100),"Huyện khác",""),IF(OR(M590=phu!$I$101,M590=phu!$I$102),"Tỉnh khác",""))</f>
        <v/>
      </c>
      <c r="O590" s="829" t="str">
        <f t="shared" si="54"/>
        <v/>
      </c>
      <c r="P590" s="254"/>
      <c r="Q590" s="254"/>
      <c r="R590" s="254"/>
      <c r="S590" s="254"/>
      <c r="T590" s="254"/>
      <c r="U590" s="254"/>
      <c r="V590" s="254"/>
      <c r="W590" s="254"/>
      <c r="Y590" s="246" t="str">
        <f t="shared" si="55"/>
        <v/>
      </c>
      <c r="Z590" s="247" t="str">
        <f t="shared" si="59"/>
        <v/>
      </c>
      <c r="AA590" s="246" t="str">
        <f t="shared" si="56"/>
        <v/>
      </c>
    </row>
    <row r="591" spans="1:27" ht="18" customHeight="1" x14ac:dyDescent="0.25">
      <c r="A591" s="248" t="str">
        <f t="shared" si="57"/>
        <v/>
      </c>
      <c r="B591" s="249" t="str">
        <f t="shared" si="58"/>
        <v/>
      </c>
      <c r="C591" s="250"/>
      <c r="D591" s="251"/>
      <c r="E591" s="241"/>
      <c r="F591" s="252"/>
      <c r="G591" s="252"/>
      <c r="H591" s="253"/>
      <c r="I591" s="250"/>
      <c r="J591" s="250"/>
      <c r="K591" s="270"/>
      <c r="L591" s="250"/>
      <c r="M591" s="250"/>
      <c r="N591" s="540" t="str">
        <f>CONCATENATE(IF(OR(M591=phu!$I$1,M591=phu!$I$2,M591=phu!$I$3),"Cam Thành Nam",""),IF(OR(M591=phu!$I$4,M591=phu!$I$5,M591=phu!$I$6,M591=phu!$I$7,M591=phu!$I$8,M591=phu!$I$9,M591=phu!$I$10,M591=phu!$I$11,M591=phu!$I$12,M591=phu!$I$13,M591=phu!$I$14),"Cam Nghĩa",""),IF(OR(M591=phu!$I$15,M591=phu!$I$16,M591=phu!$I$17,M591=phu!$I$18,M591=phu!$I$19,M591=phu!$I$20,M591=phu!$I$21),"Cam Phúc Bắc",""),IF(OR(M591=phu!$I$22,M591=phu!$I$23,M591=phu!$I$24,M591=phu!$I$25),"Cam Phúc Nam",""),IF(OR(M591=phu!$I$26,M591=phu!$I$27,M591=phu!$I$28,M591=phu!$I$29,M591=phu!$I$30,M591=phu!$I$31),"Cam Phú",""),IF(OR(M591=phu!$I$32,M591=phu!$I$33,M591=phu!$I$34,M591=phu!$I$35,M591=phu!$I$36,M591=phu!$I$37),"Cam Lộc",""),IF(OR(M591=phu!$I$38,M591=phu!$I$39,M591=phu!$I$40,M591=phu!$I$41,M591=phu!$I$42,M591=phu!$I$43,M591=phu!$I$44),"Cam Thuận",""),IF(OR(M591=phu!$I$45,M591=phu!$I$46,M591=phu!$I$47,M591=phu!$I$48,M591=phu!$I$49,M591=phu!$I$50,M591=phu!$I$51,M591=phu!$I$52,M591=phu!$I$53),"Cam Linh",""),IF(OR(M591=phu!$I$54,M591=phu!$I$55,M591=phu!$I$56,M591=phu!$I$57,M591=phu!$I$58,M591=phu!$I$59,M591=phu!$I$60,M591=phu!$I$61,M591=phu!$I$62),"Cam Lợi",""),IF(OR(M591=phu!$I$63,M591=phu!$I$64,M591=phu!$I$65,M591=phu!$I$66,M591=phu!$I$67,M591=phu!$I$68,M591=phu!$I$69,M591=phu!$I$70,M591=phu!$I$71),"Ba Ngòi",""),IF(OR(M591=phu!$I$72,M591=phu!$I$73,M591=phu!$I$74,M591=phu!$I$75,M591=phu!$I$76,M591=phu!$I$77,M591=phu!$I$78),"Cam Phước Đông",""),IF(OR(M591=phu!$I$79,M591=phu!$I$80,M591=phu!$I$81,M591=phu!$I$82,M591=phu!$I$83,M591=phu!$I$84),"Cam Thịnh Đông",""),IF(OR(M591=phu!$I$85,M591=phu!$I$86,M591=phu!$I$87,M591=phu!$I$88),"Cam Thịnh Tây",""),IF(OR(M591=phu!$I$89,M591=phu!$I$90),"Cam Lập",""),IF(OR(M591=phu!$I$91,M591=phu!$I$92,M591=phu!$I$93),"Cam Bình",""),IF(OR(M591=phu!$I$94,M591=phu!$I$95,M591=phu!$I$96,M591=phu!$I$97,M591=phu!$I$98,M591=phu!$I$99,M591=phu!$I$100),"Huyện khác",""),IF(OR(M591=phu!$I$101,M591=phu!$I$102),"Tỉnh khác",""))</f>
        <v/>
      </c>
      <c r="O591" s="829" t="str">
        <f t="shared" si="54"/>
        <v/>
      </c>
      <c r="P591" s="254"/>
      <c r="Q591" s="254"/>
      <c r="R591" s="254"/>
      <c r="S591" s="254"/>
      <c r="T591" s="254"/>
      <c r="U591" s="254"/>
      <c r="V591" s="254"/>
      <c r="W591" s="254"/>
      <c r="Y591" s="246" t="str">
        <f t="shared" si="55"/>
        <v/>
      </c>
      <c r="Z591" s="247" t="str">
        <f t="shared" si="59"/>
        <v/>
      </c>
      <c r="AA591" s="246" t="str">
        <f t="shared" si="56"/>
        <v/>
      </c>
    </row>
    <row r="592" spans="1:27" ht="18" customHeight="1" x14ac:dyDescent="0.25">
      <c r="A592" s="248" t="str">
        <f t="shared" si="57"/>
        <v/>
      </c>
      <c r="B592" s="249" t="str">
        <f t="shared" si="58"/>
        <v/>
      </c>
      <c r="C592" s="250"/>
      <c r="D592" s="251"/>
      <c r="E592" s="241"/>
      <c r="F592" s="252"/>
      <c r="G592" s="252"/>
      <c r="H592" s="253"/>
      <c r="I592" s="250"/>
      <c r="J592" s="250"/>
      <c r="K592" s="270"/>
      <c r="L592" s="250"/>
      <c r="M592" s="250"/>
      <c r="N592" s="540" t="str">
        <f>CONCATENATE(IF(OR(M592=phu!$I$1,M592=phu!$I$2,M592=phu!$I$3),"Cam Thành Nam",""),IF(OR(M592=phu!$I$4,M592=phu!$I$5,M592=phu!$I$6,M592=phu!$I$7,M592=phu!$I$8,M592=phu!$I$9,M592=phu!$I$10,M592=phu!$I$11,M592=phu!$I$12,M592=phu!$I$13,M592=phu!$I$14),"Cam Nghĩa",""),IF(OR(M592=phu!$I$15,M592=phu!$I$16,M592=phu!$I$17,M592=phu!$I$18,M592=phu!$I$19,M592=phu!$I$20,M592=phu!$I$21),"Cam Phúc Bắc",""),IF(OR(M592=phu!$I$22,M592=phu!$I$23,M592=phu!$I$24,M592=phu!$I$25),"Cam Phúc Nam",""),IF(OR(M592=phu!$I$26,M592=phu!$I$27,M592=phu!$I$28,M592=phu!$I$29,M592=phu!$I$30,M592=phu!$I$31),"Cam Phú",""),IF(OR(M592=phu!$I$32,M592=phu!$I$33,M592=phu!$I$34,M592=phu!$I$35,M592=phu!$I$36,M592=phu!$I$37),"Cam Lộc",""),IF(OR(M592=phu!$I$38,M592=phu!$I$39,M592=phu!$I$40,M592=phu!$I$41,M592=phu!$I$42,M592=phu!$I$43,M592=phu!$I$44),"Cam Thuận",""),IF(OR(M592=phu!$I$45,M592=phu!$I$46,M592=phu!$I$47,M592=phu!$I$48,M592=phu!$I$49,M592=phu!$I$50,M592=phu!$I$51,M592=phu!$I$52,M592=phu!$I$53),"Cam Linh",""),IF(OR(M592=phu!$I$54,M592=phu!$I$55,M592=phu!$I$56,M592=phu!$I$57,M592=phu!$I$58,M592=phu!$I$59,M592=phu!$I$60,M592=phu!$I$61,M592=phu!$I$62),"Cam Lợi",""),IF(OR(M592=phu!$I$63,M592=phu!$I$64,M592=phu!$I$65,M592=phu!$I$66,M592=phu!$I$67,M592=phu!$I$68,M592=phu!$I$69,M592=phu!$I$70,M592=phu!$I$71),"Ba Ngòi",""),IF(OR(M592=phu!$I$72,M592=phu!$I$73,M592=phu!$I$74,M592=phu!$I$75,M592=phu!$I$76,M592=phu!$I$77,M592=phu!$I$78),"Cam Phước Đông",""),IF(OR(M592=phu!$I$79,M592=phu!$I$80,M592=phu!$I$81,M592=phu!$I$82,M592=phu!$I$83,M592=phu!$I$84),"Cam Thịnh Đông",""),IF(OR(M592=phu!$I$85,M592=phu!$I$86,M592=phu!$I$87,M592=phu!$I$88),"Cam Thịnh Tây",""),IF(OR(M592=phu!$I$89,M592=phu!$I$90),"Cam Lập",""),IF(OR(M592=phu!$I$91,M592=phu!$I$92,M592=phu!$I$93),"Cam Bình",""),IF(OR(M592=phu!$I$94,M592=phu!$I$95,M592=phu!$I$96,M592=phu!$I$97,M592=phu!$I$98,M592=phu!$I$99,M592=phu!$I$100),"Huyện khác",""),IF(OR(M592=phu!$I$101,M592=phu!$I$102),"Tỉnh khác",""))</f>
        <v/>
      </c>
      <c r="O592" s="829" t="str">
        <f t="shared" si="54"/>
        <v/>
      </c>
      <c r="P592" s="254"/>
      <c r="Q592" s="254"/>
      <c r="R592" s="254"/>
      <c r="S592" s="254"/>
      <c r="T592" s="254"/>
      <c r="U592" s="254"/>
      <c r="V592" s="254"/>
      <c r="W592" s="254"/>
      <c r="Y592" s="246" t="str">
        <f t="shared" si="55"/>
        <v/>
      </c>
      <c r="Z592" s="247" t="str">
        <f t="shared" si="59"/>
        <v/>
      </c>
      <c r="AA592" s="246" t="str">
        <f t="shared" si="56"/>
        <v/>
      </c>
    </row>
    <row r="593" spans="1:27" ht="18" customHeight="1" x14ac:dyDescent="0.25">
      <c r="A593" s="248" t="str">
        <f t="shared" si="57"/>
        <v/>
      </c>
      <c r="B593" s="249" t="str">
        <f t="shared" si="58"/>
        <v/>
      </c>
      <c r="C593" s="250"/>
      <c r="D593" s="251"/>
      <c r="E593" s="241"/>
      <c r="F593" s="252"/>
      <c r="G593" s="252"/>
      <c r="H593" s="253"/>
      <c r="I593" s="250"/>
      <c r="J593" s="250"/>
      <c r="K593" s="270"/>
      <c r="L593" s="250"/>
      <c r="M593" s="250"/>
      <c r="N593" s="540" t="str">
        <f>CONCATENATE(IF(OR(M593=phu!$I$1,M593=phu!$I$2,M593=phu!$I$3),"Cam Thành Nam",""),IF(OR(M593=phu!$I$4,M593=phu!$I$5,M593=phu!$I$6,M593=phu!$I$7,M593=phu!$I$8,M593=phu!$I$9,M593=phu!$I$10,M593=phu!$I$11,M593=phu!$I$12,M593=phu!$I$13,M593=phu!$I$14),"Cam Nghĩa",""),IF(OR(M593=phu!$I$15,M593=phu!$I$16,M593=phu!$I$17,M593=phu!$I$18,M593=phu!$I$19,M593=phu!$I$20,M593=phu!$I$21),"Cam Phúc Bắc",""),IF(OR(M593=phu!$I$22,M593=phu!$I$23,M593=phu!$I$24,M593=phu!$I$25),"Cam Phúc Nam",""),IF(OR(M593=phu!$I$26,M593=phu!$I$27,M593=phu!$I$28,M593=phu!$I$29,M593=phu!$I$30,M593=phu!$I$31),"Cam Phú",""),IF(OR(M593=phu!$I$32,M593=phu!$I$33,M593=phu!$I$34,M593=phu!$I$35,M593=phu!$I$36,M593=phu!$I$37),"Cam Lộc",""),IF(OR(M593=phu!$I$38,M593=phu!$I$39,M593=phu!$I$40,M593=phu!$I$41,M593=phu!$I$42,M593=phu!$I$43,M593=phu!$I$44),"Cam Thuận",""),IF(OR(M593=phu!$I$45,M593=phu!$I$46,M593=phu!$I$47,M593=phu!$I$48,M593=phu!$I$49,M593=phu!$I$50,M593=phu!$I$51,M593=phu!$I$52,M593=phu!$I$53),"Cam Linh",""),IF(OR(M593=phu!$I$54,M593=phu!$I$55,M593=phu!$I$56,M593=phu!$I$57,M593=phu!$I$58,M593=phu!$I$59,M593=phu!$I$60,M593=phu!$I$61,M593=phu!$I$62),"Cam Lợi",""),IF(OR(M593=phu!$I$63,M593=phu!$I$64,M593=phu!$I$65,M593=phu!$I$66,M593=phu!$I$67,M593=phu!$I$68,M593=phu!$I$69,M593=phu!$I$70,M593=phu!$I$71),"Ba Ngòi",""),IF(OR(M593=phu!$I$72,M593=phu!$I$73,M593=phu!$I$74,M593=phu!$I$75,M593=phu!$I$76,M593=phu!$I$77,M593=phu!$I$78),"Cam Phước Đông",""),IF(OR(M593=phu!$I$79,M593=phu!$I$80,M593=phu!$I$81,M593=phu!$I$82,M593=phu!$I$83,M593=phu!$I$84),"Cam Thịnh Đông",""),IF(OR(M593=phu!$I$85,M593=phu!$I$86,M593=phu!$I$87,M593=phu!$I$88),"Cam Thịnh Tây",""),IF(OR(M593=phu!$I$89,M593=phu!$I$90),"Cam Lập",""),IF(OR(M593=phu!$I$91,M593=phu!$I$92,M593=phu!$I$93),"Cam Bình",""),IF(OR(M593=phu!$I$94,M593=phu!$I$95,M593=phu!$I$96,M593=phu!$I$97,M593=phu!$I$98,M593=phu!$I$99,M593=phu!$I$100),"Huyện khác",""),IF(OR(M593=phu!$I$101,M593=phu!$I$102),"Tỉnh khác",""))</f>
        <v/>
      </c>
      <c r="O593" s="829" t="str">
        <f t="shared" si="54"/>
        <v/>
      </c>
      <c r="P593" s="254"/>
      <c r="Q593" s="254"/>
      <c r="R593" s="254"/>
      <c r="S593" s="254"/>
      <c r="T593" s="254"/>
      <c r="U593" s="254"/>
      <c r="V593" s="254"/>
      <c r="W593" s="254"/>
      <c r="Y593" s="246" t="str">
        <f t="shared" si="55"/>
        <v/>
      </c>
      <c r="Z593" s="247" t="str">
        <f t="shared" si="59"/>
        <v/>
      </c>
      <c r="AA593" s="246" t="str">
        <f t="shared" si="56"/>
        <v/>
      </c>
    </row>
    <row r="594" spans="1:27" ht="18" customHeight="1" x14ac:dyDescent="0.25">
      <c r="A594" s="248" t="str">
        <f t="shared" si="57"/>
        <v/>
      </c>
      <c r="B594" s="249" t="str">
        <f t="shared" si="58"/>
        <v/>
      </c>
      <c r="C594" s="250"/>
      <c r="D594" s="251"/>
      <c r="E594" s="241"/>
      <c r="F594" s="252"/>
      <c r="G594" s="252"/>
      <c r="H594" s="253"/>
      <c r="I594" s="250"/>
      <c r="J594" s="250"/>
      <c r="K594" s="270"/>
      <c r="L594" s="250"/>
      <c r="M594" s="250"/>
      <c r="N594" s="540" t="str">
        <f>CONCATENATE(IF(OR(M594=phu!$I$1,M594=phu!$I$2,M594=phu!$I$3),"Cam Thành Nam",""),IF(OR(M594=phu!$I$4,M594=phu!$I$5,M594=phu!$I$6,M594=phu!$I$7,M594=phu!$I$8,M594=phu!$I$9,M594=phu!$I$10,M594=phu!$I$11,M594=phu!$I$12,M594=phu!$I$13,M594=phu!$I$14),"Cam Nghĩa",""),IF(OR(M594=phu!$I$15,M594=phu!$I$16,M594=phu!$I$17,M594=phu!$I$18,M594=phu!$I$19,M594=phu!$I$20,M594=phu!$I$21),"Cam Phúc Bắc",""),IF(OR(M594=phu!$I$22,M594=phu!$I$23,M594=phu!$I$24,M594=phu!$I$25),"Cam Phúc Nam",""),IF(OR(M594=phu!$I$26,M594=phu!$I$27,M594=phu!$I$28,M594=phu!$I$29,M594=phu!$I$30,M594=phu!$I$31),"Cam Phú",""),IF(OR(M594=phu!$I$32,M594=phu!$I$33,M594=phu!$I$34,M594=phu!$I$35,M594=phu!$I$36,M594=phu!$I$37),"Cam Lộc",""),IF(OR(M594=phu!$I$38,M594=phu!$I$39,M594=phu!$I$40,M594=phu!$I$41,M594=phu!$I$42,M594=phu!$I$43,M594=phu!$I$44),"Cam Thuận",""),IF(OR(M594=phu!$I$45,M594=phu!$I$46,M594=phu!$I$47,M594=phu!$I$48,M594=phu!$I$49,M594=phu!$I$50,M594=phu!$I$51,M594=phu!$I$52,M594=phu!$I$53),"Cam Linh",""),IF(OR(M594=phu!$I$54,M594=phu!$I$55,M594=phu!$I$56,M594=phu!$I$57,M594=phu!$I$58,M594=phu!$I$59,M594=phu!$I$60,M594=phu!$I$61,M594=phu!$I$62),"Cam Lợi",""),IF(OR(M594=phu!$I$63,M594=phu!$I$64,M594=phu!$I$65,M594=phu!$I$66,M594=phu!$I$67,M594=phu!$I$68,M594=phu!$I$69,M594=phu!$I$70,M594=phu!$I$71),"Ba Ngòi",""),IF(OR(M594=phu!$I$72,M594=phu!$I$73,M594=phu!$I$74,M594=phu!$I$75,M594=phu!$I$76,M594=phu!$I$77,M594=phu!$I$78),"Cam Phước Đông",""),IF(OR(M594=phu!$I$79,M594=phu!$I$80,M594=phu!$I$81,M594=phu!$I$82,M594=phu!$I$83,M594=phu!$I$84),"Cam Thịnh Đông",""),IF(OR(M594=phu!$I$85,M594=phu!$I$86,M594=phu!$I$87,M594=phu!$I$88),"Cam Thịnh Tây",""),IF(OR(M594=phu!$I$89,M594=phu!$I$90),"Cam Lập",""),IF(OR(M594=phu!$I$91,M594=phu!$I$92,M594=phu!$I$93),"Cam Bình",""),IF(OR(M594=phu!$I$94,M594=phu!$I$95,M594=phu!$I$96,M594=phu!$I$97,M594=phu!$I$98,M594=phu!$I$99,M594=phu!$I$100),"Huyện khác",""),IF(OR(M594=phu!$I$101,M594=phu!$I$102),"Tỉnh khác",""))</f>
        <v/>
      </c>
      <c r="O594" s="829" t="str">
        <f t="shared" si="54"/>
        <v/>
      </c>
      <c r="P594" s="254"/>
      <c r="Q594" s="254"/>
      <c r="R594" s="254"/>
      <c r="S594" s="254"/>
      <c r="T594" s="254"/>
      <c r="U594" s="254"/>
      <c r="V594" s="254"/>
      <c r="W594" s="254"/>
      <c r="Y594" s="246" t="str">
        <f t="shared" si="55"/>
        <v/>
      </c>
      <c r="Z594" s="247" t="str">
        <f t="shared" si="59"/>
        <v/>
      </c>
      <c r="AA594" s="246" t="str">
        <f t="shared" si="56"/>
        <v/>
      </c>
    </row>
    <row r="595" spans="1:27" ht="18" customHeight="1" x14ac:dyDescent="0.25">
      <c r="A595" s="248" t="str">
        <f t="shared" si="57"/>
        <v/>
      </c>
      <c r="B595" s="249" t="str">
        <f t="shared" si="58"/>
        <v/>
      </c>
      <c r="C595" s="250"/>
      <c r="D595" s="251"/>
      <c r="E595" s="241"/>
      <c r="F595" s="252"/>
      <c r="G595" s="252"/>
      <c r="H595" s="253"/>
      <c r="I595" s="250"/>
      <c r="J595" s="250"/>
      <c r="K595" s="270"/>
      <c r="L595" s="250"/>
      <c r="M595" s="250"/>
      <c r="N595" s="540" t="str">
        <f>CONCATENATE(IF(OR(M595=phu!$I$1,M595=phu!$I$2,M595=phu!$I$3),"Cam Thành Nam",""),IF(OR(M595=phu!$I$4,M595=phu!$I$5,M595=phu!$I$6,M595=phu!$I$7,M595=phu!$I$8,M595=phu!$I$9,M595=phu!$I$10,M595=phu!$I$11,M595=phu!$I$12,M595=phu!$I$13,M595=phu!$I$14),"Cam Nghĩa",""),IF(OR(M595=phu!$I$15,M595=phu!$I$16,M595=phu!$I$17,M595=phu!$I$18,M595=phu!$I$19,M595=phu!$I$20,M595=phu!$I$21),"Cam Phúc Bắc",""),IF(OR(M595=phu!$I$22,M595=phu!$I$23,M595=phu!$I$24,M595=phu!$I$25),"Cam Phúc Nam",""),IF(OR(M595=phu!$I$26,M595=phu!$I$27,M595=phu!$I$28,M595=phu!$I$29,M595=phu!$I$30,M595=phu!$I$31),"Cam Phú",""),IF(OR(M595=phu!$I$32,M595=phu!$I$33,M595=phu!$I$34,M595=phu!$I$35,M595=phu!$I$36,M595=phu!$I$37),"Cam Lộc",""),IF(OR(M595=phu!$I$38,M595=phu!$I$39,M595=phu!$I$40,M595=phu!$I$41,M595=phu!$I$42,M595=phu!$I$43,M595=phu!$I$44),"Cam Thuận",""),IF(OR(M595=phu!$I$45,M595=phu!$I$46,M595=phu!$I$47,M595=phu!$I$48,M595=phu!$I$49,M595=phu!$I$50,M595=phu!$I$51,M595=phu!$I$52,M595=phu!$I$53),"Cam Linh",""),IF(OR(M595=phu!$I$54,M595=phu!$I$55,M595=phu!$I$56,M595=phu!$I$57,M595=phu!$I$58,M595=phu!$I$59,M595=phu!$I$60,M595=phu!$I$61,M595=phu!$I$62),"Cam Lợi",""),IF(OR(M595=phu!$I$63,M595=phu!$I$64,M595=phu!$I$65,M595=phu!$I$66,M595=phu!$I$67,M595=phu!$I$68,M595=phu!$I$69,M595=phu!$I$70,M595=phu!$I$71),"Ba Ngòi",""),IF(OR(M595=phu!$I$72,M595=phu!$I$73,M595=phu!$I$74,M595=phu!$I$75,M595=phu!$I$76,M595=phu!$I$77,M595=phu!$I$78),"Cam Phước Đông",""),IF(OR(M595=phu!$I$79,M595=phu!$I$80,M595=phu!$I$81,M595=phu!$I$82,M595=phu!$I$83,M595=phu!$I$84),"Cam Thịnh Đông",""),IF(OR(M595=phu!$I$85,M595=phu!$I$86,M595=phu!$I$87,M595=phu!$I$88),"Cam Thịnh Tây",""),IF(OR(M595=phu!$I$89,M595=phu!$I$90),"Cam Lập",""),IF(OR(M595=phu!$I$91,M595=phu!$I$92,M595=phu!$I$93),"Cam Bình",""),IF(OR(M595=phu!$I$94,M595=phu!$I$95,M595=phu!$I$96,M595=phu!$I$97,M595=phu!$I$98,M595=phu!$I$99,M595=phu!$I$100),"Huyện khác",""),IF(OR(M595=phu!$I$101,M595=phu!$I$102),"Tỉnh khác",""))</f>
        <v/>
      </c>
      <c r="O595" s="829" t="str">
        <f t="shared" si="54"/>
        <v/>
      </c>
      <c r="P595" s="254"/>
      <c r="Q595" s="254"/>
      <c r="R595" s="254"/>
      <c r="S595" s="254"/>
      <c r="T595" s="254"/>
      <c r="U595" s="254"/>
      <c r="V595" s="254"/>
      <c r="W595" s="254"/>
      <c r="Y595" s="246" t="str">
        <f t="shared" si="55"/>
        <v/>
      </c>
      <c r="Z595" s="247" t="str">
        <f t="shared" si="59"/>
        <v/>
      </c>
      <c r="AA595" s="246" t="str">
        <f t="shared" si="56"/>
        <v/>
      </c>
    </row>
    <row r="596" spans="1:27" ht="18" customHeight="1" x14ac:dyDescent="0.25">
      <c r="A596" s="248" t="str">
        <f t="shared" si="57"/>
        <v/>
      </c>
      <c r="B596" s="249" t="str">
        <f t="shared" si="58"/>
        <v/>
      </c>
      <c r="C596" s="250"/>
      <c r="D596" s="251"/>
      <c r="E596" s="241"/>
      <c r="F596" s="252"/>
      <c r="G596" s="252"/>
      <c r="H596" s="253"/>
      <c r="I596" s="250"/>
      <c r="J596" s="250"/>
      <c r="K596" s="270"/>
      <c r="L596" s="250"/>
      <c r="M596" s="250"/>
      <c r="N596" s="540" t="str">
        <f>CONCATENATE(IF(OR(M596=phu!$I$1,M596=phu!$I$2,M596=phu!$I$3),"Cam Thành Nam",""),IF(OR(M596=phu!$I$4,M596=phu!$I$5,M596=phu!$I$6,M596=phu!$I$7,M596=phu!$I$8,M596=phu!$I$9,M596=phu!$I$10,M596=phu!$I$11,M596=phu!$I$12,M596=phu!$I$13,M596=phu!$I$14),"Cam Nghĩa",""),IF(OR(M596=phu!$I$15,M596=phu!$I$16,M596=phu!$I$17,M596=phu!$I$18,M596=phu!$I$19,M596=phu!$I$20,M596=phu!$I$21),"Cam Phúc Bắc",""),IF(OR(M596=phu!$I$22,M596=phu!$I$23,M596=phu!$I$24,M596=phu!$I$25),"Cam Phúc Nam",""),IF(OR(M596=phu!$I$26,M596=phu!$I$27,M596=phu!$I$28,M596=phu!$I$29,M596=phu!$I$30,M596=phu!$I$31),"Cam Phú",""),IF(OR(M596=phu!$I$32,M596=phu!$I$33,M596=phu!$I$34,M596=phu!$I$35,M596=phu!$I$36,M596=phu!$I$37),"Cam Lộc",""),IF(OR(M596=phu!$I$38,M596=phu!$I$39,M596=phu!$I$40,M596=phu!$I$41,M596=phu!$I$42,M596=phu!$I$43,M596=phu!$I$44),"Cam Thuận",""),IF(OR(M596=phu!$I$45,M596=phu!$I$46,M596=phu!$I$47,M596=phu!$I$48,M596=phu!$I$49,M596=phu!$I$50,M596=phu!$I$51,M596=phu!$I$52,M596=phu!$I$53),"Cam Linh",""),IF(OR(M596=phu!$I$54,M596=phu!$I$55,M596=phu!$I$56,M596=phu!$I$57,M596=phu!$I$58,M596=phu!$I$59,M596=phu!$I$60,M596=phu!$I$61,M596=phu!$I$62),"Cam Lợi",""),IF(OR(M596=phu!$I$63,M596=phu!$I$64,M596=phu!$I$65,M596=phu!$I$66,M596=phu!$I$67,M596=phu!$I$68,M596=phu!$I$69,M596=phu!$I$70,M596=phu!$I$71),"Ba Ngòi",""),IF(OR(M596=phu!$I$72,M596=phu!$I$73,M596=phu!$I$74,M596=phu!$I$75,M596=phu!$I$76,M596=phu!$I$77,M596=phu!$I$78),"Cam Phước Đông",""),IF(OR(M596=phu!$I$79,M596=phu!$I$80,M596=phu!$I$81,M596=phu!$I$82,M596=phu!$I$83,M596=phu!$I$84),"Cam Thịnh Đông",""),IF(OR(M596=phu!$I$85,M596=phu!$I$86,M596=phu!$I$87,M596=phu!$I$88),"Cam Thịnh Tây",""),IF(OR(M596=phu!$I$89,M596=phu!$I$90),"Cam Lập",""),IF(OR(M596=phu!$I$91,M596=phu!$I$92,M596=phu!$I$93),"Cam Bình",""),IF(OR(M596=phu!$I$94,M596=phu!$I$95,M596=phu!$I$96,M596=phu!$I$97,M596=phu!$I$98,M596=phu!$I$99,M596=phu!$I$100),"Huyện khác",""),IF(OR(M596=phu!$I$101,M596=phu!$I$102),"Tỉnh khác",""))</f>
        <v/>
      </c>
      <c r="O596" s="829" t="str">
        <f t="shared" si="54"/>
        <v/>
      </c>
      <c r="P596" s="254"/>
      <c r="Q596" s="254"/>
      <c r="R596" s="254"/>
      <c r="S596" s="254"/>
      <c r="T596" s="254"/>
      <c r="U596" s="254"/>
      <c r="V596" s="254"/>
      <c r="W596" s="254"/>
      <c r="Y596" s="246" t="str">
        <f t="shared" si="55"/>
        <v/>
      </c>
      <c r="Z596" s="247" t="str">
        <f t="shared" si="59"/>
        <v/>
      </c>
      <c r="AA596" s="246" t="str">
        <f t="shared" si="56"/>
        <v/>
      </c>
    </row>
    <row r="597" spans="1:27" ht="18" customHeight="1" x14ac:dyDescent="0.25">
      <c r="A597" s="248" t="str">
        <f t="shared" si="57"/>
        <v/>
      </c>
      <c r="B597" s="249" t="str">
        <f t="shared" si="58"/>
        <v/>
      </c>
      <c r="C597" s="250"/>
      <c r="D597" s="251"/>
      <c r="E597" s="241"/>
      <c r="F597" s="252"/>
      <c r="G597" s="252"/>
      <c r="H597" s="253"/>
      <c r="I597" s="250"/>
      <c r="J597" s="250"/>
      <c r="K597" s="270"/>
      <c r="L597" s="250"/>
      <c r="M597" s="250"/>
      <c r="N597" s="540" t="str">
        <f>CONCATENATE(IF(OR(M597=phu!$I$1,M597=phu!$I$2,M597=phu!$I$3),"Cam Thành Nam",""),IF(OR(M597=phu!$I$4,M597=phu!$I$5,M597=phu!$I$6,M597=phu!$I$7,M597=phu!$I$8,M597=phu!$I$9,M597=phu!$I$10,M597=phu!$I$11,M597=phu!$I$12,M597=phu!$I$13,M597=phu!$I$14),"Cam Nghĩa",""),IF(OR(M597=phu!$I$15,M597=phu!$I$16,M597=phu!$I$17,M597=phu!$I$18,M597=phu!$I$19,M597=phu!$I$20,M597=phu!$I$21),"Cam Phúc Bắc",""),IF(OR(M597=phu!$I$22,M597=phu!$I$23,M597=phu!$I$24,M597=phu!$I$25),"Cam Phúc Nam",""),IF(OR(M597=phu!$I$26,M597=phu!$I$27,M597=phu!$I$28,M597=phu!$I$29,M597=phu!$I$30,M597=phu!$I$31),"Cam Phú",""),IF(OR(M597=phu!$I$32,M597=phu!$I$33,M597=phu!$I$34,M597=phu!$I$35,M597=phu!$I$36,M597=phu!$I$37),"Cam Lộc",""),IF(OR(M597=phu!$I$38,M597=phu!$I$39,M597=phu!$I$40,M597=phu!$I$41,M597=phu!$I$42,M597=phu!$I$43,M597=phu!$I$44),"Cam Thuận",""),IF(OR(M597=phu!$I$45,M597=phu!$I$46,M597=phu!$I$47,M597=phu!$I$48,M597=phu!$I$49,M597=phu!$I$50,M597=phu!$I$51,M597=phu!$I$52,M597=phu!$I$53),"Cam Linh",""),IF(OR(M597=phu!$I$54,M597=phu!$I$55,M597=phu!$I$56,M597=phu!$I$57,M597=phu!$I$58,M597=phu!$I$59,M597=phu!$I$60,M597=phu!$I$61,M597=phu!$I$62),"Cam Lợi",""),IF(OR(M597=phu!$I$63,M597=phu!$I$64,M597=phu!$I$65,M597=phu!$I$66,M597=phu!$I$67,M597=phu!$I$68,M597=phu!$I$69,M597=phu!$I$70,M597=phu!$I$71),"Ba Ngòi",""),IF(OR(M597=phu!$I$72,M597=phu!$I$73,M597=phu!$I$74,M597=phu!$I$75,M597=phu!$I$76,M597=phu!$I$77,M597=phu!$I$78),"Cam Phước Đông",""),IF(OR(M597=phu!$I$79,M597=phu!$I$80,M597=phu!$I$81,M597=phu!$I$82,M597=phu!$I$83,M597=phu!$I$84),"Cam Thịnh Đông",""),IF(OR(M597=phu!$I$85,M597=phu!$I$86,M597=phu!$I$87,M597=phu!$I$88),"Cam Thịnh Tây",""),IF(OR(M597=phu!$I$89,M597=phu!$I$90),"Cam Lập",""),IF(OR(M597=phu!$I$91,M597=phu!$I$92,M597=phu!$I$93),"Cam Bình",""),IF(OR(M597=phu!$I$94,M597=phu!$I$95,M597=phu!$I$96,M597=phu!$I$97,M597=phu!$I$98,M597=phu!$I$99,M597=phu!$I$100),"Huyện khác",""),IF(OR(M597=phu!$I$101,M597=phu!$I$102),"Tỉnh khác",""))</f>
        <v/>
      </c>
      <c r="O597" s="829" t="str">
        <f t="shared" si="54"/>
        <v/>
      </c>
      <c r="P597" s="254"/>
      <c r="Q597" s="254"/>
      <c r="R597" s="254"/>
      <c r="S597" s="254"/>
      <c r="T597" s="254"/>
      <c r="U597" s="254"/>
      <c r="V597" s="254"/>
      <c r="W597" s="254"/>
      <c r="Y597" s="246" t="str">
        <f t="shared" si="55"/>
        <v/>
      </c>
      <c r="Z597" s="247" t="str">
        <f t="shared" si="59"/>
        <v/>
      </c>
      <c r="AA597" s="246" t="str">
        <f t="shared" si="56"/>
        <v/>
      </c>
    </row>
    <row r="598" spans="1:27" ht="18" customHeight="1" x14ac:dyDescent="0.25">
      <c r="A598" s="248" t="str">
        <f t="shared" si="57"/>
        <v/>
      </c>
      <c r="B598" s="249" t="str">
        <f t="shared" si="58"/>
        <v/>
      </c>
      <c r="C598" s="250"/>
      <c r="D598" s="251"/>
      <c r="E598" s="241"/>
      <c r="F598" s="252"/>
      <c r="G598" s="252"/>
      <c r="H598" s="253"/>
      <c r="I598" s="250"/>
      <c r="J598" s="250"/>
      <c r="K598" s="270"/>
      <c r="L598" s="250"/>
      <c r="M598" s="250"/>
      <c r="N598" s="540" t="str">
        <f>CONCATENATE(IF(OR(M598=phu!$I$1,M598=phu!$I$2,M598=phu!$I$3),"Cam Thành Nam",""),IF(OR(M598=phu!$I$4,M598=phu!$I$5,M598=phu!$I$6,M598=phu!$I$7,M598=phu!$I$8,M598=phu!$I$9,M598=phu!$I$10,M598=phu!$I$11,M598=phu!$I$12,M598=phu!$I$13,M598=phu!$I$14),"Cam Nghĩa",""),IF(OR(M598=phu!$I$15,M598=phu!$I$16,M598=phu!$I$17,M598=phu!$I$18,M598=phu!$I$19,M598=phu!$I$20,M598=phu!$I$21),"Cam Phúc Bắc",""),IF(OR(M598=phu!$I$22,M598=phu!$I$23,M598=phu!$I$24,M598=phu!$I$25),"Cam Phúc Nam",""),IF(OR(M598=phu!$I$26,M598=phu!$I$27,M598=phu!$I$28,M598=phu!$I$29,M598=phu!$I$30,M598=phu!$I$31),"Cam Phú",""),IF(OR(M598=phu!$I$32,M598=phu!$I$33,M598=phu!$I$34,M598=phu!$I$35,M598=phu!$I$36,M598=phu!$I$37),"Cam Lộc",""),IF(OR(M598=phu!$I$38,M598=phu!$I$39,M598=phu!$I$40,M598=phu!$I$41,M598=phu!$I$42,M598=phu!$I$43,M598=phu!$I$44),"Cam Thuận",""),IF(OR(M598=phu!$I$45,M598=phu!$I$46,M598=phu!$I$47,M598=phu!$I$48,M598=phu!$I$49,M598=phu!$I$50,M598=phu!$I$51,M598=phu!$I$52,M598=phu!$I$53),"Cam Linh",""),IF(OR(M598=phu!$I$54,M598=phu!$I$55,M598=phu!$I$56,M598=phu!$I$57,M598=phu!$I$58,M598=phu!$I$59,M598=phu!$I$60,M598=phu!$I$61,M598=phu!$I$62),"Cam Lợi",""),IF(OR(M598=phu!$I$63,M598=phu!$I$64,M598=phu!$I$65,M598=phu!$I$66,M598=phu!$I$67,M598=phu!$I$68,M598=phu!$I$69,M598=phu!$I$70,M598=phu!$I$71),"Ba Ngòi",""),IF(OR(M598=phu!$I$72,M598=phu!$I$73,M598=phu!$I$74,M598=phu!$I$75,M598=phu!$I$76,M598=phu!$I$77,M598=phu!$I$78),"Cam Phước Đông",""),IF(OR(M598=phu!$I$79,M598=phu!$I$80,M598=phu!$I$81,M598=phu!$I$82,M598=phu!$I$83,M598=phu!$I$84),"Cam Thịnh Đông",""),IF(OR(M598=phu!$I$85,M598=phu!$I$86,M598=phu!$I$87,M598=phu!$I$88),"Cam Thịnh Tây",""),IF(OR(M598=phu!$I$89,M598=phu!$I$90),"Cam Lập",""),IF(OR(M598=phu!$I$91,M598=phu!$I$92,M598=phu!$I$93),"Cam Bình",""),IF(OR(M598=phu!$I$94,M598=phu!$I$95,M598=phu!$I$96,M598=phu!$I$97,M598=phu!$I$98,M598=phu!$I$99,M598=phu!$I$100),"Huyện khác",""),IF(OR(M598=phu!$I$101,M598=phu!$I$102),"Tỉnh khác",""))</f>
        <v/>
      </c>
      <c r="O598" s="829" t="str">
        <f t="shared" si="54"/>
        <v/>
      </c>
      <c r="P598" s="254"/>
      <c r="Q598" s="254"/>
      <c r="R598" s="254"/>
      <c r="S598" s="254"/>
      <c r="T598" s="254"/>
      <c r="U598" s="254"/>
      <c r="V598" s="254"/>
      <c r="W598" s="254"/>
      <c r="Y598" s="246" t="str">
        <f t="shared" si="55"/>
        <v/>
      </c>
      <c r="Z598" s="247" t="str">
        <f t="shared" si="59"/>
        <v/>
      </c>
      <c r="AA598" s="246" t="str">
        <f t="shared" si="56"/>
        <v/>
      </c>
    </row>
    <row r="599" spans="1:27" ht="18" customHeight="1" x14ac:dyDescent="0.25">
      <c r="A599" s="248" t="str">
        <f t="shared" si="57"/>
        <v/>
      </c>
      <c r="B599" s="249" t="str">
        <f t="shared" si="58"/>
        <v/>
      </c>
      <c r="C599" s="250"/>
      <c r="D599" s="251"/>
      <c r="E599" s="241"/>
      <c r="F599" s="252"/>
      <c r="G599" s="252"/>
      <c r="H599" s="253"/>
      <c r="I599" s="250"/>
      <c r="J599" s="250"/>
      <c r="K599" s="270"/>
      <c r="L599" s="250"/>
      <c r="M599" s="250"/>
      <c r="N599" s="540" t="str">
        <f>CONCATENATE(IF(OR(M599=phu!$I$1,M599=phu!$I$2,M599=phu!$I$3),"Cam Thành Nam",""),IF(OR(M599=phu!$I$4,M599=phu!$I$5,M599=phu!$I$6,M599=phu!$I$7,M599=phu!$I$8,M599=phu!$I$9,M599=phu!$I$10,M599=phu!$I$11,M599=phu!$I$12,M599=phu!$I$13,M599=phu!$I$14),"Cam Nghĩa",""),IF(OR(M599=phu!$I$15,M599=phu!$I$16,M599=phu!$I$17,M599=phu!$I$18,M599=phu!$I$19,M599=phu!$I$20,M599=phu!$I$21),"Cam Phúc Bắc",""),IF(OR(M599=phu!$I$22,M599=phu!$I$23,M599=phu!$I$24,M599=phu!$I$25),"Cam Phúc Nam",""),IF(OR(M599=phu!$I$26,M599=phu!$I$27,M599=phu!$I$28,M599=phu!$I$29,M599=phu!$I$30,M599=phu!$I$31),"Cam Phú",""),IF(OR(M599=phu!$I$32,M599=phu!$I$33,M599=phu!$I$34,M599=phu!$I$35,M599=phu!$I$36,M599=phu!$I$37),"Cam Lộc",""),IF(OR(M599=phu!$I$38,M599=phu!$I$39,M599=phu!$I$40,M599=phu!$I$41,M599=phu!$I$42,M599=phu!$I$43,M599=phu!$I$44),"Cam Thuận",""),IF(OR(M599=phu!$I$45,M599=phu!$I$46,M599=phu!$I$47,M599=phu!$I$48,M599=phu!$I$49,M599=phu!$I$50,M599=phu!$I$51,M599=phu!$I$52,M599=phu!$I$53),"Cam Linh",""),IF(OR(M599=phu!$I$54,M599=phu!$I$55,M599=phu!$I$56,M599=phu!$I$57,M599=phu!$I$58,M599=phu!$I$59,M599=phu!$I$60,M599=phu!$I$61,M599=phu!$I$62),"Cam Lợi",""),IF(OR(M599=phu!$I$63,M599=phu!$I$64,M599=phu!$I$65,M599=phu!$I$66,M599=phu!$I$67,M599=phu!$I$68,M599=phu!$I$69,M599=phu!$I$70,M599=phu!$I$71),"Ba Ngòi",""),IF(OR(M599=phu!$I$72,M599=phu!$I$73,M599=phu!$I$74,M599=phu!$I$75,M599=phu!$I$76,M599=phu!$I$77,M599=phu!$I$78),"Cam Phước Đông",""),IF(OR(M599=phu!$I$79,M599=phu!$I$80,M599=phu!$I$81,M599=phu!$I$82,M599=phu!$I$83,M599=phu!$I$84),"Cam Thịnh Đông",""),IF(OR(M599=phu!$I$85,M599=phu!$I$86,M599=phu!$I$87,M599=phu!$I$88),"Cam Thịnh Tây",""),IF(OR(M599=phu!$I$89,M599=phu!$I$90),"Cam Lập",""),IF(OR(M599=phu!$I$91,M599=phu!$I$92,M599=phu!$I$93),"Cam Bình",""),IF(OR(M599=phu!$I$94,M599=phu!$I$95,M599=phu!$I$96,M599=phu!$I$97,M599=phu!$I$98,M599=phu!$I$99,M599=phu!$I$100),"Huyện khác",""),IF(OR(M599=phu!$I$101,M599=phu!$I$102),"Tỉnh khác",""))</f>
        <v/>
      </c>
      <c r="O599" s="829" t="str">
        <f t="shared" si="54"/>
        <v/>
      </c>
      <c r="P599" s="254"/>
      <c r="Q599" s="254"/>
      <c r="R599" s="254"/>
      <c r="S599" s="254"/>
      <c r="T599" s="254"/>
      <c r="U599" s="254"/>
      <c r="V599" s="254"/>
      <c r="W599" s="254"/>
      <c r="Y599" s="246" t="str">
        <f t="shared" si="55"/>
        <v/>
      </c>
      <c r="Z599" s="247" t="str">
        <f t="shared" si="59"/>
        <v/>
      </c>
      <c r="AA599" s="246" t="str">
        <f t="shared" si="56"/>
        <v/>
      </c>
    </row>
    <row r="600" spans="1:27" ht="18" customHeight="1" x14ac:dyDescent="0.25">
      <c r="A600" s="248" t="str">
        <f t="shared" si="57"/>
        <v/>
      </c>
      <c r="B600" s="249" t="str">
        <f t="shared" si="58"/>
        <v/>
      </c>
      <c r="C600" s="250"/>
      <c r="D600" s="251"/>
      <c r="E600" s="241"/>
      <c r="F600" s="252"/>
      <c r="G600" s="252"/>
      <c r="H600" s="253"/>
      <c r="I600" s="250"/>
      <c r="J600" s="250"/>
      <c r="K600" s="270"/>
      <c r="L600" s="250"/>
      <c r="M600" s="250"/>
      <c r="N600" s="540" t="str">
        <f>CONCATENATE(IF(OR(M600=phu!$I$1,M600=phu!$I$2,M600=phu!$I$3),"Cam Thành Nam",""),IF(OR(M600=phu!$I$4,M600=phu!$I$5,M600=phu!$I$6,M600=phu!$I$7,M600=phu!$I$8,M600=phu!$I$9,M600=phu!$I$10,M600=phu!$I$11,M600=phu!$I$12,M600=phu!$I$13,M600=phu!$I$14),"Cam Nghĩa",""),IF(OR(M600=phu!$I$15,M600=phu!$I$16,M600=phu!$I$17,M600=phu!$I$18,M600=phu!$I$19,M600=phu!$I$20,M600=phu!$I$21),"Cam Phúc Bắc",""),IF(OR(M600=phu!$I$22,M600=phu!$I$23,M600=phu!$I$24,M600=phu!$I$25),"Cam Phúc Nam",""),IF(OR(M600=phu!$I$26,M600=phu!$I$27,M600=phu!$I$28,M600=phu!$I$29,M600=phu!$I$30,M600=phu!$I$31),"Cam Phú",""),IF(OR(M600=phu!$I$32,M600=phu!$I$33,M600=phu!$I$34,M600=phu!$I$35,M600=phu!$I$36,M600=phu!$I$37),"Cam Lộc",""),IF(OR(M600=phu!$I$38,M600=phu!$I$39,M600=phu!$I$40,M600=phu!$I$41,M600=phu!$I$42,M600=phu!$I$43,M600=phu!$I$44),"Cam Thuận",""),IF(OR(M600=phu!$I$45,M600=phu!$I$46,M600=phu!$I$47,M600=phu!$I$48,M600=phu!$I$49,M600=phu!$I$50,M600=phu!$I$51,M600=phu!$I$52,M600=phu!$I$53),"Cam Linh",""),IF(OR(M600=phu!$I$54,M600=phu!$I$55,M600=phu!$I$56,M600=phu!$I$57,M600=phu!$I$58,M600=phu!$I$59,M600=phu!$I$60,M600=phu!$I$61,M600=phu!$I$62),"Cam Lợi",""),IF(OR(M600=phu!$I$63,M600=phu!$I$64,M600=phu!$I$65,M600=phu!$I$66,M600=phu!$I$67,M600=phu!$I$68,M600=phu!$I$69,M600=phu!$I$70,M600=phu!$I$71),"Ba Ngòi",""),IF(OR(M600=phu!$I$72,M600=phu!$I$73,M600=phu!$I$74,M600=phu!$I$75,M600=phu!$I$76,M600=phu!$I$77,M600=phu!$I$78),"Cam Phước Đông",""),IF(OR(M600=phu!$I$79,M600=phu!$I$80,M600=phu!$I$81,M600=phu!$I$82,M600=phu!$I$83,M600=phu!$I$84),"Cam Thịnh Đông",""),IF(OR(M600=phu!$I$85,M600=phu!$I$86,M600=phu!$I$87,M600=phu!$I$88),"Cam Thịnh Tây",""),IF(OR(M600=phu!$I$89,M600=phu!$I$90),"Cam Lập",""),IF(OR(M600=phu!$I$91,M600=phu!$I$92,M600=phu!$I$93),"Cam Bình",""),IF(OR(M600=phu!$I$94,M600=phu!$I$95,M600=phu!$I$96,M600=phu!$I$97,M600=phu!$I$98,M600=phu!$I$99,M600=phu!$I$100),"Huyện khác",""),IF(OR(M600=phu!$I$101,M600=phu!$I$102),"Tỉnh khác",""))</f>
        <v/>
      </c>
      <c r="O600" s="829" t="str">
        <f t="shared" si="54"/>
        <v/>
      </c>
      <c r="P600" s="254"/>
      <c r="Q600" s="254"/>
      <c r="R600" s="254"/>
      <c r="S600" s="254"/>
      <c r="T600" s="254"/>
      <c r="U600" s="254"/>
      <c r="V600" s="254"/>
      <c r="W600" s="254"/>
      <c r="Y600" s="246" t="str">
        <f t="shared" si="55"/>
        <v/>
      </c>
      <c r="Z600" s="247" t="str">
        <f t="shared" si="59"/>
        <v/>
      </c>
      <c r="AA600" s="246" t="str">
        <f t="shared" si="56"/>
        <v/>
      </c>
    </row>
    <row r="601" spans="1:27" ht="18" customHeight="1" x14ac:dyDescent="0.25">
      <c r="A601" s="248" t="str">
        <f t="shared" si="57"/>
        <v/>
      </c>
      <c r="B601" s="249" t="str">
        <f t="shared" si="58"/>
        <v/>
      </c>
      <c r="C601" s="250"/>
      <c r="D601" s="251"/>
      <c r="E601" s="241"/>
      <c r="F601" s="252"/>
      <c r="G601" s="252"/>
      <c r="H601" s="253"/>
      <c r="I601" s="250"/>
      <c r="J601" s="250"/>
      <c r="K601" s="270"/>
      <c r="L601" s="250"/>
      <c r="M601" s="250"/>
      <c r="N601" s="540" t="str">
        <f>CONCATENATE(IF(OR(M601=phu!$I$1,M601=phu!$I$2,M601=phu!$I$3),"Cam Thành Nam",""),IF(OR(M601=phu!$I$4,M601=phu!$I$5,M601=phu!$I$6,M601=phu!$I$7,M601=phu!$I$8,M601=phu!$I$9,M601=phu!$I$10,M601=phu!$I$11,M601=phu!$I$12,M601=phu!$I$13,M601=phu!$I$14),"Cam Nghĩa",""),IF(OR(M601=phu!$I$15,M601=phu!$I$16,M601=phu!$I$17,M601=phu!$I$18,M601=phu!$I$19,M601=phu!$I$20,M601=phu!$I$21),"Cam Phúc Bắc",""),IF(OR(M601=phu!$I$22,M601=phu!$I$23,M601=phu!$I$24,M601=phu!$I$25),"Cam Phúc Nam",""),IF(OR(M601=phu!$I$26,M601=phu!$I$27,M601=phu!$I$28,M601=phu!$I$29,M601=phu!$I$30,M601=phu!$I$31),"Cam Phú",""),IF(OR(M601=phu!$I$32,M601=phu!$I$33,M601=phu!$I$34,M601=phu!$I$35,M601=phu!$I$36,M601=phu!$I$37),"Cam Lộc",""),IF(OR(M601=phu!$I$38,M601=phu!$I$39,M601=phu!$I$40,M601=phu!$I$41,M601=phu!$I$42,M601=phu!$I$43,M601=phu!$I$44),"Cam Thuận",""),IF(OR(M601=phu!$I$45,M601=phu!$I$46,M601=phu!$I$47,M601=phu!$I$48,M601=phu!$I$49,M601=phu!$I$50,M601=phu!$I$51,M601=phu!$I$52,M601=phu!$I$53),"Cam Linh",""),IF(OR(M601=phu!$I$54,M601=phu!$I$55,M601=phu!$I$56,M601=phu!$I$57,M601=phu!$I$58,M601=phu!$I$59,M601=phu!$I$60,M601=phu!$I$61,M601=phu!$I$62),"Cam Lợi",""),IF(OR(M601=phu!$I$63,M601=phu!$I$64,M601=phu!$I$65,M601=phu!$I$66,M601=phu!$I$67,M601=phu!$I$68,M601=phu!$I$69,M601=phu!$I$70,M601=phu!$I$71),"Ba Ngòi",""),IF(OR(M601=phu!$I$72,M601=phu!$I$73,M601=phu!$I$74,M601=phu!$I$75,M601=phu!$I$76,M601=phu!$I$77,M601=phu!$I$78),"Cam Phước Đông",""),IF(OR(M601=phu!$I$79,M601=phu!$I$80,M601=phu!$I$81,M601=phu!$I$82,M601=phu!$I$83,M601=phu!$I$84),"Cam Thịnh Đông",""),IF(OR(M601=phu!$I$85,M601=phu!$I$86,M601=phu!$I$87,M601=phu!$I$88),"Cam Thịnh Tây",""),IF(OR(M601=phu!$I$89,M601=phu!$I$90),"Cam Lập",""),IF(OR(M601=phu!$I$91,M601=phu!$I$92,M601=phu!$I$93),"Cam Bình",""),IF(OR(M601=phu!$I$94,M601=phu!$I$95,M601=phu!$I$96,M601=phu!$I$97,M601=phu!$I$98,M601=phu!$I$99,M601=phu!$I$100),"Huyện khác",""),IF(OR(M601=phu!$I$101,M601=phu!$I$102),"Tỉnh khác",""))</f>
        <v/>
      </c>
      <c r="O601" s="829" t="str">
        <f t="shared" si="54"/>
        <v/>
      </c>
      <c r="P601" s="254"/>
      <c r="Q601" s="254"/>
      <c r="R601" s="254"/>
      <c r="S601" s="254"/>
      <c r="T601" s="254"/>
      <c r="U601" s="254"/>
      <c r="V601" s="254"/>
      <c r="W601" s="254"/>
      <c r="Y601" s="246" t="str">
        <f t="shared" si="55"/>
        <v/>
      </c>
      <c r="Z601" s="247" t="str">
        <f t="shared" si="59"/>
        <v/>
      </c>
      <c r="AA601" s="246" t="str">
        <f t="shared" si="56"/>
        <v/>
      </c>
    </row>
    <row r="602" spans="1:27" ht="18" customHeight="1" x14ac:dyDescent="0.25">
      <c r="A602" s="248" t="str">
        <f t="shared" si="57"/>
        <v/>
      </c>
      <c r="B602" s="249" t="str">
        <f t="shared" si="58"/>
        <v/>
      </c>
      <c r="C602" s="250"/>
      <c r="D602" s="251"/>
      <c r="E602" s="241"/>
      <c r="F602" s="252"/>
      <c r="G602" s="252"/>
      <c r="H602" s="253"/>
      <c r="I602" s="250"/>
      <c r="J602" s="250"/>
      <c r="K602" s="270"/>
      <c r="L602" s="250"/>
      <c r="M602" s="250"/>
      <c r="N602" s="540" t="str">
        <f>CONCATENATE(IF(OR(M602=phu!$I$1,M602=phu!$I$2,M602=phu!$I$3),"Cam Thành Nam",""),IF(OR(M602=phu!$I$4,M602=phu!$I$5,M602=phu!$I$6,M602=phu!$I$7,M602=phu!$I$8,M602=phu!$I$9,M602=phu!$I$10,M602=phu!$I$11,M602=phu!$I$12,M602=phu!$I$13,M602=phu!$I$14),"Cam Nghĩa",""),IF(OR(M602=phu!$I$15,M602=phu!$I$16,M602=phu!$I$17,M602=phu!$I$18,M602=phu!$I$19,M602=phu!$I$20,M602=phu!$I$21),"Cam Phúc Bắc",""),IF(OR(M602=phu!$I$22,M602=phu!$I$23,M602=phu!$I$24,M602=phu!$I$25),"Cam Phúc Nam",""),IF(OR(M602=phu!$I$26,M602=phu!$I$27,M602=phu!$I$28,M602=phu!$I$29,M602=phu!$I$30,M602=phu!$I$31),"Cam Phú",""),IF(OR(M602=phu!$I$32,M602=phu!$I$33,M602=phu!$I$34,M602=phu!$I$35,M602=phu!$I$36,M602=phu!$I$37),"Cam Lộc",""),IF(OR(M602=phu!$I$38,M602=phu!$I$39,M602=phu!$I$40,M602=phu!$I$41,M602=phu!$I$42,M602=phu!$I$43,M602=phu!$I$44),"Cam Thuận",""),IF(OR(M602=phu!$I$45,M602=phu!$I$46,M602=phu!$I$47,M602=phu!$I$48,M602=phu!$I$49,M602=phu!$I$50,M602=phu!$I$51,M602=phu!$I$52,M602=phu!$I$53),"Cam Linh",""),IF(OR(M602=phu!$I$54,M602=phu!$I$55,M602=phu!$I$56,M602=phu!$I$57,M602=phu!$I$58,M602=phu!$I$59,M602=phu!$I$60,M602=phu!$I$61,M602=phu!$I$62),"Cam Lợi",""),IF(OR(M602=phu!$I$63,M602=phu!$I$64,M602=phu!$I$65,M602=phu!$I$66,M602=phu!$I$67,M602=phu!$I$68,M602=phu!$I$69,M602=phu!$I$70,M602=phu!$I$71),"Ba Ngòi",""),IF(OR(M602=phu!$I$72,M602=phu!$I$73,M602=phu!$I$74,M602=phu!$I$75,M602=phu!$I$76,M602=phu!$I$77,M602=phu!$I$78),"Cam Phước Đông",""),IF(OR(M602=phu!$I$79,M602=phu!$I$80,M602=phu!$I$81,M602=phu!$I$82,M602=phu!$I$83,M602=phu!$I$84),"Cam Thịnh Đông",""),IF(OR(M602=phu!$I$85,M602=phu!$I$86,M602=phu!$I$87,M602=phu!$I$88),"Cam Thịnh Tây",""),IF(OR(M602=phu!$I$89,M602=phu!$I$90),"Cam Lập",""),IF(OR(M602=phu!$I$91,M602=phu!$I$92,M602=phu!$I$93),"Cam Bình",""),IF(OR(M602=phu!$I$94,M602=phu!$I$95,M602=phu!$I$96,M602=phu!$I$97,M602=phu!$I$98,M602=phu!$I$99,M602=phu!$I$100),"Huyện khác",""),IF(OR(M602=phu!$I$101,M602=phu!$I$102),"Tỉnh khác",""))</f>
        <v/>
      </c>
      <c r="O602" s="829" t="str">
        <f t="shared" si="54"/>
        <v/>
      </c>
      <c r="P602" s="254"/>
      <c r="Q602" s="254"/>
      <c r="R602" s="254"/>
      <c r="S602" s="254"/>
      <c r="T602" s="254"/>
      <c r="U602" s="254"/>
      <c r="V602" s="254"/>
      <c r="W602" s="254"/>
      <c r="Y602" s="246" t="str">
        <f t="shared" si="55"/>
        <v/>
      </c>
      <c r="Z602" s="247" t="str">
        <f t="shared" si="59"/>
        <v/>
      </c>
      <c r="AA602" s="246" t="str">
        <f t="shared" si="56"/>
        <v/>
      </c>
    </row>
    <row r="603" spans="1:27" ht="18" customHeight="1" x14ac:dyDescent="0.25">
      <c r="A603" s="248" t="str">
        <f t="shared" si="57"/>
        <v/>
      </c>
      <c r="B603" s="249" t="str">
        <f t="shared" si="58"/>
        <v/>
      </c>
      <c r="C603" s="250"/>
      <c r="D603" s="251"/>
      <c r="E603" s="241"/>
      <c r="F603" s="252"/>
      <c r="G603" s="252"/>
      <c r="H603" s="253"/>
      <c r="I603" s="250"/>
      <c r="J603" s="250"/>
      <c r="K603" s="270"/>
      <c r="L603" s="250"/>
      <c r="M603" s="250"/>
      <c r="N603" s="540" t="str">
        <f>CONCATENATE(IF(OR(M603=phu!$I$1,M603=phu!$I$2,M603=phu!$I$3),"Cam Thành Nam",""),IF(OR(M603=phu!$I$4,M603=phu!$I$5,M603=phu!$I$6,M603=phu!$I$7,M603=phu!$I$8,M603=phu!$I$9,M603=phu!$I$10,M603=phu!$I$11,M603=phu!$I$12,M603=phu!$I$13,M603=phu!$I$14),"Cam Nghĩa",""),IF(OR(M603=phu!$I$15,M603=phu!$I$16,M603=phu!$I$17,M603=phu!$I$18,M603=phu!$I$19,M603=phu!$I$20,M603=phu!$I$21),"Cam Phúc Bắc",""),IF(OR(M603=phu!$I$22,M603=phu!$I$23,M603=phu!$I$24,M603=phu!$I$25),"Cam Phúc Nam",""),IF(OR(M603=phu!$I$26,M603=phu!$I$27,M603=phu!$I$28,M603=phu!$I$29,M603=phu!$I$30,M603=phu!$I$31),"Cam Phú",""),IF(OR(M603=phu!$I$32,M603=phu!$I$33,M603=phu!$I$34,M603=phu!$I$35,M603=phu!$I$36,M603=phu!$I$37),"Cam Lộc",""),IF(OR(M603=phu!$I$38,M603=phu!$I$39,M603=phu!$I$40,M603=phu!$I$41,M603=phu!$I$42,M603=phu!$I$43,M603=phu!$I$44),"Cam Thuận",""),IF(OR(M603=phu!$I$45,M603=phu!$I$46,M603=phu!$I$47,M603=phu!$I$48,M603=phu!$I$49,M603=phu!$I$50,M603=phu!$I$51,M603=phu!$I$52,M603=phu!$I$53),"Cam Linh",""),IF(OR(M603=phu!$I$54,M603=phu!$I$55,M603=phu!$I$56,M603=phu!$I$57,M603=phu!$I$58,M603=phu!$I$59,M603=phu!$I$60,M603=phu!$I$61,M603=phu!$I$62),"Cam Lợi",""),IF(OR(M603=phu!$I$63,M603=phu!$I$64,M603=phu!$I$65,M603=phu!$I$66,M603=phu!$I$67,M603=phu!$I$68,M603=phu!$I$69,M603=phu!$I$70,M603=phu!$I$71),"Ba Ngòi",""),IF(OR(M603=phu!$I$72,M603=phu!$I$73,M603=phu!$I$74,M603=phu!$I$75,M603=phu!$I$76,M603=phu!$I$77,M603=phu!$I$78),"Cam Phước Đông",""),IF(OR(M603=phu!$I$79,M603=phu!$I$80,M603=phu!$I$81,M603=phu!$I$82,M603=phu!$I$83,M603=phu!$I$84),"Cam Thịnh Đông",""),IF(OR(M603=phu!$I$85,M603=phu!$I$86,M603=phu!$I$87,M603=phu!$I$88),"Cam Thịnh Tây",""),IF(OR(M603=phu!$I$89,M603=phu!$I$90),"Cam Lập",""),IF(OR(M603=phu!$I$91,M603=phu!$I$92,M603=phu!$I$93),"Cam Bình",""),IF(OR(M603=phu!$I$94,M603=phu!$I$95,M603=phu!$I$96,M603=phu!$I$97,M603=phu!$I$98,M603=phu!$I$99,M603=phu!$I$100),"Huyện khác",""),IF(OR(M603=phu!$I$101,M603=phu!$I$102),"Tỉnh khác",""))</f>
        <v/>
      </c>
      <c r="O603" s="829" t="str">
        <f t="shared" si="54"/>
        <v/>
      </c>
      <c r="P603" s="254"/>
      <c r="Q603" s="254"/>
      <c r="R603" s="254"/>
      <c r="S603" s="254"/>
      <c r="T603" s="254"/>
      <c r="U603" s="254"/>
      <c r="V603" s="254"/>
      <c r="W603" s="254"/>
      <c r="Y603" s="246" t="str">
        <f t="shared" si="55"/>
        <v/>
      </c>
      <c r="Z603" s="247" t="str">
        <f t="shared" si="59"/>
        <v/>
      </c>
      <c r="AA603" s="246" t="str">
        <f t="shared" si="56"/>
        <v/>
      </c>
    </row>
    <row r="604" spans="1:27" ht="18" customHeight="1" x14ac:dyDescent="0.25">
      <c r="A604" s="248" t="str">
        <f t="shared" si="57"/>
        <v/>
      </c>
      <c r="B604" s="249" t="str">
        <f t="shared" si="58"/>
        <v/>
      </c>
      <c r="C604" s="250"/>
      <c r="D604" s="251"/>
      <c r="E604" s="241"/>
      <c r="F604" s="252"/>
      <c r="G604" s="252"/>
      <c r="H604" s="253"/>
      <c r="I604" s="250"/>
      <c r="J604" s="250"/>
      <c r="K604" s="270"/>
      <c r="L604" s="250"/>
      <c r="M604" s="250"/>
      <c r="N604" s="540" t="str">
        <f>CONCATENATE(IF(OR(M604=phu!$I$1,M604=phu!$I$2,M604=phu!$I$3),"Cam Thành Nam",""),IF(OR(M604=phu!$I$4,M604=phu!$I$5,M604=phu!$I$6,M604=phu!$I$7,M604=phu!$I$8,M604=phu!$I$9,M604=phu!$I$10,M604=phu!$I$11,M604=phu!$I$12,M604=phu!$I$13,M604=phu!$I$14),"Cam Nghĩa",""),IF(OR(M604=phu!$I$15,M604=phu!$I$16,M604=phu!$I$17,M604=phu!$I$18,M604=phu!$I$19,M604=phu!$I$20,M604=phu!$I$21),"Cam Phúc Bắc",""),IF(OR(M604=phu!$I$22,M604=phu!$I$23,M604=phu!$I$24,M604=phu!$I$25),"Cam Phúc Nam",""),IF(OR(M604=phu!$I$26,M604=phu!$I$27,M604=phu!$I$28,M604=phu!$I$29,M604=phu!$I$30,M604=phu!$I$31),"Cam Phú",""),IF(OR(M604=phu!$I$32,M604=phu!$I$33,M604=phu!$I$34,M604=phu!$I$35,M604=phu!$I$36,M604=phu!$I$37),"Cam Lộc",""),IF(OR(M604=phu!$I$38,M604=phu!$I$39,M604=phu!$I$40,M604=phu!$I$41,M604=phu!$I$42,M604=phu!$I$43,M604=phu!$I$44),"Cam Thuận",""),IF(OR(M604=phu!$I$45,M604=phu!$I$46,M604=phu!$I$47,M604=phu!$I$48,M604=phu!$I$49,M604=phu!$I$50,M604=phu!$I$51,M604=phu!$I$52,M604=phu!$I$53),"Cam Linh",""),IF(OR(M604=phu!$I$54,M604=phu!$I$55,M604=phu!$I$56,M604=phu!$I$57,M604=phu!$I$58,M604=phu!$I$59,M604=phu!$I$60,M604=phu!$I$61,M604=phu!$I$62),"Cam Lợi",""),IF(OR(M604=phu!$I$63,M604=phu!$I$64,M604=phu!$I$65,M604=phu!$I$66,M604=phu!$I$67,M604=phu!$I$68,M604=phu!$I$69,M604=phu!$I$70,M604=phu!$I$71),"Ba Ngòi",""),IF(OR(M604=phu!$I$72,M604=phu!$I$73,M604=phu!$I$74,M604=phu!$I$75,M604=phu!$I$76,M604=phu!$I$77,M604=phu!$I$78),"Cam Phước Đông",""),IF(OR(M604=phu!$I$79,M604=phu!$I$80,M604=phu!$I$81,M604=phu!$I$82,M604=phu!$I$83,M604=phu!$I$84),"Cam Thịnh Đông",""),IF(OR(M604=phu!$I$85,M604=phu!$I$86,M604=phu!$I$87,M604=phu!$I$88),"Cam Thịnh Tây",""),IF(OR(M604=phu!$I$89,M604=phu!$I$90),"Cam Lập",""),IF(OR(M604=phu!$I$91,M604=phu!$I$92,M604=phu!$I$93),"Cam Bình",""),IF(OR(M604=phu!$I$94,M604=phu!$I$95,M604=phu!$I$96,M604=phu!$I$97,M604=phu!$I$98,M604=phu!$I$99,M604=phu!$I$100),"Huyện khác",""),IF(OR(M604=phu!$I$101,M604=phu!$I$102),"Tỉnh khác",""))</f>
        <v/>
      </c>
      <c r="O604" s="829" t="str">
        <f t="shared" si="54"/>
        <v/>
      </c>
      <c r="P604" s="254"/>
      <c r="Q604" s="254"/>
      <c r="R604" s="254"/>
      <c r="S604" s="254"/>
      <c r="T604" s="254"/>
      <c r="U604" s="254"/>
      <c r="V604" s="254"/>
      <c r="W604" s="254"/>
      <c r="Y604" s="246" t="str">
        <f t="shared" si="55"/>
        <v/>
      </c>
      <c r="Z604" s="247" t="str">
        <f t="shared" si="59"/>
        <v/>
      </c>
      <c r="AA604" s="246" t="str">
        <f t="shared" si="56"/>
        <v/>
      </c>
    </row>
    <row r="605" spans="1:27" ht="18" customHeight="1" x14ac:dyDescent="0.25">
      <c r="A605" s="248" t="str">
        <f t="shared" si="57"/>
        <v/>
      </c>
      <c r="B605" s="249" t="str">
        <f t="shared" si="58"/>
        <v/>
      </c>
      <c r="C605" s="250"/>
      <c r="D605" s="251"/>
      <c r="E605" s="241"/>
      <c r="F605" s="252"/>
      <c r="G605" s="252"/>
      <c r="H605" s="253"/>
      <c r="I605" s="250"/>
      <c r="J605" s="250"/>
      <c r="K605" s="270"/>
      <c r="L605" s="250"/>
      <c r="M605" s="250"/>
      <c r="N605" s="540" t="str">
        <f>CONCATENATE(IF(OR(M605=phu!$I$1,M605=phu!$I$2,M605=phu!$I$3),"Cam Thành Nam",""),IF(OR(M605=phu!$I$4,M605=phu!$I$5,M605=phu!$I$6,M605=phu!$I$7,M605=phu!$I$8,M605=phu!$I$9,M605=phu!$I$10,M605=phu!$I$11,M605=phu!$I$12,M605=phu!$I$13,M605=phu!$I$14),"Cam Nghĩa",""),IF(OR(M605=phu!$I$15,M605=phu!$I$16,M605=phu!$I$17,M605=phu!$I$18,M605=phu!$I$19,M605=phu!$I$20,M605=phu!$I$21),"Cam Phúc Bắc",""),IF(OR(M605=phu!$I$22,M605=phu!$I$23,M605=phu!$I$24,M605=phu!$I$25),"Cam Phúc Nam",""),IF(OR(M605=phu!$I$26,M605=phu!$I$27,M605=phu!$I$28,M605=phu!$I$29,M605=phu!$I$30,M605=phu!$I$31),"Cam Phú",""),IF(OR(M605=phu!$I$32,M605=phu!$I$33,M605=phu!$I$34,M605=phu!$I$35,M605=phu!$I$36,M605=phu!$I$37),"Cam Lộc",""),IF(OR(M605=phu!$I$38,M605=phu!$I$39,M605=phu!$I$40,M605=phu!$I$41,M605=phu!$I$42,M605=phu!$I$43,M605=phu!$I$44),"Cam Thuận",""),IF(OR(M605=phu!$I$45,M605=phu!$I$46,M605=phu!$I$47,M605=phu!$I$48,M605=phu!$I$49,M605=phu!$I$50,M605=phu!$I$51,M605=phu!$I$52,M605=phu!$I$53),"Cam Linh",""),IF(OR(M605=phu!$I$54,M605=phu!$I$55,M605=phu!$I$56,M605=phu!$I$57,M605=phu!$I$58,M605=phu!$I$59,M605=phu!$I$60,M605=phu!$I$61,M605=phu!$I$62),"Cam Lợi",""),IF(OR(M605=phu!$I$63,M605=phu!$I$64,M605=phu!$I$65,M605=phu!$I$66,M605=phu!$I$67,M605=phu!$I$68,M605=phu!$I$69,M605=phu!$I$70,M605=phu!$I$71),"Ba Ngòi",""),IF(OR(M605=phu!$I$72,M605=phu!$I$73,M605=phu!$I$74,M605=phu!$I$75,M605=phu!$I$76,M605=phu!$I$77,M605=phu!$I$78),"Cam Phước Đông",""),IF(OR(M605=phu!$I$79,M605=phu!$I$80,M605=phu!$I$81,M605=phu!$I$82,M605=phu!$I$83,M605=phu!$I$84),"Cam Thịnh Đông",""),IF(OR(M605=phu!$I$85,M605=phu!$I$86,M605=phu!$I$87,M605=phu!$I$88),"Cam Thịnh Tây",""),IF(OR(M605=phu!$I$89,M605=phu!$I$90),"Cam Lập",""),IF(OR(M605=phu!$I$91,M605=phu!$I$92,M605=phu!$I$93),"Cam Bình",""),IF(OR(M605=phu!$I$94,M605=phu!$I$95,M605=phu!$I$96,M605=phu!$I$97,M605=phu!$I$98,M605=phu!$I$99,M605=phu!$I$100),"Huyện khác",""),IF(OR(M605=phu!$I$101,M605=phu!$I$102),"Tỉnh khác",""))</f>
        <v/>
      </c>
      <c r="O605" s="829" t="str">
        <f t="shared" si="54"/>
        <v/>
      </c>
      <c r="P605" s="254"/>
      <c r="Q605" s="254"/>
      <c r="R605" s="254"/>
      <c r="S605" s="254"/>
      <c r="T605" s="254"/>
      <c r="U605" s="254"/>
      <c r="V605" s="254"/>
      <c r="W605" s="254"/>
      <c r="Y605" s="246" t="str">
        <f t="shared" si="55"/>
        <v/>
      </c>
      <c r="Z605" s="247" t="str">
        <f t="shared" si="59"/>
        <v/>
      </c>
      <c r="AA605" s="246" t="str">
        <f t="shared" si="56"/>
        <v/>
      </c>
    </row>
    <row r="606" spans="1:27" ht="18" customHeight="1" x14ac:dyDescent="0.25">
      <c r="A606" s="248" t="str">
        <f t="shared" si="57"/>
        <v/>
      </c>
      <c r="B606" s="249" t="str">
        <f t="shared" si="58"/>
        <v/>
      </c>
      <c r="C606" s="250"/>
      <c r="D606" s="251"/>
      <c r="E606" s="241"/>
      <c r="F606" s="252"/>
      <c r="G606" s="252"/>
      <c r="H606" s="253"/>
      <c r="I606" s="250"/>
      <c r="J606" s="250"/>
      <c r="K606" s="270"/>
      <c r="L606" s="250"/>
      <c r="M606" s="250"/>
      <c r="N606" s="540" t="str">
        <f>CONCATENATE(IF(OR(M606=phu!$I$1,M606=phu!$I$2,M606=phu!$I$3),"Cam Thành Nam",""),IF(OR(M606=phu!$I$4,M606=phu!$I$5,M606=phu!$I$6,M606=phu!$I$7,M606=phu!$I$8,M606=phu!$I$9,M606=phu!$I$10,M606=phu!$I$11,M606=phu!$I$12,M606=phu!$I$13,M606=phu!$I$14),"Cam Nghĩa",""),IF(OR(M606=phu!$I$15,M606=phu!$I$16,M606=phu!$I$17,M606=phu!$I$18,M606=phu!$I$19,M606=phu!$I$20,M606=phu!$I$21),"Cam Phúc Bắc",""),IF(OR(M606=phu!$I$22,M606=phu!$I$23,M606=phu!$I$24,M606=phu!$I$25),"Cam Phúc Nam",""),IF(OR(M606=phu!$I$26,M606=phu!$I$27,M606=phu!$I$28,M606=phu!$I$29,M606=phu!$I$30,M606=phu!$I$31),"Cam Phú",""),IF(OR(M606=phu!$I$32,M606=phu!$I$33,M606=phu!$I$34,M606=phu!$I$35,M606=phu!$I$36,M606=phu!$I$37),"Cam Lộc",""),IF(OR(M606=phu!$I$38,M606=phu!$I$39,M606=phu!$I$40,M606=phu!$I$41,M606=phu!$I$42,M606=phu!$I$43,M606=phu!$I$44),"Cam Thuận",""),IF(OR(M606=phu!$I$45,M606=phu!$I$46,M606=phu!$I$47,M606=phu!$I$48,M606=phu!$I$49,M606=phu!$I$50,M606=phu!$I$51,M606=phu!$I$52,M606=phu!$I$53),"Cam Linh",""),IF(OR(M606=phu!$I$54,M606=phu!$I$55,M606=phu!$I$56,M606=phu!$I$57,M606=phu!$I$58,M606=phu!$I$59,M606=phu!$I$60,M606=phu!$I$61,M606=phu!$I$62),"Cam Lợi",""),IF(OR(M606=phu!$I$63,M606=phu!$I$64,M606=phu!$I$65,M606=phu!$I$66,M606=phu!$I$67,M606=phu!$I$68,M606=phu!$I$69,M606=phu!$I$70,M606=phu!$I$71),"Ba Ngòi",""),IF(OR(M606=phu!$I$72,M606=phu!$I$73,M606=phu!$I$74,M606=phu!$I$75,M606=phu!$I$76,M606=phu!$I$77,M606=phu!$I$78),"Cam Phước Đông",""),IF(OR(M606=phu!$I$79,M606=phu!$I$80,M606=phu!$I$81,M606=phu!$I$82,M606=phu!$I$83,M606=phu!$I$84),"Cam Thịnh Đông",""),IF(OR(M606=phu!$I$85,M606=phu!$I$86,M606=phu!$I$87,M606=phu!$I$88),"Cam Thịnh Tây",""),IF(OR(M606=phu!$I$89,M606=phu!$I$90),"Cam Lập",""),IF(OR(M606=phu!$I$91,M606=phu!$I$92,M606=phu!$I$93),"Cam Bình",""),IF(OR(M606=phu!$I$94,M606=phu!$I$95,M606=phu!$I$96,M606=phu!$I$97,M606=phu!$I$98,M606=phu!$I$99,M606=phu!$I$100),"Huyện khác",""),IF(OR(M606=phu!$I$101,M606=phu!$I$102),"Tỉnh khác",""))</f>
        <v/>
      </c>
      <c r="O606" s="829" t="str">
        <f t="shared" si="54"/>
        <v/>
      </c>
      <c r="P606" s="254"/>
      <c r="Q606" s="254"/>
      <c r="R606" s="254"/>
      <c r="S606" s="254"/>
      <c r="T606" s="254"/>
      <c r="U606" s="254"/>
      <c r="V606" s="254"/>
      <c r="W606" s="254"/>
      <c r="Y606" s="246" t="str">
        <f t="shared" si="55"/>
        <v/>
      </c>
      <c r="Z606" s="247" t="str">
        <f t="shared" si="59"/>
        <v/>
      </c>
      <c r="AA606" s="246" t="str">
        <f t="shared" si="56"/>
        <v/>
      </c>
    </row>
    <row r="607" spans="1:27" ht="18" customHeight="1" x14ac:dyDescent="0.25">
      <c r="A607" s="248" t="str">
        <f t="shared" si="57"/>
        <v/>
      </c>
      <c r="B607" s="249" t="str">
        <f t="shared" si="58"/>
        <v/>
      </c>
      <c r="C607" s="250"/>
      <c r="D607" s="251"/>
      <c r="E607" s="241"/>
      <c r="F607" s="252"/>
      <c r="G607" s="252"/>
      <c r="H607" s="253"/>
      <c r="I607" s="250"/>
      <c r="J607" s="250"/>
      <c r="K607" s="270"/>
      <c r="L607" s="250"/>
      <c r="M607" s="250"/>
      <c r="N607" s="540" t="str">
        <f>CONCATENATE(IF(OR(M607=phu!$I$1,M607=phu!$I$2,M607=phu!$I$3),"Cam Thành Nam",""),IF(OR(M607=phu!$I$4,M607=phu!$I$5,M607=phu!$I$6,M607=phu!$I$7,M607=phu!$I$8,M607=phu!$I$9,M607=phu!$I$10,M607=phu!$I$11,M607=phu!$I$12,M607=phu!$I$13,M607=phu!$I$14),"Cam Nghĩa",""),IF(OR(M607=phu!$I$15,M607=phu!$I$16,M607=phu!$I$17,M607=phu!$I$18,M607=phu!$I$19,M607=phu!$I$20,M607=phu!$I$21),"Cam Phúc Bắc",""),IF(OR(M607=phu!$I$22,M607=phu!$I$23,M607=phu!$I$24,M607=phu!$I$25),"Cam Phúc Nam",""),IF(OR(M607=phu!$I$26,M607=phu!$I$27,M607=phu!$I$28,M607=phu!$I$29,M607=phu!$I$30,M607=phu!$I$31),"Cam Phú",""),IF(OR(M607=phu!$I$32,M607=phu!$I$33,M607=phu!$I$34,M607=phu!$I$35,M607=phu!$I$36,M607=phu!$I$37),"Cam Lộc",""),IF(OR(M607=phu!$I$38,M607=phu!$I$39,M607=phu!$I$40,M607=phu!$I$41,M607=phu!$I$42,M607=phu!$I$43,M607=phu!$I$44),"Cam Thuận",""),IF(OR(M607=phu!$I$45,M607=phu!$I$46,M607=phu!$I$47,M607=phu!$I$48,M607=phu!$I$49,M607=phu!$I$50,M607=phu!$I$51,M607=phu!$I$52,M607=phu!$I$53),"Cam Linh",""),IF(OR(M607=phu!$I$54,M607=phu!$I$55,M607=phu!$I$56,M607=phu!$I$57,M607=phu!$I$58,M607=phu!$I$59,M607=phu!$I$60,M607=phu!$I$61,M607=phu!$I$62),"Cam Lợi",""),IF(OR(M607=phu!$I$63,M607=phu!$I$64,M607=phu!$I$65,M607=phu!$I$66,M607=phu!$I$67,M607=phu!$I$68,M607=phu!$I$69,M607=phu!$I$70,M607=phu!$I$71),"Ba Ngòi",""),IF(OR(M607=phu!$I$72,M607=phu!$I$73,M607=phu!$I$74,M607=phu!$I$75,M607=phu!$I$76,M607=phu!$I$77,M607=phu!$I$78),"Cam Phước Đông",""),IF(OR(M607=phu!$I$79,M607=phu!$I$80,M607=phu!$I$81,M607=phu!$I$82,M607=phu!$I$83,M607=phu!$I$84),"Cam Thịnh Đông",""),IF(OR(M607=phu!$I$85,M607=phu!$I$86,M607=phu!$I$87,M607=phu!$I$88),"Cam Thịnh Tây",""),IF(OR(M607=phu!$I$89,M607=phu!$I$90),"Cam Lập",""),IF(OR(M607=phu!$I$91,M607=phu!$I$92,M607=phu!$I$93),"Cam Bình",""),IF(OR(M607=phu!$I$94,M607=phu!$I$95,M607=phu!$I$96,M607=phu!$I$97,M607=phu!$I$98,M607=phu!$I$99,M607=phu!$I$100),"Huyện khác",""),IF(OR(M607=phu!$I$101,M607=phu!$I$102),"Tỉnh khác",""))</f>
        <v/>
      </c>
      <c r="O607" s="829" t="str">
        <f t="shared" si="54"/>
        <v/>
      </c>
      <c r="P607" s="254"/>
      <c r="Q607" s="254"/>
      <c r="R607" s="254"/>
      <c r="S607" s="254"/>
      <c r="T607" s="254"/>
      <c r="U607" s="254"/>
      <c r="V607" s="254"/>
      <c r="W607" s="254"/>
      <c r="Y607" s="246" t="str">
        <f t="shared" si="55"/>
        <v/>
      </c>
      <c r="Z607" s="247" t="str">
        <f t="shared" si="59"/>
        <v/>
      </c>
      <c r="AA607" s="246" t="str">
        <f t="shared" si="56"/>
        <v/>
      </c>
    </row>
    <row r="608" spans="1:27" ht="18" customHeight="1" x14ac:dyDescent="0.25">
      <c r="A608" s="248" t="str">
        <f t="shared" si="57"/>
        <v/>
      </c>
      <c r="B608" s="249" t="str">
        <f t="shared" si="58"/>
        <v/>
      </c>
      <c r="C608" s="250"/>
      <c r="D608" s="251"/>
      <c r="E608" s="241"/>
      <c r="F608" s="252"/>
      <c r="G608" s="252"/>
      <c r="H608" s="253"/>
      <c r="I608" s="250"/>
      <c r="J608" s="250"/>
      <c r="K608" s="270"/>
      <c r="L608" s="250"/>
      <c r="M608" s="250"/>
      <c r="N608" s="540" t="str">
        <f>CONCATENATE(IF(OR(M608=phu!$I$1,M608=phu!$I$2,M608=phu!$I$3),"Cam Thành Nam",""),IF(OR(M608=phu!$I$4,M608=phu!$I$5,M608=phu!$I$6,M608=phu!$I$7,M608=phu!$I$8,M608=phu!$I$9,M608=phu!$I$10,M608=phu!$I$11,M608=phu!$I$12,M608=phu!$I$13,M608=phu!$I$14),"Cam Nghĩa",""),IF(OR(M608=phu!$I$15,M608=phu!$I$16,M608=phu!$I$17,M608=phu!$I$18,M608=phu!$I$19,M608=phu!$I$20,M608=phu!$I$21),"Cam Phúc Bắc",""),IF(OR(M608=phu!$I$22,M608=phu!$I$23,M608=phu!$I$24,M608=phu!$I$25),"Cam Phúc Nam",""),IF(OR(M608=phu!$I$26,M608=phu!$I$27,M608=phu!$I$28,M608=phu!$I$29,M608=phu!$I$30,M608=phu!$I$31),"Cam Phú",""),IF(OR(M608=phu!$I$32,M608=phu!$I$33,M608=phu!$I$34,M608=phu!$I$35,M608=phu!$I$36,M608=phu!$I$37),"Cam Lộc",""),IF(OR(M608=phu!$I$38,M608=phu!$I$39,M608=phu!$I$40,M608=phu!$I$41,M608=phu!$I$42,M608=phu!$I$43,M608=phu!$I$44),"Cam Thuận",""),IF(OR(M608=phu!$I$45,M608=phu!$I$46,M608=phu!$I$47,M608=phu!$I$48,M608=phu!$I$49,M608=phu!$I$50,M608=phu!$I$51,M608=phu!$I$52,M608=phu!$I$53),"Cam Linh",""),IF(OR(M608=phu!$I$54,M608=phu!$I$55,M608=phu!$I$56,M608=phu!$I$57,M608=phu!$I$58,M608=phu!$I$59,M608=phu!$I$60,M608=phu!$I$61,M608=phu!$I$62),"Cam Lợi",""),IF(OR(M608=phu!$I$63,M608=phu!$I$64,M608=phu!$I$65,M608=phu!$I$66,M608=phu!$I$67,M608=phu!$I$68,M608=phu!$I$69,M608=phu!$I$70,M608=phu!$I$71),"Ba Ngòi",""),IF(OR(M608=phu!$I$72,M608=phu!$I$73,M608=phu!$I$74,M608=phu!$I$75,M608=phu!$I$76,M608=phu!$I$77,M608=phu!$I$78),"Cam Phước Đông",""),IF(OR(M608=phu!$I$79,M608=phu!$I$80,M608=phu!$I$81,M608=phu!$I$82,M608=phu!$I$83,M608=phu!$I$84),"Cam Thịnh Đông",""),IF(OR(M608=phu!$I$85,M608=phu!$I$86,M608=phu!$I$87,M608=phu!$I$88),"Cam Thịnh Tây",""),IF(OR(M608=phu!$I$89,M608=phu!$I$90),"Cam Lập",""),IF(OR(M608=phu!$I$91,M608=phu!$I$92,M608=phu!$I$93),"Cam Bình",""),IF(OR(M608=phu!$I$94,M608=phu!$I$95,M608=phu!$I$96,M608=phu!$I$97,M608=phu!$I$98,M608=phu!$I$99,M608=phu!$I$100),"Huyện khác",""),IF(OR(M608=phu!$I$101,M608=phu!$I$102),"Tỉnh khác",""))</f>
        <v/>
      </c>
      <c r="O608" s="829" t="str">
        <f t="shared" si="54"/>
        <v/>
      </c>
      <c r="P608" s="254"/>
      <c r="Q608" s="254"/>
      <c r="R608" s="254"/>
      <c r="S608" s="254"/>
      <c r="T608" s="254"/>
      <c r="U608" s="254"/>
      <c r="V608" s="254"/>
      <c r="W608" s="254"/>
      <c r="Y608" s="246" t="str">
        <f t="shared" si="55"/>
        <v/>
      </c>
      <c r="Z608" s="247" t="str">
        <f t="shared" si="59"/>
        <v/>
      </c>
      <c r="AA608" s="246" t="str">
        <f t="shared" si="56"/>
        <v/>
      </c>
    </row>
    <row r="609" spans="1:27" ht="18" customHeight="1" x14ac:dyDescent="0.25">
      <c r="A609" s="248" t="str">
        <f t="shared" si="57"/>
        <v/>
      </c>
      <c r="B609" s="249" t="str">
        <f t="shared" si="58"/>
        <v/>
      </c>
      <c r="C609" s="250"/>
      <c r="D609" s="251"/>
      <c r="E609" s="241"/>
      <c r="F609" s="252"/>
      <c r="G609" s="252"/>
      <c r="H609" s="253"/>
      <c r="I609" s="250"/>
      <c r="J609" s="250"/>
      <c r="K609" s="270"/>
      <c r="L609" s="250"/>
      <c r="M609" s="250"/>
      <c r="N609" s="540" t="str">
        <f>CONCATENATE(IF(OR(M609=phu!$I$1,M609=phu!$I$2,M609=phu!$I$3),"Cam Thành Nam",""),IF(OR(M609=phu!$I$4,M609=phu!$I$5,M609=phu!$I$6,M609=phu!$I$7,M609=phu!$I$8,M609=phu!$I$9,M609=phu!$I$10,M609=phu!$I$11,M609=phu!$I$12,M609=phu!$I$13,M609=phu!$I$14),"Cam Nghĩa",""),IF(OR(M609=phu!$I$15,M609=phu!$I$16,M609=phu!$I$17,M609=phu!$I$18,M609=phu!$I$19,M609=phu!$I$20,M609=phu!$I$21),"Cam Phúc Bắc",""),IF(OR(M609=phu!$I$22,M609=phu!$I$23,M609=phu!$I$24,M609=phu!$I$25),"Cam Phúc Nam",""),IF(OR(M609=phu!$I$26,M609=phu!$I$27,M609=phu!$I$28,M609=phu!$I$29,M609=phu!$I$30,M609=phu!$I$31),"Cam Phú",""),IF(OR(M609=phu!$I$32,M609=phu!$I$33,M609=phu!$I$34,M609=phu!$I$35,M609=phu!$I$36,M609=phu!$I$37),"Cam Lộc",""),IF(OR(M609=phu!$I$38,M609=phu!$I$39,M609=phu!$I$40,M609=phu!$I$41,M609=phu!$I$42,M609=phu!$I$43,M609=phu!$I$44),"Cam Thuận",""),IF(OR(M609=phu!$I$45,M609=phu!$I$46,M609=phu!$I$47,M609=phu!$I$48,M609=phu!$I$49,M609=phu!$I$50,M609=phu!$I$51,M609=phu!$I$52,M609=phu!$I$53),"Cam Linh",""),IF(OR(M609=phu!$I$54,M609=phu!$I$55,M609=phu!$I$56,M609=phu!$I$57,M609=phu!$I$58,M609=phu!$I$59,M609=phu!$I$60,M609=phu!$I$61,M609=phu!$I$62),"Cam Lợi",""),IF(OR(M609=phu!$I$63,M609=phu!$I$64,M609=phu!$I$65,M609=phu!$I$66,M609=phu!$I$67,M609=phu!$I$68,M609=phu!$I$69,M609=phu!$I$70,M609=phu!$I$71),"Ba Ngòi",""),IF(OR(M609=phu!$I$72,M609=phu!$I$73,M609=phu!$I$74,M609=phu!$I$75,M609=phu!$I$76,M609=phu!$I$77,M609=phu!$I$78),"Cam Phước Đông",""),IF(OR(M609=phu!$I$79,M609=phu!$I$80,M609=phu!$I$81,M609=phu!$I$82,M609=phu!$I$83,M609=phu!$I$84),"Cam Thịnh Đông",""),IF(OR(M609=phu!$I$85,M609=phu!$I$86,M609=phu!$I$87,M609=phu!$I$88),"Cam Thịnh Tây",""),IF(OR(M609=phu!$I$89,M609=phu!$I$90),"Cam Lập",""),IF(OR(M609=phu!$I$91,M609=phu!$I$92,M609=phu!$I$93),"Cam Bình",""),IF(OR(M609=phu!$I$94,M609=phu!$I$95,M609=phu!$I$96,M609=phu!$I$97,M609=phu!$I$98,M609=phu!$I$99,M609=phu!$I$100),"Huyện khác",""),IF(OR(M609=phu!$I$101,M609=phu!$I$102),"Tỉnh khác",""))</f>
        <v/>
      </c>
      <c r="O609" s="829" t="str">
        <f t="shared" si="54"/>
        <v/>
      </c>
      <c r="P609" s="254"/>
      <c r="Q609" s="254"/>
      <c r="R609" s="254"/>
      <c r="S609" s="254"/>
      <c r="T609" s="254"/>
      <c r="U609" s="254"/>
      <c r="V609" s="254"/>
      <c r="W609" s="254"/>
      <c r="Y609" s="246" t="str">
        <f t="shared" si="55"/>
        <v/>
      </c>
      <c r="Z609" s="247" t="str">
        <f t="shared" si="59"/>
        <v/>
      </c>
      <c r="AA609" s="246" t="str">
        <f t="shared" si="56"/>
        <v/>
      </c>
    </row>
    <row r="610" spans="1:27" ht="18" customHeight="1" x14ac:dyDescent="0.25">
      <c r="A610" s="248" t="str">
        <f t="shared" si="57"/>
        <v/>
      </c>
      <c r="B610" s="249" t="str">
        <f t="shared" si="58"/>
        <v/>
      </c>
      <c r="C610" s="250"/>
      <c r="D610" s="251"/>
      <c r="E610" s="241"/>
      <c r="F610" s="252"/>
      <c r="G610" s="252"/>
      <c r="H610" s="253"/>
      <c r="I610" s="250"/>
      <c r="J610" s="250"/>
      <c r="K610" s="270"/>
      <c r="L610" s="250"/>
      <c r="M610" s="250"/>
      <c r="N610" s="540" t="str">
        <f>CONCATENATE(IF(OR(M610=phu!$I$1,M610=phu!$I$2,M610=phu!$I$3),"Cam Thành Nam",""),IF(OR(M610=phu!$I$4,M610=phu!$I$5,M610=phu!$I$6,M610=phu!$I$7,M610=phu!$I$8,M610=phu!$I$9,M610=phu!$I$10,M610=phu!$I$11,M610=phu!$I$12,M610=phu!$I$13,M610=phu!$I$14),"Cam Nghĩa",""),IF(OR(M610=phu!$I$15,M610=phu!$I$16,M610=phu!$I$17,M610=phu!$I$18,M610=phu!$I$19,M610=phu!$I$20,M610=phu!$I$21),"Cam Phúc Bắc",""),IF(OR(M610=phu!$I$22,M610=phu!$I$23,M610=phu!$I$24,M610=phu!$I$25),"Cam Phúc Nam",""),IF(OR(M610=phu!$I$26,M610=phu!$I$27,M610=phu!$I$28,M610=phu!$I$29,M610=phu!$I$30,M610=phu!$I$31),"Cam Phú",""),IF(OR(M610=phu!$I$32,M610=phu!$I$33,M610=phu!$I$34,M610=phu!$I$35,M610=phu!$I$36,M610=phu!$I$37),"Cam Lộc",""),IF(OR(M610=phu!$I$38,M610=phu!$I$39,M610=phu!$I$40,M610=phu!$I$41,M610=phu!$I$42,M610=phu!$I$43,M610=phu!$I$44),"Cam Thuận",""),IF(OR(M610=phu!$I$45,M610=phu!$I$46,M610=phu!$I$47,M610=phu!$I$48,M610=phu!$I$49,M610=phu!$I$50,M610=phu!$I$51,M610=phu!$I$52,M610=phu!$I$53),"Cam Linh",""),IF(OR(M610=phu!$I$54,M610=phu!$I$55,M610=phu!$I$56,M610=phu!$I$57,M610=phu!$I$58,M610=phu!$I$59,M610=phu!$I$60,M610=phu!$I$61,M610=phu!$I$62),"Cam Lợi",""),IF(OR(M610=phu!$I$63,M610=phu!$I$64,M610=phu!$I$65,M610=phu!$I$66,M610=phu!$I$67,M610=phu!$I$68,M610=phu!$I$69,M610=phu!$I$70,M610=phu!$I$71),"Ba Ngòi",""),IF(OR(M610=phu!$I$72,M610=phu!$I$73,M610=phu!$I$74,M610=phu!$I$75,M610=phu!$I$76,M610=phu!$I$77,M610=phu!$I$78),"Cam Phước Đông",""),IF(OR(M610=phu!$I$79,M610=phu!$I$80,M610=phu!$I$81,M610=phu!$I$82,M610=phu!$I$83,M610=phu!$I$84),"Cam Thịnh Đông",""),IF(OR(M610=phu!$I$85,M610=phu!$I$86,M610=phu!$I$87,M610=phu!$I$88),"Cam Thịnh Tây",""),IF(OR(M610=phu!$I$89,M610=phu!$I$90),"Cam Lập",""),IF(OR(M610=phu!$I$91,M610=phu!$I$92,M610=phu!$I$93),"Cam Bình",""),IF(OR(M610=phu!$I$94,M610=phu!$I$95,M610=phu!$I$96,M610=phu!$I$97,M610=phu!$I$98,M610=phu!$I$99,M610=phu!$I$100),"Huyện khác",""),IF(OR(M610=phu!$I$101,M610=phu!$I$102),"Tỉnh khác",""))</f>
        <v/>
      </c>
      <c r="O610" s="829" t="str">
        <f t="shared" si="54"/>
        <v/>
      </c>
      <c r="P610" s="254"/>
      <c r="Q610" s="254"/>
      <c r="R610" s="254"/>
      <c r="S610" s="254"/>
      <c r="T610" s="254"/>
      <c r="U610" s="254"/>
      <c r="V610" s="254"/>
      <c r="W610" s="254"/>
      <c r="Y610" s="246" t="str">
        <f t="shared" si="55"/>
        <v/>
      </c>
      <c r="Z610" s="247" t="str">
        <f t="shared" si="59"/>
        <v/>
      </c>
      <c r="AA610" s="246" t="str">
        <f t="shared" si="56"/>
        <v/>
      </c>
    </row>
    <row r="611" spans="1:27" ht="18" customHeight="1" x14ac:dyDescent="0.25">
      <c r="A611" s="248" t="str">
        <f t="shared" si="57"/>
        <v/>
      </c>
      <c r="B611" s="249" t="str">
        <f t="shared" si="58"/>
        <v/>
      </c>
      <c r="C611" s="250"/>
      <c r="D611" s="251"/>
      <c r="E611" s="241"/>
      <c r="F611" s="252"/>
      <c r="G611" s="252"/>
      <c r="H611" s="253"/>
      <c r="I611" s="250"/>
      <c r="J611" s="250"/>
      <c r="K611" s="270"/>
      <c r="L611" s="250"/>
      <c r="M611" s="250"/>
      <c r="N611" s="540" t="str">
        <f>CONCATENATE(IF(OR(M611=phu!$I$1,M611=phu!$I$2,M611=phu!$I$3),"Cam Thành Nam",""),IF(OR(M611=phu!$I$4,M611=phu!$I$5,M611=phu!$I$6,M611=phu!$I$7,M611=phu!$I$8,M611=phu!$I$9,M611=phu!$I$10,M611=phu!$I$11,M611=phu!$I$12,M611=phu!$I$13,M611=phu!$I$14),"Cam Nghĩa",""),IF(OR(M611=phu!$I$15,M611=phu!$I$16,M611=phu!$I$17,M611=phu!$I$18,M611=phu!$I$19,M611=phu!$I$20,M611=phu!$I$21),"Cam Phúc Bắc",""),IF(OR(M611=phu!$I$22,M611=phu!$I$23,M611=phu!$I$24,M611=phu!$I$25),"Cam Phúc Nam",""),IF(OR(M611=phu!$I$26,M611=phu!$I$27,M611=phu!$I$28,M611=phu!$I$29,M611=phu!$I$30,M611=phu!$I$31),"Cam Phú",""),IF(OR(M611=phu!$I$32,M611=phu!$I$33,M611=phu!$I$34,M611=phu!$I$35,M611=phu!$I$36,M611=phu!$I$37),"Cam Lộc",""),IF(OR(M611=phu!$I$38,M611=phu!$I$39,M611=phu!$I$40,M611=phu!$I$41,M611=phu!$I$42,M611=phu!$I$43,M611=phu!$I$44),"Cam Thuận",""),IF(OR(M611=phu!$I$45,M611=phu!$I$46,M611=phu!$I$47,M611=phu!$I$48,M611=phu!$I$49,M611=phu!$I$50,M611=phu!$I$51,M611=phu!$I$52,M611=phu!$I$53),"Cam Linh",""),IF(OR(M611=phu!$I$54,M611=phu!$I$55,M611=phu!$I$56,M611=phu!$I$57,M611=phu!$I$58,M611=phu!$I$59,M611=phu!$I$60,M611=phu!$I$61,M611=phu!$I$62),"Cam Lợi",""),IF(OR(M611=phu!$I$63,M611=phu!$I$64,M611=phu!$I$65,M611=phu!$I$66,M611=phu!$I$67,M611=phu!$I$68,M611=phu!$I$69,M611=phu!$I$70,M611=phu!$I$71),"Ba Ngòi",""),IF(OR(M611=phu!$I$72,M611=phu!$I$73,M611=phu!$I$74,M611=phu!$I$75,M611=phu!$I$76,M611=phu!$I$77,M611=phu!$I$78),"Cam Phước Đông",""),IF(OR(M611=phu!$I$79,M611=phu!$I$80,M611=phu!$I$81,M611=phu!$I$82,M611=phu!$I$83,M611=phu!$I$84),"Cam Thịnh Đông",""),IF(OR(M611=phu!$I$85,M611=phu!$I$86,M611=phu!$I$87,M611=phu!$I$88),"Cam Thịnh Tây",""),IF(OR(M611=phu!$I$89,M611=phu!$I$90),"Cam Lập",""),IF(OR(M611=phu!$I$91,M611=phu!$I$92,M611=phu!$I$93),"Cam Bình",""),IF(OR(M611=phu!$I$94,M611=phu!$I$95,M611=phu!$I$96,M611=phu!$I$97,M611=phu!$I$98,M611=phu!$I$99,M611=phu!$I$100),"Huyện khác",""),IF(OR(M611=phu!$I$101,M611=phu!$I$102),"Tỉnh khác",""))</f>
        <v/>
      </c>
      <c r="O611" s="829" t="str">
        <f t="shared" si="54"/>
        <v/>
      </c>
      <c r="P611" s="254"/>
      <c r="Q611" s="254"/>
      <c r="R611" s="254"/>
      <c r="S611" s="254"/>
      <c r="T611" s="254"/>
      <c r="U611" s="254"/>
      <c r="V611" s="254"/>
      <c r="W611" s="254"/>
      <c r="Y611" s="246" t="str">
        <f t="shared" si="55"/>
        <v/>
      </c>
      <c r="Z611" s="247" t="str">
        <f t="shared" si="59"/>
        <v/>
      </c>
      <c r="AA611" s="246" t="str">
        <f t="shared" si="56"/>
        <v/>
      </c>
    </row>
    <row r="612" spans="1:27" ht="18" customHeight="1" x14ac:dyDescent="0.25">
      <c r="A612" s="248" t="str">
        <f t="shared" si="57"/>
        <v/>
      </c>
      <c r="B612" s="249" t="str">
        <f t="shared" si="58"/>
        <v/>
      </c>
      <c r="C612" s="250"/>
      <c r="D612" s="251"/>
      <c r="E612" s="241"/>
      <c r="F612" s="252"/>
      <c r="G612" s="252"/>
      <c r="H612" s="253"/>
      <c r="I612" s="250"/>
      <c r="J612" s="250"/>
      <c r="K612" s="270"/>
      <c r="L612" s="250"/>
      <c r="M612" s="250"/>
      <c r="N612" s="540" t="str">
        <f>CONCATENATE(IF(OR(M612=phu!$I$1,M612=phu!$I$2,M612=phu!$I$3),"Cam Thành Nam",""),IF(OR(M612=phu!$I$4,M612=phu!$I$5,M612=phu!$I$6,M612=phu!$I$7,M612=phu!$I$8,M612=phu!$I$9,M612=phu!$I$10,M612=phu!$I$11,M612=phu!$I$12,M612=phu!$I$13,M612=phu!$I$14),"Cam Nghĩa",""),IF(OR(M612=phu!$I$15,M612=phu!$I$16,M612=phu!$I$17,M612=phu!$I$18,M612=phu!$I$19,M612=phu!$I$20,M612=phu!$I$21),"Cam Phúc Bắc",""),IF(OR(M612=phu!$I$22,M612=phu!$I$23,M612=phu!$I$24,M612=phu!$I$25),"Cam Phúc Nam",""),IF(OR(M612=phu!$I$26,M612=phu!$I$27,M612=phu!$I$28,M612=phu!$I$29,M612=phu!$I$30,M612=phu!$I$31),"Cam Phú",""),IF(OR(M612=phu!$I$32,M612=phu!$I$33,M612=phu!$I$34,M612=phu!$I$35,M612=phu!$I$36,M612=phu!$I$37),"Cam Lộc",""),IF(OR(M612=phu!$I$38,M612=phu!$I$39,M612=phu!$I$40,M612=phu!$I$41,M612=phu!$I$42,M612=phu!$I$43,M612=phu!$I$44),"Cam Thuận",""),IF(OR(M612=phu!$I$45,M612=phu!$I$46,M612=phu!$I$47,M612=phu!$I$48,M612=phu!$I$49,M612=phu!$I$50,M612=phu!$I$51,M612=phu!$I$52,M612=phu!$I$53),"Cam Linh",""),IF(OR(M612=phu!$I$54,M612=phu!$I$55,M612=phu!$I$56,M612=phu!$I$57,M612=phu!$I$58,M612=phu!$I$59,M612=phu!$I$60,M612=phu!$I$61,M612=phu!$I$62),"Cam Lợi",""),IF(OR(M612=phu!$I$63,M612=phu!$I$64,M612=phu!$I$65,M612=phu!$I$66,M612=phu!$I$67,M612=phu!$I$68,M612=phu!$I$69,M612=phu!$I$70,M612=phu!$I$71),"Ba Ngòi",""),IF(OR(M612=phu!$I$72,M612=phu!$I$73,M612=phu!$I$74,M612=phu!$I$75,M612=phu!$I$76,M612=phu!$I$77,M612=phu!$I$78),"Cam Phước Đông",""),IF(OR(M612=phu!$I$79,M612=phu!$I$80,M612=phu!$I$81,M612=phu!$I$82,M612=phu!$I$83,M612=phu!$I$84),"Cam Thịnh Đông",""),IF(OR(M612=phu!$I$85,M612=phu!$I$86,M612=phu!$I$87,M612=phu!$I$88),"Cam Thịnh Tây",""),IF(OR(M612=phu!$I$89,M612=phu!$I$90),"Cam Lập",""),IF(OR(M612=phu!$I$91,M612=phu!$I$92,M612=phu!$I$93),"Cam Bình",""),IF(OR(M612=phu!$I$94,M612=phu!$I$95,M612=phu!$I$96,M612=phu!$I$97,M612=phu!$I$98,M612=phu!$I$99,M612=phu!$I$100),"Huyện khác",""),IF(OR(M612=phu!$I$101,M612=phu!$I$102),"Tỉnh khác",""))</f>
        <v/>
      </c>
      <c r="O612" s="829" t="str">
        <f t="shared" si="54"/>
        <v/>
      </c>
      <c r="P612" s="254"/>
      <c r="Q612" s="254"/>
      <c r="R612" s="254"/>
      <c r="S612" s="254"/>
      <c r="T612" s="254"/>
      <c r="U612" s="254"/>
      <c r="V612" s="254"/>
      <c r="W612" s="254"/>
      <c r="Y612" s="246" t="str">
        <f t="shared" si="55"/>
        <v/>
      </c>
      <c r="Z612" s="247" t="str">
        <f t="shared" si="59"/>
        <v/>
      </c>
      <c r="AA612" s="246" t="str">
        <f t="shared" si="56"/>
        <v/>
      </c>
    </row>
    <row r="613" spans="1:27" ht="18" customHeight="1" x14ac:dyDescent="0.25">
      <c r="A613" s="248" t="str">
        <f t="shared" si="57"/>
        <v/>
      </c>
      <c r="B613" s="249" t="str">
        <f t="shared" si="58"/>
        <v/>
      </c>
      <c r="C613" s="250"/>
      <c r="D613" s="251"/>
      <c r="E613" s="241"/>
      <c r="F613" s="252"/>
      <c r="G613" s="252"/>
      <c r="H613" s="253"/>
      <c r="I613" s="250"/>
      <c r="J613" s="250"/>
      <c r="K613" s="270"/>
      <c r="L613" s="250"/>
      <c r="M613" s="250"/>
      <c r="N613" s="540" t="str">
        <f>CONCATENATE(IF(OR(M613=phu!$I$1,M613=phu!$I$2,M613=phu!$I$3),"Cam Thành Nam",""),IF(OR(M613=phu!$I$4,M613=phu!$I$5,M613=phu!$I$6,M613=phu!$I$7,M613=phu!$I$8,M613=phu!$I$9,M613=phu!$I$10,M613=phu!$I$11,M613=phu!$I$12,M613=phu!$I$13,M613=phu!$I$14),"Cam Nghĩa",""),IF(OR(M613=phu!$I$15,M613=phu!$I$16,M613=phu!$I$17,M613=phu!$I$18,M613=phu!$I$19,M613=phu!$I$20,M613=phu!$I$21),"Cam Phúc Bắc",""),IF(OR(M613=phu!$I$22,M613=phu!$I$23,M613=phu!$I$24,M613=phu!$I$25),"Cam Phúc Nam",""),IF(OR(M613=phu!$I$26,M613=phu!$I$27,M613=phu!$I$28,M613=phu!$I$29,M613=phu!$I$30,M613=phu!$I$31),"Cam Phú",""),IF(OR(M613=phu!$I$32,M613=phu!$I$33,M613=phu!$I$34,M613=phu!$I$35,M613=phu!$I$36,M613=phu!$I$37),"Cam Lộc",""),IF(OR(M613=phu!$I$38,M613=phu!$I$39,M613=phu!$I$40,M613=phu!$I$41,M613=phu!$I$42,M613=phu!$I$43,M613=phu!$I$44),"Cam Thuận",""),IF(OR(M613=phu!$I$45,M613=phu!$I$46,M613=phu!$I$47,M613=phu!$I$48,M613=phu!$I$49,M613=phu!$I$50,M613=phu!$I$51,M613=phu!$I$52,M613=phu!$I$53),"Cam Linh",""),IF(OR(M613=phu!$I$54,M613=phu!$I$55,M613=phu!$I$56,M613=phu!$I$57,M613=phu!$I$58,M613=phu!$I$59,M613=phu!$I$60,M613=phu!$I$61,M613=phu!$I$62),"Cam Lợi",""),IF(OR(M613=phu!$I$63,M613=phu!$I$64,M613=phu!$I$65,M613=phu!$I$66,M613=phu!$I$67,M613=phu!$I$68,M613=phu!$I$69,M613=phu!$I$70,M613=phu!$I$71),"Ba Ngòi",""),IF(OR(M613=phu!$I$72,M613=phu!$I$73,M613=phu!$I$74,M613=phu!$I$75,M613=phu!$I$76,M613=phu!$I$77,M613=phu!$I$78),"Cam Phước Đông",""),IF(OR(M613=phu!$I$79,M613=phu!$I$80,M613=phu!$I$81,M613=phu!$I$82,M613=phu!$I$83,M613=phu!$I$84),"Cam Thịnh Đông",""),IF(OR(M613=phu!$I$85,M613=phu!$I$86,M613=phu!$I$87,M613=phu!$I$88),"Cam Thịnh Tây",""),IF(OR(M613=phu!$I$89,M613=phu!$I$90),"Cam Lập",""),IF(OR(M613=phu!$I$91,M613=phu!$I$92,M613=phu!$I$93),"Cam Bình",""),IF(OR(M613=phu!$I$94,M613=phu!$I$95,M613=phu!$I$96,M613=phu!$I$97,M613=phu!$I$98,M613=phu!$I$99,M613=phu!$I$100),"Huyện khác",""),IF(OR(M613=phu!$I$101,M613=phu!$I$102),"Tỉnh khác",""))</f>
        <v/>
      </c>
      <c r="O613" s="829" t="str">
        <f t="shared" si="54"/>
        <v/>
      </c>
      <c r="P613" s="254"/>
      <c r="Q613" s="254"/>
      <c r="R613" s="254"/>
      <c r="S613" s="254"/>
      <c r="T613" s="254"/>
      <c r="U613" s="254"/>
      <c r="V613" s="254"/>
      <c r="W613" s="254"/>
      <c r="Y613" s="246" t="str">
        <f t="shared" si="55"/>
        <v/>
      </c>
      <c r="Z613" s="247" t="str">
        <f t="shared" si="59"/>
        <v/>
      </c>
      <c r="AA613" s="246" t="str">
        <f t="shared" si="56"/>
        <v/>
      </c>
    </row>
    <row r="614" spans="1:27" ht="18" customHeight="1" x14ac:dyDescent="0.25">
      <c r="A614" s="248" t="str">
        <f t="shared" si="57"/>
        <v/>
      </c>
      <c r="B614" s="249" t="str">
        <f t="shared" si="58"/>
        <v/>
      </c>
      <c r="C614" s="250"/>
      <c r="D614" s="251"/>
      <c r="E614" s="241"/>
      <c r="F614" s="252"/>
      <c r="G614" s="252"/>
      <c r="H614" s="253"/>
      <c r="I614" s="250"/>
      <c r="J614" s="250"/>
      <c r="K614" s="270"/>
      <c r="L614" s="250"/>
      <c r="M614" s="250"/>
      <c r="N614" s="540" t="str">
        <f>CONCATENATE(IF(OR(M614=phu!$I$1,M614=phu!$I$2,M614=phu!$I$3),"Cam Thành Nam",""),IF(OR(M614=phu!$I$4,M614=phu!$I$5,M614=phu!$I$6,M614=phu!$I$7,M614=phu!$I$8,M614=phu!$I$9,M614=phu!$I$10,M614=phu!$I$11,M614=phu!$I$12,M614=phu!$I$13,M614=phu!$I$14),"Cam Nghĩa",""),IF(OR(M614=phu!$I$15,M614=phu!$I$16,M614=phu!$I$17,M614=phu!$I$18,M614=phu!$I$19,M614=phu!$I$20,M614=phu!$I$21),"Cam Phúc Bắc",""),IF(OR(M614=phu!$I$22,M614=phu!$I$23,M614=phu!$I$24,M614=phu!$I$25),"Cam Phúc Nam",""),IF(OR(M614=phu!$I$26,M614=phu!$I$27,M614=phu!$I$28,M614=phu!$I$29,M614=phu!$I$30,M614=phu!$I$31),"Cam Phú",""),IF(OR(M614=phu!$I$32,M614=phu!$I$33,M614=phu!$I$34,M614=phu!$I$35,M614=phu!$I$36,M614=phu!$I$37),"Cam Lộc",""),IF(OR(M614=phu!$I$38,M614=phu!$I$39,M614=phu!$I$40,M614=phu!$I$41,M614=phu!$I$42,M614=phu!$I$43,M614=phu!$I$44),"Cam Thuận",""),IF(OR(M614=phu!$I$45,M614=phu!$I$46,M614=phu!$I$47,M614=phu!$I$48,M614=phu!$I$49,M614=phu!$I$50,M614=phu!$I$51,M614=phu!$I$52,M614=phu!$I$53),"Cam Linh",""),IF(OR(M614=phu!$I$54,M614=phu!$I$55,M614=phu!$I$56,M614=phu!$I$57,M614=phu!$I$58,M614=phu!$I$59,M614=phu!$I$60,M614=phu!$I$61,M614=phu!$I$62),"Cam Lợi",""),IF(OR(M614=phu!$I$63,M614=phu!$I$64,M614=phu!$I$65,M614=phu!$I$66,M614=phu!$I$67,M614=phu!$I$68,M614=phu!$I$69,M614=phu!$I$70,M614=phu!$I$71),"Ba Ngòi",""),IF(OR(M614=phu!$I$72,M614=phu!$I$73,M614=phu!$I$74,M614=phu!$I$75,M614=phu!$I$76,M614=phu!$I$77,M614=phu!$I$78),"Cam Phước Đông",""),IF(OR(M614=phu!$I$79,M614=phu!$I$80,M614=phu!$I$81,M614=phu!$I$82,M614=phu!$I$83,M614=phu!$I$84),"Cam Thịnh Đông",""),IF(OR(M614=phu!$I$85,M614=phu!$I$86,M614=phu!$I$87,M614=phu!$I$88),"Cam Thịnh Tây",""),IF(OR(M614=phu!$I$89,M614=phu!$I$90),"Cam Lập",""),IF(OR(M614=phu!$I$91,M614=phu!$I$92,M614=phu!$I$93),"Cam Bình",""),IF(OR(M614=phu!$I$94,M614=phu!$I$95,M614=phu!$I$96,M614=phu!$I$97,M614=phu!$I$98,M614=phu!$I$99,M614=phu!$I$100),"Huyện khác",""),IF(OR(M614=phu!$I$101,M614=phu!$I$102),"Tỉnh khác",""))</f>
        <v/>
      </c>
      <c r="O614" s="829" t="str">
        <f t="shared" si="54"/>
        <v/>
      </c>
      <c r="P614" s="254"/>
      <c r="Q614" s="254"/>
      <c r="R614" s="254"/>
      <c r="S614" s="254"/>
      <c r="T614" s="254"/>
      <c r="U614" s="254"/>
      <c r="V614" s="254"/>
      <c r="W614" s="254"/>
      <c r="Y614" s="246" t="str">
        <f t="shared" si="55"/>
        <v/>
      </c>
      <c r="Z614" s="247" t="str">
        <f t="shared" si="59"/>
        <v/>
      </c>
      <c r="AA614" s="246" t="str">
        <f t="shared" si="56"/>
        <v/>
      </c>
    </row>
    <row r="615" spans="1:27" ht="18" customHeight="1" x14ac:dyDescent="0.25">
      <c r="A615" s="248" t="str">
        <f t="shared" si="57"/>
        <v/>
      </c>
      <c r="B615" s="249" t="str">
        <f t="shared" si="58"/>
        <v/>
      </c>
      <c r="C615" s="250"/>
      <c r="D615" s="251"/>
      <c r="E615" s="241"/>
      <c r="F615" s="252"/>
      <c r="G615" s="252"/>
      <c r="H615" s="253"/>
      <c r="I615" s="250"/>
      <c r="J615" s="250"/>
      <c r="K615" s="270"/>
      <c r="L615" s="250"/>
      <c r="M615" s="250"/>
      <c r="N615" s="540" t="str">
        <f>CONCATENATE(IF(OR(M615=phu!$I$1,M615=phu!$I$2,M615=phu!$I$3),"Cam Thành Nam",""),IF(OR(M615=phu!$I$4,M615=phu!$I$5,M615=phu!$I$6,M615=phu!$I$7,M615=phu!$I$8,M615=phu!$I$9,M615=phu!$I$10,M615=phu!$I$11,M615=phu!$I$12,M615=phu!$I$13,M615=phu!$I$14),"Cam Nghĩa",""),IF(OR(M615=phu!$I$15,M615=phu!$I$16,M615=phu!$I$17,M615=phu!$I$18,M615=phu!$I$19,M615=phu!$I$20,M615=phu!$I$21),"Cam Phúc Bắc",""),IF(OR(M615=phu!$I$22,M615=phu!$I$23,M615=phu!$I$24,M615=phu!$I$25),"Cam Phúc Nam",""),IF(OR(M615=phu!$I$26,M615=phu!$I$27,M615=phu!$I$28,M615=phu!$I$29,M615=phu!$I$30,M615=phu!$I$31),"Cam Phú",""),IF(OR(M615=phu!$I$32,M615=phu!$I$33,M615=phu!$I$34,M615=phu!$I$35,M615=phu!$I$36,M615=phu!$I$37),"Cam Lộc",""),IF(OR(M615=phu!$I$38,M615=phu!$I$39,M615=phu!$I$40,M615=phu!$I$41,M615=phu!$I$42,M615=phu!$I$43,M615=phu!$I$44),"Cam Thuận",""),IF(OR(M615=phu!$I$45,M615=phu!$I$46,M615=phu!$I$47,M615=phu!$I$48,M615=phu!$I$49,M615=phu!$I$50,M615=phu!$I$51,M615=phu!$I$52,M615=phu!$I$53),"Cam Linh",""),IF(OR(M615=phu!$I$54,M615=phu!$I$55,M615=phu!$I$56,M615=phu!$I$57,M615=phu!$I$58,M615=phu!$I$59,M615=phu!$I$60,M615=phu!$I$61,M615=phu!$I$62),"Cam Lợi",""),IF(OR(M615=phu!$I$63,M615=phu!$I$64,M615=phu!$I$65,M615=phu!$I$66,M615=phu!$I$67,M615=phu!$I$68,M615=phu!$I$69,M615=phu!$I$70,M615=phu!$I$71),"Ba Ngòi",""),IF(OR(M615=phu!$I$72,M615=phu!$I$73,M615=phu!$I$74,M615=phu!$I$75,M615=phu!$I$76,M615=phu!$I$77,M615=phu!$I$78),"Cam Phước Đông",""),IF(OR(M615=phu!$I$79,M615=phu!$I$80,M615=phu!$I$81,M615=phu!$I$82,M615=phu!$I$83,M615=phu!$I$84),"Cam Thịnh Đông",""),IF(OR(M615=phu!$I$85,M615=phu!$I$86,M615=phu!$I$87,M615=phu!$I$88),"Cam Thịnh Tây",""),IF(OR(M615=phu!$I$89,M615=phu!$I$90),"Cam Lập",""),IF(OR(M615=phu!$I$91,M615=phu!$I$92,M615=phu!$I$93),"Cam Bình",""),IF(OR(M615=phu!$I$94,M615=phu!$I$95,M615=phu!$I$96,M615=phu!$I$97,M615=phu!$I$98,M615=phu!$I$99,M615=phu!$I$100),"Huyện khác",""),IF(OR(M615=phu!$I$101,M615=phu!$I$102),"Tỉnh khác",""))</f>
        <v/>
      </c>
      <c r="O615" s="829" t="str">
        <f t="shared" si="54"/>
        <v/>
      </c>
      <c r="P615" s="254"/>
      <c r="Q615" s="254"/>
      <c r="R615" s="254"/>
      <c r="S615" s="254"/>
      <c r="T615" s="254"/>
      <c r="U615" s="254"/>
      <c r="V615" s="254"/>
      <c r="W615" s="254"/>
      <c r="Y615" s="246" t="str">
        <f t="shared" si="55"/>
        <v/>
      </c>
      <c r="Z615" s="247" t="str">
        <f t="shared" si="59"/>
        <v/>
      </c>
      <c r="AA615" s="246" t="str">
        <f t="shared" si="56"/>
        <v/>
      </c>
    </row>
    <row r="616" spans="1:27" ht="18" customHeight="1" x14ac:dyDescent="0.25">
      <c r="A616" s="248" t="str">
        <f t="shared" si="57"/>
        <v/>
      </c>
      <c r="B616" s="249" t="str">
        <f t="shared" si="58"/>
        <v/>
      </c>
      <c r="C616" s="250"/>
      <c r="D616" s="251"/>
      <c r="E616" s="241"/>
      <c r="F616" s="252"/>
      <c r="G616" s="252"/>
      <c r="H616" s="253"/>
      <c r="I616" s="250"/>
      <c r="J616" s="250"/>
      <c r="K616" s="270"/>
      <c r="L616" s="250"/>
      <c r="M616" s="250"/>
      <c r="N616" s="540" t="str">
        <f>CONCATENATE(IF(OR(M616=phu!$I$1,M616=phu!$I$2,M616=phu!$I$3),"Cam Thành Nam",""),IF(OR(M616=phu!$I$4,M616=phu!$I$5,M616=phu!$I$6,M616=phu!$I$7,M616=phu!$I$8,M616=phu!$I$9,M616=phu!$I$10,M616=phu!$I$11,M616=phu!$I$12,M616=phu!$I$13,M616=phu!$I$14),"Cam Nghĩa",""),IF(OR(M616=phu!$I$15,M616=phu!$I$16,M616=phu!$I$17,M616=phu!$I$18,M616=phu!$I$19,M616=phu!$I$20,M616=phu!$I$21),"Cam Phúc Bắc",""),IF(OR(M616=phu!$I$22,M616=phu!$I$23,M616=phu!$I$24,M616=phu!$I$25),"Cam Phúc Nam",""),IF(OR(M616=phu!$I$26,M616=phu!$I$27,M616=phu!$I$28,M616=phu!$I$29,M616=phu!$I$30,M616=phu!$I$31),"Cam Phú",""),IF(OR(M616=phu!$I$32,M616=phu!$I$33,M616=phu!$I$34,M616=phu!$I$35,M616=phu!$I$36,M616=phu!$I$37),"Cam Lộc",""),IF(OR(M616=phu!$I$38,M616=phu!$I$39,M616=phu!$I$40,M616=phu!$I$41,M616=phu!$I$42,M616=phu!$I$43,M616=phu!$I$44),"Cam Thuận",""),IF(OR(M616=phu!$I$45,M616=phu!$I$46,M616=phu!$I$47,M616=phu!$I$48,M616=phu!$I$49,M616=phu!$I$50,M616=phu!$I$51,M616=phu!$I$52,M616=phu!$I$53),"Cam Linh",""),IF(OR(M616=phu!$I$54,M616=phu!$I$55,M616=phu!$I$56,M616=phu!$I$57,M616=phu!$I$58,M616=phu!$I$59,M616=phu!$I$60,M616=phu!$I$61,M616=phu!$I$62),"Cam Lợi",""),IF(OR(M616=phu!$I$63,M616=phu!$I$64,M616=phu!$I$65,M616=phu!$I$66,M616=phu!$I$67,M616=phu!$I$68,M616=phu!$I$69,M616=phu!$I$70,M616=phu!$I$71),"Ba Ngòi",""),IF(OR(M616=phu!$I$72,M616=phu!$I$73,M616=phu!$I$74,M616=phu!$I$75,M616=phu!$I$76,M616=phu!$I$77,M616=phu!$I$78),"Cam Phước Đông",""),IF(OR(M616=phu!$I$79,M616=phu!$I$80,M616=phu!$I$81,M616=phu!$I$82,M616=phu!$I$83,M616=phu!$I$84),"Cam Thịnh Đông",""),IF(OR(M616=phu!$I$85,M616=phu!$I$86,M616=phu!$I$87,M616=phu!$I$88),"Cam Thịnh Tây",""),IF(OR(M616=phu!$I$89,M616=phu!$I$90),"Cam Lập",""),IF(OR(M616=phu!$I$91,M616=phu!$I$92,M616=phu!$I$93),"Cam Bình",""),IF(OR(M616=phu!$I$94,M616=phu!$I$95,M616=phu!$I$96,M616=phu!$I$97,M616=phu!$I$98,M616=phu!$I$99,M616=phu!$I$100),"Huyện khác",""),IF(OR(M616=phu!$I$101,M616=phu!$I$102),"Tỉnh khác",""))</f>
        <v/>
      </c>
      <c r="O616" s="829" t="str">
        <f t="shared" si="54"/>
        <v/>
      </c>
      <c r="P616" s="254"/>
      <c r="Q616" s="254"/>
      <c r="R616" s="254"/>
      <c r="S616" s="254"/>
      <c r="T616" s="254"/>
      <c r="U616" s="254"/>
      <c r="V616" s="254"/>
      <c r="W616" s="254"/>
      <c r="Y616" s="246" t="str">
        <f t="shared" si="55"/>
        <v/>
      </c>
      <c r="Z616" s="247" t="str">
        <f t="shared" si="59"/>
        <v/>
      </c>
      <c r="AA616" s="246" t="str">
        <f t="shared" si="56"/>
        <v/>
      </c>
    </row>
    <row r="617" spans="1:27" ht="18" customHeight="1" x14ac:dyDescent="0.25">
      <c r="A617" s="248" t="str">
        <f t="shared" si="57"/>
        <v/>
      </c>
      <c r="B617" s="249" t="str">
        <f t="shared" si="58"/>
        <v/>
      </c>
      <c r="C617" s="250"/>
      <c r="D617" s="251"/>
      <c r="E617" s="241"/>
      <c r="F617" s="252"/>
      <c r="G617" s="252"/>
      <c r="H617" s="253"/>
      <c r="I617" s="250"/>
      <c r="J617" s="250"/>
      <c r="K617" s="270"/>
      <c r="L617" s="250"/>
      <c r="M617" s="250"/>
      <c r="N617" s="540" t="str">
        <f>CONCATENATE(IF(OR(M617=phu!$I$1,M617=phu!$I$2,M617=phu!$I$3),"Cam Thành Nam",""),IF(OR(M617=phu!$I$4,M617=phu!$I$5,M617=phu!$I$6,M617=phu!$I$7,M617=phu!$I$8,M617=phu!$I$9,M617=phu!$I$10,M617=phu!$I$11,M617=phu!$I$12,M617=phu!$I$13,M617=phu!$I$14),"Cam Nghĩa",""),IF(OR(M617=phu!$I$15,M617=phu!$I$16,M617=phu!$I$17,M617=phu!$I$18,M617=phu!$I$19,M617=phu!$I$20,M617=phu!$I$21),"Cam Phúc Bắc",""),IF(OR(M617=phu!$I$22,M617=phu!$I$23,M617=phu!$I$24,M617=phu!$I$25),"Cam Phúc Nam",""),IF(OR(M617=phu!$I$26,M617=phu!$I$27,M617=phu!$I$28,M617=phu!$I$29,M617=phu!$I$30,M617=phu!$I$31),"Cam Phú",""),IF(OR(M617=phu!$I$32,M617=phu!$I$33,M617=phu!$I$34,M617=phu!$I$35,M617=phu!$I$36,M617=phu!$I$37),"Cam Lộc",""),IF(OR(M617=phu!$I$38,M617=phu!$I$39,M617=phu!$I$40,M617=phu!$I$41,M617=phu!$I$42,M617=phu!$I$43,M617=phu!$I$44),"Cam Thuận",""),IF(OR(M617=phu!$I$45,M617=phu!$I$46,M617=phu!$I$47,M617=phu!$I$48,M617=phu!$I$49,M617=phu!$I$50,M617=phu!$I$51,M617=phu!$I$52,M617=phu!$I$53),"Cam Linh",""),IF(OR(M617=phu!$I$54,M617=phu!$I$55,M617=phu!$I$56,M617=phu!$I$57,M617=phu!$I$58,M617=phu!$I$59,M617=phu!$I$60,M617=phu!$I$61,M617=phu!$I$62),"Cam Lợi",""),IF(OR(M617=phu!$I$63,M617=phu!$I$64,M617=phu!$I$65,M617=phu!$I$66,M617=phu!$I$67,M617=phu!$I$68,M617=phu!$I$69,M617=phu!$I$70,M617=phu!$I$71),"Ba Ngòi",""),IF(OR(M617=phu!$I$72,M617=phu!$I$73,M617=phu!$I$74,M617=phu!$I$75,M617=phu!$I$76,M617=phu!$I$77,M617=phu!$I$78),"Cam Phước Đông",""),IF(OR(M617=phu!$I$79,M617=phu!$I$80,M617=phu!$I$81,M617=phu!$I$82,M617=phu!$I$83,M617=phu!$I$84),"Cam Thịnh Đông",""),IF(OR(M617=phu!$I$85,M617=phu!$I$86,M617=phu!$I$87,M617=phu!$I$88),"Cam Thịnh Tây",""),IF(OR(M617=phu!$I$89,M617=phu!$I$90),"Cam Lập",""),IF(OR(M617=phu!$I$91,M617=phu!$I$92,M617=phu!$I$93),"Cam Bình",""),IF(OR(M617=phu!$I$94,M617=phu!$I$95,M617=phu!$I$96,M617=phu!$I$97,M617=phu!$I$98,M617=phu!$I$99,M617=phu!$I$100),"Huyện khác",""),IF(OR(M617=phu!$I$101,M617=phu!$I$102),"Tỉnh khác",""))</f>
        <v/>
      </c>
      <c r="O617" s="829" t="str">
        <f t="shared" si="54"/>
        <v/>
      </c>
      <c r="P617" s="254"/>
      <c r="Q617" s="254"/>
      <c r="R617" s="254"/>
      <c r="S617" s="254"/>
      <c r="T617" s="254"/>
      <c r="U617" s="254"/>
      <c r="V617" s="254"/>
      <c r="W617" s="254"/>
      <c r="Y617" s="246" t="str">
        <f t="shared" si="55"/>
        <v/>
      </c>
      <c r="Z617" s="247" t="str">
        <f t="shared" si="59"/>
        <v/>
      </c>
      <c r="AA617" s="246" t="str">
        <f t="shared" si="56"/>
        <v/>
      </c>
    </row>
    <row r="618" spans="1:27" ht="18" customHeight="1" x14ac:dyDescent="0.25">
      <c r="A618" s="248" t="str">
        <f t="shared" si="57"/>
        <v/>
      </c>
      <c r="B618" s="249" t="str">
        <f t="shared" si="58"/>
        <v/>
      </c>
      <c r="C618" s="250"/>
      <c r="D618" s="251"/>
      <c r="E618" s="241"/>
      <c r="F618" s="252"/>
      <c r="G618" s="252"/>
      <c r="H618" s="253"/>
      <c r="I618" s="250"/>
      <c r="J618" s="250"/>
      <c r="K618" s="270"/>
      <c r="L618" s="250"/>
      <c r="M618" s="250"/>
      <c r="N618" s="540" t="str">
        <f>CONCATENATE(IF(OR(M618=phu!$I$1,M618=phu!$I$2,M618=phu!$I$3),"Cam Thành Nam",""),IF(OR(M618=phu!$I$4,M618=phu!$I$5,M618=phu!$I$6,M618=phu!$I$7,M618=phu!$I$8,M618=phu!$I$9,M618=phu!$I$10,M618=phu!$I$11,M618=phu!$I$12,M618=phu!$I$13,M618=phu!$I$14),"Cam Nghĩa",""),IF(OR(M618=phu!$I$15,M618=phu!$I$16,M618=phu!$I$17,M618=phu!$I$18,M618=phu!$I$19,M618=phu!$I$20,M618=phu!$I$21),"Cam Phúc Bắc",""),IF(OR(M618=phu!$I$22,M618=phu!$I$23,M618=phu!$I$24,M618=phu!$I$25),"Cam Phúc Nam",""),IF(OR(M618=phu!$I$26,M618=phu!$I$27,M618=phu!$I$28,M618=phu!$I$29,M618=phu!$I$30,M618=phu!$I$31),"Cam Phú",""),IF(OR(M618=phu!$I$32,M618=phu!$I$33,M618=phu!$I$34,M618=phu!$I$35,M618=phu!$I$36,M618=phu!$I$37),"Cam Lộc",""),IF(OR(M618=phu!$I$38,M618=phu!$I$39,M618=phu!$I$40,M618=phu!$I$41,M618=phu!$I$42,M618=phu!$I$43,M618=phu!$I$44),"Cam Thuận",""),IF(OR(M618=phu!$I$45,M618=phu!$I$46,M618=phu!$I$47,M618=phu!$I$48,M618=phu!$I$49,M618=phu!$I$50,M618=phu!$I$51,M618=phu!$I$52,M618=phu!$I$53),"Cam Linh",""),IF(OR(M618=phu!$I$54,M618=phu!$I$55,M618=phu!$I$56,M618=phu!$I$57,M618=phu!$I$58,M618=phu!$I$59,M618=phu!$I$60,M618=phu!$I$61,M618=phu!$I$62),"Cam Lợi",""),IF(OR(M618=phu!$I$63,M618=phu!$I$64,M618=phu!$I$65,M618=phu!$I$66,M618=phu!$I$67,M618=phu!$I$68,M618=phu!$I$69,M618=phu!$I$70,M618=phu!$I$71),"Ba Ngòi",""),IF(OR(M618=phu!$I$72,M618=phu!$I$73,M618=phu!$I$74,M618=phu!$I$75,M618=phu!$I$76,M618=phu!$I$77,M618=phu!$I$78),"Cam Phước Đông",""),IF(OR(M618=phu!$I$79,M618=phu!$I$80,M618=phu!$I$81,M618=phu!$I$82,M618=phu!$I$83,M618=phu!$I$84),"Cam Thịnh Đông",""),IF(OR(M618=phu!$I$85,M618=phu!$I$86,M618=phu!$I$87,M618=phu!$I$88),"Cam Thịnh Tây",""),IF(OR(M618=phu!$I$89,M618=phu!$I$90),"Cam Lập",""),IF(OR(M618=phu!$I$91,M618=phu!$I$92,M618=phu!$I$93),"Cam Bình",""),IF(OR(M618=phu!$I$94,M618=phu!$I$95,M618=phu!$I$96,M618=phu!$I$97,M618=phu!$I$98,M618=phu!$I$99,M618=phu!$I$100),"Huyện khác",""),IF(OR(M618=phu!$I$101,M618=phu!$I$102),"Tỉnh khác",""))</f>
        <v/>
      </c>
      <c r="O618" s="829" t="str">
        <f t="shared" si="54"/>
        <v/>
      </c>
      <c r="P618" s="254"/>
      <c r="Q618" s="254"/>
      <c r="R618" s="254"/>
      <c r="S618" s="254"/>
      <c r="T618" s="254"/>
      <c r="U618" s="254"/>
      <c r="V618" s="254"/>
      <c r="W618" s="254"/>
      <c r="Y618" s="246" t="str">
        <f t="shared" si="55"/>
        <v/>
      </c>
      <c r="Z618" s="247" t="str">
        <f t="shared" si="59"/>
        <v/>
      </c>
      <c r="AA618" s="246" t="str">
        <f t="shared" si="56"/>
        <v/>
      </c>
    </row>
    <row r="619" spans="1:27" ht="18" customHeight="1" x14ac:dyDescent="0.25">
      <c r="A619" s="248" t="str">
        <f t="shared" si="57"/>
        <v/>
      </c>
      <c r="B619" s="249" t="str">
        <f t="shared" si="58"/>
        <v/>
      </c>
      <c r="C619" s="250"/>
      <c r="D619" s="251"/>
      <c r="E619" s="241"/>
      <c r="F619" s="252"/>
      <c r="G619" s="252"/>
      <c r="H619" s="253"/>
      <c r="I619" s="250"/>
      <c r="J619" s="250"/>
      <c r="K619" s="270"/>
      <c r="L619" s="250"/>
      <c r="M619" s="250"/>
      <c r="N619" s="540" t="str">
        <f>CONCATENATE(IF(OR(M619=phu!$I$1,M619=phu!$I$2,M619=phu!$I$3),"Cam Thành Nam",""),IF(OR(M619=phu!$I$4,M619=phu!$I$5,M619=phu!$I$6,M619=phu!$I$7,M619=phu!$I$8,M619=phu!$I$9,M619=phu!$I$10,M619=phu!$I$11,M619=phu!$I$12,M619=phu!$I$13,M619=phu!$I$14),"Cam Nghĩa",""),IF(OR(M619=phu!$I$15,M619=phu!$I$16,M619=phu!$I$17,M619=phu!$I$18,M619=phu!$I$19,M619=phu!$I$20,M619=phu!$I$21),"Cam Phúc Bắc",""),IF(OR(M619=phu!$I$22,M619=phu!$I$23,M619=phu!$I$24,M619=phu!$I$25),"Cam Phúc Nam",""),IF(OR(M619=phu!$I$26,M619=phu!$I$27,M619=phu!$I$28,M619=phu!$I$29,M619=phu!$I$30,M619=phu!$I$31),"Cam Phú",""),IF(OR(M619=phu!$I$32,M619=phu!$I$33,M619=phu!$I$34,M619=phu!$I$35,M619=phu!$I$36,M619=phu!$I$37),"Cam Lộc",""),IF(OR(M619=phu!$I$38,M619=phu!$I$39,M619=phu!$I$40,M619=phu!$I$41,M619=phu!$I$42,M619=phu!$I$43,M619=phu!$I$44),"Cam Thuận",""),IF(OR(M619=phu!$I$45,M619=phu!$I$46,M619=phu!$I$47,M619=phu!$I$48,M619=phu!$I$49,M619=phu!$I$50,M619=phu!$I$51,M619=phu!$I$52,M619=phu!$I$53),"Cam Linh",""),IF(OR(M619=phu!$I$54,M619=phu!$I$55,M619=phu!$I$56,M619=phu!$I$57,M619=phu!$I$58,M619=phu!$I$59,M619=phu!$I$60,M619=phu!$I$61,M619=phu!$I$62),"Cam Lợi",""),IF(OR(M619=phu!$I$63,M619=phu!$I$64,M619=phu!$I$65,M619=phu!$I$66,M619=phu!$I$67,M619=phu!$I$68,M619=phu!$I$69,M619=phu!$I$70,M619=phu!$I$71),"Ba Ngòi",""),IF(OR(M619=phu!$I$72,M619=phu!$I$73,M619=phu!$I$74,M619=phu!$I$75,M619=phu!$I$76,M619=phu!$I$77,M619=phu!$I$78),"Cam Phước Đông",""),IF(OR(M619=phu!$I$79,M619=phu!$I$80,M619=phu!$I$81,M619=phu!$I$82,M619=phu!$I$83,M619=phu!$I$84),"Cam Thịnh Đông",""),IF(OR(M619=phu!$I$85,M619=phu!$I$86,M619=phu!$I$87,M619=phu!$I$88),"Cam Thịnh Tây",""),IF(OR(M619=phu!$I$89,M619=phu!$I$90),"Cam Lập",""),IF(OR(M619=phu!$I$91,M619=phu!$I$92,M619=phu!$I$93),"Cam Bình",""),IF(OR(M619=phu!$I$94,M619=phu!$I$95,M619=phu!$I$96,M619=phu!$I$97,M619=phu!$I$98,M619=phu!$I$99,M619=phu!$I$100),"Huyện khác",""),IF(OR(M619=phu!$I$101,M619=phu!$I$102),"Tỉnh khác",""))</f>
        <v/>
      </c>
      <c r="O619" s="829" t="str">
        <f t="shared" si="54"/>
        <v/>
      </c>
      <c r="P619" s="254"/>
      <c r="Q619" s="254"/>
      <c r="R619" s="254"/>
      <c r="S619" s="254"/>
      <c r="T619" s="254"/>
      <c r="U619" s="254"/>
      <c r="V619" s="254"/>
      <c r="W619" s="254"/>
      <c r="Y619" s="246" t="str">
        <f t="shared" si="55"/>
        <v/>
      </c>
      <c r="Z619" s="247" t="str">
        <f t="shared" si="59"/>
        <v/>
      </c>
      <c r="AA619" s="246" t="str">
        <f t="shared" si="56"/>
        <v/>
      </c>
    </row>
    <row r="620" spans="1:27" ht="18" customHeight="1" x14ac:dyDescent="0.25">
      <c r="A620" s="248" t="str">
        <f t="shared" si="57"/>
        <v/>
      </c>
      <c r="B620" s="249" t="str">
        <f t="shared" si="58"/>
        <v/>
      </c>
      <c r="C620" s="250"/>
      <c r="D620" s="251"/>
      <c r="E620" s="241"/>
      <c r="F620" s="252"/>
      <c r="G620" s="252"/>
      <c r="H620" s="253"/>
      <c r="I620" s="250"/>
      <c r="J620" s="250"/>
      <c r="K620" s="270"/>
      <c r="L620" s="250"/>
      <c r="M620" s="250"/>
      <c r="N620" s="540" t="str">
        <f>CONCATENATE(IF(OR(M620=phu!$I$1,M620=phu!$I$2,M620=phu!$I$3),"Cam Thành Nam",""),IF(OR(M620=phu!$I$4,M620=phu!$I$5,M620=phu!$I$6,M620=phu!$I$7,M620=phu!$I$8,M620=phu!$I$9,M620=phu!$I$10,M620=phu!$I$11,M620=phu!$I$12,M620=phu!$I$13,M620=phu!$I$14),"Cam Nghĩa",""),IF(OR(M620=phu!$I$15,M620=phu!$I$16,M620=phu!$I$17,M620=phu!$I$18,M620=phu!$I$19,M620=phu!$I$20,M620=phu!$I$21),"Cam Phúc Bắc",""),IF(OR(M620=phu!$I$22,M620=phu!$I$23,M620=phu!$I$24,M620=phu!$I$25),"Cam Phúc Nam",""),IF(OR(M620=phu!$I$26,M620=phu!$I$27,M620=phu!$I$28,M620=phu!$I$29,M620=phu!$I$30,M620=phu!$I$31),"Cam Phú",""),IF(OR(M620=phu!$I$32,M620=phu!$I$33,M620=phu!$I$34,M620=phu!$I$35,M620=phu!$I$36,M620=phu!$I$37),"Cam Lộc",""),IF(OR(M620=phu!$I$38,M620=phu!$I$39,M620=phu!$I$40,M620=phu!$I$41,M620=phu!$I$42,M620=phu!$I$43,M620=phu!$I$44),"Cam Thuận",""),IF(OR(M620=phu!$I$45,M620=phu!$I$46,M620=phu!$I$47,M620=phu!$I$48,M620=phu!$I$49,M620=phu!$I$50,M620=phu!$I$51,M620=phu!$I$52,M620=phu!$I$53),"Cam Linh",""),IF(OR(M620=phu!$I$54,M620=phu!$I$55,M620=phu!$I$56,M620=phu!$I$57,M620=phu!$I$58,M620=phu!$I$59,M620=phu!$I$60,M620=phu!$I$61,M620=phu!$I$62),"Cam Lợi",""),IF(OR(M620=phu!$I$63,M620=phu!$I$64,M620=phu!$I$65,M620=phu!$I$66,M620=phu!$I$67,M620=phu!$I$68,M620=phu!$I$69,M620=phu!$I$70,M620=phu!$I$71),"Ba Ngòi",""),IF(OR(M620=phu!$I$72,M620=phu!$I$73,M620=phu!$I$74,M620=phu!$I$75,M620=phu!$I$76,M620=phu!$I$77,M620=phu!$I$78),"Cam Phước Đông",""),IF(OR(M620=phu!$I$79,M620=phu!$I$80,M620=phu!$I$81,M620=phu!$I$82,M620=phu!$I$83,M620=phu!$I$84),"Cam Thịnh Đông",""),IF(OR(M620=phu!$I$85,M620=phu!$I$86,M620=phu!$I$87,M620=phu!$I$88),"Cam Thịnh Tây",""),IF(OR(M620=phu!$I$89,M620=phu!$I$90),"Cam Lập",""),IF(OR(M620=phu!$I$91,M620=phu!$I$92,M620=phu!$I$93),"Cam Bình",""),IF(OR(M620=phu!$I$94,M620=phu!$I$95,M620=phu!$I$96,M620=phu!$I$97,M620=phu!$I$98,M620=phu!$I$99,M620=phu!$I$100),"Huyện khác",""),IF(OR(M620=phu!$I$101,M620=phu!$I$102),"Tỉnh khác",""))</f>
        <v/>
      </c>
      <c r="O620" s="829" t="str">
        <f t="shared" si="54"/>
        <v/>
      </c>
      <c r="P620" s="254"/>
      <c r="Q620" s="254"/>
      <c r="R620" s="254"/>
      <c r="S620" s="254"/>
      <c r="T620" s="254"/>
      <c r="U620" s="254"/>
      <c r="V620" s="254"/>
      <c r="W620" s="254"/>
      <c r="Y620" s="246" t="str">
        <f t="shared" si="55"/>
        <v/>
      </c>
      <c r="Z620" s="247" t="str">
        <f t="shared" si="59"/>
        <v/>
      </c>
      <c r="AA620" s="246" t="str">
        <f t="shared" si="56"/>
        <v/>
      </c>
    </row>
    <row r="621" spans="1:27" ht="18" customHeight="1" x14ac:dyDescent="0.25">
      <c r="A621" s="248" t="str">
        <f t="shared" si="57"/>
        <v/>
      </c>
      <c r="B621" s="249" t="str">
        <f t="shared" si="58"/>
        <v/>
      </c>
      <c r="C621" s="250"/>
      <c r="D621" s="251"/>
      <c r="E621" s="241"/>
      <c r="F621" s="252"/>
      <c r="G621" s="252"/>
      <c r="H621" s="253"/>
      <c r="I621" s="250"/>
      <c r="J621" s="250"/>
      <c r="K621" s="270"/>
      <c r="L621" s="250"/>
      <c r="M621" s="250"/>
      <c r="N621" s="540" t="str">
        <f>CONCATENATE(IF(OR(M621=phu!$I$1,M621=phu!$I$2,M621=phu!$I$3),"Cam Thành Nam",""),IF(OR(M621=phu!$I$4,M621=phu!$I$5,M621=phu!$I$6,M621=phu!$I$7,M621=phu!$I$8,M621=phu!$I$9,M621=phu!$I$10,M621=phu!$I$11,M621=phu!$I$12,M621=phu!$I$13,M621=phu!$I$14),"Cam Nghĩa",""),IF(OR(M621=phu!$I$15,M621=phu!$I$16,M621=phu!$I$17,M621=phu!$I$18,M621=phu!$I$19,M621=phu!$I$20,M621=phu!$I$21),"Cam Phúc Bắc",""),IF(OR(M621=phu!$I$22,M621=phu!$I$23,M621=phu!$I$24,M621=phu!$I$25),"Cam Phúc Nam",""),IF(OR(M621=phu!$I$26,M621=phu!$I$27,M621=phu!$I$28,M621=phu!$I$29,M621=phu!$I$30,M621=phu!$I$31),"Cam Phú",""),IF(OR(M621=phu!$I$32,M621=phu!$I$33,M621=phu!$I$34,M621=phu!$I$35,M621=phu!$I$36,M621=phu!$I$37),"Cam Lộc",""),IF(OR(M621=phu!$I$38,M621=phu!$I$39,M621=phu!$I$40,M621=phu!$I$41,M621=phu!$I$42,M621=phu!$I$43,M621=phu!$I$44),"Cam Thuận",""),IF(OR(M621=phu!$I$45,M621=phu!$I$46,M621=phu!$I$47,M621=phu!$I$48,M621=phu!$I$49,M621=phu!$I$50,M621=phu!$I$51,M621=phu!$I$52,M621=phu!$I$53),"Cam Linh",""),IF(OR(M621=phu!$I$54,M621=phu!$I$55,M621=phu!$I$56,M621=phu!$I$57,M621=phu!$I$58,M621=phu!$I$59,M621=phu!$I$60,M621=phu!$I$61,M621=phu!$I$62),"Cam Lợi",""),IF(OR(M621=phu!$I$63,M621=phu!$I$64,M621=phu!$I$65,M621=phu!$I$66,M621=phu!$I$67,M621=phu!$I$68,M621=phu!$I$69,M621=phu!$I$70,M621=phu!$I$71),"Ba Ngòi",""),IF(OR(M621=phu!$I$72,M621=phu!$I$73,M621=phu!$I$74,M621=phu!$I$75,M621=phu!$I$76,M621=phu!$I$77,M621=phu!$I$78),"Cam Phước Đông",""),IF(OR(M621=phu!$I$79,M621=phu!$I$80,M621=phu!$I$81,M621=phu!$I$82,M621=phu!$I$83,M621=phu!$I$84),"Cam Thịnh Đông",""),IF(OR(M621=phu!$I$85,M621=phu!$I$86,M621=phu!$I$87,M621=phu!$I$88),"Cam Thịnh Tây",""),IF(OR(M621=phu!$I$89,M621=phu!$I$90),"Cam Lập",""),IF(OR(M621=phu!$I$91,M621=phu!$I$92,M621=phu!$I$93),"Cam Bình",""),IF(OR(M621=phu!$I$94,M621=phu!$I$95,M621=phu!$I$96,M621=phu!$I$97,M621=phu!$I$98,M621=phu!$I$99,M621=phu!$I$100),"Huyện khác",""),IF(OR(M621=phu!$I$101,M621=phu!$I$102),"Tỉnh khác",""))</f>
        <v/>
      </c>
      <c r="O621" s="829" t="str">
        <f t="shared" si="54"/>
        <v/>
      </c>
      <c r="P621" s="254"/>
      <c r="Q621" s="254"/>
      <c r="R621" s="254"/>
      <c r="S621" s="254"/>
      <c r="T621" s="254"/>
      <c r="U621" s="254"/>
      <c r="V621" s="254"/>
      <c r="W621" s="254"/>
      <c r="Y621" s="246" t="str">
        <f t="shared" si="55"/>
        <v/>
      </c>
      <c r="Z621" s="247" t="str">
        <f t="shared" si="59"/>
        <v/>
      </c>
      <c r="AA621" s="246" t="str">
        <f t="shared" si="56"/>
        <v/>
      </c>
    </row>
    <row r="622" spans="1:27" ht="18" customHeight="1" x14ac:dyDescent="0.25">
      <c r="A622" s="248" t="str">
        <f t="shared" si="57"/>
        <v/>
      </c>
      <c r="B622" s="249" t="str">
        <f t="shared" si="58"/>
        <v/>
      </c>
      <c r="C622" s="250"/>
      <c r="D622" s="251"/>
      <c r="E622" s="241"/>
      <c r="F622" s="252"/>
      <c r="G622" s="252"/>
      <c r="H622" s="253"/>
      <c r="I622" s="250"/>
      <c r="J622" s="250"/>
      <c r="K622" s="270"/>
      <c r="L622" s="250"/>
      <c r="M622" s="250"/>
      <c r="N622" s="540" t="str">
        <f>CONCATENATE(IF(OR(M622=phu!$I$1,M622=phu!$I$2,M622=phu!$I$3),"Cam Thành Nam",""),IF(OR(M622=phu!$I$4,M622=phu!$I$5,M622=phu!$I$6,M622=phu!$I$7,M622=phu!$I$8,M622=phu!$I$9,M622=phu!$I$10,M622=phu!$I$11,M622=phu!$I$12,M622=phu!$I$13,M622=phu!$I$14),"Cam Nghĩa",""),IF(OR(M622=phu!$I$15,M622=phu!$I$16,M622=phu!$I$17,M622=phu!$I$18,M622=phu!$I$19,M622=phu!$I$20,M622=phu!$I$21),"Cam Phúc Bắc",""),IF(OR(M622=phu!$I$22,M622=phu!$I$23,M622=phu!$I$24,M622=phu!$I$25),"Cam Phúc Nam",""),IF(OR(M622=phu!$I$26,M622=phu!$I$27,M622=phu!$I$28,M622=phu!$I$29,M622=phu!$I$30,M622=phu!$I$31),"Cam Phú",""),IF(OR(M622=phu!$I$32,M622=phu!$I$33,M622=phu!$I$34,M622=phu!$I$35,M622=phu!$I$36,M622=phu!$I$37),"Cam Lộc",""),IF(OR(M622=phu!$I$38,M622=phu!$I$39,M622=phu!$I$40,M622=phu!$I$41,M622=phu!$I$42,M622=phu!$I$43,M622=phu!$I$44),"Cam Thuận",""),IF(OR(M622=phu!$I$45,M622=phu!$I$46,M622=phu!$I$47,M622=phu!$I$48,M622=phu!$I$49,M622=phu!$I$50,M622=phu!$I$51,M622=phu!$I$52,M622=phu!$I$53),"Cam Linh",""),IF(OR(M622=phu!$I$54,M622=phu!$I$55,M622=phu!$I$56,M622=phu!$I$57,M622=phu!$I$58,M622=phu!$I$59,M622=phu!$I$60,M622=phu!$I$61,M622=phu!$I$62),"Cam Lợi",""),IF(OR(M622=phu!$I$63,M622=phu!$I$64,M622=phu!$I$65,M622=phu!$I$66,M622=phu!$I$67,M622=phu!$I$68,M622=phu!$I$69,M622=phu!$I$70,M622=phu!$I$71),"Ba Ngòi",""),IF(OR(M622=phu!$I$72,M622=phu!$I$73,M622=phu!$I$74,M622=phu!$I$75,M622=phu!$I$76,M622=phu!$I$77,M622=phu!$I$78),"Cam Phước Đông",""),IF(OR(M622=phu!$I$79,M622=phu!$I$80,M622=phu!$I$81,M622=phu!$I$82,M622=phu!$I$83,M622=phu!$I$84),"Cam Thịnh Đông",""),IF(OR(M622=phu!$I$85,M622=phu!$I$86,M622=phu!$I$87,M622=phu!$I$88),"Cam Thịnh Tây",""),IF(OR(M622=phu!$I$89,M622=phu!$I$90),"Cam Lập",""),IF(OR(M622=phu!$I$91,M622=phu!$I$92,M622=phu!$I$93),"Cam Bình",""),IF(OR(M622=phu!$I$94,M622=phu!$I$95,M622=phu!$I$96,M622=phu!$I$97,M622=phu!$I$98,M622=phu!$I$99,M622=phu!$I$100),"Huyện khác",""),IF(OR(M622=phu!$I$101,M622=phu!$I$102),"Tỉnh khác",""))</f>
        <v/>
      </c>
      <c r="O622" s="829" t="str">
        <f t="shared" si="54"/>
        <v/>
      </c>
      <c r="P622" s="254"/>
      <c r="Q622" s="254"/>
      <c r="R622" s="254"/>
      <c r="S622" s="254"/>
      <c r="T622" s="254"/>
      <c r="U622" s="254"/>
      <c r="V622" s="254"/>
      <c r="W622" s="254"/>
      <c r="Y622" s="246" t="str">
        <f t="shared" si="55"/>
        <v/>
      </c>
      <c r="Z622" s="247" t="str">
        <f t="shared" si="59"/>
        <v/>
      </c>
      <c r="AA622" s="246" t="str">
        <f t="shared" si="56"/>
        <v/>
      </c>
    </row>
    <row r="623" spans="1:27" ht="18" customHeight="1" x14ac:dyDescent="0.25">
      <c r="A623" s="248" t="str">
        <f t="shared" si="57"/>
        <v/>
      </c>
      <c r="B623" s="249" t="str">
        <f t="shared" si="58"/>
        <v/>
      </c>
      <c r="C623" s="250"/>
      <c r="D623" s="251"/>
      <c r="E623" s="241"/>
      <c r="F623" s="252"/>
      <c r="G623" s="252"/>
      <c r="H623" s="253"/>
      <c r="I623" s="250"/>
      <c r="J623" s="250"/>
      <c r="K623" s="270"/>
      <c r="L623" s="250"/>
      <c r="M623" s="250"/>
      <c r="N623" s="540" t="str">
        <f>CONCATENATE(IF(OR(M623=phu!$I$1,M623=phu!$I$2,M623=phu!$I$3),"Cam Thành Nam",""),IF(OR(M623=phu!$I$4,M623=phu!$I$5,M623=phu!$I$6,M623=phu!$I$7,M623=phu!$I$8,M623=phu!$I$9,M623=phu!$I$10,M623=phu!$I$11,M623=phu!$I$12,M623=phu!$I$13,M623=phu!$I$14),"Cam Nghĩa",""),IF(OR(M623=phu!$I$15,M623=phu!$I$16,M623=phu!$I$17,M623=phu!$I$18,M623=phu!$I$19,M623=phu!$I$20,M623=phu!$I$21),"Cam Phúc Bắc",""),IF(OR(M623=phu!$I$22,M623=phu!$I$23,M623=phu!$I$24,M623=phu!$I$25),"Cam Phúc Nam",""),IF(OR(M623=phu!$I$26,M623=phu!$I$27,M623=phu!$I$28,M623=phu!$I$29,M623=phu!$I$30,M623=phu!$I$31),"Cam Phú",""),IF(OR(M623=phu!$I$32,M623=phu!$I$33,M623=phu!$I$34,M623=phu!$I$35,M623=phu!$I$36,M623=phu!$I$37),"Cam Lộc",""),IF(OR(M623=phu!$I$38,M623=phu!$I$39,M623=phu!$I$40,M623=phu!$I$41,M623=phu!$I$42,M623=phu!$I$43,M623=phu!$I$44),"Cam Thuận",""),IF(OR(M623=phu!$I$45,M623=phu!$I$46,M623=phu!$I$47,M623=phu!$I$48,M623=phu!$I$49,M623=phu!$I$50,M623=phu!$I$51,M623=phu!$I$52,M623=phu!$I$53),"Cam Linh",""),IF(OR(M623=phu!$I$54,M623=phu!$I$55,M623=phu!$I$56,M623=phu!$I$57,M623=phu!$I$58,M623=phu!$I$59,M623=phu!$I$60,M623=phu!$I$61,M623=phu!$I$62),"Cam Lợi",""),IF(OR(M623=phu!$I$63,M623=phu!$I$64,M623=phu!$I$65,M623=phu!$I$66,M623=phu!$I$67,M623=phu!$I$68,M623=phu!$I$69,M623=phu!$I$70,M623=phu!$I$71),"Ba Ngòi",""),IF(OR(M623=phu!$I$72,M623=phu!$I$73,M623=phu!$I$74,M623=phu!$I$75,M623=phu!$I$76,M623=phu!$I$77,M623=phu!$I$78),"Cam Phước Đông",""),IF(OR(M623=phu!$I$79,M623=phu!$I$80,M623=phu!$I$81,M623=phu!$I$82,M623=phu!$I$83,M623=phu!$I$84),"Cam Thịnh Đông",""),IF(OR(M623=phu!$I$85,M623=phu!$I$86,M623=phu!$I$87,M623=phu!$I$88),"Cam Thịnh Tây",""),IF(OR(M623=phu!$I$89,M623=phu!$I$90),"Cam Lập",""),IF(OR(M623=phu!$I$91,M623=phu!$I$92,M623=phu!$I$93),"Cam Bình",""),IF(OR(M623=phu!$I$94,M623=phu!$I$95,M623=phu!$I$96,M623=phu!$I$97,M623=phu!$I$98,M623=phu!$I$99,M623=phu!$I$100),"Huyện khác",""),IF(OR(M623=phu!$I$101,M623=phu!$I$102),"Tỉnh khác",""))</f>
        <v/>
      </c>
      <c r="O623" s="829" t="str">
        <f t="shared" si="54"/>
        <v/>
      </c>
      <c r="P623" s="254"/>
      <c r="Q623" s="254"/>
      <c r="R623" s="254"/>
      <c r="S623" s="254"/>
      <c r="T623" s="254"/>
      <c r="U623" s="254"/>
      <c r="V623" s="254"/>
      <c r="W623" s="254"/>
      <c r="Y623" s="246" t="str">
        <f t="shared" si="55"/>
        <v/>
      </c>
      <c r="Z623" s="247" t="str">
        <f t="shared" si="59"/>
        <v/>
      </c>
      <c r="AA623" s="246" t="str">
        <f t="shared" si="56"/>
        <v/>
      </c>
    </row>
    <row r="624" spans="1:27" ht="18" customHeight="1" x14ac:dyDescent="0.25">
      <c r="A624" s="248" t="str">
        <f t="shared" si="57"/>
        <v/>
      </c>
      <c r="B624" s="249" t="str">
        <f t="shared" si="58"/>
        <v/>
      </c>
      <c r="C624" s="250"/>
      <c r="D624" s="251"/>
      <c r="E624" s="241"/>
      <c r="F624" s="252"/>
      <c r="G624" s="252"/>
      <c r="H624" s="253"/>
      <c r="I624" s="250"/>
      <c r="J624" s="250"/>
      <c r="K624" s="270"/>
      <c r="L624" s="250"/>
      <c r="M624" s="250"/>
      <c r="N624" s="540" t="str">
        <f>CONCATENATE(IF(OR(M624=phu!$I$1,M624=phu!$I$2,M624=phu!$I$3),"Cam Thành Nam",""),IF(OR(M624=phu!$I$4,M624=phu!$I$5,M624=phu!$I$6,M624=phu!$I$7,M624=phu!$I$8,M624=phu!$I$9,M624=phu!$I$10,M624=phu!$I$11,M624=phu!$I$12,M624=phu!$I$13,M624=phu!$I$14),"Cam Nghĩa",""),IF(OR(M624=phu!$I$15,M624=phu!$I$16,M624=phu!$I$17,M624=phu!$I$18,M624=phu!$I$19,M624=phu!$I$20,M624=phu!$I$21),"Cam Phúc Bắc",""),IF(OR(M624=phu!$I$22,M624=phu!$I$23,M624=phu!$I$24,M624=phu!$I$25),"Cam Phúc Nam",""),IF(OR(M624=phu!$I$26,M624=phu!$I$27,M624=phu!$I$28,M624=phu!$I$29,M624=phu!$I$30,M624=phu!$I$31),"Cam Phú",""),IF(OR(M624=phu!$I$32,M624=phu!$I$33,M624=phu!$I$34,M624=phu!$I$35,M624=phu!$I$36,M624=phu!$I$37),"Cam Lộc",""),IF(OR(M624=phu!$I$38,M624=phu!$I$39,M624=phu!$I$40,M624=phu!$I$41,M624=phu!$I$42,M624=phu!$I$43,M624=phu!$I$44),"Cam Thuận",""),IF(OR(M624=phu!$I$45,M624=phu!$I$46,M624=phu!$I$47,M624=phu!$I$48,M624=phu!$I$49,M624=phu!$I$50,M624=phu!$I$51,M624=phu!$I$52,M624=phu!$I$53),"Cam Linh",""),IF(OR(M624=phu!$I$54,M624=phu!$I$55,M624=phu!$I$56,M624=phu!$I$57,M624=phu!$I$58,M624=phu!$I$59,M624=phu!$I$60,M624=phu!$I$61,M624=phu!$I$62),"Cam Lợi",""),IF(OR(M624=phu!$I$63,M624=phu!$I$64,M624=phu!$I$65,M624=phu!$I$66,M624=phu!$I$67,M624=phu!$I$68,M624=phu!$I$69,M624=phu!$I$70,M624=phu!$I$71),"Ba Ngòi",""),IF(OR(M624=phu!$I$72,M624=phu!$I$73,M624=phu!$I$74,M624=phu!$I$75,M624=phu!$I$76,M624=phu!$I$77,M624=phu!$I$78),"Cam Phước Đông",""),IF(OR(M624=phu!$I$79,M624=phu!$I$80,M624=phu!$I$81,M624=phu!$I$82,M624=phu!$I$83,M624=phu!$I$84),"Cam Thịnh Đông",""),IF(OR(M624=phu!$I$85,M624=phu!$I$86,M624=phu!$I$87,M624=phu!$I$88),"Cam Thịnh Tây",""),IF(OR(M624=phu!$I$89,M624=phu!$I$90),"Cam Lập",""),IF(OR(M624=phu!$I$91,M624=phu!$I$92,M624=phu!$I$93),"Cam Bình",""),IF(OR(M624=phu!$I$94,M624=phu!$I$95,M624=phu!$I$96,M624=phu!$I$97,M624=phu!$I$98,M624=phu!$I$99,M624=phu!$I$100),"Huyện khác",""),IF(OR(M624=phu!$I$101,M624=phu!$I$102),"Tỉnh khác",""))</f>
        <v/>
      </c>
      <c r="O624" s="829" t="str">
        <f t="shared" si="54"/>
        <v/>
      </c>
      <c r="P624" s="254"/>
      <c r="Q624" s="254"/>
      <c r="R624" s="254"/>
      <c r="S624" s="254"/>
      <c r="T624" s="254"/>
      <c r="U624" s="254"/>
      <c r="V624" s="254"/>
      <c r="W624" s="254"/>
      <c r="Y624" s="246" t="str">
        <f t="shared" si="55"/>
        <v/>
      </c>
      <c r="Z624" s="247" t="str">
        <f t="shared" si="59"/>
        <v/>
      </c>
      <c r="AA624" s="246" t="str">
        <f t="shared" si="56"/>
        <v/>
      </c>
    </row>
    <row r="625" spans="1:27" ht="18" customHeight="1" x14ac:dyDescent="0.25">
      <c r="A625" s="248" t="str">
        <f t="shared" si="57"/>
        <v/>
      </c>
      <c r="B625" s="249" t="str">
        <f t="shared" si="58"/>
        <v/>
      </c>
      <c r="C625" s="250"/>
      <c r="D625" s="251"/>
      <c r="E625" s="241"/>
      <c r="F625" s="252"/>
      <c r="G625" s="252"/>
      <c r="H625" s="253"/>
      <c r="I625" s="250"/>
      <c r="J625" s="250"/>
      <c r="K625" s="270"/>
      <c r="L625" s="250"/>
      <c r="M625" s="250"/>
      <c r="N625" s="540" t="str">
        <f>CONCATENATE(IF(OR(M625=phu!$I$1,M625=phu!$I$2,M625=phu!$I$3),"Cam Thành Nam",""),IF(OR(M625=phu!$I$4,M625=phu!$I$5,M625=phu!$I$6,M625=phu!$I$7,M625=phu!$I$8,M625=phu!$I$9,M625=phu!$I$10,M625=phu!$I$11,M625=phu!$I$12,M625=phu!$I$13,M625=phu!$I$14),"Cam Nghĩa",""),IF(OR(M625=phu!$I$15,M625=phu!$I$16,M625=phu!$I$17,M625=phu!$I$18,M625=phu!$I$19,M625=phu!$I$20,M625=phu!$I$21),"Cam Phúc Bắc",""),IF(OR(M625=phu!$I$22,M625=phu!$I$23,M625=phu!$I$24,M625=phu!$I$25),"Cam Phúc Nam",""),IF(OR(M625=phu!$I$26,M625=phu!$I$27,M625=phu!$I$28,M625=phu!$I$29,M625=phu!$I$30,M625=phu!$I$31),"Cam Phú",""),IF(OR(M625=phu!$I$32,M625=phu!$I$33,M625=phu!$I$34,M625=phu!$I$35,M625=phu!$I$36,M625=phu!$I$37),"Cam Lộc",""),IF(OR(M625=phu!$I$38,M625=phu!$I$39,M625=phu!$I$40,M625=phu!$I$41,M625=phu!$I$42,M625=phu!$I$43,M625=phu!$I$44),"Cam Thuận",""),IF(OR(M625=phu!$I$45,M625=phu!$I$46,M625=phu!$I$47,M625=phu!$I$48,M625=phu!$I$49,M625=phu!$I$50,M625=phu!$I$51,M625=phu!$I$52,M625=phu!$I$53),"Cam Linh",""),IF(OR(M625=phu!$I$54,M625=phu!$I$55,M625=phu!$I$56,M625=phu!$I$57,M625=phu!$I$58,M625=phu!$I$59,M625=phu!$I$60,M625=phu!$I$61,M625=phu!$I$62),"Cam Lợi",""),IF(OR(M625=phu!$I$63,M625=phu!$I$64,M625=phu!$I$65,M625=phu!$I$66,M625=phu!$I$67,M625=phu!$I$68,M625=phu!$I$69,M625=phu!$I$70,M625=phu!$I$71),"Ba Ngòi",""),IF(OR(M625=phu!$I$72,M625=phu!$I$73,M625=phu!$I$74,M625=phu!$I$75,M625=phu!$I$76,M625=phu!$I$77,M625=phu!$I$78),"Cam Phước Đông",""),IF(OR(M625=phu!$I$79,M625=phu!$I$80,M625=phu!$I$81,M625=phu!$I$82,M625=phu!$I$83,M625=phu!$I$84),"Cam Thịnh Đông",""),IF(OR(M625=phu!$I$85,M625=phu!$I$86,M625=phu!$I$87,M625=phu!$I$88),"Cam Thịnh Tây",""),IF(OR(M625=phu!$I$89,M625=phu!$I$90),"Cam Lập",""),IF(OR(M625=phu!$I$91,M625=phu!$I$92,M625=phu!$I$93),"Cam Bình",""),IF(OR(M625=phu!$I$94,M625=phu!$I$95,M625=phu!$I$96,M625=phu!$I$97,M625=phu!$I$98,M625=phu!$I$99,M625=phu!$I$100),"Huyện khác",""),IF(OR(M625=phu!$I$101,M625=phu!$I$102),"Tỉnh khác",""))</f>
        <v/>
      </c>
      <c r="O625" s="829" t="str">
        <f t="shared" si="54"/>
        <v/>
      </c>
      <c r="P625" s="254"/>
      <c r="Q625" s="254"/>
      <c r="R625" s="254"/>
      <c r="S625" s="254"/>
      <c r="T625" s="254"/>
      <c r="U625" s="254"/>
      <c r="V625" s="254"/>
      <c r="W625" s="254"/>
      <c r="Y625" s="246" t="str">
        <f t="shared" si="55"/>
        <v/>
      </c>
      <c r="Z625" s="247" t="str">
        <f t="shared" si="59"/>
        <v/>
      </c>
      <c r="AA625" s="246" t="str">
        <f t="shared" si="56"/>
        <v/>
      </c>
    </row>
    <row r="626" spans="1:27" ht="18" customHeight="1" x14ac:dyDescent="0.25">
      <c r="A626" s="248" t="str">
        <f t="shared" si="57"/>
        <v/>
      </c>
      <c r="B626" s="249" t="str">
        <f t="shared" si="58"/>
        <v/>
      </c>
      <c r="C626" s="250"/>
      <c r="D626" s="251"/>
      <c r="E626" s="241"/>
      <c r="F626" s="252"/>
      <c r="G626" s="252"/>
      <c r="H626" s="253"/>
      <c r="I626" s="250"/>
      <c r="J626" s="250"/>
      <c r="K626" s="270"/>
      <c r="L626" s="250"/>
      <c r="M626" s="250"/>
      <c r="N626" s="540" t="str">
        <f>CONCATENATE(IF(OR(M626=phu!$I$1,M626=phu!$I$2,M626=phu!$I$3),"Cam Thành Nam",""),IF(OR(M626=phu!$I$4,M626=phu!$I$5,M626=phu!$I$6,M626=phu!$I$7,M626=phu!$I$8,M626=phu!$I$9,M626=phu!$I$10,M626=phu!$I$11,M626=phu!$I$12,M626=phu!$I$13,M626=phu!$I$14),"Cam Nghĩa",""),IF(OR(M626=phu!$I$15,M626=phu!$I$16,M626=phu!$I$17,M626=phu!$I$18,M626=phu!$I$19,M626=phu!$I$20,M626=phu!$I$21),"Cam Phúc Bắc",""),IF(OR(M626=phu!$I$22,M626=phu!$I$23,M626=phu!$I$24,M626=phu!$I$25),"Cam Phúc Nam",""),IF(OR(M626=phu!$I$26,M626=phu!$I$27,M626=phu!$I$28,M626=phu!$I$29,M626=phu!$I$30,M626=phu!$I$31),"Cam Phú",""),IF(OR(M626=phu!$I$32,M626=phu!$I$33,M626=phu!$I$34,M626=phu!$I$35,M626=phu!$I$36,M626=phu!$I$37),"Cam Lộc",""),IF(OR(M626=phu!$I$38,M626=phu!$I$39,M626=phu!$I$40,M626=phu!$I$41,M626=phu!$I$42,M626=phu!$I$43,M626=phu!$I$44),"Cam Thuận",""),IF(OR(M626=phu!$I$45,M626=phu!$I$46,M626=phu!$I$47,M626=phu!$I$48,M626=phu!$I$49,M626=phu!$I$50,M626=phu!$I$51,M626=phu!$I$52,M626=phu!$I$53),"Cam Linh",""),IF(OR(M626=phu!$I$54,M626=phu!$I$55,M626=phu!$I$56,M626=phu!$I$57,M626=phu!$I$58,M626=phu!$I$59,M626=phu!$I$60,M626=phu!$I$61,M626=phu!$I$62),"Cam Lợi",""),IF(OR(M626=phu!$I$63,M626=phu!$I$64,M626=phu!$I$65,M626=phu!$I$66,M626=phu!$I$67,M626=phu!$I$68,M626=phu!$I$69,M626=phu!$I$70,M626=phu!$I$71),"Ba Ngòi",""),IF(OR(M626=phu!$I$72,M626=phu!$I$73,M626=phu!$I$74,M626=phu!$I$75,M626=phu!$I$76,M626=phu!$I$77,M626=phu!$I$78),"Cam Phước Đông",""),IF(OR(M626=phu!$I$79,M626=phu!$I$80,M626=phu!$I$81,M626=phu!$I$82,M626=phu!$I$83,M626=phu!$I$84),"Cam Thịnh Đông",""),IF(OR(M626=phu!$I$85,M626=phu!$I$86,M626=phu!$I$87,M626=phu!$I$88),"Cam Thịnh Tây",""),IF(OR(M626=phu!$I$89,M626=phu!$I$90),"Cam Lập",""),IF(OR(M626=phu!$I$91,M626=phu!$I$92,M626=phu!$I$93),"Cam Bình",""),IF(OR(M626=phu!$I$94,M626=phu!$I$95,M626=phu!$I$96,M626=phu!$I$97,M626=phu!$I$98,M626=phu!$I$99,M626=phu!$I$100),"Huyện khác",""),IF(OR(M626=phu!$I$101,M626=phu!$I$102),"Tỉnh khác",""))</f>
        <v/>
      </c>
      <c r="O626" s="829" t="str">
        <f t="shared" si="54"/>
        <v/>
      </c>
      <c r="P626" s="254"/>
      <c r="Q626" s="254"/>
      <c r="R626" s="254"/>
      <c r="S626" s="254"/>
      <c r="T626" s="254"/>
      <c r="U626" s="254"/>
      <c r="V626" s="254"/>
      <c r="W626" s="254"/>
      <c r="Y626" s="246" t="str">
        <f t="shared" si="55"/>
        <v/>
      </c>
      <c r="Z626" s="247" t="str">
        <f t="shared" si="59"/>
        <v/>
      </c>
      <c r="AA626" s="246" t="str">
        <f t="shared" si="56"/>
        <v/>
      </c>
    </row>
    <row r="627" spans="1:27" ht="18" customHeight="1" x14ac:dyDescent="0.25">
      <c r="A627" s="248" t="str">
        <f t="shared" si="57"/>
        <v/>
      </c>
      <c r="B627" s="249" t="str">
        <f t="shared" si="58"/>
        <v/>
      </c>
      <c r="C627" s="250"/>
      <c r="D627" s="251"/>
      <c r="E627" s="241"/>
      <c r="F627" s="252"/>
      <c r="G627" s="252"/>
      <c r="H627" s="253"/>
      <c r="I627" s="250"/>
      <c r="J627" s="250"/>
      <c r="K627" s="270"/>
      <c r="L627" s="250"/>
      <c r="M627" s="250"/>
      <c r="N627" s="540" t="str">
        <f>CONCATENATE(IF(OR(M627=phu!$I$1,M627=phu!$I$2,M627=phu!$I$3),"Cam Thành Nam",""),IF(OR(M627=phu!$I$4,M627=phu!$I$5,M627=phu!$I$6,M627=phu!$I$7,M627=phu!$I$8,M627=phu!$I$9,M627=phu!$I$10,M627=phu!$I$11,M627=phu!$I$12,M627=phu!$I$13,M627=phu!$I$14),"Cam Nghĩa",""),IF(OR(M627=phu!$I$15,M627=phu!$I$16,M627=phu!$I$17,M627=phu!$I$18,M627=phu!$I$19,M627=phu!$I$20,M627=phu!$I$21),"Cam Phúc Bắc",""),IF(OR(M627=phu!$I$22,M627=phu!$I$23,M627=phu!$I$24,M627=phu!$I$25),"Cam Phúc Nam",""),IF(OR(M627=phu!$I$26,M627=phu!$I$27,M627=phu!$I$28,M627=phu!$I$29,M627=phu!$I$30,M627=phu!$I$31),"Cam Phú",""),IF(OR(M627=phu!$I$32,M627=phu!$I$33,M627=phu!$I$34,M627=phu!$I$35,M627=phu!$I$36,M627=phu!$I$37),"Cam Lộc",""),IF(OR(M627=phu!$I$38,M627=phu!$I$39,M627=phu!$I$40,M627=phu!$I$41,M627=phu!$I$42,M627=phu!$I$43,M627=phu!$I$44),"Cam Thuận",""),IF(OR(M627=phu!$I$45,M627=phu!$I$46,M627=phu!$I$47,M627=phu!$I$48,M627=phu!$I$49,M627=phu!$I$50,M627=phu!$I$51,M627=phu!$I$52,M627=phu!$I$53),"Cam Linh",""),IF(OR(M627=phu!$I$54,M627=phu!$I$55,M627=phu!$I$56,M627=phu!$I$57,M627=phu!$I$58,M627=phu!$I$59,M627=phu!$I$60,M627=phu!$I$61,M627=phu!$I$62),"Cam Lợi",""),IF(OR(M627=phu!$I$63,M627=phu!$I$64,M627=phu!$I$65,M627=phu!$I$66,M627=phu!$I$67,M627=phu!$I$68,M627=phu!$I$69,M627=phu!$I$70,M627=phu!$I$71),"Ba Ngòi",""),IF(OR(M627=phu!$I$72,M627=phu!$I$73,M627=phu!$I$74,M627=phu!$I$75,M627=phu!$I$76,M627=phu!$I$77,M627=phu!$I$78),"Cam Phước Đông",""),IF(OR(M627=phu!$I$79,M627=phu!$I$80,M627=phu!$I$81,M627=phu!$I$82,M627=phu!$I$83,M627=phu!$I$84),"Cam Thịnh Đông",""),IF(OR(M627=phu!$I$85,M627=phu!$I$86,M627=phu!$I$87,M627=phu!$I$88),"Cam Thịnh Tây",""),IF(OR(M627=phu!$I$89,M627=phu!$I$90),"Cam Lập",""),IF(OR(M627=phu!$I$91,M627=phu!$I$92,M627=phu!$I$93),"Cam Bình",""),IF(OR(M627=phu!$I$94,M627=phu!$I$95,M627=phu!$I$96,M627=phu!$I$97,M627=phu!$I$98,M627=phu!$I$99,M627=phu!$I$100),"Huyện khác",""),IF(OR(M627=phu!$I$101,M627=phu!$I$102),"Tỉnh khác",""))</f>
        <v/>
      </c>
      <c r="O627" s="829" t="str">
        <f t="shared" si="54"/>
        <v/>
      </c>
      <c r="P627" s="254"/>
      <c r="Q627" s="254"/>
      <c r="R627" s="254"/>
      <c r="S627" s="254"/>
      <c r="T627" s="254"/>
      <c r="U627" s="254"/>
      <c r="V627" s="254"/>
      <c r="W627" s="254"/>
      <c r="Y627" s="246" t="str">
        <f t="shared" si="55"/>
        <v/>
      </c>
      <c r="Z627" s="247" t="str">
        <f t="shared" si="59"/>
        <v/>
      </c>
      <c r="AA627" s="246" t="str">
        <f t="shared" si="56"/>
        <v/>
      </c>
    </row>
    <row r="628" spans="1:27" ht="18" customHeight="1" x14ac:dyDescent="0.25">
      <c r="A628" s="248" t="str">
        <f t="shared" si="57"/>
        <v/>
      </c>
      <c r="B628" s="249" t="str">
        <f t="shared" si="58"/>
        <v/>
      </c>
      <c r="C628" s="250"/>
      <c r="D628" s="251"/>
      <c r="E628" s="241"/>
      <c r="F628" s="252"/>
      <c r="G628" s="252"/>
      <c r="H628" s="253"/>
      <c r="I628" s="250"/>
      <c r="J628" s="250"/>
      <c r="K628" s="270"/>
      <c r="L628" s="250"/>
      <c r="M628" s="250"/>
      <c r="N628" s="540" t="str">
        <f>CONCATENATE(IF(OR(M628=phu!$I$1,M628=phu!$I$2,M628=phu!$I$3),"Cam Thành Nam",""),IF(OR(M628=phu!$I$4,M628=phu!$I$5,M628=phu!$I$6,M628=phu!$I$7,M628=phu!$I$8,M628=phu!$I$9,M628=phu!$I$10,M628=phu!$I$11,M628=phu!$I$12,M628=phu!$I$13,M628=phu!$I$14),"Cam Nghĩa",""),IF(OR(M628=phu!$I$15,M628=phu!$I$16,M628=phu!$I$17,M628=phu!$I$18,M628=phu!$I$19,M628=phu!$I$20,M628=phu!$I$21),"Cam Phúc Bắc",""),IF(OR(M628=phu!$I$22,M628=phu!$I$23,M628=phu!$I$24,M628=phu!$I$25),"Cam Phúc Nam",""),IF(OR(M628=phu!$I$26,M628=phu!$I$27,M628=phu!$I$28,M628=phu!$I$29,M628=phu!$I$30,M628=phu!$I$31),"Cam Phú",""),IF(OR(M628=phu!$I$32,M628=phu!$I$33,M628=phu!$I$34,M628=phu!$I$35,M628=phu!$I$36,M628=phu!$I$37),"Cam Lộc",""),IF(OR(M628=phu!$I$38,M628=phu!$I$39,M628=phu!$I$40,M628=phu!$I$41,M628=phu!$I$42,M628=phu!$I$43,M628=phu!$I$44),"Cam Thuận",""),IF(OR(M628=phu!$I$45,M628=phu!$I$46,M628=phu!$I$47,M628=phu!$I$48,M628=phu!$I$49,M628=phu!$I$50,M628=phu!$I$51,M628=phu!$I$52,M628=phu!$I$53),"Cam Linh",""),IF(OR(M628=phu!$I$54,M628=phu!$I$55,M628=phu!$I$56,M628=phu!$I$57,M628=phu!$I$58,M628=phu!$I$59,M628=phu!$I$60,M628=phu!$I$61,M628=phu!$I$62),"Cam Lợi",""),IF(OR(M628=phu!$I$63,M628=phu!$I$64,M628=phu!$I$65,M628=phu!$I$66,M628=phu!$I$67,M628=phu!$I$68,M628=phu!$I$69,M628=phu!$I$70,M628=phu!$I$71),"Ba Ngòi",""),IF(OR(M628=phu!$I$72,M628=phu!$I$73,M628=phu!$I$74,M628=phu!$I$75,M628=phu!$I$76,M628=phu!$I$77,M628=phu!$I$78),"Cam Phước Đông",""),IF(OR(M628=phu!$I$79,M628=phu!$I$80,M628=phu!$I$81,M628=phu!$I$82,M628=phu!$I$83,M628=phu!$I$84),"Cam Thịnh Đông",""),IF(OR(M628=phu!$I$85,M628=phu!$I$86,M628=phu!$I$87,M628=phu!$I$88),"Cam Thịnh Tây",""),IF(OR(M628=phu!$I$89,M628=phu!$I$90),"Cam Lập",""),IF(OR(M628=phu!$I$91,M628=phu!$I$92,M628=phu!$I$93),"Cam Bình",""),IF(OR(M628=phu!$I$94,M628=phu!$I$95,M628=phu!$I$96,M628=phu!$I$97,M628=phu!$I$98,M628=phu!$I$99,M628=phu!$I$100),"Huyện khác",""),IF(OR(M628=phu!$I$101,M628=phu!$I$102),"Tỉnh khác",""))</f>
        <v/>
      </c>
      <c r="O628" s="829" t="str">
        <f t="shared" si="54"/>
        <v/>
      </c>
      <c r="P628" s="254"/>
      <c r="Q628" s="254"/>
      <c r="R628" s="254"/>
      <c r="S628" s="254"/>
      <c r="T628" s="254"/>
      <c r="U628" s="254"/>
      <c r="V628" s="254"/>
      <c r="W628" s="254"/>
      <c r="Y628" s="246" t="str">
        <f t="shared" si="55"/>
        <v/>
      </c>
      <c r="Z628" s="247" t="str">
        <f t="shared" si="59"/>
        <v/>
      </c>
      <c r="AA628" s="246" t="str">
        <f t="shared" si="56"/>
        <v/>
      </c>
    </row>
    <row r="629" spans="1:27" ht="18" customHeight="1" x14ac:dyDescent="0.25">
      <c r="A629" s="248" t="str">
        <f t="shared" si="57"/>
        <v/>
      </c>
      <c r="B629" s="249" t="str">
        <f t="shared" si="58"/>
        <v/>
      </c>
      <c r="C629" s="250"/>
      <c r="D629" s="251"/>
      <c r="E629" s="241"/>
      <c r="F629" s="252"/>
      <c r="G629" s="252"/>
      <c r="H629" s="253"/>
      <c r="I629" s="250"/>
      <c r="J629" s="250"/>
      <c r="K629" s="270"/>
      <c r="L629" s="250"/>
      <c r="M629" s="250"/>
      <c r="N629" s="540" t="str">
        <f>CONCATENATE(IF(OR(M629=phu!$I$1,M629=phu!$I$2,M629=phu!$I$3),"Cam Thành Nam",""),IF(OR(M629=phu!$I$4,M629=phu!$I$5,M629=phu!$I$6,M629=phu!$I$7,M629=phu!$I$8,M629=phu!$I$9,M629=phu!$I$10,M629=phu!$I$11,M629=phu!$I$12,M629=phu!$I$13,M629=phu!$I$14),"Cam Nghĩa",""),IF(OR(M629=phu!$I$15,M629=phu!$I$16,M629=phu!$I$17,M629=phu!$I$18,M629=phu!$I$19,M629=phu!$I$20,M629=phu!$I$21),"Cam Phúc Bắc",""),IF(OR(M629=phu!$I$22,M629=phu!$I$23,M629=phu!$I$24,M629=phu!$I$25),"Cam Phúc Nam",""),IF(OR(M629=phu!$I$26,M629=phu!$I$27,M629=phu!$I$28,M629=phu!$I$29,M629=phu!$I$30,M629=phu!$I$31),"Cam Phú",""),IF(OR(M629=phu!$I$32,M629=phu!$I$33,M629=phu!$I$34,M629=phu!$I$35,M629=phu!$I$36,M629=phu!$I$37),"Cam Lộc",""),IF(OR(M629=phu!$I$38,M629=phu!$I$39,M629=phu!$I$40,M629=phu!$I$41,M629=phu!$I$42,M629=phu!$I$43,M629=phu!$I$44),"Cam Thuận",""),IF(OR(M629=phu!$I$45,M629=phu!$I$46,M629=phu!$I$47,M629=phu!$I$48,M629=phu!$I$49,M629=phu!$I$50,M629=phu!$I$51,M629=phu!$I$52,M629=phu!$I$53),"Cam Linh",""),IF(OR(M629=phu!$I$54,M629=phu!$I$55,M629=phu!$I$56,M629=phu!$I$57,M629=phu!$I$58,M629=phu!$I$59,M629=phu!$I$60,M629=phu!$I$61,M629=phu!$I$62),"Cam Lợi",""),IF(OR(M629=phu!$I$63,M629=phu!$I$64,M629=phu!$I$65,M629=phu!$I$66,M629=phu!$I$67,M629=phu!$I$68,M629=phu!$I$69,M629=phu!$I$70,M629=phu!$I$71),"Ba Ngòi",""),IF(OR(M629=phu!$I$72,M629=phu!$I$73,M629=phu!$I$74,M629=phu!$I$75,M629=phu!$I$76,M629=phu!$I$77,M629=phu!$I$78),"Cam Phước Đông",""),IF(OR(M629=phu!$I$79,M629=phu!$I$80,M629=phu!$I$81,M629=phu!$I$82,M629=phu!$I$83,M629=phu!$I$84),"Cam Thịnh Đông",""),IF(OR(M629=phu!$I$85,M629=phu!$I$86,M629=phu!$I$87,M629=phu!$I$88),"Cam Thịnh Tây",""),IF(OR(M629=phu!$I$89,M629=phu!$I$90),"Cam Lập",""),IF(OR(M629=phu!$I$91,M629=phu!$I$92,M629=phu!$I$93),"Cam Bình",""),IF(OR(M629=phu!$I$94,M629=phu!$I$95,M629=phu!$I$96,M629=phu!$I$97,M629=phu!$I$98,M629=phu!$I$99,M629=phu!$I$100),"Huyện khác",""),IF(OR(M629=phu!$I$101,M629=phu!$I$102),"Tỉnh khác",""))</f>
        <v/>
      </c>
      <c r="O629" s="829" t="str">
        <f t="shared" si="54"/>
        <v/>
      </c>
      <c r="P629" s="254"/>
      <c r="Q629" s="254"/>
      <c r="R629" s="254"/>
      <c r="S629" s="254"/>
      <c r="T629" s="254"/>
      <c r="U629" s="254"/>
      <c r="V629" s="254"/>
      <c r="W629" s="254"/>
      <c r="Y629" s="246" t="str">
        <f t="shared" si="55"/>
        <v/>
      </c>
      <c r="Z629" s="247" t="str">
        <f t="shared" si="59"/>
        <v/>
      </c>
      <c r="AA629" s="246" t="str">
        <f t="shared" si="56"/>
        <v/>
      </c>
    </row>
    <row r="630" spans="1:27" ht="18" customHeight="1" x14ac:dyDescent="0.25">
      <c r="A630" s="248" t="str">
        <f t="shared" si="57"/>
        <v/>
      </c>
      <c r="B630" s="249" t="str">
        <f t="shared" si="58"/>
        <v/>
      </c>
      <c r="C630" s="250"/>
      <c r="D630" s="251"/>
      <c r="E630" s="241"/>
      <c r="F630" s="252"/>
      <c r="G630" s="252"/>
      <c r="H630" s="253"/>
      <c r="I630" s="250"/>
      <c r="J630" s="250"/>
      <c r="K630" s="270"/>
      <c r="L630" s="250"/>
      <c r="M630" s="250"/>
      <c r="N630" s="540" t="str">
        <f>CONCATENATE(IF(OR(M630=phu!$I$1,M630=phu!$I$2,M630=phu!$I$3),"Cam Thành Nam",""),IF(OR(M630=phu!$I$4,M630=phu!$I$5,M630=phu!$I$6,M630=phu!$I$7,M630=phu!$I$8,M630=phu!$I$9,M630=phu!$I$10,M630=phu!$I$11,M630=phu!$I$12,M630=phu!$I$13,M630=phu!$I$14),"Cam Nghĩa",""),IF(OR(M630=phu!$I$15,M630=phu!$I$16,M630=phu!$I$17,M630=phu!$I$18,M630=phu!$I$19,M630=phu!$I$20,M630=phu!$I$21),"Cam Phúc Bắc",""),IF(OR(M630=phu!$I$22,M630=phu!$I$23,M630=phu!$I$24,M630=phu!$I$25),"Cam Phúc Nam",""),IF(OR(M630=phu!$I$26,M630=phu!$I$27,M630=phu!$I$28,M630=phu!$I$29,M630=phu!$I$30,M630=phu!$I$31),"Cam Phú",""),IF(OR(M630=phu!$I$32,M630=phu!$I$33,M630=phu!$I$34,M630=phu!$I$35,M630=phu!$I$36,M630=phu!$I$37),"Cam Lộc",""),IF(OR(M630=phu!$I$38,M630=phu!$I$39,M630=phu!$I$40,M630=phu!$I$41,M630=phu!$I$42,M630=phu!$I$43,M630=phu!$I$44),"Cam Thuận",""),IF(OR(M630=phu!$I$45,M630=phu!$I$46,M630=phu!$I$47,M630=phu!$I$48,M630=phu!$I$49,M630=phu!$I$50,M630=phu!$I$51,M630=phu!$I$52,M630=phu!$I$53),"Cam Linh",""),IF(OR(M630=phu!$I$54,M630=phu!$I$55,M630=phu!$I$56,M630=phu!$I$57,M630=phu!$I$58,M630=phu!$I$59,M630=phu!$I$60,M630=phu!$I$61,M630=phu!$I$62),"Cam Lợi",""),IF(OR(M630=phu!$I$63,M630=phu!$I$64,M630=phu!$I$65,M630=phu!$I$66,M630=phu!$I$67,M630=phu!$I$68,M630=phu!$I$69,M630=phu!$I$70,M630=phu!$I$71),"Ba Ngòi",""),IF(OR(M630=phu!$I$72,M630=phu!$I$73,M630=phu!$I$74,M630=phu!$I$75,M630=phu!$I$76,M630=phu!$I$77,M630=phu!$I$78),"Cam Phước Đông",""),IF(OR(M630=phu!$I$79,M630=phu!$I$80,M630=phu!$I$81,M630=phu!$I$82,M630=phu!$I$83,M630=phu!$I$84),"Cam Thịnh Đông",""),IF(OR(M630=phu!$I$85,M630=phu!$I$86,M630=phu!$I$87,M630=phu!$I$88),"Cam Thịnh Tây",""),IF(OR(M630=phu!$I$89,M630=phu!$I$90),"Cam Lập",""),IF(OR(M630=phu!$I$91,M630=phu!$I$92,M630=phu!$I$93),"Cam Bình",""),IF(OR(M630=phu!$I$94,M630=phu!$I$95,M630=phu!$I$96,M630=phu!$I$97,M630=phu!$I$98,M630=phu!$I$99,M630=phu!$I$100),"Huyện khác",""),IF(OR(M630=phu!$I$101,M630=phu!$I$102),"Tỉnh khác",""))</f>
        <v/>
      </c>
      <c r="O630" s="829" t="str">
        <f t="shared" si="54"/>
        <v/>
      </c>
      <c r="P630" s="254"/>
      <c r="Q630" s="254"/>
      <c r="R630" s="254"/>
      <c r="S630" s="254"/>
      <c r="T630" s="254"/>
      <c r="U630" s="254"/>
      <c r="V630" s="254"/>
      <c r="W630" s="254"/>
      <c r="Y630" s="246" t="str">
        <f t="shared" si="55"/>
        <v/>
      </c>
      <c r="Z630" s="247" t="str">
        <f t="shared" si="59"/>
        <v/>
      </c>
      <c r="AA630" s="246" t="str">
        <f t="shared" si="56"/>
        <v/>
      </c>
    </row>
    <row r="631" spans="1:27" ht="18" customHeight="1" x14ac:dyDescent="0.25">
      <c r="A631" s="248" t="str">
        <f t="shared" si="57"/>
        <v/>
      </c>
      <c r="B631" s="249" t="str">
        <f t="shared" si="58"/>
        <v/>
      </c>
      <c r="C631" s="250"/>
      <c r="D631" s="251"/>
      <c r="E631" s="241"/>
      <c r="F631" s="252"/>
      <c r="G631" s="252"/>
      <c r="H631" s="253"/>
      <c r="I631" s="250"/>
      <c r="J631" s="250"/>
      <c r="K631" s="270"/>
      <c r="L631" s="250"/>
      <c r="M631" s="250"/>
      <c r="N631" s="540" t="str">
        <f>CONCATENATE(IF(OR(M631=phu!$I$1,M631=phu!$I$2,M631=phu!$I$3),"Cam Thành Nam",""),IF(OR(M631=phu!$I$4,M631=phu!$I$5,M631=phu!$I$6,M631=phu!$I$7,M631=phu!$I$8,M631=phu!$I$9,M631=phu!$I$10,M631=phu!$I$11,M631=phu!$I$12,M631=phu!$I$13,M631=phu!$I$14),"Cam Nghĩa",""),IF(OR(M631=phu!$I$15,M631=phu!$I$16,M631=phu!$I$17,M631=phu!$I$18,M631=phu!$I$19,M631=phu!$I$20,M631=phu!$I$21),"Cam Phúc Bắc",""),IF(OR(M631=phu!$I$22,M631=phu!$I$23,M631=phu!$I$24,M631=phu!$I$25),"Cam Phúc Nam",""),IF(OR(M631=phu!$I$26,M631=phu!$I$27,M631=phu!$I$28,M631=phu!$I$29,M631=phu!$I$30,M631=phu!$I$31),"Cam Phú",""),IF(OR(M631=phu!$I$32,M631=phu!$I$33,M631=phu!$I$34,M631=phu!$I$35,M631=phu!$I$36,M631=phu!$I$37),"Cam Lộc",""),IF(OR(M631=phu!$I$38,M631=phu!$I$39,M631=phu!$I$40,M631=phu!$I$41,M631=phu!$I$42,M631=phu!$I$43,M631=phu!$I$44),"Cam Thuận",""),IF(OR(M631=phu!$I$45,M631=phu!$I$46,M631=phu!$I$47,M631=phu!$I$48,M631=phu!$I$49,M631=phu!$I$50,M631=phu!$I$51,M631=phu!$I$52,M631=phu!$I$53),"Cam Linh",""),IF(OR(M631=phu!$I$54,M631=phu!$I$55,M631=phu!$I$56,M631=phu!$I$57,M631=phu!$I$58,M631=phu!$I$59,M631=phu!$I$60,M631=phu!$I$61,M631=phu!$I$62),"Cam Lợi",""),IF(OR(M631=phu!$I$63,M631=phu!$I$64,M631=phu!$I$65,M631=phu!$I$66,M631=phu!$I$67,M631=phu!$I$68,M631=phu!$I$69,M631=phu!$I$70,M631=phu!$I$71),"Ba Ngòi",""),IF(OR(M631=phu!$I$72,M631=phu!$I$73,M631=phu!$I$74,M631=phu!$I$75,M631=phu!$I$76,M631=phu!$I$77,M631=phu!$I$78),"Cam Phước Đông",""),IF(OR(M631=phu!$I$79,M631=phu!$I$80,M631=phu!$I$81,M631=phu!$I$82,M631=phu!$I$83,M631=phu!$I$84),"Cam Thịnh Đông",""),IF(OR(M631=phu!$I$85,M631=phu!$I$86,M631=phu!$I$87,M631=phu!$I$88),"Cam Thịnh Tây",""),IF(OR(M631=phu!$I$89,M631=phu!$I$90),"Cam Lập",""),IF(OR(M631=phu!$I$91,M631=phu!$I$92,M631=phu!$I$93),"Cam Bình",""),IF(OR(M631=phu!$I$94,M631=phu!$I$95,M631=phu!$I$96,M631=phu!$I$97,M631=phu!$I$98,M631=phu!$I$99,M631=phu!$I$100),"Huyện khác",""),IF(OR(M631=phu!$I$101,M631=phu!$I$102),"Tỉnh khác",""))</f>
        <v/>
      </c>
      <c r="O631" s="829" t="str">
        <f t="shared" si="54"/>
        <v/>
      </c>
      <c r="P631" s="254"/>
      <c r="Q631" s="254"/>
      <c r="R631" s="254"/>
      <c r="S631" s="254"/>
      <c r="T631" s="254"/>
      <c r="U631" s="254"/>
      <c r="V631" s="254"/>
      <c r="W631" s="254"/>
      <c r="Y631" s="246" t="str">
        <f t="shared" si="55"/>
        <v/>
      </c>
      <c r="Z631" s="247" t="str">
        <f t="shared" si="59"/>
        <v/>
      </c>
      <c r="AA631" s="246" t="str">
        <f t="shared" si="56"/>
        <v/>
      </c>
    </row>
    <row r="632" spans="1:27" ht="18" customHeight="1" x14ac:dyDescent="0.25">
      <c r="A632" s="248" t="str">
        <f t="shared" si="57"/>
        <v/>
      </c>
      <c r="B632" s="249" t="str">
        <f t="shared" si="58"/>
        <v/>
      </c>
      <c r="C632" s="250"/>
      <c r="D632" s="251"/>
      <c r="E632" s="241"/>
      <c r="F632" s="252"/>
      <c r="G632" s="252"/>
      <c r="H632" s="253"/>
      <c r="I632" s="250"/>
      <c r="J632" s="250"/>
      <c r="K632" s="270"/>
      <c r="L632" s="250"/>
      <c r="M632" s="250"/>
      <c r="N632" s="540" t="str">
        <f>CONCATENATE(IF(OR(M632=phu!$I$1,M632=phu!$I$2,M632=phu!$I$3),"Cam Thành Nam",""),IF(OR(M632=phu!$I$4,M632=phu!$I$5,M632=phu!$I$6,M632=phu!$I$7,M632=phu!$I$8,M632=phu!$I$9,M632=phu!$I$10,M632=phu!$I$11,M632=phu!$I$12,M632=phu!$I$13,M632=phu!$I$14),"Cam Nghĩa",""),IF(OR(M632=phu!$I$15,M632=phu!$I$16,M632=phu!$I$17,M632=phu!$I$18,M632=phu!$I$19,M632=phu!$I$20,M632=phu!$I$21),"Cam Phúc Bắc",""),IF(OR(M632=phu!$I$22,M632=phu!$I$23,M632=phu!$I$24,M632=phu!$I$25),"Cam Phúc Nam",""),IF(OR(M632=phu!$I$26,M632=phu!$I$27,M632=phu!$I$28,M632=phu!$I$29,M632=phu!$I$30,M632=phu!$I$31),"Cam Phú",""),IF(OR(M632=phu!$I$32,M632=phu!$I$33,M632=phu!$I$34,M632=phu!$I$35,M632=phu!$I$36,M632=phu!$I$37),"Cam Lộc",""),IF(OR(M632=phu!$I$38,M632=phu!$I$39,M632=phu!$I$40,M632=phu!$I$41,M632=phu!$I$42,M632=phu!$I$43,M632=phu!$I$44),"Cam Thuận",""),IF(OR(M632=phu!$I$45,M632=phu!$I$46,M632=phu!$I$47,M632=phu!$I$48,M632=phu!$I$49,M632=phu!$I$50,M632=phu!$I$51,M632=phu!$I$52,M632=phu!$I$53),"Cam Linh",""),IF(OR(M632=phu!$I$54,M632=phu!$I$55,M632=phu!$I$56,M632=phu!$I$57,M632=phu!$I$58,M632=phu!$I$59,M632=phu!$I$60,M632=phu!$I$61,M632=phu!$I$62),"Cam Lợi",""),IF(OR(M632=phu!$I$63,M632=phu!$I$64,M632=phu!$I$65,M632=phu!$I$66,M632=phu!$I$67,M632=phu!$I$68,M632=phu!$I$69,M632=phu!$I$70,M632=phu!$I$71),"Ba Ngòi",""),IF(OR(M632=phu!$I$72,M632=phu!$I$73,M632=phu!$I$74,M632=phu!$I$75,M632=phu!$I$76,M632=phu!$I$77,M632=phu!$I$78),"Cam Phước Đông",""),IF(OR(M632=phu!$I$79,M632=phu!$I$80,M632=phu!$I$81,M632=phu!$I$82,M632=phu!$I$83,M632=phu!$I$84),"Cam Thịnh Đông",""),IF(OR(M632=phu!$I$85,M632=phu!$I$86,M632=phu!$I$87,M632=phu!$I$88),"Cam Thịnh Tây",""),IF(OR(M632=phu!$I$89,M632=phu!$I$90),"Cam Lập",""),IF(OR(M632=phu!$I$91,M632=phu!$I$92,M632=phu!$I$93),"Cam Bình",""),IF(OR(M632=phu!$I$94,M632=phu!$I$95,M632=phu!$I$96,M632=phu!$I$97,M632=phu!$I$98,M632=phu!$I$99,M632=phu!$I$100),"Huyện khác",""),IF(OR(M632=phu!$I$101,M632=phu!$I$102),"Tỉnh khác",""))</f>
        <v/>
      </c>
      <c r="O632" s="829" t="str">
        <f t="shared" si="54"/>
        <v/>
      </c>
      <c r="P632" s="254"/>
      <c r="Q632" s="254"/>
      <c r="R632" s="254"/>
      <c r="S632" s="254"/>
      <c r="T632" s="254"/>
      <c r="U632" s="254"/>
      <c r="V632" s="254"/>
      <c r="W632" s="254"/>
      <c r="Y632" s="246" t="str">
        <f t="shared" si="55"/>
        <v/>
      </c>
      <c r="Z632" s="247" t="str">
        <f t="shared" si="59"/>
        <v/>
      </c>
      <c r="AA632" s="246" t="str">
        <f t="shared" si="56"/>
        <v/>
      </c>
    </row>
    <row r="633" spans="1:27" ht="18" customHeight="1" x14ac:dyDescent="0.25">
      <c r="A633" s="248" t="str">
        <f t="shared" si="57"/>
        <v/>
      </c>
      <c r="B633" s="249" t="str">
        <f t="shared" si="58"/>
        <v/>
      </c>
      <c r="C633" s="250"/>
      <c r="D633" s="251"/>
      <c r="E633" s="241"/>
      <c r="F633" s="252"/>
      <c r="G633" s="252"/>
      <c r="H633" s="253"/>
      <c r="I633" s="250"/>
      <c r="J633" s="250"/>
      <c r="K633" s="270"/>
      <c r="L633" s="250"/>
      <c r="M633" s="250"/>
      <c r="N633" s="540" t="str">
        <f>CONCATENATE(IF(OR(M633=phu!$I$1,M633=phu!$I$2,M633=phu!$I$3),"Cam Thành Nam",""),IF(OR(M633=phu!$I$4,M633=phu!$I$5,M633=phu!$I$6,M633=phu!$I$7,M633=phu!$I$8,M633=phu!$I$9,M633=phu!$I$10,M633=phu!$I$11,M633=phu!$I$12,M633=phu!$I$13,M633=phu!$I$14),"Cam Nghĩa",""),IF(OR(M633=phu!$I$15,M633=phu!$I$16,M633=phu!$I$17,M633=phu!$I$18,M633=phu!$I$19,M633=phu!$I$20,M633=phu!$I$21),"Cam Phúc Bắc",""),IF(OR(M633=phu!$I$22,M633=phu!$I$23,M633=phu!$I$24,M633=phu!$I$25),"Cam Phúc Nam",""),IF(OR(M633=phu!$I$26,M633=phu!$I$27,M633=phu!$I$28,M633=phu!$I$29,M633=phu!$I$30,M633=phu!$I$31),"Cam Phú",""),IF(OR(M633=phu!$I$32,M633=phu!$I$33,M633=phu!$I$34,M633=phu!$I$35,M633=phu!$I$36,M633=phu!$I$37),"Cam Lộc",""),IF(OR(M633=phu!$I$38,M633=phu!$I$39,M633=phu!$I$40,M633=phu!$I$41,M633=phu!$I$42,M633=phu!$I$43,M633=phu!$I$44),"Cam Thuận",""),IF(OR(M633=phu!$I$45,M633=phu!$I$46,M633=phu!$I$47,M633=phu!$I$48,M633=phu!$I$49,M633=phu!$I$50,M633=phu!$I$51,M633=phu!$I$52,M633=phu!$I$53),"Cam Linh",""),IF(OR(M633=phu!$I$54,M633=phu!$I$55,M633=phu!$I$56,M633=phu!$I$57,M633=phu!$I$58,M633=phu!$I$59,M633=phu!$I$60,M633=phu!$I$61,M633=phu!$I$62),"Cam Lợi",""),IF(OR(M633=phu!$I$63,M633=phu!$I$64,M633=phu!$I$65,M633=phu!$I$66,M633=phu!$I$67,M633=phu!$I$68,M633=phu!$I$69,M633=phu!$I$70,M633=phu!$I$71),"Ba Ngòi",""),IF(OR(M633=phu!$I$72,M633=phu!$I$73,M633=phu!$I$74,M633=phu!$I$75,M633=phu!$I$76,M633=phu!$I$77,M633=phu!$I$78),"Cam Phước Đông",""),IF(OR(M633=phu!$I$79,M633=phu!$I$80,M633=phu!$I$81,M633=phu!$I$82,M633=phu!$I$83,M633=phu!$I$84),"Cam Thịnh Đông",""),IF(OR(M633=phu!$I$85,M633=phu!$I$86,M633=phu!$I$87,M633=phu!$I$88),"Cam Thịnh Tây",""),IF(OR(M633=phu!$I$89,M633=phu!$I$90),"Cam Lập",""),IF(OR(M633=phu!$I$91,M633=phu!$I$92,M633=phu!$I$93),"Cam Bình",""),IF(OR(M633=phu!$I$94,M633=phu!$I$95,M633=phu!$I$96,M633=phu!$I$97,M633=phu!$I$98,M633=phu!$I$99,M633=phu!$I$100),"Huyện khác",""),IF(OR(M633=phu!$I$101,M633=phu!$I$102),"Tỉnh khác",""))</f>
        <v/>
      </c>
      <c r="O633" s="829" t="str">
        <f t="shared" si="54"/>
        <v/>
      </c>
      <c r="P633" s="254"/>
      <c r="Q633" s="254"/>
      <c r="R633" s="254"/>
      <c r="S633" s="254"/>
      <c r="T633" s="254"/>
      <c r="U633" s="254"/>
      <c r="V633" s="254"/>
      <c r="W633" s="254"/>
      <c r="Y633" s="246" t="str">
        <f t="shared" si="55"/>
        <v/>
      </c>
      <c r="Z633" s="247" t="str">
        <f t="shared" si="59"/>
        <v/>
      </c>
      <c r="AA633" s="246" t="str">
        <f t="shared" si="56"/>
        <v/>
      </c>
    </row>
    <row r="634" spans="1:27" ht="18" customHeight="1" x14ac:dyDescent="0.25">
      <c r="A634" s="248" t="str">
        <f t="shared" si="57"/>
        <v/>
      </c>
      <c r="B634" s="249" t="str">
        <f t="shared" si="58"/>
        <v/>
      </c>
      <c r="C634" s="250"/>
      <c r="D634" s="251"/>
      <c r="E634" s="241"/>
      <c r="F634" s="252"/>
      <c r="G634" s="252"/>
      <c r="H634" s="253"/>
      <c r="I634" s="250"/>
      <c r="J634" s="250"/>
      <c r="K634" s="270"/>
      <c r="L634" s="250"/>
      <c r="M634" s="250"/>
      <c r="N634" s="540" t="str">
        <f>CONCATENATE(IF(OR(M634=phu!$I$1,M634=phu!$I$2,M634=phu!$I$3),"Cam Thành Nam",""),IF(OR(M634=phu!$I$4,M634=phu!$I$5,M634=phu!$I$6,M634=phu!$I$7,M634=phu!$I$8,M634=phu!$I$9,M634=phu!$I$10,M634=phu!$I$11,M634=phu!$I$12,M634=phu!$I$13,M634=phu!$I$14),"Cam Nghĩa",""),IF(OR(M634=phu!$I$15,M634=phu!$I$16,M634=phu!$I$17,M634=phu!$I$18,M634=phu!$I$19,M634=phu!$I$20,M634=phu!$I$21),"Cam Phúc Bắc",""),IF(OR(M634=phu!$I$22,M634=phu!$I$23,M634=phu!$I$24,M634=phu!$I$25),"Cam Phúc Nam",""),IF(OR(M634=phu!$I$26,M634=phu!$I$27,M634=phu!$I$28,M634=phu!$I$29,M634=phu!$I$30,M634=phu!$I$31),"Cam Phú",""),IF(OR(M634=phu!$I$32,M634=phu!$I$33,M634=phu!$I$34,M634=phu!$I$35,M634=phu!$I$36,M634=phu!$I$37),"Cam Lộc",""),IF(OR(M634=phu!$I$38,M634=phu!$I$39,M634=phu!$I$40,M634=phu!$I$41,M634=phu!$I$42,M634=phu!$I$43,M634=phu!$I$44),"Cam Thuận",""),IF(OR(M634=phu!$I$45,M634=phu!$I$46,M634=phu!$I$47,M634=phu!$I$48,M634=phu!$I$49,M634=phu!$I$50,M634=phu!$I$51,M634=phu!$I$52,M634=phu!$I$53),"Cam Linh",""),IF(OR(M634=phu!$I$54,M634=phu!$I$55,M634=phu!$I$56,M634=phu!$I$57,M634=phu!$I$58,M634=phu!$I$59,M634=phu!$I$60,M634=phu!$I$61,M634=phu!$I$62),"Cam Lợi",""),IF(OR(M634=phu!$I$63,M634=phu!$I$64,M634=phu!$I$65,M634=phu!$I$66,M634=phu!$I$67,M634=phu!$I$68,M634=phu!$I$69,M634=phu!$I$70,M634=phu!$I$71),"Ba Ngòi",""),IF(OR(M634=phu!$I$72,M634=phu!$I$73,M634=phu!$I$74,M634=phu!$I$75,M634=phu!$I$76,M634=phu!$I$77,M634=phu!$I$78),"Cam Phước Đông",""),IF(OR(M634=phu!$I$79,M634=phu!$I$80,M634=phu!$I$81,M634=phu!$I$82,M634=phu!$I$83,M634=phu!$I$84),"Cam Thịnh Đông",""),IF(OR(M634=phu!$I$85,M634=phu!$I$86,M634=phu!$I$87,M634=phu!$I$88),"Cam Thịnh Tây",""),IF(OR(M634=phu!$I$89,M634=phu!$I$90),"Cam Lập",""),IF(OR(M634=phu!$I$91,M634=phu!$I$92,M634=phu!$I$93),"Cam Bình",""),IF(OR(M634=phu!$I$94,M634=phu!$I$95,M634=phu!$I$96,M634=phu!$I$97,M634=phu!$I$98,M634=phu!$I$99,M634=phu!$I$100),"Huyện khác",""),IF(OR(M634=phu!$I$101,M634=phu!$I$102),"Tỉnh khác",""))</f>
        <v/>
      </c>
      <c r="O634" s="829" t="str">
        <f t="shared" si="54"/>
        <v/>
      </c>
      <c r="P634" s="254"/>
      <c r="Q634" s="254"/>
      <c r="R634" s="254"/>
      <c r="S634" s="254"/>
      <c r="T634" s="254"/>
      <c r="U634" s="254"/>
      <c r="V634" s="254"/>
      <c r="W634" s="254"/>
      <c r="Y634" s="246" t="str">
        <f t="shared" si="55"/>
        <v/>
      </c>
      <c r="Z634" s="247" t="str">
        <f t="shared" si="59"/>
        <v/>
      </c>
      <c r="AA634" s="246" t="str">
        <f t="shared" si="56"/>
        <v/>
      </c>
    </row>
    <row r="635" spans="1:27" ht="18" customHeight="1" x14ac:dyDescent="0.25">
      <c r="A635" s="248" t="str">
        <f t="shared" si="57"/>
        <v/>
      </c>
      <c r="B635" s="249" t="str">
        <f t="shared" si="58"/>
        <v/>
      </c>
      <c r="C635" s="250"/>
      <c r="D635" s="251"/>
      <c r="E635" s="241"/>
      <c r="F635" s="252"/>
      <c r="G635" s="252"/>
      <c r="H635" s="253"/>
      <c r="I635" s="250"/>
      <c r="J635" s="250"/>
      <c r="K635" s="270"/>
      <c r="L635" s="250"/>
      <c r="M635" s="250"/>
      <c r="N635" s="540" t="str">
        <f>CONCATENATE(IF(OR(M635=phu!$I$1,M635=phu!$I$2,M635=phu!$I$3),"Cam Thành Nam",""),IF(OR(M635=phu!$I$4,M635=phu!$I$5,M635=phu!$I$6,M635=phu!$I$7,M635=phu!$I$8,M635=phu!$I$9,M635=phu!$I$10,M635=phu!$I$11,M635=phu!$I$12,M635=phu!$I$13,M635=phu!$I$14),"Cam Nghĩa",""),IF(OR(M635=phu!$I$15,M635=phu!$I$16,M635=phu!$I$17,M635=phu!$I$18,M635=phu!$I$19,M635=phu!$I$20,M635=phu!$I$21),"Cam Phúc Bắc",""),IF(OR(M635=phu!$I$22,M635=phu!$I$23,M635=phu!$I$24,M635=phu!$I$25),"Cam Phúc Nam",""),IF(OR(M635=phu!$I$26,M635=phu!$I$27,M635=phu!$I$28,M635=phu!$I$29,M635=phu!$I$30,M635=phu!$I$31),"Cam Phú",""),IF(OR(M635=phu!$I$32,M635=phu!$I$33,M635=phu!$I$34,M635=phu!$I$35,M635=phu!$I$36,M635=phu!$I$37),"Cam Lộc",""),IF(OR(M635=phu!$I$38,M635=phu!$I$39,M635=phu!$I$40,M635=phu!$I$41,M635=phu!$I$42,M635=phu!$I$43,M635=phu!$I$44),"Cam Thuận",""),IF(OR(M635=phu!$I$45,M635=phu!$I$46,M635=phu!$I$47,M635=phu!$I$48,M635=phu!$I$49,M635=phu!$I$50,M635=phu!$I$51,M635=phu!$I$52,M635=phu!$I$53),"Cam Linh",""),IF(OR(M635=phu!$I$54,M635=phu!$I$55,M635=phu!$I$56,M635=phu!$I$57,M635=phu!$I$58,M635=phu!$I$59,M635=phu!$I$60,M635=phu!$I$61,M635=phu!$I$62),"Cam Lợi",""),IF(OR(M635=phu!$I$63,M635=phu!$I$64,M635=phu!$I$65,M635=phu!$I$66,M635=phu!$I$67,M635=phu!$I$68,M635=phu!$I$69,M635=phu!$I$70,M635=phu!$I$71),"Ba Ngòi",""),IF(OR(M635=phu!$I$72,M635=phu!$I$73,M635=phu!$I$74,M635=phu!$I$75,M635=phu!$I$76,M635=phu!$I$77,M635=phu!$I$78),"Cam Phước Đông",""),IF(OR(M635=phu!$I$79,M635=phu!$I$80,M635=phu!$I$81,M635=phu!$I$82,M635=phu!$I$83,M635=phu!$I$84),"Cam Thịnh Đông",""),IF(OR(M635=phu!$I$85,M635=phu!$I$86,M635=phu!$I$87,M635=phu!$I$88),"Cam Thịnh Tây",""),IF(OR(M635=phu!$I$89,M635=phu!$I$90),"Cam Lập",""),IF(OR(M635=phu!$I$91,M635=phu!$I$92,M635=phu!$I$93),"Cam Bình",""),IF(OR(M635=phu!$I$94,M635=phu!$I$95,M635=phu!$I$96,M635=phu!$I$97,M635=phu!$I$98,M635=phu!$I$99,M635=phu!$I$100),"Huyện khác",""),IF(OR(M635=phu!$I$101,M635=phu!$I$102),"Tỉnh khác",""))</f>
        <v/>
      </c>
      <c r="O635" s="829" t="str">
        <f t="shared" si="54"/>
        <v/>
      </c>
      <c r="P635" s="254"/>
      <c r="Q635" s="254"/>
      <c r="R635" s="254"/>
      <c r="S635" s="254"/>
      <c r="T635" s="254"/>
      <c r="U635" s="254"/>
      <c r="V635" s="254"/>
      <c r="W635" s="254"/>
      <c r="Y635" s="246" t="str">
        <f t="shared" si="55"/>
        <v/>
      </c>
      <c r="Z635" s="247" t="str">
        <f t="shared" si="59"/>
        <v/>
      </c>
      <c r="AA635" s="246" t="str">
        <f t="shared" si="56"/>
        <v/>
      </c>
    </row>
    <row r="636" spans="1:27" ht="18" customHeight="1" x14ac:dyDescent="0.25">
      <c r="A636" s="248" t="str">
        <f t="shared" si="57"/>
        <v/>
      </c>
      <c r="B636" s="249" t="str">
        <f t="shared" si="58"/>
        <v/>
      </c>
      <c r="C636" s="250"/>
      <c r="D636" s="251"/>
      <c r="E636" s="241"/>
      <c r="F636" s="252"/>
      <c r="G636" s="252"/>
      <c r="H636" s="253"/>
      <c r="I636" s="250"/>
      <c r="J636" s="250"/>
      <c r="K636" s="270"/>
      <c r="L636" s="250"/>
      <c r="M636" s="250"/>
      <c r="N636" s="540" t="str">
        <f>CONCATENATE(IF(OR(M636=phu!$I$1,M636=phu!$I$2,M636=phu!$I$3),"Cam Thành Nam",""),IF(OR(M636=phu!$I$4,M636=phu!$I$5,M636=phu!$I$6,M636=phu!$I$7,M636=phu!$I$8,M636=phu!$I$9,M636=phu!$I$10,M636=phu!$I$11,M636=phu!$I$12,M636=phu!$I$13,M636=phu!$I$14),"Cam Nghĩa",""),IF(OR(M636=phu!$I$15,M636=phu!$I$16,M636=phu!$I$17,M636=phu!$I$18,M636=phu!$I$19,M636=phu!$I$20,M636=phu!$I$21),"Cam Phúc Bắc",""),IF(OR(M636=phu!$I$22,M636=phu!$I$23,M636=phu!$I$24,M636=phu!$I$25),"Cam Phúc Nam",""),IF(OR(M636=phu!$I$26,M636=phu!$I$27,M636=phu!$I$28,M636=phu!$I$29,M636=phu!$I$30,M636=phu!$I$31),"Cam Phú",""),IF(OR(M636=phu!$I$32,M636=phu!$I$33,M636=phu!$I$34,M636=phu!$I$35,M636=phu!$I$36,M636=phu!$I$37),"Cam Lộc",""),IF(OR(M636=phu!$I$38,M636=phu!$I$39,M636=phu!$I$40,M636=phu!$I$41,M636=phu!$I$42,M636=phu!$I$43,M636=phu!$I$44),"Cam Thuận",""),IF(OR(M636=phu!$I$45,M636=phu!$I$46,M636=phu!$I$47,M636=phu!$I$48,M636=phu!$I$49,M636=phu!$I$50,M636=phu!$I$51,M636=phu!$I$52,M636=phu!$I$53),"Cam Linh",""),IF(OR(M636=phu!$I$54,M636=phu!$I$55,M636=phu!$I$56,M636=phu!$I$57,M636=phu!$I$58,M636=phu!$I$59,M636=phu!$I$60,M636=phu!$I$61,M636=phu!$I$62),"Cam Lợi",""),IF(OR(M636=phu!$I$63,M636=phu!$I$64,M636=phu!$I$65,M636=phu!$I$66,M636=phu!$I$67,M636=phu!$I$68,M636=phu!$I$69,M636=phu!$I$70,M636=phu!$I$71),"Ba Ngòi",""),IF(OR(M636=phu!$I$72,M636=phu!$I$73,M636=phu!$I$74,M636=phu!$I$75,M636=phu!$I$76,M636=phu!$I$77,M636=phu!$I$78),"Cam Phước Đông",""),IF(OR(M636=phu!$I$79,M636=phu!$I$80,M636=phu!$I$81,M636=phu!$I$82,M636=phu!$I$83,M636=phu!$I$84),"Cam Thịnh Đông",""),IF(OR(M636=phu!$I$85,M636=phu!$I$86,M636=phu!$I$87,M636=phu!$I$88),"Cam Thịnh Tây",""),IF(OR(M636=phu!$I$89,M636=phu!$I$90),"Cam Lập",""),IF(OR(M636=phu!$I$91,M636=phu!$I$92,M636=phu!$I$93),"Cam Bình",""),IF(OR(M636=phu!$I$94,M636=phu!$I$95,M636=phu!$I$96,M636=phu!$I$97,M636=phu!$I$98,M636=phu!$I$99,M636=phu!$I$100),"Huyện khác",""),IF(OR(M636=phu!$I$101,M636=phu!$I$102),"Tỉnh khác",""))</f>
        <v/>
      </c>
      <c r="O636" s="829" t="str">
        <f t="shared" si="54"/>
        <v/>
      </c>
      <c r="P636" s="254"/>
      <c r="Q636" s="254"/>
      <c r="R636" s="254"/>
      <c r="S636" s="254"/>
      <c r="T636" s="254"/>
      <c r="U636" s="254"/>
      <c r="V636" s="254"/>
      <c r="W636" s="254"/>
      <c r="Y636" s="246" t="str">
        <f t="shared" si="55"/>
        <v/>
      </c>
      <c r="Z636" s="247" t="str">
        <f t="shared" si="59"/>
        <v/>
      </c>
      <c r="AA636" s="246" t="str">
        <f t="shared" si="56"/>
        <v/>
      </c>
    </row>
    <row r="637" spans="1:27" ht="18" customHeight="1" x14ac:dyDescent="0.25">
      <c r="A637" s="248" t="str">
        <f t="shared" si="57"/>
        <v/>
      </c>
      <c r="B637" s="249" t="str">
        <f t="shared" si="58"/>
        <v/>
      </c>
      <c r="C637" s="250"/>
      <c r="D637" s="251"/>
      <c r="E637" s="241"/>
      <c r="F637" s="252"/>
      <c r="G637" s="252"/>
      <c r="H637" s="253"/>
      <c r="I637" s="250"/>
      <c r="J637" s="250"/>
      <c r="K637" s="270"/>
      <c r="L637" s="250"/>
      <c r="M637" s="250"/>
      <c r="N637" s="540" t="str">
        <f>CONCATENATE(IF(OR(M637=phu!$I$1,M637=phu!$I$2,M637=phu!$I$3),"Cam Thành Nam",""),IF(OR(M637=phu!$I$4,M637=phu!$I$5,M637=phu!$I$6,M637=phu!$I$7,M637=phu!$I$8,M637=phu!$I$9,M637=phu!$I$10,M637=phu!$I$11,M637=phu!$I$12,M637=phu!$I$13,M637=phu!$I$14),"Cam Nghĩa",""),IF(OR(M637=phu!$I$15,M637=phu!$I$16,M637=phu!$I$17,M637=phu!$I$18,M637=phu!$I$19,M637=phu!$I$20,M637=phu!$I$21),"Cam Phúc Bắc",""),IF(OR(M637=phu!$I$22,M637=phu!$I$23,M637=phu!$I$24,M637=phu!$I$25),"Cam Phúc Nam",""),IF(OR(M637=phu!$I$26,M637=phu!$I$27,M637=phu!$I$28,M637=phu!$I$29,M637=phu!$I$30,M637=phu!$I$31),"Cam Phú",""),IF(OR(M637=phu!$I$32,M637=phu!$I$33,M637=phu!$I$34,M637=phu!$I$35,M637=phu!$I$36,M637=phu!$I$37),"Cam Lộc",""),IF(OR(M637=phu!$I$38,M637=phu!$I$39,M637=phu!$I$40,M637=phu!$I$41,M637=phu!$I$42,M637=phu!$I$43,M637=phu!$I$44),"Cam Thuận",""),IF(OR(M637=phu!$I$45,M637=phu!$I$46,M637=phu!$I$47,M637=phu!$I$48,M637=phu!$I$49,M637=phu!$I$50,M637=phu!$I$51,M637=phu!$I$52,M637=phu!$I$53),"Cam Linh",""),IF(OR(M637=phu!$I$54,M637=phu!$I$55,M637=phu!$I$56,M637=phu!$I$57,M637=phu!$I$58,M637=phu!$I$59,M637=phu!$I$60,M637=phu!$I$61,M637=phu!$I$62),"Cam Lợi",""),IF(OR(M637=phu!$I$63,M637=phu!$I$64,M637=phu!$I$65,M637=phu!$I$66,M637=phu!$I$67,M637=phu!$I$68,M637=phu!$I$69,M637=phu!$I$70,M637=phu!$I$71),"Ba Ngòi",""),IF(OR(M637=phu!$I$72,M637=phu!$I$73,M637=phu!$I$74,M637=phu!$I$75,M637=phu!$I$76,M637=phu!$I$77,M637=phu!$I$78),"Cam Phước Đông",""),IF(OR(M637=phu!$I$79,M637=phu!$I$80,M637=phu!$I$81,M637=phu!$I$82,M637=phu!$I$83,M637=phu!$I$84),"Cam Thịnh Đông",""),IF(OR(M637=phu!$I$85,M637=phu!$I$86,M637=phu!$I$87,M637=phu!$I$88),"Cam Thịnh Tây",""),IF(OR(M637=phu!$I$89,M637=phu!$I$90),"Cam Lập",""),IF(OR(M637=phu!$I$91,M637=phu!$I$92,M637=phu!$I$93),"Cam Bình",""),IF(OR(M637=phu!$I$94,M637=phu!$I$95,M637=phu!$I$96,M637=phu!$I$97,M637=phu!$I$98,M637=phu!$I$99,M637=phu!$I$100),"Huyện khác",""),IF(OR(M637=phu!$I$101,M637=phu!$I$102),"Tỉnh khác",""))</f>
        <v/>
      </c>
      <c r="O637" s="829" t="str">
        <f t="shared" si="54"/>
        <v/>
      </c>
      <c r="P637" s="254"/>
      <c r="Q637" s="254"/>
      <c r="R637" s="254"/>
      <c r="S637" s="254"/>
      <c r="T637" s="254"/>
      <c r="U637" s="254"/>
      <c r="V637" s="254"/>
      <c r="W637" s="254"/>
      <c r="Y637" s="246" t="str">
        <f t="shared" si="55"/>
        <v/>
      </c>
      <c r="Z637" s="247" t="str">
        <f t="shared" si="59"/>
        <v/>
      </c>
      <c r="AA637" s="246" t="str">
        <f t="shared" si="56"/>
        <v/>
      </c>
    </row>
    <row r="638" spans="1:27" ht="18" customHeight="1" x14ac:dyDescent="0.25">
      <c r="A638" s="248" t="str">
        <f t="shared" si="57"/>
        <v/>
      </c>
      <c r="B638" s="249" t="str">
        <f t="shared" si="58"/>
        <v/>
      </c>
      <c r="C638" s="250"/>
      <c r="D638" s="251"/>
      <c r="E638" s="241"/>
      <c r="F638" s="252"/>
      <c r="G638" s="252"/>
      <c r="H638" s="253"/>
      <c r="I638" s="250"/>
      <c r="J638" s="250"/>
      <c r="K638" s="270"/>
      <c r="L638" s="250"/>
      <c r="M638" s="250"/>
      <c r="N638" s="540" t="str">
        <f>CONCATENATE(IF(OR(M638=phu!$I$1,M638=phu!$I$2,M638=phu!$I$3),"Cam Thành Nam",""),IF(OR(M638=phu!$I$4,M638=phu!$I$5,M638=phu!$I$6,M638=phu!$I$7,M638=phu!$I$8,M638=phu!$I$9,M638=phu!$I$10,M638=phu!$I$11,M638=phu!$I$12,M638=phu!$I$13,M638=phu!$I$14),"Cam Nghĩa",""),IF(OR(M638=phu!$I$15,M638=phu!$I$16,M638=phu!$I$17,M638=phu!$I$18,M638=phu!$I$19,M638=phu!$I$20,M638=phu!$I$21),"Cam Phúc Bắc",""),IF(OR(M638=phu!$I$22,M638=phu!$I$23,M638=phu!$I$24,M638=phu!$I$25),"Cam Phúc Nam",""),IF(OR(M638=phu!$I$26,M638=phu!$I$27,M638=phu!$I$28,M638=phu!$I$29,M638=phu!$I$30,M638=phu!$I$31),"Cam Phú",""),IF(OR(M638=phu!$I$32,M638=phu!$I$33,M638=phu!$I$34,M638=phu!$I$35,M638=phu!$I$36,M638=phu!$I$37),"Cam Lộc",""),IF(OR(M638=phu!$I$38,M638=phu!$I$39,M638=phu!$I$40,M638=phu!$I$41,M638=phu!$I$42,M638=phu!$I$43,M638=phu!$I$44),"Cam Thuận",""),IF(OR(M638=phu!$I$45,M638=phu!$I$46,M638=phu!$I$47,M638=phu!$I$48,M638=phu!$I$49,M638=phu!$I$50,M638=phu!$I$51,M638=phu!$I$52,M638=phu!$I$53),"Cam Linh",""),IF(OR(M638=phu!$I$54,M638=phu!$I$55,M638=phu!$I$56,M638=phu!$I$57,M638=phu!$I$58,M638=phu!$I$59,M638=phu!$I$60,M638=phu!$I$61,M638=phu!$I$62),"Cam Lợi",""),IF(OR(M638=phu!$I$63,M638=phu!$I$64,M638=phu!$I$65,M638=phu!$I$66,M638=phu!$I$67,M638=phu!$I$68,M638=phu!$I$69,M638=phu!$I$70,M638=phu!$I$71),"Ba Ngòi",""),IF(OR(M638=phu!$I$72,M638=phu!$I$73,M638=phu!$I$74,M638=phu!$I$75,M638=phu!$I$76,M638=phu!$I$77,M638=phu!$I$78),"Cam Phước Đông",""),IF(OR(M638=phu!$I$79,M638=phu!$I$80,M638=phu!$I$81,M638=phu!$I$82,M638=phu!$I$83,M638=phu!$I$84),"Cam Thịnh Đông",""),IF(OR(M638=phu!$I$85,M638=phu!$I$86,M638=phu!$I$87,M638=phu!$I$88),"Cam Thịnh Tây",""),IF(OR(M638=phu!$I$89,M638=phu!$I$90),"Cam Lập",""),IF(OR(M638=phu!$I$91,M638=phu!$I$92,M638=phu!$I$93),"Cam Bình",""),IF(OR(M638=phu!$I$94,M638=phu!$I$95,M638=phu!$I$96,M638=phu!$I$97,M638=phu!$I$98,M638=phu!$I$99,M638=phu!$I$100),"Huyện khác",""),IF(OR(M638=phu!$I$101,M638=phu!$I$102),"Tỉnh khác",""))</f>
        <v/>
      </c>
      <c r="O638" s="829" t="str">
        <f t="shared" si="54"/>
        <v/>
      </c>
      <c r="P638" s="254"/>
      <c r="Q638" s="254"/>
      <c r="R638" s="254"/>
      <c r="S638" s="254"/>
      <c r="T638" s="254"/>
      <c r="U638" s="254"/>
      <c r="V638" s="254"/>
      <c r="W638" s="254"/>
      <c r="Y638" s="246" t="str">
        <f t="shared" si="55"/>
        <v/>
      </c>
      <c r="Z638" s="247" t="str">
        <f t="shared" si="59"/>
        <v/>
      </c>
      <c r="AA638" s="246" t="str">
        <f t="shared" si="56"/>
        <v/>
      </c>
    </row>
    <row r="639" spans="1:27" ht="18" customHeight="1" x14ac:dyDescent="0.25">
      <c r="A639" s="248" t="str">
        <f t="shared" si="57"/>
        <v/>
      </c>
      <c r="B639" s="249" t="str">
        <f t="shared" si="58"/>
        <v/>
      </c>
      <c r="C639" s="250"/>
      <c r="D639" s="251"/>
      <c r="E639" s="241"/>
      <c r="F639" s="252"/>
      <c r="G639" s="252"/>
      <c r="H639" s="253"/>
      <c r="I639" s="250"/>
      <c r="J639" s="250"/>
      <c r="K639" s="270"/>
      <c r="L639" s="250"/>
      <c r="M639" s="250"/>
      <c r="N639" s="540" t="str">
        <f>CONCATENATE(IF(OR(M639=phu!$I$1,M639=phu!$I$2,M639=phu!$I$3),"Cam Thành Nam",""),IF(OR(M639=phu!$I$4,M639=phu!$I$5,M639=phu!$I$6,M639=phu!$I$7,M639=phu!$I$8,M639=phu!$I$9,M639=phu!$I$10,M639=phu!$I$11,M639=phu!$I$12,M639=phu!$I$13,M639=phu!$I$14),"Cam Nghĩa",""),IF(OR(M639=phu!$I$15,M639=phu!$I$16,M639=phu!$I$17,M639=phu!$I$18,M639=phu!$I$19,M639=phu!$I$20,M639=phu!$I$21),"Cam Phúc Bắc",""),IF(OR(M639=phu!$I$22,M639=phu!$I$23,M639=phu!$I$24,M639=phu!$I$25),"Cam Phúc Nam",""),IF(OR(M639=phu!$I$26,M639=phu!$I$27,M639=phu!$I$28,M639=phu!$I$29,M639=phu!$I$30,M639=phu!$I$31),"Cam Phú",""),IF(OR(M639=phu!$I$32,M639=phu!$I$33,M639=phu!$I$34,M639=phu!$I$35,M639=phu!$I$36,M639=phu!$I$37),"Cam Lộc",""),IF(OR(M639=phu!$I$38,M639=phu!$I$39,M639=phu!$I$40,M639=phu!$I$41,M639=phu!$I$42,M639=phu!$I$43,M639=phu!$I$44),"Cam Thuận",""),IF(OR(M639=phu!$I$45,M639=phu!$I$46,M639=phu!$I$47,M639=phu!$I$48,M639=phu!$I$49,M639=phu!$I$50,M639=phu!$I$51,M639=phu!$I$52,M639=phu!$I$53),"Cam Linh",""),IF(OR(M639=phu!$I$54,M639=phu!$I$55,M639=phu!$I$56,M639=phu!$I$57,M639=phu!$I$58,M639=phu!$I$59,M639=phu!$I$60,M639=phu!$I$61,M639=phu!$I$62),"Cam Lợi",""),IF(OR(M639=phu!$I$63,M639=phu!$I$64,M639=phu!$I$65,M639=phu!$I$66,M639=phu!$I$67,M639=phu!$I$68,M639=phu!$I$69,M639=phu!$I$70,M639=phu!$I$71),"Ba Ngòi",""),IF(OR(M639=phu!$I$72,M639=phu!$I$73,M639=phu!$I$74,M639=phu!$I$75,M639=phu!$I$76,M639=phu!$I$77,M639=phu!$I$78),"Cam Phước Đông",""),IF(OR(M639=phu!$I$79,M639=phu!$I$80,M639=phu!$I$81,M639=phu!$I$82,M639=phu!$I$83,M639=phu!$I$84),"Cam Thịnh Đông",""),IF(OR(M639=phu!$I$85,M639=phu!$I$86,M639=phu!$I$87,M639=phu!$I$88),"Cam Thịnh Tây",""),IF(OR(M639=phu!$I$89,M639=phu!$I$90),"Cam Lập",""),IF(OR(M639=phu!$I$91,M639=phu!$I$92,M639=phu!$I$93),"Cam Bình",""),IF(OR(M639=phu!$I$94,M639=phu!$I$95,M639=phu!$I$96,M639=phu!$I$97,M639=phu!$I$98,M639=phu!$I$99,M639=phu!$I$100),"Huyện khác",""),IF(OR(M639=phu!$I$101,M639=phu!$I$102),"Tỉnh khác",""))</f>
        <v/>
      </c>
      <c r="O639" s="829" t="str">
        <f t="shared" si="54"/>
        <v/>
      </c>
      <c r="P639" s="254"/>
      <c r="Q639" s="254"/>
      <c r="R639" s="254"/>
      <c r="S639" s="254"/>
      <c r="T639" s="254"/>
      <c r="U639" s="254"/>
      <c r="V639" s="254"/>
      <c r="W639" s="254"/>
      <c r="Y639" s="246" t="str">
        <f t="shared" si="55"/>
        <v/>
      </c>
      <c r="Z639" s="247" t="str">
        <f t="shared" si="59"/>
        <v/>
      </c>
      <c r="AA639" s="246" t="str">
        <f t="shared" si="56"/>
        <v/>
      </c>
    </row>
    <row r="640" spans="1:27" ht="18" customHeight="1" x14ac:dyDescent="0.25">
      <c r="A640" s="248" t="str">
        <f t="shared" si="57"/>
        <v/>
      </c>
      <c r="B640" s="249" t="str">
        <f t="shared" si="58"/>
        <v/>
      </c>
      <c r="C640" s="250"/>
      <c r="D640" s="251"/>
      <c r="E640" s="241"/>
      <c r="F640" s="252"/>
      <c r="G640" s="252"/>
      <c r="H640" s="253"/>
      <c r="I640" s="250"/>
      <c r="J640" s="250"/>
      <c r="K640" s="270"/>
      <c r="L640" s="250"/>
      <c r="M640" s="250"/>
      <c r="N640" s="540" t="str">
        <f>CONCATENATE(IF(OR(M640=phu!$I$1,M640=phu!$I$2,M640=phu!$I$3),"Cam Thành Nam",""),IF(OR(M640=phu!$I$4,M640=phu!$I$5,M640=phu!$I$6,M640=phu!$I$7,M640=phu!$I$8,M640=phu!$I$9,M640=phu!$I$10,M640=phu!$I$11,M640=phu!$I$12,M640=phu!$I$13,M640=phu!$I$14),"Cam Nghĩa",""),IF(OR(M640=phu!$I$15,M640=phu!$I$16,M640=phu!$I$17,M640=phu!$I$18,M640=phu!$I$19,M640=phu!$I$20,M640=phu!$I$21),"Cam Phúc Bắc",""),IF(OR(M640=phu!$I$22,M640=phu!$I$23,M640=phu!$I$24,M640=phu!$I$25),"Cam Phúc Nam",""),IF(OR(M640=phu!$I$26,M640=phu!$I$27,M640=phu!$I$28,M640=phu!$I$29,M640=phu!$I$30,M640=phu!$I$31),"Cam Phú",""),IF(OR(M640=phu!$I$32,M640=phu!$I$33,M640=phu!$I$34,M640=phu!$I$35,M640=phu!$I$36,M640=phu!$I$37),"Cam Lộc",""),IF(OR(M640=phu!$I$38,M640=phu!$I$39,M640=phu!$I$40,M640=phu!$I$41,M640=phu!$I$42,M640=phu!$I$43,M640=phu!$I$44),"Cam Thuận",""),IF(OR(M640=phu!$I$45,M640=phu!$I$46,M640=phu!$I$47,M640=phu!$I$48,M640=phu!$I$49,M640=phu!$I$50,M640=phu!$I$51,M640=phu!$I$52,M640=phu!$I$53),"Cam Linh",""),IF(OR(M640=phu!$I$54,M640=phu!$I$55,M640=phu!$I$56,M640=phu!$I$57,M640=phu!$I$58,M640=phu!$I$59,M640=phu!$I$60,M640=phu!$I$61,M640=phu!$I$62),"Cam Lợi",""),IF(OR(M640=phu!$I$63,M640=phu!$I$64,M640=phu!$I$65,M640=phu!$I$66,M640=phu!$I$67,M640=phu!$I$68,M640=phu!$I$69,M640=phu!$I$70,M640=phu!$I$71),"Ba Ngòi",""),IF(OR(M640=phu!$I$72,M640=phu!$I$73,M640=phu!$I$74,M640=phu!$I$75,M640=phu!$I$76,M640=phu!$I$77,M640=phu!$I$78),"Cam Phước Đông",""),IF(OR(M640=phu!$I$79,M640=phu!$I$80,M640=phu!$I$81,M640=phu!$I$82,M640=phu!$I$83,M640=phu!$I$84),"Cam Thịnh Đông",""),IF(OR(M640=phu!$I$85,M640=phu!$I$86,M640=phu!$I$87,M640=phu!$I$88),"Cam Thịnh Tây",""),IF(OR(M640=phu!$I$89,M640=phu!$I$90),"Cam Lập",""),IF(OR(M640=phu!$I$91,M640=phu!$I$92,M640=phu!$I$93),"Cam Bình",""),IF(OR(M640=phu!$I$94,M640=phu!$I$95,M640=phu!$I$96,M640=phu!$I$97,M640=phu!$I$98,M640=phu!$I$99,M640=phu!$I$100),"Huyện khác",""),IF(OR(M640=phu!$I$101,M640=phu!$I$102),"Tỉnh khác",""))</f>
        <v/>
      </c>
      <c r="O640" s="829" t="str">
        <f t="shared" si="54"/>
        <v/>
      </c>
      <c r="P640" s="254"/>
      <c r="Q640" s="254"/>
      <c r="R640" s="254"/>
      <c r="S640" s="254"/>
      <c r="T640" s="254"/>
      <c r="U640" s="254"/>
      <c r="V640" s="254"/>
      <c r="W640" s="254"/>
      <c r="Y640" s="246" t="str">
        <f t="shared" si="55"/>
        <v/>
      </c>
      <c r="Z640" s="247" t="str">
        <f t="shared" si="59"/>
        <v/>
      </c>
      <c r="AA640" s="246" t="str">
        <f t="shared" si="56"/>
        <v/>
      </c>
    </row>
    <row r="641" spans="1:27" ht="18" customHeight="1" x14ac:dyDescent="0.25">
      <c r="A641" s="248" t="str">
        <f t="shared" si="57"/>
        <v/>
      </c>
      <c r="B641" s="249" t="str">
        <f t="shared" si="58"/>
        <v/>
      </c>
      <c r="C641" s="250"/>
      <c r="D641" s="251"/>
      <c r="E641" s="241"/>
      <c r="F641" s="252"/>
      <c r="G641" s="252"/>
      <c r="H641" s="253"/>
      <c r="I641" s="250"/>
      <c r="J641" s="250"/>
      <c r="K641" s="270"/>
      <c r="L641" s="250"/>
      <c r="M641" s="250"/>
      <c r="N641" s="540" t="str">
        <f>CONCATENATE(IF(OR(M641=phu!$I$1,M641=phu!$I$2,M641=phu!$I$3),"Cam Thành Nam",""),IF(OR(M641=phu!$I$4,M641=phu!$I$5,M641=phu!$I$6,M641=phu!$I$7,M641=phu!$I$8,M641=phu!$I$9,M641=phu!$I$10,M641=phu!$I$11,M641=phu!$I$12,M641=phu!$I$13,M641=phu!$I$14),"Cam Nghĩa",""),IF(OR(M641=phu!$I$15,M641=phu!$I$16,M641=phu!$I$17,M641=phu!$I$18,M641=phu!$I$19,M641=phu!$I$20,M641=phu!$I$21),"Cam Phúc Bắc",""),IF(OR(M641=phu!$I$22,M641=phu!$I$23,M641=phu!$I$24,M641=phu!$I$25),"Cam Phúc Nam",""),IF(OR(M641=phu!$I$26,M641=phu!$I$27,M641=phu!$I$28,M641=phu!$I$29,M641=phu!$I$30,M641=phu!$I$31),"Cam Phú",""),IF(OR(M641=phu!$I$32,M641=phu!$I$33,M641=phu!$I$34,M641=phu!$I$35,M641=phu!$I$36,M641=phu!$I$37),"Cam Lộc",""),IF(OR(M641=phu!$I$38,M641=phu!$I$39,M641=phu!$I$40,M641=phu!$I$41,M641=phu!$I$42,M641=phu!$I$43,M641=phu!$I$44),"Cam Thuận",""),IF(OR(M641=phu!$I$45,M641=phu!$I$46,M641=phu!$I$47,M641=phu!$I$48,M641=phu!$I$49,M641=phu!$I$50,M641=phu!$I$51,M641=phu!$I$52,M641=phu!$I$53),"Cam Linh",""),IF(OR(M641=phu!$I$54,M641=phu!$I$55,M641=phu!$I$56,M641=phu!$I$57,M641=phu!$I$58,M641=phu!$I$59,M641=phu!$I$60,M641=phu!$I$61,M641=phu!$I$62),"Cam Lợi",""),IF(OR(M641=phu!$I$63,M641=phu!$I$64,M641=phu!$I$65,M641=phu!$I$66,M641=phu!$I$67,M641=phu!$I$68,M641=phu!$I$69,M641=phu!$I$70,M641=phu!$I$71),"Ba Ngòi",""),IF(OR(M641=phu!$I$72,M641=phu!$I$73,M641=phu!$I$74,M641=phu!$I$75,M641=phu!$I$76,M641=phu!$I$77,M641=phu!$I$78),"Cam Phước Đông",""),IF(OR(M641=phu!$I$79,M641=phu!$I$80,M641=phu!$I$81,M641=phu!$I$82,M641=phu!$I$83,M641=phu!$I$84),"Cam Thịnh Đông",""),IF(OR(M641=phu!$I$85,M641=phu!$I$86,M641=phu!$I$87,M641=phu!$I$88),"Cam Thịnh Tây",""),IF(OR(M641=phu!$I$89,M641=phu!$I$90),"Cam Lập",""),IF(OR(M641=phu!$I$91,M641=phu!$I$92,M641=phu!$I$93),"Cam Bình",""),IF(OR(M641=phu!$I$94,M641=phu!$I$95,M641=phu!$I$96,M641=phu!$I$97,M641=phu!$I$98,M641=phu!$I$99,M641=phu!$I$100),"Huyện khác",""),IF(OR(M641=phu!$I$101,M641=phu!$I$102),"Tỉnh khác",""))</f>
        <v/>
      </c>
      <c r="O641" s="829" t="str">
        <f t="shared" si="54"/>
        <v/>
      </c>
      <c r="P641" s="254"/>
      <c r="Q641" s="254"/>
      <c r="R641" s="254"/>
      <c r="S641" s="254"/>
      <c r="T641" s="254"/>
      <c r="U641" s="254"/>
      <c r="V641" s="254"/>
      <c r="W641" s="254"/>
      <c r="Y641" s="246" t="str">
        <f t="shared" si="55"/>
        <v/>
      </c>
      <c r="Z641" s="247" t="str">
        <f t="shared" si="59"/>
        <v/>
      </c>
      <c r="AA641" s="246" t="str">
        <f t="shared" si="56"/>
        <v/>
      </c>
    </row>
    <row r="642" spans="1:27" ht="18" customHeight="1" x14ac:dyDescent="0.25">
      <c r="A642" s="248" t="str">
        <f t="shared" si="57"/>
        <v/>
      </c>
      <c r="B642" s="249" t="str">
        <f t="shared" si="58"/>
        <v/>
      </c>
      <c r="C642" s="250"/>
      <c r="D642" s="251"/>
      <c r="E642" s="241"/>
      <c r="F642" s="252"/>
      <c r="G642" s="252"/>
      <c r="H642" s="253"/>
      <c r="I642" s="250"/>
      <c r="J642" s="250"/>
      <c r="K642" s="270"/>
      <c r="L642" s="250"/>
      <c r="M642" s="250"/>
      <c r="N642" s="540" t="str">
        <f>CONCATENATE(IF(OR(M642=phu!$I$1,M642=phu!$I$2,M642=phu!$I$3),"Cam Thành Nam",""),IF(OR(M642=phu!$I$4,M642=phu!$I$5,M642=phu!$I$6,M642=phu!$I$7,M642=phu!$I$8,M642=phu!$I$9,M642=phu!$I$10,M642=phu!$I$11,M642=phu!$I$12,M642=phu!$I$13,M642=phu!$I$14),"Cam Nghĩa",""),IF(OR(M642=phu!$I$15,M642=phu!$I$16,M642=phu!$I$17,M642=phu!$I$18,M642=phu!$I$19,M642=phu!$I$20,M642=phu!$I$21),"Cam Phúc Bắc",""),IF(OR(M642=phu!$I$22,M642=phu!$I$23,M642=phu!$I$24,M642=phu!$I$25),"Cam Phúc Nam",""),IF(OR(M642=phu!$I$26,M642=phu!$I$27,M642=phu!$I$28,M642=phu!$I$29,M642=phu!$I$30,M642=phu!$I$31),"Cam Phú",""),IF(OR(M642=phu!$I$32,M642=phu!$I$33,M642=phu!$I$34,M642=phu!$I$35,M642=phu!$I$36,M642=phu!$I$37),"Cam Lộc",""),IF(OR(M642=phu!$I$38,M642=phu!$I$39,M642=phu!$I$40,M642=phu!$I$41,M642=phu!$I$42,M642=phu!$I$43,M642=phu!$I$44),"Cam Thuận",""),IF(OR(M642=phu!$I$45,M642=phu!$I$46,M642=phu!$I$47,M642=phu!$I$48,M642=phu!$I$49,M642=phu!$I$50,M642=phu!$I$51,M642=phu!$I$52,M642=phu!$I$53),"Cam Linh",""),IF(OR(M642=phu!$I$54,M642=phu!$I$55,M642=phu!$I$56,M642=phu!$I$57,M642=phu!$I$58,M642=phu!$I$59,M642=phu!$I$60,M642=phu!$I$61,M642=phu!$I$62),"Cam Lợi",""),IF(OR(M642=phu!$I$63,M642=phu!$I$64,M642=phu!$I$65,M642=phu!$I$66,M642=phu!$I$67,M642=phu!$I$68,M642=phu!$I$69,M642=phu!$I$70,M642=phu!$I$71),"Ba Ngòi",""),IF(OR(M642=phu!$I$72,M642=phu!$I$73,M642=phu!$I$74,M642=phu!$I$75,M642=phu!$I$76,M642=phu!$I$77,M642=phu!$I$78),"Cam Phước Đông",""),IF(OR(M642=phu!$I$79,M642=phu!$I$80,M642=phu!$I$81,M642=phu!$I$82,M642=phu!$I$83,M642=phu!$I$84),"Cam Thịnh Đông",""),IF(OR(M642=phu!$I$85,M642=phu!$I$86,M642=phu!$I$87,M642=phu!$I$88),"Cam Thịnh Tây",""),IF(OR(M642=phu!$I$89,M642=phu!$I$90),"Cam Lập",""),IF(OR(M642=phu!$I$91,M642=phu!$I$92,M642=phu!$I$93),"Cam Bình",""),IF(OR(M642=phu!$I$94,M642=phu!$I$95,M642=phu!$I$96,M642=phu!$I$97,M642=phu!$I$98,M642=phu!$I$99,M642=phu!$I$100),"Huyện khác",""),IF(OR(M642=phu!$I$101,M642=phu!$I$102),"Tỉnh khác",""))</f>
        <v/>
      </c>
      <c r="O642" s="829" t="str">
        <f t="shared" si="54"/>
        <v/>
      </c>
      <c r="P642" s="254"/>
      <c r="Q642" s="254"/>
      <c r="R642" s="254"/>
      <c r="S642" s="254"/>
      <c r="T642" s="254"/>
      <c r="U642" s="254"/>
      <c r="V642" s="254"/>
      <c r="W642" s="254"/>
      <c r="Y642" s="246" t="str">
        <f t="shared" si="55"/>
        <v/>
      </c>
      <c r="Z642" s="247" t="str">
        <f t="shared" si="59"/>
        <v/>
      </c>
      <c r="AA642" s="246" t="str">
        <f t="shared" si="56"/>
        <v/>
      </c>
    </row>
    <row r="643" spans="1:27" ht="18" customHeight="1" x14ac:dyDescent="0.25">
      <c r="A643" s="248" t="str">
        <f t="shared" si="57"/>
        <v/>
      </c>
      <c r="B643" s="249" t="str">
        <f t="shared" si="58"/>
        <v/>
      </c>
      <c r="C643" s="250"/>
      <c r="D643" s="251"/>
      <c r="E643" s="241"/>
      <c r="F643" s="252"/>
      <c r="G643" s="252"/>
      <c r="H643" s="253"/>
      <c r="I643" s="250"/>
      <c r="J643" s="250"/>
      <c r="K643" s="270"/>
      <c r="L643" s="250"/>
      <c r="M643" s="250"/>
      <c r="N643" s="540" t="str">
        <f>CONCATENATE(IF(OR(M643=phu!$I$1,M643=phu!$I$2,M643=phu!$I$3),"Cam Thành Nam",""),IF(OR(M643=phu!$I$4,M643=phu!$I$5,M643=phu!$I$6,M643=phu!$I$7,M643=phu!$I$8,M643=phu!$I$9,M643=phu!$I$10,M643=phu!$I$11,M643=phu!$I$12,M643=phu!$I$13,M643=phu!$I$14),"Cam Nghĩa",""),IF(OR(M643=phu!$I$15,M643=phu!$I$16,M643=phu!$I$17,M643=phu!$I$18,M643=phu!$I$19,M643=phu!$I$20,M643=phu!$I$21),"Cam Phúc Bắc",""),IF(OR(M643=phu!$I$22,M643=phu!$I$23,M643=phu!$I$24,M643=phu!$I$25),"Cam Phúc Nam",""),IF(OR(M643=phu!$I$26,M643=phu!$I$27,M643=phu!$I$28,M643=phu!$I$29,M643=phu!$I$30,M643=phu!$I$31),"Cam Phú",""),IF(OR(M643=phu!$I$32,M643=phu!$I$33,M643=phu!$I$34,M643=phu!$I$35,M643=phu!$I$36,M643=phu!$I$37),"Cam Lộc",""),IF(OR(M643=phu!$I$38,M643=phu!$I$39,M643=phu!$I$40,M643=phu!$I$41,M643=phu!$I$42,M643=phu!$I$43,M643=phu!$I$44),"Cam Thuận",""),IF(OR(M643=phu!$I$45,M643=phu!$I$46,M643=phu!$I$47,M643=phu!$I$48,M643=phu!$I$49,M643=phu!$I$50,M643=phu!$I$51,M643=phu!$I$52,M643=phu!$I$53),"Cam Linh",""),IF(OR(M643=phu!$I$54,M643=phu!$I$55,M643=phu!$I$56,M643=phu!$I$57,M643=phu!$I$58,M643=phu!$I$59,M643=phu!$I$60,M643=phu!$I$61,M643=phu!$I$62),"Cam Lợi",""),IF(OR(M643=phu!$I$63,M643=phu!$I$64,M643=phu!$I$65,M643=phu!$I$66,M643=phu!$I$67,M643=phu!$I$68,M643=phu!$I$69,M643=phu!$I$70,M643=phu!$I$71),"Ba Ngòi",""),IF(OR(M643=phu!$I$72,M643=phu!$I$73,M643=phu!$I$74,M643=phu!$I$75,M643=phu!$I$76,M643=phu!$I$77,M643=phu!$I$78),"Cam Phước Đông",""),IF(OR(M643=phu!$I$79,M643=phu!$I$80,M643=phu!$I$81,M643=phu!$I$82,M643=phu!$I$83,M643=phu!$I$84),"Cam Thịnh Đông",""),IF(OR(M643=phu!$I$85,M643=phu!$I$86,M643=phu!$I$87,M643=phu!$I$88),"Cam Thịnh Tây",""),IF(OR(M643=phu!$I$89,M643=phu!$I$90),"Cam Lập",""),IF(OR(M643=phu!$I$91,M643=phu!$I$92,M643=phu!$I$93),"Cam Bình",""),IF(OR(M643=phu!$I$94,M643=phu!$I$95,M643=phu!$I$96,M643=phu!$I$97,M643=phu!$I$98,M643=phu!$I$99,M643=phu!$I$100),"Huyện khác",""),IF(OR(M643=phu!$I$101,M643=phu!$I$102),"Tỉnh khác",""))</f>
        <v/>
      </c>
      <c r="O643" s="829" t="str">
        <f t="shared" si="54"/>
        <v/>
      </c>
      <c r="P643" s="254"/>
      <c r="Q643" s="254"/>
      <c r="R643" s="254"/>
      <c r="S643" s="254"/>
      <c r="T643" s="254"/>
      <c r="U643" s="254"/>
      <c r="V643" s="254"/>
      <c r="W643" s="254"/>
      <c r="Y643" s="246" t="str">
        <f t="shared" si="55"/>
        <v/>
      </c>
      <c r="Z643" s="247" t="str">
        <f t="shared" si="59"/>
        <v/>
      </c>
      <c r="AA643" s="246" t="str">
        <f t="shared" si="56"/>
        <v/>
      </c>
    </row>
    <row r="644" spans="1:27" ht="18" customHeight="1" x14ac:dyDescent="0.25">
      <c r="A644" s="248" t="str">
        <f t="shared" si="57"/>
        <v/>
      </c>
      <c r="B644" s="249" t="str">
        <f t="shared" si="58"/>
        <v/>
      </c>
      <c r="C644" s="250"/>
      <c r="D644" s="251"/>
      <c r="E644" s="241"/>
      <c r="F644" s="252"/>
      <c r="G644" s="252"/>
      <c r="H644" s="253"/>
      <c r="I644" s="250"/>
      <c r="J644" s="250"/>
      <c r="K644" s="270"/>
      <c r="L644" s="250"/>
      <c r="M644" s="250"/>
      <c r="N644" s="540" t="str">
        <f>CONCATENATE(IF(OR(M644=phu!$I$1,M644=phu!$I$2,M644=phu!$I$3),"Cam Thành Nam",""),IF(OR(M644=phu!$I$4,M644=phu!$I$5,M644=phu!$I$6,M644=phu!$I$7,M644=phu!$I$8,M644=phu!$I$9,M644=phu!$I$10,M644=phu!$I$11,M644=phu!$I$12,M644=phu!$I$13,M644=phu!$I$14),"Cam Nghĩa",""),IF(OR(M644=phu!$I$15,M644=phu!$I$16,M644=phu!$I$17,M644=phu!$I$18,M644=phu!$I$19,M644=phu!$I$20,M644=phu!$I$21),"Cam Phúc Bắc",""),IF(OR(M644=phu!$I$22,M644=phu!$I$23,M644=phu!$I$24,M644=phu!$I$25),"Cam Phúc Nam",""),IF(OR(M644=phu!$I$26,M644=phu!$I$27,M644=phu!$I$28,M644=phu!$I$29,M644=phu!$I$30,M644=phu!$I$31),"Cam Phú",""),IF(OR(M644=phu!$I$32,M644=phu!$I$33,M644=phu!$I$34,M644=phu!$I$35,M644=phu!$I$36,M644=phu!$I$37),"Cam Lộc",""),IF(OR(M644=phu!$I$38,M644=phu!$I$39,M644=phu!$I$40,M644=phu!$I$41,M644=phu!$I$42,M644=phu!$I$43,M644=phu!$I$44),"Cam Thuận",""),IF(OR(M644=phu!$I$45,M644=phu!$I$46,M644=phu!$I$47,M644=phu!$I$48,M644=phu!$I$49,M644=phu!$I$50,M644=phu!$I$51,M644=phu!$I$52,M644=phu!$I$53),"Cam Linh",""),IF(OR(M644=phu!$I$54,M644=phu!$I$55,M644=phu!$I$56,M644=phu!$I$57,M644=phu!$I$58,M644=phu!$I$59,M644=phu!$I$60,M644=phu!$I$61,M644=phu!$I$62),"Cam Lợi",""),IF(OR(M644=phu!$I$63,M644=phu!$I$64,M644=phu!$I$65,M644=phu!$I$66,M644=phu!$I$67,M644=phu!$I$68,M644=phu!$I$69,M644=phu!$I$70,M644=phu!$I$71),"Ba Ngòi",""),IF(OR(M644=phu!$I$72,M644=phu!$I$73,M644=phu!$I$74,M644=phu!$I$75,M644=phu!$I$76,M644=phu!$I$77,M644=phu!$I$78),"Cam Phước Đông",""),IF(OR(M644=phu!$I$79,M644=phu!$I$80,M644=phu!$I$81,M644=phu!$I$82,M644=phu!$I$83,M644=phu!$I$84),"Cam Thịnh Đông",""),IF(OR(M644=phu!$I$85,M644=phu!$I$86,M644=phu!$I$87,M644=phu!$I$88),"Cam Thịnh Tây",""),IF(OR(M644=phu!$I$89,M644=phu!$I$90),"Cam Lập",""),IF(OR(M644=phu!$I$91,M644=phu!$I$92,M644=phu!$I$93),"Cam Bình",""),IF(OR(M644=phu!$I$94,M644=phu!$I$95,M644=phu!$I$96,M644=phu!$I$97,M644=phu!$I$98,M644=phu!$I$99,M644=phu!$I$100),"Huyện khác",""),IF(OR(M644=phu!$I$101,M644=phu!$I$102),"Tỉnh khác",""))</f>
        <v/>
      </c>
      <c r="O644" s="829" t="str">
        <f t="shared" si="54"/>
        <v/>
      </c>
      <c r="P644" s="254"/>
      <c r="Q644" s="254"/>
      <c r="R644" s="254"/>
      <c r="S644" s="254"/>
      <c r="T644" s="254"/>
      <c r="U644" s="254"/>
      <c r="V644" s="254"/>
      <c r="W644" s="254"/>
      <c r="Y644" s="246" t="str">
        <f t="shared" si="55"/>
        <v/>
      </c>
      <c r="Z644" s="247" t="str">
        <f t="shared" si="59"/>
        <v/>
      </c>
      <c r="AA644" s="246" t="str">
        <f t="shared" si="56"/>
        <v/>
      </c>
    </row>
    <row r="645" spans="1:27" ht="18" customHeight="1" x14ac:dyDescent="0.25">
      <c r="A645" s="248" t="str">
        <f t="shared" si="57"/>
        <v/>
      </c>
      <c r="B645" s="249" t="str">
        <f t="shared" si="58"/>
        <v/>
      </c>
      <c r="C645" s="250"/>
      <c r="D645" s="251"/>
      <c r="E645" s="241"/>
      <c r="F645" s="252"/>
      <c r="G645" s="252"/>
      <c r="H645" s="253"/>
      <c r="I645" s="250"/>
      <c r="J645" s="250"/>
      <c r="K645" s="270"/>
      <c r="L645" s="250"/>
      <c r="M645" s="250"/>
      <c r="N645" s="540" t="str">
        <f>CONCATENATE(IF(OR(M645=phu!$I$1,M645=phu!$I$2,M645=phu!$I$3),"Cam Thành Nam",""),IF(OR(M645=phu!$I$4,M645=phu!$I$5,M645=phu!$I$6,M645=phu!$I$7,M645=phu!$I$8,M645=phu!$I$9,M645=phu!$I$10,M645=phu!$I$11,M645=phu!$I$12,M645=phu!$I$13,M645=phu!$I$14),"Cam Nghĩa",""),IF(OR(M645=phu!$I$15,M645=phu!$I$16,M645=phu!$I$17,M645=phu!$I$18,M645=phu!$I$19,M645=phu!$I$20,M645=phu!$I$21),"Cam Phúc Bắc",""),IF(OR(M645=phu!$I$22,M645=phu!$I$23,M645=phu!$I$24,M645=phu!$I$25),"Cam Phúc Nam",""),IF(OR(M645=phu!$I$26,M645=phu!$I$27,M645=phu!$I$28,M645=phu!$I$29,M645=phu!$I$30,M645=phu!$I$31),"Cam Phú",""),IF(OR(M645=phu!$I$32,M645=phu!$I$33,M645=phu!$I$34,M645=phu!$I$35,M645=phu!$I$36,M645=phu!$I$37),"Cam Lộc",""),IF(OR(M645=phu!$I$38,M645=phu!$I$39,M645=phu!$I$40,M645=phu!$I$41,M645=phu!$I$42,M645=phu!$I$43,M645=phu!$I$44),"Cam Thuận",""),IF(OR(M645=phu!$I$45,M645=phu!$I$46,M645=phu!$I$47,M645=phu!$I$48,M645=phu!$I$49,M645=phu!$I$50,M645=phu!$I$51,M645=phu!$I$52,M645=phu!$I$53),"Cam Linh",""),IF(OR(M645=phu!$I$54,M645=phu!$I$55,M645=phu!$I$56,M645=phu!$I$57,M645=phu!$I$58,M645=phu!$I$59,M645=phu!$I$60,M645=phu!$I$61,M645=phu!$I$62),"Cam Lợi",""),IF(OR(M645=phu!$I$63,M645=phu!$I$64,M645=phu!$I$65,M645=phu!$I$66,M645=phu!$I$67,M645=phu!$I$68,M645=phu!$I$69,M645=phu!$I$70,M645=phu!$I$71),"Ba Ngòi",""),IF(OR(M645=phu!$I$72,M645=phu!$I$73,M645=phu!$I$74,M645=phu!$I$75,M645=phu!$I$76,M645=phu!$I$77,M645=phu!$I$78),"Cam Phước Đông",""),IF(OR(M645=phu!$I$79,M645=phu!$I$80,M645=phu!$I$81,M645=phu!$I$82,M645=phu!$I$83,M645=phu!$I$84),"Cam Thịnh Đông",""),IF(OR(M645=phu!$I$85,M645=phu!$I$86,M645=phu!$I$87,M645=phu!$I$88),"Cam Thịnh Tây",""),IF(OR(M645=phu!$I$89,M645=phu!$I$90),"Cam Lập",""),IF(OR(M645=phu!$I$91,M645=phu!$I$92,M645=phu!$I$93),"Cam Bình",""),IF(OR(M645=phu!$I$94,M645=phu!$I$95,M645=phu!$I$96,M645=phu!$I$97,M645=phu!$I$98,M645=phu!$I$99,M645=phu!$I$100),"Huyện khác",""),IF(OR(M645=phu!$I$101,M645=phu!$I$102),"Tỉnh khác",""))</f>
        <v/>
      </c>
      <c r="O645" s="829" t="str">
        <f t="shared" si="54"/>
        <v/>
      </c>
      <c r="P645" s="254"/>
      <c r="Q645" s="254"/>
      <c r="R645" s="254"/>
      <c r="S645" s="254"/>
      <c r="T645" s="254"/>
      <c r="U645" s="254"/>
      <c r="V645" s="254"/>
      <c r="W645" s="254"/>
      <c r="Y645" s="246" t="str">
        <f t="shared" si="55"/>
        <v/>
      </c>
      <c r="Z645" s="247" t="str">
        <f t="shared" si="59"/>
        <v/>
      </c>
      <c r="AA645" s="246" t="str">
        <f t="shared" si="56"/>
        <v/>
      </c>
    </row>
    <row r="646" spans="1:27" ht="18" customHeight="1" x14ac:dyDescent="0.25">
      <c r="A646" s="248" t="str">
        <f t="shared" si="57"/>
        <v/>
      </c>
      <c r="B646" s="249" t="str">
        <f t="shared" si="58"/>
        <v/>
      </c>
      <c r="C646" s="250"/>
      <c r="D646" s="251"/>
      <c r="E646" s="241"/>
      <c r="F646" s="252"/>
      <c r="G646" s="252"/>
      <c r="H646" s="253"/>
      <c r="I646" s="250"/>
      <c r="J646" s="250"/>
      <c r="K646" s="270"/>
      <c r="L646" s="250"/>
      <c r="M646" s="250"/>
      <c r="N646" s="540" t="str">
        <f>CONCATENATE(IF(OR(M646=phu!$I$1,M646=phu!$I$2,M646=phu!$I$3),"Cam Thành Nam",""),IF(OR(M646=phu!$I$4,M646=phu!$I$5,M646=phu!$I$6,M646=phu!$I$7,M646=phu!$I$8,M646=phu!$I$9,M646=phu!$I$10,M646=phu!$I$11,M646=phu!$I$12,M646=phu!$I$13,M646=phu!$I$14),"Cam Nghĩa",""),IF(OR(M646=phu!$I$15,M646=phu!$I$16,M646=phu!$I$17,M646=phu!$I$18,M646=phu!$I$19,M646=phu!$I$20,M646=phu!$I$21),"Cam Phúc Bắc",""),IF(OR(M646=phu!$I$22,M646=phu!$I$23,M646=phu!$I$24,M646=phu!$I$25),"Cam Phúc Nam",""),IF(OR(M646=phu!$I$26,M646=phu!$I$27,M646=phu!$I$28,M646=phu!$I$29,M646=phu!$I$30,M646=phu!$I$31),"Cam Phú",""),IF(OR(M646=phu!$I$32,M646=phu!$I$33,M646=phu!$I$34,M646=phu!$I$35,M646=phu!$I$36,M646=phu!$I$37),"Cam Lộc",""),IF(OR(M646=phu!$I$38,M646=phu!$I$39,M646=phu!$I$40,M646=phu!$I$41,M646=phu!$I$42,M646=phu!$I$43,M646=phu!$I$44),"Cam Thuận",""),IF(OR(M646=phu!$I$45,M646=phu!$I$46,M646=phu!$I$47,M646=phu!$I$48,M646=phu!$I$49,M646=phu!$I$50,M646=phu!$I$51,M646=phu!$I$52,M646=phu!$I$53),"Cam Linh",""),IF(OR(M646=phu!$I$54,M646=phu!$I$55,M646=phu!$I$56,M646=phu!$I$57,M646=phu!$I$58,M646=phu!$I$59,M646=phu!$I$60,M646=phu!$I$61,M646=phu!$I$62),"Cam Lợi",""),IF(OR(M646=phu!$I$63,M646=phu!$I$64,M646=phu!$I$65,M646=phu!$I$66,M646=phu!$I$67,M646=phu!$I$68,M646=phu!$I$69,M646=phu!$I$70,M646=phu!$I$71),"Ba Ngòi",""),IF(OR(M646=phu!$I$72,M646=phu!$I$73,M646=phu!$I$74,M646=phu!$I$75,M646=phu!$I$76,M646=phu!$I$77,M646=phu!$I$78),"Cam Phước Đông",""),IF(OR(M646=phu!$I$79,M646=phu!$I$80,M646=phu!$I$81,M646=phu!$I$82,M646=phu!$I$83,M646=phu!$I$84),"Cam Thịnh Đông",""),IF(OR(M646=phu!$I$85,M646=phu!$I$86,M646=phu!$I$87,M646=phu!$I$88),"Cam Thịnh Tây",""),IF(OR(M646=phu!$I$89,M646=phu!$I$90),"Cam Lập",""),IF(OR(M646=phu!$I$91,M646=phu!$I$92,M646=phu!$I$93),"Cam Bình",""),IF(OR(M646=phu!$I$94,M646=phu!$I$95,M646=phu!$I$96,M646=phu!$I$97,M646=phu!$I$98,M646=phu!$I$99,M646=phu!$I$100),"Huyện khác",""),IF(OR(M646=phu!$I$101,M646=phu!$I$102),"Tỉnh khác",""))</f>
        <v/>
      </c>
      <c r="O646" s="829" t="str">
        <f t="shared" si="54"/>
        <v/>
      </c>
      <c r="P646" s="254"/>
      <c r="Q646" s="254"/>
      <c r="R646" s="254"/>
      <c r="S646" s="254"/>
      <c r="T646" s="254"/>
      <c r="U646" s="254"/>
      <c r="V646" s="254"/>
      <c r="W646" s="254"/>
      <c r="Y646" s="246" t="str">
        <f t="shared" si="55"/>
        <v/>
      </c>
      <c r="Z646" s="247" t="str">
        <f t="shared" si="59"/>
        <v/>
      </c>
      <c r="AA646" s="246" t="str">
        <f t="shared" si="56"/>
        <v/>
      </c>
    </row>
    <row r="647" spans="1:27" ht="18" customHeight="1" x14ac:dyDescent="0.25">
      <c r="A647" s="248" t="str">
        <f t="shared" si="57"/>
        <v/>
      </c>
      <c r="B647" s="249" t="str">
        <f t="shared" si="58"/>
        <v/>
      </c>
      <c r="C647" s="250"/>
      <c r="D647" s="251"/>
      <c r="E647" s="241"/>
      <c r="F647" s="252"/>
      <c r="G647" s="252"/>
      <c r="H647" s="253"/>
      <c r="I647" s="250"/>
      <c r="J647" s="250"/>
      <c r="K647" s="270"/>
      <c r="L647" s="250"/>
      <c r="M647" s="250"/>
      <c r="N647" s="540" t="str">
        <f>CONCATENATE(IF(OR(M647=phu!$I$1,M647=phu!$I$2,M647=phu!$I$3),"Cam Thành Nam",""),IF(OR(M647=phu!$I$4,M647=phu!$I$5,M647=phu!$I$6,M647=phu!$I$7,M647=phu!$I$8,M647=phu!$I$9,M647=phu!$I$10,M647=phu!$I$11,M647=phu!$I$12,M647=phu!$I$13,M647=phu!$I$14),"Cam Nghĩa",""),IF(OR(M647=phu!$I$15,M647=phu!$I$16,M647=phu!$I$17,M647=phu!$I$18,M647=phu!$I$19,M647=phu!$I$20,M647=phu!$I$21),"Cam Phúc Bắc",""),IF(OR(M647=phu!$I$22,M647=phu!$I$23,M647=phu!$I$24,M647=phu!$I$25),"Cam Phúc Nam",""),IF(OR(M647=phu!$I$26,M647=phu!$I$27,M647=phu!$I$28,M647=phu!$I$29,M647=phu!$I$30,M647=phu!$I$31),"Cam Phú",""),IF(OR(M647=phu!$I$32,M647=phu!$I$33,M647=phu!$I$34,M647=phu!$I$35,M647=phu!$I$36,M647=phu!$I$37),"Cam Lộc",""),IF(OR(M647=phu!$I$38,M647=phu!$I$39,M647=phu!$I$40,M647=phu!$I$41,M647=phu!$I$42,M647=phu!$I$43,M647=phu!$I$44),"Cam Thuận",""),IF(OR(M647=phu!$I$45,M647=phu!$I$46,M647=phu!$I$47,M647=phu!$I$48,M647=phu!$I$49,M647=phu!$I$50,M647=phu!$I$51,M647=phu!$I$52,M647=phu!$I$53),"Cam Linh",""),IF(OR(M647=phu!$I$54,M647=phu!$I$55,M647=phu!$I$56,M647=phu!$I$57,M647=phu!$I$58,M647=phu!$I$59,M647=phu!$I$60,M647=phu!$I$61,M647=phu!$I$62),"Cam Lợi",""),IF(OR(M647=phu!$I$63,M647=phu!$I$64,M647=phu!$I$65,M647=phu!$I$66,M647=phu!$I$67,M647=phu!$I$68,M647=phu!$I$69,M647=phu!$I$70,M647=phu!$I$71),"Ba Ngòi",""),IF(OR(M647=phu!$I$72,M647=phu!$I$73,M647=phu!$I$74,M647=phu!$I$75,M647=phu!$I$76,M647=phu!$I$77,M647=phu!$I$78),"Cam Phước Đông",""),IF(OR(M647=phu!$I$79,M647=phu!$I$80,M647=phu!$I$81,M647=phu!$I$82,M647=phu!$I$83,M647=phu!$I$84),"Cam Thịnh Đông",""),IF(OR(M647=phu!$I$85,M647=phu!$I$86,M647=phu!$I$87,M647=phu!$I$88),"Cam Thịnh Tây",""),IF(OR(M647=phu!$I$89,M647=phu!$I$90),"Cam Lập",""),IF(OR(M647=phu!$I$91,M647=phu!$I$92,M647=phu!$I$93),"Cam Bình",""),IF(OR(M647=phu!$I$94,M647=phu!$I$95,M647=phu!$I$96,M647=phu!$I$97,M647=phu!$I$98,M647=phu!$I$99,M647=phu!$I$100),"Huyện khác",""),IF(OR(M647=phu!$I$101,M647=phu!$I$102),"Tỉnh khác",""))</f>
        <v/>
      </c>
      <c r="O647" s="829" t="str">
        <f t="shared" ref="O647:O710" si="60">CONCATENATE(IF(OR(N647="Cam Thành Nam",N647="Cam Nghĩa",N647="Cam Phúc Bắc"),"Bắc Cam Ranh",""),IF(OR(N647="Cam Phúc Nam",N647="Cam Phú",N647="Cam Lộc"),"Cam Ranh",""),IF(OR(N647="Cam Thuận",N647="Cam Linh",N647="Cam Lợi"),"Cam Linh",""),IF(OR(N647="Ba Ngòi",N647="Cam Phước Đông"),"Ba Ngòi",""),IF(OR(N647="Cam Thịnh Đông",N647="Cam Thịnh Tây",N647="Cam Lập",N647="Cam Bình"),"Nam Cam Ranh",""),IF(N647="Huyện khác","Huyện khác",""),IF(N647="Tỉnh khác","Tỉnh khác",""))</f>
        <v/>
      </c>
      <c r="P647" s="254"/>
      <c r="Q647" s="254"/>
      <c r="R647" s="254"/>
      <c r="S647" s="254"/>
      <c r="T647" s="254"/>
      <c r="U647" s="254"/>
      <c r="V647" s="254"/>
      <c r="W647" s="254"/>
      <c r="Y647" s="246" t="str">
        <f t="shared" ref="Y647:Y710" si="61">IF(OR(AND(B647="",C647="",D647="",E647="",F647="",G647="",H647="",I647="",J647="",L647="",M647="",N647="",P647="",Q647="",R647="",S647=""),AND(B647&lt;&gt;"",C647&lt;&gt;"",D647&lt;&gt;"",E647&lt;&gt;"",F647&lt;&gt;"",G647&lt;&gt;"",H647&lt;&gt;"",J647&lt;&gt;"",M647&lt;&gt;"",N647&lt;&gt;"",P647&lt;&gt;"",OR(AND(Q647&lt;&gt;"",R647=""),AND(Q647="",R647&lt;&gt;""),AND(Q647&lt;&gt;"",R647&lt;&gt;"")),OR(AND(K647="X",T647&lt;&gt;""),AND(K647="",T647="")))),"","er")</f>
        <v/>
      </c>
      <c r="Z647" s="247" t="str">
        <f t="shared" si="59"/>
        <v/>
      </c>
      <c r="AA647" s="246" t="str">
        <f t="shared" ref="AA647:AA710" si="62">IF(OR(AND(Z647&lt;=10,B647&gt;5),AND(Z647&lt;=11,B647&gt;6),AND(Z647&lt;=12,B647&gt;7),AND(Z647&lt;=13,B647&gt;8),AND(Z647&lt;=14,B647&gt;9),AND(Z647=11,B647=6,L647="X"),AND(Z647=12,B647=7,L647="X"),AND(Z647=13,B647=8,L647="X"),AND(Z647=14,B647=9,L647="X")),"er","")</f>
        <v/>
      </c>
    </row>
    <row r="648" spans="1:27" ht="18" customHeight="1" x14ac:dyDescent="0.25">
      <c r="A648" s="248" t="str">
        <f t="shared" ref="A648:A711" si="63">IF(OR(A647="",B648="",C648="",D648="",E648=""),"",A647+1)</f>
        <v/>
      </c>
      <c r="B648" s="249" t="str">
        <f t="shared" ref="B648:B711" si="64">IF(C648="","",VALUE(LEFT(C648,1)))</f>
        <v/>
      </c>
      <c r="C648" s="250"/>
      <c r="D648" s="251"/>
      <c r="E648" s="241"/>
      <c r="F648" s="252"/>
      <c r="G648" s="252"/>
      <c r="H648" s="253"/>
      <c r="I648" s="250"/>
      <c r="J648" s="250"/>
      <c r="K648" s="270"/>
      <c r="L648" s="250"/>
      <c r="M648" s="250"/>
      <c r="N648" s="540" t="str">
        <f>CONCATENATE(IF(OR(M648=phu!$I$1,M648=phu!$I$2,M648=phu!$I$3),"Cam Thành Nam",""),IF(OR(M648=phu!$I$4,M648=phu!$I$5,M648=phu!$I$6,M648=phu!$I$7,M648=phu!$I$8,M648=phu!$I$9,M648=phu!$I$10,M648=phu!$I$11,M648=phu!$I$12,M648=phu!$I$13,M648=phu!$I$14),"Cam Nghĩa",""),IF(OR(M648=phu!$I$15,M648=phu!$I$16,M648=phu!$I$17,M648=phu!$I$18,M648=phu!$I$19,M648=phu!$I$20,M648=phu!$I$21),"Cam Phúc Bắc",""),IF(OR(M648=phu!$I$22,M648=phu!$I$23,M648=phu!$I$24,M648=phu!$I$25),"Cam Phúc Nam",""),IF(OR(M648=phu!$I$26,M648=phu!$I$27,M648=phu!$I$28,M648=phu!$I$29,M648=phu!$I$30,M648=phu!$I$31),"Cam Phú",""),IF(OR(M648=phu!$I$32,M648=phu!$I$33,M648=phu!$I$34,M648=phu!$I$35,M648=phu!$I$36,M648=phu!$I$37),"Cam Lộc",""),IF(OR(M648=phu!$I$38,M648=phu!$I$39,M648=phu!$I$40,M648=phu!$I$41,M648=phu!$I$42,M648=phu!$I$43,M648=phu!$I$44),"Cam Thuận",""),IF(OR(M648=phu!$I$45,M648=phu!$I$46,M648=phu!$I$47,M648=phu!$I$48,M648=phu!$I$49,M648=phu!$I$50,M648=phu!$I$51,M648=phu!$I$52,M648=phu!$I$53),"Cam Linh",""),IF(OR(M648=phu!$I$54,M648=phu!$I$55,M648=phu!$I$56,M648=phu!$I$57,M648=phu!$I$58,M648=phu!$I$59,M648=phu!$I$60,M648=phu!$I$61,M648=phu!$I$62),"Cam Lợi",""),IF(OR(M648=phu!$I$63,M648=phu!$I$64,M648=phu!$I$65,M648=phu!$I$66,M648=phu!$I$67,M648=phu!$I$68,M648=phu!$I$69,M648=phu!$I$70,M648=phu!$I$71),"Ba Ngòi",""),IF(OR(M648=phu!$I$72,M648=phu!$I$73,M648=phu!$I$74,M648=phu!$I$75,M648=phu!$I$76,M648=phu!$I$77,M648=phu!$I$78),"Cam Phước Đông",""),IF(OR(M648=phu!$I$79,M648=phu!$I$80,M648=phu!$I$81,M648=phu!$I$82,M648=phu!$I$83,M648=phu!$I$84),"Cam Thịnh Đông",""),IF(OR(M648=phu!$I$85,M648=phu!$I$86,M648=phu!$I$87,M648=phu!$I$88),"Cam Thịnh Tây",""),IF(OR(M648=phu!$I$89,M648=phu!$I$90),"Cam Lập",""),IF(OR(M648=phu!$I$91,M648=phu!$I$92,M648=phu!$I$93),"Cam Bình",""),IF(OR(M648=phu!$I$94,M648=phu!$I$95,M648=phu!$I$96,M648=phu!$I$97,M648=phu!$I$98,M648=phu!$I$99,M648=phu!$I$100),"Huyện khác",""),IF(OR(M648=phu!$I$101,M648=phu!$I$102),"Tỉnh khác",""))</f>
        <v/>
      </c>
      <c r="O648" s="829" t="str">
        <f t="shared" si="60"/>
        <v/>
      </c>
      <c r="P648" s="254"/>
      <c r="Q648" s="254"/>
      <c r="R648" s="254"/>
      <c r="S648" s="254"/>
      <c r="T648" s="254"/>
      <c r="U648" s="254"/>
      <c r="V648" s="254"/>
      <c r="W648" s="254"/>
      <c r="Y648" s="246" t="str">
        <f t="shared" si="61"/>
        <v/>
      </c>
      <c r="Z648" s="247" t="str">
        <f t="shared" ref="Z648:Z711" si="65">IF(H648="","",$Z$1-H648)</f>
        <v/>
      </c>
      <c r="AA648" s="246" t="str">
        <f t="shared" si="62"/>
        <v/>
      </c>
    </row>
    <row r="649" spans="1:27" ht="18" customHeight="1" x14ac:dyDescent="0.25">
      <c r="A649" s="248" t="str">
        <f t="shared" si="63"/>
        <v/>
      </c>
      <c r="B649" s="249" t="str">
        <f t="shared" si="64"/>
        <v/>
      </c>
      <c r="C649" s="250"/>
      <c r="D649" s="251"/>
      <c r="E649" s="241"/>
      <c r="F649" s="252"/>
      <c r="G649" s="252"/>
      <c r="H649" s="253"/>
      <c r="I649" s="250"/>
      <c r="J649" s="250"/>
      <c r="K649" s="270"/>
      <c r="L649" s="250"/>
      <c r="M649" s="250"/>
      <c r="N649" s="540" t="str">
        <f>CONCATENATE(IF(OR(M649=phu!$I$1,M649=phu!$I$2,M649=phu!$I$3),"Cam Thành Nam",""),IF(OR(M649=phu!$I$4,M649=phu!$I$5,M649=phu!$I$6,M649=phu!$I$7,M649=phu!$I$8,M649=phu!$I$9,M649=phu!$I$10,M649=phu!$I$11,M649=phu!$I$12,M649=phu!$I$13,M649=phu!$I$14),"Cam Nghĩa",""),IF(OR(M649=phu!$I$15,M649=phu!$I$16,M649=phu!$I$17,M649=phu!$I$18,M649=phu!$I$19,M649=phu!$I$20,M649=phu!$I$21),"Cam Phúc Bắc",""),IF(OR(M649=phu!$I$22,M649=phu!$I$23,M649=phu!$I$24,M649=phu!$I$25),"Cam Phúc Nam",""),IF(OR(M649=phu!$I$26,M649=phu!$I$27,M649=phu!$I$28,M649=phu!$I$29,M649=phu!$I$30,M649=phu!$I$31),"Cam Phú",""),IF(OR(M649=phu!$I$32,M649=phu!$I$33,M649=phu!$I$34,M649=phu!$I$35,M649=phu!$I$36,M649=phu!$I$37),"Cam Lộc",""),IF(OR(M649=phu!$I$38,M649=phu!$I$39,M649=phu!$I$40,M649=phu!$I$41,M649=phu!$I$42,M649=phu!$I$43,M649=phu!$I$44),"Cam Thuận",""),IF(OR(M649=phu!$I$45,M649=phu!$I$46,M649=phu!$I$47,M649=phu!$I$48,M649=phu!$I$49,M649=phu!$I$50,M649=phu!$I$51,M649=phu!$I$52,M649=phu!$I$53),"Cam Linh",""),IF(OR(M649=phu!$I$54,M649=phu!$I$55,M649=phu!$I$56,M649=phu!$I$57,M649=phu!$I$58,M649=phu!$I$59,M649=phu!$I$60,M649=phu!$I$61,M649=phu!$I$62),"Cam Lợi",""),IF(OR(M649=phu!$I$63,M649=phu!$I$64,M649=phu!$I$65,M649=phu!$I$66,M649=phu!$I$67,M649=phu!$I$68,M649=phu!$I$69,M649=phu!$I$70,M649=phu!$I$71),"Ba Ngòi",""),IF(OR(M649=phu!$I$72,M649=phu!$I$73,M649=phu!$I$74,M649=phu!$I$75,M649=phu!$I$76,M649=phu!$I$77,M649=phu!$I$78),"Cam Phước Đông",""),IF(OR(M649=phu!$I$79,M649=phu!$I$80,M649=phu!$I$81,M649=phu!$I$82,M649=phu!$I$83,M649=phu!$I$84),"Cam Thịnh Đông",""),IF(OR(M649=phu!$I$85,M649=phu!$I$86,M649=phu!$I$87,M649=phu!$I$88),"Cam Thịnh Tây",""),IF(OR(M649=phu!$I$89,M649=phu!$I$90),"Cam Lập",""),IF(OR(M649=phu!$I$91,M649=phu!$I$92,M649=phu!$I$93),"Cam Bình",""),IF(OR(M649=phu!$I$94,M649=phu!$I$95,M649=phu!$I$96,M649=phu!$I$97,M649=phu!$I$98,M649=phu!$I$99,M649=phu!$I$100),"Huyện khác",""),IF(OR(M649=phu!$I$101,M649=phu!$I$102),"Tỉnh khác",""))</f>
        <v/>
      </c>
      <c r="O649" s="829" t="str">
        <f t="shared" si="60"/>
        <v/>
      </c>
      <c r="P649" s="254"/>
      <c r="Q649" s="254"/>
      <c r="R649" s="254"/>
      <c r="S649" s="254"/>
      <c r="T649" s="254"/>
      <c r="U649" s="254"/>
      <c r="V649" s="254"/>
      <c r="W649" s="254"/>
      <c r="Y649" s="246" t="str">
        <f t="shared" si="61"/>
        <v/>
      </c>
      <c r="Z649" s="247" t="str">
        <f t="shared" si="65"/>
        <v/>
      </c>
      <c r="AA649" s="246" t="str">
        <f t="shared" si="62"/>
        <v/>
      </c>
    </row>
    <row r="650" spans="1:27" ht="18" customHeight="1" x14ac:dyDescent="0.25">
      <c r="A650" s="248" t="str">
        <f t="shared" si="63"/>
        <v/>
      </c>
      <c r="B650" s="249" t="str">
        <f t="shared" si="64"/>
        <v/>
      </c>
      <c r="C650" s="250"/>
      <c r="D650" s="251"/>
      <c r="E650" s="241"/>
      <c r="F650" s="252"/>
      <c r="G650" s="252"/>
      <c r="H650" s="253"/>
      <c r="I650" s="250"/>
      <c r="J650" s="250"/>
      <c r="K650" s="270"/>
      <c r="L650" s="250"/>
      <c r="M650" s="250"/>
      <c r="N650" s="540" t="str">
        <f>CONCATENATE(IF(OR(M650=phu!$I$1,M650=phu!$I$2,M650=phu!$I$3),"Cam Thành Nam",""),IF(OR(M650=phu!$I$4,M650=phu!$I$5,M650=phu!$I$6,M650=phu!$I$7,M650=phu!$I$8,M650=phu!$I$9,M650=phu!$I$10,M650=phu!$I$11,M650=phu!$I$12,M650=phu!$I$13,M650=phu!$I$14),"Cam Nghĩa",""),IF(OR(M650=phu!$I$15,M650=phu!$I$16,M650=phu!$I$17,M650=phu!$I$18,M650=phu!$I$19,M650=phu!$I$20,M650=phu!$I$21),"Cam Phúc Bắc",""),IF(OR(M650=phu!$I$22,M650=phu!$I$23,M650=phu!$I$24,M650=phu!$I$25),"Cam Phúc Nam",""),IF(OR(M650=phu!$I$26,M650=phu!$I$27,M650=phu!$I$28,M650=phu!$I$29,M650=phu!$I$30,M650=phu!$I$31),"Cam Phú",""),IF(OR(M650=phu!$I$32,M650=phu!$I$33,M650=phu!$I$34,M650=phu!$I$35,M650=phu!$I$36,M650=phu!$I$37),"Cam Lộc",""),IF(OR(M650=phu!$I$38,M650=phu!$I$39,M650=phu!$I$40,M650=phu!$I$41,M650=phu!$I$42,M650=phu!$I$43,M650=phu!$I$44),"Cam Thuận",""),IF(OR(M650=phu!$I$45,M650=phu!$I$46,M650=phu!$I$47,M650=phu!$I$48,M650=phu!$I$49,M650=phu!$I$50,M650=phu!$I$51,M650=phu!$I$52,M650=phu!$I$53),"Cam Linh",""),IF(OR(M650=phu!$I$54,M650=phu!$I$55,M650=phu!$I$56,M650=phu!$I$57,M650=phu!$I$58,M650=phu!$I$59,M650=phu!$I$60,M650=phu!$I$61,M650=phu!$I$62),"Cam Lợi",""),IF(OR(M650=phu!$I$63,M650=phu!$I$64,M650=phu!$I$65,M650=phu!$I$66,M650=phu!$I$67,M650=phu!$I$68,M650=phu!$I$69,M650=phu!$I$70,M650=phu!$I$71),"Ba Ngòi",""),IF(OR(M650=phu!$I$72,M650=phu!$I$73,M650=phu!$I$74,M650=phu!$I$75,M650=phu!$I$76,M650=phu!$I$77,M650=phu!$I$78),"Cam Phước Đông",""),IF(OR(M650=phu!$I$79,M650=phu!$I$80,M650=phu!$I$81,M650=phu!$I$82,M650=phu!$I$83,M650=phu!$I$84),"Cam Thịnh Đông",""),IF(OR(M650=phu!$I$85,M650=phu!$I$86,M650=phu!$I$87,M650=phu!$I$88),"Cam Thịnh Tây",""),IF(OR(M650=phu!$I$89,M650=phu!$I$90),"Cam Lập",""),IF(OR(M650=phu!$I$91,M650=phu!$I$92,M650=phu!$I$93),"Cam Bình",""),IF(OR(M650=phu!$I$94,M650=phu!$I$95,M650=phu!$I$96,M650=phu!$I$97,M650=phu!$I$98,M650=phu!$I$99,M650=phu!$I$100),"Huyện khác",""),IF(OR(M650=phu!$I$101,M650=phu!$I$102),"Tỉnh khác",""))</f>
        <v/>
      </c>
      <c r="O650" s="829" t="str">
        <f t="shared" si="60"/>
        <v/>
      </c>
      <c r="P650" s="254"/>
      <c r="Q650" s="254"/>
      <c r="R650" s="254"/>
      <c r="S650" s="254"/>
      <c r="T650" s="254"/>
      <c r="U650" s="254"/>
      <c r="V650" s="254"/>
      <c r="W650" s="254"/>
      <c r="Y650" s="246" t="str">
        <f t="shared" si="61"/>
        <v/>
      </c>
      <c r="Z650" s="247" t="str">
        <f t="shared" si="65"/>
        <v/>
      </c>
      <c r="AA650" s="246" t="str">
        <f t="shared" si="62"/>
        <v/>
      </c>
    </row>
    <row r="651" spans="1:27" ht="18" customHeight="1" x14ac:dyDescent="0.25">
      <c r="A651" s="248" t="str">
        <f t="shared" si="63"/>
        <v/>
      </c>
      <c r="B651" s="249" t="str">
        <f t="shared" si="64"/>
        <v/>
      </c>
      <c r="C651" s="250"/>
      <c r="D651" s="251"/>
      <c r="E651" s="241"/>
      <c r="F651" s="252"/>
      <c r="G651" s="252"/>
      <c r="H651" s="253"/>
      <c r="I651" s="250"/>
      <c r="J651" s="250"/>
      <c r="K651" s="270"/>
      <c r="L651" s="250"/>
      <c r="M651" s="250"/>
      <c r="N651" s="540" t="str">
        <f>CONCATENATE(IF(OR(M651=phu!$I$1,M651=phu!$I$2,M651=phu!$I$3),"Cam Thành Nam",""),IF(OR(M651=phu!$I$4,M651=phu!$I$5,M651=phu!$I$6,M651=phu!$I$7,M651=phu!$I$8,M651=phu!$I$9,M651=phu!$I$10,M651=phu!$I$11,M651=phu!$I$12,M651=phu!$I$13,M651=phu!$I$14),"Cam Nghĩa",""),IF(OR(M651=phu!$I$15,M651=phu!$I$16,M651=phu!$I$17,M651=phu!$I$18,M651=phu!$I$19,M651=phu!$I$20,M651=phu!$I$21),"Cam Phúc Bắc",""),IF(OR(M651=phu!$I$22,M651=phu!$I$23,M651=phu!$I$24,M651=phu!$I$25),"Cam Phúc Nam",""),IF(OR(M651=phu!$I$26,M651=phu!$I$27,M651=phu!$I$28,M651=phu!$I$29,M651=phu!$I$30,M651=phu!$I$31),"Cam Phú",""),IF(OR(M651=phu!$I$32,M651=phu!$I$33,M651=phu!$I$34,M651=phu!$I$35,M651=phu!$I$36,M651=phu!$I$37),"Cam Lộc",""),IF(OR(M651=phu!$I$38,M651=phu!$I$39,M651=phu!$I$40,M651=phu!$I$41,M651=phu!$I$42,M651=phu!$I$43,M651=phu!$I$44),"Cam Thuận",""),IF(OR(M651=phu!$I$45,M651=phu!$I$46,M651=phu!$I$47,M651=phu!$I$48,M651=phu!$I$49,M651=phu!$I$50,M651=phu!$I$51,M651=phu!$I$52,M651=phu!$I$53),"Cam Linh",""),IF(OR(M651=phu!$I$54,M651=phu!$I$55,M651=phu!$I$56,M651=phu!$I$57,M651=phu!$I$58,M651=phu!$I$59,M651=phu!$I$60,M651=phu!$I$61,M651=phu!$I$62),"Cam Lợi",""),IF(OR(M651=phu!$I$63,M651=phu!$I$64,M651=phu!$I$65,M651=phu!$I$66,M651=phu!$I$67,M651=phu!$I$68,M651=phu!$I$69,M651=phu!$I$70,M651=phu!$I$71),"Ba Ngòi",""),IF(OR(M651=phu!$I$72,M651=phu!$I$73,M651=phu!$I$74,M651=phu!$I$75,M651=phu!$I$76,M651=phu!$I$77,M651=phu!$I$78),"Cam Phước Đông",""),IF(OR(M651=phu!$I$79,M651=phu!$I$80,M651=phu!$I$81,M651=phu!$I$82,M651=phu!$I$83,M651=phu!$I$84),"Cam Thịnh Đông",""),IF(OR(M651=phu!$I$85,M651=phu!$I$86,M651=phu!$I$87,M651=phu!$I$88),"Cam Thịnh Tây",""),IF(OR(M651=phu!$I$89,M651=phu!$I$90),"Cam Lập",""),IF(OR(M651=phu!$I$91,M651=phu!$I$92,M651=phu!$I$93),"Cam Bình",""),IF(OR(M651=phu!$I$94,M651=phu!$I$95,M651=phu!$I$96,M651=phu!$I$97,M651=phu!$I$98,M651=phu!$I$99,M651=phu!$I$100),"Huyện khác",""),IF(OR(M651=phu!$I$101,M651=phu!$I$102),"Tỉnh khác",""))</f>
        <v/>
      </c>
      <c r="O651" s="829" t="str">
        <f t="shared" si="60"/>
        <v/>
      </c>
      <c r="P651" s="254"/>
      <c r="Q651" s="254"/>
      <c r="R651" s="254"/>
      <c r="S651" s="254"/>
      <c r="T651" s="254"/>
      <c r="U651" s="254"/>
      <c r="V651" s="254"/>
      <c r="W651" s="254"/>
      <c r="Y651" s="246" t="str">
        <f t="shared" si="61"/>
        <v/>
      </c>
      <c r="Z651" s="247" t="str">
        <f t="shared" si="65"/>
        <v/>
      </c>
      <c r="AA651" s="246" t="str">
        <f t="shared" si="62"/>
        <v/>
      </c>
    </row>
    <row r="652" spans="1:27" ht="18" customHeight="1" x14ac:dyDescent="0.25">
      <c r="A652" s="248" t="str">
        <f t="shared" si="63"/>
        <v/>
      </c>
      <c r="B652" s="249" t="str">
        <f t="shared" si="64"/>
        <v/>
      </c>
      <c r="C652" s="250"/>
      <c r="D652" s="251"/>
      <c r="E652" s="241"/>
      <c r="F652" s="252"/>
      <c r="G652" s="252"/>
      <c r="H652" s="253"/>
      <c r="I652" s="250"/>
      <c r="J652" s="250"/>
      <c r="K652" s="270"/>
      <c r="L652" s="250"/>
      <c r="M652" s="250"/>
      <c r="N652" s="540" t="str">
        <f>CONCATENATE(IF(OR(M652=phu!$I$1,M652=phu!$I$2,M652=phu!$I$3),"Cam Thành Nam",""),IF(OR(M652=phu!$I$4,M652=phu!$I$5,M652=phu!$I$6,M652=phu!$I$7,M652=phu!$I$8,M652=phu!$I$9,M652=phu!$I$10,M652=phu!$I$11,M652=phu!$I$12,M652=phu!$I$13,M652=phu!$I$14),"Cam Nghĩa",""),IF(OR(M652=phu!$I$15,M652=phu!$I$16,M652=phu!$I$17,M652=phu!$I$18,M652=phu!$I$19,M652=phu!$I$20,M652=phu!$I$21),"Cam Phúc Bắc",""),IF(OR(M652=phu!$I$22,M652=phu!$I$23,M652=phu!$I$24,M652=phu!$I$25),"Cam Phúc Nam",""),IF(OR(M652=phu!$I$26,M652=phu!$I$27,M652=phu!$I$28,M652=phu!$I$29,M652=phu!$I$30,M652=phu!$I$31),"Cam Phú",""),IF(OR(M652=phu!$I$32,M652=phu!$I$33,M652=phu!$I$34,M652=phu!$I$35,M652=phu!$I$36,M652=phu!$I$37),"Cam Lộc",""),IF(OR(M652=phu!$I$38,M652=phu!$I$39,M652=phu!$I$40,M652=phu!$I$41,M652=phu!$I$42,M652=phu!$I$43,M652=phu!$I$44),"Cam Thuận",""),IF(OR(M652=phu!$I$45,M652=phu!$I$46,M652=phu!$I$47,M652=phu!$I$48,M652=phu!$I$49,M652=phu!$I$50,M652=phu!$I$51,M652=phu!$I$52,M652=phu!$I$53),"Cam Linh",""),IF(OR(M652=phu!$I$54,M652=phu!$I$55,M652=phu!$I$56,M652=phu!$I$57,M652=phu!$I$58,M652=phu!$I$59,M652=phu!$I$60,M652=phu!$I$61,M652=phu!$I$62),"Cam Lợi",""),IF(OR(M652=phu!$I$63,M652=phu!$I$64,M652=phu!$I$65,M652=phu!$I$66,M652=phu!$I$67,M652=phu!$I$68,M652=phu!$I$69,M652=phu!$I$70,M652=phu!$I$71),"Ba Ngòi",""),IF(OR(M652=phu!$I$72,M652=phu!$I$73,M652=phu!$I$74,M652=phu!$I$75,M652=phu!$I$76,M652=phu!$I$77,M652=phu!$I$78),"Cam Phước Đông",""),IF(OR(M652=phu!$I$79,M652=phu!$I$80,M652=phu!$I$81,M652=phu!$I$82,M652=phu!$I$83,M652=phu!$I$84),"Cam Thịnh Đông",""),IF(OR(M652=phu!$I$85,M652=phu!$I$86,M652=phu!$I$87,M652=phu!$I$88),"Cam Thịnh Tây",""),IF(OR(M652=phu!$I$89,M652=phu!$I$90),"Cam Lập",""),IF(OR(M652=phu!$I$91,M652=phu!$I$92,M652=phu!$I$93),"Cam Bình",""),IF(OR(M652=phu!$I$94,M652=phu!$I$95,M652=phu!$I$96,M652=phu!$I$97,M652=phu!$I$98,M652=phu!$I$99,M652=phu!$I$100),"Huyện khác",""),IF(OR(M652=phu!$I$101,M652=phu!$I$102),"Tỉnh khác",""))</f>
        <v/>
      </c>
      <c r="O652" s="829" t="str">
        <f t="shared" si="60"/>
        <v/>
      </c>
      <c r="P652" s="254"/>
      <c r="Q652" s="254"/>
      <c r="R652" s="254"/>
      <c r="S652" s="254"/>
      <c r="T652" s="254"/>
      <c r="U652" s="254"/>
      <c r="V652" s="254"/>
      <c r="W652" s="254"/>
      <c r="Y652" s="246" t="str">
        <f t="shared" si="61"/>
        <v/>
      </c>
      <c r="Z652" s="247" t="str">
        <f t="shared" si="65"/>
        <v/>
      </c>
      <c r="AA652" s="246" t="str">
        <f t="shared" si="62"/>
        <v/>
      </c>
    </row>
    <row r="653" spans="1:27" ht="18" customHeight="1" x14ac:dyDescent="0.25">
      <c r="A653" s="248" t="str">
        <f t="shared" si="63"/>
        <v/>
      </c>
      <c r="B653" s="249" t="str">
        <f t="shared" si="64"/>
        <v/>
      </c>
      <c r="C653" s="250"/>
      <c r="D653" s="251"/>
      <c r="E653" s="241"/>
      <c r="F653" s="252"/>
      <c r="G653" s="252"/>
      <c r="H653" s="253"/>
      <c r="I653" s="250"/>
      <c r="J653" s="250"/>
      <c r="K653" s="270"/>
      <c r="L653" s="250"/>
      <c r="M653" s="250"/>
      <c r="N653" s="540" t="str">
        <f>CONCATENATE(IF(OR(M653=phu!$I$1,M653=phu!$I$2,M653=phu!$I$3),"Cam Thành Nam",""),IF(OR(M653=phu!$I$4,M653=phu!$I$5,M653=phu!$I$6,M653=phu!$I$7,M653=phu!$I$8,M653=phu!$I$9,M653=phu!$I$10,M653=phu!$I$11,M653=phu!$I$12,M653=phu!$I$13,M653=phu!$I$14),"Cam Nghĩa",""),IF(OR(M653=phu!$I$15,M653=phu!$I$16,M653=phu!$I$17,M653=phu!$I$18,M653=phu!$I$19,M653=phu!$I$20,M653=phu!$I$21),"Cam Phúc Bắc",""),IF(OR(M653=phu!$I$22,M653=phu!$I$23,M653=phu!$I$24,M653=phu!$I$25),"Cam Phúc Nam",""),IF(OR(M653=phu!$I$26,M653=phu!$I$27,M653=phu!$I$28,M653=phu!$I$29,M653=phu!$I$30,M653=phu!$I$31),"Cam Phú",""),IF(OR(M653=phu!$I$32,M653=phu!$I$33,M653=phu!$I$34,M653=phu!$I$35,M653=phu!$I$36,M653=phu!$I$37),"Cam Lộc",""),IF(OR(M653=phu!$I$38,M653=phu!$I$39,M653=phu!$I$40,M653=phu!$I$41,M653=phu!$I$42,M653=phu!$I$43,M653=phu!$I$44),"Cam Thuận",""),IF(OR(M653=phu!$I$45,M653=phu!$I$46,M653=phu!$I$47,M653=phu!$I$48,M653=phu!$I$49,M653=phu!$I$50,M653=phu!$I$51,M653=phu!$I$52,M653=phu!$I$53),"Cam Linh",""),IF(OR(M653=phu!$I$54,M653=phu!$I$55,M653=phu!$I$56,M653=phu!$I$57,M653=phu!$I$58,M653=phu!$I$59,M653=phu!$I$60,M653=phu!$I$61,M653=phu!$I$62),"Cam Lợi",""),IF(OR(M653=phu!$I$63,M653=phu!$I$64,M653=phu!$I$65,M653=phu!$I$66,M653=phu!$I$67,M653=phu!$I$68,M653=phu!$I$69,M653=phu!$I$70,M653=phu!$I$71),"Ba Ngòi",""),IF(OR(M653=phu!$I$72,M653=phu!$I$73,M653=phu!$I$74,M653=phu!$I$75,M653=phu!$I$76,M653=phu!$I$77,M653=phu!$I$78),"Cam Phước Đông",""),IF(OR(M653=phu!$I$79,M653=phu!$I$80,M653=phu!$I$81,M653=phu!$I$82,M653=phu!$I$83,M653=phu!$I$84),"Cam Thịnh Đông",""),IF(OR(M653=phu!$I$85,M653=phu!$I$86,M653=phu!$I$87,M653=phu!$I$88),"Cam Thịnh Tây",""),IF(OR(M653=phu!$I$89,M653=phu!$I$90),"Cam Lập",""),IF(OR(M653=phu!$I$91,M653=phu!$I$92,M653=phu!$I$93),"Cam Bình",""),IF(OR(M653=phu!$I$94,M653=phu!$I$95,M653=phu!$I$96,M653=phu!$I$97,M653=phu!$I$98,M653=phu!$I$99,M653=phu!$I$100),"Huyện khác",""),IF(OR(M653=phu!$I$101,M653=phu!$I$102),"Tỉnh khác",""))</f>
        <v/>
      </c>
      <c r="O653" s="829" t="str">
        <f t="shared" si="60"/>
        <v/>
      </c>
      <c r="P653" s="254"/>
      <c r="Q653" s="254"/>
      <c r="R653" s="254"/>
      <c r="S653" s="254"/>
      <c r="T653" s="254"/>
      <c r="U653" s="254"/>
      <c r="V653" s="254"/>
      <c r="W653" s="254"/>
      <c r="Y653" s="246" t="str">
        <f t="shared" si="61"/>
        <v/>
      </c>
      <c r="Z653" s="247" t="str">
        <f t="shared" si="65"/>
        <v/>
      </c>
      <c r="AA653" s="246" t="str">
        <f t="shared" si="62"/>
        <v/>
      </c>
    </row>
    <row r="654" spans="1:27" ht="18" customHeight="1" x14ac:dyDescent="0.25">
      <c r="A654" s="248" t="str">
        <f t="shared" si="63"/>
        <v/>
      </c>
      <c r="B654" s="249" t="str">
        <f t="shared" si="64"/>
        <v/>
      </c>
      <c r="C654" s="250"/>
      <c r="D654" s="251"/>
      <c r="E654" s="241"/>
      <c r="F654" s="252"/>
      <c r="G654" s="252"/>
      <c r="H654" s="253"/>
      <c r="I654" s="250"/>
      <c r="J654" s="250"/>
      <c r="K654" s="270"/>
      <c r="L654" s="250"/>
      <c r="M654" s="250"/>
      <c r="N654" s="540" t="str">
        <f>CONCATENATE(IF(OR(M654=phu!$I$1,M654=phu!$I$2,M654=phu!$I$3),"Cam Thành Nam",""),IF(OR(M654=phu!$I$4,M654=phu!$I$5,M654=phu!$I$6,M654=phu!$I$7,M654=phu!$I$8,M654=phu!$I$9,M654=phu!$I$10,M654=phu!$I$11,M654=phu!$I$12,M654=phu!$I$13,M654=phu!$I$14),"Cam Nghĩa",""),IF(OR(M654=phu!$I$15,M654=phu!$I$16,M654=phu!$I$17,M654=phu!$I$18,M654=phu!$I$19,M654=phu!$I$20,M654=phu!$I$21),"Cam Phúc Bắc",""),IF(OR(M654=phu!$I$22,M654=phu!$I$23,M654=phu!$I$24,M654=phu!$I$25),"Cam Phúc Nam",""),IF(OR(M654=phu!$I$26,M654=phu!$I$27,M654=phu!$I$28,M654=phu!$I$29,M654=phu!$I$30,M654=phu!$I$31),"Cam Phú",""),IF(OR(M654=phu!$I$32,M654=phu!$I$33,M654=phu!$I$34,M654=phu!$I$35,M654=phu!$I$36,M654=phu!$I$37),"Cam Lộc",""),IF(OR(M654=phu!$I$38,M654=phu!$I$39,M654=phu!$I$40,M654=phu!$I$41,M654=phu!$I$42,M654=phu!$I$43,M654=phu!$I$44),"Cam Thuận",""),IF(OR(M654=phu!$I$45,M654=phu!$I$46,M654=phu!$I$47,M654=phu!$I$48,M654=phu!$I$49,M654=phu!$I$50,M654=phu!$I$51,M654=phu!$I$52,M654=phu!$I$53),"Cam Linh",""),IF(OR(M654=phu!$I$54,M654=phu!$I$55,M654=phu!$I$56,M654=phu!$I$57,M654=phu!$I$58,M654=phu!$I$59,M654=phu!$I$60,M654=phu!$I$61,M654=phu!$I$62),"Cam Lợi",""),IF(OR(M654=phu!$I$63,M654=phu!$I$64,M654=phu!$I$65,M654=phu!$I$66,M654=phu!$I$67,M654=phu!$I$68,M654=phu!$I$69,M654=phu!$I$70,M654=phu!$I$71),"Ba Ngòi",""),IF(OR(M654=phu!$I$72,M654=phu!$I$73,M654=phu!$I$74,M654=phu!$I$75,M654=phu!$I$76,M654=phu!$I$77,M654=phu!$I$78),"Cam Phước Đông",""),IF(OR(M654=phu!$I$79,M654=phu!$I$80,M654=phu!$I$81,M654=phu!$I$82,M654=phu!$I$83,M654=phu!$I$84),"Cam Thịnh Đông",""),IF(OR(M654=phu!$I$85,M654=phu!$I$86,M654=phu!$I$87,M654=phu!$I$88),"Cam Thịnh Tây",""),IF(OR(M654=phu!$I$89,M654=phu!$I$90),"Cam Lập",""),IF(OR(M654=phu!$I$91,M654=phu!$I$92,M654=phu!$I$93),"Cam Bình",""),IF(OR(M654=phu!$I$94,M654=phu!$I$95,M654=phu!$I$96,M654=phu!$I$97,M654=phu!$I$98,M654=phu!$I$99,M654=phu!$I$100),"Huyện khác",""),IF(OR(M654=phu!$I$101,M654=phu!$I$102),"Tỉnh khác",""))</f>
        <v/>
      </c>
      <c r="O654" s="829" t="str">
        <f t="shared" si="60"/>
        <v/>
      </c>
      <c r="P654" s="254"/>
      <c r="Q654" s="254"/>
      <c r="R654" s="254"/>
      <c r="S654" s="254"/>
      <c r="T654" s="254"/>
      <c r="U654" s="254"/>
      <c r="V654" s="254"/>
      <c r="W654" s="254"/>
      <c r="Y654" s="246" t="str">
        <f t="shared" si="61"/>
        <v/>
      </c>
      <c r="Z654" s="247" t="str">
        <f t="shared" si="65"/>
        <v/>
      </c>
      <c r="AA654" s="246" t="str">
        <f t="shared" si="62"/>
        <v/>
      </c>
    </row>
    <row r="655" spans="1:27" ht="18" customHeight="1" x14ac:dyDescent="0.25">
      <c r="A655" s="248" t="str">
        <f t="shared" si="63"/>
        <v/>
      </c>
      <c r="B655" s="249" t="str">
        <f t="shared" si="64"/>
        <v/>
      </c>
      <c r="C655" s="250"/>
      <c r="D655" s="251"/>
      <c r="E655" s="241"/>
      <c r="F655" s="252"/>
      <c r="G655" s="252"/>
      <c r="H655" s="253"/>
      <c r="I655" s="250"/>
      <c r="J655" s="250"/>
      <c r="K655" s="270"/>
      <c r="L655" s="250"/>
      <c r="M655" s="250"/>
      <c r="N655" s="540" t="str">
        <f>CONCATENATE(IF(OR(M655=phu!$I$1,M655=phu!$I$2,M655=phu!$I$3),"Cam Thành Nam",""),IF(OR(M655=phu!$I$4,M655=phu!$I$5,M655=phu!$I$6,M655=phu!$I$7,M655=phu!$I$8,M655=phu!$I$9,M655=phu!$I$10,M655=phu!$I$11,M655=phu!$I$12,M655=phu!$I$13,M655=phu!$I$14),"Cam Nghĩa",""),IF(OR(M655=phu!$I$15,M655=phu!$I$16,M655=phu!$I$17,M655=phu!$I$18,M655=phu!$I$19,M655=phu!$I$20,M655=phu!$I$21),"Cam Phúc Bắc",""),IF(OR(M655=phu!$I$22,M655=phu!$I$23,M655=phu!$I$24,M655=phu!$I$25),"Cam Phúc Nam",""),IF(OR(M655=phu!$I$26,M655=phu!$I$27,M655=phu!$I$28,M655=phu!$I$29,M655=phu!$I$30,M655=phu!$I$31),"Cam Phú",""),IF(OR(M655=phu!$I$32,M655=phu!$I$33,M655=phu!$I$34,M655=phu!$I$35,M655=phu!$I$36,M655=phu!$I$37),"Cam Lộc",""),IF(OR(M655=phu!$I$38,M655=phu!$I$39,M655=phu!$I$40,M655=phu!$I$41,M655=phu!$I$42,M655=phu!$I$43,M655=phu!$I$44),"Cam Thuận",""),IF(OR(M655=phu!$I$45,M655=phu!$I$46,M655=phu!$I$47,M655=phu!$I$48,M655=phu!$I$49,M655=phu!$I$50,M655=phu!$I$51,M655=phu!$I$52,M655=phu!$I$53),"Cam Linh",""),IF(OR(M655=phu!$I$54,M655=phu!$I$55,M655=phu!$I$56,M655=phu!$I$57,M655=phu!$I$58,M655=phu!$I$59,M655=phu!$I$60,M655=phu!$I$61,M655=phu!$I$62),"Cam Lợi",""),IF(OR(M655=phu!$I$63,M655=phu!$I$64,M655=phu!$I$65,M655=phu!$I$66,M655=phu!$I$67,M655=phu!$I$68,M655=phu!$I$69,M655=phu!$I$70,M655=phu!$I$71),"Ba Ngòi",""),IF(OR(M655=phu!$I$72,M655=phu!$I$73,M655=phu!$I$74,M655=phu!$I$75,M655=phu!$I$76,M655=phu!$I$77,M655=phu!$I$78),"Cam Phước Đông",""),IF(OR(M655=phu!$I$79,M655=phu!$I$80,M655=phu!$I$81,M655=phu!$I$82,M655=phu!$I$83,M655=phu!$I$84),"Cam Thịnh Đông",""),IF(OR(M655=phu!$I$85,M655=phu!$I$86,M655=phu!$I$87,M655=phu!$I$88),"Cam Thịnh Tây",""),IF(OR(M655=phu!$I$89,M655=phu!$I$90),"Cam Lập",""),IF(OR(M655=phu!$I$91,M655=phu!$I$92,M655=phu!$I$93),"Cam Bình",""),IF(OR(M655=phu!$I$94,M655=phu!$I$95,M655=phu!$I$96,M655=phu!$I$97,M655=phu!$I$98,M655=phu!$I$99,M655=phu!$I$100),"Huyện khác",""),IF(OR(M655=phu!$I$101,M655=phu!$I$102),"Tỉnh khác",""))</f>
        <v/>
      </c>
      <c r="O655" s="829" t="str">
        <f t="shared" si="60"/>
        <v/>
      </c>
      <c r="P655" s="254"/>
      <c r="Q655" s="254"/>
      <c r="R655" s="254"/>
      <c r="S655" s="254"/>
      <c r="T655" s="254"/>
      <c r="U655" s="254"/>
      <c r="V655" s="254"/>
      <c r="W655" s="254"/>
      <c r="Y655" s="246" t="str">
        <f t="shared" si="61"/>
        <v/>
      </c>
      <c r="Z655" s="247" t="str">
        <f t="shared" si="65"/>
        <v/>
      </c>
      <c r="AA655" s="246" t="str">
        <f t="shared" si="62"/>
        <v/>
      </c>
    </row>
    <row r="656" spans="1:27" ht="18" customHeight="1" x14ac:dyDescent="0.25">
      <c r="A656" s="248" t="str">
        <f t="shared" si="63"/>
        <v/>
      </c>
      <c r="B656" s="249" t="str">
        <f t="shared" si="64"/>
        <v/>
      </c>
      <c r="C656" s="250"/>
      <c r="D656" s="251"/>
      <c r="E656" s="241"/>
      <c r="F656" s="252"/>
      <c r="G656" s="252"/>
      <c r="H656" s="253"/>
      <c r="I656" s="250"/>
      <c r="J656" s="250"/>
      <c r="K656" s="270"/>
      <c r="L656" s="250"/>
      <c r="M656" s="250"/>
      <c r="N656" s="540" t="str">
        <f>CONCATENATE(IF(OR(M656=phu!$I$1,M656=phu!$I$2,M656=phu!$I$3),"Cam Thành Nam",""),IF(OR(M656=phu!$I$4,M656=phu!$I$5,M656=phu!$I$6,M656=phu!$I$7,M656=phu!$I$8,M656=phu!$I$9,M656=phu!$I$10,M656=phu!$I$11,M656=phu!$I$12,M656=phu!$I$13,M656=phu!$I$14),"Cam Nghĩa",""),IF(OR(M656=phu!$I$15,M656=phu!$I$16,M656=phu!$I$17,M656=phu!$I$18,M656=phu!$I$19,M656=phu!$I$20,M656=phu!$I$21),"Cam Phúc Bắc",""),IF(OR(M656=phu!$I$22,M656=phu!$I$23,M656=phu!$I$24,M656=phu!$I$25),"Cam Phúc Nam",""),IF(OR(M656=phu!$I$26,M656=phu!$I$27,M656=phu!$I$28,M656=phu!$I$29,M656=phu!$I$30,M656=phu!$I$31),"Cam Phú",""),IF(OR(M656=phu!$I$32,M656=phu!$I$33,M656=phu!$I$34,M656=phu!$I$35,M656=phu!$I$36,M656=phu!$I$37),"Cam Lộc",""),IF(OR(M656=phu!$I$38,M656=phu!$I$39,M656=phu!$I$40,M656=phu!$I$41,M656=phu!$I$42,M656=phu!$I$43,M656=phu!$I$44),"Cam Thuận",""),IF(OR(M656=phu!$I$45,M656=phu!$I$46,M656=phu!$I$47,M656=phu!$I$48,M656=phu!$I$49,M656=phu!$I$50,M656=phu!$I$51,M656=phu!$I$52,M656=phu!$I$53),"Cam Linh",""),IF(OR(M656=phu!$I$54,M656=phu!$I$55,M656=phu!$I$56,M656=phu!$I$57,M656=phu!$I$58,M656=phu!$I$59,M656=phu!$I$60,M656=phu!$I$61,M656=phu!$I$62),"Cam Lợi",""),IF(OR(M656=phu!$I$63,M656=phu!$I$64,M656=phu!$I$65,M656=phu!$I$66,M656=phu!$I$67,M656=phu!$I$68,M656=phu!$I$69,M656=phu!$I$70,M656=phu!$I$71),"Ba Ngòi",""),IF(OR(M656=phu!$I$72,M656=phu!$I$73,M656=phu!$I$74,M656=phu!$I$75,M656=phu!$I$76,M656=phu!$I$77,M656=phu!$I$78),"Cam Phước Đông",""),IF(OR(M656=phu!$I$79,M656=phu!$I$80,M656=phu!$I$81,M656=phu!$I$82,M656=phu!$I$83,M656=phu!$I$84),"Cam Thịnh Đông",""),IF(OR(M656=phu!$I$85,M656=phu!$I$86,M656=phu!$I$87,M656=phu!$I$88),"Cam Thịnh Tây",""),IF(OR(M656=phu!$I$89,M656=phu!$I$90),"Cam Lập",""),IF(OR(M656=phu!$I$91,M656=phu!$I$92,M656=phu!$I$93),"Cam Bình",""),IF(OR(M656=phu!$I$94,M656=phu!$I$95,M656=phu!$I$96,M656=phu!$I$97,M656=phu!$I$98,M656=phu!$I$99,M656=phu!$I$100),"Huyện khác",""),IF(OR(M656=phu!$I$101,M656=phu!$I$102),"Tỉnh khác",""))</f>
        <v/>
      </c>
      <c r="O656" s="829" t="str">
        <f t="shared" si="60"/>
        <v/>
      </c>
      <c r="P656" s="254"/>
      <c r="Q656" s="254"/>
      <c r="R656" s="254"/>
      <c r="S656" s="254"/>
      <c r="T656" s="254"/>
      <c r="U656" s="254"/>
      <c r="V656" s="254"/>
      <c r="W656" s="254"/>
      <c r="Y656" s="246" t="str">
        <f t="shared" si="61"/>
        <v/>
      </c>
      <c r="Z656" s="247" t="str">
        <f t="shared" si="65"/>
        <v/>
      </c>
      <c r="AA656" s="246" t="str">
        <f t="shared" si="62"/>
        <v/>
      </c>
    </row>
    <row r="657" spans="1:27" ht="18" customHeight="1" x14ac:dyDescent="0.25">
      <c r="A657" s="248" t="str">
        <f t="shared" si="63"/>
        <v/>
      </c>
      <c r="B657" s="249" t="str">
        <f t="shared" si="64"/>
        <v/>
      </c>
      <c r="C657" s="250"/>
      <c r="D657" s="251"/>
      <c r="E657" s="241"/>
      <c r="F657" s="252"/>
      <c r="G657" s="252"/>
      <c r="H657" s="253"/>
      <c r="I657" s="250"/>
      <c r="J657" s="250"/>
      <c r="K657" s="270"/>
      <c r="L657" s="250"/>
      <c r="M657" s="250"/>
      <c r="N657" s="540" t="str">
        <f>CONCATENATE(IF(OR(M657=phu!$I$1,M657=phu!$I$2,M657=phu!$I$3),"Cam Thành Nam",""),IF(OR(M657=phu!$I$4,M657=phu!$I$5,M657=phu!$I$6,M657=phu!$I$7,M657=phu!$I$8,M657=phu!$I$9,M657=phu!$I$10,M657=phu!$I$11,M657=phu!$I$12,M657=phu!$I$13,M657=phu!$I$14),"Cam Nghĩa",""),IF(OR(M657=phu!$I$15,M657=phu!$I$16,M657=phu!$I$17,M657=phu!$I$18,M657=phu!$I$19,M657=phu!$I$20,M657=phu!$I$21),"Cam Phúc Bắc",""),IF(OR(M657=phu!$I$22,M657=phu!$I$23,M657=phu!$I$24,M657=phu!$I$25),"Cam Phúc Nam",""),IF(OR(M657=phu!$I$26,M657=phu!$I$27,M657=phu!$I$28,M657=phu!$I$29,M657=phu!$I$30,M657=phu!$I$31),"Cam Phú",""),IF(OR(M657=phu!$I$32,M657=phu!$I$33,M657=phu!$I$34,M657=phu!$I$35,M657=phu!$I$36,M657=phu!$I$37),"Cam Lộc",""),IF(OR(M657=phu!$I$38,M657=phu!$I$39,M657=phu!$I$40,M657=phu!$I$41,M657=phu!$I$42,M657=phu!$I$43,M657=phu!$I$44),"Cam Thuận",""),IF(OR(M657=phu!$I$45,M657=phu!$I$46,M657=phu!$I$47,M657=phu!$I$48,M657=phu!$I$49,M657=phu!$I$50,M657=phu!$I$51,M657=phu!$I$52,M657=phu!$I$53),"Cam Linh",""),IF(OR(M657=phu!$I$54,M657=phu!$I$55,M657=phu!$I$56,M657=phu!$I$57,M657=phu!$I$58,M657=phu!$I$59,M657=phu!$I$60,M657=phu!$I$61,M657=phu!$I$62),"Cam Lợi",""),IF(OR(M657=phu!$I$63,M657=phu!$I$64,M657=phu!$I$65,M657=phu!$I$66,M657=phu!$I$67,M657=phu!$I$68,M657=phu!$I$69,M657=phu!$I$70,M657=phu!$I$71),"Ba Ngòi",""),IF(OR(M657=phu!$I$72,M657=phu!$I$73,M657=phu!$I$74,M657=phu!$I$75,M657=phu!$I$76,M657=phu!$I$77,M657=phu!$I$78),"Cam Phước Đông",""),IF(OR(M657=phu!$I$79,M657=phu!$I$80,M657=phu!$I$81,M657=phu!$I$82,M657=phu!$I$83,M657=phu!$I$84),"Cam Thịnh Đông",""),IF(OR(M657=phu!$I$85,M657=phu!$I$86,M657=phu!$I$87,M657=phu!$I$88),"Cam Thịnh Tây",""),IF(OR(M657=phu!$I$89,M657=phu!$I$90),"Cam Lập",""),IF(OR(M657=phu!$I$91,M657=phu!$I$92,M657=phu!$I$93),"Cam Bình",""),IF(OR(M657=phu!$I$94,M657=phu!$I$95,M657=phu!$I$96,M657=phu!$I$97,M657=phu!$I$98,M657=phu!$I$99,M657=phu!$I$100),"Huyện khác",""),IF(OR(M657=phu!$I$101,M657=phu!$I$102),"Tỉnh khác",""))</f>
        <v/>
      </c>
      <c r="O657" s="829" t="str">
        <f t="shared" si="60"/>
        <v/>
      </c>
      <c r="P657" s="254"/>
      <c r="Q657" s="254"/>
      <c r="R657" s="254"/>
      <c r="S657" s="254"/>
      <c r="T657" s="254"/>
      <c r="U657" s="254"/>
      <c r="V657" s="254"/>
      <c r="W657" s="254"/>
      <c r="Y657" s="246" t="str">
        <f t="shared" si="61"/>
        <v/>
      </c>
      <c r="Z657" s="247" t="str">
        <f t="shared" si="65"/>
        <v/>
      </c>
      <c r="AA657" s="246" t="str">
        <f t="shared" si="62"/>
        <v/>
      </c>
    </row>
    <row r="658" spans="1:27" ht="18" customHeight="1" x14ac:dyDescent="0.25">
      <c r="A658" s="248" t="str">
        <f t="shared" si="63"/>
        <v/>
      </c>
      <c r="B658" s="249" t="str">
        <f t="shared" si="64"/>
        <v/>
      </c>
      <c r="C658" s="250"/>
      <c r="D658" s="251"/>
      <c r="E658" s="241"/>
      <c r="F658" s="252"/>
      <c r="G658" s="252"/>
      <c r="H658" s="253"/>
      <c r="I658" s="250"/>
      <c r="J658" s="250"/>
      <c r="K658" s="270"/>
      <c r="L658" s="250"/>
      <c r="M658" s="250"/>
      <c r="N658" s="540" t="str">
        <f>CONCATENATE(IF(OR(M658=phu!$I$1,M658=phu!$I$2,M658=phu!$I$3),"Cam Thành Nam",""),IF(OR(M658=phu!$I$4,M658=phu!$I$5,M658=phu!$I$6,M658=phu!$I$7,M658=phu!$I$8,M658=phu!$I$9,M658=phu!$I$10,M658=phu!$I$11,M658=phu!$I$12,M658=phu!$I$13,M658=phu!$I$14),"Cam Nghĩa",""),IF(OR(M658=phu!$I$15,M658=phu!$I$16,M658=phu!$I$17,M658=phu!$I$18,M658=phu!$I$19,M658=phu!$I$20,M658=phu!$I$21),"Cam Phúc Bắc",""),IF(OR(M658=phu!$I$22,M658=phu!$I$23,M658=phu!$I$24,M658=phu!$I$25),"Cam Phúc Nam",""),IF(OR(M658=phu!$I$26,M658=phu!$I$27,M658=phu!$I$28,M658=phu!$I$29,M658=phu!$I$30,M658=phu!$I$31),"Cam Phú",""),IF(OR(M658=phu!$I$32,M658=phu!$I$33,M658=phu!$I$34,M658=phu!$I$35,M658=phu!$I$36,M658=phu!$I$37),"Cam Lộc",""),IF(OR(M658=phu!$I$38,M658=phu!$I$39,M658=phu!$I$40,M658=phu!$I$41,M658=phu!$I$42,M658=phu!$I$43,M658=phu!$I$44),"Cam Thuận",""),IF(OR(M658=phu!$I$45,M658=phu!$I$46,M658=phu!$I$47,M658=phu!$I$48,M658=phu!$I$49,M658=phu!$I$50,M658=phu!$I$51,M658=phu!$I$52,M658=phu!$I$53),"Cam Linh",""),IF(OR(M658=phu!$I$54,M658=phu!$I$55,M658=phu!$I$56,M658=phu!$I$57,M658=phu!$I$58,M658=phu!$I$59,M658=phu!$I$60,M658=phu!$I$61,M658=phu!$I$62),"Cam Lợi",""),IF(OR(M658=phu!$I$63,M658=phu!$I$64,M658=phu!$I$65,M658=phu!$I$66,M658=phu!$I$67,M658=phu!$I$68,M658=phu!$I$69,M658=phu!$I$70,M658=phu!$I$71),"Ba Ngòi",""),IF(OR(M658=phu!$I$72,M658=phu!$I$73,M658=phu!$I$74,M658=phu!$I$75,M658=phu!$I$76,M658=phu!$I$77,M658=phu!$I$78),"Cam Phước Đông",""),IF(OR(M658=phu!$I$79,M658=phu!$I$80,M658=phu!$I$81,M658=phu!$I$82,M658=phu!$I$83,M658=phu!$I$84),"Cam Thịnh Đông",""),IF(OR(M658=phu!$I$85,M658=phu!$I$86,M658=phu!$I$87,M658=phu!$I$88),"Cam Thịnh Tây",""),IF(OR(M658=phu!$I$89,M658=phu!$I$90),"Cam Lập",""),IF(OR(M658=phu!$I$91,M658=phu!$I$92,M658=phu!$I$93),"Cam Bình",""),IF(OR(M658=phu!$I$94,M658=phu!$I$95,M658=phu!$I$96,M658=phu!$I$97,M658=phu!$I$98,M658=phu!$I$99,M658=phu!$I$100),"Huyện khác",""),IF(OR(M658=phu!$I$101,M658=phu!$I$102),"Tỉnh khác",""))</f>
        <v/>
      </c>
      <c r="O658" s="829" t="str">
        <f t="shared" si="60"/>
        <v/>
      </c>
      <c r="P658" s="254"/>
      <c r="Q658" s="254"/>
      <c r="R658" s="254"/>
      <c r="S658" s="254"/>
      <c r="T658" s="254"/>
      <c r="U658" s="254"/>
      <c r="V658" s="254"/>
      <c r="W658" s="254"/>
      <c r="Y658" s="246" t="str">
        <f t="shared" si="61"/>
        <v/>
      </c>
      <c r="Z658" s="247" t="str">
        <f t="shared" si="65"/>
        <v/>
      </c>
      <c r="AA658" s="246" t="str">
        <f t="shared" si="62"/>
        <v/>
      </c>
    </row>
    <row r="659" spans="1:27" ht="18" customHeight="1" x14ac:dyDescent="0.25">
      <c r="A659" s="248" t="str">
        <f t="shared" si="63"/>
        <v/>
      </c>
      <c r="B659" s="249" t="str">
        <f t="shared" si="64"/>
        <v/>
      </c>
      <c r="C659" s="250"/>
      <c r="D659" s="251"/>
      <c r="E659" s="241"/>
      <c r="F659" s="252"/>
      <c r="G659" s="252"/>
      <c r="H659" s="253"/>
      <c r="I659" s="250"/>
      <c r="J659" s="250"/>
      <c r="K659" s="270"/>
      <c r="L659" s="250"/>
      <c r="M659" s="250"/>
      <c r="N659" s="540" t="str">
        <f>CONCATENATE(IF(OR(M659=phu!$I$1,M659=phu!$I$2,M659=phu!$I$3),"Cam Thành Nam",""),IF(OR(M659=phu!$I$4,M659=phu!$I$5,M659=phu!$I$6,M659=phu!$I$7,M659=phu!$I$8,M659=phu!$I$9,M659=phu!$I$10,M659=phu!$I$11,M659=phu!$I$12,M659=phu!$I$13,M659=phu!$I$14),"Cam Nghĩa",""),IF(OR(M659=phu!$I$15,M659=phu!$I$16,M659=phu!$I$17,M659=phu!$I$18,M659=phu!$I$19,M659=phu!$I$20,M659=phu!$I$21),"Cam Phúc Bắc",""),IF(OR(M659=phu!$I$22,M659=phu!$I$23,M659=phu!$I$24,M659=phu!$I$25),"Cam Phúc Nam",""),IF(OR(M659=phu!$I$26,M659=phu!$I$27,M659=phu!$I$28,M659=phu!$I$29,M659=phu!$I$30,M659=phu!$I$31),"Cam Phú",""),IF(OR(M659=phu!$I$32,M659=phu!$I$33,M659=phu!$I$34,M659=phu!$I$35,M659=phu!$I$36,M659=phu!$I$37),"Cam Lộc",""),IF(OR(M659=phu!$I$38,M659=phu!$I$39,M659=phu!$I$40,M659=phu!$I$41,M659=phu!$I$42,M659=phu!$I$43,M659=phu!$I$44),"Cam Thuận",""),IF(OR(M659=phu!$I$45,M659=phu!$I$46,M659=phu!$I$47,M659=phu!$I$48,M659=phu!$I$49,M659=phu!$I$50,M659=phu!$I$51,M659=phu!$I$52,M659=phu!$I$53),"Cam Linh",""),IF(OR(M659=phu!$I$54,M659=phu!$I$55,M659=phu!$I$56,M659=phu!$I$57,M659=phu!$I$58,M659=phu!$I$59,M659=phu!$I$60,M659=phu!$I$61,M659=phu!$I$62),"Cam Lợi",""),IF(OR(M659=phu!$I$63,M659=phu!$I$64,M659=phu!$I$65,M659=phu!$I$66,M659=phu!$I$67,M659=phu!$I$68,M659=phu!$I$69,M659=phu!$I$70,M659=phu!$I$71),"Ba Ngòi",""),IF(OR(M659=phu!$I$72,M659=phu!$I$73,M659=phu!$I$74,M659=phu!$I$75,M659=phu!$I$76,M659=phu!$I$77,M659=phu!$I$78),"Cam Phước Đông",""),IF(OR(M659=phu!$I$79,M659=phu!$I$80,M659=phu!$I$81,M659=phu!$I$82,M659=phu!$I$83,M659=phu!$I$84),"Cam Thịnh Đông",""),IF(OR(M659=phu!$I$85,M659=phu!$I$86,M659=phu!$I$87,M659=phu!$I$88),"Cam Thịnh Tây",""),IF(OR(M659=phu!$I$89,M659=phu!$I$90),"Cam Lập",""),IF(OR(M659=phu!$I$91,M659=phu!$I$92,M659=phu!$I$93),"Cam Bình",""),IF(OR(M659=phu!$I$94,M659=phu!$I$95,M659=phu!$I$96,M659=phu!$I$97,M659=phu!$I$98,M659=phu!$I$99,M659=phu!$I$100),"Huyện khác",""),IF(OR(M659=phu!$I$101,M659=phu!$I$102),"Tỉnh khác",""))</f>
        <v/>
      </c>
      <c r="O659" s="829" t="str">
        <f t="shared" si="60"/>
        <v/>
      </c>
      <c r="P659" s="254"/>
      <c r="Q659" s="254"/>
      <c r="R659" s="254"/>
      <c r="S659" s="254"/>
      <c r="T659" s="254"/>
      <c r="U659" s="254"/>
      <c r="V659" s="254"/>
      <c r="W659" s="254"/>
      <c r="Y659" s="246" t="str">
        <f t="shared" si="61"/>
        <v/>
      </c>
      <c r="Z659" s="247" t="str">
        <f t="shared" si="65"/>
        <v/>
      </c>
      <c r="AA659" s="246" t="str">
        <f t="shared" si="62"/>
        <v/>
      </c>
    </row>
    <row r="660" spans="1:27" ht="18" customHeight="1" x14ac:dyDescent="0.25">
      <c r="A660" s="248" t="str">
        <f t="shared" si="63"/>
        <v/>
      </c>
      <c r="B660" s="249" t="str">
        <f t="shared" si="64"/>
        <v/>
      </c>
      <c r="C660" s="250"/>
      <c r="D660" s="251"/>
      <c r="E660" s="241"/>
      <c r="F660" s="252"/>
      <c r="G660" s="252"/>
      <c r="H660" s="253"/>
      <c r="I660" s="250"/>
      <c r="J660" s="250"/>
      <c r="K660" s="270"/>
      <c r="L660" s="250"/>
      <c r="M660" s="250"/>
      <c r="N660" s="540" t="str">
        <f>CONCATENATE(IF(OR(M660=phu!$I$1,M660=phu!$I$2,M660=phu!$I$3),"Cam Thành Nam",""),IF(OR(M660=phu!$I$4,M660=phu!$I$5,M660=phu!$I$6,M660=phu!$I$7,M660=phu!$I$8,M660=phu!$I$9,M660=phu!$I$10,M660=phu!$I$11,M660=phu!$I$12,M660=phu!$I$13,M660=phu!$I$14),"Cam Nghĩa",""),IF(OR(M660=phu!$I$15,M660=phu!$I$16,M660=phu!$I$17,M660=phu!$I$18,M660=phu!$I$19,M660=phu!$I$20,M660=phu!$I$21),"Cam Phúc Bắc",""),IF(OR(M660=phu!$I$22,M660=phu!$I$23,M660=phu!$I$24,M660=phu!$I$25),"Cam Phúc Nam",""),IF(OR(M660=phu!$I$26,M660=phu!$I$27,M660=phu!$I$28,M660=phu!$I$29,M660=phu!$I$30,M660=phu!$I$31),"Cam Phú",""),IF(OR(M660=phu!$I$32,M660=phu!$I$33,M660=phu!$I$34,M660=phu!$I$35,M660=phu!$I$36,M660=phu!$I$37),"Cam Lộc",""),IF(OR(M660=phu!$I$38,M660=phu!$I$39,M660=phu!$I$40,M660=phu!$I$41,M660=phu!$I$42,M660=phu!$I$43,M660=phu!$I$44),"Cam Thuận",""),IF(OR(M660=phu!$I$45,M660=phu!$I$46,M660=phu!$I$47,M660=phu!$I$48,M660=phu!$I$49,M660=phu!$I$50,M660=phu!$I$51,M660=phu!$I$52,M660=phu!$I$53),"Cam Linh",""),IF(OR(M660=phu!$I$54,M660=phu!$I$55,M660=phu!$I$56,M660=phu!$I$57,M660=phu!$I$58,M660=phu!$I$59,M660=phu!$I$60,M660=phu!$I$61,M660=phu!$I$62),"Cam Lợi",""),IF(OR(M660=phu!$I$63,M660=phu!$I$64,M660=phu!$I$65,M660=phu!$I$66,M660=phu!$I$67,M660=phu!$I$68,M660=phu!$I$69,M660=phu!$I$70,M660=phu!$I$71),"Ba Ngòi",""),IF(OR(M660=phu!$I$72,M660=phu!$I$73,M660=phu!$I$74,M660=phu!$I$75,M660=phu!$I$76,M660=phu!$I$77,M660=phu!$I$78),"Cam Phước Đông",""),IF(OR(M660=phu!$I$79,M660=phu!$I$80,M660=phu!$I$81,M660=phu!$I$82,M660=phu!$I$83,M660=phu!$I$84),"Cam Thịnh Đông",""),IF(OR(M660=phu!$I$85,M660=phu!$I$86,M660=phu!$I$87,M660=phu!$I$88),"Cam Thịnh Tây",""),IF(OR(M660=phu!$I$89,M660=phu!$I$90),"Cam Lập",""),IF(OR(M660=phu!$I$91,M660=phu!$I$92,M660=phu!$I$93),"Cam Bình",""),IF(OR(M660=phu!$I$94,M660=phu!$I$95,M660=phu!$I$96,M660=phu!$I$97,M660=phu!$I$98,M660=phu!$I$99,M660=phu!$I$100),"Huyện khác",""),IF(OR(M660=phu!$I$101,M660=phu!$I$102),"Tỉnh khác",""))</f>
        <v/>
      </c>
      <c r="O660" s="829" t="str">
        <f t="shared" si="60"/>
        <v/>
      </c>
      <c r="P660" s="254"/>
      <c r="Q660" s="254"/>
      <c r="R660" s="254"/>
      <c r="S660" s="254"/>
      <c r="T660" s="254"/>
      <c r="U660" s="254"/>
      <c r="V660" s="254"/>
      <c r="W660" s="254"/>
      <c r="Y660" s="246" t="str">
        <f t="shared" si="61"/>
        <v/>
      </c>
      <c r="Z660" s="247" t="str">
        <f t="shared" si="65"/>
        <v/>
      </c>
      <c r="AA660" s="246" t="str">
        <f t="shared" si="62"/>
        <v/>
      </c>
    </row>
    <row r="661" spans="1:27" ht="18" customHeight="1" x14ac:dyDescent="0.25">
      <c r="A661" s="248" t="str">
        <f t="shared" si="63"/>
        <v/>
      </c>
      <c r="B661" s="249" t="str">
        <f t="shared" si="64"/>
        <v/>
      </c>
      <c r="C661" s="250"/>
      <c r="D661" s="251"/>
      <c r="E661" s="241"/>
      <c r="F661" s="252"/>
      <c r="G661" s="252"/>
      <c r="H661" s="253"/>
      <c r="I661" s="250"/>
      <c r="J661" s="250"/>
      <c r="K661" s="270"/>
      <c r="L661" s="250"/>
      <c r="M661" s="250"/>
      <c r="N661" s="540" t="str">
        <f>CONCATENATE(IF(OR(M661=phu!$I$1,M661=phu!$I$2,M661=phu!$I$3),"Cam Thành Nam",""),IF(OR(M661=phu!$I$4,M661=phu!$I$5,M661=phu!$I$6,M661=phu!$I$7,M661=phu!$I$8,M661=phu!$I$9,M661=phu!$I$10,M661=phu!$I$11,M661=phu!$I$12,M661=phu!$I$13,M661=phu!$I$14),"Cam Nghĩa",""),IF(OR(M661=phu!$I$15,M661=phu!$I$16,M661=phu!$I$17,M661=phu!$I$18,M661=phu!$I$19,M661=phu!$I$20,M661=phu!$I$21),"Cam Phúc Bắc",""),IF(OR(M661=phu!$I$22,M661=phu!$I$23,M661=phu!$I$24,M661=phu!$I$25),"Cam Phúc Nam",""),IF(OR(M661=phu!$I$26,M661=phu!$I$27,M661=phu!$I$28,M661=phu!$I$29,M661=phu!$I$30,M661=phu!$I$31),"Cam Phú",""),IF(OR(M661=phu!$I$32,M661=phu!$I$33,M661=phu!$I$34,M661=phu!$I$35,M661=phu!$I$36,M661=phu!$I$37),"Cam Lộc",""),IF(OR(M661=phu!$I$38,M661=phu!$I$39,M661=phu!$I$40,M661=phu!$I$41,M661=phu!$I$42,M661=phu!$I$43,M661=phu!$I$44),"Cam Thuận",""),IF(OR(M661=phu!$I$45,M661=phu!$I$46,M661=phu!$I$47,M661=phu!$I$48,M661=phu!$I$49,M661=phu!$I$50,M661=phu!$I$51,M661=phu!$I$52,M661=phu!$I$53),"Cam Linh",""),IF(OR(M661=phu!$I$54,M661=phu!$I$55,M661=phu!$I$56,M661=phu!$I$57,M661=phu!$I$58,M661=phu!$I$59,M661=phu!$I$60,M661=phu!$I$61,M661=phu!$I$62),"Cam Lợi",""),IF(OR(M661=phu!$I$63,M661=phu!$I$64,M661=phu!$I$65,M661=phu!$I$66,M661=phu!$I$67,M661=phu!$I$68,M661=phu!$I$69,M661=phu!$I$70,M661=phu!$I$71),"Ba Ngòi",""),IF(OR(M661=phu!$I$72,M661=phu!$I$73,M661=phu!$I$74,M661=phu!$I$75,M661=phu!$I$76,M661=phu!$I$77,M661=phu!$I$78),"Cam Phước Đông",""),IF(OR(M661=phu!$I$79,M661=phu!$I$80,M661=phu!$I$81,M661=phu!$I$82,M661=phu!$I$83,M661=phu!$I$84),"Cam Thịnh Đông",""),IF(OR(M661=phu!$I$85,M661=phu!$I$86,M661=phu!$I$87,M661=phu!$I$88),"Cam Thịnh Tây",""),IF(OR(M661=phu!$I$89,M661=phu!$I$90),"Cam Lập",""),IF(OR(M661=phu!$I$91,M661=phu!$I$92,M661=phu!$I$93),"Cam Bình",""),IF(OR(M661=phu!$I$94,M661=phu!$I$95,M661=phu!$I$96,M661=phu!$I$97,M661=phu!$I$98,M661=phu!$I$99,M661=phu!$I$100),"Huyện khác",""),IF(OR(M661=phu!$I$101,M661=phu!$I$102),"Tỉnh khác",""))</f>
        <v/>
      </c>
      <c r="O661" s="829" t="str">
        <f t="shared" si="60"/>
        <v/>
      </c>
      <c r="P661" s="254"/>
      <c r="Q661" s="254"/>
      <c r="R661" s="254"/>
      <c r="S661" s="254"/>
      <c r="T661" s="254"/>
      <c r="U661" s="254"/>
      <c r="V661" s="254"/>
      <c r="W661" s="254"/>
      <c r="Y661" s="246" t="str">
        <f t="shared" si="61"/>
        <v/>
      </c>
      <c r="Z661" s="247" t="str">
        <f t="shared" si="65"/>
        <v/>
      </c>
      <c r="AA661" s="246" t="str">
        <f t="shared" si="62"/>
        <v/>
      </c>
    </row>
    <row r="662" spans="1:27" ht="18" customHeight="1" x14ac:dyDescent="0.25">
      <c r="A662" s="248" t="str">
        <f t="shared" si="63"/>
        <v/>
      </c>
      <c r="B662" s="249" t="str">
        <f t="shared" si="64"/>
        <v/>
      </c>
      <c r="C662" s="250"/>
      <c r="D662" s="251"/>
      <c r="E662" s="241"/>
      <c r="F662" s="252"/>
      <c r="G662" s="252"/>
      <c r="H662" s="253"/>
      <c r="I662" s="250"/>
      <c r="J662" s="250"/>
      <c r="K662" s="270"/>
      <c r="L662" s="250"/>
      <c r="M662" s="250"/>
      <c r="N662" s="540" t="str">
        <f>CONCATENATE(IF(OR(M662=phu!$I$1,M662=phu!$I$2,M662=phu!$I$3),"Cam Thành Nam",""),IF(OR(M662=phu!$I$4,M662=phu!$I$5,M662=phu!$I$6,M662=phu!$I$7,M662=phu!$I$8,M662=phu!$I$9,M662=phu!$I$10,M662=phu!$I$11,M662=phu!$I$12,M662=phu!$I$13,M662=phu!$I$14),"Cam Nghĩa",""),IF(OR(M662=phu!$I$15,M662=phu!$I$16,M662=phu!$I$17,M662=phu!$I$18,M662=phu!$I$19,M662=phu!$I$20,M662=phu!$I$21),"Cam Phúc Bắc",""),IF(OR(M662=phu!$I$22,M662=phu!$I$23,M662=phu!$I$24,M662=phu!$I$25),"Cam Phúc Nam",""),IF(OR(M662=phu!$I$26,M662=phu!$I$27,M662=phu!$I$28,M662=phu!$I$29,M662=phu!$I$30,M662=phu!$I$31),"Cam Phú",""),IF(OR(M662=phu!$I$32,M662=phu!$I$33,M662=phu!$I$34,M662=phu!$I$35,M662=phu!$I$36,M662=phu!$I$37),"Cam Lộc",""),IF(OR(M662=phu!$I$38,M662=phu!$I$39,M662=phu!$I$40,M662=phu!$I$41,M662=phu!$I$42,M662=phu!$I$43,M662=phu!$I$44),"Cam Thuận",""),IF(OR(M662=phu!$I$45,M662=phu!$I$46,M662=phu!$I$47,M662=phu!$I$48,M662=phu!$I$49,M662=phu!$I$50,M662=phu!$I$51,M662=phu!$I$52,M662=phu!$I$53),"Cam Linh",""),IF(OR(M662=phu!$I$54,M662=phu!$I$55,M662=phu!$I$56,M662=phu!$I$57,M662=phu!$I$58,M662=phu!$I$59,M662=phu!$I$60,M662=phu!$I$61,M662=phu!$I$62),"Cam Lợi",""),IF(OR(M662=phu!$I$63,M662=phu!$I$64,M662=phu!$I$65,M662=phu!$I$66,M662=phu!$I$67,M662=phu!$I$68,M662=phu!$I$69,M662=phu!$I$70,M662=phu!$I$71),"Ba Ngòi",""),IF(OR(M662=phu!$I$72,M662=phu!$I$73,M662=phu!$I$74,M662=phu!$I$75,M662=phu!$I$76,M662=phu!$I$77,M662=phu!$I$78),"Cam Phước Đông",""),IF(OR(M662=phu!$I$79,M662=phu!$I$80,M662=phu!$I$81,M662=phu!$I$82,M662=phu!$I$83,M662=phu!$I$84),"Cam Thịnh Đông",""),IF(OR(M662=phu!$I$85,M662=phu!$I$86,M662=phu!$I$87,M662=phu!$I$88),"Cam Thịnh Tây",""),IF(OR(M662=phu!$I$89,M662=phu!$I$90),"Cam Lập",""),IF(OR(M662=phu!$I$91,M662=phu!$I$92,M662=phu!$I$93),"Cam Bình",""),IF(OR(M662=phu!$I$94,M662=phu!$I$95,M662=phu!$I$96,M662=phu!$I$97,M662=phu!$I$98,M662=phu!$I$99,M662=phu!$I$100),"Huyện khác",""),IF(OR(M662=phu!$I$101,M662=phu!$I$102),"Tỉnh khác",""))</f>
        <v/>
      </c>
      <c r="O662" s="829" t="str">
        <f t="shared" si="60"/>
        <v/>
      </c>
      <c r="P662" s="254"/>
      <c r="Q662" s="254"/>
      <c r="R662" s="254"/>
      <c r="S662" s="254"/>
      <c r="T662" s="254"/>
      <c r="U662" s="254"/>
      <c r="V662" s="254"/>
      <c r="W662" s="254"/>
      <c r="Y662" s="246" t="str">
        <f t="shared" si="61"/>
        <v/>
      </c>
      <c r="Z662" s="247" t="str">
        <f t="shared" si="65"/>
        <v/>
      </c>
      <c r="AA662" s="246" t="str">
        <f t="shared" si="62"/>
        <v/>
      </c>
    </row>
    <row r="663" spans="1:27" ht="18" customHeight="1" x14ac:dyDescent="0.25">
      <c r="A663" s="248" t="str">
        <f t="shared" si="63"/>
        <v/>
      </c>
      <c r="B663" s="249" t="str">
        <f t="shared" si="64"/>
        <v/>
      </c>
      <c r="C663" s="250"/>
      <c r="D663" s="251"/>
      <c r="E663" s="241"/>
      <c r="F663" s="252"/>
      <c r="G663" s="252"/>
      <c r="H663" s="253"/>
      <c r="I663" s="250"/>
      <c r="J663" s="250"/>
      <c r="K663" s="270"/>
      <c r="L663" s="250"/>
      <c r="M663" s="250"/>
      <c r="N663" s="540" t="str">
        <f>CONCATENATE(IF(OR(M663=phu!$I$1,M663=phu!$I$2,M663=phu!$I$3),"Cam Thành Nam",""),IF(OR(M663=phu!$I$4,M663=phu!$I$5,M663=phu!$I$6,M663=phu!$I$7,M663=phu!$I$8,M663=phu!$I$9,M663=phu!$I$10,M663=phu!$I$11,M663=phu!$I$12,M663=phu!$I$13,M663=phu!$I$14),"Cam Nghĩa",""),IF(OR(M663=phu!$I$15,M663=phu!$I$16,M663=phu!$I$17,M663=phu!$I$18,M663=phu!$I$19,M663=phu!$I$20,M663=phu!$I$21),"Cam Phúc Bắc",""),IF(OR(M663=phu!$I$22,M663=phu!$I$23,M663=phu!$I$24,M663=phu!$I$25),"Cam Phúc Nam",""),IF(OR(M663=phu!$I$26,M663=phu!$I$27,M663=phu!$I$28,M663=phu!$I$29,M663=phu!$I$30,M663=phu!$I$31),"Cam Phú",""),IF(OR(M663=phu!$I$32,M663=phu!$I$33,M663=phu!$I$34,M663=phu!$I$35,M663=phu!$I$36,M663=phu!$I$37),"Cam Lộc",""),IF(OR(M663=phu!$I$38,M663=phu!$I$39,M663=phu!$I$40,M663=phu!$I$41,M663=phu!$I$42,M663=phu!$I$43,M663=phu!$I$44),"Cam Thuận",""),IF(OR(M663=phu!$I$45,M663=phu!$I$46,M663=phu!$I$47,M663=phu!$I$48,M663=phu!$I$49,M663=phu!$I$50,M663=phu!$I$51,M663=phu!$I$52,M663=phu!$I$53),"Cam Linh",""),IF(OR(M663=phu!$I$54,M663=phu!$I$55,M663=phu!$I$56,M663=phu!$I$57,M663=phu!$I$58,M663=phu!$I$59,M663=phu!$I$60,M663=phu!$I$61,M663=phu!$I$62),"Cam Lợi",""),IF(OR(M663=phu!$I$63,M663=phu!$I$64,M663=phu!$I$65,M663=phu!$I$66,M663=phu!$I$67,M663=phu!$I$68,M663=phu!$I$69,M663=phu!$I$70,M663=phu!$I$71),"Ba Ngòi",""),IF(OR(M663=phu!$I$72,M663=phu!$I$73,M663=phu!$I$74,M663=phu!$I$75,M663=phu!$I$76,M663=phu!$I$77,M663=phu!$I$78),"Cam Phước Đông",""),IF(OR(M663=phu!$I$79,M663=phu!$I$80,M663=phu!$I$81,M663=phu!$I$82,M663=phu!$I$83,M663=phu!$I$84),"Cam Thịnh Đông",""),IF(OR(M663=phu!$I$85,M663=phu!$I$86,M663=phu!$I$87,M663=phu!$I$88),"Cam Thịnh Tây",""),IF(OR(M663=phu!$I$89,M663=phu!$I$90),"Cam Lập",""),IF(OR(M663=phu!$I$91,M663=phu!$I$92,M663=phu!$I$93),"Cam Bình",""),IF(OR(M663=phu!$I$94,M663=phu!$I$95,M663=phu!$I$96,M663=phu!$I$97,M663=phu!$I$98,M663=phu!$I$99,M663=phu!$I$100),"Huyện khác",""),IF(OR(M663=phu!$I$101,M663=phu!$I$102),"Tỉnh khác",""))</f>
        <v/>
      </c>
      <c r="O663" s="829" t="str">
        <f t="shared" si="60"/>
        <v/>
      </c>
      <c r="P663" s="254"/>
      <c r="Q663" s="254"/>
      <c r="R663" s="254"/>
      <c r="S663" s="254"/>
      <c r="T663" s="254"/>
      <c r="U663" s="254"/>
      <c r="V663" s="254"/>
      <c r="W663" s="254"/>
      <c r="Y663" s="246" t="str">
        <f t="shared" si="61"/>
        <v/>
      </c>
      <c r="Z663" s="247" t="str">
        <f t="shared" si="65"/>
        <v/>
      </c>
      <c r="AA663" s="246" t="str">
        <f t="shared" si="62"/>
        <v/>
      </c>
    </row>
    <row r="664" spans="1:27" ht="18" customHeight="1" x14ac:dyDescent="0.25">
      <c r="A664" s="248" t="str">
        <f t="shared" si="63"/>
        <v/>
      </c>
      <c r="B664" s="249" t="str">
        <f t="shared" si="64"/>
        <v/>
      </c>
      <c r="C664" s="250"/>
      <c r="D664" s="251"/>
      <c r="E664" s="241"/>
      <c r="F664" s="252"/>
      <c r="G664" s="252"/>
      <c r="H664" s="253"/>
      <c r="I664" s="250"/>
      <c r="J664" s="250"/>
      <c r="K664" s="270"/>
      <c r="L664" s="250"/>
      <c r="M664" s="250"/>
      <c r="N664" s="540" t="str">
        <f>CONCATENATE(IF(OR(M664=phu!$I$1,M664=phu!$I$2,M664=phu!$I$3),"Cam Thành Nam",""),IF(OR(M664=phu!$I$4,M664=phu!$I$5,M664=phu!$I$6,M664=phu!$I$7,M664=phu!$I$8,M664=phu!$I$9,M664=phu!$I$10,M664=phu!$I$11,M664=phu!$I$12,M664=phu!$I$13,M664=phu!$I$14),"Cam Nghĩa",""),IF(OR(M664=phu!$I$15,M664=phu!$I$16,M664=phu!$I$17,M664=phu!$I$18,M664=phu!$I$19,M664=phu!$I$20,M664=phu!$I$21),"Cam Phúc Bắc",""),IF(OR(M664=phu!$I$22,M664=phu!$I$23,M664=phu!$I$24,M664=phu!$I$25),"Cam Phúc Nam",""),IF(OR(M664=phu!$I$26,M664=phu!$I$27,M664=phu!$I$28,M664=phu!$I$29,M664=phu!$I$30,M664=phu!$I$31),"Cam Phú",""),IF(OR(M664=phu!$I$32,M664=phu!$I$33,M664=phu!$I$34,M664=phu!$I$35,M664=phu!$I$36,M664=phu!$I$37),"Cam Lộc",""),IF(OR(M664=phu!$I$38,M664=phu!$I$39,M664=phu!$I$40,M664=phu!$I$41,M664=phu!$I$42,M664=phu!$I$43,M664=phu!$I$44),"Cam Thuận",""),IF(OR(M664=phu!$I$45,M664=phu!$I$46,M664=phu!$I$47,M664=phu!$I$48,M664=phu!$I$49,M664=phu!$I$50,M664=phu!$I$51,M664=phu!$I$52,M664=phu!$I$53),"Cam Linh",""),IF(OR(M664=phu!$I$54,M664=phu!$I$55,M664=phu!$I$56,M664=phu!$I$57,M664=phu!$I$58,M664=phu!$I$59,M664=phu!$I$60,M664=phu!$I$61,M664=phu!$I$62),"Cam Lợi",""),IF(OR(M664=phu!$I$63,M664=phu!$I$64,M664=phu!$I$65,M664=phu!$I$66,M664=phu!$I$67,M664=phu!$I$68,M664=phu!$I$69,M664=phu!$I$70,M664=phu!$I$71),"Ba Ngòi",""),IF(OR(M664=phu!$I$72,M664=phu!$I$73,M664=phu!$I$74,M664=phu!$I$75,M664=phu!$I$76,M664=phu!$I$77,M664=phu!$I$78),"Cam Phước Đông",""),IF(OR(M664=phu!$I$79,M664=phu!$I$80,M664=phu!$I$81,M664=phu!$I$82,M664=phu!$I$83,M664=phu!$I$84),"Cam Thịnh Đông",""),IF(OR(M664=phu!$I$85,M664=phu!$I$86,M664=phu!$I$87,M664=phu!$I$88),"Cam Thịnh Tây",""),IF(OR(M664=phu!$I$89,M664=phu!$I$90),"Cam Lập",""),IF(OR(M664=phu!$I$91,M664=phu!$I$92,M664=phu!$I$93),"Cam Bình",""),IF(OR(M664=phu!$I$94,M664=phu!$I$95,M664=phu!$I$96,M664=phu!$I$97,M664=phu!$I$98,M664=phu!$I$99,M664=phu!$I$100),"Huyện khác",""),IF(OR(M664=phu!$I$101,M664=phu!$I$102),"Tỉnh khác",""))</f>
        <v/>
      </c>
      <c r="O664" s="829" t="str">
        <f t="shared" si="60"/>
        <v/>
      </c>
      <c r="P664" s="254"/>
      <c r="Q664" s="254"/>
      <c r="R664" s="254"/>
      <c r="S664" s="254"/>
      <c r="T664" s="254"/>
      <c r="U664" s="254"/>
      <c r="V664" s="254"/>
      <c r="W664" s="254"/>
      <c r="Y664" s="246" t="str">
        <f t="shared" si="61"/>
        <v/>
      </c>
      <c r="Z664" s="247" t="str">
        <f t="shared" si="65"/>
        <v/>
      </c>
      <c r="AA664" s="246" t="str">
        <f t="shared" si="62"/>
        <v/>
      </c>
    </row>
    <row r="665" spans="1:27" ht="18" customHeight="1" x14ac:dyDescent="0.25">
      <c r="A665" s="248" t="str">
        <f t="shared" si="63"/>
        <v/>
      </c>
      <c r="B665" s="249" t="str">
        <f t="shared" si="64"/>
        <v/>
      </c>
      <c r="C665" s="250"/>
      <c r="D665" s="251"/>
      <c r="E665" s="241"/>
      <c r="F665" s="252"/>
      <c r="G665" s="252"/>
      <c r="H665" s="253"/>
      <c r="I665" s="250"/>
      <c r="J665" s="250"/>
      <c r="K665" s="270"/>
      <c r="L665" s="250"/>
      <c r="M665" s="250"/>
      <c r="N665" s="540" t="str">
        <f>CONCATENATE(IF(OR(M665=phu!$I$1,M665=phu!$I$2,M665=phu!$I$3),"Cam Thành Nam",""),IF(OR(M665=phu!$I$4,M665=phu!$I$5,M665=phu!$I$6,M665=phu!$I$7,M665=phu!$I$8,M665=phu!$I$9,M665=phu!$I$10,M665=phu!$I$11,M665=phu!$I$12,M665=phu!$I$13,M665=phu!$I$14),"Cam Nghĩa",""),IF(OR(M665=phu!$I$15,M665=phu!$I$16,M665=phu!$I$17,M665=phu!$I$18,M665=phu!$I$19,M665=phu!$I$20,M665=phu!$I$21),"Cam Phúc Bắc",""),IF(OR(M665=phu!$I$22,M665=phu!$I$23,M665=phu!$I$24,M665=phu!$I$25),"Cam Phúc Nam",""),IF(OR(M665=phu!$I$26,M665=phu!$I$27,M665=phu!$I$28,M665=phu!$I$29,M665=phu!$I$30,M665=phu!$I$31),"Cam Phú",""),IF(OR(M665=phu!$I$32,M665=phu!$I$33,M665=phu!$I$34,M665=phu!$I$35,M665=phu!$I$36,M665=phu!$I$37),"Cam Lộc",""),IF(OR(M665=phu!$I$38,M665=phu!$I$39,M665=phu!$I$40,M665=phu!$I$41,M665=phu!$I$42,M665=phu!$I$43,M665=phu!$I$44),"Cam Thuận",""),IF(OR(M665=phu!$I$45,M665=phu!$I$46,M665=phu!$I$47,M665=phu!$I$48,M665=phu!$I$49,M665=phu!$I$50,M665=phu!$I$51,M665=phu!$I$52,M665=phu!$I$53),"Cam Linh",""),IF(OR(M665=phu!$I$54,M665=phu!$I$55,M665=phu!$I$56,M665=phu!$I$57,M665=phu!$I$58,M665=phu!$I$59,M665=phu!$I$60,M665=phu!$I$61,M665=phu!$I$62),"Cam Lợi",""),IF(OR(M665=phu!$I$63,M665=phu!$I$64,M665=phu!$I$65,M665=phu!$I$66,M665=phu!$I$67,M665=phu!$I$68,M665=phu!$I$69,M665=phu!$I$70,M665=phu!$I$71),"Ba Ngòi",""),IF(OR(M665=phu!$I$72,M665=phu!$I$73,M665=phu!$I$74,M665=phu!$I$75,M665=phu!$I$76,M665=phu!$I$77,M665=phu!$I$78),"Cam Phước Đông",""),IF(OR(M665=phu!$I$79,M665=phu!$I$80,M665=phu!$I$81,M665=phu!$I$82,M665=phu!$I$83,M665=phu!$I$84),"Cam Thịnh Đông",""),IF(OR(M665=phu!$I$85,M665=phu!$I$86,M665=phu!$I$87,M665=phu!$I$88),"Cam Thịnh Tây",""),IF(OR(M665=phu!$I$89,M665=phu!$I$90),"Cam Lập",""),IF(OR(M665=phu!$I$91,M665=phu!$I$92,M665=phu!$I$93),"Cam Bình",""),IF(OR(M665=phu!$I$94,M665=phu!$I$95,M665=phu!$I$96,M665=phu!$I$97,M665=phu!$I$98,M665=phu!$I$99,M665=phu!$I$100),"Huyện khác",""),IF(OR(M665=phu!$I$101,M665=phu!$I$102),"Tỉnh khác",""))</f>
        <v/>
      </c>
      <c r="O665" s="829" t="str">
        <f t="shared" si="60"/>
        <v/>
      </c>
      <c r="P665" s="254"/>
      <c r="Q665" s="254"/>
      <c r="R665" s="254"/>
      <c r="S665" s="254"/>
      <c r="T665" s="254"/>
      <c r="U665" s="254"/>
      <c r="V665" s="254"/>
      <c r="W665" s="254"/>
      <c r="Y665" s="246" t="str">
        <f t="shared" si="61"/>
        <v/>
      </c>
      <c r="Z665" s="247" t="str">
        <f t="shared" si="65"/>
        <v/>
      </c>
      <c r="AA665" s="246" t="str">
        <f t="shared" si="62"/>
        <v/>
      </c>
    </row>
    <row r="666" spans="1:27" ht="18" customHeight="1" x14ac:dyDescent="0.25">
      <c r="A666" s="248" t="str">
        <f t="shared" si="63"/>
        <v/>
      </c>
      <c r="B666" s="249" t="str">
        <f t="shared" si="64"/>
        <v/>
      </c>
      <c r="C666" s="250"/>
      <c r="D666" s="251"/>
      <c r="E666" s="241"/>
      <c r="F666" s="252"/>
      <c r="G666" s="252"/>
      <c r="H666" s="253"/>
      <c r="I666" s="250"/>
      <c r="J666" s="250"/>
      <c r="K666" s="270"/>
      <c r="L666" s="250"/>
      <c r="M666" s="250"/>
      <c r="N666" s="540" t="str">
        <f>CONCATENATE(IF(OR(M666=phu!$I$1,M666=phu!$I$2,M666=phu!$I$3),"Cam Thành Nam",""),IF(OR(M666=phu!$I$4,M666=phu!$I$5,M666=phu!$I$6,M666=phu!$I$7,M666=phu!$I$8,M666=phu!$I$9,M666=phu!$I$10,M666=phu!$I$11,M666=phu!$I$12,M666=phu!$I$13,M666=phu!$I$14),"Cam Nghĩa",""),IF(OR(M666=phu!$I$15,M666=phu!$I$16,M666=phu!$I$17,M666=phu!$I$18,M666=phu!$I$19,M666=phu!$I$20,M666=phu!$I$21),"Cam Phúc Bắc",""),IF(OR(M666=phu!$I$22,M666=phu!$I$23,M666=phu!$I$24,M666=phu!$I$25),"Cam Phúc Nam",""),IF(OR(M666=phu!$I$26,M666=phu!$I$27,M666=phu!$I$28,M666=phu!$I$29,M666=phu!$I$30,M666=phu!$I$31),"Cam Phú",""),IF(OR(M666=phu!$I$32,M666=phu!$I$33,M666=phu!$I$34,M666=phu!$I$35,M666=phu!$I$36,M666=phu!$I$37),"Cam Lộc",""),IF(OR(M666=phu!$I$38,M666=phu!$I$39,M666=phu!$I$40,M666=phu!$I$41,M666=phu!$I$42,M666=phu!$I$43,M666=phu!$I$44),"Cam Thuận",""),IF(OR(M666=phu!$I$45,M666=phu!$I$46,M666=phu!$I$47,M666=phu!$I$48,M666=phu!$I$49,M666=phu!$I$50,M666=phu!$I$51,M666=phu!$I$52,M666=phu!$I$53),"Cam Linh",""),IF(OR(M666=phu!$I$54,M666=phu!$I$55,M666=phu!$I$56,M666=phu!$I$57,M666=phu!$I$58,M666=phu!$I$59,M666=phu!$I$60,M666=phu!$I$61,M666=phu!$I$62),"Cam Lợi",""),IF(OR(M666=phu!$I$63,M666=phu!$I$64,M666=phu!$I$65,M666=phu!$I$66,M666=phu!$I$67,M666=phu!$I$68,M666=phu!$I$69,M666=phu!$I$70,M666=phu!$I$71),"Ba Ngòi",""),IF(OR(M666=phu!$I$72,M666=phu!$I$73,M666=phu!$I$74,M666=phu!$I$75,M666=phu!$I$76,M666=phu!$I$77,M666=phu!$I$78),"Cam Phước Đông",""),IF(OR(M666=phu!$I$79,M666=phu!$I$80,M666=phu!$I$81,M666=phu!$I$82,M666=phu!$I$83,M666=phu!$I$84),"Cam Thịnh Đông",""),IF(OR(M666=phu!$I$85,M666=phu!$I$86,M666=phu!$I$87,M666=phu!$I$88),"Cam Thịnh Tây",""),IF(OR(M666=phu!$I$89,M666=phu!$I$90),"Cam Lập",""),IF(OR(M666=phu!$I$91,M666=phu!$I$92,M666=phu!$I$93),"Cam Bình",""),IF(OR(M666=phu!$I$94,M666=phu!$I$95,M666=phu!$I$96,M666=phu!$I$97,M666=phu!$I$98,M666=phu!$I$99,M666=phu!$I$100),"Huyện khác",""),IF(OR(M666=phu!$I$101,M666=phu!$I$102),"Tỉnh khác",""))</f>
        <v/>
      </c>
      <c r="O666" s="829" t="str">
        <f t="shared" si="60"/>
        <v/>
      </c>
      <c r="P666" s="254"/>
      <c r="Q666" s="254"/>
      <c r="R666" s="254"/>
      <c r="S666" s="254"/>
      <c r="T666" s="254"/>
      <c r="U666" s="254"/>
      <c r="V666" s="254"/>
      <c r="W666" s="254"/>
      <c r="Y666" s="246" t="str">
        <f t="shared" si="61"/>
        <v/>
      </c>
      <c r="Z666" s="247" t="str">
        <f t="shared" si="65"/>
        <v/>
      </c>
      <c r="AA666" s="246" t="str">
        <f t="shared" si="62"/>
        <v/>
      </c>
    </row>
    <row r="667" spans="1:27" ht="18" customHeight="1" x14ac:dyDescent="0.25">
      <c r="A667" s="248" t="str">
        <f t="shared" si="63"/>
        <v/>
      </c>
      <c r="B667" s="249" t="str">
        <f t="shared" si="64"/>
        <v/>
      </c>
      <c r="C667" s="250"/>
      <c r="D667" s="251"/>
      <c r="E667" s="241"/>
      <c r="F667" s="252"/>
      <c r="G667" s="252"/>
      <c r="H667" s="253"/>
      <c r="I667" s="250"/>
      <c r="J667" s="250"/>
      <c r="K667" s="270"/>
      <c r="L667" s="250"/>
      <c r="M667" s="250"/>
      <c r="N667" s="540" t="str">
        <f>CONCATENATE(IF(OR(M667=phu!$I$1,M667=phu!$I$2,M667=phu!$I$3),"Cam Thành Nam",""),IF(OR(M667=phu!$I$4,M667=phu!$I$5,M667=phu!$I$6,M667=phu!$I$7,M667=phu!$I$8,M667=phu!$I$9,M667=phu!$I$10,M667=phu!$I$11,M667=phu!$I$12,M667=phu!$I$13,M667=phu!$I$14),"Cam Nghĩa",""),IF(OR(M667=phu!$I$15,M667=phu!$I$16,M667=phu!$I$17,M667=phu!$I$18,M667=phu!$I$19,M667=phu!$I$20,M667=phu!$I$21),"Cam Phúc Bắc",""),IF(OR(M667=phu!$I$22,M667=phu!$I$23,M667=phu!$I$24,M667=phu!$I$25),"Cam Phúc Nam",""),IF(OR(M667=phu!$I$26,M667=phu!$I$27,M667=phu!$I$28,M667=phu!$I$29,M667=phu!$I$30,M667=phu!$I$31),"Cam Phú",""),IF(OR(M667=phu!$I$32,M667=phu!$I$33,M667=phu!$I$34,M667=phu!$I$35,M667=phu!$I$36,M667=phu!$I$37),"Cam Lộc",""),IF(OR(M667=phu!$I$38,M667=phu!$I$39,M667=phu!$I$40,M667=phu!$I$41,M667=phu!$I$42,M667=phu!$I$43,M667=phu!$I$44),"Cam Thuận",""),IF(OR(M667=phu!$I$45,M667=phu!$I$46,M667=phu!$I$47,M667=phu!$I$48,M667=phu!$I$49,M667=phu!$I$50,M667=phu!$I$51,M667=phu!$I$52,M667=phu!$I$53),"Cam Linh",""),IF(OR(M667=phu!$I$54,M667=phu!$I$55,M667=phu!$I$56,M667=phu!$I$57,M667=phu!$I$58,M667=phu!$I$59,M667=phu!$I$60,M667=phu!$I$61,M667=phu!$I$62),"Cam Lợi",""),IF(OR(M667=phu!$I$63,M667=phu!$I$64,M667=phu!$I$65,M667=phu!$I$66,M667=phu!$I$67,M667=phu!$I$68,M667=phu!$I$69,M667=phu!$I$70,M667=phu!$I$71),"Ba Ngòi",""),IF(OR(M667=phu!$I$72,M667=phu!$I$73,M667=phu!$I$74,M667=phu!$I$75,M667=phu!$I$76,M667=phu!$I$77,M667=phu!$I$78),"Cam Phước Đông",""),IF(OR(M667=phu!$I$79,M667=phu!$I$80,M667=phu!$I$81,M667=phu!$I$82,M667=phu!$I$83,M667=phu!$I$84),"Cam Thịnh Đông",""),IF(OR(M667=phu!$I$85,M667=phu!$I$86,M667=phu!$I$87,M667=phu!$I$88),"Cam Thịnh Tây",""),IF(OR(M667=phu!$I$89,M667=phu!$I$90),"Cam Lập",""),IF(OR(M667=phu!$I$91,M667=phu!$I$92,M667=phu!$I$93),"Cam Bình",""),IF(OR(M667=phu!$I$94,M667=phu!$I$95,M667=phu!$I$96,M667=phu!$I$97,M667=phu!$I$98,M667=phu!$I$99,M667=phu!$I$100),"Huyện khác",""),IF(OR(M667=phu!$I$101,M667=phu!$I$102),"Tỉnh khác",""))</f>
        <v/>
      </c>
      <c r="O667" s="829" t="str">
        <f t="shared" si="60"/>
        <v/>
      </c>
      <c r="P667" s="254"/>
      <c r="Q667" s="254"/>
      <c r="R667" s="254"/>
      <c r="S667" s="254"/>
      <c r="T667" s="254"/>
      <c r="U667" s="254"/>
      <c r="V667" s="254"/>
      <c r="W667" s="254"/>
      <c r="Y667" s="246" t="str">
        <f t="shared" si="61"/>
        <v/>
      </c>
      <c r="Z667" s="247" t="str">
        <f t="shared" si="65"/>
        <v/>
      </c>
      <c r="AA667" s="246" t="str">
        <f t="shared" si="62"/>
        <v/>
      </c>
    </row>
    <row r="668" spans="1:27" ht="18" customHeight="1" x14ac:dyDescent="0.25">
      <c r="A668" s="248" t="str">
        <f t="shared" si="63"/>
        <v/>
      </c>
      <c r="B668" s="249" t="str">
        <f t="shared" si="64"/>
        <v/>
      </c>
      <c r="C668" s="250"/>
      <c r="D668" s="251"/>
      <c r="E668" s="241"/>
      <c r="F668" s="252"/>
      <c r="G668" s="252"/>
      <c r="H668" s="253"/>
      <c r="I668" s="250"/>
      <c r="J668" s="250"/>
      <c r="K668" s="270"/>
      <c r="L668" s="250"/>
      <c r="M668" s="250"/>
      <c r="N668" s="540" t="str">
        <f>CONCATENATE(IF(OR(M668=phu!$I$1,M668=phu!$I$2,M668=phu!$I$3),"Cam Thành Nam",""),IF(OR(M668=phu!$I$4,M668=phu!$I$5,M668=phu!$I$6,M668=phu!$I$7,M668=phu!$I$8,M668=phu!$I$9,M668=phu!$I$10,M668=phu!$I$11,M668=phu!$I$12,M668=phu!$I$13,M668=phu!$I$14),"Cam Nghĩa",""),IF(OR(M668=phu!$I$15,M668=phu!$I$16,M668=phu!$I$17,M668=phu!$I$18,M668=phu!$I$19,M668=phu!$I$20,M668=phu!$I$21),"Cam Phúc Bắc",""),IF(OR(M668=phu!$I$22,M668=phu!$I$23,M668=phu!$I$24,M668=phu!$I$25),"Cam Phúc Nam",""),IF(OR(M668=phu!$I$26,M668=phu!$I$27,M668=phu!$I$28,M668=phu!$I$29,M668=phu!$I$30,M668=phu!$I$31),"Cam Phú",""),IF(OR(M668=phu!$I$32,M668=phu!$I$33,M668=phu!$I$34,M668=phu!$I$35,M668=phu!$I$36,M668=phu!$I$37),"Cam Lộc",""),IF(OR(M668=phu!$I$38,M668=phu!$I$39,M668=phu!$I$40,M668=phu!$I$41,M668=phu!$I$42,M668=phu!$I$43,M668=phu!$I$44),"Cam Thuận",""),IF(OR(M668=phu!$I$45,M668=phu!$I$46,M668=phu!$I$47,M668=phu!$I$48,M668=phu!$I$49,M668=phu!$I$50,M668=phu!$I$51,M668=phu!$I$52,M668=phu!$I$53),"Cam Linh",""),IF(OR(M668=phu!$I$54,M668=phu!$I$55,M668=phu!$I$56,M668=phu!$I$57,M668=phu!$I$58,M668=phu!$I$59,M668=phu!$I$60,M668=phu!$I$61,M668=phu!$I$62),"Cam Lợi",""),IF(OR(M668=phu!$I$63,M668=phu!$I$64,M668=phu!$I$65,M668=phu!$I$66,M668=phu!$I$67,M668=phu!$I$68,M668=phu!$I$69,M668=phu!$I$70,M668=phu!$I$71),"Ba Ngòi",""),IF(OR(M668=phu!$I$72,M668=phu!$I$73,M668=phu!$I$74,M668=phu!$I$75,M668=phu!$I$76,M668=phu!$I$77,M668=phu!$I$78),"Cam Phước Đông",""),IF(OR(M668=phu!$I$79,M668=phu!$I$80,M668=phu!$I$81,M668=phu!$I$82,M668=phu!$I$83,M668=phu!$I$84),"Cam Thịnh Đông",""),IF(OR(M668=phu!$I$85,M668=phu!$I$86,M668=phu!$I$87,M668=phu!$I$88),"Cam Thịnh Tây",""),IF(OR(M668=phu!$I$89,M668=phu!$I$90),"Cam Lập",""),IF(OR(M668=phu!$I$91,M668=phu!$I$92,M668=phu!$I$93),"Cam Bình",""),IF(OR(M668=phu!$I$94,M668=phu!$I$95,M668=phu!$I$96,M668=phu!$I$97,M668=phu!$I$98,M668=phu!$I$99,M668=phu!$I$100),"Huyện khác",""),IF(OR(M668=phu!$I$101,M668=phu!$I$102),"Tỉnh khác",""))</f>
        <v/>
      </c>
      <c r="O668" s="829" t="str">
        <f t="shared" si="60"/>
        <v/>
      </c>
      <c r="P668" s="254"/>
      <c r="Q668" s="254"/>
      <c r="R668" s="254"/>
      <c r="S668" s="254"/>
      <c r="T668" s="254"/>
      <c r="U668" s="254"/>
      <c r="V668" s="254"/>
      <c r="W668" s="254"/>
      <c r="Y668" s="246" t="str">
        <f t="shared" si="61"/>
        <v/>
      </c>
      <c r="Z668" s="247" t="str">
        <f t="shared" si="65"/>
        <v/>
      </c>
      <c r="AA668" s="246" t="str">
        <f t="shared" si="62"/>
        <v/>
      </c>
    </row>
    <row r="669" spans="1:27" ht="18" customHeight="1" x14ac:dyDescent="0.25">
      <c r="A669" s="248" t="str">
        <f t="shared" si="63"/>
        <v/>
      </c>
      <c r="B669" s="249" t="str">
        <f t="shared" si="64"/>
        <v/>
      </c>
      <c r="C669" s="250"/>
      <c r="D669" s="251"/>
      <c r="E669" s="241"/>
      <c r="F669" s="252"/>
      <c r="G669" s="252"/>
      <c r="H669" s="253"/>
      <c r="I669" s="250"/>
      <c r="J669" s="250"/>
      <c r="K669" s="270"/>
      <c r="L669" s="250"/>
      <c r="M669" s="250"/>
      <c r="N669" s="540" t="str">
        <f>CONCATENATE(IF(OR(M669=phu!$I$1,M669=phu!$I$2,M669=phu!$I$3),"Cam Thành Nam",""),IF(OR(M669=phu!$I$4,M669=phu!$I$5,M669=phu!$I$6,M669=phu!$I$7,M669=phu!$I$8,M669=phu!$I$9,M669=phu!$I$10,M669=phu!$I$11,M669=phu!$I$12,M669=phu!$I$13,M669=phu!$I$14),"Cam Nghĩa",""),IF(OR(M669=phu!$I$15,M669=phu!$I$16,M669=phu!$I$17,M669=phu!$I$18,M669=phu!$I$19,M669=phu!$I$20,M669=phu!$I$21),"Cam Phúc Bắc",""),IF(OR(M669=phu!$I$22,M669=phu!$I$23,M669=phu!$I$24,M669=phu!$I$25),"Cam Phúc Nam",""),IF(OR(M669=phu!$I$26,M669=phu!$I$27,M669=phu!$I$28,M669=phu!$I$29,M669=phu!$I$30,M669=phu!$I$31),"Cam Phú",""),IF(OR(M669=phu!$I$32,M669=phu!$I$33,M669=phu!$I$34,M669=phu!$I$35,M669=phu!$I$36,M669=phu!$I$37),"Cam Lộc",""),IF(OR(M669=phu!$I$38,M669=phu!$I$39,M669=phu!$I$40,M669=phu!$I$41,M669=phu!$I$42,M669=phu!$I$43,M669=phu!$I$44),"Cam Thuận",""),IF(OR(M669=phu!$I$45,M669=phu!$I$46,M669=phu!$I$47,M669=phu!$I$48,M669=phu!$I$49,M669=phu!$I$50,M669=phu!$I$51,M669=phu!$I$52,M669=phu!$I$53),"Cam Linh",""),IF(OR(M669=phu!$I$54,M669=phu!$I$55,M669=phu!$I$56,M669=phu!$I$57,M669=phu!$I$58,M669=phu!$I$59,M669=phu!$I$60,M669=phu!$I$61,M669=phu!$I$62),"Cam Lợi",""),IF(OR(M669=phu!$I$63,M669=phu!$I$64,M669=phu!$I$65,M669=phu!$I$66,M669=phu!$I$67,M669=phu!$I$68,M669=phu!$I$69,M669=phu!$I$70,M669=phu!$I$71),"Ba Ngòi",""),IF(OR(M669=phu!$I$72,M669=phu!$I$73,M669=phu!$I$74,M669=phu!$I$75,M669=phu!$I$76,M669=phu!$I$77,M669=phu!$I$78),"Cam Phước Đông",""),IF(OR(M669=phu!$I$79,M669=phu!$I$80,M669=phu!$I$81,M669=phu!$I$82,M669=phu!$I$83,M669=phu!$I$84),"Cam Thịnh Đông",""),IF(OR(M669=phu!$I$85,M669=phu!$I$86,M669=phu!$I$87,M669=phu!$I$88),"Cam Thịnh Tây",""),IF(OR(M669=phu!$I$89,M669=phu!$I$90),"Cam Lập",""),IF(OR(M669=phu!$I$91,M669=phu!$I$92,M669=phu!$I$93),"Cam Bình",""),IF(OR(M669=phu!$I$94,M669=phu!$I$95,M669=phu!$I$96,M669=phu!$I$97,M669=phu!$I$98,M669=phu!$I$99,M669=phu!$I$100),"Huyện khác",""),IF(OR(M669=phu!$I$101,M669=phu!$I$102),"Tỉnh khác",""))</f>
        <v/>
      </c>
      <c r="O669" s="829" t="str">
        <f t="shared" si="60"/>
        <v/>
      </c>
      <c r="P669" s="254"/>
      <c r="Q669" s="254"/>
      <c r="R669" s="254"/>
      <c r="S669" s="254"/>
      <c r="T669" s="254"/>
      <c r="U669" s="254"/>
      <c r="V669" s="254"/>
      <c r="W669" s="254"/>
      <c r="Y669" s="246" t="str">
        <f t="shared" si="61"/>
        <v/>
      </c>
      <c r="Z669" s="247" t="str">
        <f t="shared" si="65"/>
        <v/>
      </c>
      <c r="AA669" s="246" t="str">
        <f t="shared" si="62"/>
        <v/>
      </c>
    </row>
    <row r="670" spans="1:27" ht="18" customHeight="1" x14ac:dyDescent="0.25">
      <c r="A670" s="248" t="str">
        <f t="shared" si="63"/>
        <v/>
      </c>
      <c r="B670" s="249" t="str">
        <f t="shared" si="64"/>
        <v/>
      </c>
      <c r="C670" s="250"/>
      <c r="D670" s="251"/>
      <c r="E670" s="241"/>
      <c r="F670" s="252"/>
      <c r="G670" s="252"/>
      <c r="H670" s="253"/>
      <c r="I670" s="250"/>
      <c r="J670" s="250"/>
      <c r="K670" s="270"/>
      <c r="L670" s="250"/>
      <c r="M670" s="250"/>
      <c r="N670" s="540" t="str">
        <f>CONCATENATE(IF(OR(M670=phu!$I$1,M670=phu!$I$2,M670=phu!$I$3),"Cam Thành Nam",""),IF(OR(M670=phu!$I$4,M670=phu!$I$5,M670=phu!$I$6,M670=phu!$I$7,M670=phu!$I$8,M670=phu!$I$9,M670=phu!$I$10,M670=phu!$I$11,M670=phu!$I$12,M670=phu!$I$13,M670=phu!$I$14),"Cam Nghĩa",""),IF(OR(M670=phu!$I$15,M670=phu!$I$16,M670=phu!$I$17,M670=phu!$I$18,M670=phu!$I$19,M670=phu!$I$20,M670=phu!$I$21),"Cam Phúc Bắc",""),IF(OR(M670=phu!$I$22,M670=phu!$I$23,M670=phu!$I$24,M670=phu!$I$25),"Cam Phúc Nam",""),IF(OR(M670=phu!$I$26,M670=phu!$I$27,M670=phu!$I$28,M670=phu!$I$29,M670=phu!$I$30,M670=phu!$I$31),"Cam Phú",""),IF(OR(M670=phu!$I$32,M670=phu!$I$33,M670=phu!$I$34,M670=phu!$I$35,M670=phu!$I$36,M670=phu!$I$37),"Cam Lộc",""),IF(OR(M670=phu!$I$38,M670=phu!$I$39,M670=phu!$I$40,M670=phu!$I$41,M670=phu!$I$42,M670=phu!$I$43,M670=phu!$I$44),"Cam Thuận",""),IF(OR(M670=phu!$I$45,M670=phu!$I$46,M670=phu!$I$47,M670=phu!$I$48,M670=phu!$I$49,M670=phu!$I$50,M670=phu!$I$51,M670=phu!$I$52,M670=phu!$I$53),"Cam Linh",""),IF(OR(M670=phu!$I$54,M670=phu!$I$55,M670=phu!$I$56,M670=phu!$I$57,M670=phu!$I$58,M670=phu!$I$59,M670=phu!$I$60,M670=phu!$I$61,M670=phu!$I$62),"Cam Lợi",""),IF(OR(M670=phu!$I$63,M670=phu!$I$64,M670=phu!$I$65,M670=phu!$I$66,M670=phu!$I$67,M670=phu!$I$68,M670=phu!$I$69,M670=phu!$I$70,M670=phu!$I$71),"Ba Ngòi",""),IF(OR(M670=phu!$I$72,M670=phu!$I$73,M670=phu!$I$74,M670=phu!$I$75,M670=phu!$I$76,M670=phu!$I$77,M670=phu!$I$78),"Cam Phước Đông",""),IF(OR(M670=phu!$I$79,M670=phu!$I$80,M670=phu!$I$81,M670=phu!$I$82,M670=phu!$I$83,M670=phu!$I$84),"Cam Thịnh Đông",""),IF(OR(M670=phu!$I$85,M670=phu!$I$86,M670=phu!$I$87,M670=phu!$I$88),"Cam Thịnh Tây",""),IF(OR(M670=phu!$I$89,M670=phu!$I$90),"Cam Lập",""),IF(OR(M670=phu!$I$91,M670=phu!$I$92,M670=phu!$I$93),"Cam Bình",""),IF(OR(M670=phu!$I$94,M670=phu!$I$95,M670=phu!$I$96,M670=phu!$I$97,M670=phu!$I$98,M670=phu!$I$99,M670=phu!$I$100),"Huyện khác",""),IF(OR(M670=phu!$I$101,M670=phu!$I$102),"Tỉnh khác",""))</f>
        <v/>
      </c>
      <c r="O670" s="829" t="str">
        <f t="shared" si="60"/>
        <v/>
      </c>
      <c r="P670" s="254"/>
      <c r="Q670" s="254"/>
      <c r="R670" s="254"/>
      <c r="S670" s="254"/>
      <c r="T670" s="254"/>
      <c r="U670" s="254"/>
      <c r="V670" s="254"/>
      <c r="W670" s="254"/>
      <c r="Y670" s="246" t="str">
        <f t="shared" si="61"/>
        <v/>
      </c>
      <c r="Z670" s="247" t="str">
        <f t="shared" si="65"/>
        <v/>
      </c>
      <c r="AA670" s="246" t="str">
        <f t="shared" si="62"/>
        <v/>
      </c>
    </row>
    <row r="671" spans="1:27" ht="18" customHeight="1" x14ac:dyDescent="0.25">
      <c r="A671" s="248" t="str">
        <f t="shared" si="63"/>
        <v/>
      </c>
      <c r="B671" s="249" t="str">
        <f t="shared" si="64"/>
        <v/>
      </c>
      <c r="C671" s="250"/>
      <c r="D671" s="251"/>
      <c r="E671" s="241"/>
      <c r="F671" s="252"/>
      <c r="G671" s="252"/>
      <c r="H671" s="253"/>
      <c r="I671" s="250"/>
      <c r="J671" s="250"/>
      <c r="K671" s="270"/>
      <c r="L671" s="250"/>
      <c r="M671" s="250"/>
      <c r="N671" s="540" t="str">
        <f>CONCATENATE(IF(OR(M671=phu!$I$1,M671=phu!$I$2,M671=phu!$I$3),"Cam Thành Nam",""),IF(OR(M671=phu!$I$4,M671=phu!$I$5,M671=phu!$I$6,M671=phu!$I$7,M671=phu!$I$8,M671=phu!$I$9,M671=phu!$I$10,M671=phu!$I$11,M671=phu!$I$12,M671=phu!$I$13,M671=phu!$I$14),"Cam Nghĩa",""),IF(OR(M671=phu!$I$15,M671=phu!$I$16,M671=phu!$I$17,M671=phu!$I$18,M671=phu!$I$19,M671=phu!$I$20,M671=phu!$I$21),"Cam Phúc Bắc",""),IF(OR(M671=phu!$I$22,M671=phu!$I$23,M671=phu!$I$24,M671=phu!$I$25),"Cam Phúc Nam",""),IF(OR(M671=phu!$I$26,M671=phu!$I$27,M671=phu!$I$28,M671=phu!$I$29,M671=phu!$I$30,M671=phu!$I$31),"Cam Phú",""),IF(OR(M671=phu!$I$32,M671=phu!$I$33,M671=phu!$I$34,M671=phu!$I$35,M671=phu!$I$36,M671=phu!$I$37),"Cam Lộc",""),IF(OR(M671=phu!$I$38,M671=phu!$I$39,M671=phu!$I$40,M671=phu!$I$41,M671=phu!$I$42,M671=phu!$I$43,M671=phu!$I$44),"Cam Thuận",""),IF(OR(M671=phu!$I$45,M671=phu!$I$46,M671=phu!$I$47,M671=phu!$I$48,M671=phu!$I$49,M671=phu!$I$50,M671=phu!$I$51,M671=phu!$I$52,M671=phu!$I$53),"Cam Linh",""),IF(OR(M671=phu!$I$54,M671=phu!$I$55,M671=phu!$I$56,M671=phu!$I$57,M671=phu!$I$58,M671=phu!$I$59,M671=phu!$I$60,M671=phu!$I$61,M671=phu!$I$62),"Cam Lợi",""),IF(OR(M671=phu!$I$63,M671=phu!$I$64,M671=phu!$I$65,M671=phu!$I$66,M671=phu!$I$67,M671=phu!$I$68,M671=phu!$I$69,M671=phu!$I$70,M671=phu!$I$71),"Ba Ngòi",""),IF(OR(M671=phu!$I$72,M671=phu!$I$73,M671=phu!$I$74,M671=phu!$I$75,M671=phu!$I$76,M671=phu!$I$77,M671=phu!$I$78),"Cam Phước Đông",""),IF(OR(M671=phu!$I$79,M671=phu!$I$80,M671=phu!$I$81,M671=phu!$I$82,M671=phu!$I$83,M671=phu!$I$84),"Cam Thịnh Đông",""),IF(OR(M671=phu!$I$85,M671=phu!$I$86,M671=phu!$I$87,M671=phu!$I$88),"Cam Thịnh Tây",""),IF(OR(M671=phu!$I$89,M671=phu!$I$90),"Cam Lập",""),IF(OR(M671=phu!$I$91,M671=phu!$I$92,M671=phu!$I$93),"Cam Bình",""),IF(OR(M671=phu!$I$94,M671=phu!$I$95,M671=phu!$I$96,M671=phu!$I$97,M671=phu!$I$98,M671=phu!$I$99,M671=phu!$I$100),"Huyện khác",""),IF(OR(M671=phu!$I$101,M671=phu!$I$102),"Tỉnh khác",""))</f>
        <v/>
      </c>
      <c r="O671" s="829" t="str">
        <f t="shared" si="60"/>
        <v/>
      </c>
      <c r="P671" s="254"/>
      <c r="Q671" s="254"/>
      <c r="R671" s="254"/>
      <c r="S671" s="254"/>
      <c r="T671" s="254"/>
      <c r="U671" s="254"/>
      <c r="V671" s="254"/>
      <c r="W671" s="254"/>
      <c r="Y671" s="246" t="str">
        <f t="shared" si="61"/>
        <v/>
      </c>
      <c r="Z671" s="247" t="str">
        <f t="shared" si="65"/>
        <v/>
      </c>
      <c r="AA671" s="246" t="str">
        <f t="shared" si="62"/>
        <v/>
      </c>
    </row>
    <row r="672" spans="1:27" ht="18" customHeight="1" x14ac:dyDescent="0.25">
      <c r="A672" s="248" t="str">
        <f t="shared" si="63"/>
        <v/>
      </c>
      <c r="B672" s="249" t="str">
        <f t="shared" si="64"/>
        <v/>
      </c>
      <c r="C672" s="250"/>
      <c r="D672" s="251"/>
      <c r="E672" s="241"/>
      <c r="F672" s="252"/>
      <c r="G672" s="252"/>
      <c r="H672" s="253"/>
      <c r="I672" s="250"/>
      <c r="J672" s="250"/>
      <c r="K672" s="270"/>
      <c r="L672" s="250"/>
      <c r="M672" s="250"/>
      <c r="N672" s="540" t="str">
        <f>CONCATENATE(IF(OR(M672=phu!$I$1,M672=phu!$I$2,M672=phu!$I$3),"Cam Thành Nam",""),IF(OR(M672=phu!$I$4,M672=phu!$I$5,M672=phu!$I$6,M672=phu!$I$7,M672=phu!$I$8,M672=phu!$I$9,M672=phu!$I$10,M672=phu!$I$11,M672=phu!$I$12,M672=phu!$I$13,M672=phu!$I$14),"Cam Nghĩa",""),IF(OR(M672=phu!$I$15,M672=phu!$I$16,M672=phu!$I$17,M672=phu!$I$18,M672=phu!$I$19,M672=phu!$I$20,M672=phu!$I$21),"Cam Phúc Bắc",""),IF(OR(M672=phu!$I$22,M672=phu!$I$23,M672=phu!$I$24,M672=phu!$I$25),"Cam Phúc Nam",""),IF(OR(M672=phu!$I$26,M672=phu!$I$27,M672=phu!$I$28,M672=phu!$I$29,M672=phu!$I$30,M672=phu!$I$31),"Cam Phú",""),IF(OR(M672=phu!$I$32,M672=phu!$I$33,M672=phu!$I$34,M672=phu!$I$35,M672=phu!$I$36,M672=phu!$I$37),"Cam Lộc",""),IF(OR(M672=phu!$I$38,M672=phu!$I$39,M672=phu!$I$40,M672=phu!$I$41,M672=phu!$I$42,M672=phu!$I$43,M672=phu!$I$44),"Cam Thuận",""),IF(OR(M672=phu!$I$45,M672=phu!$I$46,M672=phu!$I$47,M672=phu!$I$48,M672=phu!$I$49,M672=phu!$I$50,M672=phu!$I$51,M672=phu!$I$52,M672=phu!$I$53),"Cam Linh",""),IF(OR(M672=phu!$I$54,M672=phu!$I$55,M672=phu!$I$56,M672=phu!$I$57,M672=phu!$I$58,M672=phu!$I$59,M672=phu!$I$60,M672=phu!$I$61,M672=phu!$I$62),"Cam Lợi",""),IF(OR(M672=phu!$I$63,M672=phu!$I$64,M672=phu!$I$65,M672=phu!$I$66,M672=phu!$I$67,M672=phu!$I$68,M672=phu!$I$69,M672=phu!$I$70,M672=phu!$I$71),"Ba Ngòi",""),IF(OR(M672=phu!$I$72,M672=phu!$I$73,M672=phu!$I$74,M672=phu!$I$75,M672=phu!$I$76,M672=phu!$I$77,M672=phu!$I$78),"Cam Phước Đông",""),IF(OR(M672=phu!$I$79,M672=phu!$I$80,M672=phu!$I$81,M672=phu!$I$82,M672=phu!$I$83,M672=phu!$I$84),"Cam Thịnh Đông",""),IF(OR(M672=phu!$I$85,M672=phu!$I$86,M672=phu!$I$87,M672=phu!$I$88),"Cam Thịnh Tây",""),IF(OR(M672=phu!$I$89,M672=phu!$I$90),"Cam Lập",""),IF(OR(M672=phu!$I$91,M672=phu!$I$92,M672=phu!$I$93),"Cam Bình",""),IF(OR(M672=phu!$I$94,M672=phu!$I$95,M672=phu!$I$96,M672=phu!$I$97,M672=phu!$I$98,M672=phu!$I$99,M672=phu!$I$100),"Huyện khác",""),IF(OR(M672=phu!$I$101,M672=phu!$I$102),"Tỉnh khác",""))</f>
        <v/>
      </c>
      <c r="O672" s="829" t="str">
        <f t="shared" si="60"/>
        <v/>
      </c>
      <c r="P672" s="254"/>
      <c r="Q672" s="254"/>
      <c r="R672" s="254"/>
      <c r="S672" s="254"/>
      <c r="T672" s="254"/>
      <c r="U672" s="254"/>
      <c r="V672" s="254"/>
      <c r="W672" s="254"/>
      <c r="Y672" s="246" t="str">
        <f t="shared" si="61"/>
        <v/>
      </c>
      <c r="Z672" s="247" t="str">
        <f t="shared" si="65"/>
        <v/>
      </c>
      <c r="AA672" s="246" t="str">
        <f t="shared" si="62"/>
        <v/>
      </c>
    </row>
    <row r="673" spans="1:27" ht="18" customHeight="1" x14ac:dyDescent="0.25">
      <c r="A673" s="248" t="str">
        <f t="shared" si="63"/>
        <v/>
      </c>
      <c r="B673" s="249" t="str">
        <f t="shared" si="64"/>
        <v/>
      </c>
      <c r="C673" s="250"/>
      <c r="D673" s="251"/>
      <c r="E673" s="241"/>
      <c r="F673" s="252"/>
      <c r="G673" s="252"/>
      <c r="H673" s="253"/>
      <c r="I673" s="250"/>
      <c r="J673" s="250"/>
      <c r="K673" s="270"/>
      <c r="L673" s="250"/>
      <c r="M673" s="250"/>
      <c r="N673" s="540" t="str">
        <f>CONCATENATE(IF(OR(M673=phu!$I$1,M673=phu!$I$2,M673=phu!$I$3),"Cam Thành Nam",""),IF(OR(M673=phu!$I$4,M673=phu!$I$5,M673=phu!$I$6,M673=phu!$I$7,M673=phu!$I$8,M673=phu!$I$9,M673=phu!$I$10,M673=phu!$I$11,M673=phu!$I$12,M673=phu!$I$13,M673=phu!$I$14),"Cam Nghĩa",""),IF(OR(M673=phu!$I$15,M673=phu!$I$16,M673=phu!$I$17,M673=phu!$I$18,M673=phu!$I$19,M673=phu!$I$20,M673=phu!$I$21),"Cam Phúc Bắc",""),IF(OR(M673=phu!$I$22,M673=phu!$I$23,M673=phu!$I$24,M673=phu!$I$25),"Cam Phúc Nam",""),IF(OR(M673=phu!$I$26,M673=phu!$I$27,M673=phu!$I$28,M673=phu!$I$29,M673=phu!$I$30,M673=phu!$I$31),"Cam Phú",""),IF(OR(M673=phu!$I$32,M673=phu!$I$33,M673=phu!$I$34,M673=phu!$I$35,M673=phu!$I$36,M673=phu!$I$37),"Cam Lộc",""),IF(OR(M673=phu!$I$38,M673=phu!$I$39,M673=phu!$I$40,M673=phu!$I$41,M673=phu!$I$42,M673=phu!$I$43,M673=phu!$I$44),"Cam Thuận",""),IF(OR(M673=phu!$I$45,M673=phu!$I$46,M673=phu!$I$47,M673=phu!$I$48,M673=phu!$I$49,M673=phu!$I$50,M673=phu!$I$51,M673=phu!$I$52,M673=phu!$I$53),"Cam Linh",""),IF(OR(M673=phu!$I$54,M673=phu!$I$55,M673=phu!$I$56,M673=phu!$I$57,M673=phu!$I$58,M673=phu!$I$59,M673=phu!$I$60,M673=phu!$I$61,M673=phu!$I$62),"Cam Lợi",""),IF(OR(M673=phu!$I$63,M673=phu!$I$64,M673=phu!$I$65,M673=phu!$I$66,M673=phu!$I$67,M673=phu!$I$68,M673=phu!$I$69,M673=phu!$I$70,M673=phu!$I$71),"Ba Ngòi",""),IF(OR(M673=phu!$I$72,M673=phu!$I$73,M673=phu!$I$74,M673=phu!$I$75,M673=phu!$I$76,M673=phu!$I$77,M673=phu!$I$78),"Cam Phước Đông",""),IF(OR(M673=phu!$I$79,M673=phu!$I$80,M673=phu!$I$81,M673=phu!$I$82,M673=phu!$I$83,M673=phu!$I$84),"Cam Thịnh Đông",""),IF(OR(M673=phu!$I$85,M673=phu!$I$86,M673=phu!$I$87,M673=phu!$I$88),"Cam Thịnh Tây",""),IF(OR(M673=phu!$I$89,M673=phu!$I$90),"Cam Lập",""),IF(OR(M673=phu!$I$91,M673=phu!$I$92,M673=phu!$I$93),"Cam Bình",""),IF(OR(M673=phu!$I$94,M673=phu!$I$95,M673=phu!$I$96,M673=phu!$I$97,M673=phu!$I$98,M673=phu!$I$99,M673=phu!$I$100),"Huyện khác",""),IF(OR(M673=phu!$I$101,M673=phu!$I$102),"Tỉnh khác",""))</f>
        <v/>
      </c>
      <c r="O673" s="829" t="str">
        <f t="shared" si="60"/>
        <v/>
      </c>
      <c r="P673" s="254"/>
      <c r="Q673" s="254"/>
      <c r="R673" s="254"/>
      <c r="S673" s="254"/>
      <c r="T673" s="254"/>
      <c r="U673" s="254"/>
      <c r="V673" s="254"/>
      <c r="W673" s="254"/>
      <c r="Y673" s="246" t="str">
        <f t="shared" si="61"/>
        <v/>
      </c>
      <c r="Z673" s="247" t="str">
        <f t="shared" si="65"/>
        <v/>
      </c>
      <c r="AA673" s="246" t="str">
        <f t="shared" si="62"/>
        <v/>
      </c>
    </row>
    <row r="674" spans="1:27" ht="18" customHeight="1" x14ac:dyDescent="0.25">
      <c r="A674" s="248" t="str">
        <f t="shared" si="63"/>
        <v/>
      </c>
      <c r="B674" s="249" t="str">
        <f t="shared" si="64"/>
        <v/>
      </c>
      <c r="C674" s="250"/>
      <c r="D674" s="251"/>
      <c r="E674" s="241"/>
      <c r="F674" s="252"/>
      <c r="G674" s="252"/>
      <c r="H674" s="253"/>
      <c r="I674" s="250"/>
      <c r="J674" s="250"/>
      <c r="K674" s="270"/>
      <c r="L674" s="250"/>
      <c r="M674" s="250"/>
      <c r="N674" s="540" t="str">
        <f>CONCATENATE(IF(OR(M674=phu!$I$1,M674=phu!$I$2,M674=phu!$I$3),"Cam Thành Nam",""),IF(OR(M674=phu!$I$4,M674=phu!$I$5,M674=phu!$I$6,M674=phu!$I$7,M674=phu!$I$8,M674=phu!$I$9,M674=phu!$I$10,M674=phu!$I$11,M674=phu!$I$12,M674=phu!$I$13,M674=phu!$I$14),"Cam Nghĩa",""),IF(OR(M674=phu!$I$15,M674=phu!$I$16,M674=phu!$I$17,M674=phu!$I$18,M674=phu!$I$19,M674=phu!$I$20,M674=phu!$I$21),"Cam Phúc Bắc",""),IF(OR(M674=phu!$I$22,M674=phu!$I$23,M674=phu!$I$24,M674=phu!$I$25),"Cam Phúc Nam",""),IF(OR(M674=phu!$I$26,M674=phu!$I$27,M674=phu!$I$28,M674=phu!$I$29,M674=phu!$I$30,M674=phu!$I$31),"Cam Phú",""),IF(OR(M674=phu!$I$32,M674=phu!$I$33,M674=phu!$I$34,M674=phu!$I$35,M674=phu!$I$36,M674=phu!$I$37),"Cam Lộc",""),IF(OR(M674=phu!$I$38,M674=phu!$I$39,M674=phu!$I$40,M674=phu!$I$41,M674=phu!$I$42,M674=phu!$I$43,M674=phu!$I$44),"Cam Thuận",""),IF(OR(M674=phu!$I$45,M674=phu!$I$46,M674=phu!$I$47,M674=phu!$I$48,M674=phu!$I$49,M674=phu!$I$50,M674=phu!$I$51,M674=phu!$I$52,M674=phu!$I$53),"Cam Linh",""),IF(OR(M674=phu!$I$54,M674=phu!$I$55,M674=phu!$I$56,M674=phu!$I$57,M674=phu!$I$58,M674=phu!$I$59,M674=phu!$I$60,M674=phu!$I$61,M674=phu!$I$62),"Cam Lợi",""),IF(OR(M674=phu!$I$63,M674=phu!$I$64,M674=phu!$I$65,M674=phu!$I$66,M674=phu!$I$67,M674=phu!$I$68,M674=phu!$I$69,M674=phu!$I$70,M674=phu!$I$71),"Ba Ngòi",""),IF(OR(M674=phu!$I$72,M674=phu!$I$73,M674=phu!$I$74,M674=phu!$I$75,M674=phu!$I$76,M674=phu!$I$77,M674=phu!$I$78),"Cam Phước Đông",""),IF(OR(M674=phu!$I$79,M674=phu!$I$80,M674=phu!$I$81,M674=phu!$I$82,M674=phu!$I$83,M674=phu!$I$84),"Cam Thịnh Đông",""),IF(OR(M674=phu!$I$85,M674=phu!$I$86,M674=phu!$I$87,M674=phu!$I$88),"Cam Thịnh Tây",""),IF(OR(M674=phu!$I$89,M674=phu!$I$90),"Cam Lập",""),IF(OR(M674=phu!$I$91,M674=phu!$I$92,M674=phu!$I$93),"Cam Bình",""),IF(OR(M674=phu!$I$94,M674=phu!$I$95,M674=phu!$I$96,M674=phu!$I$97,M674=phu!$I$98,M674=phu!$I$99,M674=phu!$I$100),"Huyện khác",""),IF(OR(M674=phu!$I$101,M674=phu!$I$102),"Tỉnh khác",""))</f>
        <v/>
      </c>
      <c r="O674" s="829" t="str">
        <f t="shared" si="60"/>
        <v/>
      </c>
      <c r="P674" s="254"/>
      <c r="Q674" s="254"/>
      <c r="R674" s="254"/>
      <c r="S674" s="254"/>
      <c r="T674" s="254"/>
      <c r="U674" s="254"/>
      <c r="V674" s="254"/>
      <c r="W674" s="254"/>
      <c r="Y674" s="246" t="str">
        <f t="shared" si="61"/>
        <v/>
      </c>
      <c r="Z674" s="247" t="str">
        <f t="shared" si="65"/>
        <v/>
      </c>
      <c r="AA674" s="246" t="str">
        <f t="shared" si="62"/>
        <v/>
      </c>
    </row>
    <row r="675" spans="1:27" ht="18" customHeight="1" x14ac:dyDescent="0.25">
      <c r="A675" s="248" t="str">
        <f t="shared" si="63"/>
        <v/>
      </c>
      <c r="B675" s="249" t="str">
        <f t="shared" si="64"/>
        <v/>
      </c>
      <c r="C675" s="250"/>
      <c r="D675" s="251"/>
      <c r="E675" s="241"/>
      <c r="F675" s="252"/>
      <c r="G675" s="252"/>
      <c r="H675" s="253"/>
      <c r="I675" s="250"/>
      <c r="J675" s="250"/>
      <c r="K675" s="270"/>
      <c r="L675" s="250"/>
      <c r="M675" s="250"/>
      <c r="N675" s="540" t="str">
        <f>CONCATENATE(IF(OR(M675=phu!$I$1,M675=phu!$I$2,M675=phu!$I$3),"Cam Thành Nam",""),IF(OR(M675=phu!$I$4,M675=phu!$I$5,M675=phu!$I$6,M675=phu!$I$7,M675=phu!$I$8,M675=phu!$I$9,M675=phu!$I$10,M675=phu!$I$11,M675=phu!$I$12,M675=phu!$I$13,M675=phu!$I$14),"Cam Nghĩa",""),IF(OR(M675=phu!$I$15,M675=phu!$I$16,M675=phu!$I$17,M675=phu!$I$18,M675=phu!$I$19,M675=phu!$I$20,M675=phu!$I$21),"Cam Phúc Bắc",""),IF(OR(M675=phu!$I$22,M675=phu!$I$23,M675=phu!$I$24,M675=phu!$I$25),"Cam Phúc Nam",""),IF(OR(M675=phu!$I$26,M675=phu!$I$27,M675=phu!$I$28,M675=phu!$I$29,M675=phu!$I$30,M675=phu!$I$31),"Cam Phú",""),IF(OR(M675=phu!$I$32,M675=phu!$I$33,M675=phu!$I$34,M675=phu!$I$35,M675=phu!$I$36,M675=phu!$I$37),"Cam Lộc",""),IF(OR(M675=phu!$I$38,M675=phu!$I$39,M675=phu!$I$40,M675=phu!$I$41,M675=phu!$I$42,M675=phu!$I$43,M675=phu!$I$44),"Cam Thuận",""),IF(OR(M675=phu!$I$45,M675=phu!$I$46,M675=phu!$I$47,M675=phu!$I$48,M675=phu!$I$49,M675=phu!$I$50,M675=phu!$I$51,M675=phu!$I$52,M675=phu!$I$53),"Cam Linh",""),IF(OR(M675=phu!$I$54,M675=phu!$I$55,M675=phu!$I$56,M675=phu!$I$57,M675=phu!$I$58,M675=phu!$I$59,M675=phu!$I$60,M675=phu!$I$61,M675=phu!$I$62),"Cam Lợi",""),IF(OR(M675=phu!$I$63,M675=phu!$I$64,M675=phu!$I$65,M675=phu!$I$66,M675=phu!$I$67,M675=phu!$I$68,M675=phu!$I$69,M675=phu!$I$70,M675=phu!$I$71),"Ba Ngòi",""),IF(OR(M675=phu!$I$72,M675=phu!$I$73,M675=phu!$I$74,M675=phu!$I$75,M675=phu!$I$76,M675=phu!$I$77,M675=phu!$I$78),"Cam Phước Đông",""),IF(OR(M675=phu!$I$79,M675=phu!$I$80,M675=phu!$I$81,M675=phu!$I$82,M675=phu!$I$83,M675=phu!$I$84),"Cam Thịnh Đông",""),IF(OR(M675=phu!$I$85,M675=phu!$I$86,M675=phu!$I$87,M675=phu!$I$88),"Cam Thịnh Tây",""),IF(OR(M675=phu!$I$89,M675=phu!$I$90),"Cam Lập",""),IF(OR(M675=phu!$I$91,M675=phu!$I$92,M675=phu!$I$93),"Cam Bình",""),IF(OR(M675=phu!$I$94,M675=phu!$I$95,M675=phu!$I$96,M675=phu!$I$97,M675=phu!$I$98,M675=phu!$I$99,M675=phu!$I$100),"Huyện khác",""),IF(OR(M675=phu!$I$101,M675=phu!$I$102),"Tỉnh khác",""))</f>
        <v/>
      </c>
      <c r="O675" s="829" t="str">
        <f t="shared" si="60"/>
        <v/>
      </c>
      <c r="P675" s="254"/>
      <c r="Q675" s="254"/>
      <c r="R675" s="254"/>
      <c r="S675" s="254"/>
      <c r="T675" s="254"/>
      <c r="U675" s="254"/>
      <c r="V675" s="254"/>
      <c r="W675" s="254"/>
      <c r="Y675" s="246" t="str">
        <f t="shared" si="61"/>
        <v/>
      </c>
      <c r="Z675" s="247" t="str">
        <f t="shared" si="65"/>
        <v/>
      </c>
      <c r="AA675" s="246" t="str">
        <f t="shared" si="62"/>
        <v/>
      </c>
    </row>
    <row r="676" spans="1:27" ht="18" customHeight="1" x14ac:dyDescent="0.25">
      <c r="A676" s="248" t="str">
        <f t="shared" si="63"/>
        <v/>
      </c>
      <c r="B676" s="249" t="str">
        <f t="shared" si="64"/>
        <v/>
      </c>
      <c r="C676" s="250"/>
      <c r="D676" s="251"/>
      <c r="E676" s="241"/>
      <c r="F676" s="252"/>
      <c r="G676" s="252"/>
      <c r="H676" s="253"/>
      <c r="I676" s="250"/>
      <c r="J676" s="250"/>
      <c r="K676" s="270"/>
      <c r="L676" s="250"/>
      <c r="M676" s="250"/>
      <c r="N676" s="540" t="str">
        <f>CONCATENATE(IF(OR(M676=phu!$I$1,M676=phu!$I$2,M676=phu!$I$3),"Cam Thành Nam",""),IF(OR(M676=phu!$I$4,M676=phu!$I$5,M676=phu!$I$6,M676=phu!$I$7,M676=phu!$I$8,M676=phu!$I$9,M676=phu!$I$10,M676=phu!$I$11,M676=phu!$I$12,M676=phu!$I$13,M676=phu!$I$14),"Cam Nghĩa",""),IF(OR(M676=phu!$I$15,M676=phu!$I$16,M676=phu!$I$17,M676=phu!$I$18,M676=phu!$I$19,M676=phu!$I$20,M676=phu!$I$21),"Cam Phúc Bắc",""),IF(OR(M676=phu!$I$22,M676=phu!$I$23,M676=phu!$I$24,M676=phu!$I$25),"Cam Phúc Nam",""),IF(OR(M676=phu!$I$26,M676=phu!$I$27,M676=phu!$I$28,M676=phu!$I$29,M676=phu!$I$30,M676=phu!$I$31),"Cam Phú",""),IF(OR(M676=phu!$I$32,M676=phu!$I$33,M676=phu!$I$34,M676=phu!$I$35,M676=phu!$I$36,M676=phu!$I$37),"Cam Lộc",""),IF(OR(M676=phu!$I$38,M676=phu!$I$39,M676=phu!$I$40,M676=phu!$I$41,M676=phu!$I$42,M676=phu!$I$43,M676=phu!$I$44),"Cam Thuận",""),IF(OR(M676=phu!$I$45,M676=phu!$I$46,M676=phu!$I$47,M676=phu!$I$48,M676=phu!$I$49,M676=phu!$I$50,M676=phu!$I$51,M676=phu!$I$52,M676=phu!$I$53),"Cam Linh",""),IF(OR(M676=phu!$I$54,M676=phu!$I$55,M676=phu!$I$56,M676=phu!$I$57,M676=phu!$I$58,M676=phu!$I$59,M676=phu!$I$60,M676=phu!$I$61,M676=phu!$I$62),"Cam Lợi",""),IF(OR(M676=phu!$I$63,M676=phu!$I$64,M676=phu!$I$65,M676=phu!$I$66,M676=phu!$I$67,M676=phu!$I$68,M676=phu!$I$69,M676=phu!$I$70,M676=phu!$I$71),"Ba Ngòi",""),IF(OR(M676=phu!$I$72,M676=phu!$I$73,M676=phu!$I$74,M676=phu!$I$75,M676=phu!$I$76,M676=phu!$I$77,M676=phu!$I$78),"Cam Phước Đông",""),IF(OR(M676=phu!$I$79,M676=phu!$I$80,M676=phu!$I$81,M676=phu!$I$82,M676=phu!$I$83,M676=phu!$I$84),"Cam Thịnh Đông",""),IF(OR(M676=phu!$I$85,M676=phu!$I$86,M676=phu!$I$87,M676=phu!$I$88),"Cam Thịnh Tây",""),IF(OR(M676=phu!$I$89,M676=phu!$I$90),"Cam Lập",""),IF(OR(M676=phu!$I$91,M676=phu!$I$92,M676=phu!$I$93),"Cam Bình",""),IF(OR(M676=phu!$I$94,M676=phu!$I$95,M676=phu!$I$96,M676=phu!$I$97,M676=phu!$I$98,M676=phu!$I$99,M676=phu!$I$100),"Huyện khác",""),IF(OR(M676=phu!$I$101,M676=phu!$I$102),"Tỉnh khác",""))</f>
        <v/>
      </c>
      <c r="O676" s="829" t="str">
        <f t="shared" si="60"/>
        <v/>
      </c>
      <c r="P676" s="254"/>
      <c r="Q676" s="254"/>
      <c r="R676" s="254"/>
      <c r="S676" s="254"/>
      <c r="T676" s="254"/>
      <c r="U676" s="254"/>
      <c r="V676" s="254"/>
      <c r="W676" s="254"/>
      <c r="Y676" s="246" t="str">
        <f t="shared" si="61"/>
        <v/>
      </c>
      <c r="Z676" s="247" t="str">
        <f t="shared" si="65"/>
        <v/>
      </c>
      <c r="AA676" s="246" t="str">
        <f t="shared" si="62"/>
        <v/>
      </c>
    </row>
    <row r="677" spans="1:27" ht="18" customHeight="1" x14ac:dyDescent="0.25">
      <c r="A677" s="248" t="str">
        <f t="shared" si="63"/>
        <v/>
      </c>
      <c r="B677" s="249" t="str">
        <f t="shared" si="64"/>
        <v/>
      </c>
      <c r="C677" s="250"/>
      <c r="D677" s="251"/>
      <c r="E677" s="241"/>
      <c r="F677" s="252"/>
      <c r="G677" s="252"/>
      <c r="H677" s="253"/>
      <c r="I677" s="250"/>
      <c r="J677" s="250"/>
      <c r="K677" s="270"/>
      <c r="L677" s="250"/>
      <c r="M677" s="250"/>
      <c r="N677" s="540" t="str">
        <f>CONCATENATE(IF(OR(M677=phu!$I$1,M677=phu!$I$2,M677=phu!$I$3),"Cam Thành Nam",""),IF(OR(M677=phu!$I$4,M677=phu!$I$5,M677=phu!$I$6,M677=phu!$I$7,M677=phu!$I$8,M677=phu!$I$9,M677=phu!$I$10,M677=phu!$I$11,M677=phu!$I$12,M677=phu!$I$13,M677=phu!$I$14),"Cam Nghĩa",""),IF(OR(M677=phu!$I$15,M677=phu!$I$16,M677=phu!$I$17,M677=phu!$I$18,M677=phu!$I$19,M677=phu!$I$20,M677=phu!$I$21),"Cam Phúc Bắc",""),IF(OR(M677=phu!$I$22,M677=phu!$I$23,M677=phu!$I$24,M677=phu!$I$25),"Cam Phúc Nam",""),IF(OR(M677=phu!$I$26,M677=phu!$I$27,M677=phu!$I$28,M677=phu!$I$29,M677=phu!$I$30,M677=phu!$I$31),"Cam Phú",""),IF(OR(M677=phu!$I$32,M677=phu!$I$33,M677=phu!$I$34,M677=phu!$I$35,M677=phu!$I$36,M677=phu!$I$37),"Cam Lộc",""),IF(OR(M677=phu!$I$38,M677=phu!$I$39,M677=phu!$I$40,M677=phu!$I$41,M677=phu!$I$42,M677=phu!$I$43,M677=phu!$I$44),"Cam Thuận",""),IF(OR(M677=phu!$I$45,M677=phu!$I$46,M677=phu!$I$47,M677=phu!$I$48,M677=phu!$I$49,M677=phu!$I$50,M677=phu!$I$51,M677=phu!$I$52,M677=phu!$I$53),"Cam Linh",""),IF(OR(M677=phu!$I$54,M677=phu!$I$55,M677=phu!$I$56,M677=phu!$I$57,M677=phu!$I$58,M677=phu!$I$59,M677=phu!$I$60,M677=phu!$I$61,M677=phu!$I$62),"Cam Lợi",""),IF(OR(M677=phu!$I$63,M677=phu!$I$64,M677=phu!$I$65,M677=phu!$I$66,M677=phu!$I$67,M677=phu!$I$68,M677=phu!$I$69,M677=phu!$I$70,M677=phu!$I$71),"Ba Ngòi",""),IF(OR(M677=phu!$I$72,M677=phu!$I$73,M677=phu!$I$74,M677=phu!$I$75,M677=phu!$I$76,M677=phu!$I$77,M677=phu!$I$78),"Cam Phước Đông",""),IF(OR(M677=phu!$I$79,M677=phu!$I$80,M677=phu!$I$81,M677=phu!$I$82,M677=phu!$I$83,M677=phu!$I$84),"Cam Thịnh Đông",""),IF(OR(M677=phu!$I$85,M677=phu!$I$86,M677=phu!$I$87,M677=phu!$I$88),"Cam Thịnh Tây",""),IF(OR(M677=phu!$I$89,M677=phu!$I$90),"Cam Lập",""),IF(OR(M677=phu!$I$91,M677=phu!$I$92,M677=phu!$I$93),"Cam Bình",""),IF(OR(M677=phu!$I$94,M677=phu!$I$95,M677=phu!$I$96,M677=phu!$I$97,M677=phu!$I$98,M677=phu!$I$99,M677=phu!$I$100),"Huyện khác",""),IF(OR(M677=phu!$I$101,M677=phu!$I$102),"Tỉnh khác",""))</f>
        <v/>
      </c>
      <c r="O677" s="829" t="str">
        <f t="shared" si="60"/>
        <v/>
      </c>
      <c r="P677" s="254"/>
      <c r="Q677" s="254"/>
      <c r="R677" s="254"/>
      <c r="S677" s="254"/>
      <c r="T677" s="254"/>
      <c r="U677" s="254"/>
      <c r="V677" s="254"/>
      <c r="W677" s="254"/>
      <c r="Y677" s="246" t="str">
        <f t="shared" si="61"/>
        <v/>
      </c>
      <c r="Z677" s="247" t="str">
        <f t="shared" si="65"/>
        <v/>
      </c>
      <c r="AA677" s="246" t="str">
        <f t="shared" si="62"/>
        <v/>
      </c>
    </row>
    <row r="678" spans="1:27" ht="18" customHeight="1" x14ac:dyDescent="0.25">
      <c r="A678" s="248" t="str">
        <f t="shared" si="63"/>
        <v/>
      </c>
      <c r="B678" s="249" t="str">
        <f t="shared" si="64"/>
        <v/>
      </c>
      <c r="C678" s="250"/>
      <c r="D678" s="251"/>
      <c r="E678" s="241"/>
      <c r="F678" s="252"/>
      <c r="G678" s="252"/>
      <c r="H678" s="253"/>
      <c r="I678" s="250"/>
      <c r="J678" s="250"/>
      <c r="K678" s="270"/>
      <c r="L678" s="250"/>
      <c r="M678" s="250"/>
      <c r="N678" s="540" t="str">
        <f>CONCATENATE(IF(OR(M678=phu!$I$1,M678=phu!$I$2,M678=phu!$I$3),"Cam Thành Nam",""),IF(OR(M678=phu!$I$4,M678=phu!$I$5,M678=phu!$I$6,M678=phu!$I$7,M678=phu!$I$8,M678=phu!$I$9,M678=phu!$I$10,M678=phu!$I$11,M678=phu!$I$12,M678=phu!$I$13,M678=phu!$I$14),"Cam Nghĩa",""),IF(OR(M678=phu!$I$15,M678=phu!$I$16,M678=phu!$I$17,M678=phu!$I$18,M678=phu!$I$19,M678=phu!$I$20,M678=phu!$I$21),"Cam Phúc Bắc",""),IF(OR(M678=phu!$I$22,M678=phu!$I$23,M678=phu!$I$24,M678=phu!$I$25),"Cam Phúc Nam",""),IF(OR(M678=phu!$I$26,M678=phu!$I$27,M678=phu!$I$28,M678=phu!$I$29,M678=phu!$I$30,M678=phu!$I$31),"Cam Phú",""),IF(OR(M678=phu!$I$32,M678=phu!$I$33,M678=phu!$I$34,M678=phu!$I$35,M678=phu!$I$36,M678=phu!$I$37),"Cam Lộc",""),IF(OR(M678=phu!$I$38,M678=phu!$I$39,M678=phu!$I$40,M678=phu!$I$41,M678=phu!$I$42,M678=phu!$I$43,M678=phu!$I$44),"Cam Thuận",""),IF(OR(M678=phu!$I$45,M678=phu!$I$46,M678=phu!$I$47,M678=phu!$I$48,M678=phu!$I$49,M678=phu!$I$50,M678=phu!$I$51,M678=phu!$I$52,M678=phu!$I$53),"Cam Linh",""),IF(OR(M678=phu!$I$54,M678=phu!$I$55,M678=phu!$I$56,M678=phu!$I$57,M678=phu!$I$58,M678=phu!$I$59,M678=phu!$I$60,M678=phu!$I$61,M678=phu!$I$62),"Cam Lợi",""),IF(OR(M678=phu!$I$63,M678=phu!$I$64,M678=phu!$I$65,M678=phu!$I$66,M678=phu!$I$67,M678=phu!$I$68,M678=phu!$I$69,M678=phu!$I$70,M678=phu!$I$71),"Ba Ngòi",""),IF(OR(M678=phu!$I$72,M678=phu!$I$73,M678=phu!$I$74,M678=phu!$I$75,M678=phu!$I$76,M678=phu!$I$77,M678=phu!$I$78),"Cam Phước Đông",""),IF(OR(M678=phu!$I$79,M678=phu!$I$80,M678=phu!$I$81,M678=phu!$I$82,M678=phu!$I$83,M678=phu!$I$84),"Cam Thịnh Đông",""),IF(OR(M678=phu!$I$85,M678=phu!$I$86,M678=phu!$I$87,M678=phu!$I$88),"Cam Thịnh Tây",""),IF(OR(M678=phu!$I$89,M678=phu!$I$90),"Cam Lập",""),IF(OR(M678=phu!$I$91,M678=phu!$I$92,M678=phu!$I$93),"Cam Bình",""),IF(OR(M678=phu!$I$94,M678=phu!$I$95,M678=phu!$I$96,M678=phu!$I$97,M678=phu!$I$98,M678=phu!$I$99,M678=phu!$I$100),"Huyện khác",""),IF(OR(M678=phu!$I$101,M678=phu!$I$102),"Tỉnh khác",""))</f>
        <v/>
      </c>
      <c r="O678" s="829" t="str">
        <f t="shared" si="60"/>
        <v/>
      </c>
      <c r="P678" s="254"/>
      <c r="Q678" s="254"/>
      <c r="R678" s="254"/>
      <c r="S678" s="254"/>
      <c r="T678" s="254"/>
      <c r="U678" s="254"/>
      <c r="V678" s="254"/>
      <c r="W678" s="254"/>
      <c r="Y678" s="246" t="str">
        <f t="shared" si="61"/>
        <v/>
      </c>
      <c r="Z678" s="247" t="str">
        <f t="shared" si="65"/>
        <v/>
      </c>
      <c r="AA678" s="246" t="str">
        <f t="shared" si="62"/>
        <v/>
      </c>
    </row>
    <row r="679" spans="1:27" ht="18" customHeight="1" x14ac:dyDescent="0.25">
      <c r="A679" s="248" t="str">
        <f t="shared" si="63"/>
        <v/>
      </c>
      <c r="B679" s="249" t="str">
        <f t="shared" si="64"/>
        <v/>
      </c>
      <c r="C679" s="250"/>
      <c r="D679" s="251"/>
      <c r="E679" s="241"/>
      <c r="F679" s="252"/>
      <c r="G679" s="252"/>
      <c r="H679" s="253"/>
      <c r="I679" s="250"/>
      <c r="J679" s="250"/>
      <c r="K679" s="270"/>
      <c r="L679" s="250"/>
      <c r="M679" s="250"/>
      <c r="N679" s="540" t="str">
        <f>CONCATENATE(IF(OR(M679=phu!$I$1,M679=phu!$I$2,M679=phu!$I$3),"Cam Thành Nam",""),IF(OR(M679=phu!$I$4,M679=phu!$I$5,M679=phu!$I$6,M679=phu!$I$7,M679=phu!$I$8,M679=phu!$I$9,M679=phu!$I$10,M679=phu!$I$11,M679=phu!$I$12,M679=phu!$I$13,M679=phu!$I$14),"Cam Nghĩa",""),IF(OR(M679=phu!$I$15,M679=phu!$I$16,M679=phu!$I$17,M679=phu!$I$18,M679=phu!$I$19,M679=phu!$I$20,M679=phu!$I$21),"Cam Phúc Bắc",""),IF(OR(M679=phu!$I$22,M679=phu!$I$23,M679=phu!$I$24,M679=phu!$I$25),"Cam Phúc Nam",""),IF(OR(M679=phu!$I$26,M679=phu!$I$27,M679=phu!$I$28,M679=phu!$I$29,M679=phu!$I$30,M679=phu!$I$31),"Cam Phú",""),IF(OR(M679=phu!$I$32,M679=phu!$I$33,M679=phu!$I$34,M679=phu!$I$35,M679=phu!$I$36,M679=phu!$I$37),"Cam Lộc",""),IF(OR(M679=phu!$I$38,M679=phu!$I$39,M679=phu!$I$40,M679=phu!$I$41,M679=phu!$I$42,M679=phu!$I$43,M679=phu!$I$44),"Cam Thuận",""),IF(OR(M679=phu!$I$45,M679=phu!$I$46,M679=phu!$I$47,M679=phu!$I$48,M679=phu!$I$49,M679=phu!$I$50,M679=phu!$I$51,M679=phu!$I$52,M679=phu!$I$53),"Cam Linh",""),IF(OR(M679=phu!$I$54,M679=phu!$I$55,M679=phu!$I$56,M679=phu!$I$57,M679=phu!$I$58,M679=phu!$I$59,M679=phu!$I$60,M679=phu!$I$61,M679=phu!$I$62),"Cam Lợi",""),IF(OR(M679=phu!$I$63,M679=phu!$I$64,M679=phu!$I$65,M679=phu!$I$66,M679=phu!$I$67,M679=phu!$I$68,M679=phu!$I$69,M679=phu!$I$70,M679=phu!$I$71),"Ba Ngòi",""),IF(OR(M679=phu!$I$72,M679=phu!$I$73,M679=phu!$I$74,M679=phu!$I$75,M679=phu!$I$76,M679=phu!$I$77,M679=phu!$I$78),"Cam Phước Đông",""),IF(OR(M679=phu!$I$79,M679=phu!$I$80,M679=phu!$I$81,M679=phu!$I$82,M679=phu!$I$83,M679=phu!$I$84),"Cam Thịnh Đông",""),IF(OR(M679=phu!$I$85,M679=phu!$I$86,M679=phu!$I$87,M679=phu!$I$88),"Cam Thịnh Tây",""),IF(OR(M679=phu!$I$89,M679=phu!$I$90),"Cam Lập",""),IF(OR(M679=phu!$I$91,M679=phu!$I$92,M679=phu!$I$93),"Cam Bình",""),IF(OR(M679=phu!$I$94,M679=phu!$I$95,M679=phu!$I$96,M679=phu!$I$97,M679=phu!$I$98,M679=phu!$I$99,M679=phu!$I$100),"Huyện khác",""),IF(OR(M679=phu!$I$101,M679=phu!$I$102),"Tỉnh khác",""))</f>
        <v/>
      </c>
      <c r="O679" s="829" t="str">
        <f t="shared" si="60"/>
        <v/>
      </c>
      <c r="P679" s="254"/>
      <c r="Q679" s="254"/>
      <c r="R679" s="254"/>
      <c r="S679" s="254"/>
      <c r="T679" s="254"/>
      <c r="U679" s="254"/>
      <c r="V679" s="254"/>
      <c r="W679" s="254"/>
      <c r="Y679" s="246" t="str">
        <f t="shared" si="61"/>
        <v/>
      </c>
      <c r="Z679" s="247" t="str">
        <f t="shared" si="65"/>
        <v/>
      </c>
      <c r="AA679" s="246" t="str">
        <f t="shared" si="62"/>
        <v/>
      </c>
    </row>
    <row r="680" spans="1:27" ht="18" customHeight="1" x14ac:dyDescent="0.25">
      <c r="A680" s="248" t="str">
        <f t="shared" si="63"/>
        <v/>
      </c>
      <c r="B680" s="249" t="str">
        <f t="shared" si="64"/>
        <v/>
      </c>
      <c r="C680" s="250"/>
      <c r="D680" s="251"/>
      <c r="E680" s="241"/>
      <c r="F680" s="252"/>
      <c r="G680" s="252"/>
      <c r="H680" s="253"/>
      <c r="I680" s="250"/>
      <c r="J680" s="250"/>
      <c r="K680" s="270"/>
      <c r="L680" s="250"/>
      <c r="M680" s="250"/>
      <c r="N680" s="540" t="str">
        <f>CONCATENATE(IF(OR(M680=phu!$I$1,M680=phu!$I$2,M680=phu!$I$3),"Cam Thành Nam",""),IF(OR(M680=phu!$I$4,M680=phu!$I$5,M680=phu!$I$6,M680=phu!$I$7,M680=phu!$I$8,M680=phu!$I$9,M680=phu!$I$10,M680=phu!$I$11,M680=phu!$I$12,M680=phu!$I$13,M680=phu!$I$14),"Cam Nghĩa",""),IF(OR(M680=phu!$I$15,M680=phu!$I$16,M680=phu!$I$17,M680=phu!$I$18,M680=phu!$I$19,M680=phu!$I$20,M680=phu!$I$21),"Cam Phúc Bắc",""),IF(OR(M680=phu!$I$22,M680=phu!$I$23,M680=phu!$I$24,M680=phu!$I$25),"Cam Phúc Nam",""),IF(OR(M680=phu!$I$26,M680=phu!$I$27,M680=phu!$I$28,M680=phu!$I$29,M680=phu!$I$30,M680=phu!$I$31),"Cam Phú",""),IF(OR(M680=phu!$I$32,M680=phu!$I$33,M680=phu!$I$34,M680=phu!$I$35,M680=phu!$I$36,M680=phu!$I$37),"Cam Lộc",""),IF(OR(M680=phu!$I$38,M680=phu!$I$39,M680=phu!$I$40,M680=phu!$I$41,M680=phu!$I$42,M680=phu!$I$43,M680=phu!$I$44),"Cam Thuận",""),IF(OR(M680=phu!$I$45,M680=phu!$I$46,M680=phu!$I$47,M680=phu!$I$48,M680=phu!$I$49,M680=phu!$I$50,M680=phu!$I$51,M680=phu!$I$52,M680=phu!$I$53),"Cam Linh",""),IF(OR(M680=phu!$I$54,M680=phu!$I$55,M680=phu!$I$56,M680=phu!$I$57,M680=phu!$I$58,M680=phu!$I$59,M680=phu!$I$60,M680=phu!$I$61,M680=phu!$I$62),"Cam Lợi",""),IF(OR(M680=phu!$I$63,M680=phu!$I$64,M680=phu!$I$65,M680=phu!$I$66,M680=phu!$I$67,M680=phu!$I$68,M680=phu!$I$69,M680=phu!$I$70,M680=phu!$I$71),"Ba Ngòi",""),IF(OR(M680=phu!$I$72,M680=phu!$I$73,M680=phu!$I$74,M680=phu!$I$75,M680=phu!$I$76,M680=phu!$I$77,M680=phu!$I$78),"Cam Phước Đông",""),IF(OR(M680=phu!$I$79,M680=phu!$I$80,M680=phu!$I$81,M680=phu!$I$82,M680=phu!$I$83,M680=phu!$I$84),"Cam Thịnh Đông",""),IF(OR(M680=phu!$I$85,M680=phu!$I$86,M680=phu!$I$87,M680=phu!$I$88),"Cam Thịnh Tây",""),IF(OR(M680=phu!$I$89,M680=phu!$I$90),"Cam Lập",""),IF(OR(M680=phu!$I$91,M680=phu!$I$92,M680=phu!$I$93),"Cam Bình",""),IF(OR(M680=phu!$I$94,M680=phu!$I$95,M680=phu!$I$96,M680=phu!$I$97,M680=phu!$I$98,M680=phu!$I$99,M680=phu!$I$100),"Huyện khác",""),IF(OR(M680=phu!$I$101,M680=phu!$I$102),"Tỉnh khác",""))</f>
        <v/>
      </c>
      <c r="O680" s="829" t="str">
        <f t="shared" si="60"/>
        <v/>
      </c>
      <c r="P680" s="254"/>
      <c r="Q680" s="254"/>
      <c r="R680" s="254"/>
      <c r="S680" s="254"/>
      <c r="T680" s="254"/>
      <c r="U680" s="254"/>
      <c r="V680" s="254"/>
      <c r="W680" s="254"/>
      <c r="Y680" s="246" t="str">
        <f t="shared" si="61"/>
        <v/>
      </c>
      <c r="Z680" s="247" t="str">
        <f t="shared" si="65"/>
        <v/>
      </c>
      <c r="AA680" s="246" t="str">
        <f t="shared" si="62"/>
        <v/>
      </c>
    </row>
    <row r="681" spans="1:27" ht="18" customHeight="1" x14ac:dyDescent="0.25">
      <c r="A681" s="248" t="str">
        <f t="shared" si="63"/>
        <v/>
      </c>
      <c r="B681" s="249" t="str">
        <f t="shared" si="64"/>
        <v/>
      </c>
      <c r="C681" s="250"/>
      <c r="D681" s="251"/>
      <c r="E681" s="241"/>
      <c r="F681" s="252"/>
      <c r="G681" s="252"/>
      <c r="H681" s="253"/>
      <c r="I681" s="250"/>
      <c r="J681" s="250"/>
      <c r="K681" s="270"/>
      <c r="L681" s="250"/>
      <c r="M681" s="250"/>
      <c r="N681" s="540" t="str">
        <f>CONCATENATE(IF(OR(M681=phu!$I$1,M681=phu!$I$2,M681=phu!$I$3),"Cam Thành Nam",""),IF(OR(M681=phu!$I$4,M681=phu!$I$5,M681=phu!$I$6,M681=phu!$I$7,M681=phu!$I$8,M681=phu!$I$9,M681=phu!$I$10,M681=phu!$I$11,M681=phu!$I$12,M681=phu!$I$13,M681=phu!$I$14),"Cam Nghĩa",""),IF(OR(M681=phu!$I$15,M681=phu!$I$16,M681=phu!$I$17,M681=phu!$I$18,M681=phu!$I$19,M681=phu!$I$20,M681=phu!$I$21),"Cam Phúc Bắc",""),IF(OR(M681=phu!$I$22,M681=phu!$I$23,M681=phu!$I$24,M681=phu!$I$25),"Cam Phúc Nam",""),IF(OR(M681=phu!$I$26,M681=phu!$I$27,M681=phu!$I$28,M681=phu!$I$29,M681=phu!$I$30,M681=phu!$I$31),"Cam Phú",""),IF(OR(M681=phu!$I$32,M681=phu!$I$33,M681=phu!$I$34,M681=phu!$I$35,M681=phu!$I$36,M681=phu!$I$37),"Cam Lộc",""),IF(OR(M681=phu!$I$38,M681=phu!$I$39,M681=phu!$I$40,M681=phu!$I$41,M681=phu!$I$42,M681=phu!$I$43,M681=phu!$I$44),"Cam Thuận",""),IF(OR(M681=phu!$I$45,M681=phu!$I$46,M681=phu!$I$47,M681=phu!$I$48,M681=phu!$I$49,M681=phu!$I$50,M681=phu!$I$51,M681=phu!$I$52,M681=phu!$I$53),"Cam Linh",""),IF(OR(M681=phu!$I$54,M681=phu!$I$55,M681=phu!$I$56,M681=phu!$I$57,M681=phu!$I$58,M681=phu!$I$59,M681=phu!$I$60,M681=phu!$I$61,M681=phu!$I$62),"Cam Lợi",""),IF(OR(M681=phu!$I$63,M681=phu!$I$64,M681=phu!$I$65,M681=phu!$I$66,M681=phu!$I$67,M681=phu!$I$68,M681=phu!$I$69,M681=phu!$I$70,M681=phu!$I$71),"Ba Ngòi",""),IF(OR(M681=phu!$I$72,M681=phu!$I$73,M681=phu!$I$74,M681=phu!$I$75,M681=phu!$I$76,M681=phu!$I$77,M681=phu!$I$78),"Cam Phước Đông",""),IF(OR(M681=phu!$I$79,M681=phu!$I$80,M681=phu!$I$81,M681=phu!$I$82,M681=phu!$I$83,M681=phu!$I$84),"Cam Thịnh Đông",""),IF(OR(M681=phu!$I$85,M681=phu!$I$86,M681=phu!$I$87,M681=phu!$I$88),"Cam Thịnh Tây",""),IF(OR(M681=phu!$I$89,M681=phu!$I$90),"Cam Lập",""),IF(OR(M681=phu!$I$91,M681=phu!$I$92,M681=phu!$I$93),"Cam Bình",""),IF(OR(M681=phu!$I$94,M681=phu!$I$95,M681=phu!$I$96,M681=phu!$I$97,M681=phu!$I$98,M681=phu!$I$99,M681=phu!$I$100),"Huyện khác",""),IF(OR(M681=phu!$I$101,M681=phu!$I$102),"Tỉnh khác",""))</f>
        <v/>
      </c>
      <c r="O681" s="829" t="str">
        <f t="shared" si="60"/>
        <v/>
      </c>
      <c r="P681" s="254"/>
      <c r="Q681" s="254"/>
      <c r="R681" s="254"/>
      <c r="S681" s="254"/>
      <c r="T681" s="254"/>
      <c r="U681" s="254"/>
      <c r="V681" s="254"/>
      <c r="W681" s="254"/>
      <c r="Y681" s="246" t="str">
        <f t="shared" si="61"/>
        <v/>
      </c>
      <c r="Z681" s="247" t="str">
        <f t="shared" si="65"/>
        <v/>
      </c>
      <c r="AA681" s="246" t="str">
        <f t="shared" si="62"/>
        <v/>
      </c>
    </row>
    <row r="682" spans="1:27" ht="18" customHeight="1" x14ac:dyDescent="0.25">
      <c r="A682" s="248" t="str">
        <f t="shared" si="63"/>
        <v/>
      </c>
      <c r="B682" s="249" t="str">
        <f t="shared" si="64"/>
        <v/>
      </c>
      <c r="C682" s="250"/>
      <c r="D682" s="251"/>
      <c r="E682" s="241"/>
      <c r="F682" s="252"/>
      <c r="G682" s="252"/>
      <c r="H682" s="253"/>
      <c r="I682" s="250"/>
      <c r="J682" s="250"/>
      <c r="K682" s="270"/>
      <c r="L682" s="250"/>
      <c r="M682" s="250"/>
      <c r="N682" s="540" t="str">
        <f>CONCATENATE(IF(OR(M682=phu!$I$1,M682=phu!$I$2,M682=phu!$I$3),"Cam Thành Nam",""),IF(OR(M682=phu!$I$4,M682=phu!$I$5,M682=phu!$I$6,M682=phu!$I$7,M682=phu!$I$8,M682=phu!$I$9,M682=phu!$I$10,M682=phu!$I$11,M682=phu!$I$12,M682=phu!$I$13,M682=phu!$I$14),"Cam Nghĩa",""),IF(OR(M682=phu!$I$15,M682=phu!$I$16,M682=phu!$I$17,M682=phu!$I$18,M682=phu!$I$19,M682=phu!$I$20,M682=phu!$I$21),"Cam Phúc Bắc",""),IF(OR(M682=phu!$I$22,M682=phu!$I$23,M682=phu!$I$24,M682=phu!$I$25),"Cam Phúc Nam",""),IF(OR(M682=phu!$I$26,M682=phu!$I$27,M682=phu!$I$28,M682=phu!$I$29,M682=phu!$I$30,M682=phu!$I$31),"Cam Phú",""),IF(OR(M682=phu!$I$32,M682=phu!$I$33,M682=phu!$I$34,M682=phu!$I$35,M682=phu!$I$36,M682=phu!$I$37),"Cam Lộc",""),IF(OR(M682=phu!$I$38,M682=phu!$I$39,M682=phu!$I$40,M682=phu!$I$41,M682=phu!$I$42,M682=phu!$I$43,M682=phu!$I$44),"Cam Thuận",""),IF(OR(M682=phu!$I$45,M682=phu!$I$46,M682=phu!$I$47,M682=phu!$I$48,M682=phu!$I$49,M682=phu!$I$50,M682=phu!$I$51,M682=phu!$I$52,M682=phu!$I$53),"Cam Linh",""),IF(OR(M682=phu!$I$54,M682=phu!$I$55,M682=phu!$I$56,M682=phu!$I$57,M682=phu!$I$58,M682=phu!$I$59,M682=phu!$I$60,M682=phu!$I$61,M682=phu!$I$62),"Cam Lợi",""),IF(OR(M682=phu!$I$63,M682=phu!$I$64,M682=phu!$I$65,M682=phu!$I$66,M682=phu!$I$67,M682=phu!$I$68,M682=phu!$I$69,M682=phu!$I$70,M682=phu!$I$71),"Ba Ngòi",""),IF(OR(M682=phu!$I$72,M682=phu!$I$73,M682=phu!$I$74,M682=phu!$I$75,M682=phu!$I$76,M682=phu!$I$77,M682=phu!$I$78),"Cam Phước Đông",""),IF(OR(M682=phu!$I$79,M682=phu!$I$80,M682=phu!$I$81,M682=phu!$I$82,M682=phu!$I$83,M682=phu!$I$84),"Cam Thịnh Đông",""),IF(OR(M682=phu!$I$85,M682=phu!$I$86,M682=phu!$I$87,M682=phu!$I$88),"Cam Thịnh Tây",""),IF(OR(M682=phu!$I$89,M682=phu!$I$90),"Cam Lập",""),IF(OR(M682=phu!$I$91,M682=phu!$I$92,M682=phu!$I$93),"Cam Bình",""),IF(OR(M682=phu!$I$94,M682=phu!$I$95,M682=phu!$I$96,M682=phu!$I$97,M682=phu!$I$98,M682=phu!$I$99,M682=phu!$I$100),"Huyện khác",""),IF(OR(M682=phu!$I$101,M682=phu!$I$102),"Tỉnh khác",""))</f>
        <v/>
      </c>
      <c r="O682" s="829" t="str">
        <f t="shared" si="60"/>
        <v/>
      </c>
      <c r="P682" s="254"/>
      <c r="Q682" s="254"/>
      <c r="R682" s="254"/>
      <c r="S682" s="254"/>
      <c r="T682" s="254"/>
      <c r="U682" s="254"/>
      <c r="V682" s="254"/>
      <c r="W682" s="254"/>
      <c r="Y682" s="246" t="str">
        <f t="shared" si="61"/>
        <v/>
      </c>
      <c r="Z682" s="247" t="str">
        <f t="shared" si="65"/>
        <v/>
      </c>
      <c r="AA682" s="246" t="str">
        <f t="shared" si="62"/>
        <v/>
      </c>
    </row>
    <row r="683" spans="1:27" ht="18" customHeight="1" x14ac:dyDescent="0.25">
      <c r="A683" s="248" t="str">
        <f t="shared" si="63"/>
        <v/>
      </c>
      <c r="B683" s="249" t="str">
        <f t="shared" si="64"/>
        <v/>
      </c>
      <c r="C683" s="250"/>
      <c r="D683" s="251"/>
      <c r="E683" s="241"/>
      <c r="F683" s="252"/>
      <c r="G683" s="252"/>
      <c r="H683" s="253"/>
      <c r="I683" s="250"/>
      <c r="J683" s="250"/>
      <c r="K683" s="270"/>
      <c r="L683" s="250"/>
      <c r="M683" s="250"/>
      <c r="N683" s="540" t="str">
        <f>CONCATENATE(IF(OR(M683=phu!$I$1,M683=phu!$I$2,M683=phu!$I$3),"Cam Thành Nam",""),IF(OR(M683=phu!$I$4,M683=phu!$I$5,M683=phu!$I$6,M683=phu!$I$7,M683=phu!$I$8,M683=phu!$I$9,M683=phu!$I$10,M683=phu!$I$11,M683=phu!$I$12,M683=phu!$I$13,M683=phu!$I$14),"Cam Nghĩa",""),IF(OR(M683=phu!$I$15,M683=phu!$I$16,M683=phu!$I$17,M683=phu!$I$18,M683=phu!$I$19,M683=phu!$I$20,M683=phu!$I$21),"Cam Phúc Bắc",""),IF(OR(M683=phu!$I$22,M683=phu!$I$23,M683=phu!$I$24,M683=phu!$I$25),"Cam Phúc Nam",""),IF(OR(M683=phu!$I$26,M683=phu!$I$27,M683=phu!$I$28,M683=phu!$I$29,M683=phu!$I$30,M683=phu!$I$31),"Cam Phú",""),IF(OR(M683=phu!$I$32,M683=phu!$I$33,M683=phu!$I$34,M683=phu!$I$35,M683=phu!$I$36,M683=phu!$I$37),"Cam Lộc",""),IF(OR(M683=phu!$I$38,M683=phu!$I$39,M683=phu!$I$40,M683=phu!$I$41,M683=phu!$I$42,M683=phu!$I$43,M683=phu!$I$44),"Cam Thuận",""),IF(OR(M683=phu!$I$45,M683=phu!$I$46,M683=phu!$I$47,M683=phu!$I$48,M683=phu!$I$49,M683=phu!$I$50,M683=phu!$I$51,M683=phu!$I$52,M683=phu!$I$53),"Cam Linh",""),IF(OR(M683=phu!$I$54,M683=phu!$I$55,M683=phu!$I$56,M683=phu!$I$57,M683=phu!$I$58,M683=phu!$I$59,M683=phu!$I$60,M683=phu!$I$61,M683=phu!$I$62),"Cam Lợi",""),IF(OR(M683=phu!$I$63,M683=phu!$I$64,M683=phu!$I$65,M683=phu!$I$66,M683=phu!$I$67,M683=phu!$I$68,M683=phu!$I$69,M683=phu!$I$70,M683=phu!$I$71),"Ba Ngòi",""),IF(OR(M683=phu!$I$72,M683=phu!$I$73,M683=phu!$I$74,M683=phu!$I$75,M683=phu!$I$76,M683=phu!$I$77,M683=phu!$I$78),"Cam Phước Đông",""),IF(OR(M683=phu!$I$79,M683=phu!$I$80,M683=phu!$I$81,M683=phu!$I$82,M683=phu!$I$83,M683=phu!$I$84),"Cam Thịnh Đông",""),IF(OR(M683=phu!$I$85,M683=phu!$I$86,M683=phu!$I$87,M683=phu!$I$88),"Cam Thịnh Tây",""),IF(OR(M683=phu!$I$89,M683=phu!$I$90),"Cam Lập",""),IF(OR(M683=phu!$I$91,M683=phu!$I$92,M683=phu!$I$93),"Cam Bình",""),IF(OR(M683=phu!$I$94,M683=phu!$I$95,M683=phu!$I$96,M683=phu!$I$97,M683=phu!$I$98,M683=phu!$I$99,M683=phu!$I$100),"Huyện khác",""),IF(OR(M683=phu!$I$101,M683=phu!$I$102),"Tỉnh khác",""))</f>
        <v/>
      </c>
      <c r="O683" s="829" t="str">
        <f t="shared" si="60"/>
        <v/>
      </c>
      <c r="P683" s="254"/>
      <c r="Q683" s="254"/>
      <c r="R683" s="254"/>
      <c r="S683" s="254"/>
      <c r="T683" s="254"/>
      <c r="U683" s="254"/>
      <c r="V683" s="254"/>
      <c r="W683" s="254"/>
      <c r="Y683" s="246" t="str">
        <f t="shared" si="61"/>
        <v/>
      </c>
      <c r="Z683" s="247" t="str">
        <f t="shared" si="65"/>
        <v/>
      </c>
      <c r="AA683" s="246" t="str">
        <f t="shared" si="62"/>
        <v/>
      </c>
    </row>
    <row r="684" spans="1:27" ht="18" customHeight="1" x14ac:dyDescent="0.25">
      <c r="A684" s="248" t="str">
        <f t="shared" si="63"/>
        <v/>
      </c>
      <c r="B684" s="249" t="str">
        <f t="shared" si="64"/>
        <v/>
      </c>
      <c r="C684" s="250"/>
      <c r="D684" s="251"/>
      <c r="E684" s="241"/>
      <c r="F684" s="252"/>
      <c r="G684" s="252"/>
      <c r="H684" s="253"/>
      <c r="I684" s="250"/>
      <c r="J684" s="250"/>
      <c r="K684" s="270"/>
      <c r="L684" s="250"/>
      <c r="M684" s="250"/>
      <c r="N684" s="540" t="str">
        <f>CONCATENATE(IF(OR(M684=phu!$I$1,M684=phu!$I$2,M684=phu!$I$3),"Cam Thành Nam",""),IF(OR(M684=phu!$I$4,M684=phu!$I$5,M684=phu!$I$6,M684=phu!$I$7,M684=phu!$I$8,M684=phu!$I$9,M684=phu!$I$10,M684=phu!$I$11,M684=phu!$I$12,M684=phu!$I$13,M684=phu!$I$14),"Cam Nghĩa",""),IF(OR(M684=phu!$I$15,M684=phu!$I$16,M684=phu!$I$17,M684=phu!$I$18,M684=phu!$I$19,M684=phu!$I$20,M684=phu!$I$21),"Cam Phúc Bắc",""),IF(OR(M684=phu!$I$22,M684=phu!$I$23,M684=phu!$I$24,M684=phu!$I$25),"Cam Phúc Nam",""),IF(OR(M684=phu!$I$26,M684=phu!$I$27,M684=phu!$I$28,M684=phu!$I$29,M684=phu!$I$30,M684=phu!$I$31),"Cam Phú",""),IF(OR(M684=phu!$I$32,M684=phu!$I$33,M684=phu!$I$34,M684=phu!$I$35,M684=phu!$I$36,M684=phu!$I$37),"Cam Lộc",""),IF(OR(M684=phu!$I$38,M684=phu!$I$39,M684=phu!$I$40,M684=phu!$I$41,M684=phu!$I$42,M684=phu!$I$43,M684=phu!$I$44),"Cam Thuận",""),IF(OR(M684=phu!$I$45,M684=phu!$I$46,M684=phu!$I$47,M684=phu!$I$48,M684=phu!$I$49,M684=phu!$I$50,M684=phu!$I$51,M684=phu!$I$52,M684=phu!$I$53),"Cam Linh",""),IF(OR(M684=phu!$I$54,M684=phu!$I$55,M684=phu!$I$56,M684=phu!$I$57,M684=phu!$I$58,M684=phu!$I$59,M684=phu!$I$60,M684=phu!$I$61,M684=phu!$I$62),"Cam Lợi",""),IF(OR(M684=phu!$I$63,M684=phu!$I$64,M684=phu!$I$65,M684=phu!$I$66,M684=phu!$I$67,M684=phu!$I$68,M684=phu!$I$69,M684=phu!$I$70,M684=phu!$I$71),"Ba Ngòi",""),IF(OR(M684=phu!$I$72,M684=phu!$I$73,M684=phu!$I$74,M684=phu!$I$75,M684=phu!$I$76,M684=phu!$I$77,M684=phu!$I$78),"Cam Phước Đông",""),IF(OR(M684=phu!$I$79,M684=phu!$I$80,M684=phu!$I$81,M684=phu!$I$82,M684=phu!$I$83,M684=phu!$I$84),"Cam Thịnh Đông",""),IF(OR(M684=phu!$I$85,M684=phu!$I$86,M684=phu!$I$87,M684=phu!$I$88),"Cam Thịnh Tây",""),IF(OR(M684=phu!$I$89,M684=phu!$I$90),"Cam Lập",""),IF(OR(M684=phu!$I$91,M684=phu!$I$92,M684=phu!$I$93),"Cam Bình",""),IF(OR(M684=phu!$I$94,M684=phu!$I$95,M684=phu!$I$96,M684=phu!$I$97,M684=phu!$I$98,M684=phu!$I$99,M684=phu!$I$100),"Huyện khác",""),IF(OR(M684=phu!$I$101,M684=phu!$I$102),"Tỉnh khác",""))</f>
        <v/>
      </c>
      <c r="O684" s="829" t="str">
        <f t="shared" si="60"/>
        <v/>
      </c>
      <c r="P684" s="254"/>
      <c r="Q684" s="254"/>
      <c r="R684" s="254"/>
      <c r="S684" s="254"/>
      <c r="T684" s="254"/>
      <c r="U684" s="254"/>
      <c r="V684" s="254"/>
      <c r="W684" s="254"/>
      <c r="Y684" s="246" t="str">
        <f t="shared" si="61"/>
        <v/>
      </c>
      <c r="Z684" s="247" t="str">
        <f t="shared" si="65"/>
        <v/>
      </c>
      <c r="AA684" s="246" t="str">
        <f t="shared" si="62"/>
        <v/>
      </c>
    </row>
    <row r="685" spans="1:27" ht="18" customHeight="1" x14ac:dyDescent="0.25">
      <c r="A685" s="248" t="str">
        <f t="shared" si="63"/>
        <v/>
      </c>
      <c r="B685" s="249" t="str">
        <f t="shared" si="64"/>
        <v/>
      </c>
      <c r="C685" s="250"/>
      <c r="D685" s="251"/>
      <c r="E685" s="241"/>
      <c r="F685" s="252"/>
      <c r="G685" s="252"/>
      <c r="H685" s="253"/>
      <c r="I685" s="250"/>
      <c r="J685" s="250"/>
      <c r="K685" s="270"/>
      <c r="L685" s="250"/>
      <c r="M685" s="250"/>
      <c r="N685" s="540" t="str">
        <f>CONCATENATE(IF(OR(M685=phu!$I$1,M685=phu!$I$2,M685=phu!$I$3),"Cam Thành Nam",""),IF(OR(M685=phu!$I$4,M685=phu!$I$5,M685=phu!$I$6,M685=phu!$I$7,M685=phu!$I$8,M685=phu!$I$9,M685=phu!$I$10,M685=phu!$I$11,M685=phu!$I$12,M685=phu!$I$13,M685=phu!$I$14),"Cam Nghĩa",""),IF(OR(M685=phu!$I$15,M685=phu!$I$16,M685=phu!$I$17,M685=phu!$I$18,M685=phu!$I$19,M685=phu!$I$20,M685=phu!$I$21),"Cam Phúc Bắc",""),IF(OR(M685=phu!$I$22,M685=phu!$I$23,M685=phu!$I$24,M685=phu!$I$25),"Cam Phúc Nam",""),IF(OR(M685=phu!$I$26,M685=phu!$I$27,M685=phu!$I$28,M685=phu!$I$29,M685=phu!$I$30,M685=phu!$I$31),"Cam Phú",""),IF(OR(M685=phu!$I$32,M685=phu!$I$33,M685=phu!$I$34,M685=phu!$I$35,M685=phu!$I$36,M685=phu!$I$37),"Cam Lộc",""),IF(OR(M685=phu!$I$38,M685=phu!$I$39,M685=phu!$I$40,M685=phu!$I$41,M685=phu!$I$42,M685=phu!$I$43,M685=phu!$I$44),"Cam Thuận",""),IF(OR(M685=phu!$I$45,M685=phu!$I$46,M685=phu!$I$47,M685=phu!$I$48,M685=phu!$I$49,M685=phu!$I$50,M685=phu!$I$51,M685=phu!$I$52,M685=phu!$I$53),"Cam Linh",""),IF(OR(M685=phu!$I$54,M685=phu!$I$55,M685=phu!$I$56,M685=phu!$I$57,M685=phu!$I$58,M685=phu!$I$59,M685=phu!$I$60,M685=phu!$I$61,M685=phu!$I$62),"Cam Lợi",""),IF(OR(M685=phu!$I$63,M685=phu!$I$64,M685=phu!$I$65,M685=phu!$I$66,M685=phu!$I$67,M685=phu!$I$68,M685=phu!$I$69,M685=phu!$I$70,M685=phu!$I$71),"Ba Ngòi",""),IF(OR(M685=phu!$I$72,M685=phu!$I$73,M685=phu!$I$74,M685=phu!$I$75,M685=phu!$I$76,M685=phu!$I$77,M685=phu!$I$78),"Cam Phước Đông",""),IF(OR(M685=phu!$I$79,M685=phu!$I$80,M685=phu!$I$81,M685=phu!$I$82,M685=phu!$I$83,M685=phu!$I$84),"Cam Thịnh Đông",""),IF(OR(M685=phu!$I$85,M685=phu!$I$86,M685=phu!$I$87,M685=phu!$I$88),"Cam Thịnh Tây",""),IF(OR(M685=phu!$I$89,M685=phu!$I$90),"Cam Lập",""),IF(OR(M685=phu!$I$91,M685=phu!$I$92,M685=phu!$I$93),"Cam Bình",""),IF(OR(M685=phu!$I$94,M685=phu!$I$95,M685=phu!$I$96,M685=phu!$I$97,M685=phu!$I$98,M685=phu!$I$99,M685=phu!$I$100),"Huyện khác",""),IF(OR(M685=phu!$I$101,M685=phu!$I$102),"Tỉnh khác",""))</f>
        <v/>
      </c>
      <c r="O685" s="829" t="str">
        <f t="shared" si="60"/>
        <v/>
      </c>
      <c r="P685" s="254"/>
      <c r="Q685" s="254"/>
      <c r="R685" s="254"/>
      <c r="S685" s="254"/>
      <c r="T685" s="254"/>
      <c r="U685" s="254"/>
      <c r="V685" s="254"/>
      <c r="W685" s="254"/>
      <c r="Y685" s="246" t="str">
        <f t="shared" si="61"/>
        <v/>
      </c>
      <c r="Z685" s="247" t="str">
        <f t="shared" si="65"/>
        <v/>
      </c>
      <c r="AA685" s="246" t="str">
        <f t="shared" si="62"/>
        <v/>
      </c>
    </row>
    <row r="686" spans="1:27" ht="18" customHeight="1" x14ac:dyDescent="0.25">
      <c r="A686" s="248" t="str">
        <f t="shared" si="63"/>
        <v/>
      </c>
      <c r="B686" s="249" t="str">
        <f t="shared" si="64"/>
        <v/>
      </c>
      <c r="C686" s="250"/>
      <c r="D686" s="251"/>
      <c r="E686" s="241"/>
      <c r="F686" s="252"/>
      <c r="G686" s="252"/>
      <c r="H686" s="253"/>
      <c r="I686" s="250"/>
      <c r="J686" s="250"/>
      <c r="K686" s="270"/>
      <c r="L686" s="250"/>
      <c r="M686" s="250"/>
      <c r="N686" s="540" t="str">
        <f>CONCATENATE(IF(OR(M686=phu!$I$1,M686=phu!$I$2,M686=phu!$I$3),"Cam Thành Nam",""),IF(OR(M686=phu!$I$4,M686=phu!$I$5,M686=phu!$I$6,M686=phu!$I$7,M686=phu!$I$8,M686=phu!$I$9,M686=phu!$I$10,M686=phu!$I$11,M686=phu!$I$12,M686=phu!$I$13,M686=phu!$I$14),"Cam Nghĩa",""),IF(OR(M686=phu!$I$15,M686=phu!$I$16,M686=phu!$I$17,M686=phu!$I$18,M686=phu!$I$19,M686=phu!$I$20,M686=phu!$I$21),"Cam Phúc Bắc",""),IF(OR(M686=phu!$I$22,M686=phu!$I$23,M686=phu!$I$24,M686=phu!$I$25),"Cam Phúc Nam",""),IF(OR(M686=phu!$I$26,M686=phu!$I$27,M686=phu!$I$28,M686=phu!$I$29,M686=phu!$I$30,M686=phu!$I$31),"Cam Phú",""),IF(OR(M686=phu!$I$32,M686=phu!$I$33,M686=phu!$I$34,M686=phu!$I$35,M686=phu!$I$36,M686=phu!$I$37),"Cam Lộc",""),IF(OR(M686=phu!$I$38,M686=phu!$I$39,M686=phu!$I$40,M686=phu!$I$41,M686=phu!$I$42,M686=phu!$I$43,M686=phu!$I$44),"Cam Thuận",""),IF(OR(M686=phu!$I$45,M686=phu!$I$46,M686=phu!$I$47,M686=phu!$I$48,M686=phu!$I$49,M686=phu!$I$50,M686=phu!$I$51,M686=phu!$I$52,M686=phu!$I$53),"Cam Linh",""),IF(OR(M686=phu!$I$54,M686=phu!$I$55,M686=phu!$I$56,M686=phu!$I$57,M686=phu!$I$58,M686=phu!$I$59,M686=phu!$I$60,M686=phu!$I$61,M686=phu!$I$62),"Cam Lợi",""),IF(OR(M686=phu!$I$63,M686=phu!$I$64,M686=phu!$I$65,M686=phu!$I$66,M686=phu!$I$67,M686=phu!$I$68,M686=phu!$I$69,M686=phu!$I$70,M686=phu!$I$71),"Ba Ngòi",""),IF(OR(M686=phu!$I$72,M686=phu!$I$73,M686=phu!$I$74,M686=phu!$I$75,M686=phu!$I$76,M686=phu!$I$77,M686=phu!$I$78),"Cam Phước Đông",""),IF(OR(M686=phu!$I$79,M686=phu!$I$80,M686=phu!$I$81,M686=phu!$I$82,M686=phu!$I$83,M686=phu!$I$84),"Cam Thịnh Đông",""),IF(OR(M686=phu!$I$85,M686=phu!$I$86,M686=phu!$I$87,M686=phu!$I$88),"Cam Thịnh Tây",""),IF(OR(M686=phu!$I$89,M686=phu!$I$90),"Cam Lập",""),IF(OR(M686=phu!$I$91,M686=phu!$I$92,M686=phu!$I$93),"Cam Bình",""),IF(OR(M686=phu!$I$94,M686=phu!$I$95,M686=phu!$I$96,M686=phu!$I$97,M686=phu!$I$98,M686=phu!$I$99,M686=phu!$I$100),"Huyện khác",""),IF(OR(M686=phu!$I$101,M686=phu!$I$102),"Tỉnh khác",""))</f>
        <v/>
      </c>
      <c r="O686" s="829" t="str">
        <f t="shared" si="60"/>
        <v/>
      </c>
      <c r="P686" s="254"/>
      <c r="Q686" s="254"/>
      <c r="R686" s="254"/>
      <c r="S686" s="254"/>
      <c r="T686" s="254"/>
      <c r="U686" s="254"/>
      <c r="V686" s="254"/>
      <c r="W686" s="254"/>
      <c r="Y686" s="246" t="str">
        <f t="shared" si="61"/>
        <v/>
      </c>
      <c r="Z686" s="247" t="str">
        <f t="shared" si="65"/>
        <v/>
      </c>
      <c r="AA686" s="246" t="str">
        <f t="shared" si="62"/>
        <v/>
      </c>
    </row>
    <row r="687" spans="1:27" ht="18" customHeight="1" x14ac:dyDescent="0.25">
      <c r="A687" s="248" t="str">
        <f t="shared" si="63"/>
        <v/>
      </c>
      <c r="B687" s="249" t="str">
        <f t="shared" si="64"/>
        <v/>
      </c>
      <c r="C687" s="250"/>
      <c r="D687" s="251"/>
      <c r="E687" s="241"/>
      <c r="F687" s="252"/>
      <c r="G687" s="252"/>
      <c r="H687" s="253"/>
      <c r="I687" s="250"/>
      <c r="J687" s="250"/>
      <c r="K687" s="270"/>
      <c r="L687" s="250"/>
      <c r="M687" s="250"/>
      <c r="N687" s="540" t="str">
        <f>CONCATENATE(IF(OR(M687=phu!$I$1,M687=phu!$I$2,M687=phu!$I$3),"Cam Thành Nam",""),IF(OR(M687=phu!$I$4,M687=phu!$I$5,M687=phu!$I$6,M687=phu!$I$7,M687=phu!$I$8,M687=phu!$I$9,M687=phu!$I$10,M687=phu!$I$11,M687=phu!$I$12,M687=phu!$I$13,M687=phu!$I$14),"Cam Nghĩa",""),IF(OR(M687=phu!$I$15,M687=phu!$I$16,M687=phu!$I$17,M687=phu!$I$18,M687=phu!$I$19,M687=phu!$I$20,M687=phu!$I$21),"Cam Phúc Bắc",""),IF(OR(M687=phu!$I$22,M687=phu!$I$23,M687=phu!$I$24,M687=phu!$I$25),"Cam Phúc Nam",""),IF(OR(M687=phu!$I$26,M687=phu!$I$27,M687=phu!$I$28,M687=phu!$I$29,M687=phu!$I$30,M687=phu!$I$31),"Cam Phú",""),IF(OR(M687=phu!$I$32,M687=phu!$I$33,M687=phu!$I$34,M687=phu!$I$35,M687=phu!$I$36,M687=phu!$I$37),"Cam Lộc",""),IF(OR(M687=phu!$I$38,M687=phu!$I$39,M687=phu!$I$40,M687=phu!$I$41,M687=phu!$I$42,M687=phu!$I$43,M687=phu!$I$44),"Cam Thuận",""),IF(OR(M687=phu!$I$45,M687=phu!$I$46,M687=phu!$I$47,M687=phu!$I$48,M687=phu!$I$49,M687=phu!$I$50,M687=phu!$I$51,M687=phu!$I$52,M687=phu!$I$53),"Cam Linh",""),IF(OR(M687=phu!$I$54,M687=phu!$I$55,M687=phu!$I$56,M687=phu!$I$57,M687=phu!$I$58,M687=phu!$I$59,M687=phu!$I$60,M687=phu!$I$61,M687=phu!$I$62),"Cam Lợi",""),IF(OR(M687=phu!$I$63,M687=phu!$I$64,M687=phu!$I$65,M687=phu!$I$66,M687=phu!$I$67,M687=phu!$I$68,M687=phu!$I$69,M687=phu!$I$70,M687=phu!$I$71),"Ba Ngòi",""),IF(OR(M687=phu!$I$72,M687=phu!$I$73,M687=phu!$I$74,M687=phu!$I$75,M687=phu!$I$76,M687=phu!$I$77,M687=phu!$I$78),"Cam Phước Đông",""),IF(OR(M687=phu!$I$79,M687=phu!$I$80,M687=phu!$I$81,M687=phu!$I$82,M687=phu!$I$83,M687=phu!$I$84),"Cam Thịnh Đông",""),IF(OR(M687=phu!$I$85,M687=phu!$I$86,M687=phu!$I$87,M687=phu!$I$88),"Cam Thịnh Tây",""),IF(OR(M687=phu!$I$89,M687=phu!$I$90),"Cam Lập",""),IF(OR(M687=phu!$I$91,M687=phu!$I$92,M687=phu!$I$93),"Cam Bình",""),IF(OR(M687=phu!$I$94,M687=phu!$I$95,M687=phu!$I$96,M687=phu!$I$97,M687=phu!$I$98,M687=phu!$I$99,M687=phu!$I$100),"Huyện khác",""),IF(OR(M687=phu!$I$101,M687=phu!$I$102),"Tỉnh khác",""))</f>
        <v/>
      </c>
      <c r="O687" s="829" t="str">
        <f t="shared" si="60"/>
        <v/>
      </c>
      <c r="P687" s="254"/>
      <c r="Q687" s="254"/>
      <c r="R687" s="254"/>
      <c r="S687" s="254"/>
      <c r="T687" s="254"/>
      <c r="U687" s="254"/>
      <c r="V687" s="254"/>
      <c r="W687" s="254"/>
      <c r="Y687" s="246" t="str">
        <f t="shared" si="61"/>
        <v/>
      </c>
      <c r="Z687" s="247" t="str">
        <f t="shared" si="65"/>
        <v/>
      </c>
      <c r="AA687" s="246" t="str">
        <f t="shared" si="62"/>
        <v/>
      </c>
    </row>
    <row r="688" spans="1:27" ht="18" customHeight="1" x14ac:dyDescent="0.25">
      <c r="A688" s="248" t="str">
        <f t="shared" si="63"/>
        <v/>
      </c>
      <c r="B688" s="249" t="str">
        <f t="shared" si="64"/>
        <v/>
      </c>
      <c r="C688" s="250"/>
      <c r="D688" s="251"/>
      <c r="E688" s="241"/>
      <c r="F688" s="252"/>
      <c r="G688" s="252"/>
      <c r="H688" s="253"/>
      <c r="I688" s="250"/>
      <c r="J688" s="250"/>
      <c r="K688" s="270"/>
      <c r="L688" s="250"/>
      <c r="M688" s="250"/>
      <c r="N688" s="540" t="str">
        <f>CONCATENATE(IF(OR(M688=phu!$I$1,M688=phu!$I$2,M688=phu!$I$3),"Cam Thành Nam",""),IF(OR(M688=phu!$I$4,M688=phu!$I$5,M688=phu!$I$6,M688=phu!$I$7,M688=phu!$I$8,M688=phu!$I$9,M688=phu!$I$10,M688=phu!$I$11,M688=phu!$I$12,M688=phu!$I$13,M688=phu!$I$14),"Cam Nghĩa",""),IF(OR(M688=phu!$I$15,M688=phu!$I$16,M688=phu!$I$17,M688=phu!$I$18,M688=phu!$I$19,M688=phu!$I$20,M688=phu!$I$21),"Cam Phúc Bắc",""),IF(OR(M688=phu!$I$22,M688=phu!$I$23,M688=phu!$I$24,M688=phu!$I$25),"Cam Phúc Nam",""),IF(OR(M688=phu!$I$26,M688=phu!$I$27,M688=phu!$I$28,M688=phu!$I$29,M688=phu!$I$30,M688=phu!$I$31),"Cam Phú",""),IF(OR(M688=phu!$I$32,M688=phu!$I$33,M688=phu!$I$34,M688=phu!$I$35,M688=phu!$I$36,M688=phu!$I$37),"Cam Lộc",""),IF(OR(M688=phu!$I$38,M688=phu!$I$39,M688=phu!$I$40,M688=phu!$I$41,M688=phu!$I$42,M688=phu!$I$43,M688=phu!$I$44),"Cam Thuận",""),IF(OR(M688=phu!$I$45,M688=phu!$I$46,M688=phu!$I$47,M688=phu!$I$48,M688=phu!$I$49,M688=phu!$I$50,M688=phu!$I$51,M688=phu!$I$52,M688=phu!$I$53),"Cam Linh",""),IF(OR(M688=phu!$I$54,M688=phu!$I$55,M688=phu!$I$56,M688=phu!$I$57,M688=phu!$I$58,M688=phu!$I$59,M688=phu!$I$60,M688=phu!$I$61,M688=phu!$I$62),"Cam Lợi",""),IF(OR(M688=phu!$I$63,M688=phu!$I$64,M688=phu!$I$65,M688=phu!$I$66,M688=phu!$I$67,M688=phu!$I$68,M688=phu!$I$69,M688=phu!$I$70,M688=phu!$I$71),"Ba Ngòi",""),IF(OR(M688=phu!$I$72,M688=phu!$I$73,M688=phu!$I$74,M688=phu!$I$75,M688=phu!$I$76,M688=phu!$I$77,M688=phu!$I$78),"Cam Phước Đông",""),IF(OR(M688=phu!$I$79,M688=phu!$I$80,M688=phu!$I$81,M688=phu!$I$82,M688=phu!$I$83,M688=phu!$I$84),"Cam Thịnh Đông",""),IF(OR(M688=phu!$I$85,M688=phu!$I$86,M688=phu!$I$87,M688=phu!$I$88),"Cam Thịnh Tây",""),IF(OR(M688=phu!$I$89,M688=phu!$I$90),"Cam Lập",""),IF(OR(M688=phu!$I$91,M688=phu!$I$92,M688=phu!$I$93),"Cam Bình",""),IF(OR(M688=phu!$I$94,M688=phu!$I$95,M688=phu!$I$96,M688=phu!$I$97,M688=phu!$I$98,M688=phu!$I$99,M688=phu!$I$100),"Huyện khác",""),IF(OR(M688=phu!$I$101,M688=phu!$I$102),"Tỉnh khác",""))</f>
        <v/>
      </c>
      <c r="O688" s="829" t="str">
        <f t="shared" si="60"/>
        <v/>
      </c>
      <c r="P688" s="254"/>
      <c r="Q688" s="254"/>
      <c r="R688" s="254"/>
      <c r="S688" s="254"/>
      <c r="T688" s="254"/>
      <c r="U688" s="254"/>
      <c r="V688" s="254"/>
      <c r="W688" s="254"/>
      <c r="Y688" s="246" t="str">
        <f t="shared" si="61"/>
        <v/>
      </c>
      <c r="Z688" s="247" t="str">
        <f t="shared" si="65"/>
        <v/>
      </c>
      <c r="AA688" s="246" t="str">
        <f t="shared" si="62"/>
        <v/>
      </c>
    </row>
    <row r="689" spans="1:27" ht="18" customHeight="1" x14ac:dyDescent="0.25">
      <c r="A689" s="248" t="str">
        <f t="shared" si="63"/>
        <v/>
      </c>
      <c r="B689" s="249" t="str">
        <f t="shared" si="64"/>
        <v/>
      </c>
      <c r="C689" s="250"/>
      <c r="D689" s="251"/>
      <c r="E689" s="241"/>
      <c r="F689" s="252"/>
      <c r="G689" s="252"/>
      <c r="H689" s="253"/>
      <c r="I689" s="250"/>
      <c r="J689" s="250"/>
      <c r="K689" s="270"/>
      <c r="L689" s="250"/>
      <c r="M689" s="250"/>
      <c r="N689" s="540" t="str">
        <f>CONCATENATE(IF(OR(M689=phu!$I$1,M689=phu!$I$2,M689=phu!$I$3),"Cam Thành Nam",""),IF(OR(M689=phu!$I$4,M689=phu!$I$5,M689=phu!$I$6,M689=phu!$I$7,M689=phu!$I$8,M689=phu!$I$9,M689=phu!$I$10,M689=phu!$I$11,M689=phu!$I$12,M689=phu!$I$13,M689=phu!$I$14),"Cam Nghĩa",""),IF(OR(M689=phu!$I$15,M689=phu!$I$16,M689=phu!$I$17,M689=phu!$I$18,M689=phu!$I$19,M689=phu!$I$20,M689=phu!$I$21),"Cam Phúc Bắc",""),IF(OR(M689=phu!$I$22,M689=phu!$I$23,M689=phu!$I$24,M689=phu!$I$25),"Cam Phúc Nam",""),IF(OR(M689=phu!$I$26,M689=phu!$I$27,M689=phu!$I$28,M689=phu!$I$29,M689=phu!$I$30,M689=phu!$I$31),"Cam Phú",""),IF(OR(M689=phu!$I$32,M689=phu!$I$33,M689=phu!$I$34,M689=phu!$I$35,M689=phu!$I$36,M689=phu!$I$37),"Cam Lộc",""),IF(OR(M689=phu!$I$38,M689=phu!$I$39,M689=phu!$I$40,M689=phu!$I$41,M689=phu!$I$42,M689=phu!$I$43,M689=phu!$I$44),"Cam Thuận",""),IF(OR(M689=phu!$I$45,M689=phu!$I$46,M689=phu!$I$47,M689=phu!$I$48,M689=phu!$I$49,M689=phu!$I$50,M689=phu!$I$51,M689=phu!$I$52,M689=phu!$I$53),"Cam Linh",""),IF(OR(M689=phu!$I$54,M689=phu!$I$55,M689=phu!$I$56,M689=phu!$I$57,M689=phu!$I$58,M689=phu!$I$59,M689=phu!$I$60,M689=phu!$I$61,M689=phu!$I$62),"Cam Lợi",""),IF(OR(M689=phu!$I$63,M689=phu!$I$64,M689=phu!$I$65,M689=phu!$I$66,M689=phu!$I$67,M689=phu!$I$68,M689=phu!$I$69,M689=phu!$I$70,M689=phu!$I$71),"Ba Ngòi",""),IF(OR(M689=phu!$I$72,M689=phu!$I$73,M689=phu!$I$74,M689=phu!$I$75,M689=phu!$I$76,M689=phu!$I$77,M689=phu!$I$78),"Cam Phước Đông",""),IF(OR(M689=phu!$I$79,M689=phu!$I$80,M689=phu!$I$81,M689=phu!$I$82,M689=phu!$I$83,M689=phu!$I$84),"Cam Thịnh Đông",""),IF(OR(M689=phu!$I$85,M689=phu!$I$86,M689=phu!$I$87,M689=phu!$I$88),"Cam Thịnh Tây",""),IF(OR(M689=phu!$I$89,M689=phu!$I$90),"Cam Lập",""),IF(OR(M689=phu!$I$91,M689=phu!$I$92,M689=phu!$I$93),"Cam Bình",""),IF(OR(M689=phu!$I$94,M689=phu!$I$95,M689=phu!$I$96,M689=phu!$I$97,M689=phu!$I$98,M689=phu!$I$99,M689=phu!$I$100),"Huyện khác",""),IF(OR(M689=phu!$I$101,M689=phu!$I$102),"Tỉnh khác",""))</f>
        <v/>
      </c>
      <c r="O689" s="829" t="str">
        <f t="shared" si="60"/>
        <v/>
      </c>
      <c r="P689" s="254"/>
      <c r="Q689" s="254"/>
      <c r="R689" s="254"/>
      <c r="S689" s="254"/>
      <c r="T689" s="254"/>
      <c r="U689" s="254"/>
      <c r="V689" s="254"/>
      <c r="W689" s="254"/>
      <c r="Y689" s="246" t="str">
        <f t="shared" si="61"/>
        <v/>
      </c>
      <c r="Z689" s="247" t="str">
        <f t="shared" si="65"/>
        <v/>
      </c>
      <c r="AA689" s="246" t="str">
        <f t="shared" si="62"/>
        <v/>
      </c>
    </row>
    <row r="690" spans="1:27" ht="18" customHeight="1" x14ac:dyDescent="0.25">
      <c r="A690" s="248" t="str">
        <f t="shared" si="63"/>
        <v/>
      </c>
      <c r="B690" s="249" t="str">
        <f t="shared" si="64"/>
        <v/>
      </c>
      <c r="C690" s="250"/>
      <c r="D690" s="251"/>
      <c r="E690" s="241"/>
      <c r="F690" s="252"/>
      <c r="G690" s="252"/>
      <c r="H690" s="253"/>
      <c r="I690" s="250"/>
      <c r="J690" s="250"/>
      <c r="K690" s="270"/>
      <c r="L690" s="250"/>
      <c r="M690" s="250"/>
      <c r="N690" s="540" t="str">
        <f>CONCATENATE(IF(OR(M690=phu!$I$1,M690=phu!$I$2,M690=phu!$I$3),"Cam Thành Nam",""),IF(OR(M690=phu!$I$4,M690=phu!$I$5,M690=phu!$I$6,M690=phu!$I$7,M690=phu!$I$8,M690=phu!$I$9,M690=phu!$I$10,M690=phu!$I$11,M690=phu!$I$12,M690=phu!$I$13,M690=phu!$I$14),"Cam Nghĩa",""),IF(OR(M690=phu!$I$15,M690=phu!$I$16,M690=phu!$I$17,M690=phu!$I$18,M690=phu!$I$19,M690=phu!$I$20,M690=phu!$I$21),"Cam Phúc Bắc",""),IF(OR(M690=phu!$I$22,M690=phu!$I$23,M690=phu!$I$24,M690=phu!$I$25),"Cam Phúc Nam",""),IF(OR(M690=phu!$I$26,M690=phu!$I$27,M690=phu!$I$28,M690=phu!$I$29,M690=phu!$I$30,M690=phu!$I$31),"Cam Phú",""),IF(OR(M690=phu!$I$32,M690=phu!$I$33,M690=phu!$I$34,M690=phu!$I$35,M690=phu!$I$36,M690=phu!$I$37),"Cam Lộc",""),IF(OR(M690=phu!$I$38,M690=phu!$I$39,M690=phu!$I$40,M690=phu!$I$41,M690=phu!$I$42,M690=phu!$I$43,M690=phu!$I$44),"Cam Thuận",""),IF(OR(M690=phu!$I$45,M690=phu!$I$46,M690=phu!$I$47,M690=phu!$I$48,M690=phu!$I$49,M690=phu!$I$50,M690=phu!$I$51,M690=phu!$I$52,M690=phu!$I$53),"Cam Linh",""),IF(OR(M690=phu!$I$54,M690=phu!$I$55,M690=phu!$I$56,M690=phu!$I$57,M690=phu!$I$58,M690=phu!$I$59,M690=phu!$I$60,M690=phu!$I$61,M690=phu!$I$62),"Cam Lợi",""),IF(OR(M690=phu!$I$63,M690=phu!$I$64,M690=phu!$I$65,M690=phu!$I$66,M690=phu!$I$67,M690=phu!$I$68,M690=phu!$I$69,M690=phu!$I$70,M690=phu!$I$71),"Ba Ngòi",""),IF(OR(M690=phu!$I$72,M690=phu!$I$73,M690=phu!$I$74,M690=phu!$I$75,M690=phu!$I$76,M690=phu!$I$77,M690=phu!$I$78),"Cam Phước Đông",""),IF(OR(M690=phu!$I$79,M690=phu!$I$80,M690=phu!$I$81,M690=phu!$I$82,M690=phu!$I$83,M690=phu!$I$84),"Cam Thịnh Đông",""),IF(OR(M690=phu!$I$85,M690=phu!$I$86,M690=phu!$I$87,M690=phu!$I$88),"Cam Thịnh Tây",""),IF(OR(M690=phu!$I$89,M690=phu!$I$90),"Cam Lập",""),IF(OR(M690=phu!$I$91,M690=phu!$I$92,M690=phu!$I$93),"Cam Bình",""),IF(OR(M690=phu!$I$94,M690=phu!$I$95,M690=phu!$I$96,M690=phu!$I$97,M690=phu!$I$98,M690=phu!$I$99,M690=phu!$I$100),"Huyện khác",""),IF(OR(M690=phu!$I$101,M690=phu!$I$102),"Tỉnh khác",""))</f>
        <v/>
      </c>
      <c r="O690" s="829" t="str">
        <f t="shared" si="60"/>
        <v/>
      </c>
      <c r="P690" s="254"/>
      <c r="Q690" s="254"/>
      <c r="R690" s="254"/>
      <c r="S690" s="254"/>
      <c r="T690" s="254"/>
      <c r="U690" s="254"/>
      <c r="V690" s="254"/>
      <c r="W690" s="254"/>
      <c r="Y690" s="246" t="str">
        <f t="shared" si="61"/>
        <v/>
      </c>
      <c r="Z690" s="247" t="str">
        <f t="shared" si="65"/>
        <v/>
      </c>
      <c r="AA690" s="246" t="str">
        <f t="shared" si="62"/>
        <v/>
      </c>
    </row>
    <row r="691" spans="1:27" ht="18" customHeight="1" x14ac:dyDescent="0.25">
      <c r="A691" s="248" t="str">
        <f t="shared" si="63"/>
        <v/>
      </c>
      <c r="B691" s="249" t="str">
        <f t="shared" si="64"/>
        <v/>
      </c>
      <c r="C691" s="250"/>
      <c r="D691" s="251"/>
      <c r="E691" s="241"/>
      <c r="F691" s="252"/>
      <c r="G691" s="252"/>
      <c r="H691" s="253"/>
      <c r="I691" s="250"/>
      <c r="J691" s="250"/>
      <c r="K691" s="270"/>
      <c r="L691" s="250"/>
      <c r="M691" s="250"/>
      <c r="N691" s="540" t="str">
        <f>CONCATENATE(IF(OR(M691=phu!$I$1,M691=phu!$I$2,M691=phu!$I$3),"Cam Thành Nam",""),IF(OR(M691=phu!$I$4,M691=phu!$I$5,M691=phu!$I$6,M691=phu!$I$7,M691=phu!$I$8,M691=phu!$I$9,M691=phu!$I$10,M691=phu!$I$11,M691=phu!$I$12,M691=phu!$I$13,M691=phu!$I$14),"Cam Nghĩa",""),IF(OR(M691=phu!$I$15,M691=phu!$I$16,M691=phu!$I$17,M691=phu!$I$18,M691=phu!$I$19,M691=phu!$I$20,M691=phu!$I$21),"Cam Phúc Bắc",""),IF(OR(M691=phu!$I$22,M691=phu!$I$23,M691=phu!$I$24,M691=phu!$I$25),"Cam Phúc Nam",""),IF(OR(M691=phu!$I$26,M691=phu!$I$27,M691=phu!$I$28,M691=phu!$I$29,M691=phu!$I$30,M691=phu!$I$31),"Cam Phú",""),IF(OR(M691=phu!$I$32,M691=phu!$I$33,M691=phu!$I$34,M691=phu!$I$35,M691=phu!$I$36,M691=phu!$I$37),"Cam Lộc",""),IF(OR(M691=phu!$I$38,M691=phu!$I$39,M691=phu!$I$40,M691=phu!$I$41,M691=phu!$I$42,M691=phu!$I$43,M691=phu!$I$44),"Cam Thuận",""),IF(OR(M691=phu!$I$45,M691=phu!$I$46,M691=phu!$I$47,M691=phu!$I$48,M691=phu!$I$49,M691=phu!$I$50,M691=phu!$I$51,M691=phu!$I$52,M691=phu!$I$53),"Cam Linh",""),IF(OR(M691=phu!$I$54,M691=phu!$I$55,M691=phu!$I$56,M691=phu!$I$57,M691=phu!$I$58,M691=phu!$I$59,M691=phu!$I$60,M691=phu!$I$61,M691=phu!$I$62),"Cam Lợi",""),IF(OR(M691=phu!$I$63,M691=phu!$I$64,M691=phu!$I$65,M691=phu!$I$66,M691=phu!$I$67,M691=phu!$I$68,M691=phu!$I$69,M691=phu!$I$70,M691=phu!$I$71),"Ba Ngòi",""),IF(OR(M691=phu!$I$72,M691=phu!$I$73,M691=phu!$I$74,M691=phu!$I$75,M691=phu!$I$76,M691=phu!$I$77,M691=phu!$I$78),"Cam Phước Đông",""),IF(OR(M691=phu!$I$79,M691=phu!$I$80,M691=phu!$I$81,M691=phu!$I$82,M691=phu!$I$83,M691=phu!$I$84),"Cam Thịnh Đông",""),IF(OR(M691=phu!$I$85,M691=phu!$I$86,M691=phu!$I$87,M691=phu!$I$88),"Cam Thịnh Tây",""),IF(OR(M691=phu!$I$89,M691=phu!$I$90),"Cam Lập",""),IF(OR(M691=phu!$I$91,M691=phu!$I$92,M691=phu!$I$93),"Cam Bình",""),IF(OR(M691=phu!$I$94,M691=phu!$I$95,M691=phu!$I$96,M691=phu!$I$97,M691=phu!$I$98,M691=phu!$I$99,M691=phu!$I$100),"Huyện khác",""),IF(OR(M691=phu!$I$101,M691=phu!$I$102),"Tỉnh khác",""))</f>
        <v/>
      </c>
      <c r="O691" s="829" t="str">
        <f t="shared" si="60"/>
        <v/>
      </c>
      <c r="P691" s="254"/>
      <c r="Q691" s="254"/>
      <c r="R691" s="254"/>
      <c r="S691" s="254"/>
      <c r="T691" s="254"/>
      <c r="U691" s="254"/>
      <c r="V691" s="254"/>
      <c r="W691" s="254"/>
      <c r="Y691" s="246" t="str">
        <f t="shared" si="61"/>
        <v/>
      </c>
      <c r="Z691" s="247" t="str">
        <f t="shared" si="65"/>
        <v/>
      </c>
      <c r="AA691" s="246" t="str">
        <f t="shared" si="62"/>
        <v/>
      </c>
    </row>
    <row r="692" spans="1:27" ht="18" customHeight="1" x14ac:dyDescent="0.25">
      <c r="A692" s="248" t="str">
        <f t="shared" si="63"/>
        <v/>
      </c>
      <c r="B692" s="249" t="str">
        <f t="shared" si="64"/>
        <v/>
      </c>
      <c r="C692" s="250"/>
      <c r="D692" s="251"/>
      <c r="E692" s="241"/>
      <c r="F692" s="252"/>
      <c r="G692" s="252"/>
      <c r="H692" s="253"/>
      <c r="I692" s="250"/>
      <c r="J692" s="250"/>
      <c r="K692" s="270"/>
      <c r="L692" s="250"/>
      <c r="M692" s="250"/>
      <c r="N692" s="540" t="str">
        <f>CONCATENATE(IF(OR(M692=phu!$I$1,M692=phu!$I$2,M692=phu!$I$3),"Cam Thành Nam",""),IF(OR(M692=phu!$I$4,M692=phu!$I$5,M692=phu!$I$6,M692=phu!$I$7,M692=phu!$I$8,M692=phu!$I$9,M692=phu!$I$10,M692=phu!$I$11,M692=phu!$I$12,M692=phu!$I$13,M692=phu!$I$14),"Cam Nghĩa",""),IF(OR(M692=phu!$I$15,M692=phu!$I$16,M692=phu!$I$17,M692=phu!$I$18,M692=phu!$I$19,M692=phu!$I$20,M692=phu!$I$21),"Cam Phúc Bắc",""),IF(OR(M692=phu!$I$22,M692=phu!$I$23,M692=phu!$I$24,M692=phu!$I$25),"Cam Phúc Nam",""),IF(OR(M692=phu!$I$26,M692=phu!$I$27,M692=phu!$I$28,M692=phu!$I$29,M692=phu!$I$30,M692=phu!$I$31),"Cam Phú",""),IF(OR(M692=phu!$I$32,M692=phu!$I$33,M692=phu!$I$34,M692=phu!$I$35,M692=phu!$I$36,M692=phu!$I$37),"Cam Lộc",""),IF(OR(M692=phu!$I$38,M692=phu!$I$39,M692=phu!$I$40,M692=phu!$I$41,M692=phu!$I$42,M692=phu!$I$43,M692=phu!$I$44),"Cam Thuận",""),IF(OR(M692=phu!$I$45,M692=phu!$I$46,M692=phu!$I$47,M692=phu!$I$48,M692=phu!$I$49,M692=phu!$I$50,M692=phu!$I$51,M692=phu!$I$52,M692=phu!$I$53),"Cam Linh",""),IF(OR(M692=phu!$I$54,M692=phu!$I$55,M692=phu!$I$56,M692=phu!$I$57,M692=phu!$I$58,M692=phu!$I$59,M692=phu!$I$60,M692=phu!$I$61,M692=phu!$I$62),"Cam Lợi",""),IF(OR(M692=phu!$I$63,M692=phu!$I$64,M692=phu!$I$65,M692=phu!$I$66,M692=phu!$I$67,M692=phu!$I$68,M692=phu!$I$69,M692=phu!$I$70,M692=phu!$I$71),"Ba Ngòi",""),IF(OR(M692=phu!$I$72,M692=phu!$I$73,M692=phu!$I$74,M692=phu!$I$75,M692=phu!$I$76,M692=phu!$I$77,M692=phu!$I$78),"Cam Phước Đông",""),IF(OR(M692=phu!$I$79,M692=phu!$I$80,M692=phu!$I$81,M692=phu!$I$82,M692=phu!$I$83,M692=phu!$I$84),"Cam Thịnh Đông",""),IF(OR(M692=phu!$I$85,M692=phu!$I$86,M692=phu!$I$87,M692=phu!$I$88),"Cam Thịnh Tây",""),IF(OR(M692=phu!$I$89,M692=phu!$I$90),"Cam Lập",""),IF(OR(M692=phu!$I$91,M692=phu!$I$92,M692=phu!$I$93),"Cam Bình",""),IF(OR(M692=phu!$I$94,M692=phu!$I$95,M692=phu!$I$96,M692=phu!$I$97,M692=phu!$I$98,M692=phu!$I$99,M692=phu!$I$100),"Huyện khác",""),IF(OR(M692=phu!$I$101,M692=phu!$I$102),"Tỉnh khác",""))</f>
        <v/>
      </c>
      <c r="O692" s="829" t="str">
        <f t="shared" si="60"/>
        <v/>
      </c>
      <c r="P692" s="254"/>
      <c r="Q692" s="254"/>
      <c r="R692" s="254"/>
      <c r="S692" s="254"/>
      <c r="T692" s="254"/>
      <c r="U692" s="254"/>
      <c r="V692" s="254"/>
      <c r="W692" s="254"/>
      <c r="Y692" s="246" t="str">
        <f t="shared" si="61"/>
        <v/>
      </c>
      <c r="Z692" s="247" t="str">
        <f t="shared" si="65"/>
        <v/>
      </c>
      <c r="AA692" s="246" t="str">
        <f t="shared" si="62"/>
        <v/>
      </c>
    </row>
    <row r="693" spans="1:27" ht="18" customHeight="1" x14ac:dyDescent="0.25">
      <c r="A693" s="248" t="str">
        <f t="shared" si="63"/>
        <v/>
      </c>
      <c r="B693" s="249" t="str">
        <f t="shared" si="64"/>
        <v/>
      </c>
      <c r="C693" s="250"/>
      <c r="D693" s="251"/>
      <c r="E693" s="241"/>
      <c r="F693" s="252"/>
      <c r="G693" s="252"/>
      <c r="H693" s="253"/>
      <c r="I693" s="250"/>
      <c r="J693" s="250"/>
      <c r="K693" s="270"/>
      <c r="L693" s="250"/>
      <c r="M693" s="250"/>
      <c r="N693" s="540" t="str">
        <f>CONCATENATE(IF(OR(M693=phu!$I$1,M693=phu!$I$2,M693=phu!$I$3),"Cam Thành Nam",""),IF(OR(M693=phu!$I$4,M693=phu!$I$5,M693=phu!$I$6,M693=phu!$I$7,M693=phu!$I$8,M693=phu!$I$9,M693=phu!$I$10,M693=phu!$I$11,M693=phu!$I$12,M693=phu!$I$13,M693=phu!$I$14),"Cam Nghĩa",""),IF(OR(M693=phu!$I$15,M693=phu!$I$16,M693=phu!$I$17,M693=phu!$I$18,M693=phu!$I$19,M693=phu!$I$20,M693=phu!$I$21),"Cam Phúc Bắc",""),IF(OR(M693=phu!$I$22,M693=phu!$I$23,M693=phu!$I$24,M693=phu!$I$25),"Cam Phúc Nam",""),IF(OR(M693=phu!$I$26,M693=phu!$I$27,M693=phu!$I$28,M693=phu!$I$29,M693=phu!$I$30,M693=phu!$I$31),"Cam Phú",""),IF(OR(M693=phu!$I$32,M693=phu!$I$33,M693=phu!$I$34,M693=phu!$I$35,M693=phu!$I$36,M693=phu!$I$37),"Cam Lộc",""),IF(OR(M693=phu!$I$38,M693=phu!$I$39,M693=phu!$I$40,M693=phu!$I$41,M693=phu!$I$42,M693=phu!$I$43,M693=phu!$I$44),"Cam Thuận",""),IF(OR(M693=phu!$I$45,M693=phu!$I$46,M693=phu!$I$47,M693=phu!$I$48,M693=phu!$I$49,M693=phu!$I$50,M693=phu!$I$51,M693=phu!$I$52,M693=phu!$I$53),"Cam Linh",""),IF(OR(M693=phu!$I$54,M693=phu!$I$55,M693=phu!$I$56,M693=phu!$I$57,M693=phu!$I$58,M693=phu!$I$59,M693=phu!$I$60,M693=phu!$I$61,M693=phu!$I$62),"Cam Lợi",""),IF(OR(M693=phu!$I$63,M693=phu!$I$64,M693=phu!$I$65,M693=phu!$I$66,M693=phu!$I$67,M693=phu!$I$68,M693=phu!$I$69,M693=phu!$I$70,M693=phu!$I$71),"Ba Ngòi",""),IF(OR(M693=phu!$I$72,M693=phu!$I$73,M693=phu!$I$74,M693=phu!$I$75,M693=phu!$I$76,M693=phu!$I$77,M693=phu!$I$78),"Cam Phước Đông",""),IF(OR(M693=phu!$I$79,M693=phu!$I$80,M693=phu!$I$81,M693=phu!$I$82,M693=phu!$I$83,M693=phu!$I$84),"Cam Thịnh Đông",""),IF(OR(M693=phu!$I$85,M693=phu!$I$86,M693=phu!$I$87,M693=phu!$I$88),"Cam Thịnh Tây",""),IF(OR(M693=phu!$I$89,M693=phu!$I$90),"Cam Lập",""),IF(OR(M693=phu!$I$91,M693=phu!$I$92,M693=phu!$I$93),"Cam Bình",""),IF(OR(M693=phu!$I$94,M693=phu!$I$95,M693=phu!$I$96,M693=phu!$I$97,M693=phu!$I$98,M693=phu!$I$99,M693=phu!$I$100),"Huyện khác",""),IF(OR(M693=phu!$I$101,M693=phu!$I$102),"Tỉnh khác",""))</f>
        <v/>
      </c>
      <c r="O693" s="829" t="str">
        <f t="shared" si="60"/>
        <v/>
      </c>
      <c r="P693" s="254"/>
      <c r="Q693" s="254"/>
      <c r="R693" s="254"/>
      <c r="S693" s="254"/>
      <c r="T693" s="254"/>
      <c r="U693" s="254"/>
      <c r="V693" s="254"/>
      <c r="W693" s="254"/>
      <c r="Y693" s="246" t="str">
        <f t="shared" si="61"/>
        <v/>
      </c>
      <c r="Z693" s="247" t="str">
        <f t="shared" si="65"/>
        <v/>
      </c>
      <c r="AA693" s="246" t="str">
        <f t="shared" si="62"/>
        <v/>
      </c>
    </row>
    <row r="694" spans="1:27" ht="18" customHeight="1" x14ac:dyDescent="0.25">
      <c r="A694" s="248" t="str">
        <f t="shared" si="63"/>
        <v/>
      </c>
      <c r="B694" s="249" t="str">
        <f t="shared" si="64"/>
        <v/>
      </c>
      <c r="C694" s="250"/>
      <c r="D694" s="251"/>
      <c r="E694" s="241"/>
      <c r="F694" s="252"/>
      <c r="G694" s="252"/>
      <c r="H694" s="253"/>
      <c r="I694" s="250"/>
      <c r="J694" s="250"/>
      <c r="K694" s="270"/>
      <c r="L694" s="250"/>
      <c r="M694" s="250"/>
      <c r="N694" s="540" t="str">
        <f>CONCATENATE(IF(OR(M694=phu!$I$1,M694=phu!$I$2,M694=phu!$I$3),"Cam Thành Nam",""),IF(OR(M694=phu!$I$4,M694=phu!$I$5,M694=phu!$I$6,M694=phu!$I$7,M694=phu!$I$8,M694=phu!$I$9,M694=phu!$I$10,M694=phu!$I$11,M694=phu!$I$12,M694=phu!$I$13,M694=phu!$I$14),"Cam Nghĩa",""),IF(OR(M694=phu!$I$15,M694=phu!$I$16,M694=phu!$I$17,M694=phu!$I$18,M694=phu!$I$19,M694=phu!$I$20,M694=phu!$I$21),"Cam Phúc Bắc",""),IF(OR(M694=phu!$I$22,M694=phu!$I$23,M694=phu!$I$24,M694=phu!$I$25),"Cam Phúc Nam",""),IF(OR(M694=phu!$I$26,M694=phu!$I$27,M694=phu!$I$28,M694=phu!$I$29,M694=phu!$I$30,M694=phu!$I$31),"Cam Phú",""),IF(OR(M694=phu!$I$32,M694=phu!$I$33,M694=phu!$I$34,M694=phu!$I$35,M694=phu!$I$36,M694=phu!$I$37),"Cam Lộc",""),IF(OR(M694=phu!$I$38,M694=phu!$I$39,M694=phu!$I$40,M694=phu!$I$41,M694=phu!$I$42,M694=phu!$I$43,M694=phu!$I$44),"Cam Thuận",""),IF(OR(M694=phu!$I$45,M694=phu!$I$46,M694=phu!$I$47,M694=phu!$I$48,M694=phu!$I$49,M694=phu!$I$50,M694=phu!$I$51,M694=phu!$I$52,M694=phu!$I$53),"Cam Linh",""),IF(OR(M694=phu!$I$54,M694=phu!$I$55,M694=phu!$I$56,M694=phu!$I$57,M694=phu!$I$58,M694=phu!$I$59,M694=phu!$I$60,M694=phu!$I$61,M694=phu!$I$62),"Cam Lợi",""),IF(OR(M694=phu!$I$63,M694=phu!$I$64,M694=phu!$I$65,M694=phu!$I$66,M694=phu!$I$67,M694=phu!$I$68,M694=phu!$I$69,M694=phu!$I$70,M694=phu!$I$71),"Ba Ngòi",""),IF(OR(M694=phu!$I$72,M694=phu!$I$73,M694=phu!$I$74,M694=phu!$I$75,M694=phu!$I$76,M694=phu!$I$77,M694=phu!$I$78),"Cam Phước Đông",""),IF(OR(M694=phu!$I$79,M694=phu!$I$80,M694=phu!$I$81,M694=phu!$I$82,M694=phu!$I$83,M694=phu!$I$84),"Cam Thịnh Đông",""),IF(OR(M694=phu!$I$85,M694=phu!$I$86,M694=phu!$I$87,M694=phu!$I$88),"Cam Thịnh Tây",""),IF(OR(M694=phu!$I$89,M694=phu!$I$90),"Cam Lập",""),IF(OR(M694=phu!$I$91,M694=phu!$I$92,M694=phu!$I$93),"Cam Bình",""),IF(OR(M694=phu!$I$94,M694=phu!$I$95,M694=phu!$I$96,M694=phu!$I$97,M694=phu!$I$98,M694=phu!$I$99,M694=phu!$I$100),"Huyện khác",""),IF(OR(M694=phu!$I$101,M694=phu!$I$102),"Tỉnh khác",""))</f>
        <v/>
      </c>
      <c r="O694" s="829" t="str">
        <f t="shared" si="60"/>
        <v/>
      </c>
      <c r="P694" s="254"/>
      <c r="Q694" s="254"/>
      <c r="R694" s="254"/>
      <c r="S694" s="254"/>
      <c r="T694" s="254"/>
      <c r="U694" s="254"/>
      <c r="V694" s="254"/>
      <c r="W694" s="254"/>
      <c r="Y694" s="246" t="str">
        <f t="shared" si="61"/>
        <v/>
      </c>
      <c r="Z694" s="247" t="str">
        <f t="shared" si="65"/>
        <v/>
      </c>
      <c r="AA694" s="246" t="str">
        <f t="shared" si="62"/>
        <v/>
      </c>
    </row>
    <row r="695" spans="1:27" ht="18" customHeight="1" x14ac:dyDescent="0.25">
      <c r="A695" s="248" t="str">
        <f t="shared" si="63"/>
        <v/>
      </c>
      <c r="B695" s="249" t="str">
        <f t="shared" si="64"/>
        <v/>
      </c>
      <c r="C695" s="250"/>
      <c r="D695" s="251"/>
      <c r="E695" s="241"/>
      <c r="F695" s="252"/>
      <c r="G695" s="252"/>
      <c r="H695" s="253"/>
      <c r="I695" s="250"/>
      <c r="J695" s="250"/>
      <c r="K695" s="270"/>
      <c r="L695" s="250"/>
      <c r="M695" s="250"/>
      <c r="N695" s="540" t="str">
        <f>CONCATENATE(IF(OR(M695=phu!$I$1,M695=phu!$I$2,M695=phu!$I$3),"Cam Thành Nam",""),IF(OR(M695=phu!$I$4,M695=phu!$I$5,M695=phu!$I$6,M695=phu!$I$7,M695=phu!$I$8,M695=phu!$I$9,M695=phu!$I$10,M695=phu!$I$11,M695=phu!$I$12,M695=phu!$I$13,M695=phu!$I$14),"Cam Nghĩa",""),IF(OR(M695=phu!$I$15,M695=phu!$I$16,M695=phu!$I$17,M695=phu!$I$18,M695=phu!$I$19,M695=phu!$I$20,M695=phu!$I$21),"Cam Phúc Bắc",""),IF(OR(M695=phu!$I$22,M695=phu!$I$23,M695=phu!$I$24,M695=phu!$I$25),"Cam Phúc Nam",""),IF(OR(M695=phu!$I$26,M695=phu!$I$27,M695=phu!$I$28,M695=phu!$I$29,M695=phu!$I$30,M695=phu!$I$31),"Cam Phú",""),IF(OR(M695=phu!$I$32,M695=phu!$I$33,M695=phu!$I$34,M695=phu!$I$35,M695=phu!$I$36,M695=phu!$I$37),"Cam Lộc",""),IF(OR(M695=phu!$I$38,M695=phu!$I$39,M695=phu!$I$40,M695=phu!$I$41,M695=phu!$I$42,M695=phu!$I$43,M695=phu!$I$44),"Cam Thuận",""),IF(OR(M695=phu!$I$45,M695=phu!$I$46,M695=phu!$I$47,M695=phu!$I$48,M695=phu!$I$49,M695=phu!$I$50,M695=phu!$I$51,M695=phu!$I$52,M695=phu!$I$53),"Cam Linh",""),IF(OR(M695=phu!$I$54,M695=phu!$I$55,M695=phu!$I$56,M695=phu!$I$57,M695=phu!$I$58,M695=phu!$I$59,M695=phu!$I$60,M695=phu!$I$61,M695=phu!$I$62),"Cam Lợi",""),IF(OR(M695=phu!$I$63,M695=phu!$I$64,M695=phu!$I$65,M695=phu!$I$66,M695=phu!$I$67,M695=phu!$I$68,M695=phu!$I$69,M695=phu!$I$70,M695=phu!$I$71),"Ba Ngòi",""),IF(OR(M695=phu!$I$72,M695=phu!$I$73,M695=phu!$I$74,M695=phu!$I$75,M695=phu!$I$76,M695=phu!$I$77,M695=phu!$I$78),"Cam Phước Đông",""),IF(OR(M695=phu!$I$79,M695=phu!$I$80,M695=phu!$I$81,M695=phu!$I$82,M695=phu!$I$83,M695=phu!$I$84),"Cam Thịnh Đông",""),IF(OR(M695=phu!$I$85,M695=phu!$I$86,M695=phu!$I$87,M695=phu!$I$88),"Cam Thịnh Tây",""),IF(OR(M695=phu!$I$89,M695=phu!$I$90),"Cam Lập",""),IF(OR(M695=phu!$I$91,M695=phu!$I$92,M695=phu!$I$93),"Cam Bình",""),IF(OR(M695=phu!$I$94,M695=phu!$I$95,M695=phu!$I$96,M695=phu!$I$97,M695=phu!$I$98,M695=phu!$I$99,M695=phu!$I$100),"Huyện khác",""),IF(OR(M695=phu!$I$101,M695=phu!$I$102),"Tỉnh khác",""))</f>
        <v/>
      </c>
      <c r="O695" s="829" t="str">
        <f t="shared" si="60"/>
        <v/>
      </c>
      <c r="P695" s="254"/>
      <c r="Q695" s="254"/>
      <c r="R695" s="254"/>
      <c r="S695" s="254"/>
      <c r="T695" s="254"/>
      <c r="U695" s="254"/>
      <c r="V695" s="254"/>
      <c r="W695" s="254"/>
      <c r="Y695" s="246" t="str">
        <f t="shared" si="61"/>
        <v/>
      </c>
      <c r="Z695" s="247" t="str">
        <f t="shared" si="65"/>
        <v/>
      </c>
      <c r="AA695" s="246" t="str">
        <f t="shared" si="62"/>
        <v/>
      </c>
    </row>
    <row r="696" spans="1:27" ht="18" customHeight="1" x14ac:dyDescent="0.25">
      <c r="A696" s="248" t="str">
        <f t="shared" si="63"/>
        <v/>
      </c>
      <c r="B696" s="249" t="str">
        <f t="shared" si="64"/>
        <v/>
      </c>
      <c r="C696" s="250"/>
      <c r="D696" s="251"/>
      <c r="E696" s="241"/>
      <c r="F696" s="252"/>
      <c r="G696" s="252"/>
      <c r="H696" s="253"/>
      <c r="I696" s="250"/>
      <c r="J696" s="250"/>
      <c r="K696" s="270"/>
      <c r="L696" s="250"/>
      <c r="M696" s="250"/>
      <c r="N696" s="540" t="str">
        <f>CONCATENATE(IF(OR(M696=phu!$I$1,M696=phu!$I$2,M696=phu!$I$3),"Cam Thành Nam",""),IF(OR(M696=phu!$I$4,M696=phu!$I$5,M696=phu!$I$6,M696=phu!$I$7,M696=phu!$I$8,M696=phu!$I$9,M696=phu!$I$10,M696=phu!$I$11,M696=phu!$I$12,M696=phu!$I$13,M696=phu!$I$14),"Cam Nghĩa",""),IF(OR(M696=phu!$I$15,M696=phu!$I$16,M696=phu!$I$17,M696=phu!$I$18,M696=phu!$I$19,M696=phu!$I$20,M696=phu!$I$21),"Cam Phúc Bắc",""),IF(OR(M696=phu!$I$22,M696=phu!$I$23,M696=phu!$I$24,M696=phu!$I$25),"Cam Phúc Nam",""),IF(OR(M696=phu!$I$26,M696=phu!$I$27,M696=phu!$I$28,M696=phu!$I$29,M696=phu!$I$30,M696=phu!$I$31),"Cam Phú",""),IF(OR(M696=phu!$I$32,M696=phu!$I$33,M696=phu!$I$34,M696=phu!$I$35,M696=phu!$I$36,M696=phu!$I$37),"Cam Lộc",""),IF(OR(M696=phu!$I$38,M696=phu!$I$39,M696=phu!$I$40,M696=phu!$I$41,M696=phu!$I$42,M696=phu!$I$43,M696=phu!$I$44),"Cam Thuận",""),IF(OR(M696=phu!$I$45,M696=phu!$I$46,M696=phu!$I$47,M696=phu!$I$48,M696=phu!$I$49,M696=phu!$I$50,M696=phu!$I$51,M696=phu!$I$52,M696=phu!$I$53),"Cam Linh",""),IF(OR(M696=phu!$I$54,M696=phu!$I$55,M696=phu!$I$56,M696=phu!$I$57,M696=phu!$I$58,M696=phu!$I$59,M696=phu!$I$60,M696=phu!$I$61,M696=phu!$I$62),"Cam Lợi",""),IF(OR(M696=phu!$I$63,M696=phu!$I$64,M696=phu!$I$65,M696=phu!$I$66,M696=phu!$I$67,M696=phu!$I$68,M696=phu!$I$69,M696=phu!$I$70,M696=phu!$I$71),"Ba Ngòi",""),IF(OR(M696=phu!$I$72,M696=phu!$I$73,M696=phu!$I$74,M696=phu!$I$75,M696=phu!$I$76,M696=phu!$I$77,M696=phu!$I$78),"Cam Phước Đông",""),IF(OR(M696=phu!$I$79,M696=phu!$I$80,M696=phu!$I$81,M696=phu!$I$82,M696=phu!$I$83,M696=phu!$I$84),"Cam Thịnh Đông",""),IF(OR(M696=phu!$I$85,M696=phu!$I$86,M696=phu!$I$87,M696=phu!$I$88),"Cam Thịnh Tây",""),IF(OR(M696=phu!$I$89,M696=phu!$I$90),"Cam Lập",""),IF(OR(M696=phu!$I$91,M696=phu!$I$92,M696=phu!$I$93),"Cam Bình",""),IF(OR(M696=phu!$I$94,M696=phu!$I$95,M696=phu!$I$96,M696=phu!$I$97,M696=phu!$I$98,M696=phu!$I$99,M696=phu!$I$100),"Huyện khác",""),IF(OR(M696=phu!$I$101,M696=phu!$I$102),"Tỉnh khác",""))</f>
        <v/>
      </c>
      <c r="O696" s="829" t="str">
        <f t="shared" si="60"/>
        <v/>
      </c>
      <c r="P696" s="254"/>
      <c r="Q696" s="254"/>
      <c r="R696" s="254"/>
      <c r="S696" s="254"/>
      <c r="T696" s="254"/>
      <c r="U696" s="254"/>
      <c r="V696" s="254"/>
      <c r="W696" s="254"/>
      <c r="Y696" s="246" t="str">
        <f t="shared" si="61"/>
        <v/>
      </c>
      <c r="Z696" s="247" t="str">
        <f t="shared" si="65"/>
        <v/>
      </c>
      <c r="AA696" s="246" t="str">
        <f t="shared" si="62"/>
        <v/>
      </c>
    </row>
    <row r="697" spans="1:27" ht="18" customHeight="1" x14ac:dyDescent="0.25">
      <c r="A697" s="248" t="str">
        <f t="shared" si="63"/>
        <v/>
      </c>
      <c r="B697" s="249" t="str">
        <f t="shared" si="64"/>
        <v/>
      </c>
      <c r="C697" s="250"/>
      <c r="D697" s="251"/>
      <c r="E697" s="241"/>
      <c r="F697" s="252"/>
      <c r="G697" s="252"/>
      <c r="H697" s="253"/>
      <c r="I697" s="250"/>
      <c r="J697" s="250"/>
      <c r="K697" s="270"/>
      <c r="L697" s="250"/>
      <c r="M697" s="250"/>
      <c r="N697" s="540" t="str">
        <f>CONCATENATE(IF(OR(M697=phu!$I$1,M697=phu!$I$2,M697=phu!$I$3),"Cam Thành Nam",""),IF(OR(M697=phu!$I$4,M697=phu!$I$5,M697=phu!$I$6,M697=phu!$I$7,M697=phu!$I$8,M697=phu!$I$9,M697=phu!$I$10,M697=phu!$I$11,M697=phu!$I$12,M697=phu!$I$13,M697=phu!$I$14),"Cam Nghĩa",""),IF(OR(M697=phu!$I$15,M697=phu!$I$16,M697=phu!$I$17,M697=phu!$I$18,M697=phu!$I$19,M697=phu!$I$20,M697=phu!$I$21),"Cam Phúc Bắc",""),IF(OR(M697=phu!$I$22,M697=phu!$I$23,M697=phu!$I$24,M697=phu!$I$25),"Cam Phúc Nam",""),IF(OR(M697=phu!$I$26,M697=phu!$I$27,M697=phu!$I$28,M697=phu!$I$29,M697=phu!$I$30,M697=phu!$I$31),"Cam Phú",""),IF(OR(M697=phu!$I$32,M697=phu!$I$33,M697=phu!$I$34,M697=phu!$I$35,M697=phu!$I$36,M697=phu!$I$37),"Cam Lộc",""),IF(OR(M697=phu!$I$38,M697=phu!$I$39,M697=phu!$I$40,M697=phu!$I$41,M697=phu!$I$42,M697=phu!$I$43,M697=phu!$I$44),"Cam Thuận",""),IF(OR(M697=phu!$I$45,M697=phu!$I$46,M697=phu!$I$47,M697=phu!$I$48,M697=phu!$I$49,M697=phu!$I$50,M697=phu!$I$51,M697=phu!$I$52,M697=phu!$I$53),"Cam Linh",""),IF(OR(M697=phu!$I$54,M697=phu!$I$55,M697=phu!$I$56,M697=phu!$I$57,M697=phu!$I$58,M697=phu!$I$59,M697=phu!$I$60,M697=phu!$I$61,M697=phu!$I$62),"Cam Lợi",""),IF(OR(M697=phu!$I$63,M697=phu!$I$64,M697=phu!$I$65,M697=phu!$I$66,M697=phu!$I$67,M697=phu!$I$68,M697=phu!$I$69,M697=phu!$I$70,M697=phu!$I$71),"Ba Ngòi",""),IF(OR(M697=phu!$I$72,M697=phu!$I$73,M697=phu!$I$74,M697=phu!$I$75,M697=phu!$I$76,M697=phu!$I$77,M697=phu!$I$78),"Cam Phước Đông",""),IF(OR(M697=phu!$I$79,M697=phu!$I$80,M697=phu!$I$81,M697=phu!$I$82,M697=phu!$I$83,M697=phu!$I$84),"Cam Thịnh Đông",""),IF(OR(M697=phu!$I$85,M697=phu!$I$86,M697=phu!$I$87,M697=phu!$I$88),"Cam Thịnh Tây",""),IF(OR(M697=phu!$I$89,M697=phu!$I$90),"Cam Lập",""),IF(OR(M697=phu!$I$91,M697=phu!$I$92,M697=phu!$I$93),"Cam Bình",""),IF(OR(M697=phu!$I$94,M697=phu!$I$95,M697=phu!$I$96,M697=phu!$I$97,M697=phu!$I$98,M697=phu!$I$99,M697=phu!$I$100),"Huyện khác",""),IF(OR(M697=phu!$I$101,M697=phu!$I$102),"Tỉnh khác",""))</f>
        <v/>
      </c>
      <c r="O697" s="829" t="str">
        <f t="shared" si="60"/>
        <v/>
      </c>
      <c r="P697" s="254"/>
      <c r="Q697" s="254"/>
      <c r="R697" s="254"/>
      <c r="S697" s="254"/>
      <c r="T697" s="254"/>
      <c r="U697" s="254"/>
      <c r="V697" s="254"/>
      <c r="W697" s="254"/>
      <c r="Y697" s="246" t="str">
        <f t="shared" si="61"/>
        <v/>
      </c>
      <c r="Z697" s="247" t="str">
        <f t="shared" si="65"/>
        <v/>
      </c>
      <c r="AA697" s="246" t="str">
        <f t="shared" si="62"/>
        <v/>
      </c>
    </row>
    <row r="698" spans="1:27" ht="18" customHeight="1" x14ac:dyDescent="0.25">
      <c r="A698" s="248" t="str">
        <f t="shared" si="63"/>
        <v/>
      </c>
      <c r="B698" s="249" t="str">
        <f t="shared" si="64"/>
        <v/>
      </c>
      <c r="C698" s="250"/>
      <c r="D698" s="251"/>
      <c r="E698" s="241"/>
      <c r="F698" s="252"/>
      <c r="G698" s="252"/>
      <c r="H698" s="253"/>
      <c r="I698" s="250"/>
      <c r="J698" s="250"/>
      <c r="K698" s="270"/>
      <c r="L698" s="250"/>
      <c r="M698" s="250"/>
      <c r="N698" s="540" t="str">
        <f>CONCATENATE(IF(OR(M698=phu!$I$1,M698=phu!$I$2,M698=phu!$I$3),"Cam Thành Nam",""),IF(OR(M698=phu!$I$4,M698=phu!$I$5,M698=phu!$I$6,M698=phu!$I$7,M698=phu!$I$8,M698=phu!$I$9,M698=phu!$I$10,M698=phu!$I$11,M698=phu!$I$12,M698=phu!$I$13,M698=phu!$I$14),"Cam Nghĩa",""),IF(OR(M698=phu!$I$15,M698=phu!$I$16,M698=phu!$I$17,M698=phu!$I$18,M698=phu!$I$19,M698=phu!$I$20,M698=phu!$I$21),"Cam Phúc Bắc",""),IF(OR(M698=phu!$I$22,M698=phu!$I$23,M698=phu!$I$24,M698=phu!$I$25),"Cam Phúc Nam",""),IF(OR(M698=phu!$I$26,M698=phu!$I$27,M698=phu!$I$28,M698=phu!$I$29,M698=phu!$I$30,M698=phu!$I$31),"Cam Phú",""),IF(OR(M698=phu!$I$32,M698=phu!$I$33,M698=phu!$I$34,M698=phu!$I$35,M698=phu!$I$36,M698=phu!$I$37),"Cam Lộc",""),IF(OR(M698=phu!$I$38,M698=phu!$I$39,M698=phu!$I$40,M698=phu!$I$41,M698=phu!$I$42,M698=phu!$I$43,M698=phu!$I$44),"Cam Thuận",""),IF(OR(M698=phu!$I$45,M698=phu!$I$46,M698=phu!$I$47,M698=phu!$I$48,M698=phu!$I$49,M698=phu!$I$50,M698=phu!$I$51,M698=phu!$I$52,M698=phu!$I$53),"Cam Linh",""),IF(OR(M698=phu!$I$54,M698=phu!$I$55,M698=phu!$I$56,M698=phu!$I$57,M698=phu!$I$58,M698=phu!$I$59,M698=phu!$I$60,M698=phu!$I$61,M698=phu!$I$62),"Cam Lợi",""),IF(OR(M698=phu!$I$63,M698=phu!$I$64,M698=phu!$I$65,M698=phu!$I$66,M698=phu!$I$67,M698=phu!$I$68,M698=phu!$I$69,M698=phu!$I$70,M698=phu!$I$71),"Ba Ngòi",""),IF(OR(M698=phu!$I$72,M698=phu!$I$73,M698=phu!$I$74,M698=phu!$I$75,M698=phu!$I$76,M698=phu!$I$77,M698=phu!$I$78),"Cam Phước Đông",""),IF(OR(M698=phu!$I$79,M698=phu!$I$80,M698=phu!$I$81,M698=phu!$I$82,M698=phu!$I$83,M698=phu!$I$84),"Cam Thịnh Đông",""),IF(OR(M698=phu!$I$85,M698=phu!$I$86,M698=phu!$I$87,M698=phu!$I$88),"Cam Thịnh Tây",""),IF(OR(M698=phu!$I$89,M698=phu!$I$90),"Cam Lập",""),IF(OR(M698=phu!$I$91,M698=phu!$I$92,M698=phu!$I$93),"Cam Bình",""),IF(OR(M698=phu!$I$94,M698=phu!$I$95,M698=phu!$I$96,M698=phu!$I$97,M698=phu!$I$98,M698=phu!$I$99,M698=phu!$I$100),"Huyện khác",""),IF(OR(M698=phu!$I$101,M698=phu!$I$102),"Tỉnh khác",""))</f>
        <v/>
      </c>
      <c r="O698" s="829" t="str">
        <f t="shared" si="60"/>
        <v/>
      </c>
      <c r="P698" s="254"/>
      <c r="Q698" s="254"/>
      <c r="R698" s="254"/>
      <c r="S698" s="254"/>
      <c r="T698" s="254"/>
      <c r="U698" s="254"/>
      <c r="V698" s="254"/>
      <c r="W698" s="254"/>
      <c r="Y698" s="246" t="str">
        <f t="shared" si="61"/>
        <v/>
      </c>
      <c r="Z698" s="247" t="str">
        <f t="shared" si="65"/>
        <v/>
      </c>
      <c r="AA698" s="246" t="str">
        <f t="shared" si="62"/>
        <v/>
      </c>
    </row>
    <row r="699" spans="1:27" ht="18" customHeight="1" x14ac:dyDescent="0.25">
      <c r="A699" s="248" t="str">
        <f t="shared" si="63"/>
        <v/>
      </c>
      <c r="B699" s="249" t="str">
        <f t="shared" si="64"/>
        <v/>
      </c>
      <c r="C699" s="250"/>
      <c r="D699" s="251"/>
      <c r="E699" s="241"/>
      <c r="F699" s="252"/>
      <c r="G699" s="252"/>
      <c r="H699" s="253"/>
      <c r="I699" s="250"/>
      <c r="J699" s="250"/>
      <c r="K699" s="270"/>
      <c r="L699" s="250"/>
      <c r="M699" s="250"/>
      <c r="N699" s="540" t="str">
        <f>CONCATENATE(IF(OR(M699=phu!$I$1,M699=phu!$I$2,M699=phu!$I$3),"Cam Thành Nam",""),IF(OR(M699=phu!$I$4,M699=phu!$I$5,M699=phu!$I$6,M699=phu!$I$7,M699=phu!$I$8,M699=phu!$I$9,M699=phu!$I$10,M699=phu!$I$11,M699=phu!$I$12,M699=phu!$I$13,M699=phu!$I$14),"Cam Nghĩa",""),IF(OR(M699=phu!$I$15,M699=phu!$I$16,M699=phu!$I$17,M699=phu!$I$18,M699=phu!$I$19,M699=phu!$I$20,M699=phu!$I$21),"Cam Phúc Bắc",""),IF(OR(M699=phu!$I$22,M699=phu!$I$23,M699=phu!$I$24,M699=phu!$I$25),"Cam Phúc Nam",""),IF(OR(M699=phu!$I$26,M699=phu!$I$27,M699=phu!$I$28,M699=phu!$I$29,M699=phu!$I$30,M699=phu!$I$31),"Cam Phú",""),IF(OR(M699=phu!$I$32,M699=phu!$I$33,M699=phu!$I$34,M699=phu!$I$35,M699=phu!$I$36,M699=phu!$I$37),"Cam Lộc",""),IF(OR(M699=phu!$I$38,M699=phu!$I$39,M699=phu!$I$40,M699=phu!$I$41,M699=phu!$I$42,M699=phu!$I$43,M699=phu!$I$44),"Cam Thuận",""),IF(OR(M699=phu!$I$45,M699=phu!$I$46,M699=phu!$I$47,M699=phu!$I$48,M699=phu!$I$49,M699=phu!$I$50,M699=phu!$I$51,M699=phu!$I$52,M699=phu!$I$53),"Cam Linh",""),IF(OR(M699=phu!$I$54,M699=phu!$I$55,M699=phu!$I$56,M699=phu!$I$57,M699=phu!$I$58,M699=phu!$I$59,M699=phu!$I$60,M699=phu!$I$61,M699=phu!$I$62),"Cam Lợi",""),IF(OR(M699=phu!$I$63,M699=phu!$I$64,M699=phu!$I$65,M699=phu!$I$66,M699=phu!$I$67,M699=phu!$I$68,M699=phu!$I$69,M699=phu!$I$70,M699=phu!$I$71),"Ba Ngòi",""),IF(OR(M699=phu!$I$72,M699=phu!$I$73,M699=phu!$I$74,M699=phu!$I$75,M699=phu!$I$76,M699=phu!$I$77,M699=phu!$I$78),"Cam Phước Đông",""),IF(OR(M699=phu!$I$79,M699=phu!$I$80,M699=phu!$I$81,M699=phu!$I$82,M699=phu!$I$83,M699=phu!$I$84),"Cam Thịnh Đông",""),IF(OR(M699=phu!$I$85,M699=phu!$I$86,M699=phu!$I$87,M699=phu!$I$88),"Cam Thịnh Tây",""),IF(OR(M699=phu!$I$89,M699=phu!$I$90),"Cam Lập",""),IF(OR(M699=phu!$I$91,M699=phu!$I$92,M699=phu!$I$93),"Cam Bình",""),IF(OR(M699=phu!$I$94,M699=phu!$I$95,M699=phu!$I$96,M699=phu!$I$97,M699=phu!$I$98,M699=phu!$I$99,M699=phu!$I$100),"Huyện khác",""),IF(OR(M699=phu!$I$101,M699=phu!$I$102),"Tỉnh khác",""))</f>
        <v/>
      </c>
      <c r="O699" s="829" t="str">
        <f t="shared" si="60"/>
        <v/>
      </c>
      <c r="P699" s="254"/>
      <c r="Q699" s="254"/>
      <c r="R699" s="254"/>
      <c r="S699" s="254"/>
      <c r="T699" s="254"/>
      <c r="U699" s="254"/>
      <c r="V699" s="254"/>
      <c r="W699" s="254"/>
      <c r="Y699" s="246" t="str">
        <f t="shared" si="61"/>
        <v/>
      </c>
      <c r="Z699" s="247" t="str">
        <f t="shared" si="65"/>
        <v/>
      </c>
      <c r="AA699" s="246" t="str">
        <f t="shared" si="62"/>
        <v/>
      </c>
    </row>
    <row r="700" spans="1:27" ht="18" customHeight="1" x14ac:dyDescent="0.25">
      <c r="A700" s="248" t="str">
        <f t="shared" si="63"/>
        <v/>
      </c>
      <c r="B700" s="249" t="str">
        <f t="shared" si="64"/>
        <v/>
      </c>
      <c r="C700" s="250"/>
      <c r="D700" s="251"/>
      <c r="E700" s="241"/>
      <c r="F700" s="252"/>
      <c r="G700" s="252"/>
      <c r="H700" s="253"/>
      <c r="I700" s="250"/>
      <c r="J700" s="250"/>
      <c r="K700" s="270"/>
      <c r="L700" s="250"/>
      <c r="M700" s="250"/>
      <c r="N700" s="540" t="str">
        <f>CONCATENATE(IF(OR(M700=phu!$I$1,M700=phu!$I$2,M700=phu!$I$3),"Cam Thành Nam",""),IF(OR(M700=phu!$I$4,M700=phu!$I$5,M700=phu!$I$6,M700=phu!$I$7,M700=phu!$I$8,M700=phu!$I$9,M700=phu!$I$10,M700=phu!$I$11,M700=phu!$I$12,M700=phu!$I$13,M700=phu!$I$14),"Cam Nghĩa",""),IF(OR(M700=phu!$I$15,M700=phu!$I$16,M700=phu!$I$17,M700=phu!$I$18,M700=phu!$I$19,M700=phu!$I$20,M700=phu!$I$21),"Cam Phúc Bắc",""),IF(OR(M700=phu!$I$22,M700=phu!$I$23,M700=phu!$I$24,M700=phu!$I$25),"Cam Phúc Nam",""),IF(OR(M700=phu!$I$26,M700=phu!$I$27,M700=phu!$I$28,M700=phu!$I$29,M700=phu!$I$30,M700=phu!$I$31),"Cam Phú",""),IF(OR(M700=phu!$I$32,M700=phu!$I$33,M700=phu!$I$34,M700=phu!$I$35,M700=phu!$I$36,M700=phu!$I$37),"Cam Lộc",""),IF(OR(M700=phu!$I$38,M700=phu!$I$39,M700=phu!$I$40,M700=phu!$I$41,M700=phu!$I$42,M700=phu!$I$43,M700=phu!$I$44),"Cam Thuận",""),IF(OR(M700=phu!$I$45,M700=phu!$I$46,M700=phu!$I$47,M700=phu!$I$48,M700=phu!$I$49,M700=phu!$I$50,M700=phu!$I$51,M700=phu!$I$52,M700=phu!$I$53),"Cam Linh",""),IF(OR(M700=phu!$I$54,M700=phu!$I$55,M700=phu!$I$56,M700=phu!$I$57,M700=phu!$I$58,M700=phu!$I$59,M700=phu!$I$60,M700=phu!$I$61,M700=phu!$I$62),"Cam Lợi",""),IF(OR(M700=phu!$I$63,M700=phu!$I$64,M700=phu!$I$65,M700=phu!$I$66,M700=phu!$I$67,M700=phu!$I$68,M700=phu!$I$69,M700=phu!$I$70,M700=phu!$I$71),"Ba Ngòi",""),IF(OR(M700=phu!$I$72,M700=phu!$I$73,M700=phu!$I$74,M700=phu!$I$75,M700=phu!$I$76,M700=phu!$I$77,M700=phu!$I$78),"Cam Phước Đông",""),IF(OR(M700=phu!$I$79,M700=phu!$I$80,M700=phu!$I$81,M700=phu!$I$82,M700=phu!$I$83,M700=phu!$I$84),"Cam Thịnh Đông",""),IF(OR(M700=phu!$I$85,M700=phu!$I$86,M700=phu!$I$87,M700=phu!$I$88),"Cam Thịnh Tây",""),IF(OR(M700=phu!$I$89,M700=phu!$I$90),"Cam Lập",""),IF(OR(M700=phu!$I$91,M700=phu!$I$92,M700=phu!$I$93),"Cam Bình",""),IF(OR(M700=phu!$I$94,M700=phu!$I$95,M700=phu!$I$96,M700=phu!$I$97,M700=phu!$I$98,M700=phu!$I$99,M700=phu!$I$100),"Huyện khác",""),IF(OR(M700=phu!$I$101,M700=phu!$I$102),"Tỉnh khác",""))</f>
        <v/>
      </c>
      <c r="O700" s="829" t="str">
        <f t="shared" si="60"/>
        <v/>
      </c>
      <c r="P700" s="254"/>
      <c r="Q700" s="254"/>
      <c r="R700" s="254"/>
      <c r="S700" s="254"/>
      <c r="T700" s="254"/>
      <c r="U700" s="254"/>
      <c r="V700" s="254"/>
      <c r="W700" s="254"/>
      <c r="Y700" s="246" t="str">
        <f t="shared" si="61"/>
        <v/>
      </c>
      <c r="Z700" s="247" t="str">
        <f t="shared" si="65"/>
        <v/>
      </c>
      <c r="AA700" s="246" t="str">
        <f t="shared" si="62"/>
        <v/>
      </c>
    </row>
    <row r="701" spans="1:27" ht="18" customHeight="1" x14ac:dyDescent="0.25">
      <c r="A701" s="248" t="str">
        <f t="shared" si="63"/>
        <v/>
      </c>
      <c r="B701" s="249" t="str">
        <f t="shared" si="64"/>
        <v/>
      </c>
      <c r="C701" s="250"/>
      <c r="D701" s="251"/>
      <c r="E701" s="241"/>
      <c r="F701" s="252"/>
      <c r="G701" s="252"/>
      <c r="H701" s="253"/>
      <c r="I701" s="250"/>
      <c r="J701" s="250"/>
      <c r="K701" s="270"/>
      <c r="L701" s="250"/>
      <c r="M701" s="250"/>
      <c r="N701" s="540" t="str">
        <f>CONCATENATE(IF(OR(M701=phu!$I$1,M701=phu!$I$2,M701=phu!$I$3),"Cam Thành Nam",""),IF(OR(M701=phu!$I$4,M701=phu!$I$5,M701=phu!$I$6,M701=phu!$I$7,M701=phu!$I$8,M701=phu!$I$9,M701=phu!$I$10,M701=phu!$I$11,M701=phu!$I$12,M701=phu!$I$13,M701=phu!$I$14),"Cam Nghĩa",""),IF(OR(M701=phu!$I$15,M701=phu!$I$16,M701=phu!$I$17,M701=phu!$I$18,M701=phu!$I$19,M701=phu!$I$20,M701=phu!$I$21),"Cam Phúc Bắc",""),IF(OR(M701=phu!$I$22,M701=phu!$I$23,M701=phu!$I$24,M701=phu!$I$25),"Cam Phúc Nam",""),IF(OR(M701=phu!$I$26,M701=phu!$I$27,M701=phu!$I$28,M701=phu!$I$29,M701=phu!$I$30,M701=phu!$I$31),"Cam Phú",""),IF(OR(M701=phu!$I$32,M701=phu!$I$33,M701=phu!$I$34,M701=phu!$I$35,M701=phu!$I$36,M701=phu!$I$37),"Cam Lộc",""),IF(OR(M701=phu!$I$38,M701=phu!$I$39,M701=phu!$I$40,M701=phu!$I$41,M701=phu!$I$42,M701=phu!$I$43,M701=phu!$I$44),"Cam Thuận",""),IF(OR(M701=phu!$I$45,M701=phu!$I$46,M701=phu!$I$47,M701=phu!$I$48,M701=phu!$I$49,M701=phu!$I$50,M701=phu!$I$51,M701=phu!$I$52,M701=phu!$I$53),"Cam Linh",""),IF(OR(M701=phu!$I$54,M701=phu!$I$55,M701=phu!$I$56,M701=phu!$I$57,M701=phu!$I$58,M701=phu!$I$59,M701=phu!$I$60,M701=phu!$I$61,M701=phu!$I$62),"Cam Lợi",""),IF(OR(M701=phu!$I$63,M701=phu!$I$64,M701=phu!$I$65,M701=phu!$I$66,M701=phu!$I$67,M701=phu!$I$68,M701=phu!$I$69,M701=phu!$I$70,M701=phu!$I$71),"Ba Ngòi",""),IF(OR(M701=phu!$I$72,M701=phu!$I$73,M701=phu!$I$74,M701=phu!$I$75,M701=phu!$I$76,M701=phu!$I$77,M701=phu!$I$78),"Cam Phước Đông",""),IF(OR(M701=phu!$I$79,M701=phu!$I$80,M701=phu!$I$81,M701=phu!$I$82,M701=phu!$I$83,M701=phu!$I$84),"Cam Thịnh Đông",""),IF(OR(M701=phu!$I$85,M701=phu!$I$86,M701=phu!$I$87,M701=phu!$I$88),"Cam Thịnh Tây",""),IF(OR(M701=phu!$I$89,M701=phu!$I$90),"Cam Lập",""),IF(OR(M701=phu!$I$91,M701=phu!$I$92,M701=phu!$I$93),"Cam Bình",""),IF(OR(M701=phu!$I$94,M701=phu!$I$95,M701=phu!$I$96,M701=phu!$I$97,M701=phu!$I$98,M701=phu!$I$99,M701=phu!$I$100),"Huyện khác",""),IF(OR(M701=phu!$I$101,M701=phu!$I$102),"Tỉnh khác",""))</f>
        <v/>
      </c>
      <c r="O701" s="829" t="str">
        <f t="shared" si="60"/>
        <v/>
      </c>
      <c r="P701" s="254"/>
      <c r="Q701" s="254"/>
      <c r="R701" s="254"/>
      <c r="S701" s="254"/>
      <c r="T701" s="254"/>
      <c r="U701" s="254"/>
      <c r="V701" s="254"/>
      <c r="W701" s="254"/>
      <c r="Y701" s="246" t="str">
        <f t="shared" si="61"/>
        <v/>
      </c>
      <c r="Z701" s="247" t="str">
        <f t="shared" si="65"/>
        <v/>
      </c>
      <c r="AA701" s="246" t="str">
        <f t="shared" si="62"/>
        <v/>
      </c>
    </row>
    <row r="702" spans="1:27" ht="18" customHeight="1" x14ac:dyDescent="0.25">
      <c r="A702" s="248" t="str">
        <f t="shared" si="63"/>
        <v/>
      </c>
      <c r="B702" s="249" t="str">
        <f t="shared" si="64"/>
        <v/>
      </c>
      <c r="C702" s="250"/>
      <c r="D702" s="251"/>
      <c r="E702" s="241"/>
      <c r="F702" s="252"/>
      <c r="G702" s="252"/>
      <c r="H702" s="253"/>
      <c r="I702" s="250"/>
      <c r="J702" s="250"/>
      <c r="K702" s="270"/>
      <c r="L702" s="250"/>
      <c r="M702" s="250"/>
      <c r="N702" s="540" t="str">
        <f>CONCATENATE(IF(OR(M702=phu!$I$1,M702=phu!$I$2,M702=phu!$I$3),"Cam Thành Nam",""),IF(OR(M702=phu!$I$4,M702=phu!$I$5,M702=phu!$I$6,M702=phu!$I$7,M702=phu!$I$8,M702=phu!$I$9,M702=phu!$I$10,M702=phu!$I$11,M702=phu!$I$12,M702=phu!$I$13,M702=phu!$I$14),"Cam Nghĩa",""),IF(OR(M702=phu!$I$15,M702=phu!$I$16,M702=phu!$I$17,M702=phu!$I$18,M702=phu!$I$19,M702=phu!$I$20,M702=phu!$I$21),"Cam Phúc Bắc",""),IF(OR(M702=phu!$I$22,M702=phu!$I$23,M702=phu!$I$24,M702=phu!$I$25),"Cam Phúc Nam",""),IF(OR(M702=phu!$I$26,M702=phu!$I$27,M702=phu!$I$28,M702=phu!$I$29,M702=phu!$I$30,M702=phu!$I$31),"Cam Phú",""),IF(OR(M702=phu!$I$32,M702=phu!$I$33,M702=phu!$I$34,M702=phu!$I$35,M702=phu!$I$36,M702=phu!$I$37),"Cam Lộc",""),IF(OR(M702=phu!$I$38,M702=phu!$I$39,M702=phu!$I$40,M702=phu!$I$41,M702=phu!$I$42,M702=phu!$I$43,M702=phu!$I$44),"Cam Thuận",""),IF(OR(M702=phu!$I$45,M702=phu!$I$46,M702=phu!$I$47,M702=phu!$I$48,M702=phu!$I$49,M702=phu!$I$50,M702=phu!$I$51,M702=phu!$I$52,M702=phu!$I$53),"Cam Linh",""),IF(OR(M702=phu!$I$54,M702=phu!$I$55,M702=phu!$I$56,M702=phu!$I$57,M702=phu!$I$58,M702=phu!$I$59,M702=phu!$I$60,M702=phu!$I$61,M702=phu!$I$62),"Cam Lợi",""),IF(OR(M702=phu!$I$63,M702=phu!$I$64,M702=phu!$I$65,M702=phu!$I$66,M702=phu!$I$67,M702=phu!$I$68,M702=phu!$I$69,M702=phu!$I$70,M702=phu!$I$71),"Ba Ngòi",""),IF(OR(M702=phu!$I$72,M702=phu!$I$73,M702=phu!$I$74,M702=phu!$I$75,M702=phu!$I$76,M702=phu!$I$77,M702=phu!$I$78),"Cam Phước Đông",""),IF(OR(M702=phu!$I$79,M702=phu!$I$80,M702=phu!$I$81,M702=phu!$I$82,M702=phu!$I$83,M702=phu!$I$84),"Cam Thịnh Đông",""),IF(OR(M702=phu!$I$85,M702=phu!$I$86,M702=phu!$I$87,M702=phu!$I$88),"Cam Thịnh Tây",""),IF(OR(M702=phu!$I$89,M702=phu!$I$90),"Cam Lập",""),IF(OR(M702=phu!$I$91,M702=phu!$I$92,M702=phu!$I$93),"Cam Bình",""),IF(OR(M702=phu!$I$94,M702=phu!$I$95,M702=phu!$I$96,M702=phu!$I$97,M702=phu!$I$98,M702=phu!$I$99,M702=phu!$I$100),"Huyện khác",""),IF(OR(M702=phu!$I$101,M702=phu!$I$102),"Tỉnh khác",""))</f>
        <v/>
      </c>
      <c r="O702" s="829" t="str">
        <f t="shared" si="60"/>
        <v/>
      </c>
      <c r="P702" s="254"/>
      <c r="Q702" s="254"/>
      <c r="R702" s="254"/>
      <c r="S702" s="254"/>
      <c r="T702" s="254"/>
      <c r="U702" s="254"/>
      <c r="V702" s="254"/>
      <c r="W702" s="254"/>
      <c r="Y702" s="246" t="str">
        <f t="shared" si="61"/>
        <v/>
      </c>
      <c r="Z702" s="247" t="str">
        <f t="shared" si="65"/>
        <v/>
      </c>
      <c r="AA702" s="246" t="str">
        <f t="shared" si="62"/>
        <v/>
      </c>
    </row>
    <row r="703" spans="1:27" ht="18" customHeight="1" x14ac:dyDescent="0.25">
      <c r="A703" s="248" t="str">
        <f t="shared" si="63"/>
        <v/>
      </c>
      <c r="B703" s="249" t="str">
        <f t="shared" si="64"/>
        <v/>
      </c>
      <c r="C703" s="250"/>
      <c r="D703" s="251"/>
      <c r="E703" s="241"/>
      <c r="F703" s="252"/>
      <c r="G703" s="252"/>
      <c r="H703" s="253"/>
      <c r="I703" s="250"/>
      <c r="J703" s="250"/>
      <c r="K703" s="270"/>
      <c r="L703" s="250"/>
      <c r="M703" s="250"/>
      <c r="N703" s="540" t="str">
        <f>CONCATENATE(IF(OR(M703=phu!$I$1,M703=phu!$I$2,M703=phu!$I$3),"Cam Thành Nam",""),IF(OR(M703=phu!$I$4,M703=phu!$I$5,M703=phu!$I$6,M703=phu!$I$7,M703=phu!$I$8,M703=phu!$I$9,M703=phu!$I$10,M703=phu!$I$11,M703=phu!$I$12,M703=phu!$I$13,M703=phu!$I$14),"Cam Nghĩa",""),IF(OR(M703=phu!$I$15,M703=phu!$I$16,M703=phu!$I$17,M703=phu!$I$18,M703=phu!$I$19,M703=phu!$I$20,M703=phu!$I$21),"Cam Phúc Bắc",""),IF(OR(M703=phu!$I$22,M703=phu!$I$23,M703=phu!$I$24,M703=phu!$I$25),"Cam Phúc Nam",""),IF(OR(M703=phu!$I$26,M703=phu!$I$27,M703=phu!$I$28,M703=phu!$I$29,M703=phu!$I$30,M703=phu!$I$31),"Cam Phú",""),IF(OR(M703=phu!$I$32,M703=phu!$I$33,M703=phu!$I$34,M703=phu!$I$35,M703=phu!$I$36,M703=phu!$I$37),"Cam Lộc",""),IF(OR(M703=phu!$I$38,M703=phu!$I$39,M703=phu!$I$40,M703=phu!$I$41,M703=phu!$I$42,M703=phu!$I$43,M703=phu!$I$44),"Cam Thuận",""),IF(OR(M703=phu!$I$45,M703=phu!$I$46,M703=phu!$I$47,M703=phu!$I$48,M703=phu!$I$49,M703=phu!$I$50,M703=phu!$I$51,M703=phu!$I$52,M703=phu!$I$53),"Cam Linh",""),IF(OR(M703=phu!$I$54,M703=phu!$I$55,M703=phu!$I$56,M703=phu!$I$57,M703=phu!$I$58,M703=phu!$I$59,M703=phu!$I$60,M703=phu!$I$61,M703=phu!$I$62),"Cam Lợi",""),IF(OR(M703=phu!$I$63,M703=phu!$I$64,M703=phu!$I$65,M703=phu!$I$66,M703=phu!$I$67,M703=phu!$I$68,M703=phu!$I$69,M703=phu!$I$70,M703=phu!$I$71),"Ba Ngòi",""),IF(OR(M703=phu!$I$72,M703=phu!$I$73,M703=phu!$I$74,M703=phu!$I$75,M703=phu!$I$76,M703=phu!$I$77,M703=phu!$I$78),"Cam Phước Đông",""),IF(OR(M703=phu!$I$79,M703=phu!$I$80,M703=phu!$I$81,M703=phu!$I$82,M703=phu!$I$83,M703=phu!$I$84),"Cam Thịnh Đông",""),IF(OR(M703=phu!$I$85,M703=phu!$I$86,M703=phu!$I$87,M703=phu!$I$88),"Cam Thịnh Tây",""),IF(OR(M703=phu!$I$89,M703=phu!$I$90),"Cam Lập",""),IF(OR(M703=phu!$I$91,M703=phu!$I$92,M703=phu!$I$93),"Cam Bình",""),IF(OR(M703=phu!$I$94,M703=phu!$I$95,M703=phu!$I$96,M703=phu!$I$97,M703=phu!$I$98,M703=phu!$I$99,M703=phu!$I$100),"Huyện khác",""),IF(OR(M703=phu!$I$101,M703=phu!$I$102),"Tỉnh khác",""))</f>
        <v/>
      </c>
      <c r="O703" s="829" t="str">
        <f t="shared" si="60"/>
        <v/>
      </c>
      <c r="P703" s="254"/>
      <c r="Q703" s="254"/>
      <c r="R703" s="254"/>
      <c r="S703" s="254"/>
      <c r="T703" s="254"/>
      <c r="U703" s="254"/>
      <c r="V703" s="254"/>
      <c r="W703" s="254"/>
      <c r="Y703" s="246" t="str">
        <f t="shared" si="61"/>
        <v/>
      </c>
      <c r="Z703" s="247" t="str">
        <f t="shared" si="65"/>
        <v/>
      </c>
      <c r="AA703" s="246" t="str">
        <f t="shared" si="62"/>
        <v/>
      </c>
    </row>
    <row r="704" spans="1:27" ht="18" customHeight="1" x14ac:dyDescent="0.25">
      <c r="A704" s="248" t="str">
        <f t="shared" si="63"/>
        <v/>
      </c>
      <c r="B704" s="249" t="str">
        <f t="shared" si="64"/>
        <v/>
      </c>
      <c r="C704" s="250"/>
      <c r="D704" s="251"/>
      <c r="E704" s="241"/>
      <c r="F704" s="252"/>
      <c r="G704" s="252"/>
      <c r="H704" s="253"/>
      <c r="I704" s="250"/>
      <c r="J704" s="250"/>
      <c r="K704" s="270"/>
      <c r="L704" s="250"/>
      <c r="M704" s="250"/>
      <c r="N704" s="540" t="str">
        <f>CONCATENATE(IF(OR(M704=phu!$I$1,M704=phu!$I$2,M704=phu!$I$3),"Cam Thành Nam",""),IF(OR(M704=phu!$I$4,M704=phu!$I$5,M704=phu!$I$6,M704=phu!$I$7,M704=phu!$I$8,M704=phu!$I$9,M704=phu!$I$10,M704=phu!$I$11,M704=phu!$I$12,M704=phu!$I$13,M704=phu!$I$14),"Cam Nghĩa",""),IF(OR(M704=phu!$I$15,M704=phu!$I$16,M704=phu!$I$17,M704=phu!$I$18,M704=phu!$I$19,M704=phu!$I$20,M704=phu!$I$21),"Cam Phúc Bắc",""),IF(OR(M704=phu!$I$22,M704=phu!$I$23,M704=phu!$I$24,M704=phu!$I$25),"Cam Phúc Nam",""),IF(OR(M704=phu!$I$26,M704=phu!$I$27,M704=phu!$I$28,M704=phu!$I$29,M704=phu!$I$30,M704=phu!$I$31),"Cam Phú",""),IF(OR(M704=phu!$I$32,M704=phu!$I$33,M704=phu!$I$34,M704=phu!$I$35,M704=phu!$I$36,M704=phu!$I$37),"Cam Lộc",""),IF(OR(M704=phu!$I$38,M704=phu!$I$39,M704=phu!$I$40,M704=phu!$I$41,M704=phu!$I$42,M704=phu!$I$43,M704=phu!$I$44),"Cam Thuận",""),IF(OR(M704=phu!$I$45,M704=phu!$I$46,M704=phu!$I$47,M704=phu!$I$48,M704=phu!$I$49,M704=phu!$I$50,M704=phu!$I$51,M704=phu!$I$52,M704=phu!$I$53),"Cam Linh",""),IF(OR(M704=phu!$I$54,M704=phu!$I$55,M704=phu!$I$56,M704=phu!$I$57,M704=phu!$I$58,M704=phu!$I$59,M704=phu!$I$60,M704=phu!$I$61,M704=phu!$I$62),"Cam Lợi",""),IF(OR(M704=phu!$I$63,M704=phu!$I$64,M704=phu!$I$65,M704=phu!$I$66,M704=phu!$I$67,M704=phu!$I$68,M704=phu!$I$69,M704=phu!$I$70,M704=phu!$I$71),"Ba Ngòi",""),IF(OR(M704=phu!$I$72,M704=phu!$I$73,M704=phu!$I$74,M704=phu!$I$75,M704=phu!$I$76,M704=phu!$I$77,M704=phu!$I$78),"Cam Phước Đông",""),IF(OR(M704=phu!$I$79,M704=phu!$I$80,M704=phu!$I$81,M704=phu!$I$82,M704=phu!$I$83,M704=phu!$I$84),"Cam Thịnh Đông",""),IF(OR(M704=phu!$I$85,M704=phu!$I$86,M704=phu!$I$87,M704=phu!$I$88),"Cam Thịnh Tây",""),IF(OR(M704=phu!$I$89,M704=phu!$I$90),"Cam Lập",""),IF(OR(M704=phu!$I$91,M704=phu!$I$92,M704=phu!$I$93),"Cam Bình",""),IF(OR(M704=phu!$I$94,M704=phu!$I$95,M704=phu!$I$96,M704=phu!$I$97,M704=phu!$I$98,M704=phu!$I$99,M704=phu!$I$100),"Huyện khác",""),IF(OR(M704=phu!$I$101,M704=phu!$I$102),"Tỉnh khác",""))</f>
        <v/>
      </c>
      <c r="O704" s="829" t="str">
        <f t="shared" si="60"/>
        <v/>
      </c>
      <c r="P704" s="254"/>
      <c r="Q704" s="254"/>
      <c r="R704" s="254"/>
      <c r="S704" s="254"/>
      <c r="T704" s="254"/>
      <c r="U704" s="254"/>
      <c r="V704" s="254"/>
      <c r="W704" s="254"/>
      <c r="Y704" s="246" t="str">
        <f t="shared" si="61"/>
        <v/>
      </c>
      <c r="Z704" s="247" t="str">
        <f t="shared" si="65"/>
        <v/>
      </c>
      <c r="AA704" s="246" t="str">
        <f t="shared" si="62"/>
        <v/>
      </c>
    </row>
    <row r="705" spans="1:27" ht="18" customHeight="1" x14ac:dyDescent="0.25">
      <c r="A705" s="248" t="str">
        <f t="shared" si="63"/>
        <v/>
      </c>
      <c r="B705" s="249" t="str">
        <f t="shared" si="64"/>
        <v/>
      </c>
      <c r="C705" s="250"/>
      <c r="D705" s="251"/>
      <c r="E705" s="241"/>
      <c r="F705" s="252"/>
      <c r="G705" s="252"/>
      <c r="H705" s="253"/>
      <c r="I705" s="250"/>
      <c r="J705" s="250"/>
      <c r="K705" s="270"/>
      <c r="L705" s="250"/>
      <c r="M705" s="250"/>
      <c r="N705" s="540" t="str">
        <f>CONCATENATE(IF(OR(M705=phu!$I$1,M705=phu!$I$2,M705=phu!$I$3),"Cam Thành Nam",""),IF(OR(M705=phu!$I$4,M705=phu!$I$5,M705=phu!$I$6,M705=phu!$I$7,M705=phu!$I$8,M705=phu!$I$9,M705=phu!$I$10,M705=phu!$I$11,M705=phu!$I$12,M705=phu!$I$13,M705=phu!$I$14),"Cam Nghĩa",""),IF(OR(M705=phu!$I$15,M705=phu!$I$16,M705=phu!$I$17,M705=phu!$I$18,M705=phu!$I$19,M705=phu!$I$20,M705=phu!$I$21),"Cam Phúc Bắc",""),IF(OR(M705=phu!$I$22,M705=phu!$I$23,M705=phu!$I$24,M705=phu!$I$25),"Cam Phúc Nam",""),IF(OR(M705=phu!$I$26,M705=phu!$I$27,M705=phu!$I$28,M705=phu!$I$29,M705=phu!$I$30,M705=phu!$I$31),"Cam Phú",""),IF(OR(M705=phu!$I$32,M705=phu!$I$33,M705=phu!$I$34,M705=phu!$I$35,M705=phu!$I$36,M705=phu!$I$37),"Cam Lộc",""),IF(OR(M705=phu!$I$38,M705=phu!$I$39,M705=phu!$I$40,M705=phu!$I$41,M705=phu!$I$42,M705=phu!$I$43,M705=phu!$I$44),"Cam Thuận",""),IF(OR(M705=phu!$I$45,M705=phu!$I$46,M705=phu!$I$47,M705=phu!$I$48,M705=phu!$I$49,M705=phu!$I$50,M705=phu!$I$51,M705=phu!$I$52,M705=phu!$I$53),"Cam Linh",""),IF(OR(M705=phu!$I$54,M705=phu!$I$55,M705=phu!$I$56,M705=phu!$I$57,M705=phu!$I$58,M705=phu!$I$59,M705=phu!$I$60,M705=phu!$I$61,M705=phu!$I$62),"Cam Lợi",""),IF(OR(M705=phu!$I$63,M705=phu!$I$64,M705=phu!$I$65,M705=phu!$I$66,M705=phu!$I$67,M705=phu!$I$68,M705=phu!$I$69,M705=phu!$I$70,M705=phu!$I$71),"Ba Ngòi",""),IF(OR(M705=phu!$I$72,M705=phu!$I$73,M705=phu!$I$74,M705=phu!$I$75,M705=phu!$I$76,M705=phu!$I$77,M705=phu!$I$78),"Cam Phước Đông",""),IF(OR(M705=phu!$I$79,M705=phu!$I$80,M705=phu!$I$81,M705=phu!$I$82,M705=phu!$I$83,M705=phu!$I$84),"Cam Thịnh Đông",""),IF(OR(M705=phu!$I$85,M705=phu!$I$86,M705=phu!$I$87,M705=phu!$I$88),"Cam Thịnh Tây",""),IF(OR(M705=phu!$I$89,M705=phu!$I$90),"Cam Lập",""),IF(OR(M705=phu!$I$91,M705=phu!$I$92,M705=phu!$I$93),"Cam Bình",""),IF(OR(M705=phu!$I$94,M705=phu!$I$95,M705=phu!$I$96,M705=phu!$I$97,M705=phu!$I$98,M705=phu!$I$99,M705=phu!$I$100),"Huyện khác",""),IF(OR(M705=phu!$I$101,M705=phu!$I$102),"Tỉnh khác",""))</f>
        <v/>
      </c>
      <c r="O705" s="829" t="str">
        <f t="shared" si="60"/>
        <v/>
      </c>
      <c r="P705" s="254"/>
      <c r="Q705" s="254"/>
      <c r="R705" s="254"/>
      <c r="S705" s="254"/>
      <c r="T705" s="254"/>
      <c r="U705" s="254"/>
      <c r="V705" s="254"/>
      <c r="W705" s="254"/>
      <c r="Y705" s="246" t="str">
        <f t="shared" si="61"/>
        <v/>
      </c>
      <c r="Z705" s="247" t="str">
        <f t="shared" si="65"/>
        <v/>
      </c>
      <c r="AA705" s="246" t="str">
        <f t="shared" si="62"/>
        <v/>
      </c>
    </row>
    <row r="706" spans="1:27" ht="18" customHeight="1" x14ac:dyDescent="0.25">
      <c r="A706" s="248" t="str">
        <f t="shared" si="63"/>
        <v/>
      </c>
      <c r="B706" s="249" t="str">
        <f t="shared" si="64"/>
        <v/>
      </c>
      <c r="C706" s="250"/>
      <c r="D706" s="251"/>
      <c r="E706" s="241"/>
      <c r="F706" s="252"/>
      <c r="G706" s="252"/>
      <c r="H706" s="253"/>
      <c r="I706" s="250"/>
      <c r="J706" s="250"/>
      <c r="K706" s="270"/>
      <c r="L706" s="250"/>
      <c r="M706" s="250"/>
      <c r="N706" s="540" t="str">
        <f>CONCATENATE(IF(OR(M706=phu!$I$1,M706=phu!$I$2,M706=phu!$I$3),"Cam Thành Nam",""),IF(OR(M706=phu!$I$4,M706=phu!$I$5,M706=phu!$I$6,M706=phu!$I$7,M706=phu!$I$8,M706=phu!$I$9,M706=phu!$I$10,M706=phu!$I$11,M706=phu!$I$12,M706=phu!$I$13,M706=phu!$I$14),"Cam Nghĩa",""),IF(OR(M706=phu!$I$15,M706=phu!$I$16,M706=phu!$I$17,M706=phu!$I$18,M706=phu!$I$19,M706=phu!$I$20,M706=phu!$I$21),"Cam Phúc Bắc",""),IF(OR(M706=phu!$I$22,M706=phu!$I$23,M706=phu!$I$24,M706=phu!$I$25),"Cam Phúc Nam",""),IF(OR(M706=phu!$I$26,M706=phu!$I$27,M706=phu!$I$28,M706=phu!$I$29,M706=phu!$I$30,M706=phu!$I$31),"Cam Phú",""),IF(OR(M706=phu!$I$32,M706=phu!$I$33,M706=phu!$I$34,M706=phu!$I$35,M706=phu!$I$36,M706=phu!$I$37),"Cam Lộc",""),IF(OR(M706=phu!$I$38,M706=phu!$I$39,M706=phu!$I$40,M706=phu!$I$41,M706=phu!$I$42,M706=phu!$I$43,M706=phu!$I$44),"Cam Thuận",""),IF(OR(M706=phu!$I$45,M706=phu!$I$46,M706=phu!$I$47,M706=phu!$I$48,M706=phu!$I$49,M706=phu!$I$50,M706=phu!$I$51,M706=phu!$I$52,M706=phu!$I$53),"Cam Linh",""),IF(OR(M706=phu!$I$54,M706=phu!$I$55,M706=phu!$I$56,M706=phu!$I$57,M706=phu!$I$58,M706=phu!$I$59,M706=phu!$I$60,M706=phu!$I$61,M706=phu!$I$62),"Cam Lợi",""),IF(OR(M706=phu!$I$63,M706=phu!$I$64,M706=phu!$I$65,M706=phu!$I$66,M706=phu!$I$67,M706=phu!$I$68,M706=phu!$I$69,M706=phu!$I$70,M706=phu!$I$71),"Ba Ngòi",""),IF(OR(M706=phu!$I$72,M706=phu!$I$73,M706=phu!$I$74,M706=phu!$I$75,M706=phu!$I$76,M706=phu!$I$77,M706=phu!$I$78),"Cam Phước Đông",""),IF(OR(M706=phu!$I$79,M706=phu!$I$80,M706=phu!$I$81,M706=phu!$I$82,M706=phu!$I$83,M706=phu!$I$84),"Cam Thịnh Đông",""),IF(OR(M706=phu!$I$85,M706=phu!$I$86,M706=phu!$I$87,M706=phu!$I$88),"Cam Thịnh Tây",""),IF(OR(M706=phu!$I$89,M706=phu!$I$90),"Cam Lập",""),IF(OR(M706=phu!$I$91,M706=phu!$I$92,M706=phu!$I$93),"Cam Bình",""),IF(OR(M706=phu!$I$94,M706=phu!$I$95,M706=phu!$I$96,M706=phu!$I$97,M706=phu!$I$98,M706=phu!$I$99,M706=phu!$I$100),"Huyện khác",""),IF(OR(M706=phu!$I$101,M706=phu!$I$102),"Tỉnh khác",""))</f>
        <v/>
      </c>
      <c r="O706" s="829" t="str">
        <f t="shared" si="60"/>
        <v/>
      </c>
      <c r="P706" s="254"/>
      <c r="Q706" s="254"/>
      <c r="R706" s="254"/>
      <c r="S706" s="254"/>
      <c r="T706" s="254"/>
      <c r="U706" s="254"/>
      <c r="V706" s="254"/>
      <c r="W706" s="254"/>
      <c r="Y706" s="246" t="str">
        <f t="shared" si="61"/>
        <v/>
      </c>
      <c r="Z706" s="247" t="str">
        <f t="shared" si="65"/>
        <v/>
      </c>
      <c r="AA706" s="246" t="str">
        <f t="shared" si="62"/>
        <v/>
      </c>
    </row>
    <row r="707" spans="1:27" ht="18" customHeight="1" x14ac:dyDescent="0.25">
      <c r="A707" s="248" t="str">
        <f t="shared" si="63"/>
        <v/>
      </c>
      <c r="B707" s="249" t="str">
        <f t="shared" si="64"/>
        <v/>
      </c>
      <c r="C707" s="250"/>
      <c r="D707" s="251"/>
      <c r="E707" s="241"/>
      <c r="F707" s="252"/>
      <c r="G707" s="252"/>
      <c r="H707" s="253"/>
      <c r="I707" s="250"/>
      <c r="J707" s="250"/>
      <c r="K707" s="270"/>
      <c r="L707" s="250"/>
      <c r="M707" s="250"/>
      <c r="N707" s="540" t="str">
        <f>CONCATENATE(IF(OR(M707=phu!$I$1,M707=phu!$I$2,M707=phu!$I$3),"Cam Thành Nam",""),IF(OR(M707=phu!$I$4,M707=phu!$I$5,M707=phu!$I$6,M707=phu!$I$7,M707=phu!$I$8,M707=phu!$I$9,M707=phu!$I$10,M707=phu!$I$11,M707=phu!$I$12,M707=phu!$I$13,M707=phu!$I$14),"Cam Nghĩa",""),IF(OR(M707=phu!$I$15,M707=phu!$I$16,M707=phu!$I$17,M707=phu!$I$18,M707=phu!$I$19,M707=phu!$I$20,M707=phu!$I$21),"Cam Phúc Bắc",""),IF(OR(M707=phu!$I$22,M707=phu!$I$23,M707=phu!$I$24,M707=phu!$I$25),"Cam Phúc Nam",""),IF(OR(M707=phu!$I$26,M707=phu!$I$27,M707=phu!$I$28,M707=phu!$I$29,M707=phu!$I$30,M707=phu!$I$31),"Cam Phú",""),IF(OR(M707=phu!$I$32,M707=phu!$I$33,M707=phu!$I$34,M707=phu!$I$35,M707=phu!$I$36,M707=phu!$I$37),"Cam Lộc",""),IF(OR(M707=phu!$I$38,M707=phu!$I$39,M707=phu!$I$40,M707=phu!$I$41,M707=phu!$I$42,M707=phu!$I$43,M707=phu!$I$44),"Cam Thuận",""),IF(OR(M707=phu!$I$45,M707=phu!$I$46,M707=phu!$I$47,M707=phu!$I$48,M707=phu!$I$49,M707=phu!$I$50,M707=phu!$I$51,M707=phu!$I$52,M707=phu!$I$53),"Cam Linh",""),IF(OR(M707=phu!$I$54,M707=phu!$I$55,M707=phu!$I$56,M707=phu!$I$57,M707=phu!$I$58,M707=phu!$I$59,M707=phu!$I$60,M707=phu!$I$61,M707=phu!$I$62),"Cam Lợi",""),IF(OR(M707=phu!$I$63,M707=phu!$I$64,M707=phu!$I$65,M707=phu!$I$66,M707=phu!$I$67,M707=phu!$I$68,M707=phu!$I$69,M707=phu!$I$70,M707=phu!$I$71),"Ba Ngòi",""),IF(OR(M707=phu!$I$72,M707=phu!$I$73,M707=phu!$I$74,M707=phu!$I$75,M707=phu!$I$76,M707=phu!$I$77,M707=phu!$I$78),"Cam Phước Đông",""),IF(OR(M707=phu!$I$79,M707=phu!$I$80,M707=phu!$I$81,M707=phu!$I$82,M707=phu!$I$83,M707=phu!$I$84),"Cam Thịnh Đông",""),IF(OR(M707=phu!$I$85,M707=phu!$I$86,M707=phu!$I$87,M707=phu!$I$88),"Cam Thịnh Tây",""),IF(OR(M707=phu!$I$89,M707=phu!$I$90),"Cam Lập",""),IF(OR(M707=phu!$I$91,M707=phu!$I$92,M707=phu!$I$93),"Cam Bình",""),IF(OR(M707=phu!$I$94,M707=phu!$I$95,M707=phu!$I$96,M707=phu!$I$97,M707=phu!$I$98,M707=phu!$I$99,M707=phu!$I$100),"Huyện khác",""),IF(OR(M707=phu!$I$101,M707=phu!$I$102),"Tỉnh khác",""))</f>
        <v/>
      </c>
      <c r="O707" s="829" t="str">
        <f t="shared" si="60"/>
        <v/>
      </c>
      <c r="P707" s="254"/>
      <c r="Q707" s="254"/>
      <c r="R707" s="254"/>
      <c r="S707" s="254"/>
      <c r="T707" s="254"/>
      <c r="U707" s="254"/>
      <c r="V707" s="254"/>
      <c r="W707" s="254"/>
      <c r="Y707" s="246" t="str">
        <f t="shared" si="61"/>
        <v/>
      </c>
      <c r="Z707" s="247" t="str">
        <f t="shared" si="65"/>
        <v/>
      </c>
      <c r="AA707" s="246" t="str">
        <f t="shared" si="62"/>
        <v/>
      </c>
    </row>
    <row r="708" spans="1:27" ht="18" customHeight="1" x14ac:dyDescent="0.25">
      <c r="A708" s="248" t="str">
        <f t="shared" si="63"/>
        <v/>
      </c>
      <c r="B708" s="249" t="str">
        <f t="shared" si="64"/>
        <v/>
      </c>
      <c r="C708" s="250"/>
      <c r="D708" s="251"/>
      <c r="E708" s="241"/>
      <c r="F708" s="252"/>
      <c r="G708" s="252"/>
      <c r="H708" s="253"/>
      <c r="I708" s="250"/>
      <c r="J708" s="250"/>
      <c r="K708" s="270"/>
      <c r="L708" s="250"/>
      <c r="M708" s="250"/>
      <c r="N708" s="540" t="str">
        <f>CONCATENATE(IF(OR(M708=phu!$I$1,M708=phu!$I$2,M708=phu!$I$3),"Cam Thành Nam",""),IF(OR(M708=phu!$I$4,M708=phu!$I$5,M708=phu!$I$6,M708=phu!$I$7,M708=phu!$I$8,M708=phu!$I$9,M708=phu!$I$10,M708=phu!$I$11,M708=phu!$I$12,M708=phu!$I$13,M708=phu!$I$14),"Cam Nghĩa",""),IF(OR(M708=phu!$I$15,M708=phu!$I$16,M708=phu!$I$17,M708=phu!$I$18,M708=phu!$I$19,M708=phu!$I$20,M708=phu!$I$21),"Cam Phúc Bắc",""),IF(OR(M708=phu!$I$22,M708=phu!$I$23,M708=phu!$I$24,M708=phu!$I$25),"Cam Phúc Nam",""),IF(OR(M708=phu!$I$26,M708=phu!$I$27,M708=phu!$I$28,M708=phu!$I$29,M708=phu!$I$30,M708=phu!$I$31),"Cam Phú",""),IF(OR(M708=phu!$I$32,M708=phu!$I$33,M708=phu!$I$34,M708=phu!$I$35,M708=phu!$I$36,M708=phu!$I$37),"Cam Lộc",""),IF(OR(M708=phu!$I$38,M708=phu!$I$39,M708=phu!$I$40,M708=phu!$I$41,M708=phu!$I$42,M708=phu!$I$43,M708=phu!$I$44),"Cam Thuận",""),IF(OR(M708=phu!$I$45,M708=phu!$I$46,M708=phu!$I$47,M708=phu!$I$48,M708=phu!$I$49,M708=phu!$I$50,M708=phu!$I$51,M708=phu!$I$52,M708=phu!$I$53),"Cam Linh",""),IF(OR(M708=phu!$I$54,M708=phu!$I$55,M708=phu!$I$56,M708=phu!$I$57,M708=phu!$I$58,M708=phu!$I$59,M708=phu!$I$60,M708=phu!$I$61,M708=phu!$I$62),"Cam Lợi",""),IF(OR(M708=phu!$I$63,M708=phu!$I$64,M708=phu!$I$65,M708=phu!$I$66,M708=phu!$I$67,M708=phu!$I$68,M708=phu!$I$69,M708=phu!$I$70,M708=phu!$I$71),"Ba Ngòi",""),IF(OR(M708=phu!$I$72,M708=phu!$I$73,M708=phu!$I$74,M708=phu!$I$75,M708=phu!$I$76,M708=phu!$I$77,M708=phu!$I$78),"Cam Phước Đông",""),IF(OR(M708=phu!$I$79,M708=phu!$I$80,M708=phu!$I$81,M708=phu!$I$82,M708=phu!$I$83,M708=phu!$I$84),"Cam Thịnh Đông",""),IF(OR(M708=phu!$I$85,M708=phu!$I$86,M708=phu!$I$87,M708=phu!$I$88),"Cam Thịnh Tây",""),IF(OR(M708=phu!$I$89,M708=phu!$I$90),"Cam Lập",""),IF(OR(M708=phu!$I$91,M708=phu!$I$92,M708=phu!$I$93),"Cam Bình",""),IF(OR(M708=phu!$I$94,M708=phu!$I$95,M708=phu!$I$96,M708=phu!$I$97,M708=phu!$I$98,M708=phu!$I$99,M708=phu!$I$100),"Huyện khác",""),IF(OR(M708=phu!$I$101,M708=phu!$I$102),"Tỉnh khác",""))</f>
        <v/>
      </c>
      <c r="O708" s="829" t="str">
        <f t="shared" si="60"/>
        <v/>
      </c>
      <c r="P708" s="254"/>
      <c r="Q708" s="254"/>
      <c r="R708" s="254"/>
      <c r="S708" s="254"/>
      <c r="T708" s="254"/>
      <c r="U708" s="254"/>
      <c r="V708" s="254"/>
      <c r="W708" s="254"/>
      <c r="Y708" s="246" t="str">
        <f t="shared" si="61"/>
        <v/>
      </c>
      <c r="Z708" s="247" t="str">
        <f t="shared" si="65"/>
        <v/>
      </c>
      <c r="AA708" s="246" t="str">
        <f t="shared" si="62"/>
        <v/>
      </c>
    </row>
    <row r="709" spans="1:27" ht="18" customHeight="1" x14ac:dyDescent="0.25">
      <c r="A709" s="248" t="str">
        <f t="shared" si="63"/>
        <v/>
      </c>
      <c r="B709" s="249" t="str">
        <f t="shared" si="64"/>
        <v/>
      </c>
      <c r="C709" s="250"/>
      <c r="D709" s="251"/>
      <c r="E709" s="241"/>
      <c r="F709" s="252"/>
      <c r="G709" s="252"/>
      <c r="H709" s="253"/>
      <c r="I709" s="250"/>
      <c r="J709" s="250"/>
      <c r="K709" s="270"/>
      <c r="L709" s="250"/>
      <c r="M709" s="250"/>
      <c r="N709" s="540" t="str">
        <f>CONCATENATE(IF(OR(M709=phu!$I$1,M709=phu!$I$2,M709=phu!$I$3),"Cam Thành Nam",""),IF(OR(M709=phu!$I$4,M709=phu!$I$5,M709=phu!$I$6,M709=phu!$I$7,M709=phu!$I$8,M709=phu!$I$9,M709=phu!$I$10,M709=phu!$I$11,M709=phu!$I$12,M709=phu!$I$13,M709=phu!$I$14),"Cam Nghĩa",""),IF(OR(M709=phu!$I$15,M709=phu!$I$16,M709=phu!$I$17,M709=phu!$I$18,M709=phu!$I$19,M709=phu!$I$20,M709=phu!$I$21),"Cam Phúc Bắc",""),IF(OR(M709=phu!$I$22,M709=phu!$I$23,M709=phu!$I$24,M709=phu!$I$25),"Cam Phúc Nam",""),IF(OR(M709=phu!$I$26,M709=phu!$I$27,M709=phu!$I$28,M709=phu!$I$29,M709=phu!$I$30,M709=phu!$I$31),"Cam Phú",""),IF(OR(M709=phu!$I$32,M709=phu!$I$33,M709=phu!$I$34,M709=phu!$I$35,M709=phu!$I$36,M709=phu!$I$37),"Cam Lộc",""),IF(OR(M709=phu!$I$38,M709=phu!$I$39,M709=phu!$I$40,M709=phu!$I$41,M709=phu!$I$42,M709=phu!$I$43,M709=phu!$I$44),"Cam Thuận",""),IF(OR(M709=phu!$I$45,M709=phu!$I$46,M709=phu!$I$47,M709=phu!$I$48,M709=phu!$I$49,M709=phu!$I$50,M709=phu!$I$51,M709=phu!$I$52,M709=phu!$I$53),"Cam Linh",""),IF(OR(M709=phu!$I$54,M709=phu!$I$55,M709=phu!$I$56,M709=phu!$I$57,M709=phu!$I$58,M709=phu!$I$59,M709=phu!$I$60,M709=phu!$I$61,M709=phu!$I$62),"Cam Lợi",""),IF(OR(M709=phu!$I$63,M709=phu!$I$64,M709=phu!$I$65,M709=phu!$I$66,M709=phu!$I$67,M709=phu!$I$68,M709=phu!$I$69,M709=phu!$I$70,M709=phu!$I$71),"Ba Ngòi",""),IF(OR(M709=phu!$I$72,M709=phu!$I$73,M709=phu!$I$74,M709=phu!$I$75,M709=phu!$I$76,M709=phu!$I$77,M709=phu!$I$78),"Cam Phước Đông",""),IF(OR(M709=phu!$I$79,M709=phu!$I$80,M709=phu!$I$81,M709=phu!$I$82,M709=phu!$I$83,M709=phu!$I$84),"Cam Thịnh Đông",""),IF(OR(M709=phu!$I$85,M709=phu!$I$86,M709=phu!$I$87,M709=phu!$I$88),"Cam Thịnh Tây",""),IF(OR(M709=phu!$I$89,M709=phu!$I$90),"Cam Lập",""),IF(OR(M709=phu!$I$91,M709=phu!$I$92,M709=phu!$I$93),"Cam Bình",""),IF(OR(M709=phu!$I$94,M709=phu!$I$95,M709=phu!$I$96,M709=phu!$I$97,M709=phu!$I$98,M709=phu!$I$99,M709=phu!$I$100),"Huyện khác",""),IF(OR(M709=phu!$I$101,M709=phu!$I$102),"Tỉnh khác",""))</f>
        <v/>
      </c>
      <c r="O709" s="829" t="str">
        <f t="shared" si="60"/>
        <v/>
      </c>
      <c r="P709" s="254"/>
      <c r="Q709" s="254"/>
      <c r="R709" s="254"/>
      <c r="S709" s="254"/>
      <c r="T709" s="254"/>
      <c r="U709" s="254"/>
      <c r="V709" s="254"/>
      <c r="W709" s="254"/>
      <c r="Y709" s="246" t="str">
        <f t="shared" si="61"/>
        <v/>
      </c>
      <c r="Z709" s="247" t="str">
        <f t="shared" si="65"/>
        <v/>
      </c>
      <c r="AA709" s="246" t="str">
        <f t="shared" si="62"/>
        <v/>
      </c>
    </row>
    <row r="710" spans="1:27" ht="18" customHeight="1" x14ac:dyDescent="0.25">
      <c r="A710" s="248" t="str">
        <f t="shared" si="63"/>
        <v/>
      </c>
      <c r="B710" s="249" t="str">
        <f t="shared" si="64"/>
        <v/>
      </c>
      <c r="C710" s="250"/>
      <c r="D710" s="251"/>
      <c r="E710" s="241"/>
      <c r="F710" s="252"/>
      <c r="G710" s="252"/>
      <c r="H710" s="253"/>
      <c r="I710" s="250"/>
      <c r="J710" s="250"/>
      <c r="K710" s="270"/>
      <c r="L710" s="250"/>
      <c r="M710" s="250"/>
      <c r="N710" s="540" t="str">
        <f>CONCATENATE(IF(OR(M710=phu!$I$1,M710=phu!$I$2,M710=phu!$I$3),"Cam Thành Nam",""),IF(OR(M710=phu!$I$4,M710=phu!$I$5,M710=phu!$I$6,M710=phu!$I$7,M710=phu!$I$8,M710=phu!$I$9,M710=phu!$I$10,M710=phu!$I$11,M710=phu!$I$12,M710=phu!$I$13,M710=phu!$I$14),"Cam Nghĩa",""),IF(OR(M710=phu!$I$15,M710=phu!$I$16,M710=phu!$I$17,M710=phu!$I$18,M710=phu!$I$19,M710=phu!$I$20,M710=phu!$I$21),"Cam Phúc Bắc",""),IF(OR(M710=phu!$I$22,M710=phu!$I$23,M710=phu!$I$24,M710=phu!$I$25),"Cam Phúc Nam",""),IF(OR(M710=phu!$I$26,M710=phu!$I$27,M710=phu!$I$28,M710=phu!$I$29,M710=phu!$I$30,M710=phu!$I$31),"Cam Phú",""),IF(OR(M710=phu!$I$32,M710=phu!$I$33,M710=phu!$I$34,M710=phu!$I$35,M710=phu!$I$36,M710=phu!$I$37),"Cam Lộc",""),IF(OR(M710=phu!$I$38,M710=phu!$I$39,M710=phu!$I$40,M710=phu!$I$41,M710=phu!$I$42,M710=phu!$I$43,M710=phu!$I$44),"Cam Thuận",""),IF(OR(M710=phu!$I$45,M710=phu!$I$46,M710=phu!$I$47,M710=phu!$I$48,M710=phu!$I$49,M710=phu!$I$50,M710=phu!$I$51,M710=phu!$I$52,M710=phu!$I$53),"Cam Linh",""),IF(OR(M710=phu!$I$54,M710=phu!$I$55,M710=phu!$I$56,M710=phu!$I$57,M710=phu!$I$58,M710=phu!$I$59,M710=phu!$I$60,M710=phu!$I$61,M710=phu!$I$62),"Cam Lợi",""),IF(OR(M710=phu!$I$63,M710=phu!$I$64,M710=phu!$I$65,M710=phu!$I$66,M710=phu!$I$67,M710=phu!$I$68,M710=phu!$I$69,M710=phu!$I$70,M710=phu!$I$71),"Ba Ngòi",""),IF(OR(M710=phu!$I$72,M710=phu!$I$73,M710=phu!$I$74,M710=phu!$I$75,M710=phu!$I$76,M710=phu!$I$77,M710=phu!$I$78),"Cam Phước Đông",""),IF(OR(M710=phu!$I$79,M710=phu!$I$80,M710=phu!$I$81,M710=phu!$I$82,M710=phu!$I$83,M710=phu!$I$84),"Cam Thịnh Đông",""),IF(OR(M710=phu!$I$85,M710=phu!$I$86,M710=phu!$I$87,M710=phu!$I$88),"Cam Thịnh Tây",""),IF(OR(M710=phu!$I$89,M710=phu!$I$90),"Cam Lập",""),IF(OR(M710=phu!$I$91,M710=phu!$I$92,M710=phu!$I$93),"Cam Bình",""),IF(OR(M710=phu!$I$94,M710=phu!$I$95,M710=phu!$I$96,M710=phu!$I$97,M710=phu!$I$98,M710=phu!$I$99,M710=phu!$I$100),"Huyện khác",""),IF(OR(M710=phu!$I$101,M710=phu!$I$102),"Tỉnh khác",""))</f>
        <v/>
      </c>
      <c r="O710" s="829" t="str">
        <f t="shared" si="60"/>
        <v/>
      </c>
      <c r="P710" s="254"/>
      <c r="Q710" s="254"/>
      <c r="R710" s="254"/>
      <c r="S710" s="254"/>
      <c r="T710" s="254"/>
      <c r="U710" s="254"/>
      <c r="V710" s="254"/>
      <c r="W710" s="254"/>
      <c r="Y710" s="246" t="str">
        <f t="shared" si="61"/>
        <v/>
      </c>
      <c r="Z710" s="247" t="str">
        <f t="shared" si="65"/>
        <v/>
      </c>
      <c r="AA710" s="246" t="str">
        <f t="shared" si="62"/>
        <v/>
      </c>
    </row>
    <row r="711" spans="1:27" ht="18" customHeight="1" x14ac:dyDescent="0.25">
      <c r="A711" s="248" t="str">
        <f t="shared" si="63"/>
        <v/>
      </c>
      <c r="B711" s="249" t="str">
        <f t="shared" si="64"/>
        <v/>
      </c>
      <c r="C711" s="250"/>
      <c r="D711" s="251"/>
      <c r="E711" s="241"/>
      <c r="F711" s="252"/>
      <c r="G711" s="252"/>
      <c r="H711" s="253"/>
      <c r="I711" s="250"/>
      <c r="J711" s="250"/>
      <c r="K711" s="270"/>
      <c r="L711" s="250"/>
      <c r="M711" s="250"/>
      <c r="N711" s="540" t="str">
        <f>CONCATENATE(IF(OR(M711=phu!$I$1,M711=phu!$I$2,M711=phu!$I$3),"Cam Thành Nam",""),IF(OR(M711=phu!$I$4,M711=phu!$I$5,M711=phu!$I$6,M711=phu!$I$7,M711=phu!$I$8,M711=phu!$I$9,M711=phu!$I$10,M711=phu!$I$11,M711=phu!$I$12,M711=phu!$I$13,M711=phu!$I$14),"Cam Nghĩa",""),IF(OR(M711=phu!$I$15,M711=phu!$I$16,M711=phu!$I$17,M711=phu!$I$18,M711=phu!$I$19,M711=phu!$I$20,M711=phu!$I$21),"Cam Phúc Bắc",""),IF(OR(M711=phu!$I$22,M711=phu!$I$23,M711=phu!$I$24,M711=phu!$I$25),"Cam Phúc Nam",""),IF(OR(M711=phu!$I$26,M711=phu!$I$27,M711=phu!$I$28,M711=phu!$I$29,M711=phu!$I$30,M711=phu!$I$31),"Cam Phú",""),IF(OR(M711=phu!$I$32,M711=phu!$I$33,M711=phu!$I$34,M711=phu!$I$35,M711=phu!$I$36,M711=phu!$I$37),"Cam Lộc",""),IF(OR(M711=phu!$I$38,M711=phu!$I$39,M711=phu!$I$40,M711=phu!$I$41,M711=phu!$I$42,M711=phu!$I$43,M711=phu!$I$44),"Cam Thuận",""),IF(OR(M711=phu!$I$45,M711=phu!$I$46,M711=phu!$I$47,M711=phu!$I$48,M711=phu!$I$49,M711=phu!$I$50,M711=phu!$I$51,M711=phu!$I$52,M711=phu!$I$53),"Cam Linh",""),IF(OR(M711=phu!$I$54,M711=phu!$I$55,M711=phu!$I$56,M711=phu!$I$57,M711=phu!$I$58,M711=phu!$I$59,M711=phu!$I$60,M711=phu!$I$61,M711=phu!$I$62),"Cam Lợi",""),IF(OR(M711=phu!$I$63,M711=phu!$I$64,M711=phu!$I$65,M711=phu!$I$66,M711=phu!$I$67,M711=phu!$I$68,M711=phu!$I$69,M711=phu!$I$70,M711=phu!$I$71),"Ba Ngòi",""),IF(OR(M711=phu!$I$72,M711=phu!$I$73,M711=phu!$I$74,M711=phu!$I$75,M711=phu!$I$76,M711=phu!$I$77,M711=phu!$I$78),"Cam Phước Đông",""),IF(OR(M711=phu!$I$79,M711=phu!$I$80,M711=phu!$I$81,M711=phu!$I$82,M711=phu!$I$83,M711=phu!$I$84),"Cam Thịnh Đông",""),IF(OR(M711=phu!$I$85,M711=phu!$I$86,M711=phu!$I$87,M711=phu!$I$88),"Cam Thịnh Tây",""),IF(OR(M711=phu!$I$89,M711=phu!$I$90),"Cam Lập",""),IF(OR(M711=phu!$I$91,M711=phu!$I$92,M711=phu!$I$93),"Cam Bình",""),IF(OR(M711=phu!$I$94,M711=phu!$I$95,M711=phu!$I$96,M711=phu!$I$97,M711=phu!$I$98,M711=phu!$I$99,M711=phu!$I$100),"Huyện khác",""),IF(OR(M711=phu!$I$101,M711=phu!$I$102),"Tỉnh khác",""))</f>
        <v/>
      </c>
      <c r="O711" s="829" t="str">
        <f t="shared" ref="O711:O774" si="66">CONCATENATE(IF(OR(N711="Cam Thành Nam",N711="Cam Nghĩa",N711="Cam Phúc Bắc"),"Bắc Cam Ranh",""),IF(OR(N711="Cam Phúc Nam",N711="Cam Phú",N711="Cam Lộc"),"Cam Ranh",""),IF(OR(N711="Cam Thuận",N711="Cam Linh",N711="Cam Lợi"),"Cam Linh",""),IF(OR(N711="Ba Ngòi",N711="Cam Phước Đông"),"Ba Ngòi",""),IF(OR(N711="Cam Thịnh Đông",N711="Cam Thịnh Tây",N711="Cam Lập",N711="Cam Bình"),"Nam Cam Ranh",""),IF(N711="Huyện khác","Huyện khác",""),IF(N711="Tỉnh khác","Tỉnh khác",""))</f>
        <v/>
      </c>
      <c r="P711" s="254"/>
      <c r="Q711" s="254"/>
      <c r="R711" s="254"/>
      <c r="S711" s="254"/>
      <c r="T711" s="254"/>
      <c r="U711" s="254"/>
      <c r="V711" s="254"/>
      <c r="W711" s="254"/>
      <c r="Y711" s="246" t="str">
        <f t="shared" ref="Y711:Y774" si="67">IF(OR(AND(B711="",C711="",D711="",E711="",F711="",G711="",H711="",I711="",J711="",L711="",M711="",N711="",P711="",Q711="",R711="",S711=""),AND(B711&lt;&gt;"",C711&lt;&gt;"",D711&lt;&gt;"",E711&lt;&gt;"",F711&lt;&gt;"",G711&lt;&gt;"",H711&lt;&gt;"",J711&lt;&gt;"",M711&lt;&gt;"",N711&lt;&gt;"",P711&lt;&gt;"",OR(AND(Q711&lt;&gt;"",R711=""),AND(Q711="",R711&lt;&gt;""),AND(Q711&lt;&gt;"",R711&lt;&gt;"")),OR(AND(K711="X",T711&lt;&gt;""),AND(K711="",T711="")))),"","er")</f>
        <v/>
      </c>
      <c r="Z711" s="247" t="str">
        <f t="shared" si="65"/>
        <v/>
      </c>
      <c r="AA711" s="246" t="str">
        <f t="shared" ref="AA711:AA774" si="68">IF(OR(AND(Z711&lt;=10,B711&gt;5),AND(Z711&lt;=11,B711&gt;6),AND(Z711&lt;=12,B711&gt;7),AND(Z711&lt;=13,B711&gt;8),AND(Z711&lt;=14,B711&gt;9),AND(Z711=11,B711=6,L711="X"),AND(Z711=12,B711=7,L711="X"),AND(Z711=13,B711=8,L711="X"),AND(Z711=14,B711=9,L711="X")),"er","")</f>
        <v/>
      </c>
    </row>
    <row r="712" spans="1:27" ht="18" customHeight="1" x14ac:dyDescent="0.25">
      <c r="A712" s="248" t="str">
        <f t="shared" ref="A712:A775" si="69">IF(OR(A711="",B712="",C712="",D712="",E712=""),"",A711+1)</f>
        <v/>
      </c>
      <c r="B712" s="249" t="str">
        <f t="shared" ref="B712:B775" si="70">IF(C712="","",VALUE(LEFT(C712,1)))</f>
        <v/>
      </c>
      <c r="C712" s="250"/>
      <c r="D712" s="251"/>
      <c r="E712" s="241"/>
      <c r="F712" s="252"/>
      <c r="G712" s="252"/>
      <c r="H712" s="253"/>
      <c r="I712" s="250"/>
      <c r="J712" s="250"/>
      <c r="K712" s="270"/>
      <c r="L712" s="250"/>
      <c r="M712" s="250"/>
      <c r="N712" s="540" t="str">
        <f>CONCATENATE(IF(OR(M712=phu!$I$1,M712=phu!$I$2,M712=phu!$I$3),"Cam Thành Nam",""),IF(OR(M712=phu!$I$4,M712=phu!$I$5,M712=phu!$I$6,M712=phu!$I$7,M712=phu!$I$8,M712=phu!$I$9,M712=phu!$I$10,M712=phu!$I$11,M712=phu!$I$12,M712=phu!$I$13,M712=phu!$I$14),"Cam Nghĩa",""),IF(OR(M712=phu!$I$15,M712=phu!$I$16,M712=phu!$I$17,M712=phu!$I$18,M712=phu!$I$19,M712=phu!$I$20,M712=phu!$I$21),"Cam Phúc Bắc",""),IF(OR(M712=phu!$I$22,M712=phu!$I$23,M712=phu!$I$24,M712=phu!$I$25),"Cam Phúc Nam",""),IF(OR(M712=phu!$I$26,M712=phu!$I$27,M712=phu!$I$28,M712=phu!$I$29,M712=phu!$I$30,M712=phu!$I$31),"Cam Phú",""),IF(OR(M712=phu!$I$32,M712=phu!$I$33,M712=phu!$I$34,M712=phu!$I$35,M712=phu!$I$36,M712=phu!$I$37),"Cam Lộc",""),IF(OR(M712=phu!$I$38,M712=phu!$I$39,M712=phu!$I$40,M712=phu!$I$41,M712=phu!$I$42,M712=phu!$I$43,M712=phu!$I$44),"Cam Thuận",""),IF(OR(M712=phu!$I$45,M712=phu!$I$46,M712=phu!$I$47,M712=phu!$I$48,M712=phu!$I$49,M712=phu!$I$50,M712=phu!$I$51,M712=phu!$I$52,M712=phu!$I$53),"Cam Linh",""),IF(OR(M712=phu!$I$54,M712=phu!$I$55,M712=phu!$I$56,M712=phu!$I$57,M712=phu!$I$58,M712=phu!$I$59,M712=phu!$I$60,M712=phu!$I$61,M712=phu!$I$62),"Cam Lợi",""),IF(OR(M712=phu!$I$63,M712=phu!$I$64,M712=phu!$I$65,M712=phu!$I$66,M712=phu!$I$67,M712=phu!$I$68,M712=phu!$I$69,M712=phu!$I$70,M712=phu!$I$71),"Ba Ngòi",""),IF(OR(M712=phu!$I$72,M712=phu!$I$73,M712=phu!$I$74,M712=phu!$I$75,M712=phu!$I$76,M712=phu!$I$77,M712=phu!$I$78),"Cam Phước Đông",""),IF(OR(M712=phu!$I$79,M712=phu!$I$80,M712=phu!$I$81,M712=phu!$I$82,M712=phu!$I$83,M712=phu!$I$84),"Cam Thịnh Đông",""),IF(OR(M712=phu!$I$85,M712=phu!$I$86,M712=phu!$I$87,M712=phu!$I$88),"Cam Thịnh Tây",""),IF(OR(M712=phu!$I$89,M712=phu!$I$90),"Cam Lập",""),IF(OR(M712=phu!$I$91,M712=phu!$I$92,M712=phu!$I$93),"Cam Bình",""),IF(OR(M712=phu!$I$94,M712=phu!$I$95,M712=phu!$I$96,M712=phu!$I$97,M712=phu!$I$98,M712=phu!$I$99,M712=phu!$I$100),"Huyện khác",""),IF(OR(M712=phu!$I$101,M712=phu!$I$102),"Tỉnh khác",""))</f>
        <v/>
      </c>
      <c r="O712" s="829" t="str">
        <f t="shared" si="66"/>
        <v/>
      </c>
      <c r="P712" s="254"/>
      <c r="Q712" s="254"/>
      <c r="R712" s="254"/>
      <c r="S712" s="254"/>
      <c r="T712" s="254"/>
      <c r="U712" s="254"/>
      <c r="V712" s="254"/>
      <c r="W712" s="254"/>
      <c r="Y712" s="246" t="str">
        <f t="shared" si="67"/>
        <v/>
      </c>
      <c r="Z712" s="247" t="str">
        <f t="shared" ref="Z712:Z775" si="71">IF(H712="","",$Z$1-H712)</f>
        <v/>
      </c>
      <c r="AA712" s="246" t="str">
        <f t="shared" si="68"/>
        <v/>
      </c>
    </row>
    <row r="713" spans="1:27" ht="18" customHeight="1" x14ac:dyDescent="0.25">
      <c r="A713" s="248" t="str">
        <f t="shared" si="69"/>
        <v/>
      </c>
      <c r="B713" s="249" t="str">
        <f t="shared" si="70"/>
        <v/>
      </c>
      <c r="C713" s="250"/>
      <c r="D713" s="251"/>
      <c r="E713" s="241"/>
      <c r="F713" s="252"/>
      <c r="G713" s="252"/>
      <c r="H713" s="253"/>
      <c r="I713" s="250"/>
      <c r="J713" s="250"/>
      <c r="K713" s="270"/>
      <c r="L713" s="250"/>
      <c r="M713" s="250"/>
      <c r="N713" s="540" t="str">
        <f>CONCATENATE(IF(OR(M713=phu!$I$1,M713=phu!$I$2,M713=phu!$I$3),"Cam Thành Nam",""),IF(OR(M713=phu!$I$4,M713=phu!$I$5,M713=phu!$I$6,M713=phu!$I$7,M713=phu!$I$8,M713=phu!$I$9,M713=phu!$I$10,M713=phu!$I$11,M713=phu!$I$12,M713=phu!$I$13,M713=phu!$I$14),"Cam Nghĩa",""),IF(OR(M713=phu!$I$15,M713=phu!$I$16,M713=phu!$I$17,M713=phu!$I$18,M713=phu!$I$19,M713=phu!$I$20,M713=phu!$I$21),"Cam Phúc Bắc",""),IF(OR(M713=phu!$I$22,M713=phu!$I$23,M713=phu!$I$24,M713=phu!$I$25),"Cam Phúc Nam",""),IF(OR(M713=phu!$I$26,M713=phu!$I$27,M713=phu!$I$28,M713=phu!$I$29,M713=phu!$I$30,M713=phu!$I$31),"Cam Phú",""),IF(OR(M713=phu!$I$32,M713=phu!$I$33,M713=phu!$I$34,M713=phu!$I$35,M713=phu!$I$36,M713=phu!$I$37),"Cam Lộc",""),IF(OR(M713=phu!$I$38,M713=phu!$I$39,M713=phu!$I$40,M713=phu!$I$41,M713=phu!$I$42,M713=phu!$I$43,M713=phu!$I$44),"Cam Thuận",""),IF(OR(M713=phu!$I$45,M713=phu!$I$46,M713=phu!$I$47,M713=phu!$I$48,M713=phu!$I$49,M713=phu!$I$50,M713=phu!$I$51,M713=phu!$I$52,M713=phu!$I$53),"Cam Linh",""),IF(OR(M713=phu!$I$54,M713=phu!$I$55,M713=phu!$I$56,M713=phu!$I$57,M713=phu!$I$58,M713=phu!$I$59,M713=phu!$I$60,M713=phu!$I$61,M713=phu!$I$62),"Cam Lợi",""),IF(OR(M713=phu!$I$63,M713=phu!$I$64,M713=phu!$I$65,M713=phu!$I$66,M713=phu!$I$67,M713=phu!$I$68,M713=phu!$I$69,M713=phu!$I$70,M713=phu!$I$71),"Ba Ngòi",""),IF(OR(M713=phu!$I$72,M713=phu!$I$73,M713=phu!$I$74,M713=phu!$I$75,M713=phu!$I$76,M713=phu!$I$77,M713=phu!$I$78),"Cam Phước Đông",""),IF(OR(M713=phu!$I$79,M713=phu!$I$80,M713=phu!$I$81,M713=phu!$I$82,M713=phu!$I$83,M713=phu!$I$84),"Cam Thịnh Đông",""),IF(OR(M713=phu!$I$85,M713=phu!$I$86,M713=phu!$I$87,M713=phu!$I$88),"Cam Thịnh Tây",""),IF(OR(M713=phu!$I$89,M713=phu!$I$90),"Cam Lập",""),IF(OR(M713=phu!$I$91,M713=phu!$I$92,M713=phu!$I$93),"Cam Bình",""),IF(OR(M713=phu!$I$94,M713=phu!$I$95,M713=phu!$I$96,M713=phu!$I$97,M713=phu!$I$98,M713=phu!$I$99,M713=phu!$I$100),"Huyện khác",""),IF(OR(M713=phu!$I$101,M713=phu!$I$102),"Tỉnh khác",""))</f>
        <v/>
      </c>
      <c r="O713" s="829" t="str">
        <f t="shared" si="66"/>
        <v/>
      </c>
      <c r="P713" s="254"/>
      <c r="Q713" s="254"/>
      <c r="R713" s="254"/>
      <c r="S713" s="254"/>
      <c r="T713" s="254"/>
      <c r="U713" s="254"/>
      <c r="V713" s="254"/>
      <c r="W713" s="254"/>
      <c r="Y713" s="246" t="str">
        <f t="shared" si="67"/>
        <v/>
      </c>
      <c r="Z713" s="247" t="str">
        <f t="shared" si="71"/>
        <v/>
      </c>
      <c r="AA713" s="246" t="str">
        <f t="shared" si="68"/>
        <v/>
      </c>
    </row>
    <row r="714" spans="1:27" ht="18" customHeight="1" x14ac:dyDescent="0.25">
      <c r="A714" s="248" t="str">
        <f t="shared" si="69"/>
        <v/>
      </c>
      <c r="B714" s="249" t="str">
        <f t="shared" si="70"/>
        <v/>
      </c>
      <c r="C714" s="250"/>
      <c r="D714" s="251"/>
      <c r="E714" s="241"/>
      <c r="F714" s="252"/>
      <c r="G714" s="252"/>
      <c r="H714" s="253"/>
      <c r="I714" s="250"/>
      <c r="J714" s="250"/>
      <c r="K714" s="270"/>
      <c r="L714" s="250"/>
      <c r="M714" s="250"/>
      <c r="N714" s="540" t="str">
        <f>CONCATENATE(IF(OR(M714=phu!$I$1,M714=phu!$I$2,M714=phu!$I$3),"Cam Thành Nam",""),IF(OR(M714=phu!$I$4,M714=phu!$I$5,M714=phu!$I$6,M714=phu!$I$7,M714=phu!$I$8,M714=phu!$I$9,M714=phu!$I$10,M714=phu!$I$11,M714=phu!$I$12,M714=phu!$I$13,M714=phu!$I$14),"Cam Nghĩa",""),IF(OR(M714=phu!$I$15,M714=phu!$I$16,M714=phu!$I$17,M714=phu!$I$18,M714=phu!$I$19,M714=phu!$I$20,M714=phu!$I$21),"Cam Phúc Bắc",""),IF(OR(M714=phu!$I$22,M714=phu!$I$23,M714=phu!$I$24,M714=phu!$I$25),"Cam Phúc Nam",""),IF(OR(M714=phu!$I$26,M714=phu!$I$27,M714=phu!$I$28,M714=phu!$I$29,M714=phu!$I$30,M714=phu!$I$31),"Cam Phú",""),IF(OR(M714=phu!$I$32,M714=phu!$I$33,M714=phu!$I$34,M714=phu!$I$35,M714=phu!$I$36,M714=phu!$I$37),"Cam Lộc",""),IF(OR(M714=phu!$I$38,M714=phu!$I$39,M714=phu!$I$40,M714=phu!$I$41,M714=phu!$I$42,M714=phu!$I$43,M714=phu!$I$44),"Cam Thuận",""),IF(OR(M714=phu!$I$45,M714=phu!$I$46,M714=phu!$I$47,M714=phu!$I$48,M714=phu!$I$49,M714=phu!$I$50,M714=phu!$I$51,M714=phu!$I$52,M714=phu!$I$53),"Cam Linh",""),IF(OR(M714=phu!$I$54,M714=phu!$I$55,M714=phu!$I$56,M714=phu!$I$57,M714=phu!$I$58,M714=phu!$I$59,M714=phu!$I$60,M714=phu!$I$61,M714=phu!$I$62),"Cam Lợi",""),IF(OR(M714=phu!$I$63,M714=phu!$I$64,M714=phu!$I$65,M714=phu!$I$66,M714=phu!$I$67,M714=phu!$I$68,M714=phu!$I$69,M714=phu!$I$70,M714=phu!$I$71),"Ba Ngòi",""),IF(OR(M714=phu!$I$72,M714=phu!$I$73,M714=phu!$I$74,M714=phu!$I$75,M714=phu!$I$76,M714=phu!$I$77,M714=phu!$I$78),"Cam Phước Đông",""),IF(OR(M714=phu!$I$79,M714=phu!$I$80,M714=phu!$I$81,M714=phu!$I$82,M714=phu!$I$83,M714=phu!$I$84),"Cam Thịnh Đông",""),IF(OR(M714=phu!$I$85,M714=phu!$I$86,M714=phu!$I$87,M714=phu!$I$88),"Cam Thịnh Tây",""),IF(OR(M714=phu!$I$89,M714=phu!$I$90),"Cam Lập",""),IF(OR(M714=phu!$I$91,M714=phu!$I$92,M714=phu!$I$93),"Cam Bình",""),IF(OR(M714=phu!$I$94,M714=phu!$I$95,M714=phu!$I$96,M714=phu!$I$97,M714=phu!$I$98,M714=phu!$I$99,M714=phu!$I$100),"Huyện khác",""),IF(OR(M714=phu!$I$101,M714=phu!$I$102),"Tỉnh khác",""))</f>
        <v/>
      </c>
      <c r="O714" s="829" t="str">
        <f t="shared" si="66"/>
        <v/>
      </c>
      <c r="P714" s="254"/>
      <c r="Q714" s="254"/>
      <c r="R714" s="254"/>
      <c r="S714" s="254"/>
      <c r="T714" s="254"/>
      <c r="U714" s="254"/>
      <c r="V714" s="254"/>
      <c r="W714" s="254"/>
      <c r="Y714" s="246" t="str">
        <f t="shared" si="67"/>
        <v/>
      </c>
      <c r="Z714" s="247" t="str">
        <f t="shared" si="71"/>
        <v/>
      </c>
      <c r="AA714" s="246" t="str">
        <f t="shared" si="68"/>
        <v/>
      </c>
    </row>
    <row r="715" spans="1:27" ht="18" customHeight="1" x14ac:dyDescent="0.25">
      <c r="A715" s="248" t="str">
        <f t="shared" si="69"/>
        <v/>
      </c>
      <c r="B715" s="249" t="str">
        <f t="shared" si="70"/>
        <v/>
      </c>
      <c r="C715" s="250"/>
      <c r="D715" s="251"/>
      <c r="E715" s="241"/>
      <c r="F715" s="252"/>
      <c r="G715" s="252"/>
      <c r="H715" s="253"/>
      <c r="I715" s="250"/>
      <c r="J715" s="250"/>
      <c r="K715" s="270"/>
      <c r="L715" s="250"/>
      <c r="M715" s="250"/>
      <c r="N715" s="540" t="str">
        <f>CONCATENATE(IF(OR(M715=phu!$I$1,M715=phu!$I$2,M715=phu!$I$3),"Cam Thành Nam",""),IF(OR(M715=phu!$I$4,M715=phu!$I$5,M715=phu!$I$6,M715=phu!$I$7,M715=phu!$I$8,M715=phu!$I$9,M715=phu!$I$10,M715=phu!$I$11,M715=phu!$I$12,M715=phu!$I$13,M715=phu!$I$14),"Cam Nghĩa",""),IF(OR(M715=phu!$I$15,M715=phu!$I$16,M715=phu!$I$17,M715=phu!$I$18,M715=phu!$I$19,M715=phu!$I$20,M715=phu!$I$21),"Cam Phúc Bắc",""),IF(OR(M715=phu!$I$22,M715=phu!$I$23,M715=phu!$I$24,M715=phu!$I$25),"Cam Phúc Nam",""),IF(OR(M715=phu!$I$26,M715=phu!$I$27,M715=phu!$I$28,M715=phu!$I$29,M715=phu!$I$30,M715=phu!$I$31),"Cam Phú",""),IF(OR(M715=phu!$I$32,M715=phu!$I$33,M715=phu!$I$34,M715=phu!$I$35,M715=phu!$I$36,M715=phu!$I$37),"Cam Lộc",""),IF(OR(M715=phu!$I$38,M715=phu!$I$39,M715=phu!$I$40,M715=phu!$I$41,M715=phu!$I$42,M715=phu!$I$43,M715=phu!$I$44),"Cam Thuận",""),IF(OR(M715=phu!$I$45,M715=phu!$I$46,M715=phu!$I$47,M715=phu!$I$48,M715=phu!$I$49,M715=phu!$I$50,M715=phu!$I$51,M715=phu!$I$52,M715=phu!$I$53),"Cam Linh",""),IF(OR(M715=phu!$I$54,M715=phu!$I$55,M715=phu!$I$56,M715=phu!$I$57,M715=phu!$I$58,M715=phu!$I$59,M715=phu!$I$60,M715=phu!$I$61,M715=phu!$I$62),"Cam Lợi",""),IF(OR(M715=phu!$I$63,M715=phu!$I$64,M715=phu!$I$65,M715=phu!$I$66,M715=phu!$I$67,M715=phu!$I$68,M715=phu!$I$69,M715=phu!$I$70,M715=phu!$I$71),"Ba Ngòi",""),IF(OR(M715=phu!$I$72,M715=phu!$I$73,M715=phu!$I$74,M715=phu!$I$75,M715=phu!$I$76,M715=phu!$I$77,M715=phu!$I$78),"Cam Phước Đông",""),IF(OR(M715=phu!$I$79,M715=phu!$I$80,M715=phu!$I$81,M715=phu!$I$82,M715=phu!$I$83,M715=phu!$I$84),"Cam Thịnh Đông",""),IF(OR(M715=phu!$I$85,M715=phu!$I$86,M715=phu!$I$87,M715=phu!$I$88),"Cam Thịnh Tây",""),IF(OR(M715=phu!$I$89,M715=phu!$I$90),"Cam Lập",""),IF(OR(M715=phu!$I$91,M715=phu!$I$92,M715=phu!$I$93),"Cam Bình",""),IF(OR(M715=phu!$I$94,M715=phu!$I$95,M715=phu!$I$96,M715=phu!$I$97,M715=phu!$I$98,M715=phu!$I$99,M715=phu!$I$100),"Huyện khác",""),IF(OR(M715=phu!$I$101,M715=phu!$I$102),"Tỉnh khác",""))</f>
        <v/>
      </c>
      <c r="O715" s="829" t="str">
        <f t="shared" si="66"/>
        <v/>
      </c>
      <c r="P715" s="254"/>
      <c r="Q715" s="254"/>
      <c r="R715" s="254"/>
      <c r="S715" s="254"/>
      <c r="T715" s="254"/>
      <c r="U715" s="254"/>
      <c r="V715" s="254"/>
      <c r="W715" s="254"/>
      <c r="Y715" s="246" t="str">
        <f t="shared" si="67"/>
        <v/>
      </c>
      <c r="Z715" s="247" t="str">
        <f t="shared" si="71"/>
        <v/>
      </c>
      <c r="AA715" s="246" t="str">
        <f t="shared" si="68"/>
        <v/>
      </c>
    </row>
    <row r="716" spans="1:27" ht="18" customHeight="1" x14ac:dyDescent="0.25">
      <c r="A716" s="248" t="str">
        <f t="shared" si="69"/>
        <v/>
      </c>
      <c r="B716" s="249" t="str">
        <f t="shared" si="70"/>
        <v/>
      </c>
      <c r="C716" s="250"/>
      <c r="D716" s="251"/>
      <c r="E716" s="241"/>
      <c r="F716" s="252"/>
      <c r="G716" s="252"/>
      <c r="H716" s="253"/>
      <c r="I716" s="250"/>
      <c r="J716" s="250"/>
      <c r="K716" s="270"/>
      <c r="L716" s="250"/>
      <c r="M716" s="250"/>
      <c r="N716" s="540" t="str">
        <f>CONCATENATE(IF(OR(M716=phu!$I$1,M716=phu!$I$2,M716=phu!$I$3),"Cam Thành Nam",""),IF(OR(M716=phu!$I$4,M716=phu!$I$5,M716=phu!$I$6,M716=phu!$I$7,M716=phu!$I$8,M716=phu!$I$9,M716=phu!$I$10,M716=phu!$I$11,M716=phu!$I$12,M716=phu!$I$13,M716=phu!$I$14),"Cam Nghĩa",""),IF(OR(M716=phu!$I$15,M716=phu!$I$16,M716=phu!$I$17,M716=phu!$I$18,M716=phu!$I$19,M716=phu!$I$20,M716=phu!$I$21),"Cam Phúc Bắc",""),IF(OR(M716=phu!$I$22,M716=phu!$I$23,M716=phu!$I$24,M716=phu!$I$25),"Cam Phúc Nam",""),IF(OR(M716=phu!$I$26,M716=phu!$I$27,M716=phu!$I$28,M716=phu!$I$29,M716=phu!$I$30,M716=phu!$I$31),"Cam Phú",""),IF(OR(M716=phu!$I$32,M716=phu!$I$33,M716=phu!$I$34,M716=phu!$I$35,M716=phu!$I$36,M716=phu!$I$37),"Cam Lộc",""),IF(OR(M716=phu!$I$38,M716=phu!$I$39,M716=phu!$I$40,M716=phu!$I$41,M716=phu!$I$42,M716=phu!$I$43,M716=phu!$I$44),"Cam Thuận",""),IF(OR(M716=phu!$I$45,M716=phu!$I$46,M716=phu!$I$47,M716=phu!$I$48,M716=phu!$I$49,M716=phu!$I$50,M716=phu!$I$51,M716=phu!$I$52,M716=phu!$I$53),"Cam Linh",""),IF(OR(M716=phu!$I$54,M716=phu!$I$55,M716=phu!$I$56,M716=phu!$I$57,M716=phu!$I$58,M716=phu!$I$59,M716=phu!$I$60,M716=phu!$I$61,M716=phu!$I$62),"Cam Lợi",""),IF(OR(M716=phu!$I$63,M716=phu!$I$64,M716=phu!$I$65,M716=phu!$I$66,M716=phu!$I$67,M716=phu!$I$68,M716=phu!$I$69,M716=phu!$I$70,M716=phu!$I$71),"Ba Ngòi",""),IF(OR(M716=phu!$I$72,M716=phu!$I$73,M716=phu!$I$74,M716=phu!$I$75,M716=phu!$I$76,M716=phu!$I$77,M716=phu!$I$78),"Cam Phước Đông",""),IF(OR(M716=phu!$I$79,M716=phu!$I$80,M716=phu!$I$81,M716=phu!$I$82,M716=phu!$I$83,M716=phu!$I$84),"Cam Thịnh Đông",""),IF(OR(M716=phu!$I$85,M716=phu!$I$86,M716=phu!$I$87,M716=phu!$I$88),"Cam Thịnh Tây",""),IF(OR(M716=phu!$I$89,M716=phu!$I$90),"Cam Lập",""),IF(OR(M716=phu!$I$91,M716=phu!$I$92,M716=phu!$I$93),"Cam Bình",""),IF(OR(M716=phu!$I$94,M716=phu!$I$95,M716=phu!$I$96,M716=phu!$I$97,M716=phu!$I$98,M716=phu!$I$99,M716=phu!$I$100),"Huyện khác",""),IF(OR(M716=phu!$I$101,M716=phu!$I$102),"Tỉnh khác",""))</f>
        <v/>
      </c>
      <c r="O716" s="829" t="str">
        <f t="shared" si="66"/>
        <v/>
      </c>
      <c r="P716" s="254"/>
      <c r="Q716" s="254"/>
      <c r="R716" s="254"/>
      <c r="S716" s="254"/>
      <c r="T716" s="254"/>
      <c r="U716" s="254"/>
      <c r="V716" s="254"/>
      <c r="W716" s="254"/>
      <c r="Y716" s="246" t="str">
        <f t="shared" si="67"/>
        <v/>
      </c>
      <c r="Z716" s="247" t="str">
        <f t="shared" si="71"/>
        <v/>
      </c>
      <c r="AA716" s="246" t="str">
        <f t="shared" si="68"/>
        <v/>
      </c>
    </row>
    <row r="717" spans="1:27" ht="18" customHeight="1" x14ac:dyDescent="0.25">
      <c r="A717" s="248" t="str">
        <f t="shared" si="69"/>
        <v/>
      </c>
      <c r="B717" s="249" t="str">
        <f t="shared" si="70"/>
        <v/>
      </c>
      <c r="C717" s="250"/>
      <c r="D717" s="251"/>
      <c r="E717" s="241"/>
      <c r="F717" s="252"/>
      <c r="G717" s="252"/>
      <c r="H717" s="253"/>
      <c r="I717" s="250"/>
      <c r="J717" s="250"/>
      <c r="K717" s="270"/>
      <c r="L717" s="250"/>
      <c r="M717" s="250"/>
      <c r="N717" s="540" t="str">
        <f>CONCATENATE(IF(OR(M717=phu!$I$1,M717=phu!$I$2,M717=phu!$I$3),"Cam Thành Nam",""),IF(OR(M717=phu!$I$4,M717=phu!$I$5,M717=phu!$I$6,M717=phu!$I$7,M717=phu!$I$8,M717=phu!$I$9,M717=phu!$I$10,M717=phu!$I$11,M717=phu!$I$12,M717=phu!$I$13,M717=phu!$I$14),"Cam Nghĩa",""),IF(OR(M717=phu!$I$15,M717=phu!$I$16,M717=phu!$I$17,M717=phu!$I$18,M717=phu!$I$19,M717=phu!$I$20,M717=phu!$I$21),"Cam Phúc Bắc",""),IF(OR(M717=phu!$I$22,M717=phu!$I$23,M717=phu!$I$24,M717=phu!$I$25),"Cam Phúc Nam",""),IF(OR(M717=phu!$I$26,M717=phu!$I$27,M717=phu!$I$28,M717=phu!$I$29,M717=phu!$I$30,M717=phu!$I$31),"Cam Phú",""),IF(OR(M717=phu!$I$32,M717=phu!$I$33,M717=phu!$I$34,M717=phu!$I$35,M717=phu!$I$36,M717=phu!$I$37),"Cam Lộc",""),IF(OR(M717=phu!$I$38,M717=phu!$I$39,M717=phu!$I$40,M717=phu!$I$41,M717=phu!$I$42,M717=phu!$I$43,M717=phu!$I$44),"Cam Thuận",""),IF(OR(M717=phu!$I$45,M717=phu!$I$46,M717=phu!$I$47,M717=phu!$I$48,M717=phu!$I$49,M717=phu!$I$50,M717=phu!$I$51,M717=phu!$I$52,M717=phu!$I$53),"Cam Linh",""),IF(OR(M717=phu!$I$54,M717=phu!$I$55,M717=phu!$I$56,M717=phu!$I$57,M717=phu!$I$58,M717=phu!$I$59,M717=phu!$I$60,M717=phu!$I$61,M717=phu!$I$62),"Cam Lợi",""),IF(OR(M717=phu!$I$63,M717=phu!$I$64,M717=phu!$I$65,M717=phu!$I$66,M717=phu!$I$67,M717=phu!$I$68,M717=phu!$I$69,M717=phu!$I$70,M717=phu!$I$71),"Ba Ngòi",""),IF(OR(M717=phu!$I$72,M717=phu!$I$73,M717=phu!$I$74,M717=phu!$I$75,M717=phu!$I$76,M717=phu!$I$77,M717=phu!$I$78),"Cam Phước Đông",""),IF(OR(M717=phu!$I$79,M717=phu!$I$80,M717=phu!$I$81,M717=phu!$I$82,M717=phu!$I$83,M717=phu!$I$84),"Cam Thịnh Đông",""),IF(OR(M717=phu!$I$85,M717=phu!$I$86,M717=phu!$I$87,M717=phu!$I$88),"Cam Thịnh Tây",""),IF(OR(M717=phu!$I$89,M717=phu!$I$90),"Cam Lập",""),IF(OR(M717=phu!$I$91,M717=phu!$I$92,M717=phu!$I$93),"Cam Bình",""),IF(OR(M717=phu!$I$94,M717=phu!$I$95,M717=phu!$I$96,M717=phu!$I$97,M717=phu!$I$98,M717=phu!$I$99,M717=phu!$I$100),"Huyện khác",""),IF(OR(M717=phu!$I$101,M717=phu!$I$102),"Tỉnh khác",""))</f>
        <v/>
      </c>
      <c r="O717" s="829" t="str">
        <f t="shared" si="66"/>
        <v/>
      </c>
      <c r="P717" s="254"/>
      <c r="Q717" s="254"/>
      <c r="R717" s="254"/>
      <c r="S717" s="254"/>
      <c r="T717" s="254"/>
      <c r="U717" s="254"/>
      <c r="V717" s="254"/>
      <c r="W717" s="254"/>
      <c r="Y717" s="246" t="str">
        <f t="shared" si="67"/>
        <v/>
      </c>
      <c r="Z717" s="247" t="str">
        <f t="shared" si="71"/>
        <v/>
      </c>
      <c r="AA717" s="246" t="str">
        <f t="shared" si="68"/>
        <v/>
      </c>
    </row>
    <row r="718" spans="1:27" ht="18" customHeight="1" x14ac:dyDescent="0.25">
      <c r="A718" s="248" t="str">
        <f t="shared" si="69"/>
        <v/>
      </c>
      <c r="B718" s="249" t="str">
        <f t="shared" si="70"/>
        <v/>
      </c>
      <c r="C718" s="250"/>
      <c r="D718" s="251"/>
      <c r="E718" s="241"/>
      <c r="F718" s="252"/>
      <c r="G718" s="252"/>
      <c r="H718" s="253"/>
      <c r="I718" s="250"/>
      <c r="J718" s="250"/>
      <c r="K718" s="270"/>
      <c r="L718" s="250"/>
      <c r="M718" s="250"/>
      <c r="N718" s="540" t="str">
        <f>CONCATENATE(IF(OR(M718=phu!$I$1,M718=phu!$I$2,M718=phu!$I$3),"Cam Thành Nam",""),IF(OR(M718=phu!$I$4,M718=phu!$I$5,M718=phu!$I$6,M718=phu!$I$7,M718=phu!$I$8,M718=phu!$I$9,M718=phu!$I$10,M718=phu!$I$11,M718=phu!$I$12,M718=phu!$I$13,M718=phu!$I$14),"Cam Nghĩa",""),IF(OR(M718=phu!$I$15,M718=phu!$I$16,M718=phu!$I$17,M718=phu!$I$18,M718=phu!$I$19,M718=phu!$I$20,M718=phu!$I$21),"Cam Phúc Bắc",""),IF(OR(M718=phu!$I$22,M718=phu!$I$23,M718=phu!$I$24,M718=phu!$I$25),"Cam Phúc Nam",""),IF(OR(M718=phu!$I$26,M718=phu!$I$27,M718=phu!$I$28,M718=phu!$I$29,M718=phu!$I$30,M718=phu!$I$31),"Cam Phú",""),IF(OR(M718=phu!$I$32,M718=phu!$I$33,M718=phu!$I$34,M718=phu!$I$35,M718=phu!$I$36,M718=phu!$I$37),"Cam Lộc",""),IF(OR(M718=phu!$I$38,M718=phu!$I$39,M718=phu!$I$40,M718=phu!$I$41,M718=phu!$I$42,M718=phu!$I$43,M718=phu!$I$44),"Cam Thuận",""),IF(OR(M718=phu!$I$45,M718=phu!$I$46,M718=phu!$I$47,M718=phu!$I$48,M718=phu!$I$49,M718=phu!$I$50,M718=phu!$I$51,M718=phu!$I$52,M718=phu!$I$53),"Cam Linh",""),IF(OR(M718=phu!$I$54,M718=phu!$I$55,M718=phu!$I$56,M718=phu!$I$57,M718=phu!$I$58,M718=phu!$I$59,M718=phu!$I$60,M718=phu!$I$61,M718=phu!$I$62),"Cam Lợi",""),IF(OR(M718=phu!$I$63,M718=phu!$I$64,M718=phu!$I$65,M718=phu!$I$66,M718=phu!$I$67,M718=phu!$I$68,M718=phu!$I$69,M718=phu!$I$70,M718=phu!$I$71),"Ba Ngòi",""),IF(OR(M718=phu!$I$72,M718=phu!$I$73,M718=phu!$I$74,M718=phu!$I$75,M718=phu!$I$76,M718=phu!$I$77,M718=phu!$I$78),"Cam Phước Đông",""),IF(OR(M718=phu!$I$79,M718=phu!$I$80,M718=phu!$I$81,M718=phu!$I$82,M718=phu!$I$83,M718=phu!$I$84),"Cam Thịnh Đông",""),IF(OR(M718=phu!$I$85,M718=phu!$I$86,M718=phu!$I$87,M718=phu!$I$88),"Cam Thịnh Tây",""),IF(OR(M718=phu!$I$89,M718=phu!$I$90),"Cam Lập",""),IF(OR(M718=phu!$I$91,M718=phu!$I$92,M718=phu!$I$93),"Cam Bình",""),IF(OR(M718=phu!$I$94,M718=phu!$I$95,M718=phu!$I$96,M718=phu!$I$97,M718=phu!$I$98,M718=phu!$I$99,M718=phu!$I$100),"Huyện khác",""),IF(OR(M718=phu!$I$101,M718=phu!$I$102),"Tỉnh khác",""))</f>
        <v/>
      </c>
      <c r="O718" s="829" t="str">
        <f t="shared" si="66"/>
        <v/>
      </c>
      <c r="P718" s="254"/>
      <c r="Q718" s="254"/>
      <c r="R718" s="254"/>
      <c r="S718" s="254"/>
      <c r="T718" s="254"/>
      <c r="U718" s="254"/>
      <c r="V718" s="254"/>
      <c r="W718" s="254"/>
      <c r="Y718" s="246" t="str">
        <f t="shared" si="67"/>
        <v/>
      </c>
      <c r="Z718" s="247" t="str">
        <f t="shared" si="71"/>
        <v/>
      </c>
      <c r="AA718" s="246" t="str">
        <f t="shared" si="68"/>
        <v/>
      </c>
    </row>
    <row r="719" spans="1:27" ht="18" customHeight="1" x14ac:dyDescent="0.25">
      <c r="A719" s="248" t="str">
        <f t="shared" si="69"/>
        <v/>
      </c>
      <c r="B719" s="249" t="str">
        <f t="shared" si="70"/>
        <v/>
      </c>
      <c r="C719" s="250"/>
      <c r="D719" s="251"/>
      <c r="E719" s="241"/>
      <c r="F719" s="252"/>
      <c r="G719" s="252"/>
      <c r="H719" s="253"/>
      <c r="I719" s="250"/>
      <c r="J719" s="250"/>
      <c r="K719" s="270"/>
      <c r="L719" s="250"/>
      <c r="M719" s="250"/>
      <c r="N719" s="540" t="str">
        <f>CONCATENATE(IF(OR(M719=phu!$I$1,M719=phu!$I$2,M719=phu!$I$3),"Cam Thành Nam",""),IF(OR(M719=phu!$I$4,M719=phu!$I$5,M719=phu!$I$6,M719=phu!$I$7,M719=phu!$I$8,M719=phu!$I$9,M719=phu!$I$10,M719=phu!$I$11,M719=phu!$I$12,M719=phu!$I$13,M719=phu!$I$14),"Cam Nghĩa",""),IF(OR(M719=phu!$I$15,M719=phu!$I$16,M719=phu!$I$17,M719=phu!$I$18,M719=phu!$I$19,M719=phu!$I$20,M719=phu!$I$21),"Cam Phúc Bắc",""),IF(OR(M719=phu!$I$22,M719=phu!$I$23,M719=phu!$I$24,M719=phu!$I$25),"Cam Phúc Nam",""),IF(OR(M719=phu!$I$26,M719=phu!$I$27,M719=phu!$I$28,M719=phu!$I$29,M719=phu!$I$30,M719=phu!$I$31),"Cam Phú",""),IF(OR(M719=phu!$I$32,M719=phu!$I$33,M719=phu!$I$34,M719=phu!$I$35,M719=phu!$I$36,M719=phu!$I$37),"Cam Lộc",""),IF(OR(M719=phu!$I$38,M719=phu!$I$39,M719=phu!$I$40,M719=phu!$I$41,M719=phu!$I$42,M719=phu!$I$43,M719=phu!$I$44),"Cam Thuận",""),IF(OR(M719=phu!$I$45,M719=phu!$I$46,M719=phu!$I$47,M719=phu!$I$48,M719=phu!$I$49,M719=phu!$I$50,M719=phu!$I$51,M719=phu!$I$52,M719=phu!$I$53),"Cam Linh",""),IF(OR(M719=phu!$I$54,M719=phu!$I$55,M719=phu!$I$56,M719=phu!$I$57,M719=phu!$I$58,M719=phu!$I$59,M719=phu!$I$60,M719=phu!$I$61,M719=phu!$I$62),"Cam Lợi",""),IF(OR(M719=phu!$I$63,M719=phu!$I$64,M719=phu!$I$65,M719=phu!$I$66,M719=phu!$I$67,M719=phu!$I$68,M719=phu!$I$69,M719=phu!$I$70,M719=phu!$I$71),"Ba Ngòi",""),IF(OR(M719=phu!$I$72,M719=phu!$I$73,M719=phu!$I$74,M719=phu!$I$75,M719=phu!$I$76,M719=phu!$I$77,M719=phu!$I$78),"Cam Phước Đông",""),IF(OR(M719=phu!$I$79,M719=phu!$I$80,M719=phu!$I$81,M719=phu!$I$82,M719=phu!$I$83,M719=phu!$I$84),"Cam Thịnh Đông",""),IF(OR(M719=phu!$I$85,M719=phu!$I$86,M719=phu!$I$87,M719=phu!$I$88),"Cam Thịnh Tây",""),IF(OR(M719=phu!$I$89,M719=phu!$I$90),"Cam Lập",""),IF(OR(M719=phu!$I$91,M719=phu!$I$92,M719=phu!$I$93),"Cam Bình",""),IF(OR(M719=phu!$I$94,M719=phu!$I$95,M719=phu!$I$96,M719=phu!$I$97,M719=phu!$I$98,M719=phu!$I$99,M719=phu!$I$100),"Huyện khác",""),IF(OR(M719=phu!$I$101,M719=phu!$I$102),"Tỉnh khác",""))</f>
        <v/>
      </c>
      <c r="O719" s="829" t="str">
        <f t="shared" si="66"/>
        <v/>
      </c>
      <c r="P719" s="254"/>
      <c r="Q719" s="254"/>
      <c r="R719" s="254"/>
      <c r="S719" s="254"/>
      <c r="T719" s="254"/>
      <c r="U719" s="254"/>
      <c r="V719" s="254"/>
      <c r="W719" s="254"/>
      <c r="Y719" s="246" t="str">
        <f t="shared" si="67"/>
        <v/>
      </c>
      <c r="Z719" s="247" t="str">
        <f t="shared" si="71"/>
        <v/>
      </c>
      <c r="AA719" s="246" t="str">
        <f t="shared" si="68"/>
        <v/>
      </c>
    </row>
    <row r="720" spans="1:27" ht="18" customHeight="1" x14ac:dyDescent="0.25">
      <c r="A720" s="248" t="str">
        <f t="shared" si="69"/>
        <v/>
      </c>
      <c r="B720" s="249" t="str">
        <f t="shared" si="70"/>
        <v/>
      </c>
      <c r="C720" s="250"/>
      <c r="D720" s="251"/>
      <c r="E720" s="241"/>
      <c r="F720" s="252"/>
      <c r="G720" s="252"/>
      <c r="H720" s="253"/>
      <c r="I720" s="250"/>
      <c r="J720" s="250"/>
      <c r="K720" s="270"/>
      <c r="L720" s="250"/>
      <c r="M720" s="250"/>
      <c r="N720" s="540" t="str">
        <f>CONCATENATE(IF(OR(M720=phu!$I$1,M720=phu!$I$2,M720=phu!$I$3),"Cam Thành Nam",""),IF(OR(M720=phu!$I$4,M720=phu!$I$5,M720=phu!$I$6,M720=phu!$I$7,M720=phu!$I$8,M720=phu!$I$9,M720=phu!$I$10,M720=phu!$I$11,M720=phu!$I$12,M720=phu!$I$13,M720=phu!$I$14),"Cam Nghĩa",""),IF(OR(M720=phu!$I$15,M720=phu!$I$16,M720=phu!$I$17,M720=phu!$I$18,M720=phu!$I$19,M720=phu!$I$20,M720=phu!$I$21),"Cam Phúc Bắc",""),IF(OR(M720=phu!$I$22,M720=phu!$I$23,M720=phu!$I$24,M720=phu!$I$25),"Cam Phúc Nam",""),IF(OR(M720=phu!$I$26,M720=phu!$I$27,M720=phu!$I$28,M720=phu!$I$29,M720=phu!$I$30,M720=phu!$I$31),"Cam Phú",""),IF(OR(M720=phu!$I$32,M720=phu!$I$33,M720=phu!$I$34,M720=phu!$I$35,M720=phu!$I$36,M720=phu!$I$37),"Cam Lộc",""),IF(OR(M720=phu!$I$38,M720=phu!$I$39,M720=phu!$I$40,M720=phu!$I$41,M720=phu!$I$42,M720=phu!$I$43,M720=phu!$I$44),"Cam Thuận",""),IF(OR(M720=phu!$I$45,M720=phu!$I$46,M720=phu!$I$47,M720=phu!$I$48,M720=phu!$I$49,M720=phu!$I$50,M720=phu!$I$51,M720=phu!$I$52,M720=phu!$I$53),"Cam Linh",""),IF(OR(M720=phu!$I$54,M720=phu!$I$55,M720=phu!$I$56,M720=phu!$I$57,M720=phu!$I$58,M720=phu!$I$59,M720=phu!$I$60,M720=phu!$I$61,M720=phu!$I$62),"Cam Lợi",""),IF(OR(M720=phu!$I$63,M720=phu!$I$64,M720=phu!$I$65,M720=phu!$I$66,M720=phu!$I$67,M720=phu!$I$68,M720=phu!$I$69,M720=phu!$I$70,M720=phu!$I$71),"Ba Ngòi",""),IF(OR(M720=phu!$I$72,M720=phu!$I$73,M720=phu!$I$74,M720=phu!$I$75,M720=phu!$I$76,M720=phu!$I$77,M720=phu!$I$78),"Cam Phước Đông",""),IF(OR(M720=phu!$I$79,M720=phu!$I$80,M720=phu!$I$81,M720=phu!$I$82,M720=phu!$I$83,M720=phu!$I$84),"Cam Thịnh Đông",""),IF(OR(M720=phu!$I$85,M720=phu!$I$86,M720=phu!$I$87,M720=phu!$I$88),"Cam Thịnh Tây",""),IF(OR(M720=phu!$I$89,M720=phu!$I$90),"Cam Lập",""),IF(OR(M720=phu!$I$91,M720=phu!$I$92,M720=phu!$I$93),"Cam Bình",""),IF(OR(M720=phu!$I$94,M720=phu!$I$95,M720=phu!$I$96,M720=phu!$I$97,M720=phu!$I$98,M720=phu!$I$99,M720=phu!$I$100),"Huyện khác",""),IF(OR(M720=phu!$I$101,M720=phu!$I$102),"Tỉnh khác",""))</f>
        <v/>
      </c>
      <c r="O720" s="829" t="str">
        <f t="shared" si="66"/>
        <v/>
      </c>
      <c r="P720" s="254"/>
      <c r="Q720" s="254"/>
      <c r="R720" s="254"/>
      <c r="S720" s="254"/>
      <c r="T720" s="254"/>
      <c r="U720" s="254"/>
      <c r="V720" s="254"/>
      <c r="W720" s="254"/>
      <c r="Y720" s="246" t="str">
        <f t="shared" si="67"/>
        <v/>
      </c>
      <c r="Z720" s="247" t="str">
        <f t="shared" si="71"/>
        <v/>
      </c>
      <c r="AA720" s="246" t="str">
        <f t="shared" si="68"/>
        <v/>
      </c>
    </row>
    <row r="721" spans="1:27" ht="18" customHeight="1" x14ac:dyDescent="0.25">
      <c r="A721" s="248" t="str">
        <f t="shared" si="69"/>
        <v/>
      </c>
      <c r="B721" s="249" t="str">
        <f t="shared" si="70"/>
        <v/>
      </c>
      <c r="C721" s="250"/>
      <c r="D721" s="251"/>
      <c r="E721" s="241"/>
      <c r="F721" s="252"/>
      <c r="G721" s="252"/>
      <c r="H721" s="253"/>
      <c r="I721" s="250"/>
      <c r="J721" s="250"/>
      <c r="K721" s="270"/>
      <c r="L721" s="250"/>
      <c r="M721" s="250"/>
      <c r="N721" s="540" t="str">
        <f>CONCATENATE(IF(OR(M721=phu!$I$1,M721=phu!$I$2,M721=phu!$I$3),"Cam Thành Nam",""),IF(OR(M721=phu!$I$4,M721=phu!$I$5,M721=phu!$I$6,M721=phu!$I$7,M721=phu!$I$8,M721=phu!$I$9,M721=phu!$I$10,M721=phu!$I$11,M721=phu!$I$12,M721=phu!$I$13,M721=phu!$I$14),"Cam Nghĩa",""),IF(OR(M721=phu!$I$15,M721=phu!$I$16,M721=phu!$I$17,M721=phu!$I$18,M721=phu!$I$19,M721=phu!$I$20,M721=phu!$I$21),"Cam Phúc Bắc",""),IF(OR(M721=phu!$I$22,M721=phu!$I$23,M721=phu!$I$24,M721=phu!$I$25),"Cam Phúc Nam",""),IF(OR(M721=phu!$I$26,M721=phu!$I$27,M721=phu!$I$28,M721=phu!$I$29,M721=phu!$I$30,M721=phu!$I$31),"Cam Phú",""),IF(OR(M721=phu!$I$32,M721=phu!$I$33,M721=phu!$I$34,M721=phu!$I$35,M721=phu!$I$36,M721=phu!$I$37),"Cam Lộc",""),IF(OR(M721=phu!$I$38,M721=phu!$I$39,M721=phu!$I$40,M721=phu!$I$41,M721=phu!$I$42,M721=phu!$I$43,M721=phu!$I$44),"Cam Thuận",""),IF(OR(M721=phu!$I$45,M721=phu!$I$46,M721=phu!$I$47,M721=phu!$I$48,M721=phu!$I$49,M721=phu!$I$50,M721=phu!$I$51,M721=phu!$I$52,M721=phu!$I$53),"Cam Linh",""),IF(OR(M721=phu!$I$54,M721=phu!$I$55,M721=phu!$I$56,M721=phu!$I$57,M721=phu!$I$58,M721=phu!$I$59,M721=phu!$I$60,M721=phu!$I$61,M721=phu!$I$62),"Cam Lợi",""),IF(OR(M721=phu!$I$63,M721=phu!$I$64,M721=phu!$I$65,M721=phu!$I$66,M721=phu!$I$67,M721=phu!$I$68,M721=phu!$I$69,M721=phu!$I$70,M721=phu!$I$71),"Ba Ngòi",""),IF(OR(M721=phu!$I$72,M721=phu!$I$73,M721=phu!$I$74,M721=phu!$I$75,M721=phu!$I$76,M721=phu!$I$77,M721=phu!$I$78),"Cam Phước Đông",""),IF(OR(M721=phu!$I$79,M721=phu!$I$80,M721=phu!$I$81,M721=phu!$I$82,M721=phu!$I$83,M721=phu!$I$84),"Cam Thịnh Đông",""),IF(OR(M721=phu!$I$85,M721=phu!$I$86,M721=phu!$I$87,M721=phu!$I$88),"Cam Thịnh Tây",""),IF(OR(M721=phu!$I$89,M721=phu!$I$90),"Cam Lập",""),IF(OR(M721=phu!$I$91,M721=phu!$I$92,M721=phu!$I$93),"Cam Bình",""),IF(OR(M721=phu!$I$94,M721=phu!$I$95,M721=phu!$I$96,M721=phu!$I$97,M721=phu!$I$98,M721=phu!$I$99,M721=phu!$I$100),"Huyện khác",""),IF(OR(M721=phu!$I$101,M721=phu!$I$102),"Tỉnh khác",""))</f>
        <v/>
      </c>
      <c r="O721" s="829" t="str">
        <f t="shared" si="66"/>
        <v/>
      </c>
      <c r="P721" s="254"/>
      <c r="Q721" s="254"/>
      <c r="R721" s="254"/>
      <c r="S721" s="254"/>
      <c r="T721" s="254"/>
      <c r="U721" s="254"/>
      <c r="V721" s="254"/>
      <c r="W721" s="254"/>
      <c r="Y721" s="246" t="str">
        <f t="shared" si="67"/>
        <v/>
      </c>
      <c r="Z721" s="247" t="str">
        <f t="shared" si="71"/>
        <v/>
      </c>
      <c r="AA721" s="246" t="str">
        <f t="shared" si="68"/>
        <v/>
      </c>
    </row>
    <row r="722" spans="1:27" ht="18" customHeight="1" x14ac:dyDescent="0.25">
      <c r="A722" s="248" t="str">
        <f t="shared" si="69"/>
        <v/>
      </c>
      <c r="B722" s="249" t="str">
        <f t="shared" si="70"/>
        <v/>
      </c>
      <c r="C722" s="250"/>
      <c r="D722" s="251"/>
      <c r="E722" s="241"/>
      <c r="F722" s="252"/>
      <c r="G722" s="252"/>
      <c r="H722" s="253"/>
      <c r="I722" s="250"/>
      <c r="J722" s="250"/>
      <c r="K722" s="270"/>
      <c r="L722" s="250"/>
      <c r="M722" s="250"/>
      <c r="N722" s="540" t="str">
        <f>CONCATENATE(IF(OR(M722=phu!$I$1,M722=phu!$I$2,M722=phu!$I$3),"Cam Thành Nam",""),IF(OR(M722=phu!$I$4,M722=phu!$I$5,M722=phu!$I$6,M722=phu!$I$7,M722=phu!$I$8,M722=phu!$I$9,M722=phu!$I$10,M722=phu!$I$11,M722=phu!$I$12,M722=phu!$I$13,M722=phu!$I$14),"Cam Nghĩa",""),IF(OR(M722=phu!$I$15,M722=phu!$I$16,M722=phu!$I$17,M722=phu!$I$18,M722=phu!$I$19,M722=phu!$I$20,M722=phu!$I$21),"Cam Phúc Bắc",""),IF(OR(M722=phu!$I$22,M722=phu!$I$23,M722=phu!$I$24,M722=phu!$I$25),"Cam Phúc Nam",""),IF(OR(M722=phu!$I$26,M722=phu!$I$27,M722=phu!$I$28,M722=phu!$I$29,M722=phu!$I$30,M722=phu!$I$31),"Cam Phú",""),IF(OR(M722=phu!$I$32,M722=phu!$I$33,M722=phu!$I$34,M722=phu!$I$35,M722=phu!$I$36,M722=phu!$I$37),"Cam Lộc",""),IF(OR(M722=phu!$I$38,M722=phu!$I$39,M722=phu!$I$40,M722=phu!$I$41,M722=phu!$I$42,M722=phu!$I$43,M722=phu!$I$44),"Cam Thuận",""),IF(OR(M722=phu!$I$45,M722=phu!$I$46,M722=phu!$I$47,M722=phu!$I$48,M722=phu!$I$49,M722=phu!$I$50,M722=phu!$I$51,M722=phu!$I$52,M722=phu!$I$53),"Cam Linh",""),IF(OR(M722=phu!$I$54,M722=phu!$I$55,M722=phu!$I$56,M722=phu!$I$57,M722=phu!$I$58,M722=phu!$I$59,M722=phu!$I$60,M722=phu!$I$61,M722=phu!$I$62),"Cam Lợi",""),IF(OR(M722=phu!$I$63,M722=phu!$I$64,M722=phu!$I$65,M722=phu!$I$66,M722=phu!$I$67,M722=phu!$I$68,M722=phu!$I$69,M722=phu!$I$70,M722=phu!$I$71),"Ba Ngòi",""),IF(OR(M722=phu!$I$72,M722=phu!$I$73,M722=phu!$I$74,M722=phu!$I$75,M722=phu!$I$76,M722=phu!$I$77,M722=phu!$I$78),"Cam Phước Đông",""),IF(OR(M722=phu!$I$79,M722=phu!$I$80,M722=phu!$I$81,M722=phu!$I$82,M722=phu!$I$83,M722=phu!$I$84),"Cam Thịnh Đông",""),IF(OR(M722=phu!$I$85,M722=phu!$I$86,M722=phu!$I$87,M722=phu!$I$88),"Cam Thịnh Tây",""),IF(OR(M722=phu!$I$89,M722=phu!$I$90),"Cam Lập",""),IF(OR(M722=phu!$I$91,M722=phu!$I$92,M722=phu!$I$93),"Cam Bình",""),IF(OR(M722=phu!$I$94,M722=phu!$I$95,M722=phu!$I$96,M722=phu!$I$97,M722=phu!$I$98,M722=phu!$I$99,M722=phu!$I$100),"Huyện khác",""),IF(OR(M722=phu!$I$101,M722=phu!$I$102),"Tỉnh khác",""))</f>
        <v/>
      </c>
      <c r="O722" s="829" t="str">
        <f t="shared" si="66"/>
        <v/>
      </c>
      <c r="P722" s="254"/>
      <c r="Q722" s="254"/>
      <c r="R722" s="254"/>
      <c r="S722" s="254"/>
      <c r="T722" s="254"/>
      <c r="U722" s="254"/>
      <c r="V722" s="254"/>
      <c r="W722" s="254"/>
      <c r="Y722" s="246" t="str">
        <f t="shared" si="67"/>
        <v/>
      </c>
      <c r="Z722" s="247" t="str">
        <f t="shared" si="71"/>
        <v/>
      </c>
      <c r="AA722" s="246" t="str">
        <f t="shared" si="68"/>
        <v/>
      </c>
    </row>
    <row r="723" spans="1:27" ht="18" customHeight="1" x14ac:dyDescent="0.25">
      <c r="A723" s="248" t="str">
        <f t="shared" si="69"/>
        <v/>
      </c>
      <c r="B723" s="249" t="str">
        <f t="shared" si="70"/>
        <v/>
      </c>
      <c r="C723" s="250"/>
      <c r="D723" s="251"/>
      <c r="E723" s="241"/>
      <c r="F723" s="252"/>
      <c r="G723" s="252"/>
      <c r="H723" s="253"/>
      <c r="I723" s="250"/>
      <c r="J723" s="250"/>
      <c r="K723" s="270"/>
      <c r="L723" s="250"/>
      <c r="M723" s="250"/>
      <c r="N723" s="540" t="str">
        <f>CONCATENATE(IF(OR(M723=phu!$I$1,M723=phu!$I$2,M723=phu!$I$3),"Cam Thành Nam",""),IF(OR(M723=phu!$I$4,M723=phu!$I$5,M723=phu!$I$6,M723=phu!$I$7,M723=phu!$I$8,M723=phu!$I$9,M723=phu!$I$10,M723=phu!$I$11,M723=phu!$I$12,M723=phu!$I$13,M723=phu!$I$14),"Cam Nghĩa",""),IF(OR(M723=phu!$I$15,M723=phu!$I$16,M723=phu!$I$17,M723=phu!$I$18,M723=phu!$I$19,M723=phu!$I$20,M723=phu!$I$21),"Cam Phúc Bắc",""),IF(OR(M723=phu!$I$22,M723=phu!$I$23,M723=phu!$I$24,M723=phu!$I$25),"Cam Phúc Nam",""),IF(OR(M723=phu!$I$26,M723=phu!$I$27,M723=phu!$I$28,M723=phu!$I$29,M723=phu!$I$30,M723=phu!$I$31),"Cam Phú",""),IF(OR(M723=phu!$I$32,M723=phu!$I$33,M723=phu!$I$34,M723=phu!$I$35,M723=phu!$I$36,M723=phu!$I$37),"Cam Lộc",""),IF(OR(M723=phu!$I$38,M723=phu!$I$39,M723=phu!$I$40,M723=phu!$I$41,M723=phu!$I$42,M723=phu!$I$43,M723=phu!$I$44),"Cam Thuận",""),IF(OR(M723=phu!$I$45,M723=phu!$I$46,M723=phu!$I$47,M723=phu!$I$48,M723=phu!$I$49,M723=phu!$I$50,M723=phu!$I$51,M723=phu!$I$52,M723=phu!$I$53),"Cam Linh",""),IF(OR(M723=phu!$I$54,M723=phu!$I$55,M723=phu!$I$56,M723=phu!$I$57,M723=phu!$I$58,M723=phu!$I$59,M723=phu!$I$60,M723=phu!$I$61,M723=phu!$I$62),"Cam Lợi",""),IF(OR(M723=phu!$I$63,M723=phu!$I$64,M723=phu!$I$65,M723=phu!$I$66,M723=phu!$I$67,M723=phu!$I$68,M723=phu!$I$69,M723=phu!$I$70,M723=phu!$I$71),"Ba Ngòi",""),IF(OR(M723=phu!$I$72,M723=phu!$I$73,M723=phu!$I$74,M723=phu!$I$75,M723=phu!$I$76,M723=phu!$I$77,M723=phu!$I$78),"Cam Phước Đông",""),IF(OR(M723=phu!$I$79,M723=phu!$I$80,M723=phu!$I$81,M723=phu!$I$82,M723=phu!$I$83,M723=phu!$I$84),"Cam Thịnh Đông",""),IF(OR(M723=phu!$I$85,M723=phu!$I$86,M723=phu!$I$87,M723=phu!$I$88),"Cam Thịnh Tây",""),IF(OR(M723=phu!$I$89,M723=phu!$I$90),"Cam Lập",""),IF(OR(M723=phu!$I$91,M723=phu!$I$92,M723=phu!$I$93),"Cam Bình",""),IF(OR(M723=phu!$I$94,M723=phu!$I$95,M723=phu!$I$96,M723=phu!$I$97,M723=phu!$I$98,M723=phu!$I$99,M723=phu!$I$100),"Huyện khác",""),IF(OR(M723=phu!$I$101,M723=phu!$I$102),"Tỉnh khác",""))</f>
        <v/>
      </c>
      <c r="O723" s="829" t="str">
        <f t="shared" si="66"/>
        <v/>
      </c>
      <c r="P723" s="254"/>
      <c r="Q723" s="254"/>
      <c r="R723" s="254"/>
      <c r="S723" s="254"/>
      <c r="T723" s="254"/>
      <c r="U723" s="254"/>
      <c r="V723" s="254"/>
      <c r="W723" s="254"/>
      <c r="Y723" s="246" t="str">
        <f t="shared" si="67"/>
        <v/>
      </c>
      <c r="Z723" s="247" t="str">
        <f t="shared" si="71"/>
        <v/>
      </c>
      <c r="AA723" s="246" t="str">
        <f t="shared" si="68"/>
        <v/>
      </c>
    </row>
    <row r="724" spans="1:27" ht="18" customHeight="1" x14ac:dyDescent="0.25">
      <c r="A724" s="248" t="str">
        <f t="shared" si="69"/>
        <v/>
      </c>
      <c r="B724" s="249" t="str">
        <f t="shared" si="70"/>
        <v/>
      </c>
      <c r="C724" s="250"/>
      <c r="D724" s="251"/>
      <c r="E724" s="241"/>
      <c r="F724" s="252"/>
      <c r="G724" s="252"/>
      <c r="H724" s="253"/>
      <c r="I724" s="250"/>
      <c r="J724" s="250"/>
      <c r="K724" s="270"/>
      <c r="L724" s="250"/>
      <c r="M724" s="250"/>
      <c r="N724" s="540" t="str">
        <f>CONCATENATE(IF(OR(M724=phu!$I$1,M724=phu!$I$2,M724=phu!$I$3),"Cam Thành Nam",""),IF(OR(M724=phu!$I$4,M724=phu!$I$5,M724=phu!$I$6,M724=phu!$I$7,M724=phu!$I$8,M724=phu!$I$9,M724=phu!$I$10,M724=phu!$I$11,M724=phu!$I$12,M724=phu!$I$13,M724=phu!$I$14),"Cam Nghĩa",""),IF(OR(M724=phu!$I$15,M724=phu!$I$16,M724=phu!$I$17,M724=phu!$I$18,M724=phu!$I$19,M724=phu!$I$20,M724=phu!$I$21),"Cam Phúc Bắc",""),IF(OR(M724=phu!$I$22,M724=phu!$I$23,M724=phu!$I$24,M724=phu!$I$25),"Cam Phúc Nam",""),IF(OR(M724=phu!$I$26,M724=phu!$I$27,M724=phu!$I$28,M724=phu!$I$29,M724=phu!$I$30,M724=phu!$I$31),"Cam Phú",""),IF(OR(M724=phu!$I$32,M724=phu!$I$33,M724=phu!$I$34,M724=phu!$I$35,M724=phu!$I$36,M724=phu!$I$37),"Cam Lộc",""),IF(OR(M724=phu!$I$38,M724=phu!$I$39,M724=phu!$I$40,M724=phu!$I$41,M724=phu!$I$42,M724=phu!$I$43,M724=phu!$I$44),"Cam Thuận",""),IF(OR(M724=phu!$I$45,M724=phu!$I$46,M724=phu!$I$47,M724=phu!$I$48,M724=phu!$I$49,M724=phu!$I$50,M724=phu!$I$51,M724=phu!$I$52,M724=phu!$I$53),"Cam Linh",""),IF(OR(M724=phu!$I$54,M724=phu!$I$55,M724=phu!$I$56,M724=phu!$I$57,M724=phu!$I$58,M724=phu!$I$59,M724=phu!$I$60,M724=phu!$I$61,M724=phu!$I$62),"Cam Lợi",""),IF(OR(M724=phu!$I$63,M724=phu!$I$64,M724=phu!$I$65,M724=phu!$I$66,M724=phu!$I$67,M724=phu!$I$68,M724=phu!$I$69,M724=phu!$I$70,M724=phu!$I$71),"Ba Ngòi",""),IF(OR(M724=phu!$I$72,M724=phu!$I$73,M724=phu!$I$74,M724=phu!$I$75,M724=phu!$I$76,M724=phu!$I$77,M724=phu!$I$78),"Cam Phước Đông",""),IF(OR(M724=phu!$I$79,M724=phu!$I$80,M724=phu!$I$81,M724=phu!$I$82,M724=phu!$I$83,M724=phu!$I$84),"Cam Thịnh Đông",""),IF(OR(M724=phu!$I$85,M724=phu!$I$86,M724=phu!$I$87,M724=phu!$I$88),"Cam Thịnh Tây",""),IF(OR(M724=phu!$I$89,M724=phu!$I$90),"Cam Lập",""),IF(OR(M724=phu!$I$91,M724=phu!$I$92,M724=phu!$I$93),"Cam Bình",""),IF(OR(M724=phu!$I$94,M724=phu!$I$95,M724=phu!$I$96,M724=phu!$I$97,M724=phu!$I$98,M724=phu!$I$99,M724=phu!$I$100),"Huyện khác",""),IF(OR(M724=phu!$I$101,M724=phu!$I$102),"Tỉnh khác",""))</f>
        <v/>
      </c>
      <c r="O724" s="829" t="str">
        <f t="shared" si="66"/>
        <v/>
      </c>
      <c r="P724" s="254"/>
      <c r="Q724" s="254"/>
      <c r="R724" s="254"/>
      <c r="S724" s="254"/>
      <c r="T724" s="254"/>
      <c r="U724" s="254"/>
      <c r="V724" s="254"/>
      <c r="W724" s="254"/>
      <c r="Y724" s="246" t="str">
        <f t="shared" si="67"/>
        <v/>
      </c>
      <c r="Z724" s="247" t="str">
        <f t="shared" si="71"/>
        <v/>
      </c>
      <c r="AA724" s="246" t="str">
        <f t="shared" si="68"/>
        <v/>
      </c>
    </row>
    <row r="725" spans="1:27" ht="18" customHeight="1" x14ac:dyDescent="0.25">
      <c r="A725" s="248" t="str">
        <f t="shared" si="69"/>
        <v/>
      </c>
      <c r="B725" s="249" t="str">
        <f t="shared" si="70"/>
        <v/>
      </c>
      <c r="C725" s="250"/>
      <c r="D725" s="251"/>
      <c r="E725" s="241"/>
      <c r="F725" s="252"/>
      <c r="G725" s="252"/>
      <c r="H725" s="253"/>
      <c r="I725" s="250"/>
      <c r="J725" s="250"/>
      <c r="K725" s="270"/>
      <c r="L725" s="250"/>
      <c r="M725" s="250"/>
      <c r="N725" s="540" t="str">
        <f>CONCATENATE(IF(OR(M725=phu!$I$1,M725=phu!$I$2,M725=phu!$I$3),"Cam Thành Nam",""),IF(OR(M725=phu!$I$4,M725=phu!$I$5,M725=phu!$I$6,M725=phu!$I$7,M725=phu!$I$8,M725=phu!$I$9,M725=phu!$I$10,M725=phu!$I$11,M725=phu!$I$12,M725=phu!$I$13,M725=phu!$I$14),"Cam Nghĩa",""),IF(OR(M725=phu!$I$15,M725=phu!$I$16,M725=phu!$I$17,M725=phu!$I$18,M725=phu!$I$19,M725=phu!$I$20,M725=phu!$I$21),"Cam Phúc Bắc",""),IF(OR(M725=phu!$I$22,M725=phu!$I$23,M725=phu!$I$24,M725=phu!$I$25),"Cam Phúc Nam",""),IF(OR(M725=phu!$I$26,M725=phu!$I$27,M725=phu!$I$28,M725=phu!$I$29,M725=phu!$I$30,M725=phu!$I$31),"Cam Phú",""),IF(OR(M725=phu!$I$32,M725=phu!$I$33,M725=phu!$I$34,M725=phu!$I$35,M725=phu!$I$36,M725=phu!$I$37),"Cam Lộc",""),IF(OR(M725=phu!$I$38,M725=phu!$I$39,M725=phu!$I$40,M725=phu!$I$41,M725=phu!$I$42,M725=phu!$I$43,M725=phu!$I$44),"Cam Thuận",""),IF(OR(M725=phu!$I$45,M725=phu!$I$46,M725=phu!$I$47,M725=phu!$I$48,M725=phu!$I$49,M725=phu!$I$50,M725=phu!$I$51,M725=phu!$I$52,M725=phu!$I$53),"Cam Linh",""),IF(OR(M725=phu!$I$54,M725=phu!$I$55,M725=phu!$I$56,M725=phu!$I$57,M725=phu!$I$58,M725=phu!$I$59,M725=phu!$I$60,M725=phu!$I$61,M725=phu!$I$62),"Cam Lợi",""),IF(OR(M725=phu!$I$63,M725=phu!$I$64,M725=phu!$I$65,M725=phu!$I$66,M725=phu!$I$67,M725=phu!$I$68,M725=phu!$I$69,M725=phu!$I$70,M725=phu!$I$71),"Ba Ngòi",""),IF(OR(M725=phu!$I$72,M725=phu!$I$73,M725=phu!$I$74,M725=phu!$I$75,M725=phu!$I$76,M725=phu!$I$77,M725=phu!$I$78),"Cam Phước Đông",""),IF(OR(M725=phu!$I$79,M725=phu!$I$80,M725=phu!$I$81,M725=phu!$I$82,M725=phu!$I$83,M725=phu!$I$84),"Cam Thịnh Đông",""),IF(OR(M725=phu!$I$85,M725=phu!$I$86,M725=phu!$I$87,M725=phu!$I$88),"Cam Thịnh Tây",""),IF(OR(M725=phu!$I$89,M725=phu!$I$90),"Cam Lập",""),IF(OR(M725=phu!$I$91,M725=phu!$I$92,M725=phu!$I$93),"Cam Bình",""),IF(OR(M725=phu!$I$94,M725=phu!$I$95,M725=phu!$I$96,M725=phu!$I$97,M725=phu!$I$98,M725=phu!$I$99,M725=phu!$I$100),"Huyện khác",""),IF(OR(M725=phu!$I$101,M725=phu!$I$102),"Tỉnh khác",""))</f>
        <v/>
      </c>
      <c r="O725" s="829" t="str">
        <f t="shared" si="66"/>
        <v/>
      </c>
      <c r="P725" s="254"/>
      <c r="Q725" s="254"/>
      <c r="R725" s="254"/>
      <c r="S725" s="254"/>
      <c r="T725" s="254"/>
      <c r="U725" s="254"/>
      <c r="V725" s="254"/>
      <c r="W725" s="254"/>
      <c r="Y725" s="246" t="str">
        <f t="shared" si="67"/>
        <v/>
      </c>
      <c r="Z725" s="247" t="str">
        <f t="shared" si="71"/>
        <v/>
      </c>
      <c r="AA725" s="246" t="str">
        <f t="shared" si="68"/>
        <v/>
      </c>
    </row>
    <row r="726" spans="1:27" ht="18" customHeight="1" x14ac:dyDescent="0.25">
      <c r="A726" s="248" t="str">
        <f t="shared" si="69"/>
        <v/>
      </c>
      <c r="B726" s="249" t="str">
        <f t="shared" si="70"/>
        <v/>
      </c>
      <c r="C726" s="250"/>
      <c r="D726" s="251"/>
      <c r="E726" s="241"/>
      <c r="F726" s="252"/>
      <c r="G726" s="252"/>
      <c r="H726" s="253"/>
      <c r="I726" s="250"/>
      <c r="J726" s="250"/>
      <c r="K726" s="270"/>
      <c r="L726" s="250"/>
      <c r="M726" s="250"/>
      <c r="N726" s="540" t="str">
        <f>CONCATENATE(IF(OR(M726=phu!$I$1,M726=phu!$I$2,M726=phu!$I$3),"Cam Thành Nam",""),IF(OR(M726=phu!$I$4,M726=phu!$I$5,M726=phu!$I$6,M726=phu!$I$7,M726=phu!$I$8,M726=phu!$I$9,M726=phu!$I$10,M726=phu!$I$11,M726=phu!$I$12,M726=phu!$I$13,M726=phu!$I$14),"Cam Nghĩa",""),IF(OR(M726=phu!$I$15,M726=phu!$I$16,M726=phu!$I$17,M726=phu!$I$18,M726=phu!$I$19,M726=phu!$I$20,M726=phu!$I$21),"Cam Phúc Bắc",""),IF(OR(M726=phu!$I$22,M726=phu!$I$23,M726=phu!$I$24,M726=phu!$I$25),"Cam Phúc Nam",""),IF(OR(M726=phu!$I$26,M726=phu!$I$27,M726=phu!$I$28,M726=phu!$I$29,M726=phu!$I$30,M726=phu!$I$31),"Cam Phú",""),IF(OR(M726=phu!$I$32,M726=phu!$I$33,M726=phu!$I$34,M726=phu!$I$35,M726=phu!$I$36,M726=phu!$I$37),"Cam Lộc",""),IF(OR(M726=phu!$I$38,M726=phu!$I$39,M726=phu!$I$40,M726=phu!$I$41,M726=phu!$I$42,M726=phu!$I$43,M726=phu!$I$44),"Cam Thuận",""),IF(OR(M726=phu!$I$45,M726=phu!$I$46,M726=phu!$I$47,M726=phu!$I$48,M726=phu!$I$49,M726=phu!$I$50,M726=phu!$I$51,M726=phu!$I$52,M726=phu!$I$53),"Cam Linh",""),IF(OR(M726=phu!$I$54,M726=phu!$I$55,M726=phu!$I$56,M726=phu!$I$57,M726=phu!$I$58,M726=phu!$I$59,M726=phu!$I$60,M726=phu!$I$61,M726=phu!$I$62),"Cam Lợi",""),IF(OR(M726=phu!$I$63,M726=phu!$I$64,M726=phu!$I$65,M726=phu!$I$66,M726=phu!$I$67,M726=phu!$I$68,M726=phu!$I$69,M726=phu!$I$70,M726=phu!$I$71),"Ba Ngòi",""),IF(OR(M726=phu!$I$72,M726=phu!$I$73,M726=phu!$I$74,M726=phu!$I$75,M726=phu!$I$76,M726=phu!$I$77,M726=phu!$I$78),"Cam Phước Đông",""),IF(OR(M726=phu!$I$79,M726=phu!$I$80,M726=phu!$I$81,M726=phu!$I$82,M726=phu!$I$83,M726=phu!$I$84),"Cam Thịnh Đông",""),IF(OR(M726=phu!$I$85,M726=phu!$I$86,M726=phu!$I$87,M726=phu!$I$88),"Cam Thịnh Tây",""),IF(OR(M726=phu!$I$89,M726=phu!$I$90),"Cam Lập",""),IF(OR(M726=phu!$I$91,M726=phu!$I$92,M726=phu!$I$93),"Cam Bình",""),IF(OR(M726=phu!$I$94,M726=phu!$I$95,M726=phu!$I$96,M726=phu!$I$97,M726=phu!$I$98,M726=phu!$I$99,M726=phu!$I$100),"Huyện khác",""),IF(OR(M726=phu!$I$101,M726=phu!$I$102),"Tỉnh khác",""))</f>
        <v/>
      </c>
      <c r="O726" s="829" t="str">
        <f t="shared" si="66"/>
        <v/>
      </c>
      <c r="P726" s="254"/>
      <c r="Q726" s="254"/>
      <c r="R726" s="254"/>
      <c r="S726" s="254"/>
      <c r="T726" s="254"/>
      <c r="U726" s="254"/>
      <c r="V726" s="254"/>
      <c r="W726" s="254"/>
      <c r="Y726" s="246" t="str">
        <f t="shared" si="67"/>
        <v/>
      </c>
      <c r="Z726" s="247" t="str">
        <f t="shared" si="71"/>
        <v/>
      </c>
      <c r="AA726" s="246" t="str">
        <f t="shared" si="68"/>
        <v/>
      </c>
    </row>
    <row r="727" spans="1:27" ht="18" customHeight="1" x14ac:dyDescent="0.25">
      <c r="A727" s="248" t="str">
        <f t="shared" si="69"/>
        <v/>
      </c>
      <c r="B727" s="249" t="str">
        <f t="shared" si="70"/>
        <v/>
      </c>
      <c r="C727" s="250"/>
      <c r="D727" s="251"/>
      <c r="E727" s="241"/>
      <c r="F727" s="252"/>
      <c r="G727" s="252"/>
      <c r="H727" s="253"/>
      <c r="I727" s="250"/>
      <c r="J727" s="250"/>
      <c r="K727" s="270"/>
      <c r="L727" s="250"/>
      <c r="M727" s="250"/>
      <c r="N727" s="540" t="str">
        <f>CONCATENATE(IF(OR(M727=phu!$I$1,M727=phu!$I$2,M727=phu!$I$3),"Cam Thành Nam",""),IF(OR(M727=phu!$I$4,M727=phu!$I$5,M727=phu!$I$6,M727=phu!$I$7,M727=phu!$I$8,M727=phu!$I$9,M727=phu!$I$10,M727=phu!$I$11,M727=phu!$I$12,M727=phu!$I$13,M727=phu!$I$14),"Cam Nghĩa",""),IF(OR(M727=phu!$I$15,M727=phu!$I$16,M727=phu!$I$17,M727=phu!$I$18,M727=phu!$I$19,M727=phu!$I$20,M727=phu!$I$21),"Cam Phúc Bắc",""),IF(OR(M727=phu!$I$22,M727=phu!$I$23,M727=phu!$I$24,M727=phu!$I$25),"Cam Phúc Nam",""),IF(OR(M727=phu!$I$26,M727=phu!$I$27,M727=phu!$I$28,M727=phu!$I$29,M727=phu!$I$30,M727=phu!$I$31),"Cam Phú",""),IF(OR(M727=phu!$I$32,M727=phu!$I$33,M727=phu!$I$34,M727=phu!$I$35,M727=phu!$I$36,M727=phu!$I$37),"Cam Lộc",""),IF(OR(M727=phu!$I$38,M727=phu!$I$39,M727=phu!$I$40,M727=phu!$I$41,M727=phu!$I$42,M727=phu!$I$43,M727=phu!$I$44),"Cam Thuận",""),IF(OR(M727=phu!$I$45,M727=phu!$I$46,M727=phu!$I$47,M727=phu!$I$48,M727=phu!$I$49,M727=phu!$I$50,M727=phu!$I$51,M727=phu!$I$52,M727=phu!$I$53),"Cam Linh",""),IF(OR(M727=phu!$I$54,M727=phu!$I$55,M727=phu!$I$56,M727=phu!$I$57,M727=phu!$I$58,M727=phu!$I$59,M727=phu!$I$60,M727=phu!$I$61,M727=phu!$I$62),"Cam Lợi",""),IF(OR(M727=phu!$I$63,M727=phu!$I$64,M727=phu!$I$65,M727=phu!$I$66,M727=phu!$I$67,M727=phu!$I$68,M727=phu!$I$69,M727=phu!$I$70,M727=phu!$I$71),"Ba Ngòi",""),IF(OR(M727=phu!$I$72,M727=phu!$I$73,M727=phu!$I$74,M727=phu!$I$75,M727=phu!$I$76,M727=phu!$I$77,M727=phu!$I$78),"Cam Phước Đông",""),IF(OR(M727=phu!$I$79,M727=phu!$I$80,M727=phu!$I$81,M727=phu!$I$82,M727=phu!$I$83,M727=phu!$I$84),"Cam Thịnh Đông",""),IF(OR(M727=phu!$I$85,M727=phu!$I$86,M727=phu!$I$87,M727=phu!$I$88),"Cam Thịnh Tây",""),IF(OR(M727=phu!$I$89,M727=phu!$I$90),"Cam Lập",""),IF(OR(M727=phu!$I$91,M727=phu!$I$92,M727=phu!$I$93),"Cam Bình",""),IF(OR(M727=phu!$I$94,M727=phu!$I$95,M727=phu!$I$96,M727=phu!$I$97,M727=phu!$I$98,M727=phu!$I$99,M727=phu!$I$100),"Huyện khác",""),IF(OR(M727=phu!$I$101,M727=phu!$I$102),"Tỉnh khác",""))</f>
        <v/>
      </c>
      <c r="O727" s="829" t="str">
        <f t="shared" si="66"/>
        <v/>
      </c>
      <c r="P727" s="254"/>
      <c r="Q727" s="254"/>
      <c r="R727" s="254"/>
      <c r="S727" s="254"/>
      <c r="T727" s="254"/>
      <c r="U727" s="254"/>
      <c r="V727" s="254"/>
      <c r="W727" s="254"/>
      <c r="Y727" s="246" t="str">
        <f t="shared" si="67"/>
        <v/>
      </c>
      <c r="Z727" s="247" t="str">
        <f t="shared" si="71"/>
        <v/>
      </c>
      <c r="AA727" s="246" t="str">
        <f t="shared" si="68"/>
        <v/>
      </c>
    </row>
    <row r="728" spans="1:27" ht="18" customHeight="1" x14ac:dyDescent="0.25">
      <c r="A728" s="248" t="str">
        <f t="shared" si="69"/>
        <v/>
      </c>
      <c r="B728" s="249" t="str">
        <f t="shared" si="70"/>
        <v/>
      </c>
      <c r="C728" s="250"/>
      <c r="D728" s="251"/>
      <c r="E728" s="241"/>
      <c r="F728" s="252"/>
      <c r="G728" s="252"/>
      <c r="H728" s="253"/>
      <c r="I728" s="250"/>
      <c r="J728" s="250"/>
      <c r="K728" s="270"/>
      <c r="L728" s="250"/>
      <c r="M728" s="250"/>
      <c r="N728" s="540" t="str">
        <f>CONCATENATE(IF(OR(M728=phu!$I$1,M728=phu!$I$2,M728=phu!$I$3),"Cam Thành Nam",""),IF(OR(M728=phu!$I$4,M728=phu!$I$5,M728=phu!$I$6,M728=phu!$I$7,M728=phu!$I$8,M728=phu!$I$9,M728=phu!$I$10,M728=phu!$I$11,M728=phu!$I$12,M728=phu!$I$13,M728=phu!$I$14),"Cam Nghĩa",""),IF(OR(M728=phu!$I$15,M728=phu!$I$16,M728=phu!$I$17,M728=phu!$I$18,M728=phu!$I$19,M728=phu!$I$20,M728=phu!$I$21),"Cam Phúc Bắc",""),IF(OR(M728=phu!$I$22,M728=phu!$I$23,M728=phu!$I$24,M728=phu!$I$25),"Cam Phúc Nam",""),IF(OR(M728=phu!$I$26,M728=phu!$I$27,M728=phu!$I$28,M728=phu!$I$29,M728=phu!$I$30,M728=phu!$I$31),"Cam Phú",""),IF(OR(M728=phu!$I$32,M728=phu!$I$33,M728=phu!$I$34,M728=phu!$I$35,M728=phu!$I$36,M728=phu!$I$37),"Cam Lộc",""),IF(OR(M728=phu!$I$38,M728=phu!$I$39,M728=phu!$I$40,M728=phu!$I$41,M728=phu!$I$42,M728=phu!$I$43,M728=phu!$I$44),"Cam Thuận",""),IF(OR(M728=phu!$I$45,M728=phu!$I$46,M728=phu!$I$47,M728=phu!$I$48,M728=phu!$I$49,M728=phu!$I$50,M728=phu!$I$51,M728=phu!$I$52,M728=phu!$I$53),"Cam Linh",""),IF(OR(M728=phu!$I$54,M728=phu!$I$55,M728=phu!$I$56,M728=phu!$I$57,M728=phu!$I$58,M728=phu!$I$59,M728=phu!$I$60,M728=phu!$I$61,M728=phu!$I$62),"Cam Lợi",""),IF(OR(M728=phu!$I$63,M728=phu!$I$64,M728=phu!$I$65,M728=phu!$I$66,M728=phu!$I$67,M728=phu!$I$68,M728=phu!$I$69,M728=phu!$I$70,M728=phu!$I$71),"Ba Ngòi",""),IF(OR(M728=phu!$I$72,M728=phu!$I$73,M728=phu!$I$74,M728=phu!$I$75,M728=phu!$I$76,M728=phu!$I$77,M728=phu!$I$78),"Cam Phước Đông",""),IF(OR(M728=phu!$I$79,M728=phu!$I$80,M728=phu!$I$81,M728=phu!$I$82,M728=phu!$I$83,M728=phu!$I$84),"Cam Thịnh Đông",""),IF(OR(M728=phu!$I$85,M728=phu!$I$86,M728=phu!$I$87,M728=phu!$I$88),"Cam Thịnh Tây",""),IF(OR(M728=phu!$I$89,M728=phu!$I$90),"Cam Lập",""),IF(OR(M728=phu!$I$91,M728=phu!$I$92,M728=phu!$I$93),"Cam Bình",""),IF(OR(M728=phu!$I$94,M728=phu!$I$95,M728=phu!$I$96,M728=phu!$I$97,M728=phu!$I$98,M728=phu!$I$99,M728=phu!$I$100),"Huyện khác",""),IF(OR(M728=phu!$I$101,M728=phu!$I$102),"Tỉnh khác",""))</f>
        <v/>
      </c>
      <c r="O728" s="829" t="str">
        <f t="shared" si="66"/>
        <v/>
      </c>
      <c r="P728" s="254"/>
      <c r="Q728" s="254"/>
      <c r="R728" s="254"/>
      <c r="S728" s="254"/>
      <c r="T728" s="254"/>
      <c r="U728" s="254"/>
      <c r="V728" s="254"/>
      <c r="W728" s="254"/>
      <c r="Y728" s="246" t="str">
        <f t="shared" si="67"/>
        <v/>
      </c>
      <c r="Z728" s="247" t="str">
        <f t="shared" si="71"/>
        <v/>
      </c>
      <c r="AA728" s="246" t="str">
        <f t="shared" si="68"/>
        <v/>
      </c>
    </row>
    <row r="729" spans="1:27" ht="18" customHeight="1" x14ac:dyDescent="0.25">
      <c r="A729" s="248" t="str">
        <f t="shared" si="69"/>
        <v/>
      </c>
      <c r="B729" s="249" t="str">
        <f t="shared" si="70"/>
        <v/>
      </c>
      <c r="C729" s="250"/>
      <c r="D729" s="251"/>
      <c r="E729" s="241"/>
      <c r="F729" s="252"/>
      <c r="G729" s="252"/>
      <c r="H729" s="253"/>
      <c r="I729" s="250"/>
      <c r="J729" s="250"/>
      <c r="K729" s="270"/>
      <c r="L729" s="250"/>
      <c r="M729" s="250"/>
      <c r="N729" s="540" t="str">
        <f>CONCATENATE(IF(OR(M729=phu!$I$1,M729=phu!$I$2,M729=phu!$I$3),"Cam Thành Nam",""),IF(OR(M729=phu!$I$4,M729=phu!$I$5,M729=phu!$I$6,M729=phu!$I$7,M729=phu!$I$8,M729=phu!$I$9,M729=phu!$I$10,M729=phu!$I$11,M729=phu!$I$12,M729=phu!$I$13,M729=phu!$I$14),"Cam Nghĩa",""),IF(OR(M729=phu!$I$15,M729=phu!$I$16,M729=phu!$I$17,M729=phu!$I$18,M729=phu!$I$19,M729=phu!$I$20,M729=phu!$I$21),"Cam Phúc Bắc",""),IF(OR(M729=phu!$I$22,M729=phu!$I$23,M729=phu!$I$24,M729=phu!$I$25),"Cam Phúc Nam",""),IF(OR(M729=phu!$I$26,M729=phu!$I$27,M729=phu!$I$28,M729=phu!$I$29,M729=phu!$I$30,M729=phu!$I$31),"Cam Phú",""),IF(OR(M729=phu!$I$32,M729=phu!$I$33,M729=phu!$I$34,M729=phu!$I$35,M729=phu!$I$36,M729=phu!$I$37),"Cam Lộc",""),IF(OR(M729=phu!$I$38,M729=phu!$I$39,M729=phu!$I$40,M729=phu!$I$41,M729=phu!$I$42,M729=phu!$I$43,M729=phu!$I$44),"Cam Thuận",""),IF(OR(M729=phu!$I$45,M729=phu!$I$46,M729=phu!$I$47,M729=phu!$I$48,M729=phu!$I$49,M729=phu!$I$50,M729=phu!$I$51,M729=phu!$I$52,M729=phu!$I$53),"Cam Linh",""),IF(OR(M729=phu!$I$54,M729=phu!$I$55,M729=phu!$I$56,M729=phu!$I$57,M729=phu!$I$58,M729=phu!$I$59,M729=phu!$I$60,M729=phu!$I$61,M729=phu!$I$62),"Cam Lợi",""),IF(OR(M729=phu!$I$63,M729=phu!$I$64,M729=phu!$I$65,M729=phu!$I$66,M729=phu!$I$67,M729=phu!$I$68,M729=phu!$I$69,M729=phu!$I$70,M729=phu!$I$71),"Ba Ngòi",""),IF(OR(M729=phu!$I$72,M729=phu!$I$73,M729=phu!$I$74,M729=phu!$I$75,M729=phu!$I$76,M729=phu!$I$77,M729=phu!$I$78),"Cam Phước Đông",""),IF(OR(M729=phu!$I$79,M729=phu!$I$80,M729=phu!$I$81,M729=phu!$I$82,M729=phu!$I$83,M729=phu!$I$84),"Cam Thịnh Đông",""),IF(OR(M729=phu!$I$85,M729=phu!$I$86,M729=phu!$I$87,M729=phu!$I$88),"Cam Thịnh Tây",""),IF(OR(M729=phu!$I$89,M729=phu!$I$90),"Cam Lập",""),IF(OR(M729=phu!$I$91,M729=phu!$I$92,M729=phu!$I$93),"Cam Bình",""),IF(OR(M729=phu!$I$94,M729=phu!$I$95,M729=phu!$I$96,M729=phu!$I$97,M729=phu!$I$98,M729=phu!$I$99,M729=phu!$I$100),"Huyện khác",""),IF(OR(M729=phu!$I$101,M729=phu!$I$102),"Tỉnh khác",""))</f>
        <v/>
      </c>
      <c r="O729" s="829" t="str">
        <f t="shared" si="66"/>
        <v/>
      </c>
      <c r="P729" s="254"/>
      <c r="Q729" s="254"/>
      <c r="R729" s="254"/>
      <c r="S729" s="254"/>
      <c r="T729" s="254"/>
      <c r="U729" s="254"/>
      <c r="V729" s="254"/>
      <c r="W729" s="254"/>
      <c r="Y729" s="246" t="str">
        <f t="shared" si="67"/>
        <v/>
      </c>
      <c r="Z729" s="247" t="str">
        <f t="shared" si="71"/>
        <v/>
      </c>
      <c r="AA729" s="246" t="str">
        <f t="shared" si="68"/>
        <v/>
      </c>
    </row>
    <row r="730" spans="1:27" ht="18" customHeight="1" x14ac:dyDescent="0.25">
      <c r="A730" s="248" t="str">
        <f t="shared" si="69"/>
        <v/>
      </c>
      <c r="B730" s="249" t="str">
        <f t="shared" si="70"/>
        <v/>
      </c>
      <c r="C730" s="250"/>
      <c r="D730" s="251"/>
      <c r="E730" s="241"/>
      <c r="F730" s="252"/>
      <c r="G730" s="252"/>
      <c r="H730" s="253"/>
      <c r="I730" s="250"/>
      <c r="J730" s="250"/>
      <c r="K730" s="270"/>
      <c r="L730" s="250"/>
      <c r="M730" s="250"/>
      <c r="N730" s="540" t="str">
        <f>CONCATENATE(IF(OR(M730=phu!$I$1,M730=phu!$I$2,M730=phu!$I$3),"Cam Thành Nam",""),IF(OR(M730=phu!$I$4,M730=phu!$I$5,M730=phu!$I$6,M730=phu!$I$7,M730=phu!$I$8,M730=phu!$I$9,M730=phu!$I$10,M730=phu!$I$11,M730=phu!$I$12,M730=phu!$I$13,M730=phu!$I$14),"Cam Nghĩa",""),IF(OR(M730=phu!$I$15,M730=phu!$I$16,M730=phu!$I$17,M730=phu!$I$18,M730=phu!$I$19,M730=phu!$I$20,M730=phu!$I$21),"Cam Phúc Bắc",""),IF(OR(M730=phu!$I$22,M730=phu!$I$23,M730=phu!$I$24,M730=phu!$I$25),"Cam Phúc Nam",""),IF(OR(M730=phu!$I$26,M730=phu!$I$27,M730=phu!$I$28,M730=phu!$I$29,M730=phu!$I$30,M730=phu!$I$31),"Cam Phú",""),IF(OR(M730=phu!$I$32,M730=phu!$I$33,M730=phu!$I$34,M730=phu!$I$35,M730=phu!$I$36,M730=phu!$I$37),"Cam Lộc",""),IF(OR(M730=phu!$I$38,M730=phu!$I$39,M730=phu!$I$40,M730=phu!$I$41,M730=phu!$I$42,M730=phu!$I$43,M730=phu!$I$44),"Cam Thuận",""),IF(OR(M730=phu!$I$45,M730=phu!$I$46,M730=phu!$I$47,M730=phu!$I$48,M730=phu!$I$49,M730=phu!$I$50,M730=phu!$I$51,M730=phu!$I$52,M730=phu!$I$53),"Cam Linh",""),IF(OR(M730=phu!$I$54,M730=phu!$I$55,M730=phu!$I$56,M730=phu!$I$57,M730=phu!$I$58,M730=phu!$I$59,M730=phu!$I$60,M730=phu!$I$61,M730=phu!$I$62),"Cam Lợi",""),IF(OR(M730=phu!$I$63,M730=phu!$I$64,M730=phu!$I$65,M730=phu!$I$66,M730=phu!$I$67,M730=phu!$I$68,M730=phu!$I$69,M730=phu!$I$70,M730=phu!$I$71),"Ba Ngòi",""),IF(OR(M730=phu!$I$72,M730=phu!$I$73,M730=phu!$I$74,M730=phu!$I$75,M730=phu!$I$76,M730=phu!$I$77,M730=phu!$I$78),"Cam Phước Đông",""),IF(OR(M730=phu!$I$79,M730=phu!$I$80,M730=phu!$I$81,M730=phu!$I$82,M730=phu!$I$83,M730=phu!$I$84),"Cam Thịnh Đông",""),IF(OR(M730=phu!$I$85,M730=phu!$I$86,M730=phu!$I$87,M730=phu!$I$88),"Cam Thịnh Tây",""),IF(OR(M730=phu!$I$89,M730=phu!$I$90),"Cam Lập",""),IF(OR(M730=phu!$I$91,M730=phu!$I$92,M730=phu!$I$93),"Cam Bình",""),IF(OR(M730=phu!$I$94,M730=phu!$I$95,M730=phu!$I$96,M730=phu!$I$97,M730=phu!$I$98,M730=phu!$I$99,M730=phu!$I$100),"Huyện khác",""),IF(OR(M730=phu!$I$101,M730=phu!$I$102),"Tỉnh khác",""))</f>
        <v/>
      </c>
      <c r="O730" s="829" t="str">
        <f t="shared" si="66"/>
        <v/>
      </c>
      <c r="P730" s="254"/>
      <c r="Q730" s="254"/>
      <c r="R730" s="254"/>
      <c r="S730" s="254"/>
      <c r="T730" s="254"/>
      <c r="U730" s="254"/>
      <c r="V730" s="254"/>
      <c r="W730" s="254"/>
      <c r="Y730" s="246" t="str">
        <f t="shared" si="67"/>
        <v/>
      </c>
      <c r="Z730" s="247" t="str">
        <f t="shared" si="71"/>
        <v/>
      </c>
      <c r="AA730" s="246" t="str">
        <f t="shared" si="68"/>
        <v/>
      </c>
    </row>
    <row r="731" spans="1:27" ht="18" customHeight="1" x14ac:dyDescent="0.25">
      <c r="A731" s="248" t="str">
        <f t="shared" si="69"/>
        <v/>
      </c>
      <c r="B731" s="249" t="str">
        <f t="shared" si="70"/>
        <v/>
      </c>
      <c r="C731" s="250"/>
      <c r="D731" s="251"/>
      <c r="E731" s="241"/>
      <c r="F731" s="252"/>
      <c r="G731" s="252"/>
      <c r="H731" s="253"/>
      <c r="I731" s="250"/>
      <c r="J731" s="250"/>
      <c r="K731" s="270"/>
      <c r="L731" s="250"/>
      <c r="M731" s="250"/>
      <c r="N731" s="540" t="str">
        <f>CONCATENATE(IF(OR(M731=phu!$I$1,M731=phu!$I$2,M731=phu!$I$3),"Cam Thành Nam",""),IF(OR(M731=phu!$I$4,M731=phu!$I$5,M731=phu!$I$6,M731=phu!$I$7,M731=phu!$I$8,M731=phu!$I$9,M731=phu!$I$10,M731=phu!$I$11,M731=phu!$I$12,M731=phu!$I$13,M731=phu!$I$14),"Cam Nghĩa",""),IF(OR(M731=phu!$I$15,M731=phu!$I$16,M731=phu!$I$17,M731=phu!$I$18,M731=phu!$I$19,M731=phu!$I$20,M731=phu!$I$21),"Cam Phúc Bắc",""),IF(OR(M731=phu!$I$22,M731=phu!$I$23,M731=phu!$I$24,M731=phu!$I$25),"Cam Phúc Nam",""),IF(OR(M731=phu!$I$26,M731=phu!$I$27,M731=phu!$I$28,M731=phu!$I$29,M731=phu!$I$30,M731=phu!$I$31),"Cam Phú",""),IF(OR(M731=phu!$I$32,M731=phu!$I$33,M731=phu!$I$34,M731=phu!$I$35,M731=phu!$I$36,M731=phu!$I$37),"Cam Lộc",""),IF(OR(M731=phu!$I$38,M731=phu!$I$39,M731=phu!$I$40,M731=phu!$I$41,M731=phu!$I$42,M731=phu!$I$43,M731=phu!$I$44),"Cam Thuận",""),IF(OR(M731=phu!$I$45,M731=phu!$I$46,M731=phu!$I$47,M731=phu!$I$48,M731=phu!$I$49,M731=phu!$I$50,M731=phu!$I$51,M731=phu!$I$52,M731=phu!$I$53),"Cam Linh",""),IF(OR(M731=phu!$I$54,M731=phu!$I$55,M731=phu!$I$56,M731=phu!$I$57,M731=phu!$I$58,M731=phu!$I$59,M731=phu!$I$60,M731=phu!$I$61,M731=phu!$I$62),"Cam Lợi",""),IF(OR(M731=phu!$I$63,M731=phu!$I$64,M731=phu!$I$65,M731=phu!$I$66,M731=phu!$I$67,M731=phu!$I$68,M731=phu!$I$69,M731=phu!$I$70,M731=phu!$I$71),"Ba Ngòi",""),IF(OR(M731=phu!$I$72,M731=phu!$I$73,M731=phu!$I$74,M731=phu!$I$75,M731=phu!$I$76,M731=phu!$I$77,M731=phu!$I$78),"Cam Phước Đông",""),IF(OR(M731=phu!$I$79,M731=phu!$I$80,M731=phu!$I$81,M731=phu!$I$82,M731=phu!$I$83,M731=phu!$I$84),"Cam Thịnh Đông",""),IF(OR(M731=phu!$I$85,M731=phu!$I$86,M731=phu!$I$87,M731=phu!$I$88),"Cam Thịnh Tây",""),IF(OR(M731=phu!$I$89,M731=phu!$I$90),"Cam Lập",""),IF(OR(M731=phu!$I$91,M731=phu!$I$92,M731=phu!$I$93),"Cam Bình",""),IF(OR(M731=phu!$I$94,M731=phu!$I$95,M731=phu!$I$96,M731=phu!$I$97,M731=phu!$I$98,M731=phu!$I$99,M731=phu!$I$100),"Huyện khác",""),IF(OR(M731=phu!$I$101,M731=phu!$I$102),"Tỉnh khác",""))</f>
        <v/>
      </c>
      <c r="O731" s="829" t="str">
        <f t="shared" si="66"/>
        <v/>
      </c>
      <c r="P731" s="254"/>
      <c r="Q731" s="254"/>
      <c r="R731" s="254"/>
      <c r="S731" s="254"/>
      <c r="T731" s="254"/>
      <c r="U731" s="254"/>
      <c r="V731" s="254"/>
      <c r="W731" s="254"/>
      <c r="Y731" s="246" t="str">
        <f t="shared" si="67"/>
        <v/>
      </c>
      <c r="Z731" s="247" t="str">
        <f t="shared" si="71"/>
        <v/>
      </c>
      <c r="AA731" s="246" t="str">
        <f t="shared" si="68"/>
        <v/>
      </c>
    </row>
    <row r="732" spans="1:27" ht="18" customHeight="1" x14ac:dyDescent="0.25">
      <c r="A732" s="248" t="str">
        <f t="shared" si="69"/>
        <v/>
      </c>
      <c r="B732" s="249" t="str">
        <f t="shared" si="70"/>
        <v/>
      </c>
      <c r="C732" s="250"/>
      <c r="D732" s="251"/>
      <c r="E732" s="241"/>
      <c r="F732" s="252"/>
      <c r="G732" s="252"/>
      <c r="H732" s="253"/>
      <c r="I732" s="250"/>
      <c r="J732" s="250"/>
      <c r="K732" s="270"/>
      <c r="L732" s="250"/>
      <c r="M732" s="250"/>
      <c r="N732" s="540" t="str">
        <f>CONCATENATE(IF(OR(M732=phu!$I$1,M732=phu!$I$2,M732=phu!$I$3),"Cam Thành Nam",""),IF(OR(M732=phu!$I$4,M732=phu!$I$5,M732=phu!$I$6,M732=phu!$I$7,M732=phu!$I$8,M732=phu!$I$9,M732=phu!$I$10,M732=phu!$I$11,M732=phu!$I$12,M732=phu!$I$13,M732=phu!$I$14),"Cam Nghĩa",""),IF(OR(M732=phu!$I$15,M732=phu!$I$16,M732=phu!$I$17,M732=phu!$I$18,M732=phu!$I$19,M732=phu!$I$20,M732=phu!$I$21),"Cam Phúc Bắc",""),IF(OR(M732=phu!$I$22,M732=phu!$I$23,M732=phu!$I$24,M732=phu!$I$25),"Cam Phúc Nam",""),IF(OR(M732=phu!$I$26,M732=phu!$I$27,M732=phu!$I$28,M732=phu!$I$29,M732=phu!$I$30,M732=phu!$I$31),"Cam Phú",""),IF(OR(M732=phu!$I$32,M732=phu!$I$33,M732=phu!$I$34,M732=phu!$I$35,M732=phu!$I$36,M732=phu!$I$37),"Cam Lộc",""),IF(OR(M732=phu!$I$38,M732=phu!$I$39,M732=phu!$I$40,M732=phu!$I$41,M732=phu!$I$42,M732=phu!$I$43,M732=phu!$I$44),"Cam Thuận",""),IF(OR(M732=phu!$I$45,M732=phu!$I$46,M732=phu!$I$47,M732=phu!$I$48,M732=phu!$I$49,M732=phu!$I$50,M732=phu!$I$51,M732=phu!$I$52,M732=phu!$I$53),"Cam Linh",""),IF(OR(M732=phu!$I$54,M732=phu!$I$55,M732=phu!$I$56,M732=phu!$I$57,M732=phu!$I$58,M732=phu!$I$59,M732=phu!$I$60,M732=phu!$I$61,M732=phu!$I$62),"Cam Lợi",""),IF(OR(M732=phu!$I$63,M732=phu!$I$64,M732=phu!$I$65,M732=phu!$I$66,M732=phu!$I$67,M732=phu!$I$68,M732=phu!$I$69,M732=phu!$I$70,M732=phu!$I$71),"Ba Ngòi",""),IF(OR(M732=phu!$I$72,M732=phu!$I$73,M732=phu!$I$74,M732=phu!$I$75,M732=phu!$I$76,M732=phu!$I$77,M732=phu!$I$78),"Cam Phước Đông",""),IF(OR(M732=phu!$I$79,M732=phu!$I$80,M732=phu!$I$81,M732=phu!$I$82,M732=phu!$I$83,M732=phu!$I$84),"Cam Thịnh Đông",""),IF(OR(M732=phu!$I$85,M732=phu!$I$86,M732=phu!$I$87,M732=phu!$I$88),"Cam Thịnh Tây",""),IF(OR(M732=phu!$I$89,M732=phu!$I$90),"Cam Lập",""),IF(OR(M732=phu!$I$91,M732=phu!$I$92,M732=phu!$I$93),"Cam Bình",""),IF(OR(M732=phu!$I$94,M732=phu!$I$95,M732=phu!$I$96,M732=phu!$I$97,M732=phu!$I$98,M732=phu!$I$99,M732=phu!$I$100),"Huyện khác",""),IF(OR(M732=phu!$I$101,M732=phu!$I$102),"Tỉnh khác",""))</f>
        <v/>
      </c>
      <c r="O732" s="829" t="str">
        <f t="shared" si="66"/>
        <v/>
      </c>
      <c r="P732" s="254"/>
      <c r="Q732" s="254"/>
      <c r="R732" s="254"/>
      <c r="S732" s="254"/>
      <c r="T732" s="254"/>
      <c r="U732" s="254"/>
      <c r="V732" s="254"/>
      <c r="W732" s="254"/>
      <c r="Y732" s="246" t="str">
        <f t="shared" si="67"/>
        <v/>
      </c>
      <c r="Z732" s="247" t="str">
        <f t="shared" si="71"/>
        <v/>
      </c>
      <c r="AA732" s="246" t="str">
        <f t="shared" si="68"/>
        <v/>
      </c>
    </row>
    <row r="733" spans="1:27" ht="18" customHeight="1" x14ac:dyDescent="0.25">
      <c r="A733" s="248" t="str">
        <f t="shared" si="69"/>
        <v/>
      </c>
      <c r="B733" s="249" t="str">
        <f t="shared" si="70"/>
        <v/>
      </c>
      <c r="C733" s="250"/>
      <c r="D733" s="251"/>
      <c r="E733" s="241"/>
      <c r="F733" s="252"/>
      <c r="G733" s="252"/>
      <c r="H733" s="253"/>
      <c r="I733" s="250"/>
      <c r="J733" s="250"/>
      <c r="K733" s="270"/>
      <c r="L733" s="250"/>
      <c r="M733" s="250"/>
      <c r="N733" s="540" t="str">
        <f>CONCATENATE(IF(OR(M733=phu!$I$1,M733=phu!$I$2,M733=phu!$I$3),"Cam Thành Nam",""),IF(OR(M733=phu!$I$4,M733=phu!$I$5,M733=phu!$I$6,M733=phu!$I$7,M733=phu!$I$8,M733=phu!$I$9,M733=phu!$I$10,M733=phu!$I$11,M733=phu!$I$12,M733=phu!$I$13,M733=phu!$I$14),"Cam Nghĩa",""),IF(OR(M733=phu!$I$15,M733=phu!$I$16,M733=phu!$I$17,M733=phu!$I$18,M733=phu!$I$19,M733=phu!$I$20,M733=phu!$I$21),"Cam Phúc Bắc",""),IF(OR(M733=phu!$I$22,M733=phu!$I$23,M733=phu!$I$24,M733=phu!$I$25),"Cam Phúc Nam",""),IF(OR(M733=phu!$I$26,M733=phu!$I$27,M733=phu!$I$28,M733=phu!$I$29,M733=phu!$I$30,M733=phu!$I$31),"Cam Phú",""),IF(OR(M733=phu!$I$32,M733=phu!$I$33,M733=phu!$I$34,M733=phu!$I$35,M733=phu!$I$36,M733=phu!$I$37),"Cam Lộc",""),IF(OR(M733=phu!$I$38,M733=phu!$I$39,M733=phu!$I$40,M733=phu!$I$41,M733=phu!$I$42,M733=phu!$I$43,M733=phu!$I$44),"Cam Thuận",""),IF(OR(M733=phu!$I$45,M733=phu!$I$46,M733=phu!$I$47,M733=phu!$I$48,M733=phu!$I$49,M733=phu!$I$50,M733=phu!$I$51,M733=phu!$I$52,M733=phu!$I$53),"Cam Linh",""),IF(OR(M733=phu!$I$54,M733=phu!$I$55,M733=phu!$I$56,M733=phu!$I$57,M733=phu!$I$58,M733=phu!$I$59,M733=phu!$I$60,M733=phu!$I$61,M733=phu!$I$62),"Cam Lợi",""),IF(OR(M733=phu!$I$63,M733=phu!$I$64,M733=phu!$I$65,M733=phu!$I$66,M733=phu!$I$67,M733=phu!$I$68,M733=phu!$I$69,M733=phu!$I$70,M733=phu!$I$71),"Ba Ngòi",""),IF(OR(M733=phu!$I$72,M733=phu!$I$73,M733=phu!$I$74,M733=phu!$I$75,M733=phu!$I$76,M733=phu!$I$77,M733=phu!$I$78),"Cam Phước Đông",""),IF(OR(M733=phu!$I$79,M733=phu!$I$80,M733=phu!$I$81,M733=phu!$I$82,M733=phu!$I$83,M733=phu!$I$84),"Cam Thịnh Đông",""),IF(OR(M733=phu!$I$85,M733=phu!$I$86,M733=phu!$I$87,M733=phu!$I$88),"Cam Thịnh Tây",""),IF(OR(M733=phu!$I$89,M733=phu!$I$90),"Cam Lập",""),IF(OR(M733=phu!$I$91,M733=phu!$I$92,M733=phu!$I$93),"Cam Bình",""),IF(OR(M733=phu!$I$94,M733=phu!$I$95,M733=phu!$I$96,M733=phu!$I$97,M733=phu!$I$98,M733=phu!$I$99,M733=phu!$I$100),"Huyện khác",""),IF(OR(M733=phu!$I$101,M733=phu!$I$102),"Tỉnh khác",""))</f>
        <v/>
      </c>
      <c r="O733" s="829" t="str">
        <f t="shared" si="66"/>
        <v/>
      </c>
      <c r="P733" s="254"/>
      <c r="Q733" s="254"/>
      <c r="R733" s="254"/>
      <c r="S733" s="254"/>
      <c r="T733" s="254"/>
      <c r="U733" s="254"/>
      <c r="V733" s="254"/>
      <c r="W733" s="254"/>
      <c r="Y733" s="246" t="str">
        <f t="shared" si="67"/>
        <v/>
      </c>
      <c r="Z733" s="247" t="str">
        <f t="shared" si="71"/>
        <v/>
      </c>
      <c r="AA733" s="246" t="str">
        <f t="shared" si="68"/>
        <v/>
      </c>
    </row>
    <row r="734" spans="1:27" ht="18" customHeight="1" x14ac:dyDescent="0.25">
      <c r="A734" s="248" t="str">
        <f t="shared" si="69"/>
        <v/>
      </c>
      <c r="B734" s="249" t="str">
        <f t="shared" si="70"/>
        <v/>
      </c>
      <c r="C734" s="250"/>
      <c r="D734" s="251"/>
      <c r="E734" s="241"/>
      <c r="F734" s="252"/>
      <c r="G734" s="252"/>
      <c r="H734" s="253"/>
      <c r="I734" s="250"/>
      <c r="J734" s="250"/>
      <c r="K734" s="270"/>
      <c r="L734" s="250"/>
      <c r="M734" s="250"/>
      <c r="N734" s="540" t="str">
        <f>CONCATENATE(IF(OR(M734=phu!$I$1,M734=phu!$I$2,M734=phu!$I$3),"Cam Thành Nam",""),IF(OR(M734=phu!$I$4,M734=phu!$I$5,M734=phu!$I$6,M734=phu!$I$7,M734=phu!$I$8,M734=phu!$I$9,M734=phu!$I$10,M734=phu!$I$11,M734=phu!$I$12,M734=phu!$I$13,M734=phu!$I$14),"Cam Nghĩa",""),IF(OR(M734=phu!$I$15,M734=phu!$I$16,M734=phu!$I$17,M734=phu!$I$18,M734=phu!$I$19,M734=phu!$I$20,M734=phu!$I$21),"Cam Phúc Bắc",""),IF(OR(M734=phu!$I$22,M734=phu!$I$23,M734=phu!$I$24,M734=phu!$I$25),"Cam Phúc Nam",""),IF(OR(M734=phu!$I$26,M734=phu!$I$27,M734=phu!$I$28,M734=phu!$I$29,M734=phu!$I$30,M734=phu!$I$31),"Cam Phú",""),IF(OR(M734=phu!$I$32,M734=phu!$I$33,M734=phu!$I$34,M734=phu!$I$35,M734=phu!$I$36,M734=phu!$I$37),"Cam Lộc",""),IF(OR(M734=phu!$I$38,M734=phu!$I$39,M734=phu!$I$40,M734=phu!$I$41,M734=phu!$I$42,M734=phu!$I$43,M734=phu!$I$44),"Cam Thuận",""),IF(OR(M734=phu!$I$45,M734=phu!$I$46,M734=phu!$I$47,M734=phu!$I$48,M734=phu!$I$49,M734=phu!$I$50,M734=phu!$I$51,M734=phu!$I$52,M734=phu!$I$53),"Cam Linh",""),IF(OR(M734=phu!$I$54,M734=phu!$I$55,M734=phu!$I$56,M734=phu!$I$57,M734=phu!$I$58,M734=phu!$I$59,M734=phu!$I$60,M734=phu!$I$61,M734=phu!$I$62),"Cam Lợi",""),IF(OR(M734=phu!$I$63,M734=phu!$I$64,M734=phu!$I$65,M734=phu!$I$66,M734=phu!$I$67,M734=phu!$I$68,M734=phu!$I$69,M734=phu!$I$70,M734=phu!$I$71),"Ba Ngòi",""),IF(OR(M734=phu!$I$72,M734=phu!$I$73,M734=phu!$I$74,M734=phu!$I$75,M734=phu!$I$76,M734=phu!$I$77,M734=phu!$I$78),"Cam Phước Đông",""),IF(OR(M734=phu!$I$79,M734=phu!$I$80,M734=phu!$I$81,M734=phu!$I$82,M734=phu!$I$83,M734=phu!$I$84),"Cam Thịnh Đông",""),IF(OR(M734=phu!$I$85,M734=phu!$I$86,M734=phu!$I$87,M734=phu!$I$88),"Cam Thịnh Tây",""),IF(OR(M734=phu!$I$89,M734=phu!$I$90),"Cam Lập",""),IF(OR(M734=phu!$I$91,M734=phu!$I$92,M734=phu!$I$93),"Cam Bình",""),IF(OR(M734=phu!$I$94,M734=phu!$I$95,M734=phu!$I$96,M734=phu!$I$97,M734=phu!$I$98,M734=phu!$I$99,M734=phu!$I$100),"Huyện khác",""),IF(OR(M734=phu!$I$101,M734=phu!$I$102),"Tỉnh khác",""))</f>
        <v/>
      </c>
      <c r="O734" s="829" t="str">
        <f t="shared" si="66"/>
        <v/>
      </c>
      <c r="P734" s="254"/>
      <c r="Q734" s="254"/>
      <c r="R734" s="254"/>
      <c r="S734" s="254"/>
      <c r="T734" s="254"/>
      <c r="U734" s="254"/>
      <c r="V734" s="254"/>
      <c r="W734" s="254"/>
      <c r="Y734" s="246" t="str">
        <f t="shared" si="67"/>
        <v/>
      </c>
      <c r="Z734" s="247" t="str">
        <f t="shared" si="71"/>
        <v/>
      </c>
      <c r="AA734" s="246" t="str">
        <f t="shared" si="68"/>
        <v/>
      </c>
    </row>
    <row r="735" spans="1:27" ht="18" customHeight="1" x14ac:dyDescent="0.25">
      <c r="A735" s="248" t="str">
        <f t="shared" si="69"/>
        <v/>
      </c>
      <c r="B735" s="249" t="str">
        <f t="shared" si="70"/>
        <v/>
      </c>
      <c r="C735" s="250"/>
      <c r="D735" s="251"/>
      <c r="E735" s="241"/>
      <c r="F735" s="252"/>
      <c r="G735" s="252"/>
      <c r="H735" s="253"/>
      <c r="I735" s="250"/>
      <c r="J735" s="250"/>
      <c r="K735" s="270"/>
      <c r="L735" s="250"/>
      <c r="M735" s="250"/>
      <c r="N735" s="540" t="str">
        <f>CONCATENATE(IF(OR(M735=phu!$I$1,M735=phu!$I$2,M735=phu!$I$3),"Cam Thành Nam",""),IF(OR(M735=phu!$I$4,M735=phu!$I$5,M735=phu!$I$6,M735=phu!$I$7,M735=phu!$I$8,M735=phu!$I$9,M735=phu!$I$10,M735=phu!$I$11,M735=phu!$I$12,M735=phu!$I$13,M735=phu!$I$14),"Cam Nghĩa",""),IF(OR(M735=phu!$I$15,M735=phu!$I$16,M735=phu!$I$17,M735=phu!$I$18,M735=phu!$I$19,M735=phu!$I$20,M735=phu!$I$21),"Cam Phúc Bắc",""),IF(OR(M735=phu!$I$22,M735=phu!$I$23,M735=phu!$I$24,M735=phu!$I$25),"Cam Phúc Nam",""),IF(OR(M735=phu!$I$26,M735=phu!$I$27,M735=phu!$I$28,M735=phu!$I$29,M735=phu!$I$30,M735=phu!$I$31),"Cam Phú",""),IF(OR(M735=phu!$I$32,M735=phu!$I$33,M735=phu!$I$34,M735=phu!$I$35,M735=phu!$I$36,M735=phu!$I$37),"Cam Lộc",""),IF(OR(M735=phu!$I$38,M735=phu!$I$39,M735=phu!$I$40,M735=phu!$I$41,M735=phu!$I$42,M735=phu!$I$43,M735=phu!$I$44),"Cam Thuận",""),IF(OR(M735=phu!$I$45,M735=phu!$I$46,M735=phu!$I$47,M735=phu!$I$48,M735=phu!$I$49,M735=phu!$I$50,M735=phu!$I$51,M735=phu!$I$52,M735=phu!$I$53),"Cam Linh",""),IF(OR(M735=phu!$I$54,M735=phu!$I$55,M735=phu!$I$56,M735=phu!$I$57,M735=phu!$I$58,M735=phu!$I$59,M735=phu!$I$60,M735=phu!$I$61,M735=phu!$I$62),"Cam Lợi",""),IF(OR(M735=phu!$I$63,M735=phu!$I$64,M735=phu!$I$65,M735=phu!$I$66,M735=phu!$I$67,M735=phu!$I$68,M735=phu!$I$69,M735=phu!$I$70,M735=phu!$I$71),"Ba Ngòi",""),IF(OR(M735=phu!$I$72,M735=phu!$I$73,M735=phu!$I$74,M735=phu!$I$75,M735=phu!$I$76,M735=phu!$I$77,M735=phu!$I$78),"Cam Phước Đông",""),IF(OR(M735=phu!$I$79,M735=phu!$I$80,M735=phu!$I$81,M735=phu!$I$82,M735=phu!$I$83,M735=phu!$I$84),"Cam Thịnh Đông",""),IF(OR(M735=phu!$I$85,M735=phu!$I$86,M735=phu!$I$87,M735=phu!$I$88),"Cam Thịnh Tây",""),IF(OR(M735=phu!$I$89,M735=phu!$I$90),"Cam Lập",""),IF(OR(M735=phu!$I$91,M735=phu!$I$92,M735=phu!$I$93),"Cam Bình",""),IF(OR(M735=phu!$I$94,M735=phu!$I$95,M735=phu!$I$96,M735=phu!$I$97,M735=phu!$I$98,M735=phu!$I$99,M735=phu!$I$100),"Huyện khác",""),IF(OR(M735=phu!$I$101,M735=phu!$I$102),"Tỉnh khác",""))</f>
        <v/>
      </c>
      <c r="O735" s="829" t="str">
        <f t="shared" si="66"/>
        <v/>
      </c>
      <c r="P735" s="254"/>
      <c r="Q735" s="254"/>
      <c r="R735" s="254"/>
      <c r="S735" s="254"/>
      <c r="T735" s="254"/>
      <c r="U735" s="254"/>
      <c r="V735" s="254"/>
      <c r="W735" s="254"/>
      <c r="Y735" s="246" t="str">
        <f t="shared" si="67"/>
        <v/>
      </c>
      <c r="Z735" s="247" t="str">
        <f t="shared" si="71"/>
        <v/>
      </c>
      <c r="AA735" s="246" t="str">
        <f t="shared" si="68"/>
        <v/>
      </c>
    </row>
    <row r="736" spans="1:27" ht="18" customHeight="1" x14ac:dyDescent="0.25">
      <c r="A736" s="248" t="str">
        <f t="shared" si="69"/>
        <v/>
      </c>
      <c r="B736" s="249" t="str">
        <f t="shared" si="70"/>
        <v/>
      </c>
      <c r="C736" s="250"/>
      <c r="D736" s="251"/>
      <c r="E736" s="241"/>
      <c r="F736" s="252"/>
      <c r="G736" s="252"/>
      <c r="H736" s="253"/>
      <c r="I736" s="250"/>
      <c r="J736" s="250"/>
      <c r="K736" s="270"/>
      <c r="L736" s="250"/>
      <c r="M736" s="250"/>
      <c r="N736" s="540" t="str">
        <f>CONCATENATE(IF(OR(M736=phu!$I$1,M736=phu!$I$2,M736=phu!$I$3),"Cam Thành Nam",""),IF(OR(M736=phu!$I$4,M736=phu!$I$5,M736=phu!$I$6,M736=phu!$I$7,M736=phu!$I$8,M736=phu!$I$9,M736=phu!$I$10,M736=phu!$I$11,M736=phu!$I$12,M736=phu!$I$13,M736=phu!$I$14),"Cam Nghĩa",""),IF(OR(M736=phu!$I$15,M736=phu!$I$16,M736=phu!$I$17,M736=phu!$I$18,M736=phu!$I$19,M736=phu!$I$20,M736=phu!$I$21),"Cam Phúc Bắc",""),IF(OR(M736=phu!$I$22,M736=phu!$I$23,M736=phu!$I$24,M736=phu!$I$25),"Cam Phúc Nam",""),IF(OR(M736=phu!$I$26,M736=phu!$I$27,M736=phu!$I$28,M736=phu!$I$29,M736=phu!$I$30,M736=phu!$I$31),"Cam Phú",""),IF(OR(M736=phu!$I$32,M736=phu!$I$33,M736=phu!$I$34,M736=phu!$I$35,M736=phu!$I$36,M736=phu!$I$37),"Cam Lộc",""),IF(OR(M736=phu!$I$38,M736=phu!$I$39,M736=phu!$I$40,M736=phu!$I$41,M736=phu!$I$42,M736=phu!$I$43,M736=phu!$I$44),"Cam Thuận",""),IF(OR(M736=phu!$I$45,M736=phu!$I$46,M736=phu!$I$47,M736=phu!$I$48,M736=phu!$I$49,M736=phu!$I$50,M736=phu!$I$51,M736=phu!$I$52,M736=phu!$I$53),"Cam Linh",""),IF(OR(M736=phu!$I$54,M736=phu!$I$55,M736=phu!$I$56,M736=phu!$I$57,M736=phu!$I$58,M736=phu!$I$59,M736=phu!$I$60,M736=phu!$I$61,M736=phu!$I$62),"Cam Lợi",""),IF(OR(M736=phu!$I$63,M736=phu!$I$64,M736=phu!$I$65,M736=phu!$I$66,M736=phu!$I$67,M736=phu!$I$68,M736=phu!$I$69,M736=phu!$I$70,M736=phu!$I$71),"Ba Ngòi",""),IF(OR(M736=phu!$I$72,M736=phu!$I$73,M736=phu!$I$74,M736=phu!$I$75,M736=phu!$I$76,M736=phu!$I$77,M736=phu!$I$78),"Cam Phước Đông",""),IF(OR(M736=phu!$I$79,M736=phu!$I$80,M736=phu!$I$81,M736=phu!$I$82,M736=phu!$I$83,M736=phu!$I$84),"Cam Thịnh Đông",""),IF(OR(M736=phu!$I$85,M736=phu!$I$86,M736=phu!$I$87,M736=phu!$I$88),"Cam Thịnh Tây",""),IF(OR(M736=phu!$I$89,M736=phu!$I$90),"Cam Lập",""),IF(OR(M736=phu!$I$91,M736=phu!$I$92,M736=phu!$I$93),"Cam Bình",""),IF(OR(M736=phu!$I$94,M736=phu!$I$95,M736=phu!$I$96,M736=phu!$I$97,M736=phu!$I$98,M736=phu!$I$99,M736=phu!$I$100),"Huyện khác",""),IF(OR(M736=phu!$I$101,M736=phu!$I$102),"Tỉnh khác",""))</f>
        <v/>
      </c>
      <c r="O736" s="829" t="str">
        <f t="shared" si="66"/>
        <v/>
      </c>
      <c r="P736" s="254"/>
      <c r="Q736" s="254"/>
      <c r="R736" s="254"/>
      <c r="S736" s="254"/>
      <c r="T736" s="254"/>
      <c r="U736" s="254"/>
      <c r="V736" s="254"/>
      <c r="W736" s="254"/>
      <c r="Y736" s="246" t="str">
        <f t="shared" si="67"/>
        <v/>
      </c>
      <c r="Z736" s="247" t="str">
        <f t="shared" si="71"/>
        <v/>
      </c>
      <c r="AA736" s="246" t="str">
        <f t="shared" si="68"/>
        <v/>
      </c>
    </row>
    <row r="737" spans="1:27" ht="18" customHeight="1" x14ac:dyDescent="0.25">
      <c r="A737" s="248" t="str">
        <f t="shared" si="69"/>
        <v/>
      </c>
      <c r="B737" s="249" t="str">
        <f t="shared" si="70"/>
        <v/>
      </c>
      <c r="C737" s="250"/>
      <c r="D737" s="251"/>
      <c r="E737" s="241"/>
      <c r="F737" s="252"/>
      <c r="G737" s="252"/>
      <c r="H737" s="253"/>
      <c r="I737" s="250"/>
      <c r="J737" s="250"/>
      <c r="K737" s="270"/>
      <c r="L737" s="250"/>
      <c r="M737" s="250"/>
      <c r="N737" s="540" t="str">
        <f>CONCATENATE(IF(OR(M737=phu!$I$1,M737=phu!$I$2,M737=phu!$I$3),"Cam Thành Nam",""),IF(OR(M737=phu!$I$4,M737=phu!$I$5,M737=phu!$I$6,M737=phu!$I$7,M737=phu!$I$8,M737=phu!$I$9,M737=phu!$I$10,M737=phu!$I$11,M737=phu!$I$12,M737=phu!$I$13,M737=phu!$I$14),"Cam Nghĩa",""),IF(OR(M737=phu!$I$15,M737=phu!$I$16,M737=phu!$I$17,M737=phu!$I$18,M737=phu!$I$19,M737=phu!$I$20,M737=phu!$I$21),"Cam Phúc Bắc",""),IF(OR(M737=phu!$I$22,M737=phu!$I$23,M737=phu!$I$24,M737=phu!$I$25),"Cam Phúc Nam",""),IF(OR(M737=phu!$I$26,M737=phu!$I$27,M737=phu!$I$28,M737=phu!$I$29,M737=phu!$I$30,M737=phu!$I$31),"Cam Phú",""),IF(OR(M737=phu!$I$32,M737=phu!$I$33,M737=phu!$I$34,M737=phu!$I$35,M737=phu!$I$36,M737=phu!$I$37),"Cam Lộc",""),IF(OR(M737=phu!$I$38,M737=phu!$I$39,M737=phu!$I$40,M737=phu!$I$41,M737=phu!$I$42,M737=phu!$I$43,M737=phu!$I$44),"Cam Thuận",""),IF(OR(M737=phu!$I$45,M737=phu!$I$46,M737=phu!$I$47,M737=phu!$I$48,M737=phu!$I$49,M737=phu!$I$50,M737=phu!$I$51,M737=phu!$I$52,M737=phu!$I$53),"Cam Linh",""),IF(OR(M737=phu!$I$54,M737=phu!$I$55,M737=phu!$I$56,M737=phu!$I$57,M737=phu!$I$58,M737=phu!$I$59,M737=phu!$I$60,M737=phu!$I$61,M737=phu!$I$62),"Cam Lợi",""),IF(OR(M737=phu!$I$63,M737=phu!$I$64,M737=phu!$I$65,M737=phu!$I$66,M737=phu!$I$67,M737=phu!$I$68,M737=phu!$I$69,M737=phu!$I$70,M737=phu!$I$71),"Ba Ngòi",""),IF(OR(M737=phu!$I$72,M737=phu!$I$73,M737=phu!$I$74,M737=phu!$I$75,M737=phu!$I$76,M737=phu!$I$77,M737=phu!$I$78),"Cam Phước Đông",""),IF(OR(M737=phu!$I$79,M737=phu!$I$80,M737=phu!$I$81,M737=phu!$I$82,M737=phu!$I$83,M737=phu!$I$84),"Cam Thịnh Đông",""),IF(OR(M737=phu!$I$85,M737=phu!$I$86,M737=phu!$I$87,M737=phu!$I$88),"Cam Thịnh Tây",""),IF(OR(M737=phu!$I$89,M737=phu!$I$90),"Cam Lập",""),IF(OR(M737=phu!$I$91,M737=phu!$I$92,M737=phu!$I$93),"Cam Bình",""),IF(OR(M737=phu!$I$94,M737=phu!$I$95,M737=phu!$I$96,M737=phu!$I$97,M737=phu!$I$98,M737=phu!$I$99,M737=phu!$I$100),"Huyện khác",""),IF(OR(M737=phu!$I$101,M737=phu!$I$102),"Tỉnh khác",""))</f>
        <v/>
      </c>
      <c r="O737" s="829" t="str">
        <f t="shared" si="66"/>
        <v/>
      </c>
      <c r="P737" s="254"/>
      <c r="Q737" s="254"/>
      <c r="R737" s="254"/>
      <c r="S737" s="254"/>
      <c r="T737" s="254"/>
      <c r="U737" s="254"/>
      <c r="V737" s="254"/>
      <c r="W737" s="254"/>
      <c r="Y737" s="246" t="str">
        <f t="shared" si="67"/>
        <v/>
      </c>
      <c r="Z737" s="247" t="str">
        <f t="shared" si="71"/>
        <v/>
      </c>
      <c r="AA737" s="246" t="str">
        <f t="shared" si="68"/>
        <v/>
      </c>
    </row>
    <row r="738" spans="1:27" ht="18" customHeight="1" x14ac:dyDescent="0.25">
      <c r="A738" s="248" t="str">
        <f t="shared" si="69"/>
        <v/>
      </c>
      <c r="B738" s="249" t="str">
        <f t="shared" si="70"/>
        <v/>
      </c>
      <c r="C738" s="250"/>
      <c r="D738" s="251"/>
      <c r="E738" s="241"/>
      <c r="F738" s="252"/>
      <c r="G738" s="252"/>
      <c r="H738" s="253"/>
      <c r="I738" s="250"/>
      <c r="J738" s="250"/>
      <c r="K738" s="270"/>
      <c r="L738" s="250"/>
      <c r="M738" s="250"/>
      <c r="N738" s="540" t="str">
        <f>CONCATENATE(IF(OR(M738=phu!$I$1,M738=phu!$I$2,M738=phu!$I$3),"Cam Thành Nam",""),IF(OR(M738=phu!$I$4,M738=phu!$I$5,M738=phu!$I$6,M738=phu!$I$7,M738=phu!$I$8,M738=phu!$I$9,M738=phu!$I$10,M738=phu!$I$11,M738=phu!$I$12,M738=phu!$I$13,M738=phu!$I$14),"Cam Nghĩa",""),IF(OR(M738=phu!$I$15,M738=phu!$I$16,M738=phu!$I$17,M738=phu!$I$18,M738=phu!$I$19,M738=phu!$I$20,M738=phu!$I$21),"Cam Phúc Bắc",""),IF(OR(M738=phu!$I$22,M738=phu!$I$23,M738=phu!$I$24,M738=phu!$I$25),"Cam Phúc Nam",""),IF(OR(M738=phu!$I$26,M738=phu!$I$27,M738=phu!$I$28,M738=phu!$I$29,M738=phu!$I$30,M738=phu!$I$31),"Cam Phú",""),IF(OR(M738=phu!$I$32,M738=phu!$I$33,M738=phu!$I$34,M738=phu!$I$35,M738=phu!$I$36,M738=phu!$I$37),"Cam Lộc",""),IF(OR(M738=phu!$I$38,M738=phu!$I$39,M738=phu!$I$40,M738=phu!$I$41,M738=phu!$I$42,M738=phu!$I$43,M738=phu!$I$44),"Cam Thuận",""),IF(OR(M738=phu!$I$45,M738=phu!$I$46,M738=phu!$I$47,M738=phu!$I$48,M738=phu!$I$49,M738=phu!$I$50,M738=phu!$I$51,M738=phu!$I$52,M738=phu!$I$53),"Cam Linh",""),IF(OR(M738=phu!$I$54,M738=phu!$I$55,M738=phu!$I$56,M738=phu!$I$57,M738=phu!$I$58,M738=phu!$I$59,M738=phu!$I$60,M738=phu!$I$61,M738=phu!$I$62),"Cam Lợi",""),IF(OR(M738=phu!$I$63,M738=phu!$I$64,M738=phu!$I$65,M738=phu!$I$66,M738=phu!$I$67,M738=phu!$I$68,M738=phu!$I$69,M738=phu!$I$70,M738=phu!$I$71),"Ba Ngòi",""),IF(OR(M738=phu!$I$72,M738=phu!$I$73,M738=phu!$I$74,M738=phu!$I$75,M738=phu!$I$76,M738=phu!$I$77,M738=phu!$I$78),"Cam Phước Đông",""),IF(OR(M738=phu!$I$79,M738=phu!$I$80,M738=phu!$I$81,M738=phu!$I$82,M738=phu!$I$83,M738=phu!$I$84),"Cam Thịnh Đông",""),IF(OR(M738=phu!$I$85,M738=phu!$I$86,M738=phu!$I$87,M738=phu!$I$88),"Cam Thịnh Tây",""),IF(OR(M738=phu!$I$89,M738=phu!$I$90),"Cam Lập",""),IF(OR(M738=phu!$I$91,M738=phu!$I$92,M738=phu!$I$93),"Cam Bình",""),IF(OR(M738=phu!$I$94,M738=phu!$I$95,M738=phu!$I$96,M738=phu!$I$97,M738=phu!$I$98,M738=phu!$I$99,M738=phu!$I$100),"Huyện khác",""),IF(OR(M738=phu!$I$101,M738=phu!$I$102),"Tỉnh khác",""))</f>
        <v/>
      </c>
      <c r="O738" s="829" t="str">
        <f t="shared" si="66"/>
        <v/>
      </c>
      <c r="P738" s="254"/>
      <c r="Q738" s="254"/>
      <c r="R738" s="254"/>
      <c r="S738" s="254"/>
      <c r="T738" s="254"/>
      <c r="U738" s="254"/>
      <c r="V738" s="254"/>
      <c r="W738" s="254"/>
      <c r="Y738" s="246" t="str">
        <f t="shared" si="67"/>
        <v/>
      </c>
      <c r="Z738" s="247" t="str">
        <f t="shared" si="71"/>
        <v/>
      </c>
      <c r="AA738" s="246" t="str">
        <f t="shared" si="68"/>
        <v/>
      </c>
    </row>
    <row r="739" spans="1:27" ht="18" customHeight="1" x14ac:dyDescent="0.25">
      <c r="A739" s="248" t="str">
        <f t="shared" si="69"/>
        <v/>
      </c>
      <c r="B739" s="249" t="str">
        <f t="shared" si="70"/>
        <v/>
      </c>
      <c r="C739" s="250"/>
      <c r="D739" s="251"/>
      <c r="E739" s="241"/>
      <c r="F739" s="252"/>
      <c r="G739" s="252"/>
      <c r="H739" s="253"/>
      <c r="I739" s="250"/>
      <c r="J739" s="250"/>
      <c r="K739" s="270"/>
      <c r="L739" s="250"/>
      <c r="M739" s="250"/>
      <c r="N739" s="540" t="str">
        <f>CONCATENATE(IF(OR(M739=phu!$I$1,M739=phu!$I$2,M739=phu!$I$3),"Cam Thành Nam",""),IF(OR(M739=phu!$I$4,M739=phu!$I$5,M739=phu!$I$6,M739=phu!$I$7,M739=phu!$I$8,M739=phu!$I$9,M739=phu!$I$10,M739=phu!$I$11,M739=phu!$I$12,M739=phu!$I$13,M739=phu!$I$14),"Cam Nghĩa",""),IF(OR(M739=phu!$I$15,M739=phu!$I$16,M739=phu!$I$17,M739=phu!$I$18,M739=phu!$I$19,M739=phu!$I$20,M739=phu!$I$21),"Cam Phúc Bắc",""),IF(OR(M739=phu!$I$22,M739=phu!$I$23,M739=phu!$I$24,M739=phu!$I$25),"Cam Phúc Nam",""),IF(OR(M739=phu!$I$26,M739=phu!$I$27,M739=phu!$I$28,M739=phu!$I$29,M739=phu!$I$30,M739=phu!$I$31),"Cam Phú",""),IF(OR(M739=phu!$I$32,M739=phu!$I$33,M739=phu!$I$34,M739=phu!$I$35,M739=phu!$I$36,M739=phu!$I$37),"Cam Lộc",""),IF(OR(M739=phu!$I$38,M739=phu!$I$39,M739=phu!$I$40,M739=phu!$I$41,M739=phu!$I$42,M739=phu!$I$43,M739=phu!$I$44),"Cam Thuận",""),IF(OR(M739=phu!$I$45,M739=phu!$I$46,M739=phu!$I$47,M739=phu!$I$48,M739=phu!$I$49,M739=phu!$I$50,M739=phu!$I$51,M739=phu!$I$52,M739=phu!$I$53),"Cam Linh",""),IF(OR(M739=phu!$I$54,M739=phu!$I$55,M739=phu!$I$56,M739=phu!$I$57,M739=phu!$I$58,M739=phu!$I$59,M739=phu!$I$60,M739=phu!$I$61,M739=phu!$I$62),"Cam Lợi",""),IF(OR(M739=phu!$I$63,M739=phu!$I$64,M739=phu!$I$65,M739=phu!$I$66,M739=phu!$I$67,M739=phu!$I$68,M739=phu!$I$69,M739=phu!$I$70,M739=phu!$I$71),"Ba Ngòi",""),IF(OR(M739=phu!$I$72,M739=phu!$I$73,M739=phu!$I$74,M739=phu!$I$75,M739=phu!$I$76,M739=phu!$I$77,M739=phu!$I$78),"Cam Phước Đông",""),IF(OR(M739=phu!$I$79,M739=phu!$I$80,M739=phu!$I$81,M739=phu!$I$82,M739=phu!$I$83,M739=phu!$I$84),"Cam Thịnh Đông",""),IF(OR(M739=phu!$I$85,M739=phu!$I$86,M739=phu!$I$87,M739=phu!$I$88),"Cam Thịnh Tây",""),IF(OR(M739=phu!$I$89,M739=phu!$I$90),"Cam Lập",""),IF(OR(M739=phu!$I$91,M739=phu!$I$92,M739=phu!$I$93),"Cam Bình",""),IF(OR(M739=phu!$I$94,M739=phu!$I$95,M739=phu!$I$96,M739=phu!$I$97,M739=phu!$I$98,M739=phu!$I$99,M739=phu!$I$100),"Huyện khác",""),IF(OR(M739=phu!$I$101,M739=phu!$I$102),"Tỉnh khác",""))</f>
        <v/>
      </c>
      <c r="O739" s="829" t="str">
        <f t="shared" si="66"/>
        <v/>
      </c>
      <c r="P739" s="254"/>
      <c r="Q739" s="254"/>
      <c r="R739" s="254"/>
      <c r="S739" s="254"/>
      <c r="T739" s="254"/>
      <c r="U739" s="254"/>
      <c r="V739" s="254"/>
      <c r="W739" s="254"/>
      <c r="Y739" s="246" t="str">
        <f t="shared" si="67"/>
        <v/>
      </c>
      <c r="Z739" s="247" t="str">
        <f t="shared" si="71"/>
        <v/>
      </c>
      <c r="AA739" s="246" t="str">
        <f t="shared" si="68"/>
        <v/>
      </c>
    </row>
    <row r="740" spans="1:27" ht="18" customHeight="1" x14ac:dyDescent="0.25">
      <c r="A740" s="248" t="str">
        <f t="shared" si="69"/>
        <v/>
      </c>
      <c r="B740" s="249" t="str">
        <f t="shared" si="70"/>
        <v/>
      </c>
      <c r="C740" s="250"/>
      <c r="D740" s="251"/>
      <c r="E740" s="241"/>
      <c r="F740" s="252"/>
      <c r="G740" s="252"/>
      <c r="H740" s="253"/>
      <c r="I740" s="250"/>
      <c r="J740" s="250"/>
      <c r="K740" s="270"/>
      <c r="L740" s="250"/>
      <c r="M740" s="250"/>
      <c r="N740" s="540" t="str">
        <f>CONCATENATE(IF(OR(M740=phu!$I$1,M740=phu!$I$2,M740=phu!$I$3),"Cam Thành Nam",""),IF(OR(M740=phu!$I$4,M740=phu!$I$5,M740=phu!$I$6,M740=phu!$I$7,M740=phu!$I$8,M740=phu!$I$9,M740=phu!$I$10,M740=phu!$I$11,M740=phu!$I$12,M740=phu!$I$13,M740=phu!$I$14),"Cam Nghĩa",""),IF(OR(M740=phu!$I$15,M740=phu!$I$16,M740=phu!$I$17,M740=phu!$I$18,M740=phu!$I$19,M740=phu!$I$20,M740=phu!$I$21),"Cam Phúc Bắc",""),IF(OR(M740=phu!$I$22,M740=phu!$I$23,M740=phu!$I$24,M740=phu!$I$25),"Cam Phúc Nam",""),IF(OR(M740=phu!$I$26,M740=phu!$I$27,M740=phu!$I$28,M740=phu!$I$29,M740=phu!$I$30,M740=phu!$I$31),"Cam Phú",""),IF(OR(M740=phu!$I$32,M740=phu!$I$33,M740=phu!$I$34,M740=phu!$I$35,M740=phu!$I$36,M740=phu!$I$37),"Cam Lộc",""),IF(OR(M740=phu!$I$38,M740=phu!$I$39,M740=phu!$I$40,M740=phu!$I$41,M740=phu!$I$42,M740=phu!$I$43,M740=phu!$I$44),"Cam Thuận",""),IF(OR(M740=phu!$I$45,M740=phu!$I$46,M740=phu!$I$47,M740=phu!$I$48,M740=phu!$I$49,M740=phu!$I$50,M740=phu!$I$51,M740=phu!$I$52,M740=phu!$I$53),"Cam Linh",""),IF(OR(M740=phu!$I$54,M740=phu!$I$55,M740=phu!$I$56,M740=phu!$I$57,M740=phu!$I$58,M740=phu!$I$59,M740=phu!$I$60,M740=phu!$I$61,M740=phu!$I$62),"Cam Lợi",""),IF(OR(M740=phu!$I$63,M740=phu!$I$64,M740=phu!$I$65,M740=phu!$I$66,M740=phu!$I$67,M740=phu!$I$68,M740=phu!$I$69,M740=phu!$I$70,M740=phu!$I$71),"Ba Ngòi",""),IF(OR(M740=phu!$I$72,M740=phu!$I$73,M740=phu!$I$74,M740=phu!$I$75,M740=phu!$I$76,M740=phu!$I$77,M740=phu!$I$78),"Cam Phước Đông",""),IF(OR(M740=phu!$I$79,M740=phu!$I$80,M740=phu!$I$81,M740=phu!$I$82,M740=phu!$I$83,M740=phu!$I$84),"Cam Thịnh Đông",""),IF(OR(M740=phu!$I$85,M740=phu!$I$86,M740=phu!$I$87,M740=phu!$I$88),"Cam Thịnh Tây",""),IF(OR(M740=phu!$I$89,M740=phu!$I$90),"Cam Lập",""),IF(OR(M740=phu!$I$91,M740=phu!$I$92,M740=phu!$I$93),"Cam Bình",""),IF(OR(M740=phu!$I$94,M740=phu!$I$95,M740=phu!$I$96,M740=phu!$I$97,M740=phu!$I$98,M740=phu!$I$99,M740=phu!$I$100),"Huyện khác",""),IF(OR(M740=phu!$I$101,M740=phu!$I$102),"Tỉnh khác",""))</f>
        <v/>
      </c>
      <c r="O740" s="829" t="str">
        <f t="shared" si="66"/>
        <v/>
      </c>
      <c r="P740" s="254"/>
      <c r="Q740" s="254"/>
      <c r="R740" s="254"/>
      <c r="S740" s="254"/>
      <c r="T740" s="254"/>
      <c r="U740" s="254"/>
      <c r="V740" s="254"/>
      <c r="W740" s="254"/>
      <c r="Y740" s="246" t="str">
        <f t="shared" si="67"/>
        <v/>
      </c>
      <c r="Z740" s="247" t="str">
        <f t="shared" si="71"/>
        <v/>
      </c>
      <c r="AA740" s="246" t="str">
        <f t="shared" si="68"/>
        <v/>
      </c>
    </row>
    <row r="741" spans="1:27" ht="18" customHeight="1" x14ac:dyDescent="0.25">
      <c r="A741" s="248" t="str">
        <f t="shared" si="69"/>
        <v/>
      </c>
      <c r="B741" s="249" t="str">
        <f t="shared" si="70"/>
        <v/>
      </c>
      <c r="C741" s="250"/>
      <c r="D741" s="251"/>
      <c r="E741" s="241"/>
      <c r="F741" s="252"/>
      <c r="G741" s="252"/>
      <c r="H741" s="253"/>
      <c r="I741" s="250"/>
      <c r="J741" s="250"/>
      <c r="K741" s="270"/>
      <c r="L741" s="250"/>
      <c r="M741" s="250"/>
      <c r="N741" s="540" t="str">
        <f>CONCATENATE(IF(OR(M741=phu!$I$1,M741=phu!$I$2,M741=phu!$I$3),"Cam Thành Nam",""),IF(OR(M741=phu!$I$4,M741=phu!$I$5,M741=phu!$I$6,M741=phu!$I$7,M741=phu!$I$8,M741=phu!$I$9,M741=phu!$I$10,M741=phu!$I$11,M741=phu!$I$12,M741=phu!$I$13,M741=phu!$I$14),"Cam Nghĩa",""),IF(OR(M741=phu!$I$15,M741=phu!$I$16,M741=phu!$I$17,M741=phu!$I$18,M741=phu!$I$19,M741=phu!$I$20,M741=phu!$I$21),"Cam Phúc Bắc",""),IF(OR(M741=phu!$I$22,M741=phu!$I$23,M741=phu!$I$24,M741=phu!$I$25),"Cam Phúc Nam",""),IF(OR(M741=phu!$I$26,M741=phu!$I$27,M741=phu!$I$28,M741=phu!$I$29,M741=phu!$I$30,M741=phu!$I$31),"Cam Phú",""),IF(OR(M741=phu!$I$32,M741=phu!$I$33,M741=phu!$I$34,M741=phu!$I$35,M741=phu!$I$36,M741=phu!$I$37),"Cam Lộc",""),IF(OR(M741=phu!$I$38,M741=phu!$I$39,M741=phu!$I$40,M741=phu!$I$41,M741=phu!$I$42,M741=phu!$I$43,M741=phu!$I$44),"Cam Thuận",""),IF(OR(M741=phu!$I$45,M741=phu!$I$46,M741=phu!$I$47,M741=phu!$I$48,M741=phu!$I$49,M741=phu!$I$50,M741=phu!$I$51,M741=phu!$I$52,M741=phu!$I$53),"Cam Linh",""),IF(OR(M741=phu!$I$54,M741=phu!$I$55,M741=phu!$I$56,M741=phu!$I$57,M741=phu!$I$58,M741=phu!$I$59,M741=phu!$I$60,M741=phu!$I$61,M741=phu!$I$62),"Cam Lợi",""),IF(OR(M741=phu!$I$63,M741=phu!$I$64,M741=phu!$I$65,M741=phu!$I$66,M741=phu!$I$67,M741=phu!$I$68,M741=phu!$I$69,M741=phu!$I$70,M741=phu!$I$71),"Ba Ngòi",""),IF(OR(M741=phu!$I$72,M741=phu!$I$73,M741=phu!$I$74,M741=phu!$I$75,M741=phu!$I$76,M741=phu!$I$77,M741=phu!$I$78),"Cam Phước Đông",""),IF(OR(M741=phu!$I$79,M741=phu!$I$80,M741=phu!$I$81,M741=phu!$I$82,M741=phu!$I$83,M741=phu!$I$84),"Cam Thịnh Đông",""),IF(OR(M741=phu!$I$85,M741=phu!$I$86,M741=phu!$I$87,M741=phu!$I$88),"Cam Thịnh Tây",""),IF(OR(M741=phu!$I$89,M741=phu!$I$90),"Cam Lập",""),IF(OR(M741=phu!$I$91,M741=phu!$I$92,M741=phu!$I$93),"Cam Bình",""),IF(OR(M741=phu!$I$94,M741=phu!$I$95,M741=phu!$I$96,M741=phu!$I$97,M741=phu!$I$98,M741=phu!$I$99,M741=phu!$I$100),"Huyện khác",""),IF(OR(M741=phu!$I$101,M741=phu!$I$102),"Tỉnh khác",""))</f>
        <v/>
      </c>
      <c r="O741" s="829" t="str">
        <f t="shared" si="66"/>
        <v/>
      </c>
      <c r="P741" s="254"/>
      <c r="Q741" s="254"/>
      <c r="R741" s="254"/>
      <c r="S741" s="254"/>
      <c r="T741" s="254"/>
      <c r="U741" s="254"/>
      <c r="V741" s="254"/>
      <c r="W741" s="254"/>
      <c r="Y741" s="246" t="str">
        <f t="shared" si="67"/>
        <v/>
      </c>
      <c r="Z741" s="247" t="str">
        <f t="shared" si="71"/>
        <v/>
      </c>
      <c r="AA741" s="246" t="str">
        <f t="shared" si="68"/>
        <v/>
      </c>
    </row>
    <row r="742" spans="1:27" ht="18" customHeight="1" x14ac:dyDescent="0.25">
      <c r="A742" s="248" t="str">
        <f t="shared" si="69"/>
        <v/>
      </c>
      <c r="B742" s="249" t="str">
        <f t="shared" si="70"/>
        <v/>
      </c>
      <c r="C742" s="250"/>
      <c r="D742" s="251"/>
      <c r="E742" s="241"/>
      <c r="F742" s="252"/>
      <c r="G742" s="252"/>
      <c r="H742" s="253"/>
      <c r="I742" s="250"/>
      <c r="J742" s="250"/>
      <c r="K742" s="270"/>
      <c r="L742" s="250"/>
      <c r="M742" s="250"/>
      <c r="N742" s="540" t="str">
        <f>CONCATENATE(IF(OR(M742=phu!$I$1,M742=phu!$I$2,M742=phu!$I$3),"Cam Thành Nam",""),IF(OR(M742=phu!$I$4,M742=phu!$I$5,M742=phu!$I$6,M742=phu!$I$7,M742=phu!$I$8,M742=phu!$I$9,M742=phu!$I$10,M742=phu!$I$11,M742=phu!$I$12,M742=phu!$I$13,M742=phu!$I$14),"Cam Nghĩa",""),IF(OR(M742=phu!$I$15,M742=phu!$I$16,M742=phu!$I$17,M742=phu!$I$18,M742=phu!$I$19,M742=phu!$I$20,M742=phu!$I$21),"Cam Phúc Bắc",""),IF(OR(M742=phu!$I$22,M742=phu!$I$23,M742=phu!$I$24,M742=phu!$I$25),"Cam Phúc Nam",""),IF(OR(M742=phu!$I$26,M742=phu!$I$27,M742=phu!$I$28,M742=phu!$I$29,M742=phu!$I$30,M742=phu!$I$31),"Cam Phú",""),IF(OR(M742=phu!$I$32,M742=phu!$I$33,M742=phu!$I$34,M742=phu!$I$35,M742=phu!$I$36,M742=phu!$I$37),"Cam Lộc",""),IF(OR(M742=phu!$I$38,M742=phu!$I$39,M742=phu!$I$40,M742=phu!$I$41,M742=phu!$I$42,M742=phu!$I$43,M742=phu!$I$44),"Cam Thuận",""),IF(OR(M742=phu!$I$45,M742=phu!$I$46,M742=phu!$I$47,M742=phu!$I$48,M742=phu!$I$49,M742=phu!$I$50,M742=phu!$I$51,M742=phu!$I$52,M742=phu!$I$53),"Cam Linh",""),IF(OR(M742=phu!$I$54,M742=phu!$I$55,M742=phu!$I$56,M742=phu!$I$57,M742=phu!$I$58,M742=phu!$I$59,M742=phu!$I$60,M742=phu!$I$61,M742=phu!$I$62),"Cam Lợi",""),IF(OR(M742=phu!$I$63,M742=phu!$I$64,M742=phu!$I$65,M742=phu!$I$66,M742=phu!$I$67,M742=phu!$I$68,M742=phu!$I$69,M742=phu!$I$70,M742=phu!$I$71),"Ba Ngòi",""),IF(OR(M742=phu!$I$72,M742=phu!$I$73,M742=phu!$I$74,M742=phu!$I$75,M742=phu!$I$76,M742=phu!$I$77,M742=phu!$I$78),"Cam Phước Đông",""),IF(OR(M742=phu!$I$79,M742=phu!$I$80,M742=phu!$I$81,M742=phu!$I$82,M742=phu!$I$83,M742=phu!$I$84),"Cam Thịnh Đông",""),IF(OR(M742=phu!$I$85,M742=phu!$I$86,M742=phu!$I$87,M742=phu!$I$88),"Cam Thịnh Tây",""),IF(OR(M742=phu!$I$89,M742=phu!$I$90),"Cam Lập",""),IF(OR(M742=phu!$I$91,M742=phu!$I$92,M742=phu!$I$93),"Cam Bình",""),IF(OR(M742=phu!$I$94,M742=phu!$I$95,M742=phu!$I$96,M742=phu!$I$97,M742=phu!$I$98,M742=phu!$I$99,M742=phu!$I$100),"Huyện khác",""),IF(OR(M742=phu!$I$101,M742=phu!$I$102),"Tỉnh khác",""))</f>
        <v/>
      </c>
      <c r="O742" s="829" t="str">
        <f t="shared" si="66"/>
        <v/>
      </c>
      <c r="P742" s="254"/>
      <c r="Q742" s="254"/>
      <c r="R742" s="254"/>
      <c r="S742" s="254"/>
      <c r="T742" s="254"/>
      <c r="U742" s="254"/>
      <c r="V742" s="254"/>
      <c r="W742" s="254"/>
      <c r="Y742" s="246" t="str">
        <f t="shared" si="67"/>
        <v/>
      </c>
      <c r="Z742" s="247" t="str">
        <f t="shared" si="71"/>
        <v/>
      </c>
      <c r="AA742" s="246" t="str">
        <f t="shared" si="68"/>
        <v/>
      </c>
    </row>
    <row r="743" spans="1:27" ht="18" customHeight="1" x14ac:dyDescent="0.25">
      <c r="A743" s="248" t="str">
        <f t="shared" si="69"/>
        <v/>
      </c>
      <c r="B743" s="249" t="str">
        <f t="shared" si="70"/>
        <v/>
      </c>
      <c r="C743" s="250"/>
      <c r="D743" s="251"/>
      <c r="E743" s="241"/>
      <c r="F743" s="252"/>
      <c r="G743" s="252"/>
      <c r="H743" s="253"/>
      <c r="I743" s="250"/>
      <c r="J743" s="250"/>
      <c r="K743" s="270"/>
      <c r="L743" s="250"/>
      <c r="M743" s="250"/>
      <c r="N743" s="540" t="str">
        <f>CONCATENATE(IF(OR(M743=phu!$I$1,M743=phu!$I$2,M743=phu!$I$3),"Cam Thành Nam",""),IF(OR(M743=phu!$I$4,M743=phu!$I$5,M743=phu!$I$6,M743=phu!$I$7,M743=phu!$I$8,M743=phu!$I$9,M743=phu!$I$10,M743=phu!$I$11,M743=phu!$I$12,M743=phu!$I$13,M743=phu!$I$14),"Cam Nghĩa",""),IF(OR(M743=phu!$I$15,M743=phu!$I$16,M743=phu!$I$17,M743=phu!$I$18,M743=phu!$I$19,M743=phu!$I$20,M743=phu!$I$21),"Cam Phúc Bắc",""),IF(OR(M743=phu!$I$22,M743=phu!$I$23,M743=phu!$I$24,M743=phu!$I$25),"Cam Phúc Nam",""),IF(OR(M743=phu!$I$26,M743=phu!$I$27,M743=phu!$I$28,M743=phu!$I$29,M743=phu!$I$30,M743=phu!$I$31),"Cam Phú",""),IF(OR(M743=phu!$I$32,M743=phu!$I$33,M743=phu!$I$34,M743=phu!$I$35,M743=phu!$I$36,M743=phu!$I$37),"Cam Lộc",""),IF(OR(M743=phu!$I$38,M743=phu!$I$39,M743=phu!$I$40,M743=phu!$I$41,M743=phu!$I$42,M743=phu!$I$43,M743=phu!$I$44),"Cam Thuận",""),IF(OR(M743=phu!$I$45,M743=phu!$I$46,M743=phu!$I$47,M743=phu!$I$48,M743=phu!$I$49,M743=phu!$I$50,M743=phu!$I$51,M743=phu!$I$52,M743=phu!$I$53),"Cam Linh",""),IF(OR(M743=phu!$I$54,M743=phu!$I$55,M743=phu!$I$56,M743=phu!$I$57,M743=phu!$I$58,M743=phu!$I$59,M743=phu!$I$60,M743=phu!$I$61,M743=phu!$I$62),"Cam Lợi",""),IF(OR(M743=phu!$I$63,M743=phu!$I$64,M743=phu!$I$65,M743=phu!$I$66,M743=phu!$I$67,M743=phu!$I$68,M743=phu!$I$69,M743=phu!$I$70,M743=phu!$I$71),"Ba Ngòi",""),IF(OR(M743=phu!$I$72,M743=phu!$I$73,M743=phu!$I$74,M743=phu!$I$75,M743=phu!$I$76,M743=phu!$I$77,M743=phu!$I$78),"Cam Phước Đông",""),IF(OR(M743=phu!$I$79,M743=phu!$I$80,M743=phu!$I$81,M743=phu!$I$82,M743=phu!$I$83,M743=phu!$I$84),"Cam Thịnh Đông",""),IF(OR(M743=phu!$I$85,M743=phu!$I$86,M743=phu!$I$87,M743=phu!$I$88),"Cam Thịnh Tây",""),IF(OR(M743=phu!$I$89,M743=phu!$I$90),"Cam Lập",""),IF(OR(M743=phu!$I$91,M743=phu!$I$92,M743=phu!$I$93),"Cam Bình",""),IF(OR(M743=phu!$I$94,M743=phu!$I$95,M743=phu!$I$96,M743=phu!$I$97,M743=phu!$I$98,M743=phu!$I$99,M743=phu!$I$100),"Huyện khác",""),IF(OR(M743=phu!$I$101,M743=phu!$I$102),"Tỉnh khác",""))</f>
        <v/>
      </c>
      <c r="O743" s="829" t="str">
        <f t="shared" si="66"/>
        <v/>
      </c>
      <c r="P743" s="254"/>
      <c r="Q743" s="254"/>
      <c r="R743" s="254"/>
      <c r="S743" s="254"/>
      <c r="T743" s="254"/>
      <c r="U743" s="254"/>
      <c r="V743" s="254"/>
      <c r="W743" s="254"/>
      <c r="Y743" s="246" t="str">
        <f t="shared" si="67"/>
        <v/>
      </c>
      <c r="Z743" s="247" t="str">
        <f t="shared" si="71"/>
        <v/>
      </c>
      <c r="AA743" s="246" t="str">
        <f t="shared" si="68"/>
        <v/>
      </c>
    </row>
    <row r="744" spans="1:27" ht="18" customHeight="1" x14ac:dyDescent="0.25">
      <c r="A744" s="248" t="str">
        <f t="shared" si="69"/>
        <v/>
      </c>
      <c r="B744" s="249" t="str">
        <f t="shared" si="70"/>
        <v/>
      </c>
      <c r="C744" s="250"/>
      <c r="D744" s="251"/>
      <c r="E744" s="241"/>
      <c r="F744" s="252"/>
      <c r="G744" s="252"/>
      <c r="H744" s="253"/>
      <c r="I744" s="250"/>
      <c r="J744" s="250"/>
      <c r="K744" s="270"/>
      <c r="L744" s="250"/>
      <c r="M744" s="250"/>
      <c r="N744" s="540" t="str">
        <f>CONCATENATE(IF(OR(M744=phu!$I$1,M744=phu!$I$2,M744=phu!$I$3),"Cam Thành Nam",""),IF(OR(M744=phu!$I$4,M744=phu!$I$5,M744=phu!$I$6,M744=phu!$I$7,M744=phu!$I$8,M744=phu!$I$9,M744=phu!$I$10,M744=phu!$I$11,M744=phu!$I$12,M744=phu!$I$13,M744=phu!$I$14),"Cam Nghĩa",""),IF(OR(M744=phu!$I$15,M744=phu!$I$16,M744=phu!$I$17,M744=phu!$I$18,M744=phu!$I$19,M744=phu!$I$20,M744=phu!$I$21),"Cam Phúc Bắc",""),IF(OR(M744=phu!$I$22,M744=phu!$I$23,M744=phu!$I$24,M744=phu!$I$25),"Cam Phúc Nam",""),IF(OR(M744=phu!$I$26,M744=phu!$I$27,M744=phu!$I$28,M744=phu!$I$29,M744=phu!$I$30,M744=phu!$I$31),"Cam Phú",""),IF(OR(M744=phu!$I$32,M744=phu!$I$33,M744=phu!$I$34,M744=phu!$I$35,M744=phu!$I$36,M744=phu!$I$37),"Cam Lộc",""),IF(OR(M744=phu!$I$38,M744=phu!$I$39,M744=phu!$I$40,M744=phu!$I$41,M744=phu!$I$42,M744=phu!$I$43,M744=phu!$I$44),"Cam Thuận",""),IF(OR(M744=phu!$I$45,M744=phu!$I$46,M744=phu!$I$47,M744=phu!$I$48,M744=phu!$I$49,M744=phu!$I$50,M744=phu!$I$51,M744=phu!$I$52,M744=phu!$I$53),"Cam Linh",""),IF(OR(M744=phu!$I$54,M744=phu!$I$55,M744=phu!$I$56,M744=phu!$I$57,M744=phu!$I$58,M744=phu!$I$59,M744=phu!$I$60,M744=phu!$I$61,M744=phu!$I$62),"Cam Lợi",""),IF(OR(M744=phu!$I$63,M744=phu!$I$64,M744=phu!$I$65,M744=phu!$I$66,M744=phu!$I$67,M744=phu!$I$68,M744=phu!$I$69,M744=phu!$I$70,M744=phu!$I$71),"Ba Ngòi",""),IF(OR(M744=phu!$I$72,M744=phu!$I$73,M744=phu!$I$74,M744=phu!$I$75,M744=phu!$I$76,M744=phu!$I$77,M744=phu!$I$78),"Cam Phước Đông",""),IF(OR(M744=phu!$I$79,M744=phu!$I$80,M744=phu!$I$81,M744=phu!$I$82,M744=phu!$I$83,M744=phu!$I$84),"Cam Thịnh Đông",""),IF(OR(M744=phu!$I$85,M744=phu!$I$86,M744=phu!$I$87,M744=phu!$I$88),"Cam Thịnh Tây",""),IF(OR(M744=phu!$I$89,M744=phu!$I$90),"Cam Lập",""),IF(OR(M744=phu!$I$91,M744=phu!$I$92,M744=phu!$I$93),"Cam Bình",""),IF(OR(M744=phu!$I$94,M744=phu!$I$95,M744=phu!$I$96,M744=phu!$I$97,M744=phu!$I$98,M744=phu!$I$99,M744=phu!$I$100),"Huyện khác",""),IF(OR(M744=phu!$I$101,M744=phu!$I$102),"Tỉnh khác",""))</f>
        <v/>
      </c>
      <c r="O744" s="829" t="str">
        <f t="shared" si="66"/>
        <v/>
      </c>
      <c r="P744" s="254"/>
      <c r="Q744" s="254"/>
      <c r="R744" s="254"/>
      <c r="S744" s="254"/>
      <c r="T744" s="254"/>
      <c r="U744" s="254"/>
      <c r="V744" s="254"/>
      <c r="W744" s="254"/>
      <c r="Y744" s="246" t="str">
        <f t="shared" si="67"/>
        <v/>
      </c>
      <c r="Z744" s="247" t="str">
        <f t="shared" si="71"/>
        <v/>
      </c>
      <c r="AA744" s="246" t="str">
        <f t="shared" si="68"/>
        <v/>
      </c>
    </row>
    <row r="745" spans="1:27" ht="18" customHeight="1" x14ac:dyDescent="0.25">
      <c r="A745" s="248" t="str">
        <f t="shared" si="69"/>
        <v/>
      </c>
      <c r="B745" s="249" t="str">
        <f t="shared" si="70"/>
        <v/>
      </c>
      <c r="C745" s="250"/>
      <c r="D745" s="251"/>
      <c r="E745" s="241"/>
      <c r="F745" s="252"/>
      <c r="G745" s="252"/>
      <c r="H745" s="253"/>
      <c r="I745" s="250"/>
      <c r="J745" s="250"/>
      <c r="K745" s="270"/>
      <c r="L745" s="250"/>
      <c r="M745" s="250"/>
      <c r="N745" s="540" t="str">
        <f>CONCATENATE(IF(OR(M745=phu!$I$1,M745=phu!$I$2,M745=phu!$I$3),"Cam Thành Nam",""),IF(OR(M745=phu!$I$4,M745=phu!$I$5,M745=phu!$I$6,M745=phu!$I$7,M745=phu!$I$8,M745=phu!$I$9,M745=phu!$I$10,M745=phu!$I$11,M745=phu!$I$12,M745=phu!$I$13,M745=phu!$I$14),"Cam Nghĩa",""),IF(OR(M745=phu!$I$15,M745=phu!$I$16,M745=phu!$I$17,M745=phu!$I$18,M745=phu!$I$19,M745=phu!$I$20,M745=phu!$I$21),"Cam Phúc Bắc",""),IF(OR(M745=phu!$I$22,M745=phu!$I$23,M745=phu!$I$24,M745=phu!$I$25),"Cam Phúc Nam",""),IF(OR(M745=phu!$I$26,M745=phu!$I$27,M745=phu!$I$28,M745=phu!$I$29,M745=phu!$I$30,M745=phu!$I$31),"Cam Phú",""),IF(OR(M745=phu!$I$32,M745=phu!$I$33,M745=phu!$I$34,M745=phu!$I$35,M745=phu!$I$36,M745=phu!$I$37),"Cam Lộc",""),IF(OR(M745=phu!$I$38,M745=phu!$I$39,M745=phu!$I$40,M745=phu!$I$41,M745=phu!$I$42,M745=phu!$I$43,M745=phu!$I$44),"Cam Thuận",""),IF(OR(M745=phu!$I$45,M745=phu!$I$46,M745=phu!$I$47,M745=phu!$I$48,M745=phu!$I$49,M745=phu!$I$50,M745=phu!$I$51,M745=phu!$I$52,M745=phu!$I$53),"Cam Linh",""),IF(OR(M745=phu!$I$54,M745=phu!$I$55,M745=phu!$I$56,M745=phu!$I$57,M745=phu!$I$58,M745=phu!$I$59,M745=phu!$I$60,M745=phu!$I$61,M745=phu!$I$62),"Cam Lợi",""),IF(OR(M745=phu!$I$63,M745=phu!$I$64,M745=phu!$I$65,M745=phu!$I$66,M745=phu!$I$67,M745=phu!$I$68,M745=phu!$I$69,M745=phu!$I$70,M745=phu!$I$71),"Ba Ngòi",""),IF(OR(M745=phu!$I$72,M745=phu!$I$73,M745=phu!$I$74,M745=phu!$I$75,M745=phu!$I$76,M745=phu!$I$77,M745=phu!$I$78),"Cam Phước Đông",""),IF(OR(M745=phu!$I$79,M745=phu!$I$80,M745=phu!$I$81,M745=phu!$I$82,M745=phu!$I$83,M745=phu!$I$84),"Cam Thịnh Đông",""),IF(OR(M745=phu!$I$85,M745=phu!$I$86,M745=phu!$I$87,M745=phu!$I$88),"Cam Thịnh Tây",""),IF(OR(M745=phu!$I$89,M745=phu!$I$90),"Cam Lập",""),IF(OR(M745=phu!$I$91,M745=phu!$I$92,M745=phu!$I$93),"Cam Bình",""),IF(OR(M745=phu!$I$94,M745=phu!$I$95,M745=phu!$I$96,M745=phu!$I$97,M745=phu!$I$98,M745=phu!$I$99,M745=phu!$I$100),"Huyện khác",""),IF(OR(M745=phu!$I$101,M745=phu!$I$102),"Tỉnh khác",""))</f>
        <v/>
      </c>
      <c r="O745" s="829" t="str">
        <f t="shared" si="66"/>
        <v/>
      </c>
      <c r="P745" s="254"/>
      <c r="Q745" s="254"/>
      <c r="R745" s="254"/>
      <c r="S745" s="254"/>
      <c r="T745" s="254"/>
      <c r="U745" s="254"/>
      <c r="V745" s="254"/>
      <c r="W745" s="254"/>
      <c r="Y745" s="246" t="str">
        <f t="shared" si="67"/>
        <v/>
      </c>
      <c r="Z745" s="247" t="str">
        <f t="shared" si="71"/>
        <v/>
      </c>
      <c r="AA745" s="246" t="str">
        <f t="shared" si="68"/>
        <v/>
      </c>
    </row>
    <row r="746" spans="1:27" ht="18" customHeight="1" x14ac:dyDescent="0.25">
      <c r="A746" s="248" t="str">
        <f t="shared" si="69"/>
        <v/>
      </c>
      <c r="B746" s="249" t="str">
        <f t="shared" si="70"/>
        <v/>
      </c>
      <c r="C746" s="250"/>
      <c r="D746" s="251"/>
      <c r="E746" s="241"/>
      <c r="F746" s="252"/>
      <c r="G746" s="252"/>
      <c r="H746" s="253"/>
      <c r="I746" s="250"/>
      <c r="J746" s="250"/>
      <c r="K746" s="270"/>
      <c r="L746" s="250"/>
      <c r="M746" s="250"/>
      <c r="N746" s="540" t="str">
        <f>CONCATENATE(IF(OR(M746=phu!$I$1,M746=phu!$I$2,M746=phu!$I$3),"Cam Thành Nam",""),IF(OR(M746=phu!$I$4,M746=phu!$I$5,M746=phu!$I$6,M746=phu!$I$7,M746=phu!$I$8,M746=phu!$I$9,M746=phu!$I$10,M746=phu!$I$11,M746=phu!$I$12,M746=phu!$I$13,M746=phu!$I$14),"Cam Nghĩa",""),IF(OR(M746=phu!$I$15,M746=phu!$I$16,M746=phu!$I$17,M746=phu!$I$18,M746=phu!$I$19,M746=phu!$I$20,M746=phu!$I$21),"Cam Phúc Bắc",""),IF(OR(M746=phu!$I$22,M746=phu!$I$23,M746=phu!$I$24,M746=phu!$I$25),"Cam Phúc Nam",""),IF(OR(M746=phu!$I$26,M746=phu!$I$27,M746=phu!$I$28,M746=phu!$I$29,M746=phu!$I$30,M746=phu!$I$31),"Cam Phú",""),IF(OR(M746=phu!$I$32,M746=phu!$I$33,M746=phu!$I$34,M746=phu!$I$35,M746=phu!$I$36,M746=phu!$I$37),"Cam Lộc",""),IF(OR(M746=phu!$I$38,M746=phu!$I$39,M746=phu!$I$40,M746=phu!$I$41,M746=phu!$I$42,M746=phu!$I$43,M746=phu!$I$44),"Cam Thuận",""),IF(OR(M746=phu!$I$45,M746=phu!$I$46,M746=phu!$I$47,M746=phu!$I$48,M746=phu!$I$49,M746=phu!$I$50,M746=phu!$I$51,M746=phu!$I$52,M746=phu!$I$53),"Cam Linh",""),IF(OR(M746=phu!$I$54,M746=phu!$I$55,M746=phu!$I$56,M746=phu!$I$57,M746=phu!$I$58,M746=phu!$I$59,M746=phu!$I$60,M746=phu!$I$61,M746=phu!$I$62),"Cam Lợi",""),IF(OR(M746=phu!$I$63,M746=phu!$I$64,M746=phu!$I$65,M746=phu!$I$66,M746=phu!$I$67,M746=phu!$I$68,M746=phu!$I$69,M746=phu!$I$70,M746=phu!$I$71),"Ba Ngòi",""),IF(OR(M746=phu!$I$72,M746=phu!$I$73,M746=phu!$I$74,M746=phu!$I$75,M746=phu!$I$76,M746=phu!$I$77,M746=phu!$I$78),"Cam Phước Đông",""),IF(OR(M746=phu!$I$79,M746=phu!$I$80,M746=phu!$I$81,M746=phu!$I$82,M746=phu!$I$83,M746=phu!$I$84),"Cam Thịnh Đông",""),IF(OR(M746=phu!$I$85,M746=phu!$I$86,M746=phu!$I$87,M746=phu!$I$88),"Cam Thịnh Tây",""),IF(OR(M746=phu!$I$89,M746=phu!$I$90),"Cam Lập",""),IF(OR(M746=phu!$I$91,M746=phu!$I$92,M746=phu!$I$93),"Cam Bình",""),IF(OR(M746=phu!$I$94,M746=phu!$I$95,M746=phu!$I$96,M746=phu!$I$97,M746=phu!$I$98,M746=phu!$I$99,M746=phu!$I$100),"Huyện khác",""),IF(OR(M746=phu!$I$101,M746=phu!$I$102),"Tỉnh khác",""))</f>
        <v/>
      </c>
      <c r="O746" s="829" t="str">
        <f t="shared" si="66"/>
        <v/>
      </c>
      <c r="P746" s="254"/>
      <c r="Q746" s="254"/>
      <c r="R746" s="254"/>
      <c r="S746" s="254"/>
      <c r="T746" s="254"/>
      <c r="U746" s="254"/>
      <c r="V746" s="254"/>
      <c r="W746" s="254"/>
      <c r="Y746" s="246" t="str">
        <f t="shared" si="67"/>
        <v/>
      </c>
      <c r="Z746" s="247" t="str">
        <f t="shared" si="71"/>
        <v/>
      </c>
      <c r="AA746" s="246" t="str">
        <f t="shared" si="68"/>
        <v/>
      </c>
    </row>
    <row r="747" spans="1:27" ht="18" customHeight="1" x14ac:dyDescent="0.25">
      <c r="A747" s="248" t="str">
        <f t="shared" si="69"/>
        <v/>
      </c>
      <c r="B747" s="249" t="str">
        <f t="shared" si="70"/>
        <v/>
      </c>
      <c r="C747" s="250"/>
      <c r="D747" s="251"/>
      <c r="E747" s="241"/>
      <c r="F747" s="252"/>
      <c r="G747" s="252"/>
      <c r="H747" s="253"/>
      <c r="I747" s="250"/>
      <c r="J747" s="250"/>
      <c r="K747" s="270"/>
      <c r="L747" s="250"/>
      <c r="M747" s="250"/>
      <c r="N747" s="540" t="str">
        <f>CONCATENATE(IF(OR(M747=phu!$I$1,M747=phu!$I$2,M747=phu!$I$3),"Cam Thành Nam",""),IF(OR(M747=phu!$I$4,M747=phu!$I$5,M747=phu!$I$6,M747=phu!$I$7,M747=phu!$I$8,M747=phu!$I$9,M747=phu!$I$10,M747=phu!$I$11,M747=phu!$I$12,M747=phu!$I$13,M747=phu!$I$14),"Cam Nghĩa",""),IF(OR(M747=phu!$I$15,M747=phu!$I$16,M747=phu!$I$17,M747=phu!$I$18,M747=phu!$I$19,M747=phu!$I$20,M747=phu!$I$21),"Cam Phúc Bắc",""),IF(OR(M747=phu!$I$22,M747=phu!$I$23,M747=phu!$I$24,M747=phu!$I$25),"Cam Phúc Nam",""),IF(OR(M747=phu!$I$26,M747=phu!$I$27,M747=phu!$I$28,M747=phu!$I$29,M747=phu!$I$30,M747=phu!$I$31),"Cam Phú",""),IF(OR(M747=phu!$I$32,M747=phu!$I$33,M747=phu!$I$34,M747=phu!$I$35,M747=phu!$I$36,M747=phu!$I$37),"Cam Lộc",""),IF(OR(M747=phu!$I$38,M747=phu!$I$39,M747=phu!$I$40,M747=phu!$I$41,M747=phu!$I$42,M747=phu!$I$43,M747=phu!$I$44),"Cam Thuận",""),IF(OR(M747=phu!$I$45,M747=phu!$I$46,M747=phu!$I$47,M747=phu!$I$48,M747=phu!$I$49,M747=phu!$I$50,M747=phu!$I$51,M747=phu!$I$52,M747=phu!$I$53),"Cam Linh",""),IF(OR(M747=phu!$I$54,M747=phu!$I$55,M747=phu!$I$56,M747=phu!$I$57,M747=phu!$I$58,M747=phu!$I$59,M747=phu!$I$60,M747=phu!$I$61,M747=phu!$I$62),"Cam Lợi",""),IF(OR(M747=phu!$I$63,M747=phu!$I$64,M747=phu!$I$65,M747=phu!$I$66,M747=phu!$I$67,M747=phu!$I$68,M747=phu!$I$69,M747=phu!$I$70,M747=phu!$I$71),"Ba Ngòi",""),IF(OR(M747=phu!$I$72,M747=phu!$I$73,M747=phu!$I$74,M747=phu!$I$75,M747=phu!$I$76,M747=phu!$I$77,M747=phu!$I$78),"Cam Phước Đông",""),IF(OR(M747=phu!$I$79,M747=phu!$I$80,M747=phu!$I$81,M747=phu!$I$82,M747=phu!$I$83,M747=phu!$I$84),"Cam Thịnh Đông",""),IF(OR(M747=phu!$I$85,M747=phu!$I$86,M747=phu!$I$87,M747=phu!$I$88),"Cam Thịnh Tây",""),IF(OR(M747=phu!$I$89,M747=phu!$I$90),"Cam Lập",""),IF(OR(M747=phu!$I$91,M747=phu!$I$92,M747=phu!$I$93),"Cam Bình",""),IF(OR(M747=phu!$I$94,M747=phu!$I$95,M747=phu!$I$96,M747=phu!$I$97,M747=phu!$I$98,M747=phu!$I$99,M747=phu!$I$100),"Huyện khác",""),IF(OR(M747=phu!$I$101,M747=phu!$I$102),"Tỉnh khác",""))</f>
        <v/>
      </c>
      <c r="O747" s="829" t="str">
        <f t="shared" si="66"/>
        <v/>
      </c>
      <c r="P747" s="254"/>
      <c r="Q747" s="254"/>
      <c r="R747" s="254"/>
      <c r="S747" s="254"/>
      <c r="T747" s="254"/>
      <c r="U747" s="254"/>
      <c r="V747" s="254"/>
      <c r="W747" s="254"/>
      <c r="Y747" s="246" t="str">
        <f t="shared" si="67"/>
        <v/>
      </c>
      <c r="Z747" s="247" t="str">
        <f t="shared" si="71"/>
        <v/>
      </c>
      <c r="AA747" s="246" t="str">
        <f t="shared" si="68"/>
        <v/>
      </c>
    </row>
    <row r="748" spans="1:27" ht="18" customHeight="1" x14ac:dyDescent="0.25">
      <c r="A748" s="248" t="str">
        <f t="shared" si="69"/>
        <v/>
      </c>
      <c r="B748" s="249" t="str">
        <f t="shared" si="70"/>
        <v/>
      </c>
      <c r="C748" s="250"/>
      <c r="D748" s="251"/>
      <c r="E748" s="241"/>
      <c r="F748" s="252"/>
      <c r="G748" s="252"/>
      <c r="H748" s="253"/>
      <c r="I748" s="250"/>
      <c r="J748" s="250"/>
      <c r="K748" s="270"/>
      <c r="L748" s="250"/>
      <c r="M748" s="250"/>
      <c r="N748" s="540" t="str">
        <f>CONCATENATE(IF(OR(M748=phu!$I$1,M748=phu!$I$2,M748=phu!$I$3),"Cam Thành Nam",""),IF(OR(M748=phu!$I$4,M748=phu!$I$5,M748=phu!$I$6,M748=phu!$I$7,M748=phu!$I$8,M748=phu!$I$9,M748=phu!$I$10,M748=phu!$I$11,M748=phu!$I$12,M748=phu!$I$13,M748=phu!$I$14),"Cam Nghĩa",""),IF(OR(M748=phu!$I$15,M748=phu!$I$16,M748=phu!$I$17,M748=phu!$I$18,M748=phu!$I$19,M748=phu!$I$20,M748=phu!$I$21),"Cam Phúc Bắc",""),IF(OR(M748=phu!$I$22,M748=phu!$I$23,M748=phu!$I$24,M748=phu!$I$25),"Cam Phúc Nam",""),IF(OR(M748=phu!$I$26,M748=phu!$I$27,M748=phu!$I$28,M748=phu!$I$29,M748=phu!$I$30,M748=phu!$I$31),"Cam Phú",""),IF(OR(M748=phu!$I$32,M748=phu!$I$33,M748=phu!$I$34,M748=phu!$I$35,M748=phu!$I$36,M748=phu!$I$37),"Cam Lộc",""),IF(OR(M748=phu!$I$38,M748=phu!$I$39,M748=phu!$I$40,M748=phu!$I$41,M748=phu!$I$42,M748=phu!$I$43,M748=phu!$I$44),"Cam Thuận",""),IF(OR(M748=phu!$I$45,M748=phu!$I$46,M748=phu!$I$47,M748=phu!$I$48,M748=phu!$I$49,M748=phu!$I$50,M748=phu!$I$51,M748=phu!$I$52,M748=phu!$I$53),"Cam Linh",""),IF(OR(M748=phu!$I$54,M748=phu!$I$55,M748=phu!$I$56,M748=phu!$I$57,M748=phu!$I$58,M748=phu!$I$59,M748=phu!$I$60,M748=phu!$I$61,M748=phu!$I$62),"Cam Lợi",""),IF(OR(M748=phu!$I$63,M748=phu!$I$64,M748=phu!$I$65,M748=phu!$I$66,M748=phu!$I$67,M748=phu!$I$68,M748=phu!$I$69,M748=phu!$I$70,M748=phu!$I$71),"Ba Ngòi",""),IF(OR(M748=phu!$I$72,M748=phu!$I$73,M748=phu!$I$74,M748=phu!$I$75,M748=phu!$I$76,M748=phu!$I$77,M748=phu!$I$78),"Cam Phước Đông",""),IF(OR(M748=phu!$I$79,M748=phu!$I$80,M748=phu!$I$81,M748=phu!$I$82,M748=phu!$I$83,M748=phu!$I$84),"Cam Thịnh Đông",""),IF(OR(M748=phu!$I$85,M748=phu!$I$86,M748=phu!$I$87,M748=phu!$I$88),"Cam Thịnh Tây",""),IF(OR(M748=phu!$I$89,M748=phu!$I$90),"Cam Lập",""),IF(OR(M748=phu!$I$91,M748=phu!$I$92,M748=phu!$I$93),"Cam Bình",""),IF(OR(M748=phu!$I$94,M748=phu!$I$95,M748=phu!$I$96,M748=phu!$I$97,M748=phu!$I$98,M748=phu!$I$99,M748=phu!$I$100),"Huyện khác",""),IF(OR(M748=phu!$I$101,M748=phu!$I$102),"Tỉnh khác",""))</f>
        <v/>
      </c>
      <c r="O748" s="829" t="str">
        <f t="shared" si="66"/>
        <v/>
      </c>
      <c r="P748" s="254"/>
      <c r="Q748" s="254"/>
      <c r="R748" s="254"/>
      <c r="S748" s="254"/>
      <c r="T748" s="254"/>
      <c r="U748" s="254"/>
      <c r="V748" s="254"/>
      <c r="W748" s="254"/>
      <c r="Y748" s="246" t="str">
        <f t="shared" si="67"/>
        <v/>
      </c>
      <c r="Z748" s="247" t="str">
        <f t="shared" si="71"/>
        <v/>
      </c>
      <c r="AA748" s="246" t="str">
        <f t="shared" si="68"/>
        <v/>
      </c>
    </row>
    <row r="749" spans="1:27" ht="18" customHeight="1" x14ac:dyDescent="0.25">
      <c r="A749" s="248" t="str">
        <f t="shared" si="69"/>
        <v/>
      </c>
      <c r="B749" s="249" t="str">
        <f t="shared" si="70"/>
        <v/>
      </c>
      <c r="C749" s="250"/>
      <c r="D749" s="251"/>
      <c r="E749" s="241"/>
      <c r="F749" s="252"/>
      <c r="G749" s="252"/>
      <c r="H749" s="253"/>
      <c r="I749" s="250"/>
      <c r="J749" s="250"/>
      <c r="K749" s="270"/>
      <c r="L749" s="250"/>
      <c r="M749" s="250"/>
      <c r="N749" s="540" t="str">
        <f>CONCATENATE(IF(OR(M749=phu!$I$1,M749=phu!$I$2,M749=phu!$I$3),"Cam Thành Nam",""),IF(OR(M749=phu!$I$4,M749=phu!$I$5,M749=phu!$I$6,M749=phu!$I$7,M749=phu!$I$8,M749=phu!$I$9,M749=phu!$I$10,M749=phu!$I$11,M749=phu!$I$12,M749=phu!$I$13,M749=phu!$I$14),"Cam Nghĩa",""),IF(OR(M749=phu!$I$15,M749=phu!$I$16,M749=phu!$I$17,M749=phu!$I$18,M749=phu!$I$19,M749=phu!$I$20,M749=phu!$I$21),"Cam Phúc Bắc",""),IF(OR(M749=phu!$I$22,M749=phu!$I$23,M749=phu!$I$24,M749=phu!$I$25),"Cam Phúc Nam",""),IF(OR(M749=phu!$I$26,M749=phu!$I$27,M749=phu!$I$28,M749=phu!$I$29,M749=phu!$I$30,M749=phu!$I$31),"Cam Phú",""),IF(OR(M749=phu!$I$32,M749=phu!$I$33,M749=phu!$I$34,M749=phu!$I$35,M749=phu!$I$36,M749=phu!$I$37),"Cam Lộc",""),IF(OR(M749=phu!$I$38,M749=phu!$I$39,M749=phu!$I$40,M749=phu!$I$41,M749=phu!$I$42,M749=phu!$I$43,M749=phu!$I$44),"Cam Thuận",""),IF(OR(M749=phu!$I$45,M749=phu!$I$46,M749=phu!$I$47,M749=phu!$I$48,M749=phu!$I$49,M749=phu!$I$50,M749=phu!$I$51,M749=phu!$I$52,M749=phu!$I$53),"Cam Linh",""),IF(OR(M749=phu!$I$54,M749=phu!$I$55,M749=phu!$I$56,M749=phu!$I$57,M749=phu!$I$58,M749=phu!$I$59,M749=phu!$I$60,M749=phu!$I$61,M749=phu!$I$62),"Cam Lợi",""),IF(OR(M749=phu!$I$63,M749=phu!$I$64,M749=phu!$I$65,M749=phu!$I$66,M749=phu!$I$67,M749=phu!$I$68,M749=phu!$I$69,M749=phu!$I$70,M749=phu!$I$71),"Ba Ngòi",""),IF(OR(M749=phu!$I$72,M749=phu!$I$73,M749=phu!$I$74,M749=phu!$I$75,M749=phu!$I$76,M749=phu!$I$77,M749=phu!$I$78),"Cam Phước Đông",""),IF(OR(M749=phu!$I$79,M749=phu!$I$80,M749=phu!$I$81,M749=phu!$I$82,M749=phu!$I$83,M749=phu!$I$84),"Cam Thịnh Đông",""),IF(OR(M749=phu!$I$85,M749=phu!$I$86,M749=phu!$I$87,M749=phu!$I$88),"Cam Thịnh Tây",""),IF(OR(M749=phu!$I$89,M749=phu!$I$90),"Cam Lập",""),IF(OR(M749=phu!$I$91,M749=phu!$I$92,M749=phu!$I$93),"Cam Bình",""),IF(OR(M749=phu!$I$94,M749=phu!$I$95,M749=phu!$I$96,M749=phu!$I$97,M749=phu!$I$98,M749=phu!$I$99,M749=phu!$I$100),"Huyện khác",""),IF(OR(M749=phu!$I$101,M749=phu!$I$102),"Tỉnh khác",""))</f>
        <v/>
      </c>
      <c r="O749" s="829" t="str">
        <f t="shared" si="66"/>
        <v/>
      </c>
      <c r="P749" s="254"/>
      <c r="Q749" s="254"/>
      <c r="R749" s="254"/>
      <c r="S749" s="254"/>
      <c r="T749" s="254"/>
      <c r="U749" s="254"/>
      <c r="V749" s="254"/>
      <c r="W749" s="254"/>
      <c r="Y749" s="246" t="str">
        <f t="shared" si="67"/>
        <v/>
      </c>
      <c r="Z749" s="247" t="str">
        <f t="shared" si="71"/>
        <v/>
      </c>
      <c r="AA749" s="246" t="str">
        <f t="shared" si="68"/>
        <v/>
      </c>
    </row>
    <row r="750" spans="1:27" ht="18" customHeight="1" x14ac:dyDescent="0.25">
      <c r="A750" s="248" t="str">
        <f t="shared" si="69"/>
        <v/>
      </c>
      <c r="B750" s="249" t="str">
        <f t="shared" si="70"/>
        <v/>
      </c>
      <c r="C750" s="250"/>
      <c r="D750" s="251"/>
      <c r="E750" s="241"/>
      <c r="F750" s="252"/>
      <c r="G750" s="252"/>
      <c r="H750" s="253"/>
      <c r="I750" s="250"/>
      <c r="J750" s="250"/>
      <c r="K750" s="270"/>
      <c r="L750" s="250"/>
      <c r="M750" s="250"/>
      <c r="N750" s="540" t="str">
        <f>CONCATENATE(IF(OR(M750=phu!$I$1,M750=phu!$I$2,M750=phu!$I$3),"Cam Thành Nam",""),IF(OR(M750=phu!$I$4,M750=phu!$I$5,M750=phu!$I$6,M750=phu!$I$7,M750=phu!$I$8,M750=phu!$I$9,M750=phu!$I$10,M750=phu!$I$11,M750=phu!$I$12,M750=phu!$I$13,M750=phu!$I$14),"Cam Nghĩa",""),IF(OR(M750=phu!$I$15,M750=phu!$I$16,M750=phu!$I$17,M750=phu!$I$18,M750=phu!$I$19,M750=phu!$I$20,M750=phu!$I$21),"Cam Phúc Bắc",""),IF(OR(M750=phu!$I$22,M750=phu!$I$23,M750=phu!$I$24,M750=phu!$I$25),"Cam Phúc Nam",""),IF(OR(M750=phu!$I$26,M750=phu!$I$27,M750=phu!$I$28,M750=phu!$I$29,M750=phu!$I$30,M750=phu!$I$31),"Cam Phú",""),IF(OR(M750=phu!$I$32,M750=phu!$I$33,M750=phu!$I$34,M750=phu!$I$35,M750=phu!$I$36,M750=phu!$I$37),"Cam Lộc",""),IF(OR(M750=phu!$I$38,M750=phu!$I$39,M750=phu!$I$40,M750=phu!$I$41,M750=phu!$I$42,M750=phu!$I$43,M750=phu!$I$44),"Cam Thuận",""),IF(OR(M750=phu!$I$45,M750=phu!$I$46,M750=phu!$I$47,M750=phu!$I$48,M750=phu!$I$49,M750=phu!$I$50,M750=phu!$I$51,M750=phu!$I$52,M750=phu!$I$53),"Cam Linh",""),IF(OR(M750=phu!$I$54,M750=phu!$I$55,M750=phu!$I$56,M750=phu!$I$57,M750=phu!$I$58,M750=phu!$I$59,M750=phu!$I$60,M750=phu!$I$61,M750=phu!$I$62),"Cam Lợi",""),IF(OR(M750=phu!$I$63,M750=phu!$I$64,M750=phu!$I$65,M750=phu!$I$66,M750=phu!$I$67,M750=phu!$I$68,M750=phu!$I$69,M750=phu!$I$70,M750=phu!$I$71),"Ba Ngòi",""),IF(OR(M750=phu!$I$72,M750=phu!$I$73,M750=phu!$I$74,M750=phu!$I$75,M750=phu!$I$76,M750=phu!$I$77,M750=phu!$I$78),"Cam Phước Đông",""),IF(OR(M750=phu!$I$79,M750=phu!$I$80,M750=phu!$I$81,M750=phu!$I$82,M750=phu!$I$83,M750=phu!$I$84),"Cam Thịnh Đông",""),IF(OR(M750=phu!$I$85,M750=phu!$I$86,M750=phu!$I$87,M750=phu!$I$88),"Cam Thịnh Tây",""),IF(OR(M750=phu!$I$89,M750=phu!$I$90),"Cam Lập",""),IF(OR(M750=phu!$I$91,M750=phu!$I$92,M750=phu!$I$93),"Cam Bình",""),IF(OR(M750=phu!$I$94,M750=phu!$I$95,M750=phu!$I$96,M750=phu!$I$97,M750=phu!$I$98,M750=phu!$I$99,M750=phu!$I$100),"Huyện khác",""),IF(OR(M750=phu!$I$101,M750=phu!$I$102),"Tỉnh khác",""))</f>
        <v/>
      </c>
      <c r="O750" s="829" t="str">
        <f t="shared" si="66"/>
        <v/>
      </c>
      <c r="P750" s="254"/>
      <c r="Q750" s="254"/>
      <c r="R750" s="254"/>
      <c r="S750" s="254"/>
      <c r="T750" s="254"/>
      <c r="U750" s="254"/>
      <c r="V750" s="254"/>
      <c r="W750" s="254"/>
      <c r="Y750" s="246" t="str">
        <f t="shared" si="67"/>
        <v/>
      </c>
      <c r="Z750" s="247" t="str">
        <f t="shared" si="71"/>
        <v/>
      </c>
      <c r="AA750" s="246" t="str">
        <f t="shared" si="68"/>
        <v/>
      </c>
    </row>
    <row r="751" spans="1:27" ht="18" customHeight="1" x14ac:dyDescent="0.25">
      <c r="A751" s="248" t="str">
        <f t="shared" si="69"/>
        <v/>
      </c>
      <c r="B751" s="249" t="str">
        <f t="shared" si="70"/>
        <v/>
      </c>
      <c r="C751" s="250"/>
      <c r="D751" s="251"/>
      <c r="E751" s="241"/>
      <c r="F751" s="252"/>
      <c r="G751" s="252"/>
      <c r="H751" s="253"/>
      <c r="I751" s="250"/>
      <c r="J751" s="250"/>
      <c r="K751" s="270"/>
      <c r="L751" s="250"/>
      <c r="M751" s="250"/>
      <c r="N751" s="540" t="str">
        <f>CONCATENATE(IF(OR(M751=phu!$I$1,M751=phu!$I$2,M751=phu!$I$3),"Cam Thành Nam",""),IF(OR(M751=phu!$I$4,M751=phu!$I$5,M751=phu!$I$6,M751=phu!$I$7,M751=phu!$I$8,M751=phu!$I$9,M751=phu!$I$10,M751=phu!$I$11,M751=phu!$I$12,M751=phu!$I$13,M751=phu!$I$14),"Cam Nghĩa",""),IF(OR(M751=phu!$I$15,M751=phu!$I$16,M751=phu!$I$17,M751=phu!$I$18,M751=phu!$I$19,M751=phu!$I$20,M751=phu!$I$21),"Cam Phúc Bắc",""),IF(OR(M751=phu!$I$22,M751=phu!$I$23,M751=phu!$I$24,M751=phu!$I$25),"Cam Phúc Nam",""),IF(OR(M751=phu!$I$26,M751=phu!$I$27,M751=phu!$I$28,M751=phu!$I$29,M751=phu!$I$30,M751=phu!$I$31),"Cam Phú",""),IF(OR(M751=phu!$I$32,M751=phu!$I$33,M751=phu!$I$34,M751=phu!$I$35,M751=phu!$I$36,M751=phu!$I$37),"Cam Lộc",""),IF(OR(M751=phu!$I$38,M751=phu!$I$39,M751=phu!$I$40,M751=phu!$I$41,M751=phu!$I$42,M751=phu!$I$43,M751=phu!$I$44),"Cam Thuận",""),IF(OR(M751=phu!$I$45,M751=phu!$I$46,M751=phu!$I$47,M751=phu!$I$48,M751=phu!$I$49,M751=phu!$I$50,M751=phu!$I$51,M751=phu!$I$52,M751=phu!$I$53),"Cam Linh",""),IF(OR(M751=phu!$I$54,M751=phu!$I$55,M751=phu!$I$56,M751=phu!$I$57,M751=phu!$I$58,M751=phu!$I$59,M751=phu!$I$60,M751=phu!$I$61,M751=phu!$I$62),"Cam Lợi",""),IF(OR(M751=phu!$I$63,M751=phu!$I$64,M751=phu!$I$65,M751=phu!$I$66,M751=phu!$I$67,M751=phu!$I$68,M751=phu!$I$69,M751=phu!$I$70,M751=phu!$I$71),"Ba Ngòi",""),IF(OR(M751=phu!$I$72,M751=phu!$I$73,M751=phu!$I$74,M751=phu!$I$75,M751=phu!$I$76,M751=phu!$I$77,M751=phu!$I$78),"Cam Phước Đông",""),IF(OR(M751=phu!$I$79,M751=phu!$I$80,M751=phu!$I$81,M751=phu!$I$82,M751=phu!$I$83,M751=phu!$I$84),"Cam Thịnh Đông",""),IF(OR(M751=phu!$I$85,M751=phu!$I$86,M751=phu!$I$87,M751=phu!$I$88),"Cam Thịnh Tây",""),IF(OR(M751=phu!$I$89,M751=phu!$I$90),"Cam Lập",""),IF(OR(M751=phu!$I$91,M751=phu!$I$92,M751=phu!$I$93),"Cam Bình",""),IF(OR(M751=phu!$I$94,M751=phu!$I$95,M751=phu!$I$96,M751=phu!$I$97,M751=phu!$I$98,M751=phu!$I$99,M751=phu!$I$100),"Huyện khác",""),IF(OR(M751=phu!$I$101,M751=phu!$I$102),"Tỉnh khác",""))</f>
        <v/>
      </c>
      <c r="O751" s="829" t="str">
        <f t="shared" si="66"/>
        <v/>
      </c>
      <c r="P751" s="254"/>
      <c r="Q751" s="254"/>
      <c r="R751" s="254"/>
      <c r="S751" s="254"/>
      <c r="T751" s="254"/>
      <c r="U751" s="254"/>
      <c r="V751" s="254"/>
      <c r="W751" s="254"/>
      <c r="Y751" s="246" t="str">
        <f t="shared" si="67"/>
        <v/>
      </c>
      <c r="Z751" s="247" t="str">
        <f t="shared" si="71"/>
        <v/>
      </c>
      <c r="AA751" s="246" t="str">
        <f t="shared" si="68"/>
        <v/>
      </c>
    </row>
    <row r="752" spans="1:27" ht="18" customHeight="1" x14ac:dyDescent="0.25">
      <c r="A752" s="248" t="str">
        <f t="shared" si="69"/>
        <v/>
      </c>
      <c r="B752" s="249" t="str">
        <f t="shared" si="70"/>
        <v/>
      </c>
      <c r="C752" s="250"/>
      <c r="D752" s="251"/>
      <c r="E752" s="241"/>
      <c r="F752" s="252"/>
      <c r="G752" s="252"/>
      <c r="H752" s="253"/>
      <c r="I752" s="250"/>
      <c r="J752" s="250"/>
      <c r="K752" s="270"/>
      <c r="L752" s="250"/>
      <c r="M752" s="250"/>
      <c r="N752" s="540" t="str">
        <f>CONCATENATE(IF(OR(M752=phu!$I$1,M752=phu!$I$2,M752=phu!$I$3),"Cam Thành Nam",""),IF(OR(M752=phu!$I$4,M752=phu!$I$5,M752=phu!$I$6,M752=phu!$I$7,M752=phu!$I$8,M752=phu!$I$9,M752=phu!$I$10,M752=phu!$I$11,M752=phu!$I$12,M752=phu!$I$13,M752=phu!$I$14),"Cam Nghĩa",""),IF(OR(M752=phu!$I$15,M752=phu!$I$16,M752=phu!$I$17,M752=phu!$I$18,M752=phu!$I$19,M752=phu!$I$20,M752=phu!$I$21),"Cam Phúc Bắc",""),IF(OR(M752=phu!$I$22,M752=phu!$I$23,M752=phu!$I$24,M752=phu!$I$25),"Cam Phúc Nam",""),IF(OR(M752=phu!$I$26,M752=phu!$I$27,M752=phu!$I$28,M752=phu!$I$29,M752=phu!$I$30,M752=phu!$I$31),"Cam Phú",""),IF(OR(M752=phu!$I$32,M752=phu!$I$33,M752=phu!$I$34,M752=phu!$I$35,M752=phu!$I$36,M752=phu!$I$37),"Cam Lộc",""),IF(OR(M752=phu!$I$38,M752=phu!$I$39,M752=phu!$I$40,M752=phu!$I$41,M752=phu!$I$42,M752=phu!$I$43,M752=phu!$I$44),"Cam Thuận",""),IF(OR(M752=phu!$I$45,M752=phu!$I$46,M752=phu!$I$47,M752=phu!$I$48,M752=phu!$I$49,M752=phu!$I$50,M752=phu!$I$51,M752=phu!$I$52,M752=phu!$I$53),"Cam Linh",""),IF(OR(M752=phu!$I$54,M752=phu!$I$55,M752=phu!$I$56,M752=phu!$I$57,M752=phu!$I$58,M752=phu!$I$59,M752=phu!$I$60,M752=phu!$I$61,M752=phu!$I$62),"Cam Lợi",""),IF(OR(M752=phu!$I$63,M752=phu!$I$64,M752=phu!$I$65,M752=phu!$I$66,M752=phu!$I$67,M752=phu!$I$68,M752=phu!$I$69,M752=phu!$I$70,M752=phu!$I$71),"Ba Ngòi",""),IF(OR(M752=phu!$I$72,M752=phu!$I$73,M752=phu!$I$74,M752=phu!$I$75,M752=phu!$I$76,M752=phu!$I$77,M752=phu!$I$78),"Cam Phước Đông",""),IF(OR(M752=phu!$I$79,M752=phu!$I$80,M752=phu!$I$81,M752=phu!$I$82,M752=phu!$I$83,M752=phu!$I$84),"Cam Thịnh Đông",""),IF(OR(M752=phu!$I$85,M752=phu!$I$86,M752=phu!$I$87,M752=phu!$I$88),"Cam Thịnh Tây",""),IF(OR(M752=phu!$I$89,M752=phu!$I$90),"Cam Lập",""),IF(OR(M752=phu!$I$91,M752=phu!$I$92,M752=phu!$I$93),"Cam Bình",""),IF(OR(M752=phu!$I$94,M752=phu!$I$95,M752=phu!$I$96,M752=phu!$I$97,M752=phu!$I$98,M752=phu!$I$99,M752=phu!$I$100),"Huyện khác",""),IF(OR(M752=phu!$I$101,M752=phu!$I$102),"Tỉnh khác",""))</f>
        <v/>
      </c>
      <c r="O752" s="829" t="str">
        <f t="shared" si="66"/>
        <v/>
      </c>
      <c r="P752" s="254"/>
      <c r="Q752" s="254"/>
      <c r="R752" s="254"/>
      <c r="S752" s="254"/>
      <c r="T752" s="254"/>
      <c r="U752" s="254"/>
      <c r="V752" s="254"/>
      <c r="W752" s="254"/>
      <c r="Y752" s="246" t="str">
        <f t="shared" si="67"/>
        <v/>
      </c>
      <c r="Z752" s="247" t="str">
        <f t="shared" si="71"/>
        <v/>
      </c>
      <c r="AA752" s="246" t="str">
        <f t="shared" si="68"/>
        <v/>
      </c>
    </row>
    <row r="753" spans="1:27" ht="18" customHeight="1" x14ac:dyDescent="0.25">
      <c r="A753" s="248" t="str">
        <f t="shared" si="69"/>
        <v/>
      </c>
      <c r="B753" s="249" t="str">
        <f t="shared" si="70"/>
        <v/>
      </c>
      <c r="C753" s="250"/>
      <c r="D753" s="251"/>
      <c r="E753" s="241"/>
      <c r="F753" s="252"/>
      <c r="G753" s="252"/>
      <c r="H753" s="253"/>
      <c r="I753" s="250"/>
      <c r="J753" s="250"/>
      <c r="K753" s="270"/>
      <c r="L753" s="250"/>
      <c r="M753" s="250"/>
      <c r="N753" s="540" t="str">
        <f>CONCATENATE(IF(OR(M753=phu!$I$1,M753=phu!$I$2,M753=phu!$I$3),"Cam Thành Nam",""),IF(OR(M753=phu!$I$4,M753=phu!$I$5,M753=phu!$I$6,M753=phu!$I$7,M753=phu!$I$8,M753=phu!$I$9,M753=phu!$I$10,M753=phu!$I$11,M753=phu!$I$12,M753=phu!$I$13,M753=phu!$I$14),"Cam Nghĩa",""),IF(OR(M753=phu!$I$15,M753=phu!$I$16,M753=phu!$I$17,M753=phu!$I$18,M753=phu!$I$19,M753=phu!$I$20,M753=phu!$I$21),"Cam Phúc Bắc",""),IF(OR(M753=phu!$I$22,M753=phu!$I$23,M753=phu!$I$24,M753=phu!$I$25),"Cam Phúc Nam",""),IF(OR(M753=phu!$I$26,M753=phu!$I$27,M753=phu!$I$28,M753=phu!$I$29,M753=phu!$I$30,M753=phu!$I$31),"Cam Phú",""),IF(OR(M753=phu!$I$32,M753=phu!$I$33,M753=phu!$I$34,M753=phu!$I$35,M753=phu!$I$36,M753=phu!$I$37),"Cam Lộc",""),IF(OR(M753=phu!$I$38,M753=phu!$I$39,M753=phu!$I$40,M753=phu!$I$41,M753=phu!$I$42,M753=phu!$I$43,M753=phu!$I$44),"Cam Thuận",""),IF(OR(M753=phu!$I$45,M753=phu!$I$46,M753=phu!$I$47,M753=phu!$I$48,M753=phu!$I$49,M753=phu!$I$50,M753=phu!$I$51,M753=phu!$I$52,M753=phu!$I$53),"Cam Linh",""),IF(OR(M753=phu!$I$54,M753=phu!$I$55,M753=phu!$I$56,M753=phu!$I$57,M753=phu!$I$58,M753=phu!$I$59,M753=phu!$I$60,M753=phu!$I$61,M753=phu!$I$62),"Cam Lợi",""),IF(OR(M753=phu!$I$63,M753=phu!$I$64,M753=phu!$I$65,M753=phu!$I$66,M753=phu!$I$67,M753=phu!$I$68,M753=phu!$I$69,M753=phu!$I$70,M753=phu!$I$71),"Ba Ngòi",""),IF(OR(M753=phu!$I$72,M753=phu!$I$73,M753=phu!$I$74,M753=phu!$I$75,M753=phu!$I$76,M753=phu!$I$77,M753=phu!$I$78),"Cam Phước Đông",""),IF(OR(M753=phu!$I$79,M753=phu!$I$80,M753=phu!$I$81,M753=phu!$I$82,M753=phu!$I$83,M753=phu!$I$84),"Cam Thịnh Đông",""),IF(OR(M753=phu!$I$85,M753=phu!$I$86,M753=phu!$I$87,M753=phu!$I$88),"Cam Thịnh Tây",""),IF(OR(M753=phu!$I$89,M753=phu!$I$90),"Cam Lập",""),IF(OR(M753=phu!$I$91,M753=phu!$I$92,M753=phu!$I$93),"Cam Bình",""),IF(OR(M753=phu!$I$94,M753=phu!$I$95,M753=phu!$I$96,M753=phu!$I$97,M753=phu!$I$98,M753=phu!$I$99,M753=phu!$I$100),"Huyện khác",""),IF(OR(M753=phu!$I$101,M753=phu!$I$102),"Tỉnh khác",""))</f>
        <v/>
      </c>
      <c r="O753" s="829" t="str">
        <f t="shared" si="66"/>
        <v/>
      </c>
      <c r="P753" s="254"/>
      <c r="Q753" s="254"/>
      <c r="R753" s="254"/>
      <c r="S753" s="254"/>
      <c r="T753" s="254"/>
      <c r="U753" s="254"/>
      <c r="V753" s="254"/>
      <c r="W753" s="254"/>
      <c r="Y753" s="246" t="str">
        <f t="shared" si="67"/>
        <v/>
      </c>
      <c r="Z753" s="247" t="str">
        <f t="shared" si="71"/>
        <v/>
      </c>
      <c r="AA753" s="246" t="str">
        <f t="shared" si="68"/>
        <v/>
      </c>
    </row>
    <row r="754" spans="1:27" ht="18" customHeight="1" x14ac:dyDescent="0.25">
      <c r="A754" s="248" t="str">
        <f t="shared" si="69"/>
        <v/>
      </c>
      <c r="B754" s="249" t="str">
        <f t="shared" si="70"/>
        <v/>
      </c>
      <c r="C754" s="250"/>
      <c r="D754" s="251"/>
      <c r="E754" s="241"/>
      <c r="F754" s="252"/>
      <c r="G754" s="252"/>
      <c r="H754" s="253"/>
      <c r="I754" s="250"/>
      <c r="J754" s="250"/>
      <c r="K754" s="270"/>
      <c r="L754" s="250"/>
      <c r="M754" s="250"/>
      <c r="N754" s="540" t="str">
        <f>CONCATENATE(IF(OR(M754=phu!$I$1,M754=phu!$I$2,M754=phu!$I$3),"Cam Thành Nam",""),IF(OR(M754=phu!$I$4,M754=phu!$I$5,M754=phu!$I$6,M754=phu!$I$7,M754=phu!$I$8,M754=phu!$I$9,M754=phu!$I$10,M754=phu!$I$11,M754=phu!$I$12,M754=phu!$I$13,M754=phu!$I$14),"Cam Nghĩa",""),IF(OR(M754=phu!$I$15,M754=phu!$I$16,M754=phu!$I$17,M754=phu!$I$18,M754=phu!$I$19,M754=phu!$I$20,M754=phu!$I$21),"Cam Phúc Bắc",""),IF(OR(M754=phu!$I$22,M754=phu!$I$23,M754=phu!$I$24,M754=phu!$I$25),"Cam Phúc Nam",""),IF(OR(M754=phu!$I$26,M754=phu!$I$27,M754=phu!$I$28,M754=phu!$I$29,M754=phu!$I$30,M754=phu!$I$31),"Cam Phú",""),IF(OR(M754=phu!$I$32,M754=phu!$I$33,M754=phu!$I$34,M754=phu!$I$35,M754=phu!$I$36,M754=phu!$I$37),"Cam Lộc",""),IF(OR(M754=phu!$I$38,M754=phu!$I$39,M754=phu!$I$40,M754=phu!$I$41,M754=phu!$I$42,M754=phu!$I$43,M754=phu!$I$44),"Cam Thuận",""),IF(OR(M754=phu!$I$45,M754=phu!$I$46,M754=phu!$I$47,M754=phu!$I$48,M754=phu!$I$49,M754=phu!$I$50,M754=phu!$I$51,M754=phu!$I$52,M754=phu!$I$53),"Cam Linh",""),IF(OR(M754=phu!$I$54,M754=phu!$I$55,M754=phu!$I$56,M754=phu!$I$57,M754=phu!$I$58,M754=phu!$I$59,M754=phu!$I$60,M754=phu!$I$61,M754=phu!$I$62),"Cam Lợi",""),IF(OR(M754=phu!$I$63,M754=phu!$I$64,M754=phu!$I$65,M754=phu!$I$66,M754=phu!$I$67,M754=phu!$I$68,M754=phu!$I$69,M754=phu!$I$70,M754=phu!$I$71),"Ba Ngòi",""),IF(OR(M754=phu!$I$72,M754=phu!$I$73,M754=phu!$I$74,M754=phu!$I$75,M754=phu!$I$76,M754=phu!$I$77,M754=phu!$I$78),"Cam Phước Đông",""),IF(OR(M754=phu!$I$79,M754=phu!$I$80,M754=phu!$I$81,M754=phu!$I$82,M754=phu!$I$83,M754=phu!$I$84),"Cam Thịnh Đông",""),IF(OR(M754=phu!$I$85,M754=phu!$I$86,M754=phu!$I$87,M754=phu!$I$88),"Cam Thịnh Tây",""),IF(OR(M754=phu!$I$89,M754=phu!$I$90),"Cam Lập",""),IF(OR(M754=phu!$I$91,M754=phu!$I$92,M754=phu!$I$93),"Cam Bình",""),IF(OR(M754=phu!$I$94,M754=phu!$I$95,M754=phu!$I$96,M754=phu!$I$97,M754=phu!$I$98,M754=phu!$I$99,M754=phu!$I$100),"Huyện khác",""),IF(OR(M754=phu!$I$101,M754=phu!$I$102),"Tỉnh khác",""))</f>
        <v/>
      </c>
      <c r="O754" s="829" t="str">
        <f t="shared" si="66"/>
        <v/>
      </c>
      <c r="P754" s="254"/>
      <c r="Q754" s="254"/>
      <c r="R754" s="254"/>
      <c r="S754" s="254"/>
      <c r="T754" s="254"/>
      <c r="U754" s="254"/>
      <c r="V754" s="254"/>
      <c r="W754" s="254"/>
      <c r="Y754" s="246" t="str">
        <f t="shared" si="67"/>
        <v/>
      </c>
      <c r="Z754" s="247" t="str">
        <f t="shared" si="71"/>
        <v/>
      </c>
      <c r="AA754" s="246" t="str">
        <f t="shared" si="68"/>
        <v/>
      </c>
    </row>
    <row r="755" spans="1:27" ht="18" customHeight="1" x14ac:dyDescent="0.25">
      <c r="A755" s="248" t="str">
        <f t="shared" si="69"/>
        <v/>
      </c>
      <c r="B755" s="249" t="str">
        <f t="shared" si="70"/>
        <v/>
      </c>
      <c r="C755" s="250"/>
      <c r="D755" s="251"/>
      <c r="E755" s="241"/>
      <c r="F755" s="252"/>
      <c r="G755" s="252"/>
      <c r="H755" s="253"/>
      <c r="I755" s="250"/>
      <c r="J755" s="250"/>
      <c r="K755" s="270"/>
      <c r="L755" s="250"/>
      <c r="M755" s="250"/>
      <c r="N755" s="540" t="str">
        <f>CONCATENATE(IF(OR(M755=phu!$I$1,M755=phu!$I$2,M755=phu!$I$3),"Cam Thành Nam",""),IF(OR(M755=phu!$I$4,M755=phu!$I$5,M755=phu!$I$6,M755=phu!$I$7,M755=phu!$I$8,M755=phu!$I$9,M755=phu!$I$10,M755=phu!$I$11,M755=phu!$I$12,M755=phu!$I$13,M755=phu!$I$14),"Cam Nghĩa",""),IF(OR(M755=phu!$I$15,M755=phu!$I$16,M755=phu!$I$17,M755=phu!$I$18,M755=phu!$I$19,M755=phu!$I$20,M755=phu!$I$21),"Cam Phúc Bắc",""),IF(OR(M755=phu!$I$22,M755=phu!$I$23,M755=phu!$I$24,M755=phu!$I$25),"Cam Phúc Nam",""),IF(OR(M755=phu!$I$26,M755=phu!$I$27,M755=phu!$I$28,M755=phu!$I$29,M755=phu!$I$30,M755=phu!$I$31),"Cam Phú",""),IF(OR(M755=phu!$I$32,M755=phu!$I$33,M755=phu!$I$34,M755=phu!$I$35,M755=phu!$I$36,M755=phu!$I$37),"Cam Lộc",""),IF(OR(M755=phu!$I$38,M755=phu!$I$39,M755=phu!$I$40,M755=phu!$I$41,M755=phu!$I$42,M755=phu!$I$43,M755=phu!$I$44),"Cam Thuận",""),IF(OR(M755=phu!$I$45,M755=phu!$I$46,M755=phu!$I$47,M755=phu!$I$48,M755=phu!$I$49,M755=phu!$I$50,M755=phu!$I$51,M755=phu!$I$52,M755=phu!$I$53),"Cam Linh",""),IF(OR(M755=phu!$I$54,M755=phu!$I$55,M755=phu!$I$56,M755=phu!$I$57,M755=phu!$I$58,M755=phu!$I$59,M755=phu!$I$60,M755=phu!$I$61,M755=phu!$I$62),"Cam Lợi",""),IF(OR(M755=phu!$I$63,M755=phu!$I$64,M755=phu!$I$65,M755=phu!$I$66,M755=phu!$I$67,M755=phu!$I$68,M755=phu!$I$69,M755=phu!$I$70,M755=phu!$I$71),"Ba Ngòi",""),IF(OR(M755=phu!$I$72,M755=phu!$I$73,M755=phu!$I$74,M755=phu!$I$75,M755=phu!$I$76,M755=phu!$I$77,M755=phu!$I$78),"Cam Phước Đông",""),IF(OR(M755=phu!$I$79,M755=phu!$I$80,M755=phu!$I$81,M755=phu!$I$82,M755=phu!$I$83,M755=phu!$I$84),"Cam Thịnh Đông",""),IF(OR(M755=phu!$I$85,M755=phu!$I$86,M755=phu!$I$87,M755=phu!$I$88),"Cam Thịnh Tây",""),IF(OR(M755=phu!$I$89,M755=phu!$I$90),"Cam Lập",""),IF(OR(M755=phu!$I$91,M755=phu!$I$92,M755=phu!$I$93),"Cam Bình",""),IF(OR(M755=phu!$I$94,M755=phu!$I$95,M755=phu!$I$96,M755=phu!$I$97,M755=phu!$I$98,M755=phu!$I$99,M755=phu!$I$100),"Huyện khác",""),IF(OR(M755=phu!$I$101,M755=phu!$I$102),"Tỉnh khác",""))</f>
        <v/>
      </c>
      <c r="O755" s="829" t="str">
        <f t="shared" si="66"/>
        <v/>
      </c>
      <c r="P755" s="254"/>
      <c r="Q755" s="254"/>
      <c r="R755" s="254"/>
      <c r="S755" s="254"/>
      <c r="T755" s="254"/>
      <c r="U755" s="254"/>
      <c r="V755" s="254"/>
      <c r="W755" s="254"/>
      <c r="Y755" s="246" t="str">
        <f t="shared" si="67"/>
        <v/>
      </c>
      <c r="Z755" s="247" t="str">
        <f t="shared" si="71"/>
        <v/>
      </c>
      <c r="AA755" s="246" t="str">
        <f t="shared" si="68"/>
        <v/>
      </c>
    </row>
    <row r="756" spans="1:27" ht="18" customHeight="1" x14ac:dyDescent="0.25">
      <c r="A756" s="248" t="str">
        <f t="shared" si="69"/>
        <v/>
      </c>
      <c r="B756" s="249" t="str">
        <f t="shared" si="70"/>
        <v/>
      </c>
      <c r="C756" s="250"/>
      <c r="D756" s="251"/>
      <c r="E756" s="241"/>
      <c r="F756" s="252"/>
      <c r="G756" s="252"/>
      <c r="H756" s="253"/>
      <c r="I756" s="250"/>
      <c r="J756" s="250"/>
      <c r="K756" s="270"/>
      <c r="L756" s="250"/>
      <c r="M756" s="250"/>
      <c r="N756" s="540" t="str">
        <f>CONCATENATE(IF(OR(M756=phu!$I$1,M756=phu!$I$2,M756=phu!$I$3),"Cam Thành Nam",""),IF(OR(M756=phu!$I$4,M756=phu!$I$5,M756=phu!$I$6,M756=phu!$I$7,M756=phu!$I$8,M756=phu!$I$9,M756=phu!$I$10,M756=phu!$I$11,M756=phu!$I$12,M756=phu!$I$13,M756=phu!$I$14),"Cam Nghĩa",""),IF(OR(M756=phu!$I$15,M756=phu!$I$16,M756=phu!$I$17,M756=phu!$I$18,M756=phu!$I$19,M756=phu!$I$20,M756=phu!$I$21),"Cam Phúc Bắc",""),IF(OR(M756=phu!$I$22,M756=phu!$I$23,M756=phu!$I$24,M756=phu!$I$25),"Cam Phúc Nam",""),IF(OR(M756=phu!$I$26,M756=phu!$I$27,M756=phu!$I$28,M756=phu!$I$29,M756=phu!$I$30,M756=phu!$I$31),"Cam Phú",""),IF(OR(M756=phu!$I$32,M756=phu!$I$33,M756=phu!$I$34,M756=phu!$I$35,M756=phu!$I$36,M756=phu!$I$37),"Cam Lộc",""),IF(OR(M756=phu!$I$38,M756=phu!$I$39,M756=phu!$I$40,M756=phu!$I$41,M756=phu!$I$42,M756=phu!$I$43,M756=phu!$I$44),"Cam Thuận",""),IF(OR(M756=phu!$I$45,M756=phu!$I$46,M756=phu!$I$47,M756=phu!$I$48,M756=phu!$I$49,M756=phu!$I$50,M756=phu!$I$51,M756=phu!$I$52,M756=phu!$I$53),"Cam Linh",""),IF(OR(M756=phu!$I$54,M756=phu!$I$55,M756=phu!$I$56,M756=phu!$I$57,M756=phu!$I$58,M756=phu!$I$59,M756=phu!$I$60,M756=phu!$I$61,M756=phu!$I$62),"Cam Lợi",""),IF(OR(M756=phu!$I$63,M756=phu!$I$64,M756=phu!$I$65,M756=phu!$I$66,M756=phu!$I$67,M756=phu!$I$68,M756=phu!$I$69,M756=phu!$I$70,M756=phu!$I$71),"Ba Ngòi",""),IF(OR(M756=phu!$I$72,M756=phu!$I$73,M756=phu!$I$74,M756=phu!$I$75,M756=phu!$I$76,M756=phu!$I$77,M756=phu!$I$78),"Cam Phước Đông",""),IF(OR(M756=phu!$I$79,M756=phu!$I$80,M756=phu!$I$81,M756=phu!$I$82,M756=phu!$I$83,M756=phu!$I$84),"Cam Thịnh Đông",""),IF(OR(M756=phu!$I$85,M756=phu!$I$86,M756=phu!$I$87,M756=phu!$I$88),"Cam Thịnh Tây",""),IF(OR(M756=phu!$I$89,M756=phu!$I$90),"Cam Lập",""),IF(OR(M756=phu!$I$91,M756=phu!$I$92,M756=phu!$I$93),"Cam Bình",""),IF(OR(M756=phu!$I$94,M756=phu!$I$95,M756=phu!$I$96,M756=phu!$I$97,M756=phu!$I$98,M756=phu!$I$99,M756=phu!$I$100),"Huyện khác",""),IF(OR(M756=phu!$I$101,M756=phu!$I$102),"Tỉnh khác",""))</f>
        <v/>
      </c>
      <c r="O756" s="829" t="str">
        <f t="shared" si="66"/>
        <v/>
      </c>
      <c r="P756" s="254"/>
      <c r="Q756" s="254"/>
      <c r="R756" s="254"/>
      <c r="S756" s="254"/>
      <c r="T756" s="254"/>
      <c r="U756" s="254"/>
      <c r="V756" s="254"/>
      <c r="W756" s="254"/>
      <c r="Y756" s="246" t="str">
        <f t="shared" si="67"/>
        <v/>
      </c>
      <c r="Z756" s="247" t="str">
        <f t="shared" si="71"/>
        <v/>
      </c>
      <c r="AA756" s="246" t="str">
        <f t="shared" si="68"/>
        <v/>
      </c>
    </row>
    <row r="757" spans="1:27" ht="18" customHeight="1" x14ac:dyDescent="0.25">
      <c r="A757" s="248" t="str">
        <f t="shared" si="69"/>
        <v/>
      </c>
      <c r="B757" s="249" t="str">
        <f t="shared" si="70"/>
        <v/>
      </c>
      <c r="C757" s="250"/>
      <c r="D757" s="251"/>
      <c r="E757" s="241"/>
      <c r="F757" s="252"/>
      <c r="G757" s="252"/>
      <c r="H757" s="253"/>
      <c r="I757" s="250"/>
      <c r="J757" s="250"/>
      <c r="K757" s="270"/>
      <c r="L757" s="250"/>
      <c r="M757" s="250"/>
      <c r="N757" s="540" t="str">
        <f>CONCATENATE(IF(OR(M757=phu!$I$1,M757=phu!$I$2,M757=phu!$I$3),"Cam Thành Nam",""),IF(OR(M757=phu!$I$4,M757=phu!$I$5,M757=phu!$I$6,M757=phu!$I$7,M757=phu!$I$8,M757=phu!$I$9,M757=phu!$I$10,M757=phu!$I$11,M757=phu!$I$12,M757=phu!$I$13,M757=phu!$I$14),"Cam Nghĩa",""),IF(OR(M757=phu!$I$15,M757=phu!$I$16,M757=phu!$I$17,M757=phu!$I$18,M757=phu!$I$19,M757=phu!$I$20,M757=phu!$I$21),"Cam Phúc Bắc",""),IF(OR(M757=phu!$I$22,M757=phu!$I$23,M757=phu!$I$24,M757=phu!$I$25),"Cam Phúc Nam",""),IF(OR(M757=phu!$I$26,M757=phu!$I$27,M757=phu!$I$28,M757=phu!$I$29,M757=phu!$I$30,M757=phu!$I$31),"Cam Phú",""),IF(OR(M757=phu!$I$32,M757=phu!$I$33,M757=phu!$I$34,M757=phu!$I$35,M757=phu!$I$36,M757=phu!$I$37),"Cam Lộc",""),IF(OR(M757=phu!$I$38,M757=phu!$I$39,M757=phu!$I$40,M757=phu!$I$41,M757=phu!$I$42,M757=phu!$I$43,M757=phu!$I$44),"Cam Thuận",""),IF(OR(M757=phu!$I$45,M757=phu!$I$46,M757=phu!$I$47,M757=phu!$I$48,M757=phu!$I$49,M757=phu!$I$50,M757=phu!$I$51,M757=phu!$I$52,M757=phu!$I$53),"Cam Linh",""),IF(OR(M757=phu!$I$54,M757=phu!$I$55,M757=phu!$I$56,M757=phu!$I$57,M757=phu!$I$58,M757=phu!$I$59,M757=phu!$I$60,M757=phu!$I$61,M757=phu!$I$62),"Cam Lợi",""),IF(OR(M757=phu!$I$63,M757=phu!$I$64,M757=phu!$I$65,M757=phu!$I$66,M757=phu!$I$67,M757=phu!$I$68,M757=phu!$I$69,M757=phu!$I$70,M757=phu!$I$71),"Ba Ngòi",""),IF(OR(M757=phu!$I$72,M757=phu!$I$73,M757=phu!$I$74,M757=phu!$I$75,M757=phu!$I$76,M757=phu!$I$77,M757=phu!$I$78),"Cam Phước Đông",""),IF(OR(M757=phu!$I$79,M757=phu!$I$80,M757=phu!$I$81,M757=phu!$I$82,M757=phu!$I$83,M757=phu!$I$84),"Cam Thịnh Đông",""),IF(OR(M757=phu!$I$85,M757=phu!$I$86,M757=phu!$I$87,M757=phu!$I$88),"Cam Thịnh Tây",""),IF(OR(M757=phu!$I$89,M757=phu!$I$90),"Cam Lập",""),IF(OR(M757=phu!$I$91,M757=phu!$I$92,M757=phu!$I$93),"Cam Bình",""),IF(OR(M757=phu!$I$94,M757=phu!$I$95,M757=phu!$I$96,M757=phu!$I$97,M757=phu!$I$98,M757=phu!$I$99,M757=phu!$I$100),"Huyện khác",""),IF(OR(M757=phu!$I$101,M757=phu!$I$102),"Tỉnh khác",""))</f>
        <v/>
      </c>
      <c r="O757" s="829" t="str">
        <f t="shared" si="66"/>
        <v/>
      </c>
      <c r="P757" s="254"/>
      <c r="Q757" s="254"/>
      <c r="R757" s="254"/>
      <c r="S757" s="254"/>
      <c r="T757" s="254"/>
      <c r="U757" s="254"/>
      <c r="V757" s="254"/>
      <c r="W757" s="254"/>
      <c r="Y757" s="246" t="str">
        <f t="shared" si="67"/>
        <v/>
      </c>
      <c r="Z757" s="247" t="str">
        <f t="shared" si="71"/>
        <v/>
      </c>
      <c r="AA757" s="246" t="str">
        <f t="shared" si="68"/>
        <v/>
      </c>
    </row>
    <row r="758" spans="1:27" ht="18" customHeight="1" x14ac:dyDescent="0.25">
      <c r="A758" s="248" t="str">
        <f t="shared" si="69"/>
        <v/>
      </c>
      <c r="B758" s="249" t="str">
        <f t="shared" si="70"/>
        <v/>
      </c>
      <c r="C758" s="250"/>
      <c r="D758" s="251"/>
      <c r="E758" s="241"/>
      <c r="F758" s="252"/>
      <c r="G758" s="252"/>
      <c r="H758" s="253"/>
      <c r="I758" s="250"/>
      <c r="J758" s="250"/>
      <c r="K758" s="270"/>
      <c r="L758" s="250"/>
      <c r="M758" s="250"/>
      <c r="N758" s="540" t="str">
        <f>CONCATENATE(IF(OR(M758=phu!$I$1,M758=phu!$I$2,M758=phu!$I$3),"Cam Thành Nam",""),IF(OR(M758=phu!$I$4,M758=phu!$I$5,M758=phu!$I$6,M758=phu!$I$7,M758=phu!$I$8,M758=phu!$I$9,M758=phu!$I$10,M758=phu!$I$11,M758=phu!$I$12,M758=phu!$I$13,M758=phu!$I$14),"Cam Nghĩa",""),IF(OR(M758=phu!$I$15,M758=phu!$I$16,M758=phu!$I$17,M758=phu!$I$18,M758=phu!$I$19,M758=phu!$I$20,M758=phu!$I$21),"Cam Phúc Bắc",""),IF(OR(M758=phu!$I$22,M758=phu!$I$23,M758=phu!$I$24,M758=phu!$I$25),"Cam Phúc Nam",""),IF(OR(M758=phu!$I$26,M758=phu!$I$27,M758=phu!$I$28,M758=phu!$I$29,M758=phu!$I$30,M758=phu!$I$31),"Cam Phú",""),IF(OR(M758=phu!$I$32,M758=phu!$I$33,M758=phu!$I$34,M758=phu!$I$35,M758=phu!$I$36,M758=phu!$I$37),"Cam Lộc",""),IF(OR(M758=phu!$I$38,M758=phu!$I$39,M758=phu!$I$40,M758=phu!$I$41,M758=phu!$I$42,M758=phu!$I$43,M758=phu!$I$44),"Cam Thuận",""),IF(OR(M758=phu!$I$45,M758=phu!$I$46,M758=phu!$I$47,M758=phu!$I$48,M758=phu!$I$49,M758=phu!$I$50,M758=phu!$I$51,M758=phu!$I$52,M758=phu!$I$53),"Cam Linh",""),IF(OR(M758=phu!$I$54,M758=phu!$I$55,M758=phu!$I$56,M758=phu!$I$57,M758=phu!$I$58,M758=phu!$I$59,M758=phu!$I$60,M758=phu!$I$61,M758=phu!$I$62),"Cam Lợi",""),IF(OR(M758=phu!$I$63,M758=phu!$I$64,M758=phu!$I$65,M758=phu!$I$66,M758=phu!$I$67,M758=phu!$I$68,M758=phu!$I$69,M758=phu!$I$70,M758=phu!$I$71),"Ba Ngòi",""),IF(OR(M758=phu!$I$72,M758=phu!$I$73,M758=phu!$I$74,M758=phu!$I$75,M758=phu!$I$76,M758=phu!$I$77,M758=phu!$I$78),"Cam Phước Đông",""),IF(OR(M758=phu!$I$79,M758=phu!$I$80,M758=phu!$I$81,M758=phu!$I$82,M758=phu!$I$83,M758=phu!$I$84),"Cam Thịnh Đông",""),IF(OR(M758=phu!$I$85,M758=phu!$I$86,M758=phu!$I$87,M758=phu!$I$88),"Cam Thịnh Tây",""),IF(OR(M758=phu!$I$89,M758=phu!$I$90),"Cam Lập",""),IF(OR(M758=phu!$I$91,M758=phu!$I$92,M758=phu!$I$93),"Cam Bình",""),IF(OR(M758=phu!$I$94,M758=phu!$I$95,M758=phu!$I$96,M758=phu!$I$97,M758=phu!$I$98,M758=phu!$I$99,M758=phu!$I$100),"Huyện khác",""),IF(OR(M758=phu!$I$101,M758=phu!$I$102),"Tỉnh khác",""))</f>
        <v/>
      </c>
      <c r="O758" s="829" t="str">
        <f t="shared" si="66"/>
        <v/>
      </c>
      <c r="P758" s="254"/>
      <c r="Q758" s="254"/>
      <c r="R758" s="254"/>
      <c r="S758" s="254"/>
      <c r="T758" s="254"/>
      <c r="U758" s="254"/>
      <c r="V758" s="254"/>
      <c r="W758" s="254"/>
      <c r="Y758" s="246" t="str">
        <f t="shared" si="67"/>
        <v/>
      </c>
      <c r="Z758" s="247" t="str">
        <f t="shared" si="71"/>
        <v/>
      </c>
      <c r="AA758" s="246" t="str">
        <f t="shared" si="68"/>
        <v/>
      </c>
    </row>
    <row r="759" spans="1:27" ht="18" customHeight="1" x14ac:dyDescent="0.25">
      <c r="A759" s="248" t="str">
        <f t="shared" si="69"/>
        <v/>
      </c>
      <c r="B759" s="249" t="str">
        <f t="shared" si="70"/>
        <v/>
      </c>
      <c r="C759" s="250"/>
      <c r="D759" s="251"/>
      <c r="E759" s="241"/>
      <c r="F759" s="252"/>
      <c r="G759" s="252"/>
      <c r="H759" s="253"/>
      <c r="I759" s="250"/>
      <c r="J759" s="250"/>
      <c r="K759" s="270"/>
      <c r="L759" s="250"/>
      <c r="M759" s="250"/>
      <c r="N759" s="540" t="str">
        <f>CONCATENATE(IF(OR(M759=phu!$I$1,M759=phu!$I$2,M759=phu!$I$3),"Cam Thành Nam",""),IF(OR(M759=phu!$I$4,M759=phu!$I$5,M759=phu!$I$6,M759=phu!$I$7,M759=phu!$I$8,M759=phu!$I$9,M759=phu!$I$10,M759=phu!$I$11,M759=phu!$I$12,M759=phu!$I$13,M759=phu!$I$14),"Cam Nghĩa",""),IF(OR(M759=phu!$I$15,M759=phu!$I$16,M759=phu!$I$17,M759=phu!$I$18,M759=phu!$I$19,M759=phu!$I$20,M759=phu!$I$21),"Cam Phúc Bắc",""),IF(OR(M759=phu!$I$22,M759=phu!$I$23,M759=phu!$I$24,M759=phu!$I$25),"Cam Phúc Nam",""),IF(OR(M759=phu!$I$26,M759=phu!$I$27,M759=phu!$I$28,M759=phu!$I$29,M759=phu!$I$30,M759=phu!$I$31),"Cam Phú",""),IF(OR(M759=phu!$I$32,M759=phu!$I$33,M759=phu!$I$34,M759=phu!$I$35,M759=phu!$I$36,M759=phu!$I$37),"Cam Lộc",""),IF(OR(M759=phu!$I$38,M759=phu!$I$39,M759=phu!$I$40,M759=phu!$I$41,M759=phu!$I$42,M759=phu!$I$43,M759=phu!$I$44),"Cam Thuận",""),IF(OR(M759=phu!$I$45,M759=phu!$I$46,M759=phu!$I$47,M759=phu!$I$48,M759=phu!$I$49,M759=phu!$I$50,M759=phu!$I$51,M759=phu!$I$52,M759=phu!$I$53),"Cam Linh",""),IF(OR(M759=phu!$I$54,M759=phu!$I$55,M759=phu!$I$56,M759=phu!$I$57,M759=phu!$I$58,M759=phu!$I$59,M759=phu!$I$60,M759=phu!$I$61,M759=phu!$I$62),"Cam Lợi",""),IF(OR(M759=phu!$I$63,M759=phu!$I$64,M759=phu!$I$65,M759=phu!$I$66,M759=phu!$I$67,M759=phu!$I$68,M759=phu!$I$69,M759=phu!$I$70,M759=phu!$I$71),"Ba Ngòi",""),IF(OR(M759=phu!$I$72,M759=phu!$I$73,M759=phu!$I$74,M759=phu!$I$75,M759=phu!$I$76,M759=phu!$I$77,M759=phu!$I$78),"Cam Phước Đông",""),IF(OR(M759=phu!$I$79,M759=phu!$I$80,M759=phu!$I$81,M759=phu!$I$82,M759=phu!$I$83,M759=phu!$I$84),"Cam Thịnh Đông",""),IF(OR(M759=phu!$I$85,M759=phu!$I$86,M759=phu!$I$87,M759=phu!$I$88),"Cam Thịnh Tây",""),IF(OR(M759=phu!$I$89,M759=phu!$I$90),"Cam Lập",""),IF(OR(M759=phu!$I$91,M759=phu!$I$92,M759=phu!$I$93),"Cam Bình",""),IF(OR(M759=phu!$I$94,M759=phu!$I$95,M759=phu!$I$96,M759=phu!$I$97,M759=phu!$I$98,M759=phu!$I$99,M759=phu!$I$100),"Huyện khác",""),IF(OR(M759=phu!$I$101,M759=phu!$I$102),"Tỉnh khác",""))</f>
        <v/>
      </c>
      <c r="O759" s="829" t="str">
        <f t="shared" si="66"/>
        <v/>
      </c>
      <c r="P759" s="254"/>
      <c r="Q759" s="254"/>
      <c r="R759" s="254"/>
      <c r="S759" s="254"/>
      <c r="T759" s="254"/>
      <c r="U759" s="254"/>
      <c r="V759" s="254"/>
      <c r="W759" s="254"/>
      <c r="Y759" s="246" t="str">
        <f t="shared" si="67"/>
        <v/>
      </c>
      <c r="Z759" s="247" t="str">
        <f t="shared" si="71"/>
        <v/>
      </c>
      <c r="AA759" s="246" t="str">
        <f t="shared" si="68"/>
        <v/>
      </c>
    </row>
    <row r="760" spans="1:27" ht="18" customHeight="1" x14ac:dyDescent="0.25">
      <c r="A760" s="248" t="str">
        <f t="shared" si="69"/>
        <v/>
      </c>
      <c r="B760" s="249" t="str">
        <f t="shared" si="70"/>
        <v/>
      </c>
      <c r="C760" s="250"/>
      <c r="D760" s="251"/>
      <c r="E760" s="241"/>
      <c r="F760" s="252"/>
      <c r="G760" s="252"/>
      <c r="H760" s="253"/>
      <c r="I760" s="250"/>
      <c r="J760" s="250"/>
      <c r="K760" s="270"/>
      <c r="L760" s="250"/>
      <c r="M760" s="250"/>
      <c r="N760" s="540" t="str">
        <f>CONCATENATE(IF(OR(M760=phu!$I$1,M760=phu!$I$2,M760=phu!$I$3),"Cam Thành Nam",""),IF(OR(M760=phu!$I$4,M760=phu!$I$5,M760=phu!$I$6,M760=phu!$I$7,M760=phu!$I$8,M760=phu!$I$9,M760=phu!$I$10,M760=phu!$I$11,M760=phu!$I$12,M760=phu!$I$13,M760=phu!$I$14),"Cam Nghĩa",""),IF(OR(M760=phu!$I$15,M760=phu!$I$16,M760=phu!$I$17,M760=phu!$I$18,M760=phu!$I$19,M760=phu!$I$20,M760=phu!$I$21),"Cam Phúc Bắc",""),IF(OR(M760=phu!$I$22,M760=phu!$I$23,M760=phu!$I$24,M760=phu!$I$25),"Cam Phúc Nam",""),IF(OR(M760=phu!$I$26,M760=phu!$I$27,M760=phu!$I$28,M760=phu!$I$29,M760=phu!$I$30,M760=phu!$I$31),"Cam Phú",""),IF(OR(M760=phu!$I$32,M760=phu!$I$33,M760=phu!$I$34,M760=phu!$I$35,M760=phu!$I$36,M760=phu!$I$37),"Cam Lộc",""),IF(OR(M760=phu!$I$38,M760=phu!$I$39,M760=phu!$I$40,M760=phu!$I$41,M760=phu!$I$42,M760=phu!$I$43,M760=phu!$I$44),"Cam Thuận",""),IF(OR(M760=phu!$I$45,M760=phu!$I$46,M760=phu!$I$47,M760=phu!$I$48,M760=phu!$I$49,M760=phu!$I$50,M760=phu!$I$51,M760=phu!$I$52,M760=phu!$I$53),"Cam Linh",""),IF(OR(M760=phu!$I$54,M760=phu!$I$55,M760=phu!$I$56,M760=phu!$I$57,M760=phu!$I$58,M760=phu!$I$59,M760=phu!$I$60,M760=phu!$I$61,M760=phu!$I$62),"Cam Lợi",""),IF(OR(M760=phu!$I$63,M760=phu!$I$64,M760=phu!$I$65,M760=phu!$I$66,M760=phu!$I$67,M760=phu!$I$68,M760=phu!$I$69,M760=phu!$I$70,M760=phu!$I$71),"Ba Ngòi",""),IF(OR(M760=phu!$I$72,M760=phu!$I$73,M760=phu!$I$74,M760=phu!$I$75,M760=phu!$I$76,M760=phu!$I$77,M760=phu!$I$78),"Cam Phước Đông",""),IF(OR(M760=phu!$I$79,M760=phu!$I$80,M760=phu!$I$81,M760=phu!$I$82,M760=phu!$I$83,M760=phu!$I$84),"Cam Thịnh Đông",""),IF(OR(M760=phu!$I$85,M760=phu!$I$86,M760=phu!$I$87,M760=phu!$I$88),"Cam Thịnh Tây",""),IF(OR(M760=phu!$I$89,M760=phu!$I$90),"Cam Lập",""),IF(OR(M760=phu!$I$91,M760=phu!$I$92,M760=phu!$I$93),"Cam Bình",""),IF(OR(M760=phu!$I$94,M760=phu!$I$95,M760=phu!$I$96,M760=phu!$I$97,M760=phu!$I$98,M760=phu!$I$99,M760=phu!$I$100),"Huyện khác",""),IF(OR(M760=phu!$I$101,M760=phu!$I$102),"Tỉnh khác",""))</f>
        <v/>
      </c>
      <c r="O760" s="829" t="str">
        <f t="shared" si="66"/>
        <v/>
      </c>
      <c r="P760" s="254"/>
      <c r="Q760" s="254"/>
      <c r="R760" s="254"/>
      <c r="S760" s="254"/>
      <c r="T760" s="254"/>
      <c r="U760" s="254"/>
      <c r="V760" s="254"/>
      <c r="W760" s="254"/>
      <c r="Y760" s="246" t="str">
        <f t="shared" si="67"/>
        <v/>
      </c>
      <c r="Z760" s="247" t="str">
        <f t="shared" si="71"/>
        <v/>
      </c>
      <c r="AA760" s="246" t="str">
        <f t="shared" si="68"/>
        <v/>
      </c>
    </row>
    <row r="761" spans="1:27" ht="18" customHeight="1" x14ac:dyDescent="0.25">
      <c r="A761" s="248" t="str">
        <f t="shared" si="69"/>
        <v/>
      </c>
      <c r="B761" s="249" t="str">
        <f t="shared" si="70"/>
        <v/>
      </c>
      <c r="C761" s="250"/>
      <c r="D761" s="251"/>
      <c r="E761" s="241"/>
      <c r="F761" s="252"/>
      <c r="G761" s="252"/>
      <c r="H761" s="253"/>
      <c r="I761" s="250"/>
      <c r="J761" s="250"/>
      <c r="K761" s="270"/>
      <c r="L761" s="250"/>
      <c r="M761" s="250"/>
      <c r="N761" s="540" t="str">
        <f>CONCATENATE(IF(OR(M761=phu!$I$1,M761=phu!$I$2,M761=phu!$I$3),"Cam Thành Nam",""),IF(OR(M761=phu!$I$4,M761=phu!$I$5,M761=phu!$I$6,M761=phu!$I$7,M761=phu!$I$8,M761=phu!$I$9,M761=phu!$I$10,M761=phu!$I$11,M761=phu!$I$12,M761=phu!$I$13,M761=phu!$I$14),"Cam Nghĩa",""),IF(OR(M761=phu!$I$15,M761=phu!$I$16,M761=phu!$I$17,M761=phu!$I$18,M761=phu!$I$19,M761=phu!$I$20,M761=phu!$I$21),"Cam Phúc Bắc",""),IF(OR(M761=phu!$I$22,M761=phu!$I$23,M761=phu!$I$24,M761=phu!$I$25),"Cam Phúc Nam",""),IF(OR(M761=phu!$I$26,M761=phu!$I$27,M761=phu!$I$28,M761=phu!$I$29,M761=phu!$I$30,M761=phu!$I$31),"Cam Phú",""),IF(OR(M761=phu!$I$32,M761=phu!$I$33,M761=phu!$I$34,M761=phu!$I$35,M761=phu!$I$36,M761=phu!$I$37),"Cam Lộc",""),IF(OR(M761=phu!$I$38,M761=phu!$I$39,M761=phu!$I$40,M761=phu!$I$41,M761=phu!$I$42,M761=phu!$I$43,M761=phu!$I$44),"Cam Thuận",""),IF(OR(M761=phu!$I$45,M761=phu!$I$46,M761=phu!$I$47,M761=phu!$I$48,M761=phu!$I$49,M761=phu!$I$50,M761=phu!$I$51,M761=phu!$I$52,M761=phu!$I$53),"Cam Linh",""),IF(OR(M761=phu!$I$54,M761=phu!$I$55,M761=phu!$I$56,M761=phu!$I$57,M761=phu!$I$58,M761=phu!$I$59,M761=phu!$I$60,M761=phu!$I$61,M761=phu!$I$62),"Cam Lợi",""),IF(OR(M761=phu!$I$63,M761=phu!$I$64,M761=phu!$I$65,M761=phu!$I$66,M761=phu!$I$67,M761=phu!$I$68,M761=phu!$I$69,M761=phu!$I$70,M761=phu!$I$71),"Ba Ngòi",""),IF(OR(M761=phu!$I$72,M761=phu!$I$73,M761=phu!$I$74,M761=phu!$I$75,M761=phu!$I$76,M761=phu!$I$77,M761=phu!$I$78),"Cam Phước Đông",""),IF(OR(M761=phu!$I$79,M761=phu!$I$80,M761=phu!$I$81,M761=phu!$I$82,M761=phu!$I$83,M761=phu!$I$84),"Cam Thịnh Đông",""),IF(OR(M761=phu!$I$85,M761=phu!$I$86,M761=phu!$I$87,M761=phu!$I$88),"Cam Thịnh Tây",""),IF(OR(M761=phu!$I$89,M761=phu!$I$90),"Cam Lập",""),IF(OR(M761=phu!$I$91,M761=phu!$I$92,M761=phu!$I$93),"Cam Bình",""),IF(OR(M761=phu!$I$94,M761=phu!$I$95,M761=phu!$I$96,M761=phu!$I$97,M761=phu!$I$98,M761=phu!$I$99,M761=phu!$I$100),"Huyện khác",""),IF(OR(M761=phu!$I$101,M761=phu!$I$102),"Tỉnh khác",""))</f>
        <v/>
      </c>
      <c r="O761" s="829" t="str">
        <f t="shared" si="66"/>
        <v/>
      </c>
      <c r="P761" s="254"/>
      <c r="Q761" s="254"/>
      <c r="R761" s="254"/>
      <c r="S761" s="254"/>
      <c r="T761" s="254"/>
      <c r="U761" s="254"/>
      <c r="V761" s="254"/>
      <c r="W761" s="254"/>
      <c r="Y761" s="246" t="str">
        <f t="shared" si="67"/>
        <v/>
      </c>
      <c r="Z761" s="247" t="str">
        <f t="shared" si="71"/>
        <v/>
      </c>
      <c r="AA761" s="246" t="str">
        <f t="shared" si="68"/>
        <v/>
      </c>
    </row>
    <row r="762" spans="1:27" ht="18" customHeight="1" x14ac:dyDescent="0.25">
      <c r="A762" s="248" t="str">
        <f t="shared" si="69"/>
        <v/>
      </c>
      <c r="B762" s="249" t="str">
        <f t="shared" si="70"/>
        <v/>
      </c>
      <c r="C762" s="250"/>
      <c r="D762" s="251"/>
      <c r="E762" s="241"/>
      <c r="F762" s="252"/>
      <c r="G762" s="252"/>
      <c r="H762" s="253"/>
      <c r="I762" s="250"/>
      <c r="J762" s="250"/>
      <c r="K762" s="270"/>
      <c r="L762" s="250"/>
      <c r="M762" s="250"/>
      <c r="N762" s="540" t="str">
        <f>CONCATENATE(IF(OR(M762=phu!$I$1,M762=phu!$I$2,M762=phu!$I$3),"Cam Thành Nam",""),IF(OR(M762=phu!$I$4,M762=phu!$I$5,M762=phu!$I$6,M762=phu!$I$7,M762=phu!$I$8,M762=phu!$I$9,M762=phu!$I$10,M762=phu!$I$11,M762=phu!$I$12,M762=phu!$I$13,M762=phu!$I$14),"Cam Nghĩa",""),IF(OR(M762=phu!$I$15,M762=phu!$I$16,M762=phu!$I$17,M762=phu!$I$18,M762=phu!$I$19,M762=phu!$I$20,M762=phu!$I$21),"Cam Phúc Bắc",""),IF(OR(M762=phu!$I$22,M762=phu!$I$23,M762=phu!$I$24,M762=phu!$I$25),"Cam Phúc Nam",""),IF(OR(M762=phu!$I$26,M762=phu!$I$27,M762=phu!$I$28,M762=phu!$I$29,M762=phu!$I$30,M762=phu!$I$31),"Cam Phú",""),IF(OR(M762=phu!$I$32,M762=phu!$I$33,M762=phu!$I$34,M762=phu!$I$35,M762=phu!$I$36,M762=phu!$I$37),"Cam Lộc",""),IF(OR(M762=phu!$I$38,M762=phu!$I$39,M762=phu!$I$40,M762=phu!$I$41,M762=phu!$I$42,M762=phu!$I$43,M762=phu!$I$44),"Cam Thuận",""),IF(OR(M762=phu!$I$45,M762=phu!$I$46,M762=phu!$I$47,M762=phu!$I$48,M762=phu!$I$49,M762=phu!$I$50,M762=phu!$I$51,M762=phu!$I$52,M762=phu!$I$53),"Cam Linh",""),IF(OR(M762=phu!$I$54,M762=phu!$I$55,M762=phu!$I$56,M762=phu!$I$57,M762=phu!$I$58,M762=phu!$I$59,M762=phu!$I$60,M762=phu!$I$61,M762=phu!$I$62),"Cam Lợi",""),IF(OR(M762=phu!$I$63,M762=phu!$I$64,M762=phu!$I$65,M762=phu!$I$66,M762=phu!$I$67,M762=phu!$I$68,M762=phu!$I$69,M762=phu!$I$70,M762=phu!$I$71),"Ba Ngòi",""),IF(OR(M762=phu!$I$72,M762=phu!$I$73,M762=phu!$I$74,M762=phu!$I$75,M762=phu!$I$76,M762=phu!$I$77,M762=phu!$I$78),"Cam Phước Đông",""),IF(OR(M762=phu!$I$79,M762=phu!$I$80,M762=phu!$I$81,M762=phu!$I$82,M762=phu!$I$83,M762=phu!$I$84),"Cam Thịnh Đông",""),IF(OR(M762=phu!$I$85,M762=phu!$I$86,M762=phu!$I$87,M762=phu!$I$88),"Cam Thịnh Tây",""),IF(OR(M762=phu!$I$89,M762=phu!$I$90),"Cam Lập",""),IF(OR(M762=phu!$I$91,M762=phu!$I$92,M762=phu!$I$93),"Cam Bình",""),IF(OR(M762=phu!$I$94,M762=phu!$I$95,M762=phu!$I$96,M762=phu!$I$97,M762=phu!$I$98,M762=phu!$I$99,M762=phu!$I$100),"Huyện khác",""),IF(OR(M762=phu!$I$101,M762=phu!$I$102),"Tỉnh khác",""))</f>
        <v/>
      </c>
      <c r="O762" s="829" t="str">
        <f t="shared" si="66"/>
        <v/>
      </c>
      <c r="P762" s="254"/>
      <c r="Q762" s="254"/>
      <c r="R762" s="254"/>
      <c r="S762" s="254"/>
      <c r="T762" s="254"/>
      <c r="U762" s="254"/>
      <c r="V762" s="254"/>
      <c r="W762" s="254"/>
      <c r="Y762" s="246" t="str">
        <f t="shared" si="67"/>
        <v/>
      </c>
      <c r="Z762" s="247" t="str">
        <f t="shared" si="71"/>
        <v/>
      </c>
      <c r="AA762" s="246" t="str">
        <f t="shared" si="68"/>
        <v/>
      </c>
    </row>
    <row r="763" spans="1:27" ht="18" customHeight="1" x14ac:dyDescent="0.25">
      <c r="A763" s="248" t="str">
        <f t="shared" si="69"/>
        <v/>
      </c>
      <c r="B763" s="249" t="str">
        <f t="shared" si="70"/>
        <v/>
      </c>
      <c r="C763" s="250"/>
      <c r="D763" s="251"/>
      <c r="E763" s="241"/>
      <c r="F763" s="252"/>
      <c r="G763" s="252"/>
      <c r="H763" s="253"/>
      <c r="I763" s="250"/>
      <c r="J763" s="250"/>
      <c r="K763" s="270"/>
      <c r="L763" s="250"/>
      <c r="M763" s="250"/>
      <c r="N763" s="540" t="str">
        <f>CONCATENATE(IF(OR(M763=phu!$I$1,M763=phu!$I$2,M763=phu!$I$3),"Cam Thành Nam",""),IF(OR(M763=phu!$I$4,M763=phu!$I$5,M763=phu!$I$6,M763=phu!$I$7,M763=phu!$I$8,M763=phu!$I$9,M763=phu!$I$10,M763=phu!$I$11,M763=phu!$I$12,M763=phu!$I$13,M763=phu!$I$14),"Cam Nghĩa",""),IF(OR(M763=phu!$I$15,M763=phu!$I$16,M763=phu!$I$17,M763=phu!$I$18,M763=phu!$I$19,M763=phu!$I$20,M763=phu!$I$21),"Cam Phúc Bắc",""),IF(OR(M763=phu!$I$22,M763=phu!$I$23,M763=phu!$I$24,M763=phu!$I$25),"Cam Phúc Nam",""),IF(OR(M763=phu!$I$26,M763=phu!$I$27,M763=phu!$I$28,M763=phu!$I$29,M763=phu!$I$30,M763=phu!$I$31),"Cam Phú",""),IF(OR(M763=phu!$I$32,M763=phu!$I$33,M763=phu!$I$34,M763=phu!$I$35,M763=phu!$I$36,M763=phu!$I$37),"Cam Lộc",""),IF(OR(M763=phu!$I$38,M763=phu!$I$39,M763=phu!$I$40,M763=phu!$I$41,M763=phu!$I$42,M763=phu!$I$43,M763=phu!$I$44),"Cam Thuận",""),IF(OR(M763=phu!$I$45,M763=phu!$I$46,M763=phu!$I$47,M763=phu!$I$48,M763=phu!$I$49,M763=phu!$I$50,M763=phu!$I$51,M763=phu!$I$52,M763=phu!$I$53),"Cam Linh",""),IF(OR(M763=phu!$I$54,M763=phu!$I$55,M763=phu!$I$56,M763=phu!$I$57,M763=phu!$I$58,M763=phu!$I$59,M763=phu!$I$60,M763=phu!$I$61,M763=phu!$I$62),"Cam Lợi",""),IF(OR(M763=phu!$I$63,M763=phu!$I$64,M763=phu!$I$65,M763=phu!$I$66,M763=phu!$I$67,M763=phu!$I$68,M763=phu!$I$69,M763=phu!$I$70,M763=phu!$I$71),"Ba Ngòi",""),IF(OR(M763=phu!$I$72,M763=phu!$I$73,M763=phu!$I$74,M763=phu!$I$75,M763=phu!$I$76,M763=phu!$I$77,M763=phu!$I$78),"Cam Phước Đông",""),IF(OR(M763=phu!$I$79,M763=phu!$I$80,M763=phu!$I$81,M763=phu!$I$82,M763=phu!$I$83,M763=phu!$I$84),"Cam Thịnh Đông",""),IF(OR(M763=phu!$I$85,M763=phu!$I$86,M763=phu!$I$87,M763=phu!$I$88),"Cam Thịnh Tây",""),IF(OR(M763=phu!$I$89,M763=phu!$I$90),"Cam Lập",""),IF(OR(M763=phu!$I$91,M763=phu!$I$92,M763=phu!$I$93),"Cam Bình",""),IF(OR(M763=phu!$I$94,M763=phu!$I$95,M763=phu!$I$96,M763=phu!$I$97,M763=phu!$I$98,M763=phu!$I$99,M763=phu!$I$100),"Huyện khác",""),IF(OR(M763=phu!$I$101,M763=phu!$I$102),"Tỉnh khác",""))</f>
        <v/>
      </c>
      <c r="O763" s="829" t="str">
        <f t="shared" si="66"/>
        <v/>
      </c>
      <c r="P763" s="254"/>
      <c r="Q763" s="254"/>
      <c r="R763" s="254"/>
      <c r="S763" s="254"/>
      <c r="T763" s="254"/>
      <c r="U763" s="254"/>
      <c r="V763" s="254"/>
      <c r="W763" s="254"/>
      <c r="Y763" s="246" t="str">
        <f t="shared" si="67"/>
        <v/>
      </c>
      <c r="Z763" s="247" t="str">
        <f t="shared" si="71"/>
        <v/>
      </c>
      <c r="AA763" s="246" t="str">
        <f t="shared" si="68"/>
        <v/>
      </c>
    </row>
    <row r="764" spans="1:27" ht="18" customHeight="1" x14ac:dyDescent="0.25">
      <c r="A764" s="248" t="str">
        <f t="shared" si="69"/>
        <v/>
      </c>
      <c r="B764" s="249" t="str">
        <f t="shared" si="70"/>
        <v/>
      </c>
      <c r="C764" s="250"/>
      <c r="D764" s="251"/>
      <c r="E764" s="241"/>
      <c r="F764" s="252"/>
      <c r="G764" s="252"/>
      <c r="H764" s="253"/>
      <c r="I764" s="250"/>
      <c r="J764" s="250"/>
      <c r="K764" s="270"/>
      <c r="L764" s="250"/>
      <c r="M764" s="250"/>
      <c r="N764" s="540" t="str">
        <f>CONCATENATE(IF(OR(M764=phu!$I$1,M764=phu!$I$2,M764=phu!$I$3),"Cam Thành Nam",""),IF(OR(M764=phu!$I$4,M764=phu!$I$5,M764=phu!$I$6,M764=phu!$I$7,M764=phu!$I$8,M764=phu!$I$9,M764=phu!$I$10,M764=phu!$I$11,M764=phu!$I$12,M764=phu!$I$13,M764=phu!$I$14),"Cam Nghĩa",""),IF(OR(M764=phu!$I$15,M764=phu!$I$16,M764=phu!$I$17,M764=phu!$I$18,M764=phu!$I$19,M764=phu!$I$20,M764=phu!$I$21),"Cam Phúc Bắc",""),IF(OR(M764=phu!$I$22,M764=phu!$I$23,M764=phu!$I$24,M764=phu!$I$25),"Cam Phúc Nam",""),IF(OR(M764=phu!$I$26,M764=phu!$I$27,M764=phu!$I$28,M764=phu!$I$29,M764=phu!$I$30,M764=phu!$I$31),"Cam Phú",""),IF(OR(M764=phu!$I$32,M764=phu!$I$33,M764=phu!$I$34,M764=phu!$I$35,M764=phu!$I$36,M764=phu!$I$37),"Cam Lộc",""),IF(OR(M764=phu!$I$38,M764=phu!$I$39,M764=phu!$I$40,M764=phu!$I$41,M764=phu!$I$42,M764=phu!$I$43,M764=phu!$I$44),"Cam Thuận",""),IF(OR(M764=phu!$I$45,M764=phu!$I$46,M764=phu!$I$47,M764=phu!$I$48,M764=phu!$I$49,M764=phu!$I$50,M764=phu!$I$51,M764=phu!$I$52,M764=phu!$I$53),"Cam Linh",""),IF(OR(M764=phu!$I$54,M764=phu!$I$55,M764=phu!$I$56,M764=phu!$I$57,M764=phu!$I$58,M764=phu!$I$59,M764=phu!$I$60,M764=phu!$I$61,M764=phu!$I$62),"Cam Lợi",""),IF(OR(M764=phu!$I$63,M764=phu!$I$64,M764=phu!$I$65,M764=phu!$I$66,M764=phu!$I$67,M764=phu!$I$68,M764=phu!$I$69,M764=phu!$I$70,M764=phu!$I$71),"Ba Ngòi",""),IF(OR(M764=phu!$I$72,M764=phu!$I$73,M764=phu!$I$74,M764=phu!$I$75,M764=phu!$I$76,M764=phu!$I$77,M764=phu!$I$78),"Cam Phước Đông",""),IF(OR(M764=phu!$I$79,M764=phu!$I$80,M764=phu!$I$81,M764=phu!$I$82,M764=phu!$I$83,M764=phu!$I$84),"Cam Thịnh Đông",""),IF(OR(M764=phu!$I$85,M764=phu!$I$86,M764=phu!$I$87,M764=phu!$I$88),"Cam Thịnh Tây",""),IF(OR(M764=phu!$I$89,M764=phu!$I$90),"Cam Lập",""),IF(OR(M764=phu!$I$91,M764=phu!$I$92,M764=phu!$I$93),"Cam Bình",""),IF(OR(M764=phu!$I$94,M764=phu!$I$95,M764=phu!$I$96,M764=phu!$I$97,M764=phu!$I$98,M764=phu!$I$99,M764=phu!$I$100),"Huyện khác",""),IF(OR(M764=phu!$I$101,M764=phu!$I$102),"Tỉnh khác",""))</f>
        <v/>
      </c>
      <c r="O764" s="829" t="str">
        <f t="shared" si="66"/>
        <v/>
      </c>
      <c r="P764" s="254"/>
      <c r="Q764" s="254"/>
      <c r="R764" s="254"/>
      <c r="S764" s="254"/>
      <c r="T764" s="254"/>
      <c r="U764" s="254"/>
      <c r="V764" s="254"/>
      <c r="W764" s="254"/>
      <c r="Y764" s="246" t="str">
        <f t="shared" si="67"/>
        <v/>
      </c>
      <c r="Z764" s="247" t="str">
        <f t="shared" si="71"/>
        <v/>
      </c>
      <c r="AA764" s="246" t="str">
        <f t="shared" si="68"/>
        <v/>
      </c>
    </row>
    <row r="765" spans="1:27" ht="18" customHeight="1" x14ac:dyDescent="0.25">
      <c r="A765" s="248" t="str">
        <f t="shared" si="69"/>
        <v/>
      </c>
      <c r="B765" s="249" t="str">
        <f t="shared" si="70"/>
        <v/>
      </c>
      <c r="C765" s="250"/>
      <c r="D765" s="251"/>
      <c r="E765" s="241"/>
      <c r="F765" s="252"/>
      <c r="G765" s="252"/>
      <c r="H765" s="253"/>
      <c r="I765" s="250"/>
      <c r="J765" s="250"/>
      <c r="K765" s="270"/>
      <c r="L765" s="250"/>
      <c r="M765" s="250"/>
      <c r="N765" s="540" t="str">
        <f>CONCATENATE(IF(OR(M765=phu!$I$1,M765=phu!$I$2,M765=phu!$I$3),"Cam Thành Nam",""),IF(OR(M765=phu!$I$4,M765=phu!$I$5,M765=phu!$I$6,M765=phu!$I$7,M765=phu!$I$8,M765=phu!$I$9,M765=phu!$I$10,M765=phu!$I$11,M765=phu!$I$12,M765=phu!$I$13,M765=phu!$I$14),"Cam Nghĩa",""),IF(OR(M765=phu!$I$15,M765=phu!$I$16,M765=phu!$I$17,M765=phu!$I$18,M765=phu!$I$19,M765=phu!$I$20,M765=phu!$I$21),"Cam Phúc Bắc",""),IF(OR(M765=phu!$I$22,M765=phu!$I$23,M765=phu!$I$24,M765=phu!$I$25),"Cam Phúc Nam",""),IF(OR(M765=phu!$I$26,M765=phu!$I$27,M765=phu!$I$28,M765=phu!$I$29,M765=phu!$I$30,M765=phu!$I$31),"Cam Phú",""),IF(OR(M765=phu!$I$32,M765=phu!$I$33,M765=phu!$I$34,M765=phu!$I$35,M765=phu!$I$36,M765=phu!$I$37),"Cam Lộc",""),IF(OR(M765=phu!$I$38,M765=phu!$I$39,M765=phu!$I$40,M765=phu!$I$41,M765=phu!$I$42,M765=phu!$I$43,M765=phu!$I$44),"Cam Thuận",""),IF(OR(M765=phu!$I$45,M765=phu!$I$46,M765=phu!$I$47,M765=phu!$I$48,M765=phu!$I$49,M765=phu!$I$50,M765=phu!$I$51,M765=phu!$I$52,M765=phu!$I$53),"Cam Linh",""),IF(OR(M765=phu!$I$54,M765=phu!$I$55,M765=phu!$I$56,M765=phu!$I$57,M765=phu!$I$58,M765=phu!$I$59,M765=phu!$I$60,M765=phu!$I$61,M765=phu!$I$62),"Cam Lợi",""),IF(OR(M765=phu!$I$63,M765=phu!$I$64,M765=phu!$I$65,M765=phu!$I$66,M765=phu!$I$67,M765=phu!$I$68,M765=phu!$I$69,M765=phu!$I$70,M765=phu!$I$71),"Ba Ngòi",""),IF(OR(M765=phu!$I$72,M765=phu!$I$73,M765=phu!$I$74,M765=phu!$I$75,M765=phu!$I$76,M765=phu!$I$77,M765=phu!$I$78),"Cam Phước Đông",""),IF(OR(M765=phu!$I$79,M765=phu!$I$80,M765=phu!$I$81,M765=phu!$I$82,M765=phu!$I$83,M765=phu!$I$84),"Cam Thịnh Đông",""),IF(OR(M765=phu!$I$85,M765=phu!$I$86,M765=phu!$I$87,M765=phu!$I$88),"Cam Thịnh Tây",""),IF(OR(M765=phu!$I$89,M765=phu!$I$90),"Cam Lập",""),IF(OR(M765=phu!$I$91,M765=phu!$I$92,M765=phu!$I$93),"Cam Bình",""),IF(OR(M765=phu!$I$94,M765=phu!$I$95,M765=phu!$I$96,M765=phu!$I$97,M765=phu!$I$98,M765=phu!$I$99,M765=phu!$I$100),"Huyện khác",""),IF(OR(M765=phu!$I$101,M765=phu!$I$102),"Tỉnh khác",""))</f>
        <v/>
      </c>
      <c r="O765" s="829" t="str">
        <f t="shared" si="66"/>
        <v/>
      </c>
      <c r="P765" s="254"/>
      <c r="Q765" s="254"/>
      <c r="R765" s="254"/>
      <c r="S765" s="254"/>
      <c r="T765" s="254"/>
      <c r="U765" s="254"/>
      <c r="V765" s="254"/>
      <c r="W765" s="254"/>
      <c r="Y765" s="246" t="str">
        <f t="shared" si="67"/>
        <v/>
      </c>
      <c r="Z765" s="247" t="str">
        <f t="shared" si="71"/>
        <v/>
      </c>
      <c r="AA765" s="246" t="str">
        <f t="shared" si="68"/>
        <v/>
      </c>
    </row>
    <row r="766" spans="1:27" ht="18" customHeight="1" x14ac:dyDescent="0.25">
      <c r="A766" s="248" t="str">
        <f t="shared" si="69"/>
        <v/>
      </c>
      <c r="B766" s="249" t="str">
        <f t="shared" si="70"/>
        <v/>
      </c>
      <c r="C766" s="250"/>
      <c r="D766" s="251"/>
      <c r="E766" s="241"/>
      <c r="F766" s="252"/>
      <c r="G766" s="252"/>
      <c r="H766" s="253"/>
      <c r="I766" s="250"/>
      <c r="J766" s="250"/>
      <c r="K766" s="270"/>
      <c r="L766" s="250"/>
      <c r="M766" s="250"/>
      <c r="N766" s="540" t="str">
        <f>CONCATENATE(IF(OR(M766=phu!$I$1,M766=phu!$I$2,M766=phu!$I$3),"Cam Thành Nam",""),IF(OR(M766=phu!$I$4,M766=phu!$I$5,M766=phu!$I$6,M766=phu!$I$7,M766=phu!$I$8,M766=phu!$I$9,M766=phu!$I$10,M766=phu!$I$11,M766=phu!$I$12,M766=phu!$I$13,M766=phu!$I$14),"Cam Nghĩa",""),IF(OR(M766=phu!$I$15,M766=phu!$I$16,M766=phu!$I$17,M766=phu!$I$18,M766=phu!$I$19,M766=phu!$I$20,M766=phu!$I$21),"Cam Phúc Bắc",""),IF(OR(M766=phu!$I$22,M766=phu!$I$23,M766=phu!$I$24,M766=phu!$I$25),"Cam Phúc Nam",""),IF(OR(M766=phu!$I$26,M766=phu!$I$27,M766=phu!$I$28,M766=phu!$I$29,M766=phu!$I$30,M766=phu!$I$31),"Cam Phú",""),IF(OR(M766=phu!$I$32,M766=phu!$I$33,M766=phu!$I$34,M766=phu!$I$35,M766=phu!$I$36,M766=phu!$I$37),"Cam Lộc",""),IF(OR(M766=phu!$I$38,M766=phu!$I$39,M766=phu!$I$40,M766=phu!$I$41,M766=phu!$I$42,M766=phu!$I$43,M766=phu!$I$44),"Cam Thuận",""),IF(OR(M766=phu!$I$45,M766=phu!$I$46,M766=phu!$I$47,M766=phu!$I$48,M766=phu!$I$49,M766=phu!$I$50,M766=phu!$I$51,M766=phu!$I$52,M766=phu!$I$53),"Cam Linh",""),IF(OR(M766=phu!$I$54,M766=phu!$I$55,M766=phu!$I$56,M766=phu!$I$57,M766=phu!$I$58,M766=phu!$I$59,M766=phu!$I$60,M766=phu!$I$61,M766=phu!$I$62),"Cam Lợi",""),IF(OR(M766=phu!$I$63,M766=phu!$I$64,M766=phu!$I$65,M766=phu!$I$66,M766=phu!$I$67,M766=phu!$I$68,M766=phu!$I$69,M766=phu!$I$70,M766=phu!$I$71),"Ba Ngòi",""),IF(OR(M766=phu!$I$72,M766=phu!$I$73,M766=phu!$I$74,M766=phu!$I$75,M766=phu!$I$76,M766=phu!$I$77,M766=phu!$I$78),"Cam Phước Đông",""),IF(OR(M766=phu!$I$79,M766=phu!$I$80,M766=phu!$I$81,M766=phu!$I$82,M766=phu!$I$83,M766=phu!$I$84),"Cam Thịnh Đông",""),IF(OR(M766=phu!$I$85,M766=phu!$I$86,M766=phu!$I$87,M766=phu!$I$88),"Cam Thịnh Tây",""),IF(OR(M766=phu!$I$89,M766=phu!$I$90),"Cam Lập",""),IF(OR(M766=phu!$I$91,M766=phu!$I$92,M766=phu!$I$93),"Cam Bình",""),IF(OR(M766=phu!$I$94,M766=phu!$I$95,M766=phu!$I$96,M766=phu!$I$97,M766=phu!$I$98,M766=phu!$I$99,M766=phu!$I$100),"Huyện khác",""),IF(OR(M766=phu!$I$101,M766=phu!$I$102),"Tỉnh khác",""))</f>
        <v/>
      </c>
      <c r="O766" s="829" t="str">
        <f t="shared" si="66"/>
        <v/>
      </c>
      <c r="P766" s="254"/>
      <c r="Q766" s="254"/>
      <c r="R766" s="254"/>
      <c r="S766" s="254"/>
      <c r="T766" s="254"/>
      <c r="U766" s="254"/>
      <c r="V766" s="254"/>
      <c r="W766" s="254"/>
      <c r="Y766" s="246" t="str">
        <f t="shared" si="67"/>
        <v/>
      </c>
      <c r="Z766" s="247" t="str">
        <f t="shared" si="71"/>
        <v/>
      </c>
      <c r="AA766" s="246" t="str">
        <f t="shared" si="68"/>
        <v/>
      </c>
    </row>
    <row r="767" spans="1:27" ht="18" customHeight="1" x14ac:dyDescent="0.25">
      <c r="A767" s="248" t="str">
        <f t="shared" si="69"/>
        <v/>
      </c>
      <c r="B767" s="249" t="str">
        <f t="shared" si="70"/>
        <v/>
      </c>
      <c r="C767" s="250"/>
      <c r="D767" s="251"/>
      <c r="E767" s="241"/>
      <c r="F767" s="252"/>
      <c r="G767" s="252"/>
      <c r="H767" s="253"/>
      <c r="I767" s="250"/>
      <c r="J767" s="250"/>
      <c r="K767" s="270"/>
      <c r="L767" s="250"/>
      <c r="M767" s="250"/>
      <c r="N767" s="540" t="str">
        <f>CONCATENATE(IF(OR(M767=phu!$I$1,M767=phu!$I$2,M767=phu!$I$3),"Cam Thành Nam",""),IF(OR(M767=phu!$I$4,M767=phu!$I$5,M767=phu!$I$6,M767=phu!$I$7,M767=phu!$I$8,M767=phu!$I$9,M767=phu!$I$10,M767=phu!$I$11,M767=phu!$I$12,M767=phu!$I$13,M767=phu!$I$14),"Cam Nghĩa",""),IF(OR(M767=phu!$I$15,M767=phu!$I$16,M767=phu!$I$17,M767=phu!$I$18,M767=phu!$I$19,M767=phu!$I$20,M767=phu!$I$21),"Cam Phúc Bắc",""),IF(OR(M767=phu!$I$22,M767=phu!$I$23,M767=phu!$I$24,M767=phu!$I$25),"Cam Phúc Nam",""),IF(OR(M767=phu!$I$26,M767=phu!$I$27,M767=phu!$I$28,M767=phu!$I$29,M767=phu!$I$30,M767=phu!$I$31),"Cam Phú",""),IF(OR(M767=phu!$I$32,M767=phu!$I$33,M767=phu!$I$34,M767=phu!$I$35,M767=phu!$I$36,M767=phu!$I$37),"Cam Lộc",""),IF(OR(M767=phu!$I$38,M767=phu!$I$39,M767=phu!$I$40,M767=phu!$I$41,M767=phu!$I$42,M767=phu!$I$43,M767=phu!$I$44),"Cam Thuận",""),IF(OR(M767=phu!$I$45,M767=phu!$I$46,M767=phu!$I$47,M767=phu!$I$48,M767=phu!$I$49,M767=phu!$I$50,M767=phu!$I$51,M767=phu!$I$52,M767=phu!$I$53),"Cam Linh",""),IF(OR(M767=phu!$I$54,M767=phu!$I$55,M767=phu!$I$56,M767=phu!$I$57,M767=phu!$I$58,M767=phu!$I$59,M767=phu!$I$60,M767=phu!$I$61,M767=phu!$I$62),"Cam Lợi",""),IF(OR(M767=phu!$I$63,M767=phu!$I$64,M767=phu!$I$65,M767=phu!$I$66,M767=phu!$I$67,M767=phu!$I$68,M767=phu!$I$69,M767=phu!$I$70,M767=phu!$I$71),"Ba Ngòi",""),IF(OR(M767=phu!$I$72,M767=phu!$I$73,M767=phu!$I$74,M767=phu!$I$75,M767=phu!$I$76,M767=phu!$I$77,M767=phu!$I$78),"Cam Phước Đông",""),IF(OR(M767=phu!$I$79,M767=phu!$I$80,M767=phu!$I$81,M767=phu!$I$82,M767=phu!$I$83,M767=phu!$I$84),"Cam Thịnh Đông",""),IF(OR(M767=phu!$I$85,M767=phu!$I$86,M767=phu!$I$87,M767=phu!$I$88),"Cam Thịnh Tây",""),IF(OR(M767=phu!$I$89,M767=phu!$I$90),"Cam Lập",""),IF(OR(M767=phu!$I$91,M767=phu!$I$92,M767=phu!$I$93),"Cam Bình",""),IF(OR(M767=phu!$I$94,M767=phu!$I$95,M767=phu!$I$96,M767=phu!$I$97,M767=phu!$I$98,M767=phu!$I$99,M767=phu!$I$100),"Huyện khác",""),IF(OR(M767=phu!$I$101,M767=phu!$I$102),"Tỉnh khác",""))</f>
        <v/>
      </c>
      <c r="O767" s="829" t="str">
        <f t="shared" si="66"/>
        <v/>
      </c>
      <c r="P767" s="254"/>
      <c r="Q767" s="254"/>
      <c r="R767" s="254"/>
      <c r="S767" s="254"/>
      <c r="T767" s="254"/>
      <c r="U767" s="254"/>
      <c r="V767" s="254"/>
      <c r="W767" s="254"/>
      <c r="Y767" s="246" t="str">
        <f t="shared" si="67"/>
        <v/>
      </c>
      <c r="Z767" s="247" t="str">
        <f t="shared" si="71"/>
        <v/>
      </c>
      <c r="AA767" s="246" t="str">
        <f t="shared" si="68"/>
        <v/>
      </c>
    </row>
    <row r="768" spans="1:27" ht="18" customHeight="1" x14ac:dyDescent="0.25">
      <c r="A768" s="248" t="str">
        <f t="shared" si="69"/>
        <v/>
      </c>
      <c r="B768" s="249" t="str">
        <f t="shared" si="70"/>
        <v/>
      </c>
      <c r="C768" s="250"/>
      <c r="D768" s="251"/>
      <c r="E768" s="241"/>
      <c r="F768" s="252"/>
      <c r="G768" s="252"/>
      <c r="H768" s="253"/>
      <c r="I768" s="250"/>
      <c r="J768" s="250"/>
      <c r="K768" s="270"/>
      <c r="L768" s="250"/>
      <c r="M768" s="250"/>
      <c r="N768" s="540" t="str">
        <f>CONCATENATE(IF(OR(M768=phu!$I$1,M768=phu!$I$2,M768=phu!$I$3),"Cam Thành Nam",""),IF(OR(M768=phu!$I$4,M768=phu!$I$5,M768=phu!$I$6,M768=phu!$I$7,M768=phu!$I$8,M768=phu!$I$9,M768=phu!$I$10,M768=phu!$I$11,M768=phu!$I$12,M768=phu!$I$13,M768=phu!$I$14),"Cam Nghĩa",""),IF(OR(M768=phu!$I$15,M768=phu!$I$16,M768=phu!$I$17,M768=phu!$I$18,M768=phu!$I$19,M768=phu!$I$20,M768=phu!$I$21),"Cam Phúc Bắc",""),IF(OR(M768=phu!$I$22,M768=phu!$I$23,M768=phu!$I$24,M768=phu!$I$25),"Cam Phúc Nam",""),IF(OR(M768=phu!$I$26,M768=phu!$I$27,M768=phu!$I$28,M768=phu!$I$29,M768=phu!$I$30,M768=phu!$I$31),"Cam Phú",""),IF(OR(M768=phu!$I$32,M768=phu!$I$33,M768=phu!$I$34,M768=phu!$I$35,M768=phu!$I$36,M768=phu!$I$37),"Cam Lộc",""),IF(OR(M768=phu!$I$38,M768=phu!$I$39,M768=phu!$I$40,M768=phu!$I$41,M768=phu!$I$42,M768=phu!$I$43,M768=phu!$I$44),"Cam Thuận",""),IF(OR(M768=phu!$I$45,M768=phu!$I$46,M768=phu!$I$47,M768=phu!$I$48,M768=phu!$I$49,M768=phu!$I$50,M768=phu!$I$51,M768=phu!$I$52,M768=phu!$I$53),"Cam Linh",""),IF(OR(M768=phu!$I$54,M768=phu!$I$55,M768=phu!$I$56,M768=phu!$I$57,M768=phu!$I$58,M768=phu!$I$59,M768=phu!$I$60,M768=phu!$I$61,M768=phu!$I$62),"Cam Lợi",""),IF(OR(M768=phu!$I$63,M768=phu!$I$64,M768=phu!$I$65,M768=phu!$I$66,M768=phu!$I$67,M768=phu!$I$68,M768=phu!$I$69,M768=phu!$I$70,M768=phu!$I$71),"Ba Ngòi",""),IF(OR(M768=phu!$I$72,M768=phu!$I$73,M768=phu!$I$74,M768=phu!$I$75,M768=phu!$I$76,M768=phu!$I$77,M768=phu!$I$78),"Cam Phước Đông",""),IF(OR(M768=phu!$I$79,M768=phu!$I$80,M768=phu!$I$81,M768=phu!$I$82,M768=phu!$I$83,M768=phu!$I$84),"Cam Thịnh Đông",""),IF(OR(M768=phu!$I$85,M768=phu!$I$86,M768=phu!$I$87,M768=phu!$I$88),"Cam Thịnh Tây",""),IF(OR(M768=phu!$I$89,M768=phu!$I$90),"Cam Lập",""),IF(OR(M768=phu!$I$91,M768=phu!$I$92,M768=phu!$I$93),"Cam Bình",""),IF(OR(M768=phu!$I$94,M768=phu!$I$95,M768=phu!$I$96,M768=phu!$I$97,M768=phu!$I$98,M768=phu!$I$99,M768=phu!$I$100),"Huyện khác",""),IF(OR(M768=phu!$I$101,M768=phu!$I$102),"Tỉnh khác",""))</f>
        <v/>
      </c>
      <c r="O768" s="829" t="str">
        <f t="shared" si="66"/>
        <v/>
      </c>
      <c r="P768" s="254"/>
      <c r="Q768" s="254"/>
      <c r="R768" s="254"/>
      <c r="S768" s="254"/>
      <c r="T768" s="254"/>
      <c r="U768" s="254"/>
      <c r="V768" s="254"/>
      <c r="W768" s="254"/>
      <c r="Y768" s="246" t="str">
        <f t="shared" si="67"/>
        <v/>
      </c>
      <c r="Z768" s="247" t="str">
        <f t="shared" si="71"/>
        <v/>
      </c>
      <c r="AA768" s="246" t="str">
        <f t="shared" si="68"/>
        <v/>
      </c>
    </row>
    <row r="769" spans="1:27" ht="18" customHeight="1" x14ac:dyDescent="0.25">
      <c r="A769" s="248" t="str">
        <f t="shared" si="69"/>
        <v/>
      </c>
      <c r="B769" s="249" t="str">
        <f t="shared" si="70"/>
        <v/>
      </c>
      <c r="C769" s="250"/>
      <c r="D769" s="251"/>
      <c r="E769" s="241"/>
      <c r="F769" s="252"/>
      <c r="G769" s="252"/>
      <c r="H769" s="253"/>
      <c r="I769" s="250"/>
      <c r="J769" s="250"/>
      <c r="K769" s="270"/>
      <c r="L769" s="250"/>
      <c r="M769" s="250"/>
      <c r="N769" s="540" t="str">
        <f>CONCATENATE(IF(OR(M769=phu!$I$1,M769=phu!$I$2,M769=phu!$I$3),"Cam Thành Nam",""),IF(OR(M769=phu!$I$4,M769=phu!$I$5,M769=phu!$I$6,M769=phu!$I$7,M769=phu!$I$8,M769=phu!$I$9,M769=phu!$I$10,M769=phu!$I$11,M769=phu!$I$12,M769=phu!$I$13,M769=phu!$I$14),"Cam Nghĩa",""),IF(OR(M769=phu!$I$15,M769=phu!$I$16,M769=phu!$I$17,M769=phu!$I$18,M769=phu!$I$19,M769=phu!$I$20,M769=phu!$I$21),"Cam Phúc Bắc",""),IF(OR(M769=phu!$I$22,M769=phu!$I$23,M769=phu!$I$24,M769=phu!$I$25),"Cam Phúc Nam",""),IF(OR(M769=phu!$I$26,M769=phu!$I$27,M769=phu!$I$28,M769=phu!$I$29,M769=phu!$I$30,M769=phu!$I$31),"Cam Phú",""),IF(OR(M769=phu!$I$32,M769=phu!$I$33,M769=phu!$I$34,M769=phu!$I$35,M769=phu!$I$36,M769=phu!$I$37),"Cam Lộc",""),IF(OR(M769=phu!$I$38,M769=phu!$I$39,M769=phu!$I$40,M769=phu!$I$41,M769=phu!$I$42,M769=phu!$I$43,M769=phu!$I$44),"Cam Thuận",""),IF(OR(M769=phu!$I$45,M769=phu!$I$46,M769=phu!$I$47,M769=phu!$I$48,M769=phu!$I$49,M769=phu!$I$50,M769=phu!$I$51,M769=phu!$I$52,M769=phu!$I$53),"Cam Linh",""),IF(OR(M769=phu!$I$54,M769=phu!$I$55,M769=phu!$I$56,M769=phu!$I$57,M769=phu!$I$58,M769=phu!$I$59,M769=phu!$I$60,M769=phu!$I$61,M769=phu!$I$62),"Cam Lợi",""),IF(OR(M769=phu!$I$63,M769=phu!$I$64,M769=phu!$I$65,M769=phu!$I$66,M769=phu!$I$67,M769=phu!$I$68,M769=phu!$I$69,M769=phu!$I$70,M769=phu!$I$71),"Ba Ngòi",""),IF(OR(M769=phu!$I$72,M769=phu!$I$73,M769=phu!$I$74,M769=phu!$I$75,M769=phu!$I$76,M769=phu!$I$77,M769=phu!$I$78),"Cam Phước Đông",""),IF(OR(M769=phu!$I$79,M769=phu!$I$80,M769=phu!$I$81,M769=phu!$I$82,M769=phu!$I$83,M769=phu!$I$84),"Cam Thịnh Đông",""),IF(OR(M769=phu!$I$85,M769=phu!$I$86,M769=phu!$I$87,M769=phu!$I$88),"Cam Thịnh Tây",""),IF(OR(M769=phu!$I$89,M769=phu!$I$90),"Cam Lập",""),IF(OR(M769=phu!$I$91,M769=phu!$I$92,M769=phu!$I$93),"Cam Bình",""),IF(OR(M769=phu!$I$94,M769=phu!$I$95,M769=phu!$I$96,M769=phu!$I$97,M769=phu!$I$98,M769=phu!$I$99,M769=phu!$I$100),"Huyện khác",""),IF(OR(M769=phu!$I$101,M769=phu!$I$102),"Tỉnh khác",""))</f>
        <v/>
      </c>
      <c r="O769" s="829" t="str">
        <f t="shared" si="66"/>
        <v/>
      </c>
      <c r="P769" s="254"/>
      <c r="Q769" s="254"/>
      <c r="R769" s="254"/>
      <c r="S769" s="254"/>
      <c r="T769" s="254"/>
      <c r="U769" s="254"/>
      <c r="V769" s="254"/>
      <c r="W769" s="254"/>
      <c r="Y769" s="246" t="str">
        <f t="shared" si="67"/>
        <v/>
      </c>
      <c r="Z769" s="247" t="str">
        <f t="shared" si="71"/>
        <v/>
      </c>
      <c r="AA769" s="246" t="str">
        <f t="shared" si="68"/>
        <v/>
      </c>
    </row>
    <row r="770" spans="1:27" ht="18" customHeight="1" x14ac:dyDescent="0.25">
      <c r="A770" s="248" t="str">
        <f t="shared" si="69"/>
        <v/>
      </c>
      <c r="B770" s="249" t="str">
        <f t="shared" si="70"/>
        <v/>
      </c>
      <c r="C770" s="250"/>
      <c r="D770" s="251"/>
      <c r="E770" s="241"/>
      <c r="F770" s="252"/>
      <c r="G770" s="252"/>
      <c r="H770" s="253"/>
      <c r="I770" s="250"/>
      <c r="J770" s="250"/>
      <c r="K770" s="270"/>
      <c r="L770" s="250"/>
      <c r="M770" s="250"/>
      <c r="N770" s="540" t="str">
        <f>CONCATENATE(IF(OR(M770=phu!$I$1,M770=phu!$I$2,M770=phu!$I$3),"Cam Thành Nam",""),IF(OR(M770=phu!$I$4,M770=phu!$I$5,M770=phu!$I$6,M770=phu!$I$7,M770=phu!$I$8,M770=phu!$I$9,M770=phu!$I$10,M770=phu!$I$11,M770=phu!$I$12,M770=phu!$I$13,M770=phu!$I$14),"Cam Nghĩa",""),IF(OR(M770=phu!$I$15,M770=phu!$I$16,M770=phu!$I$17,M770=phu!$I$18,M770=phu!$I$19,M770=phu!$I$20,M770=phu!$I$21),"Cam Phúc Bắc",""),IF(OR(M770=phu!$I$22,M770=phu!$I$23,M770=phu!$I$24,M770=phu!$I$25),"Cam Phúc Nam",""),IF(OR(M770=phu!$I$26,M770=phu!$I$27,M770=phu!$I$28,M770=phu!$I$29,M770=phu!$I$30,M770=phu!$I$31),"Cam Phú",""),IF(OR(M770=phu!$I$32,M770=phu!$I$33,M770=phu!$I$34,M770=phu!$I$35,M770=phu!$I$36,M770=phu!$I$37),"Cam Lộc",""),IF(OR(M770=phu!$I$38,M770=phu!$I$39,M770=phu!$I$40,M770=phu!$I$41,M770=phu!$I$42,M770=phu!$I$43,M770=phu!$I$44),"Cam Thuận",""),IF(OR(M770=phu!$I$45,M770=phu!$I$46,M770=phu!$I$47,M770=phu!$I$48,M770=phu!$I$49,M770=phu!$I$50,M770=phu!$I$51,M770=phu!$I$52,M770=phu!$I$53),"Cam Linh",""),IF(OR(M770=phu!$I$54,M770=phu!$I$55,M770=phu!$I$56,M770=phu!$I$57,M770=phu!$I$58,M770=phu!$I$59,M770=phu!$I$60,M770=phu!$I$61,M770=phu!$I$62),"Cam Lợi",""),IF(OR(M770=phu!$I$63,M770=phu!$I$64,M770=phu!$I$65,M770=phu!$I$66,M770=phu!$I$67,M770=phu!$I$68,M770=phu!$I$69,M770=phu!$I$70,M770=phu!$I$71),"Ba Ngòi",""),IF(OR(M770=phu!$I$72,M770=phu!$I$73,M770=phu!$I$74,M770=phu!$I$75,M770=phu!$I$76,M770=phu!$I$77,M770=phu!$I$78),"Cam Phước Đông",""),IF(OR(M770=phu!$I$79,M770=phu!$I$80,M770=phu!$I$81,M770=phu!$I$82,M770=phu!$I$83,M770=phu!$I$84),"Cam Thịnh Đông",""),IF(OR(M770=phu!$I$85,M770=phu!$I$86,M770=phu!$I$87,M770=phu!$I$88),"Cam Thịnh Tây",""),IF(OR(M770=phu!$I$89,M770=phu!$I$90),"Cam Lập",""),IF(OR(M770=phu!$I$91,M770=phu!$I$92,M770=phu!$I$93),"Cam Bình",""),IF(OR(M770=phu!$I$94,M770=phu!$I$95,M770=phu!$I$96,M770=phu!$I$97,M770=phu!$I$98,M770=phu!$I$99,M770=phu!$I$100),"Huyện khác",""),IF(OR(M770=phu!$I$101,M770=phu!$I$102),"Tỉnh khác",""))</f>
        <v/>
      </c>
      <c r="O770" s="829" t="str">
        <f t="shared" si="66"/>
        <v/>
      </c>
      <c r="P770" s="254"/>
      <c r="Q770" s="254"/>
      <c r="R770" s="254"/>
      <c r="S770" s="254"/>
      <c r="T770" s="254"/>
      <c r="U770" s="254"/>
      <c r="V770" s="254"/>
      <c r="W770" s="254"/>
      <c r="Y770" s="246" t="str">
        <f t="shared" si="67"/>
        <v/>
      </c>
      <c r="Z770" s="247" t="str">
        <f t="shared" si="71"/>
        <v/>
      </c>
      <c r="AA770" s="246" t="str">
        <f t="shared" si="68"/>
        <v/>
      </c>
    </row>
    <row r="771" spans="1:27" ht="18" customHeight="1" x14ac:dyDescent="0.25">
      <c r="A771" s="248" t="str">
        <f t="shared" si="69"/>
        <v/>
      </c>
      <c r="B771" s="249" t="str">
        <f t="shared" si="70"/>
        <v/>
      </c>
      <c r="C771" s="250"/>
      <c r="D771" s="251"/>
      <c r="E771" s="241"/>
      <c r="F771" s="252"/>
      <c r="G771" s="252"/>
      <c r="H771" s="253"/>
      <c r="I771" s="250"/>
      <c r="J771" s="250"/>
      <c r="K771" s="270"/>
      <c r="L771" s="250"/>
      <c r="M771" s="250"/>
      <c r="N771" s="540" t="str">
        <f>CONCATENATE(IF(OR(M771=phu!$I$1,M771=phu!$I$2,M771=phu!$I$3),"Cam Thành Nam",""),IF(OR(M771=phu!$I$4,M771=phu!$I$5,M771=phu!$I$6,M771=phu!$I$7,M771=phu!$I$8,M771=phu!$I$9,M771=phu!$I$10,M771=phu!$I$11,M771=phu!$I$12,M771=phu!$I$13,M771=phu!$I$14),"Cam Nghĩa",""),IF(OR(M771=phu!$I$15,M771=phu!$I$16,M771=phu!$I$17,M771=phu!$I$18,M771=phu!$I$19,M771=phu!$I$20,M771=phu!$I$21),"Cam Phúc Bắc",""),IF(OR(M771=phu!$I$22,M771=phu!$I$23,M771=phu!$I$24,M771=phu!$I$25),"Cam Phúc Nam",""),IF(OR(M771=phu!$I$26,M771=phu!$I$27,M771=phu!$I$28,M771=phu!$I$29,M771=phu!$I$30,M771=phu!$I$31),"Cam Phú",""),IF(OR(M771=phu!$I$32,M771=phu!$I$33,M771=phu!$I$34,M771=phu!$I$35,M771=phu!$I$36,M771=phu!$I$37),"Cam Lộc",""),IF(OR(M771=phu!$I$38,M771=phu!$I$39,M771=phu!$I$40,M771=phu!$I$41,M771=phu!$I$42,M771=phu!$I$43,M771=phu!$I$44),"Cam Thuận",""),IF(OR(M771=phu!$I$45,M771=phu!$I$46,M771=phu!$I$47,M771=phu!$I$48,M771=phu!$I$49,M771=phu!$I$50,M771=phu!$I$51,M771=phu!$I$52,M771=phu!$I$53),"Cam Linh",""),IF(OR(M771=phu!$I$54,M771=phu!$I$55,M771=phu!$I$56,M771=phu!$I$57,M771=phu!$I$58,M771=phu!$I$59,M771=phu!$I$60,M771=phu!$I$61,M771=phu!$I$62),"Cam Lợi",""),IF(OR(M771=phu!$I$63,M771=phu!$I$64,M771=phu!$I$65,M771=phu!$I$66,M771=phu!$I$67,M771=phu!$I$68,M771=phu!$I$69,M771=phu!$I$70,M771=phu!$I$71),"Ba Ngòi",""),IF(OR(M771=phu!$I$72,M771=phu!$I$73,M771=phu!$I$74,M771=phu!$I$75,M771=phu!$I$76,M771=phu!$I$77,M771=phu!$I$78),"Cam Phước Đông",""),IF(OR(M771=phu!$I$79,M771=phu!$I$80,M771=phu!$I$81,M771=phu!$I$82,M771=phu!$I$83,M771=phu!$I$84),"Cam Thịnh Đông",""),IF(OR(M771=phu!$I$85,M771=phu!$I$86,M771=phu!$I$87,M771=phu!$I$88),"Cam Thịnh Tây",""),IF(OR(M771=phu!$I$89,M771=phu!$I$90),"Cam Lập",""),IF(OR(M771=phu!$I$91,M771=phu!$I$92,M771=phu!$I$93),"Cam Bình",""),IF(OR(M771=phu!$I$94,M771=phu!$I$95,M771=phu!$I$96,M771=phu!$I$97,M771=phu!$I$98,M771=phu!$I$99,M771=phu!$I$100),"Huyện khác",""),IF(OR(M771=phu!$I$101,M771=phu!$I$102),"Tỉnh khác",""))</f>
        <v/>
      </c>
      <c r="O771" s="829" t="str">
        <f t="shared" si="66"/>
        <v/>
      </c>
      <c r="P771" s="254"/>
      <c r="Q771" s="254"/>
      <c r="R771" s="254"/>
      <c r="S771" s="254"/>
      <c r="T771" s="254"/>
      <c r="U771" s="254"/>
      <c r="V771" s="254"/>
      <c r="W771" s="254"/>
      <c r="Y771" s="246" t="str">
        <f t="shared" si="67"/>
        <v/>
      </c>
      <c r="Z771" s="247" t="str">
        <f t="shared" si="71"/>
        <v/>
      </c>
      <c r="AA771" s="246" t="str">
        <f t="shared" si="68"/>
        <v/>
      </c>
    </row>
    <row r="772" spans="1:27" ht="18" customHeight="1" x14ac:dyDescent="0.25">
      <c r="A772" s="248" t="str">
        <f t="shared" si="69"/>
        <v/>
      </c>
      <c r="B772" s="249" t="str">
        <f t="shared" si="70"/>
        <v/>
      </c>
      <c r="C772" s="250"/>
      <c r="D772" s="251"/>
      <c r="E772" s="241"/>
      <c r="F772" s="252"/>
      <c r="G772" s="252"/>
      <c r="H772" s="253"/>
      <c r="I772" s="250"/>
      <c r="J772" s="250"/>
      <c r="K772" s="270"/>
      <c r="L772" s="250"/>
      <c r="M772" s="250"/>
      <c r="N772" s="540" t="str">
        <f>CONCATENATE(IF(OR(M772=phu!$I$1,M772=phu!$I$2,M772=phu!$I$3),"Cam Thành Nam",""),IF(OR(M772=phu!$I$4,M772=phu!$I$5,M772=phu!$I$6,M772=phu!$I$7,M772=phu!$I$8,M772=phu!$I$9,M772=phu!$I$10,M772=phu!$I$11,M772=phu!$I$12,M772=phu!$I$13,M772=phu!$I$14),"Cam Nghĩa",""),IF(OR(M772=phu!$I$15,M772=phu!$I$16,M772=phu!$I$17,M772=phu!$I$18,M772=phu!$I$19,M772=phu!$I$20,M772=phu!$I$21),"Cam Phúc Bắc",""),IF(OR(M772=phu!$I$22,M772=phu!$I$23,M772=phu!$I$24,M772=phu!$I$25),"Cam Phúc Nam",""),IF(OR(M772=phu!$I$26,M772=phu!$I$27,M772=phu!$I$28,M772=phu!$I$29,M772=phu!$I$30,M772=phu!$I$31),"Cam Phú",""),IF(OR(M772=phu!$I$32,M772=phu!$I$33,M772=phu!$I$34,M772=phu!$I$35,M772=phu!$I$36,M772=phu!$I$37),"Cam Lộc",""),IF(OR(M772=phu!$I$38,M772=phu!$I$39,M772=phu!$I$40,M772=phu!$I$41,M772=phu!$I$42,M772=phu!$I$43,M772=phu!$I$44),"Cam Thuận",""),IF(OR(M772=phu!$I$45,M772=phu!$I$46,M772=phu!$I$47,M772=phu!$I$48,M772=phu!$I$49,M772=phu!$I$50,M772=phu!$I$51,M772=phu!$I$52,M772=phu!$I$53),"Cam Linh",""),IF(OR(M772=phu!$I$54,M772=phu!$I$55,M772=phu!$I$56,M772=phu!$I$57,M772=phu!$I$58,M772=phu!$I$59,M772=phu!$I$60,M772=phu!$I$61,M772=phu!$I$62),"Cam Lợi",""),IF(OR(M772=phu!$I$63,M772=phu!$I$64,M772=phu!$I$65,M772=phu!$I$66,M772=phu!$I$67,M772=phu!$I$68,M772=phu!$I$69,M772=phu!$I$70,M772=phu!$I$71),"Ba Ngòi",""),IF(OR(M772=phu!$I$72,M772=phu!$I$73,M772=phu!$I$74,M772=phu!$I$75,M772=phu!$I$76,M772=phu!$I$77,M772=phu!$I$78),"Cam Phước Đông",""),IF(OR(M772=phu!$I$79,M772=phu!$I$80,M772=phu!$I$81,M772=phu!$I$82,M772=phu!$I$83,M772=phu!$I$84),"Cam Thịnh Đông",""),IF(OR(M772=phu!$I$85,M772=phu!$I$86,M772=phu!$I$87,M772=phu!$I$88),"Cam Thịnh Tây",""),IF(OR(M772=phu!$I$89,M772=phu!$I$90),"Cam Lập",""),IF(OR(M772=phu!$I$91,M772=phu!$I$92,M772=phu!$I$93),"Cam Bình",""),IF(OR(M772=phu!$I$94,M772=phu!$I$95,M772=phu!$I$96,M772=phu!$I$97,M772=phu!$I$98,M772=phu!$I$99,M772=phu!$I$100),"Huyện khác",""),IF(OR(M772=phu!$I$101,M772=phu!$I$102),"Tỉnh khác",""))</f>
        <v/>
      </c>
      <c r="O772" s="829" t="str">
        <f t="shared" si="66"/>
        <v/>
      </c>
      <c r="P772" s="254"/>
      <c r="Q772" s="254"/>
      <c r="R772" s="254"/>
      <c r="S772" s="254"/>
      <c r="T772" s="254"/>
      <c r="U772" s="254"/>
      <c r="V772" s="254"/>
      <c r="W772" s="254"/>
      <c r="Y772" s="246" t="str">
        <f t="shared" si="67"/>
        <v/>
      </c>
      <c r="Z772" s="247" t="str">
        <f t="shared" si="71"/>
        <v/>
      </c>
      <c r="AA772" s="246" t="str">
        <f t="shared" si="68"/>
        <v/>
      </c>
    </row>
    <row r="773" spans="1:27" ht="18" customHeight="1" x14ac:dyDescent="0.25">
      <c r="A773" s="248" t="str">
        <f t="shared" si="69"/>
        <v/>
      </c>
      <c r="B773" s="249" t="str">
        <f t="shared" si="70"/>
        <v/>
      </c>
      <c r="C773" s="250"/>
      <c r="D773" s="251"/>
      <c r="E773" s="241"/>
      <c r="F773" s="252"/>
      <c r="G773" s="252"/>
      <c r="H773" s="253"/>
      <c r="I773" s="250"/>
      <c r="J773" s="250"/>
      <c r="K773" s="270"/>
      <c r="L773" s="250"/>
      <c r="M773" s="250"/>
      <c r="N773" s="540" t="str">
        <f>CONCATENATE(IF(OR(M773=phu!$I$1,M773=phu!$I$2,M773=phu!$I$3),"Cam Thành Nam",""),IF(OR(M773=phu!$I$4,M773=phu!$I$5,M773=phu!$I$6,M773=phu!$I$7,M773=phu!$I$8,M773=phu!$I$9,M773=phu!$I$10,M773=phu!$I$11,M773=phu!$I$12,M773=phu!$I$13,M773=phu!$I$14),"Cam Nghĩa",""),IF(OR(M773=phu!$I$15,M773=phu!$I$16,M773=phu!$I$17,M773=phu!$I$18,M773=phu!$I$19,M773=phu!$I$20,M773=phu!$I$21),"Cam Phúc Bắc",""),IF(OR(M773=phu!$I$22,M773=phu!$I$23,M773=phu!$I$24,M773=phu!$I$25),"Cam Phúc Nam",""),IF(OR(M773=phu!$I$26,M773=phu!$I$27,M773=phu!$I$28,M773=phu!$I$29,M773=phu!$I$30,M773=phu!$I$31),"Cam Phú",""),IF(OR(M773=phu!$I$32,M773=phu!$I$33,M773=phu!$I$34,M773=phu!$I$35,M773=phu!$I$36,M773=phu!$I$37),"Cam Lộc",""),IF(OR(M773=phu!$I$38,M773=phu!$I$39,M773=phu!$I$40,M773=phu!$I$41,M773=phu!$I$42,M773=phu!$I$43,M773=phu!$I$44),"Cam Thuận",""),IF(OR(M773=phu!$I$45,M773=phu!$I$46,M773=phu!$I$47,M773=phu!$I$48,M773=phu!$I$49,M773=phu!$I$50,M773=phu!$I$51,M773=phu!$I$52,M773=phu!$I$53),"Cam Linh",""),IF(OR(M773=phu!$I$54,M773=phu!$I$55,M773=phu!$I$56,M773=phu!$I$57,M773=phu!$I$58,M773=phu!$I$59,M773=phu!$I$60,M773=phu!$I$61,M773=phu!$I$62),"Cam Lợi",""),IF(OR(M773=phu!$I$63,M773=phu!$I$64,M773=phu!$I$65,M773=phu!$I$66,M773=phu!$I$67,M773=phu!$I$68,M773=phu!$I$69,M773=phu!$I$70,M773=phu!$I$71),"Ba Ngòi",""),IF(OR(M773=phu!$I$72,M773=phu!$I$73,M773=phu!$I$74,M773=phu!$I$75,M773=phu!$I$76,M773=phu!$I$77,M773=phu!$I$78),"Cam Phước Đông",""),IF(OR(M773=phu!$I$79,M773=phu!$I$80,M773=phu!$I$81,M773=phu!$I$82,M773=phu!$I$83,M773=phu!$I$84),"Cam Thịnh Đông",""),IF(OR(M773=phu!$I$85,M773=phu!$I$86,M773=phu!$I$87,M773=phu!$I$88),"Cam Thịnh Tây",""),IF(OR(M773=phu!$I$89,M773=phu!$I$90),"Cam Lập",""),IF(OR(M773=phu!$I$91,M773=phu!$I$92,M773=phu!$I$93),"Cam Bình",""),IF(OR(M773=phu!$I$94,M773=phu!$I$95,M773=phu!$I$96,M773=phu!$I$97,M773=phu!$I$98,M773=phu!$I$99,M773=phu!$I$100),"Huyện khác",""),IF(OR(M773=phu!$I$101,M773=phu!$I$102),"Tỉnh khác",""))</f>
        <v/>
      </c>
      <c r="O773" s="829" t="str">
        <f t="shared" si="66"/>
        <v/>
      </c>
      <c r="P773" s="254"/>
      <c r="Q773" s="254"/>
      <c r="R773" s="254"/>
      <c r="S773" s="254"/>
      <c r="T773" s="254"/>
      <c r="U773" s="254"/>
      <c r="V773" s="254"/>
      <c r="W773" s="254"/>
      <c r="Y773" s="246" t="str">
        <f t="shared" si="67"/>
        <v/>
      </c>
      <c r="Z773" s="247" t="str">
        <f t="shared" si="71"/>
        <v/>
      </c>
      <c r="AA773" s="246" t="str">
        <f t="shared" si="68"/>
        <v/>
      </c>
    </row>
    <row r="774" spans="1:27" ht="18" customHeight="1" x14ac:dyDescent="0.25">
      <c r="A774" s="248" t="str">
        <f t="shared" si="69"/>
        <v/>
      </c>
      <c r="B774" s="249" t="str">
        <f t="shared" si="70"/>
        <v/>
      </c>
      <c r="C774" s="250"/>
      <c r="D774" s="251"/>
      <c r="E774" s="241"/>
      <c r="F774" s="252"/>
      <c r="G774" s="252"/>
      <c r="H774" s="253"/>
      <c r="I774" s="250"/>
      <c r="J774" s="250"/>
      <c r="K774" s="270"/>
      <c r="L774" s="250"/>
      <c r="M774" s="250"/>
      <c r="N774" s="540" t="str">
        <f>CONCATENATE(IF(OR(M774=phu!$I$1,M774=phu!$I$2,M774=phu!$I$3),"Cam Thành Nam",""),IF(OR(M774=phu!$I$4,M774=phu!$I$5,M774=phu!$I$6,M774=phu!$I$7,M774=phu!$I$8,M774=phu!$I$9,M774=phu!$I$10,M774=phu!$I$11,M774=phu!$I$12,M774=phu!$I$13,M774=phu!$I$14),"Cam Nghĩa",""),IF(OR(M774=phu!$I$15,M774=phu!$I$16,M774=phu!$I$17,M774=phu!$I$18,M774=phu!$I$19,M774=phu!$I$20,M774=phu!$I$21),"Cam Phúc Bắc",""),IF(OR(M774=phu!$I$22,M774=phu!$I$23,M774=phu!$I$24,M774=phu!$I$25),"Cam Phúc Nam",""),IF(OR(M774=phu!$I$26,M774=phu!$I$27,M774=phu!$I$28,M774=phu!$I$29,M774=phu!$I$30,M774=phu!$I$31),"Cam Phú",""),IF(OR(M774=phu!$I$32,M774=phu!$I$33,M774=phu!$I$34,M774=phu!$I$35,M774=phu!$I$36,M774=phu!$I$37),"Cam Lộc",""),IF(OR(M774=phu!$I$38,M774=phu!$I$39,M774=phu!$I$40,M774=phu!$I$41,M774=phu!$I$42,M774=phu!$I$43,M774=phu!$I$44),"Cam Thuận",""),IF(OR(M774=phu!$I$45,M774=phu!$I$46,M774=phu!$I$47,M774=phu!$I$48,M774=phu!$I$49,M774=phu!$I$50,M774=phu!$I$51,M774=phu!$I$52,M774=phu!$I$53),"Cam Linh",""),IF(OR(M774=phu!$I$54,M774=phu!$I$55,M774=phu!$I$56,M774=phu!$I$57,M774=phu!$I$58,M774=phu!$I$59,M774=phu!$I$60,M774=phu!$I$61,M774=phu!$I$62),"Cam Lợi",""),IF(OR(M774=phu!$I$63,M774=phu!$I$64,M774=phu!$I$65,M774=phu!$I$66,M774=phu!$I$67,M774=phu!$I$68,M774=phu!$I$69,M774=phu!$I$70,M774=phu!$I$71),"Ba Ngòi",""),IF(OR(M774=phu!$I$72,M774=phu!$I$73,M774=phu!$I$74,M774=phu!$I$75,M774=phu!$I$76,M774=phu!$I$77,M774=phu!$I$78),"Cam Phước Đông",""),IF(OR(M774=phu!$I$79,M774=phu!$I$80,M774=phu!$I$81,M774=phu!$I$82,M774=phu!$I$83,M774=phu!$I$84),"Cam Thịnh Đông",""),IF(OR(M774=phu!$I$85,M774=phu!$I$86,M774=phu!$I$87,M774=phu!$I$88),"Cam Thịnh Tây",""),IF(OR(M774=phu!$I$89,M774=phu!$I$90),"Cam Lập",""),IF(OR(M774=phu!$I$91,M774=phu!$I$92,M774=phu!$I$93),"Cam Bình",""),IF(OR(M774=phu!$I$94,M774=phu!$I$95,M774=phu!$I$96,M774=phu!$I$97,M774=phu!$I$98,M774=phu!$I$99,M774=phu!$I$100),"Huyện khác",""),IF(OR(M774=phu!$I$101,M774=phu!$I$102),"Tỉnh khác",""))</f>
        <v/>
      </c>
      <c r="O774" s="829" t="str">
        <f t="shared" si="66"/>
        <v/>
      </c>
      <c r="P774" s="254"/>
      <c r="Q774" s="254"/>
      <c r="R774" s="254"/>
      <c r="S774" s="254"/>
      <c r="T774" s="254"/>
      <c r="U774" s="254"/>
      <c r="V774" s="254"/>
      <c r="W774" s="254"/>
      <c r="Y774" s="246" t="str">
        <f t="shared" si="67"/>
        <v/>
      </c>
      <c r="Z774" s="247" t="str">
        <f t="shared" si="71"/>
        <v/>
      </c>
      <c r="AA774" s="246" t="str">
        <f t="shared" si="68"/>
        <v/>
      </c>
    </row>
    <row r="775" spans="1:27" ht="18" customHeight="1" x14ac:dyDescent="0.25">
      <c r="A775" s="248" t="str">
        <f t="shared" si="69"/>
        <v/>
      </c>
      <c r="B775" s="249" t="str">
        <f t="shared" si="70"/>
        <v/>
      </c>
      <c r="C775" s="250"/>
      <c r="D775" s="251"/>
      <c r="E775" s="241"/>
      <c r="F775" s="252"/>
      <c r="G775" s="252"/>
      <c r="H775" s="253"/>
      <c r="I775" s="250"/>
      <c r="J775" s="250"/>
      <c r="K775" s="270"/>
      <c r="L775" s="250"/>
      <c r="M775" s="250"/>
      <c r="N775" s="540" t="str">
        <f>CONCATENATE(IF(OR(M775=phu!$I$1,M775=phu!$I$2,M775=phu!$I$3),"Cam Thành Nam",""),IF(OR(M775=phu!$I$4,M775=phu!$I$5,M775=phu!$I$6,M775=phu!$I$7,M775=phu!$I$8,M775=phu!$I$9,M775=phu!$I$10,M775=phu!$I$11,M775=phu!$I$12,M775=phu!$I$13,M775=phu!$I$14),"Cam Nghĩa",""),IF(OR(M775=phu!$I$15,M775=phu!$I$16,M775=phu!$I$17,M775=phu!$I$18,M775=phu!$I$19,M775=phu!$I$20,M775=phu!$I$21),"Cam Phúc Bắc",""),IF(OR(M775=phu!$I$22,M775=phu!$I$23,M775=phu!$I$24,M775=phu!$I$25),"Cam Phúc Nam",""),IF(OR(M775=phu!$I$26,M775=phu!$I$27,M775=phu!$I$28,M775=phu!$I$29,M775=phu!$I$30,M775=phu!$I$31),"Cam Phú",""),IF(OR(M775=phu!$I$32,M775=phu!$I$33,M775=phu!$I$34,M775=phu!$I$35,M775=phu!$I$36,M775=phu!$I$37),"Cam Lộc",""),IF(OR(M775=phu!$I$38,M775=phu!$I$39,M775=phu!$I$40,M775=phu!$I$41,M775=phu!$I$42,M775=phu!$I$43,M775=phu!$I$44),"Cam Thuận",""),IF(OR(M775=phu!$I$45,M775=phu!$I$46,M775=phu!$I$47,M775=phu!$I$48,M775=phu!$I$49,M775=phu!$I$50,M775=phu!$I$51,M775=phu!$I$52,M775=phu!$I$53),"Cam Linh",""),IF(OR(M775=phu!$I$54,M775=phu!$I$55,M775=phu!$I$56,M775=phu!$I$57,M775=phu!$I$58,M775=phu!$I$59,M775=phu!$I$60,M775=phu!$I$61,M775=phu!$I$62),"Cam Lợi",""),IF(OR(M775=phu!$I$63,M775=phu!$I$64,M775=phu!$I$65,M775=phu!$I$66,M775=phu!$I$67,M775=phu!$I$68,M775=phu!$I$69,M775=phu!$I$70,M775=phu!$I$71),"Ba Ngòi",""),IF(OR(M775=phu!$I$72,M775=phu!$I$73,M775=phu!$I$74,M775=phu!$I$75,M775=phu!$I$76,M775=phu!$I$77,M775=phu!$I$78),"Cam Phước Đông",""),IF(OR(M775=phu!$I$79,M775=phu!$I$80,M775=phu!$I$81,M775=phu!$I$82,M775=phu!$I$83,M775=phu!$I$84),"Cam Thịnh Đông",""),IF(OR(M775=phu!$I$85,M775=phu!$I$86,M775=phu!$I$87,M775=phu!$I$88),"Cam Thịnh Tây",""),IF(OR(M775=phu!$I$89,M775=phu!$I$90),"Cam Lập",""),IF(OR(M775=phu!$I$91,M775=phu!$I$92,M775=phu!$I$93),"Cam Bình",""),IF(OR(M775=phu!$I$94,M775=phu!$I$95,M775=phu!$I$96,M775=phu!$I$97,M775=phu!$I$98,M775=phu!$I$99,M775=phu!$I$100),"Huyện khác",""),IF(OR(M775=phu!$I$101,M775=phu!$I$102),"Tỉnh khác",""))</f>
        <v/>
      </c>
      <c r="O775" s="829" t="str">
        <f t="shared" ref="O775:O838" si="72">CONCATENATE(IF(OR(N775="Cam Thành Nam",N775="Cam Nghĩa",N775="Cam Phúc Bắc"),"Bắc Cam Ranh",""),IF(OR(N775="Cam Phúc Nam",N775="Cam Phú",N775="Cam Lộc"),"Cam Ranh",""),IF(OR(N775="Cam Thuận",N775="Cam Linh",N775="Cam Lợi"),"Cam Linh",""),IF(OR(N775="Ba Ngòi",N775="Cam Phước Đông"),"Ba Ngòi",""),IF(OR(N775="Cam Thịnh Đông",N775="Cam Thịnh Tây",N775="Cam Lập",N775="Cam Bình"),"Nam Cam Ranh",""),IF(N775="Huyện khác","Huyện khác",""),IF(N775="Tỉnh khác","Tỉnh khác",""))</f>
        <v/>
      </c>
      <c r="P775" s="254"/>
      <c r="Q775" s="254"/>
      <c r="R775" s="254"/>
      <c r="S775" s="254"/>
      <c r="T775" s="254"/>
      <c r="U775" s="254"/>
      <c r="V775" s="254"/>
      <c r="W775" s="254"/>
      <c r="Y775" s="246" t="str">
        <f t="shared" ref="Y775:Y838" si="73">IF(OR(AND(B775="",C775="",D775="",E775="",F775="",G775="",H775="",I775="",J775="",L775="",M775="",N775="",P775="",Q775="",R775="",S775=""),AND(B775&lt;&gt;"",C775&lt;&gt;"",D775&lt;&gt;"",E775&lt;&gt;"",F775&lt;&gt;"",G775&lt;&gt;"",H775&lt;&gt;"",J775&lt;&gt;"",M775&lt;&gt;"",N775&lt;&gt;"",P775&lt;&gt;"",OR(AND(Q775&lt;&gt;"",R775=""),AND(Q775="",R775&lt;&gt;""),AND(Q775&lt;&gt;"",R775&lt;&gt;"")),OR(AND(K775="X",T775&lt;&gt;""),AND(K775="",T775="")))),"","er")</f>
        <v/>
      </c>
      <c r="Z775" s="247" t="str">
        <f t="shared" si="71"/>
        <v/>
      </c>
      <c r="AA775" s="246" t="str">
        <f t="shared" ref="AA775:AA838" si="74">IF(OR(AND(Z775&lt;=10,B775&gt;5),AND(Z775&lt;=11,B775&gt;6),AND(Z775&lt;=12,B775&gt;7),AND(Z775&lt;=13,B775&gt;8),AND(Z775&lt;=14,B775&gt;9),AND(Z775=11,B775=6,L775="X"),AND(Z775=12,B775=7,L775="X"),AND(Z775=13,B775=8,L775="X"),AND(Z775=14,B775=9,L775="X")),"er","")</f>
        <v/>
      </c>
    </row>
    <row r="776" spans="1:27" ht="18" customHeight="1" x14ac:dyDescent="0.25">
      <c r="A776" s="248" t="str">
        <f t="shared" ref="A776:A839" si="75">IF(OR(A775="",B776="",C776="",D776="",E776=""),"",A775+1)</f>
        <v/>
      </c>
      <c r="B776" s="249" t="str">
        <f t="shared" ref="B776:B839" si="76">IF(C776="","",VALUE(LEFT(C776,1)))</f>
        <v/>
      </c>
      <c r="C776" s="250"/>
      <c r="D776" s="251"/>
      <c r="E776" s="241"/>
      <c r="F776" s="252"/>
      <c r="G776" s="252"/>
      <c r="H776" s="253"/>
      <c r="I776" s="250"/>
      <c r="J776" s="250"/>
      <c r="K776" s="270"/>
      <c r="L776" s="250"/>
      <c r="M776" s="250"/>
      <c r="N776" s="540" t="str">
        <f>CONCATENATE(IF(OR(M776=phu!$I$1,M776=phu!$I$2,M776=phu!$I$3),"Cam Thành Nam",""),IF(OR(M776=phu!$I$4,M776=phu!$I$5,M776=phu!$I$6,M776=phu!$I$7,M776=phu!$I$8,M776=phu!$I$9,M776=phu!$I$10,M776=phu!$I$11,M776=phu!$I$12,M776=phu!$I$13,M776=phu!$I$14),"Cam Nghĩa",""),IF(OR(M776=phu!$I$15,M776=phu!$I$16,M776=phu!$I$17,M776=phu!$I$18,M776=phu!$I$19,M776=phu!$I$20,M776=phu!$I$21),"Cam Phúc Bắc",""),IF(OR(M776=phu!$I$22,M776=phu!$I$23,M776=phu!$I$24,M776=phu!$I$25),"Cam Phúc Nam",""),IF(OR(M776=phu!$I$26,M776=phu!$I$27,M776=phu!$I$28,M776=phu!$I$29,M776=phu!$I$30,M776=phu!$I$31),"Cam Phú",""),IF(OR(M776=phu!$I$32,M776=phu!$I$33,M776=phu!$I$34,M776=phu!$I$35,M776=phu!$I$36,M776=phu!$I$37),"Cam Lộc",""),IF(OR(M776=phu!$I$38,M776=phu!$I$39,M776=phu!$I$40,M776=phu!$I$41,M776=phu!$I$42,M776=phu!$I$43,M776=phu!$I$44),"Cam Thuận",""),IF(OR(M776=phu!$I$45,M776=phu!$I$46,M776=phu!$I$47,M776=phu!$I$48,M776=phu!$I$49,M776=phu!$I$50,M776=phu!$I$51,M776=phu!$I$52,M776=phu!$I$53),"Cam Linh",""),IF(OR(M776=phu!$I$54,M776=phu!$I$55,M776=phu!$I$56,M776=phu!$I$57,M776=phu!$I$58,M776=phu!$I$59,M776=phu!$I$60,M776=phu!$I$61,M776=phu!$I$62),"Cam Lợi",""),IF(OR(M776=phu!$I$63,M776=phu!$I$64,M776=phu!$I$65,M776=phu!$I$66,M776=phu!$I$67,M776=phu!$I$68,M776=phu!$I$69,M776=phu!$I$70,M776=phu!$I$71),"Ba Ngòi",""),IF(OR(M776=phu!$I$72,M776=phu!$I$73,M776=phu!$I$74,M776=phu!$I$75,M776=phu!$I$76,M776=phu!$I$77,M776=phu!$I$78),"Cam Phước Đông",""),IF(OR(M776=phu!$I$79,M776=phu!$I$80,M776=phu!$I$81,M776=phu!$I$82,M776=phu!$I$83,M776=phu!$I$84),"Cam Thịnh Đông",""),IF(OR(M776=phu!$I$85,M776=phu!$I$86,M776=phu!$I$87,M776=phu!$I$88),"Cam Thịnh Tây",""),IF(OR(M776=phu!$I$89,M776=phu!$I$90),"Cam Lập",""),IF(OR(M776=phu!$I$91,M776=phu!$I$92,M776=phu!$I$93),"Cam Bình",""),IF(OR(M776=phu!$I$94,M776=phu!$I$95,M776=phu!$I$96,M776=phu!$I$97,M776=phu!$I$98,M776=phu!$I$99,M776=phu!$I$100),"Huyện khác",""),IF(OR(M776=phu!$I$101,M776=phu!$I$102),"Tỉnh khác",""))</f>
        <v/>
      </c>
      <c r="O776" s="829" t="str">
        <f t="shared" si="72"/>
        <v/>
      </c>
      <c r="P776" s="254"/>
      <c r="Q776" s="254"/>
      <c r="R776" s="254"/>
      <c r="S776" s="254"/>
      <c r="T776" s="254"/>
      <c r="U776" s="254"/>
      <c r="V776" s="254"/>
      <c r="W776" s="254"/>
      <c r="Y776" s="246" t="str">
        <f t="shared" si="73"/>
        <v/>
      </c>
      <c r="Z776" s="247" t="str">
        <f t="shared" ref="Z776:Z839" si="77">IF(H776="","",$Z$1-H776)</f>
        <v/>
      </c>
      <c r="AA776" s="246" t="str">
        <f t="shared" si="74"/>
        <v/>
      </c>
    </row>
    <row r="777" spans="1:27" ht="18" customHeight="1" x14ac:dyDescent="0.25">
      <c r="A777" s="248" t="str">
        <f t="shared" si="75"/>
        <v/>
      </c>
      <c r="B777" s="249" t="str">
        <f t="shared" si="76"/>
        <v/>
      </c>
      <c r="C777" s="250"/>
      <c r="D777" s="251"/>
      <c r="E777" s="241"/>
      <c r="F777" s="252"/>
      <c r="G777" s="252"/>
      <c r="H777" s="253"/>
      <c r="I777" s="250"/>
      <c r="J777" s="250"/>
      <c r="K777" s="270"/>
      <c r="L777" s="250"/>
      <c r="M777" s="250"/>
      <c r="N777" s="540" t="str">
        <f>CONCATENATE(IF(OR(M777=phu!$I$1,M777=phu!$I$2,M777=phu!$I$3),"Cam Thành Nam",""),IF(OR(M777=phu!$I$4,M777=phu!$I$5,M777=phu!$I$6,M777=phu!$I$7,M777=phu!$I$8,M777=phu!$I$9,M777=phu!$I$10,M777=phu!$I$11,M777=phu!$I$12,M777=phu!$I$13,M777=phu!$I$14),"Cam Nghĩa",""),IF(OR(M777=phu!$I$15,M777=phu!$I$16,M777=phu!$I$17,M777=phu!$I$18,M777=phu!$I$19,M777=phu!$I$20,M777=phu!$I$21),"Cam Phúc Bắc",""),IF(OR(M777=phu!$I$22,M777=phu!$I$23,M777=phu!$I$24,M777=phu!$I$25),"Cam Phúc Nam",""),IF(OR(M777=phu!$I$26,M777=phu!$I$27,M777=phu!$I$28,M777=phu!$I$29,M777=phu!$I$30,M777=phu!$I$31),"Cam Phú",""),IF(OR(M777=phu!$I$32,M777=phu!$I$33,M777=phu!$I$34,M777=phu!$I$35,M777=phu!$I$36,M777=phu!$I$37),"Cam Lộc",""),IF(OR(M777=phu!$I$38,M777=phu!$I$39,M777=phu!$I$40,M777=phu!$I$41,M777=phu!$I$42,M777=phu!$I$43,M777=phu!$I$44),"Cam Thuận",""),IF(OR(M777=phu!$I$45,M777=phu!$I$46,M777=phu!$I$47,M777=phu!$I$48,M777=phu!$I$49,M777=phu!$I$50,M777=phu!$I$51,M777=phu!$I$52,M777=phu!$I$53),"Cam Linh",""),IF(OR(M777=phu!$I$54,M777=phu!$I$55,M777=phu!$I$56,M777=phu!$I$57,M777=phu!$I$58,M777=phu!$I$59,M777=phu!$I$60,M777=phu!$I$61,M777=phu!$I$62),"Cam Lợi",""),IF(OR(M777=phu!$I$63,M777=phu!$I$64,M777=phu!$I$65,M777=phu!$I$66,M777=phu!$I$67,M777=phu!$I$68,M777=phu!$I$69,M777=phu!$I$70,M777=phu!$I$71),"Ba Ngòi",""),IF(OR(M777=phu!$I$72,M777=phu!$I$73,M777=phu!$I$74,M777=phu!$I$75,M777=phu!$I$76,M777=phu!$I$77,M777=phu!$I$78),"Cam Phước Đông",""),IF(OR(M777=phu!$I$79,M777=phu!$I$80,M777=phu!$I$81,M777=phu!$I$82,M777=phu!$I$83,M777=phu!$I$84),"Cam Thịnh Đông",""),IF(OR(M777=phu!$I$85,M777=phu!$I$86,M777=phu!$I$87,M777=phu!$I$88),"Cam Thịnh Tây",""),IF(OR(M777=phu!$I$89,M777=phu!$I$90),"Cam Lập",""),IF(OR(M777=phu!$I$91,M777=phu!$I$92,M777=phu!$I$93),"Cam Bình",""),IF(OR(M777=phu!$I$94,M777=phu!$I$95,M777=phu!$I$96,M777=phu!$I$97,M777=phu!$I$98,M777=phu!$I$99,M777=phu!$I$100),"Huyện khác",""),IF(OR(M777=phu!$I$101,M777=phu!$I$102),"Tỉnh khác",""))</f>
        <v/>
      </c>
      <c r="O777" s="829" t="str">
        <f t="shared" si="72"/>
        <v/>
      </c>
      <c r="P777" s="254"/>
      <c r="Q777" s="254"/>
      <c r="R777" s="254"/>
      <c r="S777" s="254"/>
      <c r="T777" s="254"/>
      <c r="U777" s="254"/>
      <c r="V777" s="254"/>
      <c r="W777" s="254"/>
      <c r="Y777" s="246" t="str">
        <f t="shared" si="73"/>
        <v/>
      </c>
      <c r="Z777" s="247" t="str">
        <f t="shared" si="77"/>
        <v/>
      </c>
      <c r="AA777" s="246" t="str">
        <f t="shared" si="74"/>
        <v/>
      </c>
    </row>
    <row r="778" spans="1:27" ht="18" customHeight="1" x14ac:dyDescent="0.25">
      <c r="A778" s="248" t="str">
        <f t="shared" si="75"/>
        <v/>
      </c>
      <c r="B778" s="249" t="str">
        <f t="shared" si="76"/>
        <v/>
      </c>
      <c r="C778" s="250"/>
      <c r="D778" s="251"/>
      <c r="E778" s="241"/>
      <c r="F778" s="252"/>
      <c r="G778" s="252"/>
      <c r="H778" s="253"/>
      <c r="I778" s="250"/>
      <c r="J778" s="250"/>
      <c r="K778" s="270"/>
      <c r="L778" s="250"/>
      <c r="M778" s="250"/>
      <c r="N778" s="540" t="str">
        <f>CONCATENATE(IF(OR(M778=phu!$I$1,M778=phu!$I$2,M778=phu!$I$3),"Cam Thành Nam",""),IF(OR(M778=phu!$I$4,M778=phu!$I$5,M778=phu!$I$6,M778=phu!$I$7,M778=phu!$I$8,M778=phu!$I$9,M778=phu!$I$10,M778=phu!$I$11,M778=phu!$I$12,M778=phu!$I$13,M778=phu!$I$14),"Cam Nghĩa",""),IF(OR(M778=phu!$I$15,M778=phu!$I$16,M778=phu!$I$17,M778=phu!$I$18,M778=phu!$I$19,M778=phu!$I$20,M778=phu!$I$21),"Cam Phúc Bắc",""),IF(OR(M778=phu!$I$22,M778=phu!$I$23,M778=phu!$I$24,M778=phu!$I$25),"Cam Phúc Nam",""),IF(OR(M778=phu!$I$26,M778=phu!$I$27,M778=phu!$I$28,M778=phu!$I$29,M778=phu!$I$30,M778=phu!$I$31),"Cam Phú",""),IF(OR(M778=phu!$I$32,M778=phu!$I$33,M778=phu!$I$34,M778=phu!$I$35,M778=phu!$I$36,M778=phu!$I$37),"Cam Lộc",""),IF(OR(M778=phu!$I$38,M778=phu!$I$39,M778=phu!$I$40,M778=phu!$I$41,M778=phu!$I$42,M778=phu!$I$43,M778=phu!$I$44),"Cam Thuận",""),IF(OR(M778=phu!$I$45,M778=phu!$I$46,M778=phu!$I$47,M778=phu!$I$48,M778=phu!$I$49,M778=phu!$I$50,M778=phu!$I$51,M778=phu!$I$52,M778=phu!$I$53),"Cam Linh",""),IF(OR(M778=phu!$I$54,M778=phu!$I$55,M778=phu!$I$56,M778=phu!$I$57,M778=phu!$I$58,M778=phu!$I$59,M778=phu!$I$60,M778=phu!$I$61,M778=phu!$I$62),"Cam Lợi",""),IF(OR(M778=phu!$I$63,M778=phu!$I$64,M778=phu!$I$65,M778=phu!$I$66,M778=phu!$I$67,M778=phu!$I$68,M778=phu!$I$69,M778=phu!$I$70,M778=phu!$I$71),"Ba Ngòi",""),IF(OR(M778=phu!$I$72,M778=phu!$I$73,M778=phu!$I$74,M778=phu!$I$75,M778=phu!$I$76,M778=phu!$I$77,M778=phu!$I$78),"Cam Phước Đông",""),IF(OR(M778=phu!$I$79,M778=phu!$I$80,M778=phu!$I$81,M778=phu!$I$82,M778=phu!$I$83,M778=phu!$I$84),"Cam Thịnh Đông",""),IF(OR(M778=phu!$I$85,M778=phu!$I$86,M778=phu!$I$87,M778=phu!$I$88),"Cam Thịnh Tây",""),IF(OR(M778=phu!$I$89,M778=phu!$I$90),"Cam Lập",""),IF(OR(M778=phu!$I$91,M778=phu!$I$92,M778=phu!$I$93),"Cam Bình",""),IF(OR(M778=phu!$I$94,M778=phu!$I$95,M778=phu!$I$96,M778=phu!$I$97,M778=phu!$I$98,M778=phu!$I$99,M778=phu!$I$100),"Huyện khác",""),IF(OR(M778=phu!$I$101,M778=phu!$I$102),"Tỉnh khác",""))</f>
        <v/>
      </c>
      <c r="O778" s="829" t="str">
        <f t="shared" si="72"/>
        <v/>
      </c>
      <c r="P778" s="254"/>
      <c r="Q778" s="254"/>
      <c r="R778" s="254"/>
      <c r="S778" s="254"/>
      <c r="T778" s="254"/>
      <c r="U778" s="254"/>
      <c r="V778" s="254"/>
      <c r="W778" s="254"/>
      <c r="Y778" s="246" t="str">
        <f t="shared" si="73"/>
        <v/>
      </c>
      <c r="Z778" s="247" t="str">
        <f t="shared" si="77"/>
        <v/>
      </c>
      <c r="AA778" s="246" t="str">
        <f t="shared" si="74"/>
        <v/>
      </c>
    </row>
    <row r="779" spans="1:27" ht="18" customHeight="1" x14ac:dyDescent="0.25">
      <c r="A779" s="248" t="str">
        <f t="shared" si="75"/>
        <v/>
      </c>
      <c r="B779" s="249" t="str">
        <f t="shared" si="76"/>
        <v/>
      </c>
      <c r="C779" s="250"/>
      <c r="D779" s="251"/>
      <c r="E779" s="241"/>
      <c r="F779" s="252"/>
      <c r="G779" s="252"/>
      <c r="H779" s="253"/>
      <c r="I779" s="250"/>
      <c r="J779" s="250"/>
      <c r="K779" s="270"/>
      <c r="L779" s="250"/>
      <c r="M779" s="250"/>
      <c r="N779" s="540" t="str">
        <f>CONCATENATE(IF(OR(M779=phu!$I$1,M779=phu!$I$2,M779=phu!$I$3),"Cam Thành Nam",""),IF(OR(M779=phu!$I$4,M779=phu!$I$5,M779=phu!$I$6,M779=phu!$I$7,M779=phu!$I$8,M779=phu!$I$9,M779=phu!$I$10,M779=phu!$I$11,M779=phu!$I$12,M779=phu!$I$13,M779=phu!$I$14),"Cam Nghĩa",""),IF(OR(M779=phu!$I$15,M779=phu!$I$16,M779=phu!$I$17,M779=phu!$I$18,M779=phu!$I$19,M779=phu!$I$20,M779=phu!$I$21),"Cam Phúc Bắc",""),IF(OR(M779=phu!$I$22,M779=phu!$I$23,M779=phu!$I$24,M779=phu!$I$25),"Cam Phúc Nam",""),IF(OR(M779=phu!$I$26,M779=phu!$I$27,M779=phu!$I$28,M779=phu!$I$29,M779=phu!$I$30,M779=phu!$I$31),"Cam Phú",""),IF(OR(M779=phu!$I$32,M779=phu!$I$33,M779=phu!$I$34,M779=phu!$I$35,M779=phu!$I$36,M779=phu!$I$37),"Cam Lộc",""),IF(OR(M779=phu!$I$38,M779=phu!$I$39,M779=phu!$I$40,M779=phu!$I$41,M779=phu!$I$42,M779=phu!$I$43,M779=phu!$I$44),"Cam Thuận",""),IF(OR(M779=phu!$I$45,M779=phu!$I$46,M779=phu!$I$47,M779=phu!$I$48,M779=phu!$I$49,M779=phu!$I$50,M779=phu!$I$51,M779=phu!$I$52,M779=phu!$I$53),"Cam Linh",""),IF(OR(M779=phu!$I$54,M779=phu!$I$55,M779=phu!$I$56,M779=phu!$I$57,M779=phu!$I$58,M779=phu!$I$59,M779=phu!$I$60,M779=phu!$I$61,M779=phu!$I$62),"Cam Lợi",""),IF(OR(M779=phu!$I$63,M779=phu!$I$64,M779=phu!$I$65,M779=phu!$I$66,M779=phu!$I$67,M779=phu!$I$68,M779=phu!$I$69,M779=phu!$I$70,M779=phu!$I$71),"Ba Ngòi",""),IF(OR(M779=phu!$I$72,M779=phu!$I$73,M779=phu!$I$74,M779=phu!$I$75,M779=phu!$I$76,M779=phu!$I$77,M779=phu!$I$78),"Cam Phước Đông",""),IF(OR(M779=phu!$I$79,M779=phu!$I$80,M779=phu!$I$81,M779=phu!$I$82,M779=phu!$I$83,M779=phu!$I$84),"Cam Thịnh Đông",""),IF(OR(M779=phu!$I$85,M779=phu!$I$86,M779=phu!$I$87,M779=phu!$I$88),"Cam Thịnh Tây",""),IF(OR(M779=phu!$I$89,M779=phu!$I$90),"Cam Lập",""),IF(OR(M779=phu!$I$91,M779=phu!$I$92,M779=phu!$I$93),"Cam Bình",""),IF(OR(M779=phu!$I$94,M779=phu!$I$95,M779=phu!$I$96,M779=phu!$I$97,M779=phu!$I$98,M779=phu!$I$99,M779=phu!$I$100),"Huyện khác",""),IF(OR(M779=phu!$I$101,M779=phu!$I$102),"Tỉnh khác",""))</f>
        <v/>
      </c>
      <c r="O779" s="829" t="str">
        <f t="shared" si="72"/>
        <v/>
      </c>
      <c r="P779" s="254"/>
      <c r="Q779" s="254"/>
      <c r="R779" s="254"/>
      <c r="S779" s="254"/>
      <c r="T779" s="254"/>
      <c r="U779" s="254"/>
      <c r="V779" s="254"/>
      <c r="W779" s="254"/>
      <c r="Y779" s="246" t="str">
        <f t="shared" si="73"/>
        <v/>
      </c>
      <c r="Z779" s="247" t="str">
        <f t="shared" si="77"/>
        <v/>
      </c>
      <c r="AA779" s="246" t="str">
        <f t="shared" si="74"/>
        <v/>
      </c>
    </row>
    <row r="780" spans="1:27" ht="18" customHeight="1" x14ac:dyDescent="0.25">
      <c r="A780" s="248" t="str">
        <f t="shared" si="75"/>
        <v/>
      </c>
      <c r="B780" s="249" t="str">
        <f t="shared" si="76"/>
        <v/>
      </c>
      <c r="C780" s="250"/>
      <c r="D780" s="251"/>
      <c r="E780" s="241"/>
      <c r="F780" s="252"/>
      <c r="G780" s="252"/>
      <c r="H780" s="253"/>
      <c r="I780" s="250"/>
      <c r="J780" s="250"/>
      <c r="K780" s="270"/>
      <c r="L780" s="250"/>
      <c r="M780" s="250"/>
      <c r="N780" s="540" t="str">
        <f>CONCATENATE(IF(OR(M780=phu!$I$1,M780=phu!$I$2,M780=phu!$I$3),"Cam Thành Nam",""),IF(OR(M780=phu!$I$4,M780=phu!$I$5,M780=phu!$I$6,M780=phu!$I$7,M780=phu!$I$8,M780=phu!$I$9,M780=phu!$I$10,M780=phu!$I$11,M780=phu!$I$12,M780=phu!$I$13,M780=phu!$I$14),"Cam Nghĩa",""),IF(OR(M780=phu!$I$15,M780=phu!$I$16,M780=phu!$I$17,M780=phu!$I$18,M780=phu!$I$19,M780=phu!$I$20,M780=phu!$I$21),"Cam Phúc Bắc",""),IF(OR(M780=phu!$I$22,M780=phu!$I$23,M780=phu!$I$24,M780=phu!$I$25),"Cam Phúc Nam",""),IF(OR(M780=phu!$I$26,M780=phu!$I$27,M780=phu!$I$28,M780=phu!$I$29,M780=phu!$I$30,M780=phu!$I$31),"Cam Phú",""),IF(OR(M780=phu!$I$32,M780=phu!$I$33,M780=phu!$I$34,M780=phu!$I$35,M780=phu!$I$36,M780=phu!$I$37),"Cam Lộc",""),IF(OR(M780=phu!$I$38,M780=phu!$I$39,M780=phu!$I$40,M780=phu!$I$41,M780=phu!$I$42,M780=phu!$I$43,M780=phu!$I$44),"Cam Thuận",""),IF(OR(M780=phu!$I$45,M780=phu!$I$46,M780=phu!$I$47,M780=phu!$I$48,M780=phu!$I$49,M780=phu!$I$50,M780=phu!$I$51,M780=phu!$I$52,M780=phu!$I$53),"Cam Linh",""),IF(OR(M780=phu!$I$54,M780=phu!$I$55,M780=phu!$I$56,M780=phu!$I$57,M780=phu!$I$58,M780=phu!$I$59,M780=phu!$I$60,M780=phu!$I$61,M780=phu!$I$62),"Cam Lợi",""),IF(OR(M780=phu!$I$63,M780=phu!$I$64,M780=phu!$I$65,M780=phu!$I$66,M780=phu!$I$67,M780=phu!$I$68,M780=phu!$I$69,M780=phu!$I$70,M780=phu!$I$71),"Ba Ngòi",""),IF(OR(M780=phu!$I$72,M780=phu!$I$73,M780=phu!$I$74,M780=phu!$I$75,M780=phu!$I$76,M780=phu!$I$77,M780=phu!$I$78),"Cam Phước Đông",""),IF(OR(M780=phu!$I$79,M780=phu!$I$80,M780=phu!$I$81,M780=phu!$I$82,M780=phu!$I$83,M780=phu!$I$84),"Cam Thịnh Đông",""),IF(OR(M780=phu!$I$85,M780=phu!$I$86,M780=phu!$I$87,M780=phu!$I$88),"Cam Thịnh Tây",""),IF(OR(M780=phu!$I$89,M780=phu!$I$90),"Cam Lập",""),IF(OR(M780=phu!$I$91,M780=phu!$I$92,M780=phu!$I$93),"Cam Bình",""),IF(OR(M780=phu!$I$94,M780=phu!$I$95,M780=phu!$I$96,M780=phu!$I$97,M780=phu!$I$98,M780=phu!$I$99,M780=phu!$I$100),"Huyện khác",""),IF(OR(M780=phu!$I$101,M780=phu!$I$102),"Tỉnh khác",""))</f>
        <v/>
      </c>
      <c r="O780" s="829" t="str">
        <f t="shared" si="72"/>
        <v/>
      </c>
      <c r="P780" s="254"/>
      <c r="Q780" s="254"/>
      <c r="R780" s="254"/>
      <c r="S780" s="254"/>
      <c r="T780" s="254"/>
      <c r="U780" s="254"/>
      <c r="V780" s="254"/>
      <c r="W780" s="254"/>
      <c r="Y780" s="246" t="str">
        <f t="shared" si="73"/>
        <v/>
      </c>
      <c r="Z780" s="247" t="str">
        <f t="shared" si="77"/>
        <v/>
      </c>
      <c r="AA780" s="246" t="str">
        <f t="shared" si="74"/>
        <v/>
      </c>
    </row>
    <row r="781" spans="1:27" ht="18" customHeight="1" x14ac:dyDescent="0.25">
      <c r="A781" s="248" t="str">
        <f t="shared" si="75"/>
        <v/>
      </c>
      <c r="B781" s="249" t="str">
        <f t="shared" si="76"/>
        <v/>
      </c>
      <c r="C781" s="250"/>
      <c r="D781" s="251"/>
      <c r="E781" s="241"/>
      <c r="F781" s="252"/>
      <c r="G781" s="252"/>
      <c r="H781" s="253"/>
      <c r="I781" s="250"/>
      <c r="J781" s="250"/>
      <c r="K781" s="270"/>
      <c r="L781" s="250"/>
      <c r="M781" s="250"/>
      <c r="N781" s="540" t="str">
        <f>CONCATENATE(IF(OR(M781=phu!$I$1,M781=phu!$I$2,M781=phu!$I$3),"Cam Thành Nam",""),IF(OR(M781=phu!$I$4,M781=phu!$I$5,M781=phu!$I$6,M781=phu!$I$7,M781=phu!$I$8,M781=phu!$I$9,M781=phu!$I$10,M781=phu!$I$11,M781=phu!$I$12,M781=phu!$I$13,M781=phu!$I$14),"Cam Nghĩa",""),IF(OR(M781=phu!$I$15,M781=phu!$I$16,M781=phu!$I$17,M781=phu!$I$18,M781=phu!$I$19,M781=phu!$I$20,M781=phu!$I$21),"Cam Phúc Bắc",""),IF(OR(M781=phu!$I$22,M781=phu!$I$23,M781=phu!$I$24,M781=phu!$I$25),"Cam Phúc Nam",""),IF(OR(M781=phu!$I$26,M781=phu!$I$27,M781=phu!$I$28,M781=phu!$I$29,M781=phu!$I$30,M781=phu!$I$31),"Cam Phú",""),IF(OR(M781=phu!$I$32,M781=phu!$I$33,M781=phu!$I$34,M781=phu!$I$35,M781=phu!$I$36,M781=phu!$I$37),"Cam Lộc",""),IF(OR(M781=phu!$I$38,M781=phu!$I$39,M781=phu!$I$40,M781=phu!$I$41,M781=phu!$I$42,M781=phu!$I$43,M781=phu!$I$44),"Cam Thuận",""),IF(OR(M781=phu!$I$45,M781=phu!$I$46,M781=phu!$I$47,M781=phu!$I$48,M781=phu!$I$49,M781=phu!$I$50,M781=phu!$I$51,M781=phu!$I$52,M781=phu!$I$53),"Cam Linh",""),IF(OR(M781=phu!$I$54,M781=phu!$I$55,M781=phu!$I$56,M781=phu!$I$57,M781=phu!$I$58,M781=phu!$I$59,M781=phu!$I$60,M781=phu!$I$61,M781=phu!$I$62),"Cam Lợi",""),IF(OR(M781=phu!$I$63,M781=phu!$I$64,M781=phu!$I$65,M781=phu!$I$66,M781=phu!$I$67,M781=phu!$I$68,M781=phu!$I$69,M781=phu!$I$70,M781=phu!$I$71),"Ba Ngòi",""),IF(OR(M781=phu!$I$72,M781=phu!$I$73,M781=phu!$I$74,M781=phu!$I$75,M781=phu!$I$76,M781=phu!$I$77,M781=phu!$I$78),"Cam Phước Đông",""),IF(OR(M781=phu!$I$79,M781=phu!$I$80,M781=phu!$I$81,M781=phu!$I$82,M781=phu!$I$83,M781=phu!$I$84),"Cam Thịnh Đông",""),IF(OR(M781=phu!$I$85,M781=phu!$I$86,M781=phu!$I$87,M781=phu!$I$88),"Cam Thịnh Tây",""),IF(OR(M781=phu!$I$89,M781=phu!$I$90),"Cam Lập",""),IF(OR(M781=phu!$I$91,M781=phu!$I$92,M781=phu!$I$93),"Cam Bình",""),IF(OR(M781=phu!$I$94,M781=phu!$I$95,M781=phu!$I$96,M781=phu!$I$97,M781=phu!$I$98,M781=phu!$I$99,M781=phu!$I$100),"Huyện khác",""),IF(OR(M781=phu!$I$101,M781=phu!$I$102),"Tỉnh khác",""))</f>
        <v/>
      </c>
      <c r="O781" s="829" t="str">
        <f t="shared" si="72"/>
        <v/>
      </c>
      <c r="P781" s="254"/>
      <c r="Q781" s="254"/>
      <c r="R781" s="254"/>
      <c r="S781" s="254"/>
      <c r="T781" s="254"/>
      <c r="U781" s="254"/>
      <c r="V781" s="254"/>
      <c r="W781" s="254"/>
      <c r="Y781" s="246" t="str">
        <f t="shared" si="73"/>
        <v/>
      </c>
      <c r="Z781" s="247" t="str">
        <f t="shared" si="77"/>
        <v/>
      </c>
      <c r="AA781" s="246" t="str">
        <f t="shared" si="74"/>
        <v/>
      </c>
    </row>
    <row r="782" spans="1:27" ht="18" customHeight="1" x14ac:dyDescent="0.25">
      <c r="A782" s="248" t="str">
        <f t="shared" si="75"/>
        <v/>
      </c>
      <c r="B782" s="249" t="str">
        <f t="shared" si="76"/>
        <v/>
      </c>
      <c r="C782" s="250"/>
      <c r="D782" s="251"/>
      <c r="E782" s="241"/>
      <c r="F782" s="252"/>
      <c r="G782" s="252"/>
      <c r="H782" s="253"/>
      <c r="I782" s="250"/>
      <c r="J782" s="250"/>
      <c r="K782" s="270"/>
      <c r="L782" s="250"/>
      <c r="M782" s="250"/>
      <c r="N782" s="540" t="str">
        <f>CONCATENATE(IF(OR(M782=phu!$I$1,M782=phu!$I$2,M782=phu!$I$3),"Cam Thành Nam",""),IF(OR(M782=phu!$I$4,M782=phu!$I$5,M782=phu!$I$6,M782=phu!$I$7,M782=phu!$I$8,M782=phu!$I$9,M782=phu!$I$10,M782=phu!$I$11,M782=phu!$I$12,M782=phu!$I$13,M782=phu!$I$14),"Cam Nghĩa",""),IF(OR(M782=phu!$I$15,M782=phu!$I$16,M782=phu!$I$17,M782=phu!$I$18,M782=phu!$I$19,M782=phu!$I$20,M782=phu!$I$21),"Cam Phúc Bắc",""),IF(OR(M782=phu!$I$22,M782=phu!$I$23,M782=phu!$I$24,M782=phu!$I$25),"Cam Phúc Nam",""),IF(OR(M782=phu!$I$26,M782=phu!$I$27,M782=phu!$I$28,M782=phu!$I$29,M782=phu!$I$30,M782=phu!$I$31),"Cam Phú",""),IF(OR(M782=phu!$I$32,M782=phu!$I$33,M782=phu!$I$34,M782=phu!$I$35,M782=phu!$I$36,M782=phu!$I$37),"Cam Lộc",""),IF(OR(M782=phu!$I$38,M782=phu!$I$39,M782=phu!$I$40,M782=phu!$I$41,M782=phu!$I$42,M782=phu!$I$43,M782=phu!$I$44),"Cam Thuận",""),IF(OR(M782=phu!$I$45,M782=phu!$I$46,M782=phu!$I$47,M782=phu!$I$48,M782=phu!$I$49,M782=phu!$I$50,M782=phu!$I$51,M782=phu!$I$52,M782=phu!$I$53),"Cam Linh",""),IF(OR(M782=phu!$I$54,M782=phu!$I$55,M782=phu!$I$56,M782=phu!$I$57,M782=phu!$I$58,M782=phu!$I$59,M782=phu!$I$60,M782=phu!$I$61,M782=phu!$I$62),"Cam Lợi",""),IF(OR(M782=phu!$I$63,M782=phu!$I$64,M782=phu!$I$65,M782=phu!$I$66,M782=phu!$I$67,M782=phu!$I$68,M782=phu!$I$69,M782=phu!$I$70,M782=phu!$I$71),"Ba Ngòi",""),IF(OR(M782=phu!$I$72,M782=phu!$I$73,M782=phu!$I$74,M782=phu!$I$75,M782=phu!$I$76,M782=phu!$I$77,M782=phu!$I$78),"Cam Phước Đông",""),IF(OR(M782=phu!$I$79,M782=phu!$I$80,M782=phu!$I$81,M782=phu!$I$82,M782=phu!$I$83,M782=phu!$I$84),"Cam Thịnh Đông",""),IF(OR(M782=phu!$I$85,M782=phu!$I$86,M782=phu!$I$87,M782=phu!$I$88),"Cam Thịnh Tây",""),IF(OR(M782=phu!$I$89,M782=phu!$I$90),"Cam Lập",""),IF(OR(M782=phu!$I$91,M782=phu!$I$92,M782=phu!$I$93),"Cam Bình",""),IF(OR(M782=phu!$I$94,M782=phu!$I$95,M782=phu!$I$96,M782=phu!$I$97,M782=phu!$I$98,M782=phu!$I$99,M782=phu!$I$100),"Huyện khác",""),IF(OR(M782=phu!$I$101,M782=phu!$I$102),"Tỉnh khác",""))</f>
        <v/>
      </c>
      <c r="O782" s="829" t="str">
        <f t="shared" si="72"/>
        <v/>
      </c>
      <c r="P782" s="254"/>
      <c r="Q782" s="254"/>
      <c r="R782" s="254"/>
      <c r="S782" s="254"/>
      <c r="T782" s="254"/>
      <c r="U782" s="254"/>
      <c r="V782" s="254"/>
      <c r="W782" s="254"/>
      <c r="Y782" s="246" t="str">
        <f t="shared" si="73"/>
        <v/>
      </c>
      <c r="Z782" s="247" t="str">
        <f t="shared" si="77"/>
        <v/>
      </c>
      <c r="AA782" s="246" t="str">
        <f t="shared" si="74"/>
        <v/>
      </c>
    </row>
    <row r="783" spans="1:27" ht="18" customHeight="1" x14ac:dyDescent="0.25">
      <c r="A783" s="248" t="str">
        <f t="shared" si="75"/>
        <v/>
      </c>
      <c r="B783" s="249" t="str">
        <f t="shared" si="76"/>
        <v/>
      </c>
      <c r="C783" s="250"/>
      <c r="D783" s="251"/>
      <c r="E783" s="241"/>
      <c r="F783" s="252"/>
      <c r="G783" s="252"/>
      <c r="H783" s="253"/>
      <c r="I783" s="250"/>
      <c r="J783" s="250"/>
      <c r="K783" s="270"/>
      <c r="L783" s="250"/>
      <c r="M783" s="250"/>
      <c r="N783" s="540" t="str">
        <f>CONCATENATE(IF(OR(M783=phu!$I$1,M783=phu!$I$2,M783=phu!$I$3),"Cam Thành Nam",""),IF(OR(M783=phu!$I$4,M783=phu!$I$5,M783=phu!$I$6,M783=phu!$I$7,M783=phu!$I$8,M783=phu!$I$9,M783=phu!$I$10,M783=phu!$I$11,M783=phu!$I$12,M783=phu!$I$13,M783=phu!$I$14),"Cam Nghĩa",""),IF(OR(M783=phu!$I$15,M783=phu!$I$16,M783=phu!$I$17,M783=phu!$I$18,M783=phu!$I$19,M783=phu!$I$20,M783=phu!$I$21),"Cam Phúc Bắc",""),IF(OR(M783=phu!$I$22,M783=phu!$I$23,M783=phu!$I$24,M783=phu!$I$25),"Cam Phúc Nam",""),IF(OR(M783=phu!$I$26,M783=phu!$I$27,M783=phu!$I$28,M783=phu!$I$29,M783=phu!$I$30,M783=phu!$I$31),"Cam Phú",""),IF(OR(M783=phu!$I$32,M783=phu!$I$33,M783=phu!$I$34,M783=phu!$I$35,M783=phu!$I$36,M783=phu!$I$37),"Cam Lộc",""),IF(OR(M783=phu!$I$38,M783=phu!$I$39,M783=phu!$I$40,M783=phu!$I$41,M783=phu!$I$42,M783=phu!$I$43,M783=phu!$I$44),"Cam Thuận",""),IF(OR(M783=phu!$I$45,M783=phu!$I$46,M783=phu!$I$47,M783=phu!$I$48,M783=phu!$I$49,M783=phu!$I$50,M783=phu!$I$51,M783=phu!$I$52,M783=phu!$I$53),"Cam Linh",""),IF(OR(M783=phu!$I$54,M783=phu!$I$55,M783=phu!$I$56,M783=phu!$I$57,M783=phu!$I$58,M783=phu!$I$59,M783=phu!$I$60,M783=phu!$I$61,M783=phu!$I$62),"Cam Lợi",""),IF(OR(M783=phu!$I$63,M783=phu!$I$64,M783=phu!$I$65,M783=phu!$I$66,M783=phu!$I$67,M783=phu!$I$68,M783=phu!$I$69,M783=phu!$I$70,M783=phu!$I$71),"Ba Ngòi",""),IF(OR(M783=phu!$I$72,M783=phu!$I$73,M783=phu!$I$74,M783=phu!$I$75,M783=phu!$I$76,M783=phu!$I$77,M783=phu!$I$78),"Cam Phước Đông",""),IF(OR(M783=phu!$I$79,M783=phu!$I$80,M783=phu!$I$81,M783=phu!$I$82,M783=phu!$I$83,M783=phu!$I$84),"Cam Thịnh Đông",""),IF(OR(M783=phu!$I$85,M783=phu!$I$86,M783=phu!$I$87,M783=phu!$I$88),"Cam Thịnh Tây",""),IF(OR(M783=phu!$I$89,M783=phu!$I$90),"Cam Lập",""),IF(OR(M783=phu!$I$91,M783=phu!$I$92,M783=phu!$I$93),"Cam Bình",""),IF(OR(M783=phu!$I$94,M783=phu!$I$95,M783=phu!$I$96,M783=phu!$I$97,M783=phu!$I$98,M783=phu!$I$99,M783=phu!$I$100),"Huyện khác",""),IF(OR(M783=phu!$I$101,M783=phu!$I$102),"Tỉnh khác",""))</f>
        <v/>
      </c>
      <c r="O783" s="829" t="str">
        <f t="shared" si="72"/>
        <v/>
      </c>
      <c r="P783" s="254"/>
      <c r="Q783" s="254"/>
      <c r="R783" s="254"/>
      <c r="S783" s="254"/>
      <c r="T783" s="254"/>
      <c r="U783" s="254"/>
      <c r="V783" s="254"/>
      <c r="W783" s="254"/>
      <c r="Y783" s="246" t="str">
        <f t="shared" si="73"/>
        <v/>
      </c>
      <c r="Z783" s="247" t="str">
        <f t="shared" si="77"/>
        <v/>
      </c>
      <c r="AA783" s="246" t="str">
        <f t="shared" si="74"/>
        <v/>
      </c>
    </row>
    <row r="784" spans="1:27" ht="18" customHeight="1" x14ac:dyDescent="0.25">
      <c r="A784" s="248" t="str">
        <f t="shared" si="75"/>
        <v/>
      </c>
      <c r="B784" s="249" t="str">
        <f t="shared" si="76"/>
        <v/>
      </c>
      <c r="C784" s="250"/>
      <c r="D784" s="251"/>
      <c r="E784" s="241"/>
      <c r="F784" s="252"/>
      <c r="G784" s="252"/>
      <c r="H784" s="253"/>
      <c r="I784" s="250"/>
      <c r="J784" s="250"/>
      <c r="K784" s="270"/>
      <c r="L784" s="250"/>
      <c r="M784" s="250"/>
      <c r="N784" s="540" t="str">
        <f>CONCATENATE(IF(OR(M784=phu!$I$1,M784=phu!$I$2,M784=phu!$I$3),"Cam Thành Nam",""),IF(OR(M784=phu!$I$4,M784=phu!$I$5,M784=phu!$I$6,M784=phu!$I$7,M784=phu!$I$8,M784=phu!$I$9,M784=phu!$I$10,M784=phu!$I$11,M784=phu!$I$12,M784=phu!$I$13,M784=phu!$I$14),"Cam Nghĩa",""),IF(OR(M784=phu!$I$15,M784=phu!$I$16,M784=phu!$I$17,M784=phu!$I$18,M784=phu!$I$19,M784=phu!$I$20,M784=phu!$I$21),"Cam Phúc Bắc",""),IF(OR(M784=phu!$I$22,M784=phu!$I$23,M784=phu!$I$24,M784=phu!$I$25),"Cam Phúc Nam",""),IF(OR(M784=phu!$I$26,M784=phu!$I$27,M784=phu!$I$28,M784=phu!$I$29,M784=phu!$I$30,M784=phu!$I$31),"Cam Phú",""),IF(OR(M784=phu!$I$32,M784=phu!$I$33,M784=phu!$I$34,M784=phu!$I$35,M784=phu!$I$36,M784=phu!$I$37),"Cam Lộc",""),IF(OR(M784=phu!$I$38,M784=phu!$I$39,M784=phu!$I$40,M784=phu!$I$41,M784=phu!$I$42,M784=phu!$I$43,M784=phu!$I$44),"Cam Thuận",""),IF(OR(M784=phu!$I$45,M784=phu!$I$46,M784=phu!$I$47,M784=phu!$I$48,M784=phu!$I$49,M784=phu!$I$50,M784=phu!$I$51,M784=phu!$I$52,M784=phu!$I$53),"Cam Linh",""),IF(OR(M784=phu!$I$54,M784=phu!$I$55,M784=phu!$I$56,M784=phu!$I$57,M784=phu!$I$58,M784=phu!$I$59,M784=phu!$I$60,M784=phu!$I$61,M784=phu!$I$62),"Cam Lợi",""),IF(OR(M784=phu!$I$63,M784=phu!$I$64,M784=phu!$I$65,M784=phu!$I$66,M784=phu!$I$67,M784=phu!$I$68,M784=phu!$I$69,M784=phu!$I$70,M784=phu!$I$71),"Ba Ngòi",""),IF(OR(M784=phu!$I$72,M784=phu!$I$73,M784=phu!$I$74,M784=phu!$I$75,M784=phu!$I$76,M784=phu!$I$77,M784=phu!$I$78),"Cam Phước Đông",""),IF(OR(M784=phu!$I$79,M784=phu!$I$80,M784=phu!$I$81,M784=phu!$I$82,M784=phu!$I$83,M784=phu!$I$84),"Cam Thịnh Đông",""),IF(OR(M784=phu!$I$85,M784=phu!$I$86,M784=phu!$I$87,M784=phu!$I$88),"Cam Thịnh Tây",""),IF(OR(M784=phu!$I$89,M784=phu!$I$90),"Cam Lập",""),IF(OR(M784=phu!$I$91,M784=phu!$I$92,M784=phu!$I$93),"Cam Bình",""),IF(OR(M784=phu!$I$94,M784=phu!$I$95,M784=phu!$I$96,M784=phu!$I$97,M784=phu!$I$98,M784=phu!$I$99,M784=phu!$I$100),"Huyện khác",""),IF(OR(M784=phu!$I$101,M784=phu!$I$102),"Tỉnh khác",""))</f>
        <v/>
      </c>
      <c r="O784" s="829" t="str">
        <f t="shared" si="72"/>
        <v/>
      </c>
      <c r="P784" s="254"/>
      <c r="Q784" s="254"/>
      <c r="R784" s="254"/>
      <c r="S784" s="254"/>
      <c r="T784" s="254"/>
      <c r="U784" s="254"/>
      <c r="V784" s="254"/>
      <c r="W784" s="254"/>
      <c r="Y784" s="246" t="str">
        <f t="shared" si="73"/>
        <v/>
      </c>
      <c r="Z784" s="247" t="str">
        <f t="shared" si="77"/>
        <v/>
      </c>
      <c r="AA784" s="246" t="str">
        <f t="shared" si="74"/>
        <v/>
      </c>
    </row>
    <row r="785" spans="1:27" ht="18" customHeight="1" x14ac:dyDescent="0.25">
      <c r="A785" s="248" t="str">
        <f t="shared" si="75"/>
        <v/>
      </c>
      <c r="B785" s="249" t="str">
        <f t="shared" si="76"/>
        <v/>
      </c>
      <c r="C785" s="250"/>
      <c r="D785" s="251"/>
      <c r="E785" s="241"/>
      <c r="F785" s="252"/>
      <c r="G785" s="252"/>
      <c r="H785" s="253"/>
      <c r="I785" s="250"/>
      <c r="J785" s="250"/>
      <c r="K785" s="270"/>
      <c r="L785" s="250"/>
      <c r="M785" s="250"/>
      <c r="N785" s="540" t="str">
        <f>CONCATENATE(IF(OR(M785=phu!$I$1,M785=phu!$I$2,M785=phu!$I$3),"Cam Thành Nam",""),IF(OR(M785=phu!$I$4,M785=phu!$I$5,M785=phu!$I$6,M785=phu!$I$7,M785=phu!$I$8,M785=phu!$I$9,M785=phu!$I$10,M785=phu!$I$11,M785=phu!$I$12,M785=phu!$I$13,M785=phu!$I$14),"Cam Nghĩa",""),IF(OR(M785=phu!$I$15,M785=phu!$I$16,M785=phu!$I$17,M785=phu!$I$18,M785=phu!$I$19,M785=phu!$I$20,M785=phu!$I$21),"Cam Phúc Bắc",""),IF(OR(M785=phu!$I$22,M785=phu!$I$23,M785=phu!$I$24,M785=phu!$I$25),"Cam Phúc Nam",""),IF(OR(M785=phu!$I$26,M785=phu!$I$27,M785=phu!$I$28,M785=phu!$I$29,M785=phu!$I$30,M785=phu!$I$31),"Cam Phú",""),IF(OR(M785=phu!$I$32,M785=phu!$I$33,M785=phu!$I$34,M785=phu!$I$35,M785=phu!$I$36,M785=phu!$I$37),"Cam Lộc",""),IF(OR(M785=phu!$I$38,M785=phu!$I$39,M785=phu!$I$40,M785=phu!$I$41,M785=phu!$I$42,M785=phu!$I$43,M785=phu!$I$44),"Cam Thuận",""),IF(OR(M785=phu!$I$45,M785=phu!$I$46,M785=phu!$I$47,M785=phu!$I$48,M785=phu!$I$49,M785=phu!$I$50,M785=phu!$I$51,M785=phu!$I$52,M785=phu!$I$53),"Cam Linh",""),IF(OR(M785=phu!$I$54,M785=phu!$I$55,M785=phu!$I$56,M785=phu!$I$57,M785=phu!$I$58,M785=phu!$I$59,M785=phu!$I$60,M785=phu!$I$61,M785=phu!$I$62),"Cam Lợi",""),IF(OR(M785=phu!$I$63,M785=phu!$I$64,M785=phu!$I$65,M785=phu!$I$66,M785=phu!$I$67,M785=phu!$I$68,M785=phu!$I$69,M785=phu!$I$70,M785=phu!$I$71),"Ba Ngòi",""),IF(OR(M785=phu!$I$72,M785=phu!$I$73,M785=phu!$I$74,M785=phu!$I$75,M785=phu!$I$76,M785=phu!$I$77,M785=phu!$I$78),"Cam Phước Đông",""),IF(OR(M785=phu!$I$79,M785=phu!$I$80,M785=phu!$I$81,M785=phu!$I$82,M785=phu!$I$83,M785=phu!$I$84),"Cam Thịnh Đông",""),IF(OR(M785=phu!$I$85,M785=phu!$I$86,M785=phu!$I$87,M785=phu!$I$88),"Cam Thịnh Tây",""),IF(OR(M785=phu!$I$89,M785=phu!$I$90),"Cam Lập",""),IF(OR(M785=phu!$I$91,M785=phu!$I$92,M785=phu!$I$93),"Cam Bình",""),IF(OR(M785=phu!$I$94,M785=phu!$I$95,M785=phu!$I$96,M785=phu!$I$97,M785=phu!$I$98,M785=phu!$I$99,M785=phu!$I$100),"Huyện khác",""),IF(OR(M785=phu!$I$101,M785=phu!$I$102),"Tỉnh khác",""))</f>
        <v/>
      </c>
      <c r="O785" s="829" t="str">
        <f t="shared" si="72"/>
        <v/>
      </c>
      <c r="P785" s="254"/>
      <c r="Q785" s="254"/>
      <c r="R785" s="254"/>
      <c r="S785" s="254"/>
      <c r="T785" s="254"/>
      <c r="U785" s="254"/>
      <c r="V785" s="254"/>
      <c r="W785" s="254"/>
      <c r="Y785" s="246" t="str">
        <f t="shared" si="73"/>
        <v/>
      </c>
      <c r="Z785" s="247" t="str">
        <f t="shared" si="77"/>
        <v/>
      </c>
      <c r="AA785" s="246" t="str">
        <f t="shared" si="74"/>
        <v/>
      </c>
    </row>
    <row r="786" spans="1:27" x14ac:dyDescent="0.25">
      <c r="A786" s="248" t="str">
        <f t="shared" si="75"/>
        <v/>
      </c>
      <c r="B786" s="249" t="str">
        <f t="shared" si="76"/>
        <v/>
      </c>
      <c r="C786" s="250"/>
      <c r="D786" s="251"/>
      <c r="E786" s="241"/>
      <c r="F786" s="252"/>
      <c r="G786" s="252"/>
      <c r="H786" s="253"/>
      <c r="I786" s="250"/>
      <c r="J786" s="250"/>
      <c r="K786" s="270"/>
      <c r="L786" s="250"/>
      <c r="M786" s="250"/>
      <c r="N786" s="540" t="str">
        <f>CONCATENATE(IF(OR(M786=phu!$I$1,M786=phu!$I$2,M786=phu!$I$3),"Cam Thành Nam",""),IF(OR(M786=phu!$I$4,M786=phu!$I$5,M786=phu!$I$6,M786=phu!$I$7,M786=phu!$I$8,M786=phu!$I$9,M786=phu!$I$10,M786=phu!$I$11,M786=phu!$I$12,M786=phu!$I$13,M786=phu!$I$14),"Cam Nghĩa",""),IF(OR(M786=phu!$I$15,M786=phu!$I$16,M786=phu!$I$17,M786=phu!$I$18,M786=phu!$I$19,M786=phu!$I$20,M786=phu!$I$21),"Cam Phúc Bắc",""),IF(OR(M786=phu!$I$22,M786=phu!$I$23,M786=phu!$I$24,M786=phu!$I$25),"Cam Phúc Nam",""),IF(OR(M786=phu!$I$26,M786=phu!$I$27,M786=phu!$I$28,M786=phu!$I$29,M786=phu!$I$30,M786=phu!$I$31),"Cam Phú",""),IF(OR(M786=phu!$I$32,M786=phu!$I$33,M786=phu!$I$34,M786=phu!$I$35,M786=phu!$I$36,M786=phu!$I$37),"Cam Lộc",""),IF(OR(M786=phu!$I$38,M786=phu!$I$39,M786=phu!$I$40,M786=phu!$I$41,M786=phu!$I$42,M786=phu!$I$43,M786=phu!$I$44),"Cam Thuận",""),IF(OR(M786=phu!$I$45,M786=phu!$I$46,M786=phu!$I$47,M786=phu!$I$48,M786=phu!$I$49,M786=phu!$I$50,M786=phu!$I$51,M786=phu!$I$52,M786=phu!$I$53),"Cam Linh",""),IF(OR(M786=phu!$I$54,M786=phu!$I$55,M786=phu!$I$56,M786=phu!$I$57,M786=phu!$I$58,M786=phu!$I$59,M786=phu!$I$60,M786=phu!$I$61,M786=phu!$I$62),"Cam Lợi",""),IF(OR(M786=phu!$I$63,M786=phu!$I$64,M786=phu!$I$65,M786=phu!$I$66,M786=phu!$I$67,M786=phu!$I$68,M786=phu!$I$69,M786=phu!$I$70,M786=phu!$I$71),"Ba Ngòi",""),IF(OR(M786=phu!$I$72,M786=phu!$I$73,M786=phu!$I$74,M786=phu!$I$75,M786=phu!$I$76,M786=phu!$I$77,M786=phu!$I$78),"Cam Phước Đông",""),IF(OR(M786=phu!$I$79,M786=phu!$I$80,M786=phu!$I$81,M786=phu!$I$82,M786=phu!$I$83,M786=phu!$I$84),"Cam Thịnh Đông",""),IF(OR(M786=phu!$I$85,M786=phu!$I$86,M786=phu!$I$87,M786=phu!$I$88),"Cam Thịnh Tây",""),IF(OR(M786=phu!$I$89,M786=phu!$I$90),"Cam Lập",""),IF(OR(M786=phu!$I$91,M786=phu!$I$92,M786=phu!$I$93),"Cam Bình",""),IF(OR(M786=phu!$I$94,M786=phu!$I$95,M786=phu!$I$96,M786=phu!$I$97,M786=phu!$I$98,M786=phu!$I$99,M786=phu!$I$100),"Huyện khác",""),IF(OR(M786=phu!$I$101,M786=phu!$I$102),"Tỉnh khác",""))</f>
        <v/>
      </c>
      <c r="O786" s="829" t="str">
        <f t="shared" si="72"/>
        <v/>
      </c>
      <c r="P786" s="254"/>
      <c r="Q786" s="254"/>
      <c r="R786" s="254"/>
      <c r="S786" s="254"/>
      <c r="T786" s="254"/>
      <c r="U786" s="254"/>
      <c r="V786" s="254"/>
      <c r="W786" s="254"/>
      <c r="Y786" s="246" t="str">
        <f t="shared" si="73"/>
        <v/>
      </c>
      <c r="Z786" s="247" t="str">
        <f t="shared" si="77"/>
        <v/>
      </c>
      <c r="AA786" s="246" t="str">
        <f t="shared" si="74"/>
        <v/>
      </c>
    </row>
    <row r="787" spans="1:27" x14ac:dyDescent="0.25">
      <c r="A787" s="248" t="str">
        <f t="shared" si="75"/>
        <v/>
      </c>
      <c r="B787" s="249" t="str">
        <f t="shared" si="76"/>
        <v/>
      </c>
      <c r="C787" s="250"/>
      <c r="D787" s="251"/>
      <c r="E787" s="241"/>
      <c r="F787" s="252"/>
      <c r="G787" s="252"/>
      <c r="H787" s="253"/>
      <c r="I787" s="250"/>
      <c r="J787" s="250"/>
      <c r="K787" s="270"/>
      <c r="L787" s="250"/>
      <c r="M787" s="250"/>
      <c r="N787" s="540" t="str">
        <f>CONCATENATE(IF(OR(M787=phu!$I$1,M787=phu!$I$2,M787=phu!$I$3),"Cam Thành Nam",""),IF(OR(M787=phu!$I$4,M787=phu!$I$5,M787=phu!$I$6,M787=phu!$I$7,M787=phu!$I$8,M787=phu!$I$9,M787=phu!$I$10,M787=phu!$I$11,M787=phu!$I$12,M787=phu!$I$13,M787=phu!$I$14),"Cam Nghĩa",""),IF(OR(M787=phu!$I$15,M787=phu!$I$16,M787=phu!$I$17,M787=phu!$I$18,M787=phu!$I$19,M787=phu!$I$20,M787=phu!$I$21),"Cam Phúc Bắc",""),IF(OR(M787=phu!$I$22,M787=phu!$I$23,M787=phu!$I$24,M787=phu!$I$25),"Cam Phúc Nam",""),IF(OR(M787=phu!$I$26,M787=phu!$I$27,M787=phu!$I$28,M787=phu!$I$29,M787=phu!$I$30,M787=phu!$I$31),"Cam Phú",""),IF(OR(M787=phu!$I$32,M787=phu!$I$33,M787=phu!$I$34,M787=phu!$I$35,M787=phu!$I$36,M787=phu!$I$37),"Cam Lộc",""),IF(OR(M787=phu!$I$38,M787=phu!$I$39,M787=phu!$I$40,M787=phu!$I$41,M787=phu!$I$42,M787=phu!$I$43,M787=phu!$I$44),"Cam Thuận",""),IF(OR(M787=phu!$I$45,M787=phu!$I$46,M787=phu!$I$47,M787=phu!$I$48,M787=phu!$I$49,M787=phu!$I$50,M787=phu!$I$51,M787=phu!$I$52,M787=phu!$I$53),"Cam Linh",""),IF(OR(M787=phu!$I$54,M787=phu!$I$55,M787=phu!$I$56,M787=phu!$I$57,M787=phu!$I$58,M787=phu!$I$59,M787=phu!$I$60,M787=phu!$I$61,M787=phu!$I$62),"Cam Lợi",""),IF(OR(M787=phu!$I$63,M787=phu!$I$64,M787=phu!$I$65,M787=phu!$I$66,M787=phu!$I$67,M787=phu!$I$68,M787=phu!$I$69,M787=phu!$I$70,M787=phu!$I$71),"Ba Ngòi",""),IF(OR(M787=phu!$I$72,M787=phu!$I$73,M787=phu!$I$74,M787=phu!$I$75,M787=phu!$I$76,M787=phu!$I$77,M787=phu!$I$78),"Cam Phước Đông",""),IF(OR(M787=phu!$I$79,M787=phu!$I$80,M787=phu!$I$81,M787=phu!$I$82,M787=phu!$I$83,M787=phu!$I$84),"Cam Thịnh Đông",""),IF(OR(M787=phu!$I$85,M787=phu!$I$86,M787=phu!$I$87,M787=phu!$I$88),"Cam Thịnh Tây",""),IF(OR(M787=phu!$I$89,M787=phu!$I$90),"Cam Lập",""),IF(OR(M787=phu!$I$91,M787=phu!$I$92,M787=phu!$I$93),"Cam Bình",""),IF(OR(M787=phu!$I$94,M787=phu!$I$95,M787=phu!$I$96,M787=phu!$I$97,M787=phu!$I$98,M787=phu!$I$99,M787=phu!$I$100),"Huyện khác",""),IF(OR(M787=phu!$I$101,M787=phu!$I$102),"Tỉnh khác",""))</f>
        <v/>
      </c>
      <c r="O787" s="829" t="str">
        <f t="shared" si="72"/>
        <v/>
      </c>
      <c r="P787" s="254"/>
      <c r="Q787" s="254"/>
      <c r="R787" s="254"/>
      <c r="S787" s="254"/>
      <c r="T787" s="254"/>
      <c r="U787" s="254"/>
      <c r="V787" s="254"/>
      <c r="W787" s="254"/>
      <c r="Y787" s="246" t="str">
        <f t="shared" si="73"/>
        <v/>
      </c>
      <c r="Z787" s="247" t="str">
        <f t="shared" si="77"/>
        <v/>
      </c>
      <c r="AA787" s="246" t="str">
        <f t="shared" si="74"/>
        <v/>
      </c>
    </row>
    <row r="788" spans="1:27" x14ac:dyDescent="0.25">
      <c r="A788" s="248" t="str">
        <f t="shared" si="75"/>
        <v/>
      </c>
      <c r="B788" s="249" t="str">
        <f t="shared" si="76"/>
        <v/>
      </c>
      <c r="C788" s="250"/>
      <c r="D788" s="251"/>
      <c r="E788" s="241"/>
      <c r="F788" s="252"/>
      <c r="G788" s="252"/>
      <c r="H788" s="253"/>
      <c r="I788" s="250"/>
      <c r="J788" s="250"/>
      <c r="K788" s="270"/>
      <c r="L788" s="250"/>
      <c r="M788" s="250"/>
      <c r="N788" s="540" t="str">
        <f>CONCATENATE(IF(OR(M788=phu!$I$1,M788=phu!$I$2,M788=phu!$I$3),"Cam Thành Nam",""),IF(OR(M788=phu!$I$4,M788=phu!$I$5,M788=phu!$I$6,M788=phu!$I$7,M788=phu!$I$8,M788=phu!$I$9,M788=phu!$I$10,M788=phu!$I$11,M788=phu!$I$12,M788=phu!$I$13,M788=phu!$I$14),"Cam Nghĩa",""),IF(OR(M788=phu!$I$15,M788=phu!$I$16,M788=phu!$I$17,M788=phu!$I$18,M788=phu!$I$19,M788=phu!$I$20,M788=phu!$I$21),"Cam Phúc Bắc",""),IF(OR(M788=phu!$I$22,M788=phu!$I$23,M788=phu!$I$24,M788=phu!$I$25),"Cam Phúc Nam",""),IF(OR(M788=phu!$I$26,M788=phu!$I$27,M788=phu!$I$28,M788=phu!$I$29,M788=phu!$I$30,M788=phu!$I$31),"Cam Phú",""),IF(OR(M788=phu!$I$32,M788=phu!$I$33,M788=phu!$I$34,M788=phu!$I$35,M788=phu!$I$36,M788=phu!$I$37),"Cam Lộc",""),IF(OR(M788=phu!$I$38,M788=phu!$I$39,M788=phu!$I$40,M788=phu!$I$41,M788=phu!$I$42,M788=phu!$I$43,M788=phu!$I$44),"Cam Thuận",""),IF(OR(M788=phu!$I$45,M788=phu!$I$46,M788=phu!$I$47,M788=phu!$I$48,M788=phu!$I$49,M788=phu!$I$50,M788=phu!$I$51,M788=phu!$I$52,M788=phu!$I$53),"Cam Linh",""),IF(OR(M788=phu!$I$54,M788=phu!$I$55,M788=phu!$I$56,M788=phu!$I$57,M788=phu!$I$58,M788=phu!$I$59,M788=phu!$I$60,M788=phu!$I$61,M788=phu!$I$62),"Cam Lợi",""),IF(OR(M788=phu!$I$63,M788=phu!$I$64,M788=phu!$I$65,M788=phu!$I$66,M788=phu!$I$67,M788=phu!$I$68,M788=phu!$I$69,M788=phu!$I$70,M788=phu!$I$71),"Ba Ngòi",""),IF(OR(M788=phu!$I$72,M788=phu!$I$73,M788=phu!$I$74,M788=phu!$I$75,M788=phu!$I$76,M788=phu!$I$77,M788=phu!$I$78),"Cam Phước Đông",""),IF(OR(M788=phu!$I$79,M788=phu!$I$80,M788=phu!$I$81,M788=phu!$I$82,M788=phu!$I$83,M788=phu!$I$84),"Cam Thịnh Đông",""),IF(OR(M788=phu!$I$85,M788=phu!$I$86,M788=phu!$I$87,M788=phu!$I$88),"Cam Thịnh Tây",""),IF(OR(M788=phu!$I$89,M788=phu!$I$90),"Cam Lập",""),IF(OR(M788=phu!$I$91,M788=phu!$I$92,M788=phu!$I$93),"Cam Bình",""),IF(OR(M788=phu!$I$94,M788=phu!$I$95,M788=phu!$I$96,M788=phu!$I$97,M788=phu!$I$98,M788=phu!$I$99,M788=phu!$I$100),"Huyện khác",""),IF(OR(M788=phu!$I$101,M788=phu!$I$102),"Tỉnh khác",""))</f>
        <v/>
      </c>
      <c r="O788" s="829" t="str">
        <f t="shared" si="72"/>
        <v/>
      </c>
      <c r="P788" s="254"/>
      <c r="Q788" s="254"/>
      <c r="R788" s="254"/>
      <c r="S788" s="254"/>
      <c r="T788" s="254"/>
      <c r="U788" s="254"/>
      <c r="V788" s="254"/>
      <c r="W788" s="254"/>
      <c r="Y788" s="246" t="str">
        <f t="shared" si="73"/>
        <v/>
      </c>
      <c r="Z788" s="247" t="str">
        <f t="shared" si="77"/>
        <v/>
      </c>
      <c r="AA788" s="246" t="str">
        <f t="shared" si="74"/>
        <v/>
      </c>
    </row>
    <row r="789" spans="1:27" x14ac:dyDescent="0.25">
      <c r="A789" s="248" t="str">
        <f t="shared" si="75"/>
        <v/>
      </c>
      <c r="B789" s="249" t="str">
        <f t="shared" si="76"/>
        <v/>
      </c>
      <c r="C789" s="250"/>
      <c r="D789" s="251"/>
      <c r="E789" s="241"/>
      <c r="F789" s="252"/>
      <c r="G789" s="252"/>
      <c r="H789" s="253"/>
      <c r="I789" s="250"/>
      <c r="J789" s="250"/>
      <c r="K789" s="270"/>
      <c r="L789" s="250"/>
      <c r="M789" s="250"/>
      <c r="N789" s="540" t="str">
        <f>CONCATENATE(IF(OR(M789=phu!$I$1,M789=phu!$I$2,M789=phu!$I$3),"Cam Thành Nam",""),IF(OR(M789=phu!$I$4,M789=phu!$I$5,M789=phu!$I$6,M789=phu!$I$7,M789=phu!$I$8,M789=phu!$I$9,M789=phu!$I$10,M789=phu!$I$11,M789=phu!$I$12,M789=phu!$I$13,M789=phu!$I$14),"Cam Nghĩa",""),IF(OR(M789=phu!$I$15,M789=phu!$I$16,M789=phu!$I$17,M789=phu!$I$18,M789=phu!$I$19,M789=phu!$I$20,M789=phu!$I$21),"Cam Phúc Bắc",""),IF(OR(M789=phu!$I$22,M789=phu!$I$23,M789=phu!$I$24,M789=phu!$I$25),"Cam Phúc Nam",""),IF(OR(M789=phu!$I$26,M789=phu!$I$27,M789=phu!$I$28,M789=phu!$I$29,M789=phu!$I$30,M789=phu!$I$31),"Cam Phú",""),IF(OR(M789=phu!$I$32,M789=phu!$I$33,M789=phu!$I$34,M789=phu!$I$35,M789=phu!$I$36,M789=phu!$I$37),"Cam Lộc",""),IF(OR(M789=phu!$I$38,M789=phu!$I$39,M789=phu!$I$40,M789=phu!$I$41,M789=phu!$I$42,M789=phu!$I$43,M789=phu!$I$44),"Cam Thuận",""),IF(OR(M789=phu!$I$45,M789=phu!$I$46,M789=phu!$I$47,M789=phu!$I$48,M789=phu!$I$49,M789=phu!$I$50,M789=phu!$I$51,M789=phu!$I$52,M789=phu!$I$53),"Cam Linh",""),IF(OR(M789=phu!$I$54,M789=phu!$I$55,M789=phu!$I$56,M789=phu!$I$57,M789=phu!$I$58,M789=phu!$I$59,M789=phu!$I$60,M789=phu!$I$61,M789=phu!$I$62),"Cam Lợi",""),IF(OR(M789=phu!$I$63,M789=phu!$I$64,M789=phu!$I$65,M789=phu!$I$66,M789=phu!$I$67,M789=phu!$I$68,M789=phu!$I$69,M789=phu!$I$70,M789=phu!$I$71),"Ba Ngòi",""),IF(OR(M789=phu!$I$72,M789=phu!$I$73,M789=phu!$I$74,M789=phu!$I$75,M789=phu!$I$76,M789=phu!$I$77,M789=phu!$I$78),"Cam Phước Đông",""),IF(OR(M789=phu!$I$79,M789=phu!$I$80,M789=phu!$I$81,M789=phu!$I$82,M789=phu!$I$83,M789=phu!$I$84),"Cam Thịnh Đông",""),IF(OR(M789=phu!$I$85,M789=phu!$I$86,M789=phu!$I$87,M789=phu!$I$88),"Cam Thịnh Tây",""),IF(OR(M789=phu!$I$89,M789=phu!$I$90),"Cam Lập",""),IF(OR(M789=phu!$I$91,M789=phu!$I$92,M789=phu!$I$93),"Cam Bình",""),IF(OR(M789=phu!$I$94,M789=phu!$I$95,M789=phu!$I$96,M789=phu!$I$97,M789=phu!$I$98,M789=phu!$I$99,M789=phu!$I$100),"Huyện khác",""),IF(OR(M789=phu!$I$101,M789=phu!$I$102),"Tỉnh khác",""))</f>
        <v/>
      </c>
      <c r="O789" s="829" t="str">
        <f t="shared" si="72"/>
        <v/>
      </c>
      <c r="P789" s="254"/>
      <c r="Q789" s="254"/>
      <c r="R789" s="254"/>
      <c r="S789" s="254"/>
      <c r="T789" s="254"/>
      <c r="U789" s="254"/>
      <c r="V789" s="254"/>
      <c r="W789" s="254"/>
      <c r="Y789" s="246" t="str">
        <f t="shared" si="73"/>
        <v/>
      </c>
      <c r="Z789" s="247" t="str">
        <f t="shared" si="77"/>
        <v/>
      </c>
      <c r="AA789" s="246" t="str">
        <f t="shared" si="74"/>
        <v/>
      </c>
    </row>
    <row r="790" spans="1:27" x14ac:dyDescent="0.25">
      <c r="A790" s="248" t="str">
        <f t="shared" si="75"/>
        <v/>
      </c>
      <c r="B790" s="249" t="str">
        <f t="shared" si="76"/>
        <v/>
      </c>
      <c r="C790" s="250"/>
      <c r="D790" s="251"/>
      <c r="E790" s="241"/>
      <c r="F790" s="252"/>
      <c r="G790" s="252"/>
      <c r="H790" s="253"/>
      <c r="I790" s="250"/>
      <c r="J790" s="250"/>
      <c r="K790" s="270"/>
      <c r="L790" s="250"/>
      <c r="M790" s="250"/>
      <c r="N790" s="540" t="str">
        <f>CONCATENATE(IF(OR(M790=phu!$I$1,M790=phu!$I$2,M790=phu!$I$3),"Cam Thành Nam",""),IF(OR(M790=phu!$I$4,M790=phu!$I$5,M790=phu!$I$6,M790=phu!$I$7,M790=phu!$I$8,M790=phu!$I$9,M790=phu!$I$10,M790=phu!$I$11,M790=phu!$I$12,M790=phu!$I$13,M790=phu!$I$14),"Cam Nghĩa",""),IF(OR(M790=phu!$I$15,M790=phu!$I$16,M790=phu!$I$17,M790=phu!$I$18,M790=phu!$I$19,M790=phu!$I$20,M790=phu!$I$21),"Cam Phúc Bắc",""),IF(OR(M790=phu!$I$22,M790=phu!$I$23,M790=phu!$I$24,M790=phu!$I$25),"Cam Phúc Nam",""),IF(OR(M790=phu!$I$26,M790=phu!$I$27,M790=phu!$I$28,M790=phu!$I$29,M790=phu!$I$30,M790=phu!$I$31),"Cam Phú",""),IF(OR(M790=phu!$I$32,M790=phu!$I$33,M790=phu!$I$34,M790=phu!$I$35,M790=phu!$I$36,M790=phu!$I$37),"Cam Lộc",""),IF(OR(M790=phu!$I$38,M790=phu!$I$39,M790=phu!$I$40,M790=phu!$I$41,M790=phu!$I$42,M790=phu!$I$43,M790=phu!$I$44),"Cam Thuận",""),IF(OR(M790=phu!$I$45,M790=phu!$I$46,M790=phu!$I$47,M790=phu!$I$48,M790=phu!$I$49,M790=phu!$I$50,M790=phu!$I$51,M790=phu!$I$52,M790=phu!$I$53),"Cam Linh",""),IF(OR(M790=phu!$I$54,M790=phu!$I$55,M790=phu!$I$56,M790=phu!$I$57,M790=phu!$I$58,M790=phu!$I$59,M790=phu!$I$60,M790=phu!$I$61,M790=phu!$I$62),"Cam Lợi",""),IF(OR(M790=phu!$I$63,M790=phu!$I$64,M790=phu!$I$65,M790=phu!$I$66,M790=phu!$I$67,M790=phu!$I$68,M790=phu!$I$69,M790=phu!$I$70,M790=phu!$I$71),"Ba Ngòi",""),IF(OR(M790=phu!$I$72,M790=phu!$I$73,M790=phu!$I$74,M790=phu!$I$75,M790=phu!$I$76,M790=phu!$I$77,M790=phu!$I$78),"Cam Phước Đông",""),IF(OR(M790=phu!$I$79,M790=phu!$I$80,M790=phu!$I$81,M790=phu!$I$82,M790=phu!$I$83,M790=phu!$I$84),"Cam Thịnh Đông",""),IF(OR(M790=phu!$I$85,M790=phu!$I$86,M790=phu!$I$87,M790=phu!$I$88),"Cam Thịnh Tây",""),IF(OR(M790=phu!$I$89,M790=phu!$I$90),"Cam Lập",""),IF(OR(M790=phu!$I$91,M790=phu!$I$92,M790=phu!$I$93),"Cam Bình",""),IF(OR(M790=phu!$I$94,M790=phu!$I$95,M790=phu!$I$96,M790=phu!$I$97,M790=phu!$I$98,M790=phu!$I$99,M790=phu!$I$100),"Huyện khác",""),IF(OR(M790=phu!$I$101,M790=phu!$I$102),"Tỉnh khác",""))</f>
        <v/>
      </c>
      <c r="O790" s="829" t="str">
        <f t="shared" si="72"/>
        <v/>
      </c>
      <c r="P790" s="254"/>
      <c r="Q790" s="254"/>
      <c r="R790" s="254"/>
      <c r="S790" s="254"/>
      <c r="T790" s="254"/>
      <c r="U790" s="254"/>
      <c r="V790" s="254"/>
      <c r="W790" s="254"/>
      <c r="Y790" s="246" t="str">
        <f t="shared" si="73"/>
        <v/>
      </c>
      <c r="Z790" s="247" t="str">
        <f t="shared" si="77"/>
        <v/>
      </c>
      <c r="AA790" s="246" t="str">
        <f t="shared" si="74"/>
        <v/>
      </c>
    </row>
    <row r="791" spans="1:27" x14ac:dyDescent="0.25">
      <c r="A791" s="248" t="str">
        <f t="shared" si="75"/>
        <v/>
      </c>
      <c r="B791" s="249" t="str">
        <f t="shared" si="76"/>
        <v/>
      </c>
      <c r="C791" s="250"/>
      <c r="D791" s="251"/>
      <c r="E791" s="241"/>
      <c r="F791" s="252"/>
      <c r="G791" s="252"/>
      <c r="H791" s="253"/>
      <c r="I791" s="250"/>
      <c r="J791" s="250"/>
      <c r="K791" s="270"/>
      <c r="L791" s="250"/>
      <c r="M791" s="250"/>
      <c r="N791" s="540" t="str">
        <f>CONCATENATE(IF(OR(M791=phu!$I$1,M791=phu!$I$2,M791=phu!$I$3),"Cam Thành Nam",""),IF(OR(M791=phu!$I$4,M791=phu!$I$5,M791=phu!$I$6,M791=phu!$I$7,M791=phu!$I$8,M791=phu!$I$9,M791=phu!$I$10,M791=phu!$I$11,M791=phu!$I$12,M791=phu!$I$13,M791=phu!$I$14),"Cam Nghĩa",""),IF(OR(M791=phu!$I$15,M791=phu!$I$16,M791=phu!$I$17,M791=phu!$I$18,M791=phu!$I$19,M791=phu!$I$20,M791=phu!$I$21),"Cam Phúc Bắc",""),IF(OR(M791=phu!$I$22,M791=phu!$I$23,M791=phu!$I$24,M791=phu!$I$25),"Cam Phúc Nam",""),IF(OR(M791=phu!$I$26,M791=phu!$I$27,M791=phu!$I$28,M791=phu!$I$29,M791=phu!$I$30,M791=phu!$I$31),"Cam Phú",""),IF(OR(M791=phu!$I$32,M791=phu!$I$33,M791=phu!$I$34,M791=phu!$I$35,M791=phu!$I$36,M791=phu!$I$37),"Cam Lộc",""),IF(OR(M791=phu!$I$38,M791=phu!$I$39,M791=phu!$I$40,M791=phu!$I$41,M791=phu!$I$42,M791=phu!$I$43,M791=phu!$I$44),"Cam Thuận",""),IF(OR(M791=phu!$I$45,M791=phu!$I$46,M791=phu!$I$47,M791=phu!$I$48,M791=phu!$I$49,M791=phu!$I$50,M791=phu!$I$51,M791=phu!$I$52,M791=phu!$I$53),"Cam Linh",""),IF(OR(M791=phu!$I$54,M791=phu!$I$55,M791=phu!$I$56,M791=phu!$I$57,M791=phu!$I$58,M791=phu!$I$59,M791=phu!$I$60,M791=phu!$I$61,M791=phu!$I$62),"Cam Lợi",""),IF(OR(M791=phu!$I$63,M791=phu!$I$64,M791=phu!$I$65,M791=phu!$I$66,M791=phu!$I$67,M791=phu!$I$68,M791=phu!$I$69,M791=phu!$I$70,M791=phu!$I$71),"Ba Ngòi",""),IF(OR(M791=phu!$I$72,M791=phu!$I$73,M791=phu!$I$74,M791=phu!$I$75,M791=phu!$I$76,M791=phu!$I$77,M791=phu!$I$78),"Cam Phước Đông",""),IF(OR(M791=phu!$I$79,M791=phu!$I$80,M791=phu!$I$81,M791=phu!$I$82,M791=phu!$I$83,M791=phu!$I$84),"Cam Thịnh Đông",""),IF(OR(M791=phu!$I$85,M791=phu!$I$86,M791=phu!$I$87,M791=phu!$I$88),"Cam Thịnh Tây",""),IF(OR(M791=phu!$I$89,M791=phu!$I$90),"Cam Lập",""),IF(OR(M791=phu!$I$91,M791=phu!$I$92,M791=phu!$I$93),"Cam Bình",""),IF(OR(M791=phu!$I$94,M791=phu!$I$95,M791=phu!$I$96,M791=phu!$I$97,M791=phu!$I$98,M791=phu!$I$99,M791=phu!$I$100),"Huyện khác",""),IF(OR(M791=phu!$I$101,M791=phu!$I$102),"Tỉnh khác",""))</f>
        <v/>
      </c>
      <c r="O791" s="829" t="str">
        <f t="shared" si="72"/>
        <v/>
      </c>
      <c r="P791" s="254"/>
      <c r="Q791" s="254"/>
      <c r="R791" s="254"/>
      <c r="S791" s="254"/>
      <c r="T791" s="254"/>
      <c r="U791" s="254"/>
      <c r="V791" s="254"/>
      <c r="W791" s="254"/>
      <c r="Y791" s="246" t="str">
        <f t="shared" si="73"/>
        <v/>
      </c>
      <c r="Z791" s="247" t="str">
        <f t="shared" si="77"/>
        <v/>
      </c>
      <c r="AA791" s="246" t="str">
        <f t="shared" si="74"/>
        <v/>
      </c>
    </row>
    <row r="792" spans="1:27" x14ac:dyDescent="0.25">
      <c r="A792" s="248" t="str">
        <f t="shared" si="75"/>
        <v/>
      </c>
      <c r="B792" s="249" t="str">
        <f t="shared" si="76"/>
        <v/>
      </c>
      <c r="C792" s="250"/>
      <c r="D792" s="251"/>
      <c r="E792" s="241"/>
      <c r="F792" s="252"/>
      <c r="G792" s="252"/>
      <c r="H792" s="253"/>
      <c r="I792" s="250"/>
      <c r="J792" s="250"/>
      <c r="K792" s="270"/>
      <c r="L792" s="250"/>
      <c r="M792" s="250"/>
      <c r="N792" s="540" t="str">
        <f>CONCATENATE(IF(OR(M792=phu!$I$1,M792=phu!$I$2,M792=phu!$I$3),"Cam Thành Nam",""),IF(OR(M792=phu!$I$4,M792=phu!$I$5,M792=phu!$I$6,M792=phu!$I$7,M792=phu!$I$8,M792=phu!$I$9,M792=phu!$I$10,M792=phu!$I$11,M792=phu!$I$12,M792=phu!$I$13,M792=phu!$I$14),"Cam Nghĩa",""),IF(OR(M792=phu!$I$15,M792=phu!$I$16,M792=phu!$I$17,M792=phu!$I$18,M792=phu!$I$19,M792=phu!$I$20,M792=phu!$I$21),"Cam Phúc Bắc",""),IF(OR(M792=phu!$I$22,M792=phu!$I$23,M792=phu!$I$24,M792=phu!$I$25),"Cam Phúc Nam",""),IF(OR(M792=phu!$I$26,M792=phu!$I$27,M792=phu!$I$28,M792=phu!$I$29,M792=phu!$I$30,M792=phu!$I$31),"Cam Phú",""),IF(OR(M792=phu!$I$32,M792=phu!$I$33,M792=phu!$I$34,M792=phu!$I$35,M792=phu!$I$36,M792=phu!$I$37),"Cam Lộc",""),IF(OR(M792=phu!$I$38,M792=phu!$I$39,M792=phu!$I$40,M792=phu!$I$41,M792=phu!$I$42,M792=phu!$I$43,M792=phu!$I$44),"Cam Thuận",""),IF(OR(M792=phu!$I$45,M792=phu!$I$46,M792=phu!$I$47,M792=phu!$I$48,M792=phu!$I$49,M792=phu!$I$50,M792=phu!$I$51,M792=phu!$I$52,M792=phu!$I$53),"Cam Linh",""),IF(OR(M792=phu!$I$54,M792=phu!$I$55,M792=phu!$I$56,M792=phu!$I$57,M792=phu!$I$58,M792=phu!$I$59,M792=phu!$I$60,M792=phu!$I$61,M792=phu!$I$62),"Cam Lợi",""),IF(OR(M792=phu!$I$63,M792=phu!$I$64,M792=phu!$I$65,M792=phu!$I$66,M792=phu!$I$67,M792=phu!$I$68,M792=phu!$I$69,M792=phu!$I$70,M792=phu!$I$71),"Ba Ngòi",""),IF(OR(M792=phu!$I$72,M792=phu!$I$73,M792=phu!$I$74,M792=phu!$I$75,M792=phu!$I$76,M792=phu!$I$77,M792=phu!$I$78),"Cam Phước Đông",""),IF(OR(M792=phu!$I$79,M792=phu!$I$80,M792=phu!$I$81,M792=phu!$I$82,M792=phu!$I$83,M792=phu!$I$84),"Cam Thịnh Đông",""),IF(OR(M792=phu!$I$85,M792=phu!$I$86,M792=phu!$I$87,M792=phu!$I$88),"Cam Thịnh Tây",""),IF(OR(M792=phu!$I$89,M792=phu!$I$90),"Cam Lập",""),IF(OR(M792=phu!$I$91,M792=phu!$I$92,M792=phu!$I$93),"Cam Bình",""),IF(OR(M792=phu!$I$94,M792=phu!$I$95,M792=phu!$I$96,M792=phu!$I$97,M792=phu!$I$98,M792=phu!$I$99,M792=phu!$I$100),"Huyện khác",""),IF(OR(M792=phu!$I$101,M792=phu!$I$102),"Tỉnh khác",""))</f>
        <v/>
      </c>
      <c r="O792" s="829" t="str">
        <f t="shared" si="72"/>
        <v/>
      </c>
      <c r="P792" s="254"/>
      <c r="Q792" s="254"/>
      <c r="R792" s="254"/>
      <c r="S792" s="254"/>
      <c r="T792" s="254"/>
      <c r="U792" s="254"/>
      <c r="V792" s="254"/>
      <c r="W792" s="254"/>
      <c r="Y792" s="246" t="str">
        <f t="shared" si="73"/>
        <v/>
      </c>
      <c r="Z792" s="247" t="str">
        <f t="shared" si="77"/>
        <v/>
      </c>
      <c r="AA792" s="246" t="str">
        <f t="shared" si="74"/>
        <v/>
      </c>
    </row>
    <row r="793" spans="1:27" x14ac:dyDescent="0.25">
      <c r="A793" s="248" t="str">
        <f t="shared" si="75"/>
        <v/>
      </c>
      <c r="B793" s="249" t="str">
        <f t="shared" si="76"/>
        <v/>
      </c>
      <c r="C793" s="250"/>
      <c r="D793" s="251"/>
      <c r="E793" s="241"/>
      <c r="F793" s="252"/>
      <c r="G793" s="252"/>
      <c r="H793" s="253"/>
      <c r="I793" s="250"/>
      <c r="J793" s="250"/>
      <c r="K793" s="270"/>
      <c r="L793" s="250"/>
      <c r="M793" s="250"/>
      <c r="N793" s="540" t="str">
        <f>CONCATENATE(IF(OR(M793=phu!$I$1,M793=phu!$I$2,M793=phu!$I$3),"Cam Thành Nam",""),IF(OR(M793=phu!$I$4,M793=phu!$I$5,M793=phu!$I$6,M793=phu!$I$7,M793=phu!$I$8,M793=phu!$I$9,M793=phu!$I$10,M793=phu!$I$11,M793=phu!$I$12,M793=phu!$I$13,M793=phu!$I$14),"Cam Nghĩa",""),IF(OR(M793=phu!$I$15,M793=phu!$I$16,M793=phu!$I$17,M793=phu!$I$18,M793=phu!$I$19,M793=phu!$I$20,M793=phu!$I$21),"Cam Phúc Bắc",""),IF(OR(M793=phu!$I$22,M793=phu!$I$23,M793=phu!$I$24,M793=phu!$I$25),"Cam Phúc Nam",""),IF(OR(M793=phu!$I$26,M793=phu!$I$27,M793=phu!$I$28,M793=phu!$I$29,M793=phu!$I$30,M793=phu!$I$31),"Cam Phú",""),IF(OR(M793=phu!$I$32,M793=phu!$I$33,M793=phu!$I$34,M793=phu!$I$35,M793=phu!$I$36,M793=phu!$I$37),"Cam Lộc",""),IF(OR(M793=phu!$I$38,M793=phu!$I$39,M793=phu!$I$40,M793=phu!$I$41,M793=phu!$I$42,M793=phu!$I$43,M793=phu!$I$44),"Cam Thuận",""),IF(OR(M793=phu!$I$45,M793=phu!$I$46,M793=phu!$I$47,M793=phu!$I$48,M793=phu!$I$49,M793=phu!$I$50,M793=phu!$I$51,M793=phu!$I$52,M793=phu!$I$53),"Cam Linh",""),IF(OR(M793=phu!$I$54,M793=phu!$I$55,M793=phu!$I$56,M793=phu!$I$57,M793=phu!$I$58,M793=phu!$I$59,M793=phu!$I$60,M793=phu!$I$61,M793=phu!$I$62),"Cam Lợi",""),IF(OR(M793=phu!$I$63,M793=phu!$I$64,M793=phu!$I$65,M793=phu!$I$66,M793=phu!$I$67,M793=phu!$I$68,M793=phu!$I$69,M793=phu!$I$70,M793=phu!$I$71),"Ba Ngòi",""),IF(OR(M793=phu!$I$72,M793=phu!$I$73,M793=phu!$I$74,M793=phu!$I$75,M793=phu!$I$76,M793=phu!$I$77,M793=phu!$I$78),"Cam Phước Đông",""),IF(OR(M793=phu!$I$79,M793=phu!$I$80,M793=phu!$I$81,M793=phu!$I$82,M793=phu!$I$83,M793=phu!$I$84),"Cam Thịnh Đông",""),IF(OR(M793=phu!$I$85,M793=phu!$I$86,M793=phu!$I$87,M793=phu!$I$88),"Cam Thịnh Tây",""),IF(OR(M793=phu!$I$89,M793=phu!$I$90),"Cam Lập",""),IF(OR(M793=phu!$I$91,M793=phu!$I$92,M793=phu!$I$93),"Cam Bình",""),IF(OR(M793=phu!$I$94,M793=phu!$I$95,M793=phu!$I$96,M793=phu!$I$97,M793=phu!$I$98,M793=phu!$I$99,M793=phu!$I$100),"Huyện khác",""),IF(OR(M793=phu!$I$101,M793=phu!$I$102),"Tỉnh khác",""))</f>
        <v/>
      </c>
      <c r="O793" s="829" t="str">
        <f t="shared" si="72"/>
        <v/>
      </c>
      <c r="P793" s="254"/>
      <c r="Q793" s="254"/>
      <c r="R793" s="254"/>
      <c r="S793" s="254"/>
      <c r="T793" s="254"/>
      <c r="U793" s="254"/>
      <c r="V793" s="254"/>
      <c r="W793" s="254"/>
      <c r="Y793" s="246" t="str">
        <f t="shared" si="73"/>
        <v/>
      </c>
      <c r="Z793" s="247" t="str">
        <f t="shared" si="77"/>
        <v/>
      </c>
      <c r="AA793" s="246" t="str">
        <f t="shared" si="74"/>
        <v/>
      </c>
    </row>
    <row r="794" spans="1:27" x14ac:dyDescent="0.25">
      <c r="A794" s="248" t="str">
        <f t="shared" si="75"/>
        <v/>
      </c>
      <c r="B794" s="249" t="str">
        <f t="shared" si="76"/>
        <v/>
      </c>
      <c r="C794" s="250"/>
      <c r="D794" s="251"/>
      <c r="E794" s="241"/>
      <c r="F794" s="252"/>
      <c r="G794" s="252"/>
      <c r="H794" s="253"/>
      <c r="I794" s="250"/>
      <c r="J794" s="250"/>
      <c r="K794" s="270"/>
      <c r="L794" s="250"/>
      <c r="M794" s="250"/>
      <c r="N794" s="540" t="str">
        <f>CONCATENATE(IF(OR(M794=phu!$I$1,M794=phu!$I$2,M794=phu!$I$3),"Cam Thành Nam",""),IF(OR(M794=phu!$I$4,M794=phu!$I$5,M794=phu!$I$6,M794=phu!$I$7,M794=phu!$I$8,M794=phu!$I$9,M794=phu!$I$10,M794=phu!$I$11,M794=phu!$I$12,M794=phu!$I$13,M794=phu!$I$14),"Cam Nghĩa",""),IF(OR(M794=phu!$I$15,M794=phu!$I$16,M794=phu!$I$17,M794=phu!$I$18,M794=phu!$I$19,M794=phu!$I$20,M794=phu!$I$21),"Cam Phúc Bắc",""),IF(OR(M794=phu!$I$22,M794=phu!$I$23,M794=phu!$I$24,M794=phu!$I$25),"Cam Phúc Nam",""),IF(OR(M794=phu!$I$26,M794=phu!$I$27,M794=phu!$I$28,M794=phu!$I$29,M794=phu!$I$30,M794=phu!$I$31),"Cam Phú",""),IF(OR(M794=phu!$I$32,M794=phu!$I$33,M794=phu!$I$34,M794=phu!$I$35,M794=phu!$I$36,M794=phu!$I$37),"Cam Lộc",""),IF(OR(M794=phu!$I$38,M794=phu!$I$39,M794=phu!$I$40,M794=phu!$I$41,M794=phu!$I$42,M794=phu!$I$43,M794=phu!$I$44),"Cam Thuận",""),IF(OR(M794=phu!$I$45,M794=phu!$I$46,M794=phu!$I$47,M794=phu!$I$48,M794=phu!$I$49,M794=phu!$I$50,M794=phu!$I$51,M794=phu!$I$52,M794=phu!$I$53),"Cam Linh",""),IF(OR(M794=phu!$I$54,M794=phu!$I$55,M794=phu!$I$56,M794=phu!$I$57,M794=phu!$I$58,M794=phu!$I$59,M794=phu!$I$60,M794=phu!$I$61,M794=phu!$I$62),"Cam Lợi",""),IF(OR(M794=phu!$I$63,M794=phu!$I$64,M794=phu!$I$65,M794=phu!$I$66,M794=phu!$I$67,M794=phu!$I$68,M794=phu!$I$69,M794=phu!$I$70,M794=phu!$I$71),"Ba Ngòi",""),IF(OR(M794=phu!$I$72,M794=phu!$I$73,M794=phu!$I$74,M794=phu!$I$75,M794=phu!$I$76,M794=phu!$I$77,M794=phu!$I$78),"Cam Phước Đông",""),IF(OR(M794=phu!$I$79,M794=phu!$I$80,M794=phu!$I$81,M794=phu!$I$82,M794=phu!$I$83,M794=phu!$I$84),"Cam Thịnh Đông",""),IF(OR(M794=phu!$I$85,M794=phu!$I$86,M794=phu!$I$87,M794=phu!$I$88),"Cam Thịnh Tây",""),IF(OR(M794=phu!$I$89,M794=phu!$I$90),"Cam Lập",""),IF(OR(M794=phu!$I$91,M794=phu!$I$92,M794=phu!$I$93),"Cam Bình",""),IF(OR(M794=phu!$I$94,M794=phu!$I$95,M794=phu!$I$96,M794=phu!$I$97,M794=phu!$I$98,M794=phu!$I$99,M794=phu!$I$100),"Huyện khác",""),IF(OR(M794=phu!$I$101,M794=phu!$I$102),"Tỉnh khác",""))</f>
        <v/>
      </c>
      <c r="O794" s="829" t="str">
        <f t="shared" si="72"/>
        <v/>
      </c>
      <c r="P794" s="254"/>
      <c r="Q794" s="254"/>
      <c r="R794" s="254"/>
      <c r="S794" s="254"/>
      <c r="T794" s="254"/>
      <c r="U794" s="254"/>
      <c r="V794" s="254"/>
      <c r="W794" s="254"/>
      <c r="Y794" s="246" t="str">
        <f t="shared" si="73"/>
        <v/>
      </c>
      <c r="Z794" s="247" t="str">
        <f t="shared" si="77"/>
        <v/>
      </c>
      <c r="AA794" s="246" t="str">
        <f t="shared" si="74"/>
        <v/>
      </c>
    </row>
    <row r="795" spans="1:27" x14ac:dyDescent="0.25">
      <c r="A795" s="248" t="str">
        <f t="shared" si="75"/>
        <v/>
      </c>
      <c r="B795" s="249" t="str">
        <f t="shared" si="76"/>
        <v/>
      </c>
      <c r="C795" s="250"/>
      <c r="D795" s="251"/>
      <c r="E795" s="241"/>
      <c r="F795" s="252"/>
      <c r="G795" s="252"/>
      <c r="H795" s="253"/>
      <c r="I795" s="250"/>
      <c r="J795" s="250"/>
      <c r="K795" s="270"/>
      <c r="L795" s="250"/>
      <c r="M795" s="250"/>
      <c r="N795" s="540" t="str">
        <f>CONCATENATE(IF(OR(M795=phu!$I$1,M795=phu!$I$2,M795=phu!$I$3),"Cam Thành Nam",""),IF(OR(M795=phu!$I$4,M795=phu!$I$5,M795=phu!$I$6,M795=phu!$I$7,M795=phu!$I$8,M795=phu!$I$9,M795=phu!$I$10,M795=phu!$I$11,M795=phu!$I$12,M795=phu!$I$13,M795=phu!$I$14),"Cam Nghĩa",""),IF(OR(M795=phu!$I$15,M795=phu!$I$16,M795=phu!$I$17,M795=phu!$I$18,M795=phu!$I$19,M795=phu!$I$20,M795=phu!$I$21),"Cam Phúc Bắc",""),IF(OR(M795=phu!$I$22,M795=phu!$I$23,M795=phu!$I$24,M795=phu!$I$25),"Cam Phúc Nam",""),IF(OR(M795=phu!$I$26,M795=phu!$I$27,M795=phu!$I$28,M795=phu!$I$29,M795=phu!$I$30,M795=phu!$I$31),"Cam Phú",""),IF(OR(M795=phu!$I$32,M795=phu!$I$33,M795=phu!$I$34,M795=phu!$I$35,M795=phu!$I$36,M795=phu!$I$37),"Cam Lộc",""),IF(OR(M795=phu!$I$38,M795=phu!$I$39,M795=phu!$I$40,M795=phu!$I$41,M795=phu!$I$42,M795=phu!$I$43,M795=phu!$I$44),"Cam Thuận",""),IF(OR(M795=phu!$I$45,M795=phu!$I$46,M795=phu!$I$47,M795=phu!$I$48,M795=phu!$I$49,M795=phu!$I$50,M795=phu!$I$51,M795=phu!$I$52,M795=phu!$I$53),"Cam Linh",""),IF(OR(M795=phu!$I$54,M795=phu!$I$55,M795=phu!$I$56,M795=phu!$I$57,M795=phu!$I$58,M795=phu!$I$59,M795=phu!$I$60,M795=phu!$I$61,M795=phu!$I$62),"Cam Lợi",""),IF(OR(M795=phu!$I$63,M795=phu!$I$64,M795=phu!$I$65,M795=phu!$I$66,M795=phu!$I$67,M795=phu!$I$68,M795=phu!$I$69,M795=phu!$I$70,M795=phu!$I$71),"Ba Ngòi",""),IF(OR(M795=phu!$I$72,M795=phu!$I$73,M795=phu!$I$74,M795=phu!$I$75,M795=phu!$I$76,M795=phu!$I$77,M795=phu!$I$78),"Cam Phước Đông",""),IF(OR(M795=phu!$I$79,M795=phu!$I$80,M795=phu!$I$81,M795=phu!$I$82,M795=phu!$I$83,M795=phu!$I$84),"Cam Thịnh Đông",""),IF(OR(M795=phu!$I$85,M795=phu!$I$86,M795=phu!$I$87,M795=phu!$I$88),"Cam Thịnh Tây",""),IF(OR(M795=phu!$I$89,M795=phu!$I$90),"Cam Lập",""),IF(OR(M795=phu!$I$91,M795=phu!$I$92,M795=phu!$I$93),"Cam Bình",""),IF(OR(M795=phu!$I$94,M795=phu!$I$95,M795=phu!$I$96,M795=phu!$I$97,M795=phu!$I$98,M795=phu!$I$99,M795=phu!$I$100),"Huyện khác",""),IF(OR(M795=phu!$I$101,M795=phu!$I$102),"Tỉnh khác",""))</f>
        <v/>
      </c>
      <c r="O795" s="829" t="str">
        <f t="shared" si="72"/>
        <v/>
      </c>
      <c r="P795" s="254"/>
      <c r="Q795" s="254"/>
      <c r="R795" s="254"/>
      <c r="S795" s="254"/>
      <c r="T795" s="254"/>
      <c r="U795" s="254"/>
      <c r="V795" s="254"/>
      <c r="W795" s="254"/>
      <c r="Y795" s="246" t="str">
        <f t="shared" si="73"/>
        <v/>
      </c>
      <c r="Z795" s="247" t="str">
        <f t="shared" si="77"/>
        <v/>
      </c>
      <c r="AA795" s="246" t="str">
        <f t="shared" si="74"/>
        <v/>
      </c>
    </row>
    <row r="796" spans="1:27" x14ac:dyDescent="0.25">
      <c r="A796" s="248" t="str">
        <f t="shared" si="75"/>
        <v/>
      </c>
      <c r="B796" s="249" t="str">
        <f t="shared" si="76"/>
        <v/>
      </c>
      <c r="C796" s="250"/>
      <c r="D796" s="251"/>
      <c r="E796" s="241"/>
      <c r="F796" s="252"/>
      <c r="G796" s="252"/>
      <c r="H796" s="253"/>
      <c r="I796" s="250"/>
      <c r="J796" s="250"/>
      <c r="K796" s="270"/>
      <c r="L796" s="250"/>
      <c r="M796" s="250"/>
      <c r="N796" s="540" t="str">
        <f>CONCATENATE(IF(OR(M796=phu!$I$1,M796=phu!$I$2,M796=phu!$I$3),"Cam Thành Nam",""),IF(OR(M796=phu!$I$4,M796=phu!$I$5,M796=phu!$I$6,M796=phu!$I$7,M796=phu!$I$8,M796=phu!$I$9,M796=phu!$I$10,M796=phu!$I$11,M796=phu!$I$12,M796=phu!$I$13,M796=phu!$I$14),"Cam Nghĩa",""),IF(OR(M796=phu!$I$15,M796=phu!$I$16,M796=phu!$I$17,M796=phu!$I$18,M796=phu!$I$19,M796=phu!$I$20,M796=phu!$I$21),"Cam Phúc Bắc",""),IF(OR(M796=phu!$I$22,M796=phu!$I$23,M796=phu!$I$24,M796=phu!$I$25),"Cam Phúc Nam",""),IF(OR(M796=phu!$I$26,M796=phu!$I$27,M796=phu!$I$28,M796=phu!$I$29,M796=phu!$I$30,M796=phu!$I$31),"Cam Phú",""),IF(OR(M796=phu!$I$32,M796=phu!$I$33,M796=phu!$I$34,M796=phu!$I$35,M796=phu!$I$36,M796=phu!$I$37),"Cam Lộc",""),IF(OR(M796=phu!$I$38,M796=phu!$I$39,M796=phu!$I$40,M796=phu!$I$41,M796=phu!$I$42,M796=phu!$I$43,M796=phu!$I$44),"Cam Thuận",""),IF(OR(M796=phu!$I$45,M796=phu!$I$46,M796=phu!$I$47,M796=phu!$I$48,M796=phu!$I$49,M796=phu!$I$50,M796=phu!$I$51,M796=phu!$I$52,M796=phu!$I$53),"Cam Linh",""),IF(OR(M796=phu!$I$54,M796=phu!$I$55,M796=phu!$I$56,M796=phu!$I$57,M796=phu!$I$58,M796=phu!$I$59,M796=phu!$I$60,M796=phu!$I$61,M796=phu!$I$62),"Cam Lợi",""),IF(OR(M796=phu!$I$63,M796=phu!$I$64,M796=phu!$I$65,M796=phu!$I$66,M796=phu!$I$67,M796=phu!$I$68,M796=phu!$I$69,M796=phu!$I$70,M796=phu!$I$71),"Ba Ngòi",""),IF(OR(M796=phu!$I$72,M796=phu!$I$73,M796=phu!$I$74,M796=phu!$I$75,M796=phu!$I$76,M796=phu!$I$77,M796=phu!$I$78),"Cam Phước Đông",""),IF(OR(M796=phu!$I$79,M796=phu!$I$80,M796=phu!$I$81,M796=phu!$I$82,M796=phu!$I$83,M796=phu!$I$84),"Cam Thịnh Đông",""),IF(OR(M796=phu!$I$85,M796=phu!$I$86,M796=phu!$I$87,M796=phu!$I$88),"Cam Thịnh Tây",""),IF(OR(M796=phu!$I$89,M796=phu!$I$90),"Cam Lập",""),IF(OR(M796=phu!$I$91,M796=phu!$I$92,M796=phu!$I$93),"Cam Bình",""),IF(OR(M796=phu!$I$94,M796=phu!$I$95,M796=phu!$I$96,M796=phu!$I$97,M796=phu!$I$98,M796=phu!$I$99,M796=phu!$I$100),"Huyện khác",""),IF(OR(M796=phu!$I$101,M796=phu!$I$102),"Tỉnh khác",""))</f>
        <v/>
      </c>
      <c r="O796" s="829" t="str">
        <f t="shared" si="72"/>
        <v/>
      </c>
      <c r="P796" s="254"/>
      <c r="Q796" s="254"/>
      <c r="R796" s="254"/>
      <c r="S796" s="254"/>
      <c r="T796" s="254"/>
      <c r="U796" s="254"/>
      <c r="V796" s="254"/>
      <c r="W796" s="254"/>
      <c r="Y796" s="246" t="str">
        <f t="shared" si="73"/>
        <v/>
      </c>
      <c r="Z796" s="247" t="str">
        <f t="shared" si="77"/>
        <v/>
      </c>
      <c r="AA796" s="246" t="str">
        <f t="shared" si="74"/>
        <v/>
      </c>
    </row>
    <row r="797" spans="1:27" x14ac:dyDescent="0.25">
      <c r="A797" s="248" t="str">
        <f t="shared" si="75"/>
        <v/>
      </c>
      <c r="B797" s="249" t="str">
        <f t="shared" si="76"/>
        <v/>
      </c>
      <c r="C797" s="250"/>
      <c r="D797" s="251"/>
      <c r="E797" s="241"/>
      <c r="F797" s="252"/>
      <c r="G797" s="252"/>
      <c r="H797" s="253"/>
      <c r="I797" s="250"/>
      <c r="J797" s="250"/>
      <c r="K797" s="270"/>
      <c r="L797" s="250"/>
      <c r="M797" s="250"/>
      <c r="N797" s="540" t="str">
        <f>CONCATENATE(IF(OR(M797=phu!$I$1,M797=phu!$I$2,M797=phu!$I$3),"Cam Thành Nam",""),IF(OR(M797=phu!$I$4,M797=phu!$I$5,M797=phu!$I$6,M797=phu!$I$7,M797=phu!$I$8,M797=phu!$I$9,M797=phu!$I$10,M797=phu!$I$11,M797=phu!$I$12,M797=phu!$I$13,M797=phu!$I$14),"Cam Nghĩa",""),IF(OR(M797=phu!$I$15,M797=phu!$I$16,M797=phu!$I$17,M797=phu!$I$18,M797=phu!$I$19,M797=phu!$I$20,M797=phu!$I$21),"Cam Phúc Bắc",""),IF(OR(M797=phu!$I$22,M797=phu!$I$23,M797=phu!$I$24,M797=phu!$I$25),"Cam Phúc Nam",""),IF(OR(M797=phu!$I$26,M797=phu!$I$27,M797=phu!$I$28,M797=phu!$I$29,M797=phu!$I$30,M797=phu!$I$31),"Cam Phú",""),IF(OR(M797=phu!$I$32,M797=phu!$I$33,M797=phu!$I$34,M797=phu!$I$35,M797=phu!$I$36,M797=phu!$I$37),"Cam Lộc",""),IF(OR(M797=phu!$I$38,M797=phu!$I$39,M797=phu!$I$40,M797=phu!$I$41,M797=phu!$I$42,M797=phu!$I$43,M797=phu!$I$44),"Cam Thuận",""),IF(OR(M797=phu!$I$45,M797=phu!$I$46,M797=phu!$I$47,M797=phu!$I$48,M797=phu!$I$49,M797=phu!$I$50,M797=phu!$I$51,M797=phu!$I$52,M797=phu!$I$53),"Cam Linh",""),IF(OR(M797=phu!$I$54,M797=phu!$I$55,M797=phu!$I$56,M797=phu!$I$57,M797=phu!$I$58,M797=phu!$I$59,M797=phu!$I$60,M797=phu!$I$61,M797=phu!$I$62),"Cam Lợi",""),IF(OR(M797=phu!$I$63,M797=phu!$I$64,M797=phu!$I$65,M797=phu!$I$66,M797=phu!$I$67,M797=phu!$I$68,M797=phu!$I$69,M797=phu!$I$70,M797=phu!$I$71),"Ba Ngòi",""),IF(OR(M797=phu!$I$72,M797=phu!$I$73,M797=phu!$I$74,M797=phu!$I$75,M797=phu!$I$76,M797=phu!$I$77,M797=phu!$I$78),"Cam Phước Đông",""),IF(OR(M797=phu!$I$79,M797=phu!$I$80,M797=phu!$I$81,M797=phu!$I$82,M797=phu!$I$83,M797=phu!$I$84),"Cam Thịnh Đông",""),IF(OR(M797=phu!$I$85,M797=phu!$I$86,M797=phu!$I$87,M797=phu!$I$88),"Cam Thịnh Tây",""),IF(OR(M797=phu!$I$89,M797=phu!$I$90),"Cam Lập",""),IF(OR(M797=phu!$I$91,M797=phu!$I$92,M797=phu!$I$93),"Cam Bình",""),IF(OR(M797=phu!$I$94,M797=phu!$I$95,M797=phu!$I$96,M797=phu!$I$97,M797=phu!$I$98,M797=phu!$I$99,M797=phu!$I$100),"Huyện khác",""),IF(OR(M797=phu!$I$101,M797=phu!$I$102),"Tỉnh khác",""))</f>
        <v/>
      </c>
      <c r="O797" s="829" t="str">
        <f t="shared" si="72"/>
        <v/>
      </c>
      <c r="P797" s="254"/>
      <c r="Q797" s="254"/>
      <c r="R797" s="254"/>
      <c r="S797" s="254"/>
      <c r="T797" s="254"/>
      <c r="U797" s="254"/>
      <c r="V797" s="254"/>
      <c r="W797" s="254"/>
      <c r="Y797" s="246" t="str">
        <f t="shared" si="73"/>
        <v/>
      </c>
      <c r="Z797" s="247" t="str">
        <f t="shared" si="77"/>
        <v/>
      </c>
      <c r="AA797" s="246" t="str">
        <f t="shared" si="74"/>
        <v/>
      </c>
    </row>
    <row r="798" spans="1:27" x14ac:dyDescent="0.25">
      <c r="A798" s="248" t="str">
        <f t="shared" si="75"/>
        <v/>
      </c>
      <c r="B798" s="249" t="str">
        <f t="shared" si="76"/>
        <v/>
      </c>
      <c r="C798" s="250"/>
      <c r="D798" s="251"/>
      <c r="E798" s="241"/>
      <c r="F798" s="252"/>
      <c r="G798" s="252"/>
      <c r="H798" s="253"/>
      <c r="I798" s="250"/>
      <c r="J798" s="250"/>
      <c r="K798" s="270"/>
      <c r="L798" s="250"/>
      <c r="M798" s="250"/>
      <c r="N798" s="540" t="str">
        <f>CONCATENATE(IF(OR(M798=phu!$I$1,M798=phu!$I$2,M798=phu!$I$3),"Cam Thành Nam",""),IF(OR(M798=phu!$I$4,M798=phu!$I$5,M798=phu!$I$6,M798=phu!$I$7,M798=phu!$I$8,M798=phu!$I$9,M798=phu!$I$10,M798=phu!$I$11,M798=phu!$I$12,M798=phu!$I$13,M798=phu!$I$14),"Cam Nghĩa",""),IF(OR(M798=phu!$I$15,M798=phu!$I$16,M798=phu!$I$17,M798=phu!$I$18,M798=phu!$I$19,M798=phu!$I$20,M798=phu!$I$21),"Cam Phúc Bắc",""),IF(OR(M798=phu!$I$22,M798=phu!$I$23,M798=phu!$I$24,M798=phu!$I$25),"Cam Phúc Nam",""),IF(OR(M798=phu!$I$26,M798=phu!$I$27,M798=phu!$I$28,M798=phu!$I$29,M798=phu!$I$30,M798=phu!$I$31),"Cam Phú",""),IF(OR(M798=phu!$I$32,M798=phu!$I$33,M798=phu!$I$34,M798=phu!$I$35,M798=phu!$I$36,M798=phu!$I$37),"Cam Lộc",""),IF(OR(M798=phu!$I$38,M798=phu!$I$39,M798=phu!$I$40,M798=phu!$I$41,M798=phu!$I$42,M798=phu!$I$43,M798=phu!$I$44),"Cam Thuận",""),IF(OR(M798=phu!$I$45,M798=phu!$I$46,M798=phu!$I$47,M798=phu!$I$48,M798=phu!$I$49,M798=phu!$I$50,M798=phu!$I$51,M798=phu!$I$52,M798=phu!$I$53),"Cam Linh",""),IF(OR(M798=phu!$I$54,M798=phu!$I$55,M798=phu!$I$56,M798=phu!$I$57,M798=phu!$I$58,M798=phu!$I$59,M798=phu!$I$60,M798=phu!$I$61,M798=phu!$I$62),"Cam Lợi",""),IF(OR(M798=phu!$I$63,M798=phu!$I$64,M798=phu!$I$65,M798=phu!$I$66,M798=phu!$I$67,M798=phu!$I$68,M798=phu!$I$69,M798=phu!$I$70,M798=phu!$I$71),"Ba Ngòi",""),IF(OR(M798=phu!$I$72,M798=phu!$I$73,M798=phu!$I$74,M798=phu!$I$75,M798=phu!$I$76,M798=phu!$I$77,M798=phu!$I$78),"Cam Phước Đông",""),IF(OR(M798=phu!$I$79,M798=phu!$I$80,M798=phu!$I$81,M798=phu!$I$82,M798=phu!$I$83,M798=phu!$I$84),"Cam Thịnh Đông",""),IF(OR(M798=phu!$I$85,M798=phu!$I$86,M798=phu!$I$87,M798=phu!$I$88),"Cam Thịnh Tây",""),IF(OR(M798=phu!$I$89,M798=phu!$I$90),"Cam Lập",""),IF(OR(M798=phu!$I$91,M798=phu!$I$92,M798=phu!$I$93),"Cam Bình",""),IF(OR(M798=phu!$I$94,M798=phu!$I$95,M798=phu!$I$96,M798=phu!$I$97,M798=phu!$I$98,M798=phu!$I$99,M798=phu!$I$100),"Huyện khác",""),IF(OR(M798=phu!$I$101,M798=phu!$I$102),"Tỉnh khác",""))</f>
        <v/>
      </c>
      <c r="O798" s="829" t="str">
        <f t="shared" si="72"/>
        <v/>
      </c>
      <c r="P798" s="254"/>
      <c r="Q798" s="254"/>
      <c r="R798" s="254"/>
      <c r="S798" s="254"/>
      <c r="T798" s="254"/>
      <c r="U798" s="254"/>
      <c r="V798" s="254"/>
      <c r="W798" s="254"/>
      <c r="Y798" s="246" t="str">
        <f t="shared" si="73"/>
        <v/>
      </c>
      <c r="Z798" s="247" t="str">
        <f t="shared" si="77"/>
        <v/>
      </c>
      <c r="AA798" s="246" t="str">
        <f t="shared" si="74"/>
        <v/>
      </c>
    </row>
    <row r="799" spans="1:27" x14ac:dyDescent="0.25">
      <c r="A799" s="248" t="str">
        <f t="shared" si="75"/>
        <v/>
      </c>
      <c r="B799" s="249" t="str">
        <f t="shared" si="76"/>
        <v/>
      </c>
      <c r="C799" s="250"/>
      <c r="D799" s="251"/>
      <c r="E799" s="241"/>
      <c r="F799" s="252"/>
      <c r="G799" s="252"/>
      <c r="H799" s="253"/>
      <c r="I799" s="250"/>
      <c r="J799" s="250"/>
      <c r="K799" s="270"/>
      <c r="L799" s="250"/>
      <c r="M799" s="250"/>
      <c r="N799" s="540" t="str">
        <f>CONCATENATE(IF(OR(M799=phu!$I$1,M799=phu!$I$2,M799=phu!$I$3),"Cam Thành Nam",""),IF(OR(M799=phu!$I$4,M799=phu!$I$5,M799=phu!$I$6,M799=phu!$I$7,M799=phu!$I$8,M799=phu!$I$9,M799=phu!$I$10,M799=phu!$I$11,M799=phu!$I$12,M799=phu!$I$13,M799=phu!$I$14),"Cam Nghĩa",""),IF(OR(M799=phu!$I$15,M799=phu!$I$16,M799=phu!$I$17,M799=phu!$I$18,M799=phu!$I$19,M799=phu!$I$20,M799=phu!$I$21),"Cam Phúc Bắc",""),IF(OR(M799=phu!$I$22,M799=phu!$I$23,M799=phu!$I$24,M799=phu!$I$25),"Cam Phúc Nam",""),IF(OR(M799=phu!$I$26,M799=phu!$I$27,M799=phu!$I$28,M799=phu!$I$29,M799=phu!$I$30,M799=phu!$I$31),"Cam Phú",""),IF(OR(M799=phu!$I$32,M799=phu!$I$33,M799=phu!$I$34,M799=phu!$I$35,M799=phu!$I$36,M799=phu!$I$37),"Cam Lộc",""),IF(OR(M799=phu!$I$38,M799=phu!$I$39,M799=phu!$I$40,M799=phu!$I$41,M799=phu!$I$42,M799=phu!$I$43,M799=phu!$I$44),"Cam Thuận",""),IF(OR(M799=phu!$I$45,M799=phu!$I$46,M799=phu!$I$47,M799=phu!$I$48,M799=phu!$I$49,M799=phu!$I$50,M799=phu!$I$51,M799=phu!$I$52,M799=phu!$I$53),"Cam Linh",""),IF(OR(M799=phu!$I$54,M799=phu!$I$55,M799=phu!$I$56,M799=phu!$I$57,M799=phu!$I$58,M799=phu!$I$59,M799=phu!$I$60,M799=phu!$I$61,M799=phu!$I$62),"Cam Lợi",""),IF(OR(M799=phu!$I$63,M799=phu!$I$64,M799=phu!$I$65,M799=phu!$I$66,M799=phu!$I$67,M799=phu!$I$68,M799=phu!$I$69,M799=phu!$I$70,M799=phu!$I$71),"Ba Ngòi",""),IF(OR(M799=phu!$I$72,M799=phu!$I$73,M799=phu!$I$74,M799=phu!$I$75,M799=phu!$I$76,M799=phu!$I$77,M799=phu!$I$78),"Cam Phước Đông",""),IF(OR(M799=phu!$I$79,M799=phu!$I$80,M799=phu!$I$81,M799=phu!$I$82,M799=phu!$I$83,M799=phu!$I$84),"Cam Thịnh Đông",""),IF(OR(M799=phu!$I$85,M799=phu!$I$86,M799=phu!$I$87,M799=phu!$I$88),"Cam Thịnh Tây",""),IF(OR(M799=phu!$I$89,M799=phu!$I$90),"Cam Lập",""),IF(OR(M799=phu!$I$91,M799=phu!$I$92,M799=phu!$I$93),"Cam Bình",""),IF(OR(M799=phu!$I$94,M799=phu!$I$95,M799=phu!$I$96,M799=phu!$I$97,M799=phu!$I$98,M799=phu!$I$99,M799=phu!$I$100),"Huyện khác",""),IF(OR(M799=phu!$I$101,M799=phu!$I$102),"Tỉnh khác",""))</f>
        <v/>
      </c>
      <c r="O799" s="829" t="str">
        <f t="shared" si="72"/>
        <v/>
      </c>
      <c r="P799" s="254"/>
      <c r="Q799" s="254"/>
      <c r="R799" s="254"/>
      <c r="S799" s="254"/>
      <c r="T799" s="254"/>
      <c r="U799" s="254"/>
      <c r="V799" s="254"/>
      <c r="W799" s="254"/>
      <c r="Y799" s="246" t="str">
        <f t="shared" si="73"/>
        <v/>
      </c>
      <c r="Z799" s="247" t="str">
        <f t="shared" si="77"/>
        <v/>
      </c>
      <c r="AA799" s="246" t="str">
        <f t="shared" si="74"/>
        <v/>
      </c>
    </row>
    <row r="800" spans="1:27" x14ac:dyDescent="0.25">
      <c r="A800" s="248" t="str">
        <f t="shared" si="75"/>
        <v/>
      </c>
      <c r="B800" s="249" t="str">
        <f t="shared" si="76"/>
        <v/>
      </c>
      <c r="C800" s="250"/>
      <c r="D800" s="251"/>
      <c r="E800" s="241"/>
      <c r="F800" s="252"/>
      <c r="G800" s="252"/>
      <c r="H800" s="253"/>
      <c r="I800" s="250"/>
      <c r="J800" s="250"/>
      <c r="K800" s="270"/>
      <c r="L800" s="250"/>
      <c r="M800" s="250"/>
      <c r="N800" s="540" t="str">
        <f>CONCATENATE(IF(OR(M800=phu!$I$1,M800=phu!$I$2,M800=phu!$I$3),"Cam Thành Nam",""),IF(OR(M800=phu!$I$4,M800=phu!$I$5,M800=phu!$I$6,M800=phu!$I$7,M800=phu!$I$8,M800=phu!$I$9,M800=phu!$I$10,M800=phu!$I$11,M800=phu!$I$12,M800=phu!$I$13,M800=phu!$I$14),"Cam Nghĩa",""),IF(OR(M800=phu!$I$15,M800=phu!$I$16,M800=phu!$I$17,M800=phu!$I$18,M800=phu!$I$19,M800=phu!$I$20,M800=phu!$I$21),"Cam Phúc Bắc",""),IF(OR(M800=phu!$I$22,M800=phu!$I$23,M800=phu!$I$24,M800=phu!$I$25),"Cam Phúc Nam",""),IF(OR(M800=phu!$I$26,M800=phu!$I$27,M800=phu!$I$28,M800=phu!$I$29,M800=phu!$I$30,M800=phu!$I$31),"Cam Phú",""),IF(OR(M800=phu!$I$32,M800=phu!$I$33,M800=phu!$I$34,M800=phu!$I$35,M800=phu!$I$36,M800=phu!$I$37),"Cam Lộc",""),IF(OR(M800=phu!$I$38,M800=phu!$I$39,M800=phu!$I$40,M800=phu!$I$41,M800=phu!$I$42,M800=phu!$I$43,M800=phu!$I$44),"Cam Thuận",""),IF(OR(M800=phu!$I$45,M800=phu!$I$46,M800=phu!$I$47,M800=phu!$I$48,M800=phu!$I$49,M800=phu!$I$50,M800=phu!$I$51,M800=phu!$I$52,M800=phu!$I$53),"Cam Linh",""),IF(OR(M800=phu!$I$54,M800=phu!$I$55,M800=phu!$I$56,M800=phu!$I$57,M800=phu!$I$58,M800=phu!$I$59,M800=phu!$I$60,M800=phu!$I$61,M800=phu!$I$62),"Cam Lợi",""),IF(OR(M800=phu!$I$63,M800=phu!$I$64,M800=phu!$I$65,M800=phu!$I$66,M800=phu!$I$67,M800=phu!$I$68,M800=phu!$I$69,M800=phu!$I$70,M800=phu!$I$71),"Ba Ngòi",""),IF(OR(M800=phu!$I$72,M800=phu!$I$73,M800=phu!$I$74,M800=phu!$I$75,M800=phu!$I$76,M800=phu!$I$77,M800=phu!$I$78),"Cam Phước Đông",""),IF(OR(M800=phu!$I$79,M800=phu!$I$80,M800=phu!$I$81,M800=phu!$I$82,M800=phu!$I$83,M800=phu!$I$84),"Cam Thịnh Đông",""),IF(OR(M800=phu!$I$85,M800=phu!$I$86,M800=phu!$I$87,M800=phu!$I$88),"Cam Thịnh Tây",""),IF(OR(M800=phu!$I$89,M800=phu!$I$90),"Cam Lập",""),IF(OR(M800=phu!$I$91,M800=phu!$I$92,M800=phu!$I$93),"Cam Bình",""),IF(OR(M800=phu!$I$94,M800=phu!$I$95,M800=phu!$I$96,M800=phu!$I$97,M800=phu!$I$98,M800=phu!$I$99,M800=phu!$I$100),"Huyện khác",""),IF(OR(M800=phu!$I$101,M800=phu!$I$102),"Tỉnh khác",""))</f>
        <v/>
      </c>
      <c r="O800" s="829" t="str">
        <f t="shared" si="72"/>
        <v/>
      </c>
      <c r="P800" s="254"/>
      <c r="Q800" s="254"/>
      <c r="R800" s="254"/>
      <c r="S800" s="254"/>
      <c r="T800" s="254"/>
      <c r="U800" s="254"/>
      <c r="V800" s="254"/>
      <c r="W800" s="254"/>
      <c r="Y800" s="246" t="str">
        <f t="shared" si="73"/>
        <v/>
      </c>
      <c r="Z800" s="247" t="str">
        <f t="shared" si="77"/>
        <v/>
      </c>
      <c r="AA800" s="246" t="str">
        <f t="shared" si="74"/>
        <v/>
      </c>
    </row>
    <row r="801" spans="1:27" x14ac:dyDescent="0.25">
      <c r="A801" s="248" t="str">
        <f t="shared" si="75"/>
        <v/>
      </c>
      <c r="B801" s="249" t="str">
        <f t="shared" si="76"/>
        <v/>
      </c>
      <c r="C801" s="250"/>
      <c r="D801" s="251"/>
      <c r="E801" s="241"/>
      <c r="F801" s="252"/>
      <c r="G801" s="252"/>
      <c r="H801" s="253"/>
      <c r="I801" s="250"/>
      <c r="J801" s="250"/>
      <c r="K801" s="270"/>
      <c r="L801" s="250"/>
      <c r="M801" s="250"/>
      <c r="N801" s="540" t="str">
        <f>CONCATENATE(IF(OR(M801=phu!$I$1,M801=phu!$I$2,M801=phu!$I$3),"Cam Thành Nam",""),IF(OR(M801=phu!$I$4,M801=phu!$I$5,M801=phu!$I$6,M801=phu!$I$7,M801=phu!$I$8,M801=phu!$I$9,M801=phu!$I$10,M801=phu!$I$11,M801=phu!$I$12,M801=phu!$I$13,M801=phu!$I$14),"Cam Nghĩa",""),IF(OR(M801=phu!$I$15,M801=phu!$I$16,M801=phu!$I$17,M801=phu!$I$18,M801=phu!$I$19,M801=phu!$I$20,M801=phu!$I$21),"Cam Phúc Bắc",""),IF(OR(M801=phu!$I$22,M801=phu!$I$23,M801=phu!$I$24,M801=phu!$I$25),"Cam Phúc Nam",""),IF(OR(M801=phu!$I$26,M801=phu!$I$27,M801=phu!$I$28,M801=phu!$I$29,M801=phu!$I$30,M801=phu!$I$31),"Cam Phú",""),IF(OR(M801=phu!$I$32,M801=phu!$I$33,M801=phu!$I$34,M801=phu!$I$35,M801=phu!$I$36,M801=phu!$I$37),"Cam Lộc",""),IF(OR(M801=phu!$I$38,M801=phu!$I$39,M801=phu!$I$40,M801=phu!$I$41,M801=phu!$I$42,M801=phu!$I$43,M801=phu!$I$44),"Cam Thuận",""),IF(OR(M801=phu!$I$45,M801=phu!$I$46,M801=phu!$I$47,M801=phu!$I$48,M801=phu!$I$49,M801=phu!$I$50,M801=phu!$I$51,M801=phu!$I$52,M801=phu!$I$53),"Cam Linh",""),IF(OR(M801=phu!$I$54,M801=phu!$I$55,M801=phu!$I$56,M801=phu!$I$57,M801=phu!$I$58,M801=phu!$I$59,M801=phu!$I$60,M801=phu!$I$61,M801=phu!$I$62),"Cam Lợi",""),IF(OR(M801=phu!$I$63,M801=phu!$I$64,M801=phu!$I$65,M801=phu!$I$66,M801=phu!$I$67,M801=phu!$I$68,M801=phu!$I$69,M801=phu!$I$70,M801=phu!$I$71),"Ba Ngòi",""),IF(OR(M801=phu!$I$72,M801=phu!$I$73,M801=phu!$I$74,M801=phu!$I$75,M801=phu!$I$76,M801=phu!$I$77,M801=phu!$I$78),"Cam Phước Đông",""),IF(OR(M801=phu!$I$79,M801=phu!$I$80,M801=phu!$I$81,M801=phu!$I$82,M801=phu!$I$83,M801=phu!$I$84),"Cam Thịnh Đông",""),IF(OR(M801=phu!$I$85,M801=phu!$I$86,M801=phu!$I$87,M801=phu!$I$88),"Cam Thịnh Tây",""),IF(OR(M801=phu!$I$89,M801=phu!$I$90),"Cam Lập",""),IF(OR(M801=phu!$I$91,M801=phu!$I$92,M801=phu!$I$93),"Cam Bình",""),IF(OR(M801=phu!$I$94,M801=phu!$I$95,M801=phu!$I$96,M801=phu!$I$97,M801=phu!$I$98,M801=phu!$I$99,M801=phu!$I$100),"Huyện khác",""),IF(OR(M801=phu!$I$101,M801=phu!$I$102),"Tỉnh khác",""))</f>
        <v/>
      </c>
      <c r="O801" s="829" t="str">
        <f t="shared" si="72"/>
        <v/>
      </c>
      <c r="P801" s="254"/>
      <c r="Q801" s="254"/>
      <c r="R801" s="254"/>
      <c r="S801" s="254"/>
      <c r="T801" s="254"/>
      <c r="U801" s="254"/>
      <c r="V801" s="254"/>
      <c r="W801" s="254"/>
      <c r="Y801" s="246" t="str">
        <f t="shared" si="73"/>
        <v/>
      </c>
      <c r="Z801" s="247" t="str">
        <f t="shared" si="77"/>
        <v/>
      </c>
      <c r="AA801" s="246" t="str">
        <f t="shared" si="74"/>
        <v/>
      </c>
    </row>
    <row r="802" spans="1:27" x14ac:dyDescent="0.25">
      <c r="A802" s="248" t="str">
        <f t="shared" si="75"/>
        <v/>
      </c>
      <c r="B802" s="249" t="str">
        <f t="shared" si="76"/>
        <v/>
      </c>
      <c r="C802" s="250"/>
      <c r="D802" s="251"/>
      <c r="E802" s="241"/>
      <c r="F802" s="252"/>
      <c r="G802" s="252"/>
      <c r="H802" s="253"/>
      <c r="I802" s="250"/>
      <c r="J802" s="250"/>
      <c r="K802" s="270"/>
      <c r="L802" s="250"/>
      <c r="M802" s="250"/>
      <c r="N802" s="540" t="str">
        <f>CONCATENATE(IF(OR(M802=phu!$I$1,M802=phu!$I$2,M802=phu!$I$3),"Cam Thành Nam",""),IF(OR(M802=phu!$I$4,M802=phu!$I$5,M802=phu!$I$6,M802=phu!$I$7,M802=phu!$I$8,M802=phu!$I$9,M802=phu!$I$10,M802=phu!$I$11,M802=phu!$I$12,M802=phu!$I$13,M802=phu!$I$14),"Cam Nghĩa",""),IF(OR(M802=phu!$I$15,M802=phu!$I$16,M802=phu!$I$17,M802=phu!$I$18,M802=phu!$I$19,M802=phu!$I$20,M802=phu!$I$21),"Cam Phúc Bắc",""),IF(OR(M802=phu!$I$22,M802=phu!$I$23,M802=phu!$I$24,M802=phu!$I$25),"Cam Phúc Nam",""),IF(OR(M802=phu!$I$26,M802=phu!$I$27,M802=phu!$I$28,M802=phu!$I$29,M802=phu!$I$30,M802=phu!$I$31),"Cam Phú",""),IF(OR(M802=phu!$I$32,M802=phu!$I$33,M802=phu!$I$34,M802=phu!$I$35,M802=phu!$I$36,M802=phu!$I$37),"Cam Lộc",""),IF(OR(M802=phu!$I$38,M802=phu!$I$39,M802=phu!$I$40,M802=phu!$I$41,M802=phu!$I$42,M802=phu!$I$43,M802=phu!$I$44),"Cam Thuận",""),IF(OR(M802=phu!$I$45,M802=phu!$I$46,M802=phu!$I$47,M802=phu!$I$48,M802=phu!$I$49,M802=phu!$I$50,M802=phu!$I$51,M802=phu!$I$52,M802=phu!$I$53),"Cam Linh",""),IF(OR(M802=phu!$I$54,M802=phu!$I$55,M802=phu!$I$56,M802=phu!$I$57,M802=phu!$I$58,M802=phu!$I$59,M802=phu!$I$60,M802=phu!$I$61,M802=phu!$I$62),"Cam Lợi",""),IF(OR(M802=phu!$I$63,M802=phu!$I$64,M802=phu!$I$65,M802=phu!$I$66,M802=phu!$I$67,M802=phu!$I$68,M802=phu!$I$69,M802=phu!$I$70,M802=phu!$I$71),"Ba Ngòi",""),IF(OR(M802=phu!$I$72,M802=phu!$I$73,M802=phu!$I$74,M802=phu!$I$75,M802=phu!$I$76,M802=phu!$I$77,M802=phu!$I$78),"Cam Phước Đông",""),IF(OR(M802=phu!$I$79,M802=phu!$I$80,M802=phu!$I$81,M802=phu!$I$82,M802=phu!$I$83,M802=phu!$I$84),"Cam Thịnh Đông",""),IF(OR(M802=phu!$I$85,M802=phu!$I$86,M802=phu!$I$87,M802=phu!$I$88),"Cam Thịnh Tây",""),IF(OR(M802=phu!$I$89,M802=phu!$I$90),"Cam Lập",""),IF(OR(M802=phu!$I$91,M802=phu!$I$92,M802=phu!$I$93),"Cam Bình",""),IF(OR(M802=phu!$I$94,M802=phu!$I$95,M802=phu!$I$96,M802=phu!$I$97,M802=phu!$I$98,M802=phu!$I$99,M802=phu!$I$100),"Huyện khác",""),IF(OR(M802=phu!$I$101,M802=phu!$I$102),"Tỉnh khác",""))</f>
        <v/>
      </c>
      <c r="O802" s="829" t="str">
        <f t="shared" si="72"/>
        <v/>
      </c>
      <c r="P802" s="254"/>
      <c r="Q802" s="254"/>
      <c r="R802" s="254"/>
      <c r="S802" s="254"/>
      <c r="T802" s="254"/>
      <c r="U802" s="254"/>
      <c r="V802" s="254"/>
      <c r="W802" s="254"/>
      <c r="Y802" s="246" t="str">
        <f t="shared" si="73"/>
        <v/>
      </c>
      <c r="Z802" s="247" t="str">
        <f t="shared" si="77"/>
        <v/>
      </c>
      <c r="AA802" s="246" t="str">
        <f t="shared" si="74"/>
        <v/>
      </c>
    </row>
    <row r="803" spans="1:27" x14ac:dyDescent="0.25">
      <c r="A803" s="248" t="str">
        <f t="shared" si="75"/>
        <v/>
      </c>
      <c r="B803" s="249" t="str">
        <f t="shared" si="76"/>
        <v/>
      </c>
      <c r="C803" s="250"/>
      <c r="D803" s="251"/>
      <c r="E803" s="241"/>
      <c r="F803" s="252"/>
      <c r="G803" s="252"/>
      <c r="H803" s="253"/>
      <c r="I803" s="250"/>
      <c r="J803" s="250"/>
      <c r="K803" s="270"/>
      <c r="L803" s="250"/>
      <c r="M803" s="250"/>
      <c r="N803" s="540" t="str">
        <f>CONCATENATE(IF(OR(M803=phu!$I$1,M803=phu!$I$2,M803=phu!$I$3),"Cam Thành Nam",""),IF(OR(M803=phu!$I$4,M803=phu!$I$5,M803=phu!$I$6,M803=phu!$I$7,M803=phu!$I$8,M803=phu!$I$9,M803=phu!$I$10,M803=phu!$I$11,M803=phu!$I$12,M803=phu!$I$13,M803=phu!$I$14),"Cam Nghĩa",""),IF(OR(M803=phu!$I$15,M803=phu!$I$16,M803=phu!$I$17,M803=phu!$I$18,M803=phu!$I$19,M803=phu!$I$20,M803=phu!$I$21),"Cam Phúc Bắc",""),IF(OR(M803=phu!$I$22,M803=phu!$I$23,M803=phu!$I$24,M803=phu!$I$25),"Cam Phúc Nam",""),IF(OR(M803=phu!$I$26,M803=phu!$I$27,M803=phu!$I$28,M803=phu!$I$29,M803=phu!$I$30,M803=phu!$I$31),"Cam Phú",""),IF(OR(M803=phu!$I$32,M803=phu!$I$33,M803=phu!$I$34,M803=phu!$I$35,M803=phu!$I$36,M803=phu!$I$37),"Cam Lộc",""),IF(OR(M803=phu!$I$38,M803=phu!$I$39,M803=phu!$I$40,M803=phu!$I$41,M803=phu!$I$42,M803=phu!$I$43,M803=phu!$I$44),"Cam Thuận",""),IF(OR(M803=phu!$I$45,M803=phu!$I$46,M803=phu!$I$47,M803=phu!$I$48,M803=phu!$I$49,M803=phu!$I$50,M803=phu!$I$51,M803=phu!$I$52,M803=phu!$I$53),"Cam Linh",""),IF(OR(M803=phu!$I$54,M803=phu!$I$55,M803=phu!$I$56,M803=phu!$I$57,M803=phu!$I$58,M803=phu!$I$59,M803=phu!$I$60,M803=phu!$I$61,M803=phu!$I$62),"Cam Lợi",""),IF(OR(M803=phu!$I$63,M803=phu!$I$64,M803=phu!$I$65,M803=phu!$I$66,M803=phu!$I$67,M803=phu!$I$68,M803=phu!$I$69,M803=phu!$I$70,M803=phu!$I$71),"Ba Ngòi",""),IF(OR(M803=phu!$I$72,M803=phu!$I$73,M803=phu!$I$74,M803=phu!$I$75,M803=phu!$I$76,M803=phu!$I$77,M803=phu!$I$78),"Cam Phước Đông",""),IF(OR(M803=phu!$I$79,M803=phu!$I$80,M803=phu!$I$81,M803=phu!$I$82,M803=phu!$I$83,M803=phu!$I$84),"Cam Thịnh Đông",""),IF(OR(M803=phu!$I$85,M803=phu!$I$86,M803=phu!$I$87,M803=phu!$I$88),"Cam Thịnh Tây",""),IF(OR(M803=phu!$I$89,M803=phu!$I$90),"Cam Lập",""),IF(OR(M803=phu!$I$91,M803=phu!$I$92,M803=phu!$I$93),"Cam Bình",""),IF(OR(M803=phu!$I$94,M803=phu!$I$95,M803=phu!$I$96,M803=phu!$I$97,M803=phu!$I$98,M803=phu!$I$99,M803=phu!$I$100),"Huyện khác",""),IF(OR(M803=phu!$I$101,M803=phu!$I$102),"Tỉnh khác",""))</f>
        <v/>
      </c>
      <c r="O803" s="829" t="str">
        <f t="shared" si="72"/>
        <v/>
      </c>
      <c r="P803" s="254"/>
      <c r="Q803" s="254"/>
      <c r="R803" s="254"/>
      <c r="S803" s="254"/>
      <c r="T803" s="254"/>
      <c r="U803" s="254"/>
      <c r="V803" s="254"/>
      <c r="W803" s="254"/>
      <c r="Y803" s="246" t="str">
        <f t="shared" si="73"/>
        <v/>
      </c>
      <c r="Z803" s="247" t="str">
        <f t="shared" si="77"/>
        <v/>
      </c>
      <c r="AA803" s="246" t="str">
        <f t="shared" si="74"/>
        <v/>
      </c>
    </row>
    <row r="804" spans="1:27" x14ac:dyDescent="0.25">
      <c r="A804" s="248" t="str">
        <f t="shared" si="75"/>
        <v/>
      </c>
      <c r="B804" s="249" t="str">
        <f t="shared" si="76"/>
        <v/>
      </c>
      <c r="C804" s="250"/>
      <c r="D804" s="251"/>
      <c r="E804" s="241"/>
      <c r="F804" s="252"/>
      <c r="G804" s="252"/>
      <c r="H804" s="253"/>
      <c r="I804" s="250"/>
      <c r="J804" s="250"/>
      <c r="K804" s="270"/>
      <c r="L804" s="250"/>
      <c r="M804" s="250"/>
      <c r="N804" s="540" t="str">
        <f>CONCATENATE(IF(OR(M804=phu!$I$1,M804=phu!$I$2,M804=phu!$I$3),"Cam Thành Nam",""),IF(OR(M804=phu!$I$4,M804=phu!$I$5,M804=phu!$I$6,M804=phu!$I$7,M804=phu!$I$8,M804=phu!$I$9,M804=phu!$I$10,M804=phu!$I$11,M804=phu!$I$12,M804=phu!$I$13,M804=phu!$I$14),"Cam Nghĩa",""),IF(OR(M804=phu!$I$15,M804=phu!$I$16,M804=phu!$I$17,M804=phu!$I$18,M804=phu!$I$19,M804=phu!$I$20,M804=phu!$I$21),"Cam Phúc Bắc",""),IF(OR(M804=phu!$I$22,M804=phu!$I$23,M804=phu!$I$24,M804=phu!$I$25),"Cam Phúc Nam",""),IF(OR(M804=phu!$I$26,M804=phu!$I$27,M804=phu!$I$28,M804=phu!$I$29,M804=phu!$I$30,M804=phu!$I$31),"Cam Phú",""),IF(OR(M804=phu!$I$32,M804=phu!$I$33,M804=phu!$I$34,M804=phu!$I$35,M804=phu!$I$36,M804=phu!$I$37),"Cam Lộc",""),IF(OR(M804=phu!$I$38,M804=phu!$I$39,M804=phu!$I$40,M804=phu!$I$41,M804=phu!$I$42,M804=phu!$I$43,M804=phu!$I$44),"Cam Thuận",""),IF(OR(M804=phu!$I$45,M804=phu!$I$46,M804=phu!$I$47,M804=phu!$I$48,M804=phu!$I$49,M804=phu!$I$50,M804=phu!$I$51,M804=phu!$I$52,M804=phu!$I$53),"Cam Linh",""),IF(OR(M804=phu!$I$54,M804=phu!$I$55,M804=phu!$I$56,M804=phu!$I$57,M804=phu!$I$58,M804=phu!$I$59,M804=phu!$I$60,M804=phu!$I$61,M804=phu!$I$62),"Cam Lợi",""),IF(OR(M804=phu!$I$63,M804=phu!$I$64,M804=phu!$I$65,M804=phu!$I$66,M804=phu!$I$67,M804=phu!$I$68,M804=phu!$I$69,M804=phu!$I$70,M804=phu!$I$71),"Ba Ngòi",""),IF(OR(M804=phu!$I$72,M804=phu!$I$73,M804=phu!$I$74,M804=phu!$I$75,M804=phu!$I$76,M804=phu!$I$77,M804=phu!$I$78),"Cam Phước Đông",""),IF(OR(M804=phu!$I$79,M804=phu!$I$80,M804=phu!$I$81,M804=phu!$I$82,M804=phu!$I$83,M804=phu!$I$84),"Cam Thịnh Đông",""),IF(OR(M804=phu!$I$85,M804=phu!$I$86,M804=phu!$I$87,M804=phu!$I$88),"Cam Thịnh Tây",""),IF(OR(M804=phu!$I$89,M804=phu!$I$90),"Cam Lập",""),IF(OR(M804=phu!$I$91,M804=phu!$I$92,M804=phu!$I$93),"Cam Bình",""),IF(OR(M804=phu!$I$94,M804=phu!$I$95,M804=phu!$I$96,M804=phu!$I$97,M804=phu!$I$98,M804=phu!$I$99,M804=phu!$I$100),"Huyện khác",""),IF(OR(M804=phu!$I$101,M804=phu!$I$102),"Tỉnh khác",""))</f>
        <v/>
      </c>
      <c r="O804" s="829" t="str">
        <f t="shared" si="72"/>
        <v/>
      </c>
      <c r="P804" s="254"/>
      <c r="Q804" s="254"/>
      <c r="R804" s="254"/>
      <c r="S804" s="254"/>
      <c r="T804" s="254"/>
      <c r="U804" s="254"/>
      <c r="V804" s="254"/>
      <c r="W804" s="254"/>
      <c r="Y804" s="246" t="str">
        <f t="shared" si="73"/>
        <v/>
      </c>
      <c r="Z804" s="247" t="str">
        <f t="shared" si="77"/>
        <v/>
      </c>
      <c r="AA804" s="246" t="str">
        <f t="shared" si="74"/>
        <v/>
      </c>
    </row>
    <row r="805" spans="1:27" x14ac:dyDescent="0.25">
      <c r="A805" s="248" t="str">
        <f t="shared" si="75"/>
        <v/>
      </c>
      <c r="B805" s="249" t="str">
        <f t="shared" si="76"/>
        <v/>
      </c>
      <c r="C805" s="250"/>
      <c r="D805" s="251"/>
      <c r="E805" s="241"/>
      <c r="F805" s="252"/>
      <c r="G805" s="252"/>
      <c r="H805" s="253"/>
      <c r="I805" s="250"/>
      <c r="J805" s="250"/>
      <c r="K805" s="270"/>
      <c r="L805" s="250"/>
      <c r="M805" s="250"/>
      <c r="N805" s="540" t="str">
        <f>CONCATENATE(IF(OR(M805=phu!$I$1,M805=phu!$I$2,M805=phu!$I$3),"Cam Thành Nam",""),IF(OR(M805=phu!$I$4,M805=phu!$I$5,M805=phu!$I$6,M805=phu!$I$7,M805=phu!$I$8,M805=phu!$I$9,M805=phu!$I$10,M805=phu!$I$11,M805=phu!$I$12,M805=phu!$I$13,M805=phu!$I$14),"Cam Nghĩa",""),IF(OR(M805=phu!$I$15,M805=phu!$I$16,M805=phu!$I$17,M805=phu!$I$18,M805=phu!$I$19,M805=phu!$I$20,M805=phu!$I$21),"Cam Phúc Bắc",""),IF(OR(M805=phu!$I$22,M805=phu!$I$23,M805=phu!$I$24,M805=phu!$I$25),"Cam Phúc Nam",""),IF(OR(M805=phu!$I$26,M805=phu!$I$27,M805=phu!$I$28,M805=phu!$I$29,M805=phu!$I$30,M805=phu!$I$31),"Cam Phú",""),IF(OR(M805=phu!$I$32,M805=phu!$I$33,M805=phu!$I$34,M805=phu!$I$35,M805=phu!$I$36,M805=phu!$I$37),"Cam Lộc",""),IF(OR(M805=phu!$I$38,M805=phu!$I$39,M805=phu!$I$40,M805=phu!$I$41,M805=phu!$I$42,M805=phu!$I$43,M805=phu!$I$44),"Cam Thuận",""),IF(OR(M805=phu!$I$45,M805=phu!$I$46,M805=phu!$I$47,M805=phu!$I$48,M805=phu!$I$49,M805=phu!$I$50,M805=phu!$I$51,M805=phu!$I$52,M805=phu!$I$53),"Cam Linh",""),IF(OR(M805=phu!$I$54,M805=phu!$I$55,M805=phu!$I$56,M805=phu!$I$57,M805=phu!$I$58,M805=phu!$I$59,M805=phu!$I$60,M805=phu!$I$61,M805=phu!$I$62),"Cam Lợi",""),IF(OR(M805=phu!$I$63,M805=phu!$I$64,M805=phu!$I$65,M805=phu!$I$66,M805=phu!$I$67,M805=phu!$I$68,M805=phu!$I$69,M805=phu!$I$70,M805=phu!$I$71),"Ba Ngòi",""),IF(OR(M805=phu!$I$72,M805=phu!$I$73,M805=phu!$I$74,M805=phu!$I$75,M805=phu!$I$76,M805=phu!$I$77,M805=phu!$I$78),"Cam Phước Đông",""),IF(OR(M805=phu!$I$79,M805=phu!$I$80,M805=phu!$I$81,M805=phu!$I$82,M805=phu!$I$83,M805=phu!$I$84),"Cam Thịnh Đông",""),IF(OR(M805=phu!$I$85,M805=phu!$I$86,M805=phu!$I$87,M805=phu!$I$88),"Cam Thịnh Tây",""),IF(OR(M805=phu!$I$89,M805=phu!$I$90),"Cam Lập",""),IF(OR(M805=phu!$I$91,M805=phu!$I$92,M805=phu!$I$93),"Cam Bình",""),IF(OR(M805=phu!$I$94,M805=phu!$I$95,M805=phu!$I$96,M805=phu!$I$97,M805=phu!$I$98,M805=phu!$I$99,M805=phu!$I$100),"Huyện khác",""),IF(OR(M805=phu!$I$101,M805=phu!$I$102),"Tỉnh khác",""))</f>
        <v/>
      </c>
      <c r="O805" s="829" t="str">
        <f t="shared" si="72"/>
        <v/>
      </c>
      <c r="P805" s="254"/>
      <c r="Q805" s="254"/>
      <c r="R805" s="254"/>
      <c r="S805" s="254"/>
      <c r="T805" s="254"/>
      <c r="U805" s="254"/>
      <c r="V805" s="254"/>
      <c r="W805" s="254"/>
      <c r="Y805" s="246" t="str">
        <f t="shared" si="73"/>
        <v/>
      </c>
      <c r="Z805" s="247" t="str">
        <f t="shared" si="77"/>
        <v/>
      </c>
      <c r="AA805" s="246" t="str">
        <f t="shared" si="74"/>
        <v/>
      </c>
    </row>
    <row r="806" spans="1:27" x14ac:dyDescent="0.25">
      <c r="A806" s="248" t="str">
        <f t="shared" si="75"/>
        <v/>
      </c>
      <c r="B806" s="249" t="str">
        <f t="shared" si="76"/>
        <v/>
      </c>
      <c r="C806" s="250"/>
      <c r="D806" s="251"/>
      <c r="E806" s="241"/>
      <c r="F806" s="252"/>
      <c r="G806" s="252"/>
      <c r="H806" s="253"/>
      <c r="I806" s="250"/>
      <c r="J806" s="250"/>
      <c r="K806" s="270"/>
      <c r="L806" s="250"/>
      <c r="M806" s="250"/>
      <c r="N806" s="540" t="str">
        <f>CONCATENATE(IF(OR(M806=phu!$I$1,M806=phu!$I$2,M806=phu!$I$3),"Cam Thành Nam",""),IF(OR(M806=phu!$I$4,M806=phu!$I$5,M806=phu!$I$6,M806=phu!$I$7,M806=phu!$I$8,M806=phu!$I$9,M806=phu!$I$10,M806=phu!$I$11,M806=phu!$I$12,M806=phu!$I$13,M806=phu!$I$14),"Cam Nghĩa",""),IF(OR(M806=phu!$I$15,M806=phu!$I$16,M806=phu!$I$17,M806=phu!$I$18,M806=phu!$I$19,M806=phu!$I$20,M806=phu!$I$21),"Cam Phúc Bắc",""),IF(OR(M806=phu!$I$22,M806=phu!$I$23,M806=phu!$I$24,M806=phu!$I$25),"Cam Phúc Nam",""),IF(OR(M806=phu!$I$26,M806=phu!$I$27,M806=phu!$I$28,M806=phu!$I$29,M806=phu!$I$30,M806=phu!$I$31),"Cam Phú",""),IF(OR(M806=phu!$I$32,M806=phu!$I$33,M806=phu!$I$34,M806=phu!$I$35,M806=phu!$I$36,M806=phu!$I$37),"Cam Lộc",""),IF(OR(M806=phu!$I$38,M806=phu!$I$39,M806=phu!$I$40,M806=phu!$I$41,M806=phu!$I$42,M806=phu!$I$43,M806=phu!$I$44),"Cam Thuận",""),IF(OR(M806=phu!$I$45,M806=phu!$I$46,M806=phu!$I$47,M806=phu!$I$48,M806=phu!$I$49,M806=phu!$I$50,M806=phu!$I$51,M806=phu!$I$52,M806=phu!$I$53),"Cam Linh",""),IF(OR(M806=phu!$I$54,M806=phu!$I$55,M806=phu!$I$56,M806=phu!$I$57,M806=phu!$I$58,M806=phu!$I$59,M806=phu!$I$60,M806=phu!$I$61,M806=phu!$I$62),"Cam Lợi",""),IF(OR(M806=phu!$I$63,M806=phu!$I$64,M806=phu!$I$65,M806=phu!$I$66,M806=phu!$I$67,M806=phu!$I$68,M806=phu!$I$69,M806=phu!$I$70,M806=phu!$I$71),"Ba Ngòi",""),IF(OR(M806=phu!$I$72,M806=phu!$I$73,M806=phu!$I$74,M806=phu!$I$75,M806=phu!$I$76,M806=phu!$I$77,M806=phu!$I$78),"Cam Phước Đông",""),IF(OR(M806=phu!$I$79,M806=phu!$I$80,M806=phu!$I$81,M806=phu!$I$82,M806=phu!$I$83,M806=phu!$I$84),"Cam Thịnh Đông",""),IF(OR(M806=phu!$I$85,M806=phu!$I$86,M806=phu!$I$87,M806=phu!$I$88),"Cam Thịnh Tây",""),IF(OR(M806=phu!$I$89,M806=phu!$I$90),"Cam Lập",""),IF(OR(M806=phu!$I$91,M806=phu!$I$92,M806=phu!$I$93),"Cam Bình",""),IF(OR(M806=phu!$I$94,M806=phu!$I$95,M806=phu!$I$96,M806=phu!$I$97,M806=phu!$I$98,M806=phu!$I$99,M806=phu!$I$100),"Huyện khác",""),IF(OR(M806=phu!$I$101,M806=phu!$I$102),"Tỉnh khác",""))</f>
        <v/>
      </c>
      <c r="O806" s="829" t="str">
        <f t="shared" si="72"/>
        <v/>
      </c>
      <c r="P806" s="254"/>
      <c r="Q806" s="254"/>
      <c r="R806" s="254"/>
      <c r="S806" s="254"/>
      <c r="T806" s="254"/>
      <c r="U806" s="254"/>
      <c r="V806" s="254"/>
      <c r="W806" s="254"/>
      <c r="Y806" s="246" t="str">
        <f t="shared" si="73"/>
        <v/>
      </c>
      <c r="Z806" s="247" t="str">
        <f t="shared" si="77"/>
        <v/>
      </c>
      <c r="AA806" s="246" t="str">
        <f t="shared" si="74"/>
        <v/>
      </c>
    </row>
    <row r="807" spans="1:27" x14ac:dyDescent="0.25">
      <c r="A807" s="248" t="str">
        <f t="shared" si="75"/>
        <v/>
      </c>
      <c r="B807" s="249" t="str">
        <f t="shared" si="76"/>
        <v/>
      </c>
      <c r="C807" s="250"/>
      <c r="D807" s="251"/>
      <c r="E807" s="241"/>
      <c r="F807" s="252"/>
      <c r="G807" s="252"/>
      <c r="H807" s="253"/>
      <c r="I807" s="250"/>
      <c r="J807" s="250"/>
      <c r="K807" s="270"/>
      <c r="L807" s="250"/>
      <c r="M807" s="250"/>
      <c r="N807" s="540" t="str">
        <f>CONCATENATE(IF(OR(M807=phu!$I$1,M807=phu!$I$2,M807=phu!$I$3),"Cam Thành Nam",""),IF(OR(M807=phu!$I$4,M807=phu!$I$5,M807=phu!$I$6,M807=phu!$I$7,M807=phu!$I$8,M807=phu!$I$9,M807=phu!$I$10,M807=phu!$I$11,M807=phu!$I$12,M807=phu!$I$13,M807=phu!$I$14),"Cam Nghĩa",""),IF(OR(M807=phu!$I$15,M807=phu!$I$16,M807=phu!$I$17,M807=phu!$I$18,M807=phu!$I$19,M807=phu!$I$20,M807=phu!$I$21),"Cam Phúc Bắc",""),IF(OR(M807=phu!$I$22,M807=phu!$I$23,M807=phu!$I$24,M807=phu!$I$25),"Cam Phúc Nam",""),IF(OR(M807=phu!$I$26,M807=phu!$I$27,M807=phu!$I$28,M807=phu!$I$29,M807=phu!$I$30,M807=phu!$I$31),"Cam Phú",""),IF(OR(M807=phu!$I$32,M807=phu!$I$33,M807=phu!$I$34,M807=phu!$I$35,M807=phu!$I$36,M807=phu!$I$37),"Cam Lộc",""),IF(OR(M807=phu!$I$38,M807=phu!$I$39,M807=phu!$I$40,M807=phu!$I$41,M807=phu!$I$42,M807=phu!$I$43,M807=phu!$I$44),"Cam Thuận",""),IF(OR(M807=phu!$I$45,M807=phu!$I$46,M807=phu!$I$47,M807=phu!$I$48,M807=phu!$I$49,M807=phu!$I$50,M807=phu!$I$51,M807=phu!$I$52,M807=phu!$I$53),"Cam Linh",""),IF(OR(M807=phu!$I$54,M807=phu!$I$55,M807=phu!$I$56,M807=phu!$I$57,M807=phu!$I$58,M807=phu!$I$59,M807=phu!$I$60,M807=phu!$I$61,M807=phu!$I$62),"Cam Lợi",""),IF(OR(M807=phu!$I$63,M807=phu!$I$64,M807=phu!$I$65,M807=phu!$I$66,M807=phu!$I$67,M807=phu!$I$68,M807=phu!$I$69,M807=phu!$I$70,M807=phu!$I$71),"Ba Ngòi",""),IF(OR(M807=phu!$I$72,M807=phu!$I$73,M807=phu!$I$74,M807=phu!$I$75,M807=phu!$I$76,M807=phu!$I$77,M807=phu!$I$78),"Cam Phước Đông",""),IF(OR(M807=phu!$I$79,M807=phu!$I$80,M807=phu!$I$81,M807=phu!$I$82,M807=phu!$I$83,M807=phu!$I$84),"Cam Thịnh Đông",""),IF(OR(M807=phu!$I$85,M807=phu!$I$86,M807=phu!$I$87,M807=phu!$I$88),"Cam Thịnh Tây",""),IF(OR(M807=phu!$I$89,M807=phu!$I$90),"Cam Lập",""),IF(OR(M807=phu!$I$91,M807=phu!$I$92,M807=phu!$I$93),"Cam Bình",""),IF(OR(M807=phu!$I$94,M807=phu!$I$95,M807=phu!$I$96,M807=phu!$I$97,M807=phu!$I$98,M807=phu!$I$99,M807=phu!$I$100),"Huyện khác",""),IF(OR(M807=phu!$I$101,M807=phu!$I$102),"Tỉnh khác",""))</f>
        <v/>
      </c>
      <c r="O807" s="829" t="str">
        <f t="shared" si="72"/>
        <v/>
      </c>
      <c r="P807" s="254"/>
      <c r="Q807" s="254"/>
      <c r="R807" s="254"/>
      <c r="S807" s="254"/>
      <c r="T807" s="254"/>
      <c r="U807" s="254"/>
      <c r="V807" s="254"/>
      <c r="W807" s="254"/>
      <c r="Y807" s="246" t="str">
        <f t="shared" si="73"/>
        <v/>
      </c>
      <c r="Z807" s="247" t="str">
        <f t="shared" si="77"/>
        <v/>
      </c>
      <c r="AA807" s="246" t="str">
        <f t="shared" si="74"/>
        <v/>
      </c>
    </row>
    <row r="808" spans="1:27" x14ac:dyDescent="0.25">
      <c r="A808" s="248" t="str">
        <f t="shared" si="75"/>
        <v/>
      </c>
      <c r="B808" s="249" t="str">
        <f t="shared" si="76"/>
        <v/>
      </c>
      <c r="C808" s="250"/>
      <c r="D808" s="251"/>
      <c r="E808" s="241"/>
      <c r="F808" s="252"/>
      <c r="G808" s="252"/>
      <c r="H808" s="253"/>
      <c r="I808" s="250"/>
      <c r="J808" s="250"/>
      <c r="K808" s="270"/>
      <c r="L808" s="250"/>
      <c r="M808" s="250"/>
      <c r="N808" s="540" t="str">
        <f>CONCATENATE(IF(OR(M808=phu!$I$1,M808=phu!$I$2,M808=phu!$I$3),"Cam Thành Nam",""),IF(OR(M808=phu!$I$4,M808=phu!$I$5,M808=phu!$I$6,M808=phu!$I$7,M808=phu!$I$8,M808=phu!$I$9,M808=phu!$I$10,M808=phu!$I$11,M808=phu!$I$12,M808=phu!$I$13,M808=phu!$I$14),"Cam Nghĩa",""),IF(OR(M808=phu!$I$15,M808=phu!$I$16,M808=phu!$I$17,M808=phu!$I$18,M808=phu!$I$19,M808=phu!$I$20,M808=phu!$I$21),"Cam Phúc Bắc",""),IF(OR(M808=phu!$I$22,M808=phu!$I$23,M808=phu!$I$24,M808=phu!$I$25),"Cam Phúc Nam",""),IF(OR(M808=phu!$I$26,M808=phu!$I$27,M808=phu!$I$28,M808=phu!$I$29,M808=phu!$I$30,M808=phu!$I$31),"Cam Phú",""),IF(OR(M808=phu!$I$32,M808=phu!$I$33,M808=phu!$I$34,M808=phu!$I$35,M808=phu!$I$36,M808=phu!$I$37),"Cam Lộc",""),IF(OR(M808=phu!$I$38,M808=phu!$I$39,M808=phu!$I$40,M808=phu!$I$41,M808=phu!$I$42,M808=phu!$I$43,M808=phu!$I$44),"Cam Thuận",""),IF(OR(M808=phu!$I$45,M808=phu!$I$46,M808=phu!$I$47,M808=phu!$I$48,M808=phu!$I$49,M808=phu!$I$50,M808=phu!$I$51,M808=phu!$I$52,M808=phu!$I$53),"Cam Linh",""),IF(OR(M808=phu!$I$54,M808=phu!$I$55,M808=phu!$I$56,M808=phu!$I$57,M808=phu!$I$58,M808=phu!$I$59,M808=phu!$I$60,M808=phu!$I$61,M808=phu!$I$62),"Cam Lợi",""),IF(OR(M808=phu!$I$63,M808=phu!$I$64,M808=phu!$I$65,M808=phu!$I$66,M808=phu!$I$67,M808=phu!$I$68,M808=phu!$I$69,M808=phu!$I$70,M808=phu!$I$71),"Ba Ngòi",""),IF(OR(M808=phu!$I$72,M808=phu!$I$73,M808=phu!$I$74,M808=phu!$I$75,M808=phu!$I$76,M808=phu!$I$77,M808=phu!$I$78),"Cam Phước Đông",""),IF(OR(M808=phu!$I$79,M808=phu!$I$80,M808=phu!$I$81,M808=phu!$I$82,M808=phu!$I$83,M808=phu!$I$84),"Cam Thịnh Đông",""),IF(OR(M808=phu!$I$85,M808=phu!$I$86,M808=phu!$I$87,M808=phu!$I$88),"Cam Thịnh Tây",""),IF(OR(M808=phu!$I$89,M808=phu!$I$90),"Cam Lập",""),IF(OR(M808=phu!$I$91,M808=phu!$I$92,M808=phu!$I$93),"Cam Bình",""),IF(OR(M808=phu!$I$94,M808=phu!$I$95,M808=phu!$I$96,M808=phu!$I$97,M808=phu!$I$98,M808=phu!$I$99,M808=phu!$I$100),"Huyện khác",""),IF(OR(M808=phu!$I$101,M808=phu!$I$102),"Tỉnh khác",""))</f>
        <v/>
      </c>
      <c r="O808" s="829" t="str">
        <f t="shared" si="72"/>
        <v/>
      </c>
      <c r="P808" s="254"/>
      <c r="Q808" s="254"/>
      <c r="R808" s="254"/>
      <c r="S808" s="254"/>
      <c r="T808" s="254"/>
      <c r="U808" s="254"/>
      <c r="V808" s="254"/>
      <c r="W808" s="254"/>
      <c r="Y808" s="246" t="str">
        <f t="shared" si="73"/>
        <v/>
      </c>
      <c r="Z808" s="247" t="str">
        <f t="shared" si="77"/>
        <v/>
      </c>
      <c r="AA808" s="246" t="str">
        <f t="shared" si="74"/>
        <v/>
      </c>
    </row>
    <row r="809" spans="1:27" x14ac:dyDescent="0.25">
      <c r="A809" s="248" t="str">
        <f t="shared" si="75"/>
        <v/>
      </c>
      <c r="B809" s="249" t="str">
        <f t="shared" si="76"/>
        <v/>
      </c>
      <c r="C809" s="250"/>
      <c r="D809" s="251"/>
      <c r="E809" s="241"/>
      <c r="F809" s="252"/>
      <c r="G809" s="252"/>
      <c r="H809" s="253"/>
      <c r="I809" s="250"/>
      <c r="J809" s="250"/>
      <c r="K809" s="270"/>
      <c r="L809" s="250"/>
      <c r="M809" s="250"/>
      <c r="N809" s="540" t="str">
        <f>CONCATENATE(IF(OR(M809=phu!$I$1,M809=phu!$I$2,M809=phu!$I$3),"Cam Thành Nam",""),IF(OR(M809=phu!$I$4,M809=phu!$I$5,M809=phu!$I$6,M809=phu!$I$7,M809=phu!$I$8,M809=phu!$I$9,M809=phu!$I$10,M809=phu!$I$11,M809=phu!$I$12,M809=phu!$I$13,M809=phu!$I$14),"Cam Nghĩa",""),IF(OR(M809=phu!$I$15,M809=phu!$I$16,M809=phu!$I$17,M809=phu!$I$18,M809=phu!$I$19,M809=phu!$I$20,M809=phu!$I$21),"Cam Phúc Bắc",""),IF(OR(M809=phu!$I$22,M809=phu!$I$23,M809=phu!$I$24,M809=phu!$I$25),"Cam Phúc Nam",""),IF(OR(M809=phu!$I$26,M809=phu!$I$27,M809=phu!$I$28,M809=phu!$I$29,M809=phu!$I$30,M809=phu!$I$31),"Cam Phú",""),IF(OR(M809=phu!$I$32,M809=phu!$I$33,M809=phu!$I$34,M809=phu!$I$35,M809=phu!$I$36,M809=phu!$I$37),"Cam Lộc",""),IF(OR(M809=phu!$I$38,M809=phu!$I$39,M809=phu!$I$40,M809=phu!$I$41,M809=phu!$I$42,M809=phu!$I$43,M809=phu!$I$44),"Cam Thuận",""),IF(OR(M809=phu!$I$45,M809=phu!$I$46,M809=phu!$I$47,M809=phu!$I$48,M809=phu!$I$49,M809=phu!$I$50,M809=phu!$I$51,M809=phu!$I$52,M809=phu!$I$53),"Cam Linh",""),IF(OR(M809=phu!$I$54,M809=phu!$I$55,M809=phu!$I$56,M809=phu!$I$57,M809=phu!$I$58,M809=phu!$I$59,M809=phu!$I$60,M809=phu!$I$61,M809=phu!$I$62),"Cam Lợi",""),IF(OR(M809=phu!$I$63,M809=phu!$I$64,M809=phu!$I$65,M809=phu!$I$66,M809=phu!$I$67,M809=phu!$I$68,M809=phu!$I$69,M809=phu!$I$70,M809=phu!$I$71),"Ba Ngòi",""),IF(OR(M809=phu!$I$72,M809=phu!$I$73,M809=phu!$I$74,M809=phu!$I$75,M809=phu!$I$76,M809=phu!$I$77,M809=phu!$I$78),"Cam Phước Đông",""),IF(OR(M809=phu!$I$79,M809=phu!$I$80,M809=phu!$I$81,M809=phu!$I$82,M809=phu!$I$83,M809=phu!$I$84),"Cam Thịnh Đông",""),IF(OR(M809=phu!$I$85,M809=phu!$I$86,M809=phu!$I$87,M809=phu!$I$88),"Cam Thịnh Tây",""),IF(OR(M809=phu!$I$89,M809=phu!$I$90),"Cam Lập",""),IF(OR(M809=phu!$I$91,M809=phu!$I$92,M809=phu!$I$93),"Cam Bình",""),IF(OR(M809=phu!$I$94,M809=phu!$I$95,M809=phu!$I$96,M809=phu!$I$97,M809=phu!$I$98,M809=phu!$I$99,M809=phu!$I$100),"Huyện khác",""),IF(OR(M809=phu!$I$101,M809=phu!$I$102),"Tỉnh khác",""))</f>
        <v/>
      </c>
      <c r="O809" s="829" t="str">
        <f t="shared" si="72"/>
        <v/>
      </c>
      <c r="P809" s="254"/>
      <c r="Q809" s="254"/>
      <c r="R809" s="254"/>
      <c r="S809" s="254"/>
      <c r="T809" s="254"/>
      <c r="U809" s="254"/>
      <c r="V809" s="254"/>
      <c r="W809" s="254"/>
      <c r="Y809" s="246" t="str">
        <f t="shared" si="73"/>
        <v/>
      </c>
      <c r="Z809" s="247" t="str">
        <f t="shared" si="77"/>
        <v/>
      </c>
      <c r="AA809" s="246" t="str">
        <f t="shared" si="74"/>
        <v/>
      </c>
    </row>
    <row r="810" spans="1:27" x14ac:dyDescent="0.25">
      <c r="A810" s="248" t="str">
        <f t="shared" si="75"/>
        <v/>
      </c>
      <c r="B810" s="249" t="str">
        <f t="shared" si="76"/>
        <v/>
      </c>
      <c r="C810" s="250"/>
      <c r="D810" s="251"/>
      <c r="E810" s="241"/>
      <c r="F810" s="252"/>
      <c r="G810" s="252"/>
      <c r="H810" s="253"/>
      <c r="I810" s="250"/>
      <c r="J810" s="250"/>
      <c r="K810" s="270"/>
      <c r="L810" s="250"/>
      <c r="M810" s="250"/>
      <c r="N810" s="540" t="str">
        <f>CONCATENATE(IF(OR(M810=phu!$I$1,M810=phu!$I$2,M810=phu!$I$3),"Cam Thành Nam",""),IF(OR(M810=phu!$I$4,M810=phu!$I$5,M810=phu!$I$6,M810=phu!$I$7,M810=phu!$I$8,M810=phu!$I$9,M810=phu!$I$10,M810=phu!$I$11,M810=phu!$I$12,M810=phu!$I$13,M810=phu!$I$14),"Cam Nghĩa",""),IF(OR(M810=phu!$I$15,M810=phu!$I$16,M810=phu!$I$17,M810=phu!$I$18,M810=phu!$I$19,M810=phu!$I$20,M810=phu!$I$21),"Cam Phúc Bắc",""),IF(OR(M810=phu!$I$22,M810=phu!$I$23,M810=phu!$I$24,M810=phu!$I$25),"Cam Phúc Nam",""),IF(OR(M810=phu!$I$26,M810=phu!$I$27,M810=phu!$I$28,M810=phu!$I$29,M810=phu!$I$30,M810=phu!$I$31),"Cam Phú",""),IF(OR(M810=phu!$I$32,M810=phu!$I$33,M810=phu!$I$34,M810=phu!$I$35,M810=phu!$I$36,M810=phu!$I$37),"Cam Lộc",""),IF(OR(M810=phu!$I$38,M810=phu!$I$39,M810=phu!$I$40,M810=phu!$I$41,M810=phu!$I$42,M810=phu!$I$43,M810=phu!$I$44),"Cam Thuận",""),IF(OR(M810=phu!$I$45,M810=phu!$I$46,M810=phu!$I$47,M810=phu!$I$48,M810=phu!$I$49,M810=phu!$I$50,M810=phu!$I$51,M810=phu!$I$52,M810=phu!$I$53),"Cam Linh",""),IF(OR(M810=phu!$I$54,M810=phu!$I$55,M810=phu!$I$56,M810=phu!$I$57,M810=phu!$I$58,M810=phu!$I$59,M810=phu!$I$60,M810=phu!$I$61,M810=phu!$I$62),"Cam Lợi",""),IF(OR(M810=phu!$I$63,M810=phu!$I$64,M810=phu!$I$65,M810=phu!$I$66,M810=phu!$I$67,M810=phu!$I$68,M810=phu!$I$69,M810=phu!$I$70,M810=phu!$I$71),"Ba Ngòi",""),IF(OR(M810=phu!$I$72,M810=phu!$I$73,M810=phu!$I$74,M810=phu!$I$75,M810=phu!$I$76,M810=phu!$I$77,M810=phu!$I$78),"Cam Phước Đông",""),IF(OR(M810=phu!$I$79,M810=phu!$I$80,M810=phu!$I$81,M810=phu!$I$82,M810=phu!$I$83,M810=phu!$I$84),"Cam Thịnh Đông",""),IF(OR(M810=phu!$I$85,M810=phu!$I$86,M810=phu!$I$87,M810=phu!$I$88),"Cam Thịnh Tây",""),IF(OR(M810=phu!$I$89,M810=phu!$I$90),"Cam Lập",""),IF(OR(M810=phu!$I$91,M810=phu!$I$92,M810=phu!$I$93),"Cam Bình",""),IF(OR(M810=phu!$I$94,M810=phu!$I$95,M810=phu!$I$96,M810=phu!$I$97,M810=phu!$I$98,M810=phu!$I$99,M810=phu!$I$100),"Huyện khác",""),IF(OR(M810=phu!$I$101,M810=phu!$I$102),"Tỉnh khác",""))</f>
        <v/>
      </c>
      <c r="O810" s="829" t="str">
        <f t="shared" si="72"/>
        <v/>
      </c>
      <c r="P810" s="254"/>
      <c r="Q810" s="254"/>
      <c r="R810" s="254"/>
      <c r="S810" s="254"/>
      <c r="T810" s="254"/>
      <c r="U810" s="254"/>
      <c r="V810" s="254"/>
      <c r="W810" s="254"/>
      <c r="Y810" s="246" t="str">
        <f t="shared" si="73"/>
        <v/>
      </c>
      <c r="Z810" s="247" t="str">
        <f t="shared" si="77"/>
        <v/>
      </c>
      <c r="AA810" s="246" t="str">
        <f t="shared" si="74"/>
        <v/>
      </c>
    </row>
    <row r="811" spans="1:27" x14ac:dyDescent="0.25">
      <c r="A811" s="248" t="str">
        <f t="shared" si="75"/>
        <v/>
      </c>
      <c r="B811" s="249" t="str">
        <f t="shared" si="76"/>
        <v/>
      </c>
      <c r="C811" s="250"/>
      <c r="D811" s="251"/>
      <c r="E811" s="241"/>
      <c r="F811" s="252"/>
      <c r="G811" s="252"/>
      <c r="H811" s="253"/>
      <c r="I811" s="250"/>
      <c r="J811" s="250"/>
      <c r="K811" s="270"/>
      <c r="L811" s="250"/>
      <c r="M811" s="250"/>
      <c r="N811" s="540" t="str">
        <f>CONCATENATE(IF(OR(M811=phu!$I$1,M811=phu!$I$2,M811=phu!$I$3),"Cam Thành Nam",""),IF(OR(M811=phu!$I$4,M811=phu!$I$5,M811=phu!$I$6,M811=phu!$I$7,M811=phu!$I$8,M811=phu!$I$9,M811=phu!$I$10,M811=phu!$I$11,M811=phu!$I$12,M811=phu!$I$13,M811=phu!$I$14),"Cam Nghĩa",""),IF(OR(M811=phu!$I$15,M811=phu!$I$16,M811=phu!$I$17,M811=phu!$I$18,M811=phu!$I$19,M811=phu!$I$20,M811=phu!$I$21),"Cam Phúc Bắc",""),IF(OR(M811=phu!$I$22,M811=phu!$I$23,M811=phu!$I$24,M811=phu!$I$25),"Cam Phúc Nam",""),IF(OR(M811=phu!$I$26,M811=phu!$I$27,M811=phu!$I$28,M811=phu!$I$29,M811=phu!$I$30,M811=phu!$I$31),"Cam Phú",""),IF(OR(M811=phu!$I$32,M811=phu!$I$33,M811=phu!$I$34,M811=phu!$I$35,M811=phu!$I$36,M811=phu!$I$37),"Cam Lộc",""),IF(OR(M811=phu!$I$38,M811=phu!$I$39,M811=phu!$I$40,M811=phu!$I$41,M811=phu!$I$42,M811=phu!$I$43,M811=phu!$I$44),"Cam Thuận",""),IF(OR(M811=phu!$I$45,M811=phu!$I$46,M811=phu!$I$47,M811=phu!$I$48,M811=phu!$I$49,M811=phu!$I$50,M811=phu!$I$51,M811=phu!$I$52,M811=phu!$I$53),"Cam Linh",""),IF(OR(M811=phu!$I$54,M811=phu!$I$55,M811=phu!$I$56,M811=phu!$I$57,M811=phu!$I$58,M811=phu!$I$59,M811=phu!$I$60,M811=phu!$I$61,M811=phu!$I$62),"Cam Lợi",""),IF(OR(M811=phu!$I$63,M811=phu!$I$64,M811=phu!$I$65,M811=phu!$I$66,M811=phu!$I$67,M811=phu!$I$68,M811=phu!$I$69,M811=phu!$I$70,M811=phu!$I$71),"Ba Ngòi",""),IF(OR(M811=phu!$I$72,M811=phu!$I$73,M811=phu!$I$74,M811=phu!$I$75,M811=phu!$I$76,M811=phu!$I$77,M811=phu!$I$78),"Cam Phước Đông",""),IF(OR(M811=phu!$I$79,M811=phu!$I$80,M811=phu!$I$81,M811=phu!$I$82,M811=phu!$I$83,M811=phu!$I$84),"Cam Thịnh Đông",""),IF(OR(M811=phu!$I$85,M811=phu!$I$86,M811=phu!$I$87,M811=phu!$I$88),"Cam Thịnh Tây",""),IF(OR(M811=phu!$I$89,M811=phu!$I$90),"Cam Lập",""),IF(OR(M811=phu!$I$91,M811=phu!$I$92,M811=phu!$I$93),"Cam Bình",""),IF(OR(M811=phu!$I$94,M811=phu!$I$95,M811=phu!$I$96,M811=phu!$I$97,M811=phu!$I$98,M811=phu!$I$99,M811=phu!$I$100),"Huyện khác",""),IF(OR(M811=phu!$I$101,M811=phu!$I$102),"Tỉnh khác",""))</f>
        <v/>
      </c>
      <c r="O811" s="829" t="str">
        <f t="shared" si="72"/>
        <v/>
      </c>
      <c r="P811" s="254"/>
      <c r="Q811" s="254"/>
      <c r="R811" s="254"/>
      <c r="S811" s="254"/>
      <c r="T811" s="254"/>
      <c r="U811" s="254"/>
      <c r="V811" s="254"/>
      <c r="W811" s="254"/>
      <c r="Y811" s="246" t="str">
        <f t="shared" si="73"/>
        <v/>
      </c>
      <c r="Z811" s="247" t="str">
        <f t="shared" si="77"/>
        <v/>
      </c>
      <c r="AA811" s="246" t="str">
        <f t="shared" si="74"/>
        <v/>
      </c>
    </row>
    <row r="812" spans="1:27" x14ac:dyDescent="0.25">
      <c r="A812" s="248" t="str">
        <f t="shared" si="75"/>
        <v/>
      </c>
      <c r="B812" s="249" t="str">
        <f t="shared" si="76"/>
        <v/>
      </c>
      <c r="C812" s="250"/>
      <c r="D812" s="251"/>
      <c r="E812" s="241"/>
      <c r="F812" s="252"/>
      <c r="G812" s="252"/>
      <c r="H812" s="253"/>
      <c r="I812" s="250"/>
      <c r="J812" s="250"/>
      <c r="K812" s="270"/>
      <c r="L812" s="250"/>
      <c r="M812" s="250"/>
      <c r="N812" s="540" t="str">
        <f>CONCATENATE(IF(OR(M812=phu!$I$1,M812=phu!$I$2,M812=phu!$I$3),"Cam Thành Nam",""),IF(OR(M812=phu!$I$4,M812=phu!$I$5,M812=phu!$I$6,M812=phu!$I$7,M812=phu!$I$8,M812=phu!$I$9,M812=phu!$I$10,M812=phu!$I$11,M812=phu!$I$12,M812=phu!$I$13,M812=phu!$I$14),"Cam Nghĩa",""),IF(OR(M812=phu!$I$15,M812=phu!$I$16,M812=phu!$I$17,M812=phu!$I$18,M812=phu!$I$19,M812=phu!$I$20,M812=phu!$I$21),"Cam Phúc Bắc",""),IF(OR(M812=phu!$I$22,M812=phu!$I$23,M812=phu!$I$24,M812=phu!$I$25),"Cam Phúc Nam",""),IF(OR(M812=phu!$I$26,M812=phu!$I$27,M812=phu!$I$28,M812=phu!$I$29,M812=phu!$I$30,M812=phu!$I$31),"Cam Phú",""),IF(OR(M812=phu!$I$32,M812=phu!$I$33,M812=phu!$I$34,M812=phu!$I$35,M812=phu!$I$36,M812=phu!$I$37),"Cam Lộc",""),IF(OR(M812=phu!$I$38,M812=phu!$I$39,M812=phu!$I$40,M812=phu!$I$41,M812=phu!$I$42,M812=phu!$I$43,M812=phu!$I$44),"Cam Thuận",""),IF(OR(M812=phu!$I$45,M812=phu!$I$46,M812=phu!$I$47,M812=phu!$I$48,M812=phu!$I$49,M812=phu!$I$50,M812=phu!$I$51,M812=phu!$I$52,M812=phu!$I$53),"Cam Linh",""),IF(OR(M812=phu!$I$54,M812=phu!$I$55,M812=phu!$I$56,M812=phu!$I$57,M812=phu!$I$58,M812=phu!$I$59,M812=phu!$I$60,M812=phu!$I$61,M812=phu!$I$62),"Cam Lợi",""),IF(OR(M812=phu!$I$63,M812=phu!$I$64,M812=phu!$I$65,M812=phu!$I$66,M812=phu!$I$67,M812=phu!$I$68,M812=phu!$I$69,M812=phu!$I$70,M812=phu!$I$71),"Ba Ngòi",""),IF(OR(M812=phu!$I$72,M812=phu!$I$73,M812=phu!$I$74,M812=phu!$I$75,M812=phu!$I$76,M812=phu!$I$77,M812=phu!$I$78),"Cam Phước Đông",""),IF(OR(M812=phu!$I$79,M812=phu!$I$80,M812=phu!$I$81,M812=phu!$I$82,M812=phu!$I$83,M812=phu!$I$84),"Cam Thịnh Đông",""),IF(OR(M812=phu!$I$85,M812=phu!$I$86,M812=phu!$I$87,M812=phu!$I$88),"Cam Thịnh Tây",""),IF(OR(M812=phu!$I$89,M812=phu!$I$90),"Cam Lập",""),IF(OR(M812=phu!$I$91,M812=phu!$I$92,M812=phu!$I$93),"Cam Bình",""),IF(OR(M812=phu!$I$94,M812=phu!$I$95,M812=phu!$I$96,M812=phu!$I$97,M812=phu!$I$98,M812=phu!$I$99,M812=phu!$I$100),"Huyện khác",""),IF(OR(M812=phu!$I$101,M812=phu!$I$102),"Tỉnh khác",""))</f>
        <v/>
      </c>
      <c r="O812" s="829" t="str">
        <f t="shared" si="72"/>
        <v/>
      </c>
      <c r="P812" s="254"/>
      <c r="Q812" s="254"/>
      <c r="R812" s="254"/>
      <c r="S812" s="254"/>
      <c r="T812" s="254"/>
      <c r="U812" s="254"/>
      <c r="V812" s="254"/>
      <c r="W812" s="254"/>
      <c r="Y812" s="246" t="str">
        <f t="shared" si="73"/>
        <v/>
      </c>
      <c r="Z812" s="247" t="str">
        <f t="shared" si="77"/>
        <v/>
      </c>
      <c r="AA812" s="246" t="str">
        <f t="shared" si="74"/>
        <v/>
      </c>
    </row>
    <row r="813" spans="1:27" x14ac:dyDescent="0.25">
      <c r="A813" s="248" t="str">
        <f t="shared" si="75"/>
        <v/>
      </c>
      <c r="B813" s="249" t="str">
        <f t="shared" si="76"/>
        <v/>
      </c>
      <c r="C813" s="250"/>
      <c r="D813" s="251"/>
      <c r="E813" s="241"/>
      <c r="F813" s="252"/>
      <c r="G813" s="252"/>
      <c r="H813" s="253"/>
      <c r="I813" s="250"/>
      <c r="J813" s="250"/>
      <c r="K813" s="270"/>
      <c r="L813" s="250"/>
      <c r="M813" s="250"/>
      <c r="N813" s="540" t="str">
        <f>CONCATENATE(IF(OR(M813=phu!$I$1,M813=phu!$I$2,M813=phu!$I$3),"Cam Thành Nam",""),IF(OR(M813=phu!$I$4,M813=phu!$I$5,M813=phu!$I$6,M813=phu!$I$7,M813=phu!$I$8,M813=phu!$I$9,M813=phu!$I$10,M813=phu!$I$11,M813=phu!$I$12,M813=phu!$I$13,M813=phu!$I$14),"Cam Nghĩa",""),IF(OR(M813=phu!$I$15,M813=phu!$I$16,M813=phu!$I$17,M813=phu!$I$18,M813=phu!$I$19,M813=phu!$I$20,M813=phu!$I$21),"Cam Phúc Bắc",""),IF(OR(M813=phu!$I$22,M813=phu!$I$23,M813=phu!$I$24,M813=phu!$I$25),"Cam Phúc Nam",""),IF(OR(M813=phu!$I$26,M813=phu!$I$27,M813=phu!$I$28,M813=phu!$I$29,M813=phu!$I$30,M813=phu!$I$31),"Cam Phú",""),IF(OR(M813=phu!$I$32,M813=phu!$I$33,M813=phu!$I$34,M813=phu!$I$35,M813=phu!$I$36,M813=phu!$I$37),"Cam Lộc",""),IF(OR(M813=phu!$I$38,M813=phu!$I$39,M813=phu!$I$40,M813=phu!$I$41,M813=phu!$I$42,M813=phu!$I$43,M813=phu!$I$44),"Cam Thuận",""),IF(OR(M813=phu!$I$45,M813=phu!$I$46,M813=phu!$I$47,M813=phu!$I$48,M813=phu!$I$49,M813=phu!$I$50,M813=phu!$I$51,M813=phu!$I$52,M813=phu!$I$53),"Cam Linh",""),IF(OR(M813=phu!$I$54,M813=phu!$I$55,M813=phu!$I$56,M813=phu!$I$57,M813=phu!$I$58,M813=phu!$I$59,M813=phu!$I$60,M813=phu!$I$61,M813=phu!$I$62),"Cam Lợi",""),IF(OR(M813=phu!$I$63,M813=phu!$I$64,M813=phu!$I$65,M813=phu!$I$66,M813=phu!$I$67,M813=phu!$I$68,M813=phu!$I$69,M813=phu!$I$70,M813=phu!$I$71),"Ba Ngòi",""),IF(OR(M813=phu!$I$72,M813=phu!$I$73,M813=phu!$I$74,M813=phu!$I$75,M813=phu!$I$76,M813=phu!$I$77,M813=phu!$I$78),"Cam Phước Đông",""),IF(OR(M813=phu!$I$79,M813=phu!$I$80,M813=phu!$I$81,M813=phu!$I$82,M813=phu!$I$83,M813=phu!$I$84),"Cam Thịnh Đông",""),IF(OR(M813=phu!$I$85,M813=phu!$I$86,M813=phu!$I$87,M813=phu!$I$88),"Cam Thịnh Tây",""),IF(OR(M813=phu!$I$89,M813=phu!$I$90),"Cam Lập",""),IF(OR(M813=phu!$I$91,M813=phu!$I$92,M813=phu!$I$93),"Cam Bình",""),IF(OR(M813=phu!$I$94,M813=phu!$I$95,M813=phu!$I$96,M813=phu!$I$97,M813=phu!$I$98,M813=phu!$I$99,M813=phu!$I$100),"Huyện khác",""),IF(OR(M813=phu!$I$101,M813=phu!$I$102),"Tỉnh khác",""))</f>
        <v/>
      </c>
      <c r="O813" s="829" t="str">
        <f t="shared" si="72"/>
        <v/>
      </c>
      <c r="P813" s="254"/>
      <c r="Q813" s="254"/>
      <c r="R813" s="254"/>
      <c r="S813" s="254"/>
      <c r="T813" s="254"/>
      <c r="U813" s="254"/>
      <c r="V813" s="254"/>
      <c r="W813" s="254"/>
      <c r="Y813" s="246" t="str">
        <f t="shared" si="73"/>
        <v/>
      </c>
      <c r="Z813" s="247" t="str">
        <f t="shared" si="77"/>
        <v/>
      </c>
      <c r="AA813" s="246" t="str">
        <f t="shared" si="74"/>
        <v/>
      </c>
    </row>
    <row r="814" spans="1:27" x14ac:dyDescent="0.25">
      <c r="A814" s="248" t="str">
        <f t="shared" si="75"/>
        <v/>
      </c>
      <c r="B814" s="249" t="str">
        <f t="shared" si="76"/>
        <v/>
      </c>
      <c r="C814" s="250"/>
      <c r="D814" s="251"/>
      <c r="E814" s="241"/>
      <c r="F814" s="252"/>
      <c r="G814" s="252"/>
      <c r="H814" s="253"/>
      <c r="I814" s="250"/>
      <c r="J814" s="250"/>
      <c r="K814" s="270"/>
      <c r="L814" s="250"/>
      <c r="M814" s="250"/>
      <c r="N814" s="540" t="str">
        <f>CONCATENATE(IF(OR(M814=phu!$I$1,M814=phu!$I$2,M814=phu!$I$3),"Cam Thành Nam",""),IF(OR(M814=phu!$I$4,M814=phu!$I$5,M814=phu!$I$6,M814=phu!$I$7,M814=phu!$I$8,M814=phu!$I$9,M814=phu!$I$10,M814=phu!$I$11,M814=phu!$I$12,M814=phu!$I$13,M814=phu!$I$14),"Cam Nghĩa",""),IF(OR(M814=phu!$I$15,M814=phu!$I$16,M814=phu!$I$17,M814=phu!$I$18,M814=phu!$I$19,M814=phu!$I$20,M814=phu!$I$21),"Cam Phúc Bắc",""),IF(OR(M814=phu!$I$22,M814=phu!$I$23,M814=phu!$I$24,M814=phu!$I$25),"Cam Phúc Nam",""),IF(OR(M814=phu!$I$26,M814=phu!$I$27,M814=phu!$I$28,M814=phu!$I$29,M814=phu!$I$30,M814=phu!$I$31),"Cam Phú",""),IF(OR(M814=phu!$I$32,M814=phu!$I$33,M814=phu!$I$34,M814=phu!$I$35,M814=phu!$I$36,M814=phu!$I$37),"Cam Lộc",""),IF(OR(M814=phu!$I$38,M814=phu!$I$39,M814=phu!$I$40,M814=phu!$I$41,M814=phu!$I$42,M814=phu!$I$43,M814=phu!$I$44),"Cam Thuận",""),IF(OR(M814=phu!$I$45,M814=phu!$I$46,M814=phu!$I$47,M814=phu!$I$48,M814=phu!$I$49,M814=phu!$I$50,M814=phu!$I$51,M814=phu!$I$52,M814=phu!$I$53),"Cam Linh",""),IF(OR(M814=phu!$I$54,M814=phu!$I$55,M814=phu!$I$56,M814=phu!$I$57,M814=phu!$I$58,M814=phu!$I$59,M814=phu!$I$60,M814=phu!$I$61,M814=phu!$I$62),"Cam Lợi",""),IF(OR(M814=phu!$I$63,M814=phu!$I$64,M814=phu!$I$65,M814=phu!$I$66,M814=phu!$I$67,M814=phu!$I$68,M814=phu!$I$69,M814=phu!$I$70,M814=phu!$I$71),"Ba Ngòi",""),IF(OR(M814=phu!$I$72,M814=phu!$I$73,M814=phu!$I$74,M814=phu!$I$75,M814=phu!$I$76,M814=phu!$I$77,M814=phu!$I$78),"Cam Phước Đông",""),IF(OR(M814=phu!$I$79,M814=phu!$I$80,M814=phu!$I$81,M814=phu!$I$82,M814=phu!$I$83,M814=phu!$I$84),"Cam Thịnh Đông",""),IF(OR(M814=phu!$I$85,M814=phu!$I$86,M814=phu!$I$87,M814=phu!$I$88),"Cam Thịnh Tây",""),IF(OR(M814=phu!$I$89,M814=phu!$I$90),"Cam Lập",""),IF(OR(M814=phu!$I$91,M814=phu!$I$92,M814=phu!$I$93),"Cam Bình",""),IF(OR(M814=phu!$I$94,M814=phu!$I$95,M814=phu!$I$96,M814=phu!$I$97,M814=phu!$I$98,M814=phu!$I$99,M814=phu!$I$100),"Huyện khác",""),IF(OR(M814=phu!$I$101,M814=phu!$I$102),"Tỉnh khác",""))</f>
        <v/>
      </c>
      <c r="O814" s="829" t="str">
        <f t="shared" si="72"/>
        <v/>
      </c>
      <c r="P814" s="254"/>
      <c r="Q814" s="254"/>
      <c r="R814" s="254"/>
      <c r="S814" s="254"/>
      <c r="T814" s="254"/>
      <c r="U814" s="254"/>
      <c r="V814" s="254"/>
      <c r="W814" s="254"/>
      <c r="Y814" s="246" t="str">
        <f t="shared" si="73"/>
        <v/>
      </c>
      <c r="Z814" s="247" t="str">
        <f t="shared" si="77"/>
        <v/>
      </c>
      <c r="AA814" s="246" t="str">
        <f t="shared" si="74"/>
        <v/>
      </c>
    </row>
    <row r="815" spans="1:27" x14ac:dyDescent="0.25">
      <c r="A815" s="248" t="str">
        <f t="shared" si="75"/>
        <v/>
      </c>
      <c r="B815" s="249" t="str">
        <f t="shared" si="76"/>
        <v/>
      </c>
      <c r="C815" s="250"/>
      <c r="D815" s="251"/>
      <c r="E815" s="241"/>
      <c r="F815" s="252"/>
      <c r="G815" s="252"/>
      <c r="H815" s="253"/>
      <c r="I815" s="250"/>
      <c r="J815" s="250"/>
      <c r="K815" s="270"/>
      <c r="L815" s="250"/>
      <c r="M815" s="250"/>
      <c r="N815" s="540" t="str">
        <f>CONCATENATE(IF(OR(M815=phu!$I$1,M815=phu!$I$2,M815=phu!$I$3),"Cam Thành Nam",""),IF(OR(M815=phu!$I$4,M815=phu!$I$5,M815=phu!$I$6,M815=phu!$I$7,M815=phu!$I$8,M815=phu!$I$9,M815=phu!$I$10,M815=phu!$I$11,M815=phu!$I$12,M815=phu!$I$13,M815=phu!$I$14),"Cam Nghĩa",""),IF(OR(M815=phu!$I$15,M815=phu!$I$16,M815=phu!$I$17,M815=phu!$I$18,M815=phu!$I$19,M815=phu!$I$20,M815=phu!$I$21),"Cam Phúc Bắc",""),IF(OR(M815=phu!$I$22,M815=phu!$I$23,M815=phu!$I$24,M815=phu!$I$25),"Cam Phúc Nam",""),IF(OR(M815=phu!$I$26,M815=phu!$I$27,M815=phu!$I$28,M815=phu!$I$29,M815=phu!$I$30,M815=phu!$I$31),"Cam Phú",""),IF(OR(M815=phu!$I$32,M815=phu!$I$33,M815=phu!$I$34,M815=phu!$I$35,M815=phu!$I$36,M815=phu!$I$37),"Cam Lộc",""),IF(OR(M815=phu!$I$38,M815=phu!$I$39,M815=phu!$I$40,M815=phu!$I$41,M815=phu!$I$42,M815=phu!$I$43,M815=phu!$I$44),"Cam Thuận",""),IF(OR(M815=phu!$I$45,M815=phu!$I$46,M815=phu!$I$47,M815=phu!$I$48,M815=phu!$I$49,M815=phu!$I$50,M815=phu!$I$51,M815=phu!$I$52,M815=phu!$I$53),"Cam Linh",""),IF(OR(M815=phu!$I$54,M815=phu!$I$55,M815=phu!$I$56,M815=phu!$I$57,M815=phu!$I$58,M815=phu!$I$59,M815=phu!$I$60,M815=phu!$I$61,M815=phu!$I$62),"Cam Lợi",""),IF(OR(M815=phu!$I$63,M815=phu!$I$64,M815=phu!$I$65,M815=phu!$I$66,M815=phu!$I$67,M815=phu!$I$68,M815=phu!$I$69,M815=phu!$I$70,M815=phu!$I$71),"Ba Ngòi",""),IF(OR(M815=phu!$I$72,M815=phu!$I$73,M815=phu!$I$74,M815=phu!$I$75,M815=phu!$I$76,M815=phu!$I$77,M815=phu!$I$78),"Cam Phước Đông",""),IF(OR(M815=phu!$I$79,M815=phu!$I$80,M815=phu!$I$81,M815=phu!$I$82,M815=phu!$I$83,M815=phu!$I$84),"Cam Thịnh Đông",""),IF(OR(M815=phu!$I$85,M815=phu!$I$86,M815=phu!$I$87,M815=phu!$I$88),"Cam Thịnh Tây",""),IF(OR(M815=phu!$I$89,M815=phu!$I$90),"Cam Lập",""),IF(OR(M815=phu!$I$91,M815=phu!$I$92,M815=phu!$I$93),"Cam Bình",""),IF(OR(M815=phu!$I$94,M815=phu!$I$95,M815=phu!$I$96,M815=phu!$I$97,M815=phu!$I$98,M815=phu!$I$99,M815=phu!$I$100),"Huyện khác",""),IF(OR(M815=phu!$I$101,M815=phu!$I$102),"Tỉnh khác",""))</f>
        <v/>
      </c>
      <c r="O815" s="829" t="str">
        <f t="shared" si="72"/>
        <v/>
      </c>
      <c r="P815" s="254"/>
      <c r="Q815" s="254"/>
      <c r="R815" s="254"/>
      <c r="S815" s="254"/>
      <c r="T815" s="254"/>
      <c r="U815" s="254"/>
      <c r="V815" s="254"/>
      <c r="W815" s="254"/>
      <c r="Y815" s="246" t="str">
        <f t="shared" si="73"/>
        <v/>
      </c>
      <c r="Z815" s="247" t="str">
        <f t="shared" si="77"/>
        <v/>
      </c>
      <c r="AA815" s="246" t="str">
        <f t="shared" si="74"/>
        <v/>
      </c>
    </row>
    <row r="816" spans="1:27" x14ac:dyDescent="0.25">
      <c r="A816" s="248" t="str">
        <f t="shared" si="75"/>
        <v/>
      </c>
      <c r="B816" s="249" t="str">
        <f t="shared" si="76"/>
        <v/>
      </c>
      <c r="C816" s="250"/>
      <c r="D816" s="251"/>
      <c r="E816" s="241"/>
      <c r="F816" s="252"/>
      <c r="G816" s="252"/>
      <c r="H816" s="253"/>
      <c r="I816" s="250"/>
      <c r="J816" s="250"/>
      <c r="K816" s="270"/>
      <c r="L816" s="250"/>
      <c r="M816" s="250"/>
      <c r="N816" s="540" t="str">
        <f>CONCATENATE(IF(OR(M816=phu!$I$1,M816=phu!$I$2,M816=phu!$I$3),"Cam Thành Nam",""),IF(OR(M816=phu!$I$4,M816=phu!$I$5,M816=phu!$I$6,M816=phu!$I$7,M816=phu!$I$8,M816=phu!$I$9,M816=phu!$I$10,M816=phu!$I$11,M816=phu!$I$12,M816=phu!$I$13,M816=phu!$I$14),"Cam Nghĩa",""),IF(OR(M816=phu!$I$15,M816=phu!$I$16,M816=phu!$I$17,M816=phu!$I$18,M816=phu!$I$19,M816=phu!$I$20,M816=phu!$I$21),"Cam Phúc Bắc",""),IF(OR(M816=phu!$I$22,M816=phu!$I$23,M816=phu!$I$24,M816=phu!$I$25),"Cam Phúc Nam",""),IF(OR(M816=phu!$I$26,M816=phu!$I$27,M816=phu!$I$28,M816=phu!$I$29,M816=phu!$I$30,M816=phu!$I$31),"Cam Phú",""),IF(OR(M816=phu!$I$32,M816=phu!$I$33,M816=phu!$I$34,M816=phu!$I$35,M816=phu!$I$36,M816=phu!$I$37),"Cam Lộc",""),IF(OR(M816=phu!$I$38,M816=phu!$I$39,M816=phu!$I$40,M816=phu!$I$41,M816=phu!$I$42,M816=phu!$I$43,M816=phu!$I$44),"Cam Thuận",""),IF(OR(M816=phu!$I$45,M816=phu!$I$46,M816=phu!$I$47,M816=phu!$I$48,M816=phu!$I$49,M816=phu!$I$50,M816=phu!$I$51,M816=phu!$I$52,M816=phu!$I$53),"Cam Linh",""),IF(OR(M816=phu!$I$54,M816=phu!$I$55,M816=phu!$I$56,M816=phu!$I$57,M816=phu!$I$58,M816=phu!$I$59,M816=phu!$I$60,M816=phu!$I$61,M816=phu!$I$62),"Cam Lợi",""),IF(OR(M816=phu!$I$63,M816=phu!$I$64,M816=phu!$I$65,M816=phu!$I$66,M816=phu!$I$67,M816=phu!$I$68,M816=phu!$I$69,M816=phu!$I$70,M816=phu!$I$71),"Ba Ngòi",""),IF(OR(M816=phu!$I$72,M816=phu!$I$73,M816=phu!$I$74,M816=phu!$I$75,M816=phu!$I$76,M816=phu!$I$77,M816=phu!$I$78),"Cam Phước Đông",""),IF(OR(M816=phu!$I$79,M816=phu!$I$80,M816=phu!$I$81,M816=phu!$I$82,M816=phu!$I$83,M816=phu!$I$84),"Cam Thịnh Đông",""),IF(OR(M816=phu!$I$85,M816=phu!$I$86,M816=phu!$I$87,M816=phu!$I$88),"Cam Thịnh Tây",""),IF(OR(M816=phu!$I$89,M816=phu!$I$90),"Cam Lập",""),IF(OR(M816=phu!$I$91,M816=phu!$I$92,M816=phu!$I$93),"Cam Bình",""),IF(OR(M816=phu!$I$94,M816=phu!$I$95,M816=phu!$I$96,M816=phu!$I$97,M816=phu!$I$98,M816=phu!$I$99,M816=phu!$I$100),"Huyện khác",""),IF(OR(M816=phu!$I$101,M816=phu!$I$102),"Tỉnh khác",""))</f>
        <v/>
      </c>
      <c r="O816" s="829" t="str">
        <f t="shared" si="72"/>
        <v/>
      </c>
      <c r="P816" s="254"/>
      <c r="Q816" s="254"/>
      <c r="R816" s="254"/>
      <c r="S816" s="254"/>
      <c r="T816" s="254"/>
      <c r="U816" s="254"/>
      <c r="V816" s="254"/>
      <c r="W816" s="254"/>
      <c r="Y816" s="246" t="str">
        <f t="shared" si="73"/>
        <v/>
      </c>
      <c r="Z816" s="247" t="str">
        <f t="shared" si="77"/>
        <v/>
      </c>
      <c r="AA816" s="246" t="str">
        <f t="shared" si="74"/>
        <v/>
      </c>
    </row>
    <row r="817" spans="1:27" x14ac:dyDescent="0.25">
      <c r="A817" s="248" t="str">
        <f t="shared" si="75"/>
        <v/>
      </c>
      <c r="B817" s="249" t="str">
        <f t="shared" si="76"/>
        <v/>
      </c>
      <c r="C817" s="250"/>
      <c r="D817" s="251"/>
      <c r="E817" s="241"/>
      <c r="F817" s="252"/>
      <c r="G817" s="252"/>
      <c r="H817" s="253"/>
      <c r="I817" s="250"/>
      <c r="J817" s="250"/>
      <c r="K817" s="270"/>
      <c r="L817" s="250"/>
      <c r="M817" s="250"/>
      <c r="N817" s="540" t="str">
        <f>CONCATENATE(IF(OR(M817=phu!$I$1,M817=phu!$I$2,M817=phu!$I$3),"Cam Thành Nam",""),IF(OR(M817=phu!$I$4,M817=phu!$I$5,M817=phu!$I$6,M817=phu!$I$7,M817=phu!$I$8,M817=phu!$I$9,M817=phu!$I$10,M817=phu!$I$11,M817=phu!$I$12,M817=phu!$I$13,M817=phu!$I$14),"Cam Nghĩa",""),IF(OR(M817=phu!$I$15,M817=phu!$I$16,M817=phu!$I$17,M817=phu!$I$18,M817=phu!$I$19,M817=phu!$I$20,M817=phu!$I$21),"Cam Phúc Bắc",""),IF(OR(M817=phu!$I$22,M817=phu!$I$23,M817=phu!$I$24,M817=phu!$I$25),"Cam Phúc Nam",""),IF(OR(M817=phu!$I$26,M817=phu!$I$27,M817=phu!$I$28,M817=phu!$I$29,M817=phu!$I$30,M817=phu!$I$31),"Cam Phú",""),IF(OR(M817=phu!$I$32,M817=phu!$I$33,M817=phu!$I$34,M817=phu!$I$35,M817=phu!$I$36,M817=phu!$I$37),"Cam Lộc",""),IF(OR(M817=phu!$I$38,M817=phu!$I$39,M817=phu!$I$40,M817=phu!$I$41,M817=phu!$I$42,M817=phu!$I$43,M817=phu!$I$44),"Cam Thuận",""),IF(OR(M817=phu!$I$45,M817=phu!$I$46,M817=phu!$I$47,M817=phu!$I$48,M817=phu!$I$49,M817=phu!$I$50,M817=phu!$I$51,M817=phu!$I$52,M817=phu!$I$53),"Cam Linh",""),IF(OR(M817=phu!$I$54,M817=phu!$I$55,M817=phu!$I$56,M817=phu!$I$57,M817=phu!$I$58,M817=phu!$I$59,M817=phu!$I$60,M817=phu!$I$61,M817=phu!$I$62),"Cam Lợi",""),IF(OR(M817=phu!$I$63,M817=phu!$I$64,M817=phu!$I$65,M817=phu!$I$66,M817=phu!$I$67,M817=phu!$I$68,M817=phu!$I$69,M817=phu!$I$70,M817=phu!$I$71),"Ba Ngòi",""),IF(OR(M817=phu!$I$72,M817=phu!$I$73,M817=phu!$I$74,M817=phu!$I$75,M817=phu!$I$76,M817=phu!$I$77,M817=phu!$I$78),"Cam Phước Đông",""),IF(OR(M817=phu!$I$79,M817=phu!$I$80,M817=phu!$I$81,M817=phu!$I$82,M817=phu!$I$83,M817=phu!$I$84),"Cam Thịnh Đông",""),IF(OR(M817=phu!$I$85,M817=phu!$I$86,M817=phu!$I$87,M817=phu!$I$88),"Cam Thịnh Tây",""),IF(OR(M817=phu!$I$89,M817=phu!$I$90),"Cam Lập",""),IF(OR(M817=phu!$I$91,M817=phu!$I$92,M817=phu!$I$93),"Cam Bình",""),IF(OR(M817=phu!$I$94,M817=phu!$I$95,M817=phu!$I$96,M817=phu!$I$97,M817=phu!$I$98,M817=phu!$I$99,M817=phu!$I$100),"Huyện khác",""),IF(OR(M817=phu!$I$101,M817=phu!$I$102),"Tỉnh khác",""))</f>
        <v/>
      </c>
      <c r="O817" s="829" t="str">
        <f t="shared" si="72"/>
        <v/>
      </c>
      <c r="P817" s="254"/>
      <c r="Q817" s="254"/>
      <c r="R817" s="254"/>
      <c r="S817" s="254"/>
      <c r="T817" s="254"/>
      <c r="U817" s="254"/>
      <c r="V817" s="254"/>
      <c r="W817" s="254"/>
      <c r="Y817" s="246" t="str">
        <f t="shared" si="73"/>
        <v/>
      </c>
      <c r="Z817" s="247" t="str">
        <f t="shared" si="77"/>
        <v/>
      </c>
      <c r="AA817" s="246" t="str">
        <f t="shared" si="74"/>
        <v/>
      </c>
    </row>
    <row r="818" spans="1:27" x14ac:dyDescent="0.25">
      <c r="A818" s="248" t="str">
        <f t="shared" si="75"/>
        <v/>
      </c>
      <c r="B818" s="249" t="str">
        <f t="shared" si="76"/>
        <v/>
      </c>
      <c r="C818" s="250"/>
      <c r="D818" s="251"/>
      <c r="E818" s="241"/>
      <c r="F818" s="252"/>
      <c r="G818" s="252"/>
      <c r="H818" s="253"/>
      <c r="I818" s="250"/>
      <c r="J818" s="250"/>
      <c r="K818" s="270"/>
      <c r="L818" s="250"/>
      <c r="M818" s="250"/>
      <c r="N818" s="540" t="str">
        <f>CONCATENATE(IF(OR(M818=phu!$I$1,M818=phu!$I$2,M818=phu!$I$3),"Cam Thành Nam",""),IF(OR(M818=phu!$I$4,M818=phu!$I$5,M818=phu!$I$6,M818=phu!$I$7,M818=phu!$I$8,M818=phu!$I$9,M818=phu!$I$10,M818=phu!$I$11,M818=phu!$I$12,M818=phu!$I$13,M818=phu!$I$14),"Cam Nghĩa",""),IF(OR(M818=phu!$I$15,M818=phu!$I$16,M818=phu!$I$17,M818=phu!$I$18,M818=phu!$I$19,M818=phu!$I$20,M818=phu!$I$21),"Cam Phúc Bắc",""),IF(OR(M818=phu!$I$22,M818=phu!$I$23,M818=phu!$I$24,M818=phu!$I$25),"Cam Phúc Nam",""),IF(OR(M818=phu!$I$26,M818=phu!$I$27,M818=phu!$I$28,M818=phu!$I$29,M818=phu!$I$30,M818=phu!$I$31),"Cam Phú",""),IF(OR(M818=phu!$I$32,M818=phu!$I$33,M818=phu!$I$34,M818=phu!$I$35,M818=phu!$I$36,M818=phu!$I$37),"Cam Lộc",""),IF(OR(M818=phu!$I$38,M818=phu!$I$39,M818=phu!$I$40,M818=phu!$I$41,M818=phu!$I$42,M818=phu!$I$43,M818=phu!$I$44),"Cam Thuận",""),IF(OR(M818=phu!$I$45,M818=phu!$I$46,M818=phu!$I$47,M818=phu!$I$48,M818=phu!$I$49,M818=phu!$I$50,M818=phu!$I$51,M818=phu!$I$52,M818=phu!$I$53),"Cam Linh",""),IF(OR(M818=phu!$I$54,M818=phu!$I$55,M818=phu!$I$56,M818=phu!$I$57,M818=phu!$I$58,M818=phu!$I$59,M818=phu!$I$60,M818=phu!$I$61,M818=phu!$I$62),"Cam Lợi",""),IF(OR(M818=phu!$I$63,M818=phu!$I$64,M818=phu!$I$65,M818=phu!$I$66,M818=phu!$I$67,M818=phu!$I$68,M818=phu!$I$69,M818=phu!$I$70,M818=phu!$I$71),"Ba Ngòi",""),IF(OR(M818=phu!$I$72,M818=phu!$I$73,M818=phu!$I$74,M818=phu!$I$75,M818=phu!$I$76,M818=phu!$I$77,M818=phu!$I$78),"Cam Phước Đông",""),IF(OR(M818=phu!$I$79,M818=phu!$I$80,M818=phu!$I$81,M818=phu!$I$82,M818=phu!$I$83,M818=phu!$I$84),"Cam Thịnh Đông",""),IF(OR(M818=phu!$I$85,M818=phu!$I$86,M818=phu!$I$87,M818=phu!$I$88),"Cam Thịnh Tây",""),IF(OR(M818=phu!$I$89,M818=phu!$I$90),"Cam Lập",""),IF(OR(M818=phu!$I$91,M818=phu!$I$92,M818=phu!$I$93),"Cam Bình",""),IF(OR(M818=phu!$I$94,M818=phu!$I$95,M818=phu!$I$96,M818=phu!$I$97,M818=phu!$I$98,M818=phu!$I$99,M818=phu!$I$100),"Huyện khác",""),IF(OR(M818=phu!$I$101,M818=phu!$I$102),"Tỉnh khác",""))</f>
        <v/>
      </c>
      <c r="O818" s="829" t="str">
        <f t="shared" si="72"/>
        <v/>
      </c>
      <c r="P818" s="254"/>
      <c r="Q818" s="254"/>
      <c r="R818" s="254"/>
      <c r="S818" s="254"/>
      <c r="T818" s="254"/>
      <c r="U818" s="254"/>
      <c r="V818" s="254"/>
      <c r="W818" s="254"/>
      <c r="Y818" s="246" t="str">
        <f t="shared" si="73"/>
        <v/>
      </c>
      <c r="Z818" s="247" t="str">
        <f t="shared" si="77"/>
        <v/>
      </c>
      <c r="AA818" s="246" t="str">
        <f t="shared" si="74"/>
        <v/>
      </c>
    </row>
    <row r="819" spans="1:27" x14ac:dyDescent="0.25">
      <c r="A819" s="248" t="str">
        <f t="shared" si="75"/>
        <v/>
      </c>
      <c r="B819" s="249" t="str">
        <f t="shared" si="76"/>
        <v/>
      </c>
      <c r="C819" s="250"/>
      <c r="D819" s="251"/>
      <c r="E819" s="241"/>
      <c r="F819" s="252"/>
      <c r="G819" s="252"/>
      <c r="H819" s="253"/>
      <c r="I819" s="250"/>
      <c r="J819" s="250"/>
      <c r="K819" s="270"/>
      <c r="L819" s="250"/>
      <c r="M819" s="250"/>
      <c r="N819" s="540" t="str">
        <f>CONCATENATE(IF(OR(M819=phu!$I$1,M819=phu!$I$2,M819=phu!$I$3),"Cam Thành Nam",""),IF(OR(M819=phu!$I$4,M819=phu!$I$5,M819=phu!$I$6,M819=phu!$I$7,M819=phu!$I$8,M819=phu!$I$9,M819=phu!$I$10,M819=phu!$I$11,M819=phu!$I$12,M819=phu!$I$13,M819=phu!$I$14),"Cam Nghĩa",""),IF(OR(M819=phu!$I$15,M819=phu!$I$16,M819=phu!$I$17,M819=phu!$I$18,M819=phu!$I$19,M819=phu!$I$20,M819=phu!$I$21),"Cam Phúc Bắc",""),IF(OR(M819=phu!$I$22,M819=phu!$I$23,M819=phu!$I$24,M819=phu!$I$25),"Cam Phúc Nam",""),IF(OR(M819=phu!$I$26,M819=phu!$I$27,M819=phu!$I$28,M819=phu!$I$29,M819=phu!$I$30,M819=phu!$I$31),"Cam Phú",""),IF(OR(M819=phu!$I$32,M819=phu!$I$33,M819=phu!$I$34,M819=phu!$I$35,M819=phu!$I$36,M819=phu!$I$37),"Cam Lộc",""),IF(OR(M819=phu!$I$38,M819=phu!$I$39,M819=phu!$I$40,M819=phu!$I$41,M819=phu!$I$42,M819=phu!$I$43,M819=phu!$I$44),"Cam Thuận",""),IF(OR(M819=phu!$I$45,M819=phu!$I$46,M819=phu!$I$47,M819=phu!$I$48,M819=phu!$I$49,M819=phu!$I$50,M819=phu!$I$51,M819=phu!$I$52,M819=phu!$I$53),"Cam Linh",""),IF(OR(M819=phu!$I$54,M819=phu!$I$55,M819=phu!$I$56,M819=phu!$I$57,M819=phu!$I$58,M819=phu!$I$59,M819=phu!$I$60,M819=phu!$I$61,M819=phu!$I$62),"Cam Lợi",""),IF(OR(M819=phu!$I$63,M819=phu!$I$64,M819=phu!$I$65,M819=phu!$I$66,M819=phu!$I$67,M819=phu!$I$68,M819=phu!$I$69,M819=phu!$I$70,M819=phu!$I$71),"Ba Ngòi",""),IF(OR(M819=phu!$I$72,M819=phu!$I$73,M819=phu!$I$74,M819=phu!$I$75,M819=phu!$I$76,M819=phu!$I$77,M819=phu!$I$78),"Cam Phước Đông",""),IF(OR(M819=phu!$I$79,M819=phu!$I$80,M819=phu!$I$81,M819=phu!$I$82,M819=phu!$I$83,M819=phu!$I$84),"Cam Thịnh Đông",""),IF(OR(M819=phu!$I$85,M819=phu!$I$86,M819=phu!$I$87,M819=phu!$I$88),"Cam Thịnh Tây",""),IF(OR(M819=phu!$I$89,M819=phu!$I$90),"Cam Lập",""),IF(OR(M819=phu!$I$91,M819=phu!$I$92,M819=phu!$I$93),"Cam Bình",""),IF(OR(M819=phu!$I$94,M819=phu!$I$95,M819=phu!$I$96,M819=phu!$I$97,M819=phu!$I$98,M819=phu!$I$99,M819=phu!$I$100),"Huyện khác",""),IF(OR(M819=phu!$I$101,M819=phu!$I$102),"Tỉnh khác",""))</f>
        <v/>
      </c>
      <c r="O819" s="829" t="str">
        <f t="shared" si="72"/>
        <v/>
      </c>
      <c r="P819" s="254"/>
      <c r="Q819" s="254"/>
      <c r="R819" s="254"/>
      <c r="S819" s="254"/>
      <c r="T819" s="254"/>
      <c r="U819" s="254"/>
      <c r="V819" s="254"/>
      <c r="W819" s="254"/>
      <c r="Y819" s="246" t="str">
        <f t="shared" si="73"/>
        <v/>
      </c>
      <c r="Z819" s="247" t="str">
        <f t="shared" si="77"/>
        <v/>
      </c>
      <c r="AA819" s="246" t="str">
        <f t="shared" si="74"/>
        <v/>
      </c>
    </row>
    <row r="820" spans="1:27" x14ac:dyDescent="0.25">
      <c r="A820" s="248" t="str">
        <f t="shared" si="75"/>
        <v/>
      </c>
      <c r="B820" s="249" t="str">
        <f t="shared" si="76"/>
        <v/>
      </c>
      <c r="C820" s="250"/>
      <c r="D820" s="251"/>
      <c r="E820" s="241"/>
      <c r="F820" s="252"/>
      <c r="G820" s="252"/>
      <c r="H820" s="253"/>
      <c r="I820" s="250"/>
      <c r="J820" s="250"/>
      <c r="K820" s="270"/>
      <c r="L820" s="250"/>
      <c r="M820" s="250"/>
      <c r="N820" s="540" t="str">
        <f>CONCATENATE(IF(OR(M820=phu!$I$1,M820=phu!$I$2,M820=phu!$I$3),"Cam Thành Nam",""),IF(OR(M820=phu!$I$4,M820=phu!$I$5,M820=phu!$I$6,M820=phu!$I$7,M820=phu!$I$8,M820=phu!$I$9,M820=phu!$I$10,M820=phu!$I$11,M820=phu!$I$12,M820=phu!$I$13,M820=phu!$I$14),"Cam Nghĩa",""),IF(OR(M820=phu!$I$15,M820=phu!$I$16,M820=phu!$I$17,M820=phu!$I$18,M820=phu!$I$19,M820=phu!$I$20,M820=phu!$I$21),"Cam Phúc Bắc",""),IF(OR(M820=phu!$I$22,M820=phu!$I$23,M820=phu!$I$24,M820=phu!$I$25),"Cam Phúc Nam",""),IF(OR(M820=phu!$I$26,M820=phu!$I$27,M820=phu!$I$28,M820=phu!$I$29,M820=phu!$I$30,M820=phu!$I$31),"Cam Phú",""),IF(OR(M820=phu!$I$32,M820=phu!$I$33,M820=phu!$I$34,M820=phu!$I$35,M820=phu!$I$36,M820=phu!$I$37),"Cam Lộc",""),IF(OR(M820=phu!$I$38,M820=phu!$I$39,M820=phu!$I$40,M820=phu!$I$41,M820=phu!$I$42,M820=phu!$I$43,M820=phu!$I$44),"Cam Thuận",""),IF(OR(M820=phu!$I$45,M820=phu!$I$46,M820=phu!$I$47,M820=phu!$I$48,M820=phu!$I$49,M820=phu!$I$50,M820=phu!$I$51,M820=phu!$I$52,M820=phu!$I$53),"Cam Linh",""),IF(OR(M820=phu!$I$54,M820=phu!$I$55,M820=phu!$I$56,M820=phu!$I$57,M820=phu!$I$58,M820=phu!$I$59,M820=phu!$I$60,M820=phu!$I$61,M820=phu!$I$62),"Cam Lợi",""),IF(OR(M820=phu!$I$63,M820=phu!$I$64,M820=phu!$I$65,M820=phu!$I$66,M820=phu!$I$67,M820=phu!$I$68,M820=phu!$I$69,M820=phu!$I$70,M820=phu!$I$71),"Ba Ngòi",""),IF(OR(M820=phu!$I$72,M820=phu!$I$73,M820=phu!$I$74,M820=phu!$I$75,M820=phu!$I$76,M820=phu!$I$77,M820=phu!$I$78),"Cam Phước Đông",""),IF(OR(M820=phu!$I$79,M820=phu!$I$80,M820=phu!$I$81,M820=phu!$I$82,M820=phu!$I$83,M820=phu!$I$84),"Cam Thịnh Đông",""),IF(OR(M820=phu!$I$85,M820=phu!$I$86,M820=phu!$I$87,M820=phu!$I$88),"Cam Thịnh Tây",""),IF(OR(M820=phu!$I$89,M820=phu!$I$90),"Cam Lập",""),IF(OR(M820=phu!$I$91,M820=phu!$I$92,M820=phu!$I$93),"Cam Bình",""),IF(OR(M820=phu!$I$94,M820=phu!$I$95,M820=phu!$I$96,M820=phu!$I$97,M820=phu!$I$98,M820=phu!$I$99,M820=phu!$I$100),"Huyện khác",""),IF(OR(M820=phu!$I$101,M820=phu!$I$102),"Tỉnh khác",""))</f>
        <v/>
      </c>
      <c r="O820" s="829" t="str">
        <f t="shared" si="72"/>
        <v/>
      </c>
      <c r="P820" s="254"/>
      <c r="Q820" s="254"/>
      <c r="R820" s="254"/>
      <c r="S820" s="254"/>
      <c r="T820" s="254"/>
      <c r="U820" s="254"/>
      <c r="V820" s="254"/>
      <c r="W820" s="254"/>
      <c r="Y820" s="246" t="str">
        <f t="shared" si="73"/>
        <v/>
      </c>
      <c r="Z820" s="247" t="str">
        <f t="shared" si="77"/>
        <v/>
      </c>
      <c r="AA820" s="246" t="str">
        <f t="shared" si="74"/>
        <v/>
      </c>
    </row>
    <row r="821" spans="1:27" x14ac:dyDescent="0.25">
      <c r="A821" s="248" t="str">
        <f t="shared" si="75"/>
        <v/>
      </c>
      <c r="B821" s="249" t="str">
        <f t="shared" si="76"/>
        <v/>
      </c>
      <c r="C821" s="250"/>
      <c r="D821" s="251"/>
      <c r="E821" s="241"/>
      <c r="F821" s="252"/>
      <c r="G821" s="252"/>
      <c r="H821" s="253"/>
      <c r="I821" s="250"/>
      <c r="J821" s="250"/>
      <c r="K821" s="270"/>
      <c r="L821" s="250"/>
      <c r="M821" s="250"/>
      <c r="N821" s="540" t="str">
        <f>CONCATENATE(IF(OR(M821=phu!$I$1,M821=phu!$I$2,M821=phu!$I$3),"Cam Thành Nam",""),IF(OR(M821=phu!$I$4,M821=phu!$I$5,M821=phu!$I$6,M821=phu!$I$7,M821=phu!$I$8,M821=phu!$I$9,M821=phu!$I$10,M821=phu!$I$11,M821=phu!$I$12,M821=phu!$I$13,M821=phu!$I$14),"Cam Nghĩa",""),IF(OR(M821=phu!$I$15,M821=phu!$I$16,M821=phu!$I$17,M821=phu!$I$18,M821=phu!$I$19,M821=phu!$I$20,M821=phu!$I$21),"Cam Phúc Bắc",""),IF(OR(M821=phu!$I$22,M821=phu!$I$23,M821=phu!$I$24,M821=phu!$I$25),"Cam Phúc Nam",""),IF(OR(M821=phu!$I$26,M821=phu!$I$27,M821=phu!$I$28,M821=phu!$I$29,M821=phu!$I$30,M821=phu!$I$31),"Cam Phú",""),IF(OR(M821=phu!$I$32,M821=phu!$I$33,M821=phu!$I$34,M821=phu!$I$35,M821=phu!$I$36,M821=phu!$I$37),"Cam Lộc",""),IF(OR(M821=phu!$I$38,M821=phu!$I$39,M821=phu!$I$40,M821=phu!$I$41,M821=phu!$I$42,M821=phu!$I$43,M821=phu!$I$44),"Cam Thuận",""),IF(OR(M821=phu!$I$45,M821=phu!$I$46,M821=phu!$I$47,M821=phu!$I$48,M821=phu!$I$49,M821=phu!$I$50,M821=phu!$I$51,M821=phu!$I$52,M821=phu!$I$53),"Cam Linh",""),IF(OR(M821=phu!$I$54,M821=phu!$I$55,M821=phu!$I$56,M821=phu!$I$57,M821=phu!$I$58,M821=phu!$I$59,M821=phu!$I$60,M821=phu!$I$61,M821=phu!$I$62),"Cam Lợi",""),IF(OR(M821=phu!$I$63,M821=phu!$I$64,M821=phu!$I$65,M821=phu!$I$66,M821=phu!$I$67,M821=phu!$I$68,M821=phu!$I$69,M821=phu!$I$70,M821=phu!$I$71),"Ba Ngòi",""),IF(OR(M821=phu!$I$72,M821=phu!$I$73,M821=phu!$I$74,M821=phu!$I$75,M821=phu!$I$76,M821=phu!$I$77,M821=phu!$I$78),"Cam Phước Đông",""),IF(OR(M821=phu!$I$79,M821=phu!$I$80,M821=phu!$I$81,M821=phu!$I$82,M821=phu!$I$83,M821=phu!$I$84),"Cam Thịnh Đông",""),IF(OR(M821=phu!$I$85,M821=phu!$I$86,M821=phu!$I$87,M821=phu!$I$88),"Cam Thịnh Tây",""),IF(OR(M821=phu!$I$89,M821=phu!$I$90),"Cam Lập",""),IF(OR(M821=phu!$I$91,M821=phu!$I$92,M821=phu!$I$93),"Cam Bình",""),IF(OR(M821=phu!$I$94,M821=phu!$I$95,M821=phu!$I$96,M821=phu!$I$97,M821=phu!$I$98,M821=phu!$I$99,M821=phu!$I$100),"Huyện khác",""),IF(OR(M821=phu!$I$101,M821=phu!$I$102),"Tỉnh khác",""))</f>
        <v/>
      </c>
      <c r="O821" s="829" t="str">
        <f t="shared" si="72"/>
        <v/>
      </c>
      <c r="P821" s="254"/>
      <c r="Q821" s="254"/>
      <c r="R821" s="254"/>
      <c r="S821" s="254"/>
      <c r="T821" s="254"/>
      <c r="U821" s="254"/>
      <c r="V821" s="254"/>
      <c r="W821" s="254"/>
      <c r="Y821" s="246" t="str">
        <f t="shared" si="73"/>
        <v/>
      </c>
      <c r="Z821" s="247" t="str">
        <f t="shared" si="77"/>
        <v/>
      </c>
      <c r="AA821" s="246" t="str">
        <f t="shared" si="74"/>
        <v/>
      </c>
    </row>
    <row r="822" spans="1:27" x14ac:dyDescent="0.25">
      <c r="A822" s="248" t="str">
        <f t="shared" si="75"/>
        <v/>
      </c>
      <c r="B822" s="249" t="str">
        <f t="shared" si="76"/>
        <v/>
      </c>
      <c r="C822" s="250"/>
      <c r="D822" s="251"/>
      <c r="E822" s="241"/>
      <c r="F822" s="252"/>
      <c r="G822" s="252"/>
      <c r="H822" s="253"/>
      <c r="I822" s="250"/>
      <c r="J822" s="250"/>
      <c r="K822" s="270"/>
      <c r="L822" s="250"/>
      <c r="M822" s="250"/>
      <c r="N822" s="540" t="str">
        <f>CONCATENATE(IF(OR(M822=phu!$I$1,M822=phu!$I$2,M822=phu!$I$3),"Cam Thành Nam",""),IF(OR(M822=phu!$I$4,M822=phu!$I$5,M822=phu!$I$6,M822=phu!$I$7,M822=phu!$I$8,M822=phu!$I$9,M822=phu!$I$10,M822=phu!$I$11,M822=phu!$I$12,M822=phu!$I$13,M822=phu!$I$14),"Cam Nghĩa",""),IF(OR(M822=phu!$I$15,M822=phu!$I$16,M822=phu!$I$17,M822=phu!$I$18,M822=phu!$I$19,M822=phu!$I$20,M822=phu!$I$21),"Cam Phúc Bắc",""),IF(OR(M822=phu!$I$22,M822=phu!$I$23,M822=phu!$I$24,M822=phu!$I$25),"Cam Phúc Nam",""),IF(OR(M822=phu!$I$26,M822=phu!$I$27,M822=phu!$I$28,M822=phu!$I$29,M822=phu!$I$30,M822=phu!$I$31),"Cam Phú",""),IF(OR(M822=phu!$I$32,M822=phu!$I$33,M822=phu!$I$34,M822=phu!$I$35,M822=phu!$I$36,M822=phu!$I$37),"Cam Lộc",""),IF(OR(M822=phu!$I$38,M822=phu!$I$39,M822=phu!$I$40,M822=phu!$I$41,M822=phu!$I$42,M822=phu!$I$43,M822=phu!$I$44),"Cam Thuận",""),IF(OR(M822=phu!$I$45,M822=phu!$I$46,M822=phu!$I$47,M822=phu!$I$48,M822=phu!$I$49,M822=phu!$I$50,M822=phu!$I$51,M822=phu!$I$52,M822=phu!$I$53),"Cam Linh",""),IF(OR(M822=phu!$I$54,M822=phu!$I$55,M822=phu!$I$56,M822=phu!$I$57,M822=phu!$I$58,M822=phu!$I$59,M822=phu!$I$60,M822=phu!$I$61,M822=phu!$I$62),"Cam Lợi",""),IF(OR(M822=phu!$I$63,M822=phu!$I$64,M822=phu!$I$65,M822=phu!$I$66,M822=phu!$I$67,M822=phu!$I$68,M822=phu!$I$69,M822=phu!$I$70,M822=phu!$I$71),"Ba Ngòi",""),IF(OR(M822=phu!$I$72,M822=phu!$I$73,M822=phu!$I$74,M822=phu!$I$75,M822=phu!$I$76,M822=phu!$I$77,M822=phu!$I$78),"Cam Phước Đông",""),IF(OR(M822=phu!$I$79,M822=phu!$I$80,M822=phu!$I$81,M822=phu!$I$82,M822=phu!$I$83,M822=phu!$I$84),"Cam Thịnh Đông",""),IF(OR(M822=phu!$I$85,M822=phu!$I$86,M822=phu!$I$87,M822=phu!$I$88),"Cam Thịnh Tây",""),IF(OR(M822=phu!$I$89,M822=phu!$I$90),"Cam Lập",""),IF(OR(M822=phu!$I$91,M822=phu!$I$92,M822=phu!$I$93),"Cam Bình",""),IF(OR(M822=phu!$I$94,M822=phu!$I$95,M822=phu!$I$96,M822=phu!$I$97,M822=phu!$I$98,M822=phu!$I$99,M822=phu!$I$100),"Huyện khác",""),IF(OR(M822=phu!$I$101,M822=phu!$I$102),"Tỉnh khác",""))</f>
        <v/>
      </c>
      <c r="O822" s="829" t="str">
        <f t="shared" si="72"/>
        <v/>
      </c>
      <c r="P822" s="254"/>
      <c r="Q822" s="254"/>
      <c r="R822" s="254"/>
      <c r="S822" s="254"/>
      <c r="T822" s="254"/>
      <c r="U822" s="254"/>
      <c r="V822" s="254"/>
      <c r="W822" s="254"/>
      <c r="Y822" s="246" t="str">
        <f t="shared" si="73"/>
        <v/>
      </c>
      <c r="Z822" s="247" t="str">
        <f t="shared" si="77"/>
        <v/>
      </c>
      <c r="AA822" s="246" t="str">
        <f t="shared" si="74"/>
        <v/>
      </c>
    </row>
    <row r="823" spans="1:27" x14ac:dyDescent="0.25">
      <c r="A823" s="248" t="str">
        <f t="shared" si="75"/>
        <v/>
      </c>
      <c r="B823" s="249" t="str">
        <f t="shared" si="76"/>
        <v/>
      </c>
      <c r="C823" s="250"/>
      <c r="D823" s="251"/>
      <c r="E823" s="241"/>
      <c r="F823" s="252"/>
      <c r="G823" s="252"/>
      <c r="H823" s="253"/>
      <c r="I823" s="250"/>
      <c r="J823" s="250"/>
      <c r="K823" s="270"/>
      <c r="L823" s="250"/>
      <c r="M823" s="250"/>
      <c r="N823" s="540" t="str">
        <f>CONCATENATE(IF(OR(M823=phu!$I$1,M823=phu!$I$2,M823=phu!$I$3),"Cam Thành Nam",""),IF(OR(M823=phu!$I$4,M823=phu!$I$5,M823=phu!$I$6,M823=phu!$I$7,M823=phu!$I$8,M823=phu!$I$9,M823=phu!$I$10,M823=phu!$I$11,M823=phu!$I$12,M823=phu!$I$13,M823=phu!$I$14),"Cam Nghĩa",""),IF(OR(M823=phu!$I$15,M823=phu!$I$16,M823=phu!$I$17,M823=phu!$I$18,M823=phu!$I$19,M823=phu!$I$20,M823=phu!$I$21),"Cam Phúc Bắc",""),IF(OR(M823=phu!$I$22,M823=phu!$I$23,M823=phu!$I$24,M823=phu!$I$25),"Cam Phúc Nam",""),IF(OR(M823=phu!$I$26,M823=phu!$I$27,M823=phu!$I$28,M823=phu!$I$29,M823=phu!$I$30,M823=phu!$I$31),"Cam Phú",""),IF(OR(M823=phu!$I$32,M823=phu!$I$33,M823=phu!$I$34,M823=phu!$I$35,M823=phu!$I$36,M823=phu!$I$37),"Cam Lộc",""),IF(OR(M823=phu!$I$38,M823=phu!$I$39,M823=phu!$I$40,M823=phu!$I$41,M823=phu!$I$42,M823=phu!$I$43,M823=phu!$I$44),"Cam Thuận",""),IF(OR(M823=phu!$I$45,M823=phu!$I$46,M823=phu!$I$47,M823=phu!$I$48,M823=phu!$I$49,M823=phu!$I$50,M823=phu!$I$51,M823=phu!$I$52,M823=phu!$I$53),"Cam Linh",""),IF(OR(M823=phu!$I$54,M823=phu!$I$55,M823=phu!$I$56,M823=phu!$I$57,M823=phu!$I$58,M823=phu!$I$59,M823=phu!$I$60,M823=phu!$I$61,M823=phu!$I$62),"Cam Lợi",""),IF(OR(M823=phu!$I$63,M823=phu!$I$64,M823=phu!$I$65,M823=phu!$I$66,M823=phu!$I$67,M823=phu!$I$68,M823=phu!$I$69,M823=phu!$I$70,M823=phu!$I$71),"Ba Ngòi",""),IF(OR(M823=phu!$I$72,M823=phu!$I$73,M823=phu!$I$74,M823=phu!$I$75,M823=phu!$I$76,M823=phu!$I$77,M823=phu!$I$78),"Cam Phước Đông",""),IF(OR(M823=phu!$I$79,M823=phu!$I$80,M823=phu!$I$81,M823=phu!$I$82,M823=phu!$I$83,M823=phu!$I$84),"Cam Thịnh Đông",""),IF(OR(M823=phu!$I$85,M823=phu!$I$86,M823=phu!$I$87,M823=phu!$I$88),"Cam Thịnh Tây",""),IF(OR(M823=phu!$I$89,M823=phu!$I$90),"Cam Lập",""),IF(OR(M823=phu!$I$91,M823=phu!$I$92,M823=phu!$I$93),"Cam Bình",""),IF(OR(M823=phu!$I$94,M823=phu!$I$95,M823=phu!$I$96,M823=phu!$I$97,M823=phu!$I$98,M823=phu!$I$99,M823=phu!$I$100),"Huyện khác",""),IF(OR(M823=phu!$I$101,M823=phu!$I$102),"Tỉnh khác",""))</f>
        <v/>
      </c>
      <c r="O823" s="829" t="str">
        <f t="shared" si="72"/>
        <v/>
      </c>
      <c r="P823" s="254"/>
      <c r="Q823" s="254"/>
      <c r="R823" s="254"/>
      <c r="S823" s="254"/>
      <c r="T823" s="254"/>
      <c r="U823" s="254"/>
      <c r="V823" s="254"/>
      <c r="W823" s="254"/>
      <c r="Y823" s="246" t="str">
        <f t="shared" si="73"/>
        <v/>
      </c>
      <c r="Z823" s="247" t="str">
        <f t="shared" si="77"/>
        <v/>
      </c>
      <c r="AA823" s="246" t="str">
        <f t="shared" si="74"/>
        <v/>
      </c>
    </row>
    <row r="824" spans="1:27" x14ac:dyDescent="0.25">
      <c r="A824" s="248" t="str">
        <f t="shared" si="75"/>
        <v/>
      </c>
      <c r="B824" s="249" t="str">
        <f t="shared" si="76"/>
        <v/>
      </c>
      <c r="C824" s="250"/>
      <c r="D824" s="251"/>
      <c r="E824" s="241"/>
      <c r="F824" s="252"/>
      <c r="G824" s="252"/>
      <c r="H824" s="253"/>
      <c r="I824" s="250"/>
      <c r="J824" s="250"/>
      <c r="K824" s="270"/>
      <c r="L824" s="250"/>
      <c r="M824" s="250"/>
      <c r="N824" s="540" t="str">
        <f>CONCATENATE(IF(OR(M824=phu!$I$1,M824=phu!$I$2,M824=phu!$I$3),"Cam Thành Nam",""),IF(OR(M824=phu!$I$4,M824=phu!$I$5,M824=phu!$I$6,M824=phu!$I$7,M824=phu!$I$8,M824=phu!$I$9,M824=phu!$I$10,M824=phu!$I$11,M824=phu!$I$12,M824=phu!$I$13,M824=phu!$I$14),"Cam Nghĩa",""),IF(OR(M824=phu!$I$15,M824=phu!$I$16,M824=phu!$I$17,M824=phu!$I$18,M824=phu!$I$19,M824=phu!$I$20,M824=phu!$I$21),"Cam Phúc Bắc",""),IF(OR(M824=phu!$I$22,M824=phu!$I$23,M824=phu!$I$24,M824=phu!$I$25),"Cam Phúc Nam",""),IF(OR(M824=phu!$I$26,M824=phu!$I$27,M824=phu!$I$28,M824=phu!$I$29,M824=phu!$I$30,M824=phu!$I$31),"Cam Phú",""),IF(OR(M824=phu!$I$32,M824=phu!$I$33,M824=phu!$I$34,M824=phu!$I$35,M824=phu!$I$36,M824=phu!$I$37),"Cam Lộc",""),IF(OR(M824=phu!$I$38,M824=phu!$I$39,M824=phu!$I$40,M824=phu!$I$41,M824=phu!$I$42,M824=phu!$I$43,M824=phu!$I$44),"Cam Thuận",""),IF(OR(M824=phu!$I$45,M824=phu!$I$46,M824=phu!$I$47,M824=phu!$I$48,M824=phu!$I$49,M824=phu!$I$50,M824=phu!$I$51,M824=phu!$I$52,M824=phu!$I$53),"Cam Linh",""),IF(OR(M824=phu!$I$54,M824=phu!$I$55,M824=phu!$I$56,M824=phu!$I$57,M824=phu!$I$58,M824=phu!$I$59,M824=phu!$I$60,M824=phu!$I$61,M824=phu!$I$62),"Cam Lợi",""),IF(OR(M824=phu!$I$63,M824=phu!$I$64,M824=phu!$I$65,M824=phu!$I$66,M824=phu!$I$67,M824=phu!$I$68,M824=phu!$I$69,M824=phu!$I$70,M824=phu!$I$71),"Ba Ngòi",""),IF(OR(M824=phu!$I$72,M824=phu!$I$73,M824=phu!$I$74,M824=phu!$I$75,M824=phu!$I$76,M824=phu!$I$77,M824=phu!$I$78),"Cam Phước Đông",""),IF(OR(M824=phu!$I$79,M824=phu!$I$80,M824=phu!$I$81,M824=phu!$I$82,M824=phu!$I$83,M824=phu!$I$84),"Cam Thịnh Đông",""),IF(OR(M824=phu!$I$85,M824=phu!$I$86,M824=phu!$I$87,M824=phu!$I$88),"Cam Thịnh Tây",""),IF(OR(M824=phu!$I$89,M824=phu!$I$90),"Cam Lập",""),IF(OR(M824=phu!$I$91,M824=phu!$I$92,M824=phu!$I$93),"Cam Bình",""),IF(OR(M824=phu!$I$94,M824=phu!$I$95,M824=phu!$I$96,M824=phu!$I$97,M824=phu!$I$98,M824=phu!$I$99,M824=phu!$I$100),"Huyện khác",""),IF(OR(M824=phu!$I$101,M824=phu!$I$102),"Tỉnh khác",""))</f>
        <v/>
      </c>
      <c r="O824" s="829" t="str">
        <f t="shared" si="72"/>
        <v/>
      </c>
      <c r="P824" s="254"/>
      <c r="Q824" s="254"/>
      <c r="R824" s="254"/>
      <c r="S824" s="254"/>
      <c r="T824" s="254"/>
      <c r="U824" s="254"/>
      <c r="V824" s="254"/>
      <c r="W824" s="254"/>
      <c r="Y824" s="246" t="str">
        <f t="shared" si="73"/>
        <v/>
      </c>
      <c r="Z824" s="247" t="str">
        <f t="shared" si="77"/>
        <v/>
      </c>
      <c r="AA824" s="246" t="str">
        <f t="shared" si="74"/>
        <v/>
      </c>
    </row>
    <row r="825" spans="1:27" x14ac:dyDescent="0.25">
      <c r="A825" s="248" t="str">
        <f t="shared" si="75"/>
        <v/>
      </c>
      <c r="B825" s="249" t="str">
        <f t="shared" si="76"/>
        <v/>
      </c>
      <c r="C825" s="250"/>
      <c r="D825" s="251"/>
      <c r="E825" s="241"/>
      <c r="F825" s="252"/>
      <c r="G825" s="252"/>
      <c r="H825" s="253"/>
      <c r="I825" s="250"/>
      <c r="J825" s="250"/>
      <c r="K825" s="270"/>
      <c r="L825" s="250"/>
      <c r="M825" s="250"/>
      <c r="N825" s="540" t="str">
        <f>CONCATENATE(IF(OR(M825=phu!$I$1,M825=phu!$I$2,M825=phu!$I$3),"Cam Thành Nam",""),IF(OR(M825=phu!$I$4,M825=phu!$I$5,M825=phu!$I$6,M825=phu!$I$7,M825=phu!$I$8,M825=phu!$I$9,M825=phu!$I$10,M825=phu!$I$11,M825=phu!$I$12,M825=phu!$I$13,M825=phu!$I$14),"Cam Nghĩa",""),IF(OR(M825=phu!$I$15,M825=phu!$I$16,M825=phu!$I$17,M825=phu!$I$18,M825=phu!$I$19,M825=phu!$I$20,M825=phu!$I$21),"Cam Phúc Bắc",""),IF(OR(M825=phu!$I$22,M825=phu!$I$23,M825=phu!$I$24,M825=phu!$I$25),"Cam Phúc Nam",""),IF(OR(M825=phu!$I$26,M825=phu!$I$27,M825=phu!$I$28,M825=phu!$I$29,M825=phu!$I$30,M825=phu!$I$31),"Cam Phú",""),IF(OR(M825=phu!$I$32,M825=phu!$I$33,M825=phu!$I$34,M825=phu!$I$35,M825=phu!$I$36,M825=phu!$I$37),"Cam Lộc",""),IF(OR(M825=phu!$I$38,M825=phu!$I$39,M825=phu!$I$40,M825=phu!$I$41,M825=phu!$I$42,M825=phu!$I$43,M825=phu!$I$44),"Cam Thuận",""),IF(OR(M825=phu!$I$45,M825=phu!$I$46,M825=phu!$I$47,M825=phu!$I$48,M825=phu!$I$49,M825=phu!$I$50,M825=phu!$I$51,M825=phu!$I$52,M825=phu!$I$53),"Cam Linh",""),IF(OR(M825=phu!$I$54,M825=phu!$I$55,M825=phu!$I$56,M825=phu!$I$57,M825=phu!$I$58,M825=phu!$I$59,M825=phu!$I$60,M825=phu!$I$61,M825=phu!$I$62),"Cam Lợi",""),IF(OR(M825=phu!$I$63,M825=phu!$I$64,M825=phu!$I$65,M825=phu!$I$66,M825=phu!$I$67,M825=phu!$I$68,M825=phu!$I$69,M825=phu!$I$70,M825=phu!$I$71),"Ba Ngòi",""),IF(OR(M825=phu!$I$72,M825=phu!$I$73,M825=phu!$I$74,M825=phu!$I$75,M825=phu!$I$76,M825=phu!$I$77,M825=phu!$I$78),"Cam Phước Đông",""),IF(OR(M825=phu!$I$79,M825=phu!$I$80,M825=phu!$I$81,M825=phu!$I$82,M825=phu!$I$83,M825=phu!$I$84),"Cam Thịnh Đông",""),IF(OR(M825=phu!$I$85,M825=phu!$I$86,M825=phu!$I$87,M825=phu!$I$88),"Cam Thịnh Tây",""),IF(OR(M825=phu!$I$89,M825=phu!$I$90),"Cam Lập",""),IF(OR(M825=phu!$I$91,M825=phu!$I$92,M825=phu!$I$93),"Cam Bình",""),IF(OR(M825=phu!$I$94,M825=phu!$I$95,M825=phu!$I$96,M825=phu!$I$97,M825=phu!$I$98,M825=phu!$I$99,M825=phu!$I$100),"Huyện khác",""),IF(OR(M825=phu!$I$101,M825=phu!$I$102),"Tỉnh khác",""))</f>
        <v/>
      </c>
      <c r="O825" s="829" t="str">
        <f t="shared" si="72"/>
        <v/>
      </c>
      <c r="P825" s="254"/>
      <c r="Q825" s="254"/>
      <c r="R825" s="254"/>
      <c r="S825" s="254"/>
      <c r="T825" s="254"/>
      <c r="U825" s="254"/>
      <c r="V825" s="254"/>
      <c r="W825" s="254"/>
      <c r="Y825" s="246" t="str">
        <f t="shared" si="73"/>
        <v/>
      </c>
      <c r="Z825" s="247" t="str">
        <f t="shared" si="77"/>
        <v/>
      </c>
      <c r="AA825" s="246" t="str">
        <f t="shared" si="74"/>
        <v/>
      </c>
    </row>
    <row r="826" spans="1:27" x14ac:dyDescent="0.25">
      <c r="A826" s="248" t="str">
        <f t="shared" si="75"/>
        <v/>
      </c>
      <c r="B826" s="249" t="str">
        <f t="shared" si="76"/>
        <v/>
      </c>
      <c r="C826" s="250"/>
      <c r="D826" s="251"/>
      <c r="E826" s="241"/>
      <c r="F826" s="252"/>
      <c r="G826" s="252"/>
      <c r="H826" s="253"/>
      <c r="I826" s="250"/>
      <c r="J826" s="250"/>
      <c r="K826" s="270"/>
      <c r="L826" s="250"/>
      <c r="M826" s="250"/>
      <c r="N826" s="540" t="str">
        <f>CONCATENATE(IF(OR(M826=phu!$I$1,M826=phu!$I$2,M826=phu!$I$3),"Cam Thành Nam",""),IF(OR(M826=phu!$I$4,M826=phu!$I$5,M826=phu!$I$6,M826=phu!$I$7,M826=phu!$I$8,M826=phu!$I$9,M826=phu!$I$10,M826=phu!$I$11,M826=phu!$I$12,M826=phu!$I$13,M826=phu!$I$14),"Cam Nghĩa",""),IF(OR(M826=phu!$I$15,M826=phu!$I$16,M826=phu!$I$17,M826=phu!$I$18,M826=phu!$I$19,M826=phu!$I$20,M826=phu!$I$21),"Cam Phúc Bắc",""),IF(OR(M826=phu!$I$22,M826=phu!$I$23,M826=phu!$I$24,M826=phu!$I$25),"Cam Phúc Nam",""),IF(OR(M826=phu!$I$26,M826=phu!$I$27,M826=phu!$I$28,M826=phu!$I$29,M826=phu!$I$30,M826=phu!$I$31),"Cam Phú",""),IF(OR(M826=phu!$I$32,M826=phu!$I$33,M826=phu!$I$34,M826=phu!$I$35,M826=phu!$I$36,M826=phu!$I$37),"Cam Lộc",""),IF(OR(M826=phu!$I$38,M826=phu!$I$39,M826=phu!$I$40,M826=phu!$I$41,M826=phu!$I$42,M826=phu!$I$43,M826=phu!$I$44),"Cam Thuận",""),IF(OR(M826=phu!$I$45,M826=phu!$I$46,M826=phu!$I$47,M826=phu!$I$48,M826=phu!$I$49,M826=phu!$I$50,M826=phu!$I$51,M826=phu!$I$52,M826=phu!$I$53),"Cam Linh",""),IF(OR(M826=phu!$I$54,M826=phu!$I$55,M826=phu!$I$56,M826=phu!$I$57,M826=phu!$I$58,M826=phu!$I$59,M826=phu!$I$60,M826=phu!$I$61,M826=phu!$I$62),"Cam Lợi",""),IF(OR(M826=phu!$I$63,M826=phu!$I$64,M826=phu!$I$65,M826=phu!$I$66,M826=phu!$I$67,M826=phu!$I$68,M826=phu!$I$69,M826=phu!$I$70,M826=phu!$I$71),"Ba Ngòi",""),IF(OR(M826=phu!$I$72,M826=phu!$I$73,M826=phu!$I$74,M826=phu!$I$75,M826=phu!$I$76,M826=phu!$I$77,M826=phu!$I$78),"Cam Phước Đông",""),IF(OR(M826=phu!$I$79,M826=phu!$I$80,M826=phu!$I$81,M826=phu!$I$82,M826=phu!$I$83,M826=phu!$I$84),"Cam Thịnh Đông",""),IF(OR(M826=phu!$I$85,M826=phu!$I$86,M826=phu!$I$87,M826=phu!$I$88),"Cam Thịnh Tây",""),IF(OR(M826=phu!$I$89,M826=phu!$I$90),"Cam Lập",""),IF(OR(M826=phu!$I$91,M826=phu!$I$92,M826=phu!$I$93),"Cam Bình",""),IF(OR(M826=phu!$I$94,M826=phu!$I$95,M826=phu!$I$96,M826=phu!$I$97,M826=phu!$I$98,M826=phu!$I$99,M826=phu!$I$100),"Huyện khác",""),IF(OR(M826=phu!$I$101,M826=phu!$I$102),"Tỉnh khác",""))</f>
        <v/>
      </c>
      <c r="O826" s="829" t="str">
        <f t="shared" si="72"/>
        <v/>
      </c>
      <c r="P826" s="254"/>
      <c r="Q826" s="254"/>
      <c r="R826" s="254"/>
      <c r="S826" s="254"/>
      <c r="T826" s="254"/>
      <c r="U826" s="254"/>
      <c r="V826" s="254"/>
      <c r="W826" s="254"/>
      <c r="Y826" s="246" t="str">
        <f t="shared" si="73"/>
        <v/>
      </c>
      <c r="Z826" s="247" t="str">
        <f t="shared" si="77"/>
        <v/>
      </c>
      <c r="AA826" s="246" t="str">
        <f t="shared" si="74"/>
        <v/>
      </c>
    </row>
    <row r="827" spans="1:27" x14ac:dyDescent="0.25">
      <c r="A827" s="248" t="str">
        <f t="shared" si="75"/>
        <v/>
      </c>
      <c r="B827" s="249" t="str">
        <f t="shared" si="76"/>
        <v/>
      </c>
      <c r="C827" s="250"/>
      <c r="D827" s="251"/>
      <c r="E827" s="241"/>
      <c r="F827" s="252"/>
      <c r="G827" s="252"/>
      <c r="H827" s="253"/>
      <c r="I827" s="250"/>
      <c r="J827" s="250"/>
      <c r="K827" s="270"/>
      <c r="L827" s="250"/>
      <c r="M827" s="250"/>
      <c r="N827" s="540" t="str">
        <f>CONCATENATE(IF(OR(M827=phu!$I$1,M827=phu!$I$2,M827=phu!$I$3),"Cam Thành Nam",""),IF(OR(M827=phu!$I$4,M827=phu!$I$5,M827=phu!$I$6,M827=phu!$I$7,M827=phu!$I$8,M827=phu!$I$9,M827=phu!$I$10,M827=phu!$I$11,M827=phu!$I$12,M827=phu!$I$13,M827=phu!$I$14),"Cam Nghĩa",""),IF(OR(M827=phu!$I$15,M827=phu!$I$16,M827=phu!$I$17,M827=phu!$I$18,M827=phu!$I$19,M827=phu!$I$20,M827=phu!$I$21),"Cam Phúc Bắc",""),IF(OR(M827=phu!$I$22,M827=phu!$I$23,M827=phu!$I$24,M827=phu!$I$25),"Cam Phúc Nam",""),IF(OR(M827=phu!$I$26,M827=phu!$I$27,M827=phu!$I$28,M827=phu!$I$29,M827=phu!$I$30,M827=phu!$I$31),"Cam Phú",""),IF(OR(M827=phu!$I$32,M827=phu!$I$33,M827=phu!$I$34,M827=phu!$I$35,M827=phu!$I$36,M827=phu!$I$37),"Cam Lộc",""),IF(OR(M827=phu!$I$38,M827=phu!$I$39,M827=phu!$I$40,M827=phu!$I$41,M827=phu!$I$42,M827=phu!$I$43,M827=phu!$I$44),"Cam Thuận",""),IF(OR(M827=phu!$I$45,M827=phu!$I$46,M827=phu!$I$47,M827=phu!$I$48,M827=phu!$I$49,M827=phu!$I$50,M827=phu!$I$51,M827=phu!$I$52,M827=phu!$I$53),"Cam Linh",""),IF(OR(M827=phu!$I$54,M827=phu!$I$55,M827=phu!$I$56,M827=phu!$I$57,M827=phu!$I$58,M827=phu!$I$59,M827=phu!$I$60,M827=phu!$I$61,M827=phu!$I$62),"Cam Lợi",""),IF(OR(M827=phu!$I$63,M827=phu!$I$64,M827=phu!$I$65,M827=phu!$I$66,M827=phu!$I$67,M827=phu!$I$68,M827=phu!$I$69,M827=phu!$I$70,M827=phu!$I$71),"Ba Ngòi",""),IF(OR(M827=phu!$I$72,M827=phu!$I$73,M827=phu!$I$74,M827=phu!$I$75,M827=phu!$I$76,M827=phu!$I$77,M827=phu!$I$78),"Cam Phước Đông",""),IF(OR(M827=phu!$I$79,M827=phu!$I$80,M827=phu!$I$81,M827=phu!$I$82,M827=phu!$I$83,M827=phu!$I$84),"Cam Thịnh Đông",""),IF(OR(M827=phu!$I$85,M827=phu!$I$86,M827=phu!$I$87,M827=phu!$I$88),"Cam Thịnh Tây",""),IF(OR(M827=phu!$I$89,M827=phu!$I$90),"Cam Lập",""),IF(OR(M827=phu!$I$91,M827=phu!$I$92,M827=phu!$I$93),"Cam Bình",""),IF(OR(M827=phu!$I$94,M827=phu!$I$95,M827=phu!$I$96,M827=phu!$I$97,M827=phu!$I$98,M827=phu!$I$99,M827=phu!$I$100),"Huyện khác",""),IF(OR(M827=phu!$I$101,M827=phu!$I$102),"Tỉnh khác",""))</f>
        <v/>
      </c>
      <c r="O827" s="829" t="str">
        <f t="shared" si="72"/>
        <v/>
      </c>
      <c r="P827" s="254"/>
      <c r="Q827" s="254"/>
      <c r="R827" s="254"/>
      <c r="S827" s="254"/>
      <c r="T827" s="254"/>
      <c r="U827" s="254"/>
      <c r="V827" s="254"/>
      <c r="W827" s="254"/>
      <c r="Y827" s="246" t="str">
        <f t="shared" si="73"/>
        <v/>
      </c>
      <c r="Z827" s="247" t="str">
        <f t="shared" si="77"/>
        <v/>
      </c>
      <c r="AA827" s="246" t="str">
        <f t="shared" si="74"/>
        <v/>
      </c>
    </row>
    <row r="828" spans="1:27" x14ac:dyDescent="0.25">
      <c r="A828" s="248" t="str">
        <f t="shared" si="75"/>
        <v/>
      </c>
      <c r="B828" s="249" t="str">
        <f t="shared" si="76"/>
        <v/>
      </c>
      <c r="C828" s="250"/>
      <c r="D828" s="251"/>
      <c r="E828" s="241"/>
      <c r="F828" s="252"/>
      <c r="G828" s="252"/>
      <c r="H828" s="253"/>
      <c r="I828" s="250"/>
      <c r="J828" s="250"/>
      <c r="K828" s="270"/>
      <c r="L828" s="250"/>
      <c r="M828" s="250"/>
      <c r="N828" s="540" t="str">
        <f>CONCATENATE(IF(OR(M828=phu!$I$1,M828=phu!$I$2,M828=phu!$I$3),"Cam Thành Nam",""),IF(OR(M828=phu!$I$4,M828=phu!$I$5,M828=phu!$I$6,M828=phu!$I$7,M828=phu!$I$8,M828=phu!$I$9,M828=phu!$I$10,M828=phu!$I$11,M828=phu!$I$12,M828=phu!$I$13,M828=phu!$I$14),"Cam Nghĩa",""),IF(OR(M828=phu!$I$15,M828=phu!$I$16,M828=phu!$I$17,M828=phu!$I$18,M828=phu!$I$19,M828=phu!$I$20,M828=phu!$I$21),"Cam Phúc Bắc",""),IF(OR(M828=phu!$I$22,M828=phu!$I$23,M828=phu!$I$24,M828=phu!$I$25),"Cam Phúc Nam",""),IF(OR(M828=phu!$I$26,M828=phu!$I$27,M828=phu!$I$28,M828=phu!$I$29,M828=phu!$I$30,M828=phu!$I$31),"Cam Phú",""),IF(OR(M828=phu!$I$32,M828=phu!$I$33,M828=phu!$I$34,M828=phu!$I$35,M828=phu!$I$36,M828=phu!$I$37),"Cam Lộc",""),IF(OR(M828=phu!$I$38,M828=phu!$I$39,M828=phu!$I$40,M828=phu!$I$41,M828=phu!$I$42,M828=phu!$I$43,M828=phu!$I$44),"Cam Thuận",""),IF(OR(M828=phu!$I$45,M828=phu!$I$46,M828=phu!$I$47,M828=phu!$I$48,M828=phu!$I$49,M828=phu!$I$50,M828=phu!$I$51,M828=phu!$I$52,M828=phu!$I$53),"Cam Linh",""),IF(OR(M828=phu!$I$54,M828=phu!$I$55,M828=phu!$I$56,M828=phu!$I$57,M828=phu!$I$58,M828=phu!$I$59,M828=phu!$I$60,M828=phu!$I$61,M828=phu!$I$62),"Cam Lợi",""),IF(OR(M828=phu!$I$63,M828=phu!$I$64,M828=phu!$I$65,M828=phu!$I$66,M828=phu!$I$67,M828=phu!$I$68,M828=phu!$I$69,M828=phu!$I$70,M828=phu!$I$71),"Ba Ngòi",""),IF(OR(M828=phu!$I$72,M828=phu!$I$73,M828=phu!$I$74,M828=phu!$I$75,M828=phu!$I$76,M828=phu!$I$77,M828=phu!$I$78),"Cam Phước Đông",""),IF(OR(M828=phu!$I$79,M828=phu!$I$80,M828=phu!$I$81,M828=phu!$I$82,M828=phu!$I$83,M828=phu!$I$84),"Cam Thịnh Đông",""),IF(OR(M828=phu!$I$85,M828=phu!$I$86,M828=phu!$I$87,M828=phu!$I$88),"Cam Thịnh Tây",""),IF(OR(M828=phu!$I$89,M828=phu!$I$90),"Cam Lập",""),IF(OR(M828=phu!$I$91,M828=phu!$I$92,M828=phu!$I$93),"Cam Bình",""),IF(OR(M828=phu!$I$94,M828=phu!$I$95,M828=phu!$I$96,M828=phu!$I$97,M828=phu!$I$98,M828=phu!$I$99,M828=phu!$I$100),"Huyện khác",""),IF(OR(M828=phu!$I$101,M828=phu!$I$102),"Tỉnh khác",""))</f>
        <v/>
      </c>
      <c r="O828" s="829" t="str">
        <f t="shared" si="72"/>
        <v/>
      </c>
      <c r="P828" s="254"/>
      <c r="Q828" s="254"/>
      <c r="R828" s="254"/>
      <c r="S828" s="254"/>
      <c r="T828" s="254"/>
      <c r="U828" s="254"/>
      <c r="V828" s="254"/>
      <c r="W828" s="254"/>
      <c r="Y828" s="246" t="str">
        <f t="shared" si="73"/>
        <v/>
      </c>
      <c r="Z828" s="247" t="str">
        <f t="shared" si="77"/>
        <v/>
      </c>
      <c r="AA828" s="246" t="str">
        <f t="shared" si="74"/>
        <v/>
      </c>
    </row>
    <row r="829" spans="1:27" x14ac:dyDescent="0.25">
      <c r="A829" s="248" t="str">
        <f t="shared" si="75"/>
        <v/>
      </c>
      <c r="B829" s="249" t="str">
        <f t="shared" si="76"/>
        <v/>
      </c>
      <c r="C829" s="250"/>
      <c r="D829" s="251"/>
      <c r="E829" s="241"/>
      <c r="F829" s="252"/>
      <c r="G829" s="252"/>
      <c r="H829" s="253"/>
      <c r="I829" s="250"/>
      <c r="J829" s="250"/>
      <c r="K829" s="270"/>
      <c r="L829" s="250"/>
      <c r="M829" s="250"/>
      <c r="N829" s="540" t="str">
        <f>CONCATENATE(IF(OR(M829=phu!$I$1,M829=phu!$I$2,M829=phu!$I$3),"Cam Thành Nam",""),IF(OR(M829=phu!$I$4,M829=phu!$I$5,M829=phu!$I$6,M829=phu!$I$7,M829=phu!$I$8,M829=phu!$I$9,M829=phu!$I$10,M829=phu!$I$11,M829=phu!$I$12,M829=phu!$I$13,M829=phu!$I$14),"Cam Nghĩa",""),IF(OR(M829=phu!$I$15,M829=phu!$I$16,M829=phu!$I$17,M829=phu!$I$18,M829=phu!$I$19,M829=phu!$I$20,M829=phu!$I$21),"Cam Phúc Bắc",""),IF(OR(M829=phu!$I$22,M829=phu!$I$23,M829=phu!$I$24,M829=phu!$I$25),"Cam Phúc Nam",""),IF(OR(M829=phu!$I$26,M829=phu!$I$27,M829=phu!$I$28,M829=phu!$I$29,M829=phu!$I$30,M829=phu!$I$31),"Cam Phú",""),IF(OR(M829=phu!$I$32,M829=phu!$I$33,M829=phu!$I$34,M829=phu!$I$35,M829=phu!$I$36,M829=phu!$I$37),"Cam Lộc",""),IF(OR(M829=phu!$I$38,M829=phu!$I$39,M829=phu!$I$40,M829=phu!$I$41,M829=phu!$I$42,M829=phu!$I$43,M829=phu!$I$44),"Cam Thuận",""),IF(OR(M829=phu!$I$45,M829=phu!$I$46,M829=phu!$I$47,M829=phu!$I$48,M829=phu!$I$49,M829=phu!$I$50,M829=phu!$I$51,M829=phu!$I$52,M829=phu!$I$53),"Cam Linh",""),IF(OR(M829=phu!$I$54,M829=phu!$I$55,M829=phu!$I$56,M829=phu!$I$57,M829=phu!$I$58,M829=phu!$I$59,M829=phu!$I$60,M829=phu!$I$61,M829=phu!$I$62),"Cam Lợi",""),IF(OR(M829=phu!$I$63,M829=phu!$I$64,M829=phu!$I$65,M829=phu!$I$66,M829=phu!$I$67,M829=phu!$I$68,M829=phu!$I$69,M829=phu!$I$70,M829=phu!$I$71),"Ba Ngòi",""),IF(OR(M829=phu!$I$72,M829=phu!$I$73,M829=phu!$I$74,M829=phu!$I$75,M829=phu!$I$76,M829=phu!$I$77,M829=phu!$I$78),"Cam Phước Đông",""),IF(OR(M829=phu!$I$79,M829=phu!$I$80,M829=phu!$I$81,M829=phu!$I$82,M829=phu!$I$83,M829=phu!$I$84),"Cam Thịnh Đông",""),IF(OR(M829=phu!$I$85,M829=phu!$I$86,M829=phu!$I$87,M829=phu!$I$88),"Cam Thịnh Tây",""),IF(OR(M829=phu!$I$89,M829=phu!$I$90),"Cam Lập",""),IF(OR(M829=phu!$I$91,M829=phu!$I$92,M829=phu!$I$93),"Cam Bình",""),IF(OR(M829=phu!$I$94,M829=phu!$I$95,M829=phu!$I$96,M829=phu!$I$97,M829=phu!$I$98,M829=phu!$I$99,M829=phu!$I$100),"Huyện khác",""),IF(OR(M829=phu!$I$101,M829=phu!$I$102),"Tỉnh khác",""))</f>
        <v/>
      </c>
      <c r="O829" s="829" t="str">
        <f t="shared" si="72"/>
        <v/>
      </c>
      <c r="P829" s="254"/>
      <c r="Q829" s="254"/>
      <c r="R829" s="254"/>
      <c r="S829" s="254"/>
      <c r="T829" s="254"/>
      <c r="U829" s="254"/>
      <c r="V829" s="254"/>
      <c r="W829" s="254"/>
      <c r="Y829" s="246" t="str">
        <f t="shared" si="73"/>
        <v/>
      </c>
      <c r="Z829" s="247" t="str">
        <f t="shared" si="77"/>
        <v/>
      </c>
      <c r="AA829" s="246" t="str">
        <f t="shared" si="74"/>
        <v/>
      </c>
    </row>
    <row r="830" spans="1:27" x14ac:dyDescent="0.25">
      <c r="A830" s="248" t="str">
        <f t="shared" si="75"/>
        <v/>
      </c>
      <c r="B830" s="249" t="str">
        <f t="shared" si="76"/>
        <v/>
      </c>
      <c r="C830" s="250"/>
      <c r="D830" s="251"/>
      <c r="E830" s="241"/>
      <c r="F830" s="252"/>
      <c r="G830" s="252"/>
      <c r="H830" s="253"/>
      <c r="I830" s="250"/>
      <c r="J830" s="250"/>
      <c r="K830" s="270"/>
      <c r="L830" s="250"/>
      <c r="M830" s="250"/>
      <c r="N830" s="540" t="str">
        <f>CONCATENATE(IF(OR(M830=phu!$I$1,M830=phu!$I$2,M830=phu!$I$3),"Cam Thành Nam",""),IF(OR(M830=phu!$I$4,M830=phu!$I$5,M830=phu!$I$6,M830=phu!$I$7,M830=phu!$I$8,M830=phu!$I$9,M830=phu!$I$10,M830=phu!$I$11,M830=phu!$I$12,M830=phu!$I$13,M830=phu!$I$14),"Cam Nghĩa",""),IF(OR(M830=phu!$I$15,M830=phu!$I$16,M830=phu!$I$17,M830=phu!$I$18,M830=phu!$I$19,M830=phu!$I$20,M830=phu!$I$21),"Cam Phúc Bắc",""),IF(OR(M830=phu!$I$22,M830=phu!$I$23,M830=phu!$I$24,M830=phu!$I$25),"Cam Phúc Nam",""),IF(OR(M830=phu!$I$26,M830=phu!$I$27,M830=phu!$I$28,M830=phu!$I$29,M830=phu!$I$30,M830=phu!$I$31),"Cam Phú",""),IF(OR(M830=phu!$I$32,M830=phu!$I$33,M830=phu!$I$34,M830=phu!$I$35,M830=phu!$I$36,M830=phu!$I$37),"Cam Lộc",""),IF(OR(M830=phu!$I$38,M830=phu!$I$39,M830=phu!$I$40,M830=phu!$I$41,M830=phu!$I$42,M830=phu!$I$43,M830=phu!$I$44),"Cam Thuận",""),IF(OR(M830=phu!$I$45,M830=phu!$I$46,M830=phu!$I$47,M830=phu!$I$48,M830=phu!$I$49,M830=phu!$I$50,M830=phu!$I$51,M830=phu!$I$52,M830=phu!$I$53),"Cam Linh",""),IF(OR(M830=phu!$I$54,M830=phu!$I$55,M830=phu!$I$56,M830=phu!$I$57,M830=phu!$I$58,M830=phu!$I$59,M830=phu!$I$60,M830=phu!$I$61,M830=phu!$I$62),"Cam Lợi",""),IF(OR(M830=phu!$I$63,M830=phu!$I$64,M830=phu!$I$65,M830=phu!$I$66,M830=phu!$I$67,M830=phu!$I$68,M830=phu!$I$69,M830=phu!$I$70,M830=phu!$I$71),"Ba Ngòi",""),IF(OR(M830=phu!$I$72,M830=phu!$I$73,M830=phu!$I$74,M830=phu!$I$75,M830=phu!$I$76,M830=phu!$I$77,M830=phu!$I$78),"Cam Phước Đông",""),IF(OR(M830=phu!$I$79,M830=phu!$I$80,M830=phu!$I$81,M830=phu!$I$82,M830=phu!$I$83,M830=phu!$I$84),"Cam Thịnh Đông",""),IF(OR(M830=phu!$I$85,M830=phu!$I$86,M830=phu!$I$87,M830=phu!$I$88),"Cam Thịnh Tây",""),IF(OR(M830=phu!$I$89,M830=phu!$I$90),"Cam Lập",""),IF(OR(M830=phu!$I$91,M830=phu!$I$92,M830=phu!$I$93),"Cam Bình",""),IF(OR(M830=phu!$I$94,M830=phu!$I$95,M830=phu!$I$96,M830=phu!$I$97,M830=phu!$I$98,M830=phu!$I$99,M830=phu!$I$100),"Huyện khác",""),IF(OR(M830=phu!$I$101,M830=phu!$I$102),"Tỉnh khác",""))</f>
        <v/>
      </c>
      <c r="O830" s="829" t="str">
        <f t="shared" si="72"/>
        <v/>
      </c>
      <c r="P830" s="254"/>
      <c r="Q830" s="254"/>
      <c r="R830" s="254"/>
      <c r="S830" s="254"/>
      <c r="T830" s="254"/>
      <c r="U830" s="254"/>
      <c r="V830" s="254"/>
      <c r="W830" s="254"/>
      <c r="Y830" s="246" t="str">
        <f t="shared" si="73"/>
        <v/>
      </c>
      <c r="Z830" s="247" t="str">
        <f t="shared" si="77"/>
        <v/>
      </c>
      <c r="AA830" s="246" t="str">
        <f t="shared" si="74"/>
        <v/>
      </c>
    </row>
    <row r="831" spans="1:27" x14ac:dyDescent="0.25">
      <c r="A831" s="248" t="str">
        <f t="shared" si="75"/>
        <v/>
      </c>
      <c r="B831" s="249" t="str">
        <f t="shared" si="76"/>
        <v/>
      </c>
      <c r="C831" s="250"/>
      <c r="D831" s="251"/>
      <c r="E831" s="241"/>
      <c r="F831" s="252"/>
      <c r="G831" s="252"/>
      <c r="H831" s="253"/>
      <c r="I831" s="250"/>
      <c r="J831" s="250"/>
      <c r="K831" s="270"/>
      <c r="L831" s="250"/>
      <c r="M831" s="250"/>
      <c r="N831" s="540" t="str">
        <f>CONCATENATE(IF(OR(M831=phu!$I$1,M831=phu!$I$2,M831=phu!$I$3),"Cam Thành Nam",""),IF(OR(M831=phu!$I$4,M831=phu!$I$5,M831=phu!$I$6,M831=phu!$I$7,M831=phu!$I$8,M831=phu!$I$9,M831=phu!$I$10,M831=phu!$I$11,M831=phu!$I$12,M831=phu!$I$13,M831=phu!$I$14),"Cam Nghĩa",""),IF(OR(M831=phu!$I$15,M831=phu!$I$16,M831=phu!$I$17,M831=phu!$I$18,M831=phu!$I$19,M831=phu!$I$20,M831=phu!$I$21),"Cam Phúc Bắc",""),IF(OR(M831=phu!$I$22,M831=phu!$I$23,M831=phu!$I$24,M831=phu!$I$25),"Cam Phúc Nam",""),IF(OR(M831=phu!$I$26,M831=phu!$I$27,M831=phu!$I$28,M831=phu!$I$29,M831=phu!$I$30,M831=phu!$I$31),"Cam Phú",""),IF(OR(M831=phu!$I$32,M831=phu!$I$33,M831=phu!$I$34,M831=phu!$I$35,M831=phu!$I$36,M831=phu!$I$37),"Cam Lộc",""),IF(OR(M831=phu!$I$38,M831=phu!$I$39,M831=phu!$I$40,M831=phu!$I$41,M831=phu!$I$42,M831=phu!$I$43,M831=phu!$I$44),"Cam Thuận",""),IF(OR(M831=phu!$I$45,M831=phu!$I$46,M831=phu!$I$47,M831=phu!$I$48,M831=phu!$I$49,M831=phu!$I$50,M831=phu!$I$51,M831=phu!$I$52,M831=phu!$I$53),"Cam Linh",""),IF(OR(M831=phu!$I$54,M831=phu!$I$55,M831=phu!$I$56,M831=phu!$I$57,M831=phu!$I$58,M831=phu!$I$59,M831=phu!$I$60,M831=phu!$I$61,M831=phu!$I$62),"Cam Lợi",""),IF(OR(M831=phu!$I$63,M831=phu!$I$64,M831=phu!$I$65,M831=phu!$I$66,M831=phu!$I$67,M831=phu!$I$68,M831=phu!$I$69,M831=phu!$I$70,M831=phu!$I$71),"Ba Ngòi",""),IF(OR(M831=phu!$I$72,M831=phu!$I$73,M831=phu!$I$74,M831=phu!$I$75,M831=phu!$I$76,M831=phu!$I$77,M831=phu!$I$78),"Cam Phước Đông",""),IF(OR(M831=phu!$I$79,M831=phu!$I$80,M831=phu!$I$81,M831=phu!$I$82,M831=phu!$I$83,M831=phu!$I$84),"Cam Thịnh Đông",""),IF(OR(M831=phu!$I$85,M831=phu!$I$86,M831=phu!$I$87,M831=phu!$I$88),"Cam Thịnh Tây",""),IF(OR(M831=phu!$I$89,M831=phu!$I$90),"Cam Lập",""),IF(OR(M831=phu!$I$91,M831=phu!$I$92,M831=phu!$I$93),"Cam Bình",""),IF(OR(M831=phu!$I$94,M831=phu!$I$95,M831=phu!$I$96,M831=phu!$I$97,M831=phu!$I$98,M831=phu!$I$99,M831=phu!$I$100),"Huyện khác",""),IF(OR(M831=phu!$I$101,M831=phu!$I$102),"Tỉnh khác",""))</f>
        <v/>
      </c>
      <c r="O831" s="829" t="str">
        <f t="shared" si="72"/>
        <v/>
      </c>
      <c r="P831" s="254"/>
      <c r="Q831" s="254"/>
      <c r="R831" s="254"/>
      <c r="S831" s="254"/>
      <c r="T831" s="254"/>
      <c r="U831" s="254"/>
      <c r="V831" s="254"/>
      <c r="W831" s="254"/>
      <c r="Y831" s="246" t="str">
        <f t="shared" si="73"/>
        <v/>
      </c>
      <c r="Z831" s="247" t="str">
        <f t="shared" si="77"/>
        <v/>
      </c>
      <c r="AA831" s="246" t="str">
        <f t="shared" si="74"/>
        <v/>
      </c>
    </row>
    <row r="832" spans="1:27" x14ac:dyDescent="0.25">
      <c r="A832" s="248" t="str">
        <f t="shared" si="75"/>
        <v/>
      </c>
      <c r="B832" s="249" t="str">
        <f t="shared" si="76"/>
        <v/>
      </c>
      <c r="C832" s="250"/>
      <c r="D832" s="251"/>
      <c r="E832" s="241"/>
      <c r="F832" s="252"/>
      <c r="G832" s="252"/>
      <c r="H832" s="253"/>
      <c r="I832" s="250"/>
      <c r="J832" s="250"/>
      <c r="K832" s="270"/>
      <c r="L832" s="250"/>
      <c r="M832" s="250"/>
      <c r="N832" s="540" t="str">
        <f>CONCATENATE(IF(OR(M832=phu!$I$1,M832=phu!$I$2,M832=phu!$I$3),"Cam Thành Nam",""),IF(OR(M832=phu!$I$4,M832=phu!$I$5,M832=phu!$I$6,M832=phu!$I$7,M832=phu!$I$8,M832=phu!$I$9,M832=phu!$I$10,M832=phu!$I$11,M832=phu!$I$12,M832=phu!$I$13,M832=phu!$I$14),"Cam Nghĩa",""),IF(OR(M832=phu!$I$15,M832=phu!$I$16,M832=phu!$I$17,M832=phu!$I$18,M832=phu!$I$19,M832=phu!$I$20,M832=phu!$I$21),"Cam Phúc Bắc",""),IF(OR(M832=phu!$I$22,M832=phu!$I$23,M832=phu!$I$24,M832=phu!$I$25),"Cam Phúc Nam",""),IF(OR(M832=phu!$I$26,M832=phu!$I$27,M832=phu!$I$28,M832=phu!$I$29,M832=phu!$I$30,M832=phu!$I$31),"Cam Phú",""),IF(OR(M832=phu!$I$32,M832=phu!$I$33,M832=phu!$I$34,M832=phu!$I$35,M832=phu!$I$36,M832=phu!$I$37),"Cam Lộc",""),IF(OR(M832=phu!$I$38,M832=phu!$I$39,M832=phu!$I$40,M832=phu!$I$41,M832=phu!$I$42,M832=phu!$I$43,M832=phu!$I$44),"Cam Thuận",""),IF(OR(M832=phu!$I$45,M832=phu!$I$46,M832=phu!$I$47,M832=phu!$I$48,M832=phu!$I$49,M832=phu!$I$50,M832=phu!$I$51,M832=phu!$I$52,M832=phu!$I$53),"Cam Linh",""),IF(OR(M832=phu!$I$54,M832=phu!$I$55,M832=phu!$I$56,M832=phu!$I$57,M832=phu!$I$58,M832=phu!$I$59,M832=phu!$I$60,M832=phu!$I$61,M832=phu!$I$62),"Cam Lợi",""),IF(OR(M832=phu!$I$63,M832=phu!$I$64,M832=phu!$I$65,M832=phu!$I$66,M832=phu!$I$67,M832=phu!$I$68,M832=phu!$I$69,M832=phu!$I$70,M832=phu!$I$71),"Ba Ngòi",""),IF(OR(M832=phu!$I$72,M832=phu!$I$73,M832=phu!$I$74,M832=phu!$I$75,M832=phu!$I$76,M832=phu!$I$77,M832=phu!$I$78),"Cam Phước Đông",""),IF(OR(M832=phu!$I$79,M832=phu!$I$80,M832=phu!$I$81,M832=phu!$I$82,M832=phu!$I$83,M832=phu!$I$84),"Cam Thịnh Đông",""),IF(OR(M832=phu!$I$85,M832=phu!$I$86,M832=phu!$I$87,M832=phu!$I$88),"Cam Thịnh Tây",""),IF(OR(M832=phu!$I$89,M832=phu!$I$90),"Cam Lập",""),IF(OR(M832=phu!$I$91,M832=phu!$I$92,M832=phu!$I$93),"Cam Bình",""),IF(OR(M832=phu!$I$94,M832=phu!$I$95,M832=phu!$I$96,M832=phu!$I$97,M832=phu!$I$98,M832=phu!$I$99,M832=phu!$I$100),"Huyện khác",""),IF(OR(M832=phu!$I$101,M832=phu!$I$102),"Tỉnh khác",""))</f>
        <v/>
      </c>
      <c r="O832" s="829" t="str">
        <f t="shared" si="72"/>
        <v/>
      </c>
      <c r="P832" s="254"/>
      <c r="Q832" s="254"/>
      <c r="R832" s="254"/>
      <c r="S832" s="254"/>
      <c r="T832" s="254"/>
      <c r="U832" s="254"/>
      <c r="V832" s="254"/>
      <c r="W832" s="254"/>
      <c r="Y832" s="246" t="str">
        <f t="shared" si="73"/>
        <v/>
      </c>
      <c r="Z832" s="247" t="str">
        <f t="shared" si="77"/>
        <v/>
      </c>
      <c r="AA832" s="246" t="str">
        <f t="shared" si="74"/>
        <v/>
      </c>
    </row>
    <row r="833" spans="1:27" x14ac:dyDescent="0.25">
      <c r="A833" s="248" t="str">
        <f t="shared" si="75"/>
        <v/>
      </c>
      <c r="B833" s="249" t="str">
        <f t="shared" si="76"/>
        <v/>
      </c>
      <c r="C833" s="250"/>
      <c r="D833" s="251"/>
      <c r="E833" s="241"/>
      <c r="F833" s="252"/>
      <c r="G833" s="252"/>
      <c r="H833" s="253"/>
      <c r="I833" s="250"/>
      <c r="J833" s="250"/>
      <c r="K833" s="270"/>
      <c r="L833" s="250"/>
      <c r="M833" s="250"/>
      <c r="N833" s="540" t="str">
        <f>CONCATENATE(IF(OR(M833=phu!$I$1,M833=phu!$I$2,M833=phu!$I$3),"Cam Thành Nam",""),IF(OR(M833=phu!$I$4,M833=phu!$I$5,M833=phu!$I$6,M833=phu!$I$7,M833=phu!$I$8,M833=phu!$I$9,M833=phu!$I$10,M833=phu!$I$11,M833=phu!$I$12,M833=phu!$I$13,M833=phu!$I$14),"Cam Nghĩa",""),IF(OR(M833=phu!$I$15,M833=phu!$I$16,M833=phu!$I$17,M833=phu!$I$18,M833=phu!$I$19,M833=phu!$I$20,M833=phu!$I$21),"Cam Phúc Bắc",""),IF(OR(M833=phu!$I$22,M833=phu!$I$23,M833=phu!$I$24,M833=phu!$I$25),"Cam Phúc Nam",""),IF(OR(M833=phu!$I$26,M833=phu!$I$27,M833=phu!$I$28,M833=phu!$I$29,M833=phu!$I$30,M833=phu!$I$31),"Cam Phú",""),IF(OR(M833=phu!$I$32,M833=phu!$I$33,M833=phu!$I$34,M833=phu!$I$35,M833=phu!$I$36,M833=phu!$I$37),"Cam Lộc",""),IF(OR(M833=phu!$I$38,M833=phu!$I$39,M833=phu!$I$40,M833=phu!$I$41,M833=phu!$I$42,M833=phu!$I$43,M833=phu!$I$44),"Cam Thuận",""),IF(OR(M833=phu!$I$45,M833=phu!$I$46,M833=phu!$I$47,M833=phu!$I$48,M833=phu!$I$49,M833=phu!$I$50,M833=phu!$I$51,M833=phu!$I$52,M833=phu!$I$53),"Cam Linh",""),IF(OR(M833=phu!$I$54,M833=phu!$I$55,M833=phu!$I$56,M833=phu!$I$57,M833=phu!$I$58,M833=phu!$I$59,M833=phu!$I$60,M833=phu!$I$61,M833=phu!$I$62),"Cam Lợi",""),IF(OR(M833=phu!$I$63,M833=phu!$I$64,M833=phu!$I$65,M833=phu!$I$66,M833=phu!$I$67,M833=phu!$I$68,M833=phu!$I$69,M833=phu!$I$70,M833=phu!$I$71),"Ba Ngòi",""),IF(OR(M833=phu!$I$72,M833=phu!$I$73,M833=phu!$I$74,M833=phu!$I$75,M833=phu!$I$76,M833=phu!$I$77,M833=phu!$I$78),"Cam Phước Đông",""),IF(OR(M833=phu!$I$79,M833=phu!$I$80,M833=phu!$I$81,M833=phu!$I$82,M833=phu!$I$83,M833=phu!$I$84),"Cam Thịnh Đông",""),IF(OR(M833=phu!$I$85,M833=phu!$I$86,M833=phu!$I$87,M833=phu!$I$88),"Cam Thịnh Tây",""),IF(OR(M833=phu!$I$89,M833=phu!$I$90),"Cam Lập",""),IF(OR(M833=phu!$I$91,M833=phu!$I$92,M833=phu!$I$93),"Cam Bình",""),IF(OR(M833=phu!$I$94,M833=phu!$I$95,M833=phu!$I$96,M833=phu!$I$97,M833=phu!$I$98,M833=phu!$I$99,M833=phu!$I$100),"Huyện khác",""),IF(OR(M833=phu!$I$101,M833=phu!$I$102),"Tỉnh khác",""))</f>
        <v/>
      </c>
      <c r="O833" s="829" t="str">
        <f t="shared" si="72"/>
        <v/>
      </c>
      <c r="P833" s="254"/>
      <c r="Q833" s="254"/>
      <c r="R833" s="254"/>
      <c r="S833" s="254"/>
      <c r="T833" s="254"/>
      <c r="U833" s="254"/>
      <c r="V833" s="254"/>
      <c r="W833" s="254"/>
      <c r="Y833" s="246" t="str">
        <f t="shared" si="73"/>
        <v/>
      </c>
      <c r="Z833" s="247" t="str">
        <f t="shared" si="77"/>
        <v/>
      </c>
      <c r="AA833" s="246" t="str">
        <f t="shared" si="74"/>
        <v/>
      </c>
    </row>
    <row r="834" spans="1:27" x14ac:dyDescent="0.25">
      <c r="A834" s="248" t="str">
        <f t="shared" si="75"/>
        <v/>
      </c>
      <c r="B834" s="249" t="str">
        <f t="shared" si="76"/>
        <v/>
      </c>
      <c r="C834" s="250"/>
      <c r="D834" s="251"/>
      <c r="E834" s="241"/>
      <c r="F834" s="252"/>
      <c r="G834" s="252"/>
      <c r="H834" s="253"/>
      <c r="I834" s="250"/>
      <c r="J834" s="250"/>
      <c r="K834" s="270"/>
      <c r="L834" s="250"/>
      <c r="M834" s="250"/>
      <c r="N834" s="540" t="str">
        <f>CONCATENATE(IF(OR(M834=phu!$I$1,M834=phu!$I$2,M834=phu!$I$3),"Cam Thành Nam",""),IF(OR(M834=phu!$I$4,M834=phu!$I$5,M834=phu!$I$6,M834=phu!$I$7,M834=phu!$I$8,M834=phu!$I$9,M834=phu!$I$10,M834=phu!$I$11,M834=phu!$I$12,M834=phu!$I$13,M834=phu!$I$14),"Cam Nghĩa",""),IF(OR(M834=phu!$I$15,M834=phu!$I$16,M834=phu!$I$17,M834=phu!$I$18,M834=phu!$I$19,M834=phu!$I$20,M834=phu!$I$21),"Cam Phúc Bắc",""),IF(OR(M834=phu!$I$22,M834=phu!$I$23,M834=phu!$I$24,M834=phu!$I$25),"Cam Phúc Nam",""),IF(OR(M834=phu!$I$26,M834=phu!$I$27,M834=phu!$I$28,M834=phu!$I$29,M834=phu!$I$30,M834=phu!$I$31),"Cam Phú",""),IF(OR(M834=phu!$I$32,M834=phu!$I$33,M834=phu!$I$34,M834=phu!$I$35,M834=phu!$I$36,M834=phu!$I$37),"Cam Lộc",""),IF(OR(M834=phu!$I$38,M834=phu!$I$39,M834=phu!$I$40,M834=phu!$I$41,M834=phu!$I$42,M834=phu!$I$43,M834=phu!$I$44),"Cam Thuận",""),IF(OR(M834=phu!$I$45,M834=phu!$I$46,M834=phu!$I$47,M834=phu!$I$48,M834=phu!$I$49,M834=phu!$I$50,M834=phu!$I$51,M834=phu!$I$52,M834=phu!$I$53),"Cam Linh",""),IF(OR(M834=phu!$I$54,M834=phu!$I$55,M834=phu!$I$56,M834=phu!$I$57,M834=phu!$I$58,M834=phu!$I$59,M834=phu!$I$60,M834=phu!$I$61,M834=phu!$I$62),"Cam Lợi",""),IF(OR(M834=phu!$I$63,M834=phu!$I$64,M834=phu!$I$65,M834=phu!$I$66,M834=phu!$I$67,M834=phu!$I$68,M834=phu!$I$69,M834=phu!$I$70,M834=phu!$I$71),"Ba Ngòi",""),IF(OR(M834=phu!$I$72,M834=phu!$I$73,M834=phu!$I$74,M834=phu!$I$75,M834=phu!$I$76,M834=phu!$I$77,M834=phu!$I$78),"Cam Phước Đông",""),IF(OR(M834=phu!$I$79,M834=phu!$I$80,M834=phu!$I$81,M834=phu!$I$82,M834=phu!$I$83,M834=phu!$I$84),"Cam Thịnh Đông",""),IF(OR(M834=phu!$I$85,M834=phu!$I$86,M834=phu!$I$87,M834=phu!$I$88),"Cam Thịnh Tây",""),IF(OR(M834=phu!$I$89,M834=phu!$I$90),"Cam Lập",""),IF(OR(M834=phu!$I$91,M834=phu!$I$92,M834=phu!$I$93),"Cam Bình",""),IF(OR(M834=phu!$I$94,M834=phu!$I$95,M834=phu!$I$96,M834=phu!$I$97,M834=phu!$I$98,M834=phu!$I$99,M834=phu!$I$100),"Huyện khác",""),IF(OR(M834=phu!$I$101,M834=phu!$I$102),"Tỉnh khác",""))</f>
        <v/>
      </c>
      <c r="O834" s="829" t="str">
        <f t="shared" si="72"/>
        <v/>
      </c>
      <c r="P834" s="254"/>
      <c r="Q834" s="254"/>
      <c r="R834" s="254"/>
      <c r="S834" s="254"/>
      <c r="T834" s="254"/>
      <c r="U834" s="254"/>
      <c r="V834" s="254"/>
      <c r="W834" s="254"/>
      <c r="Y834" s="246" t="str">
        <f t="shared" si="73"/>
        <v/>
      </c>
      <c r="Z834" s="247" t="str">
        <f t="shared" si="77"/>
        <v/>
      </c>
      <c r="AA834" s="246" t="str">
        <f t="shared" si="74"/>
        <v/>
      </c>
    </row>
    <row r="835" spans="1:27" x14ac:dyDescent="0.25">
      <c r="A835" s="248" t="str">
        <f t="shared" si="75"/>
        <v/>
      </c>
      <c r="B835" s="249" t="str">
        <f t="shared" si="76"/>
        <v/>
      </c>
      <c r="C835" s="250"/>
      <c r="D835" s="251"/>
      <c r="E835" s="241"/>
      <c r="F835" s="252"/>
      <c r="G835" s="252"/>
      <c r="H835" s="253"/>
      <c r="I835" s="250"/>
      <c r="J835" s="250"/>
      <c r="K835" s="270"/>
      <c r="L835" s="250"/>
      <c r="M835" s="250"/>
      <c r="N835" s="540" t="str">
        <f>CONCATENATE(IF(OR(M835=phu!$I$1,M835=phu!$I$2,M835=phu!$I$3),"Cam Thành Nam",""),IF(OR(M835=phu!$I$4,M835=phu!$I$5,M835=phu!$I$6,M835=phu!$I$7,M835=phu!$I$8,M835=phu!$I$9,M835=phu!$I$10,M835=phu!$I$11,M835=phu!$I$12,M835=phu!$I$13,M835=phu!$I$14),"Cam Nghĩa",""),IF(OR(M835=phu!$I$15,M835=phu!$I$16,M835=phu!$I$17,M835=phu!$I$18,M835=phu!$I$19,M835=phu!$I$20,M835=phu!$I$21),"Cam Phúc Bắc",""),IF(OR(M835=phu!$I$22,M835=phu!$I$23,M835=phu!$I$24,M835=phu!$I$25),"Cam Phúc Nam",""),IF(OR(M835=phu!$I$26,M835=phu!$I$27,M835=phu!$I$28,M835=phu!$I$29,M835=phu!$I$30,M835=phu!$I$31),"Cam Phú",""),IF(OR(M835=phu!$I$32,M835=phu!$I$33,M835=phu!$I$34,M835=phu!$I$35,M835=phu!$I$36,M835=phu!$I$37),"Cam Lộc",""),IF(OR(M835=phu!$I$38,M835=phu!$I$39,M835=phu!$I$40,M835=phu!$I$41,M835=phu!$I$42,M835=phu!$I$43,M835=phu!$I$44),"Cam Thuận",""),IF(OR(M835=phu!$I$45,M835=phu!$I$46,M835=phu!$I$47,M835=phu!$I$48,M835=phu!$I$49,M835=phu!$I$50,M835=phu!$I$51,M835=phu!$I$52,M835=phu!$I$53),"Cam Linh",""),IF(OR(M835=phu!$I$54,M835=phu!$I$55,M835=phu!$I$56,M835=phu!$I$57,M835=phu!$I$58,M835=phu!$I$59,M835=phu!$I$60,M835=phu!$I$61,M835=phu!$I$62),"Cam Lợi",""),IF(OR(M835=phu!$I$63,M835=phu!$I$64,M835=phu!$I$65,M835=phu!$I$66,M835=phu!$I$67,M835=phu!$I$68,M835=phu!$I$69,M835=phu!$I$70,M835=phu!$I$71),"Ba Ngòi",""),IF(OR(M835=phu!$I$72,M835=phu!$I$73,M835=phu!$I$74,M835=phu!$I$75,M835=phu!$I$76,M835=phu!$I$77,M835=phu!$I$78),"Cam Phước Đông",""),IF(OR(M835=phu!$I$79,M835=phu!$I$80,M835=phu!$I$81,M835=phu!$I$82,M835=phu!$I$83,M835=phu!$I$84),"Cam Thịnh Đông",""),IF(OR(M835=phu!$I$85,M835=phu!$I$86,M835=phu!$I$87,M835=phu!$I$88),"Cam Thịnh Tây",""),IF(OR(M835=phu!$I$89,M835=phu!$I$90),"Cam Lập",""),IF(OR(M835=phu!$I$91,M835=phu!$I$92,M835=phu!$I$93),"Cam Bình",""),IF(OR(M835=phu!$I$94,M835=phu!$I$95,M835=phu!$I$96,M835=phu!$I$97,M835=phu!$I$98,M835=phu!$I$99,M835=phu!$I$100),"Huyện khác",""),IF(OR(M835=phu!$I$101,M835=phu!$I$102),"Tỉnh khác",""))</f>
        <v/>
      </c>
      <c r="O835" s="829" t="str">
        <f t="shared" si="72"/>
        <v/>
      </c>
      <c r="P835" s="254"/>
      <c r="Q835" s="254"/>
      <c r="R835" s="254"/>
      <c r="S835" s="254"/>
      <c r="T835" s="254"/>
      <c r="U835" s="254"/>
      <c r="V835" s="254"/>
      <c r="W835" s="254"/>
      <c r="Y835" s="246" t="str">
        <f t="shared" si="73"/>
        <v/>
      </c>
      <c r="Z835" s="247" t="str">
        <f t="shared" si="77"/>
        <v/>
      </c>
      <c r="AA835" s="246" t="str">
        <f t="shared" si="74"/>
        <v/>
      </c>
    </row>
    <row r="836" spans="1:27" x14ac:dyDescent="0.25">
      <c r="A836" s="248" t="str">
        <f t="shared" si="75"/>
        <v/>
      </c>
      <c r="B836" s="249" t="str">
        <f t="shared" si="76"/>
        <v/>
      </c>
      <c r="C836" s="250"/>
      <c r="D836" s="251"/>
      <c r="E836" s="241"/>
      <c r="F836" s="252"/>
      <c r="G836" s="252"/>
      <c r="H836" s="253"/>
      <c r="I836" s="250"/>
      <c r="J836" s="250"/>
      <c r="K836" s="270"/>
      <c r="L836" s="250"/>
      <c r="M836" s="250"/>
      <c r="N836" s="540" t="str">
        <f>CONCATENATE(IF(OR(M836=phu!$I$1,M836=phu!$I$2,M836=phu!$I$3),"Cam Thành Nam",""),IF(OR(M836=phu!$I$4,M836=phu!$I$5,M836=phu!$I$6,M836=phu!$I$7,M836=phu!$I$8,M836=phu!$I$9,M836=phu!$I$10,M836=phu!$I$11,M836=phu!$I$12,M836=phu!$I$13,M836=phu!$I$14),"Cam Nghĩa",""),IF(OR(M836=phu!$I$15,M836=phu!$I$16,M836=phu!$I$17,M836=phu!$I$18,M836=phu!$I$19,M836=phu!$I$20,M836=phu!$I$21),"Cam Phúc Bắc",""),IF(OR(M836=phu!$I$22,M836=phu!$I$23,M836=phu!$I$24,M836=phu!$I$25),"Cam Phúc Nam",""),IF(OR(M836=phu!$I$26,M836=phu!$I$27,M836=phu!$I$28,M836=phu!$I$29,M836=phu!$I$30,M836=phu!$I$31),"Cam Phú",""),IF(OR(M836=phu!$I$32,M836=phu!$I$33,M836=phu!$I$34,M836=phu!$I$35,M836=phu!$I$36,M836=phu!$I$37),"Cam Lộc",""),IF(OR(M836=phu!$I$38,M836=phu!$I$39,M836=phu!$I$40,M836=phu!$I$41,M836=phu!$I$42,M836=phu!$I$43,M836=phu!$I$44),"Cam Thuận",""),IF(OR(M836=phu!$I$45,M836=phu!$I$46,M836=phu!$I$47,M836=phu!$I$48,M836=phu!$I$49,M836=phu!$I$50,M836=phu!$I$51,M836=phu!$I$52,M836=phu!$I$53),"Cam Linh",""),IF(OR(M836=phu!$I$54,M836=phu!$I$55,M836=phu!$I$56,M836=phu!$I$57,M836=phu!$I$58,M836=phu!$I$59,M836=phu!$I$60,M836=phu!$I$61,M836=phu!$I$62),"Cam Lợi",""),IF(OR(M836=phu!$I$63,M836=phu!$I$64,M836=phu!$I$65,M836=phu!$I$66,M836=phu!$I$67,M836=phu!$I$68,M836=phu!$I$69,M836=phu!$I$70,M836=phu!$I$71),"Ba Ngòi",""),IF(OR(M836=phu!$I$72,M836=phu!$I$73,M836=phu!$I$74,M836=phu!$I$75,M836=phu!$I$76,M836=phu!$I$77,M836=phu!$I$78),"Cam Phước Đông",""),IF(OR(M836=phu!$I$79,M836=phu!$I$80,M836=phu!$I$81,M836=phu!$I$82,M836=phu!$I$83,M836=phu!$I$84),"Cam Thịnh Đông",""),IF(OR(M836=phu!$I$85,M836=phu!$I$86,M836=phu!$I$87,M836=phu!$I$88),"Cam Thịnh Tây",""),IF(OR(M836=phu!$I$89,M836=phu!$I$90),"Cam Lập",""),IF(OR(M836=phu!$I$91,M836=phu!$I$92,M836=phu!$I$93),"Cam Bình",""),IF(OR(M836=phu!$I$94,M836=phu!$I$95,M836=phu!$I$96,M836=phu!$I$97,M836=phu!$I$98,M836=phu!$I$99,M836=phu!$I$100),"Huyện khác",""),IF(OR(M836=phu!$I$101,M836=phu!$I$102),"Tỉnh khác",""))</f>
        <v/>
      </c>
      <c r="O836" s="829" t="str">
        <f t="shared" si="72"/>
        <v/>
      </c>
      <c r="P836" s="254"/>
      <c r="Q836" s="254"/>
      <c r="R836" s="254"/>
      <c r="S836" s="254"/>
      <c r="T836" s="254"/>
      <c r="U836" s="254"/>
      <c r="V836" s="254"/>
      <c r="W836" s="254"/>
      <c r="Y836" s="246" t="str">
        <f t="shared" si="73"/>
        <v/>
      </c>
      <c r="Z836" s="247" t="str">
        <f t="shared" si="77"/>
        <v/>
      </c>
      <c r="AA836" s="246" t="str">
        <f t="shared" si="74"/>
        <v/>
      </c>
    </row>
    <row r="837" spans="1:27" x14ac:dyDescent="0.25">
      <c r="A837" s="248" t="str">
        <f t="shared" si="75"/>
        <v/>
      </c>
      <c r="B837" s="249" t="str">
        <f t="shared" si="76"/>
        <v/>
      </c>
      <c r="C837" s="250"/>
      <c r="D837" s="251"/>
      <c r="E837" s="241"/>
      <c r="F837" s="252"/>
      <c r="G837" s="252"/>
      <c r="H837" s="253"/>
      <c r="I837" s="250"/>
      <c r="J837" s="250"/>
      <c r="K837" s="270"/>
      <c r="L837" s="250"/>
      <c r="M837" s="250"/>
      <c r="N837" s="540" t="str">
        <f>CONCATENATE(IF(OR(M837=phu!$I$1,M837=phu!$I$2,M837=phu!$I$3),"Cam Thành Nam",""),IF(OR(M837=phu!$I$4,M837=phu!$I$5,M837=phu!$I$6,M837=phu!$I$7,M837=phu!$I$8,M837=phu!$I$9,M837=phu!$I$10,M837=phu!$I$11,M837=phu!$I$12,M837=phu!$I$13,M837=phu!$I$14),"Cam Nghĩa",""),IF(OR(M837=phu!$I$15,M837=phu!$I$16,M837=phu!$I$17,M837=phu!$I$18,M837=phu!$I$19,M837=phu!$I$20,M837=phu!$I$21),"Cam Phúc Bắc",""),IF(OR(M837=phu!$I$22,M837=phu!$I$23,M837=phu!$I$24,M837=phu!$I$25),"Cam Phúc Nam",""),IF(OR(M837=phu!$I$26,M837=phu!$I$27,M837=phu!$I$28,M837=phu!$I$29,M837=phu!$I$30,M837=phu!$I$31),"Cam Phú",""),IF(OR(M837=phu!$I$32,M837=phu!$I$33,M837=phu!$I$34,M837=phu!$I$35,M837=phu!$I$36,M837=phu!$I$37),"Cam Lộc",""),IF(OR(M837=phu!$I$38,M837=phu!$I$39,M837=phu!$I$40,M837=phu!$I$41,M837=phu!$I$42,M837=phu!$I$43,M837=phu!$I$44),"Cam Thuận",""),IF(OR(M837=phu!$I$45,M837=phu!$I$46,M837=phu!$I$47,M837=phu!$I$48,M837=phu!$I$49,M837=phu!$I$50,M837=phu!$I$51,M837=phu!$I$52,M837=phu!$I$53),"Cam Linh",""),IF(OR(M837=phu!$I$54,M837=phu!$I$55,M837=phu!$I$56,M837=phu!$I$57,M837=phu!$I$58,M837=phu!$I$59,M837=phu!$I$60,M837=phu!$I$61,M837=phu!$I$62),"Cam Lợi",""),IF(OR(M837=phu!$I$63,M837=phu!$I$64,M837=phu!$I$65,M837=phu!$I$66,M837=phu!$I$67,M837=phu!$I$68,M837=phu!$I$69,M837=phu!$I$70,M837=phu!$I$71),"Ba Ngòi",""),IF(OR(M837=phu!$I$72,M837=phu!$I$73,M837=phu!$I$74,M837=phu!$I$75,M837=phu!$I$76,M837=phu!$I$77,M837=phu!$I$78),"Cam Phước Đông",""),IF(OR(M837=phu!$I$79,M837=phu!$I$80,M837=phu!$I$81,M837=phu!$I$82,M837=phu!$I$83,M837=phu!$I$84),"Cam Thịnh Đông",""),IF(OR(M837=phu!$I$85,M837=phu!$I$86,M837=phu!$I$87,M837=phu!$I$88),"Cam Thịnh Tây",""),IF(OR(M837=phu!$I$89,M837=phu!$I$90),"Cam Lập",""),IF(OR(M837=phu!$I$91,M837=phu!$I$92,M837=phu!$I$93),"Cam Bình",""),IF(OR(M837=phu!$I$94,M837=phu!$I$95,M837=phu!$I$96,M837=phu!$I$97,M837=phu!$I$98,M837=phu!$I$99,M837=phu!$I$100),"Huyện khác",""),IF(OR(M837=phu!$I$101,M837=phu!$I$102),"Tỉnh khác",""))</f>
        <v/>
      </c>
      <c r="O837" s="829" t="str">
        <f t="shared" si="72"/>
        <v/>
      </c>
      <c r="P837" s="254"/>
      <c r="Q837" s="254"/>
      <c r="R837" s="254"/>
      <c r="S837" s="254"/>
      <c r="T837" s="254"/>
      <c r="U837" s="254"/>
      <c r="V837" s="254"/>
      <c r="W837" s="254"/>
      <c r="Y837" s="246" t="str">
        <f t="shared" si="73"/>
        <v/>
      </c>
      <c r="Z837" s="247" t="str">
        <f t="shared" si="77"/>
        <v/>
      </c>
      <c r="AA837" s="246" t="str">
        <f t="shared" si="74"/>
        <v/>
      </c>
    </row>
    <row r="838" spans="1:27" x14ac:dyDescent="0.25">
      <c r="A838" s="248" t="str">
        <f t="shared" si="75"/>
        <v/>
      </c>
      <c r="B838" s="249" t="str">
        <f t="shared" si="76"/>
        <v/>
      </c>
      <c r="C838" s="250"/>
      <c r="D838" s="251"/>
      <c r="E838" s="241"/>
      <c r="F838" s="252"/>
      <c r="G838" s="252"/>
      <c r="H838" s="253"/>
      <c r="I838" s="250"/>
      <c r="J838" s="250"/>
      <c r="K838" s="270"/>
      <c r="L838" s="250"/>
      <c r="M838" s="250"/>
      <c r="N838" s="540" t="str">
        <f>CONCATENATE(IF(OR(M838=phu!$I$1,M838=phu!$I$2,M838=phu!$I$3),"Cam Thành Nam",""),IF(OR(M838=phu!$I$4,M838=phu!$I$5,M838=phu!$I$6,M838=phu!$I$7,M838=phu!$I$8,M838=phu!$I$9,M838=phu!$I$10,M838=phu!$I$11,M838=phu!$I$12,M838=phu!$I$13,M838=phu!$I$14),"Cam Nghĩa",""),IF(OR(M838=phu!$I$15,M838=phu!$I$16,M838=phu!$I$17,M838=phu!$I$18,M838=phu!$I$19,M838=phu!$I$20,M838=phu!$I$21),"Cam Phúc Bắc",""),IF(OR(M838=phu!$I$22,M838=phu!$I$23,M838=phu!$I$24,M838=phu!$I$25),"Cam Phúc Nam",""),IF(OR(M838=phu!$I$26,M838=phu!$I$27,M838=phu!$I$28,M838=phu!$I$29,M838=phu!$I$30,M838=phu!$I$31),"Cam Phú",""),IF(OR(M838=phu!$I$32,M838=phu!$I$33,M838=phu!$I$34,M838=phu!$I$35,M838=phu!$I$36,M838=phu!$I$37),"Cam Lộc",""),IF(OR(M838=phu!$I$38,M838=phu!$I$39,M838=phu!$I$40,M838=phu!$I$41,M838=phu!$I$42,M838=phu!$I$43,M838=phu!$I$44),"Cam Thuận",""),IF(OR(M838=phu!$I$45,M838=phu!$I$46,M838=phu!$I$47,M838=phu!$I$48,M838=phu!$I$49,M838=phu!$I$50,M838=phu!$I$51,M838=phu!$I$52,M838=phu!$I$53),"Cam Linh",""),IF(OR(M838=phu!$I$54,M838=phu!$I$55,M838=phu!$I$56,M838=phu!$I$57,M838=phu!$I$58,M838=phu!$I$59,M838=phu!$I$60,M838=phu!$I$61,M838=phu!$I$62),"Cam Lợi",""),IF(OR(M838=phu!$I$63,M838=phu!$I$64,M838=phu!$I$65,M838=phu!$I$66,M838=phu!$I$67,M838=phu!$I$68,M838=phu!$I$69,M838=phu!$I$70,M838=phu!$I$71),"Ba Ngòi",""),IF(OR(M838=phu!$I$72,M838=phu!$I$73,M838=phu!$I$74,M838=phu!$I$75,M838=phu!$I$76,M838=phu!$I$77,M838=phu!$I$78),"Cam Phước Đông",""),IF(OR(M838=phu!$I$79,M838=phu!$I$80,M838=phu!$I$81,M838=phu!$I$82,M838=phu!$I$83,M838=phu!$I$84),"Cam Thịnh Đông",""),IF(OR(M838=phu!$I$85,M838=phu!$I$86,M838=phu!$I$87,M838=phu!$I$88),"Cam Thịnh Tây",""),IF(OR(M838=phu!$I$89,M838=phu!$I$90),"Cam Lập",""),IF(OR(M838=phu!$I$91,M838=phu!$I$92,M838=phu!$I$93),"Cam Bình",""),IF(OR(M838=phu!$I$94,M838=phu!$I$95,M838=phu!$I$96,M838=phu!$I$97,M838=phu!$I$98,M838=phu!$I$99,M838=phu!$I$100),"Huyện khác",""),IF(OR(M838=phu!$I$101,M838=phu!$I$102),"Tỉnh khác",""))</f>
        <v/>
      </c>
      <c r="O838" s="829" t="str">
        <f t="shared" si="72"/>
        <v/>
      </c>
      <c r="P838" s="254"/>
      <c r="Q838" s="254"/>
      <c r="R838" s="254"/>
      <c r="S838" s="254"/>
      <c r="T838" s="254"/>
      <c r="U838" s="254"/>
      <c r="V838" s="254"/>
      <c r="W838" s="254"/>
      <c r="Y838" s="246" t="str">
        <f t="shared" si="73"/>
        <v/>
      </c>
      <c r="Z838" s="247" t="str">
        <f t="shared" si="77"/>
        <v/>
      </c>
      <c r="AA838" s="246" t="str">
        <f t="shared" si="74"/>
        <v/>
      </c>
    </row>
    <row r="839" spans="1:27" x14ac:dyDescent="0.25">
      <c r="A839" s="248" t="str">
        <f t="shared" si="75"/>
        <v/>
      </c>
      <c r="B839" s="249" t="str">
        <f t="shared" si="76"/>
        <v/>
      </c>
      <c r="C839" s="250"/>
      <c r="D839" s="251"/>
      <c r="E839" s="241"/>
      <c r="F839" s="252"/>
      <c r="G839" s="252"/>
      <c r="H839" s="253"/>
      <c r="I839" s="250"/>
      <c r="J839" s="250"/>
      <c r="K839" s="270"/>
      <c r="L839" s="250"/>
      <c r="M839" s="250"/>
      <c r="N839" s="540" t="str">
        <f>CONCATENATE(IF(OR(M839=phu!$I$1,M839=phu!$I$2,M839=phu!$I$3),"Cam Thành Nam",""),IF(OR(M839=phu!$I$4,M839=phu!$I$5,M839=phu!$I$6,M839=phu!$I$7,M839=phu!$I$8,M839=phu!$I$9,M839=phu!$I$10,M839=phu!$I$11,M839=phu!$I$12,M839=phu!$I$13,M839=phu!$I$14),"Cam Nghĩa",""),IF(OR(M839=phu!$I$15,M839=phu!$I$16,M839=phu!$I$17,M839=phu!$I$18,M839=phu!$I$19,M839=phu!$I$20,M839=phu!$I$21),"Cam Phúc Bắc",""),IF(OR(M839=phu!$I$22,M839=phu!$I$23,M839=phu!$I$24,M839=phu!$I$25),"Cam Phúc Nam",""),IF(OR(M839=phu!$I$26,M839=phu!$I$27,M839=phu!$I$28,M839=phu!$I$29,M839=phu!$I$30,M839=phu!$I$31),"Cam Phú",""),IF(OR(M839=phu!$I$32,M839=phu!$I$33,M839=phu!$I$34,M839=phu!$I$35,M839=phu!$I$36,M839=phu!$I$37),"Cam Lộc",""),IF(OR(M839=phu!$I$38,M839=phu!$I$39,M839=phu!$I$40,M839=phu!$I$41,M839=phu!$I$42,M839=phu!$I$43,M839=phu!$I$44),"Cam Thuận",""),IF(OR(M839=phu!$I$45,M839=phu!$I$46,M839=phu!$I$47,M839=phu!$I$48,M839=phu!$I$49,M839=phu!$I$50,M839=phu!$I$51,M839=phu!$I$52,M839=phu!$I$53),"Cam Linh",""),IF(OR(M839=phu!$I$54,M839=phu!$I$55,M839=phu!$I$56,M839=phu!$I$57,M839=phu!$I$58,M839=phu!$I$59,M839=phu!$I$60,M839=phu!$I$61,M839=phu!$I$62),"Cam Lợi",""),IF(OR(M839=phu!$I$63,M839=phu!$I$64,M839=phu!$I$65,M839=phu!$I$66,M839=phu!$I$67,M839=phu!$I$68,M839=phu!$I$69,M839=phu!$I$70,M839=phu!$I$71),"Ba Ngòi",""),IF(OR(M839=phu!$I$72,M839=phu!$I$73,M839=phu!$I$74,M839=phu!$I$75,M839=phu!$I$76,M839=phu!$I$77,M839=phu!$I$78),"Cam Phước Đông",""),IF(OR(M839=phu!$I$79,M839=phu!$I$80,M839=phu!$I$81,M839=phu!$I$82,M839=phu!$I$83,M839=phu!$I$84),"Cam Thịnh Đông",""),IF(OR(M839=phu!$I$85,M839=phu!$I$86,M839=phu!$I$87,M839=phu!$I$88),"Cam Thịnh Tây",""),IF(OR(M839=phu!$I$89,M839=phu!$I$90),"Cam Lập",""),IF(OR(M839=phu!$I$91,M839=phu!$I$92,M839=phu!$I$93),"Cam Bình",""),IF(OR(M839=phu!$I$94,M839=phu!$I$95,M839=phu!$I$96,M839=phu!$I$97,M839=phu!$I$98,M839=phu!$I$99,M839=phu!$I$100),"Huyện khác",""),IF(OR(M839=phu!$I$101,M839=phu!$I$102),"Tỉnh khác",""))</f>
        <v/>
      </c>
      <c r="O839" s="829" t="str">
        <f t="shared" ref="O839:O902" si="78">CONCATENATE(IF(OR(N839="Cam Thành Nam",N839="Cam Nghĩa",N839="Cam Phúc Bắc"),"Bắc Cam Ranh",""),IF(OR(N839="Cam Phúc Nam",N839="Cam Phú",N839="Cam Lộc"),"Cam Ranh",""),IF(OR(N839="Cam Thuận",N839="Cam Linh",N839="Cam Lợi"),"Cam Linh",""),IF(OR(N839="Ba Ngòi",N839="Cam Phước Đông"),"Ba Ngòi",""),IF(OR(N839="Cam Thịnh Đông",N839="Cam Thịnh Tây",N839="Cam Lập",N839="Cam Bình"),"Nam Cam Ranh",""),IF(N839="Huyện khác","Huyện khác",""),IF(N839="Tỉnh khác","Tỉnh khác",""))</f>
        <v/>
      </c>
      <c r="P839" s="254"/>
      <c r="Q839" s="254"/>
      <c r="R839" s="254"/>
      <c r="S839" s="254"/>
      <c r="T839" s="254"/>
      <c r="U839" s="254"/>
      <c r="V839" s="254"/>
      <c r="W839" s="254"/>
      <c r="Y839" s="246" t="str">
        <f t="shared" ref="Y839:Y902" si="79">IF(OR(AND(B839="",C839="",D839="",E839="",F839="",G839="",H839="",I839="",J839="",L839="",M839="",N839="",P839="",Q839="",R839="",S839=""),AND(B839&lt;&gt;"",C839&lt;&gt;"",D839&lt;&gt;"",E839&lt;&gt;"",F839&lt;&gt;"",G839&lt;&gt;"",H839&lt;&gt;"",J839&lt;&gt;"",M839&lt;&gt;"",N839&lt;&gt;"",P839&lt;&gt;"",OR(AND(Q839&lt;&gt;"",R839=""),AND(Q839="",R839&lt;&gt;""),AND(Q839&lt;&gt;"",R839&lt;&gt;"")),OR(AND(K839="X",T839&lt;&gt;""),AND(K839="",T839="")))),"","er")</f>
        <v/>
      </c>
      <c r="Z839" s="247" t="str">
        <f t="shared" si="77"/>
        <v/>
      </c>
      <c r="AA839" s="246" t="str">
        <f t="shared" ref="AA839:AA902" si="80">IF(OR(AND(Z839&lt;=10,B839&gt;5),AND(Z839&lt;=11,B839&gt;6),AND(Z839&lt;=12,B839&gt;7),AND(Z839&lt;=13,B839&gt;8),AND(Z839&lt;=14,B839&gt;9),AND(Z839=11,B839=6,L839="X"),AND(Z839=12,B839=7,L839="X"),AND(Z839=13,B839=8,L839="X"),AND(Z839=14,B839=9,L839="X")),"er","")</f>
        <v/>
      </c>
    </row>
    <row r="840" spans="1:27" x14ac:dyDescent="0.25">
      <c r="A840" s="248" t="str">
        <f t="shared" ref="A840:A903" si="81">IF(OR(A839="",B840="",C840="",D840="",E840=""),"",A839+1)</f>
        <v/>
      </c>
      <c r="B840" s="249" t="str">
        <f t="shared" ref="B840:B903" si="82">IF(C840="","",VALUE(LEFT(C840,1)))</f>
        <v/>
      </c>
      <c r="C840" s="250"/>
      <c r="D840" s="251"/>
      <c r="E840" s="241"/>
      <c r="F840" s="252"/>
      <c r="G840" s="252"/>
      <c r="H840" s="253"/>
      <c r="I840" s="250"/>
      <c r="J840" s="250"/>
      <c r="K840" s="270"/>
      <c r="L840" s="250"/>
      <c r="M840" s="250"/>
      <c r="N840" s="540" t="str">
        <f>CONCATENATE(IF(OR(M840=phu!$I$1,M840=phu!$I$2,M840=phu!$I$3),"Cam Thành Nam",""),IF(OR(M840=phu!$I$4,M840=phu!$I$5,M840=phu!$I$6,M840=phu!$I$7,M840=phu!$I$8,M840=phu!$I$9,M840=phu!$I$10,M840=phu!$I$11,M840=phu!$I$12,M840=phu!$I$13,M840=phu!$I$14),"Cam Nghĩa",""),IF(OR(M840=phu!$I$15,M840=phu!$I$16,M840=phu!$I$17,M840=phu!$I$18,M840=phu!$I$19,M840=phu!$I$20,M840=phu!$I$21),"Cam Phúc Bắc",""),IF(OR(M840=phu!$I$22,M840=phu!$I$23,M840=phu!$I$24,M840=phu!$I$25),"Cam Phúc Nam",""),IF(OR(M840=phu!$I$26,M840=phu!$I$27,M840=phu!$I$28,M840=phu!$I$29,M840=phu!$I$30,M840=phu!$I$31),"Cam Phú",""),IF(OR(M840=phu!$I$32,M840=phu!$I$33,M840=phu!$I$34,M840=phu!$I$35,M840=phu!$I$36,M840=phu!$I$37),"Cam Lộc",""),IF(OR(M840=phu!$I$38,M840=phu!$I$39,M840=phu!$I$40,M840=phu!$I$41,M840=phu!$I$42,M840=phu!$I$43,M840=phu!$I$44),"Cam Thuận",""),IF(OR(M840=phu!$I$45,M840=phu!$I$46,M840=phu!$I$47,M840=phu!$I$48,M840=phu!$I$49,M840=phu!$I$50,M840=phu!$I$51,M840=phu!$I$52,M840=phu!$I$53),"Cam Linh",""),IF(OR(M840=phu!$I$54,M840=phu!$I$55,M840=phu!$I$56,M840=phu!$I$57,M840=phu!$I$58,M840=phu!$I$59,M840=phu!$I$60,M840=phu!$I$61,M840=phu!$I$62),"Cam Lợi",""),IF(OR(M840=phu!$I$63,M840=phu!$I$64,M840=phu!$I$65,M840=phu!$I$66,M840=phu!$I$67,M840=phu!$I$68,M840=phu!$I$69,M840=phu!$I$70,M840=phu!$I$71),"Ba Ngòi",""),IF(OR(M840=phu!$I$72,M840=phu!$I$73,M840=phu!$I$74,M840=phu!$I$75,M840=phu!$I$76,M840=phu!$I$77,M840=phu!$I$78),"Cam Phước Đông",""),IF(OR(M840=phu!$I$79,M840=phu!$I$80,M840=phu!$I$81,M840=phu!$I$82,M840=phu!$I$83,M840=phu!$I$84),"Cam Thịnh Đông",""),IF(OR(M840=phu!$I$85,M840=phu!$I$86,M840=phu!$I$87,M840=phu!$I$88),"Cam Thịnh Tây",""),IF(OR(M840=phu!$I$89,M840=phu!$I$90),"Cam Lập",""),IF(OR(M840=phu!$I$91,M840=phu!$I$92,M840=phu!$I$93),"Cam Bình",""),IF(OR(M840=phu!$I$94,M840=phu!$I$95,M840=phu!$I$96,M840=phu!$I$97,M840=phu!$I$98,M840=phu!$I$99,M840=phu!$I$100),"Huyện khác",""),IF(OR(M840=phu!$I$101,M840=phu!$I$102),"Tỉnh khác",""))</f>
        <v/>
      </c>
      <c r="O840" s="829" t="str">
        <f t="shared" si="78"/>
        <v/>
      </c>
      <c r="P840" s="254"/>
      <c r="Q840" s="254"/>
      <c r="R840" s="254"/>
      <c r="S840" s="254"/>
      <c r="T840" s="254"/>
      <c r="U840" s="254"/>
      <c r="V840" s="254"/>
      <c r="W840" s="254"/>
      <c r="Y840" s="246" t="str">
        <f t="shared" si="79"/>
        <v/>
      </c>
      <c r="Z840" s="247" t="str">
        <f t="shared" ref="Z840:Z903" si="83">IF(H840="","",$Z$1-H840)</f>
        <v/>
      </c>
      <c r="AA840" s="246" t="str">
        <f t="shared" si="80"/>
        <v/>
      </c>
    </row>
    <row r="841" spans="1:27" x14ac:dyDescent="0.25">
      <c r="A841" s="248" t="str">
        <f t="shared" si="81"/>
        <v/>
      </c>
      <c r="B841" s="249" t="str">
        <f t="shared" si="82"/>
        <v/>
      </c>
      <c r="C841" s="250"/>
      <c r="D841" s="251"/>
      <c r="E841" s="241"/>
      <c r="F841" s="252"/>
      <c r="G841" s="252"/>
      <c r="H841" s="253"/>
      <c r="I841" s="250"/>
      <c r="J841" s="250"/>
      <c r="K841" s="270"/>
      <c r="L841" s="250"/>
      <c r="M841" s="250"/>
      <c r="N841" s="540" t="str">
        <f>CONCATENATE(IF(OR(M841=phu!$I$1,M841=phu!$I$2,M841=phu!$I$3),"Cam Thành Nam",""),IF(OR(M841=phu!$I$4,M841=phu!$I$5,M841=phu!$I$6,M841=phu!$I$7,M841=phu!$I$8,M841=phu!$I$9,M841=phu!$I$10,M841=phu!$I$11,M841=phu!$I$12,M841=phu!$I$13,M841=phu!$I$14),"Cam Nghĩa",""),IF(OR(M841=phu!$I$15,M841=phu!$I$16,M841=phu!$I$17,M841=phu!$I$18,M841=phu!$I$19,M841=phu!$I$20,M841=phu!$I$21),"Cam Phúc Bắc",""),IF(OR(M841=phu!$I$22,M841=phu!$I$23,M841=phu!$I$24,M841=phu!$I$25),"Cam Phúc Nam",""),IF(OR(M841=phu!$I$26,M841=phu!$I$27,M841=phu!$I$28,M841=phu!$I$29,M841=phu!$I$30,M841=phu!$I$31),"Cam Phú",""),IF(OR(M841=phu!$I$32,M841=phu!$I$33,M841=phu!$I$34,M841=phu!$I$35,M841=phu!$I$36,M841=phu!$I$37),"Cam Lộc",""),IF(OR(M841=phu!$I$38,M841=phu!$I$39,M841=phu!$I$40,M841=phu!$I$41,M841=phu!$I$42,M841=phu!$I$43,M841=phu!$I$44),"Cam Thuận",""),IF(OR(M841=phu!$I$45,M841=phu!$I$46,M841=phu!$I$47,M841=phu!$I$48,M841=phu!$I$49,M841=phu!$I$50,M841=phu!$I$51,M841=phu!$I$52,M841=phu!$I$53),"Cam Linh",""),IF(OR(M841=phu!$I$54,M841=phu!$I$55,M841=phu!$I$56,M841=phu!$I$57,M841=phu!$I$58,M841=phu!$I$59,M841=phu!$I$60,M841=phu!$I$61,M841=phu!$I$62),"Cam Lợi",""),IF(OR(M841=phu!$I$63,M841=phu!$I$64,M841=phu!$I$65,M841=phu!$I$66,M841=phu!$I$67,M841=phu!$I$68,M841=phu!$I$69,M841=phu!$I$70,M841=phu!$I$71),"Ba Ngòi",""),IF(OR(M841=phu!$I$72,M841=phu!$I$73,M841=phu!$I$74,M841=phu!$I$75,M841=phu!$I$76,M841=phu!$I$77,M841=phu!$I$78),"Cam Phước Đông",""),IF(OR(M841=phu!$I$79,M841=phu!$I$80,M841=phu!$I$81,M841=phu!$I$82,M841=phu!$I$83,M841=phu!$I$84),"Cam Thịnh Đông",""),IF(OR(M841=phu!$I$85,M841=phu!$I$86,M841=phu!$I$87,M841=phu!$I$88),"Cam Thịnh Tây",""),IF(OR(M841=phu!$I$89,M841=phu!$I$90),"Cam Lập",""),IF(OR(M841=phu!$I$91,M841=phu!$I$92,M841=phu!$I$93),"Cam Bình",""),IF(OR(M841=phu!$I$94,M841=phu!$I$95,M841=phu!$I$96,M841=phu!$I$97,M841=phu!$I$98,M841=phu!$I$99,M841=phu!$I$100),"Huyện khác",""),IF(OR(M841=phu!$I$101,M841=phu!$I$102),"Tỉnh khác",""))</f>
        <v/>
      </c>
      <c r="O841" s="829" t="str">
        <f t="shared" si="78"/>
        <v/>
      </c>
      <c r="P841" s="254"/>
      <c r="Q841" s="254"/>
      <c r="R841" s="254"/>
      <c r="S841" s="254"/>
      <c r="T841" s="254"/>
      <c r="U841" s="254"/>
      <c r="V841" s="254"/>
      <c r="W841" s="254"/>
      <c r="Y841" s="246" t="str">
        <f t="shared" si="79"/>
        <v/>
      </c>
      <c r="Z841" s="247" t="str">
        <f t="shared" si="83"/>
        <v/>
      </c>
      <c r="AA841" s="246" t="str">
        <f t="shared" si="80"/>
        <v/>
      </c>
    </row>
    <row r="842" spans="1:27" x14ac:dyDescent="0.25">
      <c r="A842" s="248" t="str">
        <f t="shared" si="81"/>
        <v/>
      </c>
      <c r="B842" s="249" t="str">
        <f t="shared" si="82"/>
        <v/>
      </c>
      <c r="C842" s="250"/>
      <c r="D842" s="251"/>
      <c r="E842" s="241"/>
      <c r="F842" s="252"/>
      <c r="G842" s="252"/>
      <c r="H842" s="253"/>
      <c r="I842" s="250"/>
      <c r="J842" s="250"/>
      <c r="K842" s="270"/>
      <c r="L842" s="250"/>
      <c r="M842" s="250"/>
      <c r="N842" s="540" t="str">
        <f>CONCATENATE(IF(OR(M842=phu!$I$1,M842=phu!$I$2,M842=phu!$I$3),"Cam Thành Nam",""),IF(OR(M842=phu!$I$4,M842=phu!$I$5,M842=phu!$I$6,M842=phu!$I$7,M842=phu!$I$8,M842=phu!$I$9,M842=phu!$I$10,M842=phu!$I$11,M842=phu!$I$12,M842=phu!$I$13,M842=phu!$I$14),"Cam Nghĩa",""),IF(OR(M842=phu!$I$15,M842=phu!$I$16,M842=phu!$I$17,M842=phu!$I$18,M842=phu!$I$19,M842=phu!$I$20,M842=phu!$I$21),"Cam Phúc Bắc",""),IF(OR(M842=phu!$I$22,M842=phu!$I$23,M842=phu!$I$24,M842=phu!$I$25),"Cam Phúc Nam",""),IF(OR(M842=phu!$I$26,M842=phu!$I$27,M842=phu!$I$28,M842=phu!$I$29,M842=phu!$I$30,M842=phu!$I$31),"Cam Phú",""),IF(OR(M842=phu!$I$32,M842=phu!$I$33,M842=phu!$I$34,M842=phu!$I$35,M842=phu!$I$36,M842=phu!$I$37),"Cam Lộc",""),IF(OR(M842=phu!$I$38,M842=phu!$I$39,M842=phu!$I$40,M842=phu!$I$41,M842=phu!$I$42,M842=phu!$I$43,M842=phu!$I$44),"Cam Thuận",""),IF(OR(M842=phu!$I$45,M842=phu!$I$46,M842=phu!$I$47,M842=phu!$I$48,M842=phu!$I$49,M842=phu!$I$50,M842=phu!$I$51,M842=phu!$I$52,M842=phu!$I$53),"Cam Linh",""),IF(OR(M842=phu!$I$54,M842=phu!$I$55,M842=phu!$I$56,M842=phu!$I$57,M842=phu!$I$58,M842=phu!$I$59,M842=phu!$I$60,M842=phu!$I$61,M842=phu!$I$62),"Cam Lợi",""),IF(OR(M842=phu!$I$63,M842=phu!$I$64,M842=phu!$I$65,M842=phu!$I$66,M842=phu!$I$67,M842=phu!$I$68,M842=phu!$I$69,M842=phu!$I$70,M842=phu!$I$71),"Ba Ngòi",""),IF(OR(M842=phu!$I$72,M842=phu!$I$73,M842=phu!$I$74,M842=phu!$I$75,M842=phu!$I$76,M842=phu!$I$77,M842=phu!$I$78),"Cam Phước Đông",""),IF(OR(M842=phu!$I$79,M842=phu!$I$80,M842=phu!$I$81,M842=phu!$I$82,M842=phu!$I$83,M842=phu!$I$84),"Cam Thịnh Đông",""),IF(OR(M842=phu!$I$85,M842=phu!$I$86,M842=phu!$I$87,M842=phu!$I$88),"Cam Thịnh Tây",""),IF(OR(M842=phu!$I$89,M842=phu!$I$90),"Cam Lập",""),IF(OR(M842=phu!$I$91,M842=phu!$I$92,M842=phu!$I$93),"Cam Bình",""),IF(OR(M842=phu!$I$94,M842=phu!$I$95,M842=phu!$I$96,M842=phu!$I$97,M842=phu!$I$98,M842=phu!$I$99,M842=phu!$I$100),"Huyện khác",""),IF(OR(M842=phu!$I$101,M842=phu!$I$102),"Tỉnh khác",""))</f>
        <v/>
      </c>
      <c r="O842" s="829" t="str">
        <f t="shared" si="78"/>
        <v/>
      </c>
      <c r="P842" s="254"/>
      <c r="Q842" s="254"/>
      <c r="R842" s="254"/>
      <c r="S842" s="254"/>
      <c r="T842" s="254"/>
      <c r="U842" s="254"/>
      <c r="V842" s="254"/>
      <c r="W842" s="254"/>
      <c r="Y842" s="246" t="str">
        <f t="shared" si="79"/>
        <v/>
      </c>
      <c r="Z842" s="247" t="str">
        <f t="shared" si="83"/>
        <v/>
      </c>
      <c r="AA842" s="246" t="str">
        <f t="shared" si="80"/>
        <v/>
      </c>
    </row>
    <row r="843" spans="1:27" x14ac:dyDescent="0.25">
      <c r="A843" s="248" t="str">
        <f t="shared" si="81"/>
        <v/>
      </c>
      <c r="B843" s="249" t="str">
        <f t="shared" si="82"/>
        <v/>
      </c>
      <c r="C843" s="250"/>
      <c r="D843" s="251"/>
      <c r="E843" s="241"/>
      <c r="F843" s="252"/>
      <c r="G843" s="252"/>
      <c r="H843" s="253"/>
      <c r="I843" s="250"/>
      <c r="J843" s="250"/>
      <c r="K843" s="270"/>
      <c r="L843" s="250"/>
      <c r="M843" s="250"/>
      <c r="N843" s="540" t="str">
        <f>CONCATENATE(IF(OR(M843=phu!$I$1,M843=phu!$I$2,M843=phu!$I$3),"Cam Thành Nam",""),IF(OR(M843=phu!$I$4,M843=phu!$I$5,M843=phu!$I$6,M843=phu!$I$7,M843=phu!$I$8,M843=phu!$I$9,M843=phu!$I$10,M843=phu!$I$11,M843=phu!$I$12,M843=phu!$I$13,M843=phu!$I$14),"Cam Nghĩa",""),IF(OR(M843=phu!$I$15,M843=phu!$I$16,M843=phu!$I$17,M843=phu!$I$18,M843=phu!$I$19,M843=phu!$I$20,M843=phu!$I$21),"Cam Phúc Bắc",""),IF(OR(M843=phu!$I$22,M843=phu!$I$23,M843=phu!$I$24,M843=phu!$I$25),"Cam Phúc Nam",""),IF(OR(M843=phu!$I$26,M843=phu!$I$27,M843=phu!$I$28,M843=phu!$I$29,M843=phu!$I$30,M843=phu!$I$31),"Cam Phú",""),IF(OR(M843=phu!$I$32,M843=phu!$I$33,M843=phu!$I$34,M843=phu!$I$35,M843=phu!$I$36,M843=phu!$I$37),"Cam Lộc",""),IF(OR(M843=phu!$I$38,M843=phu!$I$39,M843=phu!$I$40,M843=phu!$I$41,M843=phu!$I$42,M843=phu!$I$43,M843=phu!$I$44),"Cam Thuận",""),IF(OR(M843=phu!$I$45,M843=phu!$I$46,M843=phu!$I$47,M843=phu!$I$48,M843=phu!$I$49,M843=phu!$I$50,M843=phu!$I$51,M843=phu!$I$52,M843=phu!$I$53),"Cam Linh",""),IF(OR(M843=phu!$I$54,M843=phu!$I$55,M843=phu!$I$56,M843=phu!$I$57,M843=phu!$I$58,M843=phu!$I$59,M843=phu!$I$60,M843=phu!$I$61,M843=phu!$I$62),"Cam Lợi",""),IF(OR(M843=phu!$I$63,M843=phu!$I$64,M843=phu!$I$65,M843=phu!$I$66,M843=phu!$I$67,M843=phu!$I$68,M843=phu!$I$69,M843=phu!$I$70,M843=phu!$I$71),"Ba Ngòi",""),IF(OR(M843=phu!$I$72,M843=phu!$I$73,M843=phu!$I$74,M843=phu!$I$75,M843=phu!$I$76,M843=phu!$I$77,M843=phu!$I$78),"Cam Phước Đông",""),IF(OR(M843=phu!$I$79,M843=phu!$I$80,M843=phu!$I$81,M843=phu!$I$82,M843=phu!$I$83,M843=phu!$I$84),"Cam Thịnh Đông",""),IF(OR(M843=phu!$I$85,M843=phu!$I$86,M843=phu!$I$87,M843=phu!$I$88),"Cam Thịnh Tây",""),IF(OR(M843=phu!$I$89,M843=phu!$I$90),"Cam Lập",""),IF(OR(M843=phu!$I$91,M843=phu!$I$92,M843=phu!$I$93),"Cam Bình",""),IF(OR(M843=phu!$I$94,M843=phu!$I$95,M843=phu!$I$96,M843=phu!$I$97,M843=phu!$I$98,M843=phu!$I$99,M843=phu!$I$100),"Huyện khác",""),IF(OR(M843=phu!$I$101,M843=phu!$I$102),"Tỉnh khác",""))</f>
        <v/>
      </c>
      <c r="O843" s="829" t="str">
        <f t="shared" si="78"/>
        <v/>
      </c>
      <c r="P843" s="254"/>
      <c r="Q843" s="254"/>
      <c r="R843" s="254"/>
      <c r="S843" s="254"/>
      <c r="T843" s="254"/>
      <c r="U843" s="254"/>
      <c r="V843" s="254"/>
      <c r="W843" s="254"/>
      <c r="Y843" s="246" t="str">
        <f t="shared" si="79"/>
        <v/>
      </c>
      <c r="Z843" s="247" t="str">
        <f t="shared" si="83"/>
        <v/>
      </c>
      <c r="AA843" s="246" t="str">
        <f t="shared" si="80"/>
        <v/>
      </c>
    </row>
    <row r="844" spans="1:27" x14ac:dyDescent="0.25">
      <c r="A844" s="248" t="str">
        <f t="shared" si="81"/>
        <v/>
      </c>
      <c r="B844" s="249" t="str">
        <f t="shared" si="82"/>
        <v/>
      </c>
      <c r="C844" s="250"/>
      <c r="D844" s="251"/>
      <c r="E844" s="241"/>
      <c r="F844" s="252"/>
      <c r="G844" s="252"/>
      <c r="H844" s="253"/>
      <c r="I844" s="250"/>
      <c r="J844" s="250"/>
      <c r="K844" s="270"/>
      <c r="L844" s="250"/>
      <c r="M844" s="250"/>
      <c r="N844" s="540" t="str">
        <f>CONCATENATE(IF(OR(M844=phu!$I$1,M844=phu!$I$2,M844=phu!$I$3),"Cam Thành Nam",""),IF(OR(M844=phu!$I$4,M844=phu!$I$5,M844=phu!$I$6,M844=phu!$I$7,M844=phu!$I$8,M844=phu!$I$9,M844=phu!$I$10,M844=phu!$I$11,M844=phu!$I$12,M844=phu!$I$13,M844=phu!$I$14),"Cam Nghĩa",""),IF(OR(M844=phu!$I$15,M844=phu!$I$16,M844=phu!$I$17,M844=phu!$I$18,M844=phu!$I$19,M844=phu!$I$20,M844=phu!$I$21),"Cam Phúc Bắc",""),IF(OR(M844=phu!$I$22,M844=phu!$I$23,M844=phu!$I$24,M844=phu!$I$25),"Cam Phúc Nam",""),IF(OR(M844=phu!$I$26,M844=phu!$I$27,M844=phu!$I$28,M844=phu!$I$29,M844=phu!$I$30,M844=phu!$I$31),"Cam Phú",""),IF(OR(M844=phu!$I$32,M844=phu!$I$33,M844=phu!$I$34,M844=phu!$I$35,M844=phu!$I$36,M844=phu!$I$37),"Cam Lộc",""),IF(OR(M844=phu!$I$38,M844=phu!$I$39,M844=phu!$I$40,M844=phu!$I$41,M844=phu!$I$42,M844=phu!$I$43,M844=phu!$I$44),"Cam Thuận",""),IF(OR(M844=phu!$I$45,M844=phu!$I$46,M844=phu!$I$47,M844=phu!$I$48,M844=phu!$I$49,M844=phu!$I$50,M844=phu!$I$51,M844=phu!$I$52,M844=phu!$I$53),"Cam Linh",""),IF(OR(M844=phu!$I$54,M844=phu!$I$55,M844=phu!$I$56,M844=phu!$I$57,M844=phu!$I$58,M844=phu!$I$59,M844=phu!$I$60,M844=phu!$I$61,M844=phu!$I$62),"Cam Lợi",""),IF(OR(M844=phu!$I$63,M844=phu!$I$64,M844=phu!$I$65,M844=phu!$I$66,M844=phu!$I$67,M844=phu!$I$68,M844=phu!$I$69,M844=phu!$I$70,M844=phu!$I$71),"Ba Ngòi",""),IF(OR(M844=phu!$I$72,M844=phu!$I$73,M844=phu!$I$74,M844=phu!$I$75,M844=phu!$I$76,M844=phu!$I$77,M844=phu!$I$78),"Cam Phước Đông",""),IF(OR(M844=phu!$I$79,M844=phu!$I$80,M844=phu!$I$81,M844=phu!$I$82,M844=phu!$I$83,M844=phu!$I$84),"Cam Thịnh Đông",""),IF(OR(M844=phu!$I$85,M844=phu!$I$86,M844=phu!$I$87,M844=phu!$I$88),"Cam Thịnh Tây",""),IF(OR(M844=phu!$I$89,M844=phu!$I$90),"Cam Lập",""),IF(OR(M844=phu!$I$91,M844=phu!$I$92,M844=phu!$I$93),"Cam Bình",""),IF(OR(M844=phu!$I$94,M844=phu!$I$95,M844=phu!$I$96,M844=phu!$I$97,M844=phu!$I$98,M844=phu!$I$99,M844=phu!$I$100),"Huyện khác",""),IF(OR(M844=phu!$I$101,M844=phu!$I$102),"Tỉnh khác",""))</f>
        <v/>
      </c>
      <c r="O844" s="829" t="str">
        <f t="shared" si="78"/>
        <v/>
      </c>
      <c r="P844" s="254"/>
      <c r="Q844" s="254"/>
      <c r="R844" s="254"/>
      <c r="S844" s="254"/>
      <c r="T844" s="254"/>
      <c r="U844" s="254"/>
      <c r="V844" s="254"/>
      <c r="W844" s="254"/>
      <c r="Y844" s="246" t="str">
        <f t="shared" si="79"/>
        <v/>
      </c>
      <c r="Z844" s="247" t="str">
        <f t="shared" si="83"/>
        <v/>
      </c>
      <c r="AA844" s="246" t="str">
        <f t="shared" si="80"/>
        <v/>
      </c>
    </row>
    <row r="845" spans="1:27" x14ac:dyDescent="0.25">
      <c r="A845" s="248" t="str">
        <f t="shared" si="81"/>
        <v/>
      </c>
      <c r="B845" s="249" t="str">
        <f t="shared" si="82"/>
        <v/>
      </c>
      <c r="C845" s="250"/>
      <c r="D845" s="251"/>
      <c r="E845" s="241"/>
      <c r="F845" s="252"/>
      <c r="G845" s="252"/>
      <c r="H845" s="253"/>
      <c r="I845" s="250"/>
      <c r="J845" s="250"/>
      <c r="K845" s="270"/>
      <c r="L845" s="250"/>
      <c r="M845" s="250"/>
      <c r="N845" s="540" t="str">
        <f>CONCATENATE(IF(OR(M845=phu!$I$1,M845=phu!$I$2,M845=phu!$I$3),"Cam Thành Nam",""),IF(OR(M845=phu!$I$4,M845=phu!$I$5,M845=phu!$I$6,M845=phu!$I$7,M845=phu!$I$8,M845=phu!$I$9,M845=phu!$I$10,M845=phu!$I$11,M845=phu!$I$12,M845=phu!$I$13,M845=phu!$I$14),"Cam Nghĩa",""),IF(OR(M845=phu!$I$15,M845=phu!$I$16,M845=phu!$I$17,M845=phu!$I$18,M845=phu!$I$19,M845=phu!$I$20,M845=phu!$I$21),"Cam Phúc Bắc",""),IF(OR(M845=phu!$I$22,M845=phu!$I$23,M845=phu!$I$24,M845=phu!$I$25),"Cam Phúc Nam",""),IF(OR(M845=phu!$I$26,M845=phu!$I$27,M845=phu!$I$28,M845=phu!$I$29,M845=phu!$I$30,M845=phu!$I$31),"Cam Phú",""),IF(OR(M845=phu!$I$32,M845=phu!$I$33,M845=phu!$I$34,M845=phu!$I$35,M845=phu!$I$36,M845=phu!$I$37),"Cam Lộc",""),IF(OR(M845=phu!$I$38,M845=phu!$I$39,M845=phu!$I$40,M845=phu!$I$41,M845=phu!$I$42,M845=phu!$I$43,M845=phu!$I$44),"Cam Thuận",""),IF(OR(M845=phu!$I$45,M845=phu!$I$46,M845=phu!$I$47,M845=phu!$I$48,M845=phu!$I$49,M845=phu!$I$50,M845=phu!$I$51,M845=phu!$I$52,M845=phu!$I$53),"Cam Linh",""),IF(OR(M845=phu!$I$54,M845=phu!$I$55,M845=phu!$I$56,M845=phu!$I$57,M845=phu!$I$58,M845=phu!$I$59,M845=phu!$I$60,M845=phu!$I$61,M845=phu!$I$62),"Cam Lợi",""),IF(OR(M845=phu!$I$63,M845=phu!$I$64,M845=phu!$I$65,M845=phu!$I$66,M845=phu!$I$67,M845=phu!$I$68,M845=phu!$I$69,M845=phu!$I$70,M845=phu!$I$71),"Ba Ngòi",""),IF(OR(M845=phu!$I$72,M845=phu!$I$73,M845=phu!$I$74,M845=phu!$I$75,M845=phu!$I$76,M845=phu!$I$77,M845=phu!$I$78),"Cam Phước Đông",""),IF(OR(M845=phu!$I$79,M845=phu!$I$80,M845=phu!$I$81,M845=phu!$I$82,M845=phu!$I$83,M845=phu!$I$84),"Cam Thịnh Đông",""),IF(OR(M845=phu!$I$85,M845=phu!$I$86,M845=phu!$I$87,M845=phu!$I$88),"Cam Thịnh Tây",""),IF(OR(M845=phu!$I$89,M845=phu!$I$90),"Cam Lập",""),IF(OR(M845=phu!$I$91,M845=phu!$I$92,M845=phu!$I$93),"Cam Bình",""),IF(OR(M845=phu!$I$94,M845=phu!$I$95,M845=phu!$I$96,M845=phu!$I$97,M845=phu!$I$98,M845=phu!$I$99,M845=phu!$I$100),"Huyện khác",""),IF(OR(M845=phu!$I$101,M845=phu!$I$102),"Tỉnh khác",""))</f>
        <v/>
      </c>
      <c r="O845" s="829" t="str">
        <f t="shared" si="78"/>
        <v/>
      </c>
      <c r="P845" s="254"/>
      <c r="Q845" s="254"/>
      <c r="R845" s="254"/>
      <c r="S845" s="254"/>
      <c r="T845" s="254"/>
      <c r="U845" s="254"/>
      <c r="V845" s="254"/>
      <c r="W845" s="254"/>
      <c r="Y845" s="246" t="str">
        <f t="shared" si="79"/>
        <v/>
      </c>
      <c r="Z845" s="247" t="str">
        <f t="shared" si="83"/>
        <v/>
      </c>
      <c r="AA845" s="246" t="str">
        <f t="shared" si="80"/>
        <v/>
      </c>
    </row>
    <row r="846" spans="1:27" x14ac:dyDescent="0.25">
      <c r="A846" s="248" t="str">
        <f t="shared" si="81"/>
        <v/>
      </c>
      <c r="B846" s="249" t="str">
        <f t="shared" si="82"/>
        <v/>
      </c>
      <c r="C846" s="250"/>
      <c r="D846" s="251"/>
      <c r="E846" s="241"/>
      <c r="F846" s="252"/>
      <c r="G846" s="252"/>
      <c r="H846" s="253"/>
      <c r="I846" s="250"/>
      <c r="J846" s="250"/>
      <c r="K846" s="270"/>
      <c r="L846" s="250"/>
      <c r="M846" s="250"/>
      <c r="N846" s="540" t="str">
        <f>CONCATENATE(IF(OR(M846=phu!$I$1,M846=phu!$I$2,M846=phu!$I$3),"Cam Thành Nam",""),IF(OR(M846=phu!$I$4,M846=phu!$I$5,M846=phu!$I$6,M846=phu!$I$7,M846=phu!$I$8,M846=phu!$I$9,M846=phu!$I$10,M846=phu!$I$11,M846=phu!$I$12,M846=phu!$I$13,M846=phu!$I$14),"Cam Nghĩa",""),IF(OR(M846=phu!$I$15,M846=phu!$I$16,M846=phu!$I$17,M846=phu!$I$18,M846=phu!$I$19,M846=phu!$I$20,M846=phu!$I$21),"Cam Phúc Bắc",""),IF(OR(M846=phu!$I$22,M846=phu!$I$23,M846=phu!$I$24,M846=phu!$I$25),"Cam Phúc Nam",""),IF(OR(M846=phu!$I$26,M846=phu!$I$27,M846=phu!$I$28,M846=phu!$I$29,M846=phu!$I$30,M846=phu!$I$31),"Cam Phú",""),IF(OR(M846=phu!$I$32,M846=phu!$I$33,M846=phu!$I$34,M846=phu!$I$35,M846=phu!$I$36,M846=phu!$I$37),"Cam Lộc",""),IF(OR(M846=phu!$I$38,M846=phu!$I$39,M846=phu!$I$40,M846=phu!$I$41,M846=phu!$I$42,M846=phu!$I$43,M846=phu!$I$44),"Cam Thuận",""),IF(OR(M846=phu!$I$45,M846=phu!$I$46,M846=phu!$I$47,M846=phu!$I$48,M846=phu!$I$49,M846=phu!$I$50,M846=phu!$I$51,M846=phu!$I$52,M846=phu!$I$53),"Cam Linh",""),IF(OR(M846=phu!$I$54,M846=phu!$I$55,M846=phu!$I$56,M846=phu!$I$57,M846=phu!$I$58,M846=phu!$I$59,M846=phu!$I$60,M846=phu!$I$61,M846=phu!$I$62),"Cam Lợi",""),IF(OR(M846=phu!$I$63,M846=phu!$I$64,M846=phu!$I$65,M846=phu!$I$66,M846=phu!$I$67,M846=phu!$I$68,M846=phu!$I$69,M846=phu!$I$70,M846=phu!$I$71),"Ba Ngòi",""),IF(OR(M846=phu!$I$72,M846=phu!$I$73,M846=phu!$I$74,M846=phu!$I$75,M846=phu!$I$76,M846=phu!$I$77,M846=phu!$I$78),"Cam Phước Đông",""),IF(OR(M846=phu!$I$79,M846=phu!$I$80,M846=phu!$I$81,M846=phu!$I$82,M846=phu!$I$83,M846=phu!$I$84),"Cam Thịnh Đông",""),IF(OR(M846=phu!$I$85,M846=phu!$I$86,M846=phu!$I$87,M846=phu!$I$88),"Cam Thịnh Tây",""),IF(OR(M846=phu!$I$89,M846=phu!$I$90),"Cam Lập",""),IF(OR(M846=phu!$I$91,M846=phu!$I$92,M846=phu!$I$93),"Cam Bình",""),IF(OR(M846=phu!$I$94,M846=phu!$I$95,M846=phu!$I$96,M846=phu!$I$97,M846=phu!$I$98,M846=phu!$I$99,M846=phu!$I$100),"Huyện khác",""),IF(OR(M846=phu!$I$101,M846=phu!$I$102),"Tỉnh khác",""))</f>
        <v/>
      </c>
      <c r="O846" s="829" t="str">
        <f t="shared" si="78"/>
        <v/>
      </c>
      <c r="P846" s="254"/>
      <c r="Q846" s="254"/>
      <c r="R846" s="254"/>
      <c r="S846" s="254"/>
      <c r="T846" s="254"/>
      <c r="U846" s="254"/>
      <c r="V846" s="254"/>
      <c r="W846" s="254"/>
      <c r="Y846" s="246" t="str">
        <f t="shared" si="79"/>
        <v/>
      </c>
      <c r="Z846" s="247" t="str">
        <f t="shared" si="83"/>
        <v/>
      </c>
      <c r="AA846" s="246" t="str">
        <f t="shared" si="80"/>
        <v/>
      </c>
    </row>
    <row r="847" spans="1:27" x14ac:dyDescent="0.25">
      <c r="A847" s="248" t="str">
        <f t="shared" si="81"/>
        <v/>
      </c>
      <c r="B847" s="249" t="str">
        <f t="shared" si="82"/>
        <v/>
      </c>
      <c r="C847" s="250"/>
      <c r="D847" s="251"/>
      <c r="E847" s="241"/>
      <c r="F847" s="252"/>
      <c r="G847" s="252"/>
      <c r="H847" s="253"/>
      <c r="I847" s="250"/>
      <c r="J847" s="250"/>
      <c r="K847" s="270"/>
      <c r="L847" s="250"/>
      <c r="M847" s="250"/>
      <c r="N847" s="540" t="str">
        <f>CONCATENATE(IF(OR(M847=phu!$I$1,M847=phu!$I$2,M847=phu!$I$3),"Cam Thành Nam",""),IF(OR(M847=phu!$I$4,M847=phu!$I$5,M847=phu!$I$6,M847=phu!$I$7,M847=phu!$I$8,M847=phu!$I$9,M847=phu!$I$10,M847=phu!$I$11,M847=phu!$I$12,M847=phu!$I$13,M847=phu!$I$14),"Cam Nghĩa",""),IF(OR(M847=phu!$I$15,M847=phu!$I$16,M847=phu!$I$17,M847=phu!$I$18,M847=phu!$I$19,M847=phu!$I$20,M847=phu!$I$21),"Cam Phúc Bắc",""),IF(OR(M847=phu!$I$22,M847=phu!$I$23,M847=phu!$I$24,M847=phu!$I$25),"Cam Phúc Nam",""),IF(OR(M847=phu!$I$26,M847=phu!$I$27,M847=phu!$I$28,M847=phu!$I$29,M847=phu!$I$30,M847=phu!$I$31),"Cam Phú",""),IF(OR(M847=phu!$I$32,M847=phu!$I$33,M847=phu!$I$34,M847=phu!$I$35,M847=phu!$I$36,M847=phu!$I$37),"Cam Lộc",""),IF(OR(M847=phu!$I$38,M847=phu!$I$39,M847=phu!$I$40,M847=phu!$I$41,M847=phu!$I$42,M847=phu!$I$43,M847=phu!$I$44),"Cam Thuận",""),IF(OR(M847=phu!$I$45,M847=phu!$I$46,M847=phu!$I$47,M847=phu!$I$48,M847=phu!$I$49,M847=phu!$I$50,M847=phu!$I$51,M847=phu!$I$52,M847=phu!$I$53),"Cam Linh",""),IF(OR(M847=phu!$I$54,M847=phu!$I$55,M847=phu!$I$56,M847=phu!$I$57,M847=phu!$I$58,M847=phu!$I$59,M847=phu!$I$60,M847=phu!$I$61,M847=phu!$I$62),"Cam Lợi",""),IF(OR(M847=phu!$I$63,M847=phu!$I$64,M847=phu!$I$65,M847=phu!$I$66,M847=phu!$I$67,M847=phu!$I$68,M847=phu!$I$69,M847=phu!$I$70,M847=phu!$I$71),"Ba Ngòi",""),IF(OR(M847=phu!$I$72,M847=phu!$I$73,M847=phu!$I$74,M847=phu!$I$75,M847=phu!$I$76,M847=phu!$I$77,M847=phu!$I$78),"Cam Phước Đông",""),IF(OR(M847=phu!$I$79,M847=phu!$I$80,M847=phu!$I$81,M847=phu!$I$82,M847=phu!$I$83,M847=phu!$I$84),"Cam Thịnh Đông",""),IF(OR(M847=phu!$I$85,M847=phu!$I$86,M847=phu!$I$87,M847=phu!$I$88),"Cam Thịnh Tây",""),IF(OR(M847=phu!$I$89,M847=phu!$I$90),"Cam Lập",""),IF(OR(M847=phu!$I$91,M847=phu!$I$92,M847=phu!$I$93),"Cam Bình",""),IF(OR(M847=phu!$I$94,M847=phu!$I$95,M847=phu!$I$96,M847=phu!$I$97,M847=phu!$I$98,M847=phu!$I$99,M847=phu!$I$100),"Huyện khác",""),IF(OR(M847=phu!$I$101,M847=phu!$I$102),"Tỉnh khác",""))</f>
        <v/>
      </c>
      <c r="O847" s="829" t="str">
        <f t="shared" si="78"/>
        <v/>
      </c>
      <c r="P847" s="254"/>
      <c r="Q847" s="254"/>
      <c r="R847" s="254"/>
      <c r="S847" s="254"/>
      <c r="T847" s="254"/>
      <c r="U847" s="254"/>
      <c r="V847" s="254"/>
      <c r="W847" s="254"/>
      <c r="Y847" s="246" t="str">
        <f t="shared" si="79"/>
        <v/>
      </c>
      <c r="Z847" s="247" t="str">
        <f t="shared" si="83"/>
        <v/>
      </c>
      <c r="AA847" s="246" t="str">
        <f t="shared" si="80"/>
        <v/>
      </c>
    </row>
    <row r="848" spans="1:27" x14ac:dyDescent="0.25">
      <c r="A848" s="248" t="str">
        <f t="shared" si="81"/>
        <v/>
      </c>
      <c r="B848" s="249" t="str">
        <f t="shared" si="82"/>
        <v/>
      </c>
      <c r="C848" s="250"/>
      <c r="D848" s="251"/>
      <c r="E848" s="241"/>
      <c r="F848" s="252"/>
      <c r="G848" s="252"/>
      <c r="H848" s="253"/>
      <c r="I848" s="250"/>
      <c r="J848" s="250"/>
      <c r="K848" s="270"/>
      <c r="L848" s="250"/>
      <c r="M848" s="250"/>
      <c r="N848" s="540" t="str">
        <f>CONCATENATE(IF(OR(M848=phu!$I$1,M848=phu!$I$2,M848=phu!$I$3),"Cam Thành Nam",""),IF(OR(M848=phu!$I$4,M848=phu!$I$5,M848=phu!$I$6,M848=phu!$I$7,M848=phu!$I$8,M848=phu!$I$9,M848=phu!$I$10,M848=phu!$I$11,M848=phu!$I$12,M848=phu!$I$13,M848=phu!$I$14),"Cam Nghĩa",""),IF(OR(M848=phu!$I$15,M848=phu!$I$16,M848=phu!$I$17,M848=phu!$I$18,M848=phu!$I$19,M848=phu!$I$20,M848=phu!$I$21),"Cam Phúc Bắc",""),IF(OR(M848=phu!$I$22,M848=phu!$I$23,M848=phu!$I$24,M848=phu!$I$25),"Cam Phúc Nam",""),IF(OR(M848=phu!$I$26,M848=phu!$I$27,M848=phu!$I$28,M848=phu!$I$29,M848=phu!$I$30,M848=phu!$I$31),"Cam Phú",""),IF(OR(M848=phu!$I$32,M848=phu!$I$33,M848=phu!$I$34,M848=phu!$I$35,M848=phu!$I$36,M848=phu!$I$37),"Cam Lộc",""),IF(OR(M848=phu!$I$38,M848=phu!$I$39,M848=phu!$I$40,M848=phu!$I$41,M848=phu!$I$42,M848=phu!$I$43,M848=phu!$I$44),"Cam Thuận",""),IF(OR(M848=phu!$I$45,M848=phu!$I$46,M848=phu!$I$47,M848=phu!$I$48,M848=phu!$I$49,M848=phu!$I$50,M848=phu!$I$51,M848=phu!$I$52,M848=phu!$I$53),"Cam Linh",""),IF(OR(M848=phu!$I$54,M848=phu!$I$55,M848=phu!$I$56,M848=phu!$I$57,M848=phu!$I$58,M848=phu!$I$59,M848=phu!$I$60,M848=phu!$I$61,M848=phu!$I$62),"Cam Lợi",""),IF(OR(M848=phu!$I$63,M848=phu!$I$64,M848=phu!$I$65,M848=phu!$I$66,M848=phu!$I$67,M848=phu!$I$68,M848=phu!$I$69,M848=phu!$I$70,M848=phu!$I$71),"Ba Ngòi",""),IF(OR(M848=phu!$I$72,M848=phu!$I$73,M848=phu!$I$74,M848=phu!$I$75,M848=phu!$I$76,M848=phu!$I$77,M848=phu!$I$78),"Cam Phước Đông",""),IF(OR(M848=phu!$I$79,M848=phu!$I$80,M848=phu!$I$81,M848=phu!$I$82,M848=phu!$I$83,M848=phu!$I$84),"Cam Thịnh Đông",""),IF(OR(M848=phu!$I$85,M848=phu!$I$86,M848=phu!$I$87,M848=phu!$I$88),"Cam Thịnh Tây",""),IF(OR(M848=phu!$I$89,M848=phu!$I$90),"Cam Lập",""),IF(OR(M848=phu!$I$91,M848=phu!$I$92,M848=phu!$I$93),"Cam Bình",""),IF(OR(M848=phu!$I$94,M848=phu!$I$95,M848=phu!$I$96,M848=phu!$I$97,M848=phu!$I$98,M848=phu!$I$99,M848=phu!$I$100),"Huyện khác",""),IF(OR(M848=phu!$I$101,M848=phu!$I$102),"Tỉnh khác",""))</f>
        <v/>
      </c>
      <c r="O848" s="829" t="str">
        <f t="shared" si="78"/>
        <v/>
      </c>
      <c r="P848" s="254"/>
      <c r="Q848" s="254"/>
      <c r="R848" s="254"/>
      <c r="S848" s="254"/>
      <c r="T848" s="254"/>
      <c r="U848" s="254"/>
      <c r="V848" s="254"/>
      <c r="W848" s="254"/>
      <c r="Y848" s="246" t="str">
        <f t="shared" si="79"/>
        <v/>
      </c>
      <c r="Z848" s="247" t="str">
        <f t="shared" si="83"/>
        <v/>
      </c>
      <c r="AA848" s="246" t="str">
        <f t="shared" si="80"/>
        <v/>
      </c>
    </row>
    <row r="849" spans="1:27" x14ac:dyDescent="0.25">
      <c r="A849" s="248" t="str">
        <f t="shared" si="81"/>
        <v/>
      </c>
      <c r="B849" s="249" t="str">
        <f t="shared" si="82"/>
        <v/>
      </c>
      <c r="C849" s="250"/>
      <c r="D849" s="251"/>
      <c r="E849" s="241"/>
      <c r="F849" s="252"/>
      <c r="G849" s="252"/>
      <c r="H849" s="253"/>
      <c r="I849" s="250"/>
      <c r="J849" s="250"/>
      <c r="K849" s="270"/>
      <c r="L849" s="250"/>
      <c r="M849" s="250"/>
      <c r="N849" s="540" t="str">
        <f>CONCATENATE(IF(OR(M849=phu!$I$1,M849=phu!$I$2,M849=phu!$I$3),"Cam Thành Nam",""),IF(OR(M849=phu!$I$4,M849=phu!$I$5,M849=phu!$I$6,M849=phu!$I$7,M849=phu!$I$8,M849=phu!$I$9,M849=phu!$I$10,M849=phu!$I$11,M849=phu!$I$12,M849=phu!$I$13,M849=phu!$I$14),"Cam Nghĩa",""),IF(OR(M849=phu!$I$15,M849=phu!$I$16,M849=phu!$I$17,M849=phu!$I$18,M849=phu!$I$19,M849=phu!$I$20,M849=phu!$I$21),"Cam Phúc Bắc",""),IF(OR(M849=phu!$I$22,M849=phu!$I$23,M849=phu!$I$24,M849=phu!$I$25),"Cam Phúc Nam",""),IF(OR(M849=phu!$I$26,M849=phu!$I$27,M849=phu!$I$28,M849=phu!$I$29,M849=phu!$I$30,M849=phu!$I$31),"Cam Phú",""),IF(OR(M849=phu!$I$32,M849=phu!$I$33,M849=phu!$I$34,M849=phu!$I$35,M849=phu!$I$36,M849=phu!$I$37),"Cam Lộc",""),IF(OR(M849=phu!$I$38,M849=phu!$I$39,M849=phu!$I$40,M849=phu!$I$41,M849=phu!$I$42,M849=phu!$I$43,M849=phu!$I$44),"Cam Thuận",""),IF(OR(M849=phu!$I$45,M849=phu!$I$46,M849=phu!$I$47,M849=phu!$I$48,M849=phu!$I$49,M849=phu!$I$50,M849=phu!$I$51,M849=phu!$I$52,M849=phu!$I$53),"Cam Linh",""),IF(OR(M849=phu!$I$54,M849=phu!$I$55,M849=phu!$I$56,M849=phu!$I$57,M849=phu!$I$58,M849=phu!$I$59,M849=phu!$I$60,M849=phu!$I$61,M849=phu!$I$62),"Cam Lợi",""),IF(OR(M849=phu!$I$63,M849=phu!$I$64,M849=phu!$I$65,M849=phu!$I$66,M849=phu!$I$67,M849=phu!$I$68,M849=phu!$I$69,M849=phu!$I$70,M849=phu!$I$71),"Ba Ngòi",""),IF(OR(M849=phu!$I$72,M849=phu!$I$73,M849=phu!$I$74,M849=phu!$I$75,M849=phu!$I$76,M849=phu!$I$77,M849=phu!$I$78),"Cam Phước Đông",""),IF(OR(M849=phu!$I$79,M849=phu!$I$80,M849=phu!$I$81,M849=phu!$I$82,M849=phu!$I$83,M849=phu!$I$84),"Cam Thịnh Đông",""),IF(OR(M849=phu!$I$85,M849=phu!$I$86,M849=phu!$I$87,M849=phu!$I$88),"Cam Thịnh Tây",""),IF(OR(M849=phu!$I$89,M849=phu!$I$90),"Cam Lập",""),IF(OR(M849=phu!$I$91,M849=phu!$I$92,M849=phu!$I$93),"Cam Bình",""),IF(OR(M849=phu!$I$94,M849=phu!$I$95,M849=phu!$I$96,M849=phu!$I$97,M849=phu!$I$98,M849=phu!$I$99,M849=phu!$I$100),"Huyện khác",""),IF(OR(M849=phu!$I$101,M849=phu!$I$102),"Tỉnh khác",""))</f>
        <v/>
      </c>
      <c r="O849" s="829" t="str">
        <f t="shared" si="78"/>
        <v/>
      </c>
      <c r="P849" s="254"/>
      <c r="Q849" s="254"/>
      <c r="R849" s="254"/>
      <c r="S849" s="254"/>
      <c r="T849" s="254"/>
      <c r="U849" s="254"/>
      <c r="V849" s="254"/>
      <c r="W849" s="254"/>
      <c r="Y849" s="246" t="str">
        <f t="shared" si="79"/>
        <v/>
      </c>
      <c r="Z849" s="247" t="str">
        <f t="shared" si="83"/>
        <v/>
      </c>
      <c r="AA849" s="246" t="str">
        <f t="shared" si="80"/>
        <v/>
      </c>
    </row>
    <row r="850" spans="1:27" x14ac:dyDescent="0.25">
      <c r="A850" s="248" t="str">
        <f t="shared" si="81"/>
        <v/>
      </c>
      <c r="B850" s="249" t="str">
        <f t="shared" si="82"/>
        <v/>
      </c>
      <c r="C850" s="250"/>
      <c r="D850" s="251"/>
      <c r="E850" s="241"/>
      <c r="F850" s="252"/>
      <c r="G850" s="252"/>
      <c r="H850" s="253"/>
      <c r="I850" s="250"/>
      <c r="J850" s="250"/>
      <c r="K850" s="270"/>
      <c r="L850" s="250"/>
      <c r="M850" s="250"/>
      <c r="N850" s="540" t="str">
        <f>CONCATENATE(IF(OR(M850=phu!$I$1,M850=phu!$I$2,M850=phu!$I$3),"Cam Thành Nam",""),IF(OR(M850=phu!$I$4,M850=phu!$I$5,M850=phu!$I$6,M850=phu!$I$7,M850=phu!$I$8,M850=phu!$I$9,M850=phu!$I$10,M850=phu!$I$11,M850=phu!$I$12,M850=phu!$I$13,M850=phu!$I$14),"Cam Nghĩa",""),IF(OR(M850=phu!$I$15,M850=phu!$I$16,M850=phu!$I$17,M850=phu!$I$18,M850=phu!$I$19,M850=phu!$I$20,M850=phu!$I$21),"Cam Phúc Bắc",""),IF(OR(M850=phu!$I$22,M850=phu!$I$23,M850=phu!$I$24,M850=phu!$I$25),"Cam Phúc Nam",""),IF(OR(M850=phu!$I$26,M850=phu!$I$27,M850=phu!$I$28,M850=phu!$I$29,M850=phu!$I$30,M850=phu!$I$31),"Cam Phú",""),IF(OR(M850=phu!$I$32,M850=phu!$I$33,M850=phu!$I$34,M850=phu!$I$35,M850=phu!$I$36,M850=phu!$I$37),"Cam Lộc",""),IF(OR(M850=phu!$I$38,M850=phu!$I$39,M850=phu!$I$40,M850=phu!$I$41,M850=phu!$I$42,M850=phu!$I$43,M850=phu!$I$44),"Cam Thuận",""),IF(OR(M850=phu!$I$45,M850=phu!$I$46,M850=phu!$I$47,M850=phu!$I$48,M850=phu!$I$49,M850=phu!$I$50,M850=phu!$I$51,M850=phu!$I$52,M850=phu!$I$53),"Cam Linh",""),IF(OR(M850=phu!$I$54,M850=phu!$I$55,M850=phu!$I$56,M850=phu!$I$57,M850=phu!$I$58,M850=phu!$I$59,M850=phu!$I$60,M850=phu!$I$61,M850=phu!$I$62),"Cam Lợi",""),IF(OR(M850=phu!$I$63,M850=phu!$I$64,M850=phu!$I$65,M850=phu!$I$66,M850=phu!$I$67,M850=phu!$I$68,M850=phu!$I$69,M850=phu!$I$70,M850=phu!$I$71),"Ba Ngòi",""),IF(OR(M850=phu!$I$72,M850=phu!$I$73,M850=phu!$I$74,M850=phu!$I$75,M850=phu!$I$76,M850=phu!$I$77,M850=phu!$I$78),"Cam Phước Đông",""),IF(OR(M850=phu!$I$79,M850=phu!$I$80,M850=phu!$I$81,M850=phu!$I$82,M850=phu!$I$83,M850=phu!$I$84),"Cam Thịnh Đông",""),IF(OR(M850=phu!$I$85,M850=phu!$I$86,M850=phu!$I$87,M850=phu!$I$88),"Cam Thịnh Tây",""),IF(OR(M850=phu!$I$89,M850=phu!$I$90),"Cam Lập",""),IF(OR(M850=phu!$I$91,M850=phu!$I$92,M850=phu!$I$93),"Cam Bình",""),IF(OR(M850=phu!$I$94,M850=phu!$I$95,M850=phu!$I$96,M850=phu!$I$97,M850=phu!$I$98,M850=phu!$I$99,M850=phu!$I$100),"Huyện khác",""),IF(OR(M850=phu!$I$101,M850=phu!$I$102),"Tỉnh khác",""))</f>
        <v/>
      </c>
      <c r="O850" s="829" t="str">
        <f t="shared" si="78"/>
        <v/>
      </c>
      <c r="P850" s="254"/>
      <c r="Q850" s="254"/>
      <c r="R850" s="254"/>
      <c r="S850" s="254"/>
      <c r="T850" s="254"/>
      <c r="U850" s="254"/>
      <c r="V850" s="254"/>
      <c r="W850" s="254"/>
      <c r="Y850" s="246" t="str">
        <f t="shared" si="79"/>
        <v/>
      </c>
      <c r="Z850" s="247" t="str">
        <f t="shared" si="83"/>
        <v/>
      </c>
      <c r="AA850" s="246" t="str">
        <f t="shared" si="80"/>
        <v/>
      </c>
    </row>
    <row r="851" spans="1:27" x14ac:dyDescent="0.25">
      <c r="A851" s="248" t="str">
        <f t="shared" si="81"/>
        <v/>
      </c>
      <c r="B851" s="249" t="str">
        <f t="shared" si="82"/>
        <v/>
      </c>
      <c r="C851" s="250"/>
      <c r="D851" s="251"/>
      <c r="E851" s="241"/>
      <c r="F851" s="252"/>
      <c r="G851" s="252"/>
      <c r="H851" s="253"/>
      <c r="I851" s="250"/>
      <c r="J851" s="250"/>
      <c r="K851" s="270"/>
      <c r="L851" s="250"/>
      <c r="M851" s="250"/>
      <c r="N851" s="540" t="str">
        <f>CONCATENATE(IF(OR(M851=phu!$I$1,M851=phu!$I$2,M851=phu!$I$3),"Cam Thành Nam",""),IF(OR(M851=phu!$I$4,M851=phu!$I$5,M851=phu!$I$6,M851=phu!$I$7,M851=phu!$I$8,M851=phu!$I$9,M851=phu!$I$10,M851=phu!$I$11,M851=phu!$I$12,M851=phu!$I$13,M851=phu!$I$14),"Cam Nghĩa",""),IF(OR(M851=phu!$I$15,M851=phu!$I$16,M851=phu!$I$17,M851=phu!$I$18,M851=phu!$I$19,M851=phu!$I$20,M851=phu!$I$21),"Cam Phúc Bắc",""),IF(OR(M851=phu!$I$22,M851=phu!$I$23,M851=phu!$I$24,M851=phu!$I$25),"Cam Phúc Nam",""),IF(OR(M851=phu!$I$26,M851=phu!$I$27,M851=phu!$I$28,M851=phu!$I$29,M851=phu!$I$30,M851=phu!$I$31),"Cam Phú",""),IF(OR(M851=phu!$I$32,M851=phu!$I$33,M851=phu!$I$34,M851=phu!$I$35,M851=phu!$I$36,M851=phu!$I$37),"Cam Lộc",""),IF(OR(M851=phu!$I$38,M851=phu!$I$39,M851=phu!$I$40,M851=phu!$I$41,M851=phu!$I$42,M851=phu!$I$43,M851=phu!$I$44),"Cam Thuận",""),IF(OR(M851=phu!$I$45,M851=phu!$I$46,M851=phu!$I$47,M851=phu!$I$48,M851=phu!$I$49,M851=phu!$I$50,M851=phu!$I$51,M851=phu!$I$52,M851=phu!$I$53),"Cam Linh",""),IF(OR(M851=phu!$I$54,M851=phu!$I$55,M851=phu!$I$56,M851=phu!$I$57,M851=phu!$I$58,M851=phu!$I$59,M851=phu!$I$60,M851=phu!$I$61,M851=phu!$I$62),"Cam Lợi",""),IF(OR(M851=phu!$I$63,M851=phu!$I$64,M851=phu!$I$65,M851=phu!$I$66,M851=phu!$I$67,M851=phu!$I$68,M851=phu!$I$69,M851=phu!$I$70,M851=phu!$I$71),"Ba Ngòi",""),IF(OR(M851=phu!$I$72,M851=phu!$I$73,M851=phu!$I$74,M851=phu!$I$75,M851=phu!$I$76,M851=phu!$I$77,M851=phu!$I$78),"Cam Phước Đông",""),IF(OR(M851=phu!$I$79,M851=phu!$I$80,M851=phu!$I$81,M851=phu!$I$82,M851=phu!$I$83,M851=phu!$I$84),"Cam Thịnh Đông",""),IF(OR(M851=phu!$I$85,M851=phu!$I$86,M851=phu!$I$87,M851=phu!$I$88),"Cam Thịnh Tây",""),IF(OR(M851=phu!$I$89,M851=phu!$I$90),"Cam Lập",""),IF(OR(M851=phu!$I$91,M851=phu!$I$92,M851=phu!$I$93),"Cam Bình",""),IF(OR(M851=phu!$I$94,M851=phu!$I$95,M851=phu!$I$96,M851=phu!$I$97,M851=phu!$I$98,M851=phu!$I$99,M851=phu!$I$100),"Huyện khác",""),IF(OR(M851=phu!$I$101,M851=phu!$I$102),"Tỉnh khác",""))</f>
        <v/>
      </c>
      <c r="O851" s="829" t="str">
        <f t="shared" si="78"/>
        <v/>
      </c>
      <c r="P851" s="254"/>
      <c r="Q851" s="254"/>
      <c r="R851" s="254"/>
      <c r="S851" s="254"/>
      <c r="T851" s="254"/>
      <c r="U851" s="254"/>
      <c r="V851" s="254"/>
      <c r="W851" s="254"/>
      <c r="Y851" s="246" t="str">
        <f t="shared" si="79"/>
        <v/>
      </c>
      <c r="Z851" s="247" t="str">
        <f t="shared" si="83"/>
        <v/>
      </c>
      <c r="AA851" s="246" t="str">
        <f t="shared" si="80"/>
        <v/>
      </c>
    </row>
    <row r="852" spans="1:27" x14ac:dyDescent="0.25">
      <c r="A852" s="248" t="str">
        <f t="shared" si="81"/>
        <v/>
      </c>
      <c r="B852" s="249" t="str">
        <f t="shared" si="82"/>
        <v/>
      </c>
      <c r="C852" s="250"/>
      <c r="D852" s="251"/>
      <c r="E852" s="241"/>
      <c r="F852" s="252"/>
      <c r="G852" s="252"/>
      <c r="H852" s="253"/>
      <c r="I852" s="250"/>
      <c r="J852" s="250"/>
      <c r="K852" s="270"/>
      <c r="L852" s="250"/>
      <c r="M852" s="250"/>
      <c r="N852" s="540" t="str">
        <f>CONCATENATE(IF(OR(M852=phu!$I$1,M852=phu!$I$2,M852=phu!$I$3),"Cam Thành Nam",""),IF(OR(M852=phu!$I$4,M852=phu!$I$5,M852=phu!$I$6,M852=phu!$I$7,M852=phu!$I$8,M852=phu!$I$9,M852=phu!$I$10,M852=phu!$I$11,M852=phu!$I$12,M852=phu!$I$13,M852=phu!$I$14),"Cam Nghĩa",""),IF(OR(M852=phu!$I$15,M852=phu!$I$16,M852=phu!$I$17,M852=phu!$I$18,M852=phu!$I$19,M852=phu!$I$20,M852=phu!$I$21),"Cam Phúc Bắc",""),IF(OR(M852=phu!$I$22,M852=phu!$I$23,M852=phu!$I$24,M852=phu!$I$25),"Cam Phúc Nam",""),IF(OR(M852=phu!$I$26,M852=phu!$I$27,M852=phu!$I$28,M852=phu!$I$29,M852=phu!$I$30,M852=phu!$I$31),"Cam Phú",""),IF(OR(M852=phu!$I$32,M852=phu!$I$33,M852=phu!$I$34,M852=phu!$I$35,M852=phu!$I$36,M852=phu!$I$37),"Cam Lộc",""),IF(OR(M852=phu!$I$38,M852=phu!$I$39,M852=phu!$I$40,M852=phu!$I$41,M852=phu!$I$42,M852=phu!$I$43,M852=phu!$I$44),"Cam Thuận",""),IF(OR(M852=phu!$I$45,M852=phu!$I$46,M852=phu!$I$47,M852=phu!$I$48,M852=phu!$I$49,M852=phu!$I$50,M852=phu!$I$51,M852=phu!$I$52,M852=phu!$I$53),"Cam Linh",""),IF(OR(M852=phu!$I$54,M852=phu!$I$55,M852=phu!$I$56,M852=phu!$I$57,M852=phu!$I$58,M852=phu!$I$59,M852=phu!$I$60,M852=phu!$I$61,M852=phu!$I$62),"Cam Lợi",""),IF(OR(M852=phu!$I$63,M852=phu!$I$64,M852=phu!$I$65,M852=phu!$I$66,M852=phu!$I$67,M852=phu!$I$68,M852=phu!$I$69,M852=phu!$I$70,M852=phu!$I$71),"Ba Ngòi",""),IF(OR(M852=phu!$I$72,M852=phu!$I$73,M852=phu!$I$74,M852=phu!$I$75,M852=phu!$I$76,M852=phu!$I$77,M852=phu!$I$78),"Cam Phước Đông",""),IF(OR(M852=phu!$I$79,M852=phu!$I$80,M852=phu!$I$81,M852=phu!$I$82,M852=phu!$I$83,M852=phu!$I$84),"Cam Thịnh Đông",""),IF(OR(M852=phu!$I$85,M852=phu!$I$86,M852=phu!$I$87,M852=phu!$I$88),"Cam Thịnh Tây",""),IF(OR(M852=phu!$I$89,M852=phu!$I$90),"Cam Lập",""),IF(OR(M852=phu!$I$91,M852=phu!$I$92,M852=phu!$I$93),"Cam Bình",""),IF(OR(M852=phu!$I$94,M852=phu!$I$95,M852=phu!$I$96,M852=phu!$I$97,M852=phu!$I$98,M852=phu!$I$99,M852=phu!$I$100),"Huyện khác",""),IF(OR(M852=phu!$I$101,M852=phu!$I$102),"Tỉnh khác",""))</f>
        <v/>
      </c>
      <c r="O852" s="829" t="str">
        <f t="shared" si="78"/>
        <v/>
      </c>
      <c r="P852" s="254"/>
      <c r="Q852" s="254"/>
      <c r="R852" s="254"/>
      <c r="S852" s="254"/>
      <c r="T852" s="254"/>
      <c r="U852" s="254"/>
      <c r="V852" s="254"/>
      <c r="W852" s="254"/>
      <c r="Y852" s="246" t="str">
        <f t="shared" si="79"/>
        <v/>
      </c>
      <c r="Z852" s="247" t="str">
        <f t="shared" si="83"/>
        <v/>
      </c>
      <c r="AA852" s="246" t="str">
        <f t="shared" si="80"/>
        <v/>
      </c>
    </row>
    <row r="853" spans="1:27" x14ac:dyDescent="0.25">
      <c r="A853" s="248" t="str">
        <f t="shared" si="81"/>
        <v/>
      </c>
      <c r="B853" s="249" t="str">
        <f t="shared" si="82"/>
        <v/>
      </c>
      <c r="C853" s="250"/>
      <c r="D853" s="251"/>
      <c r="E853" s="241"/>
      <c r="F853" s="252"/>
      <c r="G853" s="252"/>
      <c r="H853" s="253"/>
      <c r="I853" s="250"/>
      <c r="J853" s="250"/>
      <c r="K853" s="270"/>
      <c r="L853" s="250"/>
      <c r="M853" s="250"/>
      <c r="N853" s="540" t="str">
        <f>CONCATENATE(IF(OR(M853=phu!$I$1,M853=phu!$I$2,M853=phu!$I$3),"Cam Thành Nam",""),IF(OR(M853=phu!$I$4,M853=phu!$I$5,M853=phu!$I$6,M853=phu!$I$7,M853=phu!$I$8,M853=phu!$I$9,M853=phu!$I$10,M853=phu!$I$11,M853=phu!$I$12,M853=phu!$I$13,M853=phu!$I$14),"Cam Nghĩa",""),IF(OR(M853=phu!$I$15,M853=phu!$I$16,M853=phu!$I$17,M853=phu!$I$18,M853=phu!$I$19,M853=phu!$I$20,M853=phu!$I$21),"Cam Phúc Bắc",""),IF(OR(M853=phu!$I$22,M853=phu!$I$23,M853=phu!$I$24,M853=phu!$I$25),"Cam Phúc Nam",""),IF(OR(M853=phu!$I$26,M853=phu!$I$27,M853=phu!$I$28,M853=phu!$I$29,M853=phu!$I$30,M853=phu!$I$31),"Cam Phú",""),IF(OR(M853=phu!$I$32,M853=phu!$I$33,M853=phu!$I$34,M853=phu!$I$35,M853=phu!$I$36,M853=phu!$I$37),"Cam Lộc",""),IF(OR(M853=phu!$I$38,M853=phu!$I$39,M853=phu!$I$40,M853=phu!$I$41,M853=phu!$I$42,M853=phu!$I$43,M853=phu!$I$44),"Cam Thuận",""),IF(OR(M853=phu!$I$45,M853=phu!$I$46,M853=phu!$I$47,M853=phu!$I$48,M853=phu!$I$49,M853=phu!$I$50,M853=phu!$I$51,M853=phu!$I$52,M853=phu!$I$53),"Cam Linh",""),IF(OR(M853=phu!$I$54,M853=phu!$I$55,M853=phu!$I$56,M853=phu!$I$57,M853=phu!$I$58,M853=phu!$I$59,M853=phu!$I$60,M853=phu!$I$61,M853=phu!$I$62),"Cam Lợi",""),IF(OR(M853=phu!$I$63,M853=phu!$I$64,M853=phu!$I$65,M853=phu!$I$66,M853=phu!$I$67,M853=phu!$I$68,M853=phu!$I$69,M853=phu!$I$70,M853=phu!$I$71),"Ba Ngòi",""),IF(OR(M853=phu!$I$72,M853=phu!$I$73,M853=phu!$I$74,M853=phu!$I$75,M853=phu!$I$76,M853=phu!$I$77,M853=phu!$I$78),"Cam Phước Đông",""),IF(OR(M853=phu!$I$79,M853=phu!$I$80,M853=phu!$I$81,M853=phu!$I$82,M853=phu!$I$83,M853=phu!$I$84),"Cam Thịnh Đông",""),IF(OR(M853=phu!$I$85,M853=phu!$I$86,M853=phu!$I$87,M853=phu!$I$88),"Cam Thịnh Tây",""),IF(OR(M853=phu!$I$89,M853=phu!$I$90),"Cam Lập",""),IF(OR(M853=phu!$I$91,M853=phu!$I$92,M853=phu!$I$93),"Cam Bình",""),IF(OR(M853=phu!$I$94,M853=phu!$I$95,M853=phu!$I$96,M853=phu!$I$97,M853=phu!$I$98,M853=phu!$I$99,M853=phu!$I$100),"Huyện khác",""),IF(OR(M853=phu!$I$101,M853=phu!$I$102),"Tỉnh khác",""))</f>
        <v/>
      </c>
      <c r="O853" s="829" t="str">
        <f t="shared" si="78"/>
        <v/>
      </c>
      <c r="P853" s="254"/>
      <c r="Q853" s="254"/>
      <c r="R853" s="254"/>
      <c r="S853" s="254"/>
      <c r="T853" s="254"/>
      <c r="U853" s="254"/>
      <c r="V853" s="254"/>
      <c r="W853" s="254"/>
      <c r="Y853" s="246" t="str">
        <f t="shared" si="79"/>
        <v/>
      </c>
      <c r="Z853" s="247" t="str">
        <f t="shared" si="83"/>
        <v/>
      </c>
      <c r="AA853" s="246" t="str">
        <f t="shared" si="80"/>
        <v/>
      </c>
    </row>
    <row r="854" spans="1:27" x14ac:dyDescent="0.25">
      <c r="A854" s="248" t="str">
        <f t="shared" si="81"/>
        <v/>
      </c>
      <c r="B854" s="249" t="str">
        <f t="shared" si="82"/>
        <v/>
      </c>
      <c r="C854" s="250"/>
      <c r="D854" s="251"/>
      <c r="E854" s="241"/>
      <c r="F854" s="252"/>
      <c r="G854" s="252"/>
      <c r="H854" s="253"/>
      <c r="I854" s="250"/>
      <c r="J854" s="250"/>
      <c r="K854" s="270"/>
      <c r="L854" s="250"/>
      <c r="M854" s="250"/>
      <c r="N854" s="540" t="str">
        <f>CONCATENATE(IF(OR(M854=phu!$I$1,M854=phu!$I$2,M854=phu!$I$3),"Cam Thành Nam",""),IF(OR(M854=phu!$I$4,M854=phu!$I$5,M854=phu!$I$6,M854=phu!$I$7,M854=phu!$I$8,M854=phu!$I$9,M854=phu!$I$10,M854=phu!$I$11,M854=phu!$I$12,M854=phu!$I$13,M854=phu!$I$14),"Cam Nghĩa",""),IF(OR(M854=phu!$I$15,M854=phu!$I$16,M854=phu!$I$17,M854=phu!$I$18,M854=phu!$I$19,M854=phu!$I$20,M854=phu!$I$21),"Cam Phúc Bắc",""),IF(OR(M854=phu!$I$22,M854=phu!$I$23,M854=phu!$I$24,M854=phu!$I$25),"Cam Phúc Nam",""),IF(OR(M854=phu!$I$26,M854=phu!$I$27,M854=phu!$I$28,M854=phu!$I$29,M854=phu!$I$30,M854=phu!$I$31),"Cam Phú",""),IF(OR(M854=phu!$I$32,M854=phu!$I$33,M854=phu!$I$34,M854=phu!$I$35,M854=phu!$I$36,M854=phu!$I$37),"Cam Lộc",""),IF(OR(M854=phu!$I$38,M854=phu!$I$39,M854=phu!$I$40,M854=phu!$I$41,M854=phu!$I$42,M854=phu!$I$43,M854=phu!$I$44),"Cam Thuận",""),IF(OR(M854=phu!$I$45,M854=phu!$I$46,M854=phu!$I$47,M854=phu!$I$48,M854=phu!$I$49,M854=phu!$I$50,M854=phu!$I$51,M854=phu!$I$52,M854=phu!$I$53),"Cam Linh",""),IF(OR(M854=phu!$I$54,M854=phu!$I$55,M854=phu!$I$56,M854=phu!$I$57,M854=phu!$I$58,M854=phu!$I$59,M854=phu!$I$60,M854=phu!$I$61,M854=phu!$I$62),"Cam Lợi",""),IF(OR(M854=phu!$I$63,M854=phu!$I$64,M854=phu!$I$65,M854=phu!$I$66,M854=phu!$I$67,M854=phu!$I$68,M854=phu!$I$69,M854=phu!$I$70,M854=phu!$I$71),"Ba Ngòi",""),IF(OR(M854=phu!$I$72,M854=phu!$I$73,M854=phu!$I$74,M854=phu!$I$75,M854=phu!$I$76,M854=phu!$I$77,M854=phu!$I$78),"Cam Phước Đông",""),IF(OR(M854=phu!$I$79,M854=phu!$I$80,M854=phu!$I$81,M854=phu!$I$82,M854=phu!$I$83,M854=phu!$I$84),"Cam Thịnh Đông",""),IF(OR(M854=phu!$I$85,M854=phu!$I$86,M854=phu!$I$87,M854=phu!$I$88),"Cam Thịnh Tây",""),IF(OR(M854=phu!$I$89,M854=phu!$I$90),"Cam Lập",""),IF(OR(M854=phu!$I$91,M854=phu!$I$92,M854=phu!$I$93),"Cam Bình",""),IF(OR(M854=phu!$I$94,M854=phu!$I$95,M854=phu!$I$96,M854=phu!$I$97,M854=phu!$I$98,M854=phu!$I$99,M854=phu!$I$100),"Huyện khác",""),IF(OR(M854=phu!$I$101,M854=phu!$I$102),"Tỉnh khác",""))</f>
        <v/>
      </c>
      <c r="O854" s="829" t="str">
        <f t="shared" si="78"/>
        <v/>
      </c>
      <c r="P854" s="254"/>
      <c r="Q854" s="254"/>
      <c r="R854" s="254"/>
      <c r="S854" s="254"/>
      <c r="T854" s="254"/>
      <c r="U854" s="254"/>
      <c r="V854" s="254"/>
      <c r="W854" s="254"/>
      <c r="Y854" s="246" t="str">
        <f t="shared" si="79"/>
        <v/>
      </c>
      <c r="Z854" s="247" t="str">
        <f t="shared" si="83"/>
        <v/>
      </c>
      <c r="AA854" s="246" t="str">
        <f t="shared" si="80"/>
        <v/>
      </c>
    </row>
    <row r="855" spans="1:27" x14ac:dyDescent="0.25">
      <c r="A855" s="248" t="str">
        <f t="shared" si="81"/>
        <v/>
      </c>
      <c r="B855" s="249" t="str">
        <f t="shared" si="82"/>
        <v/>
      </c>
      <c r="C855" s="250"/>
      <c r="D855" s="251"/>
      <c r="E855" s="241"/>
      <c r="F855" s="252"/>
      <c r="G855" s="252"/>
      <c r="H855" s="253"/>
      <c r="I855" s="250"/>
      <c r="J855" s="250"/>
      <c r="K855" s="270"/>
      <c r="L855" s="250"/>
      <c r="M855" s="250"/>
      <c r="N855" s="540" t="str">
        <f>CONCATENATE(IF(OR(M855=phu!$I$1,M855=phu!$I$2,M855=phu!$I$3),"Cam Thành Nam",""),IF(OR(M855=phu!$I$4,M855=phu!$I$5,M855=phu!$I$6,M855=phu!$I$7,M855=phu!$I$8,M855=phu!$I$9,M855=phu!$I$10,M855=phu!$I$11,M855=phu!$I$12,M855=phu!$I$13,M855=phu!$I$14),"Cam Nghĩa",""),IF(OR(M855=phu!$I$15,M855=phu!$I$16,M855=phu!$I$17,M855=phu!$I$18,M855=phu!$I$19,M855=phu!$I$20,M855=phu!$I$21),"Cam Phúc Bắc",""),IF(OR(M855=phu!$I$22,M855=phu!$I$23,M855=phu!$I$24,M855=phu!$I$25),"Cam Phúc Nam",""),IF(OR(M855=phu!$I$26,M855=phu!$I$27,M855=phu!$I$28,M855=phu!$I$29,M855=phu!$I$30,M855=phu!$I$31),"Cam Phú",""),IF(OR(M855=phu!$I$32,M855=phu!$I$33,M855=phu!$I$34,M855=phu!$I$35,M855=phu!$I$36,M855=phu!$I$37),"Cam Lộc",""),IF(OR(M855=phu!$I$38,M855=phu!$I$39,M855=phu!$I$40,M855=phu!$I$41,M855=phu!$I$42,M855=phu!$I$43,M855=phu!$I$44),"Cam Thuận",""),IF(OR(M855=phu!$I$45,M855=phu!$I$46,M855=phu!$I$47,M855=phu!$I$48,M855=phu!$I$49,M855=phu!$I$50,M855=phu!$I$51,M855=phu!$I$52,M855=phu!$I$53),"Cam Linh",""),IF(OR(M855=phu!$I$54,M855=phu!$I$55,M855=phu!$I$56,M855=phu!$I$57,M855=phu!$I$58,M855=phu!$I$59,M855=phu!$I$60,M855=phu!$I$61,M855=phu!$I$62),"Cam Lợi",""),IF(OR(M855=phu!$I$63,M855=phu!$I$64,M855=phu!$I$65,M855=phu!$I$66,M855=phu!$I$67,M855=phu!$I$68,M855=phu!$I$69,M855=phu!$I$70,M855=phu!$I$71),"Ba Ngòi",""),IF(OR(M855=phu!$I$72,M855=phu!$I$73,M855=phu!$I$74,M855=phu!$I$75,M855=phu!$I$76,M855=phu!$I$77,M855=phu!$I$78),"Cam Phước Đông",""),IF(OR(M855=phu!$I$79,M855=phu!$I$80,M855=phu!$I$81,M855=phu!$I$82,M855=phu!$I$83,M855=phu!$I$84),"Cam Thịnh Đông",""),IF(OR(M855=phu!$I$85,M855=phu!$I$86,M855=phu!$I$87,M855=phu!$I$88),"Cam Thịnh Tây",""),IF(OR(M855=phu!$I$89,M855=phu!$I$90),"Cam Lập",""),IF(OR(M855=phu!$I$91,M855=phu!$I$92,M855=phu!$I$93),"Cam Bình",""),IF(OR(M855=phu!$I$94,M855=phu!$I$95,M855=phu!$I$96,M855=phu!$I$97,M855=phu!$I$98,M855=phu!$I$99,M855=phu!$I$100),"Huyện khác",""),IF(OR(M855=phu!$I$101,M855=phu!$I$102),"Tỉnh khác",""))</f>
        <v/>
      </c>
      <c r="O855" s="829" t="str">
        <f t="shared" si="78"/>
        <v/>
      </c>
      <c r="P855" s="254"/>
      <c r="Q855" s="254"/>
      <c r="R855" s="254"/>
      <c r="S855" s="254"/>
      <c r="T855" s="254"/>
      <c r="U855" s="254"/>
      <c r="V855" s="254"/>
      <c r="W855" s="254"/>
      <c r="Y855" s="246" t="str">
        <f t="shared" si="79"/>
        <v/>
      </c>
      <c r="Z855" s="247" t="str">
        <f t="shared" si="83"/>
        <v/>
      </c>
      <c r="AA855" s="246" t="str">
        <f t="shared" si="80"/>
        <v/>
      </c>
    </row>
    <row r="856" spans="1:27" x14ac:dyDescent="0.25">
      <c r="A856" s="248" t="str">
        <f t="shared" si="81"/>
        <v/>
      </c>
      <c r="B856" s="249" t="str">
        <f t="shared" si="82"/>
        <v/>
      </c>
      <c r="C856" s="250"/>
      <c r="D856" s="251"/>
      <c r="E856" s="241"/>
      <c r="F856" s="252"/>
      <c r="G856" s="252"/>
      <c r="H856" s="253"/>
      <c r="I856" s="250"/>
      <c r="J856" s="250"/>
      <c r="K856" s="270"/>
      <c r="L856" s="250"/>
      <c r="M856" s="250"/>
      <c r="N856" s="540" t="str">
        <f>CONCATENATE(IF(OR(M856=phu!$I$1,M856=phu!$I$2,M856=phu!$I$3),"Cam Thành Nam",""),IF(OR(M856=phu!$I$4,M856=phu!$I$5,M856=phu!$I$6,M856=phu!$I$7,M856=phu!$I$8,M856=phu!$I$9,M856=phu!$I$10,M856=phu!$I$11,M856=phu!$I$12,M856=phu!$I$13,M856=phu!$I$14),"Cam Nghĩa",""),IF(OR(M856=phu!$I$15,M856=phu!$I$16,M856=phu!$I$17,M856=phu!$I$18,M856=phu!$I$19,M856=phu!$I$20,M856=phu!$I$21),"Cam Phúc Bắc",""),IF(OR(M856=phu!$I$22,M856=phu!$I$23,M856=phu!$I$24,M856=phu!$I$25),"Cam Phúc Nam",""),IF(OR(M856=phu!$I$26,M856=phu!$I$27,M856=phu!$I$28,M856=phu!$I$29,M856=phu!$I$30,M856=phu!$I$31),"Cam Phú",""),IF(OR(M856=phu!$I$32,M856=phu!$I$33,M856=phu!$I$34,M856=phu!$I$35,M856=phu!$I$36,M856=phu!$I$37),"Cam Lộc",""),IF(OR(M856=phu!$I$38,M856=phu!$I$39,M856=phu!$I$40,M856=phu!$I$41,M856=phu!$I$42,M856=phu!$I$43,M856=phu!$I$44),"Cam Thuận",""),IF(OR(M856=phu!$I$45,M856=phu!$I$46,M856=phu!$I$47,M856=phu!$I$48,M856=phu!$I$49,M856=phu!$I$50,M856=phu!$I$51,M856=phu!$I$52,M856=phu!$I$53),"Cam Linh",""),IF(OR(M856=phu!$I$54,M856=phu!$I$55,M856=phu!$I$56,M856=phu!$I$57,M856=phu!$I$58,M856=phu!$I$59,M856=phu!$I$60,M856=phu!$I$61,M856=phu!$I$62),"Cam Lợi",""),IF(OR(M856=phu!$I$63,M856=phu!$I$64,M856=phu!$I$65,M856=phu!$I$66,M856=phu!$I$67,M856=phu!$I$68,M856=phu!$I$69,M856=phu!$I$70,M856=phu!$I$71),"Ba Ngòi",""),IF(OR(M856=phu!$I$72,M856=phu!$I$73,M856=phu!$I$74,M856=phu!$I$75,M856=phu!$I$76,M856=phu!$I$77,M856=phu!$I$78),"Cam Phước Đông",""),IF(OR(M856=phu!$I$79,M856=phu!$I$80,M856=phu!$I$81,M856=phu!$I$82,M856=phu!$I$83,M856=phu!$I$84),"Cam Thịnh Đông",""),IF(OR(M856=phu!$I$85,M856=phu!$I$86,M856=phu!$I$87,M856=phu!$I$88),"Cam Thịnh Tây",""),IF(OR(M856=phu!$I$89,M856=phu!$I$90),"Cam Lập",""),IF(OR(M856=phu!$I$91,M856=phu!$I$92,M856=phu!$I$93),"Cam Bình",""),IF(OR(M856=phu!$I$94,M856=phu!$I$95,M856=phu!$I$96,M856=phu!$I$97,M856=phu!$I$98,M856=phu!$I$99,M856=phu!$I$100),"Huyện khác",""),IF(OR(M856=phu!$I$101,M856=phu!$I$102),"Tỉnh khác",""))</f>
        <v/>
      </c>
      <c r="O856" s="829" t="str">
        <f t="shared" si="78"/>
        <v/>
      </c>
      <c r="P856" s="254"/>
      <c r="Q856" s="254"/>
      <c r="R856" s="254"/>
      <c r="S856" s="254"/>
      <c r="T856" s="254"/>
      <c r="U856" s="254"/>
      <c r="V856" s="254"/>
      <c r="W856" s="254"/>
      <c r="Y856" s="246" t="str">
        <f t="shared" si="79"/>
        <v/>
      </c>
      <c r="Z856" s="247" t="str">
        <f t="shared" si="83"/>
        <v/>
      </c>
      <c r="AA856" s="246" t="str">
        <f t="shared" si="80"/>
        <v/>
      </c>
    </row>
    <row r="857" spans="1:27" x14ac:dyDescent="0.25">
      <c r="A857" s="248" t="str">
        <f t="shared" si="81"/>
        <v/>
      </c>
      <c r="B857" s="249" t="str">
        <f t="shared" si="82"/>
        <v/>
      </c>
      <c r="C857" s="250"/>
      <c r="D857" s="251"/>
      <c r="E857" s="241"/>
      <c r="F857" s="252"/>
      <c r="G857" s="252"/>
      <c r="H857" s="253"/>
      <c r="I857" s="250"/>
      <c r="J857" s="250"/>
      <c r="K857" s="270"/>
      <c r="L857" s="250"/>
      <c r="M857" s="250"/>
      <c r="N857" s="540" t="str">
        <f>CONCATENATE(IF(OR(M857=phu!$I$1,M857=phu!$I$2,M857=phu!$I$3),"Cam Thành Nam",""),IF(OR(M857=phu!$I$4,M857=phu!$I$5,M857=phu!$I$6,M857=phu!$I$7,M857=phu!$I$8,M857=phu!$I$9,M857=phu!$I$10,M857=phu!$I$11,M857=phu!$I$12,M857=phu!$I$13,M857=phu!$I$14),"Cam Nghĩa",""),IF(OR(M857=phu!$I$15,M857=phu!$I$16,M857=phu!$I$17,M857=phu!$I$18,M857=phu!$I$19,M857=phu!$I$20,M857=phu!$I$21),"Cam Phúc Bắc",""),IF(OR(M857=phu!$I$22,M857=phu!$I$23,M857=phu!$I$24,M857=phu!$I$25),"Cam Phúc Nam",""),IF(OR(M857=phu!$I$26,M857=phu!$I$27,M857=phu!$I$28,M857=phu!$I$29,M857=phu!$I$30,M857=phu!$I$31),"Cam Phú",""),IF(OR(M857=phu!$I$32,M857=phu!$I$33,M857=phu!$I$34,M857=phu!$I$35,M857=phu!$I$36,M857=phu!$I$37),"Cam Lộc",""),IF(OR(M857=phu!$I$38,M857=phu!$I$39,M857=phu!$I$40,M857=phu!$I$41,M857=phu!$I$42,M857=phu!$I$43,M857=phu!$I$44),"Cam Thuận",""),IF(OR(M857=phu!$I$45,M857=phu!$I$46,M857=phu!$I$47,M857=phu!$I$48,M857=phu!$I$49,M857=phu!$I$50,M857=phu!$I$51,M857=phu!$I$52,M857=phu!$I$53),"Cam Linh",""),IF(OR(M857=phu!$I$54,M857=phu!$I$55,M857=phu!$I$56,M857=phu!$I$57,M857=phu!$I$58,M857=phu!$I$59,M857=phu!$I$60,M857=phu!$I$61,M857=phu!$I$62),"Cam Lợi",""),IF(OR(M857=phu!$I$63,M857=phu!$I$64,M857=phu!$I$65,M857=phu!$I$66,M857=phu!$I$67,M857=phu!$I$68,M857=phu!$I$69,M857=phu!$I$70,M857=phu!$I$71),"Ba Ngòi",""),IF(OR(M857=phu!$I$72,M857=phu!$I$73,M857=phu!$I$74,M857=phu!$I$75,M857=phu!$I$76,M857=phu!$I$77,M857=phu!$I$78),"Cam Phước Đông",""),IF(OR(M857=phu!$I$79,M857=phu!$I$80,M857=phu!$I$81,M857=phu!$I$82,M857=phu!$I$83,M857=phu!$I$84),"Cam Thịnh Đông",""),IF(OR(M857=phu!$I$85,M857=phu!$I$86,M857=phu!$I$87,M857=phu!$I$88),"Cam Thịnh Tây",""),IF(OR(M857=phu!$I$89,M857=phu!$I$90),"Cam Lập",""),IF(OR(M857=phu!$I$91,M857=phu!$I$92,M857=phu!$I$93),"Cam Bình",""),IF(OR(M857=phu!$I$94,M857=phu!$I$95,M857=phu!$I$96,M857=phu!$I$97,M857=phu!$I$98,M857=phu!$I$99,M857=phu!$I$100),"Huyện khác",""),IF(OR(M857=phu!$I$101,M857=phu!$I$102),"Tỉnh khác",""))</f>
        <v/>
      </c>
      <c r="O857" s="829" t="str">
        <f t="shared" si="78"/>
        <v/>
      </c>
      <c r="P857" s="254"/>
      <c r="Q857" s="254"/>
      <c r="R857" s="254"/>
      <c r="S857" s="254"/>
      <c r="T857" s="254"/>
      <c r="U857" s="254"/>
      <c r="V857" s="254"/>
      <c r="W857" s="254"/>
      <c r="Y857" s="246" t="str">
        <f t="shared" si="79"/>
        <v/>
      </c>
      <c r="Z857" s="247" t="str">
        <f t="shared" si="83"/>
        <v/>
      </c>
      <c r="AA857" s="246" t="str">
        <f t="shared" si="80"/>
        <v/>
      </c>
    </row>
    <row r="858" spans="1:27" x14ac:dyDescent="0.25">
      <c r="A858" s="248" t="str">
        <f t="shared" si="81"/>
        <v/>
      </c>
      <c r="B858" s="249" t="str">
        <f t="shared" si="82"/>
        <v/>
      </c>
      <c r="C858" s="250"/>
      <c r="D858" s="251"/>
      <c r="E858" s="241"/>
      <c r="F858" s="252"/>
      <c r="G858" s="252"/>
      <c r="H858" s="253"/>
      <c r="I858" s="250"/>
      <c r="J858" s="250"/>
      <c r="K858" s="270"/>
      <c r="L858" s="250"/>
      <c r="M858" s="250"/>
      <c r="N858" s="540" t="str">
        <f>CONCATENATE(IF(OR(M858=phu!$I$1,M858=phu!$I$2,M858=phu!$I$3),"Cam Thành Nam",""),IF(OR(M858=phu!$I$4,M858=phu!$I$5,M858=phu!$I$6,M858=phu!$I$7,M858=phu!$I$8,M858=phu!$I$9,M858=phu!$I$10,M858=phu!$I$11,M858=phu!$I$12,M858=phu!$I$13,M858=phu!$I$14),"Cam Nghĩa",""),IF(OR(M858=phu!$I$15,M858=phu!$I$16,M858=phu!$I$17,M858=phu!$I$18,M858=phu!$I$19,M858=phu!$I$20,M858=phu!$I$21),"Cam Phúc Bắc",""),IF(OR(M858=phu!$I$22,M858=phu!$I$23,M858=phu!$I$24,M858=phu!$I$25),"Cam Phúc Nam",""),IF(OR(M858=phu!$I$26,M858=phu!$I$27,M858=phu!$I$28,M858=phu!$I$29,M858=phu!$I$30,M858=phu!$I$31),"Cam Phú",""),IF(OR(M858=phu!$I$32,M858=phu!$I$33,M858=phu!$I$34,M858=phu!$I$35,M858=phu!$I$36,M858=phu!$I$37),"Cam Lộc",""),IF(OR(M858=phu!$I$38,M858=phu!$I$39,M858=phu!$I$40,M858=phu!$I$41,M858=phu!$I$42,M858=phu!$I$43,M858=phu!$I$44),"Cam Thuận",""),IF(OR(M858=phu!$I$45,M858=phu!$I$46,M858=phu!$I$47,M858=phu!$I$48,M858=phu!$I$49,M858=phu!$I$50,M858=phu!$I$51,M858=phu!$I$52,M858=phu!$I$53),"Cam Linh",""),IF(OR(M858=phu!$I$54,M858=phu!$I$55,M858=phu!$I$56,M858=phu!$I$57,M858=phu!$I$58,M858=phu!$I$59,M858=phu!$I$60,M858=phu!$I$61,M858=phu!$I$62),"Cam Lợi",""),IF(OR(M858=phu!$I$63,M858=phu!$I$64,M858=phu!$I$65,M858=phu!$I$66,M858=phu!$I$67,M858=phu!$I$68,M858=phu!$I$69,M858=phu!$I$70,M858=phu!$I$71),"Ba Ngòi",""),IF(OR(M858=phu!$I$72,M858=phu!$I$73,M858=phu!$I$74,M858=phu!$I$75,M858=phu!$I$76,M858=phu!$I$77,M858=phu!$I$78),"Cam Phước Đông",""),IF(OR(M858=phu!$I$79,M858=phu!$I$80,M858=phu!$I$81,M858=phu!$I$82,M858=phu!$I$83,M858=phu!$I$84),"Cam Thịnh Đông",""),IF(OR(M858=phu!$I$85,M858=phu!$I$86,M858=phu!$I$87,M858=phu!$I$88),"Cam Thịnh Tây",""),IF(OR(M858=phu!$I$89,M858=phu!$I$90),"Cam Lập",""),IF(OR(M858=phu!$I$91,M858=phu!$I$92,M858=phu!$I$93),"Cam Bình",""),IF(OR(M858=phu!$I$94,M858=phu!$I$95,M858=phu!$I$96,M858=phu!$I$97,M858=phu!$I$98,M858=phu!$I$99,M858=phu!$I$100),"Huyện khác",""),IF(OR(M858=phu!$I$101,M858=phu!$I$102),"Tỉnh khác",""))</f>
        <v/>
      </c>
      <c r="O858" s="829" t="str">
        <f t="shared" si="78"/>
        <v/>
      </c>
      <c r="P858" s="254"/>
      <c r="Q858" s="254"/>
      <c r="R858" s="254"/>
      <c r="S858" s="254"/>
      <c r="T858" s="254"/>
      <c r="U858" s="254"/>
      <c r="V858" s="254"/>
      <c r="W858" s="254"/>
      <c r="Y858" s="246" t="str">
        <f t="shared" si="79"/>
        <v/>
      </c>
      <c r="Z858" s="247" t="str">
        <f t="shared" si="83"/>
        <v/>
      </c>
      <c r="AA858" s="246" t="str">
        <f t="shared" si="80"/>
        <v/>
      </c>
    </row>
    <row r="859" spans="1:27" x14ac:dyDescent="0.25">
      <c r="A859" s="248" t="str">
        <f t="shared" si="81"/>
        <v/>
      </c>
      <c r="B859" s="249" t="str">
        <f t="shared" si="82"/>
        <v/>
      </c>
      <c r="C859" s="250"/>
      <c r="D859" s="251"/>
      <c r="E859" s="241"/>
      <c r="F859" s="252"/>
      <c r="G859" s="252"/>
      <c r="H859" s="253"/>
      <c r="I859" s="250"/>
      <c r="J859" s="250"/>
      <c r="K859" s="270"/>
      <c r="L859" s="250"/>
      <c r="M859" s="250"/>
      <c r="N859" s="540" t="str">
        <f>CONCATENATE(IF(OR(M859=phu!$I$1,M859=phu!$I$2,M859=phu!$I$3),"Cam Thành Nam",""),IF(OR(M859=phu!$I$4,M859=phu!$I$5,M859=phu!$I$6,M859=phu!$I$7,M859=phu!$I$8,M859=phu!$I$9,M859=phu!$I$10,M859=phu!$I$11,M859=phu!$I$12,M859=phu!$I$13,M859=phu!$I$14),"Cam Nghĩa",""),IF(OR(M859=phu!$I$15,M859=phu!$I$16,M859=phu!$I$17,M859=phu!$I$18,M859=phu!$I$19,M859=phu!$I$20,M859=phu!$I$21),"Cam Phúc Bắc",""),IF(OR(M859=phu!$I$22,M859=phu!$I$23,M859=phu!$I$24,M859=phu!$I$25),"Cam Phúc Nam",""),IF(OR(M859=phu!$I$26,M859=phu!$I$27,M859=phu!$I$28,M859=phu!$I$29,M859=phu!$I$30,M859=phu!$I$31),"Cam Phú",""),IF(OR(M859=phu!$I$32,M859=phu!$I$33,M859=phu!$I$34,M859=phu!$I$35,M859=phu!$I$36,M859=phu!$I$37),"Cam Lộc",""),IF(OR(M859=phu!$I$38,M859=phu!$I$39,M859=phu!$I$40,M859=phu!$I$41,M859=phu!$I$42,M859=phu!$I$43,M859=phu!$I$44),"Cam Thuận",""),IF(OR(M859=phu!$I$45,M859=phu!$I$46,M859=phu!$I$47,M859=phu!$I$48,M859=phu!$I$49,M859=phu!$I$50,M859=phu!$I$51,M859=phu!$I$52,M859=phu!$I$53),"Cam Linh",""),IF(OR(M859=phu!$I$54,M859=phu!$I$55,M859=phu!$I$56,M859=phu!$I$57,M859=phu!$I$58,M859=phu!$I$59,M859=phu!$I$60,M859=phu!$I$61,M859=phu!$I$62),"Cam Lợi",""),IF(OR(M859=phu!$I$63,M859=phu!$I$64,M859=phu!$I$65,M859=phu!$I$66,M859=phu!$I$67,M859=phu!$I$68,M859=phu!$I$69,M859=phu!$I$70,M859=phu!$I$71),"Ba Ngòi",""),IF(OR(M859=phu!$I$72,M859=phu!$I$73,M859=phu!$I$74,M859=phu!$I$75,M859=phu!$I$76,M859=phu!$I$77,M859=phu!$I$78),"Cam Phước Đông",""),IF(OR(M859=phu!$I$79,M859=phu!$I$80,M859=phu!$I$81,M859=phu!$I$82,M859=phu!$I$83,M859=phu!$I$84),"Cam Thịnh Đông",""),IF(OR(M859=phu!$I$85,M859=phu!$I$86,M859=phu!$I$87,M859=phu!$I$88),"Cam Thịnh Tây",""),IF(OR(M859=phu!$I$89,M859=phu!$I$90),"Cam Lập",""),IF(OR(M859=phu!$I$91,M859=phu!$I$92,M859=phu!$I$93),"Cam Bình",""),IF(OR(M859=phu!$I$94,M859=phu!$I$95,M859=phu!$I$96,M859=phu!$I$97,M859=phu!$I$98,M859=phu!$I$99,M859=phu!$I$100),"Huyện khác",""),IF(OR(M859=phu!$I$101,M859=phu!$I$102),"Tỉnh khác",""))</f>
        <v/>
      </c>
      <c r="O859" s="829" t="str">
        <f t="shared" si="78"/>
        <v/>
      </c>
      <c r="P859" s="254"/>
      <c r="Q859" s="254"/>
      <c r="R859" s="254"/>
      <c r="S859" s="254"/>
      <c r="T859" s="254"/>
      <c r="U859" s="254"/>
      <c r="V859" s="254"/>
      <c r="W859" s="254"/>
      <c r="Y859" s="246" t="str">
        <f t="shared" si="79"/>
        <v/>
      </c>
      <c r="Z859" s="247" t="str">
        <f t="shared" si="83"/>
        <v/>
      </c>
      <c r="AA859" s="246" t="str">
        <f t="shared" si="80"/>
        <v/>
      </c>
    </row>
    <row r="860" spans="1:27" x14ac:dyDescent="0.25">
      <c r="A860" s="248" t="str">
        <f t="shared" si="81"/>
        <v/>
      </c>
      <c r="B860" s="249" t="str">
        <f t="shared" si="82"/>
        <v/>
      </c>
      <c r="C860" s="250"/>
      <c r="D860" s="251"/>
      <c r="E860" s="241"/>
      <c r="F860" s="252"/>
      <c r="G860" s="252"/>
      <c r="H860" s="253"/>
      <c r="I860" s="250"/>
      <c r="J860" s="250"/>
      <c r="K860" s="270"/>
      <c r="L860" s="250"/>
      <c r="M860" s="250"/>
      <c r="N860" s="540" t="str">
        <f>CONCATENATE(IF(OR(M860=phu!$I$1,M860=phu!$I$2,M860=phu!$I$3),"Cam Thành Nam",""),IF(OR(M860=phu!$I$4,M860=phu!$I$5,M860=phu!$I$6,M860=phu!$I$7,M860=phu!$I$8,M860=phu!$I$9,M860=phu!$I$10,M860=phu!$I$11,M860=phu!$I$12,M860=phu!$I$13,M860=phu!$I$14),"Cam Nghĩa",""),IF(OR(M860=phu!$I$15,M860=phu!$I$16,M860=phu!$I$17,M860=phu!$I$18,M860=phu!$I$19,M860=phu!$I$20,M860=phu!$I$21),"Cam Phúc Bắc",""),IF(OR(M860=phu!$I$22,M860=phu!$I$23,M860=phu!$I$24,M860=phu!$I$25),"Cam Phúc Nam",""),IF(OR(M860=phu!$I$26,M860=phu!$I$27,M860=phu!$I$28,M860=phu!$I$29,M860=phu!$I$30,M860=phu!$I$31),"Cam Phú",""),IF(OR(M860=phu!$I$32,M860=phu!$I$33,M860=phu!$I$34,M860=phu!$I$35,M860=phu!$I$36,M860=phu!$I$37),"Cam Lộc",""),IF(OR(M860=phu!$I$38,M860=phu!$I$39,M860=phu!$I$40,M860=phu!$I$41,M860=phu!$I$42,M860=phu!$I$43,M860=phu!$I$44),"Cam Thuận",""),IF(OR(M860=phu!$I$45,M860=phu!$I$46,M860=phu!$I$47,M860=phu!$I$48,M860=phu!$I$49,M860=phu!$I$50,M860=phu!$I$51,M860=phu!$I$52,M860=phu!$I$53),"Cam Linh",""),IF(OR(M860=phu!$I$54,M860=phu!$I$55,M860=phu!$I$56,M860=phu!$I$57,M860=phu!$I$58,M860=phu!$I$59,M860=phu!$I$60,M860=phu!$I$61,M860=phu!$I$62),"Cam Lợi",""),IF(OR(M860=phu!$I$63,M860=phu!$I$64,M860=phu!$I$65,M860=phu!$I$66,M860=phu!$I$67,M860=phu!$I$68,M860=phu!$I$69,M860=phu!$I$70,M860=phu!$I$71),"Ba Ngòi",""),IF(OR(M860=phu!$I$72,M860=phu!$I$73,M860=phu!$I$74,M860=phu!$I$75,M860=phu!$I$76,M860=phu!$I$77,M860=phu!$I$78),"Cam Phước Đông",""),IF(OR(M860=phu!$I$79,M860=phu!$I$80,M860=phu!$I$81,M860=phu!$I$82,M860=phu!$I$83,M860=phu!$I$84),"Cam Thịnh Đông",""),IF(OR(M860=phu!$I$85,M860=phu!$I$86,M860=phu!$I$87,M860=phu!$I$88),"Cam Thịnh Tây",""),IF(OR(M860=phu!$I$89,M860=phu!$I$90),"Cam Lập",""),IF(OR(M860=phu!$I$91,M860=phu!$I$92,M860=phu!$I$93),"Cam Bình",""),IF(OR(M860=phu!$I$94,M860=phu!$I$95,M860=phu!$I$96,M860=phu!$I$97,M860=phu!$I$98,M860=phu!$I$99,M860=phu!$I$100),"Huyện khác",""),IF(OR(M860=phu!$I$101,M860=phu!$I$102),"Tỉnh khác",""))</f>
        <v/>
      </c>
      <c r="O860" s="829" t="str">
        <f t="shared" si="78"/>
        <v/>
      </c>
      <c r="P860" s="254"/>
      <c r="Q860" s="254"/>
      <c r="R860" s="254"/>
      <c r="S860" s="254"/>
      <c r="T860" s="254"/>
      <c r="U860" s="254"/>
      <c r="V860" s="254"/>
      <c r="W860" s="254"/>
      <c r="Y860" s="246" t="str">
        <f t="shared" si="79"/>
        <v/>
      </c>
      <c r="Z860" s="247" t="str">
        <f t="shared" si="83"/>
        <v/>
      </c>
      <c r="AA860" s="246" t="str">
        <f t="shared" si="80"/>
        <v/>
      </c>
    </row>
    <row r="861" spans="1:27" x14ac:dyDescent="0.25">
      <c r="A861" s="248" t="str">
        <f t="shared" si="81"/>
        <v/>
      </c>
      <c r="B861" s="249" t="str">
        <f t="shared" si="82"/>
        <v/>
      </c>
      <c r="C861" s="250"/>
      <c r="D861" s="251"/>
      <c r="E861" s="241"/>
      <c r="F861" s="252"/>
      <c r="G861" s="252"/>
      <c r="H861" s="253"/>
      <c r="I861" s="250"/>
      <c r="J861" s="250"/>
      <c r="K861" s="270"/>
      <c r="L861" s="250"/>
      <c r="M861" s="250"/>
      <c r="N861" s="540" t="str">
        <f>CONCATENATE(IF(OR(M861=phu!$I$1,M861=phu!$I$2,M861=phu!$I$3),"Cam Thành Nam",""),IF(OR(M861=phu!$I$4,M861=phu!$I$5,M861=phu!$I$6,M861=phu!$I$7,M861=phu!$I$8,M861=phu!$I$9,M861=phu!$I$10,M861=phu!$I$11,M861=phu!$I$12,M861=phu!$I$13,M861=phu!$I$14),"Cam Nghĩa",""),IF(OR(M861=phu!$I$15,M861=phu!$I$16,M861=phu!$I$17,M861=phu!$I$18,M861=phu!$I$19,M861=phu!$I$20,M861=phu!$I$21),"Cam Phúc Bắc",""),IF(OR(M861=phu!$I$22,M861=phu!$I$23,M861=phu!$I$24,M861=phu!$I$25),"Cam Phúc Nam",""),IF(OR(M861=phu!$I$26,M861=phu!$I$27,M861=phu!$I$28,M861=phu!$I$29,M861=phu!$I$30,M861=phu!$I$31),"Cam Phú",""),IF(OR(M861=phu!$I$32,M861=phu!$I$33,M861=phu!$I$34,M861=phu!$I$35,M861=phu!$I$36,M861=phu!$I$37),"Cam Lộc",""),IF(OR(M861=phu!$I$38,M861=phu!$I$39,M861=phu!$I$40,M861=phu!$I$41,M861=phu!$I$42,M861=phu!$I$43,M861=phu!$I$44),"Cam Thuận",""),IF(OR(M861=phu!$I$45,M861=phu!$I$46,M861=phu!$I$47,M861=phu!$I$48,M861=phu!$I$49,M861=phu!$I$50,M861=phu!$I$51,M861=phu!$I$52,M861=phu!$I$53),"Cam Linh",""),IF(OR(M861=phu!$I$54,M861=phu!$I$55,M861=phu!$I$56,M861=phu!$I$57,M861=phu!$I$58,M861=phu!$I$59,M861=phu!$I$60,M861=phu!$I$61,M861=phu!$I$62),"Cam Lợi",""),IF(OR(M861=phu!$I$63,M861=phu!$I$64,M861=phu!$I$65,M861=phu!$I$66,M861=phu!$I$67,M861=phu!$I$68,M861=phu!$I$69,M861=phu!$I$70,M861=phu!$I$71),"Ba Ngòi",""),IF(OR(M861=phu!$I$72,M861=phu!$I$73,M861=phu!$I$74,M861=phu!$I$75,M861=phu!$I$76,M861=phu!$I$77,M861=phu!$I$78),"Cam Phước Đông",""),IF(OR(M861=phu!$I$79,M861=phu!$I$80,M861=phu!$I$81,M861=phu!$I$82,M861=phu!$I$83,M861=phu!$I$84),"Cam Thịnh Đông",""),IF(OR(M861=phu!$I$85,M861=phu!$I$86,M861=phu!$I$87,M861=phu!$I$88),"Cam Thịnh Tây",""),IF(OR(M861=phu!$I$89,M861=phu!$I$90),"Cam Lập",""),IF(OR(M861=phu!$I$91,M861=phu!$I$92,M861=phu!$I$93),"Cam Bình",""),IF(OR(M861=phu!$I$94,M861=phu!$I$95,M861=phu!$I$96,M861=phu!$I$97,M861=phu!$I$98,M861=phu!$I$99,M861=phu!$I$100),"Huyện khác",""),IF(OR(M861=phu!$I$101,M861=phu!$I$102),"Tỉnh khác",""))</f>
        <v/>
      </c>
      <c r="O861" s="829" t="str">
        <f t="shared" si="78"/>
        <v/>
      </c>
      <c r="P861" s="254"/>
      <c r="Q861" s="254"/>
      <c r="R861" s="254"/>
      <c r="S861" s="254"/>
      <c r="T861" s="254"/>
      <c r="U861" s="254"/>
      <c r="V861" s="254"/>
      <c r="W861" s="254"/>
      <c r="Y861" s="246" t="str">
        <f t="shared" si="79"/>
        <v/>
      </c>
      <c r="Z861" s="247" t="str">
        <f t="shared" si="83"/>
        <v/>
      </c>
      <c r="AA861" s="246" t="str">
        <f t="shared" si="80"/>
        <v/>
      </c>
    </row>
    <row r="862" spans="1:27" x14ac:dyDescent="0.25">
      <c r="A862" s="248" t="str">
        <f t="shared" si="81"/>
        <v/>
      </c>
      <c r="B862" s="249" t="str">
        <f t="shared" si="82"/>
        <v/>
      </c>
      <c r="C862" s="250"/>
      <c r="D862" s="251"/>
      <c r="E862" s="241"/>
      <c r="F862" s="252"/>
      <c r="G862" s="252"/>
      <c r="H862" s="253"/>
      <c r="I862" s="250"/>
      <c r="J862" s="250"/>
      <c r="K862" s="270"/>
      <c r="L862" s="250"/>
      <c r="M862" s="250"/>
      <c r="N862" s="540" t="str">
        <f>CONCATENATE(IF(OR(M862=phu!$I$1,M862=phu!$I$2,M862=phu!$I$3),"Cam Thành Nam",""),IF(OR(M862=phu!$I$4,M862=phu!$I$5,M862=phu!$I$6,M862=phu!$I$7,M862=phu!$I$8,M862=phu!$I$9,M862=phu!$I$10,M862=phu!$I$11,M862=phu!$I$12,M862=phu!$I$13,M862=phu!$I$14),"Cam Nghĩa",""),IF(OR(M862=phu!$I$15,M862=phu!$I$16,M862=phu!$I$17,M862=phu!$I$18,M862=phu!$I$19,M862=phu!$I$20,M862=phu!$I$21),"Cam Phúc Bắc",""),IF(OR(M862=phu!$I$22,M862=phu!$I$23,M862=phu!$I$24,M862=phu!$I$25),"Cam Phúc Nam",""),IF(OR(M862=phu!$I$26,M862=phu!$I$27,M862=phu!$I$28,M862=phu!$I$29,M862=phu!$I$30,M862=phu!$I$31),"Cam Phú",""),IF(OR(M862=phu!$I$32,M862=phu!$I$33,M862=phu!$I$34,M862=phu!$I$35,M862=phu!$I$36,M862=phu!$I$37),"Cam Lộc",""),IF(OR(M862=phu!$I$38,M862=phu!$I$39,M862=phu!$I$40,M862=phu!$I$41,M862=phu!$I$42,M862=phu!$I$43,M862=phu!$I$44),"Cam Thuận",""),IF(OR(M862=phu!$I$45,M862=phu!$I$46,M862=phu!$I$47,M862=phu!$I$48,M862=phu!$I$49,M862=phu!$I$50,M862=phu!$I$51,M862=phu!$I$52,M862=phu!$I$53),"Cam Linh",""),IF(OR(M862=phu!$I$54,M862=phu!$I$55,M862=phu!$I$56,M862=phu!$I$57,M862=phu!$I$58,M862=phu!$I$59,M862=phu!$I$60,M862=phu!$I$61,M862=phu!$I$62),"Cam Lợi",""),IF(OR(M862=phu!$I$63,M862=phu!$I$64,M862=phu!$I$65,M862=phu!$I$66,M862=phu!$I$67,M862=phu!$I$68,M862=phu!$I$69,M862=phu!$I$70,M862=phu!$I$71),"Ba Ngòi",""),IF(OR(M862=phu!$I$72,M862=phu!$I$73,M862=phu!$I$74,M862=phu!$I$75,M862=phu!$I$76,M862=phu!$I$77,M862=phu!$I$78),"Cam Phước Đông",""),IF(OR(M862=phu!$I$79,M862=phu!$I$80,M862=phu!$I$81,M862=phu!$I$82,M862=phu!$I$83,M862=phu!$I$84),"Cam Thịnh Đông",""),IF(OR(M862=phu!$I$85,M862=phu!$I$86,M862=phu!$I$87,M862=phu!$I$88),"Cam Thịnh Tây",""),IF(OR(M862=phu!$I$89,M862=phu!$I$90),"Cam Lập",""),IF(OR(M862=phu!$I$91,M862=phu!$I$92,M862=phu!$I$93),"Cam Bình",""),IF(OR(M862=phu!$I$94,M862=phu!$I$95,M862=phu!$I$96,M862=phu!$I$97,M862=phu!$I$98,M862=phu!$I$99,M862=phu!$I$100),"Huyện khác",""),IF(OR(M862=phu!$I$101,M862=phu!$I$102),"Tỉnh khác",""))</f>
        <v/>
      </c>
      <c r="O862" s="829" t="str">
        <f t="shared" si="78"/>
        <v/>
      </c>
      <c r="P862" s="254"/>
      <c r="Q862" s="254"/>
      <c r="R862" s="254"/>
      <c r="S862" s="254"/>
      <c r="T862" s="254"/>
      <c r="U862" s="254"/>
      <c r="V862" s="254"/>
      <c r="W862" s="254"/>
      <c r="Y862" s="246" t="str">
        <f t="shared" si="79"/>
        <v/>
      </c>
      <c r="Z862" s="247" t="str">
        <f t="shared" si="83"/>
        <v/>
      </c>
      <c r="AA862" s="246" t="str">
        <f t="shared" si="80"/>
        <v/>
      </c>
    </row>
    <row r="863" spans="1:27" x14ac:dyDescent="0.25">
      <c r="A863" s="248" t="str">
        <f t="shared" si="81"/>
        <v/>
      </c>
      <c r="B863" s="249" t="str">
        <f t="shared" si="82"/>
        <v/>
      </c>
      <c r="C863" s="250"/>
      <c r="D863" s="251"/>
      <c r="E863" s="241"/>
      <c r="F863" s="252"/>
      <c r="G863" s="252"/>
      <c r="H863" s="253"/>
      <c r="I863" s="250"/>
      <c r="J863" s="250"/>
      <c r="K863" s="270"/>
      <c r="L863" s="250"/>
      <c r="M863" s="250"/>
      <c r="N863" s="540" t="str">
        <f>CONCATENATE(IF(OR(M863=phu!$I$1,M863=phu!$I$2,M863=phu!$I$3),"Cam Thành Nam",""),IF(OR(M863=phu!$I$4,M863=phu!$I$5,M863=phu!$I$6,M863=phu!$I$7,M863=phu!$I$8,M863=phu!$I$9,M863=phu!$I$10,M863=phu!$I$11,M863=phu!$I$12,M863=phu!$I$13,M863=phu!$I$14),"Cam Nghĩa",""),IF(OR(M863=phu!$I$15,M863=phu!$I$16,M863=phu!$I$17,M863=phu!$I$18,M863=phu!$I$19,M863=phu!$I$20,M863=phu!$I$21),"Cam Phúc Bắc",""),IF(OR(M863=phu!$I$22,M863=phu!$I$23,M863=phu!$I$24,M863=phu!$I$25),"Cam Phúc Nam",""),IF(OR(M863=phu!$I$26,M863=phu!$I$27,M863=phu!$I$28,M863=phu!$I$29,M863=phu!$I$30,M863=phu!$I$31),"Cam Phú",""),IF(OR(M863=phu!$I$32,M863=phu!$I$33,M863=phu!$I$34,M863=phu!$I$35,M863=phu!$I$36,M863=phu!$I$37),"Cam Lộc",""),IF(OR(M863=phu!$I$38,M863=phu!$I$39,M863=phu!$I$40,M863=phu!$I$41,M863=phu!$I$42,M863=phu!$I$43,M863=phu!$I$44),"Cam Thuận",""),IF(OR(M863=phu!$I$45,M863=phu!$I$46,M863=phu!$I$47,M863=phu!$I$48,M863=phu!$I$49,M863=phu!$I$50,M863=phu!$I$51,M863=phu!$I$52,M863=phu!$I$53),"Cam Linh",""),IF(OR(M863=phu!$I$54,M863=phu!$I$55,M863=phu!$I$56,M863=phu!$I$57,M863=phu!$I$58,M863=phu!$I$59,M863=phu!$I$60,M863=phu!$I$61,M863=phu!$I$62),"Cam Lợi",""),IF(OR(M863=phu!$I$63,M863=phu!$I$64,M863=phu!$I$65,M863=phu!$I$66,M863=phu!$I$67,M863=phu!$I$68,M863=phu!$I$69,M863=phu!$I$70,M863=phu!$I$71),"Ba Ngòi",""),IF(OR(M863=phu!$I$72,M863=phu!$I$73,M863=phu!$I$74,M863=phu!$I$75,M863=phu!$I$76,M863=phu!$I$77,M863=phu!$I$78),"Cam Phước Đông",""),IF(OR(M863=phu!$I$79,M863=phu!$I$80,M863=phu!$I$81,M863=phu!$I$82,M863=phu!$I$83,M863=phu!$I$84),"Cam Thịnh Đông",""),IF(OR(M863=phu!$I$85,M863=phu!$I$86,M863=phu!$I$87,M863=phu!$I$88),"Cam Thịnh Tây",""),IF(OR(M863=phu!$I$89,M863=phu!$I$90),"Cam Lập",""),IF(OR(M863=phu!$I$91,M863=phu!$I$92,M863=phu!$I$93),"Cam Bình",""),IF(OR(M863=phu!$I$94,M863=phu!$I$95,M863=phu!$I$96,M863=phu!$I$97,M863=phu!$I$98,M863=phu!$I$99,M863=phu!$I$100),"Huyện khác",""),IF(OR(M863=phu!$I$101,M863=phu!$I$102),"Tỉnh khác",""))</f>
        <v/>
      </c>
      <c r="O863" s="829" t="str">
        <f t="shared" si="78"/>
        <v/>
      </c>
      <c r="P863" s="254"/>
      <c r="Q863" s="254"/>
      <c r="R863" s="254"/>
      <c r="S863" s="254"/>
      <c r="T863" s="254"/>
      <c r="U863" s="254"/>
      <c r="V863" s="254"/>
      <c r="W863" s="254"/>
      <c r="Y863" s="246" t="str">
        <f t="shared" si="79"/>
        <v/>
      </c>
      <c r="Z863" s="247" t="str">
        <f t="shared" si="83"/>
        <v/>
      </c>
      <c r="AA863" s="246" t="str">
        <f t="shared" si="80"/>
        <v/>
      </c>
    </row>
    <row r="864" spans="1:27" x14ac:dyDescent="0.25">
      <c r="A864" s="248" t="str">
        <f t="shared" si="81"/>
        <v/>
      </c>
      <c r="B864" s="249" t="str">
        <f t="shared" si="82"/>
        <v/>
      </c>
      <c r="C864" s="250"/>
      <c r="D864" s="251"/>
      <c r="E864" s="241"/>
      <c r="F864" s="252"/>
      <c r="G864" s="252"/>
      <c r="H864" s="253"/>
      <c r="I864" s="250"/>
      <c r="J864" s="250"/>
      <c r="K864" s="270"/>
      <c r="L864" s="250"/>
      <c r="M864" s="250"/>
      <c r="N864" s="540" t="str">
        <f>CONCATENATE(IF(OR(M864=phu!$I$1,M864=phu!$I$2,M864=phu!$I$3),"Cam Thành Nam",""),IF(OR(M864=phu!$I$4,M864=phu!$I$5,M864=phu!$I$6,M864=phu!$I$7,M864=phu!$I$8,M864=phu!$I$9,M864=phu!$I$10,M864=phu!$I$11,M864=phu!$I$12,M864=phu!$I$13,M864=phu!$I$14),"Cam Nghĩa",""),IF(OR(M864=phu!$I$15,M864=phu!$I$16,M864=phu!$I$17,M864=phu!$I$18,M864=phu!$I$19,M864=phu!$I$20,M864=phu!$I$21),"Cam Phúc Bắc",""),IF(OR(M864=phu!$I$22,M864=phu!$I$23,M864=phu!$I$24,M864=phu!$I$25),"Cam Phúc Nam",""),IF(OR(M864=phu!$I$26,M864=phu!$I$27,M864=phu!$I$28,M864=phu!$I$29,M864=phu!$I$30,M864=phu!$I$31),"Cam Phú",""),IF(OR(M864=phu!$I$32,M864=phu!$I$33,M864=phu!$I$34,M864=phu!$I$35,M864=phu!$I$36,M864=phu!$I$37),"Cam Lộc",""),IF(OR(M864=phu!$I$38,M864=phu!$I$39,M864=phu!$I$40,M864=phu!$I$41,M864=phu!$I$42,M864=phu!$I$43,M864=phu!$I$44),"Cam Thuận",""),IF(OR(M864=phu!$I$45,M864=phu!$I$46,M864=phu!$I$47,M864=phu!$I$48,M864=phu!$I$49,M864=phu!$I$50,M864=phu!$I$51,M864=phu!$I$52,M864=phu!$I$53),"Cam Linh",""),IF(OR(M864=phu!$I$54,M864=phu!$I$55,M864=phu!$I$56,M864=phu!$I$57,M864=phu!$I$58,M864=phu!$I$59,M864=phu!$I$60,M864=phu!$I$61,M864=phu!$I$62),"Cam Lợi",""),IF(OR(M864=phu!$I$63,M864=phu!$I$64,M864=phu!$I$65,M864=phu!$I$66,M864=phu!$I$67,M864=phu!$I$68,M864=phu!$I$69,M864=phu!$I$70,M864=phu!$I$71),"Ba Ngòi",""),IF(OR(M864=phu!$I$72,M864=phu!$I$73,M864=phu!$I$74,M864=phu!$I$75,M864=phu!$I$76,M864=phu!$I$77,M864=phu!$I$78),"Cam Phước Đông",""),IF(OR(M864=phu!$I$79,M864=phu!$I$80,M864=phu!$I$81,M864=phu!$I$82,M864=phu!$I$83,M864=phu!$I$84),"Cam Thịnh Đông",""),IF(OR(M864=phu!$I$85,M864=phu!$I$86,M864=phu!$I$87,M864=phu!$I$88),"Cam Thịnh Tây",""),IF(OR(M864=phu!$I$89,M864=phu!$I$90),"Cam Lập",""),IF(OR(M864=phu!$I$91,M864=phu!$I$92,M864=phu!$I$93),"Cam Bình",""),IF(OR(M864=phu!$I$94,M864=phu!$I$95,M864=phu!$I$96,M864=phu!$I$97,M864=phu!$I$98,M864=phu!$I$99,M864=phu!$I$100),"Huyện khác",""),IF(OR(M864=phu!$I$101,M864=phu!$I$102),"Tỉnh khác",""))</f>
        <v/>
      </c>
      <c r="O864" s="829" t="str">
        <f t="shared" si="78"/>
        <v/>
      </c>
      <c r="P864" s="254"/>
      <c r="Q864" s="254"/>
      <c r="R864" s="254"/>
      <c r="S864" s="254"/>
      <c r="T864" s="254"/>
      <c r="U864" s="254"/>
      <c r="V864" s="254"/>
      <c r="W864" s="254"/>
      <c r="Y864" s="246" t="str">
        <f t="shared" si="79"/>
        <v/>
      </c>
      <c r="Z864" s="247" t="str">
        <f t="shared" si="83"/>
        <v/>
      </c>
      <c r="AA864" s="246" t="str">
        <f t="shared" si="80"/>
        <v/>
      </c>
    </row>
    <row r="865" spans="1:27" x14ac:dyDescent="0.25">
      <c r="A865" s="248" t="str">
        <f t="shared" si="81"/>
        <v/>
      </c>
      <c r="B865" s="249" t="str">
        <f t="shared" si="82"/>
        <v/>
      </c>
      <c r="C865" s="250"/>
      <c r="D865" s="251"/>
      <c r="E865" s="241"/>
      <c r="F865" s="252"/>
      <c r="G865" s="252"/>
      <c r="H865" s="253"/>
      <c r="I865" s="250"/>
      <c r="J865" s="250"/>
      <c r="K865" s="270"/>
      <c r="L865" s="250"/>
      <c r="M865" s="250"/>
      <c r="N865" s="540" t="str">
        <f>CONCATENATE(IF(OR(M865=phu!$I$1,M865=phu!$I$2,M865=phu!$I$3),"Cam Thành Nam",""),IF(OR(M865=phu!$I$4,M865=phu!$I$5,M865=phu!$I$6,M865=phu!$I$7,M865=phu!$I$8,M865=phu!$I$9,M865=phu!$I$10,M865=phu!$I$11,M865=phu!$I$12,M865=phu!$I$13,M865=phu!$I$14),"Cam Nghĩa",""),IF(OR(M865=phu!$I$15,M865=phu!$I$16,M865=phu!$I$17,M865=phu!$I$18,M865=phu!$I$19,M865=phu!$I$20,M865=phu!$I$21),"Cam Phúc Bắc",""),IF(OR(M865=phu!$I$22,M865=phu!$I$23,M865=phu!$I$24,M865=phu!$I$25),"Cam Phúc Nam",""),IF(OR(M865=phu!$I$26,M865=phu!$I$27,M865=phu!$I$28,M865=phu!$I$29,M865=phu!$I$30,M865=phu!$I$31),"Cam Phú",""),IF(OR(M865=phu!$I$32,M865=phu!$I$33,M865=phu!$I$34,M865=phu!$I$35,M865=phu!$I$36,M865=phu!$I$37),"Cam Lộc",""),IF(OR(M865=phu!$I$38,M865=phu!$I$39,M865=phu!$I$40,M865=phu!$I$41,M865=phu!$I$42,M865=phu!$I$43,M865=phu!$I$44),"Cam Thuận",""),IF(OR(M865=phu!$I$45,M865=phu!$I$46,M865=phu!$I$47,M865=phu!$I$48,M865=phu!$I$49,M865=phu!$I$50,M865=phu!$I$51,M865=phu!$I$52,M865=phu!$I$53),"Cam Linh",""),IF(OR(M865=phu!$I$54,M865=phu!$I$55,M865=phu!$I$56,M865=phu!$I$57,M865=phu!$I$58,M865=phu!$I$59,M865=phu!$I$60,M865=phu!$I$61,M865=phu!$I$62),"Cam Lợi",""),IF(OR(M865=phu!$I$63,M865=phu!$I$64,M865=phu!$I$65,M865=phu!$I$66,M865=phu!$I$67,M865=phu!$I$68,M865=phu!$I$69,M865=phu!$I$70,M865=phu!$I$71),"Ba Ngòi",""),IF(OR(M865=phu!$I$72,M865=phu!$I$73,M865=phu!$I$74,M865=phu!$I$75,M865=phu!$I$76,M865=phu!$I$77,M865=phu!$I$78),"Cam Phước Đông",""),IF(OR(M865=phu!$I$79,M865=phu!$I$80,M865=phu!$I$81,M865=phu!$I$82,M865=phu!$I$83,M865=phu!$I$84),"Cam Thịnh Đông",""),IF(OR(M865=phu!$I$85,M865=phu!$I$86,M865=phu!$I$87,M865=phu!$I$88),"Cam Thịnh Tây",""),IF(OR(M865=phu!$I$89,M865=phu!$I$90),"Cam Lập",""),IF(OR(M865=phu!$I$91,M865=phu!$I$92,M865=phu!$I$93),"Cam Bình",""),IF(OR(M865=phu!$I$94,M865=phu!$I$95,M865=phu!$I$96,M865=phu!$I$97,M865=phu!$I$98,M865=phu!$I$99,M865=phu!$I$100),"Huyện khác",""),IF(OR(M865=phu!$I$101,M865=phu!$I$102),"Tỉnh khác",""))</f>
        <v/>
      </c>
      <c r="O865" s="829" t="str">
        <f t="shared" si="78"/>
        <v/>
      </c>
      <c r="P865" s="254"/>
      <c r="Q865" s="254"/>
      <c r="R865" s="254"/>
      <c r="S865" s="254"/>
      <c r="T865" s="254"/>
      <c r="U865" s="254"/>
      <c r="V865" s="254"/>
      <c r="W865" s="254"/>
      <c r="Y865" s="246" t="str">
        <f t="shared" si="79"/>
        <v/>
      </c>
      <c r="Z865" s="247" t="str">
        <f t="shared" si="83"/>
        <v/>
      </c>
      <c r="AA865" s="246" t="str">
        <f t="shared" si="80"/>
        <v/>
      </c>
    </row>
    <row r="866" spans="1:27" x14ac:dyDescent="0.25">
      <c r="A866" s="248" t="str">
        <f t="shared" si="81"/>
        <v/>
      </c>
      <c r="B866" s="249" t="str">
        <f t="shared" si="82"/>
        <v/>
      </c>
      <c r="C866" s="250"/>
      <c r="D866" s="251"/>
      <c r="E866" s="241"/>
      <c r="F866" s="252"/>
      <c r="G866" s="252"/>
      <c r="H866" s="253"/>
      <c r="I866" s="250"/>
      <c r="J866" s="250"/>
      <c r="K866" s="270"/>
      <c r="L866" s="250"/>
      <c r="M866" s="250"/>
      <c r="N866" s="540" t="str">
        <f>CONCATENATE(IF(OR(M866=phu!$I$1,M866=phu!$I$2,M866=phu!$I$3),"Cam Thành Nam",""),IF(OR(M866=phu!$I$4,M866=phu!$I$5,M866=phu!$I$6,M866=phu!$I$7,M866=phu!$I$8,M866=phu!$I$9,M866=phu!$I$10,M866=phu!$I$11,M866=phu!$I$12,M866=phu!$I$13,M866=phu!$I$14),"Cam Nghĩa",""),IF(OR(M866=phu!$I$15,M866=phu!$I$16,M866=phu!$I$17,M866=phu!$I$18,M866=phu!$I$19,M866=phu!$I$20,M866=phu!$I$21),"Cam Phúc Bắc",""),IF(OR(M866=phu!$I$22,M866=phu!$I$23,M866=phu!$I$24,M866=phu!$I$25),"Cam Phúc Nam",""),IF(OR(M866=phu!$I$26,M866=phu!$I$27,M866=phu!$I$28,M866=phu!$I$29,M866=phu!$I$30,M866=phu!$I$31),"Cam Phú",""),IF(OR(M866=phu!$I$32,M866=phu!$I$33,M866=phu!$I$34,M866=phu!$I$35,M866=phu!$I$36,M866=phu!$I$37),"Cam Lộc",""),IF(OR(M866=phu!$I$38,M866=phu!$I$39,M866=phu!$I$40,M866=phu!$I$41,M866=phu!$I$42,M866=phu!$I$43,M866=phu!$I$44),"Cam Thuận",""),IF(OR(M866=phu!$I$45,M866=phu!$I$46,M866=phu!$I$47,M866=phu!$I$48,M866=phu!$I$49,M866=phu!$I$50,M866=phu!$I$51,M866=phu!$I$52,M866=phu!$I$53),"Cam Linh",""),IF(OR(M866=phu!$I$54,M866=phu!$I$55,M866=phu!$I$56,M866=phu!$I$57,M866=phu!$I$58,M866=phu!$I$59,M866=phu!$I$60,M866=phu!$I$61,M866=phu!$I$62),"Cam Lợi",""),IF(OR(M866=phu!$I$63,M866=phu!$I$64,M866=phu!$I$65,M866=phu!$I$66,M866=phu!$I$67,M866=phu!$I$68,M866=phu!$I$69,M866=phu!$I$70,M866=phu!$I$71),"Ba Ngòi",""),IF(OR(M866=phu!$I$72,M866=phu!$I$73,M866=phu!$I$74,M866=phu!$I$75,M866=phu!$I$76,M866=phu!$I$77,M866=phu!$I$78),"Cam Phước Đông",""),IF(OR(M866=phu!$I$79,M866=phu!$I$80,M866=phu!$I$81,M866=phu!$I$82,M866=phu!$I$83,M866=phu!$I$84),"Cam Thịnh Đông",""),IF(OR(M866=phu!$I$85,M866=phu!$I$86,M866=phu!$I$87,M866=phu!$I$88),"Cam Thịnh Tây",""),IF(OR(M866=phu!$I$89,M866=phu!$I$90),"Cam Lập",""),IF(OR(M866=phu!$I$91,M866=phu!$I$92,M866=phu!$I$93),"Cam Bình",""),IF(OR(M866=phu!$I$94,M866=phu!$I$95,M866=phu!$I$96,M866=phu!$I$97,M866=phu!$I$98,M866=phu!$I$99,M866=phu!$I$100),"Huyện khác",""),IF(OR(M866=phu!$I$101,M866=phu!$I$102),"Tỉnh khác",""))</f>
        <v/>
      </c>
      <c r="O866" s="829" t="str">
        <f t="shared" si="78"/>
        <v/>
      </c>
      <c r="P866" s="254"/>
      <c r="Q866" s="254"/>
      <c r="R866" s="254"/>
      <c r="S866" s="254"/>
      <c r="T866" s="254"/>
      <c r="U866" s="254"/>
      <c r="V866" s="254"/>
      <c r="W866" s="254"/>
      <c r="Y866" s="246" t="str">
        <f t="shared" si="79"/>
        <v/>
      </c>
      <c r="Z866" s="247" t="str">
        <f t="shared" si="83"/>
        <v/>
      </c>
      <c r="AA866" s="246" t="str">
        <f t="shared" si="80"/>
        <v/>
      </c>
    </row>
    <row r="867" spans="1:27" x14ac:dyDescent="0.25">
      <c r="A867" s="248" t="str">
        <f t="shared" si="81"/>
        <v/>
      </c>
      <c r="B867" s="249" t="str">
        <f t="shared" si="82"/>
        <v/>
      </c>
      <c r="C867" s="250"/>
      <c r="D867" s="251"/>
      <c r="E867" s="241"/>
      <c r="F867" s="252"/>
      <c r="G867" s="252"/>
      <c r="H867" s="253"/>
      <c r="I867" s="250"/>
      <c r="J867" s="250"/>
      <c r="K867" s="270"/>
      <c r="L867" s="250"/>
      <c r="M867" s="250"/>
      <c r="N867" s="540" t="str">
        <f>CONCATENATE(IF(OR(M867=phu!$I$1,M867=phu!$I$2,M867=phu!$I$3),"Cam Thành Nam",""),IF(OR(M867=phu!$I$4,M867=phu!$I$5,M867=phu!$I$6,M867=phu!$I$7,M867=phu!$I$8,M867=phu!$I$9,M867=phu!$I$10,M867=phu!$I$11,M867=phu!$I$12,M867=phu!$I$13,M867=phu!$I$14),"Cam Nghĩa",""),IF(OR(M867=phu!$I$15,M867=phu!$I$16,M867=phu!$I$17,M867=phu!$I$18,M867=phu!$I$19,M867=phu!$I$20,M867=phu!$I$21),"Cam Phúc Bắc",""),IF(OR(M867=phu!$I$22,M867=phu!$I$23,M867=phu!$I$24,M867=phu!$I$25),"Cam Phúc Nam",""),IF(OR(M867=phu!$I$26,M867=phu!$I$27,M867=phu!$I$28,M867=phu!$I$29,M867=phu!$I$30,M867=phu!$I$31),"Cam Phú",""),IF(OR(M867=phu!$I$32,M867=phu!$I$33,M867=phu!$I$34,M867=phu!$I$35,M867=phu!$I$36,M867=phu!$I$37),"Cam Lộc",""),IF(OR(M867=phu!$I$38,M867=phu!$I$39,M867=phu!$I$40,M867=phu!$I$41,M867=phu!$I$42,M867=phu!$I$43,M867=phu!$I$44),"Cam Thuận",""),IF(OR(M867=phu!$I$45,M867=phu!$I$46,M867=phu!$I$47,M867=phu!$I$48,M867=phu!$I$49,M867=phu!$I$50,M867=phu!$I$51,M867=phu!$I$52,M867=phu!$I$53),"Cam Linh",""),IF(OR(M867=phu!$I$54,M867=phu!$I$55,M867=phu!$I$56,M867=phu!$I$57,M867=phu!$I$58,M867=phu!$I$59,M867=phu!$I$60,M867=phu!$I$61,M867=phu!$I$62),"Cam Lợi",""),IF(OR(M867=phu!$I$63,M867=phu!$I$64,M867=phu!$I$65,M867=phu!$I$66,M867=phu!$I$67,M867=phu!$I$68,M867=phu!$I$69,M867=phu!$I$70,M867=phu!$I$71),"Ba Ngòi",""),IF(OR(M867=phu!$I$72,M867=phu!$I$73,M867=phu!$I$74,M867=phu!$I$75,M867=phu!$I$76,M867=phu!$I$77,M867=phu!$I$78),"Cam Phước Đông",""),IF(OR(M867=phu!$I$79,M867=phu!$I$80,M867=phu!$I$81,M867=phu!$I$82,M867=phu!$I$83,M867=phu!$I$84),"Cam Thịnh Đông",""),IF(OR(M867=phu!$I$85,M867=phu!$I$86,M867=phu!$I$87,M867=phu!$I$88),"Cam Thịnh Tây",""),IF(OR(M867=phu!$I$89,M867=phu!$I$90),"Cam Lập",""),IF(OR(M867=phu!$I$91,M867=phu!$I$92,M867=phu!$I$93),"Cam Bình",""),IF(OR(M867=phu!$I$94,M867=phu!$I$95,M867=phu!$I$96,M867=phu!$I$97,M867=phu!$I$98,M867=phu!$I$99,M867=phu!$I$100),"Huyện khác",""),IF(OR(M867=phu!$I$101,M867=phu!$I$102),"Tỉnh khác",""))</f>
        <v/>
      </c>
      <c r="O867" s="829" t="str">
        <f t="shared" si="78"/>
        <v/>
      </c>
      <c r="P867" s="254"/>
      <c r="Q867" s="254"/>
      <c r="R867" s="254"/>
      <c r="S867" s="254"/>
      <c r="T867" s="254"/>
      <c r="U867" s="254"/>
      <c r="V867" s="254"/>
      <c r="W867" s="254"/>
      <c r="Y867" s="246" t="str">
        <f t="shared" si="79"/>
        <v/>
      </c>
      <c r="Z867" s="247" t="str">
        <f t="shared" si="83"/>
        <v/>
      </c>
      <c r="AA867" s="246" t="str">
        <f t="shared" si="80"/>
        <v/>
      </c>
    </row>
    <row r="868" spans="1:27" x14ac:dyDescent="0.25">
      <c r="A868" s="248" t="str">
        <f t="shared" si="81"/>
        <v/>
      </c>
      <c r="B868" s="249" t="str">
        <f t="shared" si="82"/>
        <v/>
      </c>
      <c r="C868" s="250"/>
      <c r="D868" s="251"/>
      <c r="E868" s="241"/>
      <c r="F868" s="252"/>
      <c r="G868" s="252"/>
      <c r="H868" s="253"/>
      <c r="I868" s="250"/>
      <c r="J868" s="250"/>
      <c r="K868" s="270"/>
      <c r="L868" s="250"/>
      <c r="M868" s="250"/>
      <c r="N868" s="540" t="str">
        <f>CONCATENATE(IF(OR(M868=phu!$I$1,M868=phu!$I$2,M868=phu!$I$3),"Cam Thành Nam",""),IF(OR(M868=phu!$I$4,M868=phu!$I$5,M868=phu!$I$6,M868=phu!$I$7,M868=phu!$I$8,M868=phu!$I$9,M868=phu!$I$10,M868=phu!$I$11,M868=phu!$I$12,M868=phu!$I$13,M868=phu!$I$14),"Cam Nghĩa",""),IF(OR(M868=phu!$I$15,M868=phu!$I$16,M868=phu!$I$17,M868=phu!$I$18,M868=phu!$I$19,M868=phu!$I$20,M868=phu!$I$21),"Cam Phúc Bắc",""),IF(OR(M868=phu!$I$22,M868=phu!$I$23,M868=phu!$I$24,M868=phu!$I$25),"Cam Phúc Nam",""),IF(OR(M868=phu!$I$26,M868=phu!$I$27,M868=phu!$I$28,M868=phu!$I$29,M868=phu!$I$30,M868=phu!$I$31),"Cam Phú",""),IF(OR(M868=phu!$I$32,M868=phu!$I$33,M868=phu!$I$34,M868=phu!$I$35,M868=phu!$I$36,M868=phu!$I$37),"Cam Lộc",""),IF(OR(M868=phu!$I$38,M868=phu!$I$39,M868=phu!$I$40,M868=phu!$I$41,M868=phu!$I$42,M868=phu!$I$43,M868=phu!$I$44),"Cam Thuận",""),IF(OR(M868=phu!$I$45,M868=phu!$I$46,M868=phu!$I$47,M868=phu!$I$48,M868=phu!$I$49,M868=phu!$I$50,M868=phu!$I$51,M868=phu!$I$52,M868=phu!$I$53),"Cam Linh",""),IF(OR(M868=phu!$I$54,M868=phu!$I$55,M868=phu!$I$56,M868=phu!$I$57,M868=phu!$I$58,M868=phu!$I$59,M868=phu!$I$60,M868=phu!$I$61,M868=phu!$I$62),"Cam Lợi",""),IF(OR(M868=phu!$I$63,M868=phu!$I$64,M868=phu!$I$65,M868=phu!$I$66,M868=phu!$I$67,M868=phu!$I$68,M868=phu!$I$69,M868=phu!$I$70,M868=phu!$I$71),"Ba Ngòi",""),IF(OR(M868=phu!$I$72,M868=phu!$I$73,M868=phu!$I$74,M868=phu!$I$75,M868=phu!$I$76,M868=phu!$I$77,M868=phu!$I$78),"Cam Phước Đông",""),IF(OR(M868=phu!$I$79,M868=phu!$I$80,M868=phu!$I$81,M868=phu!$I$82,M868=phu!$I$83,M868=phu!$I$84),"Cam Thịnh Đông",""),IF(OR(M868=phu!$I$85,M868=phu!$I$86,M868=phu!$I$87,M868=phu!$I$88),"Cam Thịnh Tây",""),IF(OR(M868=phu!$I$89,M868=phu!$I$90),"Cam Lập",""),IF(OR(M868=phu!$I$91,M868=phu!$I$92,M868=phu!$I$93),"Cam Bình",""),IF(OR(M868=phu!$I$94,M868=phu!$I$95,M868=phu!$I$96,M868=phu!$I$97,M868=phu!$I$98,M868=phu!$I$99,M868=phu!$I$100),"Huyện khác",""),IF(OR(M868=phu!$I$101,M868=phu!$I$102),"Tỉnh khác",""))</f>
        <v/>
      </c>
      <c r="O868" s="829" t="str">
        <f t="shared" si="78"/>
        <v/>
      </c>
      <c r="P868" s="254"/>
      <c r="Q868" s="254"/>
      <c r="R868" s="254"/>
      <c r="S868" s="254"/>
      <c r="T868" s="254"/>
      <c r="U868" s="254"/>
      <c r="V868" s="254"/>
      <c r="W868" s="254"/>
      <c r="Y868" s="246" t="str">
        <f t="shared" si="79"/>
        <v/>
      </c>
      <c r="Z868" s="247" t="str">
        <f t="shared" si="83"/>
        <v/>
      </c>
      <c r="AA868" s="246" t="str">
        <f t="shared" si="80"/>
        <v/>
      </c>
    </row>
    <row r="869" spans="1:27" x14ac:dyDescent="0.25">
      <c r="A869" s="248" t="str">
        <f t="shared" si="81"/>
        <v/>
      </c>
      <c r="B869" s="249" t="str">
        <f t="shared" si="82"/>
        <v/>
      </c>
      <c r="C869" s="250"/>
      <c r="D869" s="251"/>
      <c r="E869" s="241"/>
      <c r="F869" s="252"/>
      <c r="G869" s="252"/>
      <c r="H869" s="253"/>
      <c r="I869" s="250"/>
      <c r="J869" s="250"/>
      <c r="K869" s="270"/>
      <c r="L869" s="250"/>
      <c r="M869" s="250"/>
      <c r="N869" s="540" t="str">
        <f>CONCATENATE(IF(OR(M869=phu!$I$1,M869=phu!$I$2,M869=phu!$I$3),"Cam Thành Nam",""),IF(OR(M869=phu!$I$4,M869=phu!$I$5,M869=phu!$I$6,M869=phu!$I$7,M869=phu!$I$8,M869=phu!$I$9,M869=phu!$I$10,M869=phu!$I$11,M869=phu!$I$12,M869=phu!$I$13,M869=phu!$I$14),"Cam Nghĩa",""),IF(OR(M869=phu!$I$15,M869=phu!$I$16,M869=phu!$I$17,M869=phu!$I$18,M869=phu!$I$19,M869=phu!$I$20,M869=phu!$I$21),"Cam Phúc Bắc",""),IF(OR(M869=phu!$I$22,M869=phu!$I$23,M869=phu!$I$24,M869=phu!$I$25),"Cam Phúc Nam",""),IF(OR(M869=phu!$I$26,M869=phu!$I$27,M869=phu!$I$28,M869=phu!$I$29,M869=phu!$I$30,M869=phu!$I$31),"Cam Phú",""),IF(OR(M869=phu!$I$32,M869=phu!$I$33,M869=phu!$I$34,M869=phu!$I$35,M869=phu!$I$36,M869=phu!$I$37),"Cam Lộc",""),IF(OR(M869=phu!$I$38,M869=phu!$I$39,M869=phu!$I$40,M869=phu!$I$41,M869=phu!$I$42,M869=phu!$I$43,M869=phu!$I$44),"Cam Thuận",""),IF(OR(M869=phu!$I$45,M869=phu!$I$46,M869=phu!$I$47,M869=phu!$I$48,M869=phu!$I$49,M869=phu!$I$50,M869=phu!$I$51,M869=phu!$I$52,M869=phu!$I$53),"Cam Linh",""),IF(OR(M869=phu!$I$54,M869=phu!$I$55,M869=phu!$I$56,M869=phu!$I$57,M869=phu!$I$58,M869=phu!$I$59,M869=phu!$I$60,M869=phu!$I$61,M869=phu!$I$62),"Cam Lợi",""),IF(OR(M869=phu!$I$63,M869=phu!$I$64,M869=phu!$I$65,M869=phu!$I$66,M869=phu!$I$67,M869=phu!$I$68,M869=phu!$I$69,M869=phu!$I$70,M869=phu!$I$71),"Ba Ngòi",""),IF(OR(M869=phu!$I$72,M869=phu!$I$73,M869=phu!$I$74,M869=phu!$I$75,M869=phu!$I$76,M869=phu!$I$77,M869=phu!$I$78),"Cam Phước Đông",""),IF(OR(M869=phu!$I$79,M869=phu!$I$80,M869=phu!$I$81,M869=phu!$I$82,M869=phu!$I$83,M869=phu!$I$84),"Cam Thịnh Đông",""),IF(OR(M869=phu!$I$85,M869=phu!$I$86,M869=phu!$I$87,M869=phu!$I$88),"Cam Thịnh Tây",""),IF(OR(M869=phu!$I$89,M869=phu!$I$90),"Cam Lập",""),IF(OR(M869=phu!$I$91,M869=phu!$I$92,M869=phu!$I$93),"Cam Bình",""),IF(OR(M869=phu!$I$94,M869=phu!$I$95,M869=phu!$I$96,M869=phu!$I$97,M869=phu!$I$98,M869=phu!$I$99,M869=phu!$I$100),"Huyện khác",""),IF(OR(M869=phu!$I$101,M869=phu!$I$102),"Tỉnh khác",""))</f>
        <v/>
      </c>
      <c r="O869" s="829" t="str">
        <f t="shared" si="78"/>
        <v/>
      </c>
      <c r="P869" s="254"/>
      <c r="Q869" s="254"/>
      <c r="R869" s="254"/>
      <c r="S869" s="254"/>
      <c r="T869" s="254"/>
      <c r="U869" s="254"/>
      <c r="V869" s="254"/>
      <c r="W869" s="254"/>
      <c r="Y869" s="246" t="str">
        <f t="shared" si="79"/>
        <v/>
      </c>
      <c r="Z869" s="247" t="str">
        <f t="shared" si="83"/>
        <v/>
      </c>
      <c r="AA869" s="246" t="str">
        <f t="shared" si="80"/>
        <v/>
      </c>
    </row>
    <row r="870" spans="1:27" x14ac:dyDescent="0.25">
      <c r="A870" s="248" t="str">
        <f t="shared" si="81"/>
        <v/>
      </c>
      <c r="B870" s="249" t="str">
        <f t="shared" si="82"/>
        <v/>
      </c>
      <c r="C870" s="250"/>
      <c r="D870" s="251"/>
      <c r="E870" s="241"/>
      <c r="F870" s="252"/>
      <c r="G870" s="252"/>
      <c r="H870" s="253"/>
      <c r="I870" s="250"/>
      <c r="J870" s="250"/>
      <c r="K870" s="270"/>
      <c r="L870" s="250"/>
      <c r="M870" s="250"/>
      <c r="N870" s="540" t="str">
        <f>CONCATENATE(IF(OR(M870=phu!$I$1,M870=phu!$I$2,M870=phu!$I$3),"Cam Thành Nam",""),IF(OR(M870=phu!$I$4,M870=phu!$I$5,M870=phu!$I$6,M870=phu!$I$7,M870=phu!$I$8,M870=phu!$I$9,M870=phu!$I$10,M870=phu!$I$11,M870=phu!$I$12,M870=phu!$I$13,M870=phu!$I$14),"Cam Nghĩa",""),IF(OR(M870=phu!$I$15,M870=phu!$I$16,M870=phu!$I$17,M870=phu!$I$18,M870=phu!$I$19,M870=phu!$I$20,M870=phu!$I$21),"Cam Phúc Bắc",""),IF(OR(M870=phu!$I$22,M870=phu!$I$23,M870=phu!$I$24,M870=phu!$I$25),"Cam Phúc Nam",""),IF(OR(M870=phu!$I$26,M870=phu!$I$27,M870=phu!$I$28,M870=phu!$I$29,M870=phu!$I$30,M870=phu!$I$31),"Cam Phú",""),IF(OR(M870=phu!$I$32,M870=phu!$I$33,M870=phu!$I$34,M870=phu!$I$35,M870=phu!$I$36,M870=phu!$I$37),"Cam Lộc",""),IF(OR(M870=phu!$I$38,M870=phu!$I$39,M870=phu!$I$40,M870=phu!$I$41,M870=phu!$I$42,M870=phu!$I$43,M870=phu!$I$44),"Cam Thuận",""),IF(OR(M870=phu!$I$45,M870=phu!$I$46,M870=phu!$I$47,M870=phu!$I$48,M870=phu!$I$49,M870=phu!$I$50,M870=phu!$I$51,M870=phu!$I$52,M870=phu!$I$53),"Cam Linh",""),IF(OR(M870=phu!$I$54,M870=phu!$I$55,M870=phu!$I$56,M870=phu!$I$57,M870=phu!$I$58,M870=phu!$I$59,M870=phu!$I$60,M870=phu!$I$61,M870=phu!$I$62),"Cam Lợi",""),IF(OR(M870=phu!$I$63,M870=phu!$I$64,M870=phu!$I$65,M870=phu!$I$66,M870=phu!$I$67,M870=phu!$I$68,M870=phu!$I$69,M870=phu!$I$70,M870=phu!$I$71),"Ba Ngòi",""),IF(OR(M870=phu!$I$72,M870=phu!$I$73,M870=phu!$I$74,M870=phu!$I$75,M870=phu!$I$76,M870=phu!$I$77,M870=phu!$I$78),"Cam Phước Đông",""),IF(OR(M870=phu!$I$79,M870=phu!$I$80,M870=phu!$I$81,M870=phu!$I$82,M870=phu!$I$83,M870=phu!$I$84),"Cam Thịnh Đông",""),IF(OR(M870=phu!$I$85,M870=phu!$I$86,M870=phu!$I$87,M870=phu!$I$88),"Cam Thịnh Tây",""),IF(OR(M870=phu!$I$89,M870=phu!$I$90),"Cam Lập",""),IF(OR(M870=phu!$I$91,M870=phu!$I$92,M870=phu!$I$93),"Cam Bình",""),IF(OR(M870=phu!$I$94,M870=phu!$I$95,M870=phu!$I$96,M870=phu!$I$97,M870=phu!$I$98,M870=phu!$I$99,M870=phu!$I$100),"Huyện khác",""),IF(OR(M870=phu!$I$101,M870=phu!$I$102),"Tỉnh khác",""))</f>
        <v/>
      </c>
      <c r="O870" s="829" t="str">
        <f t="shared" si="78"/>
        <v/>
      </c>
      <c r="P870" s="254"/>
      <c r="Q870" s="254"/>
      <c r="R870" s="254"/>
      <c r="S870" s="254"/>
      <c r="T870" s="254"/>
      <c r="U870" s="254"/>
      <c r="V870" s="254"/>
      <c r="W870" s="254"/>
      <c r="Y870" s="246" t="str">
        <f t="shared" si="79"/>
        <v/>
      </c>
      <c r="Z870" s="247" t="str">
        <f t="shared" si="83"/>
        <v/>
      </c>
      <c r="AA870" s="246" t="str">
        <f t="shared" si="80"/>
        <v/>
      </c>
    </row>
    <row r="871" spans="1:27" x14ac:dyDescent="0.25">
      <c r="A871" s="248" t="str">
        <f t="shared" si="81"/>
        <v/>
      </c>
      <c r="B871" s="249" t="str">
        <f t="shared" si="82"/>
        <v/>
      </c>
      <c r="C871" s="250"/>
      <c r="D871" s="251"/>
      <c r="E871" s="241"/>
      <c r="F871" s="252"/>
      <c r="G871" s="252"/>
      <c r="H871" s="253"/>
      <c r="I871" s="250"/>
      <c r="J871" s="250"/>
      <c r="K871" s="270"/>
      <c r="L871" s="250"/>
      <c r="M871" s="250"/>
      <c r="N871" s="540" t="str">
        <f>CONCATENATE(IF(OR(M871=phu!$I$1,M871=phu!$I$2,M871=phu!$I$3),"Cam Thành Nam",""),IF(OR(M871=phu!$I$4,M871=phu!$I$5,M871=phu!$I$6,M871=phu!$I$7,M871=phu!$I$8,M871=phu!$I$9,M871=phu!$I$10,M871=phu!$I$11,M871=phu!$I$12,M871=phu!$I$13,M871=phu!$I$14),"Cam Nghĩa",""),IF(OR(M871=phu!$I$15,M871=phu!$I$16,M871=phu!$I$17,M871=phu!$I$18,M871=phu!$I$19,M871=phu!$I$20,M871=phu!$I$21),"Cam Phúc Bắc",""),IF(OR(M871=phu!$I$22,M871=phu!$I$23,M871=phu!$I$24,M871=phu!$I$25),"Cam Phúc Nam",""),IF(OR(M871=phu!$I$26,M871=phu!$I$27,M871=phu!$I$28,M871=phu!$I$29,M871=phu!$I$30,M871=phu!$I$31),"Cam Phú",""),IF(OR(M871=phu!$I$32,M871=phu!$I$33,M871=phu!$I$34,M871=phu!$I$35,M871=phu!$I$36,M871=phu!$I$37),"Cam Lộc",""),IF(OR(M871=phu!$I$38,M871=phu!$I$39,M871=phu!$I$40,M871=phu!$I$41,M871=phu!$I$42,M871=phu!$I$43,M871=phu!$I$44),"Cam Thuận",""),IF(OR(M871=phu!$I$45,M871=phu!$I$46,M871=phu!$I$47,M871=phu!$I$48,M871=phu!$I$49,M871=phu!$I$50,M871=phu!$I$51,M871=phu!$I$52,M871=phu!$I$53),"Cam Linh",""),IF(OR(M871=phu!$I$54,M871=phu!$I$55,M871=phu!$I$56,M871=phu!$I$57,M871=phu!$I$58,M871=phu!$I$59,M871=phu!$I$60,M871=phu!$I$61,M871=phu!$I$62),"Cam Lợi",""),IF(OR(M871=phu!$I$63,M871=phu!$I$64,M871=phu!$I$65,M871=phu!$I$66,M871=phu!$I$67,M871=phu!$I$68,M871=phu!$I$69,M871=phu!$I$70,M871=phu!$I$71),"Ba Ngòi",""),IF(OR(M871=phu!$I$72,M871=phu!$I$73,M871=phu!$I$74,M871=phu!$I$75,M871=phu!$I$76,M871=phu!$I$77,M871=phu!$I$78),"Cam Phước Đông",""),IF(OR(M871=phu!$I$79,M871=phu!$I$80,M871=phu!$I$81,M871=phu!$I$82,M871=phu!$I$83,M871=phu!$I$84),"Cam Thịnh Đông",""),IF(OR(M871=phu!$I$85,M871=phu!$I$86,M871=phu!$I$87,M871=phu!$I$88),"Cam Thịnh Tây",""),IF(OR(M871=phu!$I$89,M871=phu!$I$90),"Cam Lập",""),IF(OR(M871=phu!$I$91,M871=phu!$I$92,M871=phu!$I$93),"Cam Bình",""),IF(OR(M871=phu!$I$94,M871=phu!$I$95,M871=phu!$I$96,M871=phu!$I$97,M871=phu!$I$98,M871=phu!$I$99,M871=phu!$I$100),"Huyện khác",""),IF(OR(M871=phu!$I$101,M871=phu!$I$102),"Tỉnh khác",""))</f>
        <v/>
      </c>
      <c r="O871" s="829" t="str">
        <f t="shared" si="78"/>
        <v/>
      </c>
      <c r="P871" s="254"/>
      <c r="Q871" s="254"/>
      <c r="R871" s="254"/>
      <c r="S871" s="254"/>
      <c r="T871" s="254"/>
      <c r="U871" s="254"/>
      <c r="V871" s="254"/>
      <c r="W871" s="254"/>
      <c r="Y871" s="246" t="str">
        <f t="shared" si="79"/>
        <v/>
      </c>
      <c r="Z871" s="247" t="str">
        <f t="shared" si="83"/>
        <v/>
      </c>
      <c r="AA871" s="246" t="str">
        <f t="shared" si="80"/>
        <v/>
      </c>
    </row>
    <row r="872" spans="1:27" x14ac:dyDescent="0.25">
      <c r="A872" s="248" t="str">
        <f t="shared" si="81"/>
        <v/>
      </c>
      <c r="B872" s="249" t="str">
        <f t="shared" si="82"/>
        <v/>
      </c>
      <c r="C872" s="250"/>
      <c r="D872" s="251"/>
      <c r="E872" s="241"/>
      <c r="F872" s="252"/>
      <c r="G872" s="252"/>
      <c r="H872" s="253"/>
      <c r="I872" s="250"/>
      <c r="J872" s="250"/>
      <c r="K872" s="270"/>
      <c r="L872" s="250"/>
      <c r="M872" s="250"/>
      <c r="N872" s="540" t="str">
        <f>CONCATENATE(IF(OR(M872=phu!$I$1,M872=phu!$I$2,M872=phu!$I$3),"Cam Thành Nam",""),IF(OR(M872=phu!$I$4,M872=phu!$I$5,M872=phu!$I$6,M872=phu!$I$7,M872=phu!$I$8,M872=phu!$I$9,M872=phu!$I$10,M872=phu!$I$11,M872=phu!$I$12,M872=phu!$I$13,M872=phu!$I$14),"Cam Nghĩa",""),IF(OR(M872=phu!$I$15,M872=phu!$I$16,M872=phu!$I$17,M872=phu!$I$18,M872=phu!$I$19,M872=phu!$I$20,M872=phu!$I$21),"Cam Phúc Bắc",""),IF(OR(M872=phu!$I$22,M872=phu!$I$23,M872=phu!$I$24,M872=phu!$I$25),"Cam Phúc Nam",""),IF(OR(M872=phu!$I$26,M872=phu!$I$27,M872=phu!$I$28,M872=phu!$I$29,M872=phu!$I$30,M872=phu!$I$31),"Cam Phú",""),IF(OR(M872=phu!$I$32,M872=phu!$I$33,M872=phu!$I$34,M872=phu!$I$35,M872=phu!$I$36,M872=phu!$I$37),"Cam Lộc",""),IF(OR(M872=phu!$I$38,M872=phu!$I$39,M872=phu!$I$40,M872=phu!$I$41,M872=phu!$I$42,M872=phu!$I$43,M872=phu!$I$44),"Cam Thuận",""),IF(OR(M872=phu!$I$45,M872=phu!$I$46,M872=phu!$I$47,M872=phu!$I$48,M872=phu!$I$49,M872=phu!$I$50,M872=phu!$I$51,M872=phu!$I$52,M872=phu!$I$53),"Cam Linh",""),IF(OR(M872=phu!$I$54,M872=phu!$I$55,M872=phu!$I$56,M872=phu!$I$57,M872=phu!$I$58,M872=phu!$I$59,M872=phu!$I$60,M872=phu!$I$61,M872=phu!$I$62),"Cam Lợi",""),IF(OR(M872=phu!$I$63,M872=phu!$I$64,M872=phu!$I$65,M872=phu!$I$66,M872=phu!$I$67,M872=phu!$I$68,M872=phu!$I$69,M872=phu!$I$70,M872=phu!$I$71),"Ba Ngòi",""),IF(OR(M872=phu!$I$72,M872=phu!$I$73,M872=phu!$I$74,M872=phu!$I$75,M872=phu!$I$76,M872=phu!$I$77,M872=phu!$I$78),"Cam Phước Đông",""),IF(OR(M872=phu!$I$79,M872=phu!$I$80,M872=phu!$I$81,M872=phu!$I$82,M872=phu!$I$83,M872=phu!$I$84),"Cam Thịnh Đông",""),IF(OR(M872=phu!$I$85,M872=phu!$I$86,M872=phu!$I$87,M872=phu!$I$88),"Cam Thịnh Tây",""),IF(OR(M872=phu!$I$89,M872=phu!$I$90),"Cam Lập",""),IF(OR(M872=phu!$I$91,M872=phu!$I$92,M872=phu!$I$93),"Cam Bình",""),IF(OR(M872=phu!$I$94,M872=phu!$I$95,M872=phu!$I$96,M872=phu!$I$97,M872=phu!$I$98,M872=phu!$I$99,M872=phu!$I$100),"Huyện khác",""),IF(OR(M872=phu!$I$101,M872=phu!$I$102),"Tỉnh khác",""))</f>
        <v/>
      </c>
      <c r="O872" s="829" t="str">
        <f t="shared" si="78"/>
        <v/>
      </c>
      <c r="P872" s="254"/>
      <c r="Q872" s="254"/>
      <c r="R872" s="254"/>
      <c r="S872" s="254"/>
      <c r="T872" s="254"/>
      <c r="U872" s="254"/>
      <c r="V872" s="254"/>
      <c r="W872" s="254"/>
      <c r="Y872" s="246" t="str">
        <f t="shared" si="79"/>
        <v/>
      </c>
      <c r="Z872" s="247" t="str">
        <f t="shared" si="83"/>
        <v/>
      </c>
      <c r="AA872" s="246" t="str">
        <f t="shared" si="80"/>
        <v/>
      </c>
    </row>
    <row r="873" spans="1:27" x14ac:dyDescent="0.25">
      <c r="A873" s="248" t="str">
        <f t="shared" si="81"/>
        <v/>
      </c>
      <c r="B873" s="249" t="str">
        <f t="shared" si="82"/>
        <v/>
      </c>
      <c r="C873" s="250"/>
      <c r="D873" s="251"/>
      <c r="E873" s="241"/>
      <c r="F873" s="252"/>
      <c r="G873" s="252"/>
      <c r="H873" s="253"/>
      <c r="I873" s="250"/>
      <c r="J873" s="250"/>
      <c r="K873" s="270"/>
      <c r="L873" s="250"/>
      <c r="M873" s="250"/>
      <c r="N873" s="540" t="str">
        <f>CONCATENATE(IF(OR(M873=phu!$I$1,M873=phu!$I$2,M873=phu!$I$3),"Cam Thành Nam",""),IF(OR(M873=phu!$I$4,M873=phu!$I$5,M873=phu!$I$6,M873=phu!$I$7,M873=phu!$I$8,M873=phu!$I$9,M873=phu!$I$10,M873=phu!$I$11,M873=phu!$I$12,M873=phu!$I$13,M873=phu!$I$14),"Cam Nghĩa",""),IF(OR(M873=phu!$I$15,M873=phu!$I$16,M873=phu!$I$17,M873=phu!$I$18,M873=phu!$I$19,M873=phu!$I$20,M873=phu!$I$21),"Cam Phúc Bắc",""),IF(OR(M873=phu!$I$22,M873=phu!$I$23,M873=phu!$I$24,M873=phu!$I$25),"Cam Phúc Nam",""),IF(OR(M873=phu!$I$26,M873=phu!$I$27,M873=phu!$I$28,M873=phu!$I$29,M873=phu!$I$30,M873=phu!$I$31),"Cam Phú",""),IF(OR(M873=phu!$I$32,M873=phu!$I$33,M873=phu!$I$34,M873=phu!$I$35,M873=phu!$I$36,M873=phu!$I$37),"Cam Lộc",""),IF(OR(M873=phu!$I$38,M873=phu!$I$39,M873=phu!$I$40,M873=phu!$I$41,M873=phu!$I$42,M873=phu!$I$43,M873=phu!$I$44),"Cam Thuận",""),IF(OR(M873=phu!$I$45,M873=phu!$I$46,M873=phu!$I$47,M873=phu!$I$48,M873=phu!$I$49,M873=phu!$I$50,M873=phu!$I$51,M873=phu!$I$52,M873=phu!$I$53),"Cam Linh",""),IF(OR(M873=phu!$I$54,M873=phu!$I$55,M873=phu!$I$56,M873=phu!$I$57,M873=phu!$I$58,M873=phu!$I$59,M873=phu!$I$60,M873=phu!$I$61,M873=phu!$I$62),"Cam Lợi",""),IF(OR(M873=phu!$I$63,M873=phu!$I$64,M873=phu!$I$65,M873=phu!$I$66,M873=phu!$I$67,M873=phu!$I$68,M873=phu!$I$69,M873=phu!$I$70,M873=phu!$I$71),"Ba Ngòi",""),IF(OR(M873=phu!$I$72,M873=phu!$I$73,M873=phu!$I$74,M873=phu!$I$75,M873=phu!$I$76,M873=phu!$I$77,M873=phu!$I$78),"Cam Phước Đông",""),IF(OR(M873=phu!$I$79,M873=phu!$I$80,M873=phu!$I$81,M873=phu!$I$82,M873=phu!$I$83,M873=phu!$I$84),"Cam Thịnh Đông",""),IF(OR(M873=phu!$I$85,M873=phu!$I$86,M873=phu!$I$87,M873=phu!$I$88),"Cam Thịnh Tây",""),IF(OR(M873=phu!$I$89,M873=phu!$I$90),"Cam Lập",""),IF(OR(M873=phu!$I$91,M873=phu!$I$92,M873=phu!$I$93),"Cam Bình",""),IF(OR(M873=phu!$I$94,M873=phu!$I$95,M873=phu!$I$96,M873=phu!$I$97,M873=phu!$I$98,M873=phu!$I$99,M873=phu!$I$100),"Huyện khác",""),IF(OR(M873=phu!$I$101,M873=phu!$I$102),"Tỉnh khác",""))</f>
        <v/>
      </c>
      <c r="O873" s="829" t="str">
        <f t="shared" si="78"/>
        <v/>
      </c>
      <c r="P873" s="254"/>
      <c r="Q873" s="254"/>
      <c r="R873" s="254"/>
      <c r="S873" s="254"/>
      <c r="T873" s="254"/>
      <c r="U873" s="254"/>
      <c r="V873" s="254"/>
      <c r="W873" s="254"/>
      <c r="Y873" s="246" t="str">
        <f t="shared" si="79"/>
        <v/>
      </c>
      <c r="Z873" s="247" t="str">
        <f t="shared" si="83"/>
        <v/>
      </c>
      <c r="AA873" s="246" t="str">
        <f t="shared" si="80"/>
        <v/>
      </c>
    </row>
    <row r="874" spans="1:27" x14ac:dyDescent="0.25">
      <c r="A874" s="248" t="str">
        <f t="shared" si="81"/>
        <v/>
      </c>
      <c r="B874" s="249" t="str">
        <f t="shared" si="82"/>
        <v/>
      </c>
      <c r="C874" s="250"/>
      <c r="D874" s="251"/>
      <c r="E874" s="241"/>
      <c r="F874" s="252"/>
      <c r="G874" s="252"/>
      <c r="H874" s="253"/>
      <c r="I874" s="250"/>
      <c r="J874" s="250"/>
      <c r="K874" s="270"/>
      <c r="L874" s="250"/>
      <c r="M874" s="250"/>
      <c r="N874" s="540" t="str">
        <f>CONCATENATE(IF(OR(M874=phu!$I$1,M874=phu!$I$2,M874=phu!$I$3),"Cam Thành Nam",""),IF(OR(M874=phu!$I$4,M874=phu!$I$5,M874=phu!$I$6,M874=phu!$I$7,M874=phu!$I$8,M874=phu!$I$9,M874=phu!$I$10,M874=phu!$I$11,M874=phu!$I$12,M874=phu!$I$13,M874=phu!$I$14),"Cam Nghĩa",""),IF(OR(M874=phu!$I$15,M874=phu!$I$16,M874=phu!$I$17,M874=phu!$I$18,M874=phu!$I$19,M874=phu!$I$20,M874=phu!$I$21),"Cam Phúc Bắc",""),IF(OR(M874=phu!$I$22,M874=phu!$I$23,M874=phu!$I$24,M874=phu!$I$25),"Cam Phúc Nam",""),IF(OR(M874=phu!$I$26,M874=phu!$I$27,M874=phu!$I$28,M874=phu!$I$29,M874=phu!$I$30,M874=phu!$I$31),"Cam Phú",""),IF(OR(M874=phu!$I$32,M874=phu!$I$33,M874=phu!$I$34,M874=phu!$I$35,M874=phu!$I$36,M874=phu!$I$37),"Cam Lộc",""),IF(OR(M874=phu!$I$38,M874=phu!$I$39,M874=phu!$I$40,M874=phu!$I$41,M874=phu!$I$42,M874=phu!$I$43,M874=phu!$I$44),"Cam Thuận",""),IF(OR(M874=phu!$I$45,M874=phu!$I$46,M874=phu!$I$47,M874=phu!$I$48,M874=phu!$I$49,M874=phu!$I$50,M874=phu!$I$51,M874=phu!$I$52,M874=phu!$I$53),"Cam Linh",""),IF(OR(M874=phu!$I$54,M874=phu!$I$55,M874=phu!$I$56,M874=phu!$I$57,M874=phu!$I$58,M874=phu!$I$59,M874=phu!$I$60,M874=phu!$I$61,M874=phu!$I$62),"Cam Lợi",""),IF(OR(M874=phu!$I$63,M874=phu!$I$64,M874=phu!$I$65,M874=phu!$I$66,M874=phu!$I$67,M874=phu!$I$68,M874=phu!$I$69,M874=phu!$I$70,M874=phu!$I$71),"Ba Ngòi",""),IF(OR(M874=phu!$I$72,M874=phu!$I$73,M874=phu!$I$74,M874=phu!$I$75,M874=phu!$I$76,M874=phu!$I$77,M874=phu!$I$78),"Cam Phước Đông",""),IF(OR(M874=phu!$I$79,M874=phu!$I$80,M874=phu!$I$81,M874=phu!$I$82,M874=phu!$I$83,M874=phu!$I$84),"Cam Thịnh Đông",""),IF(OR(M874=phu!$I$85,M874=phu!$I$86,M874=phu!$I$87,M874=phu!$I$88),"Cam Thịnh Tây",""),IF(OR(M874=phu!$I$89,M874=phu!$I$90),"Cam Lập",""),IF(OR(M874=phu!$I$91,M874=phu!$I$92,M874=phu!$I$93),"Cam Bình",""),IF(OR(M874=phu!$I$94,M874=phu!$I$95,M874=phu!$I$96,M874=phu!$I$97,M874=phu!$I$98,M874=phu!$I$99,M874=phu!$I$100),"Huyện khác",""),IF(OR(M874=phu!$I$101,M874=phu!$I$102),"Tỉnh khác",""))</f>
        <v/>
      </c>
      <c r="O874" s="829" t="str">
        <f t="shared" si="78"/>
        <v/>
      </c>
      <c r="P874" s="254"/>
      <c r="Q874" s="254"/>
      <c r="R874" s="254"/>
      <c r="S874" s="254"/>
      <c r="T874" s="254"/>
      <c r="U874" s="254"/>
      <c r="V874" s="254"/>
      <c r="W874" s="254"/>
      <c r="Y874" s="246" t="str">
        <f t="shared" si="79"/>
        <v/>
      </c>
      <c r="Z874" s="247" t="str">
        <f t="shared" si="83"/>
        <v/>
      </c>
      <c r="AA874" s="246" t="str">
        <f t="shared" si="80"/>
        <v/>
      </c>
    </row>
    <row r="875" spans="1:27" x14ac:dyDescent="0.25">
      <c r="A875" s="248" t="str">
        <f t="shared" si="81"/>
        <v/>
      </c>
      <c r="B875" s="249" t="str">
        <f t="shared" si="82"/>
        <v/>
      </c>
      <c r="C875" s="250"/>
      <c r="D875" s="251"/>
      <c r="E875" s="241"/>
      <c r="F875" s="252"/>
      <c r="G875" s="252"/>
      <c r="H875" s="253"/>
      <c r="I875" s="250"/>
      <c r="J875" s="250"/>
      <c r="K875" s="270"/>
      <c r="L875" s="250"/>
      <c r="M875" s="250"/>
      <c r="N875" s="540" t="str">
        <f>CONCATENATE(IF(OR(M875=phu!$I$1,M875=phu!$I$2,M875=phu!$I$3),"Cam Thành Nam",""),IF(OR(M875=phu!$I$4,M875=phu!$I$5,M875=phu!$I$6,M875=phu!$I$7,M875=phu!$I$8,M875=phu!$I$9,M875=phu!$I$10,M875=phu!$I$11,M875=phu!$I$12,M875=phu!$I$13,M875=phu!$I$14),"Cam Nghĩa",""),IF(OR(M875=phu!$I$15,M875=phu!$I$16,M875=phu!$I$17,M875=phu!$I$18,M875=phu!$I$19,M875=phu!$I$20,M875=phu!$I$21),"Cam Phúc Bắc",""),IF(OR(M875=phu!$I$22,M875=phu!$I$23,M875=phu!$I$24,M875=phu!$I$25),"Cam Phúc Nam",""),IF(OR(M875=phu!$I$26,M875=phu!$I$27,M875=phu!$I$28,M875=phu!$I$29,M875=phu!$I$30,M875=phu!$I$31),"Cam Phú",""),IF(OR(M875=phu!$I$32,M875=phu!$I$33,M875=phu!$I$34,M875=phu!$I$35,M875=phu!$I$36,M875=phu!$I$37),"Cam Lộc",""),IF(OR(M875=phu!$I$38,M875=phu!$I$39,M875=phu!$I$40,M875=phu!$I$41,M875=phu!$I$42,M875=phu!$I$43,M875=phu!$I$44),"Cam Thuận",""),IF(OR(M875=phu!$I$45,M875=phu!$I$46,M875=phu!$I$47,M875=phu!$I$48,M875=phu!$I$49,M875=phu!$I$50,M875=phu!$I$51,M875=phu!$I$52,M875=phu!$I$53),"Cam Linh",""),IF(OR(M875=phu!$I$54,M875=phu!$I$55,M875=phu!$I$56,M875=phu!$I$57,M875=phu!$I$58,M875=phu!$I$59,M875=phu!$I$60,M875=phu!$I$61,M875=phu!$I$62),"Cam Lợi",""),IF(OR(M875=phu!$I$63,M875=phu!$I$64,M875=phu!$I$65,M875=phu!$I$66,M875=phu!$I$67,M875=phu!$I$68,M875=phu!$I$69,M875=phu!$I$70,M875=phu!$I$71),"Ba Ngòi",""),IF(OR(M875=phu!$I$72,M875=phu!$I$73,M875=phu!$I$74,M875=phu!$I$75,M875=phu!$I$76,M875=phu!$I$77,M875=phu!$I$78),"Cam Phước Đông",""),IF(OR(M875=phu!$I$79,M875=phu!$I$80,M875=phu!$I$81,M875=phu!$I$82,M875=phu!$I$83,M875=phu!$I$84),"Cam Thịnh Đông",""),IF(OR(M875=phu!$I$85,M875=phu!$I$86,M875=phu!$I$87,M875=phu!$I$88),"Cam Thịnh Tây",""),IF(OR(M875=phu!$I$89,M875=phu!$I$90),"Cam Lập",""),IF(OR(M875=phu!$I$91,M875=phu!$I$92,M875=phu!$I$93),"Cam Bình",""),IF(OR(M875=phu!$I$94,M875=phu!$I$95,M875=phu!$I$96,M875=phu!$I$97,M875=phu!$I$98,M875=phu!$I$99,M875=phu!$I$100),"Huyện khác",""),IF(OR(M875=phu!$I$101,M875=phu!$I$102),"Tỉnh khác",""))</f>
        <v/>
      </c>
      <c r="O875" s="829" t="str">
        <f t="shared" si="78"/>
        <v/>
      </c>
      <c r="P875" s="254"/>
      <c r="Q875" s="254"/>
      <c r="R875" s="254"/>
      <c r="S875" s="254"/>
      <c r="T875" s="254"/>
      <c r="U875" s="254"/>
      <c r="V875" s="254"/>
      <c r="W875" s="254"/>
      <c r="Y875" s="246" t="str">
        <f t="shared" si="79"/>
        <v/>
      </c>
      <c r="Z875" s="247" t="str">
        <f t="shared" si="83"/>
        <v/>
      </c>
      <c r="AA875" s="246" t="str">
        <f t="shared" si="80"/>
        <v/>
      </c>
    </row>
    <row r="876" spans="1:27" x14ac:dyDescent="0.25">
      <c r="A876" s="248" t="str">
        <f t="shared" si="81"/>
        <v/>
      </c>
      <c r="B876" s="249" t="str">
        <f t="shared" si="82"/>
        <v/>
      </c>
      <c r="C876" s="250"/>
      <c r="D876" s="251"/>
      <c r="E876" s="241"/>
      <c r="F876" s="252"/>
      <c r="G876" s="252"/>
      <c r="H876" s="253"/>
      <c r="I876" s="250"/>
      <c r="J876" s="250"/>
      <c r="K876" s="270"/>
      <c r="L876" s="250"/>
      <c r="M876" s="250"/>
      <c r="N876" s="540" t="str">
        <f>CONCATENATE(IF(OR(M876=phu!$I$1,M876=phu!$I$2,M876=phu!$I$3),"Cam Thành Nam",""),IF(OR(M876=phu!$I$4,M876=phu!$I$5,M876=phu!$I$6,M876=phu!$I$7,M876=phu!$I$8,M876=phu!$I$9,M876=phu!$I$10,M876=phu!$I$11,M876=phu!$I$12,M876=phu!$I$13,M876=phu!$I$14),"Cam Nghĩa",""),IF(OR(M876=phu!$I$15,M876=phu!$I$16,M876=phu!$I$17,M876=phu!$I$18,M876=phu!$I$19,M876=phu!$I$20,M876=phu!$I$21),"Cam Phúc Bắc",""),IF(OR(M876=phu!$I$22,M876=phu!$I$23,M876=phu!$I$24,M876=phu!$I$25),"Cam Phúc Nam",""),IF(OR(M876=phu!$I$26,M876=phu!$I$27,M876=phu!$I$28,M876=phu!$I$29,M876=phu!$I$30,M876=phu!$I$31),"Cam Phú",""),IF(OR(M876=phu!$I$32,M876=phu!$I$33,M876=phu!$I$34,M876=phu!$I$35,M876=phu!$I$36,M876=phu!$I$37),"Cam Lộc",""),IF(OR(M876=phu!$I$38,M876=phu!$I$39,M876=phu!$I$40,M876=phu!$I$41,M876=phu!$I$42,M876=phu!$I$43,M876=phu!$I$44),"Cam Thuận",""),IF(OR(M876=phu!$I$45,M876=phu!$I$46,M876=phu!$I$47,M876=phu!$I$48,M876=phu!$I$49,M876=phu!$I$50,M876=phu!$I$51,M876=phu!$I$52,M876=phu!$I$53),"Cam Linh",""),IF(OR(M876=phu!$I$54,M876=phu!$I$55,M876=phu!$I$56,M876=phu!$I$57,M876=phu!$I$58,M876=phu!$I$59,M876=phu!$I$60,M876=phu!$I$61,M876=phu!$I$62),"Cam Lợi",""),IF(OR(M876=phu!$I$63,M876=phu!$I$64,M876=phu!$I$65,M876=phu!$I$66,M876=phu!$I$67,M876=phu!$I$68,M876=phu!$I$69,M876=phu!$I$70,M876=phu!$I$71),"Ba Ngòi",""),IF(OR(M876=phu!$I$72,M876=phu!$I$73,M876=phu!$I$74,M876=phu!$I$75,M876=phu!$I$76,M876=phu!$I$77,M876=phu!$I$78),"Cam Phước Đông",""),IF(OR(M876=phu!$I$79,M876=phu!$I$80,M876=phu!$I$81,M876=phu!$I$82,M876=phu!$I$83,M876=phu!$I$84),"Cam Thịnh Đông",""),IF(OR(M876=phu!$I$85,M876=phu!$I$86,M876=phu!$I$87,M876=phu!$I$88),"Cam Thịnh Tây",""),IF(OR(M876=phu!$I$89,M876=phu!$I$90),"Cam Lập",""),IF(OR(M876=phu!$I$91,M876=phu!$I$92,M876=phu!$I$93),"Cam Bình",""),IF(OR(M876=phu!$I$94,M876=phu!$I$95,M876=phu!$I$96,M876=phu!$I$97,M876=phu!$I$98,M876=phu!$I$99,M876=phu!$I$100),"Huyện khác",""),IF(OR(M876=phu!$I$101,M876=phu!$I$102),"Tỉnh khác",""))</f>
        <v/>
      </c>
      <c r="O876" s="829" t="str">
        <f t="shared" si="78"/>
        <v/>
      </c>
      <c r="P876" s="254"/>
      <c r="Q876" s="254"/>
      <c r="R876" s="254"/>
      <c r="S876" s="254"/>
      <c r="T876" s="254"/>
      <c r="U876" s="254"/>
      <c r="V876" s="254"/>
      <c r="W876" s="254"/>
      <c r="Y876" s="246" t="str">
        <f t="shared" si="79"/>
        <v/>
      </c>
      <c r="Z876" s="247" t="str">
        <f t="shared" si="83"/>
        <v/>
      </c>
      <c r="AA876" s="246" t="str">
        <f t="shared" si="80"/>
        <v/>
      </c>
    </row>
    <row r="877" spans="1:27" x14ac:dyDescent="0.25">
      <c r="A877" s="248" t="str">
        <f t="shared" si="81"/>
        <v/>
      </c>
      <c r="B877" s="249" t="str">
        <f t="shared" si="82"/>
        <v/>
      </c>
      <c r="C877" s="250"/>
      <c r="D877" s="251"/>
      <c r="E877" s="241"/>
      <c r="F877" s="252"/>
      <c r="G877" s="252"/>
      <c r="H877" s="253"/>
      <c r="I877" s="250"/>
      <c r="J877" s="250"/>
      <c r="K877" s="270"/>
      <c r="L877" s="250"/>
      <c r="M877" s="250"/>
      <c r="N877" s="540" t="str">
        <f>CONCATENATE(IF(OR(M877=phu!$I$1,M877=phu!$I$2,M877=phu!$I$3),"Cam Thành Nam",""),IF(OR(M877=phu!$I$4,M877=phu!$I$5,M877=phu!$I$6,M877=phu!$I$7,M877=phu!$I$8,M877=phu!$I$9,M877=phu!$I$10,M877=phu!$I$11,M877=phu!$I$12,M877=phu!$I$13,M877=phu!$I$14),"Cam Nghĩa",""),IF(OR(M877=phu!$I$15,M877=phu!$I$16,M877=phu!$I$17,M877=phu!$I$18,M877=phu!$I$19,M877=phu!$I$20,M877=phu!$I$21),"Cam Phúc Bắc",""),IF(OR(M877=phu!$I$22,M877=phu!$I$23,M877=phu!$I$24,M877=phu!$I$25),"Cam Phúc Nam",""),IF(OR(M877=phu!$I$26,M877=phu!$I$27,M877=phu!$I$28,M877=phu!$I$29,M877=phu!$I$30,M877=phu!$I$31),"Cam Phú",""),IF(OR(M877=phu!$I$32,M877=phu!$I$33,M877=phu!$I$34,M877=phu!$I$35,M877=phu!$I$36,M877=phu!$I$37),"Cam Lộc",""),IF(OR(M877=phu!$I$38,M877=phu!$I$39,M877=phu!$I$40,M877=phu!$I$41,M877=phu!$I$42,M877=phu!$I$43,M877=phu!$I$44),"Cam Thuận",""),IF(OR(M877=phu!$I$45,M877=phu!$I$46,M877=phu!$I$47,M877=phu!$I$48,M877=phu!$I$49,M877=phu!$I$50,M877=phu!$I$51,M877=phu!$I$52,M877=phu!$I$53),"Cam Linh",""),IF(OR(M877=phu!$I$54,M877=phu!$I$55,M877=phu!$I$56,M877=phu!$I$57,M877=phu!$I$58,M877=phu!$I$59,M877=phu!$I$60,M877=phu!$I$61,M877=phu!$I$62),"Cam Lợi",""),IF(OR(M877=phu!$I$63,M877=phu!$I$64,M877=phu!$I$65,M877=phu!$I$66,M877=phu!$I$67,M877=phu!$I$68,M877=phu!$I$69,M877=phu!$I$70,M877=phu!$I$71),"Ba Ngòi",""),IF(OR(M877=phu!$I$72,M877=phu!$I$73,M877=phu!$I$74,M877=phu!$I$75,M877=phu!$I$76,M877=phu!$I$77,M877=phu!$I$78),"Cam Phước Đông",""),IF(OR(M877=phu!$I$79,M877=phu!$I$80,M877=phu!$I$81,M877=phu!$I$82,M877=phu!$I$83,M877=phu!$I$84),"Cam Thịnh Đông",""),IF(OR(M877=phu!$I$85,M877=phu!$I$86,M877=phu!$I$87,M877=phu!$I$88),"Cam Thịnh Tây",""),IF(OR(M877=phu!$I$89,M877=phu!$I$90),"Cam Lập",""),IF(OR(M877=phu!$I$91,M877=phu!$I$92,M877=phu!$I$93),"Cam Bình",""),IF(OR(M877=phu!$I$94,M877=phu!$I$95,M877=phu!$I$96,M877=phu!$I$97,M877=phu!$I$98,M877=phu!$I$99,M877=phu!$I$100),"Huyện khác",""),IF(OR(M877=phu!$I$101,M877=phu!$I$102),"Tỉnh khác",""))</f>
        <v/>
      </c>
      <c r="O877" s="829" t="str">
        <f t="shared" si="78"/>
        <v/>
      </c>
      <c r="P877" s="254"/>
      <c r="Q877" s="254"/>
      <c r="R877" s="254"/>
      <c r="S877" s="254"/>
      <c r="T877" s="254"/>
      <c r="U877" s="254"/>
      <c r="V877" s="254"/>
      <c r="W877" s="254"/>
      <c r="Y877" s="246" t="str">
        <f t="shared" si="79"/>
        <v/>
      </c>
      <c r="Z877" s="247" t="str">
        <f t="shared" si="83"/>
        <v/>
      </c>
      <c r="AA877" s="246" t="str">
        <f t="shared" si="80"/>
        <v/>
      </c>
    </row>
    <row r="878" spans="1:27" x14ac:dyDescent="0.25">
      <c r="A878" s="248" t="str">
        <f t="shared" si="81"/>
        <v/>
      </c>
      <c r="B878" s="249" t="str">
        <f t="shared" si="82"/>
        <v/>
      </c>
      <c r="C878" s="250"/>
      <c r="D878" s="251"/>
      <c r="E878" s="241"/>
      <c r="F878" s="252"/>
      <c r="G878" s="252"/>
      <c r="H878" s="253"/>
      <c r="I878" s="250"/>
      <c r="J878" s="250"/>
      <c r="K878" s="270"/>
      <c r="L878" s="250"/>
      <c r="M878" s="250"/>
      <c r="N878" s="540" t="str">
        <f>CONCATENATE(IF(OR(M878=phu!$I$1,M878=phu!$I$2,M878=phu!$I$3),"Cam Thành Nam",""),IF(OR(M878=phu!$I$4,M878=phu!$I$5,M878=phu!$I$6,M878=phu!$I$7,M878=phu!$I$8,M878=phu!$I$9,M878=phu!$I$10,M878=phu!$I$11,M878=phu!$I$12,M878=phu!$I$13,M878=phu!$I$14),"Cam Nghĩa",""),IF(OR(M878=phu!$I$15,M878=phu!$I$16,M878=phu!$I$17,M878=phu!$I$18,M878=phu!$I$19,M878=phu!$I$20,M878=phu!$I$21),"Cam Phúc Bắc",""),IF(OR(M878=phu!$I$22,M878=phu!$I$23,M878=phu!$I$24,M878=phu!$I$25),"Cam Phúc Nam",""),IF(OR(M878=phu!$I$26,M878=phu!$I$27,M878=phu!$I$28,M878=phu!$I$29,M878=phu!$I$30,M878=phu!$I$31),"Cam Phú",""),IF(OR(M878=phu!$I$32,M878=phu!$I$33,M878=phu!$I$34,M878=phu!$I$35,M878=phu!$I$36,M878=phu!$I$37),"Cam Lộc",""),IF(OR(M878=phu!$I$38,M878=phu!$I$39,M878=phu!$I$40,M878=phu!$I$41,M878=phu!$I$42,M878=phu!$I$43,M878=phu!$I$44),"Cam Thuận",""),IF(OR(M878=phu!$I$45,M878=phu!$I$46,M878=phu!$I$47,M878=phu!$I$48,M878=phu!$I$49,M878=phu!$I$50,M878=phu!$I$51,M878=phu!$I$52,M878=phu!$I$53),"Cam Linh",""),IF(OR(M878=phu!$I$54,M878=phu!$I$55,M878=phu!$I$56,M878=phu!$I$57,M878=phu!$I$58,M878=phu!$I$59,M878=phu!$I$60,M878=phu!$I$61,M878=phu!$I$62),"Cam Lợi",""),IF(OR(M878=phu!$I$63,M878=phu!$I$64,M878=phu!$I$65,M878=phu!$I$66,M878=phu!$I$67,M878=phu!$I$68,M878=phu!$I$69,M878=phu!$I$70,M878=phu!$I$71),"Ba Ngòi",""),IF(OR(M878=phu!$I$72,M878=phu!$I$73,M878=phu!$I$74,M878=phu!$I$75,M878=phu!$I$76,M878=phu!$I$77,M878=phu!$I$78),"Cam Phước Đông",""),IF(OR(M878=phu!$I$79,M878=phu!$I$80,M878=phu!$I$81,M878=phu!$I$82,M878=phu!$I$83,M878=phu!$I$84),"Cam Thịnh Đông",""),IF(OR(M878=phu!$I$85,M878=phu!$I$86,M878=phu!$I$87,M878=phu!$I$88),"Cam Thịnh Tây",""),IF(OR(M878=phu!$I$89,M878=phu!$I$90),"Cam Lập",""),IF(OR(M878=phu!$I$91,M878=phu!$I$92,M878=phu!$I$93),"Cam Bình",""),IF(OR(M878=phu!$I$94,M878=phu!$I$95,M878=phu!$I$96,M878=phu!$I$97,M878=phu!$I$98,M878=phu!$I$99,M878=phu!$I$100),"Huyện khác",""),IF(OR(M878=phu!$I$101,M878=phu!$I$102),"Tỉnh khác",""))</f>
        <v/>
      </c>
      <c r="O878" s="829" t="str">
        <f t="shared" si="78"/>
        <v/>
      </c>
      <c r="P878" s="254"/>
      <c r="Q878" s="254"/>
      <c r="R878" s="254"/>
      <c r="S878" s="254"/>
      <c r="T878" s="254"/>
      <c r="U878" s="254"/>
      <c r="V878" s="254"/>
      <c r="W878" s="254"/>
      <c r="Y878" s="246" t="str">
        <f t="shared" si="79"/>
        <v/>
      </c>
      <c r="Z878" s="247" t="str">
        <f t="shared" si="83"/>
        <v/>
      </c>
      <c r="AA878" s="246" t="str">
        <f t="shared" si="80"/>
        <v/>
      </c>
    </row>
    <row r="879" spans="1:27" x14ac:dyDescent="0.25">
      <c r="A879" s="248" t="str">
        <f t="shared" si="81"/>
        <v/>
      </c>
      <c r="B879" s="249" t="str">
        <f t="shared" si="82"/>
        <v/>
      </c>
      <c r="C879" s="250"/>
      <c r="D879" s="251"/>
      <c r="E879" s="241"/>
      <c r="F879" s="252"/>
      <c r="G879" s="252"/>
      <c r="H879" s="253"/>
      <c r="I879" s="250"/>
      <c r="J879" s="250"/>
      <c r="K879" s="270"/>
      <c r="L879" s="250"/>
      <c r="M879" s="250"/>
      <c r="N879" s="540" t="str">
        <f>CONCATENATE(IF(OR(M879=phu!$I$1,M879=phu!$I$2,M879=phu!$I$3),"Cam Thành Nam",""),IF(OR(M879=phu!$I$4,M879=phu!$I$5,M879=phu!$I$6,M879=phu!$I$7,M879=phu!$I$8,M879=phu!$I$9,M879=phu!$I$10,M879=phu!$I$11,M879=phu!$I$12,M879=phu!$I$13,M879=phu!$I$14),"Cam Nghĩa",""),IF(OR(M879=phu!$I$15,M879=phu!$I$16,M879=phu!$I$17,M879=phu!$I$18,M879=phu!$I$19,M879=phu!$I$20,M879=phu!$I$21),"Cam Phúc Bắc",""),IF(OR(M879=phu!$I$22,M879=phu!$I$23,M879=phu!$I$24,M879=phu!$I$25),"Cam Phúc Nam",""),IF(OR(M879=phu!$I$26,M879=phu!$I$27,M879=phu!$I$28,M879=phu!$I$29,M879=phu!$I$30,M879=phu!$I$31),"Cam Phú",""),IF(OR(M879=phu!$I$32,M879=phu!$I$33,M879=phu!$I$34,M879=phu!$I$35,M879=phu!$I$36,M879=phu!$I$37),"Cam Lộc",""),IF(OR(M879=phu!$I$38,M879=phu!$I$39,M879=phu!$I$40,M879=phu!$I$41,M879=phu!$I$42,M879=phu!$I$43,M879=phu!$I$44),"Cam Thuận",""),IF(OR(M879=phu!$I$45,M879=phu!$I$46,M879=phu!$I$47,M879=phu!$I$48,M879=phu!$I$49,M879=phu!$I$50,M879=phu!$I$51,M879=phu!$I$52,M879=phu!$I$53),"Cam Linh",""),IF(OR(M879=phu!$I$54,M879=phu!$I$55,M879=phu!$I$56,M879=phu!$I$57,M879=phu!$I$58,M879=phu!$I$59,M879=phu!$I$60,M879=phu!$I$61,M879=phu!$I$62),"Cam Lợi",""),IF(OR(M879=phu!$I$63,M879=phu!$I$64,M879=phu!$I$65,M879=phu!$I$66,M879=phu!$I$67,M879=phu!$I$68,M879=phu!$I$69,M879=phu!$I$70,M879=phu!$I$71),"Ba Ngòi",""),IF(OR(M879=phu!$I$72,M879=phu!$I$73,M879=phu!$I$74,M879=phu!$I$75,M879=phu!$I$76,M879=phu!$I$77,M879=phu!$I$78),"Cam Phước Đông",""),IF(OR(M879=phu!$I$79,M879=phu!$I$80,M879=phu!$I$81,M879=phu!$I$82,M879=phu!$I$83,M879=phu!$I$84),"Cam Thịnh Đông",""),IF(OR(M879=phu!$I$85,M879=phu!$I$86,M879=phu!$I$87,M879=phu!$I$88),"Cam Thịnh Tây",""),IF(OR(M879=phu!$I$89,M879=phu!$I$90),"Cam Lập",""),IF(OR(M879=phu!$I$91,M879=phu!$I$92,M879=phu!$I$93),"Cam Bình",""),IF(OR(M879=phu!$I$94,M879=phu!$I$95,M879=phu!$I$96,M879=phu!$I$97,M879=phu!$I$98,M879=phu!$I$99,M879=phu!$I$100),"Huyện khác",""),IF(OR(M879=phu!$I$101,M879=phu!$I$102),"Tỉnh khác",""))</f>
        <v/>
      </c>
      <c r="O879" s="829" t="str">
        <f t="shared" si="78"/>
        <v/>
      </c>
      <c r="P879" s="254"/>
      <c r="Q879" s="254"/>
      <c r="R879" s="254"/>
      <c r="S879" s="254"/>
      <c r="T879" s="254"/>
      <c r="U879" s="254"/>
      <c r="V879" s="254"/>
      <c r="W879" s="254"/>
      <c r="Y879" s="246" t="str">
        <f t="shared" si="79"/>
        <v/>
      </c>
      <c r="Z879" s="247" t="str">
        <f t="shared" si="83"/>
        <v/>
      </c>
      <c r="AA879" s="246" t="str">
        <f t="shared" si="80"/>
        <v/>
      </c>
    </row>
    <row r="880" spans="1:27" x14ac:dyDescent="0.25">
      <c r="A880" s="248" t="str">
        <f t="shared" si="81"/>
        <v/>
      </c>
      <c r="B880" s="249" t="str">
        <f t="shared" si="82"/>
        <v/>
      </c>
      <c r="C880" s="250"/>
      <c r="D880" s="251"/>
      <c r="E880" s="241"/>
      <c r="F880" s="252"/>
      <c r="G880" s="252"/>
      <c r="H880" s="253"/>
      <c r="I880" s="250"/>
      <c r="J880" s="250"/>
      <c r="K880" s="270"/>
      <c r="L880" s="250"/>
      <c r="M880" s="250"/>
      <c r="N880" s="540" t="str">
        <f>CONCATENATE(IF(OR(M880=phu!$I$1,M880=phu!$I$2,M880=phu!$I$3),"Cam Thành Nam",""),IF(OR(M880=phu!$I$4,M880=phu!$I$5,M880=phu!$I$6,M880=phu!$I$7,M880=phu!$I$8,M880=phu!$I$9,M880=phu!$I$10,M880=phu!$I$11,M880=phu!$I$12,M880=phu!$I$13,M880=phu!$I$14),"Cam Nghĩa",""),IF(OR(M880=phu!$I$15,M880=phu!$I$16,M880=phu!$I$17,M880=phu!$I$18,M880=phu!$I$19,M880=phu!$I$20,M880=phu!$I$21),"Cam Phúc Bắc",""),IF(OR(M880=phu!$I$22,M880=phu!$I$23,M880=phu!$I$24,M880=phu!$I$25),"Cam Phúc Nam",""),IF(OR(M880=phu!$I$26,M880=phu!$I$27,M880=phu!$I$28,M880=phu!$I$29,M880=phu!$I$30,M880=phu!$I$31),"Cam Phú",""),IF(OR(M880=phu!$I$32,M880=phu!$I$33,M880=phu!$I$34,M880=phu!$I$35,M880=phu!$I$36,M880=phu!$I$37),"Cam Lộc",""),IF(OR(M880=phu!$I$38,M880=phu!$I$39,M880=phu!$I$40,M880=phu!$I$41,M880=phu!$I$42,M880=phu!$I$43,M880=phu!$I$44),"Cam Thuận",""),IF(OR(M880=phu!$I$45,M880=phu!$I$46,M880=phu!$I$47,M880=phu!$I$48,M880=phu!$I$49,M880=phu!$I$50,M880=phu!$I$51,M880=phu!$I$52,M880=phu!$I$53),"Cam Linh",""),IF(OR(M880=phu!$I$54,M880=phu!$I$55,M880=phu!$I$56,M880=phu!$I$57,M880=phu!$I$58,M880=phu!$I$59,M880=phu!$I$60,M880=phu!$I$61,M880=phu!$I$62),"Cam Lợi",""),IF(OR(M880=phu!$I$63,M880=phu!$I$64,M880=phu!$I$65,M880=phu!$I$66,M880=phu!$I$67,M880=phu!$I$68,M880=phu!$I$69,M880=phu!$I$70,M880=phu!$I$71),"Ba Ngòi",""),IF(OR(M880=phu!$I$72,M880=phu!$I$73,M880=phu!$I$74,M880=phu!$I$75,M880=phu!$I$76,M880=phu!$I$77,M880=phu!$I$78),"Cam Phước Đông",""),IF(OR(M880=phu!$I$79,M880=phu!$I$80,M880=phu!$I$81,M880=phu!$I$82,M880=phu!$I$83,M880=phu!$I$84),"Cam Thịnh Đông",""),IF(OR(M880=phu!$I$85,M880=phu!$I$86,M880=phu!$I$87,M880=phu!$I$88),"Cam Thịnh Tây",""),IF(OR(M880=phu!$I$89,M880=phu!$I$90),"Cam Lập",""),IF(OR(M880=phu!$I$91,M880=phu!$I$92,M880=phu!$I$93),"Cam Bình",""),IF(OR(M880=phu!$I$94,M880=phu!$I$95,M880=phu!$I$96,M880=phu!$I$97,M880=phu!$I$98,M880=phu!$I$99,M880=phu!$I$100),"Huyện khác",""),IF(OR(M880=phu!$I$101,M880=phu!$I$102),"Tỉnh khác",""))</f>
        <v/>
      </c>
      <c r="O880" s="829" t="str">
        <f t="shared" si="78"/>
        <v/>
      </c>
      <c r="P880" s="254"/>
      <c r="Q880" s="254"/>
      <c r="R880" s="254"/>
      <c r="S880" s="254"/>
      <c r="T880" s="254"/>
      <c r="U880" s="254"/>
      <c r="V880" s="254"/>
      <c r="W880" s="254"/>
      <c r="Y880" s="246" t="str">
        <f t="shared" si="79"/>
        <v/>
      </c>
      <c r="Z880" s="247" t="str">
        <f t="shared" si="83"/>
        <v/>
      </c>
      <c r="AA880" s="246" t="str">
        <f t="shared" si="80"/>
        <v/>
      </c>
    </row>
    <row r="881" spans="1:27" x14ac:dyDescent="0.25">
      <c r="A881" s="248" t="str">
        <f t="shared" si="81"/>
        <v/>
      </c>
      <c r="B881" s="249" t="str">
        <f t="shared" si="82"/>
        <v/>
      </c>
      <c r="C881" s="250"/>
      <c r="D881" s="251"/>
      <c r="E881" s="241"/>
      <c r="F881" s="252"/>
      <c r="G881" s="252"/>
      <c r="H881" s="253"/>
      <c r="I881" s="250"/>
      <c r="J881" s="250"/>
      <c r="K881" s="270"/>
      <c r="L881" s="250"/>
      <c r="M881" s="250"/>
      <c r="N881" s="540" t="str">
        <f>CONCATENATE(IF(OR(M881=phu!$I$1,M881=phu!$I$2,M881=phu!$I$3),"Cam Thành Nam",""),IF(OR(M881=phu!$I$4,M881=phu!$I$5,M881=phu!$I$6,M881=phu!$I$7,M881=phu!$I$8,M881=phu!$I$9,M881=phu!$I$10,M881=phu!$I$11,M881=phu!$I$12,M881=phu!$I$13,M881=phu!$I$14),"Cam Nghĩa",""),IF(OR(M881=phu!$I$15,M881=phu!$I$16,M881=phu!$I$17,M881=phu!$I$18,M881=phu!$I$19,M881=phu!$I$20,M881=phu!$I$21),"Cam Phúc Bắc",""),IF(OR(M881=phu!$I$22,M881=phu!$I$23,M881=phu!$I$24,M881=phu!$I$25),"Cam Phúc Nam",""),IF(OR(M881=phu!$I$26,M881=phu!$I$27,M881=phu!$I$28,M881=phu!$I$29,M881=phu!$I$30,M881=phu!$I$31),"Cam Phú",""),IF(OR(M881=phu!$I$32,M881=phu!$I$33,M881=phu!$I$34,M881=phu!$I$35,M881=phu!$I$36,M881=phu!$I$37),"Cam Lộc",""),IF(OR(M881=phu!$I$38,M881=phu!$I$39,M881=phu!$I$40,M881=phu!$I$41,M881=phu!$I$42,M881=phu!$I$43,M881=phu!$I$44),"Cam Thuận",""),IF(OR(M881=phu!$I$45,M881=phu!$I$46,M881=phu!$I$47,M881=phu!$I$48,M881=phu!$I$49,M881=phu!$I$50,M881=phu!$I$51,M881=phu!$I$52,M881=phu!$I$53),"Cam Linh",""),IF(OR(M881=phu!$I$54,M881=phu!$I$55,M881=phu!$I$56,M881=phu!$I$57,M881=phu!$I$58,M881=phu!$I$59,M881=phu!$I$60,M881=phu!$I$61,M881=phu!$I$62),"Cam Lợi",""),IF(OR(M881=phu!$I$63,M881=phu!$I$64,M881=phu!$I$65,M881=phu!$I$66,M881=phu!$I$67,M881=phu!$I$68,M881=phu!$I$69,M881=phu!$I$70,M881=phu!$I$71),"Ba Ngòi",""),IF(OR(M881=phu!$I$72,M881=phu!$I$73,M881=phu!$I$74,M881=phu!$I$75,M881=phu!$I$76,M881=phu!$I$77,M881=phu!$I$78),"Cam Phước Đông",""),IF(OR(M881=phu!$I$79,M881=phu!$I$80,M881=phu!$I$81,M881=phu!$I$82,M881=phu!$I$83,M881=phu!$I$84),"Cam Thịnh Đông",""),IF(OR(M881=phu!$I$85,M881=phu!$I$86,M881=phu!$I$87,M881=phu!$I$88),"Cam Thịnh Tây",""),IF(OR(M881=phu!$I$89,M881=phu!$I$90),"Cam Lập",""),IF(OR(M881=phu!$I$91,M881=phu!$I$92,M881=phu!$I$93),"Cam Bình",""),IF(OR(M881=phu!$I$94,M881=phu!$I$95,M881=phu!$I$96,M881=phu!$I$97,M881=phu!$I$98,M881=phu!$I$99,M881=phu!$I$100),"Huyện khác",""),IF(OR(M881=phu!$I$101,M881=phu!$I$102),"Tỉnh khác",""))</f>
        <v/>
      </c>
      <c r="O881" s="829" t="str">
        <f t="shared" si="78"/>
        <v/>
      </c>
      <c r="P881" s="254"/>
      <c r="Q881" s="254"/>
      <c r="R881" s="254"/>
      <c r="S881" s="254"/>
      <c r="T881" s="254"/>
      <c r="U881" s="254"/>
      <c r="V881" s="254"/>
      <c r="W881" s="254"/>
      <c r="Y881" s="246" t="str">
        <f t="shared" si="79"/>
        <v/>
      </c>
      <c r="Z881" s="247" t="str">
        <f t="shared" si="83"/>
        <v/>
      </c>
      <c r="AA881" s="246" t="str">
        <f t="shared" si="80"/>
        <v/>
      </c>
    </row>
    <row r="882" spans="1:27" x14ac:dyDescent="0.25">
      <c r="A882" s="248" t="str">
        <f t="shared" si="81"/>
        <v/>
      </c>
      <c r="B882" s="249" t="str">
        <f t="shared" si="82"/>
        <v/>
      </c>
      <c r="C882" s="250"/>
      <c r="D882" s="251"/>
      <c r="E882" s="241"/>
      <c r="F882" s="252"/>
      <c r="G882" s="252"/>
      <c r="H882" s="253"/>
      <c r="I882" s="250"/>
      <c r="J882" s="250"/>
      <c r="K882" s="270"/>
      <c r="L882" s="250"/>
      <c r="M882" s="250"/>
      <c r="N882" s="540" t="str">
        <f>CONCATENATE(IF(OR(M882=phu!$I$1,M882=phu!$I$2,M882=phu!$I$3),"Cam Thành Nam",""),IF(OR(M882=phu!$I$4,M882=phu!$I$5,M882=phu!$I$6,M882=phu!$I$7,M882=phu!$I$8,M882=phu!$I$9,M882=phu!$I$10,M882=phu!$I$11,M882=phu!$I$12,M882=phu!$I$13,M882=phu!$I$14),"Cam Nghĩa",""),IF(OR(M882=phu!$I$15,M882=phu!$I$16,M882=phu!$I$17,M882=phu!$I$18,M882=phu!$I$19,M882=phu!$I$20,M882=phu!$I$21),"Cam Phúc Bắc",""),IF(OR(M882=phu!$I$22,M882=phu!$I$23,M882=phu!$I$24,M882=phu!$I$25),"Cam Phúc Nam",""),IF(OR(M882=phu!$I$26,M882=phu!$I$27,M882=phu!$I$28,M882=phu!$I$29,M882=phu!$I$30,M882=phu!$I$31),"Cam Phú",""),IF(OR(M882=phu!$I$32,M882=phu!$I$33,M882=phu!$I$34,M882=phu!$I$35,M882=phu!$I$36,M882=phu!$I$37),"Cam Lộc",""),IF(OR(M882=phu!$I$38,M882=phu!$I$39,M882=phu!$I$40,M882=phu!$I$41,M882=phu!$I$42,M882=phu!$I$43,M882=phu!$I$44),"Cam Thuận",""),IF(OR(M882=phu!$I$45,M882=phu!$I$46,M882=phu!$I$47,M882=phu!$I$48,M882=phu!$I$49,M882=phu!$I$50,M882=phu!$I$51,M882=phu!$I$52,M882=phu!$I$53),"Cam Linh",""),IF(OR(M882=phu!$I$54,M882=phu!$I$55,M882=phu!$I$56,M882=phu!$I$57,M882=phu!$I$58,M882=phu!$I$59,M882=phu!$I$60,M882=phu!$I$61,M882=phu!$I$62),"Cam Lợi",""),IF(OR(M882=phu!$I$63,M882=phu!$I$64,M882=phu!$I$65,M882=phu!$I$66,M882=phu!$I$67,M882=phu!$I$68,M882=phu!$I$69,M882=phu!$I$70,M882=phu!$I$71),"Ba Ngòi",""),IF(OR(M882=phu!$I$72,M882=phu!$I$73,M882=phu!$I$74,M882=phu!$I$75,M882=phu!$I$76,M882=phu!$I$77,M882=phu!$I$78),"Cam Phước Đông",""),IF(OR(M882=phu!$I$79,M882=phu!$I$80,M882=phu!$I$81,M882=phu!$I$82,M882=phu!$I$83,M882=phu!$I$84),"Cam Thịnh Đông",""),IF(OR(M882=phu!$I$85,M882=phu!$I$86,M882=phu!$I$87,M882=phu!$I$88),"Cam Thịnh Tây",""),IF(OR(M882=phu!$I$89,M882=phu!$I$90),"Cam Lập",""),IF(OR(M882=phu!$I$91,M882=phu!$I$92,M882=phu!$I$93),"Cam Bình",""),IF(OR(M882=phu!$I$94,M882=phu!$I$95,M882=phu!$I$96,M882=phu!$I$97,M882=phu!$I$98,M882=phu!$I$99,M882=phu!$I$100),"Huyện khác",""),IF(OR(M882=phu!$I$101,M882=phu!$I$102),"Tỉnh khác",""))</f>
        <v/>
      </c>
      <c r="O882" s="829" t="str">
        <f t="shared" si="78"/>
        <v/>
      </c>
      <c r="P882" s="254"/>
      <c r="Q882" s="254"/>
      <c r="R882" s="254"/>
      <c r="S882" s="254"/>
      <c r="T882" s="254"/>
      <c r="U882" s="254"/>
      <c r="V882" s="254"/>
      <c r="W882" s="254"/>
      <c r="Y882" s="246" t="str">
        <f t="shared" si="79"/>
        <v/>
      </c>
      <c r="Z882" s="247" t="str">
        <f t="shared" si="83"/>
        <v/>
      </c>
      <c r="AA882" s="246" t="str">
        <f t="shared" si="80"/>
        <v/>
      </c>
    </row>
    <row r="883" spans="1:27" x14ac:dyDescent="0.25">
      <c r="A883" s="248" t="str">
        <f t="shared" si="81"/>
        <v/>
      </c>
      <c r="B883" s="249" t="str">
        <f t="shared" si="82"/>
        <v/>
      </c>
      <c r="C883" s="250"/>
      <c r="D883" s="251"/>
      <c r="E883" s="241"/>
      <c r="F883" s="252"/>
      <c r="G883" s="252"/>
      <c r="H883" s="253"/>
      <c r="I883" s="250"/>
      <c r="J883" s="250"/>
      <c r="K883" s="270"/>
      <c r="L883" s="250"/>
      <c r="M883" s="250"/>
      <c r="N883" s="540" t="str">
        <f>CONCATENATE(IF(OR(M883=phu!$I$1,M883=phu!$I$2,M883=phu!$I$3),"Cam Thành Nam",""),IF(OR(M883=phu!$I$4,M883=phu!$I$5,M883=phu!$I$6,M883=phu!$I$7,M883=phu!$I$8,M883=phu!$I$9,M883=phu!$I$10,M883=phu!$I$11,M883=phu!$I$12,M883=phu!$I$13,M883=phu!$I$14),"Cam Nghĩa",""),IF(OR(M883=phu!$I$15,M883=phu!$I$16,M883=phu!$I$17,M883=phu!$I$18,M883=phu!$I$19,M883=phu!$I$20,M883=phu!$I$21),"Cam Phúc Bắc",""),IF(OR(M883=phu!$I$22,M883=phu!$I$23,M883=phu!$I$24,M883=phu!$I$25),"Cam Phúc Nam",""),IF(OR(M883=phu!$I$26,M883=phu!$I$27,M883=phu!$I$28,M883=phu!$I$29,M883=phu!$I$30,M883=phu!$I$31),"Cam Phú",""),IF(OR(M883=phu!$I$32,M883=phu!$I$33,M883=phu!$I$34,M883=phu!$I$35,M883=phu!$I$36,M883=phu!$I$37),"Cam Lộc",""),IF(OR(M883=phu!$I$38,M883=phu!$I$39,M883=phu!$I$40,M883=phu!$I$41,M883=phu!$I$42,M883=phu!$I$43,M883=phu!$I$44),"Cam Thuận",""),IF(OR(M883=phu!$I$45,M883=phu!$I$46,M883=phu!$I$47,M883=phu!$I$48,M883=phu!$I$49,M883=phu!$I$50,M883=phu!$I$51,M883=phu!$I$52,M883=phu!$I$53),"Cam Linh",""),IF(OR(M883=phu!$I$54,M883=phu!$I$55,M883=phu!$I$56,M883=phu!$I$57,M883=phu!$I$58,M883=phu!$I$59,M883=phu!$I$60,M883=phu!$I$61,M883=phu!$I$62),"Cam Lợi",""),IF(OR(M883=phu!$I$63,M883=phu!$I$64,M883=phu!$I$65,M883=phu!$I$66,M883=phu!$I$67,M883=phu!$I$68,M883=phu!$I$69,M883=phu!$I$70,M883=phu!$I$71),"Ba Ngòi",""),IF(OR(M883=phu!$I$72,M883=phu!$I$73,M883=phu!$I$74,M883=phu!$I$75,M883=phu!$I$76,M883=phu!$I$77,M883=phu!$I$78),"Cam Phước Đông",""),IF(OR(M883=phu!$I$79,M883=phu!$I$80,M883=phu!$I$81,M883=phu!$I$82,M883=phu!$I$83,M883=phu!$I$84),"Cam Thịnh Đông",""),IF(OR(M883=phu!$I$85,M883=phu!$I$86,M883=phu!$I$87,M883=phu!$I$88),"Cam Thịnh Tây",""),IF(OR(M883=phu!$I$89,M883=phu!$I$90),"Cam Lập",""),IF(OR(M883=phu!$I$91,M883=phu!$I$92,M883=phu!$I$93),"Cam Bình",""),IF(OR(M883=phu!$I$94,M883=phu!$I$95,M883=phu!$I$96,M883=phu!$I$97,M883=phu!$I$98,M883=phu!$I$99,M883=phu!$I$100),"Huyện khác",""),IF(OR(M883=phu!$I$101,M883=phu!$I$102),"Tỉnh khác",""))</f>
        <v/>
      </c>
      <c r="O883" s="829" t="str">
        <f t="shared" si="78"/>
        <v/>
      </c>
      <c r="P883" s="254"/>
      <c r="Q883" s="254"/>
      <c r="R883" s="254"/>
      <c r="S883" s="254"/>
      <c r="T883" s="254"/>
      <c r="U883" s="254"/>
      <c r="V883" s="254"/>
      <c r="W883" s="254"/>
      <c r="Y883" s="246" t="str">
        <f t="shared" si="79"/>
        <v/>
      </c>
      <c r="Z883" s="247" t="str">
        <f t="shared" si="83"/>
        <v/>
      </c>
      <c r="AA883" s="246" t="str">
        <f t="shared" si="80"/>
        <v/>
      </c>
    </row>
    <row r="884" spans="1:27" x14ac:dyDescent="0.25">
      <c r="A884" s="248" t="str">
        <f t="shared" si="81"/>
        <v/>
      </c>
      <c r="B884" s="249" t="str">
        <f t="shared" si="82"/>
        <v/>
      </c>
      <c r="C884" s="250"/>
      <c r="D884" s="251"/>
      <c r="E884" s="241"/>
      <c r="F884" s="252"/>
      <c r="G884" s="252"/>
      <c r="H884" s="253"/>
      <c r="I884" s="250"/>
      <c r="J884" s="250"/>
      <c r="K884" s="270"/>
      <c r="L884" s="250"/>
      <c r="M884" s="250"/>
      <c r="N884" s="540" t="str">
        <f>CONCATENATE(IF(OR(M884=phu!$I$1,M884=phu!$I$2,M884=phu!$I$3),"Cam Thành Nam",""),IF(OR(M884=phu!$I$4,M884=phu!$I$5,M884=phu!$I$6,M884=phu!$I$7,M884=phu!$I$8,M884=phu!$I$9,M884=phu!$I$10,M884=phu!$I$11,M884=phu!$I$12,M884=phu!$I$13,M884=phu!$I$14),"Cam Nghĩa",""),IF(OR(M884=phu!$I$15,M884=phu!$I$16,M884=phu!$I$17,M884=phu!$I$18,M884=phu!$I$19,M884=phu!$I$20,M884=phu!$I$21),"Cam Phúc Bắc",""),IF(OR(M884=phu!$I$22,M884=phu!$I$23,M884=phu!$I$24,M884=phu!$I$25),"Cam Phúc Nam",""),IF(OR(M884=phu!$I$26,M884=phu!$I$27,M884=phu!$I$28,M884=phu!$I$29,M884=phu!$I$30,M884=phu!$I$31),"Cam Phú",""),IF(OR(M884=phu!$I$32,M884=phu!$I$33,M884=phu!$I$34,M884=phu!$I$35,M884=phu!$I$36,M884=phu!$I$37),"Cam Lộc",""),IF(OR(M884=phu!$I$38,M884=phu!$I$39,M884=phu!$I$40,M884=phu!$I$41,M884=phu!$I$42,M884=phu!$I$43,M884=phu!$I$44),"Cam Thuận",""),IF(OR(M884=phu!$I$45,M884=phu!$I$46,M884=phu!$I$47,M884=phu!$I$48,M884=phu!$I$49,M884=phu!$I$50,M884=phu!$I$51,M884=phu!$I$52,M884=phu!$I$53),"Cam Linh",""),IF(OR(M884=phu!$I$54,M884=phu!$I$55,M884=phu!$I$56,M884=phu!$I$57,M884=phu!$I$58,M884=phu!$I$59,M884=phu!$I$60,M884=phu!$I$61,M884=phu!$I$62),"Cam Lợi",""),IF(OR(M884=phu!$I$63,M884=phu!$I$64,M884=phu!$I$65,M884=phu!$I$66,M884=phu!$I$67,M884=phu!$I$68,M884=phu!$I$69,M884=phu!$I$70,M884=phu!$I$71),"Ba Ngòi",""),IF(OR(M884=phu!$I$72,M884=phu!$I$73,M884=phu!$I$74,M884=phu!$I$75,M884=phu!$I$76,M884=phu!$I$77,M884=phu!$I$78),"Cam Phước Đông",""),IF(OR(M884=phu!$I$79,M884=phu!$I$80,M884=phu!$I$81,M884=phu!$I$82,M884=phu!$I$83,M884=phu!$I$84),"Cam Thịnh Đông",""),IF(OR(M884=phu!$I$85,M884=phu!$I$86,M884=phu!$I$87,M884=phu!$I$88),"Cam Thịnh Tây",""),IF(OR(M884=phu!$I$89,M884=phu!$I$90),"Cam Lập",""),IF(OR(M884=phu!$I$91,M884=phu!$I$92,M884=phu!$I$93),"Cam Bình",""),IF(OR(M884=phu!$I$94,M884=phu!$I$95,M884=phu!$I$96,M884=phu!$I$97,M884=phu!$I$98,M884=phu!$I$99,M884=phu!$I$100),"Huyện khác",""),IF(OR(M884=phu!$I$101,M884=phu!$I$102),"Tỉnh khác",""))</f>
        <v/>
      </c>
      <c r="O884" s="829" t="str">
        <f t="shared" si="78"/>
        <v/>
      </c>
      <c r="P884" s="254"/>
      <c r="Q884" s="254"/>
      <c r="R884" s="254"/>
      <c r="S884" s="254"/>
      <c r="T884" s="254"/>
      <c r="U884" s="254"/>
      <c r="V884" s="254"/>
      <c r="W884" s="254"/>
      <c r="Y884" s="246" t="str">
        <f t="shared" si="79"/>
        <v/>
      </c>
      <c r="Z884" s="247" t="str">
        <f t="shared" si="83"/>
        <v/>
      </c>
      <c r="AA884" s="246" t="str">
        <f t="shared" si="80"/>
        <v/>
      </c>
    </row>
    <row r="885" spans="1:27" x14ac:dyDescent="0.25">
      <c r="A885" s="248" t="str">
        <f t="shared" si="81"/>
        <v/>
      </c>
      <c r="B885" s="249" t="str">
        <f t="shared" si="82"/>
        <v/>
      </c>
      <c r="C885" s="250"/>
      <c r="D885" s="251"/>
      <c r="E885" s="241"/>
      <c r="F885" s="252"/>
      <c r="G885" s="252"/>
      <c r="H885" s="253"/>
      <c r="I885" s="250"/>
      <c r="J885" s="250"/>
      <c r="K885" s="270"/>
      <c r="L885" s="250"/>
      <c r="M885" s="250"/>
      <c r="N885" s="540" t="str">
        <f>CONCATENATE(IF(OR(M885=phu!$I$1,M885=phu!$I$2,M885=phu!$I$3),"Cam Thành Nam",""),IF(OR(M885=phu!$I$4,M885=phu!$I$5,M885=phu!$I$6,M885=phu!$I$7,M885=phu!$I$8,M885=phu!$I$9,M885=phu!$I$10,M885=phu!$I$11,M885=phu!$I$12,M885=phu!$I$13,M885=phu!$I$14),"Cam Nghĩa",""),IF(OR(M885=phu!$I$15,M885=phu!$I$16,M885=phu!$I$17,M885=phu!$I$18,M885=phu!$I$19,M885=phu!$I$20,M885=phu!$I$21),"Cam Phúc Bắc",""),IF(OR(M885=phu!$I$22,M885=phu!$I$23,M885=phu!$I$24,M885=phu!$I$25),"Cam Phúc Nam",""),IF(OR(M885=phu!$I$26,M885=phu!$I$27,M885=phu!$I$28,M885=phu!$I$29,M885=phu!$I$30,M885=phu!$I$31),"Cam Phú",""),IF(OR(M885=phu!$I$32,M885=phu!$I$33,M885=phu!$I$34,M885=phu!$I$35,M885=phu!$I$36,M885=phu!$I$37),"Cam Lộc",""),IF(OR(M885=phu!$I$38,M885=phu!$I$39,M885=phu!$I$40,M885=phu!$I$41,M885=phu!$I$42,M885=phu!$I$43,M885=phu!$I$44),"Cam Thuận",""),IF(OR(M885=phu!$I$45,M885=phu!$I$46,M885=phu!$I$47,M885=phu!$I$48,M885=phu!$I$49,M885=phu!$I$50,M885=phu!$I$51,M885=phu!$I$52,M885=phu!$I$53),"Cam Linh",""),IF(OR(M885=phu!$I$54,M885=phu!$I$55,M885=phu!$I$56,M885=phu!$I$57,M885=phu!$I$58,M885=phu!$I$59,M885=phu!$I$60,M885=phu!$I$61,M885=phu!$I$62),"Cam Lợi",""),IF(OR(M885=phu!$I$63,M885=phu!$I$64,M885=phu!$I$65,M885=phu!$I$66,M885=phu!$I$67,M885=phu!$I$68,M885=phu!$I$69,M885=phu!$I$70,M885=phu!$I$71),"Ba Ngòi",""),IF(OR(M885=phu!$I$72,M885=phu!$I$73,M885=phu!$I$74,M885=phu!$I$75,M885=phu!$I$76,M885=phu!$I$77,M885=phu!$I$78),"Cam Phước Đông",""),IF(OR(M885=phu!$I$79,M885=phu!$I$80,M885=phu!$I$81,M885=phu!$I$82,M885=phu!$I$83,M885=phu!$I$84),"Cam Thịnh Đông",""),IF(OR(M885=phu!$I$85,M885=phu!$I$86,M885=phu!$I$87,M885=phu!$I$88),"Cam Thịnh Tây",""),IF(OR(M885=phu!$I$89,M885=phu!$I$90),"Cam Lập",""),IF(OR(M885=phu!$I$91,M885=phu!$I$92,M885=phu!$I$93),"Cam Bình",""),IF(OR(M885=phu!$I$94,M885=phu!$I$95,M885=phu!$I$96,M885=phu!$I$97,M885=phu!$I$98,M885=phu!$I$99,M885=phu!$I$100),"Huyện khác",""),IF(OR(M885=phu!$I$101,M885=phu!$I$102),"Tỉnh khác",""))</f>
        <v/>
      </c>
      <c r="O885" s="829" t="str">
        <f t="shared" si="78"/>
        <v/>
      </c>
      <c r="P885" s="254"/>
      <c r="Q885" s="254"/>
      <c r="R885" s="254"/>
      <c r="S885" s="254"/>
      <c r="T885" s="254"/>
      <c r="U885" s="254"/>
      <c r="V885" s="254"/>
      <c r="W885" s="254"/>
      <c r="Y885" s="246" t="str">
        <f t="shared" si="79"/>
        <v/>
      </c>
      <c r="Z885" s="247" t="str">
        <f t="shared" si="83"/>
        <v/>
      </c>
      <c r="AA885" s="246" t="str">
        <f t="shared" si="80"/>
        <v/>
      </c>
    </row>
    <row r="886" spans="1:27" x14ac:dyDescent="0.25">
      <c r="A886" s="248" t="str">
        <f t="shared" si="81"/>
        <v/>
      </c>
      <c r="B886" s="249" t="str">
        <f t="shared" si="82"/>
        <v/>
      </c>
      <c r="C886" s="250"/>
      <c r="D886" s="251"/>
      <c r="E886" s="241"/>
      <c r="F886" s="252"/>
      <c r="G886" s="252"/>
      <c r="H886" s="253"/>
      <c r="I886" s="250"/>
      <c r="J886" s="250"/>
      <c r="K886" s="270"/>
      <c r="L886" s="250"/>
      <c r="M886" s="250"/>
      <c r="N886" s="540" t="str">
        <f>CONCATENATE(IF(OR(M886=phu!$I$1,M886=phu!$I$2,M886=phu!$I$3),"Cam Thành Nam",""),IF(OR(M886=phu!$I$4,M886=phu!$I$5,M886=phu!$I$6,M886=phu!$I$7,M886=phu!$I$8,M886=phu!$I$9,M886=phu!$I$10,M886=phu!$I$11,M886=phu!$I$12,M886=phu!$I$13,M886=phu!$I$14),"Cam Nghĩa",""),IF(OR(M886=phu!$I$15,M886=phu!$I$16,M886=phu!$I$17,M886=phu!$I$18,M886=phu!$I$19,M886=phu!$I$20,M886=phu!$I$21),"Cam Phúc Bắc",""),IF(OR(M886=phu!$I$22,M886=phu!$I$23,M886=phu!$I$24,M886=phu!$I$25),"Cam Phúc Nam",""),IF(OR(M886=phu!$I$26,M886=phu!$I$27,M886=phu!$I$28,M886=phu!$I$29,M886=phu!$I$30,M886=phu!$I$31),"Cam Phú",""),IF(OR(M886=phu!$I$32,M886=phu!$I$33,M886=phu!$I$34,M886=phu!$I$35,M886=phu!$I$36,M886=phu!$I$37),"Cam Lộc",""),IF(OR(M886=phu!$I$38,M886=phu!$I$39,M886=phu!$I$40,M886=phu!$I$41,M886=phu!$I$42,M886=phu!$I$43,M886=phu!$I$44),"Cam Thuận",""),IF(OR(M886=phu!$I$45,M886=phu!$I$46,M886=phu!$I$47,M886=phu!$I$48,M886=phu!$I$49,M886=phu!$I$50,M886=phu!$I$51,M886=phu!$I$52,M886=phu!$I$53),"Cam Linh",""),IF(OR(M886=phu!$I$54,M886=phu!$I$55,M886=phu!$I$56,M886=phu!$I$57,M886=phu!$I$58,M886=phu!$I$59,M886=phu!$I$60,M886=phu!$I$61,M886=phu!$I$62),"Cam Lợi",""),IF(OR(M886=phu!$I$63,M886=phu!$I$64,M886=phu!$I$65,M886=phu!$I$66,M886=phu!$I$67,M886=phu!$I$68,M886=phu!$I$69,M886=phu!$I$70,M886=phu!$I$71),"Ba Ngòi",""),IF(OR(M886=phu!$I$72,M886=phu!$I$73,M886=phu!$I$74,M886=phu!$I$75,M886=phu!$I$76,M886=phu!$I$77,M886=phu!$I$78),"Cam Phước Đông",""),IF(OR(M886=phu!$I$79,M886=phu!$I$80,M886=phu!$I$81,M886=phu!$I$82,M886=phu!$I$83,M886=phu!$I$84),"Cam Thịnh Đông",""),IF(OR(M886=phu!$I$85,M886=phu!$I$86,M886=phu!$I$87,M886=phu!$I$88),"Cam Thịnh Tây",""),IF(OR(M886=phu!$I$89,M886=phu!$I$90),"Cam Lập",""),IF(OR(M886=phu!$I$91,M886=phu!$I$92,M886=phu!$I$93),"Cam Bình",""),IF(OR(M886=phu!$I$94,M886=phu!$I$95,M886=phu!$I$96,M886=phu!$I$97,M886=phu!$I$98,M886=phu!$I$99,M886=phu!$I$100),"Huyện khác",""),IF(OR(M886=phu!$I$101,M886=phu!$I$102),"Tỉnh khác",""))</f>
        <v/>
      </c>
      <c r="O886" s="829" t="str">
        <f t="shared" si="78"/>
        <v/>
      </c>
      <c r="P886" s="254"/>
      <c r="Q886" s="254"/>
      <c r="R886" s="254"/>
      <c r="S886" s="254"/>
      <c r="T886" s="254"/>
      <c r="U886" s="254"/>
      <c r="V886" s="254"/>
      <c r="W886" s="254"/>
      <c r="Y886" s="246" t="str">
        <f t="shared" si="79"/>
        <v/>
      </c>
      <c r="Z886" s="247" t="str">
        <f t="shared" si="83"/>
        <v/>
      </c>
      <c r="AA886" s="246" t="str">
        <f t="shared" si="80"/>
        <v/>
      </c>
    </row>
    <row r="887" spans="1:27" x14ac:dyDescent="0.25">
      <c r="A887" s="248" t="str">
        <f t="shared" si="81"/>
        <v/>
      </c>
      <c r="B887" s="249" t="str">
        <f t="shared" si="82"/>
        <v/>
      </c>
      <c r="C887" s="250"/>
      <c r="D887" s="251"/>
      <c r="E887" s="241"/>
      <c r="F887" s="252"/>
      <c r="G887" s="252"/>
      <c r="H887" s="253"/>
      <c r="I887" s="250"/>
      <c r="J887" s="250"/>
      <c r="K887" s="270"/>
      <c r="L887" s="250"/>
      <c r="M887" s="250"/>
      <c r="N887" s="540" t="str">
        <f>CONCATENATE(IF(OR(M887=phu!$I$1,M887=phu!$I$2,M887=phu!$I$3),"Cam Thành Nam",""),IF(OR(M887=phu!$I$4,M887=phu!$I$5,M887=phu!$I$6,M887=phu!$I$7,M887=phu!$I$8,M887=phu!$I$9,M887=phu!$I$10,M887=phu!$I$11,M887=phu!$I$12,M887=phu!$I$13,M887=phu!$I$14),"Cam Nghĩa",""),IF(OR(M887=phu!$I$15,M887=phu!$I$16,M887=phu!$I$17,M887=phu!$I$18,M887=phu!$I$19,M887=phu!$I$20,M887=phu!$I$21),"Cam Phúc Bắc",""),IF(OR(M887=phu!$I$22,M887=phu!$I$23,M887=phu!$I$24,M887=phu!$I$25),"Cam Phúc Nam",""),IF(OR(M887=phu!$I$26,M887=phu!$I$27,M887=phu!$I$28,M887=phu!$I$29,M887=phu!$I$30,M887=phu!$I$31),"Cam Phú",""),IF(OR(M887=phu!$I$32,M887=phu!$I$33,M887=phu!$I$34,M887=phu!$I$35,M887=phu!$I$36,M887=phu!$I$37),"Cam Lộc",""),IF(OR(M887=phu!$I$38,M887=phu!$I$39,M887=phu!$I$40,M887=phu!$I$41,M887=phu!$I$42,M887=phu!$I$43,M887=phu!$I$44),"Cam Thuận",""),IF(OR(M887=phu!$I$45,M887=phu!$I$46,M887=phu!$I$47,M887=phu!$I$48,M887=phu!$I$49,M887=phu!$I$50,M887=phu!$I$51,M887=phu!$I$52,M887=phu!$I$53),"Cam Linh",""),IF(OR(M887=phu!$I$54,M887=phu!$I$55,M887=phu!$I$56,M887=phu!$I$57,M887=phu!$I$58,M887=phu!$I$59,M887=phu!$I$60,M887=phu!$I$61,M887=phu!$I$62),"Cam Lợi",""),IF(OR(M887=phu!$I$63,M887=phu!$I$64,M887=phu!$I$65,M887=phu!$I$66,M887=phu!$I$67,M887=phu!$I$68,M887=phu!$I$69,M887=phu!$I$70,M887=phu!$I$71),"Ba Ngòi",""),IF(OR(M887=phu!$I$72,M887=phu!$I$73,M887=phu!$I$74,M887=phu!$I$75,M887=phu!$I$76,M887=phu!$I$77,M887=phu!$I$78),"Cam Phước Đông",""),IF(OR(M887=phu!$I$79,M887=phu!$I$80,M887=phu!$I$81,M887=phu!$I$82,M887=phu!$I$83,M887=phu!$I$84),"Cam Thịnh Đông",""),IF(OR(M887=phu!$I$85,M887=phu!$I$86,M887=phu!$I$87,M887=phu!$I$88),"Cam Thịnh Tây",""),IF(OR(M887=phu!$I$89,M887=phu!$I$90),"Cam Lập",""),IF(OR(M887=phu!$I$91,M887=phu!$I$92,M887=phu!$I$93),"Cam Bình",""),IF(OR(M887=phu!$I$94,M887=phu!$I$95,M887=phu!$I$96,M887=phu!$I$97,M887=phu!$I$98,M887=phu!$I$99,M887=phu!$I$100),"Huyện khác",""),IF(OR(M887=phu!$I$101,M887=phu!$I$102),"Tỉnh khác",""))</f>
        <v/>
      </c>
      <c r="O887" s="829" t="str">
        <f t="shared" si="78"/>
        <v/>
      </c>
      <c r="P887" s="254"/>
      <c r="Q887" s="254"/>
      <c r="R887" s="254"/>
      <c r="S887" s="254"/>
      <c r="T887" s="254"/>
      <c r="U887" s="254"/>
      <c r="V887" s="254"/>
      <c r="W887" s="254"/>
      <c r="Y887" s="246" t="str">
        <f t="shared" si="79"/>
        <v/>
      </c>
      <c r="Z887" s="247" t="str">
        <f t="shared" si="83"/>
        <v/>
      </c>
      <c r="AA887" s="246" t="str">
        <f t="shared" si="80"/>
        <v/>
      </c>
    </row>
    <row r="888" spans="1:27" x14ac:dyDescent="0.25">
      <c r="A888" s="248" t="str">
        <f t="shared" si="81"/>
        <v/>
      </c>
      <c r="B888" s="249" t="str">
        <f t="shared" si="82"/>
        <v/>
      </c>
      <c r="C888" s="250"/>
      <c r="D888" s="251"/>
      <c r="E888" s="241"/>
      <c r="F888" s="252"/>
      <c r="G888" s="252"/>
      <c r="H888" s="253"/>
      <c r="I888" s="250"/>
      <c r="J888" s="250"/>
      <c r="K888" s="270"/>
      <c r="L888" s="250"/>
      <c r="M888" s="250"/>
      <c r="N888" s="540" t="str">
        <f>CONCATENATE(IF(OR(M888=phu!$I$1,M888=phu!$I$2,M888=phu!$I$3),"Cam Thành Nam",""),IF(OR(M888=phu!$I$4,M888=phu!$I$5,M888=phu!$I$6,M888=phu!$I$7,M888=phu!$I$8,M888=phu!$I$9,M888=phu!$I$10,M888=phu!$I$11,M888=phu!$I$12,M888=phu!$I$13,M888=phu!$I$14),"Cam Nghĩa",""),IF(OR(M888=phu!$I$15,M888=phu!$I$16,M888=phu!$I$17,M888=phu!$I$18,M888=phu!$I$19,M888=phu!$I$20,M888=phu!$I$21),"Cam Phúc Bắc",""),IF(OR(M888=phu!$I$22,M888=phu!$I$23,M888=phu!$I$24,M888=phu!$I$25),"Cam Phúc Nam",""),IF(OR(M888=phu!$I$26,M888=phu!$I$27,M888=phu!$I$28,M888=phu!$I$29,M888=phu!$I$30,M888=phu!$I$31),"Cam Phú",""),IF(OR(M888=phu!$I$32,M888=phu!$I$33,M888=phu!$I$34,M888=phu!$I$35,M888=phu!$I$36,M888=phu!$I$37),"Cam Lộc",""),IF(OR(M888=phu!$I$38,M888=phu!$I$39,M888=phu!$I$40,M888=phu!$I$41,M888=phu!$I$42,M888=phu!$I$43,M888=phu!$I$44),"Cam Thuận",""),IF(OR(M888=phu!$I$45,M888=phu!$I$46,M888=phu!$I$47,M888=phu!$I$48,M888=phu!$I$49,M888=phu!$I$50,M888=phu!$I$51,M888=phu!$I$52,M888=phu!$I$53),"Cam Linh",""),IF(OR(M888=phu!$I$54,M888=phu!$I$55,M888=phu!$I$56,M888=phu!$I$57,M888=phu!$I$58,M888=phu!$I$59,M888=phu!$I$60,M888=phu!$I$61,M888=phu!$I$62),"Cam Lợi",""),IF(OR(M888=phu!$I$63,M888=phu!$I$64,M888=phu!$I$65,M888=phu!$I$66,M888=phu!$I$67,M888=phu!$I$68,M888=phu!$I$69,M888=phu!$I$70,M888=phu!$I$71),"Ba Ngòi",""),IF(OR(M888=phu!$I$72,M888=phu!$I$73,M888=phu!$I$74,M888=phu!$I$75,M888=phu!$I$76,M888=phu!$I$77,M888=phu!$I$78),"Cam Phước Đông",""),IF(OR(M888=phu!$I$79,M888=phu!$I$80,M888=phu!$I$81,M888=phu!$I$82,M888=phu!$I$83,M888=phu!$I$84),"Cam Thịnh Đông",""),IF(OR(M888=phu!$I$85,M888=phu!$I$86,M888=phu!$I$87,M888=phu!$I$88),"Cam Thịnh Tây",""),IF(OR(M888=phu!$I$89,M888=phu!$I$90),"Cam Lập",""),IF(OR(M888=phu!$I$91,M888=phu!$I$92,M888=phu!$I$93),"Cam Bình",""),IF(OR(M888=phu!$I$94,M888=phu!$I$95,M888=phu!$I$96,M888=phu!$I$97,M888=phu!$I$98,M888=phu!$I$99,M888=phu!$I$100),"Huyện khác",""),IF(OR(M888=phu!$I$101,M888=phu!$I$102),"Tỉnh khác",""))</f>
        <v/>
      </c>
      <c r="O888" s="829" t="str">
        <f t="shared" si="78"/>
        <v/>
      </c>
      <c r="P888" s="254"/>
      <c r="Q888" s="254"/>
      <c r="R888" s="254"/>
      <c r="S888" s="254"/>
      <c r="T888" s="254"/>
      <c r="U888" s="254"/>
      <c r="V888" s="254"/>
      <c r="W888" s="254"/>
      <c r="Y888" s="246" t="str">
        <f t="shared" si="79"/>
        <v/>
      </c>
      <c r="Z888" s="247" t="str">
        <f t="shared" si="83"/>
        <v/>
      </c>
      <c r="AA888" s="246" t="str">
        <f t="shared" si="80"/>
        <v/>
      </c>
    </row>
    <row r="889" spans="1:27" x14ac:dyDescent="0.25">
      <c r="A889" s="248" t="str">
        <f t="shared" si="81"/>
        <v/>
      </c>
      <c r="B889" s="249" t="str">
        <f t="shared" si="82"/>
        <v/>
      </c>
      <c r="C889" s="250"/>
      <c r="D889" s="251"/>
      <c r="E889" s="241"/>
      <c r="F889" s="252"/>
      <c r="G889" s="252"/>
      <c r="H889" s="253"/>
      <c r="I889" s="250"/>
      <c r="J889" s="250"/>
      <c r="K889" s="270"/>
      <c r="L889" s="250"/>
      <c r="M889" s="250"/>
      <c r="N889" s="540" t="str">
        <f>CONCATENATE(IF(OR(M889=phu!$I$1,M889=phu!$I$2,M889=phu!$I$3),"Cam Thành Nam",""),IF(OR(M889=phu!$I$4,M889=phu!$I$5,M889=phu!$I$6,M889=phu!$I$7,M889=phu!$I$8,M889=phu!$I$9,M889=phu!$I$10,M889=phu!$I$11,M889=phu!$I$12,M889=phu!$I$13,M889=phu!$I$14),"Cam Nghĩa",""),IF(OR(M889=phu!$I$15,M889=phu!$I$16,M889=phu!$I$17,M889=phu!$I$18,M889=phu!$I$19,M889=phu!$I$20,M889=phu!$I$21),"Cam Phúc Bắc",""),IF(OR(M889=phu!$I$22,M889=phu!$I$23,M889=phu!$I$24,M889=phu!$I$25),"Cam Phúc Nam",""),IF(OR(M889=phu!$I$26,M889=phu!$I$27,M889=phu!$I$28,M889=phu!$I$29,M889=phu!$I$30,M889=phu!$I$31),"Cam Phú",""),IF(OR(M889=phu!$I$32,M889=phu!$I$33,M889=phu!$I$34,M889=phu!$I$35,M889=phu!$I$36,M889=phu!$I$37),"Cam Lộc",""),IF(OR(M889=phu!$I$38,M889=phu!$I$39,M889=phu!$I$40,M889=phu!$I$41,M889=phu!$I$42,M889=phu!$I$43,M889=phu!$I$44),"Cam Thuận",""),IF(OR(M889=phu!$I$45,M889=phu!$I$46,M889=phu!$I$47,M889=phu!$I$48,M889=phu!$I$49,M889=phu!$I$50,M889=phu!$I$51,M889=phu!$I$52,M889=phu!$I$53),"Cam Linh",""),IF(OR(M889=phu!$I$54,M889=phu!$I$55,M889=phu!$I$56,M889=phu!$I$57,M889=phu!$I$58,M889=phu!$I$59,M889=phu!$I$60,M889=phu!$I$61,M889=phu!$I$62),"Cam Lợi",""),IF(OR(M889=phu!$I$63,M889=phu!$I$64,M889=phu!$I$65,M889=phu!$I$66,M889=phu!$I$67,M889=phu!$I$68,M889=phu!$I$69,M889=phu!$I$70,M889=phu!$I$71),"Ba Ngòi",""),IF(OR(M889=phu!$I$72,M889=phu!$I$73,M889=phu!$I$74,M889=phu!$I$75,M889=phu!$I$76,M889=phu!$I$77,M889=phu!$I$78),"Cam Phước Đông",""),IF(OR(M889=phu!$I$79,M889=phu!$I$80,M889=phu!$I$81,M889=phu!$I$82,M889=phu!$I$83,M889=phu!$I$84),"Cam Thịnh Đông",""),IF(OR(M889=phu!$I$85,M889=phu!$I$86,M889=phu!$I$87,M889=phu!$I$88),"Cam Thịnh Tây",""),IF(OR(M889=phu!$I$89,M889=phu!$I$90),"Cam Lập",""),IF(OR(M889=phu!$I$91,M889=phu!$I$92,M889=phu!$I$93),"Cam Bình",""),IF(OR(M889=phu!$I$94,M889=phu!$I$95,M889=phu!$I$96,M889=phu!$I$97,M889=phu!$I$98,M889=phu!$I$99,M889=phu!$I$100),"Huyện khác",""),IF(OR(M889=phu!$I$101,M889=phu!$I$102),"Tỉnh khác",""))</f>
        <v/>
      </c>
      <c r="O889" s="829" t="str">
        <f t="shared" si="78"/>
        <v/>
      </c>
      <c r="P889" s="254"/>
      <c r="Q889" s="254"/>
      <c r="R889" s="254"/>
      <c r="S889" s="254"/>
      <c r="T889" s="254"/>
      <c r="U889" s="254"/>
      <c r="V889" s="254"/>
      <c r="W889" s="254"/>
      <c r="Y889" s="246" t="str">
        <f t="shared" si="79"/>
        <v/>
      </c>
      <c r="Z889" s="247" t="str">
        <f t="shared" si="83"/>
        <v/>
      </c>
      <c r="AA889" s="246" t="str">
        <f t="shared" si="80"/>
        <v/>
      </c>
    </row>
    <row r="890" spans="1:27" x14ac:dyDescent="0.25">
      <c r="A890" s="248" t="str">
        <f t="shared" si="81"/>
        <v/>
      </c>
      <c r="B890" s="249" t="str">
        <f t="shared" si="82"/>
        <v/>
      </c>
      <c r="C890" s="250"/>
      <c r="D890" s="251"/>
      <c r="E890" s="241"/>
      <c r="F890" s="252"/>
      <c r="G890" s="252"/>
      <c r="H890" s="253"/>
      <c r="I890" s="250"/>
      <c r="J890" s="250"/>
      <c r="K890" s="270"/>
      <c r="L890" s="250"/>
      <c r="M890" s="250"/>
      <c r="N890" s="540" t="str">
        <f>CONCATENATE(IF(OR(M890=phu!$I$1,M890=phu!$I$2,M890=phu!$I$3),"Cam Thành Nam",""),IF(OR(M890=phu!$I$4,M890=phu!$I$5,M890=phu!$I$6,M890=phu!$I$7,M890=phu!$I$8,M890=phu!$I$9,M890=phu!$I$10,M890=phu!$I$11,M890=phu!$I$12,M890=phu!$I$13,M890=phu!$I$14),"Cam Nghĩa",""),IF(OR(M890=phu!$I$15,M890=phu!$I$16,M890=phu!$I$17,M890=phu!$I$18,M890=phu!$I$19,M890=phu!$I$20,M890=phu!$I$21),"Cam Phúc Bắc",""),IF(OR(M890=phu!$I$22,M890=phu!$I$23,M890=phu!$I$24,M890=phu!$I$25),"Cam Phúc Nam",""),IF(OR(M890=phu!$I$26,M890=phu!$I$27,M890=phu!$I$28,M890=phu!$I$29,M890=phu!$I$30,M890=phu!$I$31),"Cam Phú",""),IF(OR(M890=phu!$I$32,M890=phu!$I$33,M890=phu!$I$34,M890=phu!$I$35,M890=phu!$I$36,M890=phu!$I$37),"Cam Lộc",""),IF(OR(M890=phu!$I$38,M890=phu!$I$39,M890=phu!$I$40,M890=phu!$I$41,M890=phu!$I$42,M890=phu!$I$43,M890=phu!$I$44),"Cam Thuận",""),IF(OR(M890=phu!$I$45,M890=phu!$I$46,M890=phu!$I$47,M890=phu!$I$48,M890=phu!$I$49,M890=phu!$I$50,M890=phu!$I$51,M890=phu!$I$52,M890=phu!$I$53),"Cam Linh",""),IF(OR(M890=phu!$I$54,M890=phu!$I$55,M890=phu!$I$56,M890=phu!$I$57,M890=phu!$I$58,M890=phu!$I$59,M890=phu!$I$60,M890=phu!$I$61,M890=phu!$I$62),"Cam Lợi",""),IF(OR(M890=phu!$I$63,M890=phu!$I$64,M890=phu!$I$65,M890=phu!$I$66,M890=phu!$I$67,M890=phu!$I$68,M890=phu!$I$69,M890=phu!$I$70,M890=phu!$I$71),"Ba Ngòi",""),IF(OR(M890=phu!$I$72,M890=phu!$I$73,M890=phu!$I$74,M890=phu!$I$75,M890=phu!$I$76,M890=phu!$I$77,M890=phu!$I$78),"Cam Phước Đông",""),IF(OR(M890=phu!$I$79,M890=phu!$I$80,M890=phu!$I$81,M890=phu!$I$82,M890=phu!$I$83,M890=phu!$I$84),"Cam Thịnh Đông",""),IF(OR(M890=phu!$I$85,M890=phu!$I$86,M890=phu!$I$87,M890=phu!$I$88),"Cam Thịnh Tây",""),IF(OR(M890=phu!$I$89,M890=phu!$I$90),"Cam Lập",""),IF(OR(M890=phu!$I$91,M890=phu!$I$92,M890=phu!$I$93),"Cam Bình",""),IF(OR(M890=phu!$I$94,M890=phu!$I$95,M890=phu!$I$96,M890=phu!$I$97,M890=phu!$I$98,M890=phu!$I$99,M890=phu!$I$100),"Huyện khác",""),IF(OR(M890=phu!$I$101,M890=phu!$I$102),"Tỉnh khác",""))</f>
        <v/>
      </c>
      <c r="O890" s="829" t="str">
        <f t="shared" si="78"/>
        <v/>
      </c>
      <c r="P890" s="254"/>
      <c r="Q890" s="254"/>
      <c r="R890" s="254"/>
      <c r="S890" s="254"/>
      <c r="T890" s="254"/>
      <c r="U890" s="254"/>
      <c r="V890" s="254"/>
      <c r="W890" s="254"/>
      <c r="Y890" s="246" t="str">
        <f t="shared" si="79"/>
        <v/>
      </c>
      <c r="Z890" s="247" t="str">
        <f t="shared" si="83"/>
        <v/>
      </c>
      <c r="AA890" s="246" t="str">
        <f t="shared" si="80"/>
        <v/>
      </c>
    </row>
    <row r="891" spans="1:27" x14ac:dyDescent="0.25">
      <c r="A891" s="248" t="str">
        <f t="shared" si="81"/>
        <v/>
      </c>
      <c r="B891" s="249" t="str">
        <f t="shared" si="82"/>
        <v/>
      </c>
      <c r="C891" s="250"/>
      <c r="D891" s="251"/>
      <c r="E891" s="241"/>
      <c r="F891" s="252"/>
      <c r="G891" s="252"/>
      <c r="H891" s="253"/>
      <c r="I891" s="250"/>
      <c r="J891" s="250"/>
      <c r="K891" s="270"/>
      <c r="L891" s="250"/>
      <c r="M891" s="250"/>
      <c r="N891" s="540" t="str">
        <f>CONCATENATE(IF(OR(M891=phu!$I$1,M891=phu!$I$2,M891=phu!$I$3),"Cam Thành Nam",""),IF(OR(M891=phu!$I$4,M891=phu!$I$5,M891=phu!$I$6,M891=phu!$I$7,M891=phu!$I$8,M891=phu!$I$9,M891=phu!$I$10,M891=phu!$I$11,M891=phu!$I$12,M891=phu!$I$13,M891=phu!$I$14),"Cam Nghĩa",""),IF(OR(M891=phu!$I$15,M891=phu!$I$16,M891=phu!$I$17,M891=phu!$I$18,M891=phu!$I$19,M891=phu!$I$20,M891=phu!$I$21),"Cam Phúc Bắc",""),IF(OR(M891=phu!$I$22,M891=phu!$I$23,M891=phu!$I$24,M891=phu!$I$25),"Cam Phúc Nam",""),IF(OR(M891=phu!$I$26,M891=phu!$I$27,M891=phu!$I$28,M891=phu!$I$29,M891=phu!$I$30,M891=phu!$I$31),"Cam Phú",""),IF(OR(M891=phu!$I$32,M891=phu!$I$33,M891=phu!$I$34,M891=phu!$I$35,M891=phu!$I$36,M891=phu!$I$37),"Cam Lộc",""),IF(OR(M891=phu!$I$38,M891=phu!$I$39,M891=phu!$I$40,M891=phu!$I$41,M891=phu!$I$42,M891=phu!$I$43,M891=phu!$I$44),"Cam Thuận",""),IF(OR(M891=phu!$I$45,M891=phu!$I$46,M891=phu!$I$47,M891=phu!$I$48,M891=phu!$I$49,M891=phu!$I$50,M891=phu!$I$51,M891=phu!$I$52,M891=phu!$I$53),"Cam Linh",""),IF(OR(M891=phu!$I$54,M891=phu!$I$55,M891=phu!$I$56,M891=phu!$I$57,M891=phu!$I$58,M891=phu!$I$59,M891=phu!$I$60,M891=phu!$I$61,M891=phu!$I$62),"Cam Lợi",""),IF(OR(M891=phu!$I$63,M891=phu!$I$64,M891=phu!$I$65,M891=phu!$I$66,M891=phu!$I$67,M891=phu!$I$68,M891=phu!$I$69,M891=phu!$I$70,M891=phu!$I$71),"Ba Ngòi",""),IF(OR(M891=phu!$I$72,M891=phu!$I$73,M891=phu!$I$74,M891=phu!$I$75,M891=phu!$I$76,M891=phu!$I$77,M891=phu!$I$78),"Cam Phước Đông",""),IF(OR(M891=phu!$I$79,M891=phu!$I$80,M891=phu!$I$81,M891=phu!$I$82,M891=phu!$I$83,M891=phu!$I$84),"Cam Thịnh Đông",""),IF(OR(M891=phu!$I$85,M891=phu!$I$86,M891=phu!$I$87,M891=phu!$I$88),"Cam Thịnh Tây",""),IF(OR(M891=phu!$I$89,M891=phu!$I$90),"Cam Lập",""),IF(OR(M891=phu!$I$91,M891=phu!$I$92,M891=phu!$I$93),"Cam Bình",""),IF(OR(M891=phu!$I$94,M891=phu!$I$95,M891=phu!$I$96,M891=phu!$I$97,M891=phu!$I$98,M891=phu!$I$99,M891=phu!$I$100),"Huyện khác",""),IF(OR(M891=phu!$I$101,M891=phu!$I$102),"Tỉnh khác",""))</f>
        <v/>
      </c>
      <c r="O891" s="829" t="str">
        <f t="shared" si="78"/>
        <v/>
      </c>
      <c r="P891" s="254"/>
      <c r="Q891" s="254"/>
      <c r="R891" s="254"/>
      <c r="S891" s="254"/>
      <c r="T891" s="254"/>
      <c r="U891" s="254"/>
      <c r="V891" s="254"/>
      <c r="W891" s="254"/>
      <c r="Y891" s="246" t="str">
        <f t="shared" si="79"/>
        <v/>
      </c>
      <c r="Z891" s="247" t="str">
        <f t="shared" si="83"/>
        <v/>
      </c>
      <c r="AA891" s="246" t="str">
        <f t="shared" si="80"/>
        <v/>
      </c>
    </row>
    <row r="892" spans="1:27" x14ac:dyDescent="0.25">
      <c r="A892" s="248" t="str">
        <f t="shared" si="81"/>
        <v/>
      </c>
      <c r="B892" s="249" t="str">
        <f t="shared" si="82"/>
        <v/>
      </c>
      <c r="C892" s="250"/>
      <c r="D892" s="251"/>
      <c r="E892" s="241"/>
      <c r="F892" s="252"/>
      <c r="G892" s="252"/>
      <c r="H892" s="253"/>
      <c r="I892" s="250"/>
      <c r="J892" s="250"/>
      <c r="K892" s="270"/>
      <c r="L892" s="250"/>
      <c r="M892" s="250"/>
      <c r="N892" s="540" t="str">
        <f>CONCATENATE(IF(OR(M892=phu!$I$1,M892=phu!$I$2,M892=phu!$I$3),"Cam Thành Nam",""),IF(OR(M892=phu!$I$4,M892=phu!$I$5,M892=phu!$I$6,M892=phu!$I$7,M892=phu!$I$8,M892=phu!$I$9,M892=phu!$I$10,M892=phu!$I$11,M892=phu!$I$12,M892=phu!$I$13,M892=phu!$I$14),"Cam Nghĩa",""),IF(OR(M892=phu!$I$15,M892=phu!$I$16,M892=phu!$I$17,M892=phu!$I$18,M892=phu!$I$19,M892=phu!$I$20,M892=phu!$I$21),"Cam Phúc Bắc",""),IF(OR(M892=phu!$I$22,M892=phu!$I$23,M892=phu!$I$24,M892=phu!$I$25),"Cam Phúc Nam",""),IF(OR(M892=phu!$I$26,M892=phu!$I$27,M892=phu!$I$28,M892=phu!$I$29,M892=phu!$I$30,M892=phu!$I$31),"Cam Phú",""),IF(OR(M892=phu!$I$32,M892=phu!$I$33,M892=phu!$I$34,M892=phu!$I$35,M892=phu!$I$36,M892=phu!$I$37),"Cam Lộc",""),IF(OR(M892=phu!$I$38,M892=phu!$I$39,M892=phu!$I$40,M892=phu!$I$41,M892=phu!$I$42,M892=phu!$I$43,M892=phu!$I$44),"Cam Thuận",""),IF(OR(M892=phu!$I$45,M892=phu!$I$46,M892=phu!$I$47,M892=phu!$I$48,M892=phu!$I$49,M892=phu!$I$50,M892=phu!$I$51,M892=phu!$I$52,M892=phu!$I$53),"Cam Linh",""),IF(OR(M892=phu!$I$54,M892=phu!$I$55,M892=phu!$I$56,M892=phu!$I$57,M892=phu!$I$58,M892=phu!$I$59,M892=phu!$I$60,M892=phu!$I$61,M892=phu!$I$62),"Cam Lợi",""),IF(OR(M892=phu!$I$63,M892=phu!$I$64,M892=phu!$I$65,M892=phu!$I$66,M892=phu!$I$67,M892=phu!$I$68,M892=phu!$I$69,M892=phu!$I$70,M892=phu!$I$71),"Ba Ngòi",""),IF(OR(M892=phu!$I$72,M892=phu!$I$73,M892=phu!$I$74,M892=phu!$I$75,M892=phu!$I$76,M892=phu!$I$77,M892=phu!$I$78),"Cam Phước Đông",""),IF(OR(M892=phu!$I$79,M892=phu!$I$80,M892=phu!$I$81,M892=phu!$I$82,M892=phu!$I$83,M892=phu!$I$84),"Cam Thịnh Đông",""),IF(OR(M892=phu!$I$85,M892=phu!$I$86,M892=phu!$I$87,M892=phu!$I$88),"Cam Thịnh Tây",""),IF(OR(M892=phu!$I$89,M892=phu!$I$90),"Cam Lập",""),IF(OR(M892=phu!$I$91,M892=phu!$I$92,M892=phu!$I$93),"Cam Bình",""),IF(OR(M892=phu!$I$94,M892=phu!$I$95,M892=phu!$I$96,M892=phu!$I$97,M892=phu!$I$98,M892=phu!$I$99,M892=phu!$I$100),"Huyện khác",""),IF(OR(M892=phu!$I$101,M892=phu!$I$102),"Tỉnh khác",""))</f>
        <v/>
      </c>
      <c r="O892" s="829" t="str">
        <f t="shared" si="78"/>
        <v/>
      </c>
      <c r="P892" s="254"/>
      <c r="Q892" s="254"/>
      <c r="R892" s="254"/>
      <c r="S892" s="254"/>
      <c r="T892" s="254"/>
      <c r="U892" s="254"/>
      <c r="V892" s="254"/>
      <c r="W892" s="254"/>
      <c r="Y892" s="246" t="str">
        <f t="shared" si="79"/>
        <v/>
      </c>
      <c r="Z892" s="247" t="str">
        <f t="shared" si="83"/>
        <v/>
      </c>
      <c r="AA892" s="246" t="str">
        <f t="shared" si="80"/>
        <v/>
      </c>
    </row>
    <row r="893" spans="1:27" x14ac:dyDescent="0.25">
      <c r="A893" s="248" t="str">
        <f t="shared" si="81"/>
        <v/>
      </c>
      <c r="B893" s="249" t="str">
        <f t="shared" si="82"/>
        <v/>
      </c>
      <c r="C893" s="250"/>
      <c r="D893" s="251"/>
      <c r="E893" s="241"/>
      <c r="F893" s="252"/>
      <c r="G893" s="252"/>
      <c r="H893" s="253"/>
      <c r="I893" s="250"/>
      <c r="J893" s="250"/>
      <c r="K893" s="270"/>
      <c r="L893" s="250"/>
      <c r="M893" s="250"/>
      <c r="N893" s="540" t="str">
        <f>CONCATENATE(IF(OR(M893=phu!$I$1,M893=phu!$I$2,M893=phu!$I$3),"Cam Thành Nam",""),IF(OR(M893=phu!$I$4,M893=phu!$I$5,M893=phu!$I$6,M893=phu!$I$7,M893=phu!$I$8,M893=phu!$I$9,M893=phu!$I$10,M893=phu!$I$11,M893=phu!$I$12,M893=phu!$I$13,M893=phu!$I$14),"Cam Nghĩa",""),IF(OR(M893=phu!$I$15,M893=phu!$I$16,M893=phu!$I$17,M893=phu!$I$18,M893=phu!$I$19,M893=phu!$I$20,M893=phu!$I$21),"Cam Phúc Bắc",""),IF(OR(M893=phu!$I$22,M893=phu!$I$23,M893=phu!$I$24,M893=phu!$I$25),"Cam Phúc Nam",""),IF(OR(M893=phu!$I$26,M893=phu!$I$27,M893=phu!$I$28,M893=phu!$I$29,M893=phu!$I$30,M893=phu!$I$31),"Cam Phú",""),IF(OR(M893=phu!$I$32,M893=phu!$I$33,M893=phu!$I$34,M893=phu!$I$35,M893=phu!$I$36,M893=phu!$I$37),"Cam Lộc",""),IF(OR(M893=phu!$I$38,M893=phu!$I$39,M893=phu!$I$40,M893=phu!$I$41,M893=phu!$I$42,M893=phu!$I$43,M893=phu!$I$44),"Cam Thuận",""),IF(OR(M893=phu!$I$45,M893=phu!$I$46,M893=phu!$I$47,M893=phu!$I$48,M893=phu!$I$49,M893=phu!$I$50,M893=phu!$I$51,M893=phu!$I$52,M893=phu!$I$53),"Cam Linh",""),IF(OR(M893=phu!$I$54,M893=phu!$I$55,M893=phu!$I$56,M893=phu!$I$57,M893=phu!$I$58,M893=phu!$I$59,M893=phu!$I$60,M893=phu!$I$61,M893=phu!$I$62),"Cam Lợi",""),IF(OR(M893=phu!$I$63,M893=phu!$I$64,M893=phu!$I$65,M893=phu!$I$66,M893=phu!$I$67,M893=phu!$I$68,M893=phu!$I$69,M893=phu!$I$70,M893=phu!$I$71),"Ba Ngòi",""),IF(OR(M893=phu!$I$72,M893=phu!$I$73,M893=phu!$I$74,M893=phu!$I$75,M893=phu!$I$76,M893=phu!$I$77,M893=phu!$I$78),"Cam Phước Đông",""),IF(OR(M893=phu!$I$79,M893=phu!$I$80,M893=phu!$I$81,M893=phu!$I$82,M893=phu!$I$83,M893=phu!$I$84),"Cam Thịnh Đông",""),IF(OR(M893=phu!$I$85,M893=phu!$I$86,M893=phu!$I$87,M893=phu!$I$88),"Cam Thịnh Tây",""),IF(OR(M893=phu!$I$89,M893=phu!$I$90),"Cam Lập",""),IF(OR(M893=phu!$I$91,M893=phu!$I$92,M893=phu!$I$93),"Cam Bình",""),IF(OR(M893=phu!$I$94,M893=phu!$I$95,M893=phu!$I$96,M893=phu!$I$97,M893=phu!$I$98,M893=phu!$I$99,M893=phu!$I$100),"Huyện khác",""),IF(OR(M893=phu!$I$101,M893=phu!$I$102),"Tỉnh khác",""))</f>
        <v/>
      </c>
      <c r="O893" s="829" t="str">
        <f t="shared" si="78"/>
        <v/>
      </c>
      <c r="P893" s="254"/>
      <c r="Q893" s="254"/>
      <c r="R893" s="254"/>
      <c r="S893" s="254"/>
      <c r="T893" s="254"/>
      <c r="U893" s="254"/>
      <c r="V893" s="254"/>
      <c r="W893" s="254"/>
      <c r="Y893" s="246" t="str">
        <f t="shared" si="79"/>
        <v/>
      </c>
      <c r="Z893" s="247" t="str">
        <f t="shared" si="83"/>
        <v/>
      </c>
      <c r="AA893" s="246" t="str">
        <f t="shared" si="80"/>
        <v/>
      </c>
    </row>
    <row r="894" spans="1:27" x14ac:dyDescent="0.25">
      <c r="A894" s="248" t="str">
        <f t="shared" si="81"/>
        <v/>
      </c>
      <c r="B894" s="249" t="str">
        <f t="shared" si="82"/>
        <v/>
      </c>
      <c r="C894" s="250"/>
      <c r="D894" s="251"/>
      <c r="E894" s="241"/>
      <c r="F894" s="252"/>
      <c r="G894" s="252"/>
      <c r="H894" s="253"/>
      <c r="I894" s="250"/>
      <c r="J894" s="250"/>
      <c r="K894" s="270"/>
      <c r="L894" s="250"/>
      <c r="M894" s="250"/>
      <c r="N894" s="540" t="str">
        <f>CONCATENATE(IF(OR(M894=phu!$I$1,M894=phu!$I$2,M894=phu!$I$3),"Cam Thành Nam",""),IF(OR(M894=phu!$I$4,M894=phu!$I$5,M894=phu!$I$6,M894=phu!$I$7,M894=phu!$I$8,M894=phu!$I$9,M894=phu!$I$10,M894=phu!$I$11,M894=phu!$I$12,M894=phu!$I$13,M894=phu!$I$14),"Cam Nghĩa",""),IF(OR(M894=phu!$I$15,M894=phu!$I$16,M894=phu!$I$17,M894=phu!$I$18,M894=phu!$I$19,M894=phu!$I$20,M894=phu!$I$21),"Cam Phúc Bắc",""),IF(OR(M894=phu!$I$22,M894=phu!$I$23,M894=phu!$I$24,M894=phu!$I$25),"Cam Phúc Nam",""),IF(OR(M894=phu!$I$26,M894=phu!$I$27,M894=phu!$I$28,M894=phu!$I$29,M894=phu!$I$30,M894=phu!$I$31),"Cam Phú",""),IF(OR(M894=phu!$I$32,M894=phu!$I$33,M894=phu!$I$34,M894=phu!$I$35,M894=phu!$I$36,M894=phu!$I$37),"Cam Lộc",""),IF(OR(M894=phu!$I$38,M894=phu!$I$39,M894=phu!$I$40,M894=phu!$I$41,M894=phu!$I$42,M894=phu!$I$43,M894=phu!$I$44),"Cam Thuận",""),IF(OR(M894=phu!$I$45,M894=phu!$I$46,M894=phu!$I$47,M894=phu!$I$48,M894=phu!$I$49,M894=phu!$I$50,M894=phu!$I$51,M894=phu!$I$52,M894=phu!$I$53),"Cam Linh",""),IF(OR(M894=phu!$I$54,M894=phu!$I$55,M894=phu!$I$56,M894=phu!$I$57,M894=phu!$I$58,M894=phu!$I$59,M894=phu!$I$60,M894=phu!$I$61,M894=phu!$I$62),"Cam Lợi",""),IF(OR(M894=phu!$I$63,M894=phu!$I$64,M894=phu!$I$65,M894=phu!$I$66,M894=phu!$I$67,M894=phu!$I$68,M894=phu!$I$69,M894=phu!$I$70,M894=phu!$I$71),"Ba Ngòi",""),IF(OR(M894=phu!$I$72,M894=phu!$I$73,M894=phu!$I$74,M894=phu!$I$75,M894=phu!$I$76,M894=phu!$I$77,M894=phu!$I$78),"Cam Phước Đông",""),IF(OR(M894=phu!$I$79,M894=phu!$I$80,M894=phu!$I$81,M894=phu!$I$82,M894=phu!$I$83,M894=phu!$I$84),"Cam Thịnh Đông",""),IF(OR(M894=phu!$I$85,M894=phu!$I$86,M894=phu!$I$87,M894=phu!$I$88),"Cam Thịnh Tây",""),IF(OR(M894=phu!$I$89,M894=phu!$I$90),"Cam Lập",""),IF(OR(M894=phu!$I$91,M894=phu!$I$92,M894=phu!$I$93),"Cam Bình",""),IF(OR(M894=phu!$I$94,M894=phu!$I$95,M894=phu!$I$96,M894=phu!$I$97,M894=phu!$I$98,M894=phu!$I$99,M894=phu!$I$100),"Huyện khác",""),IF(OR(M894=phu!$I$101,M894=phu!$I$102),"Tỉnh khác",""))</f>
        <v/>
      </c>
      <c r="O894" s="829" t="str">
        <f t="shared" si="78"/>
        <v/>
      </c>
      <c r="P894" s="254"/>
      <c r="Q894" s="254"/>
      <c r="R894" s="254"/>
      <c r="S894" s="254"/>
      <c r="T894" s="254"/>
      <c r="U894" s="254"/>
      <c r="V894" s="254"/>
      <c r="W894" s="254"/>
      <c r="Y894" s="246" t="str">
        <f t="shared" si="79"/>
        <v/>
      </c>
      <c r="Z894" s="247" t="str">
        <f t="shared" si="83"/>
        <v/>
      </c>
      <c r="AA894" s="246" t="str">
        <f t="shared" si="80"/>
        <v/>
      </c>
    </row>
    <row r="895" spans="1:27" x14ac:dyDescent="0.25">
      <c r="A895" s="248" t="str">
        <f t="shared" si="81"/>
        <v/>
      </c>
      <c r="B895" s="249" t="str">
        <f t="shared" si="82"/>
        <v/>
      </c>
      <c r="C895" s="250"/>
      <c r="D895" s="251"/>
      <c r="E895" s="241"/>
      <c r="F895" s="252"/>
      <c r="G895" s="252"/>
      <c r="H895" s="253"/>
      <c r="I895" s="250"/>
      <c r="J895" s="250"/>
      <c r="K895" s="270"/>
      <c r="L895" s="250"/>
      <c r="M895" s="250"/>
      <c r="N895" s="540" t="str">
        <f>CONCATENATE(IF(OR(M895=phu!$I$1,M895=phu!$I$2,M895=phu!$I$3),"Cam Thành Nam",""),IF(OR(M895=phu!$I$4,M895=phu!$I$5,M895=phu!$I$6,M895=phu!$I$7,M895=phu!$I$8,M895=phu!$I$9,M895=phu!$I$10,M895=phu!$I$11,M895=phu!$I$12,M895=phu!$I$13,M895=phu!$I$14),"Cam Nghĩa",""),IF(OR(M895=phu!$I$15,M895=phu!$I$16,M895=phu!$I$17,M895=phu!$I$18,M895=phu!$I$19,M895=phu!$I$20,M895=phu!$I$21),"Cam Phúc Bắc",""),IF(OR(M895=phu!$I$22,M895=phu!$I$23,M895=phu!$I$24,M895=phu!$I$25),"Cam Phúc Nam",""),IF(OR(M895=phu!$I$26,M895=phu!$I$27,M895=phu!$I$28,M895=phu!$I$29,M895=phu!$I$30,M895=phu!$I$31),"Cam Phú",""),IF(OR(M895=phu!$I$32,M895=phu!$I$33,M895=phu!$I$34,M895=phu!$I$35,M895=phu!$I$36,M895=phu!$I$37),"Cam Lộc",""),IF(OR(M895=phu!$I$38,M895=phu!$I$39,M895=phu!$I$40,M895=phu!$I$41,M895=phu!$I$42,M895=phu!$I$43,M895=phu!$I$44),"Cam Thuận",""),IF(OR(M895=phu!$I$45,M895=phu!$I$46,M895=phu!$I$47,M895=phu!$I$48,M895=phu!$I$49,M895=phu!$I$50,M895=phu!$I$51,M895=phu!$I$52,M895=phu!$I$53),"Cam Linh",""),IF(OR(M895=phu!$I$54,M895=phu!$I$55,M895=phu!$I$56,M895=phu!$I$57,M895=phu!$I$58,M895=phu!$I$59,M895=phu!$I$60,M895=phu!$I$61,M895=phu!$I$62),"Cam Lợi",""),IF(OR(M895=phu!$I$63,M895=phu!$I$64,M895=phu!$I$65,M895=phu!$I$66,M895=phu!$I$67,M895=phu!$I$68,M895=phu!$I$69,M895=phu!$I$70,M895=phu!$I$71),"Ba Ngòi",""),IF(OR(M895=phu!$I$72,M895=phu!$I$73,M895=phu!$I$74,M895=phu!$I$75,M895=phu!$I$76,M895=phu!$I$77,M895=phu!$I$78),"Cam Phước Đông",""),IF(OR(M895=phu!$I$79,M895=phu!$I$80,M895=phu!$I$81,M895=phu!$I$82,M895=phu!$I$83,M895=phu!$I$84),"Cam Thịnh Đông",""),IF(OR(M895=phu!$I$85,M895=phu!$I$86,M895=phu!$I$87,M895=phu!$I$88),"Cam Thịnh Tây",""),IF(OR(M895=phu!$I$89,M895=phu!$I$90),"Cam Lập",""),IF(OR(M895=phu!$I$91,M895=phu!$I$92,M895=phu!$I$93),"Cam Bình",""),IF(OR(M895=phu!$I$94,M895=phu!$I$95,M895=phu!$I$96,M895=phu!$I$97,M895=phu!$I$98,M895=phu!$I$99,M895=phu!$I$100),"Huyện khác",""),IF(OR(M895=phu!$I$101,M895=phu!$I$102),"Tỉnh khác",""))</f>
        <v/>
      </c>
      <c r="O895" s="829" t="str">
        <f t="shared" si="78"/>
        <v/>
      </c>
      <c r="P895" s="254"/>
      <c r="Q895" s="254"/>
      <c r="R895" s="254"/>
      <c r="S895" s="254"/>
      <c r="T895" s="254"/>
      <c r="U895" s="254"/>
      <c r="V895" s="254"/>
      <c r="W895" s="254"/>
      <c r="Y895" s="246" t="str">
        <f t="shared" si="79"/>
        <v/>
      </c>
      <c r="Z895" s="247" t="str">
        <f t="shared" si="83"/>
        <v/>
      </c>
      <c r="AA895" s="246" t="str">
        <f t="shared" si="80"/>
        <v/>
      </c>
    </row>
    <row r="896" spans="1:27" x14ac:dyDescent="0.25">
      <c r="A896" s="248" t="str">
        <f t="shared" si="81"/>
        <v/>
      </c>
      <c r="B896" s="249" t="str">
        <f t="shared" si="82"/>
        <v/>
      </c>
      <c r="C896" s="250"/>
      <c r="D896" s="251"/>
      <c r="E896" s="241"/>
      <c r="F896" s="252"/>
      <c r="G896" s="252"/>
      <c r="H896" s="253"/>
      <c r="I896" s="250"/>
      <c r="J896" s="250"/>
      <c r="K896" s="270"/>
      <c r="L896" s="250"/>
      <c r="M896" s="250"/>
      <c r="N896" s="540" t="str">
        <f>CONCATENATE(IF(OR(M896=phu!$I$1,M896=phu!$I$2,M896=phu!$I$3),"Cam Thành Nam",""),IF(OR(M896=phu!$I$4,M896=phu!$I$5,M896=phu!$I$6,M896=phu!$I$7,M896=phu!$I$8,M896=phu!$I$9,M896=phu!$I$10,M896=phu!$I$11,M896=phu!$I$12,M896=phu!$I$13,M896=phu!$I$14),"Cam Nghĩa",""),IF(OR(M896=phu!$I$15,M896=phu!$I$16,M896=phu!$I$17,M896=phu!$I$18,M896=phu!$I$19,M896=phu!$I$20,M896=phu!$I$21),"Cam Phúc Bắc",""),IF(OR(M896=phu!$I$22,M896=phu!$I$23,M896=phu!$I$24,M896=phu!$I$25),"Cam Phúc Nam",""),IF(OR(M896=phu!$I$26,M896=phu!$I$27,M896=phu!$I$28,M896=phu!$I$29,M896=phu!$I$30,M896=phu!$I$31),"Cam Phú",""),IF(OR(M896=phu!$I$32,M896=phu!$I$33,M896=phu!$I$34,M896=phu!$I$35,M896=phu!$I$36,M896=phu!$I$37),"Cam Lộc",""),IF(OR(M896=phu!$I$38,M896=phu!$I$39,M896=phu!$I$40,M896=phu!$I$41,M896=phu!$I$42,M896=phu!$I$43,M896=phu!$I$44),"Cam Thuận",""),IF(OR(M896=phu!$I$45,M896=phu!$I$46,M896=phu!$I$47,M896=phu!$I$48,M896=phu!$I$49,M896=phu!$I$50,M896=phu!$I$51,M896=phu!$I$52,M896=phu!$I$53),"Cam Linh",""),IF(OR(M896=phu!$I$54,M896=phu!$I$55,M896=phu!$I$56,M896=phu!$I$57,M896=phu!$I$58,M896=phu!$I$59,M896=phu!$I$60,M896=phu!$I$61,M896=phu!$I$62),"Cam Lợi",""),IF(OR(M896=phu!$I$63,M896=phu!$I$64,M896=phu!$I$65,M896=phu!$I$66,M896=phu!$I$67,M896=phu!$I$68,M896=phu!$I$69,M896=phu!$I$70,M896=phu!$I$71),"Ba Ngòi",""),IF(OR(M896=phu!$I$72,M896=phu!$I$73,M896=phu!$I$74,M896=phu!$I$75,M896=phu!$I$76,M896=phu!$I$77,M896=phu!$I$78),"Cam Phước Đông",""),IF(OR(M896=phu!$I$79,M896=phu!$I$80,M896=phu!$I$81,M896=phu!$I$82,M896=phu!$I$83,M896=phu!$I$84),"Cam Thịnh Đông",""),IF(OR(M896=phu!$I$85,M896=phu!$I$86,M896=phu!$I$87,M896=phu!$I$88),"Cam Thịnh Tây",""),IF(OR(M896=phu!$I$89,M896=phu!$I$90),"Cam Lập",""),IF(OR(M896=phu!$I$91,M896=phu!$I$92,M896=phu!$I$93),"Cam Bình",""),IF(OR(M896=phu!$I$94,M896=phu!$I$95,M896=phu!$I$96,M896=phu!$I$97,M896=phu!$I$98,M896=phu!$I$99,M896=phu!$I$100),"Huyện khác",""),IF(OR(M896=phu!$I$101,M896=phu!$I$102),"Tỉnh khác",""))</f>
        <v/>
      </c>
      <c r="O896" s="829" t="str">
        <f t="shared" si="78"/>
        <v/>
      </c>
      <c r="P896" s="254"/>
      <c r="Q896" s="254"/>
      <c r="R896" s="254"/>
      <c r="S896" s="254"/>
      <c r="T896" s="254"/>
      <c r="U896" s="254"/>
      <c r="V896" s="254"/>
      <c r="W896" s="254"/>
      <c r="Y896" s="246" t="str">
        <f t="shared" si="79"/>
        <v/>
      </c>
      <c r="Z896" s="247" t="str">
        <f t="shared" si="83"/>
        <v/>
      </c>
      <c r="AA896" s="246" t="str">
        <f t="shared" si="80"/>
        <v/>
      </c>
    </row>
    <row r="897" spans="1:27" x14ac:dyDescent="0.25">
      <c r="A897" s="248" t="str">
        <f t="shared" si="81"/>
        <v/>
      </c>
      <c r="B897" s="249" t="str">
        <f t="shared" si="82"/>
        <v/>
      </c>
      <c r="C897" s="250"/>
      <c r="D897" s="251"/>
      <c r="E897" s="241"/>
      <c r="F897" s="252"/>
      <c r="G897" s="252"/>
      <c r="H897" s="253"/>
      <c r="I897" s="250"/>
      <c r="J897" s="250"/>
      <c r="K897" s="270"/>
      <c r="L897" s="250"/>
      <c r="M897" s="250"/>
      <c r="N897" s="540" t="str">
        <f>CONCATENATE(IF(OR(M897=phu!$I$1,M897=phu!$I$2,M897=phu!$I$3),"Cam Thành Nam",""),IF(OR(M897=phu!$I$4,M897=phu!$I$5,M897=phu!$I$6,M897=phu!$I$7,M897=phu!$I$8,M897=phu!$I$9,M897=phu!$I$10,M897=phu!$I$11,M897=phu!$I$12,M897=phu!$I$13,M897=phu!$I$14),"Cam Nghĩa",""),IF(OR(M897=phu!$I$15,M897=phu!$I$16,M897=phu!$I$17,M897=phu!$I$18,M897=phu!$I$19,M897=phu!$I$20,M897=phu!$I$21),"Cam Phúc Bắc",""),IF(OR(M897=phu!$I$22,M897=phu!$I$23,M897=phu!$I$24,M897=phu!$I$25),"Cam Phúc Nam",""),IF(OR(M897=phu!$I$26,M897=phu!$I$27,M897=phu!$I$28,M897=phu!$I$29,M897=phu!$I$30,M897=phu!$I$31),"Cam Phú",""),IF(OR(M897=phu!$I$32,M897=phu!$I$33,M897=phu!$I$34,M897=phu!$I$35,M897=phu!$I$36,M897=phu!$I$37),"Cam Lộc",""),IF(OR(M897=phu!$I$38,M897=phu!$I$39,M897=phu!$I$40,M897=phu!$I$41,M897=phu!$I$42,M897=phu!$I$43,M897=phu!$I$44),"Cam Thuận",""),IF(OR(M897=phu!$I$45,M897=phu!$I$46,M897=phu!$I$47,M897=phu!$I$48,M897=phu!$I$49,M897=phu!$I$50,M897=phu!$I$51,M897=phu!$I$52,M897=phu!$I$53),"Cam Linh",""),IF(OR(M897=phu!$I$54,M897=phu!$I$55,M897=phu!$I$56,M897=phu!$I$57,M897=phu!$I$58,M897=phu!$I$59,M897=phu!$I$60,M897=phu!$I$61,M897=phu!$I$62),"Cam Lợi",""),IF(OR(M897=phu!$I$63,M897=phu!$I$64,M897=phu!$I$65,M897=phu!$I$66,M897=phu!$I$67,M897=phu!$I$68,M897=phu!$I$69,M897=phu!$I$70,M897=phu!$I$71),"Ba Ngòi",""),IF(OR(M897=phu!$I$72,M897=phu!$I$73,M897=phu!$I$74,M897=phu!$I$75,M897=phu!$I$76,M897=phu!$I$77,M897=phu!$I$78),"Cam Phước Đông",""),IF(OR(M897=phu!$I$79,M897=phu!$I$80,M897=phu!$I$81,M897=phu!$I$82,M897=phu!$I$83,M897=phu!$I$84),"Cam Thịnh Đông",""),IF(OR(M897=phu!$I$85,M897=phu!$I$86,M897=phu!$I$87,M897=phu!$I$88),"Cam Thịnh Tây",""),IF(OR(M897=phu!$I$89,M897=phu!$I$90),"Cam Lập",""),IF(OR(M897=phu!$I$91,M897=phu!$I$92,M897=phu!$I$93),"Cam Bình",""),IF(OR(M897=phu!$I$94,M897=phu!$I$95,M897=phu!$I$96,M897=phu!$I$97,M897=phu!$I$98,M897=phu!$I$99,M897=phu!$I$100),"Huyện khác",""),IF(OR(M897=phu!$I$101,M897=phu!$I$102),"Tỉnh khác",""))</f>
        <v/>
      </c>
      <c r="O897" s="829" t="str">
        <f t="shared" si="78"/>
        <v/>
      </c>
      <c r="P897" s="254"/>
      <c r="Q897" s="254"/>
      <c r="R897" s="254"/>
      <c r="S897" s="254"/>
      <c r="T897" s="254"/>
      <c r="U897" s="254"/>
      <c r="V897" s="254"/>
      <c r="W897" s="254"/>
      <c r="Y897" s="246" t="str">
        <f t="shared" si="79"/>
        <v/>
      </c>
      <c r="Z897" s="247" t="str">
        <f t="shared" si="83"/>
        <v/>
      </c>
      <c r="AA897" s="246" t="str">
        <f t="shared" si="80"/>
        <v/>
      </c>
    </row>
    <row r="898" spans="1:27" x14ac:dyDescent="0.25">
      <c r="A898" s="248" t="str">
        <f t="shared" si="81"/>
        <v/>
      </c>
      <c r="B898" s="249" t="str">
        <f t="shared" si="82"/>
        <v/>
      </c>
      <c r="C898" s="250"/>
      <c r="D898" s="251"/>
      <c r="E898" s="241"/>
      <c r="F898" s="252"/>
      <c r="G898" s="252"/>
      <c r="H898" s="253"/>
      <c r="I898" s="250"/>
      <c r="J898" s="250"/>
      <c r="K898" s="270"/>
      <c r="L898" s="250"/>
      <c r="M898" s="250"/>
      <c r="N898" s="540" t="str">
        <f>CONCATENATE(IF(OR(M898=phu!$I$1,M898=phu!$I$2,M898=phu!$I$3),"Cam Thành Nam",""),IF(OR(M898=phu!$I$4,M898=phu!$I$5,M898=phu!$I$6,M898=phu!$I$7,M898=phu!$I$8,M898=phu!$I$9,M898=phu!$I$10,M898=phu!$I$11,M898=phu!$I$12,M898=phu!$I$13,M898=phu!$I$14),"Cam Nghĩa",""),IF(OR(M898=phu!$I$15,M898=phu!$I$16,M898=phu!$I$17,M898=phu!$I$18,M898=phu!$I$19,M898=phu!$I$20,M898=phu!$I$21),"Cam Phúc Bắc",""),IF(OR(M898=phu!$I$22,M898=phu!$I$23,M898=phu!$I$24,M898=phu!$I$25),"Cam Phúc Nam",""),IF(OR(M898=phu!$I$26,M898=phu!$I$27,M898=phu!$I$28,M898=phu!$I$29,M898=phu!$I$30,M898=phu!$I$31),"Cam Phú",""),IF(OR(M898=phu!$I$32,M898=phu!$I$33,M898=phu!$I$34,M898=phu!$I$35,M898=phu!$I$36,M898=phu!$I$37),"Cam Lộc",""),IF(OR(M898=phu!$I$38,M898=phu!$I$39,M898=phu!$I$40,M898=phu!$I$41,M898=phu!$I$42,M898=phu!$I$43,M898=phu!$I$44),"Cam Thuận",""),IF(OR(M898=phu!$I$45,M898=phu!$I$46,M898=phu!$I$47,M898=phu!$I$48,M898=phu!$I$49,M898=phu!$I$50,M898=phu!$I$51,M898=phu!$I$52,M898=phu!$I$53),"Cam Linh",""),IF(OR(M898=phu!$I$54,M898=phu!$I$55,M898=phu!$I$56,M898=phu!$I$57,M898=phu!$I$58,M898=phu!$I$59,M898=phu!$I$60,M898=phu!$I$61,M898=phu!$I$62),"Cam Lợi",""),IF(OR(M898=phu!$I$63,M898=phu!$I$64,M898=phu!$I$65,M898=phu!$I$66,M898=phu!$I$67,M898=phu!$I$68,M898=phu!$I$69,M898=phu!$I$70,M898=phu!$I$71),"Ba Ngòi",""),IF(OR(M898=phu!$I$72,M898=phu!$I$73,M898=phu!$I$74,M898=phu!$I$75,M898=phu!$I$76,M898=phu!$I$77,M898=phu!$I$78),"Cam Phước Đông",""),IF(OR(M898=phu!$I$79,M898=phu!$I$80,M898=phu!$I$81,M898=phu!$I$82,M898=phu!$I$83,M898=phu!$I$84),"Cam Thịnh Đông",""),IF(OR(M898=phu!$I$85,M898=phu!$I$86,M898=phu!$I$87,M898=phu!$I$88),"Cam Thịnh Tây",""),IF(OR(M898=phu!$I$89,M898=phu!$I$90),"Cam Lập",""),IF(OR(M898=phu!$I$91,M898=phu!$I$92,M898=phu!$I$93),"Cam Bình",""),IF(OR(M898=phu!$I$94,M898=phu!$I$95,M898=phu!$I$96,M898=phu!$I$97,M898=phu!$I$98,M898=phu!$I$99,M898=phu!$I$100),"Huyện khác",""),IF(OR(M898=phu!$I$101,M898=phu!$I$102),"Tỉnh khác",""))</f>
        <v/>
      </c>
      <c r="O898" s="829" t="str">
        <f t="shared" si="78"/>
        <v/>
      </c>
      <c r="P898" s="254"/>
      <c r="Q898" s="254"/>
      <c r="R898" s="254"/>
      <c r="S898" s="254"/>
      <c r="T898" s="254"/>
      <c r="U898" s="254"/>
      <c r="V898" s="254"/>
      <c r="W898" s="254"/>
      <c r="Y898" s="246" t="str">
        <f t="shared" si="79"/>
        <v/>
      </c>
      <c r="Z898" s="247" t="str">
        <f t="shared" si="83"/>
        <v/>
      </c>
      <c r="AA898" s="246" t="str">
        <f t="shared" si="80"/>
        <v/>
      </c>
    </row>
    <row r="899" spans="1:27" x14ac:dyDescent="0.25">
      <c r="A899" s="248" t="str">
        <f t="shared" si="81"/>
        <v/>
      </c>
      <c r="B899" s="249" t="str">
        <f t="shared" si="82"/>
        <v/>
      </c>
      <c r="C899" s="250"/>
      <c r="D899" s="251"/>
      <c r="E899" s="241"/>
      <c r="F899" s="252"/>
      <c r="G899" s="252"/>
      <c r="H899" s="253"/>
      <c r="I899" s="250"/>
      <c r="J899" s="250"/>
      <c r="K899" s="270"/>
      <c r="L899" s="250"/>
      <c r="M899" s="250"/>
      <c r="N899" s="540" t="str">
        <f>CONCATENATE(IF(OR(M899=phu!$I$1,M899=phu!$I$2,M899=phu!$I$3),"Cam Thành Nam",""),IF(OR(M899=phu!$I$4,M899=phu!$I$5,M899=phu!$I$6,M899=phu!$I$7,M899=phu!$I$8,M899=phu!$I$9,M899=phu!$I$10,M899=phu!$I$11,M899=phu!$I$12,M899=phu!$I$13,M899=phu!$I$14),"Cam Nghĩa",""),IF(OR(M899=phu!$I$15,M899=phu!$I$16,M899=phu!$I$17,M899=phu!$I$18,M899=phu!$I$19,M899=phu!$I$20,M899=phu!$I$21),"Cam Phúc Bắc",""),IF(OR(M899=phu!$I$22,M899=phu!$I$23,M899=phu!$I$24,M899=phu!$I$25),"Cam Phúc Nam",""),IF(OR(M899=phu!$I$26,M899=phu!$I$27,M899=phu!$I$28,M899=phu!$I$29,M899=phu!$I$30,M899=phu!$I$31),"Cam Phú",""),IF(OR(M899=phu!$I$32,M899=phu!$I$33,M899=phu!$I$34,M899=phu!$I$35,M899=phu!$I$36,M899=phu!$I$37),"Cam Lộc",""),IF(OR(M899=phu!$I$38,M899=phu!$I$39,M899=phu!$I$40,M899=phu!$I$41,M899=phu!$I$42,M899=phu!$I$43,M899=phu!$I$44),"Cam Thuận",""),IF(OR(M899=phu!$I$45,M899=phu!$I$46,M899=phu!$I$47,M899=phu!$I$48,M899=phu!$I$49,M899=phu!$I$50,M899=phu!$I$51,M899=phu!$I$52,M899=phu!$I$53),"Cam Linh",""),IF(OR(M899=phu!$I$54,M899=phu!$I$55,M899=phu!$I$56,M899=phu!$I$57,M899=phu!$I$58,M899=phu!$I$59,M899=phu!$I$60,M899=phu!$I$61,M899=phu!$I$62),"Cam Lợi",""),IF(OR(M899=phu!$I$63,M899=phu!$I$64,M899=phu!$I$65,M899=phu!$I$66,M899=phu!$I$67,M899=phu!$I$68,M899=phu!$I$69,M899=phu!$I$70,M899=phu!$I$71),"Ba Ngòi",""),IF(OR(M899=phu!$I$72,M899=phu!$I$73,M899=phu!$I$74,M899=phu!$I$75,M899=phu!$I$76,M899=phu!$I$77,M899=phu!$I$78),"Cam Phước Đông",""),IF(OR(M899=phu!$I$79,M899=phu!$I$80,M899=phu!$I$81,M899=phu!$I$82,M899=phu!$I$83,M899=phu!$I$84),"Cam Thịnh Đông",""),IF(OR(M899=phu!$I$85,M899=phu!$I$86,M899=phu!$I$87,M899=phu!$I$88),"Cam Thịnh Tây",""),IF(OR(M899=phu!$I$89,M899=phu!$I$90),"Cam Lập",""),IF(OR(M899=phu!$I$91,M899=phu!$I$92,M899=phu!$I$93),"Cam Bình",""),IF(OR(M899=phu!$I$94,M899=phu!$I$95,M899=phu!$I$96,M899=phu!$I$97,M899=phu!$I$98,M899=phu!$I$99,M899=phu!$I$100),"Huyện khác",""),IF(OR(M899=phu!$I$101,M899=phu!$I$102),"Tỉnh khác",""))</f>
        <v/>
      </c>
      <c r="O899" s="829" t="str">
        <f t="shared" si="78"/>
        <v/>
      </c>
      <c r="P899" s="254"/>
      <c r="Q899" s="254"/>
      <c r="R899" s="254"/>
      <c r="S899" s="254"/>
      <c r="T899" s="254"/>
      <c r="U899" s="254"/>
      <c r="V899" s="254"/>
      <c r="W899" s="254"/>
      <c r="Y899" s="246" t="str">
        <f t="shared" si="79"/>
        <v/>
      </c>
      <c r="Z899" s="247" t="str">
        <f t="shared" si="83"/>
        <v/>
      </c>
      <c r="AA899" s="246" t="str">
        <f t="shared" si="80"/>
        <v/>
      </c>
    </row>
    <row r="900" spans="1:27" x14ac:dyDescent="0.25">
      <c r="A900" s="248" t="str">
        <f t="shared" si="81"/>
        <v/>
      </c>
      <c r="B900" s="249" t="str">
        <f t="shared" si="82"/>
        <v/>
      </c>
      <c r="C900" s="250"/>
      <c r="D900" s="251"/>
      <c r="E900" s="241"/>
      <c r="F900" s="252"/>
      <c r="G900" s="252"/>
      <c r="H900" s="253"/>
      <c r="I900" s="250"/>
      <c r="J900" s="250"/>
      <c r="K900" s="270"/>
      <c r="L900" s="250"/>
      <c r="M900" s="250"/>
      <c r="N900" s="540" t="str">
        <f>CONCATENATE(IF(OR(M900=phu!$I$1,M900=phu!$I$2,M900=phu!$I$3),"Cam Thành Nam",""),IF(OR(M900=phu!$I$4,M900=phu!$I$5,M900=phu!$I$6,M900=phu!$I$7,M900=phu!$I$8,M900=phu!$I$9,M900=phu!$I$10,M900=phu!$I$11,M900=phu!$I$12,M900=phu!$I$13,M900=phu!$I$14),"Cam Nghĩa",""),IF(OR(M900=phu!$I$15,M900=phu!$I$16,M900=phu!$I$17,M900=phu!$I$18,M900=phu!$I$19,M900=phu!$I$20,M900=phu!$I$21),"Cam Phúc Bắc",""),IF(OR(M900=phu!$I$22,M900=phu!$I$23,M900=phu!$I$24,M900=phu!$I$25),"Cam Phúc Nam",""),IF(OR(M900=phu!$I$26,M900=phu!$I$27,M900=phu!$I$28,M900=phu!$I$29,M900=phu!$I$30,M900=phu!$I$31),"Cam Phú",""),IF(OR(M900=phu!$I$32,M900=phu!$I$33,M900=phu!$I$34,M900=phu!$I$35,M900=phu!$I$36,M900=phu!$I$37),"Cam Lộc",""),IF(OR(M900=phu!$I$38,M900=phu!$I$39,M900=phu!$I$40,M900=phu!$I$41,M900=phu!$I$42,M900=phu!$I$43,M900=phu!$I$44),"Cam Thuận",""),IF(OR(M900=phu!$I$45,M900=phu!$I$46,M900=phu!$I$47,M900=phu!$I$48,M900=phu!$I$49,M900=phu!$I$50,M900=phu!$I$51,M900=phu!$I$52,M900=phu!$I$53),"Cam Linh",""),IF(OR(M900=phu!$I$54,M900=phu!$I$55,M900=phu!$I$56,M900=phu!$I$57,M900=phu!$I$58,M900=phu!$I$59,M900=phu!$I$60,M900=phu!$I$61,M900=phu!$I$62),"Cam Lợi",""),IF(OR(M900=phu!$I$63,M900=phu!$I$64,M900=phu!$I$65,M900=phu!$I$66,M900=phu!$I$67,M900=phu!$I$68,M900=phu!$I$69,M900=phu!$I$70,M900=phu!$I$71),"Ba Ngòi",""),IF(OR(M900=phu!$I$72,M900=phu!$I$73,M900=phu!$I$74,M900=phu!$I$75,M900=phu!$I$76,M900=phu!$I$77,M900=phu!$I$78),"Cam Phước Đông",""),IF(OR(M900=phu!$I$79,M900=phu!$I$80,M900=phu!$I$81,M900=phu!$I$82,M900=phu!$I$83,M900=phu!$I$84),"Cam Thịnh Đông",""),IF(OR(M900=phu!$I$85,M900=phu!$I$86,M900=phu!$I$87,M900=phu!$I$88),"Cam Thịnh Tây",""),IF(OR(M900=phu!$I$89,M900=phu!$I$90),"Cam Lập",""),IF(OR(M900=phu!$I$91,M900=phu!$I$92,M900=phu!$I$93),"Cam Bình",""),IF(OR(M900=phu!$I$94,M900=phu!$I$95,M900=phu!$I$96,M900=phu!$I$97,M900=phu!$I$98,M900=phu!$I$99,M900=phu!$I$100),"Huyện khác",""),IF(OR(M900=phu!$I$101,M900=phu!$I$102),"Tỉnh khác",""))</f>
        <v/>
      </c>
      <c r="O900" s="829" t="str">
        <f t="shared" si="78"/>
        <v/>
      </c>
      <c r="P900" s="254"/>
      <c r="Q900" s="254"/>
      <c r="R900" s="254"/>
      <c r="S900" s="254"/>
      <c r="T900" s="254"/>
      <c r="U900" s="254"/>
      <c r="V900" s="254"/>
      <c r="W900" s="254"/>
      <c r="Y900" s="246" t="str">
        <f t="shared" si="79"/>
        <v/>
      </c>
      <c r="Z900" s="247" t="str">
        <f t="shared" si="83"/>
        <v/>
      </c>
      <c r="AA900" s="246" t="str">
        <f t="shared" si="80"/>
        <v/>
      </c>
    </row>
    <row r="901" spans="1:27" x14ac:dyDescent="0.25">
      <c r="A901" s="248" t="str">
        <f t="shared" si="81"/>
        <v/>
      </c>
      <c r="B901" s="249" t="str">
        <f t="shared" si="82"/>
        <v/>
      </c>
      <c r="C901" s="250"/>
      <c r="D901" s="251"/>
      <c r="E901" s="241"/>
      <c r="F901" s="252"/>
      <c r="G901" s="252"/>
      <c r="H901" s="253"/>
      <c r="I901" s="250"/>
      <c r="J901" s="250"/>
      <c r="K901" s="270"/>
      <c r="L901" s="250"/>
      <c r="M901" s="250"/>
      <c r="N901" s="540" t="str">
        <f>CONCATENATE(IF(OR(M901=phu!$I$1,M901=phu!$I$2,M901=phu!$I$3),"Cam Thành Nam",""),IF(OR(M901=phu!$I$4,M901=phu!$I$5,M901=phu!$I$6,M901=phu!$I$7,M901=phu!$I$8,M901=phu!$I$9,M901=phu!$I$10,M901=phu!$I$11,M901=phu!$I$12,M901=phu!$I$13,M901=phu!$I$14),"Cam Nghĩa",""),IF(OR(M901=phu!$I$15,M901=phu!$I$16,M901=phu!$I$17,M901=phu!$I$18,M901=phu!$I$19,M901=phu!$I$20,M901=phu!$I$21),"Cam Phúc Bắc",""),IF(OR(M901=phu!$I$22,M901=phu!$I$23,M901=phu!$I$24,M901=phu!$I$25),"Cam Phúc Nam",""),IF(OR(M901=phu!$I$26,M901=phu!$I$27,M901=phu!$I$28,M901=phu!$I$29,M901=phu!$I$30,M901=phu!$I$31),"Cam Phú",""),IF(OR(M901=phu!$I$32,M901=phu!$I$33,M901=phu!$I$34,M901=phu!$I$35,M901=phu!$I$36,M901=phu!$I$37),"Cam Lộc",""),IF(OR(M901=phu!$I$38,M901=phu!$I$39,M901=phu!$I$40,M901=phu!$I$41,M901=phu!$I$42,M901=phu!$I$43,M901=phu!$I$44),"Cam Thuận",""),IF(OR(M901=phu!$I$45,M901=phu!$I$46,M901=phu!$I$47,M901=phu!$I$48,M901=phu!$I$49,M901=phu!$I$50,M901=phu!$I$51,M901=phu!$I$52,M901=phu!$I$53),"Cam Linh",""),IF(OR(M901=phu!$I$54,M901=phu!$I$55,M901=phu!$I$56,M901=phu!$I$57,M901=phu!$I$58,M901=phu!$I$59,M901=phu!$I$60,M901=phu!$I$61,M901=phu!$I$62),"Cam Lợi",""),IF(OR(M901=phu!$I$63,M901=phu!$I$64,M901=phu!$I$65,M901=phu!$I$66,M901=phu!$I$67,M901=phu!$I$68,M901=phu!$I$69,M901=phu!$I$70,M901=phu!$I$71),"Ba Ngòi",""),IF(OR(M901=phu!$I$72,M901=phu!$I$73,M901=phu!$I$74,M901=phu!$I$75,M901=phu!$I$76,M901=phu!$I$77,M901=phu!$I$78),"Cam Phước Đông",""),IF(OR(M901=phu!$I$79,M901=phu!$I$80,M901=phu!$I$81,M901=phu!$I$82,M901=phu!$I$83,M901=phu!$I$84),"Cam Thịnh Đông",""),IF(OR(M901=phu!$I$85,M901=phu!$I$86,M901=phu!$I$87,M901=phu!$I$88),"Cam Thịnh Tây",""),IF(OR(M901=phu!$I$89,M901=phu!$I$90),"Cam Lập",""),IF(OR(M901=phu!$I$91,M901=phu!$I$92,M901=phu!$I$93),"Cam Bình",""),IF(OR(M901=phu!$I$94,M901=phu!$I$95,M901=phu!$I$96,M901=phu!$I$97,M901=phu!$I$98,M901=phu!$I$99,M901=phu!$I$100),"Huyện khác",""),IF(OR(M901=phu!$I$101,M901=phu!$I$102),"Tỉnh khác",""))</f>
        <v/>
      </c>
      <c r="O901" s="829" t="str">
        <f t="shared" si="78"/>
        <v/>
      </c>
      <c r="P901" s="254"/>
      <c r="Q901" s="254"/>
      <c r="R901" s="254"/>
      <c r="S901" s="254"/>
      <c r="T901" s="254"/>
      <c r="U901" s="254"/>
      <c r="V901" s="254"/>
      <c r="W901" s="254"/>
      <c r="Y901" s="246" t="str">
        <f t="shared" si="79"/>
        <v/>
      </c>
      <c r="Z901" s="247" t="str">
        <f t="shared" si="83"/>
        <v/>
      </c>
      <c r="AA901" s="246" t="str">
        <f t="shared" si="80"/>
        <v/>
      </c>
    </row>
    <row r="902" spans="1:27" x14ac:dyDescent="0.25">
      <c r="A902" s="248" t="str">
        <f t="shared" si="81"/>
        <v/>
      </c>
      <c r="B902" s="249" t="str">
        <f t="shared" si="82"/>
        <v/>
      </c>
      <c r="C902" s="250"/>
      <c r="D902" s="251"/>
      <c r="E902" s="241"/>
      <c r="F902" s="252"/>
      <c r="G902" s="252"/>
      <c r="H902" s="253"/>
      <c r="I902" s="250"/>
      <c r="J902" s="250"/>
      <c r="K902" s="270"/>
      <c r="L902" s="250"/>
      <c r="M902" s="250"/>
      <c r="N902" s="540" t="str">
        <f>CONCATENATE(IF(OR(M902=phu!$I$1,M902=phu!$I$2,M902=phu!$I$3),"Cam Thành Nam",""),IF(OR(M902=phu!$I$4,M902=phu!$I$5,M902=phu!$I$6,M902=phu!$I$7,M902=phu!$I$8,M902=phu!$I$9,M902=phu!$I$10,M902=phu!$I$11,M902=phu!$I$12,M902=phu!$I$13,M902=phu!$I$14),"Cam Nghĩa",""),IF(OR(M902=phu!$I$15,M902=phu!$I$16,M902=phu!$I$17,M902=phu!$I$18,M902=phu!$I$19,M902=phu!$I$20,M902=phu!$I$21),"Cam Phúc Bắc",""),IF(OR(M902=phu!$I$22,M902=phu!$I$23,M902=phu!$I$24,M902=phu!$I$25),"Cam Phúc Nam",""),IF(OR(M902=phu!$I$26,M902=phu!$I$27,M902=phu!$I$28,M902=phu!$I$29,M902=phu!$I$30,M902=phu!$I$31),"Cam Phú",""),IF(OR(M902=phu!$I$32,M902=phu!$I$33,M902=phu!$I$34,M902=phu!$I$35,M902=phu!$I$36,M902=phu!$I$37),"Cam Lộc",""),IF(OR(M902=phu!$I$38,M902=phu!$I$39,M902=phu!$I$40,M902=phu!$I$41,M902=phu!$I$42,M902=phu!$I$43,M902=phu!$I$44),"Cam Thuận",""),IF(OR(M902=phu!$I$45,M902=phu!$I$46,M902=phu!$I$47,M902=phu!$I$48,M902=phu!$I$49,M902=phu!$I$50,M902=phu!$I$51,M902=phu!$I$52,M902=phu!$I$53),"Cam Linh",""),IF(OR(M902=phu!$I$54,M902=phu!$I$55,M902=phu!$I$56,M902=phu!$I$57,M902=phu!$I$58,M902=phu!$I$59,M902=phu!$I$60,M902=phu!$I$61,M902=phu!$I$62),"Cam Lợi",""),IF(OR(M902=phu!$I$63,M902=phu!$I$64,M902=phu!$I$65,M902=phu!$I$66,M902=phu!$I$67,M902=phu!$I$68,M902=phu!$I$69,M902=phu!$I$70,M902=phu!$I$71),"Ba Ngòi",""),IF(OR(M902=phu!$I$72,M902=phu!$I$73,M902=phu!$I$74,M902=phu!$I$75,M902=phu!$I$76,M902=phu!$I$77,M902=phu!$I$78),"Cam Phước Đông",""),IF(OR(M902=phu!$I$79,M902=phu!$I$80,M902=phu!$I$81,M902=phu!$I$82,M902=phu!$I$83,M902=phu!$I$84),"Cam Thịnh Đông",""),IF(OR(M902=phu!$I$85,M902=phu!$I$86,M902=phu!$I$87,M902=phu!$I$88),"Cam Thịnh Tây",""),IF(OR(M902=phu!$I$89,M902=phu!$I$90),"Cam Lập",""),IF(OR(M902=phu!$I$91,M902=phu!$I$92,M902=phu!$I$93),"Cam Bình",""),IF(OR(M902=phu!$I$94,M902=phu!$I$95,M902=phu!$I$96,M902=phu!$I$97,M902=phu!$I$98,M902=phu!$I$99,M902=phu!$I$100),"Huyện khác",""),IF(OR(M902=phu!$I$101,M902=phu!$I$102),"Tỉnh khác",""))</f>
        <v/>
      </c>
      <c r="O902" s="829" t="str">
        <f t="shared" si="78"/>
        <v/>
      </c>
      <c r="P902" s="254"/>
      <c r="Q902" s="254"/>
      <c r="R902" s="254"/>
      <c r="S902" s="254"/>
      <c r="T902" s="254"/>
      <c r="U902" s="254"/>
      <c r="V902" s="254"/>
      <c r="W902" s="254"/>
      <c r="Y902" s="246" t="str">
        <f t="shared" si="79"/>
        <v/>
      </c>
      <c r="Z902" s="247" t="str">
        <f t="shared" si="83"/>
        <v/>
      </c>
      <c r="AA902" s="246" t="str">
        <f t="shared" si="80"/>
        <v/>
      </c>
    </row>
    <row r="903" spans="1:27" x14ac:dyDescent="0.25">
      <c r="A903" s="248" t="str">
        <f t="shared" si="81"/>
        <v/>
      </c>
      <c r="B903" s="249" t="str">
        <f t="shared" si="82"/>
        <v/>
      </c>
      <c r="C903" s="250"/>
      <c r="D903" s="251"/>
      <c r="E903" s="241"/>
      <c r="F903" s="252"/>
      <c r="G903" s="252"/>
      <c r="H903" s="253"/>
      <c r="I903" s="250"/>
      <c r="J903" s="250"/>
      <c r="K903" s="270"/>
      <c r="L903" s="250"/>
      <c r="M903" s="250"/>
      <c r="N903" s="540" t="str">
        <f>CONCATENATE(IF(OR(M903=phu!$I$1,M903=phu!$I$2,M903=phu!$I$3),"Cam Thành Nam",""),IF(OR(M903=phu!$I$4,M903=phu!$I$5,M903=phu!$I$6,M903=phu!$I$7,M903=phu!$I$8,M903=phu!$I$9,M903=phu!$I$10,M903=phu!$I$11,M903=phu!$I$12,M903=phu!$I$13,M903=phu!$I$14),"Cam Nghĩa",""),IF(OR(M903=phu!$I$15,M903=phu!$I$16,M903=phu!$I$17,M903=phu!$I$18,M903=phu!$I$19,M903=phu!$I$20,M903=phu!$I$21),"Cam Phúc Bắc",""),IF(OR(M903=phu!$I$22,M903=phu!$I$23,M903=phu!$I$24,M903=phu!$I$25),"Cam Phúc Nam",""),IF(OR(M903=phu!$I$26,M903=phu!$I$27,M903=phu!$I$28,M903=phu!$I$29,M903=phu!$I$30,M903=phu!$I$31),"Cam Phú",""),IF(OR(M903=phu!$I$32,M903=phu!$I$33,M903=phu!$I$34,M903=phu!$I$35,M903=phu!$I$36,M903=phu!$I$37),"Cam Lộc",""),IF(OR(M903=phu!$I$38,M903=phu!$I$39,M903=phu!$I$40,M903=phu!$I$41,M903=phu!$I$42,M903=phu!$I$43,M903=phu!$I$44),"Cam Thuận",""),IF(OR(M903=phu!$I$45,M903=phu!$I$46,M903=phu!$I$47,M903=phu!$I$48,M903=phu!$I$49,M903=phu!$I$50,M903=phu!$I$51,M903=phu!$I$52,M903=phu!$I$53),"Cam Linh",""),IF(OR(M903=phu!$I$54,M903=phu!$I$55,M903=phu!$I$56,M903=phu!$I$57,M903=phu!$I$58,M903=phu!$I$59,M903=phu!$I$60,M903=phu!$I$61,M903=phu!$I$62),"Cam Lợi",""),IF(OR(M903=phu!$I$63,M903=phu!$I$64,M903=phu!$I$65,M903=phu!$I$66,M903=phu!$I$67,M903=phu!$I$68,M903=phu!$I$69,M903=phu!$I$70,M903=phu!$I$71),"Ba Ngòi",""),IF(OR(M903=phu!$I$72,M903=phu!$I$73,M903=phu!$I$74,M903=phu!$I$75,M903=phu!$I$76,M903=phu!$I$77,M903=phu!$I$78),"Cam Phước Đông",""),IF(OR(M903=phu!$I$79,M903=phu!$I$80,M903=phu!$I$81,M903=phu!$I$82,M903=phu!$I$83,M903=phu!$I$84),"Cam Thịnh Đông",""),IF(OR(M903=phu!$I$85,M903=phu!$I$86,M903=phu!$I$87,M903=phu!$I$88),"Cam Thịnh Tây",""),IF(OR(M903=phu!$I$89,M903=phu!$I$90),"Cam Lập",""),IF(OR(M903=phu!$I$91,M903=phu!$I$92,M903=phu!$I$93),"Cam Bình",""),IF(OR(M903=phu!$I$94,M903=phu!$I$95,M903=phu!$I$96,M903=phu!$I$97,M903=phu!$I$98,M903=phu!$I$99,M903=phu!$I$100),"Huyện khác",""),IF(OR(M903=phu!$I$101,M903=phu!$I$102),"Tỉnh khác",""))</f>
        <v/>
      </c>
      <c r="O903" s="829" t="str">
        <f t="shared" ref="O903:O966" si="84">CONCATENATE(IF(OR(N903="Cam Thành Nam",N903="Cam Nghĩa",N903="Cam Phúc Bắc"),"Bắc Cam Ranh",""),IF(OR(N903="Cam Phúc Nam",N903="Cam Phú",N903="Cam Lộc"),"Cam Ranh",""),IF(OR(N903="Cam Thuận",N903="Cam Linh",N903="Cam Lợi"),"Cam Linh",""),IF(OR(N903="Ba Ngòi",N903="Cam Phước Đông"),"Ba Ngòi",""),IF(OR(N903="Cam Thịnh Đông",N903="Cam Thịnh Tây",N903="Cam Lập",N903="Cam Bình"),"Nam Cam Ranh",""),IF(N903="Huyện khác","Huyện khác",""),IF(N903="Tỉnh khác","Tỉnh khác",""))</f>
        <v/>
      </c>
      <c r="P903" s="254"/>
      <c r="Q903" s="254"/>
      <c r="R903" s="254"/>
      <c r="S903" s="254"/>
      <c r="T903" s="254"/>
      <c r="U903" s="254"/>
      <c r="V903" s="254"/>
      <c r="W903" s="254"/>
      <c r="Y903" s="246" t="str">
        <f t="shared" ref="Y903:Y966" si="85">IF(OR(AND(B903="",C903="",D903="",E903="",F903="",G903="",H903="",I903="",J903="",L903="",M903="",N903="",P903="",Q903="",R903="",S903=""),AND(B903&lt;&gt;"",C903&lt;&gt;"",D903&lt;&gt;"",E903&lt;&gt;"",F903&lt;&gt;"",G903&lt;&gt;"",H903&lt;&gt;"",J903&lt;&gt;"",M903&lt;&gt;"",N903&lt;&gt;"",P903&lt;&gt;"",OR(AND(Q903&lt;&gt;"",R903=""),AND(Q903="",R903&lt;&gt;""),AND(Q903&lt;&gt;"",R903&lt;&gt;"")),OR(AND(K903="X",T903&lt;&gt;""),AND(K903="",T903="")))),"","er")</f>
        <v/>
      </c>
      <c r="Z903" s="247" t="str">
        <f t="shared" si="83"/>
        <v/>
      </c>
      <c r="AA903" s="246" t="str">
        <f t="shared" ref="AA903:AA966" si="86">IF(OR(AND(Z903&lt;=10,B903&gt;5),AND(Z903&lt;=11,B903&gt;6),AND(Z903&lt;=12,B903&gt;7),AND(Z903&lt;=13,B903&gt;8),AND(Z903&lt;=14,B903&gt;9),AND(Z903=11,B903=6,L903="X"),AND(Z903=12,B903=7,L903="X"),AND(Z903=13,B903=8,L903="X"),AND(Z903=14,B903=9,L903="X")),"er","")</f>
        <v/>
      </c>
    </row>
    <row r="904" spans="1:27" x14ac:dyDescent="0.25">
      <c r="A904" s="248" t="str">
        <f t="shared" ref="A904:A967" si="87">IF(OR(A903="",B904="",C904="",D904="",E904=""),"",A903+1)</f>
        <v/>
      </c>
      <c r="B904" s="249" t="str">
        <f t="shared" ref="B904:B967" si="88">IF(C904="","",VALUE(LEFT(C904,1)))</f>
        <v/>
      </c>
      <c r="C904" s="250"/>
      <c r="D904" s="251"/>
      <c r="E904" s="241"/>
      <c r="F904" s="252"/>
      <c r="G904" s="252"/>
      <c r="H904" s="253"/>
      <c r="I904" s="250"/>
      <c r="J904" s="250"/>
      <c r="K904" s="270"/>
      <c r="L904" s="250"/>
      <c r="M904" s="250"/>
      <c r="N904" s="540" t="str">
        <f>CONCATENATE(IF(OR(M904=phu!$I$1,M904=phu!$I$2,M904=phu!$I$3),"Cam Thành Nam",""),IF(OR(M904=phu!$I$4,M904=phu!$I$5,M904=phu!$I$6,M904=phu!$I$7,M904=phu!$I$8,M904=phu!$I$9,M904=phu!$I$10,M904=phu!$I$11,M904=phu!$I$12,M904=phu!$I$13,M904=phu!$I$14),"Cam Nghĩa",""),IF(OR(M904=phu!$I$15,M904=phu!$I$16,M904=phu!$I$17,M904=phu!$I$18,M904=phu!$I$19,M904=phu!$I$20,M904=phu!$I$21),"Cam Phúc Bắc",""),IF(OR(M904=phu!$I$22,M904=phu!$I$23,M904=phu!$I$24,M904=phu!$I$25),"Cam Phúc Nam",""),IF(OR(M904=phu!$I$26,M904=phu!$I$27,M904=phu!$I$28,M904=phu!$I$29,M904=phu!$I$30,M904=phu!$I$31),"Cam Phú",""),IF(OR(M904=phu!$I$32,M904=phu!$I$33,M904=phu!$I$34,M904=phu!$I$35,M904=phu!$I$36,M904=phu!$I$37),"Cam Lộc",""),IF(OR(M904=phu!$I$38,M904=phu!$I$39,M904=phu!$I$40,M904=phu!$I$41,M904=phu!$I$42,M904=phu!$I$43,M904=phu!$I$44),"Cam Thuận",""),IF(OR(M904=phu!$I$45,M904=phu!$I$46,M904=phu!$I$47,M904=phu!$I$48,M904=phu!$I$49,M904=phu!$I$50,M904=phu!$I$51,M904=phu!$I$52,M904=phu!$I$53),"Cam Linh",""),IF(OR(M904=phu!$I$54,M904=phu!$I$55,M904=phu!$I$56,M904=phu!$I$57,M904=phu!$I$58,M904=phu!$I$59,M904=phu!$I$60,M904=phu!$I$61,M904=phu!$I$62),"Cam Lợi",""),IF(OR(M904=phu!$I$63,M904=phu!$I$64,M904=phu!$I$65,M904=phu!$I$66,M904=phu!$I$67,M904=phu!$I$68,M904=phu!$I$69,M904=phu!$I$70,M904=phu!$I$71),"Ba Ngòi",""),IF(OR(M904=phu!$I$72,M904=phu!$I$73,M904=phu!$I$74,M904=phu!$I$75,M904=phu!$I$76,M904=phu!$I$77,M904=phu!$I$78),"Cam Phước Đông",""),IF(OR(M904=phu!$I$79,M904=phu!$I$80,M904=phu!$I$81,M904=phu!$I$82,M904=phu!$I$83,M904=phu!$I$84),"Cam Thịnh Đông",""),IF(OR(M904=phu!$I$85,M904=phu!$I$86,M904=phu!$I$87,M904=phu!$I$88),"Cam Thịnh Tây",""),IF(OR(M904=phu!$I$89,M904=phu!$I$90),"Cam Lập",""),IF(OR(M904=phu!$I$91,M904=phu!$I$92,M904=phu!$I$93),"Cam Bình",""),IF(OR(M904=phu!$I$94,M904=phu!$I$95,M904=phu!$I$96,M904=phu!$I$97,M904=phu!$I$98,M904=phu!$I$99,M904=phu!$I$100),"Huyện khác",""),IF(OR(M904=phu!$I$101,M904=phu!$I$102),"Tỉnh khác",""))</f>
        <v/>
      </c>
      <c r="O904" s="829" t="str">
        <f t="shared" si="84"/>
        <v/>
      </c>
      <c r="P904" s="254"/>
      <c r="Q904" s="254"/>
      <c r="R904" s="254"/>
      <c r="S904" s="254"/>
      <c r="T904" s="254"/>
      <c r="U904" s="254"/>
      <c r="V904" s="254"/>
      <c r="W904" s="254"/>
      <c r="Y904" s="246" t="str">
        <f t="shared" si="85"/>
        <v/>
      </c>
      <c r="Z904" s="247" t="str">
        <f t="shared" ref="Z904:Z967" si="89">IF(H904="","",$Z$1-H904)</f>
        <v/>
      </c>
      <c r="AA904" s="246" t="str">
        <f t="shared" si="86"/>
        <v/>
      </c>
    </row>
    <row r="905" spans="1:27" x14ac:dyDescent="0.25">
      <c r="A905" s="248" t="str">
        <f t="shared" si="87"/>
        <v/>
      </c>
      <c r="B905" s="249" t="str">
        <f t="shared" si="88"/>
        <v/>
      </c>
      <c r="C905" s="250"/>
      <c r="D905" s="251"/>
      <c r="E905" s="241"/>
      <c r="F905" s="252"/>
      <c r="G905" s="252"/>
      <c r="H905" s="253"/>
      <c r="I905" s="250"/>
      <c r="J905" s="250"/>
      <c r="K905" s="270"/>
      <c r="L905" s="250"/>
      <c r="M905" s="250"/>
      <c r="N905" s="540" t="str">
        <f>CONCATENATE(IF(OR(M905=phu!$I$1,M905=phu!$I$2,M905=phu!$I$3),"Cam Thành Nam",""),IF(OR(M905=phu!$I$4,M905=phu!$I$5,M905=phu!$I$6,M905=phu!$I$7,M905=phu!$I$8,M905=phu!$I$9,M905=phu!$I$10,M905=phu!$I$11,M905=phu!$I$12,M905=phu!$I$13,M905=phu!$I$14),"Cam Nghĩa",""),IF(OR(M905=phu!$I$15,M905=phu!$I$16,M905=phu!$I$17,M905=phu!$I$18,M905=phu!$I$19,M905=phu!$I$20,M905=phu!$I$21),"Cam Phúc Bắc",""),IF(OR(M905=phu!$I$22,M905=phu!$I$23,M905=phu!$I$24,M905=phu!$I$25),"Cam Phúc Nam",""),IF(OR(M905=phu!$I$26,M905=phu!$I$27,M905=phu!$I$28,M905=phu!$I$29,M905=phu!$I$30,M905=phu!$I$31),"Cam Phú",""),IF(OR(M905=phu!$I$32,M905=phu!$I$33,M905=phu!$I$34,M905=phu!$I$35,M905=phu!$I$36,M905=phu!$I$37),"Cam Lộc",""),IF(OR(M905=phu!$I$38,M905=phu!$I$39,M905=phu!$I$40,M905=phu!$I$41,M905=phu!$I$42,M905=phu!$I$43,M905=phu!$I$44),"Cam Thuận",""),IF(OR(M905=phu!$I$45,M905=phu!$I$46,M905=phu!$I$47,M905=phu!$I$48,M905=phu!$I$49,M905=phu!$I$50,M905=phu!$I$51,M905=phu!$I$52,M905=phu!$I$53),"Cam Linh",""),IF(OR(M905=phu!$I$54,M905=phu!$I$55,M905=phu!$I$56,M905=phu!$I$57,M905=phu!$I$58,M905=phu!$I$59,M905=phu!$I$60,M905=phu!$I$61,M905=phu!$I$62),"Cam Lợi",""),IF(OR(M905=phu!$I$63,M905=phu!$I$64,M905=phu!$I$65,M905=phu!$I$66,M905=phu!$I$67,M905=phu!$I$68,M905=phu!$I$69,M905=phu!$I$70,M905=phu!$I$71),"Ba Ngòi",""),IF(OR(M905=phu!$I$72,M905=phu!$I$73,M905=phu!$I$74,M905=phu!$I$75,M905=phu!$I$76,M905=phu!$I$77,M905=phu!$I$78),"Cam Phước Đông",""),IF(OR(M905=phu!$I$79,M905=phu!$I$80,M905=phu!$I$81,M905=phu!$I$82,M905=phu!$I$83,M905=phu!$I$84),"Cam Thịnh Đông",""),IF(OR(M905=phu!$I$85,M905=phu!$I$86,M905=phu!$I$87,M905=phu!$I$88),"Cam Thịnh Tây",""),IF(OR(M905=phu!$I$89,M905=phu!$I$90),"Cam Lập",""),IF(OR(M905=phu!$I$91,M905=phu!$I$92,M905=phu!$I$93),"Cam Bình",""),IF(OR(M905=phu!$I$94,M905=phu!$I$95,M905=phu!$I$96,M905=phu!$I$97,M905=phu!$I$98,M905=phu!$I$99,M905=phu!$I$100),"Huyện khác",""),IF(OR(M905=phu!$I$101,M905=phu!$I$102),"Tỉnh khác",""))</f>
        <v/>
      </c>
      <c r="O905" s="829" t="str">
        <f t="shared" si="84"/>
        <v/>
      </c>
      <c r="P905" s="254"/>
      <c r="Q905" s="254"/>
      <c r="R905" s="254"/>
      <c r="S905" s="254"/>
      <c r="T905" s="254"/>
      <c r="U905" s="254"/>
      <c r="V905" s="254"/>
      <c r="W905" s="254"/>
      <c r="Y905" s="246" t="str">
        <f t="shared" si="85"/>
        <v/>
      </c>
      <c r="Z905" s="247" t="str">
        <f t="shared" si="89"/>
        <v/>
      </c>
      <c r="AA905" s="246" t="str">
        <f t="shared" si="86"/>
        <v/>
      </c>
    </row>
    <row r="906" spans="1:27" x14ac:dyDescent="0.25">
      <c r="A906" s="248" t="str">
        <f t="shared" si="87"/>
        <v/>
      </c>
      <c r="B906" s="249" t="str">
        <f t="shared" si="88"/>
        <v/>
      </c>
      <c r="C906" s="250"/>
      <c r="D906" s="251"/>
      <c r="E906" s="241"/>
      <c r="F906" s="252"/>
      <c r="G906" s="252"/>
      <c r="H906" s="253"/>
      <c r="I906" s="250"/>
      <c r="J906" s="250"/>
      <c r="K906" s="270"/>
      <c r="L906" s="250"/>
      <c r="M906" s="250"/>
      <c r="N906" s="540" t="str">
        <f>CONCATENATE(IF(OR(M906=phu!$I$1,M906=phu!$I$2,M906=phu!$I$3),"Cam Thành Nam",""),IF(OR(M906=phu!$I$4,M906=phu!$I$5,M906=phu!$I$6,M906=phu!$I$7,M906=phu!$I$8,M906=phu!$I$9,M906=phu!$I$10,M906=phu!$I$11,M906=phu!$I$12,M906=phu!$I$13,M906=phu!$I$14),"Cam Nghĩa",""),IF(OR(M906=phu!$I$15,M906=phu!$I$16,M906=phu!$I$17,M906=phu!$I$18,M906=phu!$I$19,M906=phu!$I$20,M906=phu!$I$21),"Cam Phúc Bắc",""),IF(OR(M906=phu!$I$22,M906=phu!$I$23,M906=phu!$I$24,M906=phu!$I$25),"Cam Phúc Nam",""),IF(OR(M906=phu!$I$26,M906=phu!$I$27,M906=phu!$I$28,M906=phu!$I$29,M906=phu!$I$30,M906=phu!$I$31),"Cam Phú",""),IF(OR(M906=phu!$I$32,M906=phu!$I$33,M906=phu!$I$34,M906=phu!$I$35,M906=phu!$I$36,M906=phu!$I$37),"Cam Lộc",""),IF(OR(M906=phu!$I$38,M906=phu!$I$39,M906=phu!$I$40,M906=phu!$I$41,M906=phu!$I$42,M906=phu!$I$43,M906=phu!$I$44),"Cam Thuận",""),IF(OR(M906=phu!$I$45,M906=phu!$I$46,M906=phu!$I$47,M906=phu!$I$48,M906=phu!$I$49,M906=phu!$I$50,M906=phu!$I$51,M906=phu!$I$52,M906=phu!$I$53),"Cam Linh",""),IF(OR(M906=phu!$I$54,M906=phu!$I$55,M906=phu!$I$56,M906=phu!$I$57,M906=phu!$I$58,M906=phu!$I$59,M906=phu!$I$60,M906=phu!$I$61,M906=phu!$I$62),"Cam Lợi",""),IF(OR(M906=phu!$I$63,M906=phu!$I$64,M906=phu!$I$65,M906=phu!$I$66,M906=phu!$I$67,M906=phu!$I$68,M906=phu!$I$69,M906=phu!$I$70,M906=phu!$I$71),"Ba Ngòi",""),IF(OR(M906=phu!$I$72,M906=phu!$I$73,M906=phu!$I$74,M906=phu!$I$75,M906=phu!$I$76,M906=phu!$I$77,M906=phu!$I$78),"Cam Phước Đông",""),IF(OR(M906=phu!$I$79,M906=phu!$I$80,M906=phu!$I$81,M906=phu!$I$82,M906=phu!$I$83,M906=phu!$I$84),"Cam Thịnh Đông",""),IF(OR(M906=phu!$I$85,M906=phu!$I$86,M906=phu!$I$87,M906=phu!$I$88),"Cam Thịnh Tây",""),IF(OR(M906=phu!$I$89,M906=phu!$I$90),"Cam Lập",""),IF(OR(M906=phu!$I$91,M906=phu!$I$92,M906=phu!$I$93),"Cam Bình",""),IF(OR(M906=phu!$I$94,M906=phu!$I$95,M906=phu!$I$96,M906=phu!$I$97,M906=phu!$I$98,M906=phu!$I$99,M906=phu!$I$100),"Huyện khác",""),IF(OR(M906=phu!$I$101,M906=phu!$I$102),"Tỉnh khác",""))</f>
        <v/>
      </c>
      <c r="O906" s="829" t="str">
        <f t="shared" si="84"/>
        <v/>
      </c>
      <c r="P906" s="254"/>
      <c r="Q906" s="254"/>
      <c r="R906" s="254"/>
      <c r="S906" s="254"/>
      <c r="T906" s="254"/>
      <c r="U906" s="254"/>
      <c r="V906" s="254"/>
      <c r="W906" s="254"/>
      <c r="Y906" s="246" t="str">
        <f t="shared" si="85"/>
        <v/>
      </c>
      <c r="Z906" s="247" t="str">
        <f t="shared" si="89"/>
        <v/>
      </c>
      <c r="AA906" s="246" t="str">
        <f t="shared" si="86"/>
        <v/>
      </c>
    </row>
    <row r="907" spans="1:27" x14ac:dyDescent="0.25">
      <c r="A907" s="248" t="str">
        <f t="shared" si="87"/>
        <v/>
      </c>
      <c r="B907" s="249" t="str">
        <f t="shared" si="88"/>
        <v/>
      </c>
      <c r="C907" s="250"/>
      <c r="D907" s="251"/>
      <c r="E907" s="241"/>
      <c r="F907" s="252"/>
      <c r="G907" s="252"/>
      <c r="H907" s="253"/>
      <c r="I907" s="250"/>
      <c r="J907" s="250"/>
      <c r="K907" s="270"/>
      <c r="L907" s="250"/>
      <c r="M907" s="250"/>
      <c r="N907" s="540" t="str">
        <f>CONCATENATE(IF(OR(M907=phu!$I$1,M907=phu!$I$2,M907=phu!$I$3),"Cam Thành Nam",""),IF(OR(M907=phu!$I$4,M907=phu!$I$5,M907=phu!$I$6,M907=phu!$I$7,M907=phu!$I$8,M907=phu!$I$9,M907=phu!$I$10,M907=phu!$I$11,M907=phu!$I$12,M907=phu!$I$13,M907=phu!$I$14),"Cam Nghĩa",""),IF(OR(M907=phu!$I$15,M907=phu!$I$16,M907=phu!$I$17,M907=phu!$I$18,M907=phu!$I$19,M907=phu!$I$20,M907=phu!$I$21),"Cam Phúc Bắc",""),IF(OR(M907=phu!$I$22,M907=phu!$I$23,M907=phu!$I$24,M907=phu!$I$25),"Cam Phúc Nam",""),IF(OR(M907=phu!$I$26,M907=phu!$I$27,M907=phu!$I$28,M907=phu!$I$29,M907=phu!$I$30,M907=phu!$I$31),"Cam Phú",""),IF(OR(M907=phu!$I$32,M907=phu!$I$33,M907=phu!$I$34,M907=phu!$I$35,M907=phu!$I$36,M907=phu!$I$37),"Cam Lộc",""),IF(OR(M907=phu!$I$38,M907=phu!$I$39,M907=phu!$I$40,M907=phu!$I$41,M907=phu!$I$42,M907=phu!$I$43,M907=phu!$I$44),"Cam Thuận",""),IF(OR(M907=phu!$I$45,M907=phu!$I$46,M907=phu!$I$47,M907=phu!$I$48,M907=phu!$I$49,M907=phu!$I$50,M907=phu!$I$51,M907=phu!$I$52,M907=phu!$I$53),"Cam Linh",""),IF(OR(M907=phu!$I$54,M907=phu!$I$55,M907=phu!$I$56,M907=phu!$I$57,M907=phu!$I$58,M907=phu!$I$59,M907=phu!$I$60,M907=phu!$I$61,M907=phu!$I$62),"Cam Lợi",""),IF(OR(M907=phu!$I$63,M907=phu!$I$64,M907=phu!$I$65,M907=phu!$I$66,M907=phu!$I$67,M907=phu!$I$68,M907=phu!$I$69,M907=phu!$I$70,M907=phu!$I$71),"Ba Ngòi",""),IF(OR(M907=phu!$I$72,M907=phu!$I$73,M907=phu!$I$74,M907=phu!$I$75,M907=phu!$I$76,M907=phu!$I$77,M907=phu!$I$78),"Cam Phước Đông",""),IF(OR(M907=phu!$I$79,M907=phu!$I$80,M907=phu!$I$81,M907=phu!$I$82,M907=phu!$I$83,M907=phu!$I$84),"Cam Thịnh Đông",""),IF(OR(M907=phu!$I$85,M907=phu!$I$86,M907=phu!$I$87,M907=phu!$I$88),"Cam Thịnh Tây",""),IF(OR(M907=phu!$I$89,M907=phu!$I$90),"Cam Lập",""),IF(OR(M907=phu!$I$91,M907=phu!$I$92,M907=phu!$I$93),"Cam Bình",""),IF(OR(M907=phu!$I$94,M907=phu!$I$95,M907=phu!$I$96,M907=phu!$I$97,M907=phu!$I$98,M907=phu!$I$99,M907=phu!$I$100),"Huyện khác",""),IF(OR(M907=phu!$I$101,M907=phu!$I$102),"Tỉnh khác",""))</f>
        <v/>
      </c>
      <c r="O907" s="829" t="str">
        <f t="shared" si="84"/>
        <v/>
      </c>
      <c r="P907" s="254"/>
      <c r="Q907" s="254"/>
      <c r="R907" s="254"/>
      <c r="S907" s="254"/>
      <c r="T907" s="254"/>
      <c r="U907" s="254"/>
      <c r="V907" s="254"/>
      <c r="W907" s="254"/>
      <c r="Y907" s="246" t="str">
        <f t="shared" si="85"/>
        <v/>
      </c>
      <c r="Z907" s="247" t="str">
        <f t="shared" si="89"/>
        <v/>
      </c>
      <c r="AA907" s="246" t="str">
        <f t="shared" si="86"/>
        <v/>
      </c>
    </row>
    <row r="908" spans="1:27" x14ac:dyDescent="0.25">
      <c r="A908" s="248" t="str">
        <f t="shared" si="87"/>
        <v/>
      </c>
      <c r="B908" s="249" t="str">
        <f t="shared" si="88"/>
        <v/>
      </c>
      <c r="C908" s="250"/>
      <c r="D908" s="251"/>
      <c r="E908" s="241"/>
      <c r="F908" s="252"/>
      <c r="G908" s="252"/>
      <c r="H908" s="253"/>
      <c r="I908" s="250"/>
      <c r="J908" s="250"/>
      <c r="K908" s="270"/>
      <c r="L908" s="250"/>
      <c r="M908" s="250"/>
      <c r="N908" s="540" t="str">
        <f>CONCATENATE(IF(OR(M908=phu!$I$1,M908=phu!$I$2,M908=phu!$I$3),"Cam Thành Nam",""),IF(OR(M908=phu!$I$4,M908=phu!$I$5,M908=phu!$I$6,M908=phu!$I$7,M908=phu!$I$8,M908=phu!$I$9,M908=phu!$I$10,M908=phu!$I$11,M908=phu!$I$12,M908=phu!$I$13,M908=phu!$I$14),"Cam Nghĩa",""),IF(OR(M908=phu!$I$15,M908=phu!$I$16,M908=phu!$I$17,M908=phu!$I$18,M908=phu!$I$19,M908=phu!$I$20,M908=phu!$I$21),"Cam Phúc Bắc",""),IF(OR(M908=phu!$I$22,M908=phu!$I$23,M908=phu!$I$24,M908=phu!$I$25),"Cam Phúc Nam",""),IF(OR(M908=phu!$I$26,M908=phu!$I$27,M908=phu!$I$28,M908=phu!$I$29,M908=phu!$I$30,M908=phu!$I$31),"Cam Phú",""),IF(OR(M908=phu!$I$32,M908=phu!$I$33,M908=phu!$I$34,M908=phu!$I$35,M908=phu!$I$36,M908=phu!$I$37),"Cam Lộc",""),IF(OR(M908=phu!$I$38,M908=phu!$I$39,M908=phu!$I$40,M908=phu!$I$41,M908=phu!$I$42,M908=phu!$I$43,M908=phu!$I$44),"Cam Thuận",""),IF(OR(M908=phu!$I$45,M908=phu!$I$46,M908=phu!$I$47,M908=phu!$I$48,M908=phu!$I$49,M908=phu!$I$50,M908=phu!$I$51,M908=phu!$I$52,M908=phu!$I$53),"Cam Linh",""),IF(OR(M908=phu!$I$54,M908=phu!$I$55,M908=phu!$I$56,M908=phu!$I$57,M908=phu!$I$58,M908=phu!$I$59,M908=phu!$I$60,M908=phu!$I$61,M908=phu!$I$62),"Cam Lợi",""),IF(OR(M908=phu!$I$63,M908=phu!$I$64,M908=phu!$I$65,M908=phu!$I$66,M908=phu!$I$67,M908=phu!$I$68,M908=phu!$I$69,M908=phu!$I$70,M908=phu!$I$71),"Ba Ngòi",""),IF(OR(M908=phu!$I$72,M908=phu!$I$73,M908=phu!$I$74,M908=phu!$I$75,M908=phu!$I$76,M908=phu!$I$77,M908=phu!$I$78),"Cam Phước Đông",""),IF(OR(M908=phu!$I$79,M908=phu!$I$80,M908=phu!$I$81,M908=phu!$I$82,M908=phu!$I$83,M908=phu!$I$84),"Cam Thịnh Đông",""),IF(OR(M908=phu!$I$85,M908=phu!$I$86,M908=phu!$I$87,M908=phu!$I$88),"Cam Thịnh Tây",""),IF(OR(M908=phu!$I$89,M908=phu!$I$90),"Cam Lập",""),IF(OR(M908=phu!$I$91,M908=phu!$I$92,M908=phu!$I$93),"Cam Bình",""),IF(OR(M908=phu!$I$94,M908=phu!$I$95,M908=phu!$I$96,M908=phu!$I$97,M908=phu!$I$98,M908=phu!$I$99,M908=phu!$I$100),"Huyện khác",""),IF(OR(M908=phu!$I$101,M908=phu!$I$102),"Tỉnh khác",""))</f>
        <v/>
      </c>
      <c r="O908" s="829" t="str">
        <f t="shared" si="84"/>
        <v/>
      </c>
      <c r="P908" s="254"/>
      <c r="Q908" s="254"/>
      <c r="R908" s="254"/>
      <c r="S908" s="254"/>
      <c r="T908" s="254"/>
      <c r="U908" s="254"/>
      <c r="V908" s="254"/>
      <c r="W908" s="254"/>
      <c r="Y908" s="246" t="str">
        <f t="shared" si="85"/>
        <v/>
      </c>
      <c r="Z908" s="247" t="str">
        <f t="shared" si="89"/>
        <v/>
      </c>
      <c r="AA908" s="246" t="str">
        <f t="shared" si="86"/>
        <v/>
      </c>
    </row>
    <row r="909" spans="1:27" x14ac:dyDescent="0.25">
      <c r="A909" s="248" t="str">
        <f t="shared" si="87"/>
        <v/>
      </c>
      <c r="B909" s="249" t="str">
        <f t="shared" si="88"/>
        <v/>
      </c>
      <c r="C909" s="250"/>
      <c r="D909" s="251"/>
      <c r="E909" s="241"/>
      <c r="F909" s="252"/>
      <c r="G909" s="252"/>
      <c r="H909" s="253"/>
      <c r="I909" s="250"/>
      <c r="J909" s="250"/>
      <c r="K909" s="270"/>
      <c r="L909" s="250"/>
      <c r="M909" s="250"/>
      <c r="N909" s="540" t="str">
        <f>CONCATENATE(IF(OR(M909=phu!$I$1,M909=phu!$I$2,M909=phu!$I$3),"Cam Thành Nam",""),IF(OR(M909=phu!$I$4,M909=phu!$I$5,M909=phu!$I$6,M909=phu!$I$7,M909=phu!$I$8,M909=phu!$I$9,M909=phu!$I$10,M909=phu!$I$11,M909=phu!$I$12,M909=phu!$I$13,M909=phu!$I$14),"Cam Nghĩa",""),IF(OR(M909=phu!$I$15,M909=phu!$I$16,M909=phu!$I$17,M909=phu!$I$18,M909=phu!$I$19,M909=phu!$I$20,M909=phu!$I$21),"Cam Phúc Bắc",""),IF(OR(M909=phu!$I$22,M909=phu!$I$23,M909=phu!$I$24,M909=phu!$I$25),"Cam Phúc Nam",""),IF(OR(M909=phu!$I$26,M909=phu!$I$27,M909=phu!$I$28,M909=phu!$I$29,M909=phu!$I$30,M909=phu!$I$31),"Cam Phú",""),IF(OR(M909=phu!$I$32,M909=phu!$I$33,M909=phu!$I$34,M909=phu!$I$35,M909=phu!$I$36,M909=phu!$I$37),"Cam Lộc",""),IF(OR(M909=phu!$I$38,M909=phu!$I$39,M909=phu!$I$40,M909=phu!$I$41,M909=phu!$I$42,M909=phu!$I$43,M909=phu!$I$44),"Cam Thuận",""),IF(OR(M909=phu!$I$45,M909=phu!$I$46,M909=phu!$I$47,M909=phu!$I$48,M909=phu!$I$49,M909=phu!$I$50,M909=phu!$I$51,M909=phu!$I$52,M909=phu!$I$53),"Cam Linh",""),IF(OR(M909=phu!$I$54,M909=phu!$I$55,M909=phu!$I$56,M909=phu!$I$57,M909=phu!$I$58,M909=phu!$I$59,M909=phu!$I$60,M909=phu!$I$61,M909=phu!$I$62),"Cam Lợi",""),IF(OR(M909=phu!$I$63,M909=phu!$I$64,M909=phu!$I$65,M909=phu!$I$66,M909=phu!$I$67,M909=phu!$I$68,M909=phu!$I$69,M909=phu!$I$70,M909=phu!$I$71),"Ba Ngòi",""),IF(OR(M909=phu!$I$72,M909=phu!$I$73,M909=phu!$I$74,M909=phu!$I$75,M909=phu!$I$76,M909=phu!$I$77,M909=phu!$I$78),"Cam Phước Đông",""),IF(OR(M909=phu!$I$79,M909=phu!$I$80,M909=phu!$I$81,M909=phu!$I$82,M909=phu!$I$83,M909=phu!$I$84),"Cam Thịnh Đông",""),IF(OR(M909=phu!$I$85,M909=phu!$I$86,M909=phu!$I$87,M909=phu!$I$88),"Cam Thịnh Tây",""),IF(OR(M909=phu!$I$89,M909=phu!$I$90),"Cam Lập",""),IF(OR(M909=phu!$I$91,M909=phu!$I$92,M909=phu!$I$93),"Cam Bình",""),IF(OR(M909=phu!$I$94,M909=phu!$I$95,M909=phu!$I$96,M909=phu!$I$97,M909=phu!$I$98,M909=phu!$I$99,M909=phu!$I$100),"Huyện khác",""),IF(OR(M909=phu!$I$101,M909=phu!$I$102),"Tỉnh khác",""))</f>
        <v/>
      </c>
      <c r="O909" s="829" t="str">
        <f t="shared" si="84"/>
        <v/>
      </c>
      <c r="P909" s="254"/>
      <c r="Q909" s="254"/>
      <c r="R909" s="254"/>
      <c r="S909" s="254"/>
      <c r="T909" s="254"/>
      <c r="U909" s="254"/>
      <c r="V909" s="254"/>
      <c r="W909" s="254"/>
      <c r="Y909" s="246" t="str">
        <f t="shared" si="85"/>
        <v/>
      </c>
      <c r="Z909" s="247" t="str">
        <f t="shared" si="89"/>
        <v/>
      </c>
      <c r="AA909" s="246" t="str">
        <f t="shared" si="86"/>
        <v/>
      </c>
    </row>
    <row r="910" spans="1:27" x14ac:dyDescent="0.25">
      <c r="A910" s="248" t="str">
        <f t="shared" si="87"/>
        <v/>
      </c>
      <c r="B910" s="249" t="str">
        <f t="shared" si="88"/>
        <v/>
      </c>
      <c r="C910" s="250"/>
      <c r="D910" s="251"/>
      <c r="E910" s="241"/>
      <c r="F910" s="252"/>
      <c r="G910" s="252"/>
      <c r="H910" s="253"/>
      <c r="I910" s="250"/>
      <c r="J910" s="250"/>
      <c r="K910" s="270"/>
      <c r="L910" s="250"/>
      <c r="M910" s="250"/>
      <c r="N910" s="540" t="str">
        <f>CONCATENATE(IF(OR(M910=phu!$I$1,M910=phu!$I$2,M910=phu!$I$3),"Cam Thành Nam",""),IF(OR(M910=phu!$I$4,M910=phu!$I$5,M910=phu!$I$6,M910=phu!$I$7,M910=phu!$I$8,M910=phu!$I$9,M910=phu!$I$10,M910=phu!$I$11,M910=phu!$I$12,M910=phu!$I$13,M910=phu!$I$14),"Cam Nghĩa",""),IF(OR(M910=phu!$I$15,M910=phu!$I$16,M910=phu!$I$17,M910=phu!$I$18,M910=phu!$I$19,M910=phu!$I$20,M910=phu!$I$21),"Cam Phúc Bắc",""),IF(OR(M910=phu!$I$22,M910=phu!$I$23,M910=phu!$I$24,M910=phu!$I$25),"Cam Phúc Nam",""),IF(OR(M910=phu!$I$26,M910=phu!$I$27,M910=phu!$I$28,M910=phu!$I$29,M910=phu!$I$30,M910=phu!$I$31),"Cam Phú",""),IF(OR(M910=phu!$I$32,M910=phu!$I$33,M910=phu!$I$34,M910=phu!$I$35,M910=phu!$I$36,M910=phu!$I$37),"Cam Lộc",""),IF(OR(M910=phu!$I$38,M910=phu!$I$39,M910=phu!$I$40,M910=phu!$I$41,M910=phu!$I$42,M910=phu!$I$43,M910=phu!$I$44),"Cam Thuận",""),IF(OR(M910=phu!$I$45,M910=phu!$I$46,M910=phu!$I$47,M910=phu!$I$48,M910=phu!$I$49,M910=phu!$I$50,M910=phu!$I$51,M910=phu!$I$52,M910=phu!$I$53),"Cam Linh",""),IF(OR(M910=phu!$I$54,M910=phu!$I$55,M910=phu!$I$56,M910=phu!$I$57,M910=phu!$I$58,M910=phu!$I$59,M910=phu!$I$60,M910=phu!$I$61,M910=phu!$I$62),"Cam Lợi",""),IF(OR(M910=phu!$I$63,M910=phu!$I$64,M910=phu!$I$65,M910=phu!$I$66,M910=phu!$I$67,M910=phu!$I$68,M910=phu!$I$69,M910=phu!$I$70,M910=phu!$I$71),"Ba Ngòi",""),IF(OR(M910=phu!$I$72,M910=phu!$I$73,M910=phu!$I$74,M910=phu!$I$75,M910=phu!$I$76,M910=phu!$I$77,M910=phu!$I$78),"Cam Phước Đông",""),IF(OR(M910=phu!$I$79,M910=phu!$I$80,M910=phu!$I$81,M910=phu!$I$82,M910=phu!$I$83,M910=phu!$I$84),"Cam Thịnh Đông",""),IF(OR(M910=phu!$I$85,M910=phu!$I$86,M910=phu!$I$87,M910=phu!$I$88),"Cam Thịnh Tây",""),IF(OR(M910=phu!$I$89,M910=phu!$I$90),"Cam Lập",""),IF(OR(M910=phu!$I$91,M910=phu!$I$92,M910=phu!$I$93),"Cam Bình",""),IF(OR(M910=phu!$I$94,M910=phu!$I$95,M910=phu!$I$96,M910=phu!$I$97,M910=phu!$I$98,M910=phu!$I$99,M910=phu!$I$100),"Huyện khác",""),IF(OR(M910=phu!$I$101,M910=phu!$I$102),"Tỉnh khác",""))</f>
        <v/>
      </c>
      <c r="O910" s="829" t="str">
        <f t="shared" si="84"/>
        <v/>
      </c>
      <c r="P910" s="254"/>
      <c r="Q910" s="254"/>
      <c r="R910" s="254"/>
      <c r="S910" s="254"/>
      <c r="T910" s="254"/>
      <c r="U910" s="254"/>
      <c r="V910" s="254"/>
      <c r="W910" s="254"/>
      <c r="Y910" s="246" t="str">
        <f t="shared" si="85"/>
        <v/>
      </c>
      <c r="Z910" s="247" t="str">
        <f t="shared" si="89"/>
        <v/>
      </c>
      <c r="AA910" s="246" t="str">
        <f t="shared" si="86"/>
        <v/>
      </c>
    </row>
    <row r="911" spans="1:27" x14ac:dyDescent="0.25">
      <c r="A911" s="248" t="str">
        <f t="shared" si="87"/>
        <v/>
      </c>
      <c r="B911" s="249" t="str">
        <f t="shared" si="88"/>
        <v/>
      </c>
      <c r="C911" s="250"/>
      <c r="D911" s="251"/>
      <c r="E911" s="241"/>
      <c r="F911" s="252"/>
      <c r="G911" s="252"/>
      <c r="H911" s="253"/>
      <c r="I911" s="250"/>
      <c r="J911" s="250"/>
      <c r="K911" s="270"/>
      <c r="L911" s="250"/>
      <c r="M911" s="250"/>
      <c r="N911" s="540" t="str">
        <f>CONCATENATE(IF(OR(M911=phu!$I$1,M911=phu!$I$2,M911=phu!$I$3),"Cam Thành Nam",""),IF(OR(M911=phu!$I$4,M911=phu!$I$5,M911=phu!$I$6,M911=phu!$I$7,M911=phu!$I$8,M911=phu!$I$9,M911=phu!$I$10,M911=phu!$I$11,M911=phu!$I$12,M911=phu!$I$13,M911=phu!$I$14),"Cam Nghĩa",""),IF(OR(M911=phu!$I$15,M911=phu!$I$16,M911=phu!$I$17,M911=phu!$I$18,M911=phu!$I$19,M911=phu!$I$20,M911=phu!$I$21),"Cam Phúc Bắc",""),IF(OR(M911=phu!$I$22,M911=phu!$I$23,M911=phu!$I$24,M911=phu!$I$25),"Cam Phúc Nam",""),IF(OR(M911=phu!$I$26,M911=phu!$I$27,M911=phu!$I$28,M911=phu!$I$29,M911=phu!$I$30,M911=phu!$I$31),"Cam Phú",""),IF(OR(M911=phu!$I$32,M911=phu!$I$33,M911=phu!$I$34,M911=phu!$I$35,M911=phu!$I$36,M911=phu!$I$37),"Cam Lộc",""),IF(OR(M911=phu!$I$38,M911=phu!$I$39,M911=phu!$I$40,M911=phu!$I$41,M911=phu!$I$42,M911=phu!$I$43,M911=phu!$I$44),"Cam Thuận",""),IF(OR(M911=phu!$I$45,M911=phu!$I$46,M911=phu!$I$47,M911=phu!$I$48,M911=phu!$I$49,M911=phu!$I$50,M911=phu!$I$51,M911=phu!$I$52,M911=phu!$I$53),"Cam Linh",""),IF(OR(M911=phu!$I$54,M911=phu!$I$55,M911=phu!$I$56,M911=phu!$I$57,M911=phu!$I$58,M911=phu!$I$59,M911=phu!$I$60,M911=phu!$I$61,M911=phu!$I$62),"Cam Lợi",""),IF(OR(M911=phu!$I$63,M911=phu!$I$64,M911=phu!$I$65,M911=phu!$I$66,M911=phu!$I$67,M911=phu!$I$68,M911=phu!$I$69,M911=phu!$I$70,M911=phu!$I$71),"Ba Ngòi",""),IF(OR(M911=phu!$I$72,M911=phu!$I$73,M911=phu!$I$74,M911=phu!$I$75,M911=phu!$I$76,M911=phu!$I$77,M911=phu!$I$78),"Cam Phước Đông",""),IF(OR(M911=phu!$I$79,M911=phu!$I$80,M911=phu!$I$81,M911=phu!$I$82,M911=phu!$I$83,M911=phu!$I$84),"Cam Thịnh Đông",""),IF(OR(M911=phu!$I$85,M911=phu!$I$86,M911=phu!$I$87,M911=phu!$I$88),"Cam Thịnh Tây",""),IF(OR(M911=phu!$I$89,M911=phu!$I$90),"Cam Lập",""),IF(OR(M911=phu!$I$91,M911=phu!$I$92,M911=phu!$I$93),"Cam Bình",""),IF(OR(M911=phu!$I$94,M911=phu!$I$95,M911=phu!$I$96,M911=phu!$I$97,M911=phu!$I$98,M911=phu!$I$99,M911=phu!$I$100),"Huyện khác",""),IF(OR(M911=phu!$I$101,M911=phu!$I$102),"Tỉnh khác",""))</f>
        <v/>
      </c>
      <c r="O911" s="829" t="str">
        <f t="shared" si="84"/>
        <v/>
      </c>
      <c r="P911" s="254"/>
      <c r="Q911" s="254"/>
      <c r="R911" s="254"/>
      <c r="S911" s="254"/>
      <c r="T911" s="254"/>
      <c r="U911" s="254"/>
      <c r="V911" s="254"/>
      <c r="W911" s="254"/>
      <c r="Y911" s="246" t="str">
        <f t="shared" si="85"/>
        <v/>
      </c>
      <c r="Z911" s="247" t="str">
        <f t="shared" si="89"/>
        <v/>
      </c>
      <c r="AA911" s="246" t="str">
        <f t="shared" si="86"/>
        <v/>
      </c>
    </row>
    <row r="912" spans="1:27" x14ac:dyDescent="0.25">
      <c r="A912" s="248" t="str">
        <f t="shared" si="87"/>
        <v/>
      </c>
      <c r="B912" s="249" t="str">
        <f t="shared" si="88"/>
        <v/>
      </c>
      <c r="C912" s="250"/>
      <c r="D912" s="251"/>
      <c r="E912" s="241"/>
      <c r="F912" s="252"/>
      <c r="G912" s="252"/>
      <c r="H912" s="253"/>
      <c r="I912" s="250"/>
      <c r="J912" s="250"/>
      <c r="K912" s="270"/>
      <c r="L912" s="250"/>
      <c r="M912" s="250"/>
      <c r="N912" s="540" t="str">
        <f>CONCATENATE(IF(OR(M912=phu!$I$1,M912=phu!$I$2,M912=phu!$I$3),"Cam Thành Nam",""),IF(OR(M912=phu!$I$4,M912=phu!$I$5,M912=phu!$I$6,M912=phu!$I$7,M912=phu!$I$8,M912=phu!$I$9,M912=phu!$I$10,M912=phu!$I$11,M912=phu!$I$12,M912=phu!$I$13,M912=phu!$I$14),"Cam Nghĩa",""),IF(OR(M912=phu!$I$15,M912=phu!$I$16,M912=phu!$I$17,M912=phu!$I$18,M912=phu!$I$19,M912=phu!$I$20,M912=phu!$I$21),"Cam Phúc Bắc",""),IF(OR(M912=phu!$I$22,M912=phu!$I$23,M912=phu!$I$24,M912=phu!$I$25),"Cam Phúc Nam",""),IF(OR(M912=phu!$I$26,M912=phu!$I$27,M912=phu!$I$28,M912=phu!$I$29,M912=phu!$I$30,M912=phu!$I$31),"Cam Phú",""),IF(OR(M912=phu!$I$32,M912=phu!$I$33,M912=phu!$I$34,M912=phu!$I$35,M912=phu!$I$36,M912=phu!$I$37),"Cam Lộc",""),IF(OR(M912=phu!$I$38,M912=phu!$I$39,M912=phu!$I$40,M912=phu!$I$41,M912=phu!$I$42,M912=phu!$I$43,M912=phu!$I$44),"Cam Thuận",""),IF(OR(M912=phu!$I$45,M912=phu!$I$46,M912=phu!$I$47,M912=phu!$I$48,M912=phu!$I$49,M912=phu!$I$50,M912=phu!$I$51,M912=phu!$I$52,M912=phu!$I$53),"Cam Linh",""),IF(OR(M912=phu!$I$54,M912=phu!$I$55,M912=phu!$I$56,M912=phu!$I$57,M912=phu!$I$58,M912=phu!$I$59,M912=phu!$I$60,M912=phu!$I$61,M912=phu!$I$62),"Cam Lợi",""),IF(OR(M912=phu!$I$63,M912=phu!$I$64,M912=phu!$I$65,M912=phu!$I$66,M912=phu!$I$67,M912=phu!$I$68,M912=phu!$I$69,M912=phu!$I$70,M912=phu!$I$71),"Ba Ngòi",""),IF(OR(M912=phu!$I$72,M912=phu!$I$73,M912=phu!$I$74,M912=phu!$I$75,M912=phu!$I$76,M912=phu!$I$77,M912=phu!$I$78),"Cam Phước Đông",""),IF(OR(M912=phu!$I$79,M912=phu!$I$80,M912=phu!$I$81,M912=phu!$I$82,M912=phu!$I$83,M912=phu!$I$84),"Cam Thịnh Đông",""),IF(OR(M912=phu!$I$85,M912=phu!$I$86,M912=phu!$I$87,M912=phu!$I$88),"Cam Thịnh Tây",""),IF(OR(M912=phu!$I$89,M912=phu!$I$90),"Cam Lập",""),IF(OR(M912=phu!$I$91,M912=phu!$I$92,M912=phu!$I$93),"Cam Bình",""),IF(OR(M912=phu!$I$94,M912=phu!$I$95,M912=phu!$I$96,M912=phu!$I$97,M912=phu!$I$98,M912=phu!$I$99,M912=phu!$I$100),"Huyện khác",""),IF(OR(M912=phu!$I$101,M912=phu!$I$102),"Tỉnh khác",""))</f>
        <v/>
      </c>
      <c r="O912" s="829" t="str">
        <f t="shared" si="84"/>
        <v/>
      </c>
      <c r="P912" s="254"/>
      <c r="Q912" s="254"/>
      <c r="R912" s="254"/>
      <c r="S912" s="254"/>
      <c r="T912" s="254"/>
      <c r="U912" s="254"/>
      <c r="V912" s="254"/>
      <c r="W912" s="254"/>
      <c r="Y912" s="246" t="str">
        <f t="shared" si="85"/>
        <v/>
      </c>
      <c r="Z912" s="247" t="str">
        <f t="shared" si="89"/>
        <v/>
      </c>
      <c r="AA912" s="246" t="str">
        <f t="shared" si="86"/>
        <v/>
      </c>
    </row>
    <row r="913" spans="1:27" x14ac:dyDescent="0.25">
      <c r="A913" s="248" t="str">
        <f t="shared" si="87"/>
        <v/>
      </c>
      <c r="B913" s="249" t="str">
        <f t="shared" si="88"/>
        <v/>
      </c>
      <c r="C913" s="250"/>
      <c r="D913" s="251"/>
      <c r="E913" s="241"/>
      <c r="F913" s="252"/>
      <c r="G913" s="252"/>
      <c r="H913" s="253"/>
      <c r="I913" s="250"/>
      <c r="J913" s="250"/>
      <c r="K913" s="270"/>
      <c r="L913" s="250"/>
      <c r="M913" s="250"/>
      <c r="N913" s="540" t="str">
        <f>CONCATENATE(IF(OR(M913=phu!$I$1,M913=phu!$I$2,M913=phu!$I$3),"Cam Thành Nam",""),IF(OR(M913=phu!$I$4,M913=phu!$I$5,M913=phu!$I$6,M913=phu!$I$7,M913=phu!$I$8,M913=phu!$I$9,M913=phu!$I$10,M913=phu!$I$11,M913=phu!$I$12,M913=phu!$I$13,M913=phu!$I$14),"Cam Nghĩa",""),IF(OR(M913=phu!$I$15,M913=phu!$I$16,M913=phu!$I$17,M913=phu!$I$18,M913=phu!$I$19,M913=phu!$I$20,M913=phu!$I$21),"Cam Phúc Bắc",""),IF(OR(M913=phu!$I$22,M913=phu!$I$23,M913=phu!$I$24,M913=phu!$I$25),"Cam Phúc Nam",""),IF(OR(M913=phu!$I$26,M913=phu!$I$27,M913=phu!$I$28,M913=phu!$I$29,M913=phu!$I$30,M913=phu!$I$31),"Cam Phú",""),IF(OR(M913=phu!$I$32,M913=phu!$I$33,M913=phu!$I$34,M913=phu!$I$35,M913=phu!$I$36,M913=phu!$I$37),"Cam Lộc",""),IF(OR(M913=phu!$I$38,M913=phu!$I$39,M913=phu!$I$40,M913=phu!$I$41,M913=phu!$I$42,M913=phu!$I$43,M913=phu!$I$44),"Cam Thuận",""),IF(OR(M913=phu!$I$45,M913=phu!$I$46,M913=phu!$I$47,M913=phu!$I$48,M913=phu!$I$49,M913=phu!$I$50,M913=phu!$I$51,M913=phu!$I$52,M913=phu!$I$53),"Cam Linh",""),IF(OR(M913=phu!$I$54,M913=phu!$I$55,M913=phu!$I$56,M913=phu!$I$57,M913=phu!$I$58,M913=phu!$I$59,M913=phu!$I$60,M913=phu!$I$61,M913=phu!$I$62),"Cam Lợi",""),IF(OR(M913=phu!$I$63,M913=phu!$I$64,M913=phu!$I$65,M913=phu!$I$66,M913=phu!$I$67,M913=phu!$I$68,M913=phu!$I$69,M913=phu!$I$70,M913=phu!$I$71),"Ba Ngòi",""),IF(OR(M913=phu!$I$72,M913=phu!$I$73,M913=phu!$I$74,M913=phu!$I$75,M913=phu!$I$76,M913=phu!$I$77,M913=phu!$I$78),"Cam Phước Đông",""),IF(OR(M913=phu!$I$79,M913=phu!$I$80,M913=phu!$I$81,M913=phu!$I$82,M913=phu!$I$83,M913=phu!$I$84),"Cam Thịnh Đông",""),IF(OR(M913=phu!$I$85,M913=phu!$I$86,M913=phu!$I$87,M913=phu!$I$88),"Cam Thịnh Tây",""),IF(OR(M913=phu!$I$89,M913=phu!$I$90),"Cam Lập",""),IF(OR(M913=phu!$I$91,M913=phu!$I$92,M913=phu!$I$93),"Cam Bình",""),IF(OR(M913=phu!$I$94,M913=phu!$I$95,M913=phu!$I$96,M913=phu!$I$97,M913=phu!$I$98,M913=phu!$I$99,M913=phu!$I$100),"Huyện khác",""),IF(OR(M913=phu!$I$101,M913=phu!$I$102),"Tỉnh khác",""))</f>
        <v/>
      </c>
      <c r="O913" s="829" t="str">
        <f t="shared" si="84"/>
        <v/>
      </c>
      <c r="P913" s="254"/>
      <c r="Q913" s="254"/>
      <c r="R913" s="254"/>
      <c r="S913" s="254"/>
      <c r="T913" s="254"/>
      <c r="U913" s="254"/>
      <c r="V913" s="254"/>
      <c r="W913" s="254"/>
      <c r="Y913" s="246" t="str">
        <f t="shared" si="85"/>
        <v/>
      </c>
      <c r="Z913" s="247" t="str">
        <f t="shared" si="89"/>
        <v/>
      </c>
      <c r="AA913" s="246" t="str">
        <f t="shared" si="86"/>
        <v/>
      </c>
    </row>
    <row r="914" spans="1:27" x14ac:dyDescent="0.25">
      <c r="A914" s="248" t="str">
        <f t="shared" si="87"/>
        <v/>
      </c>
      <c r="B914" s="249" t="str">
        <f t="shared" si="88"/>
        <v/>
      </c>
      <c r="C914" s="250"/>
      <c r="D914" s="251"/>
      <c r="E914" s="241"/>
      <c r="F914" s="252"/>
      <c r="G914" s="252"/>
      <c r="H914" s="253"/>
      <c r="I914" s="250"/>
      <c r="J914" s="250"/>
      <c r="K914" s="270"/>
      <c r="L914" s="250"/>
      <c r="M914" s="250"/>
      <c r="N914" s="540" t="str">
        <f>CONCATENATE(IF(OR(M914=phu!$I$1,M914=phu!$I$2,M914=phu!$I$3),"Cam Thành Nam",""),IF(OR(M914=phu!$I$4,M914=phu!$I$5,M914=phu!$I$6,M914=phu!$I$7,M914=phu!$I$8,M914=phu!$I$9,M914=phu!$I$10,M914=phu!$I$11,M914=phu!$I$12,M914=phu!$I$13,M914=phu!$I$14),"Cam Nghĩa",""),IF(OR(M914=phu!$I$15,M914=phu!$I$16,M914=phu!$I$17,M914=phu!$I$18,M914=phu!$I$19,M914=phu!$I$20,M914=phu!$I$21),"Cam Phúc Bắc",""),IF(OR(M914=phu!$I$22,M914=phu!$I$23,M914=phu!$I$24,M914=phu!$I$25),"Cam Phúc Nam",""),IF(OR(M914=phu!$I$26,M914=phu!$I$27,M914=phu!$I$28,M914=phu!$I$29,M914=phu!$I$30,M914=phu!$I$31),"Cam Phú",""),IF(OR(M914=phu!$I$32,M914=phu!$I$33,M914=phu!$I$34,M914=phu!$I$35,M914=phu!$I$36,M914=phu!$I$37),"Cam Lộc",""),IF(OR(M914=phu!$I$38,M914=phu!$I$39,M914=phu!$I$40,M914=phu!$I$41,M914=phu!$I$42,M914=phu!$I$43,M914=phu!$I$44),"Cam Thuận",""),IF(OR(M914=phu!$I$45,M914=phu!$I$46,M914=phu!$I$47,M914=phu!$I$48,M914=phu!$I$49,M914=phu!$I$50,M914=phu!$I$51,M914=phu!$I$52,M914=phu!$I$53),"Cam Linh",""),IF(OR(M914=phu!$I$54,M914=phu!$I$55,M914=phu!$I$56,M914=phu!$I$57,M914=phu!$I$58,M914=phu!$I$59,M914=phu!$I$60,M914=phu!$I$61,M914=phu!$I$62),"Cam Lợi",""),IF(OR(M914=phu!$I$63,M914=phu!$I$64,M914=phu!$I$65,M914=phu!$I$66,M914=phu!$I$67,M914=phu!$I$68,M914=phu!$I$69,M914=phu!$I$70,M914=phu!$I$71),"Ba Ngòi",""),IF(OR(M914=phu!$I$72,M914=phu!$I$73,M914=phu!$I$74,M914=phu!$I$75,M914=phu!$I$76,M914=phu!$I$77,M914=phu!$I$78),"Cam Phước Đông",""),IF(OR(M914=phu!$I$79,M914=phu!$I$80,M914=phu!$I$81,M914=phu!$I$82,M914=phu!$I$83,M914=phu!$I$84),"Cam Thịnh Đông",""),IF(OR(M914=phu!$I$85,M914=phu!$I$86,M914=phu!$I$87,M914=phu!$I$88),"Cam Thịnh Tây",""),IF(OR(M914=phu!$I$89,M914=phu!$I$90),"Cam Lập",""),IF(OR(M914=phu!$I$91,M914=phu!$I$92,M914=phu!$I$93),"Cam Bình",""),IF(OR(M914=phu!$I$94,M914=phu!$I$95,M914=phu!$I$96,M914=phu!$I$97,M914=phu!$I$98,M914=phu!$I$99,M914=phu!$I$100),"Huyện khác",""),IF(OR(M914=phu!$I$101,M914=phu!$I$102),"Tỉnh khác",""))</f>
        <v/>
      </c>
      <c r="O914" s="829" t="str">
        <f t="shared" si="84"/>
        <v/>
      </c>
      <c r="P914" s="254"/>
      <c r="Q914" s="254"/>
      <c r="R914" s="254"/>
      <c r="S914" s="254"/>
      <c r="T914" s="254"/>
      <c r="U914" s="254"/>
      <c r="V914" s="254"/>
      <c r="W914" s="254"/>
      <c r="Y914" s="246" t="str">
        <f t="shared" si="85"/>
        <v/>
      </c>
      <c r="Z914" s="247" t="str">
        <f t="shared" si="89"/>
        <v/>
      </c>
      <c r="AA914" s="246" t="str">
        <f t="shared" si="86"/>
        <v/>
      </c>
    </row>
    <row r="915" spans="1:27" x14ac:dyDescent="0.25">
      <c r="A915" s="248" t="str">
        <f t="shared" si="87"/>
        <v/>
      </c>
      <c r="B915" s="249" t="str">
        <f t="shared" si="88"/>
        <v/>
      </c>
      <c r="C915" s="250"/>
      <c r="D915" s="251"/>
      <c r="E915" s="241"/>
      <c r="F915" s="252"/>
      <c r="G915" s="252"/>
      <c r="H915" s="253"/>
      <c r="I915" s="250"/>
      <c r="J915" s="250"/>
      <c r="K915" s="270"/>
      <c r="L915" s="250"/>
      <c r="M915" s="250"/>
      <c r="N915" s="540" t="str">
        <f>CONCATENATE(IF(OR(M915=phu!$I$1,M915=phu!$I$2,M915=phu!$I$3),"Cam Thành Nam",""),IF(OR(M915=phu!$I$4,M915=phu!$I$5,M915=phu!$I$6,M915=phu!$I$7,M915=phu!$I$8,M915=phu!$I$9,M915=phu!$I$10,M915=phu!$I$11,M915=phu!$I$12,M915=phu!$I$13,M915=phu!$I$14),"Cam Nghĩa",""),IF(OR(M915=phu!$I$15,M915=phu!$I$16,M915=phu!$I$17,M915=phu!$I$18,M915=phu!$I$19,M915=phu!$I$20,M915=phu!$I$21),"Cam Phúc Bắc",""),IF(OR(M915=phu!$I$22,M915=phu!$I$23,M915=phu!$I$24,M915=phu!$I$25),"Cam Phúc Nam",""),IF(OR(M915=phu!$I$26,M915=phu!$I$27,M915=phu!$I$28,M915=phu!$I$29,M915=phu!$I$30,M915=phu!$I$31),"Cam Phú",""),IF(OR(M915=phu!$I$32,M915=phu!$I$33,M915=phu!$I$34,M915=phu!$I$35,M915=phu!$I$36,M915=phu!$I$37),"Cam Lộc",""),IF(OR(M915=phu!$I$38,M915=phu!$I$39,M915=phu!$I$40,M915=phu!$I$41,M915=phu!$I$42,M915=phu!$I$43,M915=phu!$I$44),"Cam Thuận",""),IF(OR(M915=phu!$I$45,M915=phu!$I$46,M915=phu!$I$47,M915=phu!$I$48,M915=phu!$I$49,M915=phu!$I$50,M915=phu!$I$51,M915=phu!$I$52,M915=phu!$I$53),"Cam Linh",""),IF(OR(M915=phu!$I$54,M915=phu!$I$55,M915=phu!$I$56,M915=phu!$I$57,M915=phu!$I$58,M915=phu!$I$59,M915=phu!$I$60,M915=phu!$I$61,M915=phu!$I$62),"Cam Lợi",""),IF(OR(M915=phu!$I$63,M915=phu!$I$64,M915=phu!$I$65,M915=phu!$I$66,M915=phu!$I$67,M915=phu!$I$68,M915=phu!$I$69,M915=phu!$I$70,M915=phu!$I$71),"Ba Ngòi",""),IF(OR(M915=phu!$I$72,M915=phu!$I$73,M915=phu!$I$74,M915=phu!$I$75,M915=phu!$I$76,M915=phu!$I$77,M915=phu!$I$78),"Cam Phước Đông",""),IF(OR(M915=phu!$I$79,M915=phu!$I$80,M915=phu!$I$81,M915=phu!$I$82,M915=phu!$I$83,M915=phu!$I$84),"Cam Thịnh Đông",""),IF(OR(M915=phu!$I$85,M915=phu!$I$86,M915=phu!$I$87,M915=phu!$I$88),"Cam Thịnh Tây",""),IF(OR(M915=phu!$I$89,M915=phu!$I$90),"Cam Lập",""),IF(OR(M915=phu!$I$91,M915=phu!$I$92,M915=phu!$I$93),"Cam Bình",""),IF(OR(M915=phu!$I$94,M915=phu!$I$95,M915=phu!$I$96,M915=phu!$I$97,M915=phu!$I$98,M915=phu!$I$99,M915=phu!$I$100),"Huyện khác",""),IF(OR(M915=phu!$I$101,M915=phu!$I$102),"Tỉnh khác",""))</f>
        <v/>
      </c>
      <c r="O915" s="829" t="str">
        <f t="shared" si="84"/>
        <v/>
      </c>
      <c r="P915" s="254"/>
      <c r="Q915" s="254"/>
      <c r="R915" s="254"/>
      <c r="S915" s="254"/>
      <c r="T915" s="254"/>
      <c r="U915" s="254"/>
      <c r="V915" s="254"/>
      <c r="W915" s="254"/>
      <c r="Y915" s="246" t="str">
        <f t="shared" si="85"/>
        <v/>
      </c>
      <c r="Z915" s="247" t="str">
        <f t="shared" si="89"/>
        <v/>
      </c>
      <c r="AA915" s="246" t="str">
        <f t="shared" si="86"/>
        <v/>
      </c>
    </row>
    <row r="916" spans="1:27" x14ac:dyDescent="0.25">
      <c r="A916" s="248" t="str">
        <f t="shared" si="87"/>
        <v/>
      </c>
      <c r="B916" s="249" t="str">
        <f t="shared" si="88"/>
        <v/>
      </c>
      <c r="C916" s="250"/>
      <c r="D916" s="251"/>
      <c r="E916" s="241"/>
      <c r="F916" s="252"/>
      <c r="G916" s="252"/>
      <c r="H916" s="253"/>
      <c r="I916" s="250"/>
      <c r="J916" s="250"/>
      <c r="K916" s="270"/>
      <c r="L916" s="250"/>
      <c r="M916" s="250"/>
      <c r="N916" s="540" t="str">
        <f>CONCATENATE(IF(OR(M916=phu!$I$1,M916=phu!$I$2,M916=phu!$I$3),"Cam Thành Nam",""),IF(OR(M916=phu!$I$4,M916=phu!$I$5,M916=phu!$I$6,M916=phu!$I$7,M916=phu!$I$8,M916=phu!$I$9,M916=phu!$I$10,M916=phu!$I$11,M916=phu!$I$12,M916=phu!$I$13,M916=phu!$I$14),"Cam Nghĩa",""),IF(OR(M916=phu!$I$15,M916=phu!$I$16,M916=phu!$I$17,M916=phu!$I$18,M916=phu!$I$19,M916=phu!$I$20,M916=phu!$I$21),"Cam Phúc Bắc",""),IF(OR(M916=phu!$I$22,M916=phu!$I$23,M916=phu!$I$24,M916=phu!$I$25),"Cam Phúc Nam",""),IF(OR(M916=phu!$I$26,M916=phu!$I$27,M916=phu!$I$28,M916=phu!$I$29,M916=phu!$I$30,M916=phu!$I$31),"Cam Phú",""),IF(OR(M916=phu!$I$32,M916=phu!$I$33,M916=phu!$I$34,M916=phu!$I$35,M916=phu!$I$36,M916=phu!$I$37),"Cam Lộc",""),IF(OR(M916=phu!$I$38,M916=phu!$I$39,M916=phu!$I$40,M916=phu!$I$41,M916=phu!$I$42,M916=phu!$I$43,M916=phu!$I$44),"Cam Thuận",""),IF(OR(M916=phu!$I$45,M916=phu!$I$46,M916=phu!$I$47,M916=phu!$I$48,M916=phu!$I$49,M916=phu!$I$50,M916=phu!$I$51,M916=phu!$I$52,M916=phu!$I$53),"Cam Linh",""),IF(OR(M916=phu!$I$54,M916=phu!$I$55,M916=phu!$I$56,M916=phu!$I$57,M916=phu!$I$58,M916=phu!$I$59,M916=phu!$I$60,M916=phu!$I$61,M916=phu!$I$62),"Cam Lợi",""),IF(OR(M916=phu!$I$63,M916=phu!$I$64,M916=phu!$I$65,M916=phu!$I$66,M916=phu!$I$67,M916=phu!$I$68,M916=phu!$I$69,M916=phu!$I$70,M916=phu!$I$71),"Ba Ngòi",""),IF(OR(M916=phu!$I$72,M916=phu!$I$73,M916=phu!$I$74,M916=phu!$I$75,M916=phu!$I$76,M916=phu!$I$77,M916=phu!$I$78),"Cam Phước Đông",""),IF(OR(M916=phu!$I$79,M916=phu!$I$80,M916=phu!$I$81,M916=phu!$I$82,M916=phu!$I$83,M916=phu!$I$84),"Cam Thịnh Đông",""),IF(OR(M916=phu!$I$85,M916=phu!$I$86,M916=phu!$I$87,M916=phu!$I$88),"Cam Thịnh Tây",""),IF(OR(M916=phu!$I$89,M916=phu!$I$90),"Cam Lập",""),IF(OR(M916=phu!$I$91,M916=phu!$I$92,M916=phu!$I$93),"Cam Bình",""),IF(OR(M916=phu!$I$94,M916=phu!$I$95,M916=phu!$I$96,M916=phu!$I$97,M916=phu!$I$98,M916=phu!$I$99,M916=phu!$I$100),"Huyện khác",""),IF(OR(M916=phu!$I$101,M916=phu!$I$102),"Tỉnh khác",""))</f>
        <v/>
      </c>
      <c r="O916" s="829" t="str">
        <f t="shared" si="84"/>
        <v/>
      </c>
      <c r="P916" s="254"/>
      <c r="Q916" s="254"/>
      <c r="R916" s="254"/>
      <c r="S916" s="254"/>
      <c r="T916" s="254"/>
      <c r="U916" s="254"/>
      <c r="V916" s="254"/>
      <c r="W916" s="254"/>
      <c r="Y916" s="246" t="str">
        <f t="shared" si="85"/>
        <v/>
      </c>
      <c r="Z916" s="247" t="str">
        <f t="shared" si="89"/>
        <v/>
      </c>
      <c r="AA916" s="246" t="str">
        <f t="shared" si="86"/>
        <v/>
      </c>
    </row>
    <row r="917" spans="1:27" x14ac:dyDescent="0.25">
      <c r="A917" s="248" t="str">
        <f t="shared" si="87"/>
        <v/>
      </c>
      <c r="B917" s="249" t="str">
        <f t="shared" si="88"/>
        <v/>
      </c>
      <c r="C917" s="250"/>
      <c r="D917" s="251"/>
      <c r="E917" s="241"/>
      <c r="F917" s="252"/>
      <c r="G917" s="252"/>
      <c r="H917" s="253"/>
      <c r="I917" s="250"/>
      <c r="J917" s="250"/>
      <c r="K917" s="270"/>
      <c r="L917" s="250"/>
      <c r="M917" s="250"/>
      <c r="N917" s="540" t="str">
        <f>CONCATENATE(IF(OR(M917=phu!$I$1,M917=phu!$I$2,M917=phu!$I$3),"Cam Thành Nam",""),IF(OR(M917=phu!$I$4,M917=phu!$I$5,M917=phu!$I$6,M917=phu!$I$7,M917=phu!$I$8,M917=phu!$I$9,M917=phu!$I$10,M917=phu!$I$11,M917=phu!$I$12,M917=phu!$I$13,M917=phu!$I$14),"Cam Nghĩa",""),IF(OR(M917=phu!$I$15,M917=phu!$I$16,M917=phu!$I$17,M917=phu!$I$18,M917=phu!$I$19,M917=phu!$I$20,M917=phu!$I$21),"Cam Phúc Bắc",""),IF(OR(M917=phu!$I$22,M917=phu!$I$23,M917=phu!$I$24,M917=phu!$I$25),"Cam Phúc Nam",""),IF(OR(M917=phu!$I$26,M917=phu!$I$27,M917=phu!$I$28,M917=phu!$I$29,M917=phu!$I$30,M917=phu!$I$31),"Cam Phú",""),IF(OR(M917=phu!$I$32,M917=phu!$I$33,M917=phu!$I$34,M917=phu!$I$35,M917=phu!$I$36,M917=phu!$I$37),"Cam Lộc",""),IF(OR(M917=phu!$I$38,M917=phu!$I$39,M917=phu!$I$40,M917=phu!$I$41,M917=phu!$I$42,M917=phu!$I$43,M917=phu!$I$44),"Cam Thuận",""),IF(OR(M917=phu!$I$45,M917=phu!$I$46,M917=phu!$I$47,M917=phu!$I$48,M917=phu!$I$49,M917=phu!$I$50,M917=phu!$I$51,M917=phu!$I$52,M917=phu!$I$53),"Cam Linh",""),IF(OR(M917=phu!$I$54,M917=phu!$I$55,M917=phu!$I$56,M917=phu!$I$57,M917=phu!$I$58,M917=phu!$I$59,M917=phu!$I$60,M917=phu!$I$61,M917=phu!$I$62),"Cam Lợi",""),IF(OR(M917=phu!$I$63,M917=phu!$I$64,M917=phu!$I$65,M917=phu!$I$66,M917=phu!$I$67,M917=phu!$I$68,M917=phu!$I$69,M917=phu!$I$70,M917=phu!$I$71),"Ba Ngòi",""),IF(OR(M917=phu!$I$72,M917=phu!$I$73,M917=phu!$I$74,M917=phu!$I$75,M917=phu!$I$76,M917=phu!$I$77,M917=phu!$I$78),"Cam Phước Đông",""),IF(OR(M917=phu!$I$79,M917=phu!$I$80,M917=phu!$I$81,M917=phu!$I$82,M917=phu!$I$83,M917=phu!$I$84),"Cam Thịnh Đông",""),IF(OR(M917=phu!$I$85,M917=phu!$I$86,M917=phu!$I$87,M917=phu!$I$88),"Cam Thịnh Tây",""),IF(OR(M917=phu!$I$89,M917=phu!$I$90),"Cam Lập",""),IF(OR(M917=phu!$I$91,M917=phu!$I$92,M917=phu!$I$93),"Cam Bình",""),IF(OR(M917=phu!$I$94,M917=phu!$I$95,M917=phu!$I$96,M917=phu!$I$97,M917=phu!$I$98,M917=phu!$I$99,M917=phu!$I$100),"Huyện khác",""),IF(OR(M917=phu!$I$101,M917=phu!$I$102),"Tỉnh khác",""))</f>
        <v/>
      </c>
      <c r="O917" s="829" t="str">
        <f t="shared" si="84"/>
        <v/>
      </c>
      <c r="P917" s="254"/>
      <c r="Q917" s="254"/>
      <c r="R917" s="254"/>
      <c r="S917" s="254"/>
      <c r="T917" s="254"/>
      <c r="U917" s="254"/>
      <c r="V917" s="254"/>
      <c r="W917" s="254"/>
      <c r="Y917" s="246" t="str">
        <f t="shared" si="85"/>
        <v/>
      </c>
      <c r="Z917" s="247" t="str">
        <f t="shared" si="89"/>
        <v/>
      </c>
      <c r="AA917" s="246" t="str">
        <f t="shared" si="86"/>
        <v/>
      </c>
    </row>
    <row r="918" spans="1:27" x14ac:dyDescent="0.25">
      <c r="A918" s="248" t="str">
        <f t="shared" si="87"/>
        <v/>
      </c>
      <c r="B918" s="249" t="str">
        <f t="shared" si="88"/>
        <v/>
      </c>
      <c r="C918" s="250"/>
      <c r="D918" s="251"/>
      <c r="E918" s="241"/>
      <c r="F918" s="252"/>
      <c r="G918" s="252"/>
      <c r="H918" s="253"/>
      <c r="I918" s="250"/>
      <c r="J918" s="250"/>
      <c r="K918" s="270"/>
      <c r="L918" s="250"/>
      <c r="M918" s="250"/>
      <c r="N918" s="540" t="str">
        <f>CONCATENATE(IF(OR(M918=phu!$I$1,M918=phu!$I$2,M918=phu!$I$3),"Cam Thành Nam",""),IF(OR(M918=phu!$I$4,M918=phu!$I$5,M918=phu!$I$6,M918=phu!$I$7,M918=phu!$I$8,M918=phu!$I$9,M918=phu!$I$10,M918=phu!$I$11,M918=phu!$I$12,M918=phu!$I$13,M918=phu!$I$14),"Cam Nghĩa",""),IF(OR(M918=phu!$I$15,M918=phu!$I$16,M918=phu!$I$17,M918=phu!$I$18,M918=phu!$I$19,M918=phu!$I$20,M918=phu!$I$21),"Cam Phúc Bắc",""),IF(OR(M918=phu!$I$22,M918=phu!$I$23,M918=phu!$I$24,M918=phu!$I$25),"Cam Phúc Nam",""),IF(OR(M918=phu!$I$26,M918=phu!$I$27,M918=phu!$I$28,M918=phu!$I$29,M918=phu!$I$30,M918=phu!$I$31),"Cam Phú",""),IF(OR(M918=phu!$I$32,M918=phu!$I$33,M918=phu!$I$34,M918=phu!$I$35,M918=phu!$I$36,M918=phu!$I$37),"Cam Lộc",""),IF(OR(M918=phu!$I$38,M918=phu!$I$39,M918=phu!$I$40,M918=phu!$I$41,M918=phu!$I$42,M918=phu!$I$43,M918=phu!$I$44),"Cam Thuận",""),IF(OR(M918=phu!$I$45,M918=phu!$I$46,M918=phu!$I$47,M918=phu!$I$48,M918=phu!$I$49,M918=phu!$I$50,M918=phu!$I$51,M918=phu!$I$52,M918=phu!$I$53),"Cam Linh",""),IF(OR(M918=phu!$I$54,M918=phu!$I$55,M918=phu!$I$56,M918=phu!$I$57,M918=phu!$I$58,M918=phu!$I$59,M918=phu!$I$60,M918=phu!$I$61,M918=phu!$I$62),"Cam Lợi",""),IF(OR(M918=phu!$I$63,M918=phu!$I$64,M918=phu!$I$65,M918=phu!$I$66,M918=phu!$I$67,M918=phu!$I$68,M918=phu!$I$69,M918=phu!$I$70,M918=phu!$I$71),"Ba Ngòi",""),IF(OR(M918=phu!$I$72,M918=phu!$I$73,M918=phu!$I$74,M918=phu!$I$75,M918=phu!$I$76,M918=phu!$I$77,M918=phu!$I$78),"Cam Phước Đông",""),IF(OR(M918=phu!$I$79,M918=phu!$I$80,M918=phu!$I$81,M918=phu!$I$82,M918=phu!$I$83,M918=phu!$I$84),"Cam Thịnh Đông",""),IF(OR(M918=phu!$I$85,M918=phu!$I$86,M918=phu!$I$87,M918=phu!$I$88),"Cam Thịnh Tây",""),IF(OR(M918=phu!$I$89,M918=phu!$I$90),"Cam Lập",""),IF(OR(M918=phu!$I$91,M918=phu!$I$92,M918=phu!$I$93),"Cam Bình",""),IF(OR(M918=phu!$I$94,M918=phu!$I$95,M918=phu!$I$96,M918=phu!$I$97,M918=phu!$I$98,M918=phu!$I$99,M918=phu!$I$100),"Huyện khác",""),IF(OR(M918=phu!$I$101,M918=phu!$I$102),"Tỉnh khác",""))</f>
        <v/>
      </c>
      <c r="O918" s="829" t="str">
        <f t="shared" si="84"/>
        <v/>
      </c>
      <c r="P918" s="254"/>
      <c r="Q918" s="254"/>
      <c r="R918" s="254"/>
      <c r="S918" s="254"/>
      <c r="T918" s="254"/>
      <c r="U918" s="254"/>
      <c r="V918" s="254"/>
      <c r="W918" s="254"/>
      <c r="Y918" s="246" t="str">
        <f t="shared" si="85"/>
        <v/>
      </c>
      <c r="Z918" s="247" t="str">
        <f t="shared" si="89"/>
        <v/>
      </c>
      <c r="AA918" s="246" t="str">
        <f t="shared" si="86"/>
        <v/>
      </c>
    </row>
    <row r="919" spans="1:27" x14ac:dyDescent="0.25">
      <c r="A919" s="248" t="str">
        <f t="shared" si="87"/>
        <v/>
      </c>
      <c r="B919" s="249" t="str">
        <f t="shared" si="88"/>
        <v/>
      </c>
      <c r="C919" s="250"/>
      <c r="D919" s="251"/>
      <c r="E919" s="241"/>
      <c r="F919" s="252"/>
      <c r="G919" s="252"/>
      <c r="H919" s="253"/>
      <c r="I919" s="250"/>
      <c r="J919" s="250"/>
      <c r="K919" s="270"/>
      <c r="L919" s="250"/>
      <c r="M919" s="250"/>
      <c r="N919" s="540" t="str">
        <f>CONCATENATE(IF(OR(M919=phu!$I$1,M919=phu!$I$2,M919=phu!$I$3),"Cam Thành Nam",""),IF(OR(M919=phu!$I$4,M919=phu!$I$5,M919=phu!$I$6,M919=phu!$I$7,M919=phu!$I$8,M919=phu!$I$9,M919=phu!$I$10,M919=phu!$I$11,M919=phu!$I$12,M919=phu!$I$13,M919=phu!$I$14),"Cam Nghĩa",""),IF(OR(M919=phu!$I$15,M919=phu!$I$16,M919=phu!$I$17,M919=phu!$I$18,M919=phu!$I$19,M919=phu!$I$20,M919=phu!$I$21),"Cam Phúc Bắc",""),IF(OR(M919=phu!$I$22,M919=phu!$I$23,M919=phu!$I$24,M919=phu!$I$25),"Cam Phúc Nam",""),IF(OR(M919=phu!$I$26,M919=phu!$I$27,M919=phu!$I$28,M919=phu!$I$29,M919=phu!$I$30,M919=phu!$I$31),"Cam Phú",""),IF(OR(M919=phu!$I$32,M919=phu!$I$33,M919=phu!$I$34,M919=phu!$I$35,M919=phu!$I$36,M919=phu!$I$37),"Cam Lộc",""),IF(OR(M919=phu!$I$38,M919=phu!$I$39,M919=phu!$I$40,M919=phu!$I$41,M919=phu!$I$42,M919=phu!$I$43,M919=phu!$I$44),"Cam Thuận",""),IF(OR(M919=phu!$I$45,M919=phu!$I$46,M919=phu!$I$47,M919=phu!$I$48,M919=phu!$I$49,M919=phu!$I$50,M919=phu!$I$51,M919=phu!$I$52,M919=phu!$I$53),"Cam Linh",""),IF(OR(M919=phu!$I$54,M919=phu!$I$55,M919=phu!$I$56,M919=phu!$I$57,M919=phu!$I$58,M919=phu!$I$59,M919=phu!$I$60,M919=phu!$I$61,M919=phu!$I$62),"Cam Lợi",""),IF(OR(M919=phu!$I$63,M919=phu!$I$64,M919=phu!$I$65,M919=phu!$I$66,M919=phu!$I$67,M919=phu!$I$68,M919=phu!$I$69,M919=phu!$I$70,M919=phu!$I$71),"Ba Ngòi",""),IF(OR(M919=phu!$I$72,M919=phu!$I$73,M919=phu!$I$74,M919=phu!$I$75,M919=phu!$I$76,M919=phu!$I$77,M919=phu!$I$78),"Cam Phước Đông",""),IF(OR(M919=phu!$I$79,M919=phu!$I$80,M919=phu!$I$81,M919=phu!$I$82,M919=phu!$I$83,M919=phu!$I$84),"Cam Thịnh Đông",""),IF(OR(M919=phu!$I$85,M919=phu!$I$86,M919=phu!$I$87,M919=phu!$I$88),"Cam Thịnh Tây",""),IF(OR(M919=phu!$I$89,M919=phu!$I$90),"Cam Lập",""),IF(OR(M919=phu!$I$91,M919=phu!$I$92,M919=phu!$I$93),"Cam Bình",""),IF(OR(M919=phu!$I$94,M919=phu!$I$95,M919=phu!$I$96,M919=phu!$I$97,M919=phu!$I$98,M919=phu!$I$99,M919=phu!$I$100),"Huyện khác",""),IF(OR(M919=phu!$I$101,M919=phu!$I$102),"Tỉnh khác",""))</f>
        <v/>
      </c>
      <c r="O919" s="829" t="str">
        <f t="shared" si="84"/>
        <v/>
      </c>
      <c r="P919" s="254"/>
      <c r="Q919" s="254"/>
      <c r="R919" s="254"/>
      <c r="S919" s="254"/>
      <c r="T919" s="254"/>
      <c r="U919" s="254"/>
      <c r="V919" s="254"/>
      <c r="W919" s="254"/>
      <c r="Y919" s="246" t="str">
        <f t="shared" si="85"/>
        <v/>
      </c>
      <c r="Z919" s="247" t="str">
        <f t="shared" si="89"/>
        <v/>
      </c>
      <c r="AA919" s="246" t="str">
        <f t="shared" si="86"/>
        <v/>
      </c>
    </row>
    <row r="920" spans="1:27" x14ac:dyDescent="0.25">
      <c r="A920" s="248" t="str">
        <f t="shared" si="87"/>
        <v/>
      </c>
      <c r="B920" s="249" t="str">
        <f t="shared" si="88"/>
        <v/>
      </c>
      <c r="C920" s="250"/>
      <c r="D920" s="251"/>
      <c r="E920" s="241"/>
      <c r="F920" s="252"/>
      <c r="G920" s="252"/>
      <c r="H920" s="253"/>
      <c r="I920" s="250"/>
      <c r="J920" s="250"/>
      <c r="K920" s="270"/>
      <c r="L920" s="250"/>
      <c r="M920" s="250"/>
      <c r="N920" s="540" t="str">
        <f>CONCATENATE(IF(OR(M920=phu!$I$1,M920=phu!$I$2,M920=phu!$I$3),"Cam Thành Nam",""),IF(OR(M920=phu!$I$4,M920=phu!$I$5,M920=phu!$I$6,M920=phu!$I$7,M920=phu!$I$8,M920=phu!$I$9,M920=phu!$I$10,M920=phu!$I$11,M920=phu!$I$12,M920=phu!$I$13,M920=phu!$I$14),"Cam Nghĩa",""),IF(OR(M920=phu!$I$15,M920=phu!$I$16,M920=phu!$I$17,M920=phu!$I$18,M920=phu!$I$19,M920=phu!$I$20,M920=phu!$I$21),"Cam Phúc Bắc",""),IF(OR(M920=phu!$I$22,M920=phu!$I$23,M920=phu!$I$24,M920=phu!$I$25),"Cam Phúc Nam",""),IF(OR(M920=phu!$I$26,M920=phu!$I$27,M920=phu!$I$28,M920=phu!$I$29,M920=phu!$I$30,M920=phu!$I$31),"Cam Phú",""),IF(OR(M920=phu!$I$32,M920=phu!$I$33,M920=phu!$I$34,M920=phu!$I$35,M920=phu!$I$36,M920=phu!$I$37),"Cam Lộc",""),IF(OR(M920=phu!$I$38,M920=phu!$I$39,M920=phu!$I$40,M920=phu!$I$41,M920=phu!$I$42,M920=phu!$I$43,M920=phu!$I$44),"Cam Thuận",""),IF(OR(M920=phu!$I$45,M920=phu!$I$46,M920=phu!$I$47,M920=phu!$I$48,M920=phu!$I$49,M920=phu!$I$50,M920=phu!$I$51,M920=phu!$I$52,M920=phu!$I$53),"Cam Linh",""),IF(OR(M920=phu!$I$54,M920=phu!$I$55,M920=phu!$I$56,M920=phu!$I$57,M920=phu!$I$58,M920=phu!$I$59,M920=phu!$I$60,M920=phu!$I$61,M920=phu!$I$62),"Cam Lợi",""),IF(OR(M920=phu!$I$63,M920=phu!$I$64,M920=phu!$I$65,M920=phu!$I$66,M920=phu!$I$67,M920=phu!$I$68,M920=phu!$I$69,M920=phu!$I$70,M920=phu!$I$71),"Ba Ngòi",""),IF(OR(M920=phu!$I$72,M920=phu!$I$73,M920=phu!$I$74,M920=phu!$I$75,M920=phu!$I$76,M920=phu!$I$77,M920=phu!$I$78),"Cam Phước Đông",""),IF(OR(M920=phu!$I$79,M920=phu!$I$80,M920=phu!$I$81,M920=phu!$I$82,M920=phu!$I$83,M920=phu!$I$84),"Cam Thịnh Đông",""),IF(OR(M920=phu!$I$85,M920=phu!$I$86,M920=phu!$I$87,M920=phu!$I$88),"Cam Thịnh Tây",""),IF(OR(M920=phu!$I$89,M920=phu!$I$90),"Cam Lập",""),IF(OR(M920=phu!$I$91,M920=phu!$I$92,M920=phu!$I$93),"Cam Bình",""),IF(OR(M920=phu!$I$94,M920=phu!$I$95,M920=phu!$I$96,M920=phu!$I$97,M920=phu!$I$98,M920=phu!$I$99,M920=phu!$I$100),"Huyện khác",""),IF(OR(M920=phu!$I$101,M920=phu!$I$102),"Tỉnh khác",""))</f>
        <v/>
      </c>
      <c r="O920" s="829" t="str">
        <f t="shared" si="84"/>
        <v/>
      </c>
      <c r="P920" s="254"/>
      <c r="Q920" s="254"/>
      <c r="R920" s="254"/>
      <c r="S920" s="254"/>
      <c r="T920" s="254"/>
      <c r="U920" s="254"/>
      <c r="V920" s="254"/>
      <c r="W920" s="254"/>
      <c r="Y920" s="246" t="str">
        <f t="shared" si="85"/>
        <v/>
      </c>
      <c r="Z920" s="247" t="str">
        <f t="shared" si="89"/>
        <v/>
      </c>
      <c r="AA920" s="246" t="str">
        <f t="shared" si="86"/>
        <v/>
      </c>
    </row>
    <row r="921" spans="1:27" x14ac:dyDescent="0.25">
      <c r="A921" s="248" t="str">
        <f t="shared" si="87"/>
        <v/>
      </c>
      <c r="B921" s="249" t="str">
        <f t="shared" si="88"/>
        <v/>
      </c>
      <c r="C921" s="250"/>
      <c r="D921" s="251"/>
      <c r="E921" s="241"/>
      <c r="F921" s="252"/>
      <c r="G921" s="252"/>
      <c r="H921" s="253"/>
      <c r="I921" s="250"/>
      <c r="J921" s="250"/>
      <c r="K921" s="270"/>
      <c r="L921" s="250"/>
      <c r="M921" s="250"/>
      <c r="N921" s="540" t="str">
        <f>CONCATENATE(IF(OR(M921=phu!$I$1,M921=phu!$I$2,M921=phu!$I$3),"Cam Thành Nam",""),IF(OR(M921=phu!$I$4,M921=phu!$I$5,M921=phu!$I$6,M921=phu!$I$7,M921=phu!$I$8,M921=phu!$I$9,M921=phu!$I$10,M921=phu!$I$11,M921=phu!$I$12,M921=phu!$I$13,M921=phu!$I$14),"Cam Nghĩa",""),IF(OR(M921=phu!$I$15,M921=phu!$I$16,M921=phu!$I$17,M921=phu!$I$18,M921=phu!$I$19,M921=phu!$I$20,M921=phu!$I$21),"Cam Phúc Bắc",""),IF(OR(M921=phu!$I$22,M921=phu!$I$23,M921=phu!$I$24,M921=phu!$I$25),"Cam Phúc Nam",""),IF(OR(M921=phu!$I$26,M921=phu!$I$27,M921=phu!$I$28,M921=phu!$I$29,M921=phu!$I$30,M921=phu!$I$31),"Cam Phú",""),IF(OR(M921=phu!$I$32,M921=phu!$I$33,M921=phu!$I$34,M921=phu!$I$35,M921=phu!$I$36,M921=phu!$I$37),"Cam Lộc",""),IF(OR(M921=phu!$I$38,M921=phu!$I$39,M921=phu!$I$40,M921=phu!$I$41,M921=phu!$I$42,M921=phu!$I$43,M921=phu!$I$44),"Cam Thuận",""),IF(OR(M921=phu!$I$45,M921=phu!$I$46,M921=phu!$I$47,M921=phu!$I$48,M921=phu!$I$49,M921=phu!$I$50,M921=phu!$I$51,M921=phu!$I$52,M921=phu!$I$53),"Cam Linh",""),IF(OR(M921=phu!$I$54,M921=phu!$I$55,M921=phu!$I$56,M921=phu!$I$57,M921=phu!$I$58,M921=phu!$I$59,M921=phu!$I$60,M921=phu!$I$61,M921=phu!$I$62),"Cam Lợi",""),IF(OR(M921=phu!$I$63,M921=phu!$I$64,M921=phu!$I$65,M921=phu!$I$66,M921=phu!$I$67,M921=phu!$I$68,M921=phu!$I$69,M921=phu!$I$70,M921=phu!$I$71),"Ba Ngòi",""),IF(OR(M921=phu!$I$72,M921=phu!$I$73,M921=phu!$I$74,M921=phu!$I$75,M921=phu!$I$76,M921=phu!$I$77,M921=phu!$I$78),"Cam Phước Đông",""),IF(OR(M921=phu!$I$79,M921=phu!$I$80,M921=phu!$I$81,M921=phu!$I$82,M921=phu!$I$83,M921=phu!$I$84),"Cam Thịnh Đông",""),IF(OR(M921=phu!$I$85,M921=phu!$I$86,M921=phu!$I$87,M921=phu!$I$88),"Cam Thịnh Tây",""),IF(OR(M921=phu!$I$89,M921=phu!$I$90),"Cam Lập",""),IF(OR(M921=phu!$I$91,M921=phu!$I$92,M921=phu!$I$93),"Cam Bình",""),IF(OR(M921=phu!$I$94,M921=phu!$I$95,M921=phu!$I$96,M921=phu!$I$97,M921=phu!$I$98,M921=phu!$I$99,M921=phu!$I$100),"Huyện khác",""),IF(OR(M921=phu!$I$101,M921=phu!$I$102),"Tỉnh khác",""))</f>
        <v/>
      </c>
      <c r="O921" s="829" t="str">
        <f t="shared" si="84"/>
        <v/>
      </c>
      <c r="P921" s="254"/>
      <c r="Q921" s="254"/>
      <c r="R921" s="254"/>
      <c r="S921" s="254"/>
      <c r="T921" s="254"/>
      <c r="U921" s="254"/>
      <c r="V921" s="254"/>
      <c r="W921" s="254"/>
      <c r="Y921" s="246" t="str">
        <f t="shared" si="85"/>
        <v/>
      </c>
      <c r="Z921" s="247" t="str">
        <f t="shared" si="89"/>
        <v/>
      </c>
      <c r="AA921" s="246" t="str">
        <f t="shared" si="86"/>
        <v/>
      </c>
    </row>
    <row r="922" spans="1:27" x14ac:dyDescent="0.25">
      <c r="A922" s="248" t="str">
        <f t="shared" si="87"/>
        <v/>
      </c>
      <c r="B922" s="249" t="str">
        <f t="shared" si="88"/>
        <v/>
      </c>
      <c r="C922" s="250"/>
      <c r="D922" s="251"/>
      <c r="E922" s="241"/>
      <c r="F922" s="252"/>
      <c r="G922" s="252"/>
      <c r="H922" s="253"/>
      <c r="I922" s="250"/>
      <c r="J922" s="250"/>
      <c r="K922" s="270"/>
      <c r="L922" s="250"/>
      <c r="M922" s="250"/>
      <c r="N922" s="540" t="str">
        <f>CONCATENATE(IF(OR(M922=phu!$I$1,M922=phu!$I$2,M922=phu!$I$3),"Cam Thành Nam",""),IF(OR(M922=phu!$I$4,M922=phu!$I$5,M922=phu!$I$6,M922=phu!$I$7,M922=phu!$I$8,M922=phu!$I$9,M922=phu!$I$10,M922=phu!$I$11,M922=phu!$I$12,M922=phu!$I$13,M922=phu!$I$14),"Cam Nghĩa",""),IF(OR(M922=phu!$I$15,M922=phu!$I$16,M922=phu!$I$17,M922=phu!$I$18,M922=phu!$I$19,M922=phu!$I$20,M922=phu!$I$21),"Cam Phúc Bắc",""),IF(OR(M922=phu!$I$22,M922=phu!$I$23,M922=phu!$I$24,M922=phu!$I$25),"Cam Phúc Nam",""),IF(OR(M922=phu!$I$26,M922=phu!$I$27,M922=phu!$I$28,M922=phu!$I$29,M922=phu!$I$30,M922=phu!$I$31),"Cam Phú",""),IF(OR(M922=phu!$I$32,M922=phu!$I$33,M922=phu!$I$34,M922=phu!$I$35,M922=phu!$I$36,M922=phu!$I$37),"Cam Lộc",""),IF(OR(M922=phu!$I$38,M922=phu!$I$39,M922=phu!$I$40,M922=phu!$I$41,M922=phu!$I$42,M922=phu!$I$43,M922=phu!$I$44),"Cam Thuận",""),IF(OR(M922=phu!$I$45,M922=phu!$I$46,M922=phu!$I$47,M922=phu!$I$48,M922=phu!$I$49,M922=phu!$I$50,M922=phu!$I$51,M922=phu!$I$52,M922=phu!$I$53),"Cam Linh",""),IF(OR(M922=phu!$I$54,M922=phu!$I$55,M922=phu!$I$56,M922=phu!$I$57,M922=phu!$I$58,M922=phu!$I$59,M922=phu!$I$60,M922=phu!$I$61,M922=phu!$I$62),"Cam Lợi",""),IF(OR(M922=phu!$I$63,M922=phu!$I$64,M922=phu!$I$65,M922=phu!$I$66,M922=phu!$I$67,M922=phu!$I$68,M922=phu!$I$69,M922=phu!$I$70,M922=phu!$I$71),"Ba Ngòi",""),IF(OR(M922=phu!$I$72,M922=phu!$I$73,M922=phu!$I$74,M922=phu!$I$75,M922=phu!$I$76,M922=phu!$I$77,M922=phu!$I$78),"Cam Phước Đông",""),IF(OR(M922=phu!$I$79,M922=phu!$I$80,M922=phu!$I$81,M922=phu!$I$82,M922=phu!$I$83,M922=phu!$I$84),"Cam Thịnh Đông",""),IF(OR(M922=phu!$I$85,M922=phu!$I$86,M922=phu!$I$87,M922=phu!$I$88),"Cam Thịnh Tây",""),IF(OR(M922=phu!$I$89,M922=phu!$I$90),"Cam Lập",""),IF(OR(M922=phu!$I$91,M922=phu!$I$92,M922=phu!$I$93),"Cam Bình",""),IF(OR(M922=phu!$I$94,M922=phu!$I$95,M922=phu!$I$96,M922=phu!$I$97,M922=phu!$I$98,M922=phu!$I$99,M922=phu!$I$100),"Huyện khác",""),IF(OR(M922=phu!$I$101,M922=phu!$I$102),"Tỉnh khác",""))</f>
        <v/>
      </c>
      <c r="O922" s="829" t="str">
        <f t="shared" si="84"/>
        <v/>
      </c>
      <c r="P922" s="254"/>
      <c r="Q922" s="254"/>
      <c r="R922" s="254"/>
      <c r="S922" s="254"/>
      <c r="T922" s="254"/>
      <c r="U922" s="254"/>
      <c r="V922" s="254"/>
      <c r="W922" s="254"/>
      <c r="Y922" s="246" t="str">
        <f t="shared" si="85"/>
        <v/>
      </c>
      <c r="Z922" s="247" t="str">
        <f t="shared" si="89"/>
        <v/>
      </c>
      <c r="AA922" s="246" t="str">
        <f t="shared" si="86"/>
        <v/>
      </c>
    </row>
    <row r="923" spans="1:27" x14ac:dyDescent="0.25">
      <c r="A923" s="248" t="str">
        <f t="shared" si="87"/>
        <v/>
      </c>
      <c r="B923" s="249" t="str">
        <f t="shared" si="88"/>
        <v/>
      </c>
      <c r="C923" s="250"/>
      <c r="D923" s="251"/>
      <c r="E923" s="241"/>
      <c r="F923" s="252"/>
      <c r="G923" s="252"/>
      <c r="H923" s="253"/>
      <c r="I923" s="250"/>
      <c r="J923" s="250"/>
      <c r="K923" s="270"/>
      <c r="L923" s="250"/>
      <c r="M923" s="250"/>
      <c r="N923" s="540" t="str">
        <f>CONCATENATE(IF(OR(M923=phu!$I$1,M923=phu!$I$2,M923=phu!$I$3),"Cam Thành Nam",""),IF(OR(M923=phu!$I$4,M923=phu!$I$5,M923=phu!$I$6,M923=phu!$I$7,M923=phu!$I$8,M923=phu!$I$9,M923=phu!$I$10,M923=phu!$I$11,M923=phu!$I$12,M923=phu!$I$13,M923=phu!$I$14),"Cam Nghĩa",""),IF(OR(M923=phu!$I$15,M923=phu!$I$16,M923=phu!$I$17,M923=phu!$I$18,M923=phu!$I$19,M923=phu!$I$20,M923=phu!$I$21),"Cam Phúc Bắc",""),IF(OR(M923=phu!$I$22,M923=phu!$I$23,M923=phu!$I$24,M923=phu!$I$25),"Cam Phúc Nam",""),IF(OR(M923=phu!$I$26,M923=phu!$I$27,M923=phu!$I$28,M923=phu!$I$29,M923=phu!$I$30,M923=phu!$I$31),"Cam Phú",""),IF(OR(M923=phu!$I$32,M923=phu!$I$33,M923=phu!$I$34,M923=phu!$I$35,M923=phu!$I$36,M923=phu!$I$37),"Cam Lộc",""),IF(OR(M923=phu!$I$38,M923=phu!$I$39,M923=phu!$I$40,M923=phu!$I$41,M923=phu!$I$42,M923=phu!$I$43,M923=phu!$I$44),"Cam Thuận",""),IF(OR(M923=phu!$I$45,M923=phu!$I$46,M923=phu!$I$47,M923=phu!$I$48,M923=phu!$I$49,M923=phu!$I$50,M923=phu!$I$51,M923=phu!$I$52,M923=phu!$I$53),"Cam Linh",""),IF(OR(M923=phu!$I$54,M923=phu!$I$55,M923=phu!$I$56,M923=phu!$I$57,M923=phu!$I$58,M923=phu!$I$59,M923=phu!$I$60,M923=phu!$I$61,M923=phu!$I$62),"Cam Lợi",""),IF(OR(M923=phu!$I$63,M923=phu!$I$64,M923=phu!$I$65,M923=phu!$I$66,M923=phu!$I$67,M923=phu!$I$68,M923=phu!$I$69,M923=phu!$I$70,M923=phu!$I$71),"Ba Ngòi",""),IF(OR(M923=phu!$I$72,M923=phu!$I$73,M923=phu!$I$74,M923=phu!$I$75,M923=phu!$I$76,M923=phu!$I$77,M923=phu!$I$78),"Cam Phước Đông",""),IF(OR(M923=phu!$I$79,M923=phu!$I$80,M923=phu!$I$81,M923=phu!$I$82,M923=phu!$I$83,M923=phu!$I$84),"Cam Thịnh Đông",""),IF(OR(M923=phu!$I$85,M923=phu!$I$86,M923=phu!$I$87,M923=phu!$I$88),"Cam Thịnh Tây",""),IF(OR(M923=phu!$I$89,M923=phu!$I$90),"Cam Lập",""),IF(OR(M923=phu!$I$91,M923=phu!$I$92,M923=phu!$I$93),"Cam Bình",""),IF(OR(M923=phu!$I$94,M923=phu!$I$95,M923=phu!$I$96,M923=phu!$I$97,M923=phu!$I$98,M923=phu!$I$99,M923=phu!$I$100),"Huyện khác",""),IF(OR(M923=phu!$I$101,M923=phu!$I$102),"Tỉnh khác",""))</f>
        <v/>
      </c>
      <c r="O923" s="829" t="str">
        <f t="shared" si="84"/>
        <v/>
      </c>
      <c r="P923" s="254"/>
      <c r="Q923" s="254"/>
      <c r="R923" s="254"/>
      <c r="S923" s="254"/>
      <c r="T923" s="254"/>
      <c r="U923" s="254"/>
      <c r="V923" s="254"/>
      <c r="W923" s="254"/>
      <c r="Y923" s="246" t="str">
        <f t="shared" si="85"/>
        <v/>
      </c>
      <c r="Z923" s="247" t="str">
        <f t="shared" si="89"/>
        <v/>
      </c>
      <c r="AA923" s="246" t="str">
        <f t="shared" si="86"/>
        <v/>
      </c>
    </row>
    <row r="924" spans="1:27" x14ac:dyDescent="0.25">
      <c r="A924" s="248" t="str">
        <f t="shared" si="87"/>
        <v/>
      </c>
      <c r="B924" s="249" t="str">
        <f t="shared" si="88"/>
        <v/>
      </c>
      <c r="C924" s="250"/>
      <c r="D924" s="251"/>
      <c r="E924" s="241"/>
      <c r="F924" s="252"/>
      <c r="G924" s="252"/>
      <c r="H924" s="253"/>
      <c r="I924" s="250"/>
      <c r="J924" s="250"/>
      <c r="K924" s="270"/>
      <c r="L924" s="250"/>
      <c r="M924" s="250"/>
      <c r="N924" s="540" t="str">
        <f>CONCATENATE(IF(OR(M924=phu!$I$1,M924=phu!$I$2,M924=phu!$I$3),"Cam Thành Nam",""),IF(OR(M924=phu!$I$4,M924=phu!$I$5,M924=phu!$I$6,M924=phu!$I$7,M924=phu!$I$8,M924=phu!$I$9,M924=phu!$I$10,M924=phu!$I$11,M924=phu!$I$12,M924=phu!$I$13,M924=phu!$I$14),"Cam Nghĩa",""),IF(OR(M924=phu!$I$15,M924=phu!$I$16,M924=phu!$I$17,M924=phu!$I$18,M924=phu!$I$19,M924=phu!$I$20,M924=phu!$I$21),"Cam Phúc Bắc",""),IF(OR(M924=phu!$I$22,M924=phu!$I$23,M924=phu!$I$24,M924=phu!$I$25),"Cam Phúc Nam",""),IF(OR(M924=phu!$I$26,M924=phu!$I$27,M924=phu!$I$28,M924=phu!$I$29,M924=phu!$I$30,M924=phu!$I$31),"Cam Phú",""),IF(OR(M924=phu!$I$32,M924=phu!$I$33,M924=phu!$I$34,M924=phu!$I$35,M924=phu!$I$36,M924=phu!$I$37),"Cam Lộc",""),IF(OR(M924=phu!$I$38,M924=phu!$I$39,M924=phu!$I$40,M924=phu!$I$41,M924=phu!$I$42,M924=phu!$I$43,M924=phu!$I$44),"Cam Thuận",""),IF(OR(M924=phu!$I$45,M924=phu!$I$46,M924=phu!$I$47,M924=phu!$I$48,M924=phu!$I$49,M924=phu!$I$50,M924=phu!$I$51,M924=phu!$I$52,M924=phu!$I$53),"Cam Linh",""),IF(OR(M924=phu!$I$54,M924=phu!$I$55,M924=phu!$I$56,M924=phu!$I$57,M924=phu!$I$58,M924=phu!$I$59,M924=phu!$I$60,M924=phu!$I$61,M924=phu!$I$62),"Cam Lợi",""),IF(OR(M924=phu!$I$63,M924=phu!$I$64,M924=phu!$I$65,M924=phu!$I$66,M924=phu!$I$67,M924=phu!$I$68,M924=phu!$I$69,M924=phu!$I$70,M924=phu!$I$71),"Ba Ngòi",""),IF(OR(M924=phu!$I$72,M924=phu!$I$73,M924=phu!$I$74,M924=phu!$I$75,M924=phu!$I$76,M924=phu!$I$77,M924=phu!$I$78),"Cam Phước Đông",""),IF(OR(M924=phu!$I$79,M924=phu!$I$80,M924=phu!$I$81,M924=phu!$I$82,M924=phu!$I$83,M924=phu!$I$84),"Cam Thịnh Đông",""),IF(OR(M924=phu!$I$85,M924=phu!$I$86,M924=phu!$I$87,M924=phu!$I$88),"Cam Thịnh Tây",""),IF(OR(M924=phu!$I$89,M924=phu!$I$90),"Cam Lập",""),IF(OR(M924=phu!$I$91,M924=phu!$I$92,M924=phu!$I$93),"Cam Bình",""),IF(OR(M924=phu!$I$94,M924=phu!$I$95,M924=phu!$I$96,M924=phu!$I$97,M924=phu!$I$98,M924=phu!$I$99,M924=phu!$I$100),"Huyện khác",""),IF(OR(M924=phu!$I$101,M924=phu!$I$102),"Tỉnh khác",""))</f>
        <v/>
      </c>
      <c r="O924" s="829" t="str">
        <f t="shared" si="84"/>
        <v/>
      </c>
      <c r="P924" s="254"/>
      <c r="Q924" s="254"/>
      <c r="R924" s="254"/>
      <c r="S924" s="254"/>
      <c r="T924" s="254"/>
      <c r="U924" s="254"/>
      <c r="V924" s="254"/>
      <c r="W924" s="254"/>
      <c r="Y924" s="246" t="str">
        <f t="shared" si="85"/>
        <v/>
      </c>
      <c r="Z924" s="247" t="str">
        <f t="shared" si="89"/>
        <v/>
      </c>
      <c r="AA924" s="246" t="str">
        <f t="shared" si="86"/>
        <v/>
      </c>
    </row>
    <row r="925" spans="1:27" x14ac:dyDescent="0.25">
      <c r="A925" s="248" t="str">
        <f t="shared" si="87"/>
        <v/>
      </c>
      <c r="B925" s="249" t="str">
        <f t="shared" si="88"/>
        <v/>
      </c>
      <c r="C925" s="250"/>
      <c r="D925" s="251"/>
      <c r="E925" s="241"/>
      <c r="F925" s="252"/>
      <c r="G925" s="252"/>
      <c r="H925" s="253"/>
      <c r="I925" s="250"/>
      <c r="J925" s="250"/>
      <c r="K925" s="270"/>
      <c r="L925" s="250"/>
      <c r="M925" s="250"/>
      <c r="N925" s="540" t="str">
        <f>CONCATENATE(IF(OR(M925=phu!$I$1,M925=phu!$I$2,M925=phu!$I$3),"Cam Thành Nam",""),IF(OR(M925=phu!$I$4,M925=phu!$I$5,M925=phu!$I$6,M925=phu!$I$7,M925=phu!$I$8,M925=phu!$I$9,M925=phu!$I$10,M925=phu!$I$11,M925=phu!$I$12,M925=phu!$I$13,M925=phu!$I$14),"Cam Nghĩa",""),IF(OR(M925=phu!$I$15,M925=phu!$I$16,M925=phu!$I$17,M925=phu!$I$18,M925=phu!$I$19,M925=phu!$I$20,M925=phu!$I$21),"Cam Phúc Bắc",""),IF(OR(M925=phu!$I$22,M925=phu!$I$23,M925=phu!$I$24,M925=phu!$I$25),"Cam Phúc Nam",""),IF(OR(M925=phu!$I$26,M925=phu!$I$27,M925=phu!$I$28,M925=phu!$I$29,M925=phu!$I$30,M925=phu!$I$31),"Cam Phú",""),IF(OR(M925=phu!$I$32,M925=phu!$I$33,M925=phu!$I$34,M925=phu!$I$35,M925=phu!$I$36,M925=phu!$I$37),"Cam Lộc",""),IF(OR(M925=phu!$I$38,M925=phu!$I$39,M925=phu!$I$40,M925=phu!$I$41,M925=phu!$I$42,M925=phu!$I$43,M925=phu!$I$44),"Cam Thuận",""),IF(OR(M925=phu!$I$45,M925=phu!$I$46,M925=phu!$I$47,M925=phu!$I$48,M925=phu!$I$49,M925=phu!$I$50,M925=phu!$I$51,M925=phu!$I$52,M925=phu!$I$53),"Cam Linh",""),IF(OR(M925=phu!$I$54,M925=phu!$I$55,M925=phu!$I$56,M925=phu!$I$57,M925=phu!$I$58,M925=phu!$I$59,M925=phu!$I$60,M925=phu!$I$61,M925=phu!$I$62),"Cam Lợi",""),IF(OR(M925=phu!$I$63,M925=phu!$I$64,M925=phu!$I$65,M925=phu!$I$66,M925=phu!$I$67,M925=phu!$I$68,M925=phu!$I$69,M925=phu!$I$70,M925=phu!$I$71),"Ba Ngòi",""),IF(OR(M925=phu!$I$72,M925=phu!$I$73,M925=phu!$I$74,M925=phu!$I$75,M925=phu!$I$76,M925=phu!$I$77,M925=phu!$I$78),"Cam Phước Đông",""),IF(OR(M925=phu!$I$79,M925=phu!$I$80,M925=phu!$I$81,M925=phu!$I$82,M925=phu!$I$83,M925=phu!$I$84),"Cam Thịnh Đông",""),IF(OR(M925=phu!$I$85,M925=phu!$I$86,M925=phu!$I$87,M925=phu!$I$88),"Cam Thịnh Tây",""),IF(OR(M925=phu!$I$89,M925=phu!$I$90),"Cam Lập",""),IF(OR(M925=phu!$I$91,M925=phu!$I$92,M925=phu!$I$93),"Cam Bình",""),IF(OR(M925=phu!$I$94,M925=phu!$I$95,M925=phu!$I$96,M925=phu!$I$97,M925=phu!$I$98,M925=phu!$I$99,M925=phu!$I$100),"Huyện khác",""),IF(OR(M925=phu!$I$101,M925=phu!$I$102),"Tỉnh khác",""))</f>
        <v/>
      </c>
      <c r="O925" s="829" t="str">
        <f t="shared" si="84"/>
        <v/>
      </c>
      <c r="P925" s="254"/>
      <c r="Q925" s="254"/>
      <c r="R925" s="254"/>
      <c r="S925" s="254"/>
      <c r="T925" s="254"/>
      <c r="U925" s="254"/>
      <c r="V925" s="254"/>
      <c r="W925" s="254"/>
      <c r="Y925" s="246" t="str">
        <f t="shared" si="85"/>
        <v/>
      </c>
      <c r="Z925" s="247" t="str">
        <f t="shared" si="89"/>
        <v/>
      </c>
      <c r="AA925" s="246" t="str">
        <f t="shared" si="86"/>
        <v/>
      </c>
    </row>
    <row r="926" spans="1:27" x14ac:dyDescent="0.25">
      <c r="A926" s="248" t="str">
        <f t="shared" si="87"/>
        <v/>
      </c>
      <c r="B926" s="249" t="str">
        <f t="shared" si="88"/>
        <v/>
      </c>
      <c r="C926" s="250"/>
      <c r="D926" s="251"/>
      <c r="E926" s="241"/>
      <c r="F926" s="252"/>
      <c r="G926" s="252"/>
      <c r="H926" s="253"/>
      <c r="I926" s="250"/>
      <c r="J926" s="250"/>
      <c r="K926" s="270"/>
      <c r="L926" s="250"/>
      <c r="M926" s="250"/>
      <c r="N926" s="540" t="str">
        <f>CONCATENATE(IF(OR(M926=phu!$I$1,M926=phu!$I$2,M926=phu!$I$3),"Cam Thành Nam",""),IF(OR(M926=phu!$I$4,M926=phu!$I$5,M926=phu!$I$6,M926=phu!$I$7,M926=phu!$I$8,M926=phu!$I$9,M926=phu!$I$10,M926=phu!$I$11,M926=phu!$I$12,M926=phu!$I$13,M926=phu!$I$14),"Cam Nghĩa",""),IF(OR(M926=phu!$I$15,M926=phu!$I$16,M926=phu!$I$17,M926=phu!$I$18,M926=phu!$I$19,M926=phu!$I$20,M926=phu!$I$21),"Cam Phúc Bắc",""),IF(OR(M926=phu!$I$22,M926=phu!$I$23,M926=phu!$I$24,M926=phu!$I$25),"Cam Phúc Nam",""),IF(OR(M926=phu!$I$26,M926=phu!$I$27,M926=phu!$I$28,M926=phu!$I$29,M926=phu!$I$30,M926=phu!$I$31),"Cam Phú",""),IF(OR(M926=phu!$I$32,M926=phu!$I$33,M926=phu!$I$34,M926=phu!$I$35,M926=phu!$I$36,M926=phu!$I$37),"Cam Lộc",""),IF(OR(M926=phu!$I$38,M926=phu!$I$39,M926=phu!$I$40,M926=phu!$I$41,M926=phu!$I$42,M926=phu!$I$43,M926=phu!$I$44),"Cam Thuận",""),IF(OR(M926=phu!$I$45,M926=phu!$I$46,M926=phu!$I$47,M926=phu!$I$48,M926=phu!$I$49,M926=phu!$I$50,M926=phu!$I$51,M926=phu!$I$52,M926=phu!$I$53),"Cam Linh",""),IF(OR(M926=phu!$I$54,M926=phu!$I$55,M926=phu!$I$56,M926=phu!$I$57,M926=phu!$I$58,M926=phu!$I$59,M926=phu!$I$60,M926=phu!$I$61,M926=phu!$I$62),"Cam Lợi",""),IF(OR(M926=phu!$I$63,M926=phu!$I$64,M926=phu!$I$65,M926=phu!$I$66,M926=phu!$I$67,M926=phu!$I$68,M926=phu!$I$69,M926=phu!$I$70,M926=phu!$I$71),"Ba Ngòi",""),IF(OR(M926=phu!$I$72,M926=phu!$I$73,M926=phu!$I$74,M926=phu!$I$75,M926=phu!$I$76,M926=phu!$I$77,M926=phu!$I$78),"Cam Phước Đông",""),IF(OR(M926=phu!$I$79,M926=phu!$I$80,M926=phu!$I$81,M926=phu!$I$82,M926=phu!$I$83,M926=phu!$I$84),"Cam Thịnh Đông",""),IF(OR(M926=phu!$I$85,M926=phu!$I$86,M926=phu!$I$87,M926=phu!$I$88),"Cam Thịnh Tây",""),IF(OR(M926=phu!$I$89,M926=phu!$I$90),"Cam Lập",""),IF(OR(M926=phu!$I$91,M926=phu!$I$92,M926=phu!$I$93),"Cam Bình",""),IF(OR(M926=phu!$I$94,M926=phu!$I$95,M926=phu!$I$96,M926=phu!$I$97,M926=phu!$I$98,M926=phu!$I$99,M926=phu!$I$100),"Huyện khác",""),IF(OR(M926=phu!$I$101,M926=phu!$I$102),"Tỉnh khác",""))</f>
        <v/>
      </c>
      <c r="O926" s="829" t="str">
        <f t="shared" si="84"/>
        <v/>
      </c>
      <c r="P926" s="254"/>
      <c r="Q926" s="254"/>
      <c r="R926" s="254"/>
      <c r="S926" s="254"/>
      <c r="T926" s="254"/>
      <c r="U926" s="254"/>
      <c r="V926" s="254"/>
      <c r="W926" s="254"/>
      <c r="Y926" s="246" t="str">
        <f t="shared" si="85"/>
        <v/>
      </c>
      <c r="Z926" s="247" t="str">
        <f t="shared" si="89"/>
        <v/>
      </c>
      <c r="AA926" s="246" t="str">
        <f t="shared" si="86"/>
        <v/>
      </c>
    </row>
    <row r="927" spans="1:27" x14ac:dyDescent="0.25">
      <c r="A927" s="248" t="str">
        <f t="shared" si="87"/>
        <v/>
      </c>
      <c r="B927" s="249" t="str">
        <f t="shared" si="88"/>
        <v/>
      </c>
      <c r="C927" s="250"/>
      <c r="D927" s="251"/>
      <c r="E927" s="241"/>
      <c r="F927" s="252"/>
      <c r="G927" s="252"/>
      <c r="H927" s="253"/>
      <c r="I927" s="250"/>
      <c r="J927" s="250"/>
      <c r="K927" s="270"/>
      <c r="L927" s="250"/>
      <c r="M927" s="250"/>
      <c r="N927" s="540" t="str">
        <f>CONCATENATE(IF(OR(M927=phu!$I$1,M927=phu!$I$2,M927=phu!$I$3),"Cam Thành Nam",""),IF(OR(M927=phu!$I$4,M927=phu!$I$5,M927=phu!$I$6,M927=phu!$I$7,M927=phu!$I$8,M927=phu!$I$9,M927=phu!$I$10,M927=phu!$I$11,M927=phu!$I$12,M927=phu!$I$13,M927=phu!$I$14),"Cam Nghĩa",""),IF(OR(M927=phu!$I$15,M927=phu!$I$16,M927=phu!$I$17,M927=phu!$I$18,M927=phu!$I$19,M927=phu!$I$20,M927=phu!$I$21),"Cam Phúc Bắc",""),IF(OR(M927=phu!$I$22,M927=phu!$I$23,M927=phu!$I$24,M927=phu!$I$25),"Cam Phúc Nam",""),IF(OR(M927=phu!$I$26,M927=phu!$I$27,M927=phu!$I$28,M927=phu!$I$29,M927=phu!$I$30,M927=phu!$I$31),"Cam Phú",""),IF(OR(M927=phu!$I$32,M927=phu!$I$33,M927=phu!$I$34,M927=phu!$I$35,M927=phu!$I$36,M927=phu!$I$37),"Cam Lộc",""),IF(OR(M927=phu!$I$38,M927=phu!$I$39,M927=phu!$I$40,M927=phu!$I$41,M927=phu!$I$42,M927=phu!$I$43,M927=phu!$I$44),"Cam Thuận",""),IF(OR(M927=phu!$I$45,M927=phu!$I$46,M927=phu!$I$47,M927=phu!$I$48,M927=phu!$I$49,M927=phu!$I$50,M927=phu!$I$51,M927=phu!$I$52,M927=phu!$I$53),"Cam Linh",""),IF(OR(M927=phu!$I$54,M927=phu!$I$55,M927=phu!$I$56,M927=phu!$I$57,M927=phu!$I$58,M927=phu!$I$59,M927=phu!$I$60,M927=phu!$I$61,M927=phu!$I$62),"Cam Lợi",""),IF(OR(M927=phu!$I$63,M927=phu!$I$64,M927=phu!$I$65,M927=phu!$I$66,M927=phu!$I$67,M927=phu!$I$68,M927=phu!$I$69,M927=phu!$I$70,M927=phu!$I$71),"Ba Ngòi",""),IF(OR(M927=phu!$I$72,M927=phu!$I$73,M927=phu!$I$74,M927=phu!$I$75,M927=phu!$I$76,M927=phu!$I$77,M927=phu!$I$78),"Cam Phước Đông",""),IF(OR(M927=phu!$I$79,M927=phu!$I$80,M927=phu!$I$81,M927=phu!$I$82,M927=phu!$I$83,M927=phu!$I$84),"Cam Thịnh Đông",""),IF(OR(M927=phu!$I$85,M927=phu!$I$86,M927=phu!$I$87,M927=phu!$I$88),"Cam Thịnh Tây",""),IF(OR(M927=phu!$I$89,M927=phu!$I$90),"Cam Lập",""),IF(OR(M927=phu!$I$91,M927=phu!$I$92,M927=phu!$I$93),"Cam Bình",""),IF(OR(M927=phu!$I$94,M927=phu!$I$95,M927=phu!$I$96,M927=phu!$I$97,M927=phu!$I$98,M927=phu!$I$99,M927=phu!$I$100),"Huyện khác",""),IF(OR(M927=phu!$I$101,M927=phu!$I$102),"Tỉnh khác",""))</f>
        <v/>
      </c>
      <c r="O927" s="829" t="str">
        <f t="shared" si="84"/>
        <v/>
      </c>
      <c r="P927" s="254"/>
      <c r="Q927" s="254"/>
      <c r="R927" s="254"/>
      <c r="S927" s="254"/>
      <c r="T927" s="254"/>
      <c r="U927" s="254"/>
      <c r="V927" s="254"/>
      <c r="W927" s="254"/>
      <c r="Y927" s="246" t="str">
        <f t="shared" si="85"/>
        <v/>
      </c>
      <c r="Z927" s="247" t="str">
        <f t="shared" si="89"/>
        <v/>
      </c>
      <c r="AA927" s="246" t="str">
        <f t="shared" si="86"/>
        <v/>
      </c>
    </row>
    <row r="928" spans="1:27" x14ac:dyDescent="0.25">
      <c r="A928" s="248" t="str">
        <f t="shared" si="87"/>
        <v/>
      </c>
      <c r="B928" s="249" t="str">
        <f t="shared" si="88"/>
        <v/>
      </c>
      <c r="C928" s="250"/>
      <c r="D928" s="251"/>
      <c r="E928" s="241"/>
      <c r="F928" s="252"/>
      <c r="G928" s="252"/>
      <c r="H928" s="253"/>
      <c r="I928" s="250"/>
      <c r="J928" s="250"/>
      <c r="K928" s="270"/>
      <c r="L928" s="250"/>
      <c r="M928" s="250"/>
      <c r="N928" s="540" t="str">
        <f>CONCATENATE(IF(OR(M928=phu!$I$1,M928=phu!$I$2,M928=phu!$I$3),"Cam Thành Nam",""),IF(OR(M928=phu!$I$4,M928=phu!$I$5,M928=phu!$I$6,M928=phu!$I$7,M928=phu!$I$8,M928=phu!$I$9,M928=phu!$I$10,M928=phu!$I$11,M928=phu!$I$12,M928=phu!$I$13,M928=phu!$I$14),"Cam Nghĩa",""),IF(OR(M928=phu!$I$15,M928=phu!$I$16,M928=phu!$I$17,M928=phu!$I$18,M928=phu!$I$19,M928=phu!$I$20,M928=phu!$I$21),"Cam Phúc Bắc",""),IF(OR(M928=phu!$I$22,M928=phu!$I$23,M928=phu!$I$24,M928=phu!$I$25),"Cam Phúc Nam",""),IF(OR(M928=phu!$I$26,M928=phu!$I$27,M928=phu!$I$28,M928=phu!$I$29,M928=phu!$I$30,M928=phu!$I$31),"Cam Phú",""),IF(OR(M928=phu!$I$32,M928=phu!$I$33,M928=phu!$I$34,M928=phu!$I$35,M928=phu!$I$36,M928=phu!$I$37),"Cam Lộc",""),IF(OR(M928=phu!$I$38,M928=phu!$I$39,M928=phu!$I$40,M928=phu!$I$41,M928=phu!$I$42,M928=phu!$I$43,M928=phu!$I$44),"Cam Thuận",""),IF(OR(M928=phu!$I$45,M928=phu!$I$46,M928=phu!$I$47,M928=phu!$I$48,M928=phu!$I$49,M928=phu!$I$50,M928=phu!$I$51,M928=phu!$I$52,M928=phu!$I$53),"Cam Linh",""),IF(OR(M928=phu!$I$54,M928=phu!$I$55,M928=phu!$I$56,M928=phu!$I$57,M928=phu!$I$58,M928=phu!$I$59,M928=phu!$I$60,M928=phu!$I$61,M928=phu!$I$62),"Cam Lợi",""),IF(OR(M928=phu!$I$63,M928=phu!$I$64,M928=phu!$I$65,M928=phu!$I$66,M928=phu!$I$67,M928=phu!$I$68,M928=phu!$I$69,M928=phu!$I$70,M928=phu!$I$71),"Ba Ngòi",""),IF(OR(M928=phu!$I$72,M928=phu!$I$73,M928=phu!$I$74,M928=phu!$I$75,M928=phu!$I$76,M928=phu!$I$77,M928=phu!$I$78),"Cam Phước Đông",""),IF(OR(M928=phu!$I$79,M928=phu!$I$80,M928=phu!$I$81,M928=phu!$I$82,M928=phu!$I$83,M928=phu!$I$84),"Cam Thịnh Đông",""),IF(OR(M928=phu!$I$85,M928=phu!$I$86,M928=phu!$I$87,M928=phu!$I$88),"Cam Thịnh Tây",""),IF(OR(M928=phu!$I$89,M928=phu!$I$90),"Cam Lập",""),IF(OR(M928=phu!$I$91,M928=phu!$I$92,M928=phu!$I$93),"Cam Bình",""),IF(OR(M928=phu!$I$94,M928=phu!$I$95,M928=phu!$I$96,M928=phu!$I$97,M928=phu!$I$98,M928=phu!$I$99,M928=phu!$I$100),"Huyện khác",""),IF(OR(M928=phu!$I$101,M928=phu!$I$102),"Tỉnh khác",""))</f>
        <v/>
      </c>
      <c r="O928" s="829" t="str">
        <f t="shared" si="84"/>
        <v/>
      </c>
      <c r="P928" s="254"/>
      <c r="Q928" s="254"/>
      <c r="R928" s="254"/>
      <c r="S928" s="254"/>
      <c r="T928" s="254"/>
      <c r="U928" s="254"/>
      <c r="V928" s="254"/>
      <c r="W928" s="254"/>
      <c r="Y928" s="246" t="str">
        <f t="shared" si="85"/>
        <v/>
      </c>
      <c r="Z928" s="247" t="str">
        <f t="shared" si="89"/>
        <v/>
      </c>
      <c r="AA928" s="246" t="str">
        <f t="shared" si="86"/>
        <v/>
      </c>
    </row>
    <row r="929" spans="1:27" x14ac:dyDescent="0.25">
      <c r="A929" s="248" t="str">
        <f t="shared" si="87"/>
        <v/>
      </c>
      <c r="B929" s="249" t="str">
        <f t="shared" si="88"/>
        <v/>
      </c>
      <c r="C929" s="250"/>
      <c r="D929" s="251"/>
      <c r="E929" s="241"/>
      <c r="F929" s="252"/>
      <c r="G929" s="252"/>
      <c r="H929" s="253"/>
      <c r="I929" s="250"/>
      <c r="J929" s="250"/>
      <c r="K929" s="270"/>
      <c r="L929" s="250"/>
      <c r="M929" s="250"/>
      <c r="N929" s="540" t="str">
        <f>CONCATENATE(IF(OR(M929=phu!$I$1,M929=phu!$I$2,M929=phu!$I$3),"Cam Thành Nam",""),IF(OR(M929=phu!$I$4,M929=phu!$I$5,M929=phu!$I$6,M929=phu!$I$7,M929=phu!$I$8,M929=phu!$I$9,M929=phu!$I$10,M929=phu!$I$11,M929=phu!$I$12,M929=phu!$I$13,M929=phu!$I$14),"Cam Nghĩa",""),IF(OR(M929=phu!$I$15,M929=phu!$I$16,M929=phu!$I$17,M929=phu!$I$18,M929=phu!$I$19,M929=phu!$I$20,M929=phu!$I$21),"Cam Phúc Bắc",""),IF(OR(M929=phu!$I$22,M929=phu!$I$23,M929=phu!$I$24,M929=phu!$I$25),"Cam Phúc Nam",""),IF(OR(M929=phu!$I$26,M929=phu!$I$27,M929=phu!$I$28,M929=phu!$I$29,M929=phu!$I$30,M929=phu!$I$31),"Cam Phú",""),IF(OR(M929=phu!$I$32,M929=phu!$I$33,M929=phu!$I$34,M929=phu!$I$35,M929=phu!$I$36,M929=phu!$I$37),"Cam Lộc",""),IF(OR(M929=phu!$I$38,M929=phu!$I$39,M929=phu!$I$40,M929=phu!$I$41,M929=phu!$I$42,M929=phu!$I$43,M929=phu!$I$44),"Cam Thuận",""),IF(OR(M929=phu!$I$45,M929=phu!$I$46,M929=phu!$I$47,M929=phu!$I$48,M929=phu!$I$49,M929=phu!$I$50,M929=phu!$I$51,M929=phu!$I$52,M929=phu!$I$53),"Cam Linh",""),IF(OR(M929=phu!$I$54,M929=phu!$I$55,M929=phu!$I$56,M929=phu!$I$57,M929=phu!$I$58,M929=phu!$I$59,M929=phu!$I$60,M929=phu!$I$61,M929=phu!$I$62),"Cam Lợi",""),IF(OR(M929=phu!$I$63,M929=phu!$I$64,M929=phu!$I$65,M929=phu!$I$66,M929=phu!$I$67,M929=phu!$I$68,M929=phu!$I$69,M929=phu!$I$70,M929=phu!$I$71),"Ba Ngòi",""),IF(OR(M929=phu!$I$72,M929=phu!$I$73,M929=phu!$I$74,M929=phu!$I$75,M929=phu!$I$76,M929=phu!$I$77,M929=phu!$I$78),"Cam Phước Đông",""),IF(OR(M929=phu!$I$79,M929=phu!$I$80,M929=phu!$I$81,M929=phu!$I$82,M929=phu!$I$83,M929=phu!$I$84),"Cam Thịnh Đông",""),IF(OR(M929=phu!$I$85,M929=phu!$I$86,M929=phu!$I$87,M929=phu!$I$88),"Cam Thịnh Tây",""),IF(OR(M929=phu!$I$89,M929=phu!$I$90),"Cam Lập",""),IF(OR(M929=phu!$I$91,M929=phu!$I$92,M929=phu!$I$93),"Cam Bình",""),IF(OR(M929=phu!$I$94,M929=phu!$I$95,M929=phu!$I$96,M929=phu!$I$97,M929=phu!$I$98,M929=phu!$I$99,M929=phu!$I$100),"Huyện khác",""),IF(OR(M929=phu!$I$101,M929=phu!$I$102),"Tỉnh khác",""))</f>
        <v/>
      </c>
      <c r="O929" s="829" t="str">
        <f t="shared" si="84"/>
        <v/>
      </c>
      <c r="P929" s="254"/>
      <c r="Q929" s="254"/>
      <c r="R929" s="254"/>
      <c r="S929" s="254"/>
      <c r="T929" s="254"/>
      <c r="U929" s="254"/>
      <c r="V929" s="254"/>
      <c r="W929" s="254"/>
      <c r="Y929" s="246" t="str">
        <f t="shared" si="85"/>
        <v/>
      </c>
      <c r="Z929" s="247" t="str">
        <f t="shared" si="89"/>
        <v/>
      </c>
      <c r="AA929" s="246" t="str">
        <f t="shared" si="86"/>
        <v/>
      </c>
    </row>
    <row r="930" spans="1:27" x14ac:dyDescent="0.25">
      <c r="A930" s="248" t="str">
        <f t="shared" si="87"/>
        <v/>
      </c>
      <c r="B930" s="249" t="str">
        <f t="shared" si="88"/>
        <v/>
      </c>
      <c r="C930" s="250"/>
      <c r="D930" s="251"/>
      <c r="E930" s="241"/>
      <c r="F930" s="252"/>
      <c r="G930" s="252"/>
      <c r="H930" s="253"/>
      <c r="I930" s="250"/>
      <c r="J930" s="250"/>
      <c r="K930" s="270"/>
      <c r="L930" s="250"/>
      <c r="M930" s="250"/>
      <c r="N930" s="540" t="str">
        <f>CONCATENATE(IF(OR(M930=phu!$I$1,M930=phu!$I$2,M930=phu!$I$3),"Cam Thành Nam",""),IF(OR(M930=phu!$I$4,M930=phu!$I$5,M930=phu!$I$6,M930=phu!$I$7,M930=phu!$I$8,M930=phu!$I$9,M930=phu!$I$10,M930=phu!$I$11,M930=phu!$I$12,M930=phu!$I$13,M930=phu!$I$14),"Cam Nghĩa",""),IF(OR(M930=phu!$I$15,M930=phu!$I$16,M930=phu!$I$17,M930=phu!$I$18,M930=phu!$I$19,M930=phu!$I$20,M930=phu!$I$21),"Cam Phúc Bắc",""),IF(OR(M930=phu!$I$22,M930=phu!$I$23,M930=phu!$I$24,M930=phu!$I$25),"Cam Phúc Nam",""),IF(OR(M930=phu!$I$26,M930=phu!$I$27,M930=phu!$I$28,M930=phu!$I$29,M930=phu!$I$30,M930=phu!$I$31),"Cam Phú",""),IF(OR(M930=phu!$I$32,M930=phu!$I$33,M930=phu!$I$34,M930=phu!$I$35,M930=phu!$I$36,M930=phu!$I$37),"Cam Lộc",""),IF(OR(M930=phu!$I$38,M930=phu!$I$39,M930=phu!$I$40,M930=phu!$I$41,M930=phu!$I$42,M930=phu!$I$43,M930=phu!$I$44),"Cam Thuận",""),IF(OR(M930=phu!$I$45,M930=phu!$I$46,M930=phu!$I$47,M930=phu!$I$48,M930=phu!$I$49,M930=phu!$I$50,M930=phu!$I$51,M930=phu!$I$52,M930=phu!$I$53),"Cam Linh",""),IF(OR(M930=phu!$I$54,M930=phu!$I$55,M930=phu!$I$56,M930=phu!$I$57,M930=phu!$I$58,M930=phu!$I$59,M930=phu!$I$60,M930=phu!$I$61,M930=phu!$I$62),"Cam Lợi",""),IF(OR(M930=phu!$I$63,M930=phu!$I$64,M930=phu!$I$65,M930=phu!$I$66,M930=phu!$I$67,M930=phu!$I$68,M930=phu!$I$69,M930=phu!$I$70,M930=phu!$I$71),"Ba Ngòi",""),IF(OR(M930=phu!$I$72,M930=phu!$I$73,M930=phu!$I$74,M930=phu!$I$75,M930=phu!$I$76,M930=phu!$I$77,M930=phu!$I$78),"Cam Phước Đông",""),IF(OR(M930=phu!$I$79,M930=phu!$I$80,M930=phu!$I$81,M930=phu!$I$82,M930=phu!$I$83,M930=phu!$I$84),"Cam Thịnh Đông",""),IF(OR(M930=phu!$I$85,M930=phu!$I$86,M930=phu!$I$87,M930=phu!$I$88),"Cam Thịnh Tây",""),IF(OR(M930=phu!$I$89,M930=phu!$I$90),"Cam Lập",""),IF(OR(M930=phu!$I$91,M930=phu!$I$92,M930=phu!$I$93),"Cam Bình",""),IF(OR(M930=phu!$I$94,M930=phu!$I$95,M930=phu!$I$96,M930=phu!$I$97,M930=phu!$I$98,M930=phu!$I$99,M930=phu!$I$100),"Huyện khác",""),IF(OR(M930=phu!$I$101,M930=phu!$I$102),"Tỉnh khác",""))</f>
        <v/>
      </c>
      <c r="O930" s="829" t="str">
        <f t="shared" si="84"/>
        <v/>
      </c>
      <c r="P930" s="254"/>
      <c r="Q930" s="254"/>
      <c r="R930" s="254"/>
      <c r="S930" s="254"/>
      <c r="T930" s="254"/>
      <c r="U930" s="254"/>
      <c r="V930" s="254"/>
      <c r="W930" s="254"/>
      <c r="Y930" s="246" t="str">
        <f t="shared" si="85"/>
        <v/>
      </c>
      <c r="Z930" s="247" t="str">
        <f t="shared" si="89"/>
        <v/>
      </c>
      <c r="AA930" s="246" t="str">
        <f t="shared" si="86"/>
        <v/>
      </c>
    </row>
    <row r="931" spans="1:27" x14ac:dyDescent="0.25">
      <c r="A931" s="248" t="str">
        <f t="shared" si="87"/>
        <v/>
      </c>
      <c r="B931" s="249" t="str">
        <f t="shared" si="88"/>
        <v/>
      </c>
      <c r="C931" s="250"/>
      <c r="D931" s="251"/>
      <c r="E931" s="241"/>
      <c r="F931" s="252"/>
      <c r="G931" s="252"/>
      <c r="H931" s="253"/>
      <c r="I931" s="250"/>
      <c r="J931" s="250"/>
      <c r="K931" s="270"/>
      <c r="L931" s="250"/>
      <c r="M931" s="250"/>
      <c r="N931" s="540" t="str">
        <f>CONCATENATE(IF(OR(M931=phu!$I$1,M931=phu!$I$2,M931=phu!$I$3),"Cam Thành Nam",""),IF(OR(M931=phu!$I$4,M931=phu!$I$5,M931=phu!$I$6,M931=phu!$I$7,M931=phu!$I$8,M931=phu!$I$9,M931=phu!$I$10,M931=phu!$I$11,M931=phu!$I$12,M931=phu!$I$13,M931=phu!$I$14),"Cam Nghĩa",""),IF(OR(M931=phu!$I$15,M931=phu!$I$16,M931=phu!$I$17,M931=phu!$I$18,M931=phu!$I$19,M931=phu!$I$20,M931=phu!$I$21),"Cam Phúc Bắc",""),IF(OR(M931=phu!$I$22,M931=phu!$I$23,M931=phu!$I$24,M931=phu!$I$25),"Cam Phúc Nam",""),IF(OR(M931=phu!$I$26,M931=phu!$I$27,M931=phu!$I$28,M931=phu!$I$29,M931=phu!$I$30,M931=phu!$I$31),"Cam Phú",""),IF(OR(M931=phu!$I$32,M931=phu!$I$33,M931=phu!$I$34,M931=phu!$I$35,M931=phu!$I$36,M931=phu!$I$37),"Cam Lộc",""),IF(OR(M931=phu!$I$38,M931=phu!$I$39,M931=phu!$I$40,M931=phu!$I$41,M931=phu!$I$42,M931=phu!$I$43,M931=phu!$I$44),"Cam Thuận",""),IF(OR(M931=phu!$I$45,M931=phu!$I$46,M931=phu!$I$47,M931=phu!$I$48,M931=phu!$I$49,M931=phu!$I$50,M931=phu!$I$51,M931=phu!$I$52,M931=phu!$I$53),"Cam Linh",""),IF(OR(M931=phu!$I$54,M931=phu!$I$55,M931=phu!$I$56,M931=phu!$I$57,M931=phu!$I$58,M931=phu!$I$59,M931=phu!$I$60,M931=phu!$I$61,M931=phu!$I$62),"Cam Lợi",""),IF(OR(M931=phu!$I$63,M931=phu!$I$64,M931=phu!$I$65,M931=phu!$I$66,M931=phu!$I$67,M931=phu!$I$68,M931=phu!$I$69,M931=phu!$I$70,M931=phu!$I$71),"Ba Ngòi",""),IF(OR(M931=phu!$I$72,M931=phu!$I$73,M931=phu!$I$74,M931=phu!$I$75,M931=phu!$I$76,M931=phu!$I$77,M931=phu!$I$78),"Cam Phước Đông",""),IF(OR(M931=phu!$I$79,M931=phu!$I$80,M931=phu!$I$81,M931=phu!$I$82,M931=phu!$I$83,M931=phu!$I$84),"Cam Thịnh Đông",""),IF(OR(M931=phu!$I$85,M931=phu!$I$86,M931=phu!$I$87,M931=phu!$I$88),"Cam Thịnh Tây",""),IF(OR(M931=phu!$I$89,M931=phu!$I$90),"Cam Lập",""),IF(OR(M931=phu!$I$91,M931=phu!$I$92,M931=phu!$I$93),"Cam Bình",""),IF(OR(M931=phu!$I$94,M931=phu!$I$95,M931=phu!$I$96,M931=phu!$I$97,M931=phu!$I$98,M931=phu!$I$99,M931=phu!$I$100),"Huyện khác",""),IF(OR(M931=phu!$I$101,M931=phu!$I$102),"Tỉnh khác",""))</f>
        <v/>
      </c>
      <c r="O931" s="829" t="str">
        <f t="shared" si="84"/>
        <v/>
      </c>
      <c r="P931" s="254"/>
      <c r="Q931" s="254"/>
      <c r="R931" s="254"/>
      <c r="S931" s="254"/>
      <c r="T931" s="254"/>
      <c r="U931" s="254"/>
      <c r="V931" s="254"/>
      <c r="W931" s="254"/>
      <c r="Y931" s="246" t="str">
        <f t="shared" si="85"/>
        <v/>
      </c>
      <c r="Z931" s="247" t="str">
        <f t="shared" si="89"/>
        <v/>
      </c>
      <c r="AA931" s="246" t="str">
        <f t="shared" si="86"/>
        <v/>
      </c>
    </row>
    <row r="932" spans="1:27" x14ac:dyDescent="0.25">
      <c r="A932" s="248" t="str">
        <f t="shared" si="87"/>
        <v/>
      </c>
      <c r="B932" s="249" t="str">
        <f t="shared" si="88"/>
        <v/>
      </c>
      <c r="C932" s="250"/>
      <c r="D932" s="251"/>
      <c r="E932" s="241"/>
      <c r="F932" s="252"/>
      <c r="G932" s="252"/>
      <c r="H932" s="253"/>
      <c r="I932" s="250"/>
      <c r="J932" s="250"/>
      <c r="K932" s="270"/>
      <c r="L932" s="250"/>
      <c r="M932" s="250"/>
      <c r="N932" s="540" t="str">
        <f>CONCATENATE(IF(OR(M932=phu!$I$1,M932=phu!$I$2,M932=phu!$I$3),"Cam Thành Nam",""),IF(OR(M932=phu!$I$4,M932=phu!$I$5,M932=phu!$I$6,M932=phu!$I$7,M932=phu!$I$8,M932=phu!$I$9,M932=phu!$I$10,M932=phu!$I$11,M932=phu!$I$12,M932=phu!$I$13,M932=phu!$I$14),"Cam Nghĩa",""),IF(OR(M932=phu!$I$15,M932=phu!$I$16,M932=phu!$I$17,M932=phu!$I$18,M932=phu!$I$19,M932=phu!$I$20,M932=phu!$I$21),"Cam Phúc Bắc",""),IF(OR(M932=phu!$I$22,M932=phu!$I$23,M932=phu!$I$24,M932=phu!$I$25),"Cam Phúc Nam",""),IF(OR(M932=phu!$I$26,M932=phu!$I$27,M932=phu!$I$28,M932=phu!$I$29,M932=phu!$I$30,M932=phu!$I$31),"Cam Phú",""),IF(OR(M932=phu!$I$32,M932=phu!$I$33,M932=phu!$I$34,M932=phu!$I$35,M932=phu!$I$36,M932=phu!$I$37),"Cam Lộc",""),IF(OR(M932=phu!$I$38,M932=phu!$I$39,M932=phu!$I$40,M932=phu!$I$41,M932=phu!$I$42,M932=phu!$I$43,M932=phu!$I$44),"Cam Thuận",""),IF(OR(M932=phu!$I$45,M932=phu!$I$46,M932=phu!$I$47,M932=phu!$I$48,M932=phu!$I$49,M932=phu!$I$50,M932=phu!$I$51,M932=phu!$I$52,M932=phu!$I$53),"Cam Linh",""),IF(OR(M932=phu!$I$54,M932=phu!$I$55,M932=phu!$I$56,M932=phu!$I$57,M932=phu!$I$58,M932=phu!$I$59,M932=phu!$I$60,M932=phu!$I$61,M932=phu!$I$62),"Cam Lợi",""),IF(OR(M932=phu!$I$63,M932=phu!$I$64,M932=phu!$I$65,M932=phu!$I$66,M932=phu!$I$67,M932=phu!$I$68,M932=phu!$I$69,M932=phu!$I$70,M932=phu!$I$71),"Ba Ngòi",""),IF(OR(M932=phu!$I$72,M932=phu!$I$73,M932=phu!$I$74,M932=phu!$I$75,M932=phu!$I$76,M932=phu!$I$77,M932=phu!$I$78),"Cam Phước Đông",""),IF(OR(M932=phu!$I$79,M932=phu!$I$80,M932=phu!$I$81,M932=phu!$I$82,M932=phu!$I$83,M932=phu!$I$84),"Cam Thịnh Đông",""),IF(OR(M932=phu!$I$85,M932=phu!$I$86,M932=phu!$I$87,M932=phu!$I$88),"Cam Thịnh Tây",""),IF(OR(M932=phu!$I$89,M932=phu!$I$90),"Cam Lập",""),IF(OR(M932=phu!$I$91,M932=phu!$I$92,M932=phu!$I$93),"Cam Bình",""),IF(OR(M932=phu!$I$94,M932=phu!$I$95,M932=phu!$I$96,M932=phu!$I$97,M932=phu!$I$98,M932=phu!$I$99,M932=phu!$I$100),"Huyện khác",""),IF(OR(M932=phu!$I$101,M932=phu!$I$102),"Tỉnh khác",""))</f>
        <v/>
      </c>
      <c r="O932" s="829" t="str">
        <f t="shared" si="84"/>
        <v/>
      </c>
      <c r="P932" s="254"/>
      <c r="Q932" s="254"/>
      <c r="R932" s="254"/>
      <c r="S932" s="254"/>
      <c r="T932" s="254"/>
      <c r="U932" s="254"/>
      <c r="V932" s="254"/>
      <c r="W932" s="254"/>
      <c r="Y932" s="246" t="str">
        <f t="shared" si="85"/>
        <v/>
      </c>
      <c r="Z932" s="247" t="str">
        <f t="shared" si="89"/>
        <v/>
      </c>
      <c r="AA932" s="246" t="str">
        <f t="shared" si="86"/>
        <v/>
      </c>
    </row>
    <row r="933" spans="1:27" x14ac:dyDescent="0.25">
      <c r="A933" s="248" t="str">
        <f t="shared" si="87"/>
        <v/>
      </c>
      <c r="B933" s="249" t="str">
        <f t="shared" si="88"/>
        <v/>
      </c>
      <c r="C933" s="250"/>
      <c r="D933" s="251"/>
      <c r="E933" s="241"/>
      <c r="F933" s="252"/>
      <c r="G933" s="252"/>
      <c r="H933" s="253"/>
      <c r="I933" s="250"/>
      <c r="J933" s="250"/>
      <c r="K933" s="270"/>
      <c r="L933" s="250"/>
      <c r="M933" s="250"/>
      <c r="N933" s="540" t="str">
        <f>CONCATENATE(IF(OR(M933=phu!$I$1,M933=phu!$I$2,M933=phu!$I$3),"Cam Thành Nam",""),IF(OR(M933=phu!$I$4,M933=phu!$I$5,M933=phu!$I$6,M933=phu!$I$7,M933=phu!$I$8,M933=phu!$I$9,M933=phu!$I$10,M933=phu!$I$11,M933=phu!$I$12,M933=phu!$I$13,M933=phu!$I$14),"Cam Nghĩa",""),IF(OR(M933=phu!$I$15,M933=phu!$I$16,M933=phu!$I$17,M933=phu!$I$18,M933=phu!$I$19,M933=phu!$I$20,M933=phu!$I$21),"Cam Phúc Bắc",""),IF(OR(M933=phu!$I$22,M933=phu!$I$23,M933=phu!$I$24,M933=phu!$I$25),"Cam Phúc Nam",""),IF(OR(M933=phu!$I$26,M933=phu!$I$27,M933=phu!$I$28,M933=phu!$I$29,M933=phu!$I$30,M933=phu!$I$31),"Cam Phú",""),IF(OR(M933=phu!$I$32,M933=phu!$I$33,M933=phu!$I$34,M933=phu!$I$35,M933=phu!$I$36,M933=phu!$I$37),"Cam Lộc",""),IF(OR(M933=phu!$I$38,M933=phu!$I$39,M933=phu!$I$40,M933=phu!$I$41,M933=phu!$I$42,M933=phu!$I$43,M933=phu!$I$44),"Cam Thuận",""),IF(OR(M933=phu!$I$45,M933=phu!$I$46,M933=phu!$I$47,M933=phu!$I$48,M933=phu!$I$49,M933=phu!$I$50,M933=phu!$I$51,M933=phu!$I$52,M933=phu!$I$53),"Cam Linh",""),IF(OR(M933=phu!$I$54,M933=phu!$I$55,M933=phu!$I$56,M933=phu!$I$57,M933=phu!$I$58,M933=phu!$I$59,M933=phu!$I$60,M933=phu!$I$61,M933=phu!$I$62),"Cam Lợi",""),IF(OR(M933=phu!$I$63,M933=phu!$I$64,M933=phu!$I$65,M933=phu!$I$66,M933=phu!$I$67,M933=phu!$I$68,M933=phu!$I$69,M933=phu!$I$70,M933=phu!$I$71),"Ba Ngòi",""),IF(OR(M933=phu!$I$72,M933=phu!$I$73,M933=phu!$I$74,M933=phu!$I$75,M933=phu!$I$76,M933=phu!$I$77,M933=phu!$I$78),"Cam Phước Đông",""),IF(OR(M933=phu!$I$79,M933=phu!$I$80,M933=phu!$I$81,M933=phu!$I$82,M933=phu!$I$83,M933=phu!$I$84),"Cam Thịnh Đông",""),IF(OR(M933=phu!$I$85,M933=phu!$I$86,M933=phu!$I$87,M933=phu!$I$88),"Cam Thịnh Tây",""),IF(OR(M933=phu!$I$89,M933=phu!$I$90),"Cam Lập",""),IF(OR(M933=phu!$I$91,M933=phu!$I$92,M933=phu!$I$93),"Cam Bình",""),IF(OR(M933=phu!$I$94,M933=phu!$I$95,M933=phu!$I$96,M933=phu!$I$97,M933=phu!$I$98,M933=phu!$I$99,M933=phu!$I$100),"Huyện khác",""),IF(OR(M933=phu!$I$101,M933=phu!$I$102),"Tỉnh khác",""))</f>
        <v/>
      </c>
      <c r="O933" s="829" t="str">
        <f t="shared" si="84"/>
        <v/>
      </c>
      <c r="P933" s="254"/>
      <c r="Q933" s="254"/>
      <c r="R933" s="254"/>
      <c r="S933" s="254"/>
      <c r="T933" s="254"/>
      <c r="U933" s="254"/>
      <c r="V933" s="254"/>
      <c r="W933" s="254"/>
      <c r="Y933" s="246" t="str">
        <f t="shared" si="85"/>
        <v/>
      </c>
      <c r="Z933" s="247" t="str">
        <f t="shared" si="89"/>
        <v/>
      </c>
      <c r="AA933" s="246" t="str">
        <f t="shared" si="86"/>
        <v/>
      </c>
    </row>
    <row r="934" spans="1:27" x14ac:dyDescent="0.25">
      <c r="A934" s="248" t="str">
        <f t="shared" si="87"/>
        <v/>
      </c>
      <c r="B934" s="249" t="str">
        <f t="shared" si="88"/>
        <v/>
      </c>
      <c r="C934" s="250"/>
      <c r="D934" s="251"/>
      <c r="E934" s="241"/>
      <c r="F934" s="252"/>
      <c r="G934" s="252"/>
      <c r="H934" s="253"/>
      <c r="I934" s="250"/>
      <c r="J934" s="250"/>
      <c r="K934" s="270"/>
      <c r="L934" s="250"/>
      <c r="M934" s="250"/>
      <c r="N934" s="540" t="str">
        <f>CONCATENATE(IF(OR(M934=phu!$I$1,M934=phu!$I$2,M934=phu!$I$3),"Cam Thành Nam",""),IF(OR(M934=phu!$I$4,M934=phu!$I$5,M934=phu!$I$6,M934=phu!$I$7,M934=phu!$I$8,M934=phu!$I$9,M934=phu!$I$10,M934=phu!$I$11,M934=phu!$I$12,M934=phu!$I$13,M934=phu!$I$14),"Cam Nghĩa",""),IF(OR(M934=phu!$I$15,M934=phu!$I$16,M934=phu!$I$17,M934=phu!$I$18,M934=phu!$I$19,M934=phu!$I$20,M934=phu!$I$21),"Cam Phúc Bắc",""),IF(OR(M934=phu!$I$22,M934=phu!$I$23,M934=phu!$I$24,M934=phu!$I$25),"Cam Phúc Nam",""),IF(OR(M934=phu!$I$26,M934=phu!$I$27,M934=phu!$I$28,M934=phu!$I$29,M934=phu!$I$30,M934=phu!$I$31),"Cam Phú",""),IF(OR(M934=phu!$I$32,M934=phu!$I$33,M934=phu!$I$34,M934=phu!$I$35,M934=phu!$I$36,M934=phu!$I$37),"Cam Lộc",""),IF(OR(M934=phu!$I$38,M934=phu!$I$39,M934=phu!$I$40,M934=phu!$I$41,M934=phu!$I$42,M934=phu!$I$43,M934=phu!$I$44),"Cam Thuận",""),IF(OR(M934=phu!$I$45,M934=phu!$I$46,M934=phu!$I$47,M934=phu!$I$48,M934=phu!$I$49,M934=phu!$I$50,M934=phu!$I$51,M934=phu!$I$52,M934=phu!$I$53),"Cam Linh",""),IF(OR(M934=phu!$I$54,M934=phu!$I$55,M934=phu!$I$56,M934=phu!$I$57,M934=phu!$I$58,M934=phu!$I$59,M934=phu!$I$60,M934=phu!$I$61,M934=phu!$I$62),"Cam Lợi",""),IF(OR(M934=phu!$I$63,M934=phu!$I$64,M934=phu!$I$65,M934=phu!$I$66,M934=phu!$I$67,M934=phu!$I$68,M934=phu!$I$69,M934=phu!$I$70,M934=phu!$I$71),"Ba Ngòi",""),IF(OR(M934=phu!$I$72,M934=phu!$I$73,M934=phu!$I$74,M934=phu!$I$75,M934=phu!$I$76,M934=phu!$I$77,M934=phu!$I$78),"Cam Phước Đông",""),IF(OR(M934=phu!$I$79,M934=phu!$I$80,M934=phu!$I$81,M934=phu!$I$82,M934=phu!$I$83,M934=phu!$I$84),"Cam Thịnh Đông",""),IF(OR(M934=phu!$I$85,M934=phu!$I$86,M934=phu!$I$87,M934=phu!$I$88),"Cam Thịnh Tây",""),IF(OR(M934=phu!$I$89,M934=phu!$I$90),"Cam Lập",""),IF(OR(M934=phu!$I$91,M934=phu!$I$92,M934=phu!$I$93),"Cam Bình",""),IF(OR(M934=phu!$I$94,M934=phu!$I$95,M934=phu!$I$96,M934=phu!$I$97,M934=phu!$I$98,M934=phu!$I$99,M934=phu!$I$100),"Huyện khác",""),IF(OR(M934=phu!$I$101,M934=phu!$I$102),"Tỉnh khác",""))</f>
        <v/>
      </c>
      <c r="O934" s="829" t="str">
        <f t="shared" si="84"/>
        <v/>
      </c>
      <c r="P934" s="254"/>
      <c r="Q934" s="254"/>
      <c r="R934" s="254"/>
      <c r="S934" s="254"/>
      <c r="T934" s="254"/>
      <c r="U934" s="254"/>
      <c r="V934" s="254"/>
      <c r="W934" s="254"/>
      <c r="Y934" s="246" t="str">
        <f t="shared" si="85"/>
        <v/>
      </c>
      <c r="Z934" s="247" t="str">
        <f t="shared" si="89"/>
        <v/>
      </c>
      <c r="AA934" s="246" t="str">
        <f t="shared" si="86"/>
        <v/>
      </c>
    </row>
    <row r="935" spans="1:27" x14ac:dyDescent="0.25">
      <c r="A935" s="248" t="str">
        <f t="shared" si="87"/>
        <v/>
      </c>
      <c r="B935" s="249" t="str">
        <f t="shared" si="88"/>
        <v/>
      </c>
      <c r="C935" s="250"/>
      <c r="D935" s="251"/>
      <c r="E935" s="241"/>
      <c r="F935" s="252"/>
      <c r="G935" s="252"/>
      <c r="H935" s="253"/>
      <c r="I935" s="250"/>
      <c r="J935" s="250"/>
      <c r="K935" s="270"/>
      <c r="L935" s="250"/>
      <c r="M935" s="250"/>
      <c r="N935" s="540" t="str">
        <f>CONCATENATE(IF(OR(M935=phu!$I$1,M935=phu!$I$2,M935=phu!$I$3),"Cam Thành Nam",""),IF(OR(M935=phu!$I$4,M935=phu!$I$5,M935=phu!$I$6,M935=phu!$I$7,M935=phu!$I$8,M935=phu!$I$9,M935=phu!$I$10,M935=phu!$I$11,M935=phu!$I$12,M935=phu!$I$13,M935=phu!$I$14),"Cam Nghĩa",""),IF(OR(M935=phu!$I$15,M935=phu!$I$16,M935=phu!$I$17,M935=phu!$I$18,M935=phu!$I$19,M935=phu!$I$20,M935=phu!$I$21),"Cam Phúc Bắc",""),IF(OR(M935=phu!$I$22,M935=phu!$I$23,M935=phu!$I$24,M935=phu!$I$25),"Cam Phúc Nam",""),IF(OR(M935=phu!$I$26,M935=phu!$I$27,M935=phu!$I$28,M935=phu!$I$29,M935=phu!$I$30,M935=phu!$I$31),"Cam Phú",""),IF(OR(M935=phu!$I$32,M935=phu!$I$33,M935=phu!$I$34,M935=phu!$I$35,M935=phu!$I$36,M935=phu!$I$37),"Cam Lộc",""),IF(OR(M935=phu!$I$38,M935=phu!$I$39,M935=phu!$I$40,M935=phu!$I$41,M935=phu!$I$42,M935=phu!$I$43,M935=phu!$I$44),"Cam Thuận",""),IF(OR(M935=phu!$I$45,M935=phu!$I$46,M935=phu!$I$47,M935=phu!$I$48,M935=phu!$I$49,M935=phu!$I$50,M935=phu!$I$51,M935=phu!$I$52,M935=phu!$I$53),"Cam Linh",""),IF(OR(M935=phu!$I$54,M935=phu!$I$55,M935=phu!$I$56,M935=phu!$I$57,M935=phu!$I$58,M935=phu!$I$59,M935=phu!$I$60,M935=phu!$I$61,M935=phu!$I$62),"Cam Lợi",""),IF(OR(M935=phu!$I$63,M935=phu!$I$64,M935=phu!$I$65,M935=phu!$I$66,M935=phu!$I$67,M935=phu!$I$68,M935=phu!$I$69,M935=phu!$I$70,M935=phu!$I$71),"Ba Ngòi",""),IF(OR(M935=phu!$I$72,M935=phu!$I$73,M935=phu!$I$74,M935=phu!$I$75,M935=phu!$I$76,M935=phu!$I$77,M935=phu!$I$78),"Cam Phước Đông",""),IF(OR(M935=phu!$I$79,M935=phu!$I$80,M935=phu!$I$81,M935=phu!$I$82,M935=phu!$I$83,M935=phu!$I$84),"Cam Thịnh Đông",""),IF(OR(M935=phu!$I$85,M935=phu!$I$86,M935=phu!$I$87,M935=phu!$I$88),"Cam Thịnh Tây",""),IF(OR(M935=phu!$I$89,M935=phu!$I$90),"Cam Lập",""),IF(OR(M935=phu!$I$91,M935=phu!$I$92,M935=phu!$I$93),"Cam Bình",""),IF(OR(M935=phu!$I$94,M935=phu!$I$95,M935=phu!$I$96,M935=phu!$I$97,M935=phu!$I$98,M935=phu!$I$99,M935=phu!$I$100),"Huyện khác",""),IF(OR(M935=phu!$I$101,M935=phu!$I$102),"Tỉnh khác",""))</f>
        <v/>
      </c>
      <c r="O935" s="829" t="str">
        <f t="shared" si="84"/>
        <v/>
      </c>
      <c r="P935" s="254"/>
      <c r="Q935" s="254"/>
      <c r="R935" s="254"/>
      <c r="S935" s="254"/>
      <c r="T935" s="254"/>
      <c r="U935" s="254"/>
      <c r="V935" s="254"/>
      <c r="W935" s="254"/>
      <c r="Y935" s="246" t="str">
        <f t="shared" si="85"/>
        <v/>
      </c>
      <c r="Z935" s="247" t="str">
        <f t="shared" si="89"/>
        <v/>
      </c>
      <c r="AA935" s="246" t="str">
        <f t="shared" si="86"/>
        <v/>
      </c>
    </row>
    <row r="936" spans="1:27" x14ac:dyDescent="0.25">
      <c r="A936" s="248" t="str">
        <f t="shared" si="87"/>
        <v/>
      </c>
      <c r="B936" s="249" t="str">
        <f t="shared" si="88"/>
        <v/>
      </c>
      <c r="C936" s="250"/>
      <c r="D936" s="251"/>
      <c r="E936" s="241"/>
      <c r="F936" s="252"/>
      <c r="G936" s="252"/>
      <c r="H936" s="253"/>
      <c r="I936" s="250"/>
      <c r="J936" s="250"/>
      <c r="K936" s="270"/>
      <c r="L936" s="250"/>
      <c r="M936" s="250"/>
      <c r="N936" s="540" t="str">
        <f>CONCATENATE(IF(OR(M936=phu!$I$1,M936=phu!$I$2,M936=phu!$I$3),"Cam Thành Nam",""),IF(OR(M936=phu!$I$4,M936=phu!$I$5,M936=phu!$I$6,M936=phu!$I$7,M936=phu!$I$8,M936=phu!$I$9,M936=phu!$I$10,M936=phu!$I$11,M936=phu!$I$12,M936=phu!$I$13,M936=phu!$I$14),"Cam Nghĩa",""),IF(OR(M936=phu!$I$15,M936=phu!$I$16,M936=phu!$I$17,M936=phu!$I$18,M936=phu!$I$19,M936=phu!$I$20,M936=phu!$I$21),"Cam Phúc Bắc",""),IF(OR(M936=phu!$I$22,M936=phu!$I$23,M936=phu!$I$24,M936=phu!$I$25),"Cam Phúc Nam",""),IF(OR(M936=phu!$I$26,M936=phu!$I$27,M936=phu!$I$28,M936=phu!$I$29,M936=phu!$I$30,M936=phu!$I$31),"Cam Phú",""),IF(OR(M936=phu!$I$32,M936=phu!$I$33,M936=phu!$I$34,M936=phu!$I$35,M936=phu!$I$36,M936=phu!$I$37),"Cam Lộc",""),IF(OR(M936=phu!$I$38,M936=phu!$I$39,M936=phu!$I$40,M936=phu!$I$41,M936=phu!$I$42,M936=phu!$I$43,M936=phu!$I$44),"Cam Thuận",""),IF(OR(M936=phu!$I$45,M936=phu!$I$46,M936=phu!$I$47,M936=phu!$I$48,M936=phu!$I$49,M936=phu!$I$50,M936=phu!$I$51,M936=phu!$I$52,M936=phu!$I$53),"Cam Linh",""),IF(OR(M936=phu!$I$54,M936=phu!$I$55,M936=phu!$I$56,M936=phu!$I$57,M936=phu!$I$58,M936=phu!$I$59,M936=phu!$I$60,M936=phu!$I$61,M936=phu!$I$62),"Cam Lợi",""),IF(OR(M936=phu!$I$63,M936=phu!$I$64,M936=phu!$I$65,M936=phu!$I$66,M936=phu!$I$67,M936=phu!$I$68,M936=phu!$I$69,M936=phu!$I$70,M936=phu!$I$71),"Ba Ngòi",""),IF(OR(M936=phu!$I$72,M936=phu!$I$73,M936=phu!$I$74,M936=phu!$I$75,M936=phu!$I$76,M936=phu!$I$77,M936=phu!$I$78),"Cam Phước Đông",""),IF(OR(M936=phu!$I$79,M936=phu!$I$80,M936=phu!$I$81,M936=phu!$I$82,M936=phu!$I$83,M936=phu!$I$84),"Cam Thịnh Đông",""),IF(OR(M936=phu!$I$85,M936=phu!$I$86,M936=phu!$I$87,M936=phu!$I$88),"Cam Thịnh Tây",""),IF(OR(M936=phu!$I$89,M936=phu!$I$90),"Cam Lập",""),IF(OR(M936=phu!$I$91,M936=phu!$I$92,M936=phu!$I$93),"Cam Bình",""),IF(OR(M936=phu!$I$94,M936=phu!$I$95,M936=phu!$I$96,M936=phu!$I$97,M936=phu!$I$98,M936=phu!$I$99,M936=phu!$I$100),"Huyện khác",""),IF(OR(M936=phu!$I$101,M936=phu!$I$102),"Tỉnh khác",""))</f>
        <v/>
      </c>
      <c r="O936" s="829" t="str">
        <f t="shared" si="84"/>
        <v/>
      </c>
      <c r="P936" s="254"/>
      <c r="Q936" s="254"/>
      <c r="R936" s="254"/>
      <c r="S936" s="254"/>
      <c r="T936" s="254"/>
      <c r="U936" s="254"/>
      <c r="V936" s="254"/>
      <c r="W936" s="254"/>
      <c r="Y936" s="246" t="str">
        <f t="shared" si="85"/>
        <v/>
      </c>
      <c r="Z936" s="247" t="str">
        <f t="shared" si="89"/>
        <v/>
      </c>
      <c r="AA936" s="246" t="str">
        <f t="shared" si="86"/>
        <v/>
      </c>
    </row>
    <row r="937" spans="1:27" x14ac:dyDescent="0.25">
      <c r="A937" s="248" t="str">
        <f t="shared" si="87"/>
        <v/>
      </c>
      <c r="B937" s="249" t="str">
        <f t="shared" si="88"/>
        <v/>
      </c>
      <c r="C937" s="250"/>
      <c r="D937" s="251"/>
      <c r="E937" s="241"/>
      <c r="F937" s="252"/>
      <c r="G937" s="252"/>
      <c r="H937" s="253"/>
      <c r="I937" s="250"/>
      <c r="J937" s="250"/>
      <c r="K937" s="270"/>
      <c r="L937" s="250"/>
      <c r="M937" s="250"/>
      <c r="N937" s="540" t="str">
        <f>CONCATENATE(IF(OR(M937=phu!$I$1,M937=phu!$I$2,M937=phu!$I$3),"Cam Thành Nam",""),IF(OR(M937=phu!$I$4,M937=phu!$I$5,M937=phu!$I$6,M937=phu!$I$7,M937=phu!$I$8,M937=phu!$I$9,M937=phu!$I$10,M937=phu!$I$11,M937=phu!$I$12,M937=phu!$I$13,M937=phu!$I$14),"Cam Nghĩa",""),IF(OR(M937=phu!$I$15,M937=phu!$I$16,M937=phu!$I$17,M937=phu!$I$18,M937=phu!$I$19,M937=phu!$I$20,M937=phu!$I$21),"Cam Phúc Bắc",""),IF(OR(M937=phu!$I$22,M937=phu!$I$23,M937=phu!$I$24,M937=phu!$I$25),"Cam Phúc Nam",""),IF(OR(M937=phu!$I$26,M937=phu!$I$27,M937=phu!$I$28,M937=phu!$I$29,M937=phu!$I$30,M937=phu!$I$31),"Cam Phú",""),IF(OR(M937=phu!$I$32,M937=phu!$I$33,M937=phu!$I$34,M937=phu!$I$35,M937=phu!$I$36,M937=phu!$I$37),"Cam Lộc",""),IF(OR(M937=phu!$I$38,M937=phu!$I$39,M937=phu!$I$40,M937=phu!$I$41,M937=phu!$I$42,M937=phu!$I$43,M937=phu!$I$44),"Cam Thuận",""),IF(OR(M937=phu!$I$45,M937=phu!$I$46,M937=phu!$I$47,M937=phu!$I$48,M937=phu!$I$49,M937=phu!$I$50,M937=phu!$I$51,M937=phu!$I$52,M937=phu!$I$53),"Cam Linh",""),IF(OR(M937=phu!$I$54,M937=phu!$I$55,M937=phu!$I$56,M937=phu!$I$57,M937=phu!$I$58,M937=phu!$I$59,M937=phu!$I$60,M937=phu!$I$61,M937=phu!$I$62),"Cam Lợi",""),IF(OR(M937=phu!$I$63,M937=phu!$I$64,M937=phu!$I$65,M937=phu!$I$66,M937=phu!$I$67,M937=phu!$I$68,M937=phu!$I$69,M937=phu!$I$70,M937=phu!$I$71),"Ba Ngòi",""),IF(OR(M937=phu!$I$72,M937=phu!$I$73,M937=phu!$I$74,M937=phu!$I$75,M937=phu!$I$76,M937=phu!$I$77,M937=phu!$I$78),"Cam Phước Đông",""),IF(OR(M937=phu!$I$79,M937=phu!$I$80,M937=phu!$I$81,M937=phu!$I$82,M937=phu!$I$83,M937=phu!$I$84),"Cam Thịnh Đông",""),IF(OR(M937=phu!$I$85,M937=phu!$I$86,M937=phu!$I$87,M937=phu!$I$88),"Cam Thịnh Tây",""),IF(OR(M937=phu!$I$89,M937=phu!$I$90),"Cam Lập",""),IF(OR(M937=phu!$I$91,M937=phu!$I$92,M937=phu!$I$93),"Cam Bình",""),IF(OR(M937=phu!$I$94,M937=phu!$I$95,M937=phu!$I$96,M937=phu!$I$97,M937=phu!$I$98,M937=phu!$I$99,M937=phu!$I$100),"Huyện khác",""),IF(OR(M937=phu!$I$101,M937=phu!$I$102),"Tỉnh khác",""))</f>
        <v/>
      </c>
      <c r="O937" s="829" t="str">
        <f t="shared" si="84"/>
        <v/>
      </c>
      <c r="P937" s="254"/>
      <c r="Q937" s="254"/>
      <c r="R937" s="254"/>
      <c r="S937" s="254"/>
      <c r="T937" s="254"/>
      <c r="U937" s="254"/>
      <c r="V937" s="254"/>
      <c r="W937" s="254"/>
      <c r="Y937" s="246" t="str">
        <f t="shared" si="85"/>
        <v/>
      </c>
      <c r="Z937" s="247" t="str">
        <f t="shared" si="89"/>
        <v/>
      </c>
      <c r="AA937" s="246" t="str">
        <f t="shared" si="86"/>
        <v/>
      </c>
    </row>
    <row r="938" spans="1:27" x14ac:dyDescent="0.25">
      <c r="A938" s="248" t="str">
        <f t="shared" si="87"/>
        <v/>
      </c>
      <c r="B938" s="249" t="str">
        <f t="shared" si="88"/>
        <v/>
      </c>
      <c r="C938" s="250"/>
      <c r="D938" s="251"/>
      <c r="E938" s="241"/>
      <c r="F938" s="252"/>
      <c r="G938" s="252"/>
      <c r="H938" s="253"/>
      <c r="I938" s="250"/>
      <c r="J938" s="250"/>
      <c r="K938" s="270"/>
      <c r="L938" s="250"/>
      <c r="M938" s="250"/>
      <c r="N938" s="540" t="str">
        <f>CONCATENATE(IF(OR(M938=phu!$I$1,M938=phu!$I$2,M938=phu!$I$3),"Cam Thành Nam",""),IF(OR(M938=phu!$I$4,M938=phu!$I$5,M938=phu!$I$6,M938=phu!$I$7,M938=phu!$I$8,M938=phu!$I$9,M938=phu!$I$10,M938=phu!$I$11,M938=phu!$I$12,M938=phu!$I$13,M938=phu!$I$14),"Cam Nghĩa",""),IF(OR(M938=phu!$I$15,M938=phu!$I$16,M938=phu!$I$17,M938=phu!$I$18,M938=phu!$I$19,M938=phu!$I$20,M938=phu!$I$21),"Cam Phúc Bắc",""),IF(OR(M938=phu!$I$22,M938=phu!$I$23,M938=phu!$I$24,M938=phu!$I$25),"Cam Phúc Nam",""),IF(OR(M938=phu!$I$26,M938=phu!$I$27,M938=phu!$I$28,M938=phu!$I$29,M938=phu!$I$30,M938=phu!$I$31),"Cam Phú",""),IF(OR(M938=phu!$I$32,M938=phu!$I$33,M938=phu!$I$34,M938=phu!$I$35,M938=phu!$I$36,M938=phu!$I$37),"Cam Lộc",""),IF(OR(M938=phu!$I$38,M938=phu!$I$39,M938=phu!$I$40,M938=phu!$I$41,M938=phu!$I$42,M938=phu!$I$43,M938=phu!$I$44),"Cam Thuận",""),IF(OR(M938=phu!$I$45,M938=phu!$I$46,M938=phu!$I$47,M938=phu!$I$48,M938=phu!$I$49,M938=phu!$I$50,M938=phu!$I$51,M938=phu!$I$52,M938=phu!$I$53),"Cam Linh",""),IF(OR(M938=phu!$I$54,M938=phu!$I$55,M938=phu!$I$56,M938=phu!$I$57,M938=phu!$I$58,M938=phu!$I$59,M938=phu!$I$60,M938=phu!$I$61,M938=phu!$I$62),"Cam Lợi",""),IF(OR(M938=phu!$I$63,M938=phu!$I$64,M938=phu!$I$65,M938=phu!$I$66,M938=phu!$I$67,M938=phu!$I$68,M938=phu!$I$69,M938=phu!$I$70,M938=phu!$I$71),"Ba Ngòi",""),IF(OR(M938=phu!$I$72,M938=phu!$I$73,M938=phu!$I$74,M938=phu!$I$75,M938=phu!$I$76,M938=phu!$I$77,M938=phu!$I$78),"Cam Phước Đông",""),IF(OR(M938=phu!$I$79,M938=phu!$I$80,M938=phu!$I$81,M938=phu!$I$82,M938=phu!$I$83,M938=phu!$I$84),"Cam Thịnh Đông",""),IF(OR(M938=phu!$I$85,M938=phu!$I$86,M938=phu!$I$87,M938=phu!$I$88),"Cam Thịnh Tây",""),IF(OR(M938=phu!$I$89,M938=phu!$I$90),"Cam Lập",""),IF(OR(M938=phu!$I$91,M938=phu!$I$92,M938=phu!$I$93),"Cam Bình",""),IF(OR(M938=phu!$I$94,M938=phu!$I$95,M938=phu!$I$96,M938=phu!$I$97,M938=phu!$I$98,M938=phu!$I$99,M938=phu!$I$100),"Huyện khác",""),IF(OR(M938=phu!$I$101,M938=phu!$I$102),"Tỉnh khác",""))</f>
        <v/>
      </c>
      <c r="O938" s="829" t="str">
        <f t="shared" si="84"/>
        <v/>
      </c>
      <c r="P938" s="254"/>
      <c r="Q938" s="254"/>
      <c r="R938" s="254"/>
      <c r="S938" s="254"/>
      <c r="T938" s="254"/>
      <c r="U938" s="254"/>
      <c r="V938" s="254"/>
      <c r="W938" s="254"/>
      <c r="Y938" s="246" t="str">
        <f t="shared" si="85"/>
        <v/>
      </c>
      <c r="Z938" s="247" t="str">
        <f t="shared" si="89"/>
        <v/>
      </c>
      <c r="AA938" s="246" t="str">
        <f t="shared" si="86"/>
        <v/>
      </c>
    </row>
    <row r="939" spans="1:27" x14ac:dyDescent="0.25">
      <c r="A939" s="248" t="str">
        <f t="shared" si="87"/>
        <v/>
      </c>
      <c r="B939" s="249" t="str">
        <f t="shared" si="88"/>
        <v/>
      </c>
      <c r="C939" s="250"/>
      <c r="D939" s="251"/>
      <c r="E939" s="241"/>
      <c r="F939" s="252"/>
      <c r="G939" s="252"/>
      <c r="H939" s="253"/>
      <c r="I939" s="250"/>
      <c r="J939" s="250"/>
      <c r="K939" s="270"/>
      <c r="L939" s="250"/>
      <c r="M939" s="250"/>
      <c r="N939" s="540" t="str">
        <f>CONCATENATE(IF(OR(M939=phu!$I$1,M939=phu!$I$2,M939=phu!$I$3),"Cam Thành Nam",""),IF(OR(M939=phu!$I$4,M939=phu!$I$5,M939=phu!$I$6,M939=phu!$I$7,M939=phu!$I$8,M939=phu!$I$9,M939=phu!$I$10,M939=phu!$I$11,M939=phu!$I$12,M939=phu!$I$13,M939=phu!$I$14),"Cam Nghĩa",""),IF(OR(M939=phu!$I$15,M939=phu!$I$16,M939=phu!$I$17,M939=phu!$I$18,M939=phu!$I$19,M939=phu!$I$20,M939=phu!$I$21),"Cam Phúc Bắc",""),IF(OR(M939=phu!$I$22,M939=phu!$I$23,M939=phu!$I$24,M939=phu!$I$25),"Cam Phúc Nam",""),IF(OR(M939=phu!$I$26,M939=phu!$I$27,M939=phu!$I$28,M939=phu!$I$29,M939=phu!$I$30,M939=phu!$I$31),"Cam Phú",""),IF(OR(M939=phu!$I$32,M939=phu!$I$33,M939=phu!$I$34,M939=phu!$I$35,M939=phu!$I$36,M939=phu!$I$37),"Cam Lộc",""),IF(OR(M939=phu!$I$38,M939=phu!$I$39,M939=phu!$I$40,M939=phu!$I$41,M939=phu!$I$42,M939=phu!$I$43,M939=phu!$I$44),"Cam Thuận",""),IF(OR(M939=phu!$I$45,M939=phu!$I$46,M939=phu!$I$47,M939=phu!$I$48,M939=phu!$I$49,M939=phu!$I$50,M939=phu!$I$51,M939=phu!$I$52,M939=phu!$I$53),"Cam Linh",""),IF(OR(M939=phu!$I$54,M939=phu!$I$55,M939=phu!$I$56,M939=phu!$I$57,M939=phu!$I$58,M939=phu!$I$59,M939=phu!$I$60,M939=phu!$I$61,M939=phu!$I$62),"Cam Lợi",""),IF(OR(M939=phu!$I$63,M939=phu!$I$64,M939=phu!$I$65,M939=phu!$I$66,M939=phu!$I$67,M939=phu!$I$68,M939=phu!$I$69,M939=phu!$I$70,M939=phu!$I$71),"Ba Ngòi",""),IF(OR(M939=phu!$I$72,M939=phu!$I$73,M939=phu!$I$74,M939=phu!$I$75,M939=phu!$I$76,M939=phu!$I$77,M939=phu!$I$78),"Cam Phước Đông",""),IF(OR(M939=phu!$I$79,M939=phu!$I$80,M939=phu!$I$81,M939=phu!$I$82,M939=phu!$I$83,M939=phu!$I$84),"Cam Thịnh Đông",""),IF(OR(M939=phu!$I$85,M939=phu!$I$86,M939=phu!$I$87,M939=phu!$I$88),"Cam Thịnh Tây",""),IF(OR(M939=phu!$I$89,M939=phu!$I$90),"Cam Lập",""),IF(OR(M939=phu!$I$91,M939=phu!$I$92,M939=phu!$I$93),"Cam Bình",""),IF(OR(M939=phu!$I$94,M939=phu!$I$95,M939=phu!$I$96,M939=phu!$I$97,M939=phu!$I$98,M939=phu!$I$99,M939=phu!$I$100),"Huyện khác",""),IF(OR(M939=phu!$I$101,M939=phu!$I$102),"Tỉnh khác",""))</f>
        <v/>
      </c>
      <c r="O939" s="829" t="str">
        <f t="shared" si="84"/>
        <v/>
      </c>
      <c r="P939" s="254"/>
      <c r="Q939" s="254"/>
      <c r="R939" s="254"/>
      <c r="S939" s="254"/>
      <c r="T939" s="254"/>
      <c r="U939" s="254"/>
      <c r="V939" s="254"/>
      <c r="W939" s="254"/>
      <c r="Y939" s="246" t="str">
        <f t="shared" si="85"/>
        <v/>
      </c>
      <c r="Z939" s="247" t="str">
        <f t="shared" si="89"/>
        <v/>
      </c>
      <c r="AA939" s="246" t="str">
        <f t="shared" si="86"/>
        <v/>
      </c>
    </row>
    <row r="940" spans="1:27" x14ac:dyDescent="0.25">
      <c r="A940" s="248" t="str">
        <f t="shared" si="87"/>
        <v/>
      </c>
      <c r="B940" s="249" t="str">
        <f t="shared" si="88"/>
        <v/>
      </c>
      <c r="C940" s="250"/>
      <c r="D940" s="251"/>
      <c r="E940" s="241"/>
      <c r="F940" s="252"/>
      <c r="G940" s="252"/>
      <c r="H940" s="253"/>
      <c r="I940" s="250"/>
      <c r="J940" s="250"/>
      <c r="K940" s="270"/>
      <c r="L940" s="250"/>
      <c r="M940" s="250"/>
      <c r="N940" s="540" t="str">
        <f>CONCATENATE(IF(OR(M940=phu!$I$1,M940=phu!$I$2,M940=phu!$I$3),"Cam Thành Nam",""),IF(OR(M940=phu!$I$4,M940=phu!$I$5,M940=phu!$I$6,M940=phu!$I$7,M940=phu!$I$8,M940=phu!$I$9,M940=phu!$I$10,M940=phu!$I$11,M940=phu!$I$12,M940=phu!$I$13,M940=phu!$I$14),"Cam Nghĩa",""),IF(OR(M940=phu!$I$15,M940=phu!$I$16,M940=phu!$I$17,M940=phu!$I$18,M940=phu!$I$19,M940=phu!$I$20,M940=phu!$I$21),"Cam Phúc Bắc",""),IF(OR(M940=phu!$I$22,M940=phu!$I$23,M940=phu!$I$24,M940=phu!$I$25),"Cam Phúc Nam",""),IF(OR(M940=phu!$I$26,M940=phu!$I$27,M940=phu!$I$28,M940=phu!$I$29,M940=phu!$I$30,M940=phu!$I$31),"Cam Phú",""),IF(OR(M940=phu!$I$32,M940=phu!$I$33,M940=phu!$I$34,M940=phu!$I$35,M940=phu!$I$36,M940=phu!$I$37),"Cam Lộc",""),IF(OR(M940=phu!$I$38,M940=phu!$I$39,M940=phu!$I$40,M940=phu!$I$41,M940=phu!$I$42,M940=phu!$I$43,M940=phu!$I$44),"Cam Thuận",""),IF(OR(M940=phu!$I$45,M940=phu!$I$46,M940=phu!$I$47,M940=phu!$I$48,M940=phu!$I$49,M940=phu!$I$50,M940=phu!$I$51,M940=phu!$I$52,M940=phu!$I$53),"Cam Linh",""),IF(OR(M940=phu!$I$54,M940=phu!$I$55,M940=phu!$I$56,M940=phu!$I$57,M940=phu!$I$58,M940=phu!$I$59,M940=phu!$I$60,M940=phu!$I$61,M940=phu!$I$62),"Cam Lợi",""),IF(OR(M940=phu!$I$63,M940=phu!$I$64,M940=phu!$I$65,M940=phu!$I$66,M940=phu!$I$67,M940=phu!$I$68,M940=phu!$I$69,M940=phu!$I$70,M940=phu!$I$71),"Ba Ngòi",""),IF(OR(M940=phu!$I$72,M940=phu!$I$73,M940=phu!$I$74,M940=phu!$I$75,M940=phu!$I$76,M940=phu!$I$77,M940=phu!$I$78),"Cam Phước Đông",""),IF(OR(M940=phu!$I$79,M940=phu!$I$80,M940=phu!$I$81,M940=phu!$I$82,M940=phu!$I$83,M940=phu!$I$84),"Cam Thịnh Đông",""),IF(OR(M940=phu!$I$85,M940=phu!$I$86,M940=phu!$I$87,M940=phu!$I$88),"Cam Thịnh Tây",""),IF(OR(M940=phu!$I$89,M940=phu!$I$90),"Cam Lập",""),IF(OR(M940=phu!$I$91,M940=phu!$I$92,M940=phu!$I$93),"Cam Bình",""),IF(OR(M940=phu!$I$94,M940=phu!$I$95,M940=phu!$I$96,M940=phu!$I$97,M940=phu!$I$98,M940=phu!$I$99,M940=phu!$I$100),"Huyện khác",""),IF(OR(M940=phu!$I$101,M940=phu!$I$102),"Tỉnh khác",""))</f>
        <v/>
      </c>
      <c r="O940" s="829" t="str">
        <f t="shared" si="84"/>
        <v/>
      </c>
      <c r="P940" s="254"/>
      <c r="Q940" s="254"/>
      <c r="R940" s="254"/>
      <c r="S940" s="254"/>
      <c r="T940" s="254"/>
      <c r="U940" s="254"/>
      <c r="V940" s="254"/>
      <c r="W940" s="254"/>
      <c r="Y940" s="246" t="str">
        <f t="shared" si="85"/>
        <v/>
      </c>
      <c r="Z940" s="247" t="str">
        <f t="shared" si="89"/>
        <v/>
      </c>
      <c r="AA940" s="246" t="str">
        <f t="shared" si="86"/>
        <v/>
      </c>
    </row>
    <row r="941" spans="1:27" x14ac:dyDescent="0.25">
      <c r="A941" s="248" t="str">
        <f t="shared" si="87"/>
        <v/>
      </c>
      <c r="B941" s="249" t="str">
        <f t="shared" si="88"/>
        <v/>
      </c>
      <c r="C941" s="250"/>
      <c r="D941" s="251"/>
      <c r="E941" s="241"/>
      <c r="F941" s="252"/>
      <c r="G941" s="252"/>
      <c r="H941" s="253"/>
      <c r="I941" s="250"/>
      <c r="J941" s="250"/>
      <c r="K941" s="270"/>
      <c r="L941" s="250"/>
      <c r="M941" s="250"/>
      <c r="N941" s="540" t="str">
        <f>CONCATENATE(IF(OR(M941=phu!$I$1,M941=phu!$I$2,M941=phu!$I$3),"Cam Thành Nam",""),IF(OR(M941=phu!$I$4,M941=phu!$I$5,M941=phu!$I$6,M941=phu!$I$7,M941=phu!$I$8,M941=phu!$I$9,M941=phu!$I$10,M941=phu!$I$11,M941=phu!$I$12,M941=phu!$I$13,M941=phu!$I$14),"Cam Nghĩa",""),IF(OR(M941=phu!$I$15,M941=phu!$I$16,M941=phu!$I$17,M941=phu!$I$18,M941=phu!$I$19,M941=phu!$I$20,M941=phu!$I$21),"Cam Phúc Bắc",""),IF(OR(M941=phu!$I$22,M941=phu!$I$23,M941=phu!$I$24,M941=phu!$I$25),"Cam Phúc Nam",""),IF(OR(M941=phu!$I$26,M941=phu!$I$27,M941=phu!$I$28,M941=phu!$I$29,M941=phu!$I$30,M941=phu!$I$31),"Cam Phú",""),IF(OR(M941=phu!$I$32,M941=phu!$I$33,M941=phu!$I$34,M941=phu!$I$35,M941=phu!$I$36,M941=phu!$I$37),"Cam Lộc",""),IF(OR(M941=phu!$I$38,M941=phu!$I$39,M941=phu!$I$40,M941=phu!$I$41,M941=phu!$I$42,M941=phu!$I$43,M941=phu!$I$44),"Cam Thuận",""),IF(OR(M941=phu!$I$45,M941=phu!$I$46,M941=phu!$I$47,M941=phu!$I$48,M941=phu!$I$49,M941=phu!$I$50,M941=phu!$I$51,M941=phu!$I$52,M941=phu!$I$53),"Cam Linh",""),IF(OR(M941=phu!$I$54,M941=phu!$I$55,M941=phu!$I$56,M941=phu!$I$57,M941=phu!$I$58,M941=phu!$I$59,M941=phu!$I$60,M941=phu!$I$61,M941=phu!$I$62),"Cam Lợi",""),IF(OR(M941=phu!$I$63,M941=phu!$I$64,M941=phu!$I$65,M941=phu!$I$66,M941=phu!$I$67,M941=phu!$I$68,M941=phu!$I$69,M941=phu!$I$70,M941=phu!$I$71),"Ba Ngòi",""),IF(OR(M941=phu!$I$72,M941=phu!$I$73,M941=phu!$I$74,M941=phu!$I$75,M941=phu!$I$76,M941=phu!$I$77,M941=phu!$I$78),"Cam Phước Đông",""),IF(OR(M941=phu!$I$79,M941=phu!$I$80,M941=phu!$I$81,M941=phu!$I$82,M941=phu!$I$83,M941=phu!$I$84),"Cam Thịnh Đông",""),IF(OR(M941=phu!$I$85,M941=phu!$I$86,M941=phu!$I$87,M941=phu!$I$88),"Cam Thịnh Tây",""),IF(OR(M941=phu!$I$89,M941=phu!$I$90),"Cam Lập",""),IF(OR(M941=phu!$I$91,M941=phu!$I$92,M941=phu!$I$93),"Cam Bình",""),IF(OR(M941=phu!$I$94,M941=phu!$I$95,M941=phu!$I$96,M941=phu!$I$97,M941=phu!$I$98,M941=phu!$I$99,M941=phu!$I$100),"Huyện khác",""),IF(OR(M941=phu!$I$101,M941=phu!$I$102),"Tỉnh khác",""))</f>
        <v/>
      </c>
      <c r="O941" s="829" t="str">
        <f t="shared" si="84"/>
        <v/>
      </c>
      <c r="P941" s="254"/>
      <c r="Q941" s="254"/>
      <c r="R941" s="254"/>
      <c r="S941" s="254"/>
      <c r="T941" s="254"/>
      <c r="U941" s="254"/>
      <c r="V941" s="254"/>
      <c r="W941" s="254"/>
      <c r="Y941" s="246" t="str">
        <f t="shared" si="85"/>
        <v/>
      </c>
      <c r="Z941" s="247" t="str">
        <f t="shared" si="89"/>
        <v/>
      </c>
      <c r="AA941" s="246" t="str">
        <f t="shared" si="86"/>
        <v/>
      </c>
    </row>
    <row r="942" spans="1:27" x14ac:dyDescent="0.25">
      <c r="A942" s="248" t="str">
        <f t="shared" si="87"/>
        <v/>
      </c>
      <c r="B942" s="249" t="str">
        <f t="shared" si="88"/>
        <v/>
      </c>
      <c r="C942" s="250"/>
      <c r="D942" s="251"/>
      <c r="E942" s="241"/>
      <c r="F942" s="252"/>
      <c r="G942" s="252"/>
      <c r="H942" s="253"/>
      <c r="I942" s="250"/>
      <c r="J942" s="250"/>
      <c r="K942" s="270"/>
      <c r="L942" s="250"/>
      <c r="M942" s="250"/>
      <c r="N942" s="540" t="str">
        <f>CONCATENATE(IF(OR(M942=phu!$I$1,M942=phu!$I$2,M942=phu!$I$3),"Cam Thành Nam",""),IF(OR(M942=phu!$I$4,M942=phu!$I$5,M942=phu!$I$6,M942=phu!$I$7,M942=phu!$I$8,M942=phu!$I$9,M942=phu!$I$10,M942=phu!$I$11,M942=phu!$I$12,M942=phu!$I$13,M942=phu!$I$14),"Cam Nghĩa",""),IF(OR(M942=phu!$I$15,M942=phu!$I$16,M942=phu!$I$17,M942=phu!$I$18,M942=phu!$I$19,M942=phu!$I$20,M942=phu!$I$21),"Cam Phúc Bắc",""),IF(OR(M942=phu!$I$22,M942=phu!$I$23,M942=phu!$I$24,M942=phu!$I$25),"Cam Phúc Nam",""),IF(OR(M942=phu!$I$26,M942=phu!$I$27,M942=phu!$I$28,M942=phu!$I$29,M942=phu!$I$30,M942=phu!$I$31),"Cam Phú",""),IF(OR(M942=phu!$I$32,M942=phu!$I$33,M942=phu!$I$34,M942=phu!$I$35,M942=phu!$I$36,M942=phu!$I$37),"Cam Lộc",""),IF(OR(M942=phu!$I$38,M942=phu!$I$39,M942=phu!$I$40,M942=phu!$I$41,M942=phu!$I$42,M942=phu!$I$43,M942=phu!$I$44),"Cam Thuận",""),IF(OR(M942=phu!$I$45,M942=phu!$I$46,M942=phu!$I$47,M942=phu!$I$48,M942=phu!$I$49,M942=phu!$I$50,M942=phu!$I$51,M942=phu!$I$52,M942=phu!$I$53),"Cam Linh",""),IF(OR(M942=phu!$I$54,M942=phu!$I$55,M942=phu!$I$56,M942=phu!$I$57,M942=phu!$I$58,M942=phu!$I$59,M942=phu!$I$60,M942=phu!$I$61,M942=phu!$I$62),"Cam Lợi",""),IF(OR(M942=phu!$I$63,M942=phu!$I$64,M942=phu!$I$65,M942=phu!$I$66,M942=phu!$I$67,M942=phu!$I$68,M942=phu!$I$69,M942=phu!$I$70,M942=phu!$I$71),"Ba Ngòi",""),IF(OR(M942=phu!$I$72,M942=phu!$I$73,M942=phu!$I$74,M942=phu!$I$75,M942=phu!$I$76,M942=phu!$I$77,M942=phu!$I$78),"Cam Phước Đông",""),IF(OR(M942=phu!$I$79,M942=phu!$I$80,M942=phu!$I$81,M942=phu!$I$82,M942=phu!$I$83,M942=phu!$I$84),"Cam Thịnh Đông",""),IF(OR(M942=phu!$I$85,M942=phu!$I$86,M942=phu!$I$87,M942=phu!$I$88),"Cam Thịnh Tây",""),IF(OR(M942=phu!$I$89,M942=phu!$I$90),"Cam Lập",""),IF(OR(M942=phu!$I$91,M942=phu!$I$92,M942=phu!$I$93),"Cam Bình",""),IF(OR(M942=phu!$I$94,M942=phu!$I$95,M942=phu!$I$96,M942=phu!$I$97,M942=phu!$I$98,M942=phu!$I$99,M942=phu!$I$100),"Huyện khác",""),IF(OR(M942=phu!$I$101,M942=phu!$I$102),"Tỉnh khác",""))</f>
        <v/>
      </c>
      <c r="O942" s="829" t="str">
        <f t="shared" si="84"/>
        <v/>
      </c>
      <c r="P942" s="254"/>
      <c r="Q942" s="254"/>
      <c r="R942" s="254"/>
      <c r="S942" s="254"/>
      <c r="T942" s="254"/>
      <c r="U942" s="254"/>
      <c r="V942" s="254"/>
      <c r="W942" s="254"/>
      <c r="Y942" s="246" t="str">
        <f t="shared" si="85"/>
        <v/>
      </c>
      <c r="Z942" s="247" t="str">
        <f t="shared" si="89"/>
        <v/>
      </c>
      <c r="AA942" s="246" t="str">
        <f t="shared" si="86"/>
        <v/>
      </c>
    </row>
    <row r="943" spans="1:27" x14ac:dyDescent="0.25">
      <c r="A943" s="248" t="str">
        <f t="shared" si="87"/>
        <v/>
      </c>
      <c r="B943" s="249" t="str">
        <f t="shared" si="88"/>
        <v/>
      </c>
      <c r="C943" s="250"/>
      <c r="D943" s="251"/>
      <c r="E943" s="241"/>
      <c r="F943" s="252"/>
      <c r="G943" s="252"/>
      <c r="H943" s="253"/>
      <c r="I943" s="250"/>
      <c r="J943" s="250"/>
      <c r="K943" s="270"/>
      <c r="L943" s="250"/>
      <c r="M943" s="250"/>
      <c r="N943" s="540" t="str">
        <f>CONCATENATE(IF(OR(M943=phu!$I$1,M943=phu!$I$2,M943=phu!$I$3),"Cam Thành Nam",""),IF(OR(M943=phu!$I$4,M943=phu!$I$5,M943=phu!$I$6,M943=phu!$I$7,M943=phu!$I$8,M943=phu!$I$9,M943=phu!$I$10,M943=phu!$I$11,M943=phu!$I$12,M943=phu!$I$13,M943=phu!$I$14),"Cam Nghĩa",""),IF(OR(M943=phu!$I$15,M943=phu!$I$16,M943=phu!$I$17,M943=phu!$I$18,M943=phu!$I$19,M943=phu!$I$20,M943=phu!$I$21),"Cam Phúc Bắc",""),IF(OR(M943=phu!$I$22,M943=phu!$I$23,M943=phu!$I$24,M943=phu!$I$25),"Cam Phúc Nam",""),IF(OR(M943=phu!$I$26,M943=phu!$I$27,M943=phu!$I$28,M943=phu!$I$29,M943=phu!$I$30,M943=phu!$I$31),"Cam Phú",""),IF(OR(M943=phu!$I$32,M943=phu!$I$33,M943=phu!$I$34,M943=phu!$I$35,M943=phu!$I$36,M943=phu!$I$37),"Cam Lộc",""),IF(OR(M943=phu!$I$38,M943=phu!$I$39,M943=phu!$I$40,M943=phu!$I$41,M943=phu!$I$42,M943=phu!$I$43,M943=phu!$I$44),"Cam Thuận",""),IF(OR(M943=phu!$I$45,M943=phu!$I$46,M943=phu!$I$47,M943=phu!$I$48,M943=phu!$I$49,M943=phu!$I$50,M943=phu!$I$51,M943=phu!$I$52,M943=phu!$I$53),"Cam Linh",""),IF(OR(M943=phu!$I$54,M943=phu!$I$55,M943=phu!$I$56,M943=phu!$I$57,M943=phu!$I$58,M943=phu!$I$59,M943=phu!$I$60,M943=phu!$I$61,M943=phu!$I$62),"Cam Lợi",""),IF(OR(M943=phu!$I$63,M943=phu!$I$64,M943=phu!$I$65,M943=phu!$I$66,M943=phu!$I$67,M943=phu!$I$68,M943=phu!$I$69,M943=phu!$I$70,M943=phu!$I$71),"Ba Ngòi",""),IF(OR(M943=phu!$I$72,M943=phu!$I$73,M943=phu!$I$74,M943=phu!$I$75,M943=phu!$I$76,M943=phu!$I$77,M943=phu!$I$78),"Cam Phước Đông",""),IF(OR(M943=phu!$I$79,M943=phu!$I$80,M943=phu!$I$81,M943=phu!$I$82,M943=phu!$I$83,M943=phu!$I$84),"Cam Thịnh Đông",""),IF(OR(M943=phu!$I$85,M943=phu!$I$86,M943=phu!$I$87,M943=phu!$I$88),"Cam Thịnh Tây",""),IF(OR(M943=phu!$I$89,M943=phu!$I$90),"Cam Lập",""),IF(OR(M943=phu!$I$91,M943=phu!$I$92,M943=phu!$I$93),"Cam Bình",""),IF(OR(M943=phu!$I$94,M943=phu!$I$95,M943=phu!$I$96,M943=phu!$I$97,M943=phu!$I$98,M943=phu!$I$99,M943=phu!$I$100),"Huyện khác",""),IF(OR(M943=phu!$I$101,M943=phu!$I$102),"Tỉnh khác",""))</f>
        <v/>
      </c>
      <c r="O943" s="829" t="str">
        <f t="shared" si="84"/>
        <v/>
      </c>
      <c r="P943" s="254"/>
      <c r="Q943" s="254"/>
      <c r="R943" s="254"/>
      <c r="S943" s="254"/>
      <c r="T943" s="254"/>
      <c r="U943" s="254"/>
      <c r="V943" s="254"/>
      <c r="W943" s="254"/>
      <c r="Y943" s="246" t="str">
        <f t="shared" si="85"/>
        <v/>
      </c>
      <c r="Z943" s="247" t="str">
        <f t="shared" si="89"/>
        <v/>
      </c>
      <c r="AA943" s="246" t="str">
        <f t="shared" si="86"/>
        <v/>
      </c>
    </row>
    <row r="944" spans="1:27" x14ac:dyDescent="0.25">
      <c r="A944" s="248" t="str">
        <f t="shared" si="87"/>
        <v/>
      </c>
      <c r="B944" s="249" t="str">
        <f t="shared" si="88"/>
        <v/>
      </c>
      <c r="C944" s="250"/>
      <c r="D944" s="251"/>
      <c r="E944" s="241"/>
      <c r="F944" s="252"/>
      <c r="G944" s="252"/>
      <c r="H944" s="253"/>
      <c r="I944" s="250"/>
      <c r="J944" s="250"/>
      <c r="K944" s="270"/>
      <c r="L944" s="250"/>
      <c r="M944" s="250"/>
      <c r="N944" s="540" t="str">
        <f>CONCATENATE(IF(OR(M944=phu!$I$1,M944=phu!$I$2,M944=phu!$I$3),"Cam Thành Nam",""),IF(OR(M944=phu!$I$4,M944=phu!$I$5,M944=phu!$I$6,M944=phu!$I$7,M944=phu!$I$8,M944=phu!$I$9,M944=phu!$I$10,M944=phu!$I$11,M944=phu!$I$12,M944=phu!$I$13,M944=phu!$I$14),"Cam Nghĩa",""),IF(OR(M944=phu!$I$15,M944=phu!$I$16,M944=phu!$I$17,M944=phu!$I$18,M944=phu!$I$19,M944=phu!$I$20,M944=phu!$I$21),"Cam Phúc Bắc",""),IF(OR(M944=phu!$I$22,M944=phu!$I$23,M944=phu!$I$24,M944=phu!$I$25),"Cam Phúc Nam",""),IF(OR(M944=phu!$I$26,M944=phu!$I$27,M944=phu!$I$28,M944=phu!$I$29,M944=phu!$I$30,M944=phu!$I$31),"Cam Phú",""),IF(OR(M944=phu!$I$32,M944=phu!$I$33,M944=phu!$I$34,M944=phu!$I$35,M944=phu!$I$36,M944=phu!$I$37),"Cam Lộc",""),IF(OR(M944=phu!$I$38,M944=phu!$I$39,M944=phu!$I$40,M944=phu!$I$41,M944=phu!$I$42,M944=phu!$I$43,M944=phu!$I$44),"Cam Thuận",""),IF(OR(M944=phu!$I$45,M944=phu!$I$46,M944=phu!$I$47,M944=phu!$I$48,M944=phu!$I$49,M944=phu!$I$50,M944=phu!$I$51,M944=phu!$I$52,M944=phu!$I$53),"Cam Linh",""),IF(OR(M944=phu!$I$54,M944=phu!$I$55,M944=phu!$I$56,M944=phu!$I$57,M944=phu!$I$58,M944=phu!$I$59,M944=phu!$I$60,M944=phu!$I$61,M944=phu!$I$62),"Cam Lợi",""),IF(OR(M944=phu!$I$63,M944=phu!$I$64,M944=phu!$I$65,M944=phu!$I$66,M944=phu!$I$67,M944=phu!$I$68,M944=phu!$I$69,M944=phu!$I$70,M944=phu!$I$71),"Ba Ngòi",""),IF(OR(M944=phu!$I$72,M944=phu!$I$73,M944=phu!$I$74,M944=phu!$I$75,M944=phu!$I$76,M944=phu!$I$77,M944=phu!$I$78),"Cam Phước Đông",""),IF(OR(M944=phu!$I$79,M944=phu!$I$80,M944=phu!$I$81,M944=phu!$I$82,M944=phu!$I$83,M944=phu!$I$84),"Cam Thịnh Đông",""),IF(OR(M944=phu!$I$85,M944=phu!$I$86,M944=phu!$I$87,M944=phu!$I$88),"Cam Thịnh Tây",""),IF(OR(M944=phu!$I$89,M944=phu!$I$90),"Cam Lập",""),IF(OR(M944=phu!$I$91,M944=phu!$I$92,M944=phu!$I$93),"Cam Bình",""),IF(OR(M944=phu!$I$94,M944=phu!$I$95,M944=phu!$I$96,M944=phu!$I$97,M944=phu!$I$98,M944=phu!$I$99,M944=phu!$I$100),"Huyện khác",""),IF(OR(M944=phu!$I$101,M944=phu!$I$102),"Tỉnh khác",""))</f>
        <v/>
      </c>
      <c r="O944" s="829" t="str">
        <f t="shared" si="84"/>
        <v/>
      </c>
      <c r="P944" s="254"/>
      <c r="Q944" s="254"/>
      <c r="R944" s="254"/>
      <c r="S944" s="254"/>
      <c r="T944" s="254"/>
      <c r="U944" s="254"/>
      <c r="V944" s="254"/>
      <c r="W944" s="254"/>
      <c r="Y944" s="246" t="str">
        <f t="shared" si="85"/>
        <v/>
      </c>
      <c r="Z944" s="247" t="str">
        <f t="shared" si="89"/>
        <v/>
      </c>
      <c r="AA944" s="246" t="str">
        <f t="shared" si="86"/>
        <v/>
      </c>
    </row>
    <row r="945" spans="1:27" x14ac:dyDescent="0.25">
      <c r="A945" s="248" t="str">
        <f t="shared" si="87"/>
        <v/>
      </c>
      <c r="B945" s="249" t="str">
        <f t="shared" si="88"/>
        <v/>
      </c>
      <c r="C945" s="250"/>
      <c r="D945" s="251"/>
      <c r="E945" s="241"/>
      <c r="F945" s="252"/>
      <c r="G945" s="252"/>
      <c r="H945" s="253"/>
      <c r="I945" s="250"/>
      <c r="J945" s="250"/>
      <c r="K945" s="270"/>
      <c r="L945" s="250"/>
      <c r="M945" s="250"/>
      <c r="N945" s="540" t="str">
        <f>CONCATENATE(IF(OR(M945=phu!$I$1,M945=phu!$I$2,M945=phu!$I$3),"Cam Thành Nam",""),IF(OR(M945=phu!$I$4,M945=phu!$I$5,M945=phu!$I$6,M945=phu!$I$7,M945=phu!$I$8,M945=phu!$I$9,M945=phu!$I$10,M945=phu!$I$11,M945=phu!$I$12,M945=phu!$I$13,M945=phu!$I$14),"Cam Nghĩa",""),IF(OR(M945=phu!$I$15,M945=phu!$I$16,M945=phu!$I$17,M945=phu!$I$18,M945=phu!$I$19,M945=phu!$I$20,M945=phu!$I$21),"Cam Phúc Bắc",""),IF(OR(M945=phu!$I$22,M945=phu!$I$23,M945=phu!$I$24,M945=phu!$I$25),"Cam Phúc Nam",""),IF(OR(M945=phu!$I$26,M945=phu!$I$27,M945=phu!$I$28,M945=phu!$I$29,M945=phu!$I$30,M945=phu!$I$31),"Cam Phú",""),IF(OR(M945=phu!$I$32,M945=phu!$I$33,M945=phu!$I$34,M945=phu!$I$35,M945=phu!$I$36,M945=phu!$I$37),"Cam Lộc",""),IF(OR(M945=phu!$I$38,M945=phu!$I$39,M945=phu!$I$40,M945=phu!$I$41,M945=phu!$I$42,M945=phu!$I$43,M945=phu!$I$44),"Cam Thuận",""),IF(OR(M945=phu!$I$45,M945=phu!$I$46,M945=phu!$I$47,M945=phu!$I$48,M945=phu!$I$49,M945=phu!$I$50,M945=phu!$I$51,M945=phu!$I$52,M945=phu!$I$53),"Cam Linh",""),IF(OR(M945=phu!$I$54,M945=phu!$I$55,M945=phu!$I$56,M945=phu!$I$57,M945=phu!$I$58,M945=phu!$I$59,M945=phu!$I$60,M945=phu!$I$61,M945=phu!$I$62),"Cam Lợi",""),IF(OR(M945=phu!$I$63,M945=phu!$I$64,M945=phu!$I$65,M945=phu!$I$66,M945=phu!$I$67,M945=phu!$I$68,M945=phu!$I$69,M945=phu!$I$70,M945=phu!$I$71),"Ba Ngòi",""),IF(OR(M945=phu!$I$72,M945=phu!$I$73,M945=phu!$I$74,M945=phu!$I$75,M945=phu!$I$76,M945=phu!$I$77,M945=phu!$I$78),"Cam Phước Đông",""),IF(OR(M945=phu!$I$79,M945=phu!$I$80,M945=phu!$I$81,M945=phu!$I$82,M945=phu!$I$83,M945=phu!$I$84),"Cam Thịnh Đông",""),IF(OR(M945=phu!$I$85,M945=phu!$I$86,M945=phu!$I$87,M945=phu!$I$88),"Cam Thịnh Tây",""),IF(OR(M945=phu!$I$89,M945=phu!$I$90),"Cam Lập",""),IF(OR(M945=phu!$I$91,M945=phu!$I$92,M945=phu!$I$93),"Cam Bình",""),IF(OR(M945=phu!$I$94,M945=phu!$I$95,M945=phu!$I$96,M945=phu!$I$97,M945=phu!$I$98,M945=phu!$I$99,M945=phu!$I$100),"Huyện khác",""),IF(OR(M945=phu!$I$101,M945=phu!$I$102),"Tỉnh khác",""))</f>
        <v/>
      </c>
      <c r="O945" s="829" t="str">
        <f t="shared" si="84"/>
        <v/>
      </c>
      <c r="P945" s="254"/>
      <c r="Q945" s="254"/>
      <c r="R945" s="254"/>
      <c r="S945" s="254"/>
      <c r="T945" s="254"/>
      <c r="U945" s="254"/>
      <c r="V945" s="254"/>
      <c r="W945" s="254"/>
      <c r="Y945" s="246" t="str">
        <f t="shared" si="85"/>
        <v/>
      </c>
      <c r="Z945" s="247" t="str">
        <f t="shared" si="89"/>
        <v/>
      </c>
      <c r="AA945" s="246" t="str">
        <f t="shared" si="86"/>
        <v/>
      </c>
    </row>
    <row r="946" spans="1:27" x14ac:dyDescent="0.25">
      <c r="A946" s="248" t="str">
        <f t="shared" si="87"/>
        <v/>
      </c>
      <c r="B946" s="249" t="str">
        <f t="shared" si="88"/>
        <v/>
      </c>
      <c r="C946" s="250"/>
      <c r="D946" s="251"/>
      <c r="E946" s="241"/>
      <c r="F946" s="252"/>
      <c r="G946" s="252"/>
      <c r="H946" s="253"/>
      <c r="I946" s="250"/>
      <c r="J946" s="250"/>
      <c r="K946" s="270"/>
      <c r="L946" s="250"/>
      <c r="M946" s="250"/>
      <c r="N946" s="540" t="str">
        <f>CONCATENATE(IF(OR(M946=phu!$I$1,M946=phu!$I$2,M946=phu!$I$3),"Cam Thành Nam",""),IF(OR(M946=phu!$I$4,M946=phu!$I$5,M946=phu!$I$6,M946=phu!$I$7,M946=phu!$I$8,M946=phu!$I$9,M946=phu!$I$10,M946=phu!$I$11,M946=phu!$I$12,M946=phu!$I$13,M946=phu!$I$14),"Cam Nghĩa",""),IF(OR(M946=phu!$I$15,M946=phu!$I$16,M946=phu!$I$17,M946=phu!$I$18,M946=phu!$I$19,M946=phu!$I$20,M946=phu!$I$21),"Cam Phúc Bắc",""),IF(OR(M946=phu!$I$22,M946=phu!$I$23,M946=phu!$I$24,M946=phu!$I$25),"Cam Phúc Nam",""),IF(OR(M946=phu!$I$26,M946=phu!$I$27,M946=phu!$I$28,M946=phu!$I$29,M946=phu!$I$30,M946=phu!$I$31),"Cam Phú",""),IF(OR(M946=phu!$I$32,M946=phu!$I$33,M946=phu!$I$34,M946=phu!$I$35,M946=phu!$I$36,M946=phu!$I$37),"Cam Lộc",""),IF(OR(M946=phu!$I$38,M946=phu!$I$39,M946=phu!$I$40,M946=phu!$I$41,M946=phu!$I$42,M946=phu!$I$43,M946=phu!$I$44),"Cam Thuận",""),IF(OR(M946=phu!$I$45,M946=phu!$I$46,M946=phu!$I$47,M946=phu!$I$48,M946=phu!$I$49,M946=phu!$I$50,M946=phu!$I$51,M946=phu!$I$52,M946=phu!$I$53),"Cam Linh",""),IF(OR(M946=phu!$I$54,M946=phu!$I$55,M946=phu!$I$56,M946=phu!$I$57,M946=phu!$I$58,M946=phu!$I$59,M946=phu!$I$60,M946=phu!$I$61,M946=phu!$I$62),"Cam Lợi",""),IF(OR(M946=phu!$I$63,M946=phu!$I$64,M946=phu!$I$65,M946=phu!$I$66,M946=phu!$I$67,M946=phu!$I$68,M946=phu!$I$69,M946=phu!$I$70,M946=phu!$I$71),"Ba Ngòi",""),IF(OR(M946=phu!$I$72,M946=phu!$I$73,M946=phu!$I$74,M946=phu!$I$75,M946=phu!$I$76,M946=phu!$I$77,M946=phu!$I$78),"Cam Phước Đông",""),IF(OR(M946=phu!$I$79,M946=phu!$I$80,M946=phu!$I$81,M946=phu!$I$82,M946=phu!$I$83,M946=phu!$I$84),"Cam Thịnh Đông",""),IF(OR(M946=phu!$I$85,M946=phu!$I$86,M946=phu!$I$87,M946=phu!$I$88),"Cam Thịnh Tây",""),IF(OR(M946=phu!$I$89,M946=phu!$I$90),"Cam Lập",""),IF(OR(M946=phu!$I$91,M946=phu!$I$92,M946=phu!$I$93),"Cam Bình",""),IF(OR(M946=phu!$I$94,M946=phu!$I$95,M946=phu!$I$96,M946=phu!$I$97,M946=phu!$I$98,M946=phu!$I$99,M946=phu!$I$100),"Huyện khác",""),IF(OR(M946=phu!$I$101,M946=phu!$I$102),"Tỉnh khác",""))</f>
        <v/>
      </c>
      <c r="O946" s="829" t="str">
        <f t="shared" si="84"/>
        <v/>
      </c>
      <c r="P946" s="254"/>
      <c r="Q946" s="254"/>
      <c r="R946" s="254"/>
      <c r="S946" s="254"/>
      <c r="T946" s="254"/>
      <c r="U946" s="254"/>
      <c r="V946" s="254"/>
      <c r="W946" s="254"/>
      <c r="Y946" s="246" t="str">
        <f t="shared" si="85"/>
        <v/>
      </c>
      <c r="Z946" s="247" t="str">
        <f t="shared" si="89"/>
        <v/>
      </c>
      <c r="AA946" s="246" t="str">
        <f t="shared" si="86"/>
        <v/>
      </c>
    </row>
    <row r="947" spans="1:27" x14ac:dyDescent="0.25">
      <c r="A947" s="248" t="str">
        <f t="shared" si="87"/>
        <v/>
      </c>
      <c r="B947" s="249" t="str">
        <f t="shared" si="88"/>
        <v/>
      </c>
      <c r="C947" s="250"/>
      <c r="D947" s="251"/>
      <c r="E947" s="241"/>
      <c r="F947" s="252"/>
      <c r="G947" s="252"/>
      <c r="H947" s="253"/>
      <c r="I947" s="250"/>
      <c r="J947" s="250"/>
      <c r="K947" s="270"/>
      <c r="L947" s="250"/>
      <c r="M947" s="250"/>
      <c r="N947" s="540" t="str">
        <f>CONCATENATE(IF(OR(M947=phu!$I$1,M947=phu!$I$2,M947=phu!$I$3),"Cam Thành Nam",""),IF(OR(M947=phu!$I$4,M947=phu!$I$5,M947=phu!$I$6,M947=phu!$I$7,M947=phu!$I$8,M947=phu!$I$9,M947=phu!$I$10,M947=phu!$I$11,M947=phu!$I$12,M947=phu!$I$13,M947=phu!$I$14),"Cam Nghĩa",""),IF(OR(M947=phu!$I$15,M947=phu!$I$16,M947=phu!$I$17,M947=phu!$I$18,M947=phu!$I$19,M947=phu!$I$20,M947=phu!$I$21),"Cam Phúc Bắc",""),IF(OR(M947=phu!$I$22,M947=phu!$I$23,M947=phu!$I$24,M947=phu!$I$25),"Cam Phúc Nam",""),IF(OR(M947=phu!$I$26,M947=phu!$I$27,M947=phu!$I$28,M947=phu!$I$29,M947=phu!$I$30,M947=phu!$I$31),"Cam Phú",""),IF(OR(M947=phu!$I$32,M947=phu!$I$33,M947=phu!$I$34,M947=phu!$I$35,M947=phu!$I$36,M947=phu!$I$37),"Cam Lộc",""),IF(OR(M947=phu!$I$38,M947=phu!$I$39,M947=phu!$I$40,M947=phu!$I$41,M947=phu!$I$42,M947=phu!$I$43,M947=phu!$I$44),"Cam Thuận",""),IF(OR(M947=phu!$I$45,M947=phu!$I$46,M947=phu!$I$47,M947=phu!$I$48,M947=phu!$I$49,M947=phu!$I$50,M947=phu!$I$51,M947=phu!$I$52,M947=phu!$I$53),"Cam Linh",""),IF(OR(M947=phu!$I$54,M947=phu!$I$55,M947=phu!$I$56,M947=phu!$I$57,M947=phu!$I$58,M947=phu!$I$59,M947=phu!$I$60,M947=phu!$I$61,M947=phu!$I$62),"Cam Lợi",""),IF(OR(M947=phu!$I$63,M947=phu!$I$64,M947=phu!$I$65,M947=phu!$I$66,M947=phu!$I$67,M947=phu!$I$68,M947=phu!$I$69,M947=phu!$I$70,M947=phu!$I$71),"Ba Ngòi",""),IF(OR(M947=phu!$I$72,M947=phu!$I$73,M947=phu!$I$74,M947=phu!$I$75,M947=phu!$I$76,M947=phu!$I$77,M947=phu!$I$78),"Cam Phước Đông",""),IF(OR(M947=phu!$I$79,M947=phu!$I$80,M947=phu!$I$81,M947=phu!$I$82,M947=phu!$I$83,M947=phu!$I$84),"Cam Thịnh Đông",""),IF(OR(M947=phu!$I$85,M947=phu!$I$86,M947=phu!$I$87,M947=phu!$I$88),"Cam Thịnh Tây",""),IF(OR(M947=phu!$I$89,M947=phu!$I$90),"Cam Lập",""),IF(OR(M947=phu!$I$91,M947=phu!$I$92,M947=phu!$I$93),"Cam Bình",""),IF(OR(M947=phu!$I$94,M947=phu!$I$95,M947=phu!$I$96,M947=phu!$I$97,M947=phu!$I$98,M947=phu!$I$99,M947=phu!$I$100),"Huyện khác",""),IF(OR(M947=phu!$I$101,M947=phu!$I$102),"Tỉnh khác",""))</f>
        <v/>
      </c>
      <c r="O947" s="829" t="str">
        <f t="shared" si="84"/>
        <v/>
      </c>
      <c r="P947" s="254"/>
      <c r="Q947" s="254"/>
      <c r="R947" s="254"/>
      <c r="S947" s="254"/>
      <c r="T947" s="254"/>
      <c r="U947" s="254"/>
      <c r="V947" s="254"/>
      <c r="W947" s="254"/>
      <c r="Y947" s="246" t="str">
        <f t="shared" si="85"/>
        <v/>
      </c>
      <c r="Z947" s="247" t="str">
        <f t="shared" si="89"/>
        <v/>
      </c>
      <c r="AA947" s="246" t="str">
        <f t="shared" si="86"/>
        <v/>
      </c>
    </row>
    <row r="948" spans="1:27" x14ac:dyDescent="0.25">
      <c r="A948" s="248" t="str">
        <f t="shared" si="87"/>
        <v/>
      </c>
      <c r="B948" s="249" t="str">
        <f t="shared" si="88"/>
        <v/>
      </c>
      <c r="C948" s="250"/>
      <c r="D948" s="251"/>
      <c r="E948" s="241"/>
      <c r="F948" s="252"/>
      <c r="G948" s="252"/>
      <c r="H948" s="253"/>
      <c r="I948" s="250"/>
      <c r="J948" s="250"/>
      <c r="K948" s="270"/>
      <c r="L948" s="250"/>
      <c r="M948" s="250"/>
      <c r="N948" s="540" t="str">
        <f>CONCATENATE(IF(OR(M948=phu!$I$1,M948=phu!$I$2,M948=phu!$I$3),"Cam Thành Nam",""),IF(OR(M948=phu!$I$4,M948=phu!$I$5,M948=phu!$I$6,M948=phu!$I$7,M948=phu!$I$8,M948=phu!$I$9,M948=phu!$I$10,M948=phu!$I$11,M948=phu!$I$12,M948=phu!$I$13,M948=phu!$I$14),"Cam Nghĩa",""),IF(OR(M948=phu!$I$15,M948=phu!$I$16,M948=phu!$I$17,M948=phu!$I$18,M948=phu!$I$19,M948=phu!$I$20,M948=phu!$I$21),"Cam Phúc Bắc",""),IF(OR(M948=phu!$I$22,M948=phu!$I$23,M948=phu!$I$24,M948=phu!$I$25),"Cam Phúc Nam",""),IF(OR(M948=phu!$I$26,M948=phu!$I$27,M948=phu!$I$28,M948=phu!$I$29,M948=phu!$I$30,M948=phu!$I$31),"Cam Phú",""),IF(OR(M948=phu!$I$32,M948=phu!$I$33,M948=phu!$I$34,M948=phu!$I$35,M948=phu!$I$36,M948=phu!$I$37),"Cam Lộc",""),IF(OR(M948=phu!$I$38,M948=phu!$I$39,M948=phu!$I$40,M948=phu!$I$41,M948=phu!$I$42,M948=phu!$I$43,M948=phu!$I$44),"Cam Thuận",""),IF(OR(M948=phu!$I$45,M948=phu!$I$46,M948=phu!$I$47,M948=phu!$I$48,M948=phu!$I$49,M948=phu!$I$50,M948=phu!$I$51,M948=phu!$I$52,M948=phu!$I$53),"Cam Linh",""),IF(OR(M948=phu!$I$54,M948=phu!$I$55,M948=phu!$I$56,M948=phu!$I$57,M948=phu!$I$58,M948=phu!$I$59,M948=phu!$I$60,M948=phu!$I$61,M948=phu!$I$62),"Cam Lợi",""),IF(OR(M948=phu!$I$63,M948=phu!$I$64,M948=phu!$I$65,M948=phu!$I$66,M948=phu!$I$67,M948=phu!$I$68,M948=phu!$I$69,M948=phu!$I$70,M948=phu!$I$71),"Ba Ngòi",""),IF(OR(M948=phu!$I$72,M948=phu!$I$73,M948=phu!$I$74,M948=phu!$I$75,M948=phu!$I$76,M948=phu!$I$77,M948=phu!$I$78),"Cam Phước Đông",""),IF(OR(M948=phu!$I$79,M948=phu!$I$80,M948=phu!$I$81,M948=phu!$I$82,M948=phu!$I$83,M948=phu!$I$84),"Cam Thịnh Đông",""),IF(OR(M948=phu!$I$85,M948=phu!$I$86,M948=phu!$I$87,M948=phu!$I$88),"Cam Thịnh Tây",""),IF(OR(M948=phu!$I$89,M948=phu!$I$90),"Cam Lập",""),IF(OR(M948=phu!$I$91,M948=phu!$I$92,M948=phu!$I$93),"Cam Bình",""),IF(OR(M948=phu!$I$94,M948=phu!$I$95,M948=phu!$I$96,M948=phu!$I$97,M948=phu!$I$98,M948=phu!$I$99,M948=phu!$I$100),"Huyện khác",""),IF(OR(M948=phu!$I$101,M948=phu!$I$102),"Tỉnh khác",""))</f>
        <v/>
      </c>
      <c r="O948" s="829" t="str">
        <f t="shared" si="84"/>
        <v/>
      </c>
      <c r="P948" s="254"/>
      <c r="Q948" s="254"/>
      <c r="R948" s="254"/>
      <c r="S948" s="254"/>
      <c r="T948" s="254"/>
      <c r="U948" s="254"/>
      <c r="V948" s="254"/>
      <c r="W948" s="254"/>
      <c r="Y948" s="246" t="str">
        <f t="shared" si="85"/>
        <v/>
      </c>
      <c r="Z948" s="247" t="str">
        <f t="shared" si="89"/>
        <v/>
      </c>
      <c r="AA948" s="246" t="str">
        <f t="shared" si="86"/>
        <v/>
      </c>
    </row>
    <row r="949" spans="1:27" x14ac:dyDescent="0.25">
      <c r="A949" s="248" t="str">
        <f t="shared" si="87"/>
        <v/>
      </c>
      <c r="B949" s="249" t="str">
        <f t="shared" si="88"/>
        <v/>
      </c>
      <c r="C949" s="250"/>
      <c r="D949" s="251"/>
      <c r="E949" s="241"/>
      <c r="F949" s="252"/>
      <c r="G949" s="252"/>
      <c r="H949" s="253"/>
      <c r="I949" s="250"/>
      <c r="J949" s="250"/>
      <c r="K949" s="270"/>
      <c r="L949" s="250"/>
      <c r="M949" s="250"/>
      <c r="N949" s="540" t="str">
        <f>CONCATENATE(IF(OR(M949=phu!$I$1,M949=phu!$I$2,M949=phu!$I$3),"Cam Thành Nam",""),IF(OR(M949=phu!$I$4,M949=phu!$I$5,M949=phu!$I$6,M949=phu!$I$7,M949=phu!$I$8,M949=phu!$I$9,M949=phu!$I$10,M949=phu!$I$11,M949=phu!$I$12,M949=phu!$I$13,M949=phu!$I$14),"Cam Nghĩa",""),IF(OR(M949=phu!$I$15,M949=phu!$I$16,M949=phu!$I$17,M949=phu!$I$18,M949=phu!$I$19,M949=phu!$I$20,M949=phu!$I$21),"Cam Phúc Bắc",""),IF(OR(M949=phu!$I$22,M949=phu!$I$23,M949=phu!$I$24,M949=phu!$I$25),"Cam Phúc Nam",""),IF(OR(M949=phu!$I$26,M949=phu!$I$27,M949=phu!$I$28,M949=phu!$I$29,M949=phu!$I$30,M949=phu!$I$31),"Cam Phú",""),IF(OR(M949=phu!$I$32,M949=phu!$I$33,M949=phu!$I$34,M949=phu!$I$35,M949=phu!$I$36,M949=phu!$I$37),"Cam Lộc",""),IF(OR(M949=phu!$I$38,M949=phu!$I$39,M949=phu!$I$40,M949=phu!$I$41,M949=phu!$I$42,M949=phu!$I$43,M949=phu!$I$44),"Cam Thuận",""),IF(OR(M949=phu!$I$45,M949=phu!$I$46,M949=phu!$I$47,M949=phu!$I$48,M949=phu!$I$49,M949=phu!$I$50,M949=phu!$I$51,M949=phu!$I$52,M949=phu!$I$53),"Cam Linh",""),IF(OR(M949=phu!$I$54,M949=phu!$I$55,M949=phu!$I$56,M949=phu!$I$57,M949=phu!$I$58,M949=phu!$I$59,M949=phu!$I$60,M949=phu!$I$61,M949=phu!$I$62),"Cam Lợi",""),IF(OR(M949=phu!$I$63,M949=phu!$I$64,M949=phu!$I$65,M949=phu!$I$66,M949=phu!$I$67,M949=phu!$I$68,M949=phu!$I$69,M949=phu!$I$70,M949=phu!$I$71),"Ba Ngòi",""),IF(OR(M949=phu!$I$72,M949=phu!$I$73,M949=phu!$I$74,M949=phu!$I$75,M949=phu!$I$76,M949=phu!$I$77,M949=phu!$I$78),"Cam Phước Đông",""),IF(OR(M949=phu!$I$79,M949=phu!$I$80,M949=phu!$I$81,M949=phu!$I$82,M949=phu!$I$83,M949=phu!$I$84),"Cam Thịnh Đông",""),IF(OR(M949=phu!$I$85,M949=phu!$I$86,M949=phu!$I$87,M949=phu!$I$88),"Cam Thịnh Tây",""),IF(OR(M949=phu!$I$89,M949=phu!$I$90),"Cam Lập",""),IF(OR(M949=phu!$I$91,M949=phu!$I$92,M949=phu!$I$93),"Cam Bình",""),IF(OR(M949=phu!$I$94,M949=phu!$I$95,M949=phu!$I$96,M949=phu!$I$97,M949=phu!$I$98,M949=phu!$I$99,M949=phu!$I$100),"Huyện khác",""),IF(OR(M949=phu!$I$101,M949=phu!$I$102),"Tỉnh khác",""))</f>
        <v/>
      </c>
      <c r="O949" s="829" t="str">
        <f t="shared" si="84"/>
        <v/>
      </c>
      <c r="P949" s="254"/>
      <c r="Q949" s="254"/>
      <c r="R949" s="254"/>
      <c r="S949" s="254"/>
      <c r="T949" s="254"/>
      <c r="U949" s="254"/>
      <c r="V949" s="254"/>
      <c r="W949" s="254"/>
      <c r="Y949" s="246" t="str">
        <f t="shared" si="85"/>
        <v/>
      </c>
      <c r="Z949" s="247" t="str">
        <f t="shared" si="89"/>
        <v/>
      </c>
      <c r="AA949" s="246" t="str">
        <f t="shared" si="86"/>
        <v/>
      </c>
    </row>
    <row r="950" spans="1:27" x14ac:dyDescent="0.25">
      <c r="A950" s="248" t="str">
        <f t="shared" si="87"/>
        <v/>
      </c>
      <c r="B950" s="249" t="str">
        <f t="shared" si="88"/>
        <v/>
      </c>
      <c r="C950" s="250"/>
      <c r="D950" s="251"/>
      <c r="E950" s="241"/>
      <c r="F950" s="252"/>
      <c r="G950" s="252"/>
      <c r="H950" s="253"/>
      <c r="I950" s="250"/>
      <c r="J950" s="250"/>
      <c r="K950" s="270"/>
      <c r="L950" s="250"/>
      <c r="M950" s="250"/>
      <c r="N950" s="540" t="str">
        <f>CONCATENATE(IF(OR(M950=phu!$I$1,M950=phu!$I$2,M950=phu!$I$3),"Cam Thành Nam",""),IF(OR(M950=phu!$I$4,M950=phu!$I$5,M950=phu!$I$6,M950=phu!$I$7,M950=phu!$I$8,M950=phu!$I$9,M950=phu!$I$10,M950=phu!$I$11,M950=phu!$I$12,M950=phu!$I$13,M950=phu!$I$14),"Cam Nghĩa",""),IF(OR(M950=phu!$I$15,M950=phu!$I$16,M950=phu!$I$17,M950=phu!$I$18,M950=phu!$I$19,M950=phu!$I$20,M950=phu!$I$21),"Cam Phúc Bắc",""),IF(OR(M950=phu!$I$22,M950=phu!$I$23,M950=phu!$I$24,M950=phu!$I$25),"Cam Phúc Nam",""),IF(OR(M950=phu!$I$26,M950=phu!$I$27,M950=phu!$I$28,M950=phu!$I$29,M950=phu!$I$30,M950=phu!$I$31),"Cam Phú",""),IF(OR(M950=phu!$I$32,M950=phu!$I$33,M950=phu!$I$34,M950=phu!$I$35,M950=phu!$I$36,M950=phu!$I$37),"Cam Lộc",""),IF(OR(M950=phu!$I$38,M950=phu!$I$39,M950=phu!$I$40,M950=phu!$I$41,M950=phu!$I$42,M950=phu!$I$43,M950=phu!$I$44),"Cam Thuận",""),IF(OR(M950=phu!$I$45,M950=phu!$I$46,M950=phu!$I$47,M950=phu!$I$48,M950=phu!$I$49,M950=phu!$I$50,M950=phu!$I$51,M950=phu!$I$52,M950=phu!$I$53),"Cam Linh",""),IF(OR(M950=phu!$I$54,M950=phu!$I$55,M950=phu!$I$56,M950=phu!$I$57,M950=phu!$I$58,M950=phu!$I$59,M950=phu!$I$60,M950=phu!$I$61,M950=phu!$I$62),"Cam Lợi",""),IF(OR(M950=phu!$I$63,M950=phu!$I$64,M950=phu!$I$65,M950=phu!$I$66,M950=phu!$I$67,M950=phu!$I$68,M950=phu!$I$69,M950=phu!$I$70,M950=phu!$I$71),"Ba Ngòi",""),IF(OR(M950=phu!$I$72,M950=phu!$I$73,M950=phu!$I$74,M950=phu!$I$75,M950=phu!$I$76,M950=phu!$I$77,M950=phu!$I$78),"Cam Phước Đông",""),IF(OR(M950=phu!$I$79,M950=phu!$I$80,M950=phu!$I$81,M950=phu!$I$82,M950=phu!$I$83,M950=phu!$I$84),"Cam Thịnh Đông",""),IF(OR(M950=phu!$I$85,M950=phu!$I$86,M950=phu!$I$87,M950=phu!$I$88),"Cam Thịnh Tây",""),IF(OR(M950=phu!$I$89,M950=phu!$I$90),"Cam Lập",""),IF(OR(M950=phu!$I$91,M950=phu!$I$92,M950=phu!$I$93),"Cam Bình",""),IF(OR(M950=phu!$I$94,M950=phu!$I$95,M950=phu!$I$96,M950=phu!$I$97,M950=phu!$I$98,M950=phu!$I$99,M950=phu!$I$100),"Huyện khác",""),IF(OR(M950=phu!$I$101,M950=phu!$I$102),"Tỉnh khác",""))</f>
        <v/>
      </c>
      <c r="O950" s="829" t="str">
        <f t="shared" si="84"/>
        <v/>
      </c>
      <c r="P950" s="254"/>
      <c r="Q950" s="254"/>
      <c r="R950" s="254"/>
      <c r="S950" s="254"/>
      <c r="T950" s="254"/>
      <c r="U950" s="254"/>
      <c r="V950" s="254"/>
      <c r="W950" s="254"/>
      <c r="Y950" s="246" t="str">
        <f t="shared" si="85"/>
        <v/>
      </c>
      <c r="Z950" s="247" t="str">
        <f t="shared" si="89"/>
        <v/>
      </c>
      <c r="AA950" s="246" t="str">
        <f t="shared" si="86"/>
        <v/>
      </c>
    </row>
    <row r="951" spans="1:27" x14ac:dyDescent="0.25">
      <c r="A951" s="248" t="str">
        <f t="shared" si="87"/>
        <v/>
      </c>
      <c r="B951" s="249" t="str">
        <f t="shared" si="88"/>
        <v/>
      </c>
      <c r="C951" s="250"/>
      <c r="D951" s="251"/>
      <c r="E951" s="241"/>
      <c r="F951" s="252"/>
      <c r="G951" s="252"/>
      <c r="H951" s="253"/>
      <c r="I951" s="250"/>
      <c r="J951" s="250"/>
      <c r="K951" s="270"/>
      <c r="L951" s="250"/>
      <c r="M951" s="250"/>
      <c r="N951" s="540" t="str">
        <f>CONCATENATE(IF(OR(M951=phu!$I$1,M951=phu!$I$2,M951=phu!$I$3),"Cam Thành Nam",""),IF(OR(M951=phu!$I$4,M951=phu!$I$5,M951=phu!$I$6,M951=phu!$I$7,M951=phu!$I$8,M951=phu!$I$9,M951=phu!$I$10,M951=phu!$I$11,M951=phu!$I$12,M951=phu!$I$13,M951=phu!$I$14),"Cam Nghĩa",""),IF(OR(M951=phu!$I$15,M951=phu!$I$16,M951=phu!$I$17,M951=phu!$I$18,M951=phu!$I$19,M951=phu!$I$20,M951=phu!$I$21),"Cam Phúc Bắc",""),IF(OR(M951=phu!$I$22,M951=phu!$I$23,M951=phu!$I$24,M951=phu!$I$25),"Cam Phúc Nam",""),IF(OR(M951=phu!$I$26,M951=phu!$I$27,M951=phu!$I$28,M951=phu!$I$29,M951=phu!$I$30,M951=phu!$I$31),"Cam Phú",""),IF(OR(M951=phu!$I$32,M951=phu!$I$33,M951=phu!$I$34,M951=phu!$I$35,M951=phu!$I$36,M951=phu!$I$37),"Cam Lộc",""),IF(OR(M951=phu!$I$38,M951=phu!$I$39,M951=phu!$I$40,M951=phu!$I$41,M951=phu!$I$42,M951=phu!$I$43,M951=phu!$I$44),"Cam Thuận",""),IF(OR(M951=phu!$I$45,M951=phu!$I$46,M951=phu!$I$47,M951=phu!$I$48,M951=phu!$I$49,M951=phu!$I$50,M951=phu!$I$51,M951=phu!$I$52,M951=phu!$I$53),"Cam Linh",""),IF(OR(M951=phu!$I$54,M951=phu!$I$55,M951=phu!$I$56,M951=phu!$I$57,M951=phu!$I$58,M951=phu!$I$59,M951=phu!$I$60,M951=phu!$I$61,M951=phu!$I$62),"Cam Lợi",""),IF(OR(M951=phu!$I$63,M951=phu!$I$64,M951=phu!$I$65,M951=phu!$I$66,M951=phu!$I$67,M951=phu!$I$68,M951=phu!$I$69,M951=phu!$I$70,M951=phu!$I$71),"Ba Ngòi",""),IF(OR(M951=phu!$I$72,M951=phu!$I$73,M951=phu!$I$74,M951=phu!$I$75,M951=phu!$I$76,M951=phu!$I$77,M951=phu!$I$78),"Cam Phước Đông",""),IF(OR(M951=phu!$I$79,M951=phu!$I$80,M951=phu!$I$81,M951=phu!$I$82,M951=phu!$I$83,M951=phu!$I$84),"Cam Thịnh Đông",""),IF(OR(M951=phu!$I$85,M951=phu!$I$86,M951=phu!$I$87,M951=phu!$I$88),"Cam Thịnh Tây",""),IF(OR(M951=phu!$I$89,M951=phu!$I$90),"Cam Lập",""),IF(OR(M951=phu!$I$91,M951=phu!$I$92,M951=phu!$I$93),"Cam Bình",""),IF(OR(M951=phu!$I$94,M951=phu!$I$95,M951=phu!$I$96,M951=phu!$I$97,M951=phu!$I$98,M951=phu!$I$99,M951=phu!$I$100),"Huyện khác",""),IF(OR(M951=phu!$I$101,M951=phu!$I$102),"Tỉnh khác",""))</f>
        <v/>
      </c>
      <c r="O951" s="829" t="str">
        <f t="shared" si="84"/>
        <v/>
      </c>
      <c r="P951" s="254"/>
      <c r="Q951" s="254"/>
      <c r="R951" s="254"/>
      <c r="S951" s="254"/>
      <c r="T951" s="254"/>
      <c r="U951" s="254"/>
      <c r="V951" s="254"/>
      <c r="W951" s="254"/>
      <c r="Y951" s="246" t="str">
        <f t="shared" si="85"/>
        <v/>
      </c>
      <c r="Z951" s="247" t="str">
        <f t="shared" si="89"/>
        <v/>
      </c>
      <c r="AA951" s="246" t="str">
        <f t="shared" si="86"/>
        <v/>
      </c>
    </row>
    <row r="952" spans="1:27" x14ac:dyDescent="0.25">
      <c r="A952" s="248" t="str">
        <f t="shared" si="87"/>
        <v/>
      </c>
      <c r="B952" s="249" t="str">
        <f t="shared" si="88"/>
        <v/>
      </c>
      <c r="C952" s="250"/>
      <c r="D952" s="251"/>
      <c r="E952" s="241"/>
      <c r="F952" s="252"/>
      <c r="G952" s="252"/>
      <c r="H952" s="253"/>
      <c r="I952" s="250"/>
      <c r="J952" s="250"/>
      <c r="K952" s="270"/>
      <c r="L952" s="250"/>
      <c r="M952" s="250"/>
      <c r="N952" s="540" t="str">
        <f>CONCATENATE(IF(OR(M952=phu!$I$1,M952=phu!$I$2,M952=phu!$I$3),"Cam Thành Nam",""),IF(OR(M952=phu!$I$4,M952=phu!$I$5,M952=phu!$I$6,M952=phu!$I$7,M952=phu!$I$8,M952=phu!$I$9,M952=phu!$I$10,M952=phu!$I$11,M952=phu!$I$12,M952=phu!$I$13,M952=phu!$I$14),"Cam Nghĩa",""),IF(OR(M952=phu!$I$15,M952=phu!$I$16,M952=phu!$I$17,M952=phu!$I$18,M952=phu!$I$19,M952=phu!$I$20,M952=phu!$I$21),"Cam Phúc Bắc",""),IF(OR(M952=phu!$I$22,M952=phu!$I$23,M952=phu!$I$24,M952=phu!$I$25),"Cam Phúc Nam",""),IF(OR(M952=phu!$I$26,M952=phu!$I$27,M952=phu!$I$28,M952=phu!$I$29,M952=phu!$I$30,M952=phu!$I$31),"Cam Phú",""),IF(OR(M952=phu!$I$32,M952=phu!$I$33,M952=phu!$I$34,M952=phu!$I$35,M952=phu!$I$36,M952=phu!$I$37),"Cam Lộc",""),IF(OR(M952=phu!$I$38,M952=phu!$I$39,M952=phu!$I$40,M952=phu!$I$41,M952=phu!$I$42,M952=phu!$I$43,M952=phu!$I$44),"Cam Thuận",""),IF(OR(M952=phu!$I$45,M952=phu!$I$46,M952=phu!$I$47,M952=phu!$I$48,M952=phu!$I$49,M952=phu!$I$50,M952=phu!$I$51,M952=phu!$I$52,M952=phu!$I$53),"Cam Linh",""),IF(OR(M952=phu!$I$54,M952=phu!$I$55,M952=phu!$I$56,M952=phu!$I$57,M952=phu!$I$58,M952=phu!$I$59,M952=phu!$I$60,M952=phu!$I$61,M952=phu!$I$62),"Cam Lợi",""),IF(OR(M952=phu!$I$63,M952=phu!$I$64,M952=phu!$I$65,M952=phu!$I$66,M952=phu!$I$67,M952=phu!$I$68,M952=phu!$I$69,M952=phu!$I$70,M952=phu!$I$71),"Ba Ngòi",""),IF(OR(M952=phu!$I$72,M952=phu!$I$73,M952=phu!$I$74,M952=phu!$I$75,M952=phu!$I$76,M952=phu!$I$77,M952=phu!$I$78),"Cam Phước Đông",""),IF(OR(M952=phu!$I$79,M952=phu!$I$80,M952=phu!$I$81,M952=phu!$I$82,M952=phu!$I$83,M952=phu!$I$84),"Cam Thịnh Đông",""),IF(OR(M952=phu!$I$85,M952=phu!$I$86,M952=phu!$I$87,M952=phu!$I$88),"Cam Thịnh Tây",""),IF(OR(M952=phu!$I$89,M952=phu!$I$90),"Cam Lập",""),IF(OR(M952=phu!$I$91,M952=phu!$I$92,M952=phu!$I$93),"Cam Bình",""),IF(OR(M952=phu!$I$94,M952=phu!$I$95,M952=phu!$I$96,M952=phu!$I$97,M952=phu!$I$98,M952=phu!$I$99,M952=phu!$I$100),"Huyện khác",""),IF(OR(M952=phu!$I$101,M952=phu!$I$102),"Tỉnh khác",""))</f>
        <v/>
      </c>
      <c r="O952" s="829" t="str">
        <f t="shared" si="84"/>
        <v/>
      </c>
      <c r="P952" s="254"/>
      <c r="Q952" s="254"/>
      <c r="R952" s="254"/>
      <c r="S952" s="254"/>
      <c r="T952" s="254"/>
      <c r="U952" s="254"/>
      <c r="V952" s="254"/>
      <c r="W952" s="254"/>
      <c r="Y952" s="246" t="str">
        <f t="shared" si="85"/>
        <v/>
      </c>
      <c r="Z952" s="247" t="str">
        <f t="shared" si="89"/>
        <v/>
      </c>
      <c r="AA952" s="246" t="str">
        <f t="shared" si="86"/>
        <v/>
      </c>
    </row>
    <row r="953" spans="1:27" x14ac:dyDescent="0.25">
      <c r="A953" s="248" t="str">
        <f t="shared" si="87"/>
        <v/>
      </c>
      <c r="B953" s="249" t="str">
        <f t="shared" si="88"/>
        <v/>
      </c>
      <c r="C953" s="250"/>
      <c r="D953" s="251"/>
      <c r="E953" s="241"/>
      <c r="F953" s="252"/>
      <c r="G953" s="252"/>
      <c r="H953" s="253"/>
      <c r="I953" s="250"/>
      <c r="J953" s="250"/>
      <c r="K953" s="270"/>
      <c r="L953" s="250"/>
      <c r="M953" s="250"/>
      <c r="N953" s="540" t="str">
        <f>CONCATENATE(IF(OR(M953=phu!$I$1,M953=phu!$I$2,M953=phu!$I$3),"Cam Thành Nam",""),IF(OR(M953=phu!$I$4,M953=phu!$I$5,M953=phu!$I$6,M953=phu!$I$7,M953=phu!$I$8,M953=phu!$I$9,M953=phu!$I$10,M953=phu!$I$11,M953=phu!$I$12,M953=phu!$I$13,M953=phu!$I$14),"Cam Nghĩa",""),IF(OR(M953=phu!$I$15,M953=phu!$I$16,M953=phu!$I$17,M953=phu!$I$18,M953=phu!$I$19,M953=phu!$I$20,M953=phu!$I$21),"Cam Phúc Bắc",""),IF(OR(M953=phu!$I$22,M953=phu!$I$23,M953=phu!$I$24,M953=phu!$I$25),"Cam Phúc Nam",""),IF(OR(M953=phu!$I$26,M953=phu!$I$27,M953=phu!$I$28,M953=phu!$I$29,M953=phu!$I$30,M953=phu!$I$31),"Cam Phú",""),IF(OR(M953=phu!$I$32,M953=phu!$I$33,M953=phu!$I$34,M953=phu!$I$35,M953=phu!$I$36,M953=phu!$I$37),"Cam Lộc",""),IF(OR(M953=phu!$I$38,M953=phu!$I$39,M953=phu!$I$40,M953=phu!$I$41,M953=phu!$I$42,M953=phu!$I$43,M953=phu!$I$44),"Cam Thuận",""),IF(OR(M953=phu!$I$45,M953=phu!$I$46,M953=phu!$I$47,M953=phu!$I$48,M953=phu!$I$49,M953=phu!$I$50,M953=phu!$I$51,M953=phu!$I$52,M953=phu!$I$53),"Cam Linh",""),IF(OR(M953=phu!$I$54,M953=phu!$I$55,M953=phu!$I$56,M953=phu!$I$57,M953=phu!$I$58,M953=phu!$I$59,M953=phu!$I$60,M953=phu!$I$61,M953=phu!$I$62),"Cam Lợi",""),IF(OR(M953=phu!$I$63,M953=phu!$I$64,M953=phu!$I$65,M953=phu!$I$66,M953=phu!$I$67,M953=phu!$I$68,M953=phu!$I$69,M953=phu!$I$70,M953=phu!$I$71),"Ba Ngòi",""),IF(OR(M953=phu!$I$72,M953=phu!$I$73,M953=phu!$I$74,M953=phu!$I$75,M953=phu!$I$76,M953=phu!$I$77,M953=phu!$I$78),"Cam Phước Đông",""),IF(OR(M953=phu!$I$79,M953=phu!$I$80,M953=phu!$I$81,M953=phu!$I$82,M953=phu!$I$83,M953=phu!$I$84),"Cam Thịnh Đông",""),IF(OR(M953=phu!$I$85,M953=phu!$I$86,M953=phu!$I$87,M953=phu!$I$88),"Cam Thịnh Tây",""),IF(OR(M953=phu!$I$89,M953=phu!$I$90),"Cam Lập",""),IF(OR(M953=phu!$I$91,M953=phu!$I$92,M953=phu!$I$93),"Cam Bình",""),IF(OR(M953=phu!$I$94,M953=phu!$I$95,M953=phu!$I$96,M953=phu!$I$97,M953=phu!$I$98,M953=phu!$I$99,M953=phu!$I$100),"Huyện khác",""),IF(OR(M953=phu!$I$101,M953=phu!$I$102),"Tỉnh khác",""))</f>
        <v/>
      </c>
      <c r="O953" s="829" t="str">
        <f t="shared" si="84"/>
        <v/>
      </c>
      <c r="P953" s="254"/>
      <c r="Q953" s="254"/>
      <c r="R953" s="254"/>
      <c r="S953" s="254"/>
      <c r="T953" s="254"/>
      <c r="U953" s="254"/>
      <c r="V953" s="254"/>
      <c r="W953" s="254"/>
      <c r="Y953" s="246" t="str">
        <f t="shared" si="85"/>
        <v/>
      </c>
      <c r="Z953" s="247" t="str">
        <f t="shared" si="89"/>
        <v/>
      </c>
      <c r="AA953" s="246" t="str">
        <f t="shared" si="86"/>
        <v/>
      </c>
    </row>
    <row r="954" spans="1:27" x14ac:dyDescent="0.25">
      <c r="A954" s="248" t="str">
        <f t="shared" si="87"/>
        <v/>
      </c>
      <c r="B954" s="249" t="str">
        <f t="shared" si="88"/>
        <v/>
      </c>
      <c r="C954" s="250"/>
      <c r="D954" s="251"/>
      <c r="E954" s="241"/>
      <c r="F954" s="252"/>
      <c r="G954" s="252"/>
      <c r="H954" s="253"/>
      <c r="I954" s="250"/>
      <c r="J954" s="250"/>
      <c r="K954" s="270"/>
      <c r="L954" s="250"/>
      <c r="M954" s="250"/>
      <c r="N954" s="540" t="str">
        <f>CONCATENATE(IF(OR(M954=phu!$I$1,M954=phu!$I$2,M954=phu!$I$3),"Cam Thành Nam",""),IF(OR(M954=phu!$I$4,M954=phu!$I$5,M954=phu!$I$6,M954=phu!$I$7,M954=phu!$I$8,M954=phu!$I$9,M954=phu!$I$10,M954=phu!$I$11,M954=phu!$I$12,M954=phu!$I$13,M954=phu!$I$14),"Cam Nghĩa",""),IF(OR(M954=phu!$I$15,M954=phu!$I$16,M954=phu!$I$17,M954=phu!$I$18,M954=phu!$I$19,M954=phu!$I$20,M954=phu!$I$21),"Cam Phúc Bắc",""),IF(OR(M954=phu!$I$22,M954=phu!$I$23,M954=phu!$I$24,M954=phu!$I$25),"Cam Phúc Nam",""),IF(OR(M954=phu!$I$26,M954=phu!$I$27,M954=phu!$I$28,M954=phu!$I$29,M954=phu!$I$30,M954=phu!$I$31),"Cam Phú",""),IF(OR(M954=phu!$I$32,M954=phu!$I$33,M954=phu!$I$34,M954=phu!$I$35,M954=phu!$I$36,M954=phu!$I$37),"Cam Lộc",""),IF(OR(M954=phu!$I$38,M954=phu!$I$39,M954=phu!$I$40,M954=phu!$I$41,M954=phu!$I$42,M954=phu!$I$43,M954=phu!$I$44),"Cam Thuận",""),IF(OR(M954=phu!$I$45,M954=phu!$I$46,M954=phu!$I$47,M954=phu!$I$48,M954=phu!$I$49,M954=phu!$I$50,M954=phu!$I$51,M954=phu!$I$52,M954=phu!$I$53),"Cam Linh",""),IF(OR(M954=phu!$I$54,M954=phu!$I$55,M954=phu!$I$56,M954=phu!$I$57,M954=phu!$I$58,M954=phu!$I$59,M954=phu!$I$60,M954=phu!$I$61,M954=phu!$I$62),"Cam Lợi",""),IF(OR(M954=phu!$I$63,M954=phu!$I$64,M954=phu!$I$65,M954=phu!$I$66,M954=phu!$I$67,M954=phu!$I$68,M954=phu!$I$69,M954=phu!$I$70,M954=phu!$I$71),"Ba Ngòi",""),IF(OR(M954=phu!$I$72,M954=phu!$I$73,M954=phu!$I$74,M954=phu!$I$75,M954=phu!$I$76,M954=phu!$I$77,M954=phu!$I$78),"Cam Phước Đông",""),IF(OR(M954=phu!$I$79,M954=phu!$I$80,M954=phu!$I$81,M954=phu!$I$82,M954=phu!$I$83,M954=phu!$I$84),"Cam Thịnh Đông",""),IF(OR(M954=phu!$I$85,M954=phu!$I$86,M954=phu!$I$87,M954=phu!$I$88),"Cam Thịnh Tây",""),IF(OR(M954=phu!$I$89,M954=phu!$I$90),"Cam Lập",""),IF(OR(M954=phu!$I$91,M954=phu!$I$92,M954=phu!$I$93),"Cam Bình",""),IF(OR(M954=phu!$I$94,M954=phu!$I$95,M954=phu!$I$96,M954=phu!$I$97,M954=phu!$I$98,M954=phu!$I$99,M954=phu!$I$100),"Huyện khác",""),IF(OR(M954=phu!$I$101,M954=phu!$I$102),"Tỉnh khác",""))</f>
        <v/>
      </c>
      <c r="O954" s="829" t="str">
        <f t="shared" si="84"/>
        <v/>
      </c>
      <c r="P954" s="254"/>
      <c r="Q954" s="254"/>
      <c r="R954" s="254"/>
      <c r="S954" s="254"/>
      <c r="T954" s="254"/>
      <c r="U954" s="254"/>
      <c r="V954" s="254"/>
      <c r="W954" s="254"/>
      <c r="Y954" s="246" t="str">
        <f t="shared" si="85"/>
        <v/>
      </c>
      <c r="Z954" s="247" t="str">
        <f t="shared" si="89"/>
        <v/>
      </c>
      <c r="AA954" s="246" t="str">
        <f t="shared" si="86"/>
        <v/>
      </c>
    </row>
    <row r="955" spans="1:27" x14ac:dyDescent="0.25">
      <c r="A955" s="248" t="str">
        <f t="shared" si="87"/>
        <v/>
      </c>
      <c r="B955" s="249" t="str">
        <f t="shared" si="88"/>
        <v/>
      </c>
      <c r="C955" s="250"/>
      <c r="D955" s="251"/>
      <c r="E955" s="241"/>
      <c r="F955" s="252"/>
      <c r="G955" s="252"/>
      <c r="H955" s="253"/>
      <c r="I955" s="250"/>
      <c r="J955" s="250"/>
      <c r="K955" s="270"/>
      <c r="L955" s="250"/>
      <c r="M955" s="250"/>
      <c r="N955" s="540" t="str">
        <f>CONCATENATE(IF(OR(M955=phu!$I$1,M955=phu!$I$2,M955=phu!$I$3),"Cam Thành Nam",""),IF(OR(M955=phu!$I$4,M955=phu!$I$5,M955=phu!$I$6,M955=phu!$I$7,M955=phu!$I$8,M955=phu!$I$9,M955=phu!$I$10,M955=phu!$I$11,M955=phu!$I$12,M955=phu!$I$13,M955=phu!$I$14),"Cam Nghĩa",""),IF(OR(M955=phu!$I$15,M955=phu!$I$16,M955=phu!$I$17,M955=phu!$I$18,M955=phu!$I$19,M955=phu!$I$20,M955=phu!$I$21),"Cam Phúc Bắc",""),IF(OR(M955=phu!$I$22,M955=phu!$I$23,M955=phu!$I$24,M955=phu!$I$25),"Cam Phúc Nam",""),IF(OR(M955=phu!$I$26,M955=phu!$I$27,M955=phu!$I$28,M955=phu!$I$29,M955=phu!$I$30,M955=phu!$I$31),"Cam Phú",""),IF(OR(M955=phu!$I$32,M955=phu!$I$33,M955=phu!$I$34,M955=phu!$I$35,M955=phu!$I$36,M955=phu!$I$37),"Cam Lộc",""),IF(OR(M955=phu!$I$38,M955=phu!$I$39,M955=phu!$I$40,M955=phu!$I$41,M955=phu!$I$42,M955=phu!$I$43,M955=phu!$I$44),"Cam Thuận",""),IF(OR(M955=phu!$I$45,M955=phu!$I$46,M955=phu!$I$47,M955=phu!$I$48,M955=phu!$I$49,M955=phu!$I$50,M955=phu!$I$51,M955=phu!$I$52,M955=phu!$I$53),"Cam Linh",""),IF(OR(M955=phu!$I$54,M955=phu!$I$55,M955=phu!$I$56,M955=phu!$I$57,M955=phu!$I$58,M955=phu!$I$59,M955=phu!$I$60,M955=phu!$I$61,M955=phu!$I$62),"Cam Lợi",""),IF(OR(M955=phu!$I$63,M955=phu!$I$64,M955=phu!$I$65,M955=phu!$I$66,M955=phu!$I$67,M955=phu!$I$68,M955=phu!$I$69,M955=phu!$I$70,M955=phu!$I$71),"Ba Ngòi",""),IF(OR(M955=phu!$I$72,M955=phu!$I$73,M955=phu!$I$74,M955=phu!$I$75,M955=phu!$I$76,M955=phu!$I$77,M955=phu!$I$78),"Cam Phước Đông",""),IF(OR(M955=phu!$I$79,M955=phu!$I$80,M955=phu!$I$81,M955=phu!$I$82,M955=phu!$I$83,M955=phu!$I$84),"Cam Thịnh Đông",""),IF(OR(M955=phu!$I$85,M955=phu!$I$86,M955=phu!$I$87,M955=phu!$I$88),"Cam Thịnh Tây",""),IF(OR(M955=phu!$I$89,M955=phu!$I$90),"Cam Lập",""),IF(OR(M955=phu!$I$91,M955=phu!$I$92,M955=phu!$I$93),"Cam Bình",""),IF(OR(M955=phu!$I$94,M955=phu!$I$95,M955=phu!$I$96,M955=phu!$I$97,M955=phu!$I$98,M955=phu!$I$99,M955=phu!$I$100),"Huyện khác",""),IF(OR(M955=phu!$I$101,M955=phu!$I$102),"Tỉnh khác",""))</f>
        <v/>
      </c>
      <c r="O955" s="829" t="str">
        <f t="shared" si="84"/>
        <v/>
      </c>
      <c r="P955" s="254"/>
      <c r="Q955" s="254"/>
      <c r="R955" s="254"/>
      <c r="S955" s="254"/>
      <c r="T955" s="254"/>
      <c r="U955" s="254"/>
      <c r="V955" s="254"/>
      <c r="W955" s="254"/>
      <c r="Y955" s="246" t="str">
        <f t="shared" si="85"/>
        <v/>
      </c>
      <c r="Z955" s="247" t="str">
        <f t="shared" si="89"/>
        <v/>
      </c>
      <c r="AA955" s="246" t="str">
        <f t="shared" si="86"/>
        <v/>
      </c>
    </row>
    <row r="956" spans="1:27" x14ac:dyDescent="0.25">
      <c r="A956" s="248" t="str">
        <f t="shared" si="87"/>
        <v/>
      </c>
      <c r="B956" s="249" t="str">
        <f t="shared" si="88"/>
        <v/>
      </c>
      <c r="C956" s="250"/>
      <c r="D956" s="251"/>
      <c r="E956" s="241"/>
      <c r="F956" s="252"/>
      <c r="G956" s="252"/>
      <c r="H956" s="253"/>
      <c r="I956" s="250"/>
      <c r="J956" s="250"/>
      <c r="K956" s="270"/>
      <c r="L956" s="250"/>
      <c r="M956" s="250"/>
      <c r="N956" s="540" t="str">
        <f>CONCATENATE(IF(OR(M956=phu!$I$1,M956=phu!$I$2,M956=phu!$I$3),"Cam Thành Nam",""),IF(OR(M956=phu!$I$4,M956=phu!$I$5,M956=phu!$I$6,M956=phu!$I$7,M956=phu!$I$8,M956=phu!$I$9,M956=phu!$I$10,M956=phu!$I$11,M956=phu!$I$12,M956=phu!$I$13,M956=phu!$I$14),"Cam Nghĩa",""),IF(OR(M956=phu!$I$15,M956=phu!$I$16,M956=phu!$I$17,M956=phu!$I$18,M956=phu!$I$19,M956=phu!$I$20,M956=phu!$I$21),"Cam Phúc Bắc",""),IF(OR(M956=phu!$I$22,M956=phu!$I$23,M956=phu!$I$24,M956=phu!$I$25),"Cam Phúc Nam",""),IF(OR(M956=phu!$I$26,M956=phu!$I$27,M956=phu!$I$28,M956=phu!$I$29,M956=phu!$I$30,M956=phu!$I$31),"Cam Phú",""),IF(OR(M956=phu!$I$32,M956=phu!$I$33,M956=phu!$I$34,M956=phu!$I$35,M956=phu!$I$36,M956=phu!$I$37),"Cam Lộc",""),IF(OR(M956=phu!$I$38,M956=phu!$I$39,M956=phu!$I$40,M956=phu!$I$41,M956=phu!$I$42,M956=phu!$I$43,M956=phu!$I$44),"Cam Thuận",""),IF(OR(M956=phu!$I$45,M956=phu!$I$46,M956=phu!$I$47,M956=phu!$I$48,M956=phu!$I$49,M956=phu!$I$50,M956=phu!$I$51,M956=phu!$I$52,M956=phu!$I$53),"Cam Linh",""),IF(OR(M956=phu!$I$54,M956=phu!$I$55,M956=phu!$I$56,M956=phu!$I$57,M956=phu!$I$58,M956=phu!$I$59,M956=phu!$I$60,M956=phu!$I$61,M956=phu!$I$62),"Cam Lợi",""),IF(OR(M956=phu!$I$63,M956=phu!$I$64,M956=phu!$I$65,M956=phu!$I$66,M956=phu!$I$67,M956=phu!$I$68,M956=phu!$I$69,M956=phu!$I$70,M956=phu!$I$71),"Ba Ngòi",""),IF(OR(M956=phu!$I$72,M956=phu!$I$73,M956=phu!$I$74,M956=phu!$I$75,M956=phu!$I$76,M956=phu!$I$77,M956=phu!$I$78),"Cam Phước Đông",""),IF(OR(M956=phu!$I$79,M956=phu!$I$80,M956=phu!$I$81,M956=phu!$I$82,M956=phu!$I$83,M956=phu!$I$84),"Cam Thịnh Đông",""),IF(OR(M956=phu!$I$85,M956=phu!$I$86,M956=phu!$I$87,M956=phu!$I$88),"Cam Thịnh Tây",""),IF(OR(M956=phu!$I$89,M956=phu!$I$90),"Cam Lập",""),IF(OR(M956=phu!$I$91,M956=phu!$I$92,M956=phu!$I$93),"Cam Bình",""),IF(OR(M956=phu!$I$94,M956=phu!$I$95,M956=phu!$I$96,M956=phu!$I$97,M956=phu!$I$98,M956=phu!$I$99,M956=phu!$I$100),"Huyện khác",""),IF(OR(M956=phu!$I$101,M956=phu!$I$102),"Tỉnh khác",""))</f>
        <v/>
      </c>
      <c r="O956" s="829" t="str">
        <f t="shared" si="84"/>
        <v/>
      </c>
      <c r="P956" s="254"/>
      <c r="Q956" s="254"/>
      <c r="R956" s="254"/>
      <c r="S956" s="254"/>
      <c r="T956" s="254"/>
      <c r="U956" s="254"/>
      <c r="V956" s="254"/>
      <c r="W956" s="254"/>
      <c r="Y956" s="246" t="str">
        <f t="shared" si="85"/>
        <v/>
      </c>
      <c r="Z956" s="247" t="str">
        <f t="shared" si="89"/>
        <v/>
      </c>
      <c r="AA956" s="246" t="str">
        <f t="shared" si="86"/>
        <v/>
      </c>
    </row>
    <row r="957" spans="1:27" x14ac:dyDescent="0.25">
      <c r="A957" s="248" t="str">
        <f t="shared" si="87"/>
        <v/>
      </c>
      <c r="B957" s="249" t="str">
        <f t="shared" si="88"/>
        <v/>
      </c>
      <c r="C957" s="250"/>
      <c r="D957" s="251"/>
      <c r="E957" s="241"/>
      <c r="F957" s="252"/>
      <c r="G957" s="252"/>
      <c r="H957" s="253"/>
      <c r="I957" s="250"/>
      <c r="J957" s="250"/>
      <c r="K957" s="270"/>
      <c r="L957" s="250"/>
      <c r="M957" s="250"/>
      <c r="N957" s="540" t="str">
        <f>CONCATENATE(IF(OR(M957=phu!$I$1,M957=phu!$I$2,M957=phu!$I$3),"Cam Thành Nam",""),IF(OR(M957=phu!$I$4,M957=phu!$I$5,M957=phu!$I$6,M957=phu!$I$7,M957=phu!$I$8,M957=phu!$I$9,M957=phu!$I$10,M957=phu!$I$11,M957=phu!$I$12,M957=phu!$I$13,M957=phu!$I$14),"Cam Nghĩa",""),IF(OR(M957=phu!$I$15,M957=phu!$I$16,M957=phu!$I$17,M957=phu!$I$18,M957=phu!$I$19,M957=phu!$I$20,M957=phu!$I$21),"Cam Phúc Bắc",""),IF(OR(M957=phu!$I$22,M957=phu!$I$23,M957=phu!$I$24,M957=phu!$I$25),"Cam Phúc Nam",""),IF(OR(M957=phu!$I$26,M957=phu!$I$27,M957=phu!$I$28,M957=phu!$I$29,M957=phu!$I$30,M957=phu!$I$31),"Cam Phú",""),IF(OR(M957=phu!$I$32,M957=phu!$I$33,M957=phu!$I$34,M957=phu!$I$35,M957=phu!$I$36,M957=phu!$I$37),"Cam Lộc",""),IF(OR(M957=phu!$I$38,M957=phu!$I$39,M957=phu!$I$40,M957=phu!$I$41,M957=phu!$I$42,M957=phu!$I$43,M957=phu!$I$44),"Cam Thuận",""),IF(OR(M957=phu!$I$45,M957=phu!$I$46,M957=phu!$I$47,M957=phu!$I$48,M957=phu!$I$49,M957=phu!$I$50,M957=phu!$I$51,M957=phu!$I$52,M957=phu!$I$53),"Cam Linh",""),IF(OR(M957=phu!$I$54,M957=phu!$I$55,M957=phu!$I$56,M957=phu!$I$57,M957=phu!$I$58,M957=phu!$I$59,M957=phu!$I$60,M957=phu!$I$61,M957=phu!$I$62),"Cam Lợi",""),IF(OR(M957=phu!$I$63,M957=phu!$I$64,M957=phu!$I$65,M957=phu!$I$66,M957=phu!$I$67,M957=phu!$I$68,M957=phu!$I$69,M957=phu!$I$70,M957=phu!$I$71),"Ba Ngòi",""),IF(OR(M957=phu!$I$72,M957=phu!$I$73,M957=phu!$I$74,M957=phu!$I$75,M957=phu!$I$76,M957=phu!$I$77,M957=phu!$I$78),"Cam Phước Đông",""),IF(OR(M957=phu!$I$79,M957=phu!$I$80,M957=phu!$I$81,M957=phu!$I$82,M957=phu!$I$83,M957=phu!$I$84),"Cam Thịnh Đông",""),IF(OR(M957=phu!$I$85,M957=phu!$I$86,M957=phu!$I$87,M957=phu!$I$88),"Cam Thịnh Tây",""),IF(OR(M957=phu!$I$89,M957=phu!$I$90),"Cam Lập",""),IF(OR(M957=phu!$I$91,M957=phu!$I$92,M957=phu!$I$93),"Cam Bình",""),IF(OR(M957=phu!$I$94,M957=phu!$I$95,M957=phu!$I$96,M957=phu!$I$97,M957=phu!$I$98,M957=phu!$I$99,M957=phu!$I$100),"Huyện khác",""),IF(OR(M957=phu!$I$101,M957=phu!$I$102),"Tỉnh khác",""))</f>
        <v/>
      </c>
      <c r="O957" s="829" t="str">
        <f t="shared" si="84"/>
        <v/>
      </c>
      <c r="P957" s="254"/>
      <c r="Q957" s="254"/>
      <c r="R957" s="254"/>
      <c r="S957" s="254"/>
      <c r="T957" s="254"/>
      <c r="U957" s="254"/>
      <c r="V957" s="254"/>
      <c r="W957" s="254"/>
      <c r="Y957" s="246" t="str">
        <f t="shared" si="85"/>
        <v/>
      </c>
      <c r="Z957" s="247" t="str">
        <f t="shared" si="89"/>
        <v/>
      </c>
      <c r="AA957" s="246" t="str">
        <f t="shared" si="86"/>
        <v/>
      </c>
    </row>
    <row r="958" spans="1:27" x14ac:dyDescent="0.25">
      <c r="A958" s="248" t="str">
        <f t="shared" si="87"/>
        <v/>
      </c>
      <c r="B958" s="249" t="str">
        <f t="shared" si="88"/>
        <v/>
      </c>
      <c r="C958" s="250"/>
      <c r="D958" s="251"/>
      <c r="E958" s="241"/>
      <c r="F958" s="252"/>
      <c r="G958" s="252"/>
      <c r="H958" s="253"/>
      <c r="I958" s="250"/>
      <c r="J958" s="250"/>
      <c r="K958" s="270"/>
      <c r="L958" s="250"/>
      <c r="M958" s="250"/>
      <c r="N958" s="540" t="str">
        <f>CONCATENATE(IF(OR(M958=phu!$I$1,M958=phu!$I$2,M958=phu!$I$3),"Cam Thành Nam",""),IF(OR(M958=phu!$I$4,M958=phu!$I$5,M958=phu!$I$6,M958=phu!$I$7,M958=phu!$I$8,M958=phu!$I$9,M958=phu!$I$10,M958=phu!$I$11,M958=phu!$I$12,M958=phu!$I$13,M958=phu!$I$14),"Cam Nghĩa",""),IF(OR(M958=phu!$I$15,M958=phu!$I$16,M958=phu!$I$17,M958=phu!$I$18,M958=phu!$I$19,M958=phu!$I$20,M958=phu!$I$21),"Cam Phúc Bắc",""),IF(OR(M958=phu!$I$22,M958=phu!$I$23,M958=phu!$I$24,M958=phu!$I$25),"Cam Phúc Nam",""),IF(OR(M958=phu!$I$26,M958=phu!$I$27,M958=phu!$I$28,M958=phu!$I$29,M958=phu!$I$30,M958=phu!$I$31),"Cam Phú",""),IF(OR(M958=phu!$I$32,M958=phu!$I$33,M958=phu!$I$34,M958=phu!$I$35,M958=phu!$I$36,M958=phu!$I$37),"Cam Lộc",""),IF(OR(M958=phu!$I$38,M958=phu!$I$39,M958=phu!$I$40,M958=phu!$I$41,M958=phu!$I$42,M958=phu!$I$43,M958=phu!$I$44),"Cam Thuận",""),IF(OR(M958=phu!$I$45,M958=phu!$I$46,M958=phu!$I$47,M958=phu!$I$48,M958=phu!$I$49,M958=phu!$I$50,M958=phu!$I$51,M958=phu!$I$52,M958=phu!$I$53),"Cam Linh",""),IF(OR(M958=phu!$I$54,M958=phu!$I$55,M958=phu!$I$56,M958=phu!$I$57,M958=phu!$I$58,M958=phu!$I$59,M958=phu!$I$60,M958=phu!$I$61,M958=phu!$I$62),"Cam Lợi",""),IF(OR(M958=phu!$I$63,M958=phu!$I$64,M958=phu!$I$65,M958=phu!$I$66,M958=phu!$I$67,M958=phu!$I$68,M958=phu!$I$69,M958=phu!$I$70,M958=phu!$I$71),"Ba Ngòi",""),IF(OR(M958=phu!$I$72,M958=phu!$I$73,M958=phu!$I$74,M958=phu!$I$75,M958=phu!$I$76,M958=phu!$I$77,M958=phu!$I$78),"Cam Phước Đông",""),IF(OR(M958=phu!$I$79,M958=phu!$I$80,M958=phu!$I$81,M958=phu!$I$82,M958=phu!$I$83,M958=phu!$I$84),"Cam Thịnh Đông",""),IF(OR(M958=phu!$I$85,M958=phu!$I$86,M958=phu!$I$87,M958=phu!$I$88),"Cam Thịnh Tây",""),IF(OR(M958=phu!$I$89,M958=phu!$I$90),"Cam Lập",""),IF(OR(M958=phu!$I$91,M958=phu!$I$92,M958=phu!$I$93),"Cam Bình",""),IF(OR(M958=phu!$I$94,M958=phu!$I$95,M958=phu!$I$96,M958=phu!$I$97,M958=phu!$I$98,M958=phu!$I$99,M958=phu!$I$100),"Huyện khác",""),IF(OR(M958=phu!$I$101,M958=phu!$I$102),"Tỉnh khác",""))</f>
        <v/>
      </c>
      <c r="O958" s="829" t="str">
        <f t="shared" si="84"/>
        <v/>
      </c>
      <c r="P958" s="254"/>
      <c r="Q958" s="254"/>
      <c r="R958" s="254"/>
      <c r="S958" s="254"/>
      <c r="T958" s="254"/>
      <c r="U958" s="254"/>
      <c r="V958" s="254"/>
      <c r="W958" s="254"/>
      <c r="Y958" s="246" t="str">
        <f t="shared" si="85"/>
        <v/>
      </c>
      <c r="Z958" s="247" t="str">
        <f t="shared" si="89"/>
        <v/>
      </c>
      <c r="AA958" s="246" t="str">
        <f t="shared" si="86"/>
        <v/>
      </c>
    </row>
    <row r="959" spans="1:27" x14ac:dyDescent="0.25">
      <c r="A959" s="248" t="str">
        <f t="shared" si="87"/>
        <v/>
      </c>
      <c r="B959" s="249" t="str">
        <f t="shared" si="88"/>
        <v/>
      </c>
      <c r="C959" s="250"/>
      <c r="D959" s="251"/>
      <c r="E959" s="241"/>
      <c r="F959" s="252"/>
      <c r="G959" s="252"/>
      <c r="H959" s="253"/>
      <c r="I959" s="250"/>
      <c r="J959" s="250"/>
      <c r="K959" s="270"/>
      <c r="L959" s="250"/>
      <c r="M959" s="250"/>
      <c r="N959" s="540" t="str">
        <f>CONCATENATE(IF(OR(M959=phu!$I$1,M959=phu!$I$2,M959=phu!$I$3),"Cam Thành Nam",""),IF(OR(M959=phu!$I$4,M959=phu!$I$5,M959=phu!$I$6,M959=phu!$I$7,M959=phu!$I$8,M959=phu!$I$9,M959=phu!$I$10,M959=phu!$I$11,M959=phu!$I$12,M959=phu!$I$13,M959=phu!$I$14),"Cam Nghĩa",""),IF(OR(M959=phu!$I$15,M959=phu!$I$16,M959=phu!$I$17,M959=phu!$I$18,M959=phu!$I$19,M959=phu!$I$20,M959=phu!$I$21),"Cam Phúc Bắc",""),IF(OR(M959=phu!$I$22,M959=phu!$I$23,M959=phu!$I$24,M959=phu!$I$25),"Cam Phúc Nam",""),IF(OR(M959=phu!$I$26,M959=phu!$I$27,M959=phu!$I$28,M959=phu!$I$29,M959=phu!$I$30,M959=phu!$I$31),"Cam Phú",""),IF(OR(M959=phu!$I$32,M959=phu!$I$33,M959=phu!$I$34,M959=phu!$I$35,M959=phu!$I$36,M959=phu!$I$37),"Cam Lộc",""),IF(OR(M959=phu!$I$38,M959=phu!$I$39,M959=phu!$I$40,M959=phu!$I$41,M959=phu!$I$42,M959=phu!$I$43,M959=phu!$I$44),"Cam Thuận",""),IF(OR(M959=phu!$I$45,M959=phu!$I$46,M959=phu!$I$47,M959=phu!$I$48,M959=phu!$I$49,M959=phu!$I$50,M959=phu!$I$51,M959=phu!$I$52,M959=phu!$I$53),"Cam Linh",""),IF(OR(M959=phu!$I$54,M959=phu!$I$55,M959=phu!$I$56,M959=phu!$I$57,M959=phu!$I$58,M959=phu!$I$59,M959=phu!$I$60,M959=phu!$I$61,M959=phu!$I$62),"Cam Lợi",""),IF(OR(M959=phu!$I$63,M959=phu!$I$64,M959=phu!$I$65,M959=phu!$I$66,M959=phu!$I$67,M959=phu!$I$68,M959=phu!$I$69,M959=phu!$I$70,M959=phu!$I$71),"Ba Ngòi",""),IF(OR(M959=phu!$I$72,M959=phu!$I$73,M959=phu!$I$74,M959=phu!$I$75,M959=phu!$I$76,M959=phu!$I$77,M959=phu!$I$78),"Cam Phước Đông",""),IF(OR(M959=phu!$I$79,M959=phu!$I$80,M959=phu!$I$81,M959=phu!$I$82,M959=phu!$I$83,M959=phu!$I$84),"Cam Thịnh Đông",""),IF(OR(M959=phu!$I$85,M959=phu!$I$86,M959=phu!$I$87,M959=phu!$I$88),"Cam Thịnh Tây",""),IF(OR(M959=phu!$I$89,M959=phu!$I$90),"Cam Lập",""),IF(OR(M959=phu!$I$91,M959=phu!$I$92,M959=phu!$I$93),"Cam Bình",""),IF(OR(M959=phu!$I$94,M959=phu!$I$95,M959=phu!$I$96,M959=phu!$I$97,M959=phu!$I$98,M959=phu!$I$99,M959=phu!$I$100),"Huyện khác",""),IF(OR(M959=phu!$I$101,M959=phu!$I$102),"Tỉnh khác",""))</f>
        <v/>
      </c>
      <c r="O959" s="829" t="str">
        <f t="shared" si="84"/>
        <v/>
      </c>
      <c r="P959" s="254"/>
      <c r="Q959" s="254"/>
      <c r="R959" s="254"/>
      <c r="S959" s="254"/>
      <c r="T959" s="254"/>
      <c r="U959" s="254"/>
      <c r="V959" s="254"/>
      <c r="W959" s="254"/>
      <c r="Y959" s="246" t="str">
        <f t="shared" si="85"/>
        <v/>
      </c>
      <c r="Z959" s="247" t="str">
        <f t="shared" si="89"/>
        <v/>
      </c>
      <c r="AA959" s="246" t="str">
        <f t="shared" si="86"/>
        <v/>
      </c>
    </row>
    <row r="960" spans="1:27" x14ac:dyDescent="0.25">
      <c r="A960" s="248" t="str">
        <f t="shared" si="87"/>
        <v/>
      </c>
      <c r="B960" s="249" t="str">
        <f t="shared" si="88"/>
        <v/>
      </c>
      <c r="C960" s="250"/>
      <c r="D960" s="251"/>
      <c r="E960" s="241"/>
      <c r="F960" s="252"/>
      <c r="G960" s="252"/>
      <c r="H960" s="253"/>
      <c r="I960" s="250"/>
      <c r="J960" s="250"/>
      <c r="K960" s="270"/>
      <c r="L960" s="250"/>
      <c r="M960" s="250"/>
      <c r="N960" s="540" t="str">
        <f>CONCATENATE(IF(OR(M960=phu!$I$1,M960=phu!$I$2,M960=phu!$I$3),"Cam Thành Nam",""),IF(OR(M960=phu!$I$4,M960=phu!$I$5,M960=phu!$I$6,M960=phu!$I$7,M960=phu!$I$8,M960=phu!$I$9,M960=phu!$I$10,M960=phu!$I$11,M960=phu!$I$12,M960=phu!$I$13,M960=phu!$I$14),"Cam Nghĩa",""),IF(OR(M960=phu!$I$15,M960=phu!$I$16,M960=phu!$I$17,M960=phu!$I$18,M960=phu!$I$19,M960=phu!$I$20,M960=phu!$I$21),"Cam Phúc Bắc",""),IF(OR(M960=phu!$I$22,M960=phu!$I$23,M960=phu!$I$24,M960=phu!$I$25),"Cam Phúc Nam",""),IF(OR(M960=phu!$I$26,M960=phu!$I$27,M960=phu!$I$28,M960=phu!$I$29,M960=phu!$I$30,M960=phu!$I$31),"Cam Phú",""),IF(OR(M960=phu!$I$32,M960=phu!$I$33,M960=phu!$I$34,M960=phu!$I$35,M960=phu!$I$36,M960=phu!$I$37),"Cam Lộc",""),IF(OR(M960=phu!$I$38,M960=phu!$I$39,M960=phu!$I$40,M960=phu!$I$41,M960=phu!$I$42,M960=phu!$I$43,M960=phu!$I$44),"Cam Thuận",""),IF(OR(M960=phu!$I$45,M960=phu!$I$46,M960=phu!$I$47,M960=phu!$I$48,M960=phu!$I$49,M960=phu!$I$50,M960=phu!$I$51,M960=phu!$I$52,M960=phu!$I$53),"Cam Linh",""),IF(OR(M960=phu!$I$54,M960=phu!$I$55,M960=phu!$I$56,M960=phu!$I$57,M960=phu!$I$58,M960=phu!$I$59,M960=phu!$I$60,M960=phu!$I$61,M960=phu!$I$62),"Cam Lợi",""),IF(OR(M960=phu!$I$63,M960=phu!$I$64,M960=phu!$I$65,M960=phu!$I$66,M960=phu!$I$67,M960=phu!$I$68,M960=phu!$I$69,M960=phu!$I$70,M960=phu!$I$71),"Ba Ngòi",""),IF(OR(M960=phu!$I$72,M960=phu!$I$73,M960=phu!$I$74,M960=phu!$I$75,M960=phu!$I$76,M960=phu!$I$77,M960=phu!$I$78),"Cam Phước Đông",""),IF(OR(M960=phu!$I$79,M960=phu!$I$80,M960=phu!$I$81,M960=phu!$I$82,M960=phu!$I$83,M960=phu!$I$84),"Cam Thịnh Đông",""),IF(OR(M960=phu!$I$85,M960=phu!$I$86,M960=phu!$I$87,M960=phu!$I$88),"Cam Thịnh Tây",""),IF(OR(M960=phu!$I$89,M960=phu!$I$90),"Cam Lập",""),IF(OR(M960=phu!$I$91,M960=phu!$I$92,M960=phu!$I$93),"Cam Bình",""),IF(OR(M960=phu!$I$94,M960=phu!$I$95,M960=phu!$I$96,M960=phu!$I$97,M960=phu!$I$98,M960=phu!$I$99,M960=phu!$I$100),"Huyện khác",""),IF(OR(M960=phu!$I$101,M960=phu!$I$102),"Tỉnh khác",""))</f>
        <v/>
      </c>
      <c r="O960" s="829" t="str">
        <f t="shared" si="84"/>
        <v/>
      </c>
      <c r="P960" s="254"/>
      <c r="Q960" s="254"/>
      <c r="R960" s="254"/>
      <c r="S960" s="254"/>
      <c r="T960" s="254"/>
      <c r="U960" s="254"/>
      <c r="V960" s="254"/>
      <c r="W960" s="254"/>
      <c r="Y960" s="246" t="str">
        <f t="shared" si="85"/>
        <v/>
      </c>
      <c r="Z960" s="247" t="str">
        <f t="shared" si="89"/>
        <v/>
      </c>
      <c r="AA960" s="246" t="str">
        <f t="shared" si="86"/>
        <v/>
      </c>
    </row>
    <row r="961" spans="1:27" x14ac:dyDescent="0.25">
      <c r="A961" s="248" t="str">
        <f t="shared" si="87"/>
        <v/>
      </c>
      <c r="B961" s="249" t="str">
        <f t="shared" si="88"/>
        <v/>
      </c>
      <c r="C961" s="250"/>
      <c r="D961" s="251"/>
      <c r="E961" s="241"/>
      <c r="F961" s="252"/>
      <c r="G961" s="252"/>
      <c r="H961" s="253"/>
      <c r="I961" s="250"/>
      <c r="J961" s="250"/>
      <c r="K961" s="270"/>
      <c r="L961" s="250"/>
      <c r="M961" s="250"/>
      <c r="N961" s="540" t="str">
        <f>CONCATENATE(IF(OR(M961=phu!$I$1,M961=phu!$I$2,M961=phu!$I$3),"Cam Thành Nam",""),IF(OR(M961=phu!$I$4,M961=phu!$I$5,M961=phu!$I$6,M961=phu!$I$7,M961=phu!$I$8,M961=phu!$I$9,M961=phu!$I$10,M961=phu!$I$11,M961=phu!$I$12,M961=phu!$I$13,M961=phu!$I$14),"Cam Nghĩa",""),IF(OR(M961=phu!$I$15,M961=phu!$I$16,M961=phu!$I$17,M961=phu!$I$18,M961=phu!$I$19,M961=phu!$I$20,M961=phu!$I$21),"Cam Phúc Bắc",""),IF(OR(M961=phu!$I$22,M961=phu!$I$23,M961=phu!$I$24,M961=phu!$I$25),"Cam Phúc Nam",""),IF(OR(M961=phu!$I$26,M961=phu!$I$27,M961=phu!$I$28,M961=phu!$I$29,M961=phu!$I$30,M961=phu!$I$31),"Cam Phú",""),IF(OR(M961=phu!$I$32,M961=phu!$I$33,M961=phu!$I$34,M961=phu!$I$35,M961=phu!$I$36,M961=phu!$I$37),"Cam Lộc",""),IF(OR(M961=phu!$I$38,M961=phu!$I$39,M961=phu!$I$40,M961=phu!$I$41,M961=phu!$I$42,M961=phu!$I$43,M961=phu!$I$44),"Cam Thuận",""),IF(OR(M961=phu!$I$45,M961=phu!$I$46,M961=phu!$I$47,M961=phu!$I$48,M961=phu!$I$49,M961=phu!$I$50,M961=phu!$I$51,M961=phu!$I$52,M961=phu!$I$53),"Cam Linh",""),IF(OR(M961=phu!$I$54,M961=phu!$I$55,M961=phu!$I$56,M961=phu!$I$57,M961=phu!$I$58,M961=phu!$I$59,M961=phu!$I$60,M961=phu!$I$61,M961=phu!$I$62),"Cam Lợi",""),IF(OR(M961=phu!$I$63,M961=phu!$I$64,M961=phu!$I$65,M961=phu!$I$66,M961=phu!$I$67,M961=phu!$I$68,M961=phu!$I$69,M961=phu!$I$70,M961=phu!$I$71),"Ba Ngòi",""),IF(OR(M961=phu!$I$72,M961=phu!$I$73,M961=phu!$I$74,M961=phu!$I$75,M961=phu!$I$76,M961=phu!$I$77,M961=phu!$I$78),"Cam Phước Đông",""),IF(OR(M961=phu!$I$79,M961=phu!$I$80,M961=phu!$I$81,M961=phu!$I$82,M961=phu!$I$83,M961=phu!$I$84),"Cam Thịnh Đông",""),IF(OR(M961=phu!$I$85,M961=phu!$I$86,M961=phu!$I$87,M961=phu!$I$88),"Cam Thịnh Tây",""),IF(OR(M961=phu!$I$89,M961=phu!$I$90),"Cam Lập",""),IF(OR(M961=phu!$I$91,M961=phu!$I$92,M961=phu!$I$93),"Cam Bình",""),IF(OR(M961=phu!$I$94,M961=phu!$I$95,M961=phu!$I$96,M961=phu!$I$97,M961=phu!$I$98,M961=phu!$I$99,M961=phu!$I$100),"Huyện khác",""),IF(OR(M961=phu!$I$101,M961=phu!$I$102),"Tỉnh khác",""))</f>
        <v/>
      </c>
      <c r="O961" s="829" t="str">
        <f t="shared" si="84"/>
        <v/>
      </c>
      <c r="P961" s="254"/>
      <c r="Q961" s="254"/>
      <c r="R961" s="254"/>
      <c r="S961" s="254"/>
      <c r="T961" s="254"/>
      <c r="U961" s="254"/>
      <c r="V961" s="254"/>
      <c r="W961" s="254"/>
      <c r="Y961" s="246" t="str">
        <f t="shared" si="85"/>
        <v/>
      </c>
      <c r="Z961" s="247" t="str">
        <f t="shared" si="89"/>
        <v/>
      </c>
      <c r="AA961" s="246" t="str">
        <f t="shared" si="86"/>
        <v/>
      </c>
    </row>
    <row r="962" spans="1:27" x14ac:dyDescent="0.25">
      <c r="A962" s="248" t="str">
        <f t="shared" si="87"/>
        <v/>
      </c>
      <c r="B962" s="249" t="str">
        <f t="shared" si="88"/>
        <v/>
      </c>
      <c r="C962" s="250"/>
      <c r="D962" s="251"/>
      <c r="E962" s="241"/>
      <c r="F962" s="252"/>
      <c r="G962" s="252"/>
      <c r="H962" s="253"/>
      <c r="I962" s="250"/>
      <c r="J962" s="250"/>
      <c r="K962" s="270"/>
      <c r="L962" s="250"/>
      <c r="M962" s="250"/>
      <c r="N962" s="540" t="str">
        <f>CONCATENATE(IF(OR(M962=phu!$I$1,M962=phu!$I$2,M962=phu!$I$3),"Cam Thành Nam",""),IF(OR(M962=phu!$I$4,M962=phu!$I$5,M962=phu!$I$6,M962=phu!$I$7,M962=phu!$I$8,M962=phu!$I$9,M962=phu!$I$10,M962=phu!$I$11,M962=phu!$I$12,M962=phu!$I$13,M962=phu!$I$14),"Cam Nghĩa",""),IF(OR(M962=phu!$I$15,M962=phu!$I$16,M962=phu!$I$17,M962=phu!$I$18,M962=phu!$I$19,M962=phu!$I$20,M962=phu!$I$21),"Cam Phúc Bắc",""),IF(OR(M962=phu!$I$22,M962=phu!$I$23,M962=phu!$I$24,M962=phu!$I$25),"Cam Phúc Nam",""),IF(OR(M962=phu!$I$26,M962=phu!$I$27,M962=phu!$I$28,M962=phu!$I$29,M962=phu!$I$30,M962=phu!$I$31),"Cam Phú",""),IF(OR(M962=phu!$I$32,M962=phu!$I$33,M962=phu!$I$34,M962=phu!$I$35,M962=phu!$I$36,M962=phu!$I$37),"Cam Lộc",""),IF(OR(M962=phu!$I$38,M962=phu!$I$39,M962=phu!$I$40,M962=phu!$I$41,M962=phu!$I$42,M962=phu!$I$43,M962=phu!$I$44),"Cam Thuận",""),IF(OR(M962=phu!$I$45,M962=phu!$I$46,M962=phu!$I$47,M962=phu!$I$48,M962=phu!$I$49,M962=phu!$I$50,M962=phu!$I$51,M962=phu!$I$52,M962=phu!$I$53),"Cam Linh",""),IF(OR(M962=phu!$I$54,M962=phu!$I$55,M962=phu!$I$56,M962=phu!$I$57,M962=phu!$I$58,M962=phu!$I$59,M962=phu!$I$60,M962=phu!$I$61,M962=phu!$I$62),"Cam Lợi",""),IF(OR(M962=phu!$I$63,M962=phu!$I$64,M962=phu!$I$65,M962=phu!$I$66,M962=phu!$I$67,M962=phu!$I$68,M962=phu!$I$69,M962=phu!$I$70,M962=phu!$I$71),"Ba Ngòi",""),IF(OR(M962=phu!$I$72,M962=phu!$I$73,M962=phu!$I$74,M962=phu!$I$75,M962=phu!$I$76,M962=phu!$I$77,M962=phu!$I$78),"Cam Phước Đông",""),IF(OR(M962=phu!$I$79,M962=phu!$I$80,M962=phu!$I$81,M962=phu!$I$82,M962=phu!$I$83,M962=phu!$I$84),"Cam Thịnh Đông",""),IF(OR(M962=phu!$I$85,M962=phu!$I$86,M962=phu!$I$87,M962=phu!$I$88),"Cam Thịnh Tây",""),IF(OR(M962=phu!$I$89,M962=phu!$I$90),"Cam Lập",""),IF(OR(M962=phu!$I$91,M962=phu!$I$92,M962=phu!$I$93),"Cam Bình",""),IF(OR(M962=phu!$I$94,M962=phu!$I$95,M962=phu!$I$96,M962=phu!$I$97,M962=phu!$I$98,M962=phu!$I$99,M962=phu!$I$100),"Huyện khác",""),IF(OR(M962=phu!$I$101,M962=phu!$I$102),"Tỉnh khác",""))</f>
        <v/>
      </c>
      <c r="O962" s="829" t="str">
        <f t="shared" si="84"/>
        <v/>
      </c>
      <c r="P962" s="254"/>
      <c r="Q962" s="254"/>
      <c r="R962" s="254"/>
      <c r="S962" s="254"/>
      <c r="T962" s="254"/>
      <c r="U962" s="254"/>
      <c r="V962" s="254"/>
      <c r="W962" s="254"/>
      <c r="Y962" s="246" t="str">
        <f t="shared" si="85"/>
        <v/>
      </c>
      <c r="Z962" s="247" t="str">
        <f t="shared" si="89"/>
        <v/>
      </c>
      <c r="AA962" s="246" t="str">
        <f t="shared" si="86"/>
        <v/>
      </c>
    </row>
    <row r="963" spans="1:27" x14ac:dyDescent="0.25">
      <c r="A963" s="248" t="str">
        <f t="shared" si="87"/>
        <v/>
      </c>
      <c r="B963" s="249" t="str">
        <f t="shared" si="88"/>
        <v/>
      </c>
      <c r="C963" s="250"/>
      <c r="D963" s="251"/>
      <c r="E963" s="241"/>
      <c r="F963" s="252"/>
      <c r="G963" s="252"/>
      <c r="H963" s="253"/>
      <c r="I963" s="250"/>
      <c r="J963" s="250"/>
      <c r="K963" s="270"/>
      <c r="L963" s="250"/>
      <c r="M963" s="250"/>
      <c r="N963" s="540" t="str">
        <f>CONCATENATE(IF(OR(M963=phu!$I$1,M963=phu!$I$2,M963=phu!$I$3),"Cam Thành Nam",""),IF(OR(M963=phu!$I$4,M963=phu!$I$5,M963=phu!$I$6,M963=phu!$I$7,M963=phu!$I$8,M963=phu!$I$9,M963=phu!$I$10,M963=phu!$I$11,M963=phu!$I$12,M963=phu!$I$13,M963=phu!$I$14),"Cam Nghĩa",""),IF(OR(M963=phu!$I$15,M963=phu!$I$16,M963=phu!$I$17,M963=phu!$I$18,M963=phu!$I$19,M963=phu!$I$20,M963=phu!$I$21),"Cam Phúc Bắc",""),IF(OR(M963=phu!$I$22,M963=phu!$I$23,M963=phu!$I$24,M963=phu!$I$25),"Cam Phúc Nam",""),IF(OR(M963=phu!$I$26,M963=phu!$I$27,M963=phu!$I$28,M963=phu!$I$29,M963=phu!$I$30,M963=phu!$I$31),"Cam Phú",""),IF(OR(M963=phu!$I$32,M963=phu!$I$33,M963=phu!$I$34,M963=phu!$I$35,M963=phu!$I$36,M963=phu!$I$37),"Cam Lộc",""),IF(OR(M963=phu!$I$38,M963=phu!$I$39,M963=phu!$I$40,M963=phu!$I$41,M963=phu!$I$42,M963=phu!$I$43,M963=phu!$I$44),"Cam Thuận",""),IF(OR(M963=phu!$I$45,M963=phu!$I$46,M963=phu!$I$47,M963=phu!$I$48,M963=phu!$I$49,M963=phu!$I$50,M963=phu!$I$51,M963=phu!$I$52,M963=phu!$I$53),"Cam Linh",""),IF(OR(M963=phu!$I$54,M963=phu!$I$55,M963=phu!$I$56,M963=phu!$I$57,M963=phu!$I$58,M963=phu!$I$59,M963=phu!$I$60,M963=phu!$I$61,M963=phu!$I$62),"Cam Lợi",""),IF(OR(M963=phu!$I$63,M963=phu!$I$64,M963=phu!$I$65,M963=phu!$I$66,M963=phu!$I$67,M963=phu!$I$68,M963=phu!$I$69,M963=phu!$I$70,M963=phu!$I$71),"Ba Ngòi",""),IF(OR(M963=phu!$I$72,M963=phu!$I$73,M963=phu!$I$74,M963=phu!$I$75,M963=phu!$I$76,M963=phu!$I$77,M963=phu!$I$78),"Cam Phước Đông",""),IF(OR(M963=phu!$I$79,M963=phu!$I$80,M963=phu!$I$81,M963=phu!$I$82,M963=phu!$I$83,M963=phu!$I$84),"Cam Thịnh Đông",""),IF(OR(M963=phu!$I$85,M963=phu!$I$86,M963=phu!$I$87,M963=phu!$I$88),"Cam Thịnh Tây",""),IF(OR(M963=phu!$I$89,M963=phu!$I$90),"Cam Lập",""),IF(OR(M963=phu!$I$91,M963=phu!$I$92,M963=phu!$I$93),"Cam Bình",""),IF(OR(M963=phu!$I$94,M963=phu!$I$95,M963=phu!$I$96,M963=phu!$I$97,M963=phu!$I$98,M963=phu!$I$99,M963=phu!$I$100),"Huyện khác",""),IF(OR(M963=phu!$I$101,M963=phu!$I$102),"Tỉnh khác",""))</f>
        <v/>
      </c>
      <c r="O963" s="829" t="str">
        <f t="shared" si="84"/>
        <v/>
      </c>
      <c r="P963" s="254"/>
      <c r="Q963" s="254"/>
      <c r="R963" s="254"/>
      <c r="S963" s="254"/>
      <c r="T963" s="254"/>
      <c r="U963" s="254"/>
      <c r="V963" s="254"/>
      <c r="W963" s="254"/>
      <c r="Y963" s="246" t="str">
        <f t="shared" si="85"/>
        <v/>
      </c>
      <c r="Z963" s="247" t="str">
        <f t="shared" si="89"/>
        <v/>
      </c>
      <c r="AA963" s="246" t="str">
        <f t="shared" si="86"/>
        <v/>
      </c>
    </row>
    <row r="964" spans="1:27" x14ac:dyDescent="0.25">
      <c r="A964" s="248" t="str">
        <f t="shared" si="87"/>
        <v/>
      </c>
      <c r="B964" s="249" t="str">
        <f t="shared" si="88"/>
        <v/>
      </c>
      <c r="C964" s="250"/>
      <c r="D964" s="251"/>
      <c r="E964" s="241"/>
      <c r="F964" s="252"/>
      <c r="G964" s="252"/>
      <c r="H964" s="253"/>
      <c r="I964" s="250"/>
      <c r="J964" s="250"/>
      <c r="K964" s="270"/>
      <c r="L964" s="250"/>
      <c r="M964" s="250"/>
      <c r="N964" s="540" t="str">
        <f>CONCATENATE(IF(OR(M964=phu!$I$1,M964=phu!$I$2,M964=phu!$I$3),"Cam Thành Nam",""),IF(OR(M964=phu!$I$4,M964=phu!$I$5,M964=phu!$I$6,M964=phu!$I$7,M964=phu!$I$8,M964=phu!$I$9,M964=phu!$I$10,M964=phu!$I$11,M964=phu!$I$12,M964=phu!$I$13,M964=phu!$I$14),"Cam Nghĩa",""),IF(OR(M964=phu!$I$15,M964=phu!$I$16,M964=phu!$I$17,M964=phu!$I$18,M964=phu!$I$19,M964=phu!$I$20,M964=phu!$I$21),"Cam Phúc Bắc",""),IF(OR(M964=phu!$I$22,M964=phu!$I$23,M964=phu!$I$24,M964=phu!$I$25),"Cam Phúc Nam",""),IF(OR(M964=phu!$I$26,M964=phu!$I$27,M964=phu!$I$28,M964=phu!$I$29,M964=phu!$I$30,M964=phu!$I$31),"Cam Phú",""),IF(OR(M964=phu!$I$32,M964=phu!$I$33,M964=phu!$I$34,M964=phu!$I$35,M964=phu!$I$36,M964=phu!$I$37),"Cam Lộc",""),IF(OR(M964=phu!$I$38,M964=phu!$I$39,M964=phu!$I$40,M964=phu!$I$41,M964=phu!$I$42,M964=phu!$I$43,M964=phu!$I$44),"Cam Thuận",""),IF(OR(M964=phu!$I$45,M964=phu!$I$46,M964=phu!$I$47,M964=phu!$I$48,M964=phu!$I$49,M964=phu!$I$50,M964=phu!$I$51,M964=phu!$I$52,M964=phu!$I$53),"Cam Linh",""),IF(OR(M964=phu!$I$54,M964=phu!$I$55,M964=phu!$I$56,M964=phu!$I$57,M964=phu!$I$58,M964=phu!$I$59,M964=phu!$I$60,M964=phu!$I$61,M964=phu!$I$62),"Cam Lợi",""),IF(OR(M964=phu!$I$63,M964=phu!$I$64,M964=phu!$I$65,M964=phu!$I$66,M964=phu!$I$67,M964=phu!$I$68,M964=phu!$I$69,M964=phu!$I$70,M964=phu!$I$71),"Ba Ngòi",""),IF(OR(M964=phu!$I$72,M964=phu!$I$73,M964=phu!$I$74,M964=phu!$I$75,M964=phu!$I$76,M964=phu!$I$77,M964=phu!$I$78),"Cam Phước Đông",""),IF(OR(M964=phu!$I$79,M964=phu!$I$80,M964=phu!$I$81,M964=phu!$I$82,M964=phu!$I$83,M964=phu!$I$84),"Cam Thịnh Đông",""),IF(OR(M964=phu!$I$85,M964=phu!$I$86,M964=phu!$I$87,M964=phu!$I$88),"Cam Thịnh Tây",""),IF(OR(M964=phu!$I$89,M964=phu!$I$90),"Cam Lập",""),IF(OR(M964=phu!$I$91,M964=phu!$I$92,M964=phu!$I$93),"Cam Bình",""),IF(OR(M964=phu!$I$94,M964=phu!$I$95,M964=phu!$I$96,M964=phu!$I$97,M964=phu!$I$98,M964=phu!$I$99,M964=phu!$I$100),"Huyện khác",""),IF(OR(M964=phu!$I$101,M964=phu!$I$102),"Tỉnh khác",""))</f>
        <v/>
      </c>
      <c r="O964" s="829" t="str">
        <f t="shared" si="84"/>
        <v/>
      </c>
      <c r="P964" s="254"/>
      <c r="Q964" s="254"/>
      <c r="R964" s="254"/>
      <c r="S964" s="254"/>
      <c r="T964" s="254"/>
      <c r="U964" s="254"/>
      <c r="V964" s="254"/>
      <c r="W964" s="254"/>
      <c r="Y964" s="246" t="str">
        <f t="shared" si="85"/>
        <v/>
      </c>
      <c r="Z964" s="247" t="str">
        <f t="shared" si="89"/>
        <v/>
      </c>
      <c r="AA964" s="246" t="str">
        <f t="shared" si="86"/>
        <v/>
      </c>
    </row>
    <row r="965" spans="1:27" x14ac:dyDescent="0.25">
      <c r="A965" s="248" t="str">
        <f t="shared" si="87"/>
        <v/>
      </c>
      <c r="B965" s="249" t="str">
        <f t="shared" si="88"/>
        <v/>
      </c>
      <c r="C965" s="250"/>
      <c r="D965" s="251"/>
      <c r="E965" s="241"/>
      <c r="F965" s="252"/>
      <c r="G965" s="252"/>
      <c r="H965" s="253"/>
      <c r="I965" s="250"/>
      <c r="J965" s="250"/>
      <c r="K965" s="270"/>
      <c r="L965" s="250"/>
      <c r="M965" s="250"/>
      <c r="N965" s="540" t="str">
        <f>CONCATENATE(IF(OR(M965=phu!$I$1,M965=phu!$I$2,M965=phu!$I$3),"Cam Thành Nam",""),IF(OR(M965=phu!$I$4,M965=phu!$I$5,M965=phu!$I$6,M965=phu!$I$7,M965=phu!$I$8,M965=phu!$I$9,M965=phu!$I$10,M965=phu!$I$11,M965=phu!$I$12,M965=phu!$I$13,M965=phu!$I$14),"Cam Nghĩa",""),IF(OR(M965=phu!$I$15,M965=phu!$I$16,M965=phu!$I$17,M965=phu!$I$18,M965=phu!$I$19,M965=phu!$I$20,M965=phu!$I$21),"Cam Phúc Bắc",""),IF(OR(M965=phu!$I$22,M965=phu!$I$23,M965=phu!$I$24,M965=phu!$I$25),"Cam Phúc Nam",""),IF(OR(M965=phu!$I$26,M965=phu!$I$27,M965=phu!$I$28,M965=phu!$I$29,M965=phu!$I$30,M965=phu!$I$31),"Cam Phú",""),IF(OR(M965=phu!$I$32,M965=phu!$I$33,M965=phu!$I$34,M965=phu!$I$35,M965=phu!$I$36,M965=phu!$I$37),"Cam Lộc",""),IF(OR(M965=phu!$I$38,M965=phu!$I$39,M965=phu!$I$40,M965=phu!$I$41,M965=phu!$I$42,M965=phu!$I$43,M965=phu!$I$44),"Cam Thuận",""),IF(OR(M965=phu!$I$45,M965=phu!$I$46,M965=phu!$I$47,M965=phu!$I$48,M965=phu!$I$49,M965=phu!$I$50,M965=phu!$I$51,M965=phu!$I$52,M965=phu!$I$53),"Cam Linh",""),IF(OR(M965=phu!$I$54,M965=phu!$I$55,M965=phu!$I$56,M965=phu!$I$57,M965=phu!$I$58,M965=phu!$I$59,M965=phu!$I$60,M965=phu!$I$61,M965=phu!$I$62),"Cam Lợi",""),IF(OR(M965=phu!$I$63,M965=phu!$I$64,M965=phu!$I$65,M965=phu!$I$66,M965=phu!$I$67,M965=phu!$I$68,M965=phu!$I$69,M965=phu!$I$70,M965=phu!$I$71),"Ba Ngòi",""),IF(OR(M965=phu!$I$72,M965=phu!$I$73,M965=phu!$I$74,M965=phu!$I$75,M965=phu!$I$76,M965=phu!$I$77,M965=phu!$I$78),"Cam Phước Đông",""),IF(OR(M965=phu!$I$79,M965=phu!$I$80,M965=phu!$I$81,M965=phu!$I$82,M965=phu!$I$83,M965=phu!$I$84),"Cam Thịnh Đông",""),IF(OR(M965=phu!$I$85,M965=phu!$I$86,M965=phu!$I$87,M965=phu!$I$88),"Cam Thịnh Tây",""),IF(OR(M965=phu!$I$89,M965=phu!$I$90),"Cam Lập",""),IF(OR(M965=phu!$I$91,M965=phu!$I$92,M965=phu!$I$93),"Cam Bình",""),IF(OR(M965=phu!$I$94,M965=phu!$I$95,M965=phu!$I$96,M965=phu!$I$97,M965=phu!$I$98,M965=phu!$I$99,M965=phu!$I$100),"Huyện khác",""),IF(OR(M965=phu!$I$101,M965=phu!$I$102),"Tỉnh khác",""))</f>
        <v/>
      </c>
      <c r="O965" s="829" t="str">
        <f t="shared" si="84"/>
        <v/>
      </c>
      <c r="P965" s="254"/>
      <c r="Q965" s="254"/>
      <c r="R965" s="254"/>
      <c r="S965" s="254"/>
      <c r="T965" s="254"/>
      <c r="U965" s="254"/>
      <c r="V965" s="254"/>
      <c r="W965" s="254"/>
      <c r="Y965" s="246" t="str">
        <f t="shared" si="85"/>
        <v/>
      </c>
      <c r="Z965" s="247" t="str">
        <f t="shared" si="89"/>
        <v/>
      </c>
      <c r="AA965" s="246" t="str">
        <f t="shared" si="86"/>
        <v/>
      </c>
    </row>
    <row r="966" spans="1:27" x14ac:dyDescent="0.25">
      <c r="A966" s="248" t="str">
        <f t="shared" si="87"/>
        <v/>
      </c>
      <c r="B966" s="249" t="str">
        <f t="shared" si="88"/>
        <v/>
      </c>
      <c r="C966" s="250"/>
      <c r="D966" s="251"/>
      <c r="E966" s="241"/>
      <c r="F966" s="252"/>
      <c r="G966" s="252"/>
      <c r="H966" s="253"/>
      <c r="I966" s="250"/>
      <c r="J966" s="250"/>
      <c r="K966" s="270"/>
      <c r="L966" s="250"/>
      <c r="M966" s="250"/>
      <c r="N966" s="540" t="str">
        <f>CONCATENATE(IF(OR(M966=phu!$I$1,M966=phu!$I$2,M966=phu!$I$3),"Cam Thành Nam",""),IF(OR(M966=phu!$I$4,M966=phu!$I$5,M966=phu!$I$6,M966=phu!$I$7,M966=phu!$I$8,M966=phu!$I$9,M966=phu!$I$10,M966=phu!$I$11,M966=phu!$I$12,M966=phu!$I$13,M966=phu!$I$14),"Cam Nghĩa",""),IF(OR(M966=phu!$I$15,M966=phu!$I$16,M966=phu!$I$17,M966=phu!$I$18,M966=phu!$I$19,M966=phu!$I$20,M966=phu!$I$21),"Cam Phúc Bắc",""),IF(OR(M966=phu!$I$22,M966=phu!$I$23,M966=phu!$I$24,M966=phu!$I$25),"Cam Phúc Nam",""),IF(OR(M966=phu!$I$26,M966=phu!$I$27,M966=phu!$I$28,M966=phu!$I$29,M966=phu!$I$30,M966=phu!$I$31),"Cam Phú",""),IF(OR(M966=phu!$I$32,M966=phu!$I$33,M966=phu!$I$34,M966=phu!$I$35,M966=phu!$I$36,M966=phu!$I$37),"Cam Lộc",""),IF(OR(M966=phu!$I$38,M966=phu!$I$39,M966=phu!$I$40,M966=phu!$I$41,M966=phu!$I$42,M966=phu!$I$43,M966=phu!$I$44),"Cam Thuận",""),IF(OR(M966=phu!$I$45,M966=phu!$I$46,M966=phu!$I$47,M966=phu!$I$48,M966=phu!$I$49,M966=phu!$I$50,M966=phu!$I$51,M966=phu!$I$52,M966=phu!$I$53),"Cam Linh",""),IF(OR(M966=phu!$I$54,M966=phu!$I$55,M966=phu!$I$56,M966=phu!$I$57,M966=phu!$I$58,M966=phu!$I$59,M966=phu!$I$60,M966=phu!$I$61,M966=phu!$I$62),"Cam Lợi",""),IF(OR(M966=phu!$I$63,M966=phu!$I$64,M966=phu!$I$65,M966=phu!$I$66,M966=phu!$I$67,M966=phu!$I$68,M966=phu!$I$69,M966=phu!$I$70,M966=phu!$I$71),"Ba Ngòi",""),IF(OR(M966=phu!$I$72,M966=phu!$I$73,M966=phu!$I$74,M966=phu!$I$75,M966=phu!$I$76,M966=phu!$I$77,M966=phu!$I$78),"Cam Phước Đông",""),IF(OR(M966=phu!$I$79,M966=phu!$I$80,M966=phu!$I$81,M966=phu!$I$82,M966=phu!$I$83,M966=phu!$I$84),"Cam Thịnh Đông",""),IF(OR(M966=phu!$I$85,M966=phu!$I$86,M966=phu!$I$87,M966=phu!$I$88),"Cam Thịnh Tây",""),IF(OR(M966=phu!$I$89,M966=phu!$I$90),"Cam Lập",""),IF(OR(M966=phu!$I$91,M966=phu!$I$92,M966=phu!$I$93),"Cam Bình",""),IF(OR(M966=phu!$I$94,M966=phu!$I$95,M966=phu!$I$96,M966=phu!$I$97,M966=phu!$I$98,M966=phu!$I$99,M966=phu!$I$100),"Huyện khác",""),IF(OR(M966=phu!$I$101,M966=phu!$I$102),"Tỉnh khác",""))</f>
        <v/>
      </c>
      <c r="O966" s="829" t="str">
        <f t="shared" si="84"/>
        <v/>
      </c>
      <c r="P966" s="254"/>
      <c r="Q966" s="254"/>
      <c r="R966" s="254"/>
      <c r="S966" s="254"/>
      <c r="T966" s="254"/>
      <c r="U966" s="254"/>
      <c r="V966" s="254"/>
      <c r="W966" s="254"/>
      <c r="Y966" s="246" t="str">
        <f t="shared" si="85"/>
        <v/>
      </c>
      <c r="Z966" s="247" t="str">
        <f t="shared" si="89"/>
        <v/>
      </c>
      <c r="AA966" s="246" t="str">
        <f t="shared" si="86"/>
        <v/>
      </c>
    </row>
    <row r="967" spans="1:27" x14ac:dyDescent="0.25">
      <c r="A967" s="248" t="str">
        <f t="shared" si="87"/>
        <v/>
      </c>
      <c r="B967" s="249" t="str">
        <f t="shared" si="88"/>
        <v/>
      </c>
      <c r="C967" s="250"/>
      <c r="D967" s="251"/>
      <c r="E967" s="241"/>
      <c r="F967" s="252"/>
      <c r="G967" s="252"/>
      <c r="H967" s="253"/>
      <c r="I967" s="250"/>
      <c r="J967" s="250"/>
      <c r="K967" s="270"/>
      <c r="L967" s="250"/>
      <c r="M967" s="250"/>
      <c r="N967" s="540" t="str">
        <f>CONCATENATE(IF(OR(M967=phu!$I$1,M967=phu!$I$2,M967=phu!$I$3),"Cam Thành Nam",""),IF(OR(M967=phu!$I$4,M967=phu!$I$5,M967=phu!$I$6,M967=phu!$I$7,M967=phu!$I$8,M967=phu!$I$9,M967=phu!$I$10,M967=phu!$I$11,M967=phu!$I$12,M967=phu!$I$13,M967=phu!$I$14),"Cam Nghĩa",""),IF(OR(M967=phu!$I$15,M967=phu!$I$16,M967=phu!$I$17,M967=phu!$I$18,M967=phu!$I$19,M967=phu!$I$20,M967=phu!$I$21),"Cam Phúc Bắc",""),IF(OR(M967=phu!$I$22,M967=phu!$I$23,M967=phu!$I$24,M967=phu!$I$25),"Cam Phúc Nam",""),IF(OR(M967=phu!$I$26,M967=phu!$I$27,M967=phu!$I$28,M967=phu!$I$29,M967=phu!$I$30,M967=phu!$I$31),"Cam Phú",""),IF(OR(M967=phu!$I$32,M967=phu!$I$33,M967=phu!$I$34,M967=phu!$I$35,M967=phu!$I$36,M967=phu!$I$37),"Cam Lộc",""),IF(OR(M967=phu!$I$38,M967=phu!$I$39,M967=phu!$I$40,M967=phu!$I$41,M967=phu!$I$42,M967=phu!$I$43,M967=phu!$I$44),"Cam Thuận",""),IF(OR(M967=phu!$I$45,M967=phu!$I$46,M967=phu!$I$47,M967=phu!$I$48,M967=phu!$I$49,M967=phu!$I$50,M967=phu!$I$51,M967=phu!$I$52,M967=phu!$I$53),"Cam Linh",""),IF(OR(M967=phu!$I$54,M967=phu!$I$55,M967=phu!$I$56,M967=phu!$I$57,M967=phu!$I$58,M967=phu!$I$59,M967=phu!$I$60,M967=phu!$I$61,M967=phu!$I$62),"Cam Lợi",""),IF(OR(M967=phu!$I$63,M967=phu!$I$64,M967=phu!$I$65,M967=phu!$I$66,M967=phu!$I$67,M967=phu!$I$68,M967=phu!$I$69,M967=phu!$I$70,M967=phu!$I$71),"Ba Ngòi",""),IF(OR(M967=phu!$I$72,M967=phu!$I$73,M967=phu!$I$74,M967=phu!$I$75,M967=phu!$I$76,M967=phu!$I$77,M967=phu!$I$78),"Cam Phước Đông",""),IF(OR(M967=phu!$I$79,M967=phu!$I$80,M967=phu!$I$81,M967=phu!$I$82,M967=phu!$I$83,M967=phu!$I$84),"Cam Thịnh Đông",""),IF(OR(M967=phu!$I$85,M967=phu!$I$86,M967=phu!$I$87,M967=phu!$I$88),"Cam Thịnh Tây",""),IF(OR(M967=phu!$I$89,M967=phu!$I$90),"Cam Lập",""),IF(OR(M967=phu!$I$91,M967=phu!$I$92,M967=phu!$I$93),"Cam Bình",""),IF(OR(M967=phu!$I$94,M967=phu!$I$95,M967=phu!$I$96,M967=phu!$I$97,M967=phu!$I$98,M967=phu!$I$99,M967=phu!$I$100),"Huyện khác",""),IF(OR(M967=phu!$I$101,M967=phu!$I$102),"Tỉnh khác",""))</f>
        <v/>
      </c>
      <c r="O967" s="829" t="str">
        <f t="shared" ref="O967:O1030" si="90">CONCATENATE(IF(OR(N967="Cam Thành Nam",N967="Cam Nghĩa",N967="Cam Phúc Bắc"),"Bắc Cam Ranh",""),IF(OR(N967="Cam Phúc Nam",N967="Cam Phú",N967="Cam Lộc"),"Cam Ranh",""),IF(OR(N967="Cam Thuận",N967="Cam Linh",N967="Cam Lợi"),"Cam Linh",""),IF(OR(N967="Ba Ngòi",N967="Cam Phước Đông"),"Ba Ngòi",""),IF(OR(N967="Cam Thịnh Đông",N967="Cam Thịnh Tây",N967="Cam Lập",N967="Cam Bình"),"Nam Cam Ranh",""),IF(N967="Huyện khác","Huyện khác",""),IF(N967="Tỉnh khác","Tỉnh khác",""))</f>
        <v/>
      </c>
      <c r="P967" s="254"/>
      <c r="Q967" s="254"/>
      <c r="R967" s="254"/>
      <c r="S967" s="254"/>
      <c r="T967" s="254"/>
      <c r="U967" s="254"/>
      <c r="V967" s="254"/>
      <c r="W967" s="254"/>
      <c r="Y967" s="246" t="str">
        <f t="shared" ref="Y967:Y1030" si="91">IF(OR(AND(B967="",C967="",D967="",E967="",F967="",G967="",H967="",I967="",J967="",L967="",M967="",N967="",P967="",Q967="",R967="",S967=""),AND(B967&lt;&gt;"",C967&lt;&gt;"",D967&lt;&gt;"",E967&lt;&gt;"",F967&lt;&gt;"",G967&lt;&gt;"",H967&lt;&gt;"",J967&lt;&gt;"",M967&lt;&gt;"",N967&lt;&gt;"",P967&lt;&gt;"",OR(AND(Q967&lt;&gt;"",R967=""),AND(Q967="",R967&lt;&gt;""),AND(Q967&lt;&gt;"",R967&lt;&gt;"")),OR(AND(K967="X",T967&lt;&gt;""),AND(K967="",T967="")))),"","er")</f>
        <v/>
      </c>
      <c r="Z967" s="247" t="str">
        <f t="shared" si="89"/>
        <v/>
      </c>
      <c r="AA967" s="246" t="str">
        <f t="shared" ref="AA967:AA1030" si="92">IF(OR(AND(Z967&lt;=10,B967&gt;5),AND(Z967&lt;=11,B967&gt;6),AND(Z967&lt;=12,B967&gt;7),AND(Z967&lt;=13,B967&gt;8),AND(Z967&lt;=14,B967&gt;9),AND(Z967=11,B967=6,L967="X"),AND(Z967=12,B967=7,L967="X"),AND(Z967=13,B967=8,L967="X"),AND(Z967=14,B967=9,L967="X")),"er","")</f>
        <v/>
      </c>
    </row>
    <row r="968" spans="1:27" x14ac:dyDescent="0.25">
      <c r="A968" s="248" t="str">
        <f t="shared" ref="A968:A1031" si="93">IF(OR(A967="",B968="",C968="",D968="",E968=""),"",A967+1)</f>
        <v/>
      </c>
      <c r="B968" s="249" t="str">
        <f t="shared" ref="B968:B1031" si="94">IF(C968="","",VALUE(LEFT(C968,1)))</f>
        <v/>
      </c>
      <c r="C968" s="250"/>
      <c r="D968" s="251"/>
      <c r="E968" s="241"/>
      <c r="F968" s="252"/>
      <c r="G968" s="252"/>
      <c r="H968" s="253"/>
      <c r="I968" s="250"/>
      <c r="J968" s="250"/>
      <c r="K968" s="270"/>
      <c r="L968" s="250"/>
      <c r="M968" s="250"/>
      <c r="N968" s="540" t="str">
        <f>CONCATENATE(IF(OR(M968=phu!$I$1,M968=phu!$I$2,M968=phu!$I$3),"Cam Thành Nam",""),IF(OR(M968=phu!$I$4,M968=phu!$I$5,M968=phu!$I$6,M968=phu!$I$7,M968=phu!$I$8,M968=phu!$I$9,M968=phu!$I$10,M968=phu!$I$11,M968=phu!$I$12,M968=phu!$I$13,M968=phu!$I$14),"Cam Nghĩa",""),IF(OR(M968=phu!$I$15,M968=phu!$I$16,M968=phu!$I$17,M968=phu!$I$18,M968=phu!$I$19,M968=phu!$I$20,M968=phu!$I$21),"Cam Phúc Bắc",""),IF(OR(M968=phu!$I$22,M968=phu!$I$23,M968=phu!$I$24,M968=phu!$I$25),"Cam Phúc Nam",""),IF(OR(M968=phu!$I$26,M968=phu!$I$27,M968=phu!$I$28,M968=phu!$I$29,M968=phu!$I$30,M968=phu!$I$31),"Cam Phú",""),IF(OR(M968=phu!$I$32,M968=phu!$I$33,M968=phu!$I$34,M968=phu!$I$35,M968=phu!$I$36,M968=phu!$I$37),"Cam Lộc",""),IF(OR(M968=phu!$I$38,M968=phu!$I$39,M968=phu!$I$40,M968=phu!$I$41,M968=phu!$I$42,M968=phu!$I$43,M968=phu!$I$44),"Cam Thuận",""),IF(OR(M968=phu!$I$45,M968=phu!$I$46,M968=phu!$I$47,M968=phu!$I$48,M968=phu!$I$49,M968=phu!$I$50,M968=phu!$I$51,M968=phu!$I$52,M968=phu!$I$53),"Cam Linh",""),IF(OR(M968=phu!$I$54,M968=phu!$I$55,M968=phu!$I$56,M968=phu!$I$57,M968=phu!$I$58,M968=phu!$I$59,M968=phu!$I$60,M968=phu!$I$61,M968=phu!$I$62),"Cam Lợi",""),IF(OR(M968=phu!$I$63,M968=phu!$I$64,M968=phu!$I$65,M968=phu!$I$66,M968=phu!$I$67,M968=phu!$I$68,M968=phu!$I$69,M968=phu!$I$70,M968=phu!$I$71),"Ba Ngòi",""),IF(OR(M968=phu!$I$72,M968=phu!$I$73,M968=phu!$I$74,M968=phu!$I$75,M968=phu!$I$76,M968=phu!$I$77,M968=phu!$I$78),"Cam Phước Đông",""),IF(OR(M968=phu!$I$79,M968=phu!$I$80,M968=phu!$I$81,M968=phu!$I$82,M968=phu!$I$83,M968=phu!$I$84),"Cam Thịnh Đông",""),IF(OR(M968=phu!$I$85,M968=phu!$I$86,M968=phu!$I$87,M968=phu!$I$88),"Cam Thịnh Tây",""),IF(OR(M968=phu!$I$89,M968=phu!$I$90),"Cam Lập",""),IF(OR(M968=phu!$I$91,M968=phu!$I$92,M968=phu!$I$93),"Cam Bình",""),IF(OR(M968=phu!$I$94,M968=phu!$I$95,M968=phu!$I$96,M968=phu!$I$97,M968=phu!$I$98,M968=phu!$I$99,M968=phu!$I$100),"Huyện khác",""),IF(OR(M968=phu!$I$101,M968=phu!$I$102),"Tỉnh khác",""))</f>
        <v/>
      </c>
      <c r="O968" s="829" t="str">
        <f t="shared" si="90"/>
        <v/>
      </c>
      <c r="P968" s="254"/>
      <c r="Q968" s="254"/>
      <c r="R968" s="254"/>
      <c r="S968" s="254"/>
      <c r="T968" s="254"/>
      <c r="U968" s="254"/>
      <c r="V968" s="254"/>
      <c r="W968" s="254"/>
      <c r="Y968" s="246" t="str">
        <f t="shared" si="91"/>
        <v/>
      </c>
      <c r="Z968" s="247" t="str">
        <f t="shared" ref="Z968:Z1031" si="95">IF(H968="","",$Z$1-H968)</f>
        <v/>
      </c>
      <c r="AA968" s="246" t="str">
        <f t="shared" si="92"/>
        <v/>
      </c>
    </row>
    <row r="969" spans="1:27" x14ac:dyDescent="0.25">
      <c r="A969" s="248" t="str">
        <f t="shared" si="93"/>
        <v/>
      </c>
      <c r="B969" s="249" t="str">
        <f t="shared" si="94"/>
        <v/>
      </c>
      <c r="C969" s="250"/>
      <c r="D969" s="251"/>
      <c r="E969" s="241"/>
      <c r="F969" s="252"/>
      <c r="G969" s="252"/>
      <c r="H969" s="253"/>
      <c r="I969" s="250"/>
      <c r="J969" s="250"/>
      <c r="K969" s="270"/>
      <c r="L969" s="250"/>
      <c r="M969" s="250"/>
      <c r="N969" s="540" t="str">
        <f>CONCATENATE(IF(OR(M969=phu!$I$1,M969=phu!$I$2,M969=phu!$I$3),"Cam Thành Nam",""),IF(OR(M969=phu!$I$4,M969=phu!$I$5,M969=phu!$I$6,M969=phu!$I$7,M969=phu!$I$8,M969=phu!$I$9,M969=phu!$I$10,M969=phu!$I$11,M969=phu!$I$12,M969=phu!$I$13,M969=phu!$I$14),"Cam Nghĩa",""),IF(OR(M969=phu!$I$15,M969=phu!$I$16,M969=phu!$I$17,M969=phu!$I$18,M969=phu!$I$19,M969=phu!$I$20,M969=phu!$I$21),"Cam Phúc Bắc",""),IF(OR(M969=phu!$I$22,M969=phu!$I$23,M969=phu!$I$24,M969=phu!$I$25),"Cam Phúc Nam",""),IF(OR(M969=phu!$I$26,M969=phu!$I$27,M969=phu!$I$28,M969=phu!$I$29,M969=phu!$I$30,M969=phu!$I$31),"Cam Phú",""),IF(OR(M969=phu!$I$32,M969=phu!$I$33,M969=phu!$I$34,M969=phu!$I$35,M969=phu!$I$36,M969=phu!$I$37),"Cam Lộc",""),IF(OR(M969=phu!$I$38,M969=phu!$I$39,M969=phu!$I$40,M969=phu!$I$41,M969=phu!$I$42,M969=phu!$I$43,M969=phu!$I$44),"Cam Thuận",""),IF(OR(M969=phu!$I$45,M969=phu!$I$46,M969=phu!$I$47,M969=phu!$I$48,M969=phu!$I$49,M969=phu!$I$50,M969=phu!$I$51,M969=phu!$I$52,M969=phu!$I$53),"Cam Linh",""),IF(OR(M969=phu!$I$54,M969=phu!$I$55,M969=phu!$I$56,M969=phu!$I$57,M969=phu!$I$58,M969=phu!$I$59,M969=phu!$I$60,M969=phu!$I$61,M969=phu!$I$62),"Cam Lợi",""),IF(OR(M969=phu!$I$63,M969=phu!$I$64,M969=phu!$I$65,M969=phu!$I$66,M969=phu!$I$67,M969=phu!$I$68,M969=phu!$I$69,M969=phu!$I$70,M969=phu!$I$71),"Ba Ngòi",""),IF(OR(M969=phu!$I$72,M969=phu!$I$73,M969=phu!$I$74,M969=phu!$I$75,M969=phu!$I$76,M969=phu!$I$77,M969=phu!$I$78),"Cam Phước Đông",""),IF(OR(M969=phu!$I$79,M969=phu!$I$80,M969=phu!$I$81,M969=phu!$I$82,M969=phu!$I$83,M969=phu!$I$84),"Cam Thịnh Đông",""),IF(OR(M969=phu!$I$85,M969=phu!$I$86,M969=phu!$I$87,M969=phu!$I$88),"Cam Thịnh Tây",""),IF(OR(M969=phu!$I$89,M969=phu!$I$90),"Cam Lập",""),IF(OR(M969=phu!$I$91,M969=phu!$I$92,M969=phu!$I$93),"Cam Bình",""),IF(OR(M969=phu!$I$94,M969=phu!$I$95,M969=phu!$I$96,M969=phu!$I$97,M969=phu!$I$98,M969=phu!$I$99,M969=phu!$I$100),"Huyện khác",""),IF(OR(M969=phu!$I$101,M969=phu!$I$102),"Tỉnh khác",""))</f>
        <v/>
      </c>
      <c r="O969" s="829" t="str">
        <f t="shared" si="90"/>
        <v/>
      </c>
      <c r="P969" s="254"/>
      <c r="Q969" s="254"/>
      <c r="R969" s="254"/>
      <c r="S969" s="254"/>
      <c r="T969" s="254"/>
      <c r="U969" s="254"/>
      <c r="V969" s="254"/>
      <c r="W969" s="254"/>
      <c r="Y969" s="246" t="str">
        <f t="shared" si="91"/>
        <v/>
      </c>
      <c r="Z969" s="247" t="str">
        <f t="shared" si="95"/>
        <v/>
      </c>
      <c r="AA969" s="246" t="str">
        <f t="shared" si="92"/>
        <v/>
      </c>
    </row>
    <row r="970" spans="1:27" x14ac:dyDescent="0.25">
      <c r="A970" s="248" t="str">
        <f t="shared" si="93"/>
        <v/>
      </c>
      <c r="B970" s="249" t="str">
        <f t="shared" si="94"/>
        <v/>
      </c>
      <c r="C970" s="250"/>
      <c r="D970" s="251"/>
      <c r="E970" s="241"/>
      <c r="F970" s="252"/>
      <c r="G970" s="252"/>
      <c r="H970" s="253"/>
      <c r="I970" s="250"/>
      <c r="J970" s="250"/>
      <c r="K970" s="270"/>
      <c r="L970" s="250"/>
      <c r="M970" s="250"/>
      <c r="N970" s="540" t="str">
        <f>CONCATENATE(IF(OR(M970=phu!$I$1,M970=phu!$I$2,M970=phu!$I$3),"Cam Thành Nam",""),IF(OR(M970=phu!$I$4,M970=phu!$I$5,M970=phu!$I$6,M970=phu!$I$7,M970=phu!$I$8,M970=phu!$I$9,M970=phu!$I$10,M970=phu!$I$11,M970=phu!$I$12,M970=phu!$I$13,M970=phu!$I$14),"Cam Nghĩa",""),IF(OR(M970=phu!$I$15,M970=phu!$I$16,M970=phu!$I$17,M970=phu!$I$18,M970=phu!$I$19,M970=phu!$I$20,M970=phu!$I$21),"Cam Phúc Bắc",""),IF(OR(M970=phu!$I$22,M970=phu!$I$23,M970=phu!$I$24,M970=phu!$I$25),"Cam Phúc Nam",""),IF(OR(M970=phu!$I$26,M970=phu!$I$27,M970=phu!$I$28,M970=phu!$I$29,M970=phu!$I$30,M970=phu!$I$31),"Cam Phú",""),IF(OR(M970=phu!$I$32,M970=phu!$I$33,M970=phu!$I$34,M970=phu!$I$35,M970=phu!$I$36,M970=phu!$I$37),"Cam Lộc",""),IF(OR(M970=phu!$I$38,M970=phu!$I$39,M970=phu!$I$40,M970=phu!$I$41,M970=phu!$I$42,M970=phu!$I$43,M970=phu!$I$44),"Cam Thuận",""),IF(OR(M970=phu!$I$45,M970=phu!$I$46,M970=phu!$I$47,M970=phu!$I$48,M970=phu!$I$49,M970=phu!$I$50,M970=phu!$I$51,M970=phu!$I$52,M970=phu!$I$53),"Cam Linh",""),IF(OR(M970=phu!$I$54,M970=phu!$I$55,M970=phu!$I$56,M970=phu!$I$57,M970=phu!$I$58,M970=phu!$I$59,M970=phu!$I$60,M970=phu!$I$61,M970=phu!$I$62),"Cam Lợi",""),IF(OR(M970=phu!$I$63,M970=phu!$I$64,M970=phu!$I$65,M970=phu!$I$66,M970=phu!$I$67,M970=phu!$I$68,M970=phu!$I$69,M970=phu!$I$70,M970=phu!$I$71),"Ba Ngòi",""),IF(OR(M970=phu!$I$72,M970=phu!$I$73,M970=phu!$I$74,M970=phu!$I$75,M970=phu!$I$76,M970=phu!$I$77,M970=phu!$I$78),"Cam Phước Đông",""),IF(OR(M970=phu!$I$79,M970=phu!$I$80,M970=phu!$I$81,M970=phu!$I$82,M970=phu!$I$83,M970=phu!$I$84),"Cam Thịnh Đông",""),IF(OR(M970=phu!$I$85,M970=phu!$I$86,M970=phu!$I$87,M970=phu!$I$88),"Cam Thịnh Tây",""),IF(OR(M970=phu!$I$89,M970=phu!$I$90),"Cam Lập",""),IF(OR(M970=phu!$I$91,M970=phu!$I$92,M970=phu!$I$93),"Cam Bình",""),IF(OR(M970=phu!$I$94,M970=phu!$I$95,M970=phu!$I$96,M970=phu!$I$97,M970=phu!$I$98,M970=phu!$I$99,M970=phu!$I$100),"Huyện khác",""),IF(OR(M970=phu!$I$101,M970=phu!$I$102),"Tỉnh khác",""))</f>
        <v/>
      </c>
      <c r="O970" s="829" t="str">
        <f t="shared" si="90"/>
        <v/>
      </c>
      <c r="P970" s="254"/>
      <c r="Q970" s="254"/>
      <c r="R970" s="254"/>
      <c r="S970" s="254"/>
      <c r="T970" s="254"/>
      <c r="U970" s="254"/>
      <c r="V970" s="254"/>
      <c r="W970" s="254"/>
      <c r="Y970" s="246" t="str">
        <f t="shared" si="91"/>
        <v/>
      </c>
      <c r="Z970" s="247" t="str">
        <f t="shared" si="95"/>
        <v/>
      </c>
      <c r="AA970" s="246" t="str">
        <f t="shared" si="92"/>
        <v/>
      </c>
    </row>
    <row r="971" spans="1:27" x14ac:dyDescent="0.25">
      <c r="A971" s="248" t="str">
        <f t="shared" si="93"/>
        <v/>
      </c>
      <c r="B971" s="249" t="str">
        <f t="shared" si="94"/>
        <v/>
      </c>
      <c r="C971" s="250"/>
      <c r="D971" s="251"/>
      <c r="E971" s="241"/>
      <c r="F971" s="252"/>
      <c r="G971" s="252"/>
      <c r="H971" s="253"/>
      <c r="I971" s="250"/>
      <c r="J971" s="250"/>
      <c r="K971" s="270"/>
      <c r="L971" s="250"/>
      <c r="M971" s="250"/>
      <c r="N971" s="540" t="str">
        <f>CONCATENATE(IF(OR(M971=phu!$I$1,M971=phu!$I$2,M971=phu!$I$3),"Cam Thành Nam",""),IF(OR(M971=phu!$I$4,M971=phu!$I$5,M971=phu!$I$6,M971=phu!$I$7,M971=phu!$I$8,M971=phu!$I$9,M971=phu!$I$10,M971=phu!$I$11,M971=phu!$I$12,M971=phu!$I$13,M971=phu!$I$14),"Cam Nghĩa",""),IF(OR(M971=phu!$I$15,M971=phu!$I$16,M971=phu!$I$17,M971=phu!$I$18,M971=phu!$I$19,M971=phu!$I$20,M971=phu!$I$21),"Cam Phúc Bắc",""),IF(OR(M971=phu!$I$22,M971=phu!$I$23,M971=phu!$I$24,M971=phu!$I$25),"Cam Phúc Nam",""),IF(OR(M971=phu!$I$26,M971=phu!$I$27,M971=phu!$I$28,M971=phu!$I$29,M971=phu!$I$30,M971=phu!$I$31),"Cam Phú",""),IF(OR(M971=phu!$I$32,M971=phu!$I$33,M971=phu!$I$34,M971=phu!$I$35,M971=phu!$I$36,M971=phu!$I$37),"Cam Lộc",""),IF(OR(M971=phu!$I$38,M971=phu!$I$39,M971=phu!$I$40,M971=phu!$I$41,M971=phu!$I$42,M971=phu!$I$43,M971=phu!$I$44),"Cam Thuận",""),IF(OR(M971=phu!$I$45,M971=phu!$I$46,M971=phu!$I$47,M971=phu!$I$48,M971=phu!$I$49,M971=phu!$I$50,M971=phu!$I$51,M971=phu!$I$52,M971=phu!$I$53),"Cam Linh",""),IF(OR(M971=phu!$I$54,M971=phu!$I$55,M971=phu!$I$56,M971=phu!$I$57,M971=phu!$I$58,M971=phu!$I$59,M971=phu!$I$60,M971=phu!$I$61,M971=phu!$I$62),"Cam Lợi",""),IF(OR(M971=phu!$I$63,M971=phu!$I$64,M971=phu!$I$65,M971=phu!$I$66,M971=phu!$I$67,M971=phu!$I$68,M971=phu!$I$69,M971=phu!$I$70,M971=phu!$I$71),"Ba Ngòi",""),IF(OR(M971=phu!$I$72,M971=phu!$I$73,M971=phu!$I$74,M971=phu!$I$75,M971=phu!$I$76,M971=phu!$I$77,M971=phu!$I$78),"Cam Phước Đông",""),IF(OR(M971=phu!$I$79,M971=phu!$I$80,M971=phu!$I$81,M971=phu!$I$82,M971=phu!$I$83,M971=phu!$I$84),"Cam Thịnh Đông",""),IF(OR(M971=phu!$I$85,M971=phu!$I$86,M971=phu!$I$87,M971=phu!$I$88),"Cam Thịnh Tây",""),IF(OR(M971=phu!$I$89,M971=phu!$I$90),"Cam Lập",""),IF(OR(M971=phu!$I$91,M971=phu!$I$92,M971=phu!$I$93),"Cam Bình",""),IF(OR(M971=phu!$I$94,M971=phu!$I$95,M971=phu!$I$96,M971=phu!$I$97,M971=phu!$I$98,M971=phu!$I$99,M971=phu!$I$100),"Huyện khác",""),IF(OR(M971=phu!$I$101,M971=phu!$I$102),"Tỉnh khác",""))</f>
        <v/>
      </c>
      <c r="O971" s="829" t="str">
        <f t="shared" si="90"/>
        <v/>
      </c>
      <c r="P971" s="254"/>
      <c r="Q971" s="254"/>
      <c r="R971" s="254"/>
      <c r="S971" s="254"/>
      <c r="T971" s="254"/>
      <c r="U971" s="254"/>
      <c r="V971" s="254"/>
      <c r="W971" s="254"/>
      <c r="Y971" s="246" t="str">
        <f t="shared" si="91"/>
        <v/>
      </c>
      <c r="Z971" s="247" t="str">
        <f t="shared" si="95"/>
        <v/>
      </c>
      <c r="AA971" s="246" t="str">
        <f t="shared" si="92"/>
        <v/>
      </c>
    </row>
    <row r="972" spans="1:27" x14ac:dyDescent="0.25">
      <c r="A972" s="248" t="str">
        <f t="shared" si="93"/>
        <v/>
      </c>
      <c r="B972" s="249" t="str">
        <f t="shared" si="94"/>
        <v/>
      </c>
      <c r="C972" s="250"/>
      <c r="D972" s="251"/>
      <c r="E972" s="241"/>
      <c r="F972" s="252"/>
      <c r="G972" s="252"/>
      <c r="H972" s="253"/>
      <c r="I972" s="250"/>
      <c r="J972" s="250"/>
      <c r="K972" s="270"/>
      <c r="L972" s="250"/>
      <c r="M972" s="250"/>
      <c r="N972" s="540" t="str">
        <f>CONCATENATE(IF(OR(M972=phu!$I$1,M972=phu!$I$2,M972=phu!$I$3),"Cam Thành Nam",""),IF(OR(M972=phu!$I$4,M972=phu!$I$5,M972=phu!$I$6,M972=phu!$I$7,M972=phu!$I$8,M972=phu!$I$9,M972=phu!$I$10,M972=phu!$I$11,M972=phu!$I$12,M972=phu!$I$13,M972=phu!$I$14),"Cam Nghĩa",""),IF(OR(M972=phu!$I$15,M972=phu!$I$16,M972=phu!$I$17,M972=phu!$I$18,M972=phu!$I$19,M972=phu!$I$20,M972=phu!$I$21),"Cam Phúc Bắc",""),IF(OR(M972=phu!$I$22,M972=phu!$I$23,M972=phu!$I$24,M972=phu!$I$25),"Cam Phúc Nam",""),IF(OR(M972=phu!$I$26,M972=phu!$I$27,M972=phu!$I$28,M972=phu!$I$29,M972=phu!$I$30,M972=phu!$I$31),"Cam Phú",""),IF(OR(M972=phu!$I$32,M972=phu!$I$33,M972=phu!$I$34,M972=phu!$I$35,M972=phu!$I$36,M972=phu!$I$37),"Cam Lộc",""),IF(OR(M972=phu!$I$38,M972=phu!$I$39,M972=phu!$I$40,M972=phu!$I$41,M972=phu!$I$42,M972=phu!$I$43,M972=phu!$I$44),"Cam Thuận",""),IF(OR(M972=phu!$I$45,M972=phu!$I$46,M972=phu!$I$47,M972=phu!$I$48,M972=phu!$I$49,M972=phu!$I$50,M972=phu!$I$51,M972=phu!$I$52,M972=phu!$I$53),"Cam Linh",""),IF(OR(M972=phu!$I$54,M972=phu!$I$55,M972=phu!$I$56,M972=phu!$I$57,M972=phu!$I$58,M972=phu!$I$59,M972=phu!$I$60,M972=phu!$I$61,M972=phu!$I$62),"Cam Lợi",""),IF(OR(M972=phu!$I$63,M972=phu!$I$64,M972=phu!$I$65,M972=phu!$I$66,M972=phu!$I$67,M972=phu!$I$68,M972=phu!$I$69,M972=phu!$I$70,M972=phu!$I$71),"Ba Ngòi",""),IF(OR(M972=phu!$I$72,M972=phu!$I$73,M972=phu!$I$74,M972=phu!$I$75,M972=phu!$I$76,M972=phu!$I$77,M972=phu!$I$78),"Cam Phước Đông",""),IF(OR(M972=phu!$I$79,M972=phu!$I$80,M972=phu!$I$81,M972=phu!$I$82,M972=phu!$I$83,M972=phu!$I$84),"Cam Thịnh Đông",""),IF(OR(M972=phu!$I$85,M972=phu!$I$86,M972=phu!$I$87,M972=phu!$I$88),"Cam Thịnh Tây",""),IF(OR(M972=phu!$I$89,M972=phu!$I$90),"Cam Lập",""),IF(OR(M972=phu!$I$91,M972=phu!$I$92,M972=phu!$I$93),"Cam Bình",""),IF(OR(M972=phu!$I$94,M972=phu!$I$95,M972=phu!$I$96,M972=phu!$I$97,M972=phu!$I$98,M972=phu!$I$99,M972=phu!$I$100),"Huyện khác",""),IF(OR(M972=phu!$I$101,M972=phu!$I$102),"Tỉnh khác",""))</f>
        <v/>
      </c>
      <c r="O972" s="829" t="str">
        <f t="shared" si="90"/>
        <v/>
      </c>
      <c r="P972" s="254"/>
      <c r="Q972" s="254"/>
      <c r="R972" s="254"/>
      <c r="S972" s="254"/>
      <c r="T972" s="254"/>
      <c r="U972" s="254"/>
      <c r="V972" s="254"/>
      <c r="W972" s="254"/>
      <c r="Y972" s="246" t="str">
        <f t="shared" si="91"/>
        <v/>
      </c>
      <c r="Z972" s="247" t="str">
        <f t="shared" si="95"/>
        <v/>
      </c>
      <c r="AA972" s="246" t="str">
        <f t="shared" si="92"/>
        <v/>
      </c>
    </row>
    <row r="973" spans="1:27" x14ac:dyDescent="0.25">
      <c r="A973" s="248" t="str">
        <f t="shared" si="93"/>
        <v/>
      </c>
      <c r="B973" s="249" t="str">
        <f t="shared" si="94"/>
        <v/>
      </c>
      <c r="C973" s="250"/>
      <c r="D973" s="251"/>
      <c r="E973" s="241"/>
      <c r="F973" s="252"/>
      <c r="G973" s="252"/>
      <c r="H973" s="253"/>
      <c r="I973" s="250"/>
      <c r="J973" s="250"/>
      <c r="K973" s="270"/>
      <c r="L973" s="250"/>
      <c r="M973" s="250"/>
      <c r="N973" s="540" t="str">
        <f>CONCATENATE(IF(OR(M973=phu!$I$1,M973=phu!$I$2,M973=phu!$I$3),"Cam Thành Nam",""),IF(OR(M973=phu!$I$4,M973=phu!$I$5,M973=phu!$I$6,M973=phu!$I$7,M973=phu!$I$8,M973=phu!$I$9,M973=phu!$I$10,M973=phu!$I$11,M973=phu!$I$12,M973=phu!$I$13,M973=phu!$I$14),"Cam Nghĩa",""),IF(OR(M973=phu!$I$15,M973=phu!$I$16,M973=phu!$I$17,M973=phu!$I$18,M973=phu!$I$19,M973=phu!$I$20,M973=phu!$I$21),"Cam Phúc Bắc",""),IF(OR(M973=phu!$I$22,M973=phu!$I$23,M973=phu!$I$24,M973=phu!$I$25),"Cam Phúc Nam",""),IF(OR(M973=phu!$I$26,M973=phu!$I$27,M973=phu!$I$28,M973=phu!$I$29,M973=phu!$I$30,M973=phu!$I$31),"Cam Phú",""),IF(OR(M973=phu!$I$32,M973=phu!$I$33,M973=phu!$I$34,M973=phu!$I$35,M973=phu!$I$36,M973=phu!$I$37),"Cam Lộc",""),IF(OR(M973=phu!$I$38,M973=phu!$I$39,M973=phu!$I$40,M973=phu!$I$41,M973=phu!$I$42,M973=phu!$I$43,M973=phu!$I$44),"Cam Thuận",""),IF(OR(M973=phu!$I$45,M973=phu!$I$46,M973=phu!$I$47,M973=phu!$I$48,M973=phu!$I$49,M973=phu!$I$50,M973=phu!$I$51,M973=phu!$I$52,M973=phu!$I$53),"Cam Linh",""),IF(OR(M973=phu!$I$54,M973=phu!$I$55,M973=phu!$I$56,M973=phu!$I$57,M973=phu!$I$58,M973=phu!$I$59,M973=phu!$I$60,M973=phu!$I$61,M973=phu!$I$62),"Cam Lợi",""),IF(OR(M973=phu!$I$63,M973=phu!$I$64,M973=phu!$I$65,M973=phu!$I$66,M973=phu!$I$67,M973=phu!$I$68,M973=phu!$I$69,M973=phu!$I$70,M973=phu!$I$71),"Ba Ngòi",""),IF(OR(M973=phu!$I$72,M973=phu!$I$73,M973=phu!$I$74,M973=phu!$I$75,M973=phu!$I$76,M973=phu!$I$77,M973=phu!$I$78),"Cam Phước Đông",""),IF(OR(M973=phu!$I$79,M973=phu!$I$80,M973=phu!$I$81,M973=phu!$I$82,M973=phu!$I$83,M973=phu!$I$84),"Cam Thịnh Đông",""),IF(OR(M973=phu!$I$85,M973=phu!$I$86,M973=phu!$I$87,M973=phu!$I$88),"Cam Thịnh Tây",""),IF(OR(M973=phu!$I$89,M973=phu!$I$90),"Cam Lập",""),IF(OR(M973=phu!$I$91,M973=phu!$I$92,M973=phu!$I$93),"Cam Bình",""),IF(OR(M973=phu!$I$94,M973=phu!$I$95,M973=phu!$I$96,M973=phu!$I$97,M973=phu!$I$98,M973=phu!$I$99,M973=phu!$I$100),"Huyện khác",""),IF(OR(M973=phu!$I$101,M973=phu!$I$102),"Tỉnh khác",""))</f>
        <v/>
      </c>
      <c r="O973" s="829" t="str">
        <f t="shared" si="90"/>
        <v/>
      </c>
      <c r="P973" s="254"/>
      <c r="Q973" s="254"/>
      <c r="R973" s="254"/>
      <c r="S973" s="254"/>
      <c r="T973" s="254"/>
      <c r="U973" s="254"/>
      <c r="V973" s="254"/>
      <c r="W973" s="254"/>
      <c r="Y973" s="246" t="str">
        <f t="shared" si="91"/>
        <v/>
      </c>
      <c r="Z973" s="247" t="str">
        <f t="shared" si="95"/>
        <v/>
      </c>
      <c r="AA973" s="246" t="str">
        <f t="shared" si="92"/>
        <v/>
      </c>
    </row>
    <row r="974" spans="1:27" x14ac:dyDescent="0.25">
      <c r="A974" s="248" t="str">
        <f t="shared" si="93"/>
        <v/>
      </c>
      <c r="B974" s="249" t="str">
        <f t="shared" si="94"/>
        <v/>
      </c>
      <c r="C974" s="250"/>
      <c r="D974" s="251"/>
      <c r="E974" s="241"/>
      <c r="F974" s="252"/>
      <c r="G974" s="252"/>
      <c r="H974" s="253"/>
      <c r="I974" s="250"/>
      <c r="J974" s="250"/>
      <c r="K974" s="270"/>
      <c r="L974" s="250"/>
      <c r="M974" s="250"/>
      <c r="N974" s="540" t="str">
        <f>CONCATENATE(IF(OR(M974=phu!$I$1,M974=phu!$I$2,M974=phu!$I$3),"Cam Thành Nam",""),IF(OR(M974=phu!$I$4,M974=phu!$I$5,M974=phu!$I$6,M974=phu!$I$7,M974=phu!$I$8,M974=phu!$I$9,M974=phu!$I$10,M974=phu!$I$11,M974=phu!$I$12,M974=phu!$I$13,M974=phu!$I$14),"Cam Nghĩa",""),IF(OR(M974=phu!$I$15,M974=phu!$I$16,M974=phu!$I$17,M974=phu!$I$18,M974=phu!$I$19,M974=phu!$I$20,M974=phu!$I$21),"Cam Phúc Bắc",""),IF(OR(M974=phu!$I$22,M974=phu!$I$23,M974=phu!$I$24,M974=phu!$I$25),"Cam Phúc Nam",""),IF(OR(M974=phu!$I$26,M974=phu!$I$27,M974=phu!$I$28,M974=phu!$I$29,M974=phu!$I$30,M974=phu!$I$31),"Cam Phú",""),IF(OR(M974=phu!$I$32,M974=phu!$I$33,M974=phu!$I$34,M974=phu!$I$35,M974=phu!$I$36,M974=phu!$I$37),"Cam Lộc",""),IF(OR(M974=phu!$I$38,M974=phu!$I$39,M974=phu!$I$40,M974=phu!$I$41,M974=phu!$I$42,M974=phu!$I$43,M974=phu!$I$44),"Cam Thuận",""),IF(OR(M974=phu!$I$45,M974=phu!$I$46,M974=phu!$I$47,M974=phu!$I$48,M974=phu!$I$49,M974=phu!$I$50,M974=phu!$I$51,M974=phu!$I$52,M974=phu!$I$53),"Cam Linh",""),IF(OR(M974=phu!$I$54,M974=phu!$I$55,M974=phu!$I$56,M974=phu!$I$57,M974=phu!$I$58,M974=phu!$I$59,M974=phu!$I$60,M974=phu!$I$61,M974=phu!$I$62),"Cam Lợi",""),IF(OR(M974=phu!$I$63,M974=phu!$I$64,M974=phu!$I$65,M974=phu!$I$66,M974=phu!$I$67,M974=phu!$I$68,M974=phu!$I$69,M974=phu!$I$70,M974=phu!$I$71),"Ba Ngòi",""),IF(OR(M974=phu!$I$72,M974=phu!$I$73,M974=phu!$I$74,M974=phu!$I$75,M974=phu!$I$76,M974=phu!$I$77,M974=phu!$I$78),"Cam Phước Đông",""),IF(OR(M974=phu!$I$79,M974=phu!$I$80,M974=phu!$I$81,M974=phu!$I$82,M974=phu!$I$83,M974=phu!$I$84),"Cam Thịnh Đông",""),IF(OR(M974=phu!$I$85,M974=phu!$I$86,M974=phu!$I$87,M974=phu!$I$88),"Cam Thịnh Tây",""),IF(OR(M974=phu!$I$89,M974=phu!$I$90),"Cam Lập",""),IF(OR(M974=phu!$I$91,M974=phu!$I$92,M974=phu!$I$93),"Cam Bình",""),IF(OR(M974=phu!$I$94,M974=phu!$I$95,M974=phu!$I$96,M974=phu!$I$97,M974=phu!$I$98,M974=phu!$I$99,M974=phu!$I$100),"Huyện khác",""),IF(OR(M974=phu!$I$101,M974=phu!$I$102),"Tỉnh khác",""))</f>
        <v/>
      </c>
      <c r="O974" s="829" t="str">
        <f t="shared" si="90"/>
        <v/>
      </c>
      <c r="P974" s="254"/>
      <c r="Q974" s="254"/>
      <c r="R974" s="254"/>
      <c r="S974" s="254"/>
      <c r="T974" s="254"/>
      <c r="U974" s="254"/>
      <c r="V974" s="254"/>
      <c r="W974" s="254"/>
      <c r="Y974" s="246" t="str">
        <f t="shared" si="91"/>
        <v/>
      </c>
      <c r="Z974" s="247" t="str">
        <f t="shared" si="95"/>
        <v/>
      </c>
      <c r="AA974" s="246" t="str">
        <f t="shared" si="92"/>
        <v/>
      </c>
    </row>
    <row r="975" spans="1:27" x14ac:dyDescent="0.25">
      <c r="A975" s="248" t="str">
        <f t="shared" si="93"/>
        <v/>
      </c>
      <c r="B975" s="249" t="str">
        <f t="shared" si="94"/>
        <v/>
      </c>
      <c r="C975" s="250"/>
      <c r="D975" s="251"/>
      <c r="E975" s="241"/>
      <c r="F975" s="252"/>
      <c r="G975" s="252"/>
      <c r="H975" s="253"/>
      <c r="I975" s="250"/>
      <c r="J975" s="250"/>
      <c r="K975" s="270"/>
      <c r="L975" s="250"/>
      <c r="M975" s="250"/>
      <c r="N975" s="540" t="str">
        <f>CONCATENATE(IF(OR(M975=phu!$I$1,M975=phu!$I$2,M975=phu!$I$3),"Cam Thành Nam",""),IF(OR(M975=phu!$I$4,M975=phu!$I$5,M975=phu!$I$6,M975=phu!$I$7,M975=phu!$I$8,M975=phu!$I$9,M975=phu!$I$10,M975=phu!$I$11,M975=phu!$I$12,M975=phu!$I$13,M975=phu!$I$14),"Cam Nghĩa",""),IF(OR(M975=phu!$I$15,M975=phu!$I$16,M975=phu!$I$17,M975=phu!$I$18,M975=phu!$I$19,M975=phu!$I$20,M975=phu!$I$21),"Cam Phúc Bắc",""),IF(OR(M975=phu!$I$22,M975=phu!$I$23,M975=phu!$I$24,M975=phu!$I$25),"Cam Phúc Nam",""),IF(OR(M975=phu!$I$26,M975=phu!$I$27,M975=phu!$I$28,M975=phu!$I$29,M975=phu!$I$30,M975=phu!$I$31),"Cam Phú",""),IF(OR(M975=phu!$I$32,M975=phu!$I$33,M975=phu!$I$34,M975=phu!$I$35,M975=phu!$I$36,M975=phu!$I$37),"Cam Lộc",""),IF(OR(M975=phu!$I$38,M975=phu!$I$39,M975=phu!$I$40,M975=phu!$I$41,M975=phu!$I$42,M975=phu!$I$43,M975=phu!$I$44),"Cam Thuận",""),IF(OR(M975=phu!$I$45,M975=phu!$I$46,M975=phu!$I$47,M975=phu!$I$48,M975=phu!$I$49,M975=phu!$I$50,M975=phu!$I$51,M975=phu!$I$52,M975=phu!$I$53),"Cam Linh",""),IF(OR(M975=phu!$I$54,M975=phu!$I$55,M975=phu!$I$56,M975=phu!$I$57,M975=phu!$I$58,M975=phu!$I$59,M975=phu!$I$60,M975=phu!$I$61,M975=phu!$I$62),"Cam Lợi",""),IF(OR(M975=phu!$I$63,M975=phu!$I$64,M975=phu!$I$65,M975=phu!$I$66,M975=phu!$I$67,M975=phu!$I$68,M975=phu!$I$69,M975=phu!$I$70,M975=phu!$I$71),"Ba Ngòi",""),IF(OR(M975=phu!$I$72,M975=phu!$I$73,M975=phu!$I$74,M975=phu!$I$75,M975=phu!$I$76,M975=phu!$I$77,M975=phu!$I$78),"Cam Phước Đông",""),IF(OR(M975=phu!$I$79,M975=phu!$I$80,M975=phu!$I$81,M975=phu!$I$82,M975=phu!$I$83,M975=phu!$I$84),"Cam Thịnh Đông",""),IF(OR(M975=phu!$I$85,M975=phu!$I$86,M975=phu!$I$87,M975=phu!$I$88),"Cam Thịnh Tây",""),IF(OR(M975=phu!$I$89,M975=phu!$I$90),"Cam Lập",""),IF(OR(M975=phu!$I$91,M975=phu!$I$92,M975=phu!$I$93),"Cam Bình",""),IF(OR(M975=phu!$I$94,M975=phu!$I$95,M975=phu!$I$96,M975=phu!$I$97,M975=phu!$I$98,M975=phu!$I$99,M975=phu!$I$100),"Huyện khác",""),IF(OR(M975=phu!$I$101,M975=phu!$I$102),"Tỉnh khác",""))</f>
        <v/>
      </c>
      <c r="O975" s="829" t="str">
        <f t="shared" si="90"/>
        <v/>
      </c>
      <c r="P975" s="254"/>
      <c r="Q975" s="254"/>
      <c r="R975" s="254"/>
      <c r="S975" s="254"/>
      <c r="T975" s="254"/>
      <c r="U975" s="254"/>
      <c r="V975" s="254"/>
      <c r="W975" s="254"/>
      <c r="Y975" s="246" t="str">
        <f t="shared" si="91"/>
        <v/>
      </c>
      <c r="Z975" s="247" t="str">
        <f t="shared" si="95"/>
        <v/>
      </c>
      <c r="AA975" s="246" t="str">
        <f t="shared" si="92"/>
        <v/>
      </c>
    </row>
    <row r="976" spans="1:27" x14ac:dyDescent="0.25">
      <c r="A976" s="248" t="str">
        <f t="shared" si="93"/>
        <v/>
      </c>
      <c r="B976" s="249" t="str">
        <f t="shared" si="94"/>
        <v/>
      </c>
      <c r="C976" s="250"/>
      <c r="D976" s="251"/>
      <c r="E976" s="241"/>
      <c r="F976" s="252"/>
      <c r="G976" s="252"/>
      <c r="H976" s="253"/>
      <c r="I976" s="250"/>
      <c r="J976" s="250"/>
      <c r="K976" s="270"/>
      <c r="L976" s="250"/>
      <c r="M976" s="250"/>
      <c r="N976" s="540" t="str">
        <f>CONCATENATE(IF(OR(M976=phu!$I$1,M976=phu!$I$2,M976=phu!$I$3),"Cam Thành Nam",""),IF(OR(M976=phu!$I$4,M976=phu!$I$5,M976=phu!$I$6,M976=phu!$I$7,M976=phu!$I$8,M976=phu!$I$9,M976=phu!$I$10,M976=phu!$I$11,M976=phu!$I$12,M976=phu!$I$13,M976=phu!$I$14),"Cam Nghĩa",""),IF(OR(M976=phu!$I$15,M976=phu!$I$16,M976=phu!$I$17,M976=phu!$I$18,M976=phu!$I$19,M976=phu!$I$20,M976=phu!$I$21),"Cam Phúc Bắc",""),IF(OR(M976=phu!$I$22,M976=phu!$I$23,M976=phu!$I$24,M976=phu!$I$25),"Cam Phúc Nam",""),IF(OR(M976=phu!$I$26,M976=phu!$I$27,M976=phu!$I$28,M976=phu!$I$29,M976=phu!$I$30,M976=phu!$I$31),"Cam Phú",""),IF(OR(M976=phu!$I$32,M976=phu!$I$33,M976=phu!$I$34,M976=phu!$I$35,M976=phu!$I$36,M976=phu!$I$37),"Cam Lộc",""),IF(OR(M976=phu!$I$38,M976=phu!$I$39,M976=phu!$I$40,M976=phu!$I$41,M976=phu!$I$42,M976=phu!$I$43,M976=phu!$I$44),"Cam Thuận",""),IF(OR(M976=phu!$I$45,M976=phu!$I$46,M976=phu!$I$47,M976=phu!$I$48,M976=phu!$I$49,M976=phu!$I$50,M976=phu!$I$51,M976=phu!$I$52,M976=phu!$I$53),"Cam Linh",""),IF(OR(M976=phu!$I$54,M976=phu!$I$55,M976=phu!$I$56,M976=phu!$I$57,M976=phu!$I$58,M976=phu!$I$59,M976=phu!$I$60,M976=phu!$I$61,M976=phu!$I$62),"Cam Lợi",""),IF(OR(M976=phu!$I$63,M976=phu!$I$64,M976=phu!$I$65,M976=phu!$I$66,M976=phu!$I$67,M976=phu!$I$68,M976=phu!$I$69,M976=phu!$I$70,M976=phu!$I$71),"Ba Ngòi",""),IF(OR(M976=phu!$I$72,M976=phu!$I$73,M976=phu!$I$74,M976=phu!$I$75,M976=phu!$I$76,M976=phu!$I$77,M976=phu!$I$78),"Cam Phước Đông",""),IF(OR(M976=phu!$I$79,M976=phu!$I$80,M976=phu!$I$81,M976=phu!$I$82,M976=phu!$I$83,M976=phu!$I$84),"Cam Thịnh Đông",""),IF(OR(M976=phu!$I$85,M976=phu!$I$86,M976=phu!$I$87,M976=phu!$I$88),"Cam Thịnh Tây",""),IF(OR(M976=phu!$I$89,M976=phu!$I$90),"Cam Lập",""),IF(OR(M976=phu!$I$91,M976=phu!$I$92,M976=phu!$I$93),"Cam Bình",""),IF(OR(M976=phu!$I$94,M976=phu!$I$95,M976=phu!$I$96,M976=phu!$I$97,M976=phu!$I$98,M976=phu!$I$99,M976=phu!$I$100),"Huyện khác",""),IF(OR(M976=phu!$I$101,M976=phu!$I$102),"Tỉnh khác",""))</f>
        <v/>
      </c>
      <c r="O976" s="829" t="str">
        <f t="shared" si="90"/>
        <v/>
      </c>
      <c r="P976" s="254"/>
      <c r="Q976" s="254"/>
      <c r="R976" s="254"/>
      <c r="S976" s="254"/>
      <c r="T976" s="254"/>
      <c r="U976" s="254"/>
      <c r="V976" s="254"/>
      <c r="W976" s="254"/>
      <c r="Y976" s="246" t="str">
        <f t="shared" si="91"/>
        <v/>
      </c>
      <c r="Z976" s="247" t="str">
        <f t="shared" si="95"/>
        <v/>
      </c>
      <c r="AA976" s="246" t="str">
        <f t="shared" si="92"/>
        <v/>
      </c>
    </row>
    <row r="977" spans="1:27" x14ac:dyDescent="0.25">
      <c r="A977" s="248" t="str">
        <f t="shared" si="93"/>
        <v/>
      </c>
      <c r="B977" s="249" t="str">
        <f t="shared" si="94"/>
        <v/>
      </c>
      <c r="C977" s="250"/>
      <c r="D977" s="251"/>
      <c r="E977" s="241"/>
      <c r="F977" s="252"/>
      <c r="G977" s="252"/>
      <c r="H977" s="253"/>
      <c r="I977" s="250"/>
      <c r="J977" s="250"/>
      <c r="K977" s="270"/>
      <c r="L977" s="250"/>
      <c r="M977" s="250"/>
      <c r="N977" s="540" t="str">
        <f>CONCATENATE(IF(OR(M977=phu!$I$1,M977=phu!$I$2,M977=phu!$I$3),"Cam Thành Nam",""),IF(OR(M977=phu!$I$4,M977=phu!$I$5,M977=phu!$I$6,M977=phu!$I$7,M977=phu!$I$8,M977=phu!$I$9,M977=phu!$I$10,M977=phu!$I$11,M977=phu!$I$12,M977=phu!$I$13,M977=phu!$I$14),"Cam Nghĩa",""),IF(OR(M977=phu!$I$15,M977=phu!$I$16,M977=phu!$I$17,M977=phu!$I$18,M977=phu!$I$19,M977=phu!$I$20,M977=phu!$I$21),"Cam Phúc Bắc",""),IF(OR(M977=phu!$I$22,M977=phu!$I$23,M977=phu!$I$24,M977=phu!$I$25),"Cam Phúc Nam",""),IF(OR(M977=phu!$I$26,M977=phu!$I$27,M977=phu!$I$28,M977=phu!$I$29,M977=phu!$I$30,M977=phu!$I$31),"Cam Phú",""),IF(OR(M977=phu!$I$32,M977=phu!$I$33,M977=phu!$I$34,M977=phu!$I$35,M977=phu!$I$36,M977=phu!$I$37),"Cam Lộc",""),IF(OR(M977=phu!$I$38,M977=phu!$I$39,M977=phu!$I$40,M977=phu!$I$41,M977=phu!$I$42,M977=phu!$I$43,M977=phu!$I$44),"Cam Thuận",""),IF(OR(M977=phu!$I$45,M977=phu!$I$46,M977=phu!$I$47,M977=phu!$I$48,M977=phu!$I$49,M977=phu!$I$50,M977=phu!$I$51,M977=phu!$I$52,M977=phu!$I$53),"Cam Linh",""),IF(OR(M977=phu!$I$54,M977=phu!$I$55,M977=phu!$I$56,M977=phu!$I$57,M977=phu!$I$58,M977=phu!$I$59,M977=phu!$I$60,M977=phu!$I$61,M977=phu!$I$62),"Cam Lợi",""),IF(OR(M977=phu!$I$63,M977=phu!$I$64,M977=phu!$I$65,M977=phu!$I$66,M977=phu!$I$67,M977=phu!$I$68,M977=phu!$I$69,M977=phu!$I$70,M977=phu!$I$71),"Ba Ngòi",""),IF(OR(M977=phu!$I$72,M977=phu!$I$73,M977=phu!$I$74,M977=phu!$I$75,M977=phu!$I$76,M977=phu!$I$77,M977=phu!$I$78),"Cam Phước Đông",""),IF(OR(M977=phu!$I$79,M977=phu!$I$80,M977=phu!$I$81,M977=phu!$I$82,M977=phu!$I$83,M977=phu!$I$84),"Cam Thịnh Đông",""),IF(OR(M977=phu!$I$85,M977=phu!$I$86,M977=phu!$I$87,M977=phu!$I$88),"Cam Thịnh Tây",""),IF(OR(M977=phu!$I$89,M977=phu!$I$90),"Cam Lập",""),IF(OR(M977=phu!$I$91,M977=phu!$I$92,M977=phu!$I$93),"Cam Bình",""),IF(OR(M977=phu!$I$94,M977=phu!$I$95,M977=phu!$I$96,M977=phu!$I$97,M977=phu!$I$98,M977=phu!$I$99,M977=phu!$I$100),"Huyện khác",""),IF(OR(M977=phu!$I$101,M977=phu!$I$102),"Tỉnh khác",""))</f>
        <v/>
      </c>
      <c r="O977" s="829" t="str">
        <f t="shared" si="90"/>
        <v/>
      </c>
      <c r="P977" s="254"/>
      <c r="Q977" s="254"/>
      <c r="R977" s="254"/>
      <c r="S977" s="254"/>
      <c r="T977" s="254"/>
      <c r="U977" s="254"/>
      <c r="V977" s="254"/>
      <c r="W977" s="254"/>
      <c r="Y977" s="246" t="str">
        <f t="shared" si="91"/>
        <v/>
      </c>
      <c r="Z977" s="247" t="str">
        <f t="shared" si="95"/>
        <v/>
      </c>
      <c r="AA977" s="246" t="str">
        <f t="shared" si="92"/>
        <v/>
      </c>
    </row>
    <row r="978" spans="1:27" x14ac:dyDescent="0.25">
      <c r="A978" s="248" t="str">
        <f t="shared" si="93"/>
        <v/>
      </c>
      <c r="B978" s="249" t="str">
        <f t="shared" si="94"/>
        <v/>
      </c>
      <c r="C978" s="250"/>
      <c r="D978" s="251"/>
      <c r="E978" s="241"/>
      <c r="F978" s="252"/>
      <c r="G978" s="252"/>
      <c r="H978" s="253"/>
      <c r="I978" s="250"/>
      <c r="J978" s="250"/>
      <c r="K978" s="270"/>
      <c r="L978" s="250"/>
      <c r="M978" s="250"/>
      <c r="N978" s="540" t="str">
        <f>CONCATENATE(IF(OR(M978=phu!$I$1,M978=phu!$I$2,M978=phu!$I$3),"Cam Thành Nam",""),IF(OR(M978=phu!$I$4,M978=phu!$I$5,M978=phu!$I$6,M978=phu!$I$7,M978=phu!$I$8,M978=phu!$I$9,M978=phu!$I$10,M978=phu!$I$11,M978=phu!$I$12,M978=phu!$I$13,M978=phu!$I$14),"Cam Nghĩa",""),IF(OR(M978=phu!$I$15,M978=phu!$I$16,M978=phu!$I$17,M978=phu!$I$18,M978=phu!$I$19,M978=phu!$I$20,M978=phu!$I$21),"Cam Phúc Bắc",""),IF(OR(M978=phu!$I$22,M978=phu!$I$23,M978=phu!$I$24,M978=phu!$I$25),"Cam Phúc Nam",""),IF(OR(M978=phu!$I$26,M978=phu!$I$27,M978=phu!$I$28,M978=phu!$I$29,M978=phu!$I$30,M978=phu!$I$31),"Cam Phú",""),IF(OR(M978=phu!$I$32,M978=phu!$I$33,M978=phu!$I$34,M978=phu!$I$35,M978=phu!$I$36,M978=phu!$I$37),"Cam Lộc",""),IF(OR(M978=phu!$I$38,M978=phu!$I$39,M978=phu!$I$40,M978=phu!$I$41,M978=phu!$I$42,M978=phu!$I$43,M978=phu!$I$44),"Cam Thuận",""),IF(OR(M978=phu!$I$45,M978=phu!$I$46,M978=phu!$I$47,M978=phu!$I$48,M978=phu!$I$49,M978=phu!$I$50,M978=phu!$I$51,M978=phu!$I$52,M978=phu!$I$53),"Cam Linh",""),IF(OR(M978=phu!$I$54,M978=phu!$I$55,M978=phu!$I$56,M978=phu!$I$57,M978=phu!$I$58,M978=phu!$I$59,M978=phu!$I$60,M978=phu!$I$61,M978=phu!$I$62),"Cam Lợi",""),IF(OR(M978=phu!$I$63,M978=phu!$I$64,M978=phu!$I$65,M978=phu!$I$66,M978=phu!$I$67,M978=phu!$I$68,M978=phu!$I$69,M978=phu!$I$70,M978=phu!$I$71),"Ba Ngòi",""),IF(OR(M978=phu!$I$72,M978=phu!$I$73,M978=phu!$I$74,M978=phu!$I$75,M978=phu!$I$76,M978=phu!$I$77,M978=phu!$I$78),"Cam Phước Đông",""),IF(OR(M978=phu!$I$79,M978=phu!$I$80,M978=phu!$I$81,M978=phu!$I$82,M978=phu!$I$83,M978=phu!$I$84),"Cam Thịnh Đông",""),IF(OR(M978=phu!$I$85,M978=phu!$I$86,M978=phu!$I$87,M978=phu!$I$88),"Cam Thịnh Tây",""),IF(OR(M978=phu!$I$89,M978=phu!$I$90),"Cam Lập",""),IF(OR(M978=phu!$I$91,M978=phu!$I$92,M978=phu!$I$93),"Cam Bình",""),IF(OR(M978=phu!$I$94,M978=phu!$I$95,M978=phu!$I$96,M978=phu!$I$97,M978=phu!$I$98,M978=phu!$I$99,M978=phu!$I$100),"Huyện khác",""),IF(OR(M978=phu!$I$101,M978=phu!$I$102),"Tỉnh khác",""))</f>
        <v/>
      </c>
      <c r="O978" s="829" t="str">
        <f t="shared" si="90"/>
        <v/>
      </c>
      <c r="P978" s="254"/>
      <c r="Q978" s="254"/>
      <c r="R978" s="254"/>
      <c r="S978" s="254"/>
      <c r="T978" s="254"/>
      <c r="U978" s="254"/>
      <c r="V978" s="254"/>
      <c r="W978" s="254"/>
      <c r="Y978" s="246" t="str">
        <f t="shared" si="91"/>
        <v/>
      </c>
      <c r="Z978" s="247" t="str">
        <f t="shared" si="95"/>
        <v/>
      </c>
      <c r="AA978" s="246" t="str">
        <f t="shared" si="92"/>
        <v/>
      </c>
    </row>
    <row r="979" spans="1:27" x14ac:dyDescent="0.25">
      <c r="A979" s="248" t="str">
        <f t="shared" si="93"/>
        <v/>
      </c>
      <c r="B979" s="249" t="str">
        <f t="shared" si="94"/>
        <v/>
      </c>
      <c r="C979" s="250"/>
      <c r="D979" s="251"/>
      <c r="E979" s="241"/>
      <c r="F979" s="252"/>
      <c r="G979" s="252"/>
      <c r="H979" s="253"/>
      <c r="I979" s="250"/>
      <c r="J979" s="250"/>
      <c r="K979" s="270"/>
      <c r="L979" s="250"/>
      <c r="M979" s="250"/>
      <c r="N979" s="540" t="str">
        <f>CONCATENATE(IF(OR(M979=phu!$I$1,M979=phu!$I$2,M979=phu!$I$3),"Cam Thành Nam",""),IF(OR(M979=phu!$I$4,M979=phu!$I$5,M979=phu!$I$6,M979=phu!$I$7,M979=phu!$I$8,M979=phu!$I$9,M979=phu!$I$10,M979=phu!$I$11,M979=phu!$I$12,M979=phu!$I$13,M979=phu!$I$14),"Cam Nghĩa",""),IF(OR(M979=phu!$I$15,M979=phu!$I$16,M979=phu!$I$17,M979=phu!$I$18,M979=phu!$I$19,M979=phu!$I$20,M979=phu!$I$21),"Cam Phúc Bắc",""),IF(OR(M979=phu!$I$22,M979=phu!$I$23,M979=phu!$I$24,M979=phu!$I$25),"Cam Phúc Nam",""),IF(OR(M979=phu!$I$26,M979=phu!$I$27,M979=phu!$I$28,M979=phu!$I$29,M979=phu!$I$30,M979=phu!$I$31),"Cam Phú",""),IF(OR(M979=phu!$I$32,M979=phu!$I$33,M979=phu!$I$34,M979=phu!$I$35,M979=phu!$I$36,M979=phu!$I$37),"Cam Lộc",""),IF(OR(M979=phu!$I$38,M979=phu!$I$39,M979=phu!$I$40,M979=phu!$I$41,M979=phu!$I$42,M979=phu!$I$43,M979=phu!$I$44),"Cam Thuận",""),IF(OR(M979=phu!$I$45,M979=phu!$I$46,M979=phu!$I$47,M979=phu!$I$48,M979=phu!$I$49,M979=phu!$I$50,M979=phu!$I$51,M979=phu!$I$52,M979=phu!$I$53),"Cam Linh",""),IF(OR(M979=phu!$I$54,M979=phu!$I$55,M979=phu!$I$56,M979=phu!$I$57,M979=phu!$I$58,M979=phu!$I$59,M979=phu!$I$60,M979=phu!$I$61,M979=phu!$I$62),"Cam Lợi",""),IF(OR(M979=phu!$I$63,M979=phu!$I$64,M979=phu!$I$65,M979=phu!$I$66,M979=phu!$I$67,M979=phu!$I$68,M979=phu!$I$69,M979=phu!$I$70,M979=phu!$I$71),"Ba Ngòi",""),IF(OR(M979=phu!$I$72,M979=phu!$I$73,M979=phu!$I$74,M979=phu!$I$75,M979=phu!$I$76,M979=phu!$I$77,M979=phu!$I$78),"Cam Phước Đông",""),IF(OR(M979=phu!$I$79,M979=phu!$I$80,M979=phu!$I$81,M979=phu!$I$82,M979=phu!$I$83,M979=phu!$I$84),"Cam Thịnh Đông",""),IF(OR(M979=phu!$I$85,M979=phu!$I$86,M979=phu!$I$87,M979=phu!$I$88),"Cam Thịnh Tây",""),IF(OR(M979=phu!$I$89,M979=phu!$I$90),"Cam Lập",""),IF(OR(M979=phu!$I$91,M979=phu!$I$92,M979=phu!$I$93),"Cam Bình",""),IF(OR(M979=phu!$I$94,M979=phu!$I$95,M979=phu!$I$96,M979=phu!$I$97,M979=phu!$I$98,M979=phu!$I$99,M979=phu!$I$100),"Huyện khác",""),IF(OR(M979=phu!$I$101,M979=phu!$I$102),"Tỉnh khác",""))</f>
        <v/>
      </c>
      <c r="O979" s="829" t="str">
        <f t="shared" si="90"/>
        <v/>
      </c>
      <c r="P979" s="254"/>
      <c r="Q979" s="254"/>
      <c r="R979" s="254"/>
      <c r="S979" s="254"/>
      <c r="T979" s="254"/>
      <c r="U979" s="254"/>
      <c r="V979" s="254"/>
      <c r="W979" s="254"/>
      <c r="Y979" s="246" t="str">
        <f t="shared" si="91"/>
        <v/>
      </c>
      <c r="Z979" s="247" t="str">
        <f t="shared" si="95"/>
        <v/>
      </c>
      <c r="AA979" s="246" t="str">
        <f t="shared" si="92"/>
        <v/>
      </c>
    </row>
    <row r="980" spans="1:27" x14ac:dyDescent="0.25">
      <c r="A980" s="248" t="str">
        <f t="shared" si="93"/>
        <v/>
      </c>
      <c r="B980" s="249" t="str">
        <f t="shared" si="94"/>
        <v/>
      </c>
      <c r="C980" s="250"/>
      <c r="D980" s="251"/>
      <c r="E980" s="241"/>
      <c r="F980" s="252"/>
      <c r="G980" s="252"/>
      <c r="H980" s="253"/>
      <c r="I980" s="250"/>
      <c r="J980" s="250"/>
      <c r="K980" s="270"/>
      <c r="L980" s="250"/>
      <c r="M980" s="250"/>
      <c r="N980" s="540" t="str">
        <f>CONCATENATE(IF(OR(M980=phu!$I$1,M980=phu!$I$2,M980=phu!$I$3),"Cam Thành Nam",""),IF(OR(M980=phu!$I$4,M980=phu!$I$5,M980=phu!$I$6,M980=phu!$I$7,M980=phu!$I$8,M980=phu!$I$9,M980=phu!$I$10,M980=phu!$I$11,M980=phu!$I$12,M980=phu!$I$13,M980=phu!$I$14),"Cam Nghĩa",""),IF(OR(M980=phu!$I$15,M980=phu!$I$16,M980=phu!$I$17,M980=phu!$I$18,M980=phu!$I$19,M980=phu!$I$20,M980=phu!$I$21),"Cam Phúc Bắc",""),IF(OR(M980=phu!$I$22,M980=phu!$I$23,M980=phu!$I$24,M980=phu!$I$25),"Cam Phúc Nam",""),IF(OR(M980=phu!$I$26,M980=phu!$I$27,M980=phu!$I$28,M980=phu!$I$29,M980=phu!$I$30,M980=phu!$I$31),"Cam Phú",""),IF(OR(M980=phu!$I$32,M980=phu!$I$33,M980=phu!$I$34,M980=phu!$I$35,M980=phu!$I$36,M980=phu!$I$37),"Cam Lộc",""),IF(OR(M980=phu!$I$38,M980=phu!$I$39,M980=phu!$I$40,M980=phu!$I$41,M980=phu!$I$42,M980=phu!$I$43,M980=phu!$I$44),"Cam Thuận",""),IF(OR(M980=phu!$I$45,M980=phu!$I$46,M980=phu!$I$47,M980=phu!$I$48,M980=phu!$I$49,M980=phu!$I$50,M980=phu!$I$51,M980=phu!$I$52,M980=phu!$I$53),"Cam Linh",""),IF(OR(M980=phu!$I$54,M980=phu!$I$55,M980=phu!$I$56,M980=phu!$I$57,M980=phu!$I$58,M980=phu!$I$59,M980=phu!$I$60,M980=phu!$I$61,M980=phu!$I$62),"Cam Lợi",""),IF(OR(M980=phu!$I$63,M980=phu!$I$64,M980=phu!$I$65,M980=phu!$I$66,M980=phu!$I$67,M980=phu!$I$68,M980=phu!$I$69,M980=phu!$I$70,M980=phu!$I$71),"Ba Ngòi",""),IF(OR(M980=phu!$I$72,M980=phu!$I$73,M980=phu!$I$74,M980=phu!$I$75,M980=phu!$I$76,M980=phu!$I$77,M980=phu!$I$78),"Cam Phước Đông",""),IF(OR(M980=phu!$I$79,M980=phu!$I$80,M980=phu!$I$81,M980=phu!$I$82,M980=phu!$I$83,M980=phu!$I$84),"Cam Thịnh Đông",""),IF(OR(M980=phu!$I$85,M980=phu!$I$86,M980=phu!$I$87,M980=phu!$I$88),"Cam Thịnh Tây",""),IF(OR(M980=phu!$I$89,M980=phu!$I$90),"Cam Lập",""),IF(OR(M980=phu!$I$91,M980=phu!$I$92,M980=phu!$I$93),"Cam Bình",""),IF(OR(M980=phu!$I$94,M980=phu!$I$95,M980=phu!$I$96,M980=phu!$I$97,M980=phu!$I$98,M980=phu!$I$99,M980=phu!$I$100),"Huyện khác",""),IF(OR(M980=phu!$I$101,M980=phu!$I$102),"Tỉnh khác",""))</f>
        <v/>
      </c>
      <c r="O980" s="829" t="str">
        <f t="shared" si="90"/>
        <v/>
      </c>
      <c r="P980" s="254"/>
      <c r="Q980" s="254"/>
      <c r="R980" s="254"/>
      <c r="S980" s="254"/>
      <c r="T980" s="254"/>
      <c r="U980" s="254"/>
      <c r="V980" s="254"/>
      <c r="W980" s="254"/>
      <c r="Y980" s="246" t="str">
        <f t="shared" si="91"/>
        <v/>
      </c>
      <c r="Z980" s="247" t="str">
        <f t="shared" si="95"/>
        <v/>
      </c>
      <c r="AA980" s="246" t="str">
        <f t="shared" si="92"/>
        <v/>
      </c>
    </row>
    <row r="981" spans="1:27" x14ac:dyDescent="0.25">
      <c r="A981" s="248" t="str">
        <f t="shared" si="93"/>
        <v/>
      </c>
      <c r="B981" s="249" t="str">
        <f t="shared" si="94"/>
        <v/>
      </c>
      <c r="C981" s="250"/>
      <c r="D981" s="251"/>
      <c r="E981" s="241"/>
      <c r="F981" s="252"/>
      <c r="G981" s="252"/>
      <c r="H981" s="253"/>
      <c r="I981" s="250"/>
      <c r="J981" s="250"/>
      <c r="K981" s="270"/>
      <c r="L981" s="250"/>
      <c r="M981" s="250"/>
      <c r="N981" s="540" t="str">
        <f>CONCATENATE(IF(OR(M981=phu!$I$1,M981=phu!$I$2,M981=phu!$I$3),"Cam Thành Nam",""),IF(OR(M981=phu!$I$4,M981=phu!$I$5,M981=phu!$I$6,M981=phu!$I$7,M981=phu!$I$8,M981=phu!$I$9,M981=phu!$I$10,M981=phu!$I$11,M981=phu!$I$12,M981=phu!$I$13,M981=phu!$I$14),"Cam Nghĩa",""),IF(OR(M981=phu!$I$15,M981=phu!$I$16,M981=phu!$I$17,M981=phu!$I$18,M981=phu!$I$19,M981=phu!$I$20,M981=phu!$I$21),"Cam Phúc Bắc",""),IF(OR(M981=phu!$I$22,M981=phu!$I$23,M981=phu!$I$24,M981=phu!$I$25),"Cam Phúc Nam",""),IF(OR(M981=phu!$I$26,M981=phu!$I$27,M981=phu!$I$28,M981=phu!$I$29,M981=phu!$I$30,M981=phu!$I$31),"Cam Phú",""),IF(OR(M981=phu!$I$32,M981=phu!$I$33,M981=phu!$I$34,M981=phu!$I$35,M981=phu!$I$36,M981=phu!$I$37),"Cam Lộc",""),IF(OR(M981=phu!$I$38,M981=phu!$I$39,M981=phu!$I$40,M981=phu!$I$41,M981=phu!$I$42,M981=phu!$I$43,M981=phu!$I$44),"Cam Thuận",""),IF(OR(M981=phu!$I$45,M981=phu!$I$46,M981=phu!$I$47,M981=phu!$I$48,M981=phu!$I$49,M981=phu!$I$50,M981=phu!$I$51,M981=phu!$I$52,M981=phu!$I$53),"Cam Linh",""),IF(OR(M981=phu!$I$54,M981=phu!$I$55,M981=phu!$I$56,M981=phu!$I$57,M981=phu!$I$58,M981=phu!$I$59,M981=phu!$I$60,M981=phu!$I$61,M981=phu!$I$62),"Cam Lợi",""),IF(OR(M981=phu!$I$63,M981=phu!$I$64,M981=phu!$I$65,M981=phu!$I$66,M981=phu!$I$67,M981=phu!$I$68,M981=phu!$I$69,M981=phu!$I$70,M981=phu!$I$71),"Ba Ngòi",""),IF(OR(M981=phu!$I$72,M981=phu!$I$73,M981=phu!$I$74,M981=phu!$I$75,M981=phu!$I$76,M981=phu!$I$77,M981=phu!$I$78),"Cam Phước Đông",""),IF(OR(M981=phu!$I$79,M981=phu!$I$80,M981=phu!$I$81,M981=phu!$I$82,M981=phu!$I$83,M981=phu!$I$84),"Cam Thịnh Đông",""),IF(OR(M981=phu!$I$85,M981=phu!$I$86,M981=phu!$I$87,M981=phu!$I$88),"Cam Thịnh Tây",""),IF(OR(M981=phu!$I$89,M981=phu!$I$90),"Cam Lập",""),IF(OR(M981=phu!$I$91,M981=phu!$I$92,M981=phu!$I$93),"Cam Bình",""),IF(OR(M981=phu!$I$94,M981=phu!$I$95,M981=phu!$I$96,M981=phu!$I$97,M981=phu!$I$98,M981=phu!$I$99,M981=phu!$I$100),"Huyện khác",""),IF(OR(M981=phu!$I$101,M981=phu!$I$102),"Tỉnh khác",""))</f>
        <v/>
      </c>
      <c r="O981" s="829" t="str">
        <f t="shared" si="90"/>
        <v/>
      </c>
      <c r="P981" s="254"/>
      <c r="Q981" s="254"/>
      <c r="R981" s="254"/>
      <c r="S981" s="254"/>
      <c r="T981" s="254"/>
      <c r="U981" s="254"/>
      <c r="V981" s="254"/>
      <c r="W981" s="254"/>
      <c r="Y981" s="246" t="str">
        <f t="shared" si="91"/>
        <v/>
      </c>
      <c r="Z981" s="247" t="str">
        <f t="shared" si="95"/>
        <v/>
      </c>
      <c r="AA981" s="246" t="str">
        <f t="shared" si="92"/>
        <v/>
      </c>
    </row>
    <row r="982" spans="1:27" x14ac:dyDescent="0.25">
      <c r="A982" s="248" t="str">
        <f t="shared" si="93"/>
        <v/>
      </c>
      <c r="B982" s="249" t="str">
        <f t="shared" si="94"/>
        <v/>
      </c>
      <c r="C982" s="250"/>
      <c r="D982" s="251"/>
      <c r="E982" s="241"/>
      <c r="F982" s="252"/>
      <c r="G982" s="252"/>
      <c r="H982" s="253"/>
      <c r="I982" s="250"/>
      <c r="J982" s="250"/>
      <c r="K982" s="270"/>
      <c r="L982" s="250"/>
      <c r="M982" s="250"/>
      <c r="N982" s="540" t="str">
        <f>CONCATENATE(IF(OR(M982=phu!$I$1,M982=phu!$I$2,M982=phu!$I$3),"Cam Thành Nam",""),IF(OR(M982=phu!$I$4,M982=phu!$I$5,M982=phu!$I$6,M982=phu!$I$7,M982=phu!$I$8,M982=phu!$I$9,M982=phu!$I$10,M982=phu!$I$11,M982=phu!$I$12,M982=phu!$I$13,M982=phu!$I$14),"Cam Nghĩa",""),IF(OR(M982=phu!$I$15,M982=phu!$I$16,M982=phu!$I$17,M982=phu!$I$18,M982=phu!$I$19,M982=phu!$I$20,M982=phu!$I$21),"Cam Phúc Bắc",""),IF(OR(M982=phu!$I$22,M982=phu!$I$23,M982=phu!$I$24,M982=phu!$I$25),"Cam Phúc Nam",""),IF(OR(M982=phu!$I$26,M982=phu!$I$27,M982=phu!$I$28,M982=phu!$I$29,M982=phu!$I$30,M982=phu!$I$31),"Cam Phú",""),IF(OR(M982=phu!$I$32,M982=phu!$I$33,M982=phu!$I$34,M982=phu!$I$35,M982=phu!$I$36,M982=phu!$I$37),"Cam Lộc",""),IF(OR(M982=phu!$I$38,M982=phu!$I$39,M982=phu!$I$40,M982=phu!$I$41,M982=phu!$I$42,M982=phu!$I$43,M982=phu!$I$44),"Cam Thuận",""),IF(OR(M982=phu!$I$45,M982=phu!$I$46,M982=phu!$I$47,M982=phu!$I$48,M982=phu!$I$49,M982=phu!$I$50,M982=phu!$I$51,M982=phu!$I$52,M982=phu!$I$53),"Cam Linh",""),IF(OR(M982=phu!$I$54,M982=phu!$I$55,M982=phu!$I$56,M982=phu!$I$57,M982=phu!$I$58,M982=phu!$I$59,M982=phu!$I$60,M982=phu!$I$61,M982=phu!$I$62),"Cam Lợi",""),IF(OR(M982=phu!$I$63,M982=phu!$I$64,M982=phu!$I$65,M982=phu!$I$66,M982=phu!$I$67,M982=phu!$I$68,M982=phu!$I$69,M982=phu!$I$70,M982=phu!$I$71),"Ba Ngòi",""),IF(OR(M982=phu!$I$72,M982=phu!$I$73,M982=phu!$I$74,M982=phu!$I$75,M982=phu!$I$76,M982=phu!$I$77,M982=phu!$I$78),"Cam Phước Đông",""),IF(OR(M982=phu!$I$79,M982=phu!$I$80,M982=phu!$I$81,M982=phu!$I$82,M982=phu!$I$83,M982=phu!$I$84),"Cam Thịnh Đông",""),IF(OR(M982=phu!$I$85,M982=phu!$I$86,M982=phu!$I$87,M982=phu!$I$88),"Cam Thịnh Tây",""),IF(OR(M982=phu!$I$89,M982=phu!$I$90),"Cam Lập",""),IF(OR(M982=phu!$I$91,M982=phu!$I$92,M982=phu!$I$93),"Cam Bình",""),IF(OR(M982=phu!$I$94,M982=phu!$I$95,M982=phu!$I$96,M982=phu!$I$97,M982=phu!$I$98,M982=phu!$I$99,M982=phu!$I$100),"Huyện khác",""),IF(OR(M982=phu!$I$101,M982=phu!$I$102),"Tỉnh khác",""))</f>
        <v/>
      </c>
      <c r="O982" s="829" t="str">
        <f t="shared" si="90"/>
        <v/>
      </c>
      <c r="P982" s="254"/>
      <c r="Q982" s="254"/>
      <c r="R982" s="254"/>
      <c r="S982" s="254"/>
      <c r="T982" s="254"/>
      <c r="U982" s="254"/>
      <c r="V982" s="254"/>
      <c r="W982" s="254"/>
      <c r="Y982" s="246" t="str">
        <f t="shared" si="91"/>
        <v/>
      </c>
      <c r="Z982" s="247" t="str">
        <f t="shared" si="95"/>
        <v/>
      </c>
      <c r="AA982" s="246" t="str">
        <f t="shared" si="92"/>
        <v/>
      </c>
    </row>
    <row r="983" spans="1:27" x14ac:dyDescent="0.25">
      <c r="A983" s="248" t="str">
        <f t="shared" si="93"/>
        <v/>
      </c>
      <c r="B983" s="249" t="str">
        <f t="shared" si="94"/>
        <v/>
      </c>
      <c r="C983" s="250"/>
      <c r="D983" s="251"/>
      <c r="E983" s="241"/>
      <c r="F983" s="252"/>
      <c r="G983" s="252"/>
      <c r="H983" s="253"/>
      <c r="I983" s="250"/>
      <c r="J983" s="250"/>
      <c r="K983" s="270"/>
      <c r="L983" s="250"/>
      <c r="M983" s="250"/>
      <c r="N983" s="540" t="str">
        <f>CONCATENATE(IF(OR(M983=phu!$I$1,M983=phu!$I$2,M983=phu!$I$3),"Cam Thành Nam",""),IF(OR(M983=phu!$I$4,M983=phu!$I$5,M983=phu!$I$6,M983=phu!$I$7,M983=phu!$I$8,M983=phu!$I$9,M983=phu!$I$10,M983=phu!$I$11,M983=phu!$I$12,M983=phu!$I$13,M983=phu!$I$14),"Cam Nghĩa",""),IF(OR(M983=phu!$I$15,M983=phu!$I$16,M983=phu!$I$17,M983=phu!$I$18,M983=phu!$I$19,M983=phu!$I$20,M983=phu!$I$21),"Cam Phúc Bắc",""),IF(OR(M983=phu!$I$22,M983=phu!$I$23,M983=phu!$I$24,M983=phu!$I$25),"Cam Phúc Nam",""),IF(OR(M983=phu!$I$26,M983=phu!$I$27,M983=phu!$I$28,M983=phu!$I$29,M983=phu!$I$30,M983=phu!$I$31),"Cam Phú",""),IF(OR(M983=phu!$I$32,M983=phu!$I$33,M983=phu!$I$34,M983=phu!$I$35,M983=phu!$I$36,M983=phu!$I$37),"Cam Lộc",""),IF(OR(M983=phu!$I$38,M983=phu!$I$39,M983=phu!$I$40,M983=phu!$I$41,M983=phu!$I$42,M983=phu!$I$43,M983=phu!$I$44),"Cam Thuận",""),IF(OR(M983=phu!$I$45,M983=phu!$I$46,M983=phu!$I$47,M983=phu!$I$48,M983=phu!$I$49,M983=phu!$I$50,M983=phu!$I$51,M983=phu!$I$52,M983=phu!$I$53),"Cam Linh",""),IF(OR(M983=phu!$I$54,M983=phu!$I$55,M983=phu!$I$56,M983=phu!$I$57,M983=phu!$I$58,M983=phu!$I$59,M983=phu!$I$60,M983=phu!$I$61,M983=phu!$I$62),"Cam Lợi",""),IF(OR(M983=phu!$I$63,M983=phu!$I$64,M983=phu!$I$65,M983=phu!$I$66,M983=phu!$I$67,M983=phu!$I$68,M983=phu!$I$69,M983=phu!$I$70,M983=phu!$I$71),"Ba Ngòi",""),IF(OR(M983=phu!$I$72,M983=phu!$I$73,M983=phu!$I$74,M983=phu!$I$75,M983=phu!$I$76,M983=phu!$I$77,M983=phu!$I$78),"Cam Phước Đông",""),IF(OR(M983=phu!$I$79,M983=phu!$I$80,M983=phu!$I$81,M983=phu!$I$82,M983=phu!$I$83,M983=phu!$I$84),"Cam Thịnh Đông",""),IF(OR(M983=phu!$I$85,M983=phu!$I$86,M983=phu!$I$87,M983=phu!$I$88),"Cam Thịnh Tây",""),IF(OR(M983=phu!$I$89,M983=phu!$I$90),"Cam Lập",""),IF(OR(M983=phu!$I$91,M983=phu!$I$92,M983=phu!$I$93),"Cam Bình",""),IF(OR(M983=phu!$I$94,M983=phu!$I$95,M983=phu!$I$96,M983=phu!$I$97,M983=phu!$I$98,M983=phu!$I$99,M983=phu!$I$100),"Huyện khác",""),IF(OR(M983=phu!$I$101,M983=phu!$I$102),"Tỉnh khác",""))</f>
        <v/>
      </c>
      <c r="O983" s="829" t="str">
        <f t="shared" si="90"/>
        <v/>
      </c>
      <c r="P983" s="254"/>
      <c r="Q983" s="254"/>
      <c r="R983" s="254"/>
      <c r="S983" s="254"/>
      <c r="T983" s="254"/>
      <c r="U983" s="254"/>
      <c r="V983" s="254"/>
      <c r="W983" s="254"/>
      <c r="Y983" s="246" t="str">
        <f t="shared" si="91"/>
        <v/>
      </c>
      <c r="Z983" s="247" t="str">
        <f t="shared" si="95"/>
        <v/>
      </c>
      <c r="AA983" s="246" t="str">
        <f t="shared" si="92"/>
        <v/>
      </c>
    </row>
    <row r="984" spans="1:27" x14ac:dyDescent="0.25">
      <c r="A984" s="248" t="str">
        <f t="shared" si="93"/>
        <v/>
      </c>
      <c r="B984" s="249" t="str">
        <f t="shared" si="94"/>
        <v/>
      </c>
      <c r="C984" s="250"/>
      <c r="D984" s="251"/>
      <c r="E984" s="241"/>
      <c r="F984" s="252"/>
      <c r="G984" s="252"/>
      <c r="H984" s="253"/>
      <c r="I984" s="250"/>
      <c r="J984" s="250"/>
      <c r="K984" s="270"/>
      <c r="L984" s="250"/>
      <c r="M984" s="250"/>
      <c r="N984" s="540" t="str">
        <f>CONCATENATE(IF(OR(M984=phu!$I$1,M984=phu!$I$2,M984=phu!$I$3),"Cam Thành Nam",""),IF(OR(M984=phu!$I$4,M984=phu!$I$5,M984=phu!$I$6,M984=phu!$I$7,M984=phu!$I$8,M984=phu!$I$9,M984=phu!$I$10,M984=phu!$I$11,M984=phu!$I$12,M984=phu!$I$13,M984=phu!$I$14),"Cam Nghĩa",""),IF(OR(M984=phu!$I$15,M984=phu!$I$16,M984=phu!$I$17,M984=phu!$I$18,M984=phu!$I$19,M984=phu!$I$20,M984=phu!$I$21),"Cam Phúc Bắc",""),IF(OR(M984=phu!$I$22,M984=phu!$I$23,M984=phu!$I$24,M984=phu!$I$25),"Cam Phúc Nam",""),IF(OR(M984=phu!$I$26,M984=phu!$I$27,M984=phu!$I$28,M984=phu!$I$29,M984=phu!$I$30,M984=phu!$I$31),"Cam Phú",""),IF(OR(M984=phu!$I$32,M984=phu!$I$33,M984=phu!$I$34,M984=phu!$I$35,M984=phu!$I$36,M984=phu!$I$37),"Cam Lộc",""),IF(OR(M984=phu!$I$38,M984=phu!$I$39,M984=phu!$I$40,M984=phu!$I$41,M984=phu!$I$42,M984=phu!$I$43,M984=phu!$I$44),"Cam Thuận",""),IF(OR(M984=phu!$I$45,M984=phu!$I$46,M984=phu!$I$47,M984=phu!$I$48,M984=phu!$I$49,M984=phu!$I$50,M984=phu!$I$51,M984=phu!$I$52,M984=phu!$I$53),"Cam Linh",""),IF(OR(M984=phu!$I$54,M984=phu!$I$55,M984=phu!$I$56,M984=phu!$I$57,M984=phu!$I$58,M984=phu!$I$59,M984=phu!$I$60,M984=phu!$I$61,M984=phu!$I$62),"Cam Lợi",""),IF(OR(M984=phu!$I$63,M984=phu!$I$64,M984=phu!$I$65,M984=phu!$I$66,M984=phu!$I$67,M984=phu!$I$68,M984=phu!$I$69,M984=phu!$I$70,M984=phu!$I$71),"Ba Ngòi",""),IF(OR(M984=phu!$I$72,M984=phu!$I$73,M984=phu!$I$74,M984=phu!$I$75,M984=phu!$I$76,M984=phu!$I$77,M984=phu!$I$78),"Cam Phước Đông",""),IF(OR(M984=phu!$I$79,M984=phu!$I$80,M984=phu!$I$81,M984=phu!$I$82,M984=phu!$I$83,M984=phu!$I$84),"Cam Thịnh Đông",""),IF(OR(M984=phu!$I$85,M984=phu!$I$86,M984=phu!$I$87,M984=phu!$I$88),"Cam Thịnh Tây",""),IF(OR(M984=phu!$I$89,M984=phu!$I$90),"Cam Lập",""),IF(OR(M984=phu!$I$91,M984=phu!$I$92,M984=phu!$I$93),"Cam Bình",""),IF(OR(M984=phu!$I$94,M984=phu!$I$95,M984=phu!$I$96,M984=phu!$I$97,M984=phu!$I$98,M984=phu!$I$99,M984=phu!$I$100),"Huyện khác",""),IF(OR(M984=phu!$I$101,M984=phu!$I$102),"Tỉnh khác",""))</f>
        <v/>
      </c>
      <c r="O984" s="829" t="str">
        <f t="shared" si="90"/>
        <v/>
      </c>
      <c r="P984" s="254"/>
      <c r="Q984" s="254"/>
      <c r="R984" s="254"/>
      <c r="S984" s="254"/>
      <c r="T984" s="254"/>
      <c r="U984" s="254"/>
      <c r="V984" s="254"/>
      <c r="W984" s="254"/>
      <c r="Y984" s="246" t="str">
        <f t="shared" si="91"/>
        <v/>
      </c>
      <c r="Z984" s="247" t="str">
        <f t="shared" si="95"/>
        <v/>
      </c>
      <c r="AA984" s="246" t="str">
        <f t="shared" si="92"/>
        <v/>
      </c>
    </row>
    <row r="985" spans="1:27" x14ac:dyDescent="0.25">
      <c r="A985" s="248" t="str">
        <f t="shared" si="93"/>
        <v/>
      </c>
      <c r="B985" s="249" t="str">
        <f t="shared" si="94"/>
        <v/>
      </c>
      <c r="C985" s="250"/>
      <c r="D985" s="251"/>
      <c r="E985" s="241"/>
      <c r="F985" s="252"/>
      <c r="G985" s="252"/>
      <c r="H985" s="253"/>
      <c r="I985" s="250"/>
      <c r="J985" s="250"/>
      <c r="K985" s="270"/>
      <c r="L985" s="250"/>
      <c r="M985" s="250"/>
      <c r="N985" s="540" t="str">
        <f>CONCATENATE(IF(OR(M985=phu!$I$1,M985=phu!$I$2,M985=phu!$I$3),"Cam Thành Nam",""),IF(OR(M985=phu!$I$4,M985=phu!$I$5,M985=phu!$I$6,M985=phu!$I$7,M985=phu!$I$8,M985=phu!$I$9,M985=phu!$I$10,M985=phu!$I$11,M985=phu!$I$12,M985=phu!$I$13,M985=phu!$I$14),"Cam Nghĩa",""),IF(OR(M985=phu!$I$15,M985=phu!$I$16,M985=phu!$I$17,M985=phu!$I$18,M985=phu!$I$19,M985=phu!$I$20,M985=phu!$I$21),"Cam Phúc Bắc",""),IF(OR(M985=phu!$I$22,M985=phu!$I$23,M985=phu!$I$24,M985=phu!$I$25),"Cam Phúc Nam",""),IF(OR(M985=phu!$I$26,M985=phu!$I$27,M985=phu!$I$28,M985=phu!$I$29,M985=phu!$I$30,M985=phu!$I$31),"Cam Phú",""),IF(OR(M985=phu!$I$32,M985=phu!$I$33,M985=phu!$I$34,M985=phu!$I$35,M985=phu!$I$36,M985=phu!$I$37),"Cam Lộc",""),IF(OR(M985=phu!$I$38,M985=phu!$I$39,M985=phu!$I$40,M985=phu!$I$41,M985=phu!$I$42,M985=phu!$I$43,M985=phu!$I$44),"Cam Thuận",""),IF(OR(M985=phu!$I$45,M985=phu!$I$46,M985=phu!$I$47,M985=phu!$I$48,M985=phu!$I$49,M985=phu!$I$50,M985=phu!$I$51,M985=phu!$I$52,M985=phu!$I$53),"Cam Linh",""),IF(OR(M985=phu!$I$54,M985=phu!$I$55,M985=phu!$I$56,M985=phu!$I$57,M985=phu!$I$58,M985=phu!$I$59,M985=phu!$I$60,M985=phu!$I$61,M985=phu!$I$62),"Cam Lợi",""),IF(OR(M985=phu!$I$63,M985=phu!$I$64,M985=phu!$I$65,M985=phu!$I$66,M985=phu!$I$67,M985=phu!$I$68,M985=phu!$I$69,M985=phu!$I$70,M985=phu!$I$71),"Ba Ngòi",""),IF(OR(M985=phu!$I$72,M985=phu!$I$73,M985=phu!$I$74,M985=phu!$I$75,M985=phu!$I$76,M985=phu!$I$77,M985=phu!$I$78),"Cam Phước Đông",""),IF(OR(M985=phu!$I$79,M985=phu!$I$80,M985=phu!$I$81,M985=phu!$I$82,M985=phu!$I$83,M985=phu!$I$84),"Cam Thịnh Đông",""),IF(OR(M985=phu!$I$85,M985=phu!$I$86,M985=phu!$I$87,M985=phu!$I$88),"Cam Thịnh Tây",""),IF(OR(M985=phu!$I$89,M985=phu!$I$90),"Cam Lập",""),IF(OR(M985=phu!$I$91,M985=phu!$I$92,M985=phu!$I$93),"Cam Bình",""),IF(OR(M985=phu!$I$94,M985=phu!$I$95,M985=phu!$I$96,M985=phu!$I$97,M985=phu!$I$98,M985=phu!$I$99,M985=phu!$I$100),"Huyện khác",""),IF(OR(M985=phu!$I$101,M985=phu!$I$102),"Tỉnh khác",""))</f>
        <v/>
      </c>
      <c r="O985" s="829" t="str">
        <f t="shared" si="90"/>
        <v/>
      </c>
      <c r="P985" s="254"/>
      <c r="Q985" s="254"/>
      <c r="R985" s="254"/>
      <c r="S985" s="254"/>
      <c r="T985" s="254"/>
      <c r="U985" s="254"/>
      <c r="V985" s="254"/>
      <c r="W985" s="254"/>
      <c r="Y985" s="246" t="str">
        <f t="shared" si="91"/>
        <v/>
      </c>
      <c r="Z985" s="247" t="str">
        <f t="shared" si="95"/>
        <v/>
      </c>
      <c r="AA985" s="246" t="str">
        <f t="shared" si="92"/>
        <v/>
      </c>
    </row>
    <row r="986" spans="1:27" x14ac:dyDescent="0.25">
      <c r="A986" s="248" t="str">
        <f t="shared" si="93"/>
        <v/>
      </c>
      <c r="B986" s="249" t="str">
        <f t="shared" si="94"/>
        <v/>
      </c>
      <c r="C986" s="250"/>
      <c r="D986" s="251"/>
      <c r="E986" s="241"/>
      <c r="F986" s="252"/>
      <c r="G986" s="252"/>
      <c r="H986" s="253"/>
      <c r="I986" s="250"/>
      <c r="J986" s="250"/>
      <c r="K986" s="270"/>
      <c r="L986" s="250"/>
      <c r="M986" s="250"/>
      <c r="N986" s="540" t="str">
        <f>CONCATENATE(IF(OR(M986=phu!$I$1,M986=phu!$I$2,M986=phu!$I$3),"Cam Thành Nam",""),IF(OR(M986=phu!$I$4,M986=phu!$I$5,M986=phu!$I$6,M986=phu!$I$7,M986=phu!$I$8,M986=phu!$I$9,M986=phu!$I$10,M986=phu!$I$11,M986=phu!$I$12,M986=phu!$I$13,M986=phu!$I$14),"Cam Nghĩa",""),IF(OR(M986=phu!$I$15,M986=phu!$I$16,M986=phu!$I$17,M986=phu!$I$18,M986=phu!$I$19,M986=phu!$I$20,M986=phu!$I$21),"Cam Phúc Bắc",""),IF(OR(M986=phu!$I$22,M986=phu!$I$23,M986=phu!$I$24,M986=phu!$I$25),"Cam Phúc Nam",""),IF(OR(M986=phu!$I$26,M986=phu!$I$27,M986=phu!$I$28,M986=phu!$I$29,M986=phu!$I$30,M986=phu!$I$31),"Cam Phú",""),IF(OR(M986=phu!$I$32,M986=phu!$I$33,M986=phu!$I$34,M986=phu!$I$35,M986=phu!$I$36,M986=phu!$I$37),"Cam Lộc",""),IF(OR(M986=phu!$I$38,M986=phu!$I$39,M986=phu!$I$40,M986=phu!$I$41,M986=phu!$I$42,M986=phu!$I$43,M986=phu!$I$44),"Cam Thuận",""),IF(OR(M986=phu!$I$45,M986=phu!$I$46,M986=phu!$I$47,M986=phu!$I$48,M986=phu!$I$49,M986=phu!$I$50,M986=phu!$I$51,M986=phu!$I$52,M986=phu!$I$53),"Cam Linh",""),IF(OR(M986=phu!$I$54,M986=phu!$I$55,M986=phu!$I$56,M986=phu!$I$57,M986=phu!$I$58,M986=phu!$I$59,M986=phu!$I$60,M986=phu!$I$61,M986=phu!$I$62),"Cam Lợi",""),IF(OR(M986=phu!$I$63,M986=phu!$I$64,M986=phu!$I$65,M986=phu!$I$66,M986=phu!$I$67,M986=phu!$I$68,M986=phu!$I$69,M986=phu!$I$70,M986=phu!$I$71),"Ba Ngòi",""),IF(OR(M986=phu!$I$72,M986=phu!$I$73,M986=phu!$I$74,M986=phu!$I$75,M986=phu!$I$76,M986=phu!$I$77,M986=phu!$I$78),"Cam Phước Đông",""),IF(OR(M986=phu!$I$79,M986=phu!$I$80,M986=phu!$I$81,M986=phu!$I$82,M986=phu!$I$83,M986=phu!$I$84),"Cam Thịnh Đông",""),IF(OR(M986=phu!$I$85,M986=phu!$I$86,M986=phu!$I$87,M986=phu!$I$88),"Cam Thịnh Tây",""),IF(OR(M986=phu!$I$89,M986=phu!$I$90),"Cam Lập",""),IF(OR(M986=phu!$I$91,M986=phu!$I$92,M986=phu!$I$93),"Cam Bình",""),IF(OR(M986=phu!$I$94,M986=phu!$I$95,M986=phu!$I$96,M986=phu!$I$97,M986=phu!$I$98,M986=phu!$I$99,M986=phu!$I$100),"Huyện khác",""),IF(OR(M986=phu!$I$101,M986=phu!$I$102),"Tỉnh khác",""))</f>
        <v/>
      </c>
      <c r="O986" s="829" t="str">
        <f t="shared" si="90"/>
        <v/>
      </c>
      <c r="P986" s="254"/>
      <c r="Q986" s="254"/>
      <c r="R986" s="254"/>
      <c r="S986" s="254"/>
      <c r="T986" s="254"/>
      <c r="U986" s="254"/>
      <c r="V986" s="254"/>
      <c r="W986" s="254"/>
      <c r="Y986" s="246" t="str">
        <f t="shared" si="91"/>
        <v/>
      </c>
      <c r="Z986" s="247" t="str">
        <f t="shared" si="95"/>
        <v/>
      </c>
      <c r="AA986" s="246" t="str">
        <f t="shared" si="92"/>
        <v/>
      </c>
    </row>
    <row r="987" spans="1:27" x14ac:dyDescent="0.25">
      <c r="A987" s="248" t="str">
        <f t="shared" si="93"/>
        <v/>
      </c>
      <c r="B987" s="249" t="str">
        <f t="shared" si="94"/>
        <v/>
      </c>
      <c r="C987" s="250"/>
      <c r="D987" s="251"/>
      <c r="E987" s="241"/>
      <c r="F987" s="252"/>
      <c r="G987" s="252"/>
      <c r="H987" s="253"/>
      <c r="I987" s="250"/>
      <c r="J987" s="250"/>
      <c r="K987" s="270"/>
      <c r="L987" s="250"/>
      <c r="M987" s="250"/>
      <c r="N987" s="540" t="str">
        <f>CONCATENATE(IF(OR(M987=phu!$I$1,M987=phu!$I$2,M987=phu!$I$3),"Cam Thành Nam",""),IF(OR(M987=phu!$I$4,M987=phu!$I$5,M987=phu!$I$6,M987=phu!$I$7,M987=phu!$I$8,M987=phu!$I$9,M987=phu!$I$10,M987=phu!$I$11,M987=phu!$I$12,M987=phu!$I$13,M987=phu!$I$14),"Cam Nghĩa",""),IF(OR(M987=phu!$I$15,M987=phu!$I$16,M987=phu!$I$17,M987=phu!$I$18,M987=phu!$I$19,M987=phu!$I$20,M987=phu!$I$21),"Cam Phúc Bắc",""),IF(OR(M987=phu!$I$22,M987=phu!$I$23,M987=phu!$I$24,M987=phu!$I$25),"Cam Phúc Nam",""),IF(OR(M987=phu!$I$26,M987=phu!$I$27,M987=phu!$I$28,M987=phu!$I$29,M987=phu!$I$30,M987=phu!$I$31),"Cam Phú",""),IF(OR(M987=phu!$I$32,M987=phu!$I$33,M987=phu!$I$34,M987=phu!$I$35,M987=phu!$I$36,M987=phu!$I$37),"Cam Lộc",""),IF(OR(M987=phu!$I$38,M987=phu!$I$39,M987=phu!$I$40,M987=phu!$I$41,M987=phu!$I$42,M987=phu!$I$43,M987=phu!$I$44),"Cam Thuận",""),IF(OR(M987=phu!$I$45,M987=phu!$I$46,M987=phu!$I$47,M987=phu!$I$48,M987=phu!$I$49,M987=phu!$I$50,M987=phu!$I$51,M987=phu!$I$52,M987=phu!$I$53),"Cam Linh",""),IF(OR(M987=phu!$I$54,M987=phu!$I$55,M987=phu!$I$56,M987=phu!$I$57,M987=phu!$I$58,M987=phu!$I$59,M987=phu!$I$60,M987=phu!$I$61,M987=phu!$I$62),"Cam Lợi",""),IF(OR(M987=phu!$I$63,M987=phu!$I$64,M987=phu!$I$65,M987=phu!$I$66,M987=phu!$I$67,M987=phu!$I$68,M987=phu!$I$69,M987=phu!$I$70,M987=phu!$I$71),"Ba Ngòi",""),IF(OR(M987=phu!$I$72,M987=phu!$I$73,M987=phu!$I$74,M987=phu!$I$75,M987=phu!$I$76,M987=phu!$I$77,M987=phu!$I$78),"Cam Phước Đông",""),IF(OR(M987=phu!$I$79,M987=phu!$I$80,M987=phu!$I$81,M987=phu!$I$82,M987=phu!$I$83,M987=phu!$I$84),"Cam Thịnh Đông",""),IF(OR(M987=phu!$I$85,M987=phu!$I$86,M987=phu!$I$87,M987=phu!$I$88),"Cam Thịnh Tây",""),IF(OR(M987=phu!$I$89,M987=phu!$I$90),"Cam Lập",""),IF(OR(M987=phu!$I$91,M987=phu!$I$92,M987=phu!$I$93),"Cam Bình",""),IF(OR(M987=phu!$I$94,M987=phu!$I$95,M987=phu!$I$96,M987=phu!$I$97,M987=phu!$I$98,M987=phu!$I$99,M987=phu!$I$100),"Huyện khác",""),IF(OR(M987=phu!$I$101,M987=phu!$I$102),"Tỉnh khác",""))</f>
        <v/>
      </c>
      <c r="O987" s="829" t="str">
        <f t="shared" si="90"/>
        <v/>
      </c>
      <c r="P987" s="254"/>
      <c r="Q987" s="254"/>
      <c r="R987" s="254"/>
      <c r="S987" s="254"/>
      <c r="T987" s="254"/>
      <c r="U987" s="254"/>
      <c r="V987" s="254"/>
      <c r="W987" s="254"/>
      <c r="Y987" s="246" t="str">
        <f t="shared" si="91"/>
        <v/>
      </c>
      <c r="Z987" s="247" t="str">
        <f t="shared" si="95"/>
        <v/>
      </c>
      <c r="AA987" s="246" t="str">
        <f t="shared" si="92"/>
        <v/>
      </c>
    </row>
    <row r="988" spans="1:27" x14ac:dyDescent="0.25">
      <c r="A988" s="248" t="str">
        <f t="shared" si="93"/>
        <v/>
      </c>
      <c r="B988" s="249" t="str">
        <f t="shared" si="94"/>
        <v/>
      </c>
      <c r="C988" s="250"/>
      <c r="D988" s="251"/>
      <c r="E988" s="241"/>
      <c r="F988" s="252"/>
      <c r="G988" s="252"/>
      <c r="H988" s="253"/>
      <c r="I988" s="250"/>
      <c r="J988" s="250"/>
      <c r="K988" s="270"/>
      <c r="L988" s="250"/>
      <c r="M988" s="250"/>
      <c r="N988" s="540" t="str">
        <f>CONCATENATE(IF(OR(M988=phu!$I$1,M988=phu!$I$2,M988=phu!$I$3),"Cam Thành Nam",""),IF(OR(M988=phu!$I$4,M988=phu!$I$5,M988=phu!$I$6,M988=phu!$I$7,M988=phu!$I$8,M988=phu!$I$9,M988=phu!$I$10,M988=phu!$I$11,M988=phu!$I$12,M988=phu!$I$13,M988=phu!$I$14),"Cam Nghĩa",""),IF(OR(M988=phu!$I$15,M988=phu!$I$16,M988=phu!$I$17,M988=phu!$I$18,M988=phu!$I$19,M988=phu!$I$20,M988=phu!$I$21),"Cam Phúc Bắc",""),IF(OR(M988=phu!$I$22,M988=phu!$I$23,M988=phu!$I$24,M988=phu!$I$25),"Cam Phúc Nam",""),IF(OR(M988=phu!$I$26,M988=phu!$I$27,M988=phu!$I$28,M988=phu!$I$29,M988=phu!$I$30,M988=phu!$I$31),"Cam Phú",""),IF(OR(M988=phu!$I$32,M988=phu!$I$33,M988=phu!$I$34,M988=phu!$I$35,M988=phu!$I$36,M988=phu!$I$37),"Cam Lộc",""),IF(OR(M988=phu!$I$38,M988=phu!$I$39,M988=phu!$I$40,M988=phu!$I$41,M988=phu!$I$42,M988=phu!$I$43,M988=phu!$I$44),"Cam Thuận",""),IF(OR(M988=phu!$I$45,M988=phu!$I$46,M988=phu!$I$47,M988=phu!$I$48,M988=phu!$I$49,M988=phu!$I$50,M988=phu!$I$51,M988=phu!$I$52,M988=phu!$I$53),"Cam Linh",""),IF(OR(M988=phu!$I$54,M988=phu!$I$55,M988=phu!$I$56,M988=phu!$I$57,M988=phu!$I$58,M988=phu!$I$59,M988=phu!$I$60,M988=phu!$I$61,M988=phu!$I$62),"Cam Lợi",""),IF(OR(M988=phu!$I$63,M988=phu!$I$64,M988=phu!$I$65,M988=phu!$I$66,M988=phu!$I$67,M988=phu!$I$68,M988=phu!$I$69,M988=phu!$I$70,M988=phu!$I$71),"Ba Ngòi",""),IF(OR(M988=phu!$I$72,M988=phu!$I$73,M988=phu!$I$74,M988=phu!$I$75,M988=phu!$I$76,M988=phu!$I$77,M988=phu!$I$78),"Cam Phước Đông",""),IF(OR(M988=phu!$I$79,M988=phu!$I$80,M988=phu!$I$81,M988=phu!$I$82,M988=phu!$I$83,M988=phu!$I$84),"Cam Thịnh Đông",""),IF(OR(M988=phu!$I$85,M988=phu!$I$86,M988=phu!$I$87,M988=phu!$I$88),"Cam Thịnh Tây",""),IF(OR(M988=phu!$I$89,M988=phu!$I$90),"Cam Lập",""),IF(OR(M988=phu!$I$91,M988=phu!$I$92,M988=phu!$I$93),"Cam Bình",""),IF(OR(M988=phu!$I$94,M988=phu!$I$95,M988=phu!$I$96,M988=phu!$I$97,M988=phu!$I$98,M988=phu!$I$99,M988=phu!$I$100),"Huyện khác",""),IF(OR(M988=phu!$I$101,M988=phu!$I$102),"Tỉnh khác",""))</f>
        <v/>
      </c>
      <c r="O988" s="829" t="str">
        <f t="shared" si="90"/>
        <v/>
      </c>
      <c r="P988" s="254"/>
      <c r="Q988" s="254"/>
      <c r="R988" s="254"/>
      <c r="S988" s="254"/>
      <c r="T988" s="254"/>
      <c r="U988" s="254"/>
      <c r="V988" s="254"/>
      <c r="W988" s="254"/>
      <c r="Y988" s="246" t="str">
        <f t="shared" si="91"/>
        <v/>
      </c>
      <c r="Z988" s="247" t="str">
        <f t="shared" si="95"/>
        <v/>
      </c>
      <c r="AA988" s="246" t="str">
        <f t="shared" si="92"/>
        <v/>
      </c>
    </row>
    <row r="989" spans="1:27" x14ac:dyDescent="0.25">
      <c r="A989" s="248" t="str">
        <f t="shared" si="93"/>
        <v/>
      </c>
      <c r="B989" s="249" t="str">
        <f t="shared" si="94"/>
        <v/>
      </c>
      <c r="C989" s="250"/>
      <c r="D989" s="251"/>
      <c r="E989" s="241"/>
      <c r="F989" s="252"/>
      <c r="G989" s="252"/>
      <c r="H989" s="253"/>
      <c r="I989" s="250"/>
      <c r="J989" s="250"/>
      <c r="K989" s="270"/>
      <c r="L989" s="250"/>
      <c r="M989" s="250"/>
      <c r="N989" s="540" t="str">
        <f>CONCATENATE(IF(OR(M989=phu!$I$1,M989=phu!$I$2,M989=phu!$I$3),"Cam Thành Nam",""),IF(OR(M989=phu!$I$4,M989=phu!$I$5,M989=phu!$I$6,M989=phu!$I$7,M989=phu!$I$8,M989=phu!$I$9,M989=phu!$I$10,M989=phu!$I$11,M989=phu!$I$12,M989=phu!$I$13,M989=phu!$I$14),"Cam Nghĩa",""),IF(OR(M989=phu!$I$15,M989=phu!$I$16,M989=phu!$I$17,M989=phu!$I$18,M989=phu!$I$19,M989=phu!$I$20,M989=phu!$I$21),"Cam Phúc Bắc",""),IF(OR(M989=phu!$I$22,M989=phu!$I$23,M989=phu!$I$24,M989=phu!$I$25),"Cam Phúc Nam",""),IF(OR(M989=phu!$I$26,M989=phu!$I$27,M989=phu!$I$28,M989=phu!$I$29,M989=phu!$I$30,M989=phu!$I$31),"Cam Phú",""),IF(OR(M989=phu!$I$32,M989=phu!$I$33,M989=phu!$I$34,M989=phu!$I$35,M989=phu!$I$36,M989=phu!$I$37),"Cam Lộc",""),IF(OR(M989=phu!$I$38,M989=phu!$I$39,M989=phu!$I$40,M989=phu!$I$41,M989=phu!$I$42,M989=phu!$I$43,M989=phu!$I$44),"Cam Thuận",""),IF(OR(M989=phu!$I$45,M989=phu!$I$46,M989=phu!$I$47,M989=phu!$I$48,M989=phu!$I$49,M989=phu!$I$50,M989=phu!$I$51,M989=phu!$I$52,M989=phu!$I$53),"Cam Linh",""),IF(OR(M989=phu!$I$54,M989=phu!$I$55,M989=phu!$I$56,M989=phu!$I$57,M989=phu!$I$58,M989=phu!$I$59,M989=phu!$I$60,M989=phu!$I$61,M989=phu!$I$62),"Cam Lợi",""),IF(OR(M989=phu!$I$63,M989=phu!$I$64,M989=phu!$I$65,M989=phu!$I$66,M989=phu!$I$67,M989=phu!$I$68,M989=phu!$I$69,M989=phu!$I$70,M989=phu!$I$71),"Ba Ngòi",""),IF(OR(M989=phu!$I$72,M989=phu!$I$73,M989=phu!$I$74,M989=phu!$I$75,M989=phu!$I$76,M989=phu!$I$77,M989=phu!$I$78),"Cam Phước Đông",""),IF(OR(M989=phu!$I$79,M989=phu!$I$80,M989=phu!$I$81,M989=phu!$I$82,M989=phu!$I$83,M989=phu!$I$84),"Cam Thịnh Đông",""),IF(OR(M989=phu!$I$85,M989=phu!$I$86,M989=phu!$I$87,M989=phu!$I$88),"Cam Thịnh Tây",""),IF(OR(M989=phu!$I$89,M989=phu!$I$90),"Cam Lập",""),IF(OR(M989=phu!$I$91,M989=phu!$I$92,M989=phu!$I$93),"Cam Bình",""),IF(OR(M989=phu!$I$94,M989=phu!$I$95,M989=phu!$I$96,M989=phu!$I$97,M989=phu!$I$98,M989=phu!$I$99,M989=phu!$I$100),"Huyện khác",""),IF(OR(M989=phu!$I$101,M989=phu!$I$102),"Tỉnh khác",""))</f>
        <v/>
      </c>
      <c r="O989" s="829" t="str">
        <f t="shared" si="90"/>
        <v/>
      </c>
      <c r="P989" s="254"/>
      <c r="Q989" s="254"/>
      <c r="R989" s="254"/>
      <c r="S989" s="254"/>
      <c r="T989" s="254"/>
      <c r="U989" s="254"/>
      <c r="V989" s="254"/>
      <c r="W989" s="254"/>
      <c r="Y989" s="246" t="str">
        <f t="shared" si="91"/>
        <v/>
      </c>
      <c r="Z989" s="247" t="str">
        <f t="shared" si="95"/>
        <v/>
      </c>
      <c r="AA989" s="246" t="str">
        <f t="shared" si="92"/>
        <v/>
      </c>
    </row>
    <row r="990" spans="1:27" x14ac:dyDescent="0.25">
      <c r="A990" s="248" t="str">
        <f t="shared" si="93"/>
        <v/>
      </c>
      <c r="B990" s="249" t="str">
        <f t="shared" si="94"/>
        <v/>
      </c>
      <c r="C990" s="250"/>
      <c r="D990" s="251"/>
      <c r="E990" s="241"/>
      <c r="F990" s="252"/>
      <c r="G990" s="252"/>
      <c r="H990" s="253"/>
      <c r="I990" s="250"/>
      <c r="J990" s="250"/>
      <c r="K990" s="270"/>
      <c r="L990" s="250"/>
      <c r="M990" s="250"/>
      <c r="N990" s="540" t="str">
        <f>CONCATENATE(IF(OR(M990=phu!$I$1,M990=phu!$I$2,M990=phu!$I$3),"Cam Thành Nam",""),IF(OR(M990=phu!$I$4,M990=phu!$I$5,M990=phu!$I$6,M990=phu!$I$7,M990=phu!$I$8,M990=phu!$I$9,M990=phu!$I$10,M990=phu!$I$11,M990=phu!$I$12,M990=phu!$I$13,M990=phu!$I$14),"Cam Nghĩa",""),IF(OR(M990=phu!$I$15,M990=phu!$I$16,M990=phu!$I$17,M990=phu!$I$18,M990=phu!$I$19,M990=phu!$I$20,M990=phu!$I$21),"Cam Phúc Bắc",""),IF(OR(M990=phu!$I$22,M990=phu!$I$23,M990=phu!$I$24,M990=phu!$I$25),"Cam Phúc Nam",""),IF(OR(M990=phu!$I$26,M990=phu!$I$27,M990=phu!$I$28,M990=phu!$I$29,M990=phu!$I$30,M990=phu!$I$31),"Cam Phú",""),IF(OR(M990=phu!$I$32,M990=phu!$I$33,M990=phu!$I$34,M990=phu!$I$35,M990=phu!$I$36,M990=phu!$I$37),"Cam Lộc",""),IF(OR(M990=phu!$I$38,M990=phu!$I$39,M990=phu!$I$40,M990=phu!$I$41,M990=phu!$I$42,M990=phu!$I$43,M990=phu!$I$44),"Cam Thuận",""),IF(OR(M990=phu!$I$45,M990=phu!$I$46,M990=phu!$I$47,M990=phu!$I$48,M990=phu!$I$49,M990=phu!$I$50,M990=phu!$I$51,M990=phu!$I$52,M990=phu!$I$53),"Cam Linh",""),IF(OR(M990=phu!$I$54,M990=phu!$I$55,M990=phu!$I$56,M990=phu!$I$57,M990=phu!$I$58,M990=phu!$I$59,M990=phu!$I$60,M990=phu!$I$61,M990=phu!$I$62),"Cam Lợi",""),IF(OR(M990=phu!$I$63,M990=phu!$I$64,M990=phu!$I$65,M990=phu!$I$66,M990=phu!$I$67,M990=phu!$I$68,M990=phu!$I$69,M990=phu!$I$70,M990=phu!$I$71),"Ba Ngòi",""),IF(OR(M990=phu!$I$72,M990=phu!$I$73,M990=phu!$I$74,M990=phu!$I$75,M990=phu!$I$76,M990=phu!$I$77,M990=phu!$I$78),"Cam Phước Đông",""),IF(OR(M990=phu!$I$79,M990=phu!$I$80,M990=phu!$I$81,M990=phu!$I$82,M990=phu!$I$83,M990=phu!$I$84),"Cam Thịnh Đông",""),IF(OR(M990=phu!$I$85,M990=phu!$I$86,M990=phu!$I$87,M990=phu!$I$88),"Cam Thịnh Tây",""),IF(OR(M990=phu!$I$89,M990=phu!$I$90),"Cam Lập",""),IF(OR(M990=phu!$I$91,M990=phu!$I$92,M990=phu!$I$93),"Cam Bình",""),IF(OR(M990=phu!$I$94,M990=phu!$I$95,M990=phu!$I$96,M990=phu!$I$97,M990=phu!$I$98,M990=phu!$I$99,M990=phu!$I$100),"Huyện khác",""),IF(OR(M990=phu!$I$101,M990=phu!$I$102),"Tỉnh khác",""))</f>
        <v/>
      </c>
      <c r="O990" s="829" t="str">
        <f t="shared" si="90"/>
        <v/>
      </c>
      <c r="P990" s="254"/>
      <c r="Q990" s="254"/>
      <c r="R990" s="254"/>
      <c r="S990" s="254"/>
      <c r="T990" s="254"/>
      <c r="U990" s="254"/>
      <c r="V990" s="254"/>
      <c r="W990" s="254"/>
      <c r="Y990" s="246" t="str">
        <f t="shared" si="91"/>
        <v/>
      </c>
      <c r="Z990" s="247" t="str">
        <f t="shared" si="95"/>
        <v/>
      </c>
      <c r="AA990" s="246" t="str">
        <f t="shared" si="92"/>
        <v/>
      </c>
    </row>
    <row r="991" spans="1:27" x14ac:dyDescent="0.25">
      <c r="A991" s="248" t="str">
        <f t="shared" si="93"/>
        <v/>
      </c>
      <c r="B991" s="249" t="str">
        <f t="shared" si="94"/>
        <v/>
      </c>
      <c r="C991" s="250"/>
      <c r="D991" s="251"/>
      <c r="E991" s="241"/>
      <c r="F991" s="252"/>
      <c r="G991" s="252"/>
      <c r="H991" s="253"/>
      <c r="I991" s="250"/>
      <c r="J991" s="250"/>
      <c r="K991" s="270"/>
      <c r="L991" s="250"/>
      <c r="M991" s="250"/>
      <c r="N991" s="540" t="str">
        <f>CONCATENATE(IF(OR(M991=phu!$I$1,M991=phu!$I$2,M991=phu!$I$3),"Cam Thành Nam",""),IF(OR(M991=phu!$I$4,M991=phu!$I$5,M991=phu!$I$6,M991=phu!$I$7,M991=phu!$I$8,M991=phu!$I$9,M991=phu!$I$10,M991=phu!$I$11,M991=phu!$I$12,M991=phu!$I$13,M991=phu!$I$14),"Cam Nghĩa",""),IF(OR(M991=phu!$I$15,M991=phu!$I$16,M991=phu!$I$17,M991=phu!$I$18,M991=phu!$I$19,M991=phu!$I$20,M991=phu!$I$21),"Cam Phúc Bắc",""),IF(OR(M991=phu!$I$22,M991=phu!$I$23,M991=phu!$I$24,M991=phu!$I$25),"Cam Phúc Nam",""),IF(OR(M991=phu!$I$26,M991=phu!$I$27,M991=phu!$I$28,M991=phu!$I$29,M991=phu!$I$30,M991=phu!$I$31),"Cam Phú",""),IF(OR(M991=phu!$I$32,M991=phu!$I$33,M991=phu!$I$34,M991=phu!$I$35,M991=phu!$I$36,M991=phu!$I$37),"Cam Lộc",""),IF(OR(M991=phu!$I$38,M991=phu!$I$39,M991=phu!$I$40,M991=phu!$I$41,M991=phu!$I$42,M991=phu!$I$43,M991=phu!$I$44),"Cam Thuận",""),IF(OR(M991=phu!$I$45,M991=phu!$I$46,M991=phu!$I$47,M991=phu!$I$48,M991=phu!$I$49,M991=phu!$I$50,M991=phu!$I$51,M991=phu!$I$52,M991=phu!$I$53),"Cam Linh",""),IF(OR(M991=phu!$I$54,M991=phu!$I$55,M991=phu!$I$56,M991=phu!$I$57,M991=phu!$I$58,M991=phu!$I$59,M991=phu!$I$60,M991=phu!$I$61,M991=phu!$I$62),"Cam Lợi",""),IF(OR(M991=phu!$I$63,M991=phu!$I$64,M991=phu!$I$65,M991=phu!$I$66,M991=phu!$I$67,M991=phu!$I$68,M991=phu!$I$69,M991=phu!$I$70,M991=phu!$I$71),"Ba Ngòi",""),IF(OR(M991=phu!$I$72,M991=phu!$I$73,M991=phu!$I$74,M991=phu!$I$75,M991=phu!$I$76,M991=phu!$I$77,M991=phu!$I$78),"Cam Phước Đông",""),IF(OR(M991=phu!$I$79,M991=phu!$I$80,M991=phu!$I$81,M991=phu!$I$82,M991=phu!$I$83,M991=phu!$I$84),"Cam Thịnh Đông",""),IF(OR(M991=phu!$I$85,M991=phu!$I$86,M991=phu!$I$87,M991=phu!$I$88),"Cam Thịnh Tây",""),IF(OR(M991=phu!$I$89,M991=phu!$I$90),"Cam Lập",""),IF(OR(M991=phu!$I$91,M991=phu!$I$92,M991=phu!$I$93),"Cam Bình",""),IF(OR(M991=phu!$I$94,M991=phu!$I$95,M991=phu!$I$96,M991=phu!$I$97,M991=phu!$I$98,M991=phu!$I$99,M991=phu!$I$100),"Huyện khác",""),IF(OR(M991=phu!$I$101,M991=phu!$I$102),"Tỉnh khác",""))</f>
        <v/>
      </c>
      <c r="O991" s="829" t="str">
        <f t="shared" si="90"/>
        <v/>
      </c>
      <c r="P991" s="254"/>
      <c r="Q991" s="254"/>
      <c r="R991" s="254"/>
      <c r="S991" s="254"/>
      <c r="T991" s="254"/>
      <c r="U991" s="254"/>
      <c r="V991" s="254"/>
      <c r="W991" s="254"/>
      <c r="Y991" s="246" t="str">
        <f t="shared" si="91"/>
        <v/>
      </c>
      <c r="Z991" s="247" t="str">
        <f t="shared" si="95"/>
        <v/>
      </c>
      <c r="AA991" s="246" t="str">
        <f t="shared" si="92"/>
        <v/>
      </c>
    </row>
    <row r="992" spans="1:27" x14ac:dyDescent="0.25">
      <c r="A992" s="248" t="str">
        <f t="shared" si="93"/>
        <v/>
      </c>
      <c r="B992" s="249" t="str">
        <f t="shared" si="94"/>
        <v/>
      </c>
      <c r="C992" s="250"/>
      <c r="D992" s="251"/>
      <c r="E992" s="241"/>
      <c r="F992" s="252"/>
      <c r="G992" s="252"/>
      <c r="H992" s="253"/>
      <c r="I992" s="250"/>
      <c r="J992" s="250"/>
      <c r="K992" s="270"/>
      <c r="L992" s="250"/>
      <c r="M992" s="250"/>
      <c r="N992" s="540" t="str">
        <f>CONCATENATE(IF(OR(M992=phu!$I$1,M992=phu!$I$2,M992=phu!$I$3),"Cam Thành Nam",""),IF(OR(M992=phu!$I$4,M992=phu!$I$5,M992=phu!$I$6,M992=phu!$I$7,M992=phu!$I$8,M992=phu!$I$9,M992=phu!$I$10,M992=phu!$I$11,M992=phu!$I$12,M992=phu!$I$13,M992=phu!$I$14),"Cam Nghĩa",""),IF(OR(M992=phu!$I$15,M992=phu!$I$16,M992=phu!$I$17,M992=phu!$I$18,M992=phu!$I$19,M992=phu!$I$20,M992=phu!$I$21),"Cam Phúc Bắc",""),IF(OR(M992=phu!$I$22,M992=phu!$I$23,M992=phu!$I$24,M992=phu!$I$25),"Cam Phúc Nam",""),IF(OR(M992=phu!$I$26,M992=phu!$I$27,M992=phu!$I$28,M992=phu!$I$29,M992=phu!$I$30,M992=phu!$I$31),"Cam Phú",""),IF(OR(M992=phu!$I$32,M992=phu!$I$33,M992=phu!$I$34,M992=phu!$I$35,M992=phu!$I$36,M992=phu!$I$37),"Cam Lộc",""),IF(OR(M992=phu!$I$38,M992=phu!$I$39,M992=phu!$I$40,M992=phu!$I$41,M992=phu!$I$42,M992=phu!$I$43,M992=phu!$I$44),"Cam Thuận",""),IF(OR(M992=phu!$I$45,M992=phu!$I$46,M992=phu!$I$47,M992=phu!$I$48,M992=phu!$I$49,M992=phu!$I$50,M992=phu!$I$51,M992=phu!$I$52,M992=phu!$I$53),"Cam Linh",""),IF(OR(M992=phu!$I$54,M992=phu!$I$55,M992=phu!$I$56,M992=phu!$I$57,M992=phu!$I$58,M992=phu!$I$59,M992=phu!$I$60,M992=phu!$I$61,M992=phu!$I$62),"Cam Lợi",""),IF(OR(M992=phu!$I$63,M992=phu!$I$64,M992=phu!$I$65,M992=phu!$I$66,M992=phu!$I$67,M992=phu!$I$68,M992=phu!$I$69,M992=phu!$I$70,M992=phu!$I$71),"Ba Ngòi",""),IF(OR(M992=phu!$I$72,M992=phu!$I$73,M992=phu!$I$74,M992=phu!$I$75,M992=phu!$I$76,M992=phu!$I$77,M992=phu!$I$78),"Cam Phước Đông",""),IF(OR(M992=phu!$I$79,M992=phu!$I$80,M992=phu!$I$81,M992=phu!$I$82,M992=phu!$I$83,M992=phu!$I$84),"Cam Thịnh Đông",""),IF(OR(M992=phu!$I$85,M992=phu!$I$86,M992=phu!$I$87,M992=phu!$I$88),"Cam Thịnh Tây",""),IF(OR(M992=phu!$I$89,M992=phu!$I$90),"Cam Lập",""),IF(OR(M992=phu!$I$91,M992=phu!$I$92,M992=phu!$I$93),"Cam Bình",""),IF(OR(M992=phu!$I$94,M992=phu!$I$95,M992=phu!$I$96,M992=phu!$I$97,M992=phu!$I$98,M992=phu!$I$99,M992=phu!$I$100),"Huyện khác",""),IF(OR(M992=phu!$I$101,M992=phu!$I$102),"Tỉnh khác",""))</f>
        <v/>
      </c>
      <c r="O992" s="829" t="str">
        <f t="shared" si="90"/>
        <v/>
      </c>
      <c r="P992" s="254"/>
      <c r="Q992" s="254"/>
      <c r="R992" s="254"/>
      <c r="S992" s="254"/>
      <c r="T992" s="254"/>
      <c r="U992" s="254"/>
      <c r="V992" s="254"/>
      <c r="W992" s="254"/>
      <c r="Y992" s="246" t="str">
        <f t="shared" si="91"/>
        <v/>
      </c>
      <c r="Z992" s="247" t="str">
        <f t="shared" si="95"/>
        <v/>
      </c>
      <c r="AA992" s="246" t="str">
        <f t="shared" si="92"/>
        <v/>
      </c>
    </row>
    <row r="993" spans="1:27" x14ac:dyDescent="0.25">
      <c r="A993" s="248" t="str">
        <f t="shared" si="93"/>
        <v/>
      </c>
      <c r="B993" s="249" t="str">
        <f t="shared" si="94"/>
        <v/>
      </c>
      <c r="C993" s="250"/>
      <c r="D993" s="251"/>
      <c r="E993" s="241"/>
      <c r="F993" s="252"/>
      <c r="G993" s="252"/>
      <c r="H993" s="253"/>
      <c r="I993" s="250"/>
      <c r="J993" s="250"/>
      <c r="K993" s="270"/>
      <c r="L993" s="250"/>
      <c r="M993" s="250"/>
      <c r="N993" s="540" t="str">
        <f>CONCATENATE(IF(OR(M993=phu!$I$1,M993=phu!$I$2,M993=phu!$I$3),"Cam Thành Nam",""),IF(OR(M993=phu!$I$4,M993=phu!$I$5,M993=phu!$I$6,M993=phu!$I$7,M993=phu!$I$8,M993=phu!$I$9,M993=phu!$I$10,M993=phu!$I$11,M993=phu!$I$12,M993=phu!$I$13,M993=phu!$I$14),"Cam Nghĩa",""),IF(OR(M993=phu!$I$15,M993=phu!$I$16,M993=phu!$I$17,M993=phu!$I$18,M993=phu!$I$19,M993=phu!$I$20,M993=phu!$I$21),"Cam Phúc Bắc",""),IF(OR(M993=phu!$I$22,M993=phu!$I$23,M993=phu!$I$24,M993=phu!$I$25),"Cam Phúc Nam",""),IF(OR(M993=phu!$I$26,M993=phu!$I$27,M993=phu!$I$28,M993=phu!$I$29,M993=phu!$I$30,M993=phu!$I$31),"Cam Phú",""),IF(OR(M993=phu!$I$32,M993=phu!$I$33,M993=phu!$I$34,M993=phu!$I$35,M993=phu!$I$36,M993=phu!$I$37),"Cam Lộc",""),IF(OR(M993=phu!$I$38,M993=phu!$I$39,M993=phu!$I$40,M993=phu!$I$41,M993=phu!$I$42,M993=phu!$I$43,M993=phu!$I$44),"Cam Thuận",""),IF(OR(M993=phu!$I$45,M993=phu!$I$46,M993=phu!$I$47,M993=phu!$I$48,M993=phu!$I$49,M993=phu!$I$50,M993=phu!$I$51,M993=phu!$I$52,M993=phu!$I$53),"Cam Linh",""),IF(OR(M993=phu!$I$54,M993=phu!$I$55,M993=phu!$I$56,M993=phu!$I$57,M993=phu!$I$58,M993=phu!$I$59,M993=phu!$I$60,M993=phu!$I$61,M993=phu!$I$62),"Cam Lợi",""),IF(OR(M993=phu!$I$63,M993=phu!$I$64,M993=phu!$I$65,M993=phu!$I$66,M993=phu!$I$67,M993=phu!$I$68,M993=phu!$I$69,M993=phu!$I$70,M993=phu!$I$71),"Ba Ngòi",""),IF(OR(M993=phu!$I$72,M993=phu!$I$73,M993=phu!$I$74,M993=phu!$I$75,M993=phu!$I$76,M993=phu!$I$77,M993=phu!$I$78),"Cam Phước Đông",""),IF(OR(M993=phu!$I$79,M993=phu!$I$80,M993=phu!$I$81,M993=phu!$I$82,M993=phu!$I$83,M993=phu!$I$84),"Cam Thịnh Đông",""),IF(OR(M993=phu!$I$85,M993=phu!$I$86,M993=phu!$I$87,M993=phu!$I$88),"Cam Thịnh Tây",""),IF(OR(M993=phu!$I$89,M993=phu!$I$90),"Cam Lập",""),IF(OR(M993=phu!$I$91,M993=phu!$I$92,M993=phu!$I$93),"Cam Bình",""),IF(OR(M993=phu!$I$94,M993=phu!$I$95,M993=phu!$I$96,M993=phu!$I$97,M993=phu!$I$98,M993=phu!$I$99,M993=phu!$I$100),"Huyện khác",""),IF(OR(M993=phu!$I$101,M993=phu!$I$102),"Tỉnh khác",""))</f>
        <v/>
      </c>
      <c r="O993" s="829" t="str">
        <f t="shared" si="90"/>
        <v/>
      </c>
      <c r="P993" s="254"/>
      <c r="Q993" s="254"/>
      <c r="R993" s="254"/>
      <c r="S993" s="254"/>
      <c r="T993" s="254"/>
      <c r="U993" s="254"/>
      <c r="V993" s="254"/>
      <c r="W993" s="254"/>
      <c r="Y993" s="246" t="str">
        <f t="shared" si="91"/>
        <v/>
      </c>
      <c r="Z993" s="247" t="str">
        <f t="shared" si="95"/>
        <v/>
      </c>
      <c r="AA993" s="246" t="str">
        <f t="shared" si="92"/>
        <v/>
      </c>
    </row>
    <row r="994" spans="1:27" x14ac:dyDescent="0.25">
      <c r="A994" s="248" t="str">
        <f t="shared" si="93"/>
        <v/>
      </c>
      <c r="B994" s="249" t="str">
        <f t="shared" si="94"/>
        <v/>
      </c>
      <c r="C994" s="250"/>
      <c r="D994" s="251"/>
      <c r="E994" s="241"/>
      <c r="F994" s="252"/>
      <c r="G994" s="252"/>
      <c r="H994" s="253"/>
      <c r="I994" s="250"/>
      <c r="J994" s="250"/>
      <c r="K994" s="270"/>
      <c r="L994" s="250"/>
      <c r="M994" s="250"/>
      <c r="N994" s="540" t="str">
        <f>CONCATENATE(IF(OR(M994=phu!$I$1,M994=phu!$I$2,M994=phu!$I$3),"Cam Thành Nam",""),IF(OR(M994=phu!$I$4,M994=phu!$I$5,M994=phu!$I$6,M994=phu!$I$7,M994=phu!$I$8,M994=phu!$I$9,M994=phu!$I$10,M994=phu!$I$11,M994=phu!$I$12,M994=phu!$I$13,M994=phu!$I$14),"Cam Nghĩa",""),IF(OR(M994=phu!$I$15,M994=phu!$I$16,M994=phu!$I$17,M994=phu!$I$18,M994=phu!$I$19,M994=phu!$I$20,M994=phu!$I$21),"Cam Phúc Bắc",""),IF(OR(M994=phu!$I$22,M994=phu!$I$23,M994=phu!$I$24,M994=phu!$I$25),"Cam Phúc Nam",""),IF(OR(M994=phu!$I$26,M994=phu!$I$27,M994=phu!$I$28,M994=phu!$I$29,M994=phu!$I$30,M994=phu!$I$31),"Cam Phú",""),IF(OR(M994=phu!$I$32,M994=phu!$I$33,M994=phu!$I$34,M994=phu!$I$35,M994=phu!$I$36,M994=phu!$I$37),"Cam Lộc",""),IF(OR(M994=phu!$I$38,M994=phu!$I$39,M994=phu!$I$40,M994=phu!$I$41,M994=phu!$I$42,M994=phu!$I$43,M994=phu!$I$44),"Cam Thuận",""),IF(OR(M994=phu!$I$45,M994=phu!$I$46,M994=phu!$I$47,M994=phu!$I$48,M994=phu!$I$49,M994=phu!$I$50,M994=phu!$I$51,M994=phu!$I$52,M994=phu!$I$53),"Cam Linh",""),IF(OR(M994=phu!$I$54,M994=phu!$I$55,M994=phu!$I$56,M994=phu!$I$57,M994=phu!$I$58,M994=phu!$I$59,M994=phu!$I$60,M994=phu!$I$61,M994=phu!$I$62),"Cam Lợi",""),IF(OR(M994=phu!$I$63,M994=phu!$I$64,M994=phu!$I$65,M994=phu!$I$66,M994=phu!$I$67,M994=phu!$I$68,M994=phu!$I$69,M994=phu!$I$70,M994=phu!$I$71),"Ba Ngòi",""),IF(OR(M994=phu!$I$72,M994=phu!$I$73,M994=phu!$I$74,M994=phu!$I$75,M994=phu!$I$76,M994=phu!$I$77,M994=phu!$I$78),"Cam Phước Đông",""),IF(OR(M994=phu!$I$79,M994=phu!$I$80,M994=phu!$I$81,M994=phu!$I$82,M994=phu!$I$83,M994=phu!$I$84),"Cam Thịnh Đông",""),IF(OR(M994=phu!$I$85,M994=phu!$I$86,M994=phu!$I$87,M994=phu!$I$88),"Cam Thịnh Tây",""),IF(OR(M994=phu!$I$89,M994=phu!$I$90),"Cam Lập",""),IF(OR(M994=phu!$I$91,M994=phu!$I$92,M994=phu!$I$93),"Cam Bình",""),IF(OR(M994=phu!$I$94,M994=phu!$I$95,M994=phu!$I$96,M994=phu!$I$97,M994=phu!$I$98,M994=phu!$I$99,M994=phu!$I$100),"Huyện khác",""),IF(OR(M994=phu!$I$101,M994=phu!$I$102),"Tỉnh khác",""))</f>
        <v/>
      </c>
      <c r="O994" s="829" t="str">
        <f t="shared" si="90"/>
        <v/>
      </c>
      <c r="P994" s="254"/>
      <c r="Q994" s="254"/>
      <c r="R994" s="254"/>
      <c r="S994" s="254"/>
      <c r="T994" s="254"/>
      <c r="U994" s="254"/>
      <c r="V994" s="254"/>
      <c r="W994" s="254"/>
      <c r="Y994" s="246" t="str">
        <f t="shared" si="91"/>
        <v/>
      </c>
      <c r="Z994" s="247" t="str">
        <f t="shared" si="95"/>
        <v/>
      </c>
      <c r="AA994" s="246" t="str">
        <f t="shared" si="92"/>
        <v/>
      </c>
    </row>
    <row r="995" spans="1:27" x14ac:dyDescent="0.25">
      <c r="A995" s="248" t="str">
        <f t="shared" si="93"/>
        <v/>
      </c>
      <c r="B995" s="249" t="str">
        <f t="shared" si="94"/>
        <v/>
      </c>
      <c r="C995" s="250"/>
      <c r="D995" s="251"/>
      <c r="E995" s="241"/>
      <c r="F995" s="252"/>
      <c r="G995" s="252"/>
      <c r="H995" s="253"/>
      <c r="I995" s="250"/>
      <c r="J995" s="250"/>
      <c r="K995" s="270"/>
      <c r="L995" s="250"/>
      <c r="M995" s="250"/>
      <c r="N995" s="540" t="str">
        <f>CONCATENATE(IF(OR(M995=phu!$I$1,M995=phu!$I$2,M995=phu!$I$3),"Cam Thành Nam",""),IF(OR(M995=phu!$I$4,M995=phu!$I$5,M995=phu!$I$6,M995=phu!$I$7,M995=phu!$I$8,M995=phu!$I$9,M995=phu!$I$10,M995=phu!$I$11,M995=phu!$I$12,M995=phu!$I$13,M995=phu!$I$14),"Cam Nghĩa",""),IF(OR(M995=phu!$I$15,M995=phu!$I$16,M995=phu!$I$17,M995=phu!$I$18,M995=phu!$I$19,M995=phu!$I$20,M995=phu!$I$21),"Cam Phúc Bắc",""),IF(OR(M995=phu!$I$22,M995=phu!$I$23,M995=phu!$I$24,M995=phu!$I$25),"Cam Phúc Nam",""),IF(OR(M995=phu!$I$26,M995=phu!$I$27,M995=phu!$I$28,M995=phu!$I$29,M995=phu!$I$30,M995=phu!$I$31),"Cam Phú",""),IF(OR(M995=phu!$I$32,M995=phu!$I$33,M995=phu!$I$34,M995=phu!$I$35,M995=phu!$I$36,M995=phu!$I$37),"Cam Lộc",""),IF(OR(M995=phu!$I$38,M995=phu!$I$39,M995=phu!$I$40,M995=phu!$I$41,M995=phu!$I$42,M995=phu!$I$43,M995=phu!$I$44),"Cam Thuận",""),IF(OR(M995=phu!$I$45,M995=phu!$I$46,M995=phu!$I$47,M995=phu!$I$48,M995=phu!$I$49,M995=phu!$I$50,M995=phu!$I$51,M995=phu!$I$52,M995=phu!$I$53),"Cam Linh",""),IF(OR(M995=phu!$I$54,M995=phu!$I$55,M995=phu!$I$56,M995=phu!$I$57,M995=phu!$I$58,M995=phu!$I$59,M995=phu!$I$60,M995=phu!$I$61,M995=phu!$I$62),"Cam Lợi",""),IF(OR(M995=phu!$I$63,M995=phu!$I$64,M995=phu!$I$65,M995=phu!$I$66,M995=phu!$I$67,M995=phu!$I$68,M995=phu!$I$69,M995=phu!$I$70,M995=phu!$I$71),"Ba Ngòi",""),IF(OR(M995=phu!$I$72,M995=phu!$I$73,M995=phu!$I$74,M995=phu!$I$75,M995=phu!$I$76,M995=phu!$I$77,M995=phu!$I$78),"Cam Phước Đông",""),IF(OR(M995=phu!$I$79,M995=phu!$I$80,M995=phu!$I$81,M995=phu!$I$82,M995=phu!$I$83,M995=phu!$I$84),"Cam Thịnh Đông",""),IF(OR(M995=phu!$I$85,M995=phu!$I$86,M995=phu!$I$87,M995=phu!$I$88),"Cam Thịnh Tây",""),IF(OR(M995=phu!$I$89,M995=phu!$I$90),"Cam Lập",""),IF(OR(M995=phu!$I$91,M995=phu!$I$92,M995=phu!$I$93),"Cam Bình",""),IF(OR(M995=phu!$I$94,M995=phu!$I$95,M995=phu!$I$96,M995=phu!$I$97,M995=phu!$I$98,M995=phu!$I$99,M995=phu!$I$100),"Huyện khác",""),IF(OR(M995=phu!$I$101,M995=phu!$I$102),"Tỉnh khác",""))</f>
        <v/>
      </c>
      <c r="O995" s="829" t="str">
        <f t="shared" si="90"/>
        <v/>
      </c>
      <c r="P995" s="254"/>
      <c r="Q995" s="254"/>
      <c r="R995" s="254"/>
      <c r="S995" s="254"/>
      <c r="T995" s="254"/>
      <c r="U995" s="254"/>
      <c r="V995" s="254"/>
      <c r="W995" s="254"/>
      <c r="Y995" s="246" t="str">
        <f t="shared" si="91"/>
        <v/>
      </c>
      <c r="Z995" s="247" t="str">
        <f t="shared" si="95"/>
        <v/>
      </c>
      <c r="AA995" s="246" t="str">
        <f t="shared" si="92"/>
        <v/>
      </c>
    </row>
    <row r="996" spans="1:27" x14ac:dyDescent="0.25">
      <c r="A996" s="248" t="str">
        <f t="shared" si="93"/>
        <v/>
      </c>
      <c r="B996" s="249" t="str">
        <f t="shared" si="94"/>
        <v/>
      </c>
      <c r="C996" s="250"/>
      <c r="D996" s="251"/>
      <c r="E996" s="241"/>
      <c r="F996" s="252"/>
      <c r="G996" s="252"/>
      <c r="H996" s="253"/>
      <c r="I996" s="250"/>
      <c r="J996" s="250"/>
      <c r="K996" s="270"/>
      <c r="L996" s="250"/>
      <c r="M996" s="250"/>
      <c r="N996" s="540" t="str">
        <f>CONCATENATE(IF(OR(M996=phu!$I$1,M996=phu!$I$2,M996=phu!$I$3),"Cam Thành Nam",""),IF(OR(M996=phu!$I$4,M996=phu!$I$5,M996=phu!$I$6,M996=phu!$I$7,M996=phu!$I$8,M996=phu!$I$9,M996=phu!$I$10,M996=phu!$I$11,M996=phu!$I$12,M996=phu!$I$13,M996=phu!$I$14),"Cam Nghĩa",""),IF(OR(M996=phu!$I$15,M996=phu!$I$16,M996=phu!$I$17,M996=phu!$I$18,M996=phu!$I$19,M996=phu!$I$20,M996=phu!$I$21),"Cam Phúc Bắc",""),IF(OR(M996=phu!$I$22,M996=phu!$I$23,M996=phu!$I$24,M996=phu!$I$25),"Cam Phúc Nam",""),IF(OR(M996=phu!$I$26,M996=phu!$I$27,M996=phu!$I$28,M996=phu!$I$29,M996=phu!$I$30,M996=phu!$I$31),"Cam Phú",""),IF(OR(M996=phu!$I$32,M996=phu!$I$33,M996=phu!$I$34,M996=phu!$I$35,M996=phu!$I$36,M996=phu!$I$37),"Cam Lộc",""),IF(OR(M996=phu!$I$38,M996=phu!$I$39,M996=phu!$I$40,M996=phu!$I$41,M996=phu!$I$42,M996=phu!$I$43,M996=phu!$I$44),"Cam Thuận",""),IF(OR(M996=phu!$I$45,M996=phu!$I$46,M996=phu!$I$47,M996=phu!$I$48,M996=phu!$I$49,M996=phu!$I$50,M996=phu!$I$51,M996=phu!$I$52,M996=phu!$I$53),"Cam Linh",""),IF(OR(M996=phu!$I$54,M996=phu!$I$55,M996=phu!$I$56,M996=phu!$I$57,M996=phu!$I$58,M996=phu!$I$59,M996=phu!$I$60,M996=phu!$I$61,M996=phu!$I$62),"Cam Lợi",""),IF(OR(M996=phu!$I$63,M996=phu!$I$64,M996=phu!$I$65,M996=phu!$I$66,M996=phu!$I$67,M996=phu!$I$68,M996=phu!$I$69,M996=phu!$I$70,M996=phu!$I$71),"Ba Ngòi",""),IF(OR(M996=phu!$I$72,M996=phu!$I$73,M996=phu!$I$74,M996=phu!$I$75,M996=phu!$I$76,M996=phu!$I$77,M996=phu!$I$78),"Cam Phước Đông",""),IF(OR(M996=phu!$I$79,M996=phu!$I$80,M996=phu!$I$81,M996=phu!$I$82,M996=phu!$I$83,M996=phu!$I$84),"Cam Thịnh Đông",""),IF(OR(M996=phu!$I$85,M996=phu!$I$86,M996=phu!$I$87,M996=phu!$I$88),"Cam Thịnh Tây",""),IF(OR(M996=phu!$I$89,M996=phu!$I$90),"Cam Lập",""),IF(OR(M996=phu!$I$91,M996=phu!$I$92,M996=phu!$I$93),"Cam Bình",""),IF(OR(M996=phu!$I$94,M996=phu!$I$95,M996=phu!$I$96,M996=phu!$I$97,M996=phu!$I$98,M996=phu!$I$99,M996=phu!$I$100),"Huyện khác",""),IF(OR(M996=phu!$I$101,M996=phu!$I$102),"Tỉnh khác",""))</f>
        <v/>
      </c>
      <c r="O996" s="829" t="str">
        <f t="shared" si="90"/>
        <v/>
      </c>
      <c r="P996" s="254"/>
      <c r="Q996" s="254"/>
      <c r="R996" s="254"/>
      <c r="S996" s="254"/>
      <c r="T996" s="254"/>
      <c r="U996" s="254"/>
      <c r="V996" s="254"/>
      <c r="W996" s="254"/>
      <c r="Y996" s="246" t="str">
        <f t="shared" si="91"/>
        <v/>
      </c>
      <c r="Z996" s="247" t="str">
        <f t="shared" si="95"/>
        <v/>
      </c>
      <c r="AA996" s="246" t="str">
        <f t="shared" si="92"/>
        <v/>
      </c>
    </row>
    <row r="997" spans="1:27" x14ac:dyDescent="0.25">
      <c r="A997" s="248" t="str">
        <f t="shared" si="93"/>
        <v/>
      </c>
      <c r="B997" s="249" t="str">
        <f t="shared" si="94"/>
        <v/>
      </c>
      <c r="C997" s="250"/>
      <c r="D997" s="251"/>
      <c r="E997" s="241"/>
      <c r="F997" s="252"/>
      <c r="G997" s="252"/>
      <c r="H997" s="253"/>
      <c r="I997" s="250"/>
      <c r="J997" s="250"/>
      <c r="K997" s="270"/>
      <c r="L997" s="250"/>
      <c r="M997" s="250"/>
      <c r="N997" s="540" t="str">
        <f>CONCATENATE(IF(OR(M997=phu!$I$1,M997=phu!$I$2,M997=phu!$I$3),"Cam Thành Nam",""),IF(OR(M997=phu!$I$4,M997=phu!$I$5,M997=phu!$I$6,M997=phu!$I$7,M997=phu!$I$8,M997=phu!$I$9,M997=phu!$I$10,M997=phu!$I$11,M997=phu!$I$12,M997=phu!$I$13,M997=phu!$I$14),"Cam Nghĩa",""),IF(OR(M997=phu!$I$15,M997=phu!$I$16,M997=phu!$I$17,M997=phu!$I$18,M997=phu!$I$19,M997=phu!$I$20,M997=phu!$I$21),"Cam Phúc Bắc",""),IF(OR(M997=phu!$I$22,M997=phu!$I$23,M997=phu!$I$24,M997=phu!$I$25),"Cam Phúc Nam",""),IF(OR(M997=phu!$I$26,M997=phu!$I$27,M997=phu!$I$28,M997=phu!$I$29,M997=phu!$I$30,M997=phu!$I$31),"Cam Phú",""),IF(OR(M997=phu!$I$32,M997=phu!$I$33,M997=phu!$I$34,M997=phu!$I$35,M997=phu!$I$36,M997=phu!$I$37),"Cam Lộc",""),IF(OR(M997=phu!$I$38,M997=phu!$I$39,M997=phu!$I$40,M997=phu!$I$41,M997=phu!$I$42,M997=phu!$I$43,M997=phu!$I$44),"Cam Thuận",""),IF(OR(M997=phu!$I$45,M997=phu!$I$46,M997=phu!$I$47,M997=phu!$I$48,M997=phu!$I$49,M997=phu!$I$50,M997=phu!$I$51,M997=phu!$I$52,M997=phu!$I$53),"Cam Linh",""),IF(OR(M997=phu!$I$54,M997=phu!$I$55,M997=phu!$I$56,M997=phu!$I$57,M997=phu!$I$58,M997=phu!$I$59,M997=phu!$I$60,M997=phu!$I$61,M997=phu!$I$62),"Cam Lợi",""),IF(OR(M997=phu!$I$63,M997=phu!$I$64,M997=phu!$I$65,M997=phu!$I$66,M997=phu!$I$67,M997=phu!$I$68,M997=phu!$I$69,M997=phu!$I$70,M997=phu!$I$71),"Ba Ngòi",""),IF(OR(M997=phu!$I$72,M997=phu!$I$73,M997=phu!$I$74,M997=phu!$I$75,M997=phu!$I$76,M997=phu!$I$77,M997=phu!$I$78),"Cam Phước Đông",""),IF(OR(M997=phu!$I$79,M997=phu!$I$80,M997=phu!$I$81,M997=phu!$I$82,M997=phu!$I$83,M997=phu!$I$84),"Cam Thịnh Đông",""),IF(OR(M997=phu!$I$85,M997=phu!$I$86,M997=phu!$I$87,M997=phu!$I$88),"Cam Thịnh Tây",""),IF(OR(M997=phu!$I$89,M997=phu!$I$90),"Cam Lập",""),IF(OR(M997=phu!$I$91,M997=phu!$I$92,M997=phu!$I$93),"Cam Bình",""),IF(OR(M997=phu!$I$94,M997=phu!$I$95,M997=phu!$I$96,M997=phu!$I$97,M997=phu!$I$98,M997=phu!$I$99,M997=phu!$I$100),"Huyện khác",""),IF(OR(M997=phu!$I$101,M997=phu!$I$102),"Tỉnh khác",""))</f>
        <v/>
      </c>
      <c r="O997" s="829" t="str">
        <f t="shared" si="90"/>
        <v/>
      </c>
      <c r="P997" s="254"/>
      <c r="Q997" s="254"/>
      <c r="R997" s="254"/>
      <c r="S997" s="254"/>
      <c r="T997" s="254"/>
      <c r="U997" s="254"/>
      <c r="V997" s="254"/>
      <c r="W997" s="254"/>
      <c r="Y997" s="246" t="str">
        <f t="shared" si="91"/>
        <v/>
      </c>
      <c r="Z997" s="247" t="str">
        <f t="shared" si="95"/>
        <v/>
      </c>
      <c r="AA997" s="246" t="str">
        <f t="shared" si="92"/>
        <v/>
      </c>
    </row>
    <row r="998" spans="1:27" x14ac:dyDescent="0.25">
      <c r="A998" s="248" t="str">
        <f t="shared" si="93"/>
        <v/>
      </c>
      <c r="B998" s="249" t="str">
        <f t="shared" si="94"/>
        <v/>
      </c>
      <c r="C998" s="250"/>
      <c r="D998" s="251"/>
      <c r="E998" s="241"/>
      <c r="F998" s="252"/>
      <c r="G998" s="252"/>
      <c r="H998" s="253"/>
      <c r="I998" s="250"/>
      <c r="J998" s="250"/>
      <c r="K998" s="270"/>
      <c r="L998" s="250"/>
      <c r="M998" s="250"/>
      <c r="N998" s="540" t="str">
        <f>CONCATENATE(IF(OR(M998=phu!$I$1,M998=phu!$I$2,M998=phu!$I$3),"Cam Thành Nam",""),IF(OR(M998=phu!$I$4,M998=phu!$I$5,M998=phu!$I$6,M998=phu!$I$7,M998=phu!$I$8,M998=phu!$I$9,M998=phu!$I$10,M998=phu!$I$11,M998=phu!$I$12,M998=phu!$I$13,M998=phu!$I$14),"Cam Nghĩa",""),IF(OR(M998=phu!$I$15,M998=phu!$I$16,M998=phu!$I$17,M998=phu!$I$18,M998=phu!$I$19,M998=phu!$I$20,M998=phu!$I$21),"Cam Phúc Bắc",""),IF(OR(M998=phu!$I$22,M998=phu!$I$23,M998=phu!$I$24,M998=phu!$I$25),"Cam Phúc Nam",""),IF(OR(M998=phu!$I$26,M998=phu!$I$27,M998=phu!$I$28,M998=phu!$I$29,M998=phu!$I$30,M998=phu!$I$31),"Cam Phú",""),IF(OR(M998=phu!$I$32,M998=phu!$I$33,M998=phu!$I$34,M998=phu!$I$35,M998=phu!$I$36,M998=phu!$I$37),"Cam Lộc",""),IF(OR(M998=phu!$I$38,M998=phu!$I$39,M998=phu!$I$40,M998=phu!$I$41,M998=phu!$I$42,M998=phu!$I$43,M998=phu!$I$44),"Cam Thuận",""),IF(OR(M998=phu!$I$45,M998=phu!$I$46,M998=phu!$I$47,M998=phu!$I$48,M998=phu!$I$49,M998=phu!$I$50,M998=phu!$I$51,M998=phu!$I$52,M998=phu!$I$53),"Cam Linh",""),IF(OR(M998=phu!$I$54,M998=phu!$I$55,M998=phu!$I$56,M998=phu!$I$57,M998=phu!$I$58,M998=phu!$I$59,M998=phu!$I$60,M998=phu!$I$61,M998=phu!$I$62),"Cam Lợi",""),IF(OR(M998=phu!$I$63,M998=phu!$I$64,M998=phu!$I$65,M998=phu!$I$66,M998=phu!$I$67,M998=phu!$I$68,M998=phu!$I$69,M998=phu!$I$70,M998=phu!$I$71),"Ba Ngòi",""),IF(OR(M998=phu!$I$72,M998=phu!$I$73,M998=phu!$I$74,M998=phu!$I$75,M998=phu!$I$76,M998=phu!$I$77,M998=phu!$I$78),"Cam Phước Đông",""),IF(OR(M998=phu!$I$79,M998=phu!$I$80,M998=phu!$I$81,M998=phu!$I$82,M998=phu!$I$83,M998=phu!$I$84),"Cam Thịnh Đông",""),IF(OR(M998=phu!$I$85,M998=phu!$I$86,M998=phu!$I$87,M998=phu!$I$88),"Cam Thịnh Tây",""),IF(OR(M998=phu!$I$89,M998=phu!$I$90),"Cam Lập",""),IF(OR(M998=phu!$I$91,M998=phu!$I$92,M998=phu!$I$93),"Cam Bình",""),IF(OR(M998=phu!$I$94,M998=phu!$I$95,M998=phu!$I$96,M998=phu!$I$97,M998=phu!$I$98,M998=phu!$I$99,M998=phu!$I$100),"Huyện khác",""),IF(OR(M998=phu!$I$101,M998=phu!$I$102),"Tỉnh khác",""))</f>
        <v/>
      </c>
      <c r="O998" s="829" t="str">
        <f t="shared" si="90"/>
        <v/>
      </c>
      <c r="P998" s="254"/>
      <c r="Q998" s="254"/>
      <c r="R998" s="254"/>
      <c r="S998" s="254"/>
      <c r="T998" s="254"/>
      <c r="U998" s="254"/>
      <c r="V998" s="254"/>
      <c r="W998" s="254"/>
      <c r="Y998" s="246" t="str">
        <f t="shared" si="91"/>
        <v/>
      </c>
      <c r="Z998" s="247" t="str">
        <f t="shared" si="95"/>
        <v/>
      </c>
      <c r="AA998" s="246" t="str">
        <f t="shared" si="92"/>
        <v/>
      </c>
    </row>
    <row r="999" spans="1:27" x14ac:dyDescent="0.25">
      <c r="A999" s="248" t="str">
        <f t="shared" si="93"/>
        <v/>
      </c>
      <c r="B999" s="249" t="str">
        <f t="shared" si="94"/>
        <v/>
      </c>
      <c r="C999" s="250"/>
      <c r="D999" s="251"/>
      <c r="E999" s="241"/>
      <c r="F999" s="252"/>
      <c r="G999" s="252"/>
      <c r="H999" s="253"/>
      <c r="I999" s="250"/>
      <c r="J999" s="250"/>
      <c r="K999" s="270"/>
      <c r="L999" s="250"/>
      <c r="M999" s="250"/>
      <c r="N999" s="540" t="str">
        <f>CONCATENATE(IF(OR(M999=phu!$I$1,M999=phu!$I$2,M999=phu!$I$3),"Cam Thành Nam",""),IF(OR(M999=phu!$I$4,M999=phu!$I$5,M999=phu!$I$6,M999=phu!$I$7,M999=phu!$I$8,M999=phu!$I$9,M999=phu!$I$10,M999=phu!$I$11,M999=phu!$I$12,M999=phu!$I$13,M999=phu!$I$14),"Cam Nghĩa",""),IF(OR(M999=phu!$I$15,M999=phu!$I$16,M999=phu!$I$17,M999=phu!$I$18,M999=phu!$I$19,M999=phu!$I$20,M999=phu!$I$21),"Cam Phúc Bắc",""),IF(OR(M999=phu!$I$22,M999=phu!$I$23,M999=phu!$I$24,M999=phu!$I$25),"Cam Phúc Nam",""),IF(OR(M999=phu!$I$26,M999=phu!$I$27,M999=phu!$I$28,M999=phu!$I$29,M999=phu!$I$30,M999=phu!$I$31),"Cam Phú",""),IF(OR(M999=phu!$I$32,M999=phu!$I$33,M999=phu!$I$34,M999=phu!$I$35,M999=phu!$I$36,M999=phu!$I$37),"Cam Lộc",""),IF(OR(M999=phu!$I$38,M999=phu!$I$39,M999=phu!$I$40,M999=phu!$I$41,M999=phu!$I$42,M999=phu!$I$43,M999=phu!$I$44),"Cam Thuận",""),IF(OR(M999=phu!$I$45,M999=phu!$I$46,M999=phu!$I$47,M999=phu!$I$48,M999=phu!$I$49,M999=phu!$I$50,M999=phu!$I$51,M999=phu!$I$52,M999=phu!$I$53),"Cam Linh",""),IF(OR(M999=phu!$I$54,M999=phu!$I$55,M999=phu!$I$56,M999=phu!$I$57,M999=phu!$I$58,M999=phu!$I$59,M999=phu!$I$60,M999=phu!$I$61,M999=phu!$I$62),"Cam Lợi",""),IF(OR(M999=phu!$I$63,M999=phu!$I$64,M999=phu!$I$65,M999=phu!$I$66,M999=phu!$I$67,M999=phu!$I$68,M999=phu!$I$69,M999=phu!$I$70,M999=phu!$I$71),"Ba Ngòi",""),IF(OR(M999=phu!$I$72,M999=phu!$I$73,M999=phu!$I$74,M999=phu!$I$75,M999=phu!$I$76,M999=phu!$I$77,M999=phu!$I$78),"Cam Phước Đông",""),IF(OR(M999=phu!$I$79,M999=phu!$I$80,M999=phu!$I$81,M999=phu!$I$82,M999=phu!$I$83,M999=phu!$I$84),"Cam Thịnh Đông",""),IF(OR(M999=phu!$I$85,M999=phu!$I$86,M999=phu!$I$87,M999=phu!$I$88),"Cam Thịnh Tây",""),IF(OR(M999=phu!$I$89,M999=phu!$I$90),"Cam Lập",""),IF(OR(M999=phu!$I$91,M999=phu!$I$92,M999=phu!$I$93),"Cam Bình",""),IF(OR(M999=phu!$I$94,M999=phu!$I$95,M999=phu!$I$96,M999=phu!$I$97,M999=phu!$I$98,M999=phu!$I$99,M999=phu!$I$100),"Huyện khác",""),IF(OR(M999=phu!$I$101,M999=phu!$I$102),"Tỉnh khác",""))</f>
        <v/>
      </c>
      <c r="O999" s="829" t="str">
        <f t="shared" si="90"/>
        <v/>
      </c>
      <c r="P999" s="254"/>
      <c r="Q999" s="254"/>
      <c r="R999" s="254"/>
      <c r="S999" s="254"/>
      <c r="T999" s="254"/>
      <c r="U999" s="254"/>
      <c r="V999" s="254"/>
      <c r="W999" s="254"/>
      <c r="Y999" s="246" t="str">
        <f t="shared" si="91"/>
        <v/>
      </c>
      <c r="Z999" s="247" t="str">
        <f t="shared" si="95"/>
        <v/>
      </c>
      <c r="AA999" s="246" t="str">
        <f t="shared" si="92"/>
        <v/>
      </c>
    </row>
    <row r="1000" spans="1:27" x14ac:dyDescent="0.25">
      <c r="A1000" s="248" t="str">
        <f t="shared" si="93"/>
        <v/>
      </c>
      <c r="B1000" s="249" t="str">
        <f t="shared" si="94"/>
        <v/>
      </c>
      <c r="C1000" s="250"/>
      <c r="D1000" s="251"/>
      <c r="E1000" s="241"/>
      <c r="F1000" s="252"/>
      <c r="G1000" s="252"/>
      <c r="H1000" s="253"/>
      <c r="I1000" s="250"/>
      <c r="J1000" s="250"/>
      <c r="K1000" s="270"/>
      <c r="L1000" s="250"/>
      <c r="M1000" s="250"/>
      <c r="N1000" s="540" t="str">
        <f>CONCATENATE(IF(OR(M1000=phu!$I$1,M1000=phu!$I$2,M1000=phu!$I$3),"Cam Thành Nam",""),IF(OR(M1000=phu!$I$4,M1000=phu!$I$5,M1000=phu!$I$6,M1000=phu!$I$7,M1000=phu!$I$8,M1000=phu!$I$9,M1000=phu!$I$10,M1000=phu!$I$11,M1000=phu!$I$12,M1000=phu!$I$13,M1000=phu!$I$14),"Cam Nghĩa",""),IF(OR(M1000=phu!$I$15,M1000=phu!$I$16,M1000=phu!$I$17,M1000=phu!$I$18,M1000=phu!$I$19,M1000=phu!$I$20,M1000=phu!$I$21),"Cam Phúc Bắc",""),IF(OR(M1000=phu!$I$22,M1000=phu!$I$23,M1000=phu!$I$24,M1000=phu!$I$25),"Cam Phúc Nam",""),IF(OR(M1000=phu!$I$26,M1000=phu!$I$27,M1000=phu!$I$28,M1000=phu!$I$29,M1000=phu!$I$30,M1000=phu!$I$31),"Cam Phú",""),IF(OR(M1000=phu!$I$32,M1000=phu!$I$33,M1000=phu!$I$34,M1000=phu!$I$35,M1000=phu!$I$36,M1000=phu!$I$37),"Cam Lộc",""),IF(OR(M1000=phu!$I$38,M1000=phu!$I$39,M1000=phu!$I$40,M1000=phu!$I$41,M1000=phu!$I$42,M1000=phu!$I$43,M1000=phu!$I$44),"Cam Thuận",""),IF(OR(M1000=phu!$I$45,M1000=phu!$I$46,M1000=phu!$I$47,M1000=phu!$I$48,M1000=phu!$I$49,M1000=phu!$I$50,M1000=phu!$I$51,M1000=phu!$I$52,M1000=phu!$I$53),"Cam Linh",""),IF(OR(M1000=phu!$I$54,M1000=phu!$I$55,M1000=phu!$I$56,M1000=phu!$I$57,M1000=phu!$I$58,M1000=phu!$I$59,M1000=phu!$I$60,M1000=phu!$I$61,M1000=phu!$I$62),"Cam Lợi",""),IF(OR(M1000=phu!$I$63,M1000=phu!$I$64,M1000=phu!$I$65,M1000=phu!$I$66,M1000=phu!$I$67,M1000=phu!$I$68,M1000=phu!$I$69,M1000=phu!$I$70,M1000=phu!$I$71),"Ba Ngòi",""),IF(OR(M1000=phu!$I$72,M1000=phu!$I$73,M1000=phu!$I$74,M1000=phu!$I$75,M1000=phu!$I$76,M1000=phu!$I$77,M1000=phu!$I$78),"Cam Phước Đông",""),IF(OR(M1000=phu!$I$79,M1000=phu!$I$80,M1000=phu!$I$81,M1000=phu!$I$82,M1000=phu!$I$83,M1000=phu!$I$84),"Cam Thịnh Đông",""),IF(OR(M1000=phu!$I$85,M1000=phu!$I$86,M1000=phu!$I$87,M1000=phu!$I$88),"Cam Thịnh Tây",""),IF(OR(M1000=phu!$I$89,M1000=phu!$I$90),"Cam Lập",""),IF(OR(M1000=phu!$I$91,M1000=phu!$I$92,M1000=phu!$I$93),"Cam Bình",""),IF(OR(M1000=phu!$I$94,M1000=phu!$I$95,M1000=phu!$I$96,M1000=phu!$I$97,M1000=phu!$I$98,M1000=phu!$I$99,M1000=phu!$I$100),"Huyện khác",""),IF(OR(M1000=phu!$I$101,M1000=phu!$I$102),"Tỉnh khác",""))</f>
        <v/>
      </c>
      <c r="O1000" s="829" t="str">
        <f t="shared" si="90"/>
        <v/>
      </c>
      <c r="P1000" s="254"/>
      <c r="Q1000" s="254"/>
      <c r="R1000" s="254"/>
      <c r="S1000" s="254"/>
      <c r="T1000" s="254"/>
      <c r="U1000" s="254"/>
      <c r="V1000" s="254"/>
      <c r="W1000" s="254"/>
      <c r="Y1000" s="246" t="str">
        <f t="shared" si="91"/>
        <v/>
      </c>
      <c r="Z1000" s="247" t="str">
        <f t="shared" si="95"/>
        <v/>
      </c>
      <c r="AA1000" s="246" t="str">
        <f t="shared" si="92"/>
        <v/>
      </c>
    </row>
    <row r="1001" spans="1:27" x14ac:dyDescent="0.25">
      <c r="A1001" s="248" t="str">
        <f t="shared" si="93"/>
        <v/>
      </c>
      <c r="B1001" s="249" t="str">
        <f t="shared" si="94"/>
        <v/>
      </c>
      <c r="C1001" s="250"/>
      <c r="D1001" s="251"/>
      <c r="E1001" s="241"/>
      <c r="F1001" s="252"/>
      <c r="G1001" s="252"/>
      <c r="H1001" s="253"/>
      <c r="I1001" s="250"/>
      <c r="J1001" s="250"/>
      <c r="K1001" s="270"/>
      <c r="L1001" s="250"/>
      <c r="M1001" s="250"/>
      <c r="N1001" s="540" t="str">
        <f>CONCATENATE(IF(OR(M1001=phu!$I$1,M1001=phu!$I$2,M1001=phu!$I$3),"Cam Thành Nam",""),IF(OR(M1001=phu!$I$4,M1001=phu!$I$5,M1001=phu!$I$6,M1001=phu!$I$7,M1001=phu!$I$8,M1001=phu!$I$9,M1001=phu!$I$10,M1001=phu!$I$11,M1001=phu!$I$12,M1001=phu!$I$13,M1001=phu!$I$14),"Cam Nghĩa",""),IF(OR(M1001=phu!$I$15,M1001=phu!$I$16,M1001=phu!$I$17,M1001=phu!$I$18,M1001=phu!$I$19,M1001=phu!$I$20,M1001=phu!$I$21),"Cam Phúc Bắc",""),IF(OR(M1001=phu!$I$22,M1001=phu!$I$23,M1001=phu!$I$24,M1001=phu!$I$25),"Cam Phúc Nam",""),IF(OR(M1001=phu!$I$26,M1001=phu!$I$27,M1001=phu!$I$28,M1001=phu!$I$29,M1001=phu!$I$30,M1001=phu!$I$31),"Cam Phú",""),IF(OR(M1001=phu!$I$32,M1001=phu!$I$33,M1001=phu!$I$34,M1001=phu!$I$35,M1001=phu!$I$36,M1001=phu!$I$37),"Cam Lộc",""),IF(OR(M1001=phu!$I$38,M1001=phu!$I$39,M1001=phu!$I$40,M1001=phu!$I$41,M1001=phu!$I$42,M1001=phu!$I$43,M1001=phu!$I$44),"Cam Thuận",""),IF(OR(M1001=phu!$I$45,M1001=phu!$I$46,M1001=phu!$I$47,M1001=phu!$I$48,M1001=phu!$I$49,M1001=phu!$I$50,M1001=phu!$I$51,M1001=phu!$I$52,M1001=phu!$I$53),"Cam Linh",""),IF(OR(M1001=phu!$I$54,M1001=phu!$I$55,M1001=phu!$I$56,M1001=phu!$I$57,M1001=phu!$I$58,M1001=phu!$I$59,M1001=phu!$I$60,M1001=phu!$I$61,M1001=phu!$I$62),"Cam Lợi",""),IF(OR(M1001=phu!$I$63,M1001=phu!$I$64,M1001=phu!$I$65,M1001=phu!$I$66,M1001=phu!$I$67,M1001=phu!$I$68,M1001=phu!$I$69,M1001=phu!$I$70,M1001=phu!$I$71),"Ba Ngòi",""),IF(OR(M1001=phu!$I$72,M1001=phu!$I$73,M1001=phu!$I$74,M1001=phu!$I$75,M1001=phu!$I$76,M1001=phu!$I$77,M1001=phu!$I$78),"Cam Phước Đông",""),IF(OR(M1001=phu!$I$79,M1001=phu!$I$80,M1001=phu!$I$81,M1001=phu!$I$82,M1001=phu!$I$83,M1001=phu!$I$84),"Cam Thịnh Đông",""),IF(OR(M1001=phu!$I$85,M1001=phu!$I$86,M1001=phu!$I$87,M1001=phu!$I$88),"Cam Thịnh Tây",""),IF(OR(M1001=phu!$I$89,M1001=phu!$I$90),"Cam Lập",""),IF(OR(M1001=phu!$I$91,M1001=phu!$I$92,M1001=phu!$I$93),"Cam Bình",""),IF(OR(M1001=phu!$I$94,M1001=phu!$I$95,M1001=phu!$I$96,M1001=phu!$I$97,M1001=phu!$I$98,M1001=phu!$I$99,M1001=phu!$I$100),"Huyện khác",""),IF(OR(M1001=phu!$I$101,M1001=phu!$I$102),"Tỉnh khác",""))</f>
        <v/>
      </c>
      <c r="O1001" s="829" t="str">
        <f t="shared" si="90"/>
        <v/>
      </c>
      <c r="P1001" s="254"/>
      <c r="Q1001" s="254"/>
      <c r="R1001" s="254"/>
      <c r="S1001" s="254"/>
      <c r="T1001" s="254"/>
      <c r="U1001" s="254"/>
      <c r="V1001" s="254"/>
      <c r="W1001" s="254"/>
      <c r="Y1001" s="246" t="str">
        <f t="shared" si="91"/>
        <v/>
      </c>
      <c r="Z1001" s="247" t="str">
        <f t="shared" si="95"/>
        <v/>
      </c>
      <c r="AA1001" s="246" t="str">
        <f t="shared" si="92"/>
        <v/>
      </c>
    </row>
    <row r="1002" spans="1:27" x14ac:dyDescent="0.25">
      <c r="A1002" s="248" t="str">
        <f t="shared" si="93"/>
        <v/>
      </c>
      <c r="B1002" s="249" t="str">
        <f t="shared" si="94"/>
        <v/>
      </c>
      <c r="C1002" s="250"/>
      <c r="D1002" s="251"/>
      <c r="E1002" s="241"/>
      <c r="F1002" s="252"/>
      <c r="G1002" s="252"/>
      <c r="H1002" s="253"/>
      <c r="I1002" s="250"/>
      <c r="J1002" s="250"/>
      <c r="K1002" s="270"/>
      <c r="L1002" s="250"/>
      <c r="M1002" s="250"/>
      <c r="N1002" s="540" t="str">
        <f>CONCATENATE(IF(OR(M1002=phu!$I$1,M1002=phu!$I$2,M1002=phu!$I$3),"Cam Thành Nam",""),IF(OR(M1002=phu!$I$4,M1002=phu!$I$5,M1002=phu!$I$6,M1002=phu!$I$7,M1002=phu!$I$8,M1002=phu!$I$9,M1002=phu!$I$10,M1002=phu!$I$11,M1002=phu!$I$12,M1002=phu!$I$13,M1002=phu!$I$14),"Cam Nghĩa",""),IF(OR(M1002=phu!$I$15,M1002=phu!$I$16,M1002=phu!$I$17,M1002=phu!$I$18,M1002=phu!$I$19,M1002=phu!$I$20,M1002=phu!$I$21),"Cam Phúc Bắc",""),IF(OR(M1002=phu!$I$22,M1002=phu!$I$23,M1002=phu!$I$24,M1002=phu!$I$25),"Cam Phúc Nam",""),IF(OR(M1002=phu!$I$26,M1002=phu!$I$27,M1002=phu!$I$28,M1002=phu!$I$29,M1002=phu!$I$30,M1002=phu!$I$31),"Cam Phú",""),IF(OR(M1002=phu!$I$32,M1002=phu!$I$33,M1002=phu!$I$34,M1002=phu!$I$35,M1002=phu!$I$36,M1002=phu!$I$37),"Cam Lộc",""),IF(OR(M1002=phu!$I$38,M1002=phu!$I$39,M1002=phu!$I$40,M1002=phu!$I$41,M1002=phu!$I$42,M1002=phu!$I$43,M1002=phu!$I$44),"Cam Thuận",""),IF(OR(M1002=phu!$I$45,M1002=phu!$I$46,M1002=phu!$I$47,M1002=phu!$I$48,M1002=phu!$I$49,M1002=phu!$I$50,M1002=phu!$I$51,M1002=phu!$I$52,M1002=phu!$I$53),"Cam Linh",""),IF(OR(M1002=phu!$I$54,M1002=phu!$I$55,M1002=phu!$I$56,M1002=phu!$I$57,M1002=phu!$I$58,M1002=phu!$I$59,M1002=phu!$I$60,M1002=phu!$I$61,M1002=phu!$I$62),"Cam Lợi",""),IF(OR(M1002=phu!$I$63,M1002=phu!$I$64,M1002=phu!$I$65,M1002=phu!$I$66,M1002=phu!$I$67,M1002=phu!$I$68,M1002=phu!$I$69,M1002=phu!$I$70,M1002=phu!$I$71),"Ba Ngòi",""),IF(OR(M1002=phu!$I$72,M1002=phu!$I$73,M1002=phu!$I$74,M1002=phu!$I$75,M1002=phu!$I$76,M1002=phu!$I$77,M1002=phu!$I$78),"Cam Phước Đông",""),IF(OR(M1002=phu!$I$79,M1002=phu!$I$80,M1002=phu!$I$81,M1002=phu!$I$82,M1002=phu!$I$83,M1002=phu!$I$84),"Cam Thịnh Đông",""),IF(OR(M1002=phu!$I$85,M1002=phu!$I$86,M1002=phu!$I$87,M1002=phu!$I$88),"Cam Thịnh Tây",""),IF(OR(M1002=phu!$I$89,M1002=phu!$I$90),"Cam Lập",""),IF(OR(M1002=phu!$I$91,M1002=phu!$I$92,M1002=phu!$I$93),"Cam Bình",""),IF(OR(M1002=phu!$I$94,M1002=phu!$I$95,M1002=phu!$I$96,M1002=phu!$I$97,M1002=phu!$I$98,M1002=phu!$I$99,M1002=phu!$I$100),"Huyện khác",""),IF(OR(M1002=phu!$I$101,M1002=phu!$I$102),"Tỉnh khác",""))</f>
        <v/>
      </c>
      <c r="O1002" s="829" t="str">
        <f t="shared" si="90"/>
        <v/>
      </c>
      <c r="P1002" s="254"/>
      <c r="Q1002" s="254"/>
      <c r="R1002" s="254"/>
      <c r="S1002" s="254"/>
      <c r="T1002" s="254"/>
      <c r="U1002" s="254"/>
      <c r="V1002" s="254"/>
      <c r="W1002" s="254"/>
      <c r="Y1002" s="246" t="str">
        <f t="shared" si="91"/>
        <v/>
      </c>
      <c r="Z1002" s="247" t="str">
        <f t="shared" si="95"/>
        <v/>
      </c>
      <c r="AA1002" s="246" t="str">
        <f t="shared" si="92"/>
        <v/>
      </c>
    </row>
    <row r="1003" spans="1:27" x14ac:dyDescent="0.25">
      <c r="A1003" s="248" t="str">
        <f t="shared" si="93"/>
        <v/>
      </c>
      <c r="B1003" s="249" t="str">
        <f t="shared" si="94"/>
        <v/>
      </c>
      <c r="C1003" s="250"/>
      <c r="D1003" s="251"/>
      <c r="E1003" s="241"/>
      <c r="F1003" s="252"/>
      <c r="G1003" s="252"/>
      <c r="H1003" s="253"/>
      <c r="I1003" s="250"/>
      <c r="J1003" s="250"/>
      <c r="K1003" s="270"/>
      <c r="L1003" s="250"/>
      <c r="M1003" s="250"/>
      <c r="N1003" s="540" t="str">
        <f>CONCATENATE(IF(OR(M1003=phu!$I$1,M1003=phu!$I$2,M1003=phu!$I$3),"Cam Thành Nam",""),IF(OR(M1003=phu!$I$4,M1003=phu!$I$5,M1003=phu!$I$6,M1003=phu!$I$7,M1003=phu!$I$8,M1003=phu!$I$9,M1003=phu!$I$10,M1003=phu!$I$11,M1003=phu!$I$12,M1003=phu!$I$13,M1003=phu!$I$14),"Cam Nghĩa",""),IF(OR(M1003=phu!$I$15,M1003=phu!$I$16,M1003=phu!$I$17,M1003=phu!$I$18,M1003=phu!$I$19,M1003=phu!$I$20,M1003=phu!$I$21),"Cam Phúc Bắc",""),IF(OR(M1003=phu!$I$22,M1003=phu!$I$23,M1003=phu!$I$24,M1003=phu!$I$25),"Cam Phúc Nam",""),IF(OR(M1003=phu!$I$26,M1003=phu!$I$27,M1003=phu!$I$28,M1003=phu!$I$29,M1003=phu!$I$30,M1003=phu!$I$31),"Cam Phú",""),IF(OR(M1003=phu!$I$32,M1003=phu!$I$33,M1003=phu!$I$34,M1003=phu!$I$35,M1003=phu!$I$36,M1003=phu!$I$37),"Cam Lộc",""),IF(OR(M1003=phu!$I$38,M1003=phu!$I$39,M1003=phu!$I$40,M1003=phu!$I$41,M1003=phu!$I$42,M1003=phu!$I$43,M1003=phu!$I$44),"Cam Thuận",""),IF(OR(M1003=phu!$I$45,M1003=phu!$I$46,M1003=phu!$I$47,M1003=phu!$I$48,M1003=phu!$I$49,M1003=phu!$I$50,M1003=phu!$I$51,M1003=phu!$I$52,M1003=phu!$I$53),"Cam Linh",""),IF(OR(M1003=phu!$I$54,M1003=phu!$I$55,M1003=phu!$I$56,M1003=phu!$I$57,M1003=phu!$I$58,M1003=phu!$I$59,M1003=phu!$I$60,M1003=phu!$I$61,M1003=phu!$I$62),"Cam Lợi",""),IF(OR(M1003=phu!$I$63,M1003=phu!$I$64,M1003=phu!$I$65,M1003=phu!$I$66,M1003=phu!$I$67,M1003=phu!$I$68,M1003=phu!$I$69,M1003=phu!$I$70,M1003=phu!$I$71),"Ba Ngòi",""),IF(OR(M1003=phu!$I$72,M1003=phu!$I$73,M1003=phu!$I$74,M1003=phu!$I$75,M1003=phu!$I$76,M1003=phu!$I$77,M1003=phu!$I$78),"Cam Phước Đông",""),IF(OR(M1003=phu!$I$79,M1003=phu!$I$80,M1003=phu!$I$81,M1003=phu!$I$82,M1003=phu!$I$83,M1003=phu!$I$84),"Cam Thịnh Đông",""),IF(OR(M1003=phu!$I$85,M1003=phu!$I$86,M1003=phu!$I$87,M1003=phu!$I$88),"Cam Thịnh Tây",""),IF(OR(M1003=phu!$I$89,M1003=phu!$I$90),"Cam Lập",""),IF(OR(M1003=phu!$I$91,M1003=phu!$I$92,M1003=phu!$I$93),"Cam Bình",""),IF(OR(M1003=phu!$I$94,M1003=phu!$I$95,M1003=phu!$I$96,M1003=phu!$I$97,M1003=phu!$I$98,M1003=phu!$I$99,M1003=phu!$I$100),"Huyện khác",""),IF(OR(M1003=phu!$I$101,M1003=phu!$I$102),"Tỉnh khác",""))</f>
        <v/>
      </c>
      <c r="O1003" s="829" t="str">
        <f t="shared" si="90"/>
        <v/>
      </c>
      <c r="P1003" s="254"/>
      <c r="Q1003" s="254"/>
      <c r="R1003" s="254"/>
      <c r="S1003" s="254"/>
      <c r="T1003" s="254"/>
      <c r="U1003" s="254"/>
      <c r="V1003" s="254"/>
      <c r="W1003" s="254"/>
      <c r="Y1003" s="246" t="str">
        <f t="shared" si="91"/>
        <v/>
      </c>
      <c r="Z1003" s="247" t="str">
        <f t="shared" si="95"/>
        <v/>
      </c>
      <c r="AA1003" s="246" t="str">
        <f t="shared" si="92"/>
        <v/>
      </c>
    </row>
    <row r="1004" spans="1:27" x14ac:dyDescent="0.25">
      <c r="A1004" s="248" t="str">
        <f t="shared" si="93"/>
        <v/>
      </c>
      <c r="B1004" s="249" t="str">
        <f t="shared" si="94"/>
        <v/>
      </c>
      <c r="C1004" s="250"/>
      <c r="D1004" s="251"/>
      <c r="E1004" s="241"/>
      <c r="F1004" s="252"/>
      <c r="G1004" s="252"/>
      <c r="H1004" s="253"/>
      <c r="I1004" s="250"/>
      <c r="J1004" s="250"/>
      <c r="K1004" s="270"/>
      <c r="L1004" s="250"/>
      <c r="M1004" s="250"/>
      <c r="N1004" s="540" t="str">
        <f>CONCATENATE(IF(OR(M1004=phu!$I$1,M1004=phu!$I$2,M1004=phu!$I$3),"Cam Thành Nam",""),IF(OR(M1004=phu!$I$4,M1004=phu!$I$5,M1004=phu!$I$6,M1004=phu!$I$7,M1004=phu!$I$8,M1004=phu!$I$9,M1004=phu!$I$10,M1004=phu!$I$11,M1004=phu!$I$12,M1004=phu!$I$13,M1004=phu!$I$14),"Cam Nghĩa",""),IF(OR(M1004=phu!$I$15,M1004=phu!$I$16,M1004=phu!$I$17,M1004=phu!$I$18,M1004=phu!$I$19,M1004=phu!$I$20,M1004=phu!$I$21),"Cam Phúc Bắc",""),IF(OR(M1004=phu!$I$22,M1004=phu!$I$23,M1004=phu!$I$24,M1004=phu!$I$25),"Cam Phúc Nam",""),IF(OR(M1004=phu!$I$26,M1004=phu!$I$27,M1004=phu!$I$28,M1004=phu!$I$29,M1004=phu!$I$30,M1004=phu!$I$31),"Cam Phú",""),IF(OR(M1004=phu!$I$32,M1004=phu!$I$33,M1004=phu!$I$34,M1004=phu!$I$35,M1004=phu!$I$36,M1004=phu!$I$37),"Cam Lộc",""),IF(OR(M1004=phu!$I$38,M1004=phu!$I$39,M1004=phu!$I$40,M1004=phu!$I$41,M1004=phu!$I$42,M1004=phu!$I$43,M1004=phu!$I$44),"Cam Thuận",""),IF(OR(M1004=phu!$I$45,M1004=phu!$I$46,M1004=phu!$I$47,M1004=phu!$I$48,M1004=phu!$I$49,M1004=phu!$I$50,M1004=phu!$I$51,M1004=phu!$I$52,M1004=phu!$I$53),"Cam Linh",""),IF(OR(M1004=phu!$I$54,M1004=phu!$I$55,M1004=phu!$I$56,M1004=phu!$I$57,M1004=phu!$I$58,M1004=phu!$I$59,M1004=phu!$I$60,M1004=phu!$I$61,M1004=phu!$I$62),"Cam Lợi",""),IF(OR(M1004=phu!$I$63,M1004=phu!$I$64,M1004=phu!$I$65,M1004=phu!$I$66,M1004=phu!$I$67,M1004=phu!$I$68,M1004=phu!$I$69,M1004=phu!$I$70,M1004=phu!$I$71),"Ba Ngòi",""),IF(OR(M1004=phu!$I$72,M1004=phu!$I$73,M1004=phu!$I$74,M1004=phu!$I$75,M1004=phu!$I$76,M1004=phu!$I$77,M1004=phu!$I$78),"Cam Phước Đông",""),IF(OR(M1004=phu!$I$79,M1004=phu!$I$80,M1004=phu!$I$81,M1004=phu!$I$82,M1004=phu!$I$83,M1004=phu!$I$84),"Cam Thịnh Đông",""),IF(OR(M1004=phu!$I$85,M1004=phu!$I$86,M1004=phu!$I$87,M1004=phu!$I$88),"Cam Thịnh Tây",""),IF(OR(M1004=phu!$I$89,M1004=phu!$I$90),"Cam Lập",""),IF(OR(M1004=phu!$I$91,M1004=phu!$I$92,M1004=phu!$I$93),"Cam Bình",""),IF(OR(M1004=phu!$I$94,M1004=phu!$I$95,M1004=phu!$I$96,M1004=phu!$I$97,M1004=phu!$I$98,M1004=phu!$I$99,M1004=phu!$I$100),"Huyện khác",""),IF(OR(M1004=phu!$I$101,M1004=phu!$I$102),"Tỉnh khác",""))</f>
        <v/>
      </c>
      <c r="O1004" s="829" t="str">
        <f t="shared" si="90"/>
        <v/>
      </c>
      <c r="P1004" s="254"/>
      <c r="Q1004" s="254"/>
      <c r="R1004" s="254"/>
      <c r="S1004" s="254"/>
      <c r="T1004" s="254"/>
      <c r="U1004" s="254"/>
      <c r="V1004" s="254"/>
      <c r="W1004" s="254"/>
      <c r="Y1004" s="246" t="str">
        <f t="shared" si="91"/>
        <v/>
      </c>
      <c r="Z1004" s="247" t="str">
        <f t="shared" si="95"/>
        <v/>
      </c>
      <c r="AA1004" s="246" t="str">
        <f t="shared" si="92"/>
        <v/>
      </c>
    </row>
    <row r="1005" spans="1:27" x14ac:dyDescent="0.25">
      <c r="A1005" s="248" t="str">
        <f t="shared" si="93"/>
        <v/>
      </c>
      <c r="B1005" s="249" t="str">
        <f t="shared" si="94"/>
        <v/>
      </c>
      <c r="C1005" s="250"/>
      <c r="D1005" s="251"/>
      <c r="E1005" s="241"/>
      <c r="F1005" s="252"/>
      <c r="G1005" s="252"/>
      <c r="H1005" s="253"/>
      <c r="I1005" s="250"/>
      <c r="J1005" s="250"/>
      <c r="K1005" s="270"/>
      <c r="L1005" s="250"/>
      <c r="M1005" s="250"/>
      <c r="N1005" s="540" t="str">
        <f>CONCATENATE(IF(OR(M1005=phu!$I$1,M1005=phu!$I$2,M1005=phu!$I$3),"Cam Thành Nam",""),IF(OR(M1005=phu!$I$4,M1005=phu!$I$5,M1005=phu!$I$6,M1005=phu!$I$7,M1005=phu!$I$8,M1005=phu!$I$9,M1005=phu!$I$10,M1005=phu!$I$11,M1005=phu!$I$12,M1005=phu!$I$13,M1005=phu!$I$14),"Cam Nghĩa",""),IF(OR(M1005=phu!$I$15,M1005=phu!$I$16,M1005=phu!$I$17,M1005=phu!$I$18,M1005=phu!$I$19,M1005=phu!$I$20,M1005=phu!$I$21),"Cam Phúc Bắc",""),IF(OR(M1005=phu!$I$22,M1005=phu!$I$23,M1005=phu!$I$24,M1005=phu!$I$25),"Cam Phúc Nam",""),IF(OR(M1005=phu!$I$26,M1005=phu!$I$27,M1005=phu!$I$28,M1005=phu!$I$29,M1005=phu!$I$30,M1005=phu!$I$31),"Cam Phú",""),IF(OR(M1005=phu!$I$32,M1005=phu!$I$33,M1005=phu!$I$34,M1005=phu!$I$35,M1005=phu!$I$36,M1005=phu!$I$37),"Cam Lộc",""),IF(OR(M1005=phu!$I$38,M1005=phu!$I$39,M1005=phu!$I$40,M1005=phu!$I$41,M1005=phu!$I$42,M1005=phu!$I$43,M1005=phu!$I$44),"Cam Thuận",""),IF(OR(M1005=phu!$I$45,M1005=phu!$I$46,M1005=phu!$I$47,M1005=phu!$I$48,M1005=phu!$I$49,M1005=phu!$I$50,M1005=phu!$I$51,M1005=phu!$I$52,M1005=phu!$I$53),"Cam Linh",""),IF(OR(M1005=phu!$I$54,M1005=phu!$I$55,M1005=phu!$I$56,M1005=phu!$I$57,M1005=phu!$I$58,M1005=phu!$I$59,M1005=phu!$I$60,M1005=phu!$I$61,M1005=phu!$I$62),"Cam Lợi",""),IF(OR(M1005=phu!$I$63,M1005=phu!$I$64,M1005=phu!$I$65,M1005=phu!$I$66,M1005=phu!$I$67,M1005=phu!$I$68,M1005=phu!$I$69,M1005=phu!$I$70,M1005=phu!$I$71),"Ba Ngòi",""),IF(OR(M1005=phu!$I$72,M1005=phu!$I$73,M1005=phu!$I$74,M1005=phu!$I$75,M1005=phu!$I$76,M1005=phu!$I$77,M1005=phu!$I$78),"Cam Phước Đông",""),IF(OR(M1005=phu!$I$79,M1005=phu!$I$80,M1005=phu!$I$81,M1005=phu!$I$82,M1005=phu!$I$83,M1005=phu!$I$84),"Cam Thịnh Đông",""),IF(OR(M1005=phu!$I$85,M1005=phu!$I$86,M1005=phu!$I$87,M1005=phu!$I$88),"Cam Thịnh Tây",""),IF(OR(M1005=phu!$I$89,M1005=phu!$I$90),"Cam Lập",""),IF(OR(M1005=phu!$I$91,M1005=phu!$I$92,M1005=phu!$I$93),"Cam Bình",""),IF(OR(M1005=phu!$I$94,M1005=phu!$I$95,M1005=phu!$I$96,M1005=phu!$I$97,M1005=phu!$I$98,M1005=phu!$I$99,M1005=phu!$I$100),"Huyện khác",""),IF(OR(M1005=phu!$I$101,M1005=phu!$I$102),"Tỉnh khác",""))</f>
        <v/>
      </c>
      <c r="O1005" s="829" t="str">
        <f t="shared" si="90"/>
        <v/>
      </c>
      <c r="P1005" s="254"/>
      <c r="Q1005" s="254"/>
      <c r="R1005" s="254"/>
      <c r="S1005" s="254"/>
      <c r="T1005" s="254"/>
      <c r="U1005" s="254"/>
      <c r="V1005" s="254"/>
      <c r="W1005" s="254"/>
      <c r="Y1005" s="246" t="str">
        <f t="shared" si="91"/>
        <v/>
      </c>
      <c r="Z1005" s="247" t="str">
        <f t="shared" si="95"/>
        <v/>
      </c>
      <c r="AA1005" s="246" t="str">
        <f t="shared" si="92"/>
        <v/>
      </c>
    </row>
    <row r="1006" spans="1:27" x14ac:dyDescent="0.25">
      <c r="A1006" s="248" t="str">
        <f t="shared" si="93"/>
        <v/>
      </c>
      <c r="B1006" s="249" t="str">
        <f t="shared" si="94"/>
        <v/>
      </c>
      <c r="C1006" s="250"/>
      <c r="D1006" s="251"/>
      <c r="E1006" s="241"/>
      <c r="F1006" s="252"/>
      <c r="G1006" s="252"/>
      <c r="H1006" s="253"/>
      <c r="I1006" s="250"/>
      <c r="J1006" s="250"/>
      <c r="K1006" s="270"/>
      <c r="L1006" s="250"/>
      <c r="M1006" s="250"/>
      <c r="N1006" s="540" t="str">
        <f>CONCATENATE(IF(OR(M1006=phu!$I$1,M1006=phu!$I$2,M1006=phu!$I$3),"Cam Thành Nam",""),IF(OR(M1006=phu!$I$4,M1006=phu!$I$5,M1006=phu!$I$6,M1006=phu!$I$7,M1006=phu!$I$8,M1006=phu!$I$9,M1006=phu!$I$10,M1006=phu!$I$11,M1006=phu!$I$12,M1006=phu!$I$13,M1006=phu!$I$14),"Cam Nghĩa",""),IF(OR(M1006=phu!$I$15,M1006=phu!$I$16,M1006=phu!$I$17,M1006=phu!$I$18,M1006=phu!$I$19,M1006=phu!$I$20,M1006=phu!$I$21),"Cam Phúc Bắc",""),IF(OR(M1006=phu!$I$22,M1006=phu!$I$23,M1006=phu!$I$24,M1006=phu!$I$25),"Cam Phúc Nam",""),IF(OR(M1006=phu!$I$26,M1006=phu!$I$27,M1006=phu!$I$28,M1006=phu!$I$29,M1006=phu!$I$30,M1006=phu!$I$31),"Cam Phú",""),IF(OR(M1006=phu!$I$32,M1006=phu!$I$33,M1006=phu!$I$34,M1006=phu!$I$35,M1006=phu!$I$36,M1006=phu!$I$37),"Cam Lộc",""),IF(OR(M1006=phu!$I$38,M1006=phu!$I$39,M1006=phu!$I$40,M1006=phu!$I$41,M1006=phu!$I$42,M1006=phu!$I$43,M1006=phu!$I$44),"Cam Thuận",""),IF(OR(M1006=phu!$I$45,M1006=phu!$I$46,M1006=phu!$I$47,M1006=phu!$I$48,M1006=phu!$I$49,M1006=phu!$I$50,M1006=phu!$I$51,M1006=phu!$I$52,M1006=phu!$I$53),"Cam Linh",""),IF(OR(M1006=phu!$I$54,M1006=phu!$I$55,M1006=phu!$I$56,M1006=phu!$I$57,M1006=phu!$I$58,M1006=phu!$I$59,M1006=phu!$I$60,M1006=phu!$I$61,M1006=phu!$I$62),"Cam Lợi",""),IF(OR(M1006=phu!$I$63,M1006=phu!$I$64,M1006=phu!$I$65,M1006=phu!$I$66,M1006=phu!$I$67,M1006=phu!$I$68,M1006=phu!$I$69,M1006=phu!$I$70,M1006=phu!$I$71),"Ba Ngòi",""),IF(OR(M1006=phu!$I$72,M1006=phu!$I$73,M1006=phu!$I$74,M1006=phu!$I$75,M1006=phu!$I$76,M1006=phu!$I$77,M1006=phu!$I$78),"Cam Phước Đông",""),IF(OR(M1006=phu!$I$79,M1006=phu!$I$80,M1006=phu!$I$81,M1006=phu!$I$82,M1006=phu!$I$83,M1006=phu!$I$84),"Cam Thịnh Đông",""),IF(OR(M1006=phu!$I$85,M1006=phu!$I$86,M1006=phu!$I$87,M1006=phu!$I$88),"Cam Thịnh Tây",""),IF(OR(M1006=phu!$I$89,M1006=phu!$I$90),"Cam Lập",""),IF(OR(M1006=phu!$I$91,M1006=phu!$I$92,M1006=phu!$I$93),"Cam Bình",""),IF(OR(M1006=phu!$I$94,M1006=phu!$I$95,M1006=phu!$I$96,M1006=phu!$I$97,M1006=phu!$I$98,M1006=phu!$I$99,M1006=phu!$I$100),"Huyện khác",""),IF(OR(M1006=phu!$I$101,M1006=phu!$I$102),"Tỉnh khác",""))</f>
        <v/>
      </c>
      <c r="O1006" s="829" t="str">
        <f t="shared" si="90"/>
        <v/>
      </c>
      <c r="P1006" s="254"/>
      <c r="Q1006" s="254"/>
      <c r="R1006" s="254"/>
      <c r="S1006" s="254"/>
      <c r="T1006" s="254"/>
      <c r="U1006" s="254"/>
      <c r="V1006" s="254"/>
      <c r="W1006" s="254"/>
      <c r="Y1006" s="246" t="str">
        <f t="shared" si="91"/>
        <v/>
      </c>
      <c r="Z1006" s="247" t="str">
        <f t="shared" si="95"/>
        <v/>
      </c>
      <c r="AA1006" s="246" t="str">
        <f t="shared" si="92"/>
        <v/>
      </c>
    </row>
    <row r="1007" spans="1:27" x14ac:dyDescent="0.25">
      <c r="A1007" s="248" t="str">
        <f t="shared" si="93"/>
        <v/>
      </c>
      <c r="B1007" s="249" t="str">
        <f t="shared" si="94"/>
        <v/>
      </c>
      <c r="C1007" s="250"/>
      <c r="D1007" s="251"/>
      <c r="E1007" s="241"/>
      <c r="F1007" s="252"/>
      <c r="G1007" s="252"/>
      <c r="H1007" s="253"/>
      <c r="I1007" s="250"/>
      <c r="J1007" s="250"/>
      <c r="K1007" s="270"/>
      <c r="L1007" s="250"/>
      <c r="M1007" s="250"/>
      <c r="N1007" s="540" t="str">
        <f>CONCATENATE(IF(OR(M1007=phu!$I$1,M1007=phu!$I$2,M1007=phu!$I$3),"Cam Thành Nam",""),IF(OR(M1007=phu!$I$4,M1007=phu!$I$5,M1007=phu!$I$6,M1007=phu!$I$7,M1007=phu!$I$8,M1007=phu!$I$9,M1007=phu!$I$10,M1007=phu!$I$11,M1007=phu!$I$12,M1007=phu!$I$13,M1007=phu!$I$14),"Cam Nghĩa",""),IF(OR(M1007=phu!$I$15,M1007=phu!$I$16,M1007=phu!$I$17,M1007=phu!$I$18,M1007=phu!$I$19,M1007=phu!$I$20,M1007=phu!$I$21),"Cam Phúc Bắc",""),IF(OR(M1007=phu!$I$22,M1007=phu!$I$23,M1007=phu!$I$24,M1007=phu!$I$25),"Cam Phúc Nam",""),IF(OR(M1007=phu!$I$26,M1007=phu!$I$27,M1007=phu!$I$28,M1007=phu!$I$29,M1007=phu!$I$30,M1007=phu!$I$31),"Cam Phú",""),IF(OR(M1007=phu!$I$32,M1007=phu!$I$33,M1007=phu!$I$34,M1007=phu!$I$35,M1007=phu!$I$36,M1007=phu!$I$37),"Cam Lộc",""),IF(OR(M1007=phu!$I$38,M1007=phu!$I$39,M1007=phu!$I$40,M1007=phu!$I$41,M1007=phu!$I$42,M1007=phu!$I$43,M1007=phu!$I$44),"Cam Thuận",""),IF(OR(M1007=phu!$I$45,M1007=phu!$I$46,M1007=phu!$I$47,M1007=phu!$I$48,M1007=phu!$I$49,M1007=phu!$I$50,M1007=phu!$I$51,M1007=phu!$I$52,M1007=phu!$I$53),"Cam Linh",""),IF(OR(M1007=phu!$I$54,M1007=phu!$I$55,M1007=phu!$I$56,M1007=phu!$I$57,M1007=phu!$I$58,M1007=phu!$I$59,M1007=phu!$I$60,M1007=phu!$I$61,M1007=phu!$I$62),"Cam Lợi",""),IF(OR(M1007=phu!$I$63,M1007=phu!$I$64,M1007=phu!$I$65,M1007=phu!$I$66,M1007=phu!$I$67,M1007=phu!$I$68,M1007=phu!$I$69,M1007=phu!$I$70,M1007=phu!$I$71),"Ba Ngòi",""),IF(OR(M1007=phu!$I$72,M1007=phu!$I$73,M1007=phu!$I$74,M1007=phu!$I$75,M1007=phu!$I$76,M1007=phu!$I$77,M1007=phu!$I$78),"Cam Phước Đông",""),IF(OR(M1007=phu!$I$79,M1007=phu!$I$80,M1007=phu!$I$81,M1007=phu!$I$82,M1007=phu!$I$83,M1007=phu!$I$84),"Cam Thịnh Đông",""),IF(OR(M1007=phu!$I$85,M1007=phu!$I$86,M1007=phu!$I$87,M1007=phu!$I$88),"Cam Thịnh Tây",""),IF(OR(M1007=phu!$I$89,M1007=phu!$I$90),"Cam Lập",""),IF(OR(M1007=phu!$I$91,M1007=phu!$I$92,M1007=phu!$I$93),"Cam Bình",""),IF(OR(M1007=phu!$I$94,M1007=phu!$I$95,M1007=phu!$I$96,M1007=phu!$I$97,M1007=phu!$I$98,M1007=phu!$I$99,M1007=phu!$I$100),"Huyện khác",""),IF(OR(M1007=phu!$I$101,M1007=phu!$I$102),"Tỉnh khác",""))</f>
        <v/>
      </c>
      <c r="O1007" s="829" t="str">
        <f t="shared" si="90"/>
        <v/>
      </c>
      <c r="P1007" s="254"/>
      <c r="Q1007" s="254"/>
      <c r="R1007" s="254"/>
      <c r="S1007" s="254"/>
      <c r="T1007" s="254"/>
      <c r="U1007" s="254"/>
      <c r="V1007" s="254"/>
      <c r="W1007" s="254"/>
      <c r="Y1007" s="246" t="str">
        <f t="shared" si="91"/>
        <v/>
      </c>
      <c r="Z1007" s="247" t="str">
        <f t="shared" si="95"/>
        <v/>
      </c>
      <c r="AA1007" s="246" t="str">
        <f t="shared" si="92"/>
        <v/>
      </c>
    </row>
    <row r="1008" spans="1:27" x14ac:dyDescent="0.25">
      <c r="A1008" s="248" t="str">
        <f t="shared" si="93"/>
        <v/>
      </c>
      <c r="B1008" s="249" t="str">
        <f t="shared" si="94"/>
        <v/>
      </c>
      <c r="C1008" s="250"/>
      <c r="D1008" s="251"/>
      <c r="E1008" s="241"/>
      <c r="F1008" s="252"/>
      <c r="G1008" s="252"/>
      <c r="H1008" s="253"/>
      <c r="I1008" s="250"/>
      <c r="J1008" s="250"/>
      <c r="K1008" s="270"/>
      <c r="L1008" s="250"/>
      <c r="M1008" s="250"/>
      <c r="N1008" s="540" t="str">
        <f>CONCATENATE(IF(OR(M1008=phu!$I$1,M1008=phu!$I$2,M1008=phu!$I$3),"Cam Thành Nam",""),IF(OR(M1008=phu!$I$4,M1008=phu!$I$5,M1008=phu!$I$6,M1008=phu!$I$7,M1008=phu!$I$8,M1008=phu!$I$9,M1008=phu!$I$10,M1008=phu!$I$11,M1008=phu!$I$12,M1008=phu!$I$13,M1008=phu!$I$14),"Cam Nghĩa",""),IF(OR(M1008=phu!$I$15,M1008=phu!$I$16,M1008=phu!$I$17,M1008=phu!$I$18,M1008=phu!$I$19,M1008=phu!$I$20,M1008=phu!$I$21),"Cam Phúc Bắc",""),IF(OR(M1008=phu!$I$22,M1008=phu!$I$23,M1008=phu!$I$24,M1008=phu!$I$25),"Cam Phúc Nam",""),IF(OR(M1008=phu!$I$26,M1008=phu!$I$27,M1008=phu!$I$28,M1008=phu!$I$29,M1008=phu!$I$30,M1008=phu!$I$31),"Cam Phú",""),IF(OR(M1008=phu!$I$32,M1008=phu!$I$33,M1008=phu!$I$34,M1008=phu!$I$35,M1008=phu!$I$36,M1008=phu!$I$37),"Cam Lộc",""),IF(OR(M1008=phu!$I$38,M1008=phu!$I$39,M1008=phu!$I$40,M1008=phu!$I$41,M1008=phu!$I$42,M1008=phu!$I$43,M1008=phu!$I$44),"Cam Thuận",""),IF(OR(M1008=phu!$I$45,M1008=phu!$I$46,M1008=phu!$I$47,M1008=phu!$I$48,M1008=phu!$I$49,M1008=phu!$I$50,M1008=phu!$I$51,M1008=phu!$I$52,M1008=phu!$I$53),"Cam Linh",""),IF(OR(M1008=phu!$I$54,M1008=phu!$I$55,M1008=phu!$I$56,M1008=phu!$I$57,M1008=phu!$I$58,M1008=phu!$I$59,M1008=phu!$I$60,M1008=phu!$I$61,M1008=phu!$I$62),"Cam Lợi",""),IF(OR(M1008=phu!$I$63,M1008=phu!$I$64,M1008=phu!$I$65,M1008=phu!$I$66,M1008=phu!$I$67,M1008=phu!$I$68,M1008=phu!$I$69,M1008=phu!$I$70,M1008=phu!$I$71),"Ba Ngòi",""),IF(OR(M1008=phu!$I$72,M1008=phu!$I$73,M1008=phu!$I$74,M1008=phu!$I$75,M1008=phu!$I$76,M1008=phu!$I$77,M1008=phu!$I$78),"Cam Phước Đông",""),IF(OR(M1008=phu!$I$79,M1008=phu!$I$80,M1008=phu!$I$81,M1008=phu!$I$82,M1008=phu!$I$83,M1008=phu!$I$84),"Cam Thịnh Đông",""),IF(OR(M1008=phu!$I$85,M1008=phu!$I$86,M1008=phu!$I$87,M1008=phu!$I$88),"Cam Thịnh Tây",""),IF(OR(M1008=phu!$I$89,M1008=phu!$I$90),"Cam Lập",""),IF(OR(M1008=phu!$I$91,M1008=phu!$I$92,M1008=phu!$I$93),"Cam Bình",""),IF(OR(M1008=phu!$I$94,M1008=phu!$I$95,M1008=phu!$I$96,M1008=phu!$I$97,M1008=phu!$I$98,M1008=phu!$I$99,M1008=phu!$I$100),"Huyện khác",""),IF(OR(M1008=phu!$I$101,M1008=phu!$I$102),"Tỉnh khác",""))</f>
        <v/>
      </c>
      <c r="O1008" s="829" t="str">
        <f t="shared" si="90"/>
        <v/>
      </c>
      <c r="P1008" s="254"/>
      <c r="Q1008" s="254"/>
      <c r="R1008" s="254"/>
      <c r="S1008" s="254"/>
      <c r="T1008" s="254"/>
      <c r="U1008" s="254"/>
      <c r="V1008" s="254"/>
      <c r="W1008" s="254"/>
      <c r="Y1008" s="246" t="str">
        <f t="shared" si="91"/>
        <v/>
      </c>
      <c r="Z1008" s="247" t="str">
        <f t="shared" si="95"/>
        <v/>
      </c>
      <c r="AA1008" s="246" t="str">
        <f t="shared" si="92"/>
        <v/>
      </c>
    </row>
    <row r="1009" spans="1:27" x14ac:dyDescent="0.25">
      <c r="A1009" s="248" t="str">
        <f t="shared" si="93"/>
        <v/>
      </c>
      <c r="B1009" s="249" t="str">
        <f t="shared" si="94"/>
        <v/>
      </c>
      <c r="C1009" s="250"/>
      <c r="D1009" s="251"/>
      <c r="E1009" s="241"/>
      <c r="F1009" s="252"/>
      <c r="G1009" s="252"/>
      <c r="H1009" s="253"/>
      <c r="I1009" s="250"/>
      <c r="J1009" s="250"/>
      <c r="K1009" s="270"/>
      <c r="L1009" s="250"/>
      <c r="M1009" s="250"/>
      <c r="N1009" s="540" t="str">
        <f>CONCATENATE(IF(OR(M1009=phu!$I$1,M1009=phu!$I$2,M1009=phu!$I$3),"Cam Thành Nam",""),IF(OR(M1009=phu!$I$4,M1009=phu!$I$5,M1009=phu!$I$6,M1009=phu!$I$7,M1009=phu!$I$8,M1009=phu!$I$9,M1009=phu!$I$10,M1009=phu!$I$11,M1009=phu!$I$12,M1009=phu!$I$13,M1009=phu!$I$14),"Cam Nghĩa",""),IF(OR(M1009=phu!$I$15,M1009=phu!$I$16,M1009=phu!$I$17,M1009=phu!$I$18,M1009=phu!$I$19,M1009=phu!$I$20,M1009=phu!$I$21),"Cam Phúc Bắc",""),IF(OR(M1009=phu!$I$22,M1009=phu!$I$23,M1009=phu!$I$24,M1009=phu!$I$25),"Cam Phúc Nam",""),IF(OR(M1009=phu!$I$26,M1009=phu!$I$27,M1009=phu!$I$28,M1009=phu!$I$29,M1009=phu!$I$30,M1009=phu!$I$31),"Cam Phú",""),IF(OR(M1009=phu!$I$32,M1009=phu!$I$33,M1009=phu!$I$34,M1009=phu!$I$35,M1009=phu!$I$36,M1009=phu!$I$37),"Cam Lộc",""),IF(OR(M1009=phu!$I$38,M1009=phu!$I$39,M1009=phu!$I$40,M1009=phu!$I$41,M1009=phu!$I$42,M1009=phu!$I$43,M1009=phu!$I$44),"Cam Thuận",""),IF(OR(M1009=phu!$I$45,M1009=phu!$I$46,M1009=phu!$I$47,M1009=phu!$I$48,M1009=phu!$I$49,M1009=phu!$I$50,M1009=phu!$I$51,M1009=phu!$I$52,M1009=phu!$I$53),"Cam Linh",""),IF(OR(M1009=phu!$I$54,M1009=phu!$I$55,M1009=phu!$I$56,M1009=phu!$I$57,M1009=phu!$I$58,M1009=phu!$I$59,M1009=phu!$I$60,M1009=phu!$I$61,M1009=phu!$I$62),"Cam Lợi",""),IF(OR(M1009=phu!$I$63,M1009=phu!$I$64,M1009=phu!$I$65,M1009=phu!$I$66,M1009=phu!$I$67,M1009=phu!$I$68,M1009=phu!$I$69,M1009=phu!$I$70,M1009=phu!$I$71),"Ba Ngòi",""),IF(OR(M1009=phu!$I$72,M1009=phu!$I$73,M1009=phu!$I$74,M1009=phu!$I$75,M1009=phu!$I$76,M1009=phu!$I$77,M1009=phu!$I$78),"Cam Phước Đông",""),IF(OR(M1009=phu!$I$79,M1009=phu!$I$80,M1009=phu!$I$81,M1009=phu!$I$82,M1009=phu!$I$83,M1009=phu!$I$84),"Cam Thịnh Đông",""),IF(OR(M1009=phu!$I$85,M1009=phu!$I$86,M1009=phu!$I$87,M1009=phu!$I$88),"Cam Thịnh Tây",""),IF(OR(M1009=phu!$I$89,M1009=phu!$I$90),"Cam Lập",""),IF(OR(M1009=phu!$I$91,M1009=phu!$I$92,M1009=phu!$I$93),"Cam Bình",""),IF(OR(M1009=phu!$I$94,M1009=phu!$I$95,M1009=phu!$I$96,M1009=phu!$I$97,M1009=phu!$I$98,M1009=phu!$I$99,M1009=phu!$I$100),"Huyện khác",""),IF(OR(M1009=phu!$I$101,M1009=phu!$I$102),"Tỉnh khác",""))</f>
        <v/>
      </c>
      <c r="O1009" s="829" t="str">
        <f t="shared" si="90"/>
        <v/>
      </c>
      <c r="P1009" s="254"/>
      <c r="Q1009" s="254"/>
      <c r="R1009" s="254"/>
      <c r="S1009" s="254"/>
      <c r="T1009" s="254"/>
      <c r="U1009" s="254"/>
      <c r="V1009" s="254"/>
      <c r="W1009" s="254"/>
      <c r="Y1009" s="246" t="str">
        <f t="shared" si="91"/>
        <v/>
      </c>
      <c r="Z1009" s="247" t="str">
        <f t="shared" si="95"/>
        <v/>
      </c>
      <c r="AA1009" s="246" t="str">
        <f t="shared" si="92"/>
        <v/>
      </c>
    </row>
    <row r="1010" spans="1:27" x14ac:dyDescent="0.25">
      <c r="A1010" s="248" t="str">
        <f t="shared" si="93"/>
        <v/>
      </c>
      <c r="B1010" s="249" t="str">
        <f t="shared" si="94"/>
        <v/>
      </c>
      <c r="C1010" s="250"/>
      <c r="D1010" s="251"/>
      <c r="E1010" s="241"/>
      <c r="F1010" s="252"/>
      <c r="G1010" s="252"/>
      <c r="H1010" s="253"/>
      <c r="I1010" s="250"/>
      <c r="J1010" s="250"/>
      <c r="K1010" s="270"/>
      <c r="L1010" s="250"/>
      <c r="M1010" s="250"/>
      <c r="N1010" s="540" t="str">
        <f>CONCATENATE(IF(OR(M1010=phu!$I$1,M1010=phu!$I$2,M1010=phu!$I$3),"Cam Thành Nam",""),IF(OR(M1010=phu!$I$4,M1010=phu!$I$5,M1010=phu!$I$6,M1010=phu!$I$7,M1010=phu!$I$8,M1010=phu!$I$9,M1010=phu!$I$10,M1010=phu!$I$11,M1010=phu!$I$12,M1010=phu!$I$13,M1010=phu!$I$14),"Cam Nghĩa",""),IF(OR(M1010=phu!$I$15,M1010=phu!$I$16,M1010=phu!$I$17,M1010=phu!$I$18,M1010=phu!$I$19,M1010=phu!$I$20,M1010=phu!$I$21),"Cam Phúc Bắc",""),IF(OR(M1010=phu!$I$22,M1010=phu!$I$23,M1010=phu!$I$24,M1010=phu!$I$25),"Cam Phúc Nam",""),IF(OR(M1010=phu!$I$26,M1010=phu!$I$27,M1010=phu!$I$28,M1010=phu!$I$29,M1010=phu!$I$30,M1010=phu!$I$31),"Cam Phú",""),IF(OR(M1010=phu!$I$32,M1010=phu!$I$33,M1010=phu!$I$34,M1010=phu!$I$35,M1010=phu!$I$36,M1010=phu!$I$37),"Cam Lộc",""),IF(OR(M1010=phu!$I$38,M1010=phu!$I$39,M1010=phu!$I$40,M1010=phu!$I$41,M1010=phu!$I$42,M1010=phu!$I$43,M1010=phu!$I$44),"Cam Thuận",""),IF(OR(M1010=phu!$I$45,M1010=phu!$I$46,M1010=phu!$I$47,M1010=phu!$I$48,M1010=phu!$I$49,M1010=phu!$I$50,M1010=phu!$I$51,M1010=phu!$I$52,M1010=phu!$I$53),"Cam Linh",""),IF(OR(M1010=phu!$I$54,M1010=phu!$I$55,M1010=phu!$I$56,M1010=phu!$I$57,M1010=phu!$I$58,M1010=phu!$I$59,M1010=phu!$I$60,M1010=phu!$I$61,M1010=phu!$I$62),"Cam Lợi",""),IF(OR(M1010=phu!$I$63,M1010=phu!$I$64,M1010=phu!$I$65,M1010=phu!$I$66,M1010=phu!$I$67,M1010=phu!$I$68,M1010=phu!$I$69,M1010=phu!$I$70,M1010=phu!$I$71),"Ba Ngòi",""),IF(OR(M1010=phu!$I$72,M1010=phu!$I$73,M1010=phu!$I$74,M1010=phu!$I$75,M1010=phu!$I$76,M1010=phu!$I$77,M1010=phu!$I$78),"Cam Phước Đông",""),IF(OR(M1010=phu!$I$79,M1010=phu!$I$80,M1010=phu!$I$81,M1010=phu!$I$82,M1010=phu!$I$83,M1010=phu!$I$84),"Cam Thịnh Đông",""),IF(OR(M1010=phu!$I$85,M1010=phu!$I$86,M1010=phu!$I$87,M1010=phu!$I$88),"Cam Thịnh Tây",""),IF(OR(M1010=phu!$I$89,M1010=phu!$I$90),"Cam Lập",""),IF(OR(M1010=phu!$I$91,M1010=phu!$I$92,M1010=phu!$I$93),"Cam Bình",""),IF(OR(M1010=phu!$I$94,M1010=phu!$I$95,M1010=phu!$I$96,M1010=phu!$I$97,M1010=phu!$I$98,M1010=phu!$I$99,M1010=phu!$I$100),"Huyện khác",""),IF(OR(M1010=phu!$I$101,M1010=phu!$I$102),"Tỉnh khác",""))</f>
        <v/>
      </c>
      <c r="O1010" s="829" t="str">
        <f t="shared" si="90"/>
        <v/>
      </c>
      <c r="P1010" s="254"/>
      <c r="Q1010" s="254"/>
      <c r="R1010" s="254"/>
      <c r="S1010" s="254"/>
      <c r="T1010" s="254"/>
      <c r="U1010" s="254"/>
      <c r="V1010" s="254"/>
      <c r="W1010" s="254"/>
      <c r="Y1010" s="246" t="str">
        <f t="shared" si="91"/>
        <v/>
      </c>
      <c r="Z1010" s="247" t="str">
        <f t="shared" si="95"/>
        <v/>
      </c>
      <c r="AA1010" s="246" t="str">
        <f t="shared" si="92"/>
        <v/>
      </c>
    </row>
    <row r="1011" spans="1:27" x14ac:dyDescent="0.25">
      <c r="A1011" s="248" t="str">
        <f t="shared" si="93"/>
        <v/>
      </c>
      <c r="B1011" s="249" t="str">
        <f t="shared" si="94"/>
        <v/>
      </c>
      <c r="C1011" s="250"/>
      <c r="D1011" s="251"/>
      <c r="E1011" s="241"/>
      <c r="F1011" s="252"/>
      <c r="G1011" s="252"/>
      <c r="H1011" s="253"/>
      <c r="I1011" s="250"/>
      <c r="J1011" s="250"/>
      <c r="K1011" s="270"/>
      <c r="L1011" s="250"/>
      <c r="M1011" s="250"/>
      <c r="N1011" s="540" t="str">
        <f>CONCATENATE(IF(OR(M1011=phu!$I$1,M1011=phu!$I$2,M1011=phu!$I$3),"Cam Thành Nam",""),IF(OR(M1011=phu!$I$4,M1011=phu!$I$5,M1011=phu!$I$6,M1011=phu!$I$7,M1011=phu!$I$8,M1011=phu!$I$9,M1011=phu!$I$10,M1011=phu!$I$11,M1011=phu!$I$12,M1011=phu!$I$13,M1011=phu!$I$14),"Cam Nghĩa",""),IF(OR(M1011=phu!$I$15,M1011=phu!$I$16,M1011=phu!$I$17,M1011=phu!$I$18,M1011=phu!$I$19,M1011=phu!$I$20,M1011=phu!$I$21),"Cam Phúc Bắc",""),IF(OR(M1011=phu!$I$22,M1011=phu!$I$23,M1011=phu!$I$24,M1011=phu!$I$25),"Cam Phúc Nam",""),IF(OR(M1011=phu!$I$26,M1011=phu!$I$27,M1011=phu!$I$28,M1011=phu!$I$29,M1011=phu!$I$30,M1011=phu!$I$31),"Cam Phú",""),IF(OR(M1011=phu!$I$32,M1011=phu!$I$33,M1011=phu!$I$34,M1011=phu!$I$35,M1011=phu!$I$36,M1011=phu!$I$37),"Cam Lộc",""),IF(OR(M1011=phu!$I$38,M1011=phu!$I$39,M1011=phu!$I$40,M1011=phu!$I$41,M1011=phu!$I$42,M1011=phu!$I$43,M1011=phu!$I$44),"Cam Thuận",""),IF(OR(M1011=phu!$I$45,M1011=phu!$I$46,M1011=phu!$I$47,M1011=phu!$I$48,M1011=phu!$I$49,M1011=phu!$I$50,M1011=phu!$I$51,M1011=phu!$I$52,M1011=phu!$I$53),"Cam Linh",""),IF(OR(M1011=phu!$I$54,M1011=phu!$I$55,M1011=phu!$I$56,M1011=phu!$I$57,M1011=phu!$I$58,M1011=phu!$I$59,M1011=phu!$I$60,M1011=phu!$I$61,M1011=phu!$I$62),"Cam Lợi",""),IF(OR(M1011=phu!$I$63,M1011=phu!$I$64,M1011=phu!$I$65,M1011=phu!$I$66,M1011=phu!$I$67,M1011=phu!$I$68,M1011=phu!$I$69,M1011=phu!$I$70,M1011=phu!$I$71),"Ba Ngòi",""),IF(OR(M1011=phu!$I$72,M1011=phu!$I$73,M1011=phu!$I$74,M1011=phu!$I$75,M1011=phu!$I$76,M1011=phu!$I$77,M1011=phu!$I$78),"Cam Phước Đông",""),IF(OR(M1011=phu!$I$79,M1011=phu!$I$80,M1011=phu!$I$81,M1011=phu!$I$82,M1011=phu!$I$83,M1011=phu!$I$84),"Cam Thịnh Đông",""),IF(OR(M1011=phu!$I$85,M1011=phu!$I$86,M1011=phu!$I$87,M1011=phu!$I$88),"Cam Thịnh Tây",""),IF(OR(M1011=phu!$I$89,M1011=phu!$I$90),"Cam Lập",""),IF(OR(M1011=phu!$I$91,M1011=phu!$I$92,M1011=phu!$I$93),"Cam Bình",""),IF(OR(M1011=phu!$I$94,M1011=phu!$I$95,M1011=phu!$I$96,M1011=phu!$I$97,M1011=phu!$I$98,M1011=phu!$I$99,M1011=phu!$I$100),"Huyện khác",""),IF(OR(M1011=phu!$I$101,M1011=phu!$I$102),"Tỉnh khác",""))</f>
        <v/>
      </c>
      <c r="O1011" s="829" t="str">
        <f t="shared" si="90"/>
        <v/>
      </c>
      <c r="P1011" s="254"/>
      <c r="Q1011" s="254"/>
      <c r="R1011" s="254"/>
      <c r="S1011" s="254"/>
      <c r="T1011" s="254"/>
      <c r="U1011" s="254"/>
      <c r="V1011" s="254"/>
      <c r="W1011" s="254"/>
      <c r="Y1011" s="246" t="str">
        <f t="shared" si="91"/>
        <v/>
      </c>
      <c r="Z1011" s="247" t="str">
        <f t="shared" si="95"/>
        <v/>
      </c>
      <c r="AA1011" s="246" t="str">
        <f t="shared" si="92"/>
        <v/>
      </c>
    </row>
    <row r="1012" spans="1:27" x14ac:dyDescent="0.25">
      <c r="A1012" s="248" t="str">
        <f t="shared" si="93"/>
        <v/>
      </c>
      <c r="B1012" s="249" t="str">
        <f t="shared" si="94"/>
        <v/>
      </c>
      <c r="C1012" s="250"/>
      <c r="D1012" s="251"/>
      <c r="E1012" s="241"/>
      <c r="F1012" s="252"/>
      <c r="G1012" s="252"/>
      <c r="H1012" s="253"/>
      <c r="I1012" s="250"/>
      <c r="J1012" s="250"/>
      <c r="K1012" s="270"/>
      <c r="L1012" s="250"/>
      <c r="M1012" s="250"/>
      <c r="N1012" s="540" t="str">
        <f>CONCATENATE(IF(OR(M1012=phu!$I$1,M1012=phu!$I$2,M1012=phu!$I$3),"Cam Thành Nam",""),IF(OR(M1012=phu!$I$4,M1012=phu!$I$5,M1012=phu!$I$6,M1012=phu!$I$7,M1012=phu!$I$8,M1012=phu!$I$9,M1012=phu!$I$10,M1012=phu!$I$11,M1012=phu!$I$12,M1012=phu!$I$13,M1012=phu!$I$14),"Cam Nghĩa",""),IF(OR(M1012=phu!$I$15,M1012=phu!$I$16,M1012=phu!$I$17,M1012=phu!$I$18,M1012=phu!$I$19,M1012=phu!$I$20,M1012=phu!$I$21),"Cam Phúc Bắc",""),IF(OR(M1012=phu!$I$22,M1012=phu!$I$23,M1012=phu!$I$24,M1012=phu!$I$25),"Cam Phúc Nam",""),IF(OR(M1012=phu!$I$26,M1012=phu!$I$27,M1012=phu!$I$28,M1012=phu!$I$29,M1012=phu!$I$30,M1012=phu!$I$31),"Cam Phú",""),IF(OR(M1012=phu!$I$32,M1012=phu!$I$33,M1012=phu!$I$34,M1012=phu!$I$35,M1012=phu!$I$36,M1012=phu!$I$37),"Cam Lộc",""),IF(OR(M1012=phu!$I$38,M1012=phu!$I$39,M1012=phu!$I$40,M1012=phu!$I$41,M1012=phu!$I$42,M1012=phu!$I$43,M1012=phu!$I$44),"Cam Thuận",""),IF(OR(M1012=phu!$I$45,M1012=phu!$I$46,M1012=phu!$I$47,M1012=phu!$I$48,M1012=phu!$I$49,M1012=phu!$I$50,M1012=phu!$I$51,M1012=phu!$I$52,M1012=phu!$I$53),"Cam Linh",""),IF(OR(M1012=phu!$I$54,M1012=phu!$I$55,M1012=phu!$I$56,M1012=phu!$I$57,M1012=phu!$I$58,M1012=phu!$I$59,M1012=phu!$I$60,M1012=phu!$I$61,M1012=phu!$I$62),"Cam Lợi",""),IF(OR(M1012=phu!$I$63,M1012=phu!$I$64,M1012=phu!$I$65,M1012=phu!$I$66,M1012=phu!$I$67,M1012=phu!$I$68,M1012=phu!$I$69,M1012=phu!$I$70,M1012=phu!$I$71),"Ba Ngòi",""),IF(OR(M1012=phu!$I$72,M1012=phu!$I$73,M1012=phu!$I$74,M1012=phu!$I$75,M1012=phu!$I$76,M1012=phu!$I$77,M1012=phu!$I$78),"Cam Phước Đông",""),IF(OR(M1012=phu!$I$79,M1012=phu!$I$80,M1012=phu!$I$81,M1012=phu!$I$82,M1012=phu!$I$83,M1012=phu!$I$84),"Cam Thịnh Đông",""),IF(OR(M1012=phu!$I$85,M1012=phu!$I$86,M1012=phu!$I$87,M1012=phu!$I$88),"Cam Thịnh Tây",""),IF(OR(M1012=phu!$I$89,M1012=phu!$I$90),"Cam Lập",""),IF(OR(M1012=phu!$I$91,M1012=phu!$I$92,M1012=phu!$I$93),"Cam Bình",""),IF(OR(M1012=phu!$I$94,M1012=phu!$I$95,M1012=phu!$I$96,M1012=phu!$I$97,M1012=phu!$I$98,M1012=phu!$I$99,M1012=phu!$I$100),"Huyện khác",""),IF(OR(M1012=phu!$I$101,M1012=phu!$I$102),"Tỉnh khác",""))</f>
        <v/>
      </c>
      <c r="O1012" s="829" t="str">
        <f t="shared" si="90"/>
        <v/>
      </c>
      <c r="P1012" s="254"/>
      <c r="Q1012" s="254"/>
      <c r="R1012" s="254"/>
      <c r="S1012" s="254"/>
      <c r="T1012" s="254"/>
      <c r="U1012" s="254"/>
      <c r="V1012" s="254"/>
      <c r="W1012" s="254"/>
      <c r="Y1012" s="246" t="str">
        <f t="shared" si="91"/>
        <v/>
      </c>
      <c r="Z1012" s="247" t="str">
        <f t="shared" si="95"/>
        <v/>
      </c>
      <c r="AA1012" s="246" t="str">
        <f t="shared" si="92"/>
        <v/>
      </c>
    </row>
    <row r="1013" spans="1:27" x14ac:dyDescent="0.25">
      <c r="A1013" s="248" t="str">
        <f t="shared" si="93"/>
        <v/>
      </c>
      <c r="B1013" s="249" t="str">
        <f t="shared" si="94"/>
        <v/>
      </c>
      <c r="C1013" s="250"/>
      <c r="D1013" s="251"/>
      <c r="E1013" s="241"/>
      <c r="F1013" s="252"/>
      <c r="G1013" s="252"/>
      <c r="H1013" s="253"/>
      <c r="I1013" s="250"/>
      <c r="J1013" s="250"/>
      <c r="K1013" s="270"/>
      <c r="L1013" s="250"/>
      <c r="M1013" s="250"/>
      <c r="N1013" s="540" t="str">
        <f>CONCATENATE(IF(OR(M1013=phu!$I$1,M1013=phu!$I$2,M1013=phu!$I$3),"Cam Thành Nam",""),IF(OR(M1013=phu!$I$4,M1013=phu!$I$5,M1013=phu!$I$6,M1013=phu!$I$7,M1013=phu!$I$8,M1013=phu!$I$9,M1013=phu!$I$10,M1013=phu!$I$11,M1013=phu!$I$12,M1013=phu!$I$13,M1013=phu!$I$14),"Cam Nghĩa",""),IF(OR(M1013=phu!$I$15,M1013=phu!$I$16,M1013=phu!$I$17,M1013=phu!$I$18,M1013=phu!$I$19,M1013=phu!$I$20,M1013=phu!$I$21),"Cam Phúc Bắc",""),IF(OR(M1013=phu!$I$22,M1013=phu!$I$23,M1013=phu!$I$24,M1013=phu!$I$25),"Cam Phúc Nam",""),IF(OR(M1013=phu!$I$26,M1013=phu!$I$27,M1013=phu!$I$28,M1013=phu!$I$29,M1013=phu!$I$30,M1013=phu!$I$31),"Cam Phú",""),IF(OR(M1013=phu!$I$32,M1013=phu!$I$33,M1013=phu!$I$34,M1013=phu!$I$35,M1013=phu!$I$36,M1013=phu!$I$37),"Cam Lộc",""),IF(OR(M1013=phu!$I$38,M1013=phu!$I$39,M1013=phu!$I$40,M1013=phu!$I$41,M1013=phu!$I$42,M1013=phu!$I$43,M1013=phu!$I$44),"Cam Thuận",""),IF(OR(M1013=phu!$I$45,M1013=phu!$I$46,M1013=phu!$I$47,M1013=phu!$I$48,M1013=phu!$I$49,M1013=phu!$I$50,M1013=phu!$I$51,M1013=phu!$I$52,M1013=phu!$I$53),"Cam Linh",""),IF(OR(M1013=phu!$I$54,M1013=phu!$I$55,M1013=phu!$I$56,M1013=phu!$I$57,M1013=phu!$I$58,M1013=phu!$I$59,M1013=phu!$I$60,M1013=phu!$I$61,M1013=phu!$I$62),"Cam Lợi",""),IF(OR(M1013=phu!$I$63,M1013=phu!$I$64,M1013=phu!$I$65,M1013=phu!$I$66,M1013=phu!$I$67,M1013=phu!$I$68,M1013=phu!$I$69,M1013=phu!$I$70,M1013=phu!$I$71),"Ba Ngòi",""),IF(OR(M1013=phu!$I$72,M1013=phu!$I$73,M1013=phu!$I$74,M1013=phu!$I$75,M1013=phu!$I$76,M1013=phu!$I$77,M1013=phu!$I$78),"Cam Phước Đông",""),IF(OR(M1013=phu!$I$79,M1013=phu!$I$80,M1013=phu!$I$81,M1013=phu!$I$82,M1013=phu!$I$83,M1013=phu!$I$84),"Cam Thịnh Đông",""),IF(OR(M1013=phu!$I$85,M1013=phu!$I$86,M1013=phu!$I$87,M1013=phu!$I$88),"Cam Thịnh Tây",""),IF(OR(M1013=phu!$I$89,M1013=phu!$I$90),"Cam Lập",""),IF(OR(M1013=phu!$I$91,M1013=phu!$I$92,M1013=phu!$I$93),"Cam Bình",""),IF(OR(M1013=phu!$I$94,M1013=phu!$I$95,M1013=phu!$I$96,M1013=phu!$I$97,M1013=phu!$I$98,M1013=phu!$I$99,M1013=phu!$I$100),"Huyện khác",""),IF(OR(M1013=phu!$I$101,M1013=phu!$I$102),"Tỉnh khác",""))</f>
        <v/>
      </c>
      <c r="O1013" s="829" t="str">
        <f t="shared" si="90"/>
        <v/>
      </c>
      <c r="P1013" s="254"/>
      <c r="Q1013" s="254"/>
      <c r="R1013" s="254"/>
      <c r="S1013" s="254"/>
      <c r="T1013" s="254"/>
      <c r="U1013" s="254"/>
      <c r="V1013" s="254"/>
      <c r="W1013" s="254"/>
      <c r="Y1013" s="246" t="str">
        <f t="shared" si="91"/>
        <v/>
      </c>
      <c r="Z1013" s="247" t="str">
        <f t="shared" si="95"/>
        <v/>
      </c>
      <c r="AA1013" s="246" t="str">
        <f t="shared" si="92"/>
        <v/>
      </c>
    </row>
    <row r="1014" spans="1:27" x14ac:dyDescent="0.25">
      <c r="A1014" s="248" t="str">
        <f t="shared" si="93"/>
        <v/>
      </c>
      <c r="B1014" s="249" t="str">
        <f t="shared" si="94"/>
        <v/>
      </c>
      <c r="C1014" s="250"/>
      <c r="D1014" s="251"/>
      <c r="E1014" s="241"/>
      <c r="F1014" s="252"/>
      <c r="G1014" s="252"/>
      <c r="H1014" s="253"/>
      <c r="I1014" s="250"/>
      <c r="J1014" s="250"/>
      <c r="K1014" s="270"/>
      <c r="L1014" s="250"/>
      <c r="M1014" s="250"/>
      <c r="N1014" s="540" t="str">
        <f>CONCATENATE(IF(OR(M1014=phu!$I$1,M1014=phu!$I$2,M1014=phu!$I$3),"Cam Thành Nam",""),IF(OR(M1014=phu!$I$4,M1014=phu!$I$5,M1014=phu!$I$6,M1014=phu!$I$7,M1014=phu!$I$8,M1014=phu!$I$9,M1014=phu!$I$10,M1014=phu!$I$11,M1014=phu!$I$12,M1014=phu!$I$13,M1014=phu!$I$14),"Cam Nghĩa",""),IF(OR(M1014=phu!$I$15,M1014=phu!$I$16,M1014=phu!$I$17,M1014=phu!$I$18,M1014=phu!$I$19,M1014=phu!$I$20,M1014=phu!$I$21),"Cam Phúc Bắc",""),IF(OR(M1014=phu!$I$22,M1014=phu!$I$23,M1014=phu!$I$24,M1014=phu!$I$25),"Cam Phúc Nam",""),IF(OR(M1014=phu!$I$26,M1014=phu!$I$27,M1014=phu!$I$28,M1014=phu!$I$29,M1014=phu!$I$30,M1014=phu!$I$31),"Cam Phú",""),IF(OR(M1014=phu!$I$32,M1014=phu!$I$33,M1014=phu!$I$34,M1014=phu!$I$35,M1014=phu!$I$36,M1014=phu!$I$37),"Cam Lộc",""),IF(OR(M1014=phu!$I$38,M1014=phu!$I$39,M1014=phu!$I$40,M1014=phu!$I$41,M1014=phu!$I$42,M1014=phu!$I$43,M1014=phu!$I$44),"Cam Thuận",""),IF(OR(M1014=phu!$I$45,M1014=phu!$I$46,M1014=phu!$I$47,M1014=phu!$I$48,M1014=phu!$I$49,M1014=phu!$I$50,M1014=phu!$I$51,M1014=phu!$I$52,M1014=phu!$I$53),"Cam Linh",""),IF(OR(M1014=phu!$I$54,M1014=phu!$I$55,M1014=phu!$I$56,M1014=phu!$I$57,M1014=phu!$I$58,M1014=phu!$I$59,M1014=phu!$I$60,M1014=phu!$I$61,M1014=phu!$I$62),"Cam Lợi",""),IF(OR(M1014=phu!$I$63,M1014=phu!$I$64,M1014=phu!$I$65,M1014=phu!$I$66,M1014=phu!$I$67,M1014=phu!$I$68,M1014=phu!$I$69,M1014=phu!$I$70,M1014=phu!$I$71),"Ba Ngòi",""),IF(OR(M1014=phu!$I$72,M1014=phu!$I$73,M1014=phu!$I$74,M1014=phu!$I$75,M1014=phu!$I$76,M1014=phu!$I$77,M1014=phu!$I$78),"Cam Phước Đông",""),IF(OR(M1014=phu!$I$79,M1014=phu!$I$80,M1014=phu!$I$81,M1014=phu!$I$82,M1014=phu!$I$83,M1014=phu!$I$84),"Cam Thịnh Đông",""),IF(OR(M1014=phu!$I$85,M1014=phu!$I$86,M1014=phu!$I$87,M1014=phu!$I$88),"Cam Thịnh Tây",""),IF(OR(M1014=phu!$I$89,M1014=phu!$I$90),"Cam Lập",""),IF(OR(M1014=phu!$I$91,M1014=phu!$I$92,M1014=phu!$I$93),"Cam Bình",""),IF(OR(M1014=phu!$I$94,M1014=phu!$I$95,M1014=phu!$I$96,M1014=phu!$I$97,M1014=phu!$I$98,M1014=phu!$I$99,M1014=phu!$I$100),"Huyện khác",""),IF(OR(M1014=phu!$I$101,M1014=phu!$I$102),"Tỉnh khác",""))</f>
        <v/>
      </c>
      <c r="O1014" s="829" t="str">
        <f t="shared" si="90"/>
        <v/>
      </c>
      <c r="P1014" s="254"/>
      <c r="Q1014" s="254"/>
      <c r="R1014" s="254"/>
      <c r="S1014" s="254"/>
      <c r="T1014" s="254"/>
      <c r="U1014" s="254"/>
      <c r="V1014" s="254"/>
      <c r="W1014" s="254"/>
      <c r="Y1014" s="246" t="str">
        <f t="shared" si="91"/>
        <v/>
      </c>
      <c r="Z1014" s="247" t="str">
        <f t="shared" si="95"/>
        <v/>
      </c>
      <c r="AA1014" s="246" t="str">
        <f t="shared" si="92"/>
        <v/>
      </c>
    </row>
    <row r="1015" spans="1:27" x14ac:dyDescent="0.25">
      <c r="A1015" s="248" t="str">
        <f t="shared" si="93"/>
        <v/>
      </c>
      <c r="B1015" s="249" t="str">
        <f t="shared" si="94"/>
        <v/>
      </c>
      <c r="C1015" s="250"/>
      <c r="D1015" s="251"/>
      <c r="E1015" s="241"/>
      <c r="F1015" s="252"/>
      <c r="G1015" s="252"/>
      <c r="H1015" s="253"/>
      <c r="I1015" s="250"/>
      <c r="J1015" s="250"/>
      <c r="K1015" s="270"/>
      <c r="L1015" s="250"/>
      <c r="M1015" s="250"/>
      <c r="N1015" s="540" t="str">
        <f>CONCATENATE(IF(OR(M1015=phu!$I$1,M1015=phu!$I$2,M1015=phu!$I$3),"Cam Thành Nam",""),IF(OR(M1015=phu!$I$4,M1015=phu!$I$5,M1015=phu!$I$6,M1015=phu!$I$7,M1015=phu!$I$8,M1015=phu!$I$9,M1015=phu!$I$10,M1015=phu!$I$11,M1015=phu!$I$12,M1015=phu!$I$13,M1015=phu!$I$14),"Cam Nghĩa",""),IF(OR(M1015=phu!$I$15,M1015=phu!$I$16,M1015=phu!$I$17,M1015=phu!$I$18,M1015=phu!$I$19,M1015=phu!$I$20,M1015=phu!$I$21),"Cam Phúc Bắc",""),IF(OR(M1015=phu!$I$22,M1015=phu!$I$23,M1015=phu!$I$24,M1015=phu!$I$25),"Cam Phúc Nam",""),IF(OR(M1015=phu!$I$26,M1015=phu!$I$27,M1015=phu!$I$28,M1015=phu!$I$29,M1015=phu!$I$30,M1015=phu!$I$31),"Cam Phú",""),IF(OR(M1015=phu!$I$32,M1015=phu!$I$33,M1015=phu!$I$34,M1015=phu!$I$35,M1015=phu!$I$36,M1015=phu!$I$37),"Cam Lộc",""),IF(OR(M1015=phu!$I$38,M1015=phu!$I$39,M1015=phu!$I$40,M1015=phu!$I$41,M1015=phu!$I$42,M1015=phu!$I$43,M1015=phu!$I$44),"Cam Thuận",""),IF(OR(M1015=phu!$I$45,M1015=phu!$I$46,M1015=phu!$I$47,M1015=phu!$I$48,M1015=phu!$I$49,M1015=phu!$I$50,M1015=phu!$I$51,M1015=phu!$I$52,M1015=phu!$I$53),"Cam Linh",""),IF(OR(M1015=phu!$I$54,M1015=phu!$I$55,M1015=phu!$I$56,M1015=phu!$I$57,M1015=phu!$I$58,M1015=phu!$I$59,M1015=phu!$I$60,M1015=phu!$I$61,M1015=phu!$I$62),"Cam Lợi",""),IF(OR(M1015=phu!$I$63,M1015=phu!$I$64,M1015=phu!$I$65,M1015=phu!$I$66,M1015=phu!$I$67,M1015=phu!$I$68,M1015=phu!$I$69,M1015=phu!$I$70,M1015=phu!$I$71),"Ba Ngòi",""),IF(OR(M1015=phu!$I$72,M1015=phu!$I$73,M1015=phu!$I$74,M1015=phu!$I$75,M1015=phu!$I$76,M1015=phu!$I$77,M1015=phu!$I$78),"Cam Phước Đông",""),IF(OR(M1015=phu!$I$79,M1015=phu!$I$80,M1015=phu!$I$81,M1015=phu!$I$82,M1015=phu!$I$83,M1015=phu!$I$84),"Cam Thịnh Đông",""),IF(OR(M1015=phu!$I$85,M1015=phu!$I$86,M1015=phu!$I$87,M1015=phu!$I$88),"Cam Thịnh Tây",""),IF(OR(M1015=phu!$I$89,M1015=phu!$I$90),"Cam Lập",""),IF(OR(M1015=phu!$I$91,M1015=phu!$I$92,M1015=phu!$I$93),"Cam Bình",""),IF(OR(M1015=phu!$I$94,M1015=phu!$I$95,M1015=phu!$I$96,M1015=phu!$I$97,M1015=phu!$I$98,M1015=phu!$I$99,M1015=phu!$I$100),"Huyện khác",""),IF(OR(M1015=phu!$I$101,M1015=phu!$I$102),"Tỉnh khác",""))</f>
        <v/>
      </c>
      <c r="O1015" s="829" t="str">
        <f t="shared" si="90"/>
        <v/>
      </c>
      <c r="P1015" s="254"/>
      <c r="Q1015" s="254"/>
      <c r="R1015" s="254"/>
      <c r="S1015" s="254"/>
      <c r="T1015" s="254"/>
      <c r="U1015" s="254"/>
      <c r="V1015" s="254"/>
      <c r="W1015" s="254"/>
      <c r="Y1015" s="246" t="str">
        <f t="shared" si="91"/>
        <v/>
      </c>
      <c r="Z1015" s="247" t="str">
        <f t="shared" si="95"/>
        <v/>
      </c>
      <c r="AA1015" s="246" t="str">
        <f t="shared" si="92"/>
        <v/>
      </c>
    </row>
    <row r="1016" spans="1:27" x14ac:dyDescent="0.25">
      <c r="A1016" s="248" t="str">
        <f t="shared" si="93"/>
        <v/>
      </c>
      <c r="B1016" s="249" t="str">
        <f t="shared" si="94"/>
        <v/>
      </c>
      <c r="C1016" s="250"/>
      <c r="D1016" s="251"/>
      <c r="E1016" s="241"/>
      <c r="F1016" s="252"/>
      <c r="G1016" s="252"/>
      <c r="H1016" s="253"/>
      <c r="I1016" s="250"/>
      <c r="J1016" s="250"/>
      <c r="K1016" s="270"/>
      <c r="L1016" s="250"/>
      <c r="M1016" s="250"/>
      <c r="N1016" s="540" t="str">
        <f>CONCATENATE(IF(OR(M1016=phu!$I$1,M1016=phu!$I$2,M1016=phu!$I$3),"Cam Thành Nam",""),IF(OR(M1016=phu!$I$4,M1016=phu!$I$5,M1016=phu!$I$6,M1016=phu!$I$7,M1016=phu!$I$8,M1016=phu!$I$9,M1016=phu!$I$10,M1016=phu!$I$11,M1016=phu!$I$12,M1016=phu!$I$13,M1016=phu!$I$14),"Cam Nghĩa",""),IF(OR(M1016=phu!$I$15,M1016=phu!$I$16,M1016=phu!$I$17,M1016=phu!$I$18,M1016=phu!$I$19,M1016=phu!$I$20,M1016=phu!$I$21),"Cam Phúc Bắc",""),IF(OR(M1016=phu!$I$22,M1016=phu!$I$23,M1016=phu!$I$24,M1016=phu!$I$25),"Cam Phúc Nam",""),IF(OR(M1016=phu!$I$26,M1016=phu!$I$27,M1016=phu!$I$28,M1016=phu!$I$29,M1016=phu!$I$30,M1016=phu!$I$31),"Cam Phú",""),IF(OR(M1016=phu!$I$32,M1016=phu!$I$33,M1016=phu!$I$34,M1016=phu!$I$35,M1016=phu!$I$36,M1016=phu!$I$37),"Cam Lộc",""),IF(OR(M1016=phu!$I$38,M1016=phu!$I$39,M1016=phu!$I$40,M1016=phu!$I$41,M1016=phu!$I$42,M1016=phu!$I$43,M1016=phu!$I$44),"Cam Thuận",""),IF(OR(M1016=phu!$I$45,M1016=phu!$I$46,M1016=phu!$I$47,M1016=phu!$I$48,M1016=phu!$I$49,M1016=phu!$I$50,M1016=phu!$I$51,M1016=phu!$I$52,M1016=phu!$I$53),"Cam Linh",""),IF(OR(M1016=phu!$I$54,M1016=phu!$I$55,M1016=phu!$I$56,M1016=phu!$I$57,M1016=phu!$I$58,M1016=phu!$I$59,M1016=phu!$I$60,M1016=phu!$I$61,M1016=phu!$I$62),"Cam Lợi",""),IF(OR(M1016=phu!$I$63,M1016=phu!$I$64,M1016=phu!$I$65,M1016=phu!$I$66,M1016=phu!$I$67,M1016=phu!$I$68,M1016=phu!$I$69,M1016=phu!$I$70,M1016=phu!$I$71),"Ba Ngòi",""),IF(OR(M1016=phu!$I$72,M1016=phu!$I$73,M1016=phu!$I$74,M1016=phu!$I$75,M1016=phu!$I$76,M1016=phu!$I$77,M1016=phu!$I$78),"Cam Phước Đông",""),IF(OR(M1016=phu!$I$79,M1016=phu!$I$80,M1016=phu!$I$81,M1016=phu!$I$82,M1016=phu!$I$83,M1016=phu!$I$84),"Cam Thịnh Đông",""),IF(OR(M1016=phu!$I$85,M1016=phu!$I$86,M1016=phu!$I$87,M1016=phu!$I$88),"Cam Thịnh Tây",""),IF(OR(M1016=phu!$I$89,M1016=phu!$I$90),"Cam Lập",""),IF(OR(M1016=phu!$I$91,M1016=phu!$I$92,M1016=phu!$I$93),"Cam Bình",""),IF(OR(M1016=phu!$I$94,M1016=phu!$I$95,M1016=phu!$I$96,M1016=phu!$I$97,M1016=phu!$I$98,M1016=phu!$I$99,M1016=phu!$I$100),"Huyện khác",""),IF(OR(M1016=phu!$I$101,M1016=phu!$I$102),"Tỉnh khác",""))</f>
        <v/>
      </c>
      <c r="O1016" s="829" t="str">
        <f t="shared" si="90"/>
        <v/>
      </c>
      <c r="P1016" s="254"/>
      <c r="Q1016" s="254"/>
      <c r="R1016" s="254"/>
      <c r="S1016" s="254"/>
      <c r="T1016" s="254"/>
      <c r="U1016" s="254"/>
      <c r="V1016" s="254"/>
      <c r="W1016" s="254"/>
      <c r="Y1016" s="246" t="str">
        <f t="shared" si="91"/>
        <v/>
      </c>
      <c r="Z1016" s="247" t="str">
        <f t="shared" si="95"/>
        <v/>
      </c>
      <c r="AA1016" s="246" t="str">
        <f t="shared" si="92"/>
        <v/>
      </c>
    </row>
    <row r="1017" spans="1:27" x14ac:dyDescent="0.25">
      <c r="A1017" s="248" t="str">
        <f t="shared" si="93"/>
        <v/>
      </c>
      <c r="B1017" s="249" t="str">
        <f t="shared" si="94"/>
        <v/>
      </c>
      <c r="C1017" s="250"/>
      <c r="D1017" s="251"/>
      <c r="E1017" s="241"/>
      <c r="F1017" s="252"/>
      <c r="G1017" s="252"/>
      <c r="H1017" s="253"/>
      <c r="I1017" s="250"/>
      <c r="J1017" s="250"/>
      <c r="K1017" s="270"/>
      <c r="L1017" s="250"/>
      <c r="M1017" s="250"/>
      <c r="N1017" s="540" t="str">
        <f>CONCATENATE(IF(OR(M1017=phu!$I$1,M1017=phu!$I$2,M1017=phu!$I$3),"Cam Thành Nam",""),IF(OR(M1017=phu!$I$4,M1017=phu!$I$5,M1017=phu!$I$6,M1017=phu!$I$7,M1017=phu!$I$8,M1017=phu!$I$9,M1017=phu!$I$10,M1017=phu!$I$11,M1017=phu!$I$12,M1017=phu!$I$13,M1017=phu!$I$14),"Cam Nghĩa",""),IF(OR(M1017=phu!$I$15,M1017=phu!$I$16,M1017=phu!$I$17,M1017=phu!$I$18,M1017=phu!$I$19,M1017=phu!$I$20,M1017=phu!$I$21),"Cam Phúc Bắc",""),IF(OR(M1017=phu!$I$22,M1017=phu!$I$23,M1017=phu!$I$24,M1017=phu!$I$25),"Cam Phúc Nam",""),IF(OR(M1017=phu!$I$26,M1017=phu!$I$27,M1017=phu!$I$28,M1017=phu!$I$29,M1017=phu!$I$30,M1017=phu!$I$31),"Cam Phú",""),IF(OR(M1017=phu!$I$32,M1017=phu!$I$33,M1017=phu!$I$34,M1017=phu!$I$35,M1017=phu!$I$36,M1017=phu!$I$37),"Cam Lộc",""),IF(OR(M1017=phu!$I$38,M1017=phu!$I$39,M1017=phu!$I$40,M1017=phu!$I$41,M1017=phu!$I$42,M1017=phu!$I$43,M1017=phu!$I$44),"Cam Thuận",""),IF(OR(M1017=phu!$I$45,M1017=phu!$I$46,M1017=phu!$I$47,M1017=phu!$I$48,M1017=phu!$I$49,M1017=phu!$I$50,M1017=phu!$I$51,M1017=phu!$I$52,M1017=phu!$I$53),"Cam Linh",""),IF(OR(M1017=phu!$I$54,M1017=phu!$I$55,M1017=phu!$I$56,M1017=phu!$I$57,M1017=phu!$I$58,M1017=phu!$I$59,M1017=phu!$I$60,M1017=phu!$I$61,M1017=phu!$I$62),"Cam Lợi",""),IF(OR(M1017=phu!$I$63,M1017=phu!$I$64,M1017=phu!$I$65,M1017=phu!$I$66,M1017=phu!$I$67,M1017=phu!$I$68,M1017=phu!$I$69,M1017=phu!$I$70,M1017=phu!$I$71),"Ba Ngòi",""),IF(OR(M1017=phu!$I$72,M1017=phu!$I$73,M1017=phu!$I$74,M1017=phu!$I$75,M1017=phu!$I$76,M1017=phu!$I$77,M1017=phu!$I$78),"Cam Phước Đông",""),IF(OR(M1017=phu!$I$79,M1017=phu!$I$80,M1017=phu!$I$81,M1017=phu!$I$82,M1017=phu!$I$83,M1017=phu!$I$84),"Cam Thịnh Đông",""),IF(OR(M1017=phu!$I$85,M1017=phu!$I$86,M1017=phu!$I$87,M1017=phu!$I$88),"Cam Thịnh Tây",""),IF(OR(M1017=phu!$I$89,M1017=phu!$I$90),"Cam Lập",""),IF(OR(M1017=phu!$I$91,M1017=phu!$I$92,M1017=phu!$I$93),"Cam Bình",""),IF(OR(M1017=phu!$I$94,M1017=phu!$I$95,M1017=phu!$I$96,M1017=phu!$I$97,M1017=phu!$I$98,M1017=phu!$I$99,M1017=phu!$I$100),"Huyện khác",""),IF(OR(M1017=phu!$I$101,M1017=phu!$I$102),"Tỉnh khác",""))</f>
        <v/>
      </c>
      <c r="O1017" s="829" t="str">
        <f t="shared" si="90"/>
        <v/>
      </c>
      <c r="P1017" s="254"/>
      <c r="Q1017" s="254"/>
      <c r="R1017" s="254"/>
      <c r="S1017" s="254"/>
      <c r="T1017" s="254"/>
      <c r="U1017" s="254"/>
      <c r="V1017" s="254"/>
      <c r="W1017" s="254"/>
      <c r="Y1017" s="246" t="str">
        <f t="shared" si="91"/>
        <v/>
      </c>
      <c r="Z1017" s="247" t="str">
        <f t="shared" si="95"/>
        <v/>
      </c>
      <c r="AA1017" s="246" t="str">
        <f t="shared" si="92"/>
        <v/>
      </c>
    </row>
    <row r="1018" spans="1:27" x14ac:dyDescent="0.25">
      <c r="A1018" s="248" t="str">
        <f t="shared" si="93"/>
        <v/>
      </c>
      <c r="B1018" s="249" t="str">
        <f t="shared" si="94"/>
        <v/>
      </c>
      <c r="C1018" s="250"/>
      <c r="D1018" s="251"/>
      <c r="E1018" s="241"/>
      <c r="F1018" s="252"/>
      <c r="G1018" s="252"/>
      <c r="H1018" s="253"/>
      <c r="I1018" s="250"/>
      <c r="J1018" s="250"/>
      <c r="K1018" s="270"/>
      <c r="L1018" s="250"/>
      <c r="M1018" s="250"/>
      <c r="N1018" s="540" t="str">
        <f>CONCATENATE(IF(OR(M1018=phu!$I$1,M1018=phu!$I$2,M1018=phu!$I$3),"Cam Thành Nam",""),IF(OR(M1018=phu!$I$4,M1018=phu!$I$5,M1018=phu!$I$6,M1018=phu!$I$7,M1018=phu!$I$8,M1018=phu!$I$9,M1018=phu!$I$10,M1018=phu!$I$11,M1018=phu!$I$12,M1018=phu!$I$13,M1018=phu!$I$14),"Cam Nghĩa",""),IF(OR(M1018=phu!$I$15,M1018=phu!$I$16,M1018=phu!$I$17,M1018=phu!$I$18,M1018=phu!$I$19,M1018=phu!$I$20,M1018=phu!$I$21),"Cam Phúc Bắc",""),IF(OR(M1018=phu!$I$22,M1018=phu!$I$23,M1018=phu!$I$24,M1018=phu!$I$25),"Cam Phúc Nam",""),IF(OR(M1018=phu!$I$26,M1018=phu!$I$27,M1018=phu!$I$28,M1018=phu!$I$29,M1018=phu!$I$30,M1018=phu!$I$31),"Cam Phú",""),IF(OR(M1018=phu!$I$32,M1018=phu!$I$33,M1018=phu!$I$34,M1018=phu!$I$35,M1018=phu!$I$36,M1018=phu!$I$37),"Cam Lộc",""),IF(OR(M1018=phu!$I$38,M1018=phu!$I$39,M1018=phu!$I$40,M1018=phu!$I$41,M1018=phu!$I$42,M1018=phu!$I$43,M1018=phu!$I$44),"Cam Thuận",""),IF(OR(M1018=phu!$I$45,M1018=phu!$I$46,M1018=phu!$I$47,M1018=phu!$I$48,M1018=phu!$I$49,M1018=phu!$I$50,M1018=phu!$I$51,M1018=phu!$I$52,M1018=phu!$I$53),"Cam Linh",""),IF(OR(M1018=phu!$I$54,M1018=phu!$I$55,M1018=phu!$I$56,M1018=phu!$I$57,M1018=phu!$I$58,M1018=phu!$I$59,M1018=phu!$I$60,M1018=phu!$I$61,M1018=phu!$I$62),"Cam Lợi",""),IF(OR(M1018=phu!$I$63,M1018=phu!$I$64,M1018=phu!$I$65,M1018=phu!$I$66,M1018=phu!$I$67,M1018=phu!$I$68,M1018=phu!$I$69,M1018=phu!$I$70,M1018=phu!$I$71),"Ba Ngòi",""),IF(OR(M1018=phu!$I$72,M1018=phu!$I$73,M1018=phu!$I$74,M1018=phu!$I$75,M1018=phu!$I$76,M1018=phu!$I$77,M1018=phu!$I$78),"Cam Phước Đông",""),IF(OR(M1018=phu!$I$79,M1018=phu!$I$80,M1018=phu!$I$81,M1018=phu!$I$82,M1018=phu!$I$83,M1018=phu!$I$84),"Cam Thịnh Đông",""),IF(OR(M1018=phu!$I$85,M1018=phu!$I$86,M1018=phu!$I$87,M1018=phu!$I$88),"Cam Thịnh Tây",""),IF(OR(M1018=phu!$I$89,M1018=phu!$I$90),"Cam Lập",""),IF(OR(M1018=phu!$I$91,M1018=phu!$I$92,M1018=phu!$I$93),"Cam Bình",""),IF(OR(M1018=phu!$I$94,M1018=phu!$I$95,M1018=phu!$I$96,M1018=phu!$I$97,M1018=phu!$I$98,M1018=phu!$I$99,M1018=phu!$I$100),"Huyện khác",""),IF(OR(M1018=phu!$I$101,M1018=phu!$I$102),"Tỉnh khác",""))</f>
        <v/>
      </c>
      <c r="O1018" s="829" t="str">
        <f t="shared" si="90"/>
        <v/>
      </c>
      <c r="P1018" s="254"/>
      <c r="Q1018" s="254"/>
      <c r="R1018" s="254"/>
      <c r="S1018" s="254"/>
      <c r="T1018" s="254"/>
      <c r="U1018" s="254"/>
      <c r="V1018" s="254"/>
      <c r="W1018" s="254"/>
      <c r="Y1018" s="246" t="str">
        <f t="shared" si="91"/>
        <v/>
      </c>
      <c r="Z1018" s="247" t="str">
        <f t="shared" si="95"/>
        <v/>
      </c>
      <c r="AA1018" s="246" t="str">
        <f t="shared" si="92"/>
        <v/>
      </c>
    </row>
    <row r="1019" spans="1:27" x14ac:dyDescent="0.25">
      <c r="A1019" s="248" t="str">
        <f t="shared" si="93"/>
        <v/>
      </c>
      <c r="B1019" s="249" t="str">
        <f t="shared" si="94"/>
        <v/>
      </c>
      <c r="C1019" s="250"/>
      <c r="D1019" s="251"/>
      <c r="E1019" s="241"/>
      <c r="F1019" s="252"/>
      <c r="G1019" s="252"/>
      <c r="H1019" s="253"/>
      <c r="I1019" s="250"/>
      <c r="J1019" s="250"/>
      <c r="K1019" s="270"/>
      <c r="L1019" s="250"/>
      <c r="M1019" s="250"/>
      <c r="N1019" s="540" t="str">
        <f>CONCATENATE(IF(OR(M1019=phu!$I$1,M1019=phu!$I$2,M1019=phu!$I$3),"Cam Thành Nam",""),IF(OR(M1019=phu!$I$4,M1019=phu!$I$5,M1019=phu!$I$6,M1019=phu!$I$7,M1019=phu!$I$8,M1019=phu!$I$9,M1019=phu!$I$10,M1019=phu!$I$11,M1019=phu!$I$12,M1019=phu!$I$13,M1019=phu!$I$14),"Cam Nghĩa",""),IF(OR(M1019=phu!$I$15,M1019=phu!$I$16,M1019=phu!$I$17,M1019=phu!$I$18,M1019=phu!$I$19,M1019=phu!$I$20,M1019=phu!$I$21),"Cam Phúc Bắc",""),IF(OR(M1019=phu!$I$22,M1019=phu!$I$23,M1019=phu!$I$24,M1019=phu!$I$25),"Cam Phúc Nam",""),IF(OR(M1019=phu!$I$26,M1019=phu!$I$27,M1019=phu!$I$28,M1019=phu!$I$29,M1019=phu!$I$30,M1019=phu!$I$31),"Cam Phú",""),IF(OR(M1019=phu!$I$32,M1019=phu!$I$33,M1019=phu!$I$34,M1019=phu!$I$35,M1019=phu!$I$36,M1019=phu!$I$37),"Cam Lộc",""),IF(OR(M1019=phu!$I$38,M1019=phu!$I$39,M1019=phu!$I$40,M1019=phu!$I$41,M1019=phu!$I$42,M1019=phu!$I$43,M1019=phu!$I$44),"Cam Thuận",""),IF(OR(M1019=phu!$I$45,M1019=phu!$I$46,M1019=phu!$I$47,M1019=phu!$I$48,M1019=phu!$I$49,M1019=phu!$I$50,M1019=phu!$I$51,M1019=phu!$I$52,M1019=phu!$I$53),"Cam Linh",""),IF(OR(M1019=phu!$I$54,M1019=phu!$I$55,M1019=phu!$I$56,M1019=phu!$I$57,M1019=phu!$I$58,M1019=phu!$I$59,M1019=phu!$I$60,M1019=phu!$I$61,M1019=phu!$I$62),"Cam Lợi",""),IF(OR(M1019=phu!$I$63,M1019=phu!$I$64,M1019=phu!$I$65,M1019=phu!$I$66,M1019=phu!$I$67,M1019=phu!$I$68,M1019=phu!$I$69,M1019=phu!$I$70,M1019=phu!$I$71),"Ba Ngòi",""),IF(OR(M1019=phu!$I$72,M1019=phu!$I$73,M1019=phu!$I$74,M1019=phu!$I$75,M1019=phu!$I$76,M1019=phu!$I$77,M1019=phu!$I$78),"Cam Phước Đông",""),IF(OR(M1019=phu!$I$79,M1019=phu!$I$80,M1019=phu!$I$81,M1019=phu!$I$82,M1019=phu!$I$83,M1019=phu!$I$84),"Cam Thịnh Đông",""),IF(OR(M1019=phu!$I$85,M1019=phu!$I$86,M1019=phu!$I$87,M1019=phu!$I$88),"Cam Thịnh Tây",""),IF(OR(M1019=phu!$I$89,M1019=phu!$I$90),"Cam Lập",""),IF(OR(M1019=phu!$I$91,M1019=phu!$I$92,M1019=phu!$I$93),"Cam Bình",""),IF(OR(M1019=phu!$I$94,M1019=phu!$I$95,M1019=phu!$I$96,M1019=phu!$I$97,M1019=phu!$I$98,M1019=phu!$I$99,M1019=phu!$I$100),"Huyện khác",""),IF(OR(M1019=phu!$I$101,M1019=phu!$I$102),"Tỉnh khác",""))</f>
        <v/>
      </c>
      <c r="O1019" s="829" t="str">
        <f t="shared" si="90"/>
        <v/>
      </c>
      <c r="P1019" s="254"/>
      <c r="Q1019" s="254"/>
      <c r="R1019" s="254"/>
      <c r="S1019" s="254"/>
      <c r="T1019" s="254"/>
      <c r="U1019" s="254"/>
      <c r="V1019" s="254"/>
      <c r="W1019" s="254"/>
      <c r="Y1019" s="246" t="str">
        <f t="shared" si="91"/>
        <v/>
      </c>
      <c r="Z1019" s="247" t="str">
        <f t="shared" si="95"/>
        <v/>
      </c>
      <c r="AA1019" s="246" t="str">
        <f t="shared" si="92"/>
        <v/>
      </c>
    </row>
    <row r="1020" spans="1:27" x14ac:dyDescent="0.25">
      <c r="A1020" s="248" t="str">
        <f t="shared" si="93"/>
        <v/>
      </c>
      <c r="B1020" s="249" t="str">
        <f t="shared" si="94"/>
        <v/>
      </c>
      <c r="C1020" s="250"/>
      <c r="D1020" s="251"/>
      <c r="E1020" s="241"/>
      <c r="F1020" s="252"/>
      <c r="G1020" s="252"/>
      <c r="H1020" s="253"/>
      <c r="I1020" s="250"/>
      <c r="J1020" s="250"/>
      <c r="K1020" s="270"/>
      <c r="L1020" s="250"/>
      <c r="M1020" s="250"/>
      <c r="N1020" s="540" t="str">
        <f>CONCATENATE(IF(OR(M1020=phu!$I$1,M1020=phu!$I$2,M1020=phu!$I$3),"Cam Thành Nam",""),IF(OR(M1020=phu!$I$4,M1020=phu!$I$5,M1020=phu!$I$6,M1020=phu!$I$7,M1020=phu!$I$8,M1020=phu!$I$9,M1020=phu!$I$10,M1020=phu!$I$11,M1020=phu!$I$12,M1020=phu!$I$13,M1020=phu!$I$14),"Cam Nghĩa",""),IF(OR(M1020=phu!$I$15,M1020=phu!$I$16,M1020=phu!$I$17,M1020=phu!$I$18,M1020=phu!$I$19,M1020=phu!$I$20,M1020=phu!$I$21),"Cam Phúc Bắc",""),IF(OR(M1020=phu!$I$22,M1020=phu!$I$23,M1020=phu!$I$24,M1020=phu!$I$25),"Cam Phúc Nam",""),IF(OR(M1020=phu!$I$26,M1020=phu!$I$27,M1020=phu!$I$28,M1020=phu!$I$29,M1020=phu!$I$30,M1020=phu!$I$31),"Cam Phú",""),IF(OR(M1020=phu!$I$32,M1020=phu!$I$33,M1020=phu!$I$34,M1020=phu!$I$35,M1020=phu!$I$36,M1020=phu!$I$37),"Cam Lộc",""),IF(OR(M1020=phu!$I$38,M1020=phu!$I$39,M1020=phu!$I$40,M1020=phu!$I$41,M1020=phu!$I$42,M1020=phu!$I$43,M1020=phu!$I$44),"Cam Thuận",""),IF(OR(M1020=phu!$I$45,M1020=phu!$I$46,M1020=phu!$I$47,M1020=phu!$I$48,M1020=phu!$I$49,M1020=phu!$I$50,M1020=phu!$I$51,M1020=phu!$I$52,M1020=phu!$I$53),"Cam Linh",""),IF(OR(M1020=phu!$I$54,M1020=phu!$I$55,M1020=phu!$I$56,M1020=phu!$I$57,M1020=phu!$I$58,M1020=phu!$I$59,M1020=phu!$I$60,M1020=phu!$I$61,M1020=phu!$I$62),"Cam Lợi",""),IF(OR(M1020=phu!$I$63,M1020=phu!$I$64,M1020=phu!$I$65,M1020=phu!$I$66,M1020=phu!$I$67,M1020=phu!$I$68,M1020=phu!$I$69,M1020=phu!$I$70,M1020=phu!$I$71),"Ba Ngòi",""),IF(OR(M1020=phu!$I$72,M1020=phu!$I$73,M1020=phu!$I$74,M1020=phu!$I$75,M1020=phu!$I$76,M1020=phu!$I$77,M1020=phu!$I$78),"Cam Phước Đông",""),IF(OR(M1020=phu!$I$79,M1020=phu!$I$80,M1020=phu!$I$81,M1020=phu!$I$82,M1020=phu!$I$83,M1020=phu!$I$84),"Cam Thịnh Đông",""),IF(OR(M1020=phu!$I$85,M1020=phu!$I$86,M1020=phu!$I$87,M1020=phu!$I$88),"Cam Thịnh Tây",""),IF(OR(M1020=phu!$I$89,M1020=phu!$I$90),"Cam Lập",""),IF(OR(M1020=phu!$I$91,M1020=phu!$I$92,M1020=phu!$I$93),"Cam Bình",""),IF(OR(M1020=phu!$I$94,M1020=phu!$I$95,M1020=phu!$I$96,M1020=phu!$I$97,M1020=phu!$I$98,M1020=phu!$I$99,M1020=phu!$I$100),"Huyện khác",""),IF(OR(M1020=phu!$I$101,M1020=phu!$I$102),"Tỉnh khác",""))</f>
        <v/>
      </c>
      <c r="O1020" s="829" t="str">
        <f t="shared" si="90"/>
        <v/>
      </c>
      <c r="P1020" s="254"/>
      <c r="Q1020" s="254"/>
      <c r="R1020" s="254"/>
      <c r="S1020" s="254"/>
      <c r="T1020" s="254"/>
      <c r="U1020" s="254"/>
      <c r="V1020" s="254"/>
      <c r="W1020" s="254"/>
      <c r="Y1020" s="246" t="str">
        <f t="shared" si="91"/>
        <v/>
      </c>
      <c r="Z1020" s="247" t="str">
        <f t="shared" si="95"/>
        <v/>
      </c>
      <c r="AA1020" s="246" t="str">
        <f t="shared" si="92"/>
        <v/>
      </c>
    </row>
    <row r="1021" spans="1:27" x14ac:dyDescent="0.25">
      <c r="A1021" s="248" t="str">
        <f t="shared" si="93"/>
        <v/>
      </c>
      <c r="B1021" s="249" t="str">
        <f t="shared" si="94"/>
        <v/>
      </c>
      <c r="C1021" s="250"/>
      <c r="D1021" s="251"/>
      <c r="E1021" s="241"/>
      <c r="F1021" s="252"/>
      <c r="G1021" s="252"/>
      <c r="H1021" s="253"/>
      <c r="I1021" s="250"/>
      <c r="J1021" s="250"/>
      <c r="K1021" s="270"/>
      <c r="L1021" s="250"/>
      <c r="M1021" s="250"/>
      <c r="N1021" s="540" t="str">
        <f>CONCATENATE(IF(OR(M1021=phu!$I$1,M1021=phu!$I$2,M1021=phu!$I$3),"Cam Thành Nam",""),IF(OR(M1021=phu!$I$4,M1021=phu!$I$5,M1021=phu!$I$6,M1021=phu!$I$7,M1021=phu!$I$8,M1021=phu!$I$9,M1021=phu!$I$10,M1021=phu!$I$11,M1021=phu!$I$12,M1021=phu!$I$13,M1021=phu!$I$14),"Cam Nghĩa",""),IF(OR(M1021=phu!$I$15,M1021=phu!$I$16,M1021=phu!$I$17,M1021=phu!$I$18,M1021=phu!$I$19,M1021=phu!$I$20,M1021=phu!$I$21),"Cam Phúc Bắc",""),IF(OR(M1021=phu!$I$22,M1021=phu!$I$23,M1021=phu!$I$24,M1021=phu!$I$25),"Cam Phúc Nam",""),IF(OR(M1021=phu!$I$26,M1021=phu!$I$27,M1021=phu!$I$28,M1021=phu!$I$29,M1021=phu!$I$30,M1021=phu!$I$31),"Cam Phú",""),IF(OR(M1021=phu!$I$32,M1021=phu!$I$33,M1021=phu!$I$34,M1021=phu!$I$35,M1021=phu!$I$36,M1021=phu!$I$37),"Cam Lộc",""),IF(OR(M1021=phu!$I$38,M1021=phu!$I$39,M1021=phu!$I$40,M1021=phu!$I$41,M1021=phu!$I$42,M1021=phu!$I$43,M1021=phu!$I$44),"Cam Thuận",""),IF(OR(M1021=phu!$I$45,M1021=phu!$I$46,M1021=phu!$I$47,M1021=phu!$I$48,M1021=phu!$I$49,M1021=phu!$I$50,M1021=phu!$I$51,M1021=phu!$I$52,M1021=phu!$I$53),"Cam Linh",""),IF(OR(M1021=phu!$I$54,M1021=phu!$I$55,M1021=phu!$I$56,M1021=phu!$I$57,M1021=phu!$I$58,M1021=phu!$I$59,M1021=phu!$I$60,M1021=phu!$I$61,M1021=phu!$I$62),"Cam Lợi",""),IF(OR(M1021=phu!$I$63,M1021=phu!$I$64,M1021=phu!$I$65,M1021=phu!$I$66,M1021=phu!$I$67,M1021=phu!$I$68,M1021=phu!$I$69,M1021=phu!$I$70,M1021=phu!$I$71),"Ba Ngòi",""),IF(OR(M1021=phu!$I$72,M1021=phu!$I$73,M1021=phu!$I$74,M1021=phu!$I$75,M1021=phu!$I$76,M1021=phu!$I$77,M1021=phu!$I$78),"Cam Phước Đông",""),IF(OR(M1021=phu!$I$79,M1021=phu!$I$80,M1021=phu!$I$81,M1021=phu!$I$82,M1021=phu!$I$83,M1021=phu!$I$84),"Cam Thịnh Đông",""),IF(OR(M1021=phu!$I$85,M1021=phu!$I$86,M1021=phu!$I$87,M1021=phu!$I$88),"Cam Thịnh Tây",""),IF(OR(M1021=phu!$I$89,M1021=phu!$I$90),"Cam Lập",""),IF(OR(M1021=phu!$I$91,M1021=phu!$I$92,M1021=phu!$I$93),"Cam Bình",""),IF(OR(M1021=phu!$I$94,M1021=phu!$I$95,M1021=phu!$I$96,M1021=phu!$I$97,M1021=phu!$I$98,M1021=phu!$I$99,M1021=phu!$I$100),"Huyện khác",""),IF(OR(M1021=phu!$I$101,M1021=phu!$I$102),"Tỉnh khác",""))</f>
        <v/>
      </c>
      <c r="O1021" s="829" t="str">
        <f t="shared" si="90"/>
        <v/>
      </c>
      <c r="P1021" s="254"/>
      <c r="Q1021" s="254"/>
      <c r="R1021" s="254"/>
      <c r="S1021" s="254"/>
      <c r="T1021" s="254"/>
      <c r="U1021" s="254"/>
      <c r="V1021" s="254"/>
      <c r="W1021" s="254"/>
      <c r="Y1021" s="246" t="str">
        <f t="shared" si="91"/>
        <v/>
      </c>
      <c r="Z1021" s="247" t="str">
        <f t="shared" si="95"/>
        <v/>
      </c>
      <c r="AA1021" s="246" t="str">
        <f t="shared" si="92"/>
        <v/>
      </c>
    </row>
    <row r="1022" spans="1:27" x14ac:dyDescent="0.25">
      <c r="A1022" s="248" t="str">
        <f t="shared" si="93"/>
        <v/>
      </c>
      <c r="B1022" s="249" t="str">
        <f t="shared" si="94"/>
        <v/>
      </c>
      <c r="C1022" s="250"/>
      <c r="D1022" s="251"/>
      <c r="E1022" s="241"/>
      <c r="F1022" s="252"/>
      <c r="G1022" s="252"/>
      <c r="H1022" s="253"/>
      <c r="I1022" s="250"/>
      <c r="J1022" s="250"/>
      <c r="K1022" s="270"/>
      <c r="L1022" s="250"/>
      <c r="M1022" s="250"/>
      <c r="N1022" s="540" t="str">
        <f>CONCATENATE(IF(OR(M1022=phu!$I$1,M1022=phu!$I$2,M1022=phu!$I$3),"Cam Thành Nam",""),IF(OR(M1022=phu!$I$4,M1022=phu!$I$5,M1022=phu!$I$6,M1022=phu!$I$7,M1022=phu!$I$8,M1022=phu!$I$9,M1022=phu!$I$10,M1022=phu!$I$11,M1022=phu!$I$12,M1022=phu!$I$13,M1022=phu!$I$14),"Cam Nghĩa",""),IF(OR(M1022=phu!$I$15,M1022=phu!$I$16,M1022=phu!$I$17,M1022=phu!$I$18,M1022=phu!$I$19,M1022=phu!$I$20,M1022=phu!$I$21),"Cam Phúc Bắc",""),IF(OR(M1022=phu!$I$22,M1022=phu!$I$23,M1022=phu!$I$24,M1022=phu!$I$25),"Cam Phúc Nam",""),IF(OR(M1022=phu!$I$26,M1022=phu!$I$27,M1022=phu!$I$28,M1022=phu!$I$29,M1022=phu!$I$30,M1022=phu!$I$31),"Cam Phú",""),IF(OR(M1022=phu!$I$32,M1022=phu!$I$33,M1022=phu!$I$34,M1022=phu!$I$35,M1022=phu!$I$36,M1022=phu!$I$37),"Cam Lộc",""),IF(OR(M1022=phu!$I$38,M1022=phu!$I$39,M1022=phu!$I$40,M1022=phu!$I$41,M1022=phu!$I$42,M1022=phu!$I$43,M1022=phu!$I$44),"Cam Thuận",""),IF(OR(M1022=phu!$I$45,M1022=phu!$I$46,M1022=phu!$I$47,M1022=phu!$I$48,M1022=phu!$I$49,M1022=phu!$I$50,M1022=phu!$I$51,M1022=phu!$I$52,M1022=phu!$I$53),"Cam Linh",""),IF(OR(M1022=phu!$I$54,M1022=phu!$I$55,M1022=phu!$I$56,M1022=phu!$I$57,M1022=phu!$I$58,M1022=phu!$I$59,M1022=phu!$I$60,M1022=phu!$I$61,M1022=phu!$I$62),"Cam Lợi",""),IF(OR(M1022=phu!$I$63,M1022=phu!$I$64,M1022=phu!$I$65,M1022=phu!$I$66,M1022=phu!$I$67,M1022=phu!$I$68,M1022=phu!$I$69,M1022=phu!$I$70,M1022=phu!$I$71),"Ba Ngòi",""),IF(OR(M1022=phu!$I$72,M1022=phu!$I$73,M1022=phu!$I$74,M1022=phu!$I$75,M1022=phu!$I$76,M1022=phu!$I$77,M1022=phu!$I$78),"Cam Phước Đông",""),IF(OR(M1022=phu!$I$79,M1022=phu!$I$80,M1022=phu!$I$81,M1022=phu!$I$82,M1022=phu!$I$83,M1022=phu!$I$84),"Cam Thịnh Đông",""),IF(OR(M1022=phu!$I$85,M1022=phu!$I$86,M1022=phu!$I$87,M1022=phu!$I$88),"Cam Thịnh Tây",""),IF(OR(M1022=phu!$I$89,M1022=phu!$I$90),"Cam Lập",""),IF(OR(M1022=phu!$I$91,M1022=phu!$I$92,M1022=phu!$I$93),"Cam Bình",""),IF(OR(M1022=phu!$I$94,M1022=phu!$I$95,M1022=phu!$I$96,M1022=phu!$I$97,M1022=phu!$I$98,M1022=phu!$I$99,M1022=phu!$I$100),"Huyện khác",""),IF(OR(M1022=phu!$I$101,M1022=phu!$I$102),"Tỉnh khác",""))</f>
        <v/>
      </c>
      <c r="O1022" s="829" t="str">
        <f t="shared" si="90"/>
        <v/>
      </c>
      <c r="P1022" s="254"/>
      <c r="Q1022" s="254"/>
      <c r="R1022" s="254"/>
      <c r="S1022" s="254"/>
      <c r="T1022" s="254"/>
      <c r="U1022" s="254"/>
      <c r="V1022" s="254"/>
      <c r="W1022" s="254"/>
      <c r="Y1022" s="246" t="str">
        <f t="shared" si="91"/>
        <v/>
      </c>
      <c r="Z1022" s="247" t="str">
        <f t="shared" si="95"/>
        <v/>
      </c>
      <c r="AA1022" s="246" t="str">
        <f t="shared" si="92"/>
        <v/>
      </c>
    </row>
    <row r="1023" spans="1:27" x14ac:dyDescent="0.25">
      <c r="A1023" s="248" t="str">
        <f t="shared" si="93"/>
        <v/>
      </c>
      <c r="B1023" s="249" t="str">
        <f t="shared" si="94"/>
        <v/>
      </c>
      <c r="C1023" s="250"/>
      <c r="D1023" s="251"/>
      <c r="E1023" s="241"/>
      <c r="F1023" s="252"/>
      <c r="G1023" s="252"/>
      <c r="H1023" s="253"/>
      <c r="I1023" s="250"/>
      <c r="J1023" s="250"/>
      <c r="K1023" s="270"/>
      <c r="L1023" s="250"/>
      <c r="M1023" s="250"/>
      <c r="N1023" s="540" t="str">
        <f>CONCATENATE(IF(OR(M1023=phu!$I$1,M1023=phu!$I$2,M1023=phu!$I$3),"Cam Thành Nam",""),IF(OR(M1023=phu!$I$4,M1023=phu!$I$5,M1023=phu!$I$6,M1023=phu!$I$7,M1023=phu!$I$8,M1023=phu!$I$9,M1023=phu!$I$10,M1023=phu!$I$11,M1023=phu!$I$12,M1023=phu!$I$13,M1023=phu!$I$14),"Cam Nghĩa",""),IF(OR(M1023=phu!$I$15,M1023=phu!$I$16,M1023=phu!$I$17,M1023=phu!$I$18,M1023=phu!$I$19,M1023=phu!$I$20,M1023=phu!$I$21),"Cam Phúc Bắc",""),IF(OR(M1023=phu!$I$22,M1023=phu!$I$23,M1023=phu!$I$24,M1023=phu!$I$25),"Cam Phúc Nam",""),IF(OR(M1023=phu!$I$26,M1023=phu!$I$27,M1023=phu!$I$28,M1023=phu!$I$29,M1023=phu!$I$30,M1023=phu!$I$31),"Cam Phú",""),IF(OR(M1023=phu!$I$32,M1023=phu!$I$33,M1023=phu!$I$34,M1023=phu!$I$35,M1023=phu!$I$36,M1023=phu!$I$37),"Cam Lộc",""),IF(OR(M1023=phu!$I$38,M1023=phu!$I$39,M1023=phu!$I$40,M1023=phu!$I$41,M1023=phu!$I$42,M1023=phu!$I$43,M1023=phu!$I$44),"Cam Thuận",""),IF(OR(M1023=phu!$I$45,M1023=phu!$I$46,M1023=phu!$I$47,M1023=phu!$I$48,M1023=phu!$I$49,M1023=phu!$I$50,M1023=phu!$I$51,M1023=phu!$I$52,M1023=phu!$I$53),"Cam Linh",""),IF(OR(M1023=phu!$I$54,M1023=phu!$I$55,M1023=phu!$I$56,M1023=phu!$I$57,M1023=phu!$I$58,M1023=phu!$I$59,M1023=phu!$I$60,M1023=phu!$I$61,M1023=phu!$I$62),"Cam Lợi",""),IF(OR(M1023=phu!$I$63,M1023=phu!$I$64,M1023=phu!$I$65,M1023=phu!$I$66,M1023=phu!$I$67,M1023=phu!$I$68,M1023=phu!$I$69,M1023=phu!$I$70,M1023=phu!$I$71),"Ba Ngòi",""),IF(OR(M1023=phu!$I$72,M1023=phu!$I$73,M1023=phu!$I$74,M1023=phu!$I$75,M1023=phu!$I$76,M1023=phu!$I$77,M1023=phu!$I$78),"Cam Phước Đông",""),IF(OR(M1023=phu!$I$79,M1023=phu!$I$80,M1023=phu!$I$81,M1023=phu!$I$82,M1023=phu!$I$83,M1023=phu!$I$84),"Cam Thịnh Đông",""),IF(OR(M1023=phu!$I$85,M1023=phu!$I$86,M1023=phu!$I$87,M1023=phu!$I$88),"Cam Thịnh Tây",""),IF(OR(M1023=phu!$I$89,M1023=phu!$I$90),"Cam Lập",""),IF(OR(M1023=phu!$I$91,M1023=phu!$I$92,M1023=phu!$I$93),"Cam Bình",""),IF(OR(M1023=phu!$I$94,M1023=phu!$I$95,M1023=phu!$I$96,M1023=phu!$I$97,M1023=phu!$I$98,M1023=phu!$I$99,M1023=phu!$I$100),"Huyện khác",""),IF(OR(M1023=phu!$I$101,M1023=phu!$I$102),"Tỉnh khác",""))</f>
        <v/>
      </c>
      <c r="O1023" s="829" t="str">
        <f t="shared" si="90"/>
        <v/>
      </c>
      <c r="P1023" s="254"/>
      <c r="Q1023" s="254"/>
      <c r="R1023" s="254"/>
      <c r="S1023" s="254"/>
      <c r="T1023" s="254"/>
      <c r="U1023" s="254"/>
      <c r="V1023" s="254"/>
      <c r="W1023" s="254"/>
      <c r="Y1023" s="246" t="str">
        <f t="shared" si="91"/>
        <v/>
      </c>
      <c r="Z1023" s="247" t="str">
        <f t="shared" si="95"/>
        <v/>
      </c>
      <c r="AA1023" s="246" t="str">
        <f t="shared" si="92"/>
        <v/>
      </c>
    </row>
    <row r="1024" spans="1:27" x14ac:dyDescent="0.25">
      <c r="A1024" s="248" t="str">
        <f t="shared" si="93"/>
        <v/>
      </c>
      <c r="B1024" s="249" t="str">
        <f t="shared" si="94"/>
        <v/>
      </c>
      <c r="C1024" s="250"/>
      <c r="D1024" s="251"/>
      <c r="E1024" s="241"/>
      <c r="F1024" s="252"/>
      <c r="G1024" s="252"/>
      <c r="H1024" s="253"/>
      <c r="I1024" s="250"/>
      <c r="J1024" s="250"/>
      <c r="K1024" s="270"/>
      <c r="L1024" s="250"/>
      <c r="M1024" s="250"/>
      <c r="N1024" s="540" t="str">
        <f>CONCATENATE(IF(OR(M1024=phu!$I$1,M1024=phu!$I$2,M1024=phu!$I$3),"Cam Thành Nam",""),IF(OR(M1024=phu!$I$4,M1024=phu!$I$5,M1024=phu!$I$6,M1024=phu!$I$7,M1024=phu!$I$8,M1024=phu!$I$9,M1024=phu!$I$10,M1024=phu!$I$11,M1024=phu!$I$12,M1024=phu!$I$13,M1024=phu!$I$14),"Cam Nghĩa",""),IF(OR(M1024=phu!$I$15,M1024=phu!$I$16,M1024=phu!$I$17,M1024=phu!$I$18,M1024=phu!$I$19,M1024=phu!$I$20,M1024=phu!$I$21),"Cam Phúc Bắc",""),IF(OR(M1024=phu!$I$22,M1024=phu!$I$23,M1024=phu!$I$24,M1024=phu!$I$25),"Cam Phúc Nam",""),IF(OR(M1024=phu!$I$26,M1024=phu!$I$27,M1024=phu!$I$28,M1024=phu!$I$29,M1024=phu!$I$30,M1024=phu!$I$31),"Cam Phú",""),IF(OR(M1024=phu!$I$32,M1024=phu!$I$33,M1024=phu!$I$34,M1024=phu!$I$35,M1024=phu!$I$36,M1024=phu!$I$37),"Cam Lộc",""),IF(OR(M1024=phu!$I$38,M1024=phu!$I$39,M1024=phu!$I$40,M1024=phu!$I$41,M1024=phu!$I$42,M1024=phu!$I$43,M1024=phu!$I$44),"Cam Thuận",""),IF(OR(M1024=phu!$I$45,M1024=phu!$I$46,M1024=phu!$I$47,M1024=phu!$I$48,M1024=phu!$I$49,M1024=phu!$I$50,M1024=phu!$I$51,M1024=phu!$I$52,M1024=phu!$I$53),"Cam Linh",""),IF(OR(M1024=phu!$I$54,M1024=phu!$I$55,M1024=phu!$I$56,M1024=phu!$I$57,M1024=phu!$I$58,M1024=phu!$I$59,M1024=phu!$I$60,M1024=phu!$I$61,M1024=phu!$I$62),"Cam Lợi",""),IF(OR(M1024=phu!$I$63,M1024=phu!$I$64,M1024=phu!$I$65,M1024=phu!$I$66,M1024=phu!$I$67,M1024=phu!$I$68,M1024=phu!$I$69,M1024=phu!$I$70,M1024=phu!$I$71),"Ba Ngòi",""),IF(OR(M1024=phu!$I$72,M1024=phu!$I$73,M1024=phu!$I$74,M1024=phu!$I$75,M1024=phu!$I$76,M1024=phu!$I$77,M1024=phu!$I$78),"Cam Phước Đông",""),IF(OR(M1024=phu!$I$79,M1024=phu!$I$80,M1024=phu!$I$81,M1024=phu!$I$82,M1024=phu!$I$83,M1024=phu!$I$84),"Cam Thịnh Đông",""),IF(OR(M1024=phu!$I$85,M1024=phu!$I$86,M1024=phu!$I$87,M1024=phu!$I$88),"Cam Thịnh Tây",""),IF(OR(M1024=phu!$I$89,M1024=phu!$I$90),"Cam Lập",""),IF(OR(M1024=phu!$I$91,M1024=phu!$I$92,M1024=phu!$I$93),"Cam Bình",""),IF(OR(M1024=phu!$I$94,M1024=phu!$I$95,M1024=phu!$I$96,M1024=phu!$I$97,M1024=phu!$I$98,M1024=phu!$I$99,M1024=phu!$I$100),"Huyện khác",""),IF(OR(M1024=phu!$I$101,M1024=phu!$I$102),"Tỉnh khác",""))</f>
        <v/>
      </c>
      <c r="O1024" s="829" t="str">
        <f t="shared" si="90"/>
        <v/>
      </c>
      <c r="P1024" s="254"/>
      <c r="Q1024" s="254"/>
      <c r="R1024" s="254"/>
      <c r="S1024" s="254"/>
      <c r="T1024" s="254"/>
      <c r="U1024" s="254"/>
      <c r="V1024" s="254"/>
      <c r="W1024" s="254"/>
      <c r="Y1024" s="246" t="str">
        <f t="shared" si="91"/>
        <v/>
      </c>
      <c r="Z1024" s="247" t="str">
        <f t="shared" si="95"/>
        <v/>
      </c>
      <c r="AA1024" s="246" t="str">
        <f t="shared" si="92"/>
        <v/>
      </c>
    </row>
    <row r="1025" spans="1:27" x14ac:dyDescent="0.25">
      <c r="A1025" s="248" t="str">
        <f t="shared" si="93"/>
        <v/>
      </c>
      <c r="B1025" s="249" t="str">
        <f t="shared" si="94"/>
        <v/>
      </c>
      <c r="C1025" s="250"/>
      <c r="D1025" s="251"/>
      <c r="E1025" s="241"/>
      <c r="F1025" s="252"/>
      <c r="G1025" s="252"/>
      <c r="H1025" s="253"/>
      <c r="I1025" s="250"/>
      <c r="J1025" s="250"/>
      <c r="K1025" s="270"/>
      <c r="L1025" s="250"/>
      <c r="M1025" s="250"/>
      <c r="N1025" s="540" t="str">
        <f>CONCATENATE(IF(OR(M1025=phu!$I$1,M1025=phu!$I$2,M1025=phu!$I$3),"Cam Thành Nam",""),IF(OR(M1025=phu!$I$4,M1025=phu!$I$5,M1025=phu!$I$6,M1025=phu!$I$7,M1025=phu!$I$8,M1025=phu!$I$9,M1025=phu!$I$10,M1025=phu!$I$11,M1025=phu!$I$12,M1025=phu!$I$13,M1025=phu!$I$14),"Cam Nghĩa",""),IF(OR(M1025=phu!$I$15,M1025=phu!$I$16,M1025=phu!$I$17,M1025=phu!$I$18,M1025=phu!$I$19,M1025=phu!$I$20,M1025=phu!$I$21),"Cam Phúc Bắc",""),IF(OR(M1025=phu!$I$22,M1025=phu!$I$23,M1025=phu!$I$24,M1025=phu!$I$25),"Cam Phúc Nam",""),IF(OR(M1025=phu!$I$26,M1025=phu!$I$27,M1025=phu!$I$28,M1025=phu!$I$29,M1025=phu!$I$30,M1025=phu!$I$31),"Cam Phú",""),IF(OR(M1025=phu!$I$32,M1025=phu!$I$33,M1025=phu!$I$34,M1025=phu!$I$35,M1025=phu!$I$36,M1025=phu!$I$37),"Cam Lộc",""),IF(OR(M1025=phu!$I$38,M1025=phu!$I$39,M1025=phu!$I$40,M1025=phu!$I$41,M1025=phu!$I$42,M1025=phu!$I$43,M1025=phu!$I$44),"Cam Thuận",""),IF(OR(M1025=phu!$I$45,M1025=phu!$I$46,M1025=phu!$I$47,M1025=phu!$I$48,M1025=phu!$I$49,M1025=phu!$I$50,M1025=phu!$I$51,M1025=phu!$I$52,M1025=phu!$I$53),"Cam Linh",""),IF(OR(M1025=phu!$I$54,M1025=phu!$I$55,M1025=phu!$I$56,M1025=phu!$I$57,M1025=phu!$I$58,M1025=phu!$I$59,M1025=phu!$I$60,M1025=phu!$I$61,M1025=phu!$I$62),"Cam Lợi",""),IF(OR(M1025=phu!$I$63,M1025=phu!$I$64,M1025=phu!$I$65,M1025=phu!$I$66,M1025=phu!$I$67,M1025=phu!$I$68,M1025=phu!$I$69,M1025=phu!$I$70,M1025=phu!$I$71),"Ba Ngòi",""),IF(OR(M1025=phu!$I$72,M1025=phu!$I$73,M1025=phu!$I$74,M1025=phu!$I$75,M1025=phu!$I$76,M1025=phu!$I$77,M1025=phu!$I$78),"Cam Phước Đông",""),IF(OR(M1025=phu!$I$79,M1025=phu!$I$80,M1025=phu!$I$81,M1025=phu!$I$82,M1025=phu!$I$83,M1025=phu!$I$84),"Cam Thịnh Đông",""),IF(OR(M1025=phu!$I$85,M1025=phu!$I$86,M1025=phu!$I$87,M1025=phu!$I$88),"Cam Thịnh Tây",""),IF(OR(M1025=phu!$I$89,M1025=phu!$I$90),"Cam Lập",""),IF(OR(M1025=phu!$I$91,M1025=phu!$I$92,M1025=phu!$I$93),"Cam Bình",""),IF(OR(M1025=phu!$I$94,M1025=phu!$I$95,M1025=phu!$I$96,M1025=phu!$I$97,M1025=phu!$I$98,M1025=phu!$I$99,M1025=phu!$I$100),"Huyện khác",""),IF(OR(M1025=phu!$I$101,M1025=phu!$I$102),"Tỉnh khác",""))</f>
        <v/>
      </c>
      <c r="O1025" s="829" t="str">
        <f t="shared" si="90"/>
        <v/>
      </c>
      <c r="P1025" s="254"/>
      <c r="Q1025" s="254"/>
      <c r="R1025" s="254"/>
      <c r="S1025" s="254"/>
      <c r="T1025" s="254"/>
      <c r="U1025" s="254"/>
      <c r="V1025" s="254"/>
      <c r="W1025" s="254"/>
      <c r="Y1025" s="246" t="str">
        <f t="shared" si="91"/>
        <v/>
      </c>
      <c r="Z1025" s="247" t="str">
        <f t="shared" si="95"/>
        <v/>
      </c>
      <c r="AA1025" s="246" t="str">
        <f t="shared" si="92"/>
        <v/>
      </c>
    </row>
    <row r="1026" spans="1:27" x14ac:dyDescent="0.25">
      <c r="A1026" s="248" t="str">
        <f t="shared" si="93"/>
        <v/>
      </c>
      <c r="B1026" s="249" t="str">
        <f t="shared" si="94"/>
        <v/>
      </c>
      <c r="C1026" s="250"/>
      <c r="D1026" s="251"/>
      <c r="E1026" s="241"/>
      <c r="F1026" s="252"/>
      <c r="G1026" s="252"/>
      <c r="H1026" s="253"/>
      <c r="I1026" s="250"/>
      <c r="J1026" s="250"/>
      <c r="K1026" s="270"/>
      <c r="L1026" s="250"/>
      <c r="M1026" s="250"/>
      <c r="N1026" s="540" t="str">
        <f>CONCATENATE(IF(OR(M1026=phu!$I$1,M1026=phu!$I$2,M1026=phu!$I$3),"Cam Thành Nam",""),IF(OR(M1026=phu!$I$4,M1026=phu!$I$5,M1026=phu!$I$6,M1026=phu!$I$7,M1026=phu!$I$8,M1026=phu!$I$9,M1026=phu!$I$10,M1026=phu!$I$11,M1026=phu!$I$12,M1026=phu!$I$13,M1026=phu!$I$14),"Cam Nghĩa",""),IF(OR(M1026=phu!$I$15,M1026=phu!$I$16,M1026=phu!$I$17,M1026=phu!$I$18,M1026=phu!$I$19,M1026=phu!$I$20,M1026=phu!$I$21),"Cam Phúc Bắc",""),IF(OR(M1026=phu!$I$22,M1026=phu!$I$23,M1026=phu!$I$24,M1026=phu!$I$25),"Cam Phúc Nam",""),IF(OR(M1026=phu!$I$26,M1026=phu!$I$27,M1026=phu!$I$28,M1026=phu!$I$29,M1026=phu!$I$30,M1026=phu!$I$31),"Cam Phú",""),IF(OR(M1026=phu!$I$32,M1026=phu!$I$33,M1026=phu!$I$34,M1026=phu!$I$35,M1026=phu!$I$36,M1026=phu!$I$37),"Cam Lộc",""),IF(OR(M1026=phu!$I$38,M1026=phu!$I$39,M1026=phu!$I$40,M1026=phu!$I$41,M1026=phu!$I$42,M1026=phu!$I$43,M1026=phu!$I$44),"Cam Thuận",""),IF(OR(M1026=phu!$I$45,M1026=phu!$I$46,M1026=phu!$I$47,M1026=phu!$I$48,M1026=phu!$I$49,M1026=phu!$I$50,M1026=phu!$I$51,M1026=phu!$I$52,M1026=phu!$I$53),"Cam Linh",""),IF(OR(M1026=phu!$I$54,M1026=phu!$I$55,M1026=phu!$I$56,M1026=phu!$I$57,M1026=phu!$I$58,M1026=phu!$I$59,M1026=phu!$I$60,M1026=phu!$I$61,M1026=phu!$I$62),"Cam Lợi",""),IF(OR(M1026=phu!$I$63,M1026=phu!$I$64,M1026=phu!$I$65,M1026=phu!$I$66,M1026=phu!$I$67,M1026=phu!$I$68,M1026=phu!$I$69,M1026=phu!$I$70,M1026=phu!$I$71),"Ba Ngòi",""),IF(OR(M1026=phu!$I$72,M1026=phu!$I$73,M1026=phu!$I$74,M1026=phu!$I$75,M1026=phu!$I$76,M1026=phu!$I$77,M1026=phu!$I$78),"Cam Phước Đông",""),IF(OR(M1026=phu!$I$79,M1026=phu!$I$80,M1026=phu!$I$81,M1026=phu!$I$82,M1026=phu!$I$83,M1026=phu!$I$84),"Cam Thịnh Đông",""),IF(OR(M1026=phu!$I$85,M1026=phu!$I$86,M1026=phu!$I$87,M1026=phu!$I$88),"Cam Thịnh Tây",""),IF(OR(M1026=phu!$I$89,M1026=phu!$I$90),"Cam Lập",""),IF(OR(M1026=phu!$I$91,M1026=phu!$I$92,M1026=phu!$I$93),"Cam Bình",""),IF(OR(M1026=phu!$I$94,M1026=phu!$I$95,M1026=phu!$I$96,M1026=phu!$I$97,M1026=phu!$I$98,M1026=phu!$I$99,M1026=phu!$I$100),"Huyện khác",""),IF(OR(M1026=phu!$I$101,M1026=phu!$I$102),"Tỉnh khác",""))</f>
        <v/>
      </c>
      <c r="O1026" s="829" t="str">
        <f t="shared" si="90"/>
        <v/>
      </c>
      <c r="P1026" s="254"/>
      <c r="Q1026" s="254"/>
      <c r="R1026" s="254"/>
      <c r="S1026" s="254"/>
      <c r="T1026" s="254"/>
      <c r="U1026" s="254"/>
      <c r="V1026" s="254"/>
      <c r="W1026" s="254"/>
      <c r="Y1026" s="246" t="str">
        <f t="shared" si="91"/>
        <v/>
      </c>
      <c r="Z1026" s="247" t="str">
        <f t="shared" si="95"/>
        <v/>
      </c>
      <c r="AA1026" s="246" t="str">
        <f t="shared" si="92"/>
        <v/>
      </c>
    </row>
    <row r="1027" spans="1:27" x14ac:dyDescent="0.25">
      <c r="A1027" s="248" t="str">
        <f t="shared" si="93"/>
        <v/>
      </c>
      <c r="B1027" s="249" t="str">
        <f t="shared" si="94"/>
        <v/>
      </c>
      <c r="C1027" s="250"/>
      <c r="D1027" s="251"/>
      <c r="E1027" s="241"/>
      <c r="F1027" s="252"/>
      <c r="G1027" s="252"/>
      <c r="H1027" s="253"/>
      <c r="I1027" s="250"/>
      <c r="J1027" s="250"/>
      <c r="K1027" s="270"/>
      <c r="L1027" s="250"/>
      <c r="M1027" s="250"/>
      <c r="N1027" s="540" t="str">
        <f>CONCATENATE(IF(OR(M1027=phu!$I$1,M1027=phu!$I$2,M1027=phu!$I$3),"Cam Thành Nam",""),IF(OR(M1027=phu!$I$4,M1027=phu!$I$5,M1027=phu!$I$6,M1027=phu!$I$7,M1027=phu!$I$8,M1027=phu!$I$9,M1027=phu!$I$10,M1027=phu!$I$11,M1027=phu!$I$12,M1027=phu!$I$13,M1027=phu!$I$14),"Cam Nghĩa",""),IF(OR(M1027=phu!$I$15,M1027=phu!$I$16,M1027=phu!$I$17,M1027=phu!$I$18,M1027=phu!$I$19,M1027=phu!$I$20,M1027=phu!$I$21),"Cam Phúc Bắc",""),IF(OR(M1027=phu!$I$22,M1027=phu!$I$23,M1027=phu!$I$24,M1027=phu!$I$25),"Cam Phúc Nam",""),IF(OR(M1027=phu!$I$26,M1027=phu!$I$27,M1027=phu!$I$28,M1027=phu!$I$29,M1027=phu!$I$30,M1027=phu!$I$31),"Cam Phú",""),IF(OR(M1027=phu!$I$32,M1027=phu!$I$33,M1027=phu!$I$34,M1027=phu!$I$35,M1027=phu!$I$36,M1027=phu!$I$37),"Cam Lộc",""),IF(OR(M1027=phu!$I$38,M1027=phu!$I$39,M1027=phu!$I$40,M1027=phu!$I$41,M1027=phu!$I$42,M1027=phu!$I$43,M1027=phu!$I$44),"Cam Thuận",""),IF(OR(M1027=phu!$I$45,M1027=phu!$I$46,M1027=phu!$I$47,M1027=phu!$I$48,M1027=phu!$I$49,M1027=phu!$I$50,M1027=phu!$I$51,M1027=phu!$I$52,M1027=phu!$I$53),"Cam Linh",""),IF(OR(M1027=phu!$I$54,M1027=phu!$I$55,M1027=phu!$I$56,M1027=phu!$I$57,M1027=phu!$I$58,M1027=phu!$I$59,M1027=phu!$I$60,M1027=phu!$I$61,M1027=phu!$I$62),"Cam Lợi",""),IF(OR(M1027=phu!$I$63,M1027=phu!$I$64,M1027=phu!$I$65,M1027=phu!$I$66,M1027=phu!$I$67,M1027=phu!$I$68,M1027=phu!$I$69,M1027=phu!$I$70,M1027=phu!$I$71),"Ba Ngòi",""),IF(OR(M1027=phu!$I$72,M1027=phu!$I$73,M1027=phu!$I$74,M1027=phu!$I$75,M1027=phu!$I$76,M1027=phu!$I$77,M1027=phu!$I$78),"Cam Phước Đông",""),IF(OR(M1027=phu!$I$79,M1027=phu!$I$80,M1027=phu!$I$81,M1027=phu!$I$82,M1027=phu!$I$83,M1027=phu!$I$84),"Cam Thịnh Đông",""),IF(OR(M1027=phu!$I$85,M1027=phu!$I$86,M1027=phu!$I$87,M1027=phu!$I$88),"Cam Thịnh Tây",""),IF(OR(M1027=phu!$I$89,M1027=phu!$I$90),"Cam Lập",""),IF(OR(M1027=phu!$I$91,M1027=phu!$I$92,M1027=phu!$I$93),"Cam Bình",""),IF(OR(M1027=phu!$I$94,M1027=phu!$I$95,M1027=phu!$I$96,M1027=phu!$I$97,M1027=phu!$I$98,M1027=phu!$I$99,M1027=phu!$I$100),"Huyện khác",""),IF(OR(M1027=phu!$I$101,M1027=phu!$I$102),"Tỉnh khác",""))</f>
        <v/>
      </c>
      <c r="O1027" s="829" t="str">
        <f t="shared" si="90"/>
        <v/>
      </c>
      <c r="P1027" s="254"/>
      <c r="Q1027" s="254"/>
      <c r="R1027" s="254"/>
      <c r="S1027" s="254"/>
      <c r="T1027" s="254"/>
      <c r="U1027" s="254"/>
      <c r="V1027" s="254"/>
      <c r="W1027" s="254"/>
      <c r="Y1027" s="246" t="str">
        <f t="shared" si="91"/>
        <v/>
      </c>
      <c r="Z1027" s="247" t="str">
        <f t="shared" si="95"/>
        <v/>
      </c>
      <c r="AA1027" s="246" t="str">
        <f t="shared" si="92"/>
        <v/>
      </c>
    </row>
    <row r="1028" spans="1:27" x14ac:dyDescent="0.25">
      <c r="A1028" s="248" t="str">
        <f t="shared" si="93"/>
        <v/>
      </c>
      <c r="B1028" s="249" t="str">
        <f t="shared" si="94"/>
        <v/>
      </c>
      <c r="C1028" s="250"/>
      <c r="D1028" s="251"/>
      <c r="E1028" s="241"/>
      <c r="F1028" s="252"/>
      <c r="G1028" s="252"/>
      <c r="H1028" s="253"/>
      <c r="I1028" s="250"/>
      <c r="J1028" s="250"/>
      <c r="K1028" s="270"/>
      <c r="L1028" s="250"/>
      <c r="M1028" s="250"/>
      <c r="N1028" s="540" t="str">
        <f>CONCATENATE(IF(OR(M1028=phu!$I$1,M1028=phu!$I$2,M1028=phu!$I$3),"Cam Thành Nam",""),IF(OR(M1028=phu!$I$4,M1028=phu!$I$5,M1028=phu!$I$6,M1028=phu!$I$7,M1028=phu!$I$8,M1028=phu!$I$9,M1028=phu!$I$10,M1028=phu!$I$11,M1028=phu!$I$12,M1028=phu!$I$13,M1028=phu!$I$14),"Cam Nghĩa",""),IF(OR(M1028=phu!$I$15,M1028=phu!$I$16,M1028=phu!$I$17,M1028=phu!$I$18,M1028=phu!$I$19,M1028=phu!$I$20,M1028=phu!$I$21),"Cam Phúc Bắc",""),IF(OR(M1028=phu!$I$22,M1028=phu!$I$23,M1028=phu!$I$24,M1028=phu!$I$25),"Cam Phúc Nam",""),IF(OR(M1028=phu!$I$26,M1028=phu!$I$27,M1028=phu!$I$28,M1028=phu!$I$29,M1028=phu!$I$30,M1028=phu!$I$31),"Cam Phú",""),IF(OR(M1028=phu!$I$32,M1028=phu!$I$33,M1028=phu!$I$34,M1028=phu!$I$35,M1028=phu!$I$36,M1028=phu!$I$37),"Cam Lộc",""),IF(OR(M1028=phu!$I$38,M1028=phu!$I$39,M1028=phu!$I$40,M1028=phu!$I$41,M1028=phu!$I$42,M1028=phu!$I$43,M1028=phu!$I$44),"Cam Thuận",""),IF(OR(M1028=phu!$I$45,M1028=phu!$I$46,M1028=phu!$I$47,M1028=phu!$I$48,M1028=phu!$I$49,M1028=phu!$I$50,M1028=phu!$I$51,M1028=phu!$I$52,M1028=phu!$I$53),"Cam Linh",""),IF(OR(M1028=phu!$I$54,M1028=phu!$I$55,M1028=phu!$I$56,M1028=phu!$I$57,M1028=phu!$I$58,M1028=phu!$I$59,M1028=phu!$I$60,M1028=phu!$I$61,M1028=phu!$I$62),"Cam Lợi",""),IF(OR(M1028=phu!$I$63,M1028=phu!$I$64,M1028=phu!$I$65,M1028=phu!$I$66,M1028=phu!$I$67,M1028=phu!$I$68,M1028=phu!$I$69,M1028=phu!$I$70,M1028=phu!$I$71),"Ba Ngòi",""),IF(OR(M1028=phu!$I$72,M1028=phu!$I$73,M1028=phu!$I$74,M1028=phu!$I$75,M1028=phu!$I$76,M1028=phu!$I$77,M1028=phu!$I$78),"Cam Phước Đông",""),IF(OR(M1028=phu!$I$79,M1028=phu!$I$80,M1028=phu!$I$81,M1028=phu!$I$82,M1028=phu!$I$83,M1028=phu!$I$84),"Cam Thịnh Đông",""),IF(OR(M1028=phu!$I$85,M1028=phu!$I$86,M1028=phu!$I$87,M1028=phu!$I$88),"Cam Thịnh Tây",""),IF(OR(M1028=phu!$I$89,M1028=phu!$I$90),"Cam Lập",""),IF(OR(M1028=phu!$I$91,M1028=phu!$I$92,M1028=phu!$I$93),"Cam Bình",""),IF(OR(M1028=phu!$I$94,M1028=phu!$I$95,M1028=phu!$I$96,M1028=phu!$I$97,M1028=phu!$I$98,M1028=phu!$I$99,M1028=phu!$I$100),"Huyện khác",""),IF(OR(M1028=phu!$I$101,M1028=phu!$I$102),"Tỉnh khác",""))</f>
        <v/>
      </c>
      <c r="O1028" s="829" t="str">
        <f t="shared" si="90"/>
        <v/>
      </c>
      <c r="P1028" s="254"/>
      <c r="Q1028" s="254"/>
      <c r="R1028" s="254"/>
      <c r="S1028" s="254"/>
      <c r="T1028" s="254"/>
      <c r="U1028" s="254"/>
      <c r="V1028" s="254"/>
      <c r="W1028" s="254"/>
      <c r="Y1028" s="246" t="str">
        <f t="shared" si="91"/>
        <v/>
      </c>
      <c r="Z1028" s="247" t="str">
        <f t="shared" si="95"/>
        <v/>
      </c>
      <c r="AA1028" s="246" t="str">
        <f t="shared" si="92"/>
        <v/>
      </c>
    </row>
    <row r="1029" spans="1:27" x14ac:dyDescent="0.25">
      <c r="A1029" s="248" t="str">
        <f t="shared" si="93"/>
        <v/>
      </c>
      <c r="B1029" s="249" t="str">
        <f t="shared" si="94"/>
        <v/>
      </c>
      <c r="C1029" s="250"/>
      <c r="D1029" s="251"/>
      <c r="E1029" s="241"/>
      <c r="F1029" s="252"/>
      <c r="G1029" s="252"/>
      <c r="H1029" s="253"/>
      <c r="I1029" s="250"/>
      <c r="J1029" s="250"/>
      <c r="K1029" s="270"/>
      <c r="L1029" s="250"/>
      <c r="M1029" s="250"/>
      <c r="N1029" s="540" t="str">
        <f>CONCATENATE(IF(OR(M1029=phu!$I$1,M1029=phu!$I$2,M1029=phu!$I$3),"Cam Thành Nam",""),IF(OR(M1029=phu!$I$4,M1029=phu!$I$5,M1029=phu!$I$6,M1029=phu!$I$7,M1029=phu!$I$8,M1029=phu!$I$9,M1029=phu!$I$10,M1029=phu!$I$11,M1029=phu!$I$12,M1029=phu!$I$13,M1029=phu!$I$14),"Cam Nghĩa",""),IF(OR(M1029=phu!$I$15,M1029=phu!$I$16,M1029=phu!$I$17,M1029=phu!$I$18,M1029=phu!$I$19,M1029=phu!$I$20,M1029=phu!$I$21),"Cam Phúc Bắc",""),IF(OR(M1029=phu!$I$22,M1029=phu!$I$23,M1029=phu!$I$24,M1029=phu!$I$25),"Cam Phúc Nam",""),IF(OR(M1029=phu!$I$26,M1029=phu!$I$27,M1029=phu!$I$28,M1029=phu!$I$29,M1029=phu!$I$30,M1029=phu!$I$31),"Cam Phú",""),IF(OR(M1029=phu!$I$32,M1029=phu!$I$33,M1029=phu!$I$34,M1029=phu!$I$35,M1029=phu!$I$36,M1029=phu!$I$37),"Cam Lộc",""),IF(OR(M1029=phu!$I$38,M1029=phu!$I$39,M1029=phu!$I$40,M1029=phu!$I$41,M1029=phu!$I$42,M1029=phu!$I$43,M1029=phu!$I$44),"Cam Thuận",""),IF(OR(M1029=phu!$I$45,M1029=phu!$I$46,M1029=phu!$I$47,M1029=phu!$I$48,M1029=phu!$I$49,M1029=phu!$I$50,M1029=phu!$I$51,M1029=phu!$I$52,M1029=phu!$I$53),"Cam Linh",""),IF(OR(M1029=phu!$I$54,M1029=phu!$I$55,M1029=phu!$I$56,M1029=phu!$I$57,M1029=phu!$I$58,M1029=phu!$I$59,M1029=phu!$I$60,M1029=phu!$I$61,M1029=phu!$I$62),"Cam Lợi",""),IF(OR(M1029=phu!$I$63,M1029=phu!$I$64,M1029=phu!$I$65,M1029=phu!$I$66,M1029=phu!$I$67,M1029=phu!$I$68,M1029=phu!$I$69,M1029=phu!$I$70,M1029=phu!$I$71),"Ba Ngòi",""),IF(OR(M1029=phu!$I$72,M1029=phu!$I$73,M1029=phu!$I$74,M1029=phu!$I$75,M1029=phu!$I$76,M1029=phu!$I$77,M1029=phu!$I$78),"Cam Phước Đông",""),IF(OR(M1029=phu!$I$79,M1029=phu!$I$80,M1029=phu!$I$81,M1029=phu!$I$82,M1029=phu!$I$83,M1029=phu!$I$84),"Cam Thịnh Đông",""),IF(OR(M1029=phu!$I$85,M1029=phu!$I$86,M1029=phu!$I$87,M1029=phu!$I$88),"Cam Thịnh Tây",""),IF(OR(M1029=phu!$I$89,M1029=phu!$I$90),"Cam Lập",""),IF(OR(M1029=phu!$I$91,M1029=phu!$I$92,M1029=phu!$I$93),"Cam Bình",""),IF(OR(M1029=phu!$I$94,M1029=phu!$I$95,M1029=phu!$I$96,M1029=phu!$I$97,M1029=phu!$I$98,M1029=phu!$I$99,M1029=phu!$I$100),"Huyện khác",""),IF(OR(M1029=phu!$I$101,M1029=phu!$I$102),"Tỉnh khác",""))</f>
        <v/>
      </c>
      <c r="O1029" s="829" t="str">
        <f t="shared" si="90"/>
        <v/>
      </c>
      <c r="P1029" s="254"/>
      <c r="Q1029" s="254"/>
      <c r="R1029" s="254"/>
      <c r="S1029" s="254"/>
      <c r="T1029" s="254"/>
      <c r="U1029" s="254"/>
      <c r="V1029" s="254"/>
      <c r="W1029" s="254"/>
      <c r="Y1029" s="246" t="str">
        <f t="shared" si="91"/>
        <v/>
      </c>
      <c r="Z1029" s="247" t="str">
        <f t="shared" si="95"/>
        <v/>
      </c>
      <c r="AA1029" s="246" t="str">
        <f t="shared" si="92"/>
        <v/>
      </c>
    </row>
    <row r="1030" spans="1:27" x14ac:dyDescent="0.25">
      <c r="A1030" s="248" t="str">
        <f t="shared" si="93"/>
        <v/>
      </c>
      <c r="B1030" s="249" t="str">
        <f t="shared" si="94"/>
        <v/>
      </c>
      <c r="C1030" s="250"/>
      <c r="D1030" s="251"/>
      <c r="E1030" s="241"/>
      <c r="F1030" s="252"/>
      <c r="G1030" s="252"/>
      <c r="H1030" s="253"/>
      <c r="I1030" s="250"/>
      <c r="J1030" s="250"/>
      <c r="K1030" s="270"/>
      <c r="L1030" s="250"/>
      <c r="M1030" s="250"/>
      <c r="N1030" s="540" t="str">
        <f>CONCATENATE(IF(OR(M1030=phu!$I$1,M1030=phu!$I$2,M1030=phu!$I$3),"Cam Thành Nam",""),IF(OR(M1030=phu!$I$4,M1030=phu!$I$5,M1030=phu!$I$6,M1030=phu!$I$7,M1030=phu!$I$8,M1030=phu!$I$9,M1030=phu!$I$10,M1030=phu!$I$11,M1030=phu!$I$12,M1030=phu!$I$13,M1030=phu!$I$14),"Cam Nghĩa",""),IF(OR(M1030=phu!$I$15,M1030=phu!$I$16,M1030=phu!$I$17,M1030=phu!$I$18,M1030=phu!$I$19,M1030=phu!$I$20,M1030=phu!$I$21),"Cam Phúc Bắc",""),IF(OR(M1030=phu!$I$22,M1030=phu!$I$23,M1030=phu!$I$24,M1030=phu!$I$25),"Cam Phúc Nam",""),IF(OR(M1030=phu!$I$26,M1030=phu!$I$27,M1030=phu!$I$28,M1030=phu!$I$29,M1030=phu!$I$30,M1030=phu!$I$31),"Cam Phú",""),IF(OR(M1030=phu!$I$32,M1030=phu!$I$33,M1030=phu!$I$34,M1030=phu!$I$35,M1030=phu!$I$36,M1030=phu!$I$37),"Cam Lộc",""),IF(OR(M1030=phu!$I$38,M1030=phu!$I$39,M1030=phu!$I$40,M1030=phu!$I$41,M1030=phu!$I$42,M1030=phu!$I$43,M1030=phu!$I$44),"Cam Thuận",""),IF(OR(M1030=phu!$I$45,M1030=phu!$I$46,M1030=phu!$I$47,M1030=phu!$I$48,M1030=phu!$I$49,M1030=phu!$I$50,M1030=phu!$I$51,M1030=phu!$I$52,M1030=phu!$I$53),"Cam Linh",""),IF(OR(M1030=phu!$I$54,M1030=phu!$I$55,M1030=phu!$I$56,M1030=phu!$I$57,M1030=phu!$I$58,M1030=phu!$I$59,M1030=phu!$I$60,M1030=phu!$I$61,M1030=phu!$I$62),"Cam Lợi",""),IF(OR(M1030=phu!$I$63,M1030=phu!$I$64,M1030=phu!$I$65,M1030=phu!$I$66,M1030=phu!$I$67,M1030=phu!$I$68,M1030=phu!$I$69,M1030=phu!$I$70,M1030=phu!$I$71),"Ba Ngòi",""),IF(OR(M1030=phu!$I$72,M1030=phu!$I$73,M1030=phu!$I$74,M1030=phu!$I$75,M1030=phu!$I$76,M1030=phu!$I$77,M1030=phu!$I$78),"Cam Phước Đông",""),IF(OR(M1030=phu!$I$79,M1030=phu!$I$80,M1030=phu!$I$81,M1030=phu!$I$82,M1030=phu!$I$83,M1030=phu!$I$84),"Cam Thịnh Đông",""),IF(OR(M1030=phu!$I$85,M1030=phu!$I$86,M1030=phu!$I$87,M1030=phu!$I$88),"Cam Thịnh Tây",""),IF(OR(M1030=phu!$I$89,M1030=phu!$I$90),"Cam Lập",""),IF(OR(M1030=phu!$I$91,M1030=phu!$I$92,M1030=phu!$I$93),"Cam Bình",""),IF(OR(M1030=phu!$I$94,M1030=phu!$I$95,M1030=phu!$I$96,M1030=phu!$I$97,M1030=phu!$I$98,M1030=phu!$I$99,M1030=phu!$I$100),"Huyện khác",""),IF(OR(M1030=phu!$I$101,M1030=phu!$I$102),"Tỉnh khác",""))</f>
        <v/>
      </c>
      <c r="O1030" s="829" t="str">
        <f t="shared" si="90"/>
        <v/>
      </c>
      <c r="P1030" s="254"/>
      <c r="Q1030" s="254"/>
      <c r="R1030" s="254"/>
      <c r="S1030" s="254"/>
      <c r="T1030" s="254"/>
      <c r="U1030" s="254"/>
      <c r="V1030" s="254"/>
      <c r="W1030" s="254"/>
      <c r="Y1030" s="246" t="str">
        <f t="shared" si="91"/>
        <v/>
      </c>
      <c r="Z1030" s="247" t="str">
        <f t="shared" si="95"/>
        <v/>
      </c>
      <c r="AA1030" s="246" t="str">
        <f t="shared" si="92"/>
        <v/>
      </c>
    </row>
    <row r="1031" spans="1:27" x14ac:dyDescent="0.25">
      <c r="A1031" s="248" t="str">
        <f t="shared" si="93"/>
        <v/>
      </c>
      <c r="B1031" s="249" t="str">
        <f t="shared" si="94"/>
        <v/>
      </c>
      <c r="C1031" s="250"/>
      <c r="D1031" s="251"/>
      <c r="E1031" s="241"/>
      <c r="F1031" s="252"/>
      <c r="G1031" s="252"/>
      <c r="H1031" s="253"/>
      <c r="I1031" s="250"/>
      <c r="J1031" s="250"/>
      <c r="K1031" s="270"/>
      <c r="L1031" s="250"/>
      <c r="M1031" s="250"/>
      <c r="N1031" s="540" t="str">
        <f>CONCATENATE(IF(OR(M1031=phu!$I$1,M1031=phu!$I$2,M1031=phu!$I$3),"Cam Thành Nam",""),IF(OR(M1031=phu!$I$4,M1031=phu!$I$5,M1031=phu!$I$6,M1031=phu!$I$7,M1031=phu!$I$8,M1031=phu!$I$9,M1031=phu!$I$10,M1031=phu!$I$11,M1031=phu!$I$12,M1031=phu!$I$13,M1031=phu!$I$14),"Cam Nghĩa",""),IF(OR(M1031=phu!$I$15,M1031=phu!$I$16,M1031=phu!$I$17,M1031=phu!$I$18,M1031=phu!$I$19,M1031=phu!$I$20,M1031=phu!$I$21),"Cam Phúc Bắc",""),IF(OR(M1031=phu!$I$22,M1031=phu!$I$23,M1031=phu!$I$24,M1031=phu!$I$25),"Cam Phúc Nam",""),IF(OR(M1031=phu!$I$26,M1031=phu!$I$27,M1031=phu!$I$28,M1031=phu!$I$29,M1031=phu!$I$30,M1031=phu!$I$31),"Cam Phú",""),IF(OR(M1031=phu!$I$32,M1031=phu!$I$33,M1031=phu!$I$34,M1031=phu!$I$35,M1031=phu!$I$36,M1031=phu!$I$37),"Cam Lộc",""),IF(OR(M1031=phu!$I$38,M1031=phu!$I$39,M1031=phu!$I$40,M1031=phu!$I$41,M1031=phu!$I$42,M1031=phu!$I$43,M1031=phu!$I$44),"Cam Thuận",""),IF(OR(M1031=phu!$I$45,M1031=phu!$I$46,M1031=phu!$I$47,M1031=phu!$I$48,M1031=phu!$I$49,M1031=phu!$I$50,M1031=phu!$I$51,M1031=phu!$I$52,M1031=phu!$I$53),"Cam Linh",""),IF(OR(M1031=phu!$I$54,M1031=phu!$I$55,M1031=phu!$I$56,M1031=phu!$I$57,M1031=phu!$I$58,M1031=phu!$I$59,M1031=phu!$I$60,M1031=phu!$I$61,M1031=phu!$I$62),"Cam Lợi",""),IF(OR(M1031=phu!$I$63,M1031=phu!$I$64,M1031=phu!$I$65,M1031=phu!$I$66,M1031=phu!$I$67,M1031=phu!$I$68,M1031=phu!$I$69,M1031=phu!$I$70,M1031=phu!$I$71),"Ba Ngòi",""),IF(OR(M1031=phu!$I$72,M1031=phu!$I$73,M1031=phu!$I$74,M1031=phu!$I$75,M1031=phu!$I$76,M1031=phu!$I$77,M1031=phu!$I$78),"Cam Phước Đông",""),IF(OR(M1031=phu!$I$79,M1031=phu!$I$80,M1031=phu!$I$81,M1031=phu!$I$82,M1031=phu!$I$83,M1031=phu!$I$84),"Cam Thịnh Đông",""),IF(OR(M1031=phu!$I$85,M1031=phu!$I$86,M1031=phu!$I$87,M1031=phu!$I$88),"Cam Thịnh Tây",""),IF(OR(M1031=phu!$I$89,M1031=phu!$I$90),"Cam Lập",""),IF(OR(M1031=phu!$I$91,M1031=phu!$I$92,M1031=phu!$I$93),"Cam Bình",""),IF(OR(M1031=phu!$I$94,M1031=phu!$I$95,M1031=phu!$I$96,M1031=phu!$I$97,M1031=phu!$I$98,M1031=phu!$I$99,M1031=phu!$I$100),"Huyện khác",""),IF(OR(M1031=phu!$I$101,M1031=phu!$I$102),"Tỉnh khác",""))</f>
        <v/>
      </c>
      <c r="O1031" s="829" t="str">
        <f t="shared" ref="O1031:O1094" si="96">CONCATENATE(IF(OR(N1031="Cam Thành Nam",N1031="Cam Nghĩa",N1031="Cam Phúc Bắc"),"Bắc Cam Ranh",""),IF(OR(N1031="Cam Phúc Nam",N1031="Cam Phú",N1031="Cam Lộc"),"Cam Ranh",""),IF(OR(N1031="Cam Thuận",N1031="Cam Linh",N1031="Cam Lợi"),"Cam Linh",""),IF(OR(N1031="Ba Ngòi",N1031="Cam Phước Đông"),"Ba Ngòi",""),IF(OR(N1031="Cam Thịnh Đông",N1031="Cam Thịnh Tây",N1031="Cam Lập",N1031="Cam Bình"),"Nam Cam Ranh",""),IF(N1031="Huyện khác","Huyện khác",""),IF(N1031="Tỉnh khác","Tỉnh khác",""))</f>
        <v/>
      </c>
      <c r="P1031" s="254"/>
      <c r="Q1031" s="254"/>
      <c r="R1031" s="254"/>
      <c r="S1031" s="254"/>
      <c r="T1031" s="254"/>
      <c r="U1031" s="254"/>
      <c r="V1031" s="254"/>
      <c r="W1031" s="254"/>
      <c r="Y1031" s="246" t="str">
        <f t="shared" ref="Y1031:Y1094" si="97">IF(OR(AND(B1031="",C1031="",D1031="",E1031="",F1031="",G1031="",H1031="",I1031="",J1031="",L1031="",M1031="",N1031="",P1031="",Q1031="",R1031="",S1031=""),AND(B1031&lt;&gt;"",C1031&lt;&gt;"",D1031&lt;&gt;"",E1031&lt;&gt;"",F1031&lt;&gt;"",G1031&lt;&gt;"",H1031&lt;&gt;"",J1031&lt;&gt;"",M1031&lt;&gt;"",N1031&lt;&gt;"",P1031&lt;&gt;"",OR(AND(Q1031&lt;&gt;"",R1031=""),AND(Q1031="",R1031&lt;&gt;""),AND(Q1031&lt;&gt;"",R1031&lt;&gt;"")),OR(AND(K1031="X",T1031&lt;&gt;""),AND(K1031="",T1031="")))),"","er")</f>
        <v/>
      </c>
      <c r="Z1031" s="247" t="str">
        <f t="shared" si="95"/>
        <v/>
      </c>
      <c r="AA1031" s="246" t="str">
        <f t="shared" ref="AA1031:AA1094" si="98">IF(OR(AND(Z1031&lt;=10,B1031&gt;5),AND(Z1031&lt;=11,B1031&gt;6),AND(Z1031&lt;=12,B1031&gt;7),AND(Z1031&lt;=13,B1031&gt;8),AND(Z1031&lt;=14,B1031&gt;9),AND(Z1031=11,B1031=6,L1031="X"),AND(Z1031=12,B1031=7,L1031="X"),AND(Z1031=13,B1031=8,L1031="X"),AND(Z1031=14,B1031=9,L1031="X")),"er","")</f>
        <v/>
      </c>
    </row>
    <row r="1032" spans="1:27" x14ac:dyDescent="0.25">
      <c r="A1032" s="248" t="str">
        <f t="shared" ref="A1032:A1095" si="99">IF(OR(A1031="",B1032="",C1032="",D1032="",E1032=""),"",A1031+1)</f>
        <v/>
      </c>
      <c r="B1032" s="249" t="str">
        <f t="shared" ref="B1032:B1095" si="100">IF(C1032="","",VALUE(LEFT(C1032,1)))</f>
        <v/>
      </c>
      <c r="C1032" s="250"/>
      <c r="D1032" s="251"/>
      <c r="E1032" s="241"/>
      <c r="F1032" s="252"/>
      <c r="G1032" s="252"/>
      <c r="H1032" s="253"/>
      <c r="I1032" s="250"/>
      <c r="J1032" s="250"/>
      <c r="K1032" s="270"/>
      <c r="L1032" s="250"/>
      <c r="M1032" s="250"/>
      <c r="N1032" s="540" t="str">
        <f>CONCATENATE(IF(OR(M1032=phu!$I$1,M1032=phu!$I$2,M1032=phu!$I$3),"Cam Thành Nam",""),IF(OR(M1032=phu!$I$4,M1032=phu!$I$5,M1032=phu!$I$6,M1032=phu!$I$7,M1032=phu!$I$8,M1032=phu!$I$9,M1032=phu!$I$10,M1032=phu!$I$11,M1032=phu!$I$12,M1032=phu!$I$13,M1032=phu!$I$14),"Cam Nghĩa",""),IF(OR(M1032=phu!$I$15,M1032=phu!$I$16,M1032=phu!$I$17,M1032=phu!$I$18,M1032=phu!$I$19,M1032=phu!$I$20,M1032=phu!$I$21),"Cam Phúc Bắc",""),IF(OR(M1032=phu!$I$22,M1032=phu!$I$23,M1032=phu!$I$24,M1032=phu!$I$25),"Cam Phúc Nam",""),IF(OR(M1032=phu!$I$26,M1032=phu!$I$27,M1032=phu!$I$28,M1032=phu!$I$29,M1032=phu!$I$30,M1032=phu!$I$31),"Cam Phú",""),IF(OR(M1032=phu!$I$32,M1032=phu!$I$33,M1032=phu!$I$34,M1032=phu!$I$35,M1032=phu!$I$36,M1032=phu!$I$37),"Cam Lộc",""),IF(OR(M1032=phu!$I$38,M1032=phu!$I$39,M1032=phu!$I$40,M1032=phu!$I$41,M1032=phu!$I$42,M1032=phu!$I$43,M1032=phu!$I$44),"Cam Thuận",""),IF(OR(M1032=phu!$I$45,M1032=phu!$I$46,M1032=phu!$I$47,M1032=phu!$I$48,M1032=phu!$I$49,M1032=phu!$I$50,M1032=phu!$I$51,M1032=phu!$I$52,M1032=phu!$I$53),"Cam Linh",""),IF(OR(M1032=phu!$I$54,M1032=phu!$I$55,M1032=phu!$I$56,M1032=phu!$I$57,M1032=phu!$I$58,M1032=phu!$I$59,M1032=phu!$I$60,M1032=phu!$I$61,M1032=phu!$I$62),"Cam Lợi",""),IF(OR(M1032=phu!$I$63,M1032=phu!$I$64,M1032=phu!$I$65,M1032=phu!$I$66,M1032=phu!$I$67,M1032=phu!$I$68,M1032=phu!$I$69,M1032=phu!$I$70,M1032=phu!$I$71),"Ba Ngòi",""),IF(OR(M1032=phu!$I$72,M1032=phu!$I$73,M1032=phu!$I$74,M1032=phu!$I$75,M1032=phu!$I$76,M1032=phu!$I$77,M1032=phu!$I$78),"Cam Phước Đông",""),IF(OR(M1032=phu!$I$79,M1032=phu!$I$80,M1032=phu!$I$81,M1032=phu!$I$82,M1032=phu!$I$83,M1032=phu!$I$84),"Cam Thịnh Đông",""),IF(OR(M1032=phu!$I$85,M1032=phu!$I$86,M1032=phu!$I$87,M1032=phu!$I$88),"Cam Thịnh Tây",""),IF(OR(M1032=phu!$I$89,M1032=phu!$I$90),"Cam Lập",""),IF(OR(M1032=phu!$I$91,M1032=phu!$I$92,M1032=phu!$I$93),"Cam Bình",""),IF(OR(M1032=phu!$I$94,M1032=phu!$I$95,M1032=phu!$I$96,M1032=phu!$I$97,M1032=phu!$I$98,M1032=phu!$I$99,M1032=phu!$I$100),"Huyện khác",""),IF(OR(M1032=phu!$I$101,M1032=phu!$I$102),"Tỉnh khác",""))</f>
        <v/>
      </c>
      <c r="O1032" s="829" t="str">
        <f t="shared" si="96"/>
        <v/>
      </c>
      <c r="P1032" s="254"/>
      <c r="Q1032" s="254"/>
      <c r="R1032" s="254"/>
      <c r="S1032" s="254"/>
      <c r="T1032" s="254"/>
      <c r="U1032" s="254"/>
      <c r="V1032" s="254"/>
      <c r="W1032" s="254"/>
      <c r="Y1032" s="246" t="str">
        <f t="shared" si="97"/>
        <v/>
      </c>
      <c r="Z1032" s="247" t="str">
        <f t="shared" ref="Z1032:Z1095" si="101">IF(H1032="","",$Z$1-H1032)</f>
        <v/>
      </c>
      <c r="AA1032" s="246" t="str">
        <f t="shared" si="98"/>
        <v/>
      </c>
    </row>
    <row r="1033" spans="1:27" x14ac:dyDescent="0.25">
      <c r="A1033" s="248" t="str">
        <f t="shared" si="99"/>
        <v/>
      </c>
      <c r="B1033" s="249" t="str">
        <f t="shared" si="100"/>
        <v/>
      </c>
      <c r="C1033" s="250"/>
      <c r="D1033" s="251"/>
      <c r="E1033" s="241"/>
      <c r="F1033" s="252"/>
      <c r="G1033" s="252"/>
      <c r="H1033" s="253"/>
      <c r="I1033" s="250"/>
      <c r="J1033" s="250"/>
      <c r="K1033" s="270"/>
      <c r="L1033" s="250"/>
      <c r="M1033" s="250"/>
      <c r="N1033" s="540" t="str">
        <f>CONCATENATE(IF(OR(M1033=phu!$I$1,M1033=phu!$I$2,M1033=phu!$I$3),"Cam Thành Nam",""),IF(OR(M1033=phu!$I$4,M1033=phu!$I$5,M1033=phu!$I$6,M1033=phu!$I$7,M1033=phu!$I$8,M1033=phu!$I$9,M1033=phu!$I$10,M1033=phu!$I$11,M1033=phu!$I$12,M1033=phu!$I$13,M1033=phu!$I$14),"Cam Nghĩa",""),IF(OR(M1033=phu!$I$15,M1033=phu!$I$16,M1033=phu!$I$17,M1033=phu!$I$18,M1033=phu!$I$19,M1033=phu!$I$20,M1033=phu!$I$21),"Cam Phúc Bắc",""),IF(OR(M1033=phu!$I$22,M1033=phu!$I$23,M1033=phu!$I$24,M1033=phu!$I$25),"Cam Phúc Nam",""),IF(OR(M1033=phu!$I$26,M1033=phu!$I$27,M1033=phu!$I$28,M1033=phu!$I$29,M1033=phu!$I$30,M1033=phu!$I$31),"Cam Phú",""),IF(OR(M1033=phu!$I$32,M1033=phu!$I$33,M1033=phu!$I$34,M1033=phu!$I$35,M1033=phu!$I$36,M1033=phu!$I$37),"Cam Lộc",""),IF(OR(M1033=phu!$I$38,M1033=phu!$I$39,M1033=phu!$I$40,M1033=phu!$I$41,M1033=phu!$I$42,M1033=phu!$I$43,M1033=phu!$I$44),"Cam Thuận",""),IF(OR(M1033=phu!$I$45,M1033=phu!$I$46,M1033=phu!$I$47,M1033=phu!$I$48,M1033=phu!$I$49,M1033=phu!$I$50,M1033=phu!$I$51,M1033=phu!$I$52,M1033=phu!$I$53),"Cam Linh",""),IF(OR(M1033=phu!$I$54,M1033=phu!$I$55,M1033=phu!$I$56,M1033=phu!$I$57,M1033=phu!$I$58,M1033=phu!$I$59,M1033=phu!$I$60,M1033=phu!$I$61,M1033=phu!$I$62),"Cam Lợi",""),IF(OR(M1033=phu!$I$63,M1033=phu!$I$64,M1033=phu!$I$65,M1033=phu!$I$66,M1033=phu!$I$67,M1033=phu!$I$68,M1033=phu!$I$69,M1033=phu!$I$70,M1033=phu!$I$71),"Ba Ngòi",""),IF(OR(M1033=phu!$I$72,M1033=phu!$I$73,M1033=phu!$I$74,M1033=phu!$I$75,M1033=phu!$I$76,M1033=phu!$I$77,M1033=phu!$I$78),"Cam Phước Đông",""),IF(OR(M1033=phu!$I$79,M1033=phu!$I$80,M1033=phu!$I$81,M1033=phu!$I$82,M1033=phu!$I$83,M1033=phu!$I$84),"Cam Thịnh Đông",""),IF(OR(M1033=phu!$I$85,M1033=phu!$I$86,M1033=phu!$I$87,M1033=phu!$I$88),"Cam Thịnh Tây",""),IF(OR(M1033=phu!$I$89,M1033=phu!$I$90),"Cam Lập",""),IF(OR(M1033=phu!$I$91,M1033=phu!$I$92,M1033=phu!$I$93),"Cam Bình",""),IF(OR(M1033=phu!$I$94,M1033=phu!$I$95,M1033=phu!$I$96,M1033=phu!$I$97,M1033=phu!$I$98,M1033=phu!$I$99,M1033=phu!$I$100),"Huyện khác",""),IF(OR(M1033=phu!$I$101,M1033=phu!$I$102),"Tỉnh khác",""))</f>
        <v/>
      </c>
      <c r="O1033" s="829" t="str">
        <f t="shared" si="96"/>
        <v/>
      </c>
      <c r="P1033" s="254"/>
      <c r="Q1033" s="254"/>
      <c r="R1033" s="254"/>
      <c r="S1033" s="254"/>
      <c r="T1033" s="254"/>
      <c r="U1033" s="254"/>
      <c r="V1033" s="254"/>
      <c r="W1033" s="254"/>
      <c r="Y1033" s="246" t="str">
        <f t="shared" si="97"/>
        <v/>
      </c>
      <c r="Z1033" s="247" t="str">
        <f t="shared" si="101"/>
        <v/>
      </c>
      <c r="AA1033" s="246" t="str">
        <f t="shared" si="98"/>
        <v/>
      </c>
    </row>
    <row r="1034" spans="1:27" x14ac:dyDescent="0.25">
      <c r="A1034" s="248" t="str">
        <f t="shared" si="99"/>
        <v/>
      </c>
      <c r="B1034" s="249" t="str">
        <f t="shared" si="100"/>
        <v/>
      </c>
      <c r="C1034" s="250"/>
      <c r="D1034" s="251"/>
      <c r="E1034" s="241"/>
      <c r="F1034" s="252"/>
      <c r="G1034" s="252"/>
      <c r="H1034" s="253"/>
      <c r="I1034" s="250"/>
      <c r="J1034" s="250"/>
      <c r="K1034" s="270"/>
      <c r="L1034" s="250"/>
      <c r="M1034" s="250"/>
      <c r="N1034" s="540" t="str">
        <f>CONCATENATE(IF(OR(M1034=phu!$I$1,M1034=phu!$I$2,M1034=phu!$I$3),"Cam Thành Nam",""),IF(OR(M1034=phu!$I$4,M1034=phu!$I$5,M1034=phu!$I$6,M1034=phu!$I$7,M1034=phu!$I$8,M1034=phu!$I$9,M1034=phu!$I$10,M1034=phu!$I$11,M1034=phu!$I$12,M1034=phu!$I$13,M1034=phu!$I$14),"Cam Nghĩa",""),IF(OR(M1034=phu!$I$15,M1034=phu!$I$16,M1034=phu!$I$17,M1034=phu!$I$18,M1034=phu!$I$19,M1034=phu!$I$20,M1034=phu!$I$21),"Cam Phúc Bắc",""),IF(OR(M1034=phu!$I$22,M1034=phu!$I$23,M1034=phu!$I$24,M1034=phu!$I$25),"Cam Phúc Nam",""),IF(OR(M1034=phu!$I$26,M1034=phu!$I$27,M1034=phu!$I$28,M1034=phu!$I$29,M1034=phu!$I$30,M1034=phu!$I$31),"Cam Phú",""),IF(OR(M1034=phu!$I$32,M1034=phu!$I$33,M1034=phu!$I$34,M1034=phu!$I$35,M1034=phu!$I$36,M1034=phu!$I$37),"Cam Lộc",""),IF(OR(M1034=phu!$I$38,M1034=phu!$I$39,M1034=phu!$I$40,M1034=phu!$I$41,M1034=phu!$I$42,M1034=phu!$I$43,M1034=phu!$I$44),"Cam Thuận",""),IF(OR(M1034=phu!$I$45,M1034=phu!$I$46,M1034=phu!$I$47,M1034=phu!$I$48,M1034=phu!$I$49,M1034=phu!$I$50,M1034=phu!$I$51,M1034=phu!$I$52,M1034=phu!$I$53),"Cam Linh",""),IF(OR(M1034=phu!$I$54,M1034=phu!$I$55,M1034=phu!$I$56,M1034=phu!$I$57,M1034=phu!$I$58,M1034=phu!$I$59,M1034=phu!$I$60,M1034=phu!$I$61,M1034=phu!$I$62),"Cam Lợi",""),IF(OR(M1034=phu!$I$63,M1034=phu!$I$64,M1034=phu!$I$65,M1034=phu!$I$66,M1034=phu!$I$67,M1034=phu!$I$68,M1034=phu!$I$69,M1034=phu!$I$70,M1034=phu!$I$71),"Ba Ngòi",""),IF(OR(M1034=phu!$I$72,M1034=phu!$I$73,M1034=phu!$I$74,M1034=phu!$I$75,M1034=phu!$I$76,M1034=phu!$I$77,M1034=phu!$I$78),"Cam Phước Đông",""),IF(OR(M1034=phu!$I$79,M1034=phu!$I$80,M1034=phu!$I$81,M1034=phu!$I$82,M1034=phu!$I$83,M1034=phu!$I$84),"Cam Thịnh Đông",""),IF(OR(M1034=phu!$I$85,M1034=phu!$I$86,M1034=phu!$I$87,M1034=phu!$I$88),"Cam Thịnh Tây",""),IF(OR(M1034=phu!$I$89,M1034=phu!$I$90),"Cam Lập",""),IF(OR(M1034=phu!$I$91,M1034=phu!$I$92,M1034=phu!$I$93),"Cam Bình",""),IF(OR(M1034=phu!$I$94,M1034=phu!$I$95,M1034=phu!$I$96,M1034=phu!$I$97,M1034=phu!$I$98,M1034=phu!$I$99,M1034=phu!$I$100),"Huyện khác",""),IF(OR(M1034=phu!$I$101,M1034=phu!$I$102),"Tỉnh khác",""))</f>
        <v/>
      </c>
      <c r="O1034" s="829" t="str">
        <f t="shared" si="96"/>
        <v/>
      </c>
      <c r="P1034" s="254"/>
      <c r="Q1034" s="254"/>
      <c r="R1034" s="254"/>
      <c r="S1034" s="254"/>
      <c r="T1034" s="254"/>
      <c r="U1034" s="254"/>
      <c r="V1034" s="254"/>
      <c r="W1034" s="254"/>
      <c r="Y1034" s="246" t="str">
        <f t="shared" si="97"/>
        <v/>
      </c>
      <c r="Z1034" s="247" t="str">
        <f t="shared" si="101"/>
        <v/>
      </c>
      <c r="AA1034" s="246" t="str">
        <f t="shared" si="98"/>
        <v/>
      </c>
    </row>
    <row r="1035" spans="1:27" x14ac:dyDescent="0.25">
      <c r="A1035" s="248" t="str">
        <f t="shared" si="99"/>
        <v/>
      </c>
      <c r="B1035" s="249" t="str">
        <f t="shared" si="100"/>
        <v/>
      </c>
      <c r="C1035" s="250"/>
      <c r="D1035" s="251"/>
      <c r="E1035" s="241"/>
      <c r="F1035" s="252"/>
      <c r="G1035" s="252"/>
      <c r="H1035" s="253"/>
      <c r="I1035" s="250"/>
      <c r="J1035" s="250"/>
      <c r="K1035" s="270"/>
      <c r="L1035" s="250"/>
      <c r="M1035" s="250"/>
      <c r="N1035" s="540" t="str">
        <f>CONCATENATE(IF(OR(M1035=phu!$I$1,M1035=phu!$I$2,M1035=phu!$I$3),"Cam Thành Nam",""),IF(OR(M1035=phu!$I$4,M1035=phu!$I$5,M1035=phu!$I$6,M1035=phu!$I$7,M1035=phu!$I$8,M1035=phu!$I$9,M1035=phu!$I$10,M1035=phu!$I$11,M1035=phu!$I$12,M1035=phu!$I$13,M1035=phu!$I$14),"Cam Nghĩa",""),IF(OR(M1035=phu!$I$15,M1035=phu!$I$16,M1035=phu!$I$17,M1035=phu!$I$18,M1035=phu!$I$19,M1035=phu!$I$20,M1035=phu!$I$21),"Cam Phúc Bắc",""),IF(OR(M1035=phu!$I$22,M1035=phu!$I$23,M1035=phu!$I$24,M1035=phu!$I$25),"Cam Phúc Nam",""),IF(OR(M1035=phu!$I$26,M1035=phu!$I$27,M1035=phu!$I$28,M1035=phu!$I$29,M1035=phu!$I$30,M1035=phu!$I$31),"Cam Phú",""),IF(OR(M1035=phu!$I$32,M1035=phu!$I$33,M1035=phu!$I$34,M1035=phu!$I$35,M1035=phu!$I$36,M1035=phu!$I$37),"Cam Lộc",""),IF(OR(M1035=phu!$I$38,M1035=phu!$I$39,M1035=phu!$I$40,M1035=phu!$I$41,M1035=phu!$I$42,M1035=phu!$I$43,M1035=phu!$I$44),"Cam Thuận",""),IF(OR(M1035=phu!$I$45,M1035=phu!$I$46,M1035=phu!$I$47,M1035=phu!$I$48,M1035=phu!$I$49,M1035=phu!$I$50,M1035=phu!$I$51,M1035=phu!$I$52,M1035=phu!$I$53),"Cam Linh",""),IF(OR(M1035=phu!$I$54,M1035=phu!$I$55,M1035=phu!$I$56,M1035=phu!$I$57,M1035=phu!$I$58,M1035=phu!$I$59,M1035=phu!$I$60,M1035=phu!$I$61,M1035=phu!$I$62),"Cam Lợi",""),IF(OR(M1035=phu!$I$63,M1035=phu!$I$64,M1035=phu!$I$65,M1035=phu!$I$66,M1035=phu!$I$67,M1035=phu!$I$68,M1035=phu!$I$69,M1035=phu!$I$70,M1035=phu!$I$71),"Ba Ngòi",""),IF(OR(M1035=phu!$I$72,M1035=phu!$I$73,M1035=phu!$I$74,M1035=phu!$I$75,M1035=phu!$I$76,M1035=phu!$I$77,M1035=phu!$I$78),"Cam Phước Đông",""),IF(OR(M1035=phu!$I$79,M1035=phu!$I$80,M1035=phu!$I$81,M1035=phu!$I$82,M1035=phu!$I$83,M1035=phu!$I$84),"Cam Thịnh Đông",""),IF(OR(M1035=phu!$I$85,M1035=phu!$I$86,M1035=phu!$I$87,M1035=phu!$I$88),"Cam Thịnh Tây",""),IF(OR(M1035=phu!$I$89,M1035=phu!$I$90),"Cam Lập",""),IF(OR(M1035=phu!$I$91,M1035=phu!$I$92,M1035=phu!$I$93),"Cam Bình",""),IF(OR(M1035=phu!$I$94,M1035=phu!$I$95,M1035=phu!$I$96,M1035=phu!$I$97,M1035=phu!$I$98,M1035=phu!$I$99,M1035=phu!$I$100),"Huyện khác",""),IF(OR(M1035=phu!$I$101,M1035=phu!$I$102),"Tỉnh khác",""))</f>
        <v/>
      </c>
      <c r="O1035" s="829" t="str">
        <f t="shared" si="96"/>
        <v/>
      </c>
      <c r="P1035" s="254"/>
      <c r="Q1035" s="254"/>
      <c r="R1035" s="254"/>
      <c r="S1035" s="254"/>
      <c r="T1035" s="254"/>
      <c r="U1035" s="254"/>
      <c r="V1035" s="254"/>
      <c r="W1035" s="254"/>
      <c r="Y1035" s="246" t="str">
        <f t="shared" si="97"/>
        <v/>
      </c>
      <c r="Z1035" s="247" t="str">
        <f t="shared" si="101"/>
        <v/>
      </c>
      <c r="AA1035" s="246" t="str">
        <f t="shared" si="98"/>
        <v/>
      </c>
    </row>
    <row r="1036" spans="1:27" x14ac:dyDescent="0.25">
      <c r="A1036" s="248" t="str">
        <f t="shared" si="99"/>
        <v/>
      </c>
      <c r="B1036" s="249" t="str">
        <f t="shared" si="100"/>
        <v/>
      </c>
      <c r="C1036" s="250"/>
      <c r="D1036" s="251"/>
      <c r="E1036" s="241"/>
      <c r="F1036" s="252"/>
      <c r="G1036" s="252"/>
      <c r="H1036" s="253"/>
      <c r="I1036" s="250"/>
      <c r="J1036" s="250"/>
      <c r="K1036" s="270"/>
      <c r="L1036" s="250"/>
      <c r="M1036" s="250"/>
      <c r="N1036" s="540" t="str">
        <f>CONCATENATE(IF(OR(M1036=phu!$I$1,M1036=phu!$I$2,M1036=phu!$I$3),"Cam Thành Nam",""),IF(OR(M1036=phu!$I$4,M1036=phu!$I$5,M1036=phu!$I$6,M1036=phu!$I$7,M1036=phu!$I$8,M1036=phu!$I$9,M1036=phu!$I$10,M1036=phu!$I$11,M1036=phu!$I$12,M1036=phu!$I$13,M1036=phu!$I$14),"Cam Nghĩa",""),IF(OR(M1036=phu!$I$15,M1036=phu!$I$16,M1036=phu!$I$17,M1036=phu!$I$18,M1036=phu!$I$19,M1036=phu!$I$20,M1036=phu!$I$21),"Cam Phúc Bắc",""),IF(OR(M1036=phu!$I$22,M1036=phu!$I$23,M1036=phu!$I$24,M1036=phu!$I$25),"Cam Phúc Nam",""),IF(OR(M1036=phu!$I$26,M1036=phu!$I$27,M1036=phu!$I$28,M1036=phu!$I$29,M1036=phu!$I$30,M1036=phu!$I$31),"Cam Phú",""),IF(OR(M1036=phu!$I$32,M1036=phu!$I$33,M1036=phu!$I$34,M1036=phu!$I$35,M1036=phu!$I$36,M1036=phu!$I$37),"Cam Lộc",""),IF(OR(M1036=phu!$I$38,M1036=phu!$I$39,M1036=phu!$I$40,M1036=phu!$I$41,M1036=phu!$I$42,M1036=phu!$I$43,M1036=phu!$I$44),"Cam Thuận",""),IF(OR(M1036=phu!$I$45,M1036=phu!$I$46,M1036=phu!$I$47,M1036=phu!$I$48,M1036=phu!$I$49,M1036=phu!$I$50,M1036=phu!$I$51,M1036=phu!$I$52,M1036=phu!$I$53),"Cam Linh",""),IF(OR(M1036=phu!$I$54,M1036=phu!$I$55,M1036=phu!$I$56,M1036=phu!$I$57,M1036=phu!$I$58,M1036=phu!$I$59,M1036=phu!$I$60,M1036=phu!$I$61,M1036=phu!$I$62),"Cam Lợi",""),IF(OR(M1036=phu!$I$63,M1036=phu!$I$64,M1036=phu!$I$65,M1036=phu!$I$66,M1036=phu!$I$67,M1036=phu!$I$68,M1036=phu!$I$69,M1036=phu!$I$70,M1036=phu!$I$71),"Ba Ngòi",""),IF(OR(M1036=phu!$I$72,M1036=phu!$I$73,M1036=phu!$I$74,M1036=phu!$I$75,M1036=phu!$I$76,M1036=phu!$I$77,M1036=phu!$I$78),"Cam Phước Đông",""),IF(OR(M1036=phu!$I$79,M1036=phu!$I$80,M1036=phu!$I$81,M1036=phu!$I$82,M1036=phu!$I$83,M1036=phu!$I$84),"Cam Thịnh Đông",""),IF(OR(M1036=phu!$I$85,M1036=phu!$I$86,M1036=phu!$I$87,M1036=phu!$I$88),"Cam Thịnh Tây",""),IF(OR(M1036=phu!$I$89,M1036=phu!$I$90),"Cam Lập",""),IF(OR(M1036=phu!$I$91,M1036=phu!$I$92,M1036=phu!$I$93),"Cam Bình",""),IF(OR(M1036=phu!$I$94,M1036=phu!$I$95,M1036=phu!$I$96,M1036=phu!$I$97,M1036=phu!$I$98,M1036=phu!$I$99,M1036=phu!$I$100),"Huyện khác",""),IF(OR(M1036=phu!$I$101,M1036=phu!$I$102),"Tỉnh khác",""))</f>
        <v/>
      </c>
      <c r="O1036" s="829" t="str">
        <f t="shared" si="96"/>
        <v/>
      </c>
      <c r="P1036" s="254"/>
      <c r="Q1036" s="254"/>
      <c r="R1036" s="254"/>
      <c r="S1036" s="254"/>
      <c r="T1036" s="254"/>
      <c r="U1036" s="254"/>
      <c r="V1036" s="254"/>
      <c r="W1036" s="254"/>
      <c r="Y1036" s="246" t="str">
        <f t="shared" si="97"/>
        <v/>
      </c>
      <c r="Z1036" s="247" t="str">
        <f t="shared" si="101"/>
        <v/>
      </c>
      <c r="AA1036" s="246" t="str">
        <f t="shared" si="98"/>
        <v/>
      </c>
    </row>
    <row r="1037" spans="1:27" x14ac:dyDescent="0.25">
      <c r="A1037" s="248" t="str">
        <f t="shared" si="99"/>
        <v/>
      </c>
      <c r="B1037" s="249" t="str">
        <f t="shared" si="100"/>
        <v/>
      </c>
      <c r="C1037" s="250"/>
      <c r="D1037" s="251"/>
      <c r="E1037" s="241"/>
      <c r="F1037" s="252"/>
      <c r="G1037" s="252"/>
      <c r="H1037" s="253"/>
      <c r="I1037" s="250"/>
      <c r="J1037" s="250"/>
      <c r="K1037" s="270"/>
      <c r="L1037" s="250"/>
      <c r="M1037" s="250"/>
      <c r="N1037" s="540" t="str">
        <f>CONCATENATE(IF(OR(M1037=phu!$I$1,M1037=phu!$I$2,M1037=phu!$I$3),"Cam Thành Nam",""),IF(OR(M1037=phu!$I$4,M1037=phu!$I$5,M1037=phu!$I$6,M1037=phu!$I$7,M1037=phu!$I$8,M1037=phu!$I$9,M1037=phu!$I$10,M1037=phu!$I$11,M1037=phu!$I$12,M1037=phu!$I$13,M1037=phu!$I$14),"Cam Nghĩa",""),IF(OR(M1037=phu!$I$15,M1037=phu!$I$16,M1037=phu!$I$17,M1037=phu!$I$18,M1037=phu!$I$19,M1037=phu!$I$20,M1037=phu!$I$21),"Cam Phúc Bắc",""),IF(OR(M1037=phu!$I$22,M1037=phu!$I$23,M1037=phu!$I$24,M1037=phu!$I$25),"Cam Phúc Nam",""),IF(OR(M1037=phu!$I$26,M1037=phu!$I$27,M1037=phu!$I$28,M1037=phu!$I$29,M1037=phu!$I$30,M1037=phu!$I$31),"Cam Phú",""),IF(OR(M1037=phu!$I$32,M1037=phu!$I$33,M1037=phu!$I$34,M1037=phu!$I$35,M1037=phu!$I$36,M1037=phu!$I$37),"Cam Lộc",""),IF(OR(M1037=phu!$I$38,M1037=phu!$I$39,M1037=phu!$I$40,M1037=phu!$I$41,M1037=phu!$I$42,M1037=phu!$I$43,M1037=phu!$I$44),"Cam Thuận",""),IF(OR(M1037=phu!$I$45,M1037=phu!$I$46,M1037=phu!$I$47,M1037=phu!$I$48,M1037=phu!$I$49,M1037=phu!$I$50,M1037=phu!$I$51,M1037=phu!$I$52,M1037=phu!$I$53),"Cam Linh",""),IF(OR(M1037=phu!$I$54,M1037=phu!$I$55,M1037=phu!$I$56,M1037=phu!$I$57,M1037=phu!$I$58,M1037=phu!$I$59,M1037=phu!$I$60,M1037=phu!$I$61,M1037=phu!$I$62),"Cam Lợi",""),IF(OR(M1037=phu!$I$63,M1037=phu!$I$64,M1037=phu!$I$65,M1037=phu!$I$66,M1037=phu!$I$67,M1037=phu!$I$68,M1037=phu!$I$69,M1037=phu!$I$70,M1037=phu!$I$71),"Ba Ngòi",""),IF(OR(M1037=phu!$I$72,M1037=phu!$I$73,M1037=phu!$I$74,M1037=phu!$I$75,M1037=phu!$I$76,M1037=phu!$I$77,M1037=phu!$I$78),"Cam Phước Đông",""),IF(OR(M1037=phu!$I$79,M1037=phu!$I$80,M1037=phu!$I$81,M1037=phu!$I$82,M1037=phu!$I$83,M1037=phu!$I$84),"Cam Thịnh Đông",""),IF(OR(M1037=phu!$I$85,M1037=phu!$I$86,M1037=phu!$I$87,M1037=phu!$I$88),"Cam Thịnh Tây",""),IF(OR(M1037=phu!$I$89,M1037=phu!$I$90),"Cam Lập",""),IF(OR(M1037=phu!$I$91,M1037=phu!$I$92,M1037=phu!$I$93),"Cam Bình",""),IF(OR(M1037=phu!$I$94,M1037=phu!$I$95,M1037=phu!$I$96,M1037=phu!$I$97,M1037=phu!$I$98,M1037=phu!$I$99,M1037=phu!$I$100),"Huyện khác",""),IF(OR(M1037=phu!$I$101,M1037=phu!$I$102),"Tỉnh khác",""))</f>
        <v/>
      </c>
      <c r="O1037" s="829" t="str">
        <f t="shared" si="96"/>
        <v/>
      </c>
      <c r="P1037" s="254"/>
      <c r="Q1037" s="254"/>
      <c r="R1037" s="254"/>
      <c r="S1037" s="254"/>
      <c r="T1037" s="254"/>
      <c r="U1037" s="254"/>
      <c r="V1037" s="254"/>
      <c r="W1037" s="254"/>
      <c r="Y1037" s="246" t="str">
        <f t="shared" si="97"/>
        <v/>
      </c>
      <c r="Z1037" s="247" t="str">
        <f t="shared" si="101"/>
        <v/>
      </c>
      <c r="AA1037" s="246" t="str">
        <f t="shared" si="98"/>
        <v/>
      </c>
    </row>
    <row r="1038" spans="1:27" x14ac:dyDescent="0.25">
      <c r="A1038" s="248" t="str">
        <f t="shared" si="99"/>
        <v/>
      </c>
      <c r="B1038" s="249" t="str">
        <f t="shared" si="100"/>
        <v/>
      </c>
      <c r="C1038" s="250"/>
      <c r="D1038" s="251"/>
      <c r="E1038" s="241"/>
      <c r="F1038" s="252"/>
      <c r="G1038" s="252"/>
      <c r="H1038" s="253"/>
      <c r="I1038" s="250"/>
      <c r="J1038" s="250"/>
      <c r="K1038" s="270"/>
      <c r="L1038" s="250"/>
      <c r="M1038" s="250"/>
      <c r="N1038" s="540" t="str">
        <f>CONCATENATE(IF(OR(M1038=phu!$I$1,M1038=phu!$I$2,M1038=phu!$I$3),"Cam Thành Nam",""),IF(OR(M1038=phu!$I$4,M1038=phu!$I$5,M1038=phu!$I$6,M1038=phu!$I$7,M1038=phu!$I$8,M1038=phu!$I$9,M1038=phu!$I$10,M1038=phu!$I$11,M1038=phu!$I$12,M1038=phu!$I$13,M1038=phu!$I$14),"Cam Nghĩa",""),IF(OR(M1038=phu!$I$15,M1038=phu!$I$16,M1038=phu!$I$17,M1038=phu!$I$18,M1038=phu!$I$19,M1038=phu!$I$20,M1038=phu!$I$21),"Cam Phúc Bắc",""),IF(OR(M1038=phu!$I$22,M1038=phu!$I$23,M1038=phu!$I$24,M1038=phu!$I$25),"Cam Phúc Nam",""),IF(OR(M1038=phu!$I$26,M1038=phu!$I$27,M1038=phu!$I$28,M1038=phu!$I$29,M1038=phu!$I$30,M1038=phu!$I$31),"Cam Phú",""),IF(OR(M1038=phu!$I$32,M1038=phu!$I$33,M1038=phu!$I$34,M1038=phu!$I$35,M1038=phu!$I$36,M1038=phu!$I$37),"Cam Lộc",""),IF(OR(M1038=phu!$I$38,M1038=phu!$I$39,M1038=phu!$I$40,M1038=phu!$I$41,M1038=phu!$I$42,M1038=phu!$I$43,M1038=phu!$I$44),"Cam Thuận",""),IF(OR(M1038=phu!$I$45,M1038=phu!$I$46,M1038=phu!$I$47,M1038=phu!$I$48,M1038=phu!$I$49,M1038=phu!$I$50,M1038=phu!$I$51,M1038=phu!$I$52,M1038=phu!$I$53),"Cam Linh",""),IF(OR(M1038=phu!$I$54,M1038=phu!$I$55,M1038=phu!$I$56,M1038=phu!$I$57,M1038=phu!$I$58,M1038=phu!$I$59,M1038=phu!$I$60,M1038=phu!$I$61,M1038=phu!$I$62),"Cam Lợi",""),IF(OR(M1038=phu!$I$63,M1038=phu!$I$64,M1038=phu!$I$65,M1038=phu!$I$66,M1038=phu!$I$67,M1038=phu!$I$68,M1038=phu!$I$69,M1038=phu!$I$70,M1038=phu!$I$71),"Ba Ngòi",""),IF(OR(M1038=phu!$I$72,M1038=phu!$I$73,M1038=phu!$I$74,M1038=phu!$I$75,M1038=phu!$I$76,M1038=phu!$I$77,M1038=phu!$I$78),"Cam Phước Đông",""),IF(OR(M1038=phu!$I$79,M1038=phu!$I$80,M1038=phu!$I$81,M1038=phu!$I$82,M1038=phu!$I$83,M1038=phu!$I$84),"Cam Thịnh Đông",""),IF(OR(M1038=phu!$I$85,M1038=phu!$I$86,M1038=phu!$I$87,M1038=phu!$I$88),"Cam Thịnh Tây",""),IF(OR(M1038=phu!$I$89,M1038=phu!$I$90),"Cam Lập",""),IF(OR(M1038=phu!$I$91,M1038=phu!$I$92,M1038=phu!$I$93),"Cam Bình",""),IF(OR(M1038=phu!$I$94,M1038=phu!$I$95,M1038=phu!$I$96,M1038=phu!$I$97,M1038=phu!$I$98,M1038=phu!$I$99,M1038=phu!$I$100),"Huyện khác",""),IF(OR(M1038=phu!$I$101,M1038=phu!$I$102),"Tỉnh khác",""))</f>
        <v/>
      </c>
      <c r="O1038" s="829" t="str">
        <f t="shared" si="96"/>
        <v/>
      </c>
      <c r="P1038" s="254"/>
      <c r="Q1038" s="254"/>
      <c r="R1038" s="254"/>
      <c r="S1038" s="254"/>
      <c r="T1038" s="254"/>
      <c r="U1038" s="254"/>
      <c r="V1038" s="254"/>
      <c r="W1038" s="254"/>
      <c r="Y1038" s="246" t="str">
        <f t="shared" si="97"/>
        <v/>
      </c>
      <c r="Z1038" s="247" t="str">
        <f t="shared" si="101"/>
        <v/>
      </c>
      <c r="AA1038" s="246" t="str">
        <f t="shared" si="98"/>
        <v/>
      </c>
    </row>
    <row r="1039" spans="1:27" x14ac:dyDescent="0.25">
      <c r="A1039" s="248" t="str">
        <f t="shared" si="99"/>
        <v/>
      </c>
      <c r="B1039" s="249" t="str">
        <f t="shared" si="100"/>
        <v/>
      </c>
      <c r="C1039" s="250"/>
      <c r="D1039" s="251"/>
      <c r="E1039" s="241"/>
      <c r="F1039" s="252"/>
      <c r="G1039" s="252"/>
      <c r="H1039" s="253"/>
      <c r="I1039" s="250"/>
      <c r="J1039" s="250"/>
      <c r="K1039" s="270"/>
      <c r="L1039" s="250"/>
      <c r="M1039" s="250"/>
      <c r="N1039" s="540" t="str">
        <f>CONCATENATE(IF(OR(M1039=phu!$I$1,M1039=phu!$I$2,M1039=phu!$I$3),"Cam Thành Nam",""),IF(OR(M1039=phu!$I$4,M1039=phu!$I$5,M1039=phu!$I$6,M1039=phu!$I$7,M1039=phu!$I$8,M1039=phu!$I$9,M1039=phu!$I$10,M1039=phu!$I$11,M1039=phu!$I$12,M1039=phu!$I$13,M1039=phu!$I$14),"Cam Nghĩa",""),IF(OR(M1039=phu!$I$15,M1039=phu!$I$16,M1039=phu!$I$17,M1039=phu!$I$18,M1039=phu!$I$19,M1039=phu!$I$20,M1039=phu!$I$21),"Cam Phúc Bắc",""),IF(OR(M1039=phu!$I$22,M1039=phu!$I$23,M1039=phu!$I$24,M1039=phu!$I$25),"Cam Phúc Nam",""),IF(OR(M1039=phu!$I$26,M1039=phu!$I$27,M1039=phu!$I$28,M1039=phu!$I$29,M1039=phu!$I$30,M1039=phu!$I$31),"Cam Phú",""),IF(OR(M1039=phu!$I$32,M1039=phu!$I$33,M1039=phu!$I$34,M1039=phu!$I$35,M1039=phu!$I$36,M1039=phu!$I$37),"Cam Lộc",""),IF(OR(M1039=phu!$I$38,M1039=phu!$I$39,M1039=phu!$I$40,M1039=phu!$I$41,M1039=phu!$I$42,M1039=phu!$I$43,M1039=phu!$I$44),"Cam Thuận",""),IF(OR(M1039=phu!$I$45,M1039=phu!$I$46,M1039=phu!$I$47,M1039=phu!$I$48,M1039=phu!$I$49,M1039=phu!$I$50,M1039=phu!$I$51,M1039=phu!$I$52,M1039=phu!$I$53),"Cam Linh",""),IF(OR(M1039=phu!$I$54,M1039=phu!$I$55,M1039=phu!$I$56,M1039=phu!$I$57,M1039=phu!$I$58,M1039=phu!$I$59,M1039=phu!$I$60,M1039=phu!$I$61,M1039=phu!$I$62),"Cam Lợi",""),IF(OR(M1039=phu!$I$63,M1039=phu!$I$64,M1039=phu!$I$65,M1039=phu!$I$66,M1039=phu!$I$67,M1039=phu!$I$68,M1039=phu!$I$69,M1039=phu!$I$70,M1039=phu!$I$71),"Ba Ngòi",""),IF(OR(M1039=phu!$I$72,M1039=phu!$I$73,M1039=phu!$I$74,M1039=phu!$I$75,M1039=phu!$I$76,M1039=phu!$I$77,M1039=phu!$I$78),"Cam Phước Đông",""),IF(OR(M1039=phu!$I$79,M1039=phu!$I$80,M1039=phu!$I$81,M1039=phu!$I$82,M1039=phu!$I$83,M1039=phu!$I$84),"Cam Thịnh Đông",""),IF(OR(M1039=phu!$I$85,M1039=phu!$I$86,M1039=phu!$I$87,M1039=phu!$I$88),"Cam Thịnh Tây",""),IF(OR(M1039=phu!$I$89,M1039=phu!$I$90),"Cam Lập",""),IF(OR(M1039=phu!$I$91,M1039=phu!$I$92,M1039=phu!$I$93),"Cam Bình",""),IF(OR(M1039=phu!$I$94,M1039=phu!$I$95,M1039=phu!$I$96,M1039=phu!$I$97,M1039=phu!$I$98,M1039=phu!$I$99,M1039=phu!$I$100),"Huyện khác",""),IF(OR(M1039=phu!$I$101,M1039=phu!$I$102),"Tỉnh khác",""))</f>
        <v/>
      </c>
      <c r="O1039" s="829" t="str">
        <f t="shared" si="96"/>
        <v/>
      </c>
      <c r="P1039" s="254"/>
      <c r="Q1039" s="254"/>
      <c r="R1039" s="254"/>
      <c r="S1039" s="254"/>
      <c r="T1039" s="254"/>
      <c r="U1039" s="254"/>
      <c r="V1039" s="254"/>
      <c r="W1039" s="254"/>
      <c r="Y1039" s="246" t="str">
        <f t="shared" si="97"/>
        <v/>
      </c>
      <c r="Z1039" s="247" t="str">
        <f t="shared" si="101"/>
        <v/>
      </c>
      <c r="AA1039" s="246" t="str">
        <f t="shared" si="98"/>
        <v/>
      </c>
    </row>
    <row r="1040" spans="1:27" x14ac:dyDescent="0.25">
      <c r="A1040" s="248" t="str">
        <f t="shared" si="99"/>
        <v/>
      </c>
      <c r="B1040" s="249" t="str">
        <f t="shared" si="100"/>
        <v/>
      </c>
      <c r="C1040" s="250"/>
      <c r="D1040" s="251"/>
      <c r="E1040" s="241"/>
      <c r="F1040" s="252"/>
      <c r="G1040" s="252"/>
      <c r="H1040" s="253"/>
      <c r="I1040" s="250"/>
      <c r="J1040" s="250"/>
      <c r="K1040" s="270"/>
      <c r="L1040" s="250"/>
      <c r="M1040" s="250"/>
      <c r="N1040" s="540" t="str">
        <f>CONCATENATE(IF(OR(M1040=phu!$I$1,M1040=phu!$I$2,M1040=phu!$I$3),"Cam Thành Nam",""),IF(OR(M1040=phu!$I$4,M1040=phu!$I$5,M1040=phu!$I$6,M1040=phu!$I$7,M1040=phu!$I$8,M1040=phu!$I$9,M1040=phu!$I$10,M1040=phu!$I$11,M1040=phu!$I$12,M1040=phu!$I$13,M1040=phu!$I$14),"Cam Nghĩa",""),IF(OR(M1040=phu!$I$15,M1040=phu!$I$16,M1040=phu!$I$17,M1040=phu!$I$18,M1040=phu!$I$19,M1040=phu!$I$20,M1040=phu!$I$21),"Cam Phúc Bắc",""),IF(OR(M1040=phu!$I$22,M1040=phu!$I$23,M1040=phu!$I$24,M1040=phu!$I$25),"Cam Phúc Nam",""),IF(OR(M1040=phu!$I$26,M1040=phu!$I$27,M1040=phu!$I$28,M1040=phu!$I$29,M1040=phu!$I$30,M1040=phu!$I$31),"Cam Phú",""),IF(OR(M1040=phu!$I$32,M1040=phu!$I$33,M1040=phu!$I$34,M1040=phu!$I$35,M1040=phu!$I$36,M1040=phu!$I$37),"Cam Lộc",""),IF(OR(M1040=phu!$I$38,M1040=phu!$I$39,M1040=phu!$I$40,M1040=phu!$I$41,M1040=phu!$I$42,M1040=phu!$I$43,M1040=phu!$I$44),"Cam Thuận",""),IF(OR(M1040=phu!$I$45,M1040=phu!$I$46,M1040=phu!$I$47,M1040=phu!$I$48,M1040=phu!$I$49,M1040=phu!$I$50,M1040=phu!$I$51,M1040=phu!$I$52,M1040=phu!$I$53),"Cam Linh",""),IF(OR(M1040=phu!$I$54,M1040=phu!$I$55,M1040=phu!$I$56,M1040=phu!$I$57,M1040=phu!$I$58,M1040=phu!$I$59,M1040=phu!$I$60,M1040=phu!$I$61,M1040=phu!$I$62),"Cam Lợi",""),IF(OR(M1040=phu!$I$63,M1040=phu!$I$64,M1040=phu!$I$65,M1040=phu!$I$66,M1040=phu!$I$67,M1040=phu!$I$68,M1040=phu!$I$69,M1040=phu!$I$70,M1040=phu!$I$71),"Ba Ngòi",""),IF(OR(M1040=phu!$I$72,M1040=phu!$I$73,M1040=phu!$I$74,M1040=phu!$I$75,M1040=phu!$I$76,M1040=phu!$I$77,M1040=phu!$I$78),"Cam Phước Đông",""),IF(OR(M1040=phu!$I$79,M1040=phu!$I$80,M1040=phu!$I$81,M1040=phu!$I$82,M1040=phu!$I$83,M1040=phu!$I$84),"Cam Thịnh Đông",""),IF(OR(M1040=phu!$I$85,M1040=phu!$I$86,M1040=phu!$I$87,M1040=phu!$I$88),"Cam Thịnh Tây",""),IF(OR(M1040=phu!$I$89,M1040=phu!$I$90),"Cam Lập",""),IF(OR(M1040=phu!$I$91,M1040=phu!$I$92,M1040=phu!$I$93),"Cam Bình",""),IF(OR(M1040=phu!$I$94,M1040=phu!$I$95,M1040=phu!$I$96,M1040=phu!$I$97,M1040=phu!$I$98,M1040=phu!$I$99,M1040=phu!$I$100),"Huyện khác",""),IF(OR(M1040=phu!$I$101,M1040=phu!$I$102),"Tỉnh khác",""))</f>
        <v/>
      </c>
      <c r="O1040" s="829" t="str">
        <f t="shared" si="96"/>
        <v/>
      </c>
      <c r="P1040" s="254"/>
      <c r="Q1040" s="254"/>
      <c r="R1040" s="254"/>
      <c r="S1040" s="254"/>
      <c r="T1040" s="254"/>
      <c r="U1040" s="254"/>
      <c r="V1040" s="254"/>
      <c r="W1040" s="254"/>
      <c r="Y1040" s="246" t="str">
        <f t="shared" si="97"/>
        <v/>
      </c>
      <c r="Z1040" s="247" t="str">
        <f t="shared" si="101"/>
        <v/>
      </c>
      <c r="AA1040" s="246" t="str">
        <f t="shared" si="98"/>
        <v/>
      </c>
    </row>
    <row r="1041" spans="1:27" x14ac:dyDescent="0.25">
      <c r="A1041" s="248" t="str">
        <f t="shared" si="99"/>
        <v/>
      </c>
      <c r="B1041" s="249" t="str">
        <f t="shared" si="100"/>
        <v/>
      </c>
      <c r="C1041" s="250"/>
      <c r="D1041" s="251"/>
      <c r="E1041" s="241"/>
      <c r="F1041" s="252"/>
      <c r="G1041" s="252"/>
      <c r="H1041" s="253"/>
      <c r="I1041" s="250"/>
      <c r="J1041" s="250"/>
      <c r="K1041" s="270"/>
      <c r="L1041" s="250"/>
      <c r="M1041" s="250"/>
      <c r="N1041" s="540" t="str">
        <f>CONCATENATE(IF(OR(M1041=phu!$I$1,M1041=phu!$I$2,M1041=phu!$I$3),"Cam Thành Nam",""),IF(OR(M1041=phu!$I$4,M1041=phu!$I$5,M1041=phu!$I$6,M1041=phu!$I$7,M1041=phu!$I$8,M1041=phu!$I$9,M1041=phu!$I$10,M1041=phu!$I$11,M1041=phu!$I$12,M1041=phu!$I$13,M1041=phu!$I$14),"Cam Nghĩa",""),IF(OR(M1041=phu!$I$15,M1041=phu!$I$16,M1041=phu!$I$17,M1041=phu!$I$18,M1041=phu!$I$19,M1041=phu!$I$20,M1041=phu!$I$21),"Cam Phúc Bắc",""),IF(OR(M1041=phu!$I$22,M1041=phu!$I$23,M1041=phu!$I$24,M1041=phu!$I$25),"Cam Phúc Nam",""),IF(OR(M1041=phu!$I$26,M1041=phu!$I$27,M1041=phu!$I$28,M1041=phu!$I$29,M1041=phu!$I$30,M1041=phu!$I$31),"Cam Phú",""),IF(OR(M1041=phu!$I$32,M1041=phu!$I$33,M1041=phu!$I$34,M1041=phu!$I$35,M1041=phu!$I$36,M1041=phu!$I$37),"Cam Lộc",""),IF(OR(M1041=phu!$I$38,M1041=phu!$I$39,M1041=phu!$I$40,M1041=phu!$I$41,M1041=phu!$I$42,M1041=phu!$I$43,M1041=phu!$I$44),"Cam Thuận",""),IF(OR(M1041=phu!$I$45,M1041=phu!$I$46,M1041=phu!$I$47,M1041=phu!$I$48,M1041=phu!$I$49,M1041=phu!$I$50,M1041=phu!$I$51,M1041=phu!$I$52,M1041=phu!$I$53),"Cam Linh",""),IF(OR(M1041=phu!$I$54,M1041=phu!$I$55,M1041=phu!$I$56,M1041=phu!$I$57,M1041=phu!$I$58,M1041=phu!$I$59,M1041=phu!$I$60,M1041=phu!$I$61,M1041=phu!$I$62),"Cam Lợi",""),IF(OR(M1041=phu!$I$63,M1041=phu!$I$64,M1041=phu!$I$65,M1041=phu!$I$66,M1041=phu!$I$67,M1041=phu!$I$68,M1041=phu!$I$69,M1041=phu!$I$70,M1041=phu!$I$71),"Ba Ngòi",""),IF(OR(M1041=phu!$I$72,M1041=phu!$I$73,M1041=phu!$I$74,M1041=phu!$I$75,M1041=phu!$I$76,M1041=phu!$I$77,M1041=phu!$I$78),"Cam Phước Đông",""),IF(OR(M1041=phu!$I$79,M1041=phu!$I$80,M1041=phu!$I$81,M1041=phu!$I$82,M1041=phu!$I$83,M1041=phu!$I$84),"Cam Thịnh Đông",""),IF(OR(M1041=phu!$I$85,M1041=phu!$I$86,M1041=phu!$I$87,M1041=phu!$I$88),"Cam Thịnh Tây",""),IF(OR(M1041=phu!$I$89,M1041=phu!$I$90),"Cam Lập",""),IF(OR(M1041=phu!$I$91,M1041=phu!$I$92,M1041=phu!$I$93),"Cam Bình",""),IF(OR(M1041=phu!$I$94,M1041=phu!$I$95,M1041=phu!$I$96,M1041=phu!$I$97,M1041=phu!$I$98,M1041=phu!$I$99,M1041=phu!$I$100),"Huyện khác",""),IF(OR(M1041=phu!$I$101,M1041=phu!$I$102),"Tỉnh khác",""))</f>
        <v/>
      </c>
      <c r="O1041" s="829" t="str">
        <f t="shared" si="96"/>
        <v/>
      </c>
      <c r="P1041" s="254"/>
      <c r="Q1041" s="254"/>
      <c r="R1041" s="254"/>
      <c r="S1041" s="254"/>
      <c r="T1041" s="254"/>
      <c r="U1041" s="254"/>
      <c r="V1041" s="254"/>
      <c r="W1041" s="254"/>
      <c r="Y1041" s="246" t="str">
        <f t="shared" si="97"/>
        <v/>
      </c>
      <c r="Z1041" s="247" t="str">
        <f t="shared" si="101"/>
        <v/>
      </c>
      <c r="AA1041" s="246" t="str">
        <f t="shared" si="98"/>
        <v/>
      </c>
    </row>
    <row r="1042" spans="1:27" x14ac:dyDescent="0.25">
      <c r="A1042" s="248" t="str">
        <f t="shared" si="99"/>
        <v/>
      </c>
      <c r="B1042" s="249" t="str">
        <f t="shared" si="100"/>
        <v/>
      </c>
      <c r="C1042" s="250"/>
      <c r="D1042" s="251"/>
      <c r="E1042" s="241"/>
      <c r="F1042" s="252"/>
      <c r="G1042" s="252"/>
      <c r="H1042" s="253"/>
      <c r="I1042" s="250"/>
      <c r="J1042" s="250"/>
      <c r="K1042" s="270"/>
      <c r="L1042" s="250"/>
      <c r="M1042" s="250"/>
      <c r="N1042" s="540" t="str">
        <f>CONCATENATE(IF(OR(M1042=phu!$I$1,M1042=phu!$I$2,M1042=phu!$I$3),"Cam Thành Nam",""),IF(OR(M1042=phu!$I$4,M1042=phu!$I$5,M1042=phu!$I$6,M1042=phu!$I$7,M1042=phu!$I$8,M1042=phu!$I$9,M1042=phu!$I$10,M1042=phu!$I$11,M1042=phu!$I$12,M1042=phu!$I$13,M1042=phu!$I$14),"Cam Nghĩa",""),IF(OR(M1042=phu!$I$15,M1042=phu!$I$16,M1042=phu!$I$17,M1042=phu!$I$18,M1042=phu!$I$19,M1042=phu!$I$20,M1042=phu!$I$21),"Cam Phúc Bắc",""),IF(OR(M1042=phu!$I$22,M1042=phu!$I$23,M1042=phu!$I$24,M1042=phu!$I$25),"Cam Phúc Nam",""),IF(OR(M1042=phu!$I$26,M1042=phu!$I$27,M1042=phu!$I$28,M1042=phu!$I$29,M1042=phu!$I$30,M1042=phu!$I$31),"Cam Phú",""),IF(OR(M1042=phu!$I$32,M1042=phu!$I$33,M1042=phu!$I$34,M1042=phu!$I$35,M1042=phu!$I$36,M1042=phu!$I$37),"Cam Lộc",""),IF(OR(M1042=phu!$I$38,M1042=phu!$I$39,M1042=phu!$I$40,M1042=phu!$I$41,M1042=phu!$I$42,M1042=phu!$I$43,M1042=phu!$I$44),"Cam Thuận",""),IF(OR(M1042=phu!$I$45,M1042=phu!$I$46,M1042=phu!$I$47,M1042=phu!$I$48,M1042=phu!$I$49,M1042=phu!$I$50,M1042=phu!$I$51,M1042=phu!$I$52,M1042=phu!$I$53),"Cam Linh",""),IF(OR(M1042=phu!$I$54,M1042=phu!$I$55,M1042=phu!$I$56,M1042=phu!$I$57,M1042=phu!$I$58,M1042=phu!$I$59,M1042=phu!$I$60,M1042=phu!$I$61,M1042=phu!$I$62),"Cam Lợi",""),IF(OR(M1042=phu!$I$63,M1042=phu!$I$64,M1042=phu!$I$65,M1042=phu!$I$66,M1042=phu!$I$67,M1042=phu!$I$68,M1042=phu!$I$69,M1042=phu!$I$70,M1042=phu!$I$71),"Ba Ngòi",""),IF(OR(M1042=phu!$I$72,M1042=phu!$I$73,M1042=phu!$I$74,M1042=phu!$I$75,M1042=phu!$I$76,M1042=phu!$I$77,M1042=phu!$I$78),"Cam Phước Đông",""),IF(OR(M1042=phu!$I$79,M1042=phu!$I$80,M1042=phu!$I$81,M1042=phu!$I$82,M1042=phu!$I$83,M1042=phu!$I$84),"Cam Thịnh Đông",""),IF(OR(M1042=phu!$I$85,M1042=phu!$I$86,M1042=phu!$I$87,M1042=phu!$I$88),"Cam Thịnh Tây",""),IF(OR(M1042=phu!$I$89,M1042=phu!$I$90),"Cam Lập",""),IF(OR(M1042=phu!$I$91,M1042=phu!$I$92,M1042=phu!$I$93),"Cam Bình",""),IF(OR(M1042=phu!$I$94,M1042=phu!$I$95,M1042=phu!$I$96,M1042=phu!$I$97,M1042=phu!$I$98,M1042=phu!$I$99,M1042=phu!$I$100),"Huyện khác",""),IF(OR(M1042=phu!$I$101,M1042=phu!$I$102),"Tỉnh khác",""))</f>
        <v/>
      </c>
      <c r="O1042" s="829" t="str">
        <f t="shared" si="96"/>
        <v/>
      </c>
      <c r="P1042" s="254"/>
      <c r="Q1042" s="254"/>
      <c r="R1042" s="254"/>
      <c r="S1042" s="254"/>
      <c r="T1042" s="254"/>
      <c r="U1042" s="254"/>
      <c r="V1042" s="254"/>
      <c r="W1042" s="254"/>
      <c r="Y1042" s="246" t="str">
        <f t="shared" si="97"/>
        <v/>
      </c>
      <c r="Z1042" s="247" t="str">
        <f t="shared" si="101"/>
        <v/>
      </c>
      <c r="AA1042" s="246" t="str">
        <f t="shared" si="98"/>
        <v/>
      </c>
    </row>
    <row r="1043" spans="1:27" x14ac:dyDescent="0.25">
      <c r="A1043" s="248" t="str">
        <f t="shared" si="99"/>
        <v/>
      </c>
      <c r="B1043" s="249" t="str">
        <f t="shared" si="100"/>
        <v/>
      </c>
      <c r="C1043" s="250"/>
      <c r="D1043" s="251"/>
      <c r="E1043" s="241"/>
      <c r="F1043" s="252"/>
      <c r="G1043" s="252"/>
      <c r="H1043" s="253"/>
      <c r="I1043" s="250"/>
      <c r="J1043" s="250"/>
      <c r="K1043" s="270"/>
      <c r="L1043" s="250"/>
      <c r="M1043" s="250"/>
      <c r="N1043" s="540" t="str">
        <f>CONCATENATE(IF(OR(M1043=phu!$I$1,M1043=phu!$I$2,M1043=phu!$I$3),"Cam Thành Nam",""),IF(OR(M1043=phu!$I$4,M1043=phu!$I$5,M1043=phu!$I$6,M1043=phu!$I$7,M1043=phu!$I$8,M1043=phu!$I$9,M1043=phu!$I$10,M1043=phu!$I$11,M1043=phu!$I$12,M1043=phu!$I$13,M1043=phu!$I$14),"Cam Nghĩa",""),IF(OR(M1043=phu!$I$15,M1043=phu!$I$16,M1043=phu!$I$17,M1043=phu!$I$18,M1043=phu!$I$19,M1043=phu!$I$20,M1043=phu!$I$21),"Cam Phúc Bắc",""),IF(OR(M1043=phu!$I$22,M1043=phu!$I$23,M1043=phu!$I$24,M1043=phu!$I$25),"Cam Phúc Nam",""),IF(OR(M1043=phu!$I$26,M1043=phu!$I$27,M1043=phu!$I$28,M1043=phu!$I$29,M1043=phu!$I$30,M1043=phu!$I$31),"Cam Phú",""),IF(OR(M1043=phu!$I$32,M1043=phu!$I$33,M1043=phu!$I$34,M1043=phu!$I$35,M1043=phu!$I$36,M1043=phu!$I$37),"Cam Lộc",""),IF(OR(M1043=phu!$I$38,M1043=phu!$I$39,M1043=phu!$I$40,M1043=phu!$I$41,M1043=phu!$I$42,M1043=phu!$I$43,M1043=phu!$I$44),"Cam Thuận",""),IF(OR(M1043=phu!$I$45,M1043=phu!$I$46,M1043=phu!$I$47,M1043=phu!$I$48,M1043=phu!$I$49,M1043=phu!$I$50,M1043=phu!$I$51,M1043=phu!$I$52,M1043=phu!$I$53),"Cam Linh",""),IF(OR(M1043=phu!$I$54,M1043=phu!$I$55,M1043=phu!$I$56,M1043=phu!$I$57,M1043=phu!$I$58,M1043=phu!$I$59,M1043=phu!$I$60,M1043=phu!$I$61,M1043=phu!$I$62),"Cam Lợi",""),IF(OR(M1043=phu!$I$63,M1043=phu!$I$64,M1043=phu!$I$65,M1043=phu!$I$66,M1043=phu!$I$67,M1043=phu!$I$68,M1043=phu!$I$69,M1043=phu!$I$70,M1043=phu!$I$71),"Ba Ngòi",""),IF(OR(M1043=phu!$I$72,M1043=phu!$I$73,M1043=phu!$I$74,M1043=phu!$I$75,M1043=phu!$I$76,M1043=phu!$I$77,M1043=phu!$I$78),"Cam Phước Đông",""),IF(OR(M1043=phu!$I$79,M1043=phu!$I$80,M1043=phu!$I$81,M1043=phu!$I$82,M1043=phu!$I$83,M1043=phu!$I$84),"Cam Thịnh Đông",""),IF(OR(M1043=phu!$I$85,M1043=phu!$I$86,M1043=phu!$I$87,M1043=phu!$I$88),"Cam Thịnh Tây",""),IF(OR(M1043=phu!$I$89,M1043=phu!$I$90),"Cam Lập",""),IF(OR(M1043=phu!$I$91,M1043=phu!$I$92,M1043=phu!$I$93),"Cam Bình",""),IF(OR(M1043=phu!$I$94,M1043=phu!$I$95,M1043=phu!$I$96,M1043=phu!$I$97,M1043=phu!$I$98,M1043=phu!$I$99,M1043=phu!$I$100),"Huyện khác",""),IF(OR(M1043=phu!$I$101,M1043=phu!$I$102),"Tỉnh khác",""))</f>
        <v/>
      </c>
      <c r="O1043" s="829" t="str">
        <f t="shared" si="96"/>
        <v/>
      </c>
      <c r="P1043" s="254"/>
      <c r="Q1043" s="254"/>
      <c r="R1043" s="254"/>
      <c r="S1043" s="254"/>
      <c r="T1043" s="254"/>
      <c r="U1043" s="254"/>
      <c r="V1043" s="254"/>
      <c r="W1043" s="254"/>
      <c r="Y1043" s="246" t="str">
        <f t="shared" si="97"/>
        <v/>
      </c>
      <c r="Z1043" s="247" t="str">
        <f t="shared" si="101"/>
        <v/>
      </c>
      <c r="AA1043" s="246" t="str">
        <f t="shared" si="98"/>
        <v/>
      </c>
    </row>
    <row r="1044" spans="1:27" x14ac:dyDescent="0.25">
      <c r="A1044" s="248" t="str">
        <f t="shared" si="99"/>
        <v/>
      </c>
      <c r="B1044" s="249" t="str">
        <f t="shared" si="100"/>
        <v/>
      </c>
      <c r="C1044" s="250"/>
      <c r="D1044" s="251"/>
      <c r="E1044" s="241"/>
      <c r="F1044" s="252"/>
      <c r="G1044" s="252"/>
      <c r="H1044" s="253"/>
      <c r="I1044" s="250"/>
      <c r="J1044" s="250"/>
      <c r="K1044" s="270"/>
      <c r="L1044" s="250"/>
      <c r="M1044" s="250"/>
      <c r="N1044" s="540" t="str">
        <f>CONCATENATE(IF(OR(M1044=phu!$I$1,M1044=phu!$I$2,M1044=phu!$I$3),"Cam Thành Nam",""),IF(OR(M1044=phu!$I$4,M1044=phu!$I$5,M1044=phu!$I$6,M1044=phu!$I$7,M1044=phu!$I$8,M1044=phu!$I$9,M1044=phu!$I$10,M1044=phu!$I$11,M1044=phu!$I$12,M1044=phu!$I$13,M1044=phu!$I$14),"Cam Nghĩa",""),IF(OR(M1044=phu!$I$15,M1044=phu!$I$16,M1044=phu!$I$17,M1044=phu!$I$18,M1044=phu!$I$19,M1044=phu!$I$20,M1044=phu!$I$21),"Cam Phúc Bắc",""),IF(OR(M1044=phu!$I$22,M1044=phu!$I$23,M1044=phu!$I$24,M1044=phu!$I$25),"Cam Phúc Nam",""),IF(OR(M1044=phu!$I$26,M1044=phu!$I$27,M1044=phu!$I$28,M1044=phu!$I$29,M1044=phu!$I$30,M1044=phu!$I$31),"Cam Phú",""),IF(OR(M1044=phu!$I$32,M1044=phu!$I$33,M1044=phu!$I$34,M1044=phu!$I$35,M1044=phu!$I$36,M1044=phu!$I$37),"Cam Lộc",""),IF(OR(M1044=phu!$I$38,M1044=phu!$I$39,M1044=phu!$I$40,M1044=phu!$I$41,M1044=phu!$I$42,M1044=phu!$I$43,M1044=phu!$I$44),"Cam Thuận",""),IF(OR(M1044=phu!$I$45,M1044=phu!$I$46,M1044=phu!$I$47,M1044=phu!$I$48,M1044=phu!$I$49,M1044=phu!$I$50,M1044=phu!$I$51,M1044=phu!$I$52,M1044=phu!$I$53),"Cam Linh",""),IF(OR(M1044=phu!$I$54,M1044=phu!$I$55,M1044=phu!$I$56,M1044=phu!$I$57,M1044=phu!$I$58,M1044=phu!$I$59,M1044=phu!$I$60,M1044=phu!$I$61,M1044=phu!$I$62),"Cam Lợi",""),IF(OR(M1044=phu!$I$63,M1044=phu!$I$64,M1044=phu!$I$65,M1044=phu!$I$66,M1044=phu!$I$67,M1044=phu!$I$68,M1044=phu!$I$69,M1044=phu!$I$70,M1044=phu!$I$71),"Ba Ngòi",""),IF(OR(M1044=phu!$I$72,M1044=phu!$I$73,M1044=phu!$I$74,M1044=phu!$I$75,M1044=phu!$I$76,M1044=phu!$I$77,M1044=phu!$I$78),"Cam Phước Đông",""),IF(OR(M1044=phu!$I$79,M1044=phu!$I$80,M1044=phu!$I$81,M1044=phu!$I$82,M1044=phu!$I$83,M1044=phu!$I$84),"Cam Thịnh Đông",""),IF(OR(M1044=phu!$I$85,M1044=phu!$I$86,M1044=phu!$I$87,M1044=phu!$I$88),"Cam Thịnh Tây",""),IF(OR(M1044=phu!$I$89,M1044=phu!$I$90),"Cam Lập",""),IF(OR(M1044=phu!$I$91,M1044=phu!$I$92,M1044=phu!$I$93),"Cam Bình",""),IF(OR(M1044=phu!$I$94,M1044=phu!$I$95,M1044=phu!$I$96,M1044=phu!$I$97,M1044=phu!$I$98,M1044=phu!$I$99,M1044=phu!$I$100),"Huyện khác",""),IF(OR(M1044=phu!$I$101,M1044=phu!$I$102),"Tỉnh khác",""))</f>
        <v/>
      </c>
      <c r="O1044" s="829" t="str">
        <f t="shared" si="96"/>
        <v/>
      </c>
      <c r="P1044" s="254"/>
      <c r="Q1044" s="254"/>
      <c r="R1044" s="254"/>
      <c r="S1044" s="254"/>
      <c r="T1044" s="254"/>
      <c r="U1044" s="254"/>
      <c r="V1044" s="254"/>
      <c r="W1044" s="254"/>
      <c r="Y1044" s="246" t="str">
        <f t="shared" si="97"/>
        <v/>
      </c>
      <c r="Z1044" s="247" t="str">
        <f t="shared" si="101"/>
        <v/>
      </c>
      <c r="AA1044" s="246" t="str">
        <f t="shared" si="98"/>
        <v/>
      </c>
    </row>
    <row r="1045" spans="1:27" x14ac:dyDescent="0.25">
      <c r="A1045" s="248" t="str">
        <f t="shared" si="99"/>
        <v/>
      </c>
      <c r="B1045" s="249" t="str">
        <f t="shared" si="100"/>
        <v/>
      </c>
      <c r="C1045" s="250"/>
      <c r="D1045" s="251"/>
      <c r="E1045" s="241"/>
      <c r="F1045" s="252"/>
      <c r="G1045" s="252"/>
      <c r="H1045" s="253"/>
      <c r="I1045" s="250"/>
      <c r="J1045" s="250"/>
      <c r="K1045" s="270"/>
      <c r="L1045" s="250"/>
      <c r="M1045" s="250"/>
      <c r="N1045" s="540" t="str">
        <f>CONCATENATE(IF(OR(M1045=phu!$I$1,M1045=phu!$I$2,M1045=phu!$I$3),"Cam Thành Nam",""),IF(OR(M1045=phu!$I$4,M1045=phu!$I$5,M1045=phu!$I$6,M1045=phu!$I$7,M1045=phu!$I$8,M1045=phu!$I$9,M1045=phu!$I$10,M1045=phu!$I$11,M1045=phu!$I$12,M1045=phu!$I$13,M1045=phu!$I$14),"Cam Nghĩa",""),IF(OR(M1045=phu!$I$15,M1045=phu!$I$16,M1045=phu!$I$17,M1045=phu!$I$18,M1045=phu!$I$19,M1045=phu!$I$20,M1045=phu!$I$21),"Cam Phúc Bắc",""),IF(OR(M1045=phu!$I$22,M1045=phu!$I$23,M1045=phu!$I$24,M1045=phu!$I$25),"Cam Phúc Nam",""),IF(OR(M1045=phu!$I$26,M1045=phu!$I$27,M1045=phu!$I$28,M1045=phu!$I$29,M1045=phu!$I$30,M1045=phu!$I$31),"Cam Phú",""),IF(OR(M1045=phu!$I$32,M1045=phu!$I$33,M1045=phu!$I$34,M1045=phu!$I$35,M1045=phu!$I$36,M1045=phu!$I$37),"Cam Lộc",""),IF(OR(M1045=phu!$I$38,M1045=phu!$I$39,M1045=phu!$I$40,M1045=phu!$I$41,M1045=phu!$I$42,M1045=phu!$I$43,M1045=phu!$I$44),"Cam Thuận",""),IF(OR(M1045=phu!$I$45,M1045=phu!$I$46,M1045=phu!$I$47,M1045=phu!$I$48,M1045=phu!$I$49,M1045=phu!$I$50,M1045=phu!$I$51,M1045=phu!$I$52,M1045=phu!$I$53),"Cam Linh",""),IF(OR(M1045=phu!$I$54,M1045=phu!$I$55,M1045=phu!$I$56,M1045=phu!$I$57,M1045=phu!$I$58,M1045=phu!$I$59,M1045=phu!$I$60,M1045=phu!$I$61,M1045=phu!$I$62),"Cam Lợi",""),IF(OR(M1045=phu!$I$63,M1045=phu!$I$64,M1045=phu!$I$65,M1045=phu!$I$66,M1045=phu!$I$67,M1045=phu!$I$68,M1045=phu!$I$69,M1045=phu!$I$70,M1045=phu!$I$71),"Ba Ngòi",""),IF(OR(M1045=phu!$I$72,M1045=phu!$I$73,M1045=phu!$I$74,M1045=phu!$I$75,M1045=phu!$I$76,M1045=phu!$I$77,M1045=phu!$I$78),"Cam Phước Đông",""),IF(OR(M1045=phu!$I$79,M1045=phu!$I$80,M1045=phu!$I$81,M1045=phu!$I$82,M1045=phu!$I$83,M1045=phu!$I$84),"Cam Thịnh Đông",""),IF(OR(M1045=phu!$I$85,M1045=phu!$I$86,M1045=phu!$I$87,M1045=phu!$I$88),"Cam Thịnh Tây",""),IF(OR(M1045=phu!$I$89,M1045=phu!$I$90),"Cam Lập",""),IF(OR(M1045=phu!$I$91,M1045=phu!$I$92,M1045=phu!$I$93),"Cam Bình",""),IF(OR(M1045=phu!$I$94,M1045=phu!$I$95,M1045=phu!$I$96,M1045=phu!$I$97,M1045=phu!$I$98,M1045=phu!$I$99,M1045=phu!$I$100),"Huyện khác",""),IF(OR(M1045=phu!$I$101,M1045=phu!$I$102),"Tỉnh khác",""))</f>
        <v/>
      </c>
      <c r="O1045" s="829" t="str">
        <f t="shared" si="96"/>
        <v/>
      </c>
      <c r="P1045" s="254"/>
      <c r="Q1045" s="254"/>
      <c r="R1045" s="254"/>
      <c r="S1045" s="254"/>
      <c r="T1045" s="254"/>
      <c r="U1045" s="254"/>
      <c r="V1045" s="254"/>
      <c r="W1045" s="254"/>
      <c r="Y1045" s="246" t="str">
        <f t="shared" si="97"/>
        <v/>
      </c>
      <c r="Z1045" s="247" t="str">
        <f t="shared" si="101"/>
        <v/>
      </c>
      <c r="AA1045" s="246" t="str">
        <f t="shared" si="98"/>
        <v/>
      </c>
    </row>
    <row r="1046" spans="1:27" x14ac:dyDescent="0.25">
      <c r="A1046" s="248" t="str">
        <f t="shared" si="99"/>
        <v/>
      </c>
      <c r="B1046" s="249" t="str">
        <f t="shared" si="100"/>
        <v/>
      </c>
      <c r="C1046" s="250"/>
      <c r="D1046" s="251"/>
      <c r="E1046" s="241"/>
      <c r="F1046" s="252"/>
      <c r="G1046" s="252"/>
      <c r="H1046" s="253"/>
      <c r="I1046" s="250"/>
      <c r="J1046" s="250"/>
      <c r="K1046" s="270"/>
      <c r="L1046" s="250"/>
      <c r="M1046" s="250"/>
      <c r="N1046" s="540" t="str">
        <f>CONCATENATE(IF(OR(M1046=phu!$I$1,M1046=phu!$I$2,M1046=phu!$I$3),"Cam Thành Nam",""),IF(OR(M1046=phu!$I$4,M1046=phu!$I$5,M1046=phu!$I$6,M1046=phu!$I$7,M1046=phu!$I$8,M1046=phu!$I$9,M1046=phu!$I$10,M1046=phu!$I$11,M1046=phu!$I$12,M1046=phu!$I$13,M1046=phu!$I$14),"Cam Nghĩa",""),IF(OR(M1046=phu!$I$15,M1046=phu!$I$16,M1046=phu!$I$17,M1046=phu!$I$18,M1046=phu!$I$19,M1046=phu!$I$20,M1046=phu!$I$21),"Cam Phúc Bắc",""),IF(OR(M1046=phu!$I$22,M1046=phu!$I$23,M1046=phu!$I$24,M1046=phu!$I$25),"Cam Phúc Nam",""),IF(OR(M1046=phu!$I$26,M1046=phu!$I$27,M1046=phu!$I$28,M1046=phu!$I$29,M1046=phu!$I$30,M1046=phu!$I$31),"Cam Phú",""),IF(OR(M1046=phu!$I$32,M1046=phu!$I$33,M1046=phu!$I$34,M1046=phu!$I$35,M1046=phu!$I$36,M1046=phu!$I$37),"Cam Lộc",""),IF(OR(M1046=phu!$I$38,M1046=phu!$I$39,M1046=phu!$I$40,M1046=phu!$I$41,M1046=phu!$I$42,M1046=phu!$I$43,M1046=phu!$I$44),"Cam Thuận",""),IF(OR(M1046=phu!$I$45,M1046=phu!$I$46,M1046=phu!$I$47,M1046=phu!$I$48,M1046=phu!$I$49,M1046=phu!$I$50,M1046=phu!$I$51,M1046=phu!$I$52,M1046=phu!$I$53),"Cam Linh",""),IF(OR(M1046=phu!$I$54,M1046=phu!$I$55,M1046=phu!$I$56,M1046=phu!$I$57,M1046=phu!$I$58,M1046=phu!$I$59,M1046=phu!$I$60,M1046=phu!$I$61,M1046=phu!$I$62),"Cam Lợi",""),IF(OR(M1046=phu!$I$63,M1046=phu!$I$64,M1046=phu!$I$65,M1046=phu!$I$66,M1046=phu!$I$67,M1046=phu!$I$68,M1046=phu!$I$69,M1046=phu!$I$70,M1046=phu!$I$71),"Ba Ngòi",""),IF(OR(M1046=phu!$I$72,M1046=phu!$I$73,M1046=phu!$I$74,M1046=phu!$I$75,M1046=phu!$I$76,M1046=phu!$I$77,M1046=phu!$I$78),"Cam Phước Đông",""),IF(OR(M1046=phu!$I$79,M1046=phu!$I$80,M1046=phu!$I$81,M1046=phu!$I$82,M1046=phu!$I$83,M1046=phu!$I$84),"Cam Thịnh Đông",""),IF(OR(M1046=phu!$I$85,M1046=phu!$I$86,M1046=phu!$I$87,M1046=phu!$I$88),"Cam Thịnh Tây",""),IF(OR(M1046=phu!$I$89,M1046=phu!$I$90),"Cam Lập",""),IF(OR(M1046=phu!$I$91,M1046=phu!$I$92,M1046=phu!$I$93),"Cam Bình",""),IF(OR(M1046=phu!$I$94,M1046=phu!$I$95,M1046=phu!$I$96,M1046=phu!$I$97,M1046=phu!$I$98,M1046=phu!$I$99,M1046=phu!$I$100),"Huyện khác",""),IF(OR(M1046=phu!$I$101,M1046=phu!$I$102),"Tỉnh khác",""))</f>
        <v/>
      </c>
      <c r="O1046" s="829" t="str">
        <f t="shared" si="96"/>
        <v/>
      </c>
      <c r="P1046" s="254"/>
      <c r="Q1046" s="254"/>
      <c r="R1046" s="254"/>
      <c r="S1046" s="254"/>
      <c r="T1046" s="254"/>
      <c r="U1046" s="254"/>
      <c r="V1046" s="254"/>
      <c r="W1046" s="254"/>
      <c r="Y1046" s="246" t="str">
        <f t="shared" si="97"/>
        <v/>
      </c>
      <c r="Z1046" s="247" t="str">
        <f t="shared" si="101"/>
        <v/>
      </c>
      <c r="AA1046" s="246" t="str">
        <f t="shared" si="98"/>
        <v/>
      </c>
    </row>
    <row r="1047" spans="1:27" x14ac:dyDescent="0.25">
      <c r="A1047" s="248" t="str">
        <f t="shared" si="99"/>
        <v/>
      </c>
      <c r="B1047" s="249" t="str">
        <f t="shared" si="100"/>
        <v/>
      </c>
      <c r="C1047" s="250"/>
      <c r="D1047" s="251"/>
      <c r="E1047" s="241"/>
      <c r="F1047" s="252"/>
      <c r="G1047" s="252"/>
      <c r="H1047" s="253"/>
      <c r="I1047" s="250"/>
      <c r="J1047" s="250"/>
      <c r="K1047" s="270"/>
      <c r="L1047" s="250"/>
      <c r="M1047" s="250"/>
      <c r="N1047" s="540" t="str">
        <f>CONCATENATE(IF(OR(M1047=phu!$I$1,M1047=phu!$I$2,M1047=phu!$I$3),"Cam Thành Nam",""),IF(OR(M1047=phu!$I$4,M1047=phu!$I$5,M1047=phu!$I$6,M1047=phu!$I$7,M1047=phu!$I$8,M1047=phu!$I$9,M1047=phu!$I$10,M1047=phu!$I$11,M1047=phu!$I$12,M1047=phu!$I$13,M1047=phu!$I$14),"Cam Nghĩa",""),IF(OR(M1047=phu!$I$15,M1047=phu!$I$16,M1047=phu!$I$17,M1047=phu!$I$18,M1047=phu!$I$19,M1047=phu!$I$20,M1047=phu!$I$21),"Cam Phúc Bắc",""),IF(OR(M1047=phu!$I$22,M1047=phu!$I$23,M1047=phu!$I$24,M1047=phu!$I$25),"Cam Phúc Nam",""),IF(OR(M1047=phu!$I$26,M1047=phu!$I$27,M1047=phu!$I$28,M1047=phu!$I$29,M1047=phu!$I$30,M1047=phu!$I$31),"Cam Phú",""),IF(OR(M1047=phu!$I$32,M1047=phu!$I$33,M1047=phu!$I$34,M1047=phu!$I$35,M1047=phu!$I$36,M1047=phu!$I$37),"Cam Lộc",""),IF(OR(M1047=phu!$I$38,M1047=phu!$I$39,M1047=phu!$I$40,M1047=phu!$I$41,M1047=phu!$I$42,M1047=phu!$I$43,M1047=phu!$I$44),"Cam Thuận",""),IF(OR(M1047=phu!$I$45,M1047=phu!$I$46,M1047=phu!$I$47,M1047=phu!$I$48,M1047=phu!$I$49,M1047=phu!$I$50,M1047=phu!$I$51,M1047=phu!$I$52,M1047=phu!$I$53),"Cam Linh",""),IF(OR(M1047=phu!$I$54,M1047=phu!$I$55,M1047=phu!$I$56,M1047=phu!$I$57,M1047=phu!$I$58,M1047=phu!$I$59,M1047=phu!$I$60,M1047=phu!$I$61,M1047=phu!$I$62),"Cam Lợi",""),IF(OR(M1047=phu!$I$63,M1047=phu!$I$64,M1047=phu!$I$65,M1047=phu!$I$66,M1047=phu!$I$67,M1047=phu!$I$68,M1047=phu!$I$69,M1047=phu!$I$70,M1047=phu!$I$71),"Ba Ngòi",""),IF(OR(M1047=phu!$I$72,M1047=phu!$I$73,M1047=phu!$I$74,M1047=phu!$I$75,M1047=phu!$I$76,M1047=phu!$I$77,M1047=phu!$I$78),"Cam Phước Đông",""),IF(OR(M1047=phu!$I$79,M1047=phu!$I$80,M1047=phu!$I$81,M1047=phu!$I$82,M1047=phu!$I$83,M1047=phu!$I$84),"Cam Thịnh Đông",""),IF(OR(M1047=phu!$I$85,M1047=phu!$I$86,M1047=phu!$I$87,M1047=phu!$I$88),"Cam Thịnh Tây",""),IF(OR(M1047=phu!$I$89,M1047=phu!$I$90),"Cam Lập",""),IF(OR(M1047=phu!$I$91,M1047=phu!$I$92,M1047=phu!$I$93),"Cam Bình",""),IF(OR(M1047=phu!$I$94,M1047=phu!$I$95,M1047=phu!$I$96,M1047=phu!$I$97,M1047=phu!$I$98,M1047=phu!$I$99,M1047=phu!$I$100),"Huyện khác",""),IF(OR(M1047=phu!$I$101,M1047=phu!$I$102),"Tỉnh khác",""))</f>
        <v/>
      </c>
      <c r="O1047" s="829" t="str">
        <f t="shared" si="96"/>
        <v/>
      </c>
      <c r="P1047" s="254"/>
      <c r="Q1047" s="254"/>
      <c r="R1047" s="254"/>
      <c r="S1047" s="254"/>
      <c r="T1047" s="254"/>
      <c r="U1047" s="254"/>
      <c r="V1047" s="254"/>
      <c r="W1047" s="254"/>
      <c r="Y1047" s="246" t="str">
        <f t="shared" si="97"/>
        <v/>
      </c>
      <c r="Z1047" s="247" t="str">
        <f t="shared" si="101"/>
        <v/>
      </c>
      <c r="AA1047" s="246" t="str">
        <f t="shared" si="98"/>
        <v/>
      </c>
    </row>
    <row r="1048" spans="1:27" x14ac:dyDescent="0.25">
      <c r="A1048" s="248" t="str">
        <f t="shared" si="99"/>
        <v/>
      </c>
      <c r="B1048" s="249" t="str">
        <f t="shared" si="100"/>
        <v/>
      </c>
      <c r="C1048" s="250"/>
      <c r="D1048" s="251"/>
      <c r="E1048" s="241"/>
      <c r="F1048" s="252"/>
      <c r="G1048" s="252"/>
      <c r="H1048" s="253"/>
      <c r="I1048" s="250"/>
      <c r="J1048" s="250"/>
      <c r="K1048" s="270"/>
      <c r="L1048" s="250"/>
      <c r="M1048" s="250"/>
      <c r="N1048" s="540" t="str">
        <f>CONCATENATE(IF(OR(M1048=phu!$I$1,M1048=phu!$I$2,M1048=phu!$I$3),"Cam Thành Nam",""),IF(OR(M1048=phu!$I$4,M1048=phu!$I$5,M1048=phu!$I$6,M1048=phu!$I$7,M1048=phu!$I$8,M1048=phu!$I$9,M1048=phu!$I$10,M1048=phu!$I$11,M1048=phu!$I$12,M1048=phu!$I$13,M1048=phu!$I$14),"Cam Nghĩa",""),IF(OR(M1048=phu!$I$15,M1048=phu!$I$16,M1048=phu!$I$17,M1048=phu!$I$18,M1048=phu!$I$19,M1048=phu!$I$20,M1048=phu!$I$21),"Cam Phúc Bắc",""),IF(OR(M1048=phu!$I$22,M1048=phu!$I$23,M1048=phu!$I$24,M1048=phu!$I$25),"Cam Phúc Nam",""),IF(OR(M1048=phu!$I$26,M1048=phu!$I$27,M1048=phu!$I$28,M1048=phu!$I$29,M1048=phu!$I$30,M1048=phu!$I$31),"Cam Phú",""),IF(OR(M1048=phu!$I$32,M1048=phu!$I$33,M1048=phu!$I$34,M1048=phu!$I$35,M1048=phu!$I$36,M1048=phu!$I$37),"Cam Lộc",""),IF(OR(M1048=phu!$I$38,M1048=phu!$I$39,M1048=phu!$I$40,M1048=phu!$I$41,M1048=phu!$I$42,M1048=phu!$I$43,M1048=phu!$I$44),"Cam Thuận",""),IF(OR(M1048=phu!$I$45,M1048=phu!$I$46,M1048=phu!$I$47,M1048=phu!$I$48,M1048=phu!$I$49,M1048=phu!$I$50,M1048=phu!$I$51,M1048=phu!$I$52,M1048=phu!$I$53),"Cam Linh",""),IF(OR(M1048=phu!$I$54,M1048=phu!$I$55,M1048=phu!$I$56,M1048=phu!$I$57,M1048=phu!$I$58,M1048=phu!$I$59,M1048=phu!$I$60,M1048=phu!$I$61,M1048=phu!$I$62),"Cam Lợi",""),IF(OR(M1048=phu!$I$63,M1048=phu!$I$64,M1048=phu!$I$65,M1048=phu!$I$66,M1048=phu!$I$67,M1048=phu!$I$68,M1048=phu!$I$69,M1048=phu!$I$70,M1048=phu!$I$71),"Ba Ngòi",""),IF(OR(M1048=phu!$I$72,M1048=phu!$I$73,M1048=phu!$I$74,M1048=phu!$I$75,M1048=phu!$I$76,M1048=phu!$I$77,M1048=phu!$I$78),"Cam Phước Đông",""),IF(OR(M1048=phu!$I$79,M1048=phu!$I$80,M1048=phu!$I$81,M1048=phu!$I$82,M1048=phu!$I$83,M1048=phu!$I$84),"Cam Thịnh Đông",""),IF(OR(M1048=phu!$I$85,M1048=phu!$I$86,M1048=phu!$I$87,M1048=phu!$I$88),"Cam Thịnh Tây",""),IF(OR(M1048=phu!$I$89,M1048=phu!$I$90),"Cam Lập",""),IF(OR(M1048=phu!$I$91,M1048=phu!$I$92,M1048=phu!$I$93),"Cam Bình",""),IF(OR(M1048=phu!$I$94,M1048=phu!$I$95,M1048=phu!$I$96,M1048=phu!$I$97,M1048=phu!$I$98,M1048=phu!$I$99,M1048=phu!$I$100),"Huyện khác",""),IF(OR(M1048=phu!$I$101,M1048=phu!$I$102),"Tỉnh khác",""))</f>
        <v/>
      </c>
      <c r="O1048" s="829" t="str">
        <f t="shared" si="96"/>
        <v/>
      </c>
      <c r="P1048" s="254"/>
      <c r="Q1048" s="254"/>
      <c r="R1048" s="254"/>
      <c r="S1048" s="254"/>
      <c r="T1048" s="254"/>
      <c r="U1048" s="254"/>
      <c r="V1048" s="254"/>
      <c r="W1048" s="254"/>
      <c r="Y1048" s="246" t="str">
        <f t="shared" si="97"/>
        <v/>
      </c>
      <c r="Z1048" s="247" t="str">
        <f t="shared" si="101"/>
        <v/>
      </c>
      <c r="AA1048" s="246" t="str">
        <f t="shared" si="98"/>
        <v/>
      </c>
    </row>
    <row r="1049" spans="1:27" x14ac:dyDescent="0.25">
      <c r="A1049" s="248" t="str">
        <f t="shared" si="99"/>
        <v/>
      </c>
      <c r="B1049" s="249" t="str">
        <f t="shared" si="100"/>
        <v/>
      </c>
      <c r="C1049" s="250"/>
      <c r="D1049" s="251"/>
      <c r="E1049" s="241"/>
      <c r="F1049" s="252"/>
      <c r="G1049" s="252"/>
      <c r="H1049" s="253"/>
      <c r="I1049" s="250"/>
      <c r="J1049" s="250"/>
      <c r="K1049" s="270"/>
      <c r="L1049" s="250"/>
      <c r="M1049" s="250"/>
      <c r="N1049" s="540" t="str">
        <f>CONCATENATE(IF(OR(M1049=phu!$I$1,M1049=phu!$I$2,M1049=phu!$I$3),"Cam Thành Nam",""),IF(OR(M1049=phu!$I$4,M1049=phu!$I$5,M1049=phu!$I$6,M1049=phu!$I$7,M1049=phu!$I$8,M1049=phu!$I$9,M1049=phu!$I$10,M1049=phu!$I$11,M1049=phu!$I$12,M1049=phu!$I$13,M1049=phu!$I$14),"Cam Nghĩa",""),IF(OR(M1049=phu!$I$15,M1049=phu!$I$16,M1049=phu!$I$17,M1049=phu!$I$18,M1049=phu!$I$19,M1049=phu!$I$20,M1049=phu!$I$21),"Cam Phúc Bắc",""),IF(OR(M1049=phu!$I$22,M1049=phu!$I$23,M1049=phu!$I$24,M1049=phu!$I$25),"Cam Phúc Nam",""),IF(OR(M1049=phu!$I$26,M1049=phu!$I$27,M1049=phu!$I$28,M1049=phu!$I$29,M1049=phu!$I$30,M1049=phu!$I$31),"Cam Phú",""),IF(OR(M1049=phu!$I$32,M1049=phu!$I$33,M1049=phu!$I$34,M1049=phu!$I$35,M1049=phu!$I$36,M1049=phu!$I$37),"Cam Lộc",""),IF(OR(M1049=phu!$I$38,M1049=phu!$I$39,M1049=phu!$I$40,M1049=phu!$I$41,M1049=phu!$I$42,M1049=phu!$I$43,M1049=phu!$I$44),"Cam Thuận",""),IF(OR(M1049=phu!$I$45,M1049=phu!$I$46,M1049=phu!$I$47,M1049=phu!$I$48,M1049=phu!$I$49,M1049=phu!$I$50,M1049=phu!$I$51,M1049=phu!$I$52,M1049=phu!$I$53),"Cam Linh",""),IF(OR(M1049=phu!$I$54,M1049=phu!$I$55,M1049=phu!$I$56,M1049=phu!$I$57,M1049=phu!$I$58,M1049=phu!$I$59,M1049=phu!$I$60,M1049=phu!$I$61,M1049=phu!$I$62),"Cam Lợi",""),IF(OR(M1049=phu!$I$63,M1049=phu!$I$64,M1049=phu!$I$65,M1049=phu!$I$66,M1049=phu!$I$67,M1049=phu!$I$68,M1049=phu!$I$69,M1049=phu!$I$70,M1049=phu!$I$71),"Ba Ngòi",""),IF(OR(M1049=phu!$I$72,M1049=phu!$I$73,M1049=phu!$I$74,M1049=phu!$I$75,M1049=phu!$I$76,M1049=phu!$I$77,M1049=phu!$I$78),"Cam Phước Đông",""),IF(OR(M1049=phu!$I$79,M1049=phu!$I$80,M1049=phu!$I$81,M1049=phu!$I$82,M1049=phu!$I$83,M1049=phu!$I$84),"Cam Thịnh Đông",""),IF(OR(M1049=phu!$I$85,M1049=phu!$I$86,M1049=phu!$I$87,M1049=phu!$I$88),"Cam Thịnh Tây",""),IF(OR(M1049=phu!$I$89,M1049=phu!$I$90),"Cam Lập",""),IF(OR(M1049=phu!$I$91,M1049=phu!$I$92,M1049=phu!$I$93),"Cam Bình",""),IF(OR(M1049=phu!$I$94,M1049=phu!$I$95,M1049=phu!$I$96,M1049=phu!$I$97,M1049=phu!$I$98,M1049=phu!$I$99,M1049=phu!$I$100),"Huyện khác",""),IF(OR(M1049=phu!$I$101,M1049=phu!$I$102),"Tỉnh khác",""))</f>
        <v/>
      </c>
      <c r="O1049" s="829" t="str">
        <f t="shared" si="96"/>
        <v/>
      </c>
      <c r="P1049" s="254"/>
      <c r="Q1049" s="254"/>
      <c r="R1049" s="254"/>
      <c r="S1049" s="254"/>
      <c r="T1049" s="254"/>
      <c r="U1049" s="254"/>
      <c r="V1049" s="254"/>
      <c r="W1049" s="254"/>
      <c r="Y1049" s="246" t="str">
        <f t="shared" si="97"/>
        <v/>
      </c>
      <c r="Z1049" s="247" t="str">
        <f t="shared" si="101"/>
        <v/>
      </c>
      <c r="AA1049" s="246" t="str">
        <f t="shared" si="98"/>
        <v/>
      </c>
    </row>
    <row r="1050" spans="1:27" x14ac:dyDescent="0.25">
      <c r="A1050" s="248" t="str">
        <f t="shared" si="99"/>
        <v/>
      </c>
      <c r="B1050" s="249" t="str">
        <f t="shared" si="100"/>
        <v/>
      </c>
      <c r="C1050" s="250"/>
      <c r="D1050" s="251"/>
      <c r="E1050" s="241"/>
      <c r="F1050" s="252"/>
      <c r="G1050" s="252"/>
      <c r="H1050" s="253"/>
      <c r="I1050" s="250"/>
      <c r="J1050" s="250"/>
      <c r="K1050" s="270"/>
      <c r="L1050" s="250"/>
      <c r="M1050" s="250"/>
      <c r="N1050" s="540" t="str">
        <f>CONCATENATE(IF(OR(M1050=phu!$I$1,M1050=phu!$I$2,M1050=phu!$I$3),"Cam Thành Nam",""),IF(OR(M1050=phu!$I$4,M1050=phu!$I$5,M1050=phu!$I$6,M1050=phu!$I$7,M1050=phu!$I$8,M1050=phu!$I$9,M1050=phu!$I$10,M1050=phu!$I$11,M1050=phu!$I$12,M1050=phu!$I$13,M1050=phu!$I$14),"Cam Nghĩa",""),IF(OR(M1050=phu!$I$15,M1050=phu!$I$16,M1050=phu!$I$17,M1050=phu!$I$18,M1050=phu!$I$19,M1050=phu!$I$20,M1050=phu!$I$21),"Cam Phúc Bắc",""),IF(OR(M1050=phu!$I$22,M1050=phu!$I$23,M1050=phu!$I$24,M1050=phu!$I$25),"Cam Phúc Nam",""),IF(OR(M1050=phu!$I$26,M1050=phu!$I$27,M1050=phu!$I$28,M1050=phu!$I$29,M1050=phu!$I$30,M1050=phu!$I$31),"Cam Phú",""),IF(OR(M1050=phu!$I$32,M1050=phu!$I$33,M1050=phu!$I$34,M1050=phu!$I$35,M1050=phu!$I$36,M1050=phu!$I$37),"Cam Lộc",""),IF(OR(M1050=phu!$I$38,M1050=phu!$I$39,M1050=phu!$I$40,M1050=phu!$I$41,M1050=phu!$I$42,M1050=phu!$I$43,M1050=phu!$I$44),"Cam Thuận",""),IF(OR(M1050=phu!$I$45,M1050=phu!$I$46,M1050=phu!$I$47,M1050=phu!$I$48,M1050=phu!$I$49,M1050=phu!$I$50,M1050=phu!$I$51,M1050=phu!$I$52,M1050=phu!$I$53),"Cam Linh",""),IF(OR(M1050=phu!$I$54,M1050=phu!$I$55,M1050=phu!$I$56,M1050=phu!$I$57,M1050=phu!$I$58,M1050=phu!$I$59,M1050=phu!$I$60,M1050=phu!$I$61,M1050=phu!$I$62),"Cam Lợi",""),IF(OR(M1050=phu!$I$63,M1050=phu!$I$64,M1050=phu!$I$65,M1050=phu!$I$66,M1050=phu!$I$67,M1050=phu!$I$68,M1050=phu!$I$69,M1050=phu!$I$70,M1050=phu!$I$71),"Ba Ngòi",""),IF(OR(M1050=phu!$I$72,M1050=phu!$I$73,M1050=phu!$I$74,M1050=phu!$I$75,M1050=phu!$I$76,M1050=phu!$I$77,M1050=phu!$I$78),"Cam Phước Đông",""),IF(OR(M1050=phu!$I$79,M1050=phu!$I$80,M1050=phu!$I$81,M1050=phu!$I$82,M1050=phu!$I$83,M1050=phu!$I$84),"Cam Thịnh Đông",""),IF(OR(M1050=phu!$I$85,M1050=phu!$I$86,M1050=phu!$I$87,M1050=phu!$I$88),"Cam Thịnh Tây",""),IF(OR(M1050=phu!$I$89,M1050=phu!$I$90),"Cam Lập",""),IF(OR(M1050=phu!$I$91,M1050=phu!$I$92,M1050=phu!$I$93),"Cam Bình",""),IF(OR(M1050=phu!$I$94,M1050=phu!$I$95,M1050=phu!$I$96,M1050=phu!$I$97,M1050=phu!$I$98,M1050=phu!$I$99,M1050=phu!$I$100),"Huyện khác",""),IF(OR(M1050=phu!$I$101,M1050=phu!$I$102),"Tỉnh khác",""))</f>
        <v/>
      </c>
      <c r="O1050" s="829" t="str">
        <f t="shared" si="96"/>
        <v/>
      </c>
      <c r="P1050" s="254"/>
      <c r="Q1050" s="254"/>
      <c r="R1050" s="254"/>
      <c r="S1050" s="254"/>
      <c r="T1050" s="254"/>
      <c r="U1050" s="254"/>
      <c r="V1050" s="254"/>
      <c r="W1050" s="254"/>
      <c r="Y1050" s="246" t="str">
        <f t="shared" si="97"/>
        <v/>
      </c>
      <c r="Z1050" s="247" t="str">
        <f t="shared" si="101"/>
        <v/>
      </c>
      <c r="AA1050" s="246" t="str">
        <f t="shared" si="98"/>
        <v/>
      </c>
    </row>
    <row r="1051" spans="1:27" x14ac:dyDescent="0.25">
      <c r="A1051" s="248" t="str">
        <f t="shared" si="99"/>
        <v/>
      </c>
      <c r="B1051" s="249" t="str">
        <f t="shared" si="100"/>
        <v/>
      </c>
      <c r="C1051" s="250"/>
      <c r="D1051" s="251"/>
      <c r="E1051" s="241"/>
      <c r="F1051" s="252"/>
      <c r="G1051" s="252"/>
      <c r="H1051" s="253"/>
      <c r="I1051" s="250"/>
      <c r="J1051" s="250"/>
      <c r="K1051" s="270"/>
      <c r="L1051" s="250"/>
      <c r="M1051" s="250"/>
      <c r="N1051" s="540" t="str">
        <f>CONCATENATE(IF(OR(M1051=phu!$I$1,M1051=phu!$I$2,M1051=phu!$I$3),"Cam Thành Nam",""),IF(OR(M1051=phu!$I$4,M1051=phu!$I$5,M1051=phu!$I$6,M1051=phu!$I$7,M1051=phu!$I$8,M1051=phu!$I$9,M1051=phu!$I$10,M1051=phu!$I$11,M1051=phu!$I$12,M1051=phu!$I$13,M1051=phu!$I$14),"Cam Nghĩa",""),IF(OR(M1051=phu!$I$15,M1051=phu!$I$16,M1051=phu!$I$17,M1051=phu!$I$18,M1051=phu!$I$19,M1051=phu!$I$20,M1051=phu!$I$21),"Cam Phúc Bắc",""),IF(OR(M1051=phu!$I$22,M1051=phu!$I$23,M1051=phu!$I$24,M1051=phu!$I$25),"Cam Phúc Nam",""),IF(OR(M1051=phu!$I$26,M1051=phu!$I$27,M1051=phu!$I$28,M1051=phu!$I$29,M1051=phu!$I$30,M1051=phu!$I$31),"Cam Phú",""),IF(OR(M1051=phu!$I$32,M1051=phu!$I$33,M1051=phu!$I$34,M1051=phu!$I$35,M1051=phu!$I$36,M1051=phu!$I$37),"Cam Lộc",""),IF(OR(M1051=phu!$I$38,M1051=phu!$I$39,M1051=phu!$I$40,M1051=phu!$I$41,M1051=phu!$I$42,M1051=phu!$I$43,M1051=phu!$I$44),"Cam Thuận",""),IF(OR(M1051=phu!$I$45,M1051=phu!$I$46,M1051=phu!$I$47,M1051=phu!$I$48,M1051=phu!$I$49,M1051=phu!$I$50,M1051=phu!$I$51,M1051=phu!$I$52,M1051=phu!$I$53),"Cam Linh",""),IF(OR(M1051=phu!$I$54,M1051=phu!$I$55,M1051=phu!$I$56,M1051=phu!$I$57,M1051=phu!$I$58,M1051=phu!$I$59,M1051=phu!$I$60,M1051=phu!$I$61,M1051=phu!$I$62),"Cam Lợi",""),IF(OR(M1051=phu!$I$63,M1051=phu!$I$64,M1051=phu!$I$65,M1051=phu!$I$66,M1051=phu!$I$67,M1051=phu!$I$68,M1051=phu!$I$69,M1051=phu!$I$70,M1051=phu!$I$71),"Ba Ngòi",""),IF(OR(M1051=phu!$I$72,M1051=phu!$I$73,M1051=phu!$I$74,M1051=phu!$I$75,M1051=phu!$I$76,M1051=phu!$I$77,M1051=phu!$I$78),"Cam Phước Đông",""),IF(OR(M1051=phu!$I$79,M1051=phu!$I$80,M1051=phu!$I$81,M1051=phu!$I$82,M1051=phu!$I$83,M1051=phu!$I$84),"Cam Thịnh Đông",""),IF(OR(M1051=phu!$I$85,M1051=phu!$I$86,M1051=phu!$I$87,M1051=phu!$I$88),"Cam Thịnh Tây",""),IF(OR(M1051=phu!$I$89,M1051=phu!$I$90),"Cam Lập",""),IF(OR(M1051=phu!$I$91,M1051=phu!$I$92,M1051=phu!$I$93),"Cam Bình",""),IF(OR(M1051=phu!$I$94,M1051=phu!$I$95,M1051=phu!$I$96,M1051=phu!$I$97,M1051=phu!$I$98,M1051=phu!$I$99,M1051=phu!$I$100),"Huyện khác",""),IF(OR(M1051=phu!$I$101,M1051=phu!$I$102),"Tỉnh khác",""))</f>
        <v/>
      </c>
      <c r="O1051" s="829" t="str">
        <f t="shared" si="96"/>
        <v/>
      </c>
      <c r="P1051" s="254"/>
      <c r="Q1051" s="254"/>
      <c r="R1051" s="254"/>
      <c r="S1051" s="254"/>
      <c r="T1051" s="254"/>
      <c r="U1051" s="254"/>
      <c r="V1051" s="254"/>
      <c r="W1051" s="254"/>
      <c r="Y1051" s="246" t="str">
        <f t="shared" si="97"/>
        <v/>
      </c>
      <c r="Z1051" s="247" t="str">
        <f t="shared" si="101"/>
        <v/>
      </c>
      <c r="AA1051" s="246" t="str">
        <f t="shared" si="98"/>
        <v/>
      </c>
    </row>
    <row r="1052" spans="1:27" x14ac:dyDescent="0.25">
      <c r="A1052" s="248" t="str">
        <f t="shared" si="99"/>
        <v/>
      </c>
      <c r="B1052" s="249" t="str">
        <f t="shared" si="100"/>
        <v/>
      </c>
      <c r="C1052" s="250"/>
      <c r="D1052" s="251"/>
      <c r="E1052" s="241"/>
      <c r="F1052" s="252"/>
      <c r="G1052" s="252"/>
      <c r="H1052" s="253"/>
      <c r="I1052" s="250"/>
      <c r="J1052" s="250"/>
      <c r="K1052" s="270"/>
      <c r="L1052" s="250"/>
      <c r="M1052" s="250"/>
      <c r="N1052" s="540" t="str">
        <f>CONCATENATE(IF(OR(M1052=phu!$I$1,M1052=phu!$I$2,M1052=phu!$I$3),"Cam Thành Nam",""),IF(OR(M1052=phu!$I$4,M1052=phu!$I$5,M1052=phu!$I$6,M1052=phu!$I$7,M1052=phu!$I$8,M1052=phu!$I$9,M1052=phu!$I$10,M1052=phu!$I$11,M1052=phu!$I$12,M1052=phu!$I$13,M1052=phu!$I$14),"Cam Nghĩa",""),IF(OR(M1052=phu!$I$15,M1052=phu!$I$16,M1052=phu!$I$17,M1052=phu!$I$18,M1052=phu!$I$19,M1052=phu!$I$20,M1052=phu!$I$21),"Cam Phúc Bắc",""),IF(OR(M1052=phu!$I$22,M1052=phu!$I$23,M1052=phu!$I$24,M1052=phu!$I$25),"Cam Phúc Nam",""),IF(OR(M1052=phu!$I$26,M1052=phu!$I$27,M1052=phu!$I$28,M1052=phu!$I$29,M1052=phu!$I$30,M1052=phu!$I$31),"Cam Phú",""),IF(OR(M1052=phu!$I$32,M1052=phu!$I$33,M1052=phu!$I$34,M1052=phu!$I$35,M1052=phu!$I$36,M1052=phu!$I$37),"Cam Lộc",""),IF(OR(M1052=phu!$I$38,M1052=phu!$I$39,M1052=phu!$I$40,M1052=phu!$I$41,M1052=phu!$I$42,M1052=phu!$I$43,M1052=phu!$I$44),"Cam Thuận",""),IF(OR(M1052=phu!$I$45,M1052=phu!$I$46,M1052=phu!$I$47,M1052=phu!$I$48,M1052=phu!$I$49,M1052=phu!$I$50,M1052=phu!$I$51,M1052=phu!$I$52,M1052=phu!$I$53),"Cam Linh",""),IF(OR(M1052=phu!$I$54,M1052=phu!$I$55,M1052=phu!$I$56,M1052=phu!$I$57,M1052=phu!$I$58,M1052=phu!$I$59,M1052=phu!$I$60,M1052=phu!$I$61,M1052=phu!$I$62),"Cam Lợi",""),IF(OR(M1052=phu!$I$63,M1052=phu!$I$64,M1052=phu!$I$65,M1052=phu!$I$66,M1052=phu!$I$67,M1052=phu!$I$68,M1052=phu!$I$69,M1052=phu!$I$70,M1052=phu!$I$71),"Ba Ngòi",""),IF(OR(M1052=phu!$I$72,M1052=phu!$I$73,M1052=phu!$I$74,M1052=phu!$I$75,M1052=phu!$I$76,M1052=phu!$I$77,M1052=phu!$I$78),"Cam Phước Đông",""),IF(OR(M1052=phu!$I$79,M1052=phu!$I$80,M1052=phu!$I$81,M1052=phu!$I$82,M1052=phu!$I$83,M1052=phu!$I$84),"Cam Thịnh Đông",""),IF(OR(M1052=phu!$I$85,M1052=phu!$I$86,M1052=phu!$I$87,M1052=phu!$I$88),"Cam Thịnh Tây",""),IF(OR(M1052=phu!$I$89,M1052=phu!$I$90),"Cam Lập",""),IF(OR(M1052=phu!$I$91,M1052=phu!$I$92,M1052=phu!$I$93),"Cam Bình",""),IF(OR(M1052=phu!$I$94,M1052=phu!$I$95,M1052=phu!$I$96,M1052=phu!$I$97,M1052=phu!$I$98,M1052=phu!$I$99,M1052=phu!$I$100),"Huyện khác",""),IF(OR(M1052=phu!$I$101,M1052=phu!$I$102),"Tỉnh khác",""))</f>
        <v/>
      </c>
      <c r="O1052" s="829" t="str">
        <f t="shared" si="96"/>
        <v/>
      </c>
      <c r="P1052" s="254"/>
      <c r="Q1052" s="254"/>
      <c r="R1052" s="254"/>
      <c r="S1052" s="254"/>
      <c r="T1052" s="254"/>
      <c r="U1052" s="254"/>
      <c r="V1052" s="254"/>
      <c r="W1052" s="254"/>
      <c r="Y1052" s="246" t="str">
        <f t="shared" si="97"/>
        <v/>
      </c>
      <c r="Z1052" s="247" t="str">
        <f t="shared" si="101"/>
        <v/>
      </c>
      <c r="AA1052" s="246" t="str">
        <f t="shared" si="98"/>
        <v/>
      </c>
    </row>
    <row r="1053" spans="1:27" x14ac:dyDescent="0.25">
      <c r="A1053" s="248" t="str">
        <f t="shared" si="99"/>
        <v/>
      </c>
      <c r="B1053" s="249" t="str">
        <f t="shared" si="100"/>
        <v/>
      </c>
      <c r="C1053" s="250"/>
      <c r="D1053" s="251"/>
      <c r="E1053" s="241"/>
      <c r="F1053" s="252"/>
      <c r="G1053" s="252"/>
      <c r="H1053" s="253"/>
      <c r="I1053" s="250"/>
      <c r="J1053" s="250"/>
      <c r="K1053" s="270"/>
      <c r="L1053" s="250"/>
      <c r="M1053" s="250"/>
      <c r="N1053" s="540" t="str">
        <f>CONCATENATE(IF(OR(M1053=phu!$I$1,M1053=phu!$I$2,M1053=phu!$I$3),"Cam Thành Nam",""),IF(OR(M1053=phu!$I$4,M1053=phu!$I$5,M1053=phu!$I$6,M1053=phu!$I$7,M1053=phu!$I$8,M1053=phu!$I$9,M1053=phu!$I$10,M1053=phu!$I$11,M1053=phu!$I$12,M1053=phu!$I$13,M1053=phu!$I$14),"Cam Nghĩa",""),IF(OR(M1053=phu!$I$15,M1053=phu!$I$16,M1053=phu!$I$17,M1053=phu!$I$18,M1053=phu!$I$19,M1053=phu!$I$20,M1053=phu!$I$21),"Cam Phúc Bắc",""),IF(OR(M1053=phu!$I$22,M1053=phu!$I$23,M1053=phu!$I$24,M1053=phu!$I$25),"Cam Phúc Nam",""),IF(OR(M1053=phu!$I$26,M1053=phu!$I$27,M1053=phu!$I$28,M1053=phu!$I$29,M1053=phu!$I$30,M1053=phu!$I$31),"Cam Phú",""),IF(OR(M1053=phu!$I$32,M1053=phu!$I$33,M1053=phu!$I$34,M1053=phu!$I$35,M1053=phu!$I$36,M1053=phu!$I$37),"Cam Lộc",""),IF(OR(M1053=phu!$I$38,M1053=phu!$I$39,M1053=phu!$I$40,M1053=phu!$I$41,M1053=phu!$I$42,M1053=phu!$I$43,M1053=phu!$I$44),"Cam Thuận",""),IF(OR(M1053=phu!$I$45,M1053=phu!$I$46,M1053=phu!$I$47,M1053=phu!$I$48,M1053=phu!$I$49,M1053=phu!$I$50,M1053=phu!$I$51,M1053=phu!$I$52,M1053=phu!$I$53),"Cam Linh",""),IF(OR(M1053=phu!$I$54,M1053=phu!$I$55,M1053=phu!$I$56,M1053=phu!$I$57,M1053=phu!$I$58,M1053=phu!$I$59,M1053=phu!$I$60,M1053=phu!$I$61,M1053=phu!$I$62),"Cam Lợi",""),IF(OR(M1053=phu!$I$63,M1053=phu!$I$64,M1053=phu!$I$65,M1053=phu!$I$66,M1053=phu!$I$67,M1053=phu!$I$68,M1053=phu!$I$69,M1053=phu!$I$70,M1053=phu!$I$71),"Ba Ngòi",""),IF(OR(M1053=phu!$I$72,M1053=phu!$I$73,M1053=phu!$I$74,M1053=phu!$I$75,M1053=phu!$I$76,M1053=phu!$I$77,M1053=phu!$I$78),"Cam Phước Đông",""),IF(OR(M1053=phu!$I$79,M1053=phu!$I$80,M1053=phu!$I$81,M1053=phu!$I$82,M1053=phu!$I$83,M1053=phu!$I$84),"Cam Thịnh Đông",""),IF(OR(M1053=phu!$I$85,M1053=phu!$I$86,M1053=phu!$I$87,M1053=phu!$I$88),"Cam Thịnh Tây",""),IF(OR(M1053=phu!$I$89,M1053=phu!$I$90),"Cam Lập",""),IF(OR(M1053=phu!$I$91,M1053=phu!$I$92,M1053=phu!$I$93),"Cam Bình",""),IF(OR(M1053=phu!$I$94,M1053=phu!$I$95,M1053=phu!$I$96,M1053=phu!$I$97,M1053=phu!$I$98,M1053=phu!$I$99,M1053=phu!$I$100),"Huyện khác",""),IF(OR(M1053=phu!$I$101,M1053=phu!$I$102),"Tỉnh khác",""))</f>
        <v/>
      </c>
      <c r="O1053" s="829" t="str">
        <f t="shared" si="96"/>
        <v/>
      </c>
      <c r="P1053" s="254"/>
      <c r="Q1053" s="254"/>
      <c r="R1053" s="254"/>
      <c r="S1053" s="254"/>
      <c r="T1053" s="254"/>
      <c r="U1053" s="254"/>
      <c r="V1053" s="254"/>
      <c r="W1053" s="254"/>
      <c r="Y1053" s="246" t="str">
        <f t="shared" si="97"/>
        <v/>
      </c>
      <c r="Z1053" s="247" t="str">
        <f t="shared" si="101"/>
        <v/>
      </c>
      <c r="AA1053" s="246" t="str">
        <f t="shared" si="98"/>
        <v/>
      </c>
    </row>
    <row r="1054" spans="1:27" x14ac:dyDescent="0.25">
      <c r="A1054" s="248" t="str">
        <f t="shared" si="99"/>
        <v/>
      </c>
      <c r="B1054" s="249" t="str">
        <f t="shared" si="100"/>
        <v/>
      </c>
      <c r="C1054" s="250"/>
      <c r="D1054" s="251"/>
      <c r="E1054" s="241"/>
      <c r="F1054" s="252"/>
      <c r="G1054" s="252"/>
      <c r="H1054" s="253"/>
      <c r="I1054" s="250"/>
      <c r="J1054" s="250"/>
      <c r="K1054" s="270"/>
      <c r="L1054" s="250"/>
      <c r="M1054" s="250"/>
      <c r="N1054" s="540" t="str">
        <f>CONCATENATE(IF(OR(M1054=phu!$I$1,M1054=phu!$I$2,M1054=phu!$I$3),"Cam Thành Nam",""),IF(OR(M1054=phu!$I$4,M1054=phu!$I$5,M1054=phu!$I$6,M1054=phu!$I$7,M1054=phu!$I$8,M1054=phu!$I$9,M1054=phu!$I$10,M1054=phu!$I$11,M1054=phu!$I$12,M1054=phu!$I$13,M1054=phu!$I$14),"Cam Nghĩa",""),IF(OR(M1054=phu!$I$15,M1054=phu!$I$16,M1054=phu!$I$17,M1054=phu!$I$18,M1054=phu!$I$19,M1054=phu!$I$20,M1054=phu!$I$21),"Cam Phúc Bắc",""),IF(OR(M1054=phu!$I$22,M1054=phu!$I$23,M1054=phu!$I$24,M1054=phu!$I$25),"Cam Phúc Nam",""),IF(OR(M1054=phu!$I$26,M1054=phu!$I$27,M1054=phu!$I$28,M1054=phu!$I$29,M1054=phu!$I$30,M1054=phu!$I$31),"Cam Phú",""),IF(OR(M1054=phu!$I$32,M1054=phu!$I$33,M1054=phu!$I$34,M1054=phu!$I$35,M1054=phu!$I$36,M1054=phu!$I$37),"Cam Lộc",""),IF(OR(M1054=phu!$I$38,M1054=phu!$I$39,M1054=phu!$I$40,M1054=phu!$I$41,M1054=phu!$I$42,M1054=phu!$I$43,M1054=phu!$I$44),"Cam Thuận",""),IF(OR(M1054=phu!$I$45,M1054=phu!$I$46,M1054=phu!$I$47,M1054=phu!$I$48,M1054=phu!$I$49,M1054=phu!$I$50,M1054=phu!$I$51,M1054=phu!$I$52,M1054=phu!$I$53),"Cam Linh",""),IF(OR(M1054=phu!$I$54,M1054=phu!$I$55,M1054=phu!$I$56,M1054=phu!$I$57,M1054=phu!$I$58,M1054=phu!$I$59,M1054=phu!$I$60,M1054=phu!$I$61,M1054=phu!$I$62),"Cam Lợi",""),IF(OR(M1054=phu!$I$63,M1054=phu!$I$64,M1054=phu!$I$65,M1054=phu!$I$66,M1054=phu!$I$67,M1054=phu!$I$68,M1054=phu!$I$69,M1054=phu!$I$70,M1054=phu!$I$71),"Ba Ngòi",""),IF(OR(M1054=phu!$I$72,M1054=phu!$I$73,M1054=phu!$I$74,M1054=phu!$I$75,M1054=phu!$I$76,M1054=phu!$I$77,M1054=phu!$I$78),"Cam Phước Đông",""),IF(OR(M1054=phu!$I$79,M1054=phu!$I$80,M1054=phu!$I$81,M1054=phu!$I$82,M1054=phu!$I$83,M1054=phu!$I$84),"Cam Thịnh Đông",""),IF(OR(M1054=phu!$I$85,M1054=phu!$I$86,M1054=phu!$I$87,M1054=phu!$I$88),"Cam Thịnh Tây",""),IF(OR(M1054=phu!$I$89,M1054=phu!$I$90),"Cam Lập",""),IF(OR(M1054=phu!$I$91,M1054=phu!$I$92,M1054=phu!$I$93),"Cam Bình",""),IF(OR(M1054=phu!$I$94,M1054=phu!$I$95,M1054=phu!$I$96,M1054=phu!$I$97,M1054=phu!$I$98,M1054=phu!$I$99,M1054=phu!$I$100),"Huyện khác",""),IF(OR(M1054=phu!$I$101,M1054=phu!$I$102),"Tỉnh khác",""))</f>
        <v/>
      </c>
      <c r="O1054" s="829" t="str">
        <f t="shared" si="96"/>
        <v/>
      </c>
      <c r="P1054" s="254"/>
      <c r="Q1054" s="254"/>
      <c r="R1054" s="254"/>
      <c r="S1054" s="254"/>
      <c r="T1054" s="254"/>
      <c r="U1054" s="254"/>
      <c r="V1054" s="254"/>
      <c r="W1054" s="254"/>
      <c r="Y1054" s="246" t="str">
        <f t="shared" si="97"/>
        <v/>
      </c>
      <c r="Z1054" s="247" t="str">
        <f t="shared" si="101"/>
        <v/>
      </c>
      <c r="AA1054" s="246" t="str">
        <f t="shared" si="98"/>
        <v/>
      </c>
    </row>
    <row r="1055" spans="1:27" x14ac:dyDescent="0.25">
      <c r="A1055" s="248" t="str">
        <f t="shared" si="99"/>
        <v/>
      </c>
      <c r="B1055" s="249" t="str">
        <f t="shared" si="100"/>
        <v/>
      </c>
      <c r="C1055" s="250"/>
      <c r="D1055" s="251"/>
      <c r="E1055" s="241"/>
      <c r="F1055" s="252"/>
      <c r="G1055" s="252"/>
      <c r="H1055" s="253"/>
      <c r="I1055" s="250"/>
      <c r="J1055" s="250"/>
      <c r="K1055" s="270"/>
      <c r="L1055" s="250"/>
      <c r="M1055" s="250"/>
      <c r="N1055" s="540" t="str">
        <f>CONCATENATE(IF(OR(M1055=phu!$I$1,M1055=phu!$I$2,M1055=phu!$I$3),"Cam Thành Nam",""),IF(OR(M1055=phu!$I$4,M1055=phu!$I$5,M1055=phu!$I$6,M1055=phu!$I$7,M1055=phu!$I$8,M1055=phu!$I$9,M1055=phu!$I$10,M1055=phu!$I$11,M1055=phu!$I$12,M1055=phu!$I$13,M1055=phu!$I$14),"Cam Nghĩa",""),IF(OR(M1055=phu!$I$15,M1055=phu!$I$16,M1055=phu!$I$17,M1055=phu!$I$18,M1055=phu!$I$19,M1055=phu!$I$20,M1055=phu!$I$21),"Cam Phúc Bắc",""),IF(OR(M1055=phu!$I$22,M1055=phu!$I$23,M1055=phu!$I$24,M1055=phu!$I$25),"Cam Phúc Nam",""),IF(OR(M1055=phu!$I$26,M1055=phu!$I$27,M1055=phu!$I$28,M1055=phu!$I$29,M1055=phu!$I$30,M1055=phu!$I$31),"Cam Phú",""),IF(OR(M1055=phu!$I$32,M1055=phu!$I$33,M1055=phu!$I$34,M1055=phu!$I$35,M1055=phu!$I$36,M1055=phu!$I$37),"Cam Lộc",""),IF(OR(M1055=phu!$I$38,M1055=phu!$I$39,M1055=phu!$I$40,M1055=phu!$I$41,M1055=phu!$I$42,M1055=phu!$I$43,M1055=phu!$I$44),"Cam Thuận",""),IF(OR(M1055=phu!$I$45,M1055=phu!$I$46,M1055=phu!$I$47,M1055=phu!$I$48,M1055=phu!$I$49,M1055=phu!$I$50,M1055=phu!$I$51,M1055=phu!$I$52,M1055=phu!$I$53),"Cam Linh",""),IF(OR(M1055=phu!$I$54,M1055=phu!$I$55,M1055=phu!$I$56,M1055=phu!$I$57,M1055=phu!$I$58,M1055=phu!$I$59,M1055=phu!$I$60,M1055=phu!$I$61,M1055=phu!$I$62),"Cam Lợi",""),IF(OR(M1055=phu!$I$63,M1055=phu!$I$64,M1055=phu!$I$65,M1055=phu!$I$66,M1055=phu!$I$67,M1055=phu!$I$68,M1055=phu!$I$69,M1055=phu!$I$70,M1055=phu!$I$71),"Ba Ngòi",""),IF(OR(M1055=phu!$I$72,M1055=phu!$I$73,M1055=phu!$I$74,M1055=phu!$I$75,M1055=phu!$I$76,M1055=phu!$I$77,M1055=phu!$I$78),"Cam Phước Đông",""),IF(OR(M1055=phu!$I$79,M1055=phu!$I$80,M1055=phu!$I$81,M1055=phu!$I$82,M1055=phu!$I$83,M1055=phu!$I$84),"Cam Thịnh Đông",""),IF(OR(M1055=phu!$I$85,M1055=phu!$I$86,M1055=phu!$I$87,M1055=phu!$I$88),"Cam Thịnh Tây",""),IF(OR(M1055=phu!$I$89,M1055=phu!$I$90),"Cam Lập",""),IF(OR(M1055=phu!$I$91,M1055=phu!$I$92,M1055=phu!$I$93),"Cam Bình",""),IF(OR(M1055=phu!$I$94,M1055=phu!$I$95,M1055=phu!$I$96,M1055=phu!$I$97,M1055=phu!$I$98,M1055=phu!$I$99,M1055=phu!$I$100),"Huyện khác",""),IF(OR(M1055=phu!$I$101,M1055=phu!$I$102),"Tỉnh khác",""))</f>
        <v/>
      </c>
      <c r="O1055" s="829" t="str">
        <f t="shared" si="96"/>
        <v/>
      </c>
      <c r="P1055" s="254"/>
      <c r="Q1055" s="254"/>
      <c r="R1055" s="254"/>
      <c r="S1055" s="254"/>
      <c r="T1055" s="254"/>
      <c r="U1055" s="254"/>
      <c r="V1055" s="254"/>
      <c r="W1055" s="254"/>
      <c r="Y1055" s="246" t="str">
        <f t="shared" si="97"/>
        <v/>
      </c>
      <c r="Z1055" s="247" t="str">
        <f t="shared" si="101"/>
        <v/>
      </c>
      <c r="AA1055" s="246" t="str">
        <f t="shared" si="98"/>
        <v/>
      </c>
    </row>
    <row r="1056" spans="1:27" x14ac:dyDescent="0.25">
      <c r="A1056" s="248" t="str">
        <f t="shared" si="99"/>
        <v/>
      </c>
      <c r="B1056" s="249" t="str">
        <f t="shared" si="100"/>
        <v/>
      </c>
      <c r="C1056" s="250"/>
      <c r="D1056" s="251"/>
      <c r="E1056" s="241"/>
      <c r="F1056" s="252"/>
      <c r="G1056" s="252"/>
      <c r="H1056" s="253"/>
      <c r="I1056" s="250"/>
      <c r="J1056" s="250"/>
      <c r="K1056" s="270"/>
      <c r="L1056" s="250"/>
      <c r="M1056" s="250"/>
      <c r="N1056" s="540" t="str">
        <f>CONCATENATE(IF(OR(M1056=phu!$I$1,M1056=phu!$I$2,M1056=phu!$I$3),"Cam Thành Nam",""),IF(OR(M1056=phu!$I$4,M1056=phu!$I$5,M1056=phu!$I$6,M1056=phu!$I$7,M1056=phu!$I$8,M1056=phu!$I$9,M1056=phu!$I$10,M1056=phu!$I$11,M1056=phu!$I$12,M1056=phu!$I$13,M1056=phu!$I$14),"Cam Nghĩa",""),IF(OR(M1056=phu!$I$15,M1056=phu!$I$16,M1056=phu!$I$17,M1056=phu!$I$18,M1056=phu!$I$19,M1056=phu!$I$20,M1056=phu!$I$21),"Cam Phúc Bắc",""),IF(OR(M1056=phu!$I$22,M1056=phu!$I$23,M1056=phu!$I$24,M1056=phu!$I$25),"Cam Phúc Nam",""),IF(OR(M1056=phu!$I$26,M1056=phu!$I$27,M1056=phu!$I$28,M1056=phu!$I$29,M1056=phu!$I$30,M1056=phu!$I$31),"Cam Phú",""),IF(OR(M1056=phu!$I$32,M1056=phu!$I$33,M1056=phu!$I$34,M1056=phu!$I$35,M1056=phu!$I$36,M1056=phu!$I$37),"Cam Lộc",""),IF(OR(M1056=phu!$I$38,M1056=phu!$I$39,M1056=phu!$I$40,M1056=phu!$I$41,M1056=phu!$I$42,M1056=phu!$I$43,M1056=phu!$I$44),"Cam Thuận",""),IF(OR(M1056=phu!$I$45,M1056=phu!$I$46,M1056=phu!$I$47,M1056=phu!$I$48,M1056=phu!$I$49,M1056=phu!$I$50,M1056=phu!$I$51,M1056=phu!$I$52,M1056=phu!$I$53),"Cam Linh",""),IF(OR(M1056=phu!$I$54,M1056=phu!$I$55,M1056=phu!$I$56,M1056=phu!$I$57,M1056=phu!$I$58,M1056=phu!$I$59,M1056=phu!$I$60,M1056=phu!$I$61,M1056=phu!$I$62),"Cam Lợi",""),IF(OR(M1056=phu!$I$63,M1056=phu!$I$64,M1056=phu!$I$65,M1056=phu!$I$66,M1056=phu!$I$67,M1056=phu!$I$68,M1056=phu!$I$69,M1056=phu!$I$70,M1056=phu!$I$71),"Ba Ngòi",""),IF(OR(M1056=phu!$I$72,M1056=phu!$I$73,M1056=phu!$I$74,M1056=phu!$I$75,M1056=phu!$I$76,M1056=phu!$I$77,M1056=phu!$I$78),"Cam Phước Đông",""),IF(OR(M1056=phu!$I$79,M1056=phu!$I$80,M1056=phu!$I$81,M1056=phu!$I$82,M1056=phu!$I$83,M1056=phu!$I$84),"Cam Thịnh Đông",""),IF(OR(M1056=phu!$I$85,M1056=phu!$I$86,M1056=phu!$I$87,M1056=phu!$I$88),"Cam Thịnh Tây",""),IF(OR(M1056=phu!$I$89,M1056=phu!$I$90),"Cam Lập",""),IF(OR(M1056=phu!$I$91,M1056=phu!$I$92,M1056=phu!$I$93),"Cam Bình",""),IF(OR(M1056=phu!$I$94,M1056=phu!$I$95,M1056=phu!$I$96,M1056=phu!$I$97,M1056=phu!$I$98,M1056=phu!$I$99,M1056=phu!$I$100),"Huyện khác",""),IF(OR(M1056=phu!$I$101,M1056=phu!$I$102),"Tỉnh khác",""))</f>
        <v/>
      </c>
      <c r="O1056" s="829" t="str">
        <f t="shared" si="96"/>
        <v/>
      </c>
      <c r="P1056" s="254"/>
      <c r="Q1056" s="254"/>
      <c r="R1056" s="254"/>
      <c r="S1056" s="254"/>
      <c r="T1056" s="254"/>
      <c r="U1056" s="254"/>
      <c r="V1056" s="254"/>
      <c r="W1056" s="254"/>
      <c r="Y1056" s="246" t="str">
        <f t="shared" si="97"/>
        <v/>
      </c>
      <c r="Z1056" s="247" t="str">
        <f t="shared" si="101"/>
        <v/>
      </c>
      <c r="AA1056" s="246" t="str">
        <f t="shared" si="98"/>
        <v/>
      </c>
    </row>
    <row r="1057" spans="1:27" x14ac:dyDescent="0.25">
      <c r="A1057" s="248" t="str">
        <f t="shared" si="99"/>
        <v/>
      </c>
      <c r="B1057" s="249" t="str">
        <f t="shared" si="100"/>
        <v/>
      </c>
      <c r="C1057" s="250"/>
      <c r="D1057" s="251"/>
      <c r="E1057" s="241"/>
      <c r="F1057" s="252"/>
      <c r="G1057" s="252"/>
      <c r="H1057" s="253"/>
      <c r="I1057" s="250"/>
      <c r="J1057" s="250"/>
      <c r="K1057" s="270"/>
      <c r="L1057" s="250"/>
      <c r="M1057" s="250"/>
      <c r="N1057" s="540" t="str">
        <f>CONCATENATE(IF(OR(M1057=phu!$I$1,M1057=phu!$I$2,M1057=phu!$I$3),"Cam Thành Nam",""),IF(OR(M1057=phu!$I$4,M1057=phu!$I$5,M1057=phu!$I$6,M1057=phu!$I$7,M1057=phu!$I$8,M1057=phu!$I$9,M1057=phu!$I$10,M1057=phu!$I$11,M1057=phu!$I$12,M1057=phu!$I$13,M1057=phu!$I$14),"Cam Nghĩa",""),IF(OR(M1057=phu!$I$15,M1057=phu!$I$16,M1057=phu!$I$17,M1057=phu!$I$18,M1057=phu!$I$19,M1057=phu!$I$20,M1057=phu!$I$21),"Cam Phúc Bắc",""),IF(OR(M1057=phu!$I$22,M1057=phu!$I$23,M1057=phu!$I$24,M1057=phu!$I$25),"Cam Phúc Nam",""),IF(OR(M1057=phu!$I$26,M1057=phu!$I$27,M1057=phu!$I$28,M1057=phu!$I$29,M1057=phu!$I$30,M1057=phu!$I$31),"Cam Phú",""),IF(OR(M1057=phu!$I$32,M1057=phu!$I$33,M1057=phu!$I$34,M1057=phu!$I$35,M1057=phu!$I$36,M1057=phu!$I$37),"Cam Lộc",""),IF(OR(M1057=phu!$I$38,M1057=phu!$I$39,M1057=phu!$I$40,M1057=phu!$I$41,M1057=phu!$I$42,M1057=phu!$I$43,M1057=phu!$I$44),"Cam Thuận",""),IF(OR(M1057=phu!$I$45,M1057=phu!$I$46,M1057=phu!$I$47,M1057=phu!$I$48,M1057=phu!$I$49,M1057=phu!$I$50,M1057=phu!$I$51,M1057=phu!$I$52,M1057=phu!$I$53),"Cam Linh",""),IF(OR(M1057=phu!$I$54,M1057=phu!$I$55,M1057=phu!$I$56,M1057=phu!$I$57,M1057=phu!$I$58,M1057=phu!$I$59,M1057=phu!$I$60,M1057=phu!$I$61,M1057=phu!$I$62),"Cam Lợi",""),IF(OR(M1057=phu!$I$63,M1057=phu!$I$64,M1057=phu!$I$65,M1057=phu!$I$66,M1057=phu!$I$67,M1057=phu!$I$68,M1057=phu!$I$69,M1057=phu!$I$70,M1057=phu!$I$71),"Ba Ngòi",""),IF(OR(M1057=phu!$I$72,M1057=phu!$I$73,M1057=phu!$I$74,M1057=phu!$I$75,M1057=phu!$I$76,M1057=phu!$I$77,M1057=phu!$I$78),"Cam Phước Đông",""),IF(OR(M1057=phu!$I$79,M1057=phu!$I$80,M1057=phu!$I$81,M1057=phu!$I$82,M1057=phu!$I$83,M1057=phu!$I$84),"Cam Thịnh Đông",""),IF(OR(M1057=phu!$I$85,M1057=phu!$I$86,M1057=phu!$I$87,M1057=phu!$I$88),"Cam Thịnh Tây",""),IF(OR(M1057=phu!$I$89,M1057=phu!$I$90),"Cam Lập",""),IF(OR(M1057=phu!$I$91,M1057=phu!$I$92,M1057=phu!$I$93),"Cam Bình",""),IF(OR(M1057=phu!$I$94,M1057=phu!$I$95,M1057=phu!$I$96,M1057=phu!$I$97,M1057=phu!$I$98,M1057=phu!$I$99,M1057=phu!$I$100),"Huyện khác",""),IF(OR(M1057=phu!$I$101,M1057=phu!$I$102),"Tỉnh khác",""))</f>
        <v/>
      </c>
      <c r="O1057" s="829" t="str">
        <f t="shared" si="96"/>
        <v/>
      </c>
      <c r="P1057" s="254"/>
      <c r="Q1057" s="254"/>
      <c r="R1057" s="254"/>
      <c r="S1057" s="254"/>
      <c r="T1057" s="254"/>
      <c r="U1057" s="254"/>
      <c r="V1057" s="254"/>
      <c r="W1057" s="254"/>
      <c r="Y1057" s="246" t="str">
        <f t="shared" si="97"/>
        <v/>
      </c>
      <c r="Z1057" s="247" t="str">
        <f t="shared" si="101"/>
        <v/>
      </c>
      <c r="AA1057" s="246" t="str">
        <f t="shared" si="98"/>
        <v/>
      </c>
    </row>
    <row r="1058" spans="1:27" x14ac:dyDescent="0.25">
      <c r="A1058" s="248" t="str">
        <f t="shared" si="99"/>
        <v/>
      </c>
      <c r="B1058" s="249" t="str">
        <f t="shared" si="100"/>
        <v/>
      </c>
      <c r="C1058" s="250"/>
      <c r="D1058" s="251"/>
      <c r="E1058" s="241"/>
      <c r="F1058" s="252"/>
      <c r="G1058" s="252"/>
      <c r="H1058" s="253"/>
      <c r="I1058" s="250"/>
      <c r="J1058" s="250"/>
      <c r="K1058" s="270"/>
      <c r="L1058" s="250"/>
      <c r="M1058" s="250"/>
      <c r="N1058" s="540" t="str">
        <f>CONCATENATE(IF(OR(M1058=phu!$I$1,M1058=phu!$I$2,M1058=phu!$I$3),"Cam Thành Nam",""),IF(OR(M1058=phu!$I$4,M1058=phu!$I$5,M1058=phu!$I$6,M1058=phu!$I$7,M1058=phu!$I$8,M1058=phu!$I$9,M1058=phu!$I$10,M1058=phu!$I$11,M1058=phu!$I$12,M1058=phu!$I$13,M1058=phu!$I$14),"Cam Nghĩa",""),IF(OR(M1058=phu!$I$15,M1058=phu!$I$16,M1058=phu!$I$17,M1058=phu!$I$18,M1058=phu!$I$19,M1058=phu!$I$20,M1058=phu!$I$21),"Cam Phúc Bắc",""),IF(OR(M1058=phu!$I$22,M1058=phu!$I$23,M1058=phu!$I$24,M1058=phu!$I$25),"Cam Phúc Nam",""),IF(OR(M1058=phu!$I$26,M1058=phu!$I$27,M1058=phu!$I$28,M1058=phu!$I$29,M1058=phu!$I$30,M1058=phu!$I$31),"Cam Phú",""),IF(OR(M1058=phu!$I$32,M1058=phu!$I$33,M1058=phu!$I$34,M1058=phu!$I$35,M1058=phu!$I$36,M1058=phu!$I$37),"Cam Lộc",""),IF(OR(M1058=phu!$I$38,M1058=phu!$I$39,M1058=phu!$I$40,M1058=phu!$I$41,M1058=phu!$I$42,M1058=phu!$I$43,M1058=phu!$I$44),"Cam Thuận",""),IF(OR(M1058=phu!$I$45,M1058=phu!$I$46,M1058=phu!$I$47,M1058=phu!$I$48,M1058=phu!$I$49,M1058=phu!$I$50,M1058=phu!$I$51,M1058=phu!$I$52,M1058=phu!$I$53),"Cam Linh",""),IF(OR(M1058=phu!$I$54,M1058=phu!$I$55,M1058=phu!$I$56,M1058=phu!$I$57,M1058=phu!$I$58,M1058=phu!$I$59,M1058=phu!$I$60,M1058=phu!$I$61,M1058=phu!$I$62),"Cam Lợi",""),IF(OR(M1058=phu!$I$63,M1058=phu!$I$64,M1058=phu!$I$65,M1058=phu!$I$66,M1058=phu!$I$67,M1058=phu!$I$68,M1058=phu!$I$69,M1058=phu!$I$70,M1058=phu!$I$71),"Ba Ngòi",""),IF(OR(M1058=phu!$I$72,M1058=phu!$I$73,M1058=phu!$I$74,M1058=phu!$I$75,M1058=phu!$I$76,M1058=phu!$I$77,M1058=phu!$I$78),"Cam Phước Đông",""),IF(OR(M1058=phu!$I$79,M1058=phu!$I$80,M1058=phu!$I$81,M1058=phu!$I$82,M1058=phu!$I$83,M1058=phu!$I$84),"Cam Thịnh Đông",""),IF(OR(M1058=phu!$I$85,M1058=phu!$I$86,M1058=phu!$I$87,M1058=phu!$I$88),"Cam Thịnh Tây",""),IF(OR(M1058=phu!$I$89,M1058=phu!$I$90),"Cam Lập",""),IF(OR(M1058=phu!$I$91,M1058=phu!$I$92,M1058=phu!$I$93),"Cam Bình",""),IF(OR(M1058=phu!$I$94,M1058=phu!$I$95,M1058=phu!$I$96,M1058=phu!$I$97,M1058=phu!$I$98,M1058=phu!$I$99,M1058=phu!$I$100),"Huyện khác",""),IF(OR(M1058=phu!$I$101,M1058=phu!$I$102),"Tỉnh khác",""))</f>
        <v/>
      </c>
      <c r="O1058" s="829" t="str">
        <f t="shared" si="96"/>
        <v/>
      </c>
      <c r="P1058" s="254"/>
      <c r="Q1058" s="254"/>
      <c r="R1058" s="254"/>
      <c r="S1058" s="254"/>
      <c r="T1058" s="254"/>
      <c r="U1058" s="254"/>
      <c r="V1058" s="254"/>
      <c r="W1058" s="254"/>
      <c r="Y1058" s="246" t="str">
        <f t="shared" si="97"/>
        <v/>
      </c>
      <c r="Z1058" s="247" t="str">
        <f t="shared" si="101"/>
        <v/>
      </c>
      <c r="AA1058" s="246" t="str">
        <f t="shared" si="98"/>
        <v/>
      </c>
    </row>
    <row r="1059" spans="1:27" x14ac:dyDescent="0.25">
      <c r="A1059" s="248" t="str">
        <f t="shared" si="99"/>
        <v/>
      </c>
      <c r="B1059" s="249" t="str">
        <f t="shared" si="100"/>
        <v/>
      </c>
      <c r="C1059" s="250"/>
      <c r="D1059" s="251"/>
      <c r="E1059" s="241"/>
      <c r="F1059" s="252"/>
      <c r="G1059" s="252"/>
      <c r="H1059" s="253"/>
      <c r="I1059" s="250"/>
      <c r="J1059" s="250"/>
      <c r="K1059" s="270"/>
      <c r="L1059" s="250"/>
      <c r="M1059" s="250"/>
      <c r="N1059" s="540" t="str">
        <f>CONCATENATE(IF(OR(M1059=phu!$I$1,M1059=phu!$I$2,M1059=phu!$I$3),"Cam Thành Nam",""),IF(OR(M1059=phu!$I$4,M1059=phu!$I$5,M1059=phu!$I$6,M1059=phu!$I$7,M1059=phu!$I$8,M1059=phu!$I$9,M1059=phu!$I$10,M1059=phu!$I$11,M1059=phu!$I$12,M1059=phu!$I$13,M1059=phu!$I$14),"Cam Nghĩa",""),IF(OR(M1059=phu!$I$15,M1059=phu!$I$16,M1059=phu!$I$17,M1059=phu!$I$18,M1059=phu!$I$19,M1059=phu!$I$20,M1059=phu!$I$21),"Cam Phúc Bắc",""),IF(OR(M1059=phu!$I$22,M1059=phu!$I$23,M1059=phu!$I$24,M1059=phu!$I$25),"Cam Phúc Nam",""),IF(OR(M1059=phu!$I$26,M1059=phu!$I$27,M1059=phu!$I$28,M1059=phu!$I$29,M1059=phu!$I$30,M1059=phu!$I$31),"Cam Phú",""),IF(OR(M1059=phu!$I$32,M1059=phu!$I$33,M1059=phu!$I$34,M1059=phu!$I$35,M1059=phu!$I$36,M1059=phu!$I$37),"Cam Lộc",""),IF(OR(M1059=phu!$I$38,M1059=phu!$I$39,M1059=phu!$I$40,M1059=phu!$I$41,M1059=phu!$I$42,M1059=phu!$I$43,M1059=phu!$I$44),"Cam Thuận",""),IF(OR(M1059=phu!$I$45,M1059=phu!$I$46,M1059=phu!$I$47,M1059=phu!$I$48,M1059=phu!$I$49,M1059=phu!$I$50,M1059=phu!$I$51,M1059=phu!$I$52,M1059=phu!$I$53),"Cam Linh",""),IF(OR(M1059=phu!$I$54,M1059=phu!$I$55,M1059=phu!$I$56,M1059=phu!$I$57,M1059=phu!$I$58,M1059=phu!$I$59,M1059=phu!$I$60,M1059=phu!$I$61,M1059=phu!$I$62),"Cam Lợi",""),IF(OR(M1059=phu!$I$63,M1059=phu!$I$64,M1059=phu!$I$65,M1059=phu!$I$66,M1059=phu!$I$67,M1059=phu!$I$68,M1059=phu!$I$69,M1059=phu!$I$70,M1059=phu!$I$71),"Ba Ngòi",""),IF(OR(M1059=phu!$I$72,M1059=phu!$I$73,M1059=phu!$I$74,M1059=phu!$I$75,M1059=phu!$I$76,M1059=phu!$I$77,M1059=phu!$I$78),"Cam Phước Đông",""),IF(OR(M1059=phu!$I$79,M1059=phu!$I$80,M1059=phu!$I$81,M1059=phu!$I$82,M1059=phu!$I$83,M1059=phu!$I$84),"Cam Thịnh Đông",""),IF(OR(M1059=phu!$I$85,M1059=phu!$I$86,M1059=phu!$I$87,M1059=phu!$I$88),"Cam Thịnh Tây",""),IF(OR(M1059=phu!$I$89,M1059=phu!$I$90),"Cam Lập",""),IF(OR(M1059=phu!$I$91,M1059=phu!$I$92,M1059=phu!$I$93),"Cam Bình",""),IF(OR(M1059=phu!$I$94,M1059=phu!$I$95,M1059=phu!$I$96,M1059=phu!$I$97,M1059=phu!$I$98,M1059=phu!$I$99,M1059=phu!$I$100),"Huyện khác",""),IF(OR(M1059=phu!$I$101,M1059=phu!$I$102),"Tỉnh khác",""))</f>
        <v/>
      </c>
      <c r="O1059" s="829" t="str">
        <f t="shared" si="96"/>
        <v/>
      </c>
      <c r="P1059" s="254"/>
      <c r="Q1059" s="254"/>
      <c r="R1059" s="254"/>
      <c r="S1059" s="254"/>
      <c r="T1059" s="254"/>
      <c r="U1059" s="254"/>
      <c r="V1059" s="254"/>
      <c r="W1059" s="254"/>
      <c r="Y1059" s="246" t="str">
        <f t="shared" si="97"/>
        <v/>
      </c>
      <c r="Z1059" s="247" t="str">
        <f t="shared" si="101"/>
        <v/>
      </c>
      <c r="AA1059" s="246" t="str">
        <f t="shared" si="98"/>
        <v/>
      </c>
    </row>
    <row r="1060" spans="1:27" x14ac:dyDescent="0.25">
      <c r="A1060" s="248" t="str">
        <f t="shared" si="99"/>
        <v/>
      </c>
      <c r="B1060" s="249" t="str">
        <f t="shared" si="100"/>
        <v/>
      </c>
      <c r="C1060" s="250"/>
      <c r="D1060" s="251"/>
      <c r="E1060" s="241"/>
      <c r="F1060" s="252"/>
      <c r="G1060" s="252"/>
      <c r="H1060" s="253"/>
      <c r="I1060" s="250"/>
      <c r="J1060" s="250"/>
      <c r="K1060" s="270"/>
      <c r="L1060" s="250"/>
      <c r="M1060" s="250"/>
      <c r="N1060" s="540" t="str">
        <f>CONCATENATE(IF(OR(M1060=phu!$I$1,M1060=phu!$I$2,M1060=phu!$I$3),"Cam Thành Nam",""),IF(OR(M1060=phu!$I$4,M1060=phu!$I$5,M1060=phu!$I$6,M1060=phu!$I$7,M1060=phu!$I$8,M1060=phu!$I$9,M1060=phu!$I$10,M1060=phu!$I$11,M1060=phu!$I$12,M1060=phu!$I$13,M1060=phu!$I$14),"Cam Nghĩa",""),IF(OR(M1060=phu!$I$15,M1060=phu!$I$16,M1060=phu!$I$17,M1060=phu!$I$18,M1060=phu!$I$19,M1060=phu!$I$20,M1060=phu!$I$21),"Cam Phúc Bắc",""),IF(OR(M1060=phu!$I$22,M1060=phu!$I$23,M1060=phu!$I$24,M1060=phu!$I$25),"Cam Phúc Nam",""),IF(OR(M1060=phu!$I$26,M1060=phu!$I$27,M1060=phu!$I$28,M1060=phu!$I$29,M1060=phu!$I$30,M1060=phu!$I$31),"Cam Phú",""),IF(OR(M1060=phu!$I$32,M1060=phu!$I$33,M1060=phu!$I$34,M1060=phu!$I$35,M1060=phu!$I$36,M1060=phu!$I$37),"Cam Lộc",""),IF(OR(M1060=phu!$I$38,M1060=phu!$I$39,M1060=phu!$I$40,M1060=phu!$I$41,M1060=phu!$I$42,M1060=phu!$I$43,M1060=phu!$I$44),"Cam Thuận",""),IF(OR(M1060=phu!$I$45,M1060=phu!$I$46,M1060=phu!$I$47,M1060=phu!$I$48,M1060=phu!$I$49,M1060=phu!$I$50,M1060=phu!$I$51,M1060=phu!$I$52,M1060=phu!$I$53),"Cam Linh",""),IF(OR(M1060=phu!$I$54,M1060=phu!$I$55,M1060=phu!$I$56,M1060=phu!$I$57,M1060=phu!$I$58,M1060=phu!$I$59,M1060=phu!$I$60,M1060=phu!$I$61,M1060=phu!$I$62),"Cam Lợi",""),IF(OR(M1060=phu!$I$63,M1060=phu!$I$64,M1060=phu!$I$65,M1060=phu!$I$66,M1060=phu!$I$67,M1060=phu!$I$68,M1060=phu!$I$69,M1060=phu!$I$70,M1060=phu!$I$71),"Ba Ngòi",""),IF(OR(M1060=phu!$I$72,M1060=phu!$I$73,M1060=phu!$I$74,M1060=phu!$I$75,M1060=phu!$I$76,M1060=phu!$I$77,M1060=phu!$I$78),"Cam Phước Đông",""),IF(OR(M1060=phu!$I$79,M1060=phu!$I$80,M1060=phu!$I$81,M1060=phu!$I$82,M1060=phu!$I$83,M1060=phu!$I$84),"Cam Thịnh Đông",""),IF(OR(M1060=phu!$I$85,M1060=phu!$I$86,M1060=phu!$I$87,M1060=phu!$I$88),"Cam Thịnh Tây",""),IF(OR(M1060=phu!$I$89,M1060=phu!$I$90),"Cam Lập",""),IF(OR(M1060=phu!$I$91,M1060=phu!$I$92,M1060=phu!$I$93),"Cam Bình",""),IF(OR(M1060=phu!$I$94,M1060=phu!$I$95,M1060=phu!$I$96,M1060=phu!$I$97,M1060=phu!$I$98,M1060=phu!$I$99,M1060=phu!$I$100),"Huyện khác",""),IF(OR(M1060=phu!$I$101,M1060=phu!$I$102),"Tỉnh khác",""))</f>
        <v/>
      </c>
      <c r="O1060" s="829" t="str">
        <f t="shared" si="96"/>
        <v/>
      </c>
      <c r="P1060" s="254"/>
      <c r="Q1060" s="254"/>
      <c r="R1060" s="254"/>
      <c r="S1060" s="254"/>
      <c r="T1060" s="254"/>
      <c r="U1060" s="254"/>
      <c r="V1060" s="254"/>
      <c r="W1060" s="254"/>
      <c r="Y1060" s="246" t="str">
        <f t="shared" si="97"/>
        <v/>
      </c>
      <c r="Z1060" s="247" t="str">
        <f t="shared" si="101"/>
        <v/>
      </c>
      <c r="AA1060" s="246" t="str">
        <f t="shared" si="98"/>
        <v/>
      </c>
    </row>
    <row r="1061" spans="1:27" x14ac:dyDescent="0.25">
      <c r="A1061" s="248" t="str">
        <f t="shared" si="99"/>
        <v/>
      </c>
      <c r="B1061" s="249" t="str">
        <f t="shared" si="100"/>
        <v/>
      </c>
      <c r="C1061" s="250"/>
      <c r="D1061" s="251"/>
      <c r="E1061" s="241"/>
      <c r="F1061" s="252"/>
      <c r="G1061" s="252"/>
      <c r="H1061" s="253"/>
      <c r="I1061" s="250"/>
      <c r="J1061" s="250"/>
      <c r="K1061" s="270"/>
      <c r="L1061" s="250"/>
      <c r="M1061" s="250"/>
      <c r="N1061" s="540" t="str">
        <f>CONCATENATE(IF(OR(M1061=phu!$I$1,M1061=phu!$I$2,M1061=phu!$I$3),"Cam Thành Nam",""),IF(OR(M1061=phu!$I$4,M1061=phu!$I$5,M1061=phu!$I$6,M1061=phu!$I$7,M1061=phu!$I$8,M1061=phu!$I$9,M1061=phu!$I$10,M1061=phu!$I$11,M1061=phu!$I$12,M1061=phu!$I$13,M1061=phu!$I$14),"Cam Nghĩa",""),IF(OR(M1061=phu!$I$15,M1061=phu!$I$16,M1061=phu!$I$17,M1061=phu!$I$18,M1061=phu!$I$19,M1061=phu!$I$20,M1061=phu!$I$21),"Cam Phúc Bắc",""),IF(OR(M1061=phu!$I$22,M1061=phu!$I$23,M1061=phu!$I$24,M1061=phu!$I$25),"Cam Phúc Nam",""),IF(OR(M1061=phu!$I$26,M1061=phu!$I$27,M1061=phu!$I$28,M1061=phu!$I$29,M1061=phu!$I$30,M1061=phu!$I$31),"Cam Phú",""),IF(OR(M1061=phu!$I$32,M1061=phu!$I$33,M1061=phu!$I$34,M1061=phu!$I$35,M1061=phu!$I$36,M1061=phu!$I$37),"Cam Lộc",""),IF(OR(M1061=phu!$I$38,M1061=phu!$I$39,M1061=phu!$I$40,M1061=phu!$I$41,M1061=phu!$I$42,M1061=phu!$I$43,M1061=phu!$I$44),"Cam Thuận",""),IF(OR(M1061=phu!$I$45,M1061=phu!$I$46,M1061=phu!$I$47,M1061=phu!$I$48,M1061=phu!$I$49,M1061=phu!$I$50,M1061=phu!$I$51,M1061=phu!$I$52,M1061=phu!$I$53),"Cam Linh",""),IF(OR(M1061=phu!$I$54,M1061=phu!$I$55,M1061=phu!$I$56,M1061=phu!$I$57,M1061=phu!$I$58,M1061=phu!$I$59,M1061=phu!$I$60,M1061=phu!$I$61,M1061=phu!$I$62),"Cam Lợi",""),IF(OR(M1061=phu!$I$63,M1061=phu!$I$64,M1061=phu!$I$65,M1061=phu!$I$66,M1061=phu!$I$67,M1061=phu!$I$68,M1061=phu!$I$69,M1061=phu!$I$70,M1061=phu!$I$71),"Ba Ngòi",""),IF(OR(M1061=phu!$I$72,M1061=phu!$I$73,M1061=phu!$I$74,M1061=phu!$I$75,M1061=phu!$I$76,M1061=phu!$I$77,M1061=phu!$I$78),"Cam Phước Đông",""),IF(OR(M1061=phu!$I$79,M1061=phu!$I$80,M1061=phu!$I$81,M1061=phu!$I$82,M1061=phu!$I$83,M1061=phu!$I$84),"Cam Thịnh Đông",""),IF(OR(M1061=phu!$I$85,M1061=phu!$I$86,M1061=phu!$I$87,M1061=phu!$I$88),"Cam Thịnh Tây",""),IF(OR(M1061=phu!$I$89,M1061=phu!$I$90),"Cam Lập",""),IF(OR(M1061=phu!$I$91,M1061=phu!$I$92,M1061=phu!$I$93),"Cam Bình",""),IF(OR(M1061=phu!$I$94,M1061=phu!$I$95,M1061=phu!$I$96,M1061=phu!$I$97,M1061=phu!$I$98,M1061=phu!$I$99,M1061=phu!$I$100),"Huyện khác",""),IF(OR(M1061=phu!$I$101,M1061=phu!$I$102),"Tỉnh khác",""))</f>
        <v/>
      </c>
      <c r="O1061" s="829" t="str">
        <f t="shared" si="96"/>
        <v/>
      </c>
      <c r="P1061" s="254"/>
      <c r="Q1061" s="254"/>
      <c r="R1061" s="254"/>
      <c r="S1061" s="254"/>
      <c r="T1061" s="254"/>
      <c r="U1061" s="254"/>
      <c r="V1061" s="254"/>
      <c r="W1061" s="254"/>
      <c r="Y1061" s="246" t="str">
        <f t="shared" si="97"/>
        <v/>
      </c>
      <c r="Z1061" s="247" t="str">
        <f t="shared" si="101"/>
        <v/>
      </c>
      <c r="AA1061" s="246" t="str">
        <f t="shared" si="98"/>
        <v/>
      </c>
    </row>
    <row r="1062" spans="1:27" x14ac:dyDescent="0.25">
      <c r="A1062" s="248" t="str">
        <f t="shared" si="99"/>
        <v/>
      </c>
      <c r="B1062" s="249" t="str">
        <f t="shared" si="100"/>
        <v/>
      </c>
      <c r="C1062" s="250"/>
      <c r="D1062" s="251"/>
      <c r="E1062" s="241"/>
      <c r="F1062" s="252"/>
      <c r="G1062" s="252"/>
      <c r="H1062" s="253"/>
      <c r="I1062" s="250"/>
      <c r="J1062" s="250"/>
      <c r="K1062" s="270"/>
      <c r="L1062" s="250"/>
      <c r="M1062" s="250"/>
      <c r="N1062" s="540" t="str">
        <f>CONCATENATE(IF(OR(M1062=phu!$I$1,M1062=phu!$I$2,M1062=phu!$I$3),"Cam Thành Nam",""),IF(OR(M1062=phu!$I$4,M1062=phu!$I$5,M1062=phu!$I$6,M1062=phu!$I$7,M1062=phu!$I$8,M1062=phu!$I$9,M1062=phu!$I$10,M1062=phu!$I$11,M1062=phu!$I$12,M1062=phu!$I$13,M1062=phu!$I$14),"Cam Nghĩa",""),IF(OR(M1062=phu!$I$15,M1062=phu!$I$16,M1062=phu!$I$17,M1062=phu!$I$18,M1062=phu!$I$19,M1062=phu!$I$20,M1062=phu!$I$21),"Cam Phúc Bắc",""),IF(OR(M1062=phu!$I$22,M1062=phu!$I$23,M1062=phu!$I$24,M1062=phu!$I$25),"Cam Phúc Nam",""),IF(OR(M1062=phu!$I$26,M1062=phu!$I$27,M1062=phu!$I$28,M1062=phu!$I$29,M1062=phu!$I$30,M1062=phu!$I$31),"Cam Phú",""),IF(OR(M1062=phu!$I$32,M1062=phu!$I$33,M1062=phu!$I$34,M1062=phu!$I$35,M1062=phu!$I$36,M1062=phu!$I$37),"Cam Lộc",""),IF(OR(M1062=phu!$I$38,M1062=phu!$I$39,M1062=phu!$I$40,M1062=phu!$I$41,M1062=phu!$I$42,M1062=phu!$I$43,M1062=phu!$I$44),"Cam Thuận",""),IF(OR(M1062=phu!$I$45,M1062=phu!$I$46,M1062=phu!$I$47,M1062=phu!$I$48,M1062=phu!$I$49,M1062=phu!$I$50,M1062=phu!$I$51,M1062=phu!$I$52,M1062=phu!$I$53),"Cam Linh",""),IF(OR(M1062=phu!$I$54,M1062=phu!$I$55,M1062=phu!$I$56,M1062=phu!$I$57,M1062=phu!$I$58,M1062=phu!$I$59,M1062=phu!$I$60,M1062=phu!$I$61,M1062=phu!$I$62),"Cam Lợi",""),IF(OR(M1062=phu!$I$63,M1062=phu!$I$64,M1062=phu!$I$65,M1062=phu!$I$66,M1062=phu!$I$67,M1062=phu!$I$68,M1062=phu!$I$69,M1062=phu!$I$70,M1062=phu!$I$71),"Ba Ngòi",""),IF(OR(M1062=phu!$I$72,M1062=phu!$I$73,M1062=phu!$I$74,M1062=phu!$I$75,M1062=phu!$I$76,M1062=phu!$I$77,M1062=phu!$I$78),"Cam Phước Đông",""),IF(OR(M1062=phu!$I$79,M1062=phu!$I$80,M1062=phu!$I$81,M1062=phu!$I$82,M1062=phu!$I$83,M1062=phu!$I$84),"Cam Thịnh Đông",""),IF(OR(M1062=phu!$I$85,M1062=phu!$I$86,M1062=phu!$I$87,M1062=phu!$I$88),"Cam Thịnh Tây",""),IF(OR(M1062=phu!$I$89,M1062=phu!$I$90),"Cam Lập",""),IF(OR(M1062=phu!$I$91,M1062=phu!$I$92,M1062=phu!$I$93),"Cam Bình",""),IF(OR(M1062=phu!$I$94,M1062=phu!$I$95,M1062=phu!$I$96,M1062=phu!$I$97,M1062=phu!$I$98,M1062=phu!$I$99,M1062=phu!$I$100),"Huyện khác",""),IF(OR(M1062=phu!$I$101,M1062=phu!$I$102),"Tỉnh khác",""))</f>
        <v/>
      </c>
      <c r="O1062" s="829" t="str">
        <f t="shared" si="96"/>
        <v/>
      </c>
      <c r="P1062" s="254"/>
      <c r="Q1062" s="254"/>
      <c r="R1062" s="254"/>
      <c r="S1062" s="254"/>
      <c r="T1062" s="254"/>
      <c r="U1062" s="254"/>
      <c r="V1062" s="254"/>
      <c r="W1062" s="254"/>
      <c r="Y1062" s="246" t="str">
        <f t="shared" si="97"/>
        <v/>
      </c>
      <c r="Z1062" s="247" t="str">
        <f t="shared" si="101"/>
        <v/>
      </c>
      <c r="AA1062" s="246" t="str">
        <f t="shared" si="98"/>
        <v/>
      </c>
    </row>
    <row r="1063" spans="1:27" x14ac:dyDescent="0.25">
      <c r="A1063" s="248" t="str">
        <f t="shared" si="99"/>
        <v/>
      </c>
      <c r="B1063" s="249" t="str">
        <f t="shared" si="100"/>
        <v/>
      </c>
      <c r="C1063" s="250"/>
      <c r="D1063" s="251"/>
      <c r="E1063" s="241"/>
      <c r="F1063" s="252"/>
      <c r="G1063" s="252"/>
      <c r="H1063" s="253"/>
      <c r="I1063" s="250"/>
      <c r="J1063" s="250"/>
      <c r="K1063" s="270"/>
      <c r="L1063" s="250"/>
      <c r="M1063" s="250"/>
      <c r="N1063" s="540" t="str">
        <f>CONCATENATE(IF(OR(M1063=phu!$I$1,M1063=phu!$I$2,M1063=phu!$I$3),"Cam Thành Nam",""),IF(OR(M1063=phu!$I$4,M1063=phu!$I$5,M1063=phu!$I$6,M1063=phu!$I$7,M1063=phu!$I$8,M1063=phu!$I$9,M1063=phu!$I$10,M1063=phu!$I$11,M1063=phu!$I$12,M1063=phu!$I$13,M1063=phu!$I$14),"Cam Nghĩa",""),IF(OR(M1063=phu!$I$15,M1063=phu!$I$16,M1063=phu!$I$17,M1063=phu!$I$18,M1063=phu!$I$19,M1063=phu!$I$20,M1063=phu!$I$21),"Cam Phúc Bắc",""),IF(OR(M1063=phu!$I$22,M1063=phu!$I$23,M1063=phu!$I$24,M1063=phu!$I$25),"Cam Phúc Nam",""),IF(OR(M1063=phu!$I$26,M1063=phu!$I$27,M1063=phu!$I$28,M1063=phu!$I$29,M1063=phu!$I$30,M1063=phu!$I$31),"Cam Phú",""),IF(OR(M1063=phu!$I$32,M1063=phu!$I$33,M1063=phu!$I$34,M1063=phu!$I$35,M1063=phu!$I$36,M1063=phu!$I$37),"Cam Lộc",""),IF(OR(M1063=phu!$I$38,M1063=phu!$I$39,M1063=phu!$I$40,M1063=phu!$I$41,M1063=phu!$I$42,M1063=phu!$I$43,M1063=phu!$I$44),"Cam Thuận",""),IF(OR(M1063=phu!$I$45,M1063=phu!$I$46,M1063=phu!$I$47,M1063=phu!$I$48,M1063=phu!$I$49,M1063=phu!$I$50,M1063=phu!$I$51,M1063=phu!$I$52,M1063=phu!$I$53),"Cam Linh",""),IF(OR(M1063=phu!$I$54,M1063=phu!$I$55,M1063=phu!$I$56,M1063=phu!$I$57,M1063=phu!$I$58,M1063=phu!$I$59,M1063=phu!$I$60,M1063=phu!$I$61,M1063=phu!$I$62),"Cam Lợi",""),IF(OR(M1063=phu!$I$63,M1063=phu!$I$64,M1063=phu!$I$65,M1063=phu!$I$66,M1063=phu!$I$67,M1063=phu!$I$68,M1063=phu!$I$69,M1063=phu!$I$70,M1063=phu!$I$71),"Ba Ngòi",""),IF(OR(M1063=phu!$I$72,M1063=phu!$I$73,M1063=phu!$I$74,M1063=phu!$I$75,M1063=phu!$I$76,M1063=phu!$I$77,M1063=phu!$I$78),"Cam Phước Đông",""),IF(OR(M1063=phu!$I$79,M1063=phu!$I$80,M1063=phu!$I$81,M1063=phu!$I$82,M1063=phu!$I$83,M1063=phu!$I$84),"Cam Thịnh Đông",""),IF(OR(M1063=phu!$I$85,M1063=phu!$I$86,M1063=phu!$I$87,M1063=phu!$I$88),"Cam Thịnh Tây",""),IF(OR(M1063=phu!$I$89,M1063=phu!$I$90),"Cam Lập",""),IF(OR(M1063=phu!$I$91,M1063=phu!$I$92,M1063=phu!$I$93),"Cam Bình",""),IF(OR(M1063=phu!$I$94,M1063=phu!$I$95,M1063=phu!$I$96,M1063=phu!$I$97,M1063=phu!$I$98,M1063=phu!$I$99,M1063=phu!$I$100),"Huyện khác",""),IF(OR(M1063=phu!$I$101,M1063=phu!$I$102),"Tỉnh khác",""))</f>
        <v/>
      </c>
      <c r="O1063" s="829" t="str">
        <f t="shared" si="96"/>
        <v/>
      </c>
      <c r="P1063" s="254"/>
      <c r="Q1063" s="254"/>
      <c r="R1063" s="254"/>
      <c r="S1063" s="254"/>
      <c r="T1063" s="254"/>
      <c r="U1063" s="254"/>
      <c r="V1063" s="254"/>
      <c r="W1063" s="254"/>
      <c r="Y1063" s="246" t="str">
        <f t="shared" si="97"/>
        <v/>
      </c>
      <c r="Z1063" s="247" t="str">
        <f t="shared" si="101"/>
        <v/>
      </c>
      <c r="AA1063" s="246" t="str">
        <f t="shared" si="98"/>
        <v/>
      </c>
    </row>
    <row r="1064" spans="1:27" x14ac:dyDescent="0.25">
      <c r="A1064" s="248" t="str">
        <f t="shared" si="99"/>
        <v/>
      </c>
      <c r="B1064" s="249" t="str">
        <f t="shared" si="100"/>
        <v/>
      </c>
      <c r="C1064" s="250"/>
      <c r="D1064" s="251"/>
      <c r="E1064" s="241"/>
      <c r="F1064" s="252"/>
      <c r="G1064" s="252"/>
      <c r="H1064" s="253"/>
      <c r="I1064" s="250"/>
      <c r="J1064" s="250"/>
      <c r="K1064" s="270"/>
      <c r="L1064" s="250"/>
      <c r="M1064" s="250"/>
      <c r="N1064" s="540" t="str">
        <f>CONCATENATE(IF(OR(M1064=phu!$I$1,M1064=phu!$I$2,M1064=phu!$I$3),"Cam Thành Nam",""),IF(OR(M1064=phu!$I$4,M1064=phu!$I$5,M1064=phu!$I$6,M1064=phu!$I$7,M1064=phu!$I$8,M1064=phu!$I$9,M1064=phu!$I$10,M1064=phu!$I$11,M1064=phu!$I$12,M1064=phu!$I$13,M1064=phu!$I$14),"Cam Nghĩa",""),IF(OR(M1064=phu!$I$15,M1064=phu!$I$16,M1064=phu!$I$17,M1064=phu!$I$18,M1064=phu!$I$19,M1064=phu!$I$20,M1064=phu!$I$21),"Cam Phúc Bắc",""),IF(OR(M1064=phu!$I$22,M1064=phu!$I$23,M1064=phu!$I$24,M1064=phu!$I$25),"Cam Phúc Nam",""),IF(OR(M1064=phu!$I$26,M1064=phu!$I$27,M1064=phu!$I$28,M1064=phu!$I$29,M1064=phu!$I$30,M1064=phu!$I$31),"Cam Phú",""),IF(OR(M1064=phu!$I$32,M1064=phu!$I$33,M1064=phu!$I$34,M1064=phu!$I$35,M1064=phu!$I$36,M1064=phu!$I$37),"Cam Lộc",""),IF(OR(M1064=phu!$I$38,M1064=phu!$I$39,M1064=phu!$I$40,M1064=phu!$I$41,M1064=phu!$I$42,M1064=phu!$I$43,M1064=phu!$I$44),"Cam Thuận",""),IF(OR(M1064=phu!$I$45,M1064=phu!$I$46,M1064=phu!$I$47,M1064=phu!$I$48,M1064=phu!$I$49,M1064=phu!$I$50,M1064=phu!$I$51,M1064=phu!$I$52,M1064=phu!$I$53),"Cam Linh",""),IF(OR(M1064=phu!$I$54,M1064=phu!$I$55,M1064=phu!$I$56,M1064=phu!$I$57,M1064=phu!$I$58,M1064=phu!$I$59,M1064=phu!$I$60,M1064=phu!$I$61,M1064=phu!$I$62),"Cam Lợi",""),IF(OR(M1064=phu!$I$63,M1064=phu!$I$64,M1064=phu!$I$65,M1064=phu!$I$66,M1064=phu!$I$67,M1064=phu!$I$68,M1064=phu!$I$69,M1064=phu!$I$70,M1064=phu!$I$71),"Ba Ngòi",""),IF(OR(M1064=phu!$I$72,M1064=phu!$I$73,M1064=phu!$I$74,M1064=phu!$I$75,M1064=phu!$I$76,M1064=phu!$I$77,M1064=phu!$I$78),"Cam Phước Đông",""),IF(OR(M1064=phu!$I$79,M1064=phu!$I$80,M1064=phu!$I$81,M1064=phu!$I$82,M1064=phu!$I$83,M1064=phu!$I$84),"Cam Thịnh Đông",""),IF(OR(M1064=phu!$I$85,M1064=phu!$I$86,M1064=phu!$I$87,M1064=phu!$I$88),"Cam Thịnh Tây",""),IF(OR(M1064=phu!$I$89,M1064=phu!$I$90),"Cam Lập",""),IF(OR(M1064=phu!$I$91,M1064=phu!$I$92,M1064=phu!$I$93),"Cam Bình",""),IF(OR(M1064=phu!$I$94,M1064=phu!$I$95,M1064=phu!$I$96,M1064=phu!$I$97,M1064=phu!$I$98,M1064=phu!$I$99,M1064=phu!$I$100),"Huyện khác",""),IF(OR(M1064=phu!$I$101,M1064=phu!$I$102),"Tỉnh khác",""))</f>
        <v/>
      </c>
      <c r="O1064" s="829" t="str">
        <f t="shared" si="96"/>
        <v/>
      </c>
      <c r="P1064" s="254"/>
      <c r="Q1064" s="254"/>
      <c r="R1064" s="254"/>
      <c r="S1064" s="254"/>
      <c r="T1064" s="254"/>
      <c r="U1064" s="254"/>
      <c r="V1064" s="254"/>
      <c r="W1064" s="254"/>
      <c r="Y1064" s="246" t="str">
        <f t="shared" si="97"/>
        <v/>
      </c>
      <c r="Z1064" s="247" t="str">
        <f t="shared" si="101"/>
        <v/>
      </c>
      <c r="AA1064" s="246" t="str">
        <f t="shared" si="98"/>
        <v/>
      </c>
    </row>
    <row r="1065" spans="1:27" x14ac:dyDescent="0.25">
      <c r="A1065" s="248" t="str">
        <f t="shared" si="99"/>
        <v/>
      </c>
      <c r="B1065" s="249" t="str">
        <f t="shared" si="100"/>
        <v/>
      </c>
      <c r="C1065" s="250"/>
      <c r="D1065" s="251"/>
      <c r="E1065" s="241"/>
      <c r="F1065" s="252"/>
      <c r="G1065" s="252"/>
      <c r="H1065" s="253"/>
      <c r="I1065" s="250"/>
      <c r="J1065" s="250"/>
      <c r="K1065" s="270"/>
      <c r="L1065" s="250"/>
      <c r="M1065" s="250"/>
      <c r="N1065" s="540" t="str">
        <f>CONCATENATE(IF(OR(M1065=phu!$I$1,M1065=phu!$I$2,M1065=phu!$I$3),"Cam Thành Nam",""),IF(OR(M1065=phu!$I$4,M1065=phu!$I$5,M1065=phu!$I$6,M1065=phu!$I$7,M1065=phu!$I$8,M1065=phu!$I$9,M1065=phu!$I$10,M1065=phu!$I$11,M1065=phu!$I$12,M1065=phu!$I$13,M1065=phu!$I$14),"Cam Nghĩa",""),IF(OR(M1065=phu!$I$15,M1065=phu!$I$16,M1065=phu!$I$17,M1065=phu!$I$18,M1065=phu!$I$19,M1065=phu!$I$20,M1065=phu!$I$21),"Cam Phúc Bắc",""),IF(OR(M1065=phu!$I$22,M1065=phu!$I$23,M1065=phu!$I$24,M1065=phu!$I$25),"Cam Phúc Nam",""),IF(OR(M1065=phu!$I$26,M1065=phu!$I$27,M1065=phu!$I$28,M1065=phu!$I$29,M1065=phu!$I$30,M1065=phu!$I$31),"Cam Phú",""),IF(OR(M1065=phu!$I$32,M1065=phu!$I$33,M1065=phu!$I$34,M1065=phu!$I$35,M1065=phu!$I$36,M1065=phu!$I$37),"Cam Lộc",""),IF(OR(M1065=phu!$I$38,M1065=phu!$I$39,M1065=phu!$I$40,M1065=phu!$I$41,M1065=phu!$I$42,M1065=phu!$I$43,M1065=phu!$I$44),"Cam Thuận",""),IF(OR(M1065=phu!$I$45,M1065=phu!$I$46,M1065=phu!$I$47,M1065=phu!$I$48,M1065=phu!$I$49,M1065=phu!$I$50,M1065=phu!$I$51,M1065=phu!$I$52,M1065=phu!$I$53),"Cam Linh",""),IF(OR(M1065=phu!$I$54,M1065=phu!$I$55,M1065=phu!$I$56,M1065=phu!$I$57,M1065=phu!$I$58,M1065=phu!$I$59,M1065=phu!$I$60,M1065=phu!$I$61,M1065=phu!$I$62),"Cam Lợi",""),IF(OR(M1065=phu!$I$63,M1065=phu!$I$64,M1065=phu!$I$65,M1065=phu!$I$66,M1065=phu!$I$67,M1065=phu!$I$68,M1065=phu!$I$69,M1065=phu!$I$70,M1065=phu!$I$71),"Ba Ngòi",""),IF(OR(M1065=phu!$I$72,M1065=phu!$I$73,M1065=phu!$I$74,M1065=phu!$I$75,M1065=phu!$I$76,M1065=phu!$I$77,M1065=phu!$I$78),"Cam Phước Đông",""),IF(OR(M1065=phu!$I$79,M1065=phu!$I$80,M1065=phu!$I$81,M1065=phu!$I$82,M1065=phu!$I$83,M1065=phu!$I$84),"Cam Thịnh Đông",""),IF(OR(M1065=phu!$I$85,M1065=phu!$I$86,M1065=phu!$I$87,M1065=phu!$I$88),"Cam Thịnh Tây",""),IF(OR(M1065=phu!$I$89,M1065=phu!$I$90),"Cam Lập",""),IF(OR(M1065=phu!$I$91,M1065=phu!$I$92,M1065=phu!$I$93),"Cam Bình",""),IF(OR(M1065=phu!$I$94,M1065=phu!$I$95,M1065=phu!$I$96,M1065=phu!$I$97,M1065=phu!$I$98,M1065=phu!$I$99,M1065=phu!$I$100),"Huyện khác",""),IF(OR(M1065=phu!$I$101,M1065=phu!$I$102),"Tỉnh khác",""))</f>
        <v/>
      </c>
      <c r="O1065" s="829" t="str">
        <f t="shared" si="96"/>
        <v/>
      </c>
      <c r="P1065" s="254"/>
      <c r="Q1065" s="254"/>
      <c r="R1065" s="254"/>
      <c r="S1065" s="254"/>
      <c r="T1065" s="254"/>
      <c r="U1065" s="254"/>
      <c r="V1065" s="254"/>
      <c r="W1065" s="254"/>
      <c r="Y1065" s="246" t="str">
        <f t="shared" si="97"/>
        <v/>
      </c>
      <c r="Z1065" s="247" t="str">
        <f t="shared" si="101"/>
        <v/>
      </c>
      <c r="AA1065" s="246" t="str">
        <f t="shared" si="98"/>
        <v/>
      </c>
    </row>
    <row r="1066" spans="1:27" x14ac:dyDescent="0.25">
      <c r="A1066" s="248" t="str">
        <f t="shared" si="99"/>
        <v/>
      </c>
      <c r="B1066" s="249" t="str">
        <f t="shared" si="100"/>
        <v/>
      </c>
      <c r="C1066" s="250"/>
      <c r="D1066" s="251"/>
      <c r="E1066" s="241"/>
      <c r="F1066" s="252"/>
      <c r="G1066" s="252"/>
      <c r="H1066" s="253"/>
      <c r="I1066" s="250"/>
      <c r="J1066" s="250"/>
      <c r="K1066" s="270"/>
      <c r="L1066" s="250"/>
      <c r="M1066" s="250"/>
      <c r="N1066" s="540" t="str">
        <f>CONCATENATE(IF(OR(M1066=phu!$I$1,M1066=phu!$I$2,M1066=phu!$I$3),"Cam Thành Nam",""),IF(OR(M1066=phu!$I$4,M1066=phu!$I$5,M1066=phu!$I$6,M1066=phu!$I$7,M1066=phu!$I$8,M1066=phu!$I$9,M1066=phu!$I$10,M1066=phu!$I$11,M1066=phu!$I$12,M1066=phu!$I$13,M1066=phu!$I$14),"Cam Nghĩa",""),IF(OR(M1066=phu!$I$15,M1066=phu!$I$16,M1066=phu!$I$17,M1066=phu!$I$18,M1066=phu!$I$19,M1066=phu!$I$20,M1066=phu!$I$21),"Cam Phúc Bắc",""),IF(OR(M1066=phu!$I$22,M1066=phu!$I$23,M1066=phu!$I$24,M1066=phu!$I$25),"Cam Phúc Nam",""),IF(OR(M1066=phu!$I$26,M1066=phu!$I$27,M1066=phu!$I$28,M1066=phu!$I$29,M1066=phu!$I$30,M1066=phu!$I$31),"Cam Phú",""),IF(OR(M1066=phu!$I$32,M1066=phu!$I$33,M1066=phu!$I$34,M1066=phu!$I$35,M1066=phu!$I$36,M1066=phu!$I$37),"Cam Lộc",""),IF(OR(M1066=phu!$I$38,M1066=phu!$I$39,M1066=phu!$I$40,M1066=phu!$I$41,M1066=phu!$I$42,M1066=phu!$I$43,M1066=phu!$I$44),"Cam Thuận",""),IF(OR(M1066=phu!$I$45,M1066=phu!$I$46,M1066=phu!$I$47,M1066=phu!$I$48,M1066=phu!$I$49,M1066=phu!$I$50,M1066=phu!$I$51,M1066=phu!$I$52,M1066=phu!$I$53),"Cam Linh",""),IF(OR(M1066=phu!$I$54,M1066=phu!$I$55,M1066=phu!$I$56,M1066=phu!$I$57,M1066=phu!$I$58,M1066=phu!$I$59,M1066=phu!$I$60,M1066=phu!$I$61,M1066=phu!$I$62),"Cam Lợi",""),IF(OR(M1066=phu!$I$63,M1066=phu!$I$64,M1066=phu!$I$65,M1066=phu!$I$66,M1066=phu!$I$67,M1066=phu!$I$68,M1066=phu!$I$69,M1066=phu!$I$70,M1066=phu!$I$71),"Ba Ngòi",""),IF(OR(M1066=phu!$I$72,M1066=phu!$I$73,M1066=phu!$I$74,M1066=phu!$I$75,M1066=phu!$I$76,M1066=phu!$I$77,M1066=phu!$I$78),"Cam Phước Đông",""),IF(OR(M1066=phu!$I$79,M1066=phu!$I$80,M1066=phu!$I$81,M1066=phu!$I$82,M1066=phu!$I$83,M1066=phu!$I$84),"Cam Thịnh Đông",""),IF(OR(M1066=phu!$I$85,M1066=phu!$I$86,M1066=phu!$I$87,M1066=phu!$I$88),"Cam Thịnh Tây",""),IF(OR(M1066=phu!$I$89,M1066=phu!$I$90),"Cam Lập",""),IF(OR(M1066=phu!$I$91,M1066=phu!$I$92,M1066=phu!$I$93),"Cam Bình",""),IF(OR(M1066=phu!$I$94,M1066=phu!$I$95,M1066=phu!$I$96,M1066=phu!$I$97,M1066=phu!$I$98,M1066=phu!$I$99,M1066=phu!$I$100),"Huyện khác",""),IF(OR(M1066=phu!$I$101,M1066=phu!$I$102),"Tỉnh khác",""))</f>
        <v/>
      </c>
      <c r="O1066" s="829" t="str">
        <f t="shared" si="96"/>
        <v/>
      </c>
      <c r="P1066" s="254"/>
      <c r="Q1066" s="254"/>
      <c r="R1066" s="254"/>
      <c r="S1066" s="254"/>
      <c r="T1066" s="254"/>
      <c r="U1066" s="254"/>
      <c r="V1066" s="254"/>
      <c r="W1066" s="254"/>
      <c r="Y1066" s="246" t="str">
        <f t="shared" si="97"/>
        <v/>
      </c>
      <c r="Z1066" s="247" t="str">
        <f t="shared" si="101"/>
        <v/>
      </c>
      <c r="AA1066" s="246" t="str">
        <f t="shared" si="98"/>
        <v/>
      </c>
    </row>
    <row r="1067" spans="1:27" x14ac:dyDescent="0.25">
      <c r="A1067" s="248" t="str">
        <f t="shared" si="99"/>
        <v/>
      </c>
      <c r="B1067" s="249" t="str">
        <f t="shared" si="100"/>
        <v/>
      </c>
      <c r="C1067" s="250"/>
      <c r="D1067" s="251"/>
      <c r="E1067" s="241"/>
      <c r="F1067" s="252"/>
      <c r="G1067" s="252"/>
      <c r="H1067" s="253"/>
      <c r="I1067" s="250"/>
      <c r="J1067" s="250"/>
      <c r="K1067" s="270"/>
      <c r="L1067" s="250"/>
      <c r="M1067" s="250"/>
      <c r="N1067" s="540" t="str">
        <f>CONCATENATE(IF(OR(M1067=phu!$I$1,M1067=phu!$I$2,M1067=phu!$I$3),"Cam Thành Nam",""),IF(OR(M1067=phu!$I$4,M1067=phu!$I$5,M1067=phu!$I$6,M1067=phu!$I$7,M1067=phu!$I$8,M1067=phu!$I$9,M1067=phu!$I$10,M1067=phu!$I$11,M1067=phu!$I$12,M1067=phu!$I$13,M1067=phu!$I$14),"Cam Nghĩa",""),IF(OR(M1067=phu!$I$15,M1067=phu!$I$16,M1067=phu!$I$17,M1067=phu!$I$18,M1067=phu!$I$19,M1067=phu!$I$20,M1067=phu!$I$21),"Cam Phúc Bắc",""),IF(OR(M1067=phu!$I$22,M1067=phu!$I$23,M1067=phu!$I$24,M1067=phu!$I$25),"Cam Phúc Nam",""),IF(OR(M1067=phu!$I$26,M1067=phu!$I$27,M1067=phu!$I$28,M1067=phu!$I$29,M1067=phu!$I$30,M1067=phu!$I$31),"Cam Phú",""),IF(OR(M1067=phu!$I$32,M1067=phu!$I$33,M1067=phu!$I$34,M1067=phu!$I$35,M1067=phu!$I$36,M1067=phu!$I$37),"Cam Lộc",""),IF(OR(M1067=phu!$I$38,M1067=phu!$I$39,M1067=phu!$I$40,M1067=phu!$I$41,M1067=phu!$I$42,M1067=phu!$I$43,M1067=phu!$I$44),"Cam Thuận",""),IF(OR(M1067=phu!$I$45,M1067=phu!$I$46,M1067=phu!$I$47,M1067=phu!$I$48,M1067=phu!$I$49,M1067=phu!$I$50,M1067=phu!$I$51,M1067=phu!$I$52,M1067=phu!$I$53),"Cam Linh",""),IF(OR(M1067=phu!$I$54,M1067=phu!$I$55,M1067=phu!$I$56,M1067=phu!$I$57,M1067=phu!$I$58,M1067=phu!$I$59,M1067=phu!$I$60,M1067=phu!$I$61,M1067=phu!$I$62),"Cam Lợi",""),IF(OR(M1067=phu!$I$63,M1067=phu!$I$64,M1067=phu!$I$65,M1067=phu!$I$66,M1067=phu!$I$67,M1067=phu!$I$68,M1067=phu!$I$69,M1067=phu!$I$70,M1067=phu!$I$71),"Ba Ngòi",""),IF(OR(M1067=phu!$I$72,M1067=phu!$I$73,M1067=phu!$I$74,M1067=phu!$I$75,M1067=phu!$I$76,M1067=phu!$I$77,M1067=phu!$I$78),"Cam Phước Đông",""),IF(OR(M1067=phu!$I$79,M1067=phu!$I$80,M1067=phu!$I$81,M1067=phu!$I$82,M1067=phu!$I$83,M1067=phu!$I$84),"Cam Thịnh Đông",""),IF(OR(M1067=phu!$I$85,M1067=phu!$I$86,M1067=phu!$I$87,M1067=phu!$I$88),"Cam Thịnh Tây",""),IF(OR(M1067=phu!$I$89,M1067=phu!$I$90),"Cam Lập",""),IF(OR(M1067=phu!$I$91,M1067=phu!$I$92,M1067=phu!$I$93),"Cam Bình",""),IF(OR(M1067=phu!$I$94,M1067=phu!$I$95,M1067=phu!$I$96,M1067=phu!$I$97,M1067=phu!$I$98,M1067=phu!$I$99,M1067=phu!$I$100),"Huyện khác",""),IF(OR(M1067=phu!$I$101,M1067=phu!$I$102),"Tỉnh khác",""))</f>
        <v/>
      </c>
      <c r="O1067" s="829" t="str">
        <f t="shared" si="96"/>
        <v/>
      </c>
      <c r="P1067" s="254"/>
      <c r="Q1067" s="254"/>
      <c r="R1067" s="254"/>
      <c r="S1067" s="254"/>
      <c r="T1067" s="254"/>
      <c r="U1067" s="254"/>
      <c r="V1067" s="254"/>
      <c r="W1067" s="254"/>
      <c r="Y1067" s="246" t="str">
        <f t="shared" si="97"/>
        <v/>
      </c>
      <c r="Z1067" s="247" t="str">
        <f t="shared" si="101"/>
        <v/>
      </c>
      <c r="AA1067" s="246" t="str">
        <f t="shared" si="98"/>
        <v/>
      </c>
    </row>
    <row r="1068" spans="1:27" x14ac:dyDescent="0.25">
      <c r="A1068" s="248" t="str">
        <f t="shared" si="99"/>
        <v/>
      </c>
      <c r="B1068" s="249" t="str">
        <f t="shared" si="100"/>
        <v/>
      </c>
      <c r="C1068" s="250"/>
      <c r="D1068" s="251"/>
      <c r="E1068" s="241"/>
      <c r="F1068" s="252"/>
      <c r="G1068" s="252"/>
      <c r="H1068" s="253"/>
      <c r="I1068" s="250"/>
      <c r="J1068" s="250"/>
      <c r="K1068" s="270"/>
      <c r="L1068" s="250"/>
      <c r="M1068" s="250"/>
      <c r="N1068" s="540" t="str">
        <f>CONCATENATE(IF(OR(M1068=phu!$I$1,M1068=phu!$I$2,M1068=phu!$I$3),"Cam Thành Nam",""),IF(OR(M1068=phu!$I$4,M1068=phu!$I$5,M1068=phu!$I$6,M1068=phu!$I$7,M1068=phu!$I$8,M1068=phu!$I$9,M1068=phu!$I$10,M1068=phu!$I$11,M1068=phu!$I$12,M1068=phu!$I$13,M1068=phu!$I$14),"Cam Nghĩa",""),IF(OR(M1068=phu!$I$15,M1068=phu!$I$16,M1068=phu!$I$17,M1068=phu!$I$18,M1068=phu!$I$19,M1068=phu!$I$20,M1068=phu!$I$21),"Cam Phúc Bắc",""),IF(OR(M1068=phu!$I$22,M1068=phu!$I$23,M1068=phu!$I$24,M1068=phu!$I$25),"Cam Phúc Nam",""),IF(OR(M1068=phu!$I$26,M1068=phu!$I$27,M1068=phu!$I$28,M1068=phu!$I$29,M1068=phu!$I$30,M1068=phu!$I$31),"Cam Phú",""),IF(OR(M1068=phu!$I$32,M1068=phu!$I$33,M1068=phu!$I$34,M1068=phu!$I$35,M1068=phu!$I$36,M1068=phu!$I$37),"Cam Lộc",""),IF(OR(M1068=phu!$I$38,M1068=phu!$I$39,M1068=phu!$I$40,M1068=phu!$I$41,M1068=phu!$I$42,M1068=phu!$I$43,M1068=phu!$I$44),"Cam Thuận",""),IF(OR(M1068=phu!$I$45,M1068=phu!$I$46,M1068=phu!$I$47,M1068=phu!$I$48,M1068=phu!$I$49,M1068=phu!$I$50,M1068=phu!$I$51,M1068=phu!$I$52,M1068=phu!$I$53),"Cam Linh",""),IF(OR(M1068=phu!$I$54,M1068=phu!$I$55,M1068=phu!$I$56,M1068=phu!$I$57,M1068=phu!$I$58,M1068=phu!$I$59,M1068=phu!$I$60,M1068=phu!$I$61,M1068=phu!$I$62),"Cam Lợi",""),IF(OR(M1068=phu!$I$63,M1068=phu!$I$64,M1068=phu!$I$65,M1068=phu!$I$66,M1068=phu!$I$67,M1068=phu!$I$68,M1068=phu!$I$69,M1068=phu!$I$70,M1068=phu!$I$71),"Ba Ngòi",""),IF(OR(M1068=phu!$I$72,M1068=phu!$I$73,M1068=phu!$I$74,M1068=phu!$I$75,M1068=phu!$I$76,M1068=phu!$I$77,M1068=phu!$I$78),"Cam Phước Đông",""),IF(OR(M1068=phu!$I$79,M1068=phu!$I$80,M1068=phu!$I$81,M1068=phu!$I$82,M1068=phu!$I$83,M1068=phu!$I$84),"Cam Thịnh Đông",""),IF(OR(M1068=phu!$I$85,M1068=phu!$I$86,M1068=phu!$I$87,M1068=phu!$I$88),"Cam Thịnh Tây",""),IF(OR(M1068=phu!$I$89,M1068=phu!$I$90),"Cam Lập",""),IF(OR(M1068=phu!$I$91,M1068=phu!$I$92,M1068=phu!$I$93),"Cam Bình",""),IF(OR(M1068=phu!$I$94,M1068=phu!$I$95,M1068=phu!$I$96,M1068=phu!$I$97,M1068=phu!$I$98,M1068=phu!$I$99,M1068=phu!$I$100),"Huyện khác",""),IF(OR(M1068=phu!$I$101,M1068=phu!$I$102),"Tỉnh khác",""))</f>
        <v/>
      </c>
      <c r="O1068" s="829" t="str">
        <f t="shared" si="96"/>
        <v/>
      </c>
      <c r="P1068" s="254"/>
      <c r="Q1068" s="254"/>
      <c r="R1068" s="254"/>
      <c r="S1068" s="254"/>
      <c r="T1068" s="254"/>
      <c r="U1068" s="254"/>
      <c r="V1068" s="254"/>
      <c r="W1068" s="254"/>
      <c r="Y1068" s="246" t="str">
        <f t="shared" si="97"/>
        <v/>
      </c>
      <c r="Z1068" s="247" t="str">
        <f t="shared" si="101"/>
        <v/>
      </c>
      <c r="AA1068" s="246" t="str">
        <f t="shared" si="98"/>
        <v/>
      </c>
    </row>
    <row r="1069" spans="1:27" x14ac:dyDescent="0.25">
      <c r="A1069" s="248" t="str">
        <f t="shared" si="99"/>
        <v/>
      </c>
      <c r="B1069" s="249" t="str">
        <f t="shared" si="100"/>
        <v/>
      </c>
      <c r="C1069" s="250"/>
      <c r="D1069" s="251"/>
      <c r="E1069" s="241"/>
      <c r="F1069" s="252"/>
      <c r="G1069" s="252"/>
      <c r="H1069" s="253"/>
      <c r="I1069" s="250"/>
      <c r="J1069" s="250"/>
      <c r="K1069" s="270"/>
      <c r="L1069" s="250"/>
      <c r="M1069" s="250"/>
      <c r="N1069" s="540" t="str">
        <f>CONCATENATE(IF(OR(M1069=phu!$I$1,M1069=phu!$I$2,M1069=phu!$I$3),"Cam Thành Nam",""),IF(OR(M1069=phu!$I$4,M1069=phu!$I$5,M1069=phu!$I$6,M1069=phu!$I$7,M1069=phu!$I$8,M1069=phu!$I$9,M1069=phu!$I$10,M1069=phu!$I$11,M1069=phu!$I$12,M1069=phu!$I$13,M1069=phu!$I$14),"Cam Nghĩa",""),IF(OR(M1069=phu!$I$15,M1069=phu!$I$16,M1069=phu!$I$17,M1069=phu!$I$18,M1069=phu!$I$19,M1069=phu!$I$20,M1069=phu!$I$21),"Cam Phúc Bắc",""),IF(OR(M1069=phu!$I$22,M1069=phu!$I$23,M1069=phu!$I$24,M1069=phu!$I$25),"Cam Phúc Nam",""),IF(OR(M1069=phu!$I$26,M1069=phu!$I$27,M1069=phu!$I$28,M1069=phu!$I$29,M1069=phu!$I$30,M1069=phu!$I$31),"Cam Phú",""),IF(OR(M1069=phu!$I$32,M1069=phu!$I$33,M1069=phu!$I$34,M1069=phu!$I$35,M1069=phu!$I$36,M1069=phu!$I$37),"Cam Lộc",""),IF(OR(M1069=phu!$I$38,M1069=phu!$I$39,M1069=phu!$I$40,M1069=phu!$I$41,M1069=phu!$I$42,M1069=phu!$I$43,M1069=phu!$I$44),"Cam Thuận",""),IF(OR(M1069=phu!$I$45,M1069=phu!$I$46,M1069=phu!$I$47,M1069=phu!$I$48,M1069=phu!$I$49,M1069=phu!$I$50,M1069=phu!$I$51,M1069=phu!$I$52,M1069=phu!$I$53),"Cam Linh",""),IF(OR(M1069=phu!$I$54,M1069=phu!$I$55,M1069=phu!$I$56,M1069=phu!$I$57,M1069=phu!$I$58,M1069=phu!$I$59,M1069=phu!$I$60,M1069=phu!$I$61,M1069=phu!$I$62),"Cam Lợi",""),IF(OR(M1069=phu!$I$63,M1069=phu!$I$64,M1069=phu!$I$65,M1069=phu!$I$66,M1069=phu!$I$67,M1069=phu!$I$68,M1069=phu!$I$69,M1069=phu!$I$70,M1069=phu!$I$71),"Ba Ngòi",""),IF(OR(M1069=phu!$I$72,M1069=phu!$I$73,M1069=phu!$I$74,M1069=phu!$I$75,M1069=phu!$I$76,M1069=phu!$I$77,M1069=phu!$I$78),"Cam Phước Đông",""),IF(OR(M1069=phu!$I$79,M1069=phu!$I$80,M1069=phu!$I$81,M1069=phu!$I$82,M1069=phu!$I$83,M1069=phu!$I$84),"Cam Thịnh Đông",""),IF(OR(M1069=phu!$I$85,M1069=phu!$I$86,M1069=phu!$I$87,M1069=phu!$I$88),"Cam Thịnh Tây",""),IF(OR(M1069=phu!$I$89,M1069=phu!$I$90),"Cam Lập",""),IF(OR(M1069=phu!$I$91,M1069=phu!$I$92,M1069=phu!$I$93),"Cam Bình",""),IF(OR(M1069=phu!$I$94,M1069=phu!$I$95,M1069=phu!$I$96,M1069=phu!$I$97,M1069=phu!$I$98,M1069=phu!$I$99,M1069=phu!$I$100),"Huyện khác",""),IF(OR(M1069=phu!$I$101,M1069=phu!$I$102),"Tỉnh khác",""))</f>
        <v/>
      </c>
      <c r="O1069" s="829" t="str">
        <f t="shared" si="96"/>
        <v/>
      </c>
      <c r="P1069" s="254"/>
      <c r="Q1069" s="254"/>
      <c r="R1069" s="254"/>
      <c r="S1069" s="254"/>
      <c r="T1069" s="254"/>
      <c r="U1069" s="254"/>
      <c r="V1069" s="254"/>
      <c r="W1069" s="254"/>
      <c r="Y1069" s="246" t="str">
        <f t="shared" si="97"/>
        <v/>
      </c>
      <c r="Z1069" s="247" t="str">
        <f t="shared" si="101"/>
        <v/>
      </c>
      <c r="AA1069" s="246" t="str">
        <f t="shared" si="98"/>
        <v/>
      </c>
    </row>
    <row r="1070" spans="1:27" x14ac:dyDescent="0.25">
      <c r="A1070" s="248" t="str">
        <f t="shared" si="99"/>
        <v/>
      </c>
      <c r="B1070" s="249" t="str">
        <f t="shared" si="100"/>
        <v/>
      </c>
      <c r="C1070" s="250"/>
      <c r="D1070" s="251"/>
      <c r="E1070" s="241"/>
      <c r="F1070" s="252"/>
      <c r="G1070" s="252"/>
      <c r="H1070" s="253"/>
      <c r="I1070" s="250"/>
      <c r="J1070" s="250"/>
      <c r="K1070" s="270"/>
      <c r="L1070" s="250"/>
      <c r="M1070" s="250"/>
      <c r="N1070" s="540" t="str">
        <f>CONCATENATE(IF(OR(M1070=phu!$I$1,M1070=phu!$I$2,M1070=phu!$I$3),"Cam Thành Nam",""),IF(OR(M1070=phu!$I$4,M1070=phu!$I$5,M1070=phu!$I$6,M1070=phu!$I$7,M1070=phu!$I$8,M1070=phu!$I$9,M1070=phu!$I$10,M1070=phu!$I$11,M1070=phu!$I$12,M1070=phu!$I$13,M1070=phu!$I$14),"Cam Nghĩa",""),IF(OR(M1070=phu!$I$15,M1070=phu!$I$16,M1070=phu!$I$17,M1070=phu!$I$18,M1070=phu!$I$19,M1070=phu!$I$20,M1070=phu!$I$21),"Cam Phúc Bắc",""),IF(OR(M1070=phu!$I$22,M1070=phu!$I$23,M1070=phu!$I$24,M1070=phu!$I$25),"Cam Phúc Nam",""),IF(OR(M1070=phu!$I$26,M1070=phu!$I$27,M1070=phu!$I$28,M1070=phu!$I$29,M1070=phu!$I$30,M1070=phu!$I$31),"Cam Phú",""),IF(OR(M1070=phu!$I$32,M1070=phu!$I$33,M1070=phu!$I$34,M1070=phu!$I$35,M1070=phu!$I$36,M1070=phu!$I$37),"Cam Lộc",""),IF(OR(M1070=phu!$I$38,M1070=phu!$I$39,M1070=phu!$I$40,M1070=phu!$I$41,M1070=phu!$I$42,M1070=phu!$I$43,M1070=phu!$I$44),"Cam Thuận",""),IF(OR(M1070=phu!$I$45,M1070=phu!$I$46,M1070=phu!$I$47,M1070=phu!$I$48,M1070=phu!$I$49,M1070=phu!$I$50,M1070=phu!$I$51,M1070=phu!$I$52,M1070=phu!$I$53),"Cam Linh",""),IF(OR(M1070=phu!$I$54,M1070=phu!$I$55,M1070=phu!$I$56,M1070=phu!$I$57,M1070=phu!$I$58,M1070=phu!$I$59,M1070=phu!$I$60,M1070=phu!$I$61,M1070=phu!$I$62),"Cam Lợi",""),IF(OR(M1070=phu!$I$63,M1070=phu!$I$64,M1070=phu!$I$65,M1070=phu!$I$66,M1070=phu!$I$67,M1070=phu!$I$68,M1070=phu!$I$69,M1070=phu!$I$70,M1070=phu!$I$71),"Ba Ngòi",""),IF(OR(M1070=phu!$I$72,M1070=phu!$I$73,M1070=phu!$I$74,M1070=phu!$I$75,M1070=phu!$I$76,M1070=phu!$I$77,M1070=phu!$I$78),"Cam Phước Đông",""),IF(OR(M1070=phu!$I$79,M1070=phu!$I$80,M1070=phu!$I$81,M1070=phu!$I$82,M1070=phu!$I$83,M1070=phu!$I$84),"Cam Thịnh Đông",""),IF(OR(M1070=phu!$I$85,M1070=phu!$I$86,M1070=phu!$I$87,M1070=phu!$I$88),"Cam Thịnh Tây",""),IF(OR(M1070=phu!$I$89,M1070=phu!$I$90),"Cam Lập",""),IF(OR(M1070=phu!$I$91,M1070=phu!$I$92,M1070=phu!$I$93),"Cam Bình",""),IF(OR(M1070=phu!$I$94,M1070=phu!$I$95,M1070=phu!$I$96,M1070=phu!$I$97,M1070=phu!$I$98,M1070=phu!$I$99,M1070=phu!$I$100),"Huyện khác",""),IF(OR(M1070=phu!$I$101,M1070=phu!$I$102),"Tỉnh khác",""))</f>
        <v/>
      </c>
      <c r="O1070" s="829" t="str">
        <f t="shared" si="96"/>
        <v/>
      </c>
      <c r="P1070" s="254"/>
      <c r="Q1070" s="254"/>
      <c r="R1070" s="254"/>
      <c r="S1070" s="254"/>
      <c r="T1070" s="254"/>
      <c r="U1070" s="254"/>
      <c r="V1070" s="254"/>
      <c r="W1070" s="254"/>
      <c r="Y1070" s="246" t="str">
        <f t="shared" si="97"/>
        <v/>
      </c>
      <c r="Z1070" s="247" t="str">
        <f t="shared" si="101"/>
        <v/>
      </c>
      <c r="AA1070" s="246" t="str">
        <f t="shared" si="98"/>
        <v/>
      </c>
    </row>
    <row r="1071" spans="1:27" x14ac:dyDescent="0.25">
      <c r="A1071" s="248" t="str">
        <f t="shared" si="99"/>
        <v/>
      </c>
      <c r="B1071" s="249" t="str">
        <f t="shared" si="100"/>
        <v/>
      </c>
      <c r="C1071" s="250"/>
      <c r="D1071" s="251"/>
      <c r="E1071" s="241"/>
      <c r="F1071" s="252"/>
      <c r="G1071" s="252"/>
      <c r="H1071" s="253"/>
      <c r="I1071" s="250"/>
      <c r="J1071" s="250"/>
      <c r="K1071" s="270"/>
      <c r="L1071" s="250"/>
      <c r="M1071" s="250"/>
      <c r="N1071" s="540" t="str">
        <f>CONCATENATE(IF(OR(M1071=phu!$I$1,M1071=phu!$I$2,M1071=phu!$I$3),"Cam Thành Nam",""),IF(OR(M1071=phu!$I$4,M1071=phu!$I$5,M1071=phu!$I$6,M1071=phu!$I$7,M1071=phu!$I$8,M1071=phu!$I$9,M1071=phu!$I$10,M1071=phu!$I$11,M1071=phu!$I$12,M1071=phu!$I$13,M1071=phu!$I$14),"Cam Nghĩa",""),IF(OR(M1071=phu!$I$15,M1071=phu!$I$16,M1071=phu!$I$17,M1071=phu!$I$18,M1071=phu!$I$19,M1071=phu!$I$20,M1071=phu!$I$21),"Cam Phúc Bắc",""),IF(OR(M1071=phu!$I$22,M1071=phu!$I$23,M1071=phu!$I$24,M1071=phu!$I$25),"Cam Phúc Nam",""),IF(OR(M1071=phu!$I$26,M1071=phu!$I$27,M1071=phu!$I$28,M1071=phu!$I$29,M1071=phu!$I$30,M1071=phu!$I$31),"Cam Phú",""),IF(OR(M1071=phu!$I$32,M1071=phu!$I$33,M1071=phu!$I$34,M1071=phu!$I$35,M1071=phu!$I$36,M1071=phu!$I$37),"Cam Lộc",""),IF(OR(M1071=phu!$I$38,M1071=phu!$I$39,M1071=phu!$I$40,M1071=phu!$I$41,M1071=phu!$I$42,M1071=phu!$I$43,M1071=phu!$I$44),"Cam Thuận",""),IF(OR(M1071=phu!$I$45,M1071=phu!$I$46,M1071=phu!$I$47,M1071=phu!$I$48,M1071=phu!$I$49,M1071=phu!$I$50,M1071=phu!$I$51,M1071=phu!$I$52,M1071=phu!$I$53),"Cam Linh",""),IF(OR(M1071=phu!$I$54,M1071=phu!$I$55,M1071=phu!$I$56,M1071=phu!$I$57,M1071=phu!$I$58,M1071=phu!$I$59,M1071=phu!$I$60,M1071=phu!$I$61,M1071=phu!$I$62),"Cam Lợi",""),IF(OR(M1071=phu!$I$63,M1071=phu!$I$64,M1071=phu!$I$65,M1071=phu!$I$66,M1071=phu!$I$67,M1071=phu!$I$68,M1071=phu!$I$69,M1071=phu!$I$70,M1071=phu!$I$71),"Ba Ngòi",""),IF(OR(M1071=phu!$I$72,M1071=phu!$I$73,M1071=phu!$I$74,M1071=phu!$I$75,M1071=phu!$I$76,M1071=phu!$I$77,M1071=phu!$I$78),"Cam Phước Đông",""),IF(OR(M1071=phu!$I$79,M1071=phu!$I$80,M1071=phu!$I$81,M1071=phu!$I$82,M1071=phu!$I$83,M1071=phu!$I$84),"Cam Thịnh Đông",""),IF(OR(M1071=phu!$I$85,M1071=phu!$I$86,M1071=phu!$I$87,M1071=phu!$I$88),"Cam Thịnh Tây",""),IF(OR(M1071=phu!$I$89,M1071=phu!$I$90),"Cam Lập",""),IF(OR(M1071=phu!$I$91,M1071=phu!$I$92,M1071=phu!$I$93),"Cam Bình",""),IF(OR(M1071=phu!$I$94,M1071=phu!$I$95,M1071=phu!$I$96,M1071=phu!$I$97,M1071=phu!$I$98,M1071=phu!$I$99,M1071=phu!$I$100),"Huyện khác",""),IF(OR(M1071=phu!$I$101,M1071=phu!$I$102),"Tỉnh khác",""))</f>
        <v/>
      </c>
      <c r="O1071" s="829" t="str">
        <f t="shared" si="96"/>
        <v/>
      </c>
      <c r="P1071" s="254"/>
      <c r="Q1071" s="254"/>
      <c r="R1071" s="254"/>
      <c r="S1071" s="254"/>
      <c r="T1071" s="254"/>
      <c r="U1071" s="254"/>
      <c r="V1071" s="254"/>
      <c r="W1071" s="254"/>
      <c r="Y1071" s="246" t="str">
        <f t="shared" si="97"/>
        <v/>
      </c>
      <c r="Z1071" s="247" t="str">
        <f t="shared" si="101"/>
        <v/>
      </c>
      <c r="AA1071" s="246" t="str">
        <f t="shared" si="98"/>
        <v/>
      </c>
    </row>
    <row r="1072" spans="1:27" x14ac:dyDescent="0.25">
      <c r="A1072" s="248" t="str">
        <f t="shared" si="99"/>
        <v/>
      </c>
      <c r="B1072" s="249" t="str">
        <f t="shared" si="100"/>
        <v/>
      </c>
      <c r="C1072" s="250"/>
      <c r="D1072" s="251"/>
      <c r="E1072" s="241"/>
      <c r="F1072" s="252"/>
      <c r="G1072" s="252"/>
      <c r="H1072" s="253"/>
      <c r="I1072" s="250"/>
      <c r="J1072" s="250"/>
      <c r="K1072" s="270"/>
      <c r="L1072" s="250"/>
      <c r="M1072" s="250"/>
      <c r="N1072" s="540" t="str">
        <f>CONCATENATE(IF(OR(M1072=phu!$I$1,M1072=phu!$I$2,M1072=phu!$I$3),"Cam Thành Nam",""),IF(OR(M1072=phu!$I$4,M1072=phu!$I$5,M1072=phu!$I$6,M1072=phu!$I$7,M1072=phu!$I$8,M1072=phu!$I$9,M1072=phu!$I$10,M1072=phu!$I$11,M1072=phu!$I$12,M1072=phu!$I$13,M1072=phu!$I$14),"Cam Nghĩa",""),IF(OR(M1072=phu!$I$15,M1072=phu!$I$16,M1072=phu!$I$17,M1072=phu!$I$18,M1072=phu!$I$19,M1072=phu!$I$20,M1072=phu!$I$21),"Cam Phúc Bắc",""),IF(OR(M1072=phu!$I$22,M1072=phu!$I$23,M1072=phu!$I$24,M1072=phu!$I$25),"Cam Phúc Nam",""),IF(OR(M1072=phu!$I$26,M1072=phu!$I$27,M1072=phu!$I$28,M1072=phu!$I$29,M1072=phu!$I$30,M1072=phu!$I$31),"Cam Phú",""),IF(OR(M1072=phu!$I$32,M1072=phu!$I$33,M1072=phu!$I$34,M1072=phu!$I$35,M1072=phu!$I$36,M1072=phu!$I$37),"Cam Lộc",""),IF(OR(M1072=phu!$I$38,M1072=phu!$I$39,M1072=phu!$I$40,M1072=phu!$I$41,M1072=phu!$I$42,M1072=phu!$I$43,M1072=phu!$I$44),"Cam Thuận",""),IF(OR(M1072=phu!$I$45,M1072=phu!$I$46,M1072=phu!$I$47,M1072=phu!$I$48,M1072=phu!$I$49,M1072=phu!$I$50,M1072=phu!$I$51,M1072=phu!$I$52,M1072=phu!$I$53),"Cam Linh",""),IF(OR(M1072=phu!$I$54,M1072=phu!$I$55,M1072=phu!$I$56,M1072=phu!$I$57,M1072=phu!$I$58,M1072=phu!$I$59,M1072=phu!$I$60,M1072=phu!$I$61,M1072=phu!$I$62),"Cam Lợi",""),IF(OR(M1072=phu!$I$63,M1072=phu!$I$64,M1072=phu!$I$65,M1072=phu!$I$66,M1072=phu!$I$67,M1072=phu!$I$68,M1072=phu!$I$69,M1072=phu!$I$70,M1072=phu!$I$71),"Ba Ngòi",""),IF(OR(M1072=phu!$I$72,M1072=phu!$I$73,M1072=phu!$I$74,M1072=phu!$I$75,M1072=phu!$I$76,M1072=phu!$I$77,M1072=phu!$I$78),"Cam Phước Đông",""),IF(OR(M1072=phu!$I$79,M1072=phu!$I$80,M1072=phu!$I$81,M1072=phu!$I$82,M1072=phu!$I$83,M1072=phu!$I$84),"Cam Thịnh Đông",""),IF(OR(M1072=phu!$I$85,M1072=phu!$I$86,M1072=phu!$I$87,M1072=phu!$I$88),"Cam Thịnh Tây",""),IF(OR(M1072=phu!$I$89,M1072=phu!$I$90),"Cam Lập",""),IF(OR(M1072=phu!$I$91,M1072=phu!$I$92,M1072=phu!$I$93),"Cam Bình",""),IF(OR(M1072=phu!$I$94,M1072=phu!$I$95,M1072=phu!$I$96,M1072=phu!$I$97,M1072=phu!$I$98,M1072=phu!$I$99,M1072=phu!$I$100),"Huyện khác",""),IF(OR(M1072=phu!$I$101,M1072=phu!$I$102),"Tỉnh khác",""))</f>
        <v/>
      </c>
      <c r="O1072" s="829" t="str">
        <f t="shared" si="96"/>
        <v/>
      </c>
      <c r="P1072" s="254"/>
      <c r="Q1072" s="254"/>
      <c r="R1072" s="254"/>
      <c r="S1072" s="254"/>
      <c r="T1072" s="254"/>
      <c r="U1072" s="254"/>
      <c r="V1072" s="254"/>
      <c r="W1072" s="254"/>
      <c r="Y1072" s="246" t="str">
        <f t="shared" si="97"/>
        <v/>
      </c>
      <c r="Z1072" s="247" t="str">
        <f t="shared" si="101"/>
        <v/>
      </c>
      <c r="AA1072" s="246" t="str">
        <f t="shared" si="98"/>
        <v/>
      </c>
    </row>
    <row r="1073" spans="1:27" x14ac:dyDescent="0.25">
      <c r="A1073" s="248" t="str">
        <f t="shared" si="99"/>
        <v/>
      </c>
      <c r="B1073" s="249" t="str">
        <f t="shared" si="100"/>
        <v/>
      </c>
      <c r="C1073" s="250"/>
      <c r="D1073" s="251"/>
      <c r="E1073" s="241"/>
      <c r="F1073" s="252"/>
      <c r="G1073" s="252"/>
      <c r="H1073" s="253"/>
      <c r="I1073" s="250"/>
      <c r="J1073" s="250"/>
      <c r="K1073" s="270"/>
      <c r="L1073" s="250"/>
      <c r="M1073" s="250"/>
      <c r="N1073" s="540" t="str">
        <f>CONCATENATE(IF(OR(M1073=phu!$I$1,M1073=phu!$I$2,M1073=phu!$I$3),"Cam Thành Nam",""),IF(OR(M1073=phu!$I$4,M1073=phu!$I$5,M1073=phu!$I$6,M1073=phu!$I$7,M1073=phu!$I$8,M1073=phu!$I$9,M1073=phu!$I$10,M1073=phu!$I$11,M1073=phu!$I$12,M1073=phu!$I$13,M1073=phu!$I$14),"Cam Nghĩa",""),IF(OR(M1073=phu!$I$15,M1073=phu!$I$16,M1073=phu!$I$17,M1073=phu!$I$18,M1073=phu!$I$19,M1073=phu!$I$20,M1073=phu!$I$21),"Cam Phúc Bắc",""),IF(OR(M1073=phu!$I$22,M1073=phu!$I$23,M1073=phu!$I$24,M1073=phu!$I$25),"Cam Phúc Nam",""),IF(OR(M1073=phu!$I$26,M1073=phu!$I$27,M1073=phu!$I$28,M1073=phu!$I$29,M1073=phu!$I$30,M1073=phu!$I$31),"Cam Phú",""),IF(OR(M1073=phu!$I$32,M1073=phu!$I$33,M1073=phu!$I$34,M1073=phu!$I$35,M1073=phu!$I$36,M1073=phu!$I$37),"Cam Lộc",""),IF(OR(M1073=phu!$I$38,M1073=phu!$I$39,M1073=phu!$I$40,M1073=phu!$I$41,M1073=phu!$I$42,M1073=phu!$I$43,M1073=phu!$I$44),"Cam Thuận",""),IF(OR(M1073=phu!$I$45,M1073=phu!$I$46,M1073=phu!$I$47,M1073=phu!$I$48,M1073=phu!$I$49,M1073=phu!$I$50,M1073=phu!$I$51,M1073=phu!$I$52,M1073=phu!$I$53),"Cam Linh",""),IF(OR(M1073=phu!$I$54,M1073=phu!$I$55,M1073=phu!$I$56,M1073=phu!$I$57,M1073=phu!$I$58,M1073=phu!$I$59,M1073=phu!$I$60,M1073=phu!$I$61,M1073=phu!$I$62),"Cam Lợi",""),IF(OR(M1073=phu!$I$63,M1073=phu!$I$64,M1073=phu!$I$65,M1073=phu!$I$66,M1073=phu!$I$67,M1073=phu!$I$68,M1073=phu!$I$69,M1073=phu!$I$70,M1073=phu!$I$71),"Ba Ngòi",""),IF(OR(M1073=phu!$I$72,M1073=phu!$I$73,M1073=phu!$I$74,M1073=phu!$I$75,M1073=phu!$I$76,M1073=phu!$I$77,M1073=phu!$I$78),"Cam Phước Đông",""),IF(OR(M1073=phu!$I$79,M1073=phu!$I$80,M1073=phu!$I$81,M1073=phu!$I$82,M1073=phu!$I$83,M1073=phu!$I$84),"Cam Thịnh Đông",""),IF(OR(M1073=phu!$I$85,M1073=phu!$I$86,M1073=phu!$I$87,M1073=phu!$I$88),"Cam Thịnh Tây",""),IF(OR(M1073=phu!$I$89,M1073=phu!$I$90),"Cam Lập",""),IF(OR(M1073=phu!$I$91,M1073=phu!$I$92,M1073=phu!$I$93),"Cam Bình",""),IF(OR(M1073=phu!$I$94,M1073=phu!$I$95,M1073=phu!$I$96,M1073=phu!$I$97,M1073=phu!$I$98,M1073=phu!$I$99,M1073=phu!$I$100),"Huyện khác",""),IF(OR(M1073=phu!$I$101,M1073=phu!$I$102),"Tỉnh khác",""))</f>
        <v/>
      </c>
      <c r="O1073" s="829" t="str">
        <f t="shared" si="96"/>
        <v/>
      </c>
      <c r="P1073" s="254"/>
      <c r="Q1073" s="254"/>
      <c r="R1073" s="254"/>
      <c r="S1073" s="254"/>
      <c r="T1073" s="254"/>
      <c r="U1073" s="254"/>
      <c r="V1073" s="254"/>
      <c r="W1073" s="254"/>
      <c r="Y1073" s="246" t="str">
        <f t="shared" si="97"/>
        <v/>
      </c>
      <c r="Z1073" s="247" t="str">
        <f t="shared" si="101"/>
        <v/>
      </c>
      <c r="AA1073" s="246" t="str">
        <f t="shared" si="98"/>
        <v/>
      </c>
    </row>
    <row r="1074" spans="1:27" x14ac:dyDescent="0.25">
      <c r="A1074" s="248" t="str">
        <f t="shared" si="99"/>
        <v/>
      </c>
      <c r="B1074" s="249" t="str">
        <f t="shared" si="100"/>
        <v/>
      </c>
      <c r="C1074" s="250"/>
      <c r="D1074" s="251"/>
      <c r="E1074" s="241"/>
      <c r="F1074" s="252"/>
      <c r="G1074" s="252"/>
      <c r="H1074" s="253"/>
      <c r="I1074" s="250"/>
      <c r="J1074" s="250"/>
      <c r="K1074" s="270"/>
      <c r="L1074" s="250"/>
      <c r="M1074" s="250"/>
      <c r="N1074" s="540" t="str">
        <f>CONCATENATE(IF(OR(M1074=phu!$I$1,M1074=phu!$I$2,M1074=phu!$I$3),"Cam Thành Nam",""),IF(OR(M1074=phu!$I$4,M1074=phu!$I$5,M1074=phu!$I$6,M1074=phu!$I$7,M1074=phu!$I$8,M1074=phu!$I$9,M1074=phu!$I$10,M1074=phu!$I$11,M1074=phu!$I$12,M1074=phu!$I$13,M1074=phu!$I$14),"Cam Nghĩa",""),IF(OR(M1074=phu!$I$15,M1074=phu!$I$16,M1074=phu!$I$17,M1074=phu!$I$18,M1074=phu!$I$19,M1074=phu!$I$20,M1074=phu!$I$21),"Cam Phúc Bắc",""),IF(OR(M1074=phu!$I$22,M1074=phu!$I$23,M1074=phu!$I$24,M1074=phu!$I$25),"Cam Phúc Nam",""),IF(OR(M1074=phu!$I$26,M1074=phu!$I$27,M1074=phu!$I$28,M1074=phu!$I$29,M1074=phu!$I$30,M1074=phu!$I$31),"Cam Phú",""),IF(OR(M1074=phu!$I$32,M1074=phu!$I$33,M1074=phu!$I$34,M1074=phu!$I$35,M1074=phu!$I$36,M1074=phu!$I$37),"Cam Lộc",""),IF(OR(M1074=phu!$I$38,M1074=phu!$I$39,M1074=phu!$I$40,M1074=phu!$I$41,M1074=phu!$I$42,M1074=phu!$I$43,M1074=phu!$I$44),"Cam Thuận",""),IF(OR(M1074=phu!$I$45,M1074=phu!$I$46,M1074=phu!$I$47,M1074=phu!$I$48,M1074=phu!$I$49,M1074=phu!$I$50,M1074=phu!$I$51,M1074=phu!$I$52,M1074=phu!$I$53),"Cam Linh",""),IF(OR(M1074=phu!$I$54,M1074=phu!$I$55,M1074=phu!$I$56,M1074=phu!$I$57,M1074=phu!$I$58,M1074=phu!$I$59,M1074=phu!$I$60,M1074=phu!$I$61,M1074=phu!$I$62),"Cam Lợi",""),IF(OR(M1074=phu!$I$63,M1074=phu!$I$64,M1074=phu!$I$65,M1074=phu!$I$66,M1074=phu!$I$67,M1074=phu!$I$68,M1074=phu!$I$69,M1074=phu!$I$70,M1074=phu!$I$71),"Ba Ngòi",""),IF(OR(M1074=phu!$I$72,M1074=phu!$I$73,M1074=phu!$I$74,M1074=phu!$I$75,M1074=phu!$I$76,M1074=phu!$I$77,M1074=phu!$I$78),"Cam Phước Đông",""),IF(OR(M1074=phu!$I$79,M1074=phu!$I$80,M1074=phu!$I$81,M1074=phu!$I$82,M1074=phu!$I$83,M1074=phu!$I$84),"Cam Thịnh Đông",""),IF(OR(M1074=phu!$I$85,M1074=phu!$I$86,M1074=phu!$I$87,M1074=phu!$I$88),"Cam Thịnh Tây",""),IF(OR(M1074=phu!$I$89,M1074=phu!$I$90),"Cam Lập",""),IF(OR(M1074=phu!$I$91,M1074=phu!$I$92,M1074=phu!$I$93),"Cam Bình",""),IF(OR(M1074=phu!$I$94,M1074=phu!$I$95,M1074=phu!$I$96,M1074=phu!$I$97,M1074=phu!$I$98,M1074=phu!$I$99,M1074=phu!$I$100),"Huyện khác",""),IF(OR(M1074=phu!$I$101,M1074=phu!$I$102),"Tỉnh khác",""))</f>
        <v/>
      </c>
      <c r="O1074" s="829" t="str">
        <f t="shared" si="96"/>
        <v/>
      </c>
      <c r="P1074" s="254"/>
      <c r="Q1074" s="254"/>
      <c r="R1074" s="254"/>
      <c r="S1074" s="254"/>
      <c r="T1074" s="254"/>
      <c r="U1074" s="254"/>
      <c r="V1074" s="254"/>
      <c r="W1074" s="254"/>
      <c r="Y1074" s="246" t="str">
        <f t="shared" si="97"/>
        <v/>
      </c>
      <c r="Z1074" s="247" t="str">
        <f t="shared" si="101"/>
        <v/>
      </c>
      <c r="AA1074" s="246" t="str">
        <f t="shared" si="98"/>
        <v/>
      </c>
    </row>
    <row r="1075" spans="1:27" x14ac:dyDescent="0.25">
      <c r="A1075" s="248" t="str">
        <f t="shared" si="99"/>
        <v/>
      </c>
      <c r="B1075" s="249" t="str">
        <f t="shared" si="100"/>
        <v/>
      </c>
      <c r="C1075" s="250"/>
      <c r="D1075" s="251"/>
      <c r="E1075" s="241"/>
      <c r="F1075" s="252"/>
      <c r="G1075" s="252"/>
      <c r="H1075" s="253"/>
      <c r="I1075" s="250"/>
      <c r="J1075" s="250"/>
      <c r="K1075" s="270"/>
      <c r="L1075" s="250"/>
      <c r="M1075" s="250"/>
      <c r="N1075" s="540" t="str">
        <f>CONCATENATE(IF(OR(M1075=phu!$I$1,M1075=phu!$I$2,M1075=phu!$I$3),"Cam Thành Nam",""),IF(OR(M1075=phu!$I$4,M1075=phu!$I$5,M1075=phu!$I$6,M1075=phu!$I$7,M1075=phu!$I$8,M1075=phu!$I$9,M1075=phu!$I$10,M1075=phu!$I$11,M1075=phu!$I$12,M1075=phu!$I$13,M1075=phu!$I$14),"Cam Nghĩa",""),IF(OR(M1075=phu!$I$15,M1075=phu!$I$16,M1075=phu!$I$17,M1075=phu!$I$18,M1075=phu!$I$19,M1075=phu!$I$20,M1075=phu!$I$21),"Cam Phúc Bắc",""),IF(OR(M1075=phu!$I$22,M1075=phu!$I$23,M1075=phu!$I$24,M1075=phu!$I$25),"Cam Phúc Nam",""),IF(OR(M1075=phu!$I$26,M1075=phu!$I$27,M1075=phu!$I$28,M1075=phu!$I$29,M1075=phu!$I$30,M1075=phu!$I$31),"Cam Phú",""),IF(OR(M1075=phu!$I$32,M1075=phu!$I$33,M1075=phu!$I$34,M1075=phu!$I$35,M1075=phu!$I$36,M1075=phu!$I$37),"Cam Lộc",""),IF(OR(M1075=phu!$I$38,M1075=phu!$I$39,M1075=phu!$I$40,M1075=phu!$I$41,M1075=phu!$I$42,M1075=phu!$I$43,M1075=phu!$I$44),"Cam Thuận",""),IF(OR(M1075=phu!$I$45,M1075=phu!$I$46,M1075=phu!$I$47,M1075=phu!$I$48,M1075=phu!$I$49,M1075=phu!$I$50,M1075=phu!$I$51,M1075=phu!$I$52,M1075=phu!$I$53),"Cam Linh",""),IF(OR(M1075=phu!$I$54,M1075=phu!$I$55,M1075=phu!$I$56,M1075=phu!$I$57,M1075=phu!$I$58,M1075=phu!$I$59,M1075=phu!$I$60,M1075=phu!$I$61,M1075=phu!$I$62),"Cam Lợi",""),IF(OR(M1075=phu!$I$63,M1075=phu!$I$64,M1075=phu!$I$65,M1075=phu!$I$66,M1075=phu!$I$67,M1075=phu!$I$68,M1075=phu!$I$69,M1075=phu!$I$70,M1075=phu!$I$71),"Ba Ngòi",""),IF(OR(M1075=phu!$I$72,M1075=phu!$I$73,M1075=phu!$I$74,M1075=phu!$I$75,M1075=phu!$I$76,M1075=phu!$I$77,M1075=phu!$I$78),"Cam Phước Đông",""),IF(OR(M1075=phu!$I$79,M1075=phu!$I$80,M1075=phu!$I$81,M1075=phu!$I$82,M1075=phu!$I$83,M1075=phu!$I$84),"Cam Thịnh Đông",""),IF(OR(M1075=phu!$I$85,M1075=phu!$I$86,M1075=phu!$I$87,M1075=phu!$I$88),"Cam Thịnh Tây",""),IF(OR(M1075=phu!$I$89,M1075=phu!$I$90),"Cam Lập",""),IF(OR(M1075=phu!$I$91,M1075=phu!$I$92,M1075=phu!$I$93),"Cam Bình",""),IF(OR(M1075=phu!$I$94,M1075=phu!$I$95,M1075=phu!$I$96,M1075=phu!$I$97,M1075=phu!$I$98,M1075=phu!$I$99,M1075=phu!$I$100),"Huyện khác",""),IF(OR(M1075=phu!$I$101,M1075=phu!$I$102),"Tỉnh khác",""))</f>
        <v/>
      </c>
      <c r="O1075" s="829" t="str">
        <f t="shared" si="96"/>
        <v/>
      </c>
      <c r="P1075" s="254"/>
      <c r="Q1075" s="254"/>
      <c r="R1075" s="254"/>
      <c r="S1075" s="254"/>
      <c r="T1075" s="254"/>
      <c r="U1075" s="254"/>
      <c r="V1075" s="254"/>
      <c r="W1075" s="254"/>
      <c r="Y1075" s="246" t="str">
        <f t="shared" si="97"/>
        <v/>
      </c>
      <c r="Z1075" s="247" t="str">
        <f t="shared" si="101"/>
        <v/>
      </c>
      <c r="AA1075" s="246" t="str">
        <f t="shared" si="98"/>
        <v/>
      </c>
    </row>
    <row r="1076" spans="1:27" x14ac:dyDescent="0.25">
      <c r="A1076" s="248" t="str">
        <f t="shared" si="99"/>
        <v/>
      </c>
      <c r="B1076" s="249" t="str">
        <f t="shared" si="100"/>
        <v/>
      </c>
      <c r="C1076" s="250"/>
      <c r="D1076" s="251"/>
      <c r="E1076" s="241"/>
      <c r="F1076" s="252"/>
      <c r="G1076" s="252"/>
      <c r="H1076" s="253"/>
      <c r="I1076" s="250"/>
      <c r="J1076" s="250"/>
      <c r="K1076" s="270"/>
      <c r="L1076" s="250"/>
      <c r="M1076" s="250"/>
      <c r="N1076" s="540" t="str">
        <f>CONCATENATE(IF(OR(M1076=phu!$I$1,M1076=phu!$I$2,M1076=phu!$I$3),"Cam Thành Nam",""),IF(OR(M1076=phu!$I$4,M1076=phu!$I$5,M1076=phu!$I$6,M1076=phu!$I$7,M1076=phu!$I$8,M1076=phu!$I$9,M1076=phu!$I$10,M1076=phu!$I$11,M1076=phu!$I$12,M1076=phu!$I$13,M1076=phu!$I$14),"Cam Nghĩa",""),IF(OR(M1076=phu!$I$15,M1076=phu!$I$16,M1076=phu!$I$17,M1076=phu!$I$18,M1076=phu!$I$19,M1076=phu!$I$20,M1076=phu!$I$21),"Cam Phúc Bắc",""),IF(OR(M1076=phu!$I$22,M1076=phu!$I$23,M1076=phu!$I$24,M1076=phu!$I$25),"Cam Phúc Nam",""),IF(OR(M1076=phu!$I$26,M1076=phu!$I$27,M1076=phu!$I$28,M1076=phu!$I$29,M1076=phu!$I$30,M1076=phu!$I$31),"Cam Phú",""),IF(OR(M1076=phu!$I$32,M1076=phu!$I$33,M1076=phu!$I$34,M1076=phu!$I$35,M1076=phu!$I$36,M1076=phu!$I$37),"Cam Lộc",""),IF(OR(M1076=phu!$I$38,M1076=phu!$I$39,M1076=phu!$I$40,M1076=phu!$I$41,M1076=phu!$I$42,M1076=phu!$I$43,M1076=phu!$I$44),"Cam Thuận",""),IF(OR(M1076=phu!$I$45,M1076=phu!$I$46,M1076=phu!$I$47,M1076=phu!$I$48,M1076=phu!$I$49,M1076=phu!$I$50,M1076=phu!$I$51,M1076=phu!$I$52,M1076=phu!$I$53),"Cam Linh",""),IF(OR(M1076=phu!$I$54,M1076=phu!$I$55,M1076=phu!$I$56,M1076=phu!$I$57,M1076=phu!$I$58,M1076=phu!$I$59,M1076=phu!$I$60,M1076=phu!$I$61,M1076=phu!$I$62),"Cam Lợi",""),IF(OR(M1076=phu!$I$63,M1076=phu!$I$64,M1076=phu!$I$65,M1076=phu!$I$66,M1076=phu!$I$67,M1076=phu!$I$68,M1076=phu!$I$69,M1076=phu!$I$70,M1076=phu!$I$71),"Ba Ngòi",""),IF(OR(M1076=phu!$I$72,M1076=phu!$I$73,M1076=phu!$I$74,M1076=phu!$I$75,M1076=phu!$I$76,M1076=phu!$I$77,M1076=phu!$I$78),"Cam Phước Đông",""),IF(OR(M1076=phu!$I$79,M1076=phu!$I$80,M1076=phu!$I$81,M1076=phu!$I$82,M1076=phu!$I$83,M1076=phu!$I$84),"Cam Thịnh Đông",""),IF(OR(M1076=phu!$I$85,M1076=phu!$I$86,M1076=phu!$I$87,M1076=phu!$I$88),"Cam Thịnh Tây",""),IF(OR(M1076=phu!$I$89,M1076=phu!$I$90),"Cam Lập",""),IF(OR(M1076=phu!$I$91,M1076=phu!$I$92,M1076=phu!$I$93),"Cam Bình",""),IF(OR(M1076=phu!$I$94,M1076=phu!$I$95,M1076=phu!$I$96,M1076=phu!$I$97,M1076=phu!$I$98,M1076=phu!$I$99,M1076=phu!$I$100),"Huyện khác",""),IF(OR(M1076=phu!$I$101,M1076=phu!$I$102),"Tỉnh khác",""))</f>
        <v/>
      </c>
      <c r="O1076" s="829" t="str">
        <f t="shared" si="96"/>
        <v/>
      </c>
      <c r="P1076" s="254"/>
      <c r="Q1076" s="254"/>
      <c r="R1076" s="254"/>
      <c r="S1076" s="254"/>
      <c r="T1076" s="254"/>
      <c r="U1076" s="254"/>
      <c r="V1076" s="254"/>
      <c r="W1076" s="254"/>
      <c r="Y1076" s="246" t="str">
        <f t="shared" si="97"/>
        <v/>
      </c>
      <c r="Z1076" s="247" t="str">
        <f t="shared" si="101"/>
        <v/>
      </c>
      <c r="AA1076" s="246" t="str">
        <f t="shared" si="98"/>
        <v/>
      </c>
    </row>
    <row r="1077" spans="1:27" x14ac:dyDescent="0.25">
      <c r="A1077" s="248" t="str">
        <f t="shared" si="99"/>
        <v/>
      </c>
      <c r="B1077" s="249" t="str">
        <f t="shared" si="100"/>
        <v/>
      </c>
      <c r="C1077" s="250"/>
      <c r="D1077" s="251"/>
      <c r="E1077" s="241"/>
      <c r="F1077" s="252"/>
      <c r="G1077" s="252"/>
      <c r="H1077" s="253"/>
      <c r="I1077" s="250"/>
      <c r="J1077" s="250"/>
      <c r="K1077" s="270"/>
      <c r="L1077" s="250"/>
      <c r="M1077" s="250"/>
      <c r="N1077" s="540" t="str">
        <f>CONCATENATE(IF(OR(M1077=phu!$I$1,M1077=phu!$I$2,M1077=phu!$I$3),"Cam Thành Nam",""),IF(OR(M1077=phu!$I$4,M1077=phu!$I$5,M1077=phu!$I$6,M1077=phu!$I$7,M1077=phu!$I$8,M1077=phu!$I$9,M1077=phu!$I$10,M1077=phu!$I$11,M1077=phu!$I$12,M1077=phu!$I$13,M1077=phu!$I$14),"Cam Nghĩa",""),IF(OR(M1077=phu!$I$15,M1077=phu!$I$16,M1077=phu!$I$17,M1077=phu!$I$18,M1077=phu!$I$19,M1077=phu!$I$20,M1077=phu!$I$21),"Cam Phúc Bắc",""),IF(OR(M1077=phu!$I$22,M1077=phu!$I$23,M1077=phu!$I$24,M1077=phu!$I$25),"Cam Phúc Nam",""),IF(OR(M1077=phu!$I$26,M1077=phu!$I$27,M1077=phu!$I$28,M1077=phu!$I$29,M1077=phu!$I$30,M1077=phu!$I$31),"Cam Phú",""),IF(OR(M1077=phu!$I$32,M1077=phu!$I$33,M1077=phu!$I$34,M1077=phu!$I$35,M1077=phu!$I$36,M1077=phu!$I$37),"Cam Lộc",""),IF(OR(M1077=phu!$I$38,M1077=phu!$I$39,M1077=phu!$I$40,M1077=phu!$I$41,M1077=phu!$I$42,M1077=phu!$I$43,M1077=phu!$I$44),"Cam Thuận",""),IF(OR(M1077=phu!$I$45,M1077=phu!$I$46,M1077=phu!$I$47,M1077=phu!$I$48,M1077=phu!$I$49,M1077=phu!$I$50,M1077=phu!$I$51,M1077=phu!$I$52,M1077=phu!$I$53),"Cam Linh",""),IF(OR(M1077=phu!$I$54,M1077=phu!$I$55,M1077=phu!$I$56,M1077=phu!$I$57,M1077=phu!$I$58,M1077=phu!$I$59,M1077=phu!$I$60,M1077=phu!$I$61,M1077=phu!$I$62),"Cam Lợi",""),IF(OR(M1077=phu!$I$63,M1077=phu!$I$64,M1077=phu!$I$65,M1077=phu!$I$66,M1077=phu!$I$67,M1077=phu!$I$68,M1077=phu!$I$69,M1077=phu!$I$70,M1077=phu!$I$71),"Ba Ngòi",""),IF(OR(M1077=phu!$I$72,M1077=phu!$I$73,M1077=phu!$I$74,M1077=phu!$I$75,M1077=phu!$I$76,M1077=phu!$I$77,M1077=phu!$I$78),"Cam Phước Đông",""),IF(OR(M1077=phu!$I$79,M1077=phu!$I$80,M1077=phu!$I$81,M1077=phu!$I$82,M1077=phu!$I$83,M1077=phu!$I$84),"Cam Thịnh Đông",""),IF(OR(M1077=phu!$I$85,M1077=phu!$I$86,M1077=phu!$I$87,M1077=phu!$I$88),"Cam Thịnh Tây",""),IF(OR(M1077=phu!$I$89,M1077=phu!$I$90),"Cam Lập",""),IF(OR(M1077=phu!$I$91,M1077=phu!$I$92,M1077=phu!$I$93),"Cam Bình",""),IF(OR(M1077=phu!$I$94,M1077=phu!$I$95,M1077=phu!$I$96,M1077=phu!$I$97,M1077=phu!$I$98,M1077=phu!$I$99,M1077=phu!$I$100),"Huyện khác",""),IF(OR(M1077=phu!$I$101,M1077=phu!$I$102),"Tỉnh khác",""))</f>
        <v/>
      </c>
      <c r="O1077" s="829" t="str">
        <f t="shared" si="96"/>
        <v/>
      </c>
      <c r="P1077" s="254"/>
      <c r="Q1077" s="254"/>
      <c r="R1077" s="254"/>
      <c r="S1077" s="254"/>
      <c r="T1077" s="254"/>
      <c r="U1077" s="254"/>
      <c r="V1077" s="254"/>
      <c r="W1077" s="254"/>
      <c r="Y1077" s="246" t="str">
        <f t="shared" si="97"/>
        <v/>
      </c>
      <c r="Z1077" s="247" t="str">
        <f t="shared" si="101"/>
        <v/>
      </c>
      <c r="AA1077" s="246" t="str">
        <f t="shared" si="98"/>
        <v/>
      </c>
    </row>
    <row r="1078" spans="1:27" x14ac:dyDescent="0.25">
      <c r="A1078" s="248" t="str">
        <f t="shared" si="99"/>
        <v/>
      </c>
      <c r="B1078" s="249" t="str">
        <f t="shared" si="100"/>
        <v/>
      </c>
      <c r="C1078" s="250"/>
      <c r="D1078" s="251"/>
      <c r="E1078" s="241"/>
      <c r="F1078" s="252"/>
      <c r="G1078" s="252"/>
      <c r="H1078" s="253"/>
      <c r="I1078" s="250"/>
      <c r="J1078" s="250"/>
      <c r="K1078" s="270"/>
      <c r="L1078" s="250"/>
      <c r="M1078" s="250"/>
      <c r="N1078" s="540" t="str">
        <f>CONCATENATE(IF(OR(M1078=phu!$I$1,M1078=phu!$I$2,M1078=phu!$I$3),"Cam Thành Nam",""),IF(OR(M1078=phu!$I$4,M1078=phu!$I$5,M1078=phu!$I$6,M1078=phu!$I$7,M1078=phu!$I$8,M1078=phu!$I$9,M1078=phu!$I$10,M1078=phu!$I$11,M1078=phu!$I$12,M1078=phu!$I$13,M1078=phu!$I$14),"Cam Nghĩa",""),IF(OR(M1078=phu!$I$15,M1078=phu!$I$16,M1078=phu!$I$17,M1078=phu!$I$18,M1078=phu!$I$19,M1078=phu!$I$20,M1078=phu!$I$21),"Cam Phúc Bắc",""),IF(OR(M1078=phu!$I$22,M1078=phu!$I$23,M1078=phu!$I$24,M1078=phu!$I$25),"Cam Phúc Nam",""),IF(OR(M1078=phu!$I$26,M1078=phu!$I$27,M1078=phu!$I$28,M1078=phu!$I$29,M1078=phu!$I$30,M1078=phu!$I$31),"Cam Phú",""),IF(OR(M1078=phu!$I$32,M1078=phu!$I$33,M1078=phu!$I$34,M1078=phu!$I$35,M1078=phu!$I$36,M1078=phu!$I$37),"Cam Lộc",""),IF(OR(M1078=phu!$I$38,M1078=phu!$I$39,M1078=phu!$I$40,M1078=phu!$I$41,M1078=phu!$I$42,M1078=phu!$I$43,M1078=phu!$I$44),"Cam Thuận",""),IF(OR(M1078=phu!$I$45,M1078=phu!$I$46,M1078=phu!$I$47,M1078=phu!$I$48,M1078=phu!$I$49,M1078=phu!$I$50,M1078=phu!$I$51,M1078=phu!$I$52,M1078=phu!$I$53),"Cam Linh",""),IF(OR(M1078=phu!$I$54,M1078=phu!$I$55,M1078=phu!$I$56,M1078=phu!$I$57,M1078=phu!$I$58,M1078=phu!$I$59,M1078=phu!$I$60,M1078=phu!$I$61,M1078=phu!$I$62),"Cam Lợi",""),IF(OR(M1078=phu!$I$63,M1078=phu!$I$64,M1078=phu!$I$65,M1078=phu!$I$66,M1078=phu!$I$67,M1078=phu!$I$68,M1078=phu!$I$69,M1078=phu!$I$70,M1078=phu!$I$71),"Ba Ngòi",""),IF(OR(M1078=phu!$I$72,M1078=phu!$I$73,M1078=phu!$I$74,M1078=phu!$I$75,M1078=phu!$I$76,M1078=phu!$I$77,M1078=phu!$I$78),"Cam Phước Đông",""),IF(OR(M1078=phu!$I$79,M1078=phu!$I$80,M1078=phu!$I$81,M1078=phu!$I$82,M1078=phu!$I$83,M1078=phu!$I$84),"Cam Thịnh Đông",""),IF(OR(M1078=phu!$I$85,M1078=phu!$I$86,M1078=phu!$I$87,M1078=phu!$I$88),"Cam Thịnh Tây",""),IF(OR(M1078=phu!$I$89,M1078=phu!$I$90),"Cam Lập",""),IF(OR(M1078=phu!$I$91,M1078=phu!$I$92,M1078=phu!$I$93),"Cam Bình",""),IF(OR(M1078=phu!$I$94,M1078=phu!$I$95,M1078=phu!$I$96,M1078=phu!$I$97,M1078=phu!$I$98,M1078=phu!$I$99,M1078=phu!$I$100),"Huyện khác",""),IF(OR(M1078=phu!$I$101,M1078=phu!$I$102),"Tỉnh khác",""))</f>
        <v/>
      </c>
      <c r="O1078" s="829" t="str">
        <f t="shared" si="96"/>
        <v/>
      </c>
      <c r="P1078" s="254"/>
      <c r="Q1078" s="254"/>
      <c r="R1078" s="254"/>
      <c r="S1078" s="254"/>
      <c r="T1078" s="254"/>
      <c r="U1078" s="254"/>
      <c r="V1078" s="254"/>
      <c r="W1078" s="254"/>
      <c r="Y1078" s="246" t="str">
        <f t="shared" si="97"/>
        <v/>
      </c>
      <c r="Z1078" s="247" t="str">
        <f t="shared" si="101"/>
        <v/>
      </c>
      <c r="AA1078" s="246" t="str">
        <f t="shared" si="98"/>
        <v/>
      </c>
    </row>
    <row r="1079" spans="1:27" x14ac:dyDescent="0.25">
      <c r="A1079" s="248" t="str">
        <f t="shared" si="99"/>
        <v/>
      </c>
      <c r="B1079" s="249" t="str">
        <f t="shared" si="100"/>
        <v/>
      </c>
      <c r="C1079" s="250"/>
      <c r="D1079" s="251"/>
      <c r="E1079" s="241"/>
      <c r="F1079" s="252"/>
      <c r="G1079" s="252"/>
      <c r="H1079" s="253"/>
      <c r="I1079" s="250"/>
      <c r="J1079" s="250"/>
      <c r="K1079" s="270"/>
      <c r="L1079" s="250"/>
      <c r="M1079" s="250"/>
      <c r="N1079" s="540" t="str">
        <f>CONCATENATE(IF(OR(M1079=phu!$I$1,M1079=phu!$I$2,M1079=phu!$I$3),"Cam Thành Nam",""),IF(OR(M1079=phu!$I$4,M1079=phu!$I$5,M1079=phu!$I$6,M1079=phu!$I$7,M1079=phu!$I$8,M1079=phu!$I$9,M1079=phu!$I$10,M1079=phu!$I$11,M1079=phu!$I$12,M1079=phu!$I$13,M1079=phu!$I$14),"Cam Nghĩa",""),IF(OR(M1079=phu!$I$15,M1079=phu!$I$16,M1079=phu!$I$17,M1079=phu!$I$18,M1079=phu!$I$19,M1079=phu!$I$20,M1079=phu!$I$21),"Cam Phúc Bắc",""),IF(OR(M1079=phu!$I$22,M1079=phu!$I$23,M1079=phu!$I$24,M1079=phu!$I$25),"Cam Phúc Nam",""),IF(OR(M1079=phu!$I$26,M1079=phu!$I$27,M1079=phu!$I$28,M1079=phu!$I$29,M1079=phu!$I$30,M1079=phu!$I$31),"Cam Phú",""),IF(OR(M1079=phu!$I$32,M1079=phu!$I$33,M1079=phu!$I$34,M1079=phu!$I$35,M1079=phu!$I$36,M1079=phu!$I$37),"Cam Lộc",""),IF(OR(M1079=phu!$I$38,M1079=phu!$I$39,M1079=phu!$I$40,M1079=phu!$I$41,M1079=phu!$I$42,M1079=phu!$I$43,M1079=phu!$I$44),"Cam Thuận",""),IF(OR(M1079=phu!$I$45,M1079=phu!$I$46,M1079=phu!$I$47,M1079=phu!$I$48,M1079=phu!$I$49,M1079=phu!$I$50,M1079=phu!$I$51,M1079=phu!$I$52,M1079=phu!$I$53),"Cam Linh",""),IF(OR(M1079=phu!$I$54,M1079=phu!$I$55,M1079=phu!$I$56,M1079=phu!$I$57,M1079=phu!$I$58,M1079=phu!$I$59,M1079=phu!$I$60,M1079=phu!$I$61,M1079=phu!$I$62),"Cam Lợi",""),IF(OR(M1079=phu!$I$63,M1079=phu!$I$64,M1079=phu!$I$65,M1079=phu!$I$66,M1079=phu!$I$67,M1079=phu!$I$68,M1079=phu!$I$69,M1079=phu!$I$70,M1079=phu!$I$71),"Ba Ngòi",""),IF(OR(M1079=phu!$I$72,M1079=phu!$I$73,M1079=phu!$I$74,M1079=phu!$I$75,M1079=phu!$I$76,M1079=phu!$I$77,M1079=phu!$I$78),"Cam Phước Đông",""),IF(OR(M1079=phu!$I$79,M1079=phu!$I$80,M1079=phu!$I$81,M1079=phu!$I$82,M1079=phu!$I$83,M1079=phu!$I$84),"Cam Thịnh Đông",""),IF(OR(M1079=phu!$I$85,M1079=phu!$I$86,M1079=phu!$I$87,M1079=phu!$I$88),"Cam Thịnh Tây",""),IF(OR(M1079=phu!$I$89,M1079=phu!$I$90),"Cam Lập",""),IF(OR(M1079=phu!$I$91,M1079=phu!$I$92,M1079=phu!$I$93),"Cam Bình",""),IF(OR(M1079=phu!$I$94,M1079=phu!$I$95,M1079=phu!$I$96,M1079=phu!$I$97,M1079=phu!$I$98,M1079=phu!$I$99,M1079=phu!$I$100),"Huyện khác",""),IF(OR(M1079=phu!$I$101,M1079=phu!$I$102),"Tỉnh khác",""))</f>
        <v/>
      </c>
      <c r="O1079" s="829" t="str">
        <f t="shared" si="96"/>
        <v/>
      </c>
      <c r="P1079" s="254"/>
      <c r="Q1079" s="254"/>
      <c r="R1079" s="254"/>
      <c r="S1079" s="254"/>
      <c r="T1079" s="254"/>
      <c r="U1079" s="254"/>
      <c r="V1079" s="254"/>
      <c r="W1079" s="254"/>
      <c r="Y1079" s="246" t="str">
        <f t="shared" si="97"/>
        <v/>
      </c>
      <c r="Z1079" s="247" t="str">
        <f t="shared" si="101"/>
        <v/>
      </c>
      <c r="AA1079" s="246" t="str">
        <f t="shared" si="98"/>
        <v/>
      </c>
    </row>
    <row r="1080" spans="1:27" x14ac:dyDescent="0.25">
      <c r="A1080" s="248" t="str">
        <f t="shared" si="99"/>
        <v/>
      </c>
      <c r="B1080" s="249" t="str">
        <f t="shared" si="100"/>
        <v/>
      </c>
      <c r="C1080" s="250"/>
      <c r="D1080" s="251"/>
      <c r="E1080" s="241"/>
      <c r="F1080" s="252"/>
      <c r="G1080" s="252"/>
      <c r="H1080" s="253"/>
      <c r="I1080" s="250"/>
      <c r="J1080" s="250"/>
      <c r="K1080" s="270"/>
      <c r="L1080" s="250"/>
      <c r="M1080" s="250"/>
      <c r="N1080" s="540" t="str">
        <f>CONCATENATE(IF(OR(M1080=phu!$I$1,M1080=phu!$I$2,M1080=phu!$I$3),"Cam Thành Nam",""),IF(OR(M1080=phu!$I$4,M1080=phu!$I$5,M1080=phu!$I$6,M1080=phu!$I$7,M1080=phu!$I$8,M1080=phu!$I$9,M1080=phu!$I$10,M1080=phu!$I$11,M1080=phu!$I$12,M1080=phu!$I$13,M1080=phu!$I$14),"Cam Nghĩa",""),IF(OR(M1080=phu!$I$15,M1080=phu!$I$16,M1080=phu!$I$17,M1080=phu!$I$18,M1080=phu!$I$19,M1080=phu!$I$20,M1080=phu!$I$21),"Cam Phúc Bắc",""),IF(OR(M1080=phu!$I$22,M1080=phu!$I$23,M1080=phu!$I$24,M1080=phu!$I$25),"Cam Phúc Nam",""),IF(OR(M1080=phu!$I$26,M1080=phu!$I$27,M1080=phu!$I$28,M1080=phu!$I$29,M1080=phu!$I$30,M1080=phu!$I$31),"Cam Phú",""),IF(OR(M1080=phu!$I$32,M1080=phu!$I$33,M1080=phu!$I$34,M1080=phu!$I$35,M1080=phu!$I$36,M1080=phu!$I$37),"Cam Lộc",""),IF(OR(M1080=phu!$I$38,M1080=phu!$I$39,M1080=phu!$I$40,M1080=phu!$I$41,M1080=phu!$I$42,M1080=phu!$I$43,M1080=phu!$I$44),"Cam Thuận",""),IF(OR(M1080=phu!$I$45,M1080=phu!$I$46,M1080=phu!$I$47,M1080=phu!$I$48,M1080=phu!$I$49,M1080=phu!$I$50,M1080=phu!$I$51,M1080=phu!$I$52,M1080=phu!$I$53),"Cam Linh",""),IF(OR(M1080=phu!$I$54,M1080=phu!$I$55,M1080=phu!$I$56,M1080=phu!$I$57,M1080=phu!$I$58,M1080=phu!$I$59,M1080=phu!$I$60,M1080=phu!$I$61,M1080=phu!$I$62),"Cam Lợi",""),IF(OR(M1080=phu!$I$63,M1080=phu!$I$64,M1080=phu!$I$65,M1080=phu!$I$66,M1080=phu!$I$67,M1080=phu!$I$68,M1080=phu!$I$69,M1080=phu!$I$70,M1080=phu!$I$71),"Ba Ngòi",""),IF(OR(M1080=phu!$I$72,M1080=phu!$I$73,M1080=phu!$I$74,M1080=phu!$I$75,M1080=phu!$I$76,M1080=phu!$I$77,M1080=phu!$I$78),"Cam Phước Đông",""),IF(OR(M1080=phu!$I$79,M1080=phu!$I$80,M1080=phu!$I$81,M1080=phu!$I$82,M1080=phu!$I$83,M1080=phu!$I$84),"Cam Thịnh Đông",""),IF(OR(M1080=phu!$I$85,M1080=phu!$I$86,M1080=phu!$I$87,M1080=phu!$I$88),"Cam Thịnh Tây",""),IF(OR(M1080=phu!$I$89,M1080=phu!$I$90),"Cam Lập",""),IF(OR(M1080=phu!$I$91,M1080=phu!$I$92,M1080=phu!$I$93),"Cam Bình",""),IF(OR(M1080=phu!$I$94,M1080=phu!$I$95,M1080=phu!$I$96,M1080=phu!$I$97,M1080=phu!$I$98,M1080=phu!$I$99,M1080=phu!$I$100),"Huyện khác",""),IF(OR(M1080=phu!$I$101,M1080=phu!$I$102),"Tỉnh khác",""))</f>
        <v/>
      </c>
      <c r="O1080" s="829" t="str">
        <f t="shared" si="96"/>
        <v/>
      </c>
      <c r="P1080" s="254"/>
      <c r="Q1080" s="254"/>
      <c r="R1080" s="254"/>
      <c r="S1080" s="254"/>
      <c r="T1080" s="254"/>
      <c r="U1080" s="254"/>
      <c r="V1080" s="254"/>
      <c r="W1080" s="254"/>
      <c r="Y1080" s="246" t="str">
        <f t="shared" si="97"/>
        <v/>
      </c>
      <c r="Z1080" s="247" t="str">
        <f t="shared" si="101"/>
        <v/>
      </c>
      <c r="AA1080" s="246" t="str">
        <f t="shared" si="98"/>
        <v/>
      </c>
    </row>
    <row r="1081" spans="1:27" x14ac:dyDescent="0.25">
      <c r="A1081" s="248" t="str">
        <f t="shared" si="99"/>
        <v/>
      </c>
      <c r="B1081" s="249" t="str">
        <f t="shared" si="100"/>
        <v/>
      </c>
      <c r="C1081" s="250"/>
      <c r="D1081" s="251"/>
      <c r="E1081" s="241"/>
      <c r="F1081" s="252"/>
      <c r="G1081" s="252"/>
      <c r="H1081" s="253"/>
      <c r="I1081" s="250"/>
      <c r="J1081" s="250"/>
      <c r="K1081" s="270"/>
      <c r="L1081" s="250"/>
      <c r="M1081" s="250"/>
      <c r="N1081" s="540" t="str">
        <f>CONCATENATE(IF(OR(M1081=phu!$I$1,M1081=phu!$I$2,M1081=phu!$I$3),"Cam Thành Nam",""),IF(OR(M1081=phu!$I$4,M1081=phu!$I$5,M1081=phu!$I$6,M1081=phu!$I$7,M1081=phu!$I$8,M1081=phu!$I$9,M1081=phu!$I$10,M1081=phu!$I$11,M1081=phu!$I$12,M1081=phu!$I$13,M1081=phu!$I$14),"Cam Nghĩa",""),IF(OR(M1081=phu!$I$15,M1081=phu!$I$16,M1081=phu!$I$17,M1081=phu!$I$18,M1081=phu!$I$19,M1081=phu!$I$20,M1081=phu!$I$21),"Cam Phúc Bắc",""),IF(OR(M1081=phu!$I$22,M1081=phu!$I$23,M1081=phu!$I$24,M1081=phu!$I$25),"Cam Phúc Nam",""),IF(OR(M1081=phu!$I$26,M1081=phu!$I$27,M1081=phu!$I$28,M1081=phu!$I$29,M1081=phu!$I$30,M1081=phu!$I$31),"Cam Phú",""),IF(OR(M1081=phu!$I$32,M1081=phu!$I$33,M1081=phu!$I$34,M1081=phu!$I$35,M1081=phu!$I$36,M1081=phu!$I$37),"Cam Lộc",""),IF(OR(M1081=phu!$I$38,M1081=phu!$I$39,M1081=phu!$I$40,M1081=phu!$I$41,M1081=phu!$I$42,M1081=phu!$I$43,M1081=phu!$I$44),"Cam Thuận",""),IF(OR(M1081=phu!$I$45,M1081=phu!$I$46,M1081=phu!$I$47,M1081=phu!$I$48,M1081=phu!$I$49,M1081=phu!$I$50,M1081=phu!$I$51,M1081=phu!$I$52,M1081=phu!$I$53),"Cam Linh",""),IF(OR(M1081=phu!$I$54,M1081=phu!$I$55,M1081=phu!$I$56,M1081=phu!$I$57,M1081=phu!$I$58,M1081=phu!$I$59,M1081=phu!$I$60,M1081=phu!$I$61,M1081=phu!$I$62),"Cam Lợi",""),IF(OR(M1081=phu!$I$63,M1081=phu!$I$64,M1081=phu!$I$65,M1081=phu!$I$66,M1081=phu!$I$67,M1081=phu!$I$68,M1081=phu!$I$69,M1081=phu!$I$70,M1081=phu!$I$71),"Ba Ngòi",""),IF(OR(M1081=phu!$I$72,M1081=phu!$I$73,M1081=phu!$I$74,M1081=phu!$I$75,M1081=phu!$I$76,M1081=phu!$I$77,M1081=phu!$I$78),"Cam Phước Đông",""),IF(OR(M1081=phu!$I$79,M1081=phu!$I$80,M1081=phu!$I$81,M1081=phu!$I$82,M1081=phu!$I$83,M1081=phu!$I$84),"Cam Thịnh Đông",""),IF(OR(M1081=phu!$I$85,M1081=phu!$I$86,M1081=phu!$I$87,M1081=phu!$I$88),"Cam Thịnh Tây",""),IF(OR(M1081=phu!$I$89,M1081=phu!$I$90),"Cam Lập",""),IF(OR(M1081=phu!$I$91,M1081=phu!$I$92,M1081=phu!$I$93),"Cam Bình",""),IF(OR(M1081=phu!$I$94,M1081=phu!$I$95,M1081=phu!$I$96,M1081=phu!$I$97,M1081=phu!$I$98,M1081=phu!$I$99,M1081=phu!$I$100),"Huyện khác",""),IF(OR(M1081=phu!$I$101,M1081=phu!$I$102),"Tỉnh khác",""))</f>
        <v/>
      </c>
      <c r="O1081" s="829" t="str">
        <f t="shared" si="96"/>
        <v/>
      </c>
      <c r="P1081" s="254"/>
      <c r="Q1081" s="254"/>
      <c r="R1081" s="254"/>
      <c r="S1081" s="254"/>
      <c r="T1081" s="254"/>
      <c r="U1081" s="254"/>
      <c r="V1081" s="254"/>
      <c r="W1081" s="254"/>
      <c r="Y1081" s="246" t="str">
        <f t="shared" si="97"/>
        <v/>
      </c>
      <c r="Z1081" s="247" t="str">
        <f t="shared" si="101"/>
        <v/>
      </c>
      <c r="AA1081" s="246" t="str">
        <f t="shared" si="98"/>
        <v/>
      </c>
    </row>
    <row r="1082" spans="1:27" x14ac:dyDescent="0.25">
      <c r="A1082" s="248" t="str">
        <f t="shared" si="99"/>
        <v/>
      </c>
      <c r="B1082" s="249" t="str">
        <f t="shared" si="100"/>
        <v/>
      </c>
      <c r="C1082" s="250"/>
      <c r="D1082" s="251"/>
      <c r="E1082" s="241"/>
      <c r="F1082" s="252"/>
      <c r="G1082" s="252"/>
      <c r="H1082" s="253"/>
      <c r="I1082" s="250"/>
      <c r="J1082" s="250"/>
      <c r="K1082" s="270"/>
      <c r="L1082" s="250"/>
      <c r="M1082" s="250"/>
      <c r="N1082" s="540" t="str">
        <f>CONCATENATE(IF(OR(M1082=phu!$I$1,M1082=phu!$I$2,M1082=phu!$I$3),"Cam Thành Nam",""),IF(OR(M1082=phu!$I$4,M1082=phu!$I$5,M1082=phu!$I$6,M1082=phu!$I$7,M1082=phu!$I$8,M1082=phu!$I$9,M1082=phu!$I$10,M1082=phu!$I$11,M1082=phu!$I$12,M1082=phu!$I$13,M1082=phu!$I$14),"Cam Nghĩa",""),IF(OR(M1082=phu!$I$15,M1082=phu!$I$16,M1082=phu!$I$17,M1082=phu!$I$18,M1082=phu!$I$19,M1082=phu!$I$20,M1082=phu!$I$21),"Cam Phúc Bắc",""),IF(OR(M1082=phu!$I$22,M1082=phu!$I$23,M1082=phu!$I$24,M1082=phu!$I$25),"Cam Phúc Nam",""),IF(OR(M1082=phu!$I$26,M1082=phu!$I$27,M1082=phu!$I$28,M1082=phu!$I$29,M1082=phu!$I$30,M1082=phu!$I$31),"Cam Phú",""),IF(OR(M1082=phu!$I$32,M1082=phu!$I$33,M1082=phu!$I$34,M1082=phu!$I$35,M1082=phu!$I$36,M1082=phu!$I$37),"Cam Lộc",""),IF(OR(M1082=phu!$I$38,M1082=phu!$I$39,M1082=phu!$I$40,M1082=phu!$I$41,M1082=phu!$I$42,M1082=phu!$I$43,M1082=phu!$I$44),"Cam Thuận",""),IF(OR(M1082=phu!$I$45,M1082=phu!$I$46,M1082=phu!$I$47,M1082=phu!$I$48,M1082=phu!$I$49,M1082=phu!$I$50,M1082=phu!$I$51,M1082=phu!$I$52,M1082=phu!$I$53),"Cam Linh",""),IF(OR(M1082=phu!$I$54,M1082=phu!$I$55,M1082=phu!$I$56,M1082=phu!$I$57,M1082=phu!$I$58,M1082=phu!$I$59,M1082=phu!$I$60,M1082=phu!$I$61,M1082=phu!$I$62),"Cam Lợi",""),IF(OR(M1082=phu!$I$63,M1082=phu!$I$64,M1082=phu!$I$65,M1082=phu!$I$66,M1082=phu!$I$67,M1082=phu!$I$68,M1082=phu!$I$69,M1082=phu!$I$70,M1082=phu!$I$71),"Ba Ngòi",""),IF(OR(M1082=phu!$I$72,M1082=phu!$I$73,M1082=phu!$I$74,M1082=phu!$I$75,M1082=phu!$I$76,M1082=phu!$I$77,M1082=phu!$I$78),"Cam Phước Đông",""),IF(OR(M1082=phu!$I$79,M1082=phu!$I$80,M1082=phu!$I$81,M1082=phu!$I$82,M1082=phu!$I$83,M1082=phu!$I$84),"Cam Thịnh Đông",""),IF(OR(M1082=phu!$I$85,M1082=phu!$I$86,M1082=phu!$I$87,M1082=phu!$I$88),"Cam Thịnh Tây",""),IF(OR(M1082=phu!$I$89,M1082=phu!$I$90),"Cam Lập",""),IF(OR(M1082=phu!$I$91,M1082=phu!$I$92,M1082=phu!$I$93),"Cam Bình",""),IF(OR(M1082=phu!$I$94,M1082=phu!$I$95,M1082=phu!$I$96,M1082=phu!$I$97,M1082=phu!$I$98,M1082=phu!$I$99,M1082=phu!$I$100),"Huyện khác",""),IF(OR(M1082=phu!$I$101,M1082=phu!$I$102),"Tỉnh khác",""))</f>
        <v/>
      </c>
      <c r="O1082" s="829" t="str">
        <f t="shared" si="96"/>
        <v/>
      </c>
      <c r="P1082" s="254"/>
      <c r="Q1082" s="254"/>
      <c r="R1082" s="254"/>
      <c r="S1082" s="254"/>
      <c r="T1082" s="254"/>
      <c r="U1082" s="254"/>
      <c r="V1082" s="254"/>
      <c r="W1082" s="254"/>
      <c r="Y1082" s="246" t="str">
        <f t="shared" si="97"/>
        <v/>
      </c>
      <c r="Z1082" s="247" t="str">
        <f t="shared" si="101"/>
        <v/>
      </c>
      <c r="AA1082" s="246" t="str">
        <f t="shared" si="98"/>
        <v/>
      </c>
    </row>
    <row r="1083" spans="1:27" x14ac:dyDescent="0.25">
      <c r="A1083" s="248" t="str">
        <f t="shared" si="99"/>
        <v/>
      </c>
      <c r="B1083" s="249" t="str">
        <f t="shared" si="100"/>
        <v/>
      </c>
      <c r="C1083" s="250"/>
      <c r="D1083" s="251"/>
      <c r="E1083" s="241"/>
      <c r="F1083" s="252"/>
      <c r="G1083" s="252"/>
      <c r="H1083" s="253"/>
      <c r="I1083" s="250"/>
      <c r="J1083" s="250"/>
      <c r="K1083" s="270"/>
      <c r="L1083" s="250"/>
      <c r="M1083" s="250"/>
      <c r="N1083" s="540" t="str">
        <f>CONCATENATE(IF(OR(M1083=phu!$I$1,M1083=phu!$I$2,M1083=phu!$I$3),"Cam Thành Nam",""),IF(OR(M1083=phu!$I$4,M1083=phu!$I$5,M1083=phu!$I$6,M1083=phu!$I$7,M1083=phu!$I$8,M1083=phu!$I$9,M1083=phu!$I$10,M1083=phu!$I$11,M1083=phu!$I$12,M1083=phu!$I$13,M1083=phu!$I$14),"Cam Nghĩa",""),IF(OR(M1083=phu!$I$15,M1083=phu!$I$16,M1083=phu!$I$17,M1083=phu!$I$18,M1083=phu!$I$19,M1083=phu!$I$20,M1083=phu!$I$21),"Cam Phúc Bắc",""),IF(OR(M1083=phu!$I$22,M1083=phu!$I$23,M1083=phu!$I$24,M1083=phu!$I$25),"Cam Phúc Nam",""),IF(OR(M1083=phu!$I$26,M1083=phu!$I$27,M1083=phu!$I$28,M1083=phu!$I$29,M1083=phu!$I$30,M1083=phu!$I$31),"Cam Phú",""),IF(OR(M1083=phu!$I$32,M1083=phu!$I$33,M1083=phu!$I$34,M1083=phu!$I$35,M1083=phu!$I$36,M1083=phu!$I$37),"Cam Lộc",""),IF(OR(M1083=phu!$I$38,M1083=phu!$I$39,M1083=phu!$I$40,M1083=phu!$I$41,M1083=phu!$I$42,M1083=phu!$I$43,M1083=phu!$I$44),"Cam Thuận",""),IF(OR(M1083=phu!$I$45,M1083=phu!$I$46,M1083=phu!$I$47,M1083=phu!$I$48,M1083=phu!$I$49,M1083=phu!$I$50,M1083=phu!$I$51,M1083=phu!$I$52,M1083=phu!$I$53),"Cam Linh",""),IF(OR(M1083=phu!$I$54,M1083=phu!$I$55,M1083=phu!$I$56,M1083=phu!$I$57,M1083=phu!$I$58,M1083=phu!$I$59,M1083=phu!$I$60,M1083=phu!$I$61,M1083=phu!$I$62),"Cam Lợi",""),IF(OR(M1083=phu!$I$63,M1083=phu!$I$64,M1083=phu!$I$65,M1083=phu!$I$66,M1083=phu!$I$67,M1083=phu!$I$68,M1083=phu!$I$69,M1083=phu!$I$70,M1083=phu!$I$71),"Ba Ngòi",""),IF(OR(M1083=phu!$I$72,M1083=phu!$I$73,M1083=phu!$I$74,M1083=phu!$I$75,M1083=phu!$I$76,M1083=phu!$I$77,M1083=phu!$I$78),"Cam Phước Đông",""),IF(OR(M1083=phu!$I$79,M1083=phu!$I$80,M1083=phu!$I$81,M1083=phu!$I$82,M1083=phu!$I$83,M1083=phu!$I$84),"Cam Thịnh Đông",""),IF(OR(M1083=phu!$I$85,M1083=phu!$I$86,M1083=phu!$I$87,M1083=phu!$I$88),"Cam Thịnh Tây",""),IF(OR(M1083=phu!$I$89,M1083=phu!$I$90),"Cam Lập",""),IF(OR(M1083=phu!$I$91,M1083=phu!$I$92,M1083=phu!$I$93),"Cam Bình",""),IF(OR(M1083=phu!$I$94,M1083=phu!$I$95,M1083=phu!$I$96,M1083=phu!$I$97,M1083=phu!$I$98,M1083=phu!$I$99,M1083=phu!$I$100),"Huyện khác",""),IF(OR(M1083=phu!$I$101,M1083=phu!$I$102),"Tỉnh khác",""))</f>
        <v/>
      </c>
      <c r="O1083" s="829" t="str">
        <f t="shared" si="96"/>
        <v/>
      </c>
      <c r="P1083" s="254"/>
      <c r="Q1083" s="254"/>
      <c r="R1083" s="254"/>
      <c r="S1083" s="254"/>
      <c r="T1083" s="254"/>
      <c r="U1083" s="254"/>
      <c r="V1083" s="254"/>
      <c r="W1083" s="254"/>
      <c r="Y1083" s="246" t="str">
        <f t="shared" si="97"/>
        <v/>
      </c>
      <c r="Z1083" s="247" t="str">
        <f t="shared" si="101"/>
        <v/>
      </c>
      <c r="AA1083" s="246" t="str">
        <f t="shared" si="98"/>
        <v/>
      </c>
    </row>
    <row r="1084" spans="1:27" x14ac:dyDescent="0.25">
      <c r="A1084" s="248" t="str">
        <f t="shared" si="99"/>
        <v/>
      </c>
      <c r="B1084" s="249" t="str">
        <f t="shared" si="100"/>
        <v/>
      </c>
      <c r="C1084" s="250"/>
      <c r="D1084" s="251"/>
      <c r="E1084" s="241"/>
      <c r="F1084" s="252"/>
      <c r="G1084" s="252"/>
      <c r="H1084" s="253"/>
      <c r="I1084" s="250"/>
      <c r="J1084" s="250"/>
      <c r="K1084" s="270"/>
      <c r="L1084" s="250"/>
      <c r="M1084" s="250"/>
      <c r="N1084" s="540" t="str">
        <f>CONCATENATE(IF(OR(M1084=phu!$I$1,M1084=phu!$I$2,M1084=phu!$I$3),"Cam Thành Nam",""),IF(OR(M1084=phu!$I$4,M1084=phu!$I$5,M1084=phu!$I$6,M1084=phu!$I$7,M1084=phu!$I$8,M1084=phu!$I$9,M1084=phu!$I$10,M1084=phu!$I$11,M1084=phu!$I$12,M1084=phu!$I$13,M1084=phu!$I$14),"Cam Nghĩa",""),IF(OR(M1084=phu!$I$15,M1084=phu!$I$16,M1084=phu!$I$17,M1084=phu!$I$18,M1084=phu!$I$19,M1084=phu!$I$20,M1084=phu!$I$21),"Cam Phúc Bắc",""),IF(OR(M1084=phu!$I$22,M1084=phu!$I$23,M1084=phu!$I$24,M1084=phu!$I$25),"Cam Phúc Nam",""),IF(OR(M1084=phu!$I$26,M1084=phu!$I$27,M1084=phu!$I$28,M1084=phu!$I$29,M1084=phu!$I$30,M1084=phu!$I$31),"Cam Phú",""),IF(OR(M1084=phu!$I$32,M1084=phu!$I$33,M1084=phu!$I$34,M1084=phu!$I$35,M1084=phu!$I$36,M1084=phu!$I$37),"Cam Lộc",""),IF(OR(M1084=phu!$I$38,M1084=phu!$I$39,M1084=phu!$I$40,M1084=phu!$I$41,M1084=phu!$I$42,M1084=phu!$I$43,M1084=phu!$I$44),"Cam Thuận",""),IF(OR(M1084=phu!$I$45,M1084=phu!$I$46,M1084=phu!$I$47,M1084=phu!$I$48,M1084=phu!$I$49,M1084=phu!$I$50,M1084=phu!$I$51,M1084=phu!$I$52,M1084=phu!$I$53),"Cam Linh",""),IF(OR(M1084=phu!$I$54,M1084=phu!$I$55,M1084=phu!$I$56,M1084=phu!$I$57,M1084=phu!$I$58,M1084=phu!$I$59,M1084=phu!$I$60,M1084=phu!$I$61,M1084=phu!$I$62),"Cam Lợi",""),IF(OR(M1084=phu!$I$63,M1084=phu!$I$64,M1084=phu!$I$65,M1084=phu!$I$66,M1084=phu!$I$67,M1084=phu!$I$68,M1084=phu!$I$69,M1084=phu!$I$70,M1084=phu!$I$71),"Ba Ngòi",""),IF(OR(M1084=phu!$I$72,M1084=phu!$I$73,M1084=phu!$I$74,M1084=phu!$I$75,M1084=phu!$I$76,M1084=phu!$I$77,M1084=phu!$I$78),"Cam Phước Đông",""),IF(OR(M1084=phu!$I$79,M1084=phu!$I$80,M1084=phu!$I$81,M1084=phu!$I$82,M1084=phu!$I$83,M1084=phu!$I$84),"Cam Thịnh Đông",""),IF(OR(M1084=phu!$I$85,M1084=phu!$I$86,M1084=phu!$I$87,M1084=phu!$I$88),"Cam Thịnh Tây",""),IF(OR(M1084=phu!$I$89,M1084=phu!$I$90),"Cam Lập",""),IF(OR(M1084=phu!$I$91,M1084=phu!$I$92,M1084=phu!$I$93),"Cam Bình",""),IF(OR(M1084=phu!$I$94,M1084=phu!$I$95,M1084=phu!$I$96,M1084=phu!$I$97,M1084=phu!$I$98,M1084=phu!$I$99,M1084=phu!$I$100),"Huyện khác",""),IF(OR(M1084=phu!$I$101,M1084=phu!$I$102),"Tỉnh khác",""))</f>
        <v/>
      </c>
      <c r="O1084" s="829" t="str">
        <f t="shared" si="96"/>
        <v/>
      </c>
      <c r="P1084" s="254"/>
      <c r="Q1084" s="254"/>
      <c r="R1084" s="254"/>
      <c r="S1084" s="254"/>
      <c r="T1084" s="254"/>
      <c r="U1084" s="254"/>
      <c r="V1084" s="254"/>
      <c r="W1084" s="254"/>
      <c r="Y1084" s="246" t="str">
        <f t="shared" si="97"/>
        <v/>
      </c>
      <c r="Z1084" s="247" t="str">
        <f t="shared" si="101"/>
        <v/>
      </c>
      <c r="AA1084" s="246" t="str">
        <f t="shared" si="98"/>
        <v/>
      </c>
    </row>
    <row r="1085" spans="1:27" x14ac:dyDescent="0.25">
      <c r="A1085" s="248" t="str">
        <f t="shared" si="99"/>
        <v/>
      </c>
      <c r="B1085" s="249" t="str">
        <f t="shared" si="100"/>
        <v/>
      </c>
      <c r="C1085" s="250"/>
      <c r="D1085" s="251"/>
      <c r="E1085" s="241"/>
      <c r="F1085" s="252"/>
      <c r="G1085" s="252"/>
      <c r="H1085" s="253"/>
      <c r="I1085" s="250"/>
      <c r="J1085" s="250"/>
      <c r="K1085" s="270"/>
      <c r="L1085" s="250"/>
      <c r="M1085" s="250"/>
      <c r="N1085" s="540" t="str">
        <f>CONCATENATE(IF(OR(M1085=phu!$I$1,M1085=phu!$I$2,M1085=phu!$I$3),"Cam Thành Nam",""),IF(OR(M1085=phu!$I$4,M1085=phu!$I$5,M1085=phu!$I$6,M1085=phu!$I$7,M1085=phu!$I$8,M1085=phu!$I$9,M1085=phu!$I$10,M1085=phu!$I$11,M1085=phu!$I$12,M1085=phu!$I$13,M1085=phu!$I$14),"Cam Nghĩa",""),IF(OR(M1085=phu!$I$15,M1085=phu!$I$16,M1085=phu!$I$17,M1085=phu!$I$18,M1085=phu!$I$19,M1085=phu!$I$20,M1085=phu!$I$21),"Cam Phúc Bắc",""),IF(OR(M1085=phu!$I$22,M1085=phu!$I$23,M1085=phu!$I$24,M1085=phu!$I$25),"Cam Phúc Nam",""),IF(OR(M1085=phu!$I$26,M1085=phu!$I$27,M1085=phu!$I$28,M1085=phu!$I$29,M1085=phu!$I$30,M1085=phu!$I$31),"Cam Phú",""),IF(OR(M1085=phu!$I$32,M1085=phu!$I$33,M1085=phu!$I$34,M1085=phu!$I$35,M1085=phu!$I$36,M1085=phu!$I$37),"Cam Lộc",""),IF(OR(M1085=phu!$I$38,M1085=phu!$I$39,M1085=phu!$I$40,M1085=phu!$I$41,M1085=phu!$I$42,M1085=phu!$I$43,M1085=phu!$I$44),"Cam Thuận",""),IF(OR(M1085=phu!$I$45,M1085=phu!$I$46,M1085=phu!$I$47,M1085=phu!$I$48,M1085=phu!$I$49,M1085=phu!$I$50,M1085=phu!$I$51,M1085=phu!$I$52,M1085=phu!$I$53),"Cam Linh",""),IF(OR(M1085=phu!$I$54,M1085=phu!$I$55,M1085=phu!$I$56,M1085=phu!$I$57,M1085=phu!$I$58,M1085=phu!$I$59,M1085=phu!$I$60,M1085=phu!$I$61,M1085=phu!$I$62),"Cam Lợi",""),IF(OR(M1085=phu!$I$63,M1085=phu!$I$64,M1085=phu!$I$65,M1085=phu!$I$66,M1085=phu!$I$67,M1085=phu!$I$68,M1085=phu!$I$69,M1085=phu!$I$70,M1085=phu!$I$71),"Ba Ngòi",""),IF(OR(M1085=phu!$I$72,M1085=phu!$I$73,M1085=phu!$I$74,M1085=phu!$I$75,M1085=phu!$I$76,M1085=phu!$I$77,M1085=phu!$I$78),"Cam Phước Đông",""),IF(OR(M1085=phu!$I$79,M1085=phu!$I$80,M1085=phu!$I$81,M1085=phu!$I$82,M1085=phu!$I$83,M1085=phu!$I$84),"Cam Thịnh Đông",""),IF(OR(M1085=phu!$I$85,M1085=phu!$I$86,M1085=phu!$I$87,M1085=phu!$I$88),"Cam Thịnh Tây",""),IF(OR(M1085=phu!$I$89,M1085=phu!$I$90),"Cam Lập",""),IF(OR(M1085=phu!$I$91,M1085=phu!$I$92,M1085=phu!$I$93),"Cam Bình",""),IF(OR(M1085=phu!$I$94,M1085=phu!$I$95,M1085=phu!$I$96,M1085=phu!$I$97,M1085=phu!$I$98,M1085=phu!$I$99,M1085=phu!$I$100),"Huyện khác",""),IF(OR(M1085=phu!$I$101,M1085=phu!$I$102),"Tỉnh khác",""))</f>
        <v/>
      </c>
      <c r="O1085" s="829" t="str">
        <f t="shared" si="96"/>
        <v/>
      </c>
      <c r="P1085" s="254"/>
      <c r="Q1085" s="254"/>
      <c r="R1085" s="254"/>
      <c r="S1085" s="254"/>
      <c r="T1085" s="254"/>
      <c r="U1085" s="254"/>
      <c r="V1085" s="254"/>
      <c r="W1085" s="254"/>
      <c r="Y1085" s="246" t="str">
        <f t="shared" si="97"/>
        <v/>
      </c>
      <c r="Z1085" s="247" t="str">
        <f t="shared" si="101"/>
        <v/>
      </c>
      <c r="AA1085" s="246" t="str">
        <f t="shared" si="98"/>
        <v/>
      </c>
    </row>
    <row r="1086" spans="1:27" x14ac:dyDescent="0.25">
      <c r="A1086" s="248" t="str">
        <f t="shared" si="99"/>
        <v/>
      </c>
      <c r="B1086" s="249" t="str">
        <f t="shared" si="100"/>
        <v/>
      </c>
      <c r="C1086" s="250"/>
      <c r="D1086" s="251"/>
      <c r="E1086" s="241"/>
      <c r="F1086" s="252"/>
      <c r="G1086" s="252"/>
      <c r="H1086" s="253"/>
      <c r="I1086" s="250"/>
      <c r="J1086" s="250"/>
      <c r="K1086" s="270"/>
      <c r="L1086" s="250"/>
      <c r="M1086" s="250"/>
      <c r="N1086" s="540" t="str">
        <f>CONCATENATE(IF(OR(M1086=phu!$I$1,M1086=phu!$I$2,M1086=phu!$I$3),"Cam Thành Nam",""),IF(OR(M1086=phu!$I$4,M1086=phu!$I$5,M1086=phu!$I$6,M1086=phu!$I$7,M1086=phu!$I$8,M1086=phu!$I$9,M1086=phu!$I$10,M1086=phu!$I$11,M1086=phu!$I$12,M1086=phu!$I$13,M1086=phu!$I$14),"Cam Nghĩa",""),IF(OR(M1086=phu!$I$15,M1086=phu!$I$16,M1086=phu!$I$17,M1086=phu!$I$18,M1086=phu!$I$19,M1086=phu!$I$20,M1086=phu!$I$21),"Cam Phúc Bắc",""),IF(OR(M1086=phu!$I$22,M1086=phu!$I$23,M1086=phu!$I$24,M1086=phu!$I$25),"Cam Phúc Nam",""),IF(OR(M1086=phu!$I$26,M1086=phu!$I$27,M1086=phu!$I$28,M1086=phu!$I$29,M1086=phu!$I$30,M1086=phu!$I$31),"Cam Phú",""),IF(OR(M1086=phu!$I$32,M1086=phu!$I$33,M1086=phu!$I$34,M1086=phu!$I$35,M1086=phu!$I$36,M1086=phu!$I$37),"Cam Lộc",""),IF(OR(M1086=phu!$I$38,M1086=phu!$I$39,M1086=phu!$I$40,M1086=phu!$I$41,M1086=phu!$I$42,M1086=phu!$I$43,M1086=phu!$I$44),"Cam Thuận",""),IF(OR(M1086=phu!$I$45,M1086=phu!$I$46,M1086=phu!$I$47,M1086=phu!$I$48,M1086=phu!$I$49,M1086=phu!$I$50,M1086=phu!$I$51,M1086=phu!$I$52,M1086=phu!$I$53),"Cam Linh",""),IF(OR(M1086=phu!$I$54,M1086=phu!$I$55,M1086=phu!$I$56,M1086=phu!$I$57,M1086=phu!$I$58,M1086=phu!$I$59,M1086=phu!$I$60,M1086=phu!$I$61,M1086=phu!$I$62),"Cam Lợi",""),IF(OR(M1086=phu!$I$63,M1086=phu!$I$64,M1086=phu!$I$65,M1086=phu!$I$66,M1086=phu!$I$67,M1086=phu!$I$68,M1086=phu!$I$69,M1086=phu!$I$70,M1086=phu!$I$71),"Ba Ngòi",""),IF(OR(M1086=phu!$I$72,M1086=phu!$I$73,M1086=phu!$I$74,M1086=phu!$I$75,M1086=phu!$I$76,M1086=phu!$I$77,M1086=phu!$I$78),"Cam Phước Đông",""),IF(OR(M1086=phu!$I$79,M1086=phu!$I$80,M1086=phu!$I$81,M1086=phu!$I$82,M1086=phu!$I$83,M1086=phu!$I$84),"Cam Thịnh Đông",""),IF(OR(M1086=phu!$I$85,M1086=phu!$I$86,M1086=phu!$I$87,M1086=phu!$I$88),"Cam Thịnh Tây",""),IF(OR(M1086=phu!$I$89,M1086=phu!$I$90),"Cam Lập",""),IF(OR(M1086=phu!$I$91,M1086=phu!$I$92,M1086=phu!$I$93),"Cam Bình",""),IF(OR(M1086=phu!$I$94,M1086=phu!$I$95,M1086=phu!$I$96,M1086=phu!$I$97,M1086=phu!$I$98,M1086=phu!$I$99,M1086=phu!$I$100),"Huyện khác",""),IF(OR(M1086=phu!$I$101,M1086=phu!$I$102),"Tỉnh khác",""))</f>
        <v/>
      </c>
      <c r="O1086" s="829" t="str">
        <f t="shared" si="96"/>
        <v/>
      </c>
      <c r="P1086" s="254"/>
      <c r="Q1086" s="254"/>
      <c r="R1086" s="254"/>
      <c r="S1086" s="254"/>
      <c r="T1086" s="254"/>
      <c r="U1086" s="254"/>
      <c r="V1086" s="254"/>
      <c r="W1086" s="254"/>
      <c r="Y1086" s="246" t="str">
        <f t="shared" si="97"/>
        <v/>
      </c>
      <c r="Z1086" s="247" t="str">
        <f t="shared" si="101"/>
        <v/>
      </c>
      <c r="AA1086" s="246" t="str">
        <f t="shared" si="98"/>
        <v/>
      </c>
    </row>
    <row r="1087" spans="1:27" x14ac:dyDescent="0.25">
      <c r="A1087" s="248" t="str">
        <f t="shared" si="99"/>
        <v/>
      </c>
      <c r="B1087" s="249" t="str">
        <f t="shared" si="100"/>
        <v/>
      </c>
      <c r="C1087" s="250"/>
      <c r="D1087" s="251"/>
      <c r="E1087" s="241"/>
      <c r="F1087" s="252"/>
      <c r="G1087" s="252"/>
      <c r="H1087" s="253"/>
      <c r="I1087" s="250"/>
      <c r="J1087" s="250"/>
      <c r="K1087" s="270"/>
      <c r="L1087" s="250"/>
      <c r="M1087" s="250"/>
      <c r="N1087" s="540" t="str">
        <f>CONCATENATE(IF(OR(M1087=phu!$I$1,M1087=phu!$I$2,M1087=phu!$I$3),"Cam Thành Nam",""),IF(OR(M1087=phu!$I$4,M1087=phu!$I$5,M1087=phu!$I$6,M1087=phu!$I$7,M1087=phu!$I$8,M1087=phu!$I$9,M1087=phu!$I$10,M1087=phu!$I$11,M1087=phu!$I$12,M1087=phu!$I$13,M1087=phu!$I$14),"Cam Nghĩa",""),IF(OR(M1087=phu!$I$15,M1087=phu!$I$16,M1087=phu!$I$17,M1087=phu!$I$18,M1087=phu!$I$19,M1087=phu!$I$20,M1087=phu!$I$21),"Cam Phúc Bắc",""),IF(OR(M1087=phu!$I$22,M1087=phu!$I$23,M1087=phu!$I$24,M1087=phu!$I$25),"Cam Phúc Nam",""),IF(OR(M1087=phu!$I$26,M1087=phu!$I$27,M1087=phu!$I$28,M1087=phu!$I$29,M1087=phu!$I$30,M1087=phu!$I$31),"Cam Phú",""),IF(OR(M1087=phu!$I$32,M1087=phu!$I$33,M1087=phu!$I$34,M1087=phu!$I$35,M1087=phu!$I$36,M1087=phu!$I$37),"Cam Lộc",""),IF(OR(M1087=phu!$I$38,M1087=phu!$I$39,M1087=phu!$I$40,M1087=phu!$I$41,M1087=phu!$I$42,M1087=phu!$I$43,M1087=phu!$I$44),"Cam Thuận",""),IF(OR(M1087=phu!$I$45,M1087=phu!$I$46,M1087=phu!$I$47,M1087=phu!$I$48,M1087=phu!$I$49,M1087=phu!$I$50,M1087=phu!$I$51,M1087=phu!$I$52,M1087=phu!$I$53),"Cam Linh",""),IF(OR(M1087=phu!$I$54,M1087=phu!$I$55,M1087=phu!$I$56,M1087=phu!$I$57,M1087=phu!$I$58,M1087=phu!$I$59,M1087=phu!$I$60,M1087=phu!$I$61,M1087=phu!$I$62),"Cam Lợi",""),IF(OR(M1087=phu!$I$63,M1087=phu!$I$64,M1087=phu!$I$65,M1087=phu!$I$66,M1087=phu!$I$67,M1087=phu!$I$68,M1087=phu!$I$69,M1087=phu!$I$70,M1087=phu!$I$71),"Ba Ngòi",""),IF(OR(M1087=phu!$I$72,M1087=phu!$I$73,M1087=phu!$I$74,M1087=phu!$I$75,M1087=phu!$I$76,M1087=phu!$I$77,M1087=phu!$I$78),"Cam Phước Đông",""),IF(OR(M1087=phu!$I$79,M1087=phu!$I$80,M1087=phu!$I$81,M1087=phu!$I$82,M1087=phu!$I$83,M1087=phu!$I$84),"Cam Thịnh Đông",""),IF(OR(M1087=phu!$I$85,M1087=phu!$I$86,M1087=phu!$I$87,M1087=phu!$I$88),"Cam Thịnh Tây",""),IF(OR(M1087=phu!$I$89,M1087=phu!$I$90),"Cam Lập",""),IF(OR(M1087=phu!$I$91,M1087=phu!$I$92,M1087=phu!$I$93),"Cam Bình",""),IF(OR(M1087=phu!$I$94,M1087=phu!$I$95,M1087=phu!$I$96,M1087=phu!$I$97,M1087=phu!$I$98,M1087=phu!$I$99,M1087=phu!$I$100),"Huyện khác",""),IF(OR(M1087=phu!$I$101,M1087=phu!$I$102),"Tỉnh khác",""))</f>
        <v/>
      </c>
      <c r="O1087" s="829" t="str">
        <f t="shared" si="96"/>
        <v/>
      </c>
      <c r="P1087" s="254"/>
      <c r="Q1087" s="254"/>
      <c r="R1087" s="254"/>
      <c r="S1087" s="254"/>
      <c r="T1087" s="254"/>
      <c r="U1087" s="254"/>
      <c r="V1087" s="254"/>
      <c r="W1087" s="254"/>
      <c r="Y1087" s="246" t="str">
        <f t="shared" si="97"/>
        <v/>
      </c>
      <c r="Z1087" s="247" t="str">
        <f t="shared" si="101"/>
        <v/>
      </c>
      <c r="AA1087" s="246" t="str">
        <f t="shared" si="98"/>
        <v/>
      </c>
    </row>
    <row r="1088" spans="1:27" x14ac:dyDescent="0.25">
      <c r="A1088" s="248" t="str">
        <f t="shared" si="99"/>
        <v/>
      </c>
      <c r="B1088" s="249" t="str">
        <f t="shared" si="100"/>
        <v/>
      </c>
      <c r="C1088" s="250"/>
      <c r="D1088" s="251"/>
      <c r="E1088" s="241"/>
      <c r="F1088" s="252"/>
      <c r="G1088" s="252"/>
      <c r="H1088" s="253"/>
      <c r="I1088" s="250"/>
      <c r="J1088" s="250"/>
      <c r="K1088" s="270"/>
      <c r="L1088" s="250"/>
      <c r="M1088" s="250"/>
      <c r="N1088" s="540" t="str">
        <f>CONCATENATE(IF(OR(M1088=phu!$I$1,M1088=phu!$I$2,M1088=phu!$I$3),"Cam Thành Nam",""),IF(OR(M1088=phu!$I$4,M1088=phu!$I$5,M1088=phu!$I$6,M1088=phu!$I$7,M1088=phu!$I$8,M1088=phu!$I$9,M1088=phu!$I$10,M1088=phu!$I$11,M1088=phu!$I$12,M1088=phu!$I$13,M1088=phu!$I$14),"Cam Nghĩa",""),IF(OR(M1088=phu!$I$15,M1088=phu!$I$16,M1088=phu!$I$17,M1088=phu!$I$18,M1088=phu!$I$19,M1088=phu!$I$20,M1088=phu!$I$21),"Cam Phúc Bắc",""),IF(OR(M1088=phu!$I$22,M1088=phu!$I$23,M1088=phu!$I$24,M1088=phu!$I$25),"Cam Phúc Nam",""),IF(OR(M1088=phu!$I$26,M1088=phu!$I$27,M1088=phu!$I$28,M1088=phu!$I$29,M1088=phu!$I$30,M1088=phu!$I$31),"Cam Phú",""),IF(OR(M1088=phu!$I$32,M1088=phu!$I$33,M1088=phu!$I$34,M1088=phu!$I$35,M1088=phu!$I$36,M1088=phu!$I$37),"Cam Lộc",""),IF(OR(M1088=phu!$I$38,M1088=phu!$I$39,M1088=phu!$I$40,M1088=phu!$I$41,M1088=phu!$I$42,M1088=phu!$I$43,M1088=phu!$I$44),"Cam Thuận",""),IF(OR(M1088=phu!$I$45,M1088=phu!$I$46,M1088=phu!$I$47,M1088=phu!$I$48,M1088=phu!$I$49,M1088=phu!$I$50,M1088=phu!$I$51,M1088=phu!$I$52,M1088=phu!$I$53),"Cam Linh",""),IF(OR(M1088=phu!$I$54,M1088=phu!$I$55,M1088=phu!$I$56,M1088=phu!$I$57,M1088=phu!$I$58,M1088=phu!$I$59,M1088=phu!$I$60,M1088=phu!$I$61,M1088=phu!$I$62),"Cam Lợi",""),IF(OR(M1088=phu!$I$63,M1088=phu!$I$64,M1088=phu!$I$65,M1088=phu!$I$66,M1088=phu!$I$67,M1088=phu!$I$68,M1088=phu!$I$69,M1088=phu!$I$70,M1088=phu!$I$71),"Ba Ngòi",""),IF(OR(M1088=phu!$I$72,M1088=phu!$I$73,M1088=phu!$I$74,M1088=phu!$I$75,M1088=phu!$I$76,M1088=phu!$I$77,M1088=phu!$I$78),"Cam Phước Đông",""),IF(OR(M1088=phu!$I$79,M1088=phu!$I$80,M1088=phu!$I$81,M1088=phu!$I$82,M1088=phu!$I$83,M1088=phu!$I$84),"Cam Thịnh Đông",""),IF(OR(M1088=phu!$I$85,M1088=phu!$I$86,M1088=phu!$I$87,M1088=phu!$I$88),"Cam Thịnh Tây",""),IF(OR(M1088=phu!$I$89,M1088=phu!$I$90),"Cam Lập",""),IF(OR(M1088=phu!$I$91,M1088=phu!$I$92,M1088=phu!$I$93),"Cam Bình",""),IF(OR(M1088=phu!$I$94,M1088=phu!$I$95,M1088=phu!$I$96,M1088=phu!$I$97,M1088=phu!$I$98,M1088=phu!$I$99,M1088=phu!$I$100),"Huyện khác",""),IF(OR(M1088=phu!$I$101,M1088=phu!$I$102),"Tỉnh khác",""))</f>
        <v/>
      </c>
      <c r="O1088" s="829" t="str">
        <f t="shared" si="96"/>
        <v/>
      </c>
      <c r="P1088" s="254"/>
      <c r="Q1088" s="254"/>
      <c r="R1088" s="254"/>
      <c r="S1088" s="254"/>
      <c r="T1088" s="254"/>
      <c r="U1088" s="254"/>
      <c r="V1088" s="254"/>
      <c r="W1088" s="254"/>
      <c r="Y1088" s="246" t="str">
        <f t="shared" si="97"/>
        <v/>
      </c>
      <c r="Z1088" s="247" t="str">
        <f t="shared" si="101"/>
        <v/>
      </c>
      <c r="AA1088" s="246" t="str">
        <f t="shared" si="98"/>
        <v/>
      </c>
    </row>
    <row r="1089" spans="1:27" x14ac:dyDescent="0.25">
      <c r="A1089" s="248" t="str">
        <f t="shared" si="99"/>
        <v/>
      </c>
      <c r="B1089" s="249" t="str">
        <f t="shared" si="100"/>
        <v/>
      </c>
      <c r="C1089" s="250"/>
      <c r="D1089" s="251"/>
      <c r="E1089" s="241"/>
      <c r="F1089" s="252"/>
      <c r="G1089" s="252"/>
      <c r="H1089" s="253"/>
      <c r="I1089" s="250"/>
      <c r="J1089" s="250"/>
      <c r="K1089" s="270"/>
      <c r="L1089" s="250"/>
      <c r="M1089" s="250"/>
      <c r="N1089" s="540" t="str">
        <f>CONCATENATE(IF(OR(M1089=phu!$I$1,M1089=phu!$I$2,M1089=phu!$I$3),"Cam Thành Nam",""),IF(OR(M1089=phu!$I$4,M1089=phu!$I$5,M1089=phu!$I$6,M1089=phu!$I$7,M1089=phu!$I$8,M1089=phu!$I$9,M1089=phu!$I$10,M1089=phu!$I$11,M1089=phu!$I$12,M1089=phu!$I$13,M1089=phu!$I$14),"Cam Nghĩa",""),IF(OR(M1089=phu!$I$15,M1089=phu!$I$16,M1089=phu!$I$17,M1089=phu!$I$18,M1089=phu!$I$19,M1089=phu!$I$20,M1089=phu!$I$21),"Cam Phúc Bắc",""),IF(OR(M1089=phu!$I$22,M1089=phu!$I$23,M1089=phu!$I$24,M1089=phu!$I$25),"Cam Phúc Nam",""),IF(OR(M1089=phu!$I$26,M1089=phu!$I$27,M1089=phu!$I$28,M1089=phu!$I$29,M1089=phu!$I$30,M1089=phu!$I$31),"Cam Phú",""),IF(OR(M1089=phu!$I$32,M1089=phu!$I$33,M1089=phu!$I$34,M1089=phu!$I$35,M1089=phu!$I$36,M1089=phu!$I$37),"Cam Lộc",""),IF(OR(M1089=phu!$I$38,M1089=phu!$I$39,M1089=phu!$I$40,M1089=phu!$I$41,M1089=phu!$I$42,M1089=phu!$I$43,M1089=phu!$I$44),"Cam Thuận",""),IF(OR(M1089=phu!$I$45,M1089=phu!$I$46,M1089=phu!$I$47,M1089=phu!$I$48,M1089=phu!$I$49,M1089=phu!$I$50,M1089=phu!$I$51,M1089=phu!$I$52,M1089=phu!$I$53),"Cam Linh",""),IF(OR(M1089=phu!$I$54,M1089=phu!$I$55,M1089=phu!$I$56,M1089=phu!$I$57,M1089=phu!$I$58,M1089=phu!$I$59,M1089=phu!$I$60,M1089=phu!$I$61,M1089=phu!$I$62),"Cam Lợi",""),IF(OR(M1089=phu!$I$63,M1089=phu!$I$64,M1089=phu!$I$65,M1089=phu!$I$66,M1089=phu!$I$67,M1089=phu!$I$68,M1089=phu!$I$69,M1089=phu!$I$70,M1089=phu!$I$71),"Ba Ngòi",""),IF(OR(M1089=phu!$I$72,M1089=phu!$I$73,M1089=phu!$I$74,M1089=phu!$I$75,M1089=phu!$I$76,M1089=phu!$I$77,M1089=phu!$I$78),"Cam Phước Đông",""),IF(OR(M1089=phu!$I$79,M1089=phu!$I$80,M1089=phu!$I$81,M1089=phu!$I$82,M1089=phu!$I$83,M1089=phu!$I$84),"Cam Thịnh Đông",""),IF(OR(M1089=phu!$I$85,M1089=phu!$I$86,M1089=phu!$I$87,M1089=phu!$I$88),"Cam Thịnh Tây",""),IF(OR(M1089=phu!$I$89,M1089=phu!$I$90),"Cam Lập",""),IF(OR(M1089=phu!$I$91,M1089=phu!$I$92,M1089=phu!$I$93),"Cam Bình",""),IF(OR(M1089=phu!$I$94,M1089=phu!$I$95,M1089=phu!$I$96,M1089=phu!$I$97,M1089=phu!$I$98,M1089=phu!$I$99,M1089=phu!$I$100),"Huyện khác",""),IF(OR(M1089=phu!$I$101,M1089=phu!$I$102),"Tỉnh khác",""))</f>
        <v/>
      </c>
      <c r="O1089" s="829" t="str">
        <f t="shared" si="96"/>
        <v/>
      </c>
      <c r="P1089" s="254"/>
      <c r="Q1089" s="254"/>
      <c r="R1089" s="254"/>
      <c r="S1089" s="254"/>
      <c r="T1089" s="254"/>
      <c r="U1089" s="254"/>
      <c r="V1089" s="254"/>
      <c r="W1089" s="254"/>
      <c r="Y1089" s="246" t="str">
        <f t="shared" si="97"/>
        <v/>
      </c>
      <c r="Z1089" s="247" t="str">
        <f t="shared" si="101"/>
        <v/>
      </c>
      <c r="AA1089" s="246" t="str">
        <f t="shared" si="98"/>
        <v/>
      </c>
    </row>
    <row r="1090" spans="1:27" x14ac:dyDescent="0.25">
      <c r="A1090" s="248" t="str">
        <f t="shared" si="99"/>
        <v/>
      </c>
      <c r="B1090" s="249" t="str">
        <f t="shared" si="100"/>
        <v/>
      </c>
      <c r="C1090" s="250"/>
      <c r="D1090" s="251"/>
      <c r="E1090" s="241"/>
      <c r="F1090" s="252"/>
      <c r="G1090" s="252"/>
      <c r="H1090" s="253"/>
      <c r="I1090" s="250"/>
      <c r="J1090" s="250"/>
      <c r="K1090" s="270"/>
      <c r="L1090" s="250"/>
      <c r="M1090" s="250"/>
      <c r="N1090" s="540" t="str">
        <f>CONCATENATE(IF(OR(M1090=phu!$I$1,M1090=phu!$I$2,M1090=phu!$I$3),"Cam Thành Nam",""),IF(OR(M1090=phu!$I$4,M1090=phu!$I$5,M1090=phu!$I$6,M1090=phu!$I$7,M1090=phu!$I$8,M1090=phu!$I$9,M1090=phu!$I$10,M1090=phu!$I$11,M1090=phu!$I$12,M1090=phu!$I$13,M1090=phu!$I$14),"Cam Nghĩa",""),IF(OR(M1090=phu!$I$15,M1090=phu!$I$16,M1090=phu!$I$17,M1090=phu!$I$18,M1090=phu!$I$19,M1090=phu!$I$20,M1090=phu!$I$21),"Cam Phúc Bắc",""),IF(OR(M1090=phu!$I$22,M1090=phu!$I$23,M1090=phu!$I$24,M1090=phu!$I$25),"Cam Phúc Nam",""),IF(OR(M1090=phu!$I$26,M1090=phu!$I$27,M1090=phu!$I$28,M1090=phu!$I$29,M1090=phu!$I$30,M1090=phu!$I$31),"Cam Phú",""),IF(OR(M1090=phu!$I$32,M1090=phu!$I$33,M1090=phu!$I$34,M1090=phu!$I$35,M1090=phu!$I$36,M1090=phu!$I$37),"Cam Lộc",""),IF(OR(M1090=phu!$I$38,M1090=phu!$I$39,M1090=phu!$I$40,M1090=phu!$I$41,M1090=phu!$I$42,M1090=phu!$I$43,M1090=phu!$I$44),"Cam Thuận",""),IF(OR(M1090=phu!$I$45,M1090=phu!$I$46,M1090=phu!$I$47,M1090=phu!$I$48,M1090=phu!$I$49,M1090=phu!$I$50,M1090=phu!$I$51,M1090=phu!$I$52,M1090=phu!$I$53),"Cam Linh",""),IF(OR(M1090=phu!$I$54,M1090=phu!$I$55,M1090=phu!$I$56,M1090=phu!$I$57,M1090=phu!$I$58,M1090=phu!$I$59,M1090=phu!$I$60,M1090=phu!$I$61,M1090=phu!$I$62),"Cam Lợi",""),IF(OR(M1090=phu!$I$63,M1090=phu!$I$64,M1090=phu!$I$65,M1090=phu!$I$66,M1090=phu!$I$67,M1090=phu!$I$68,M1090=phu!$I$69,M1090=phu!$I$70,M1090=phu!$I$71),"Ba Ngòi",""),IF(OR(M1090=phu!$I$72,M1090=phu!$I$73,M1090=phu!$I$74,M1090=phu!$I$75,M1090=phu!$I$76,M1090=phu!$I$77,M1090=phu!$I$78),"Cam Phước Đông",""),IF(OR(M1090=phu!$I$79,M1090=phu!$I$80,M1090=phu!$I$81,M1090=phu!$I$82,M1090=phu!$I$83,M1090=phu!$I$84),"Cam Thịnh Đông",""),IF(OR(M1090=phu!$I$85,M1090=phu!$I$86,M1090=phu!$I$87,M1090=phu!$I$88),"Cam Thịnh Tây",""),IF(OR(M1090=phu!$I$89,M1090=phu!$I$90),"Cam Lập",""),IF(OR(M1090=phu!$I$91,M1090=phu!$I$92,M1090=phu!$I$93),"Cam Bình",""),IF(OR(M1090=phu!$I$94,M1090=phu!$I$95,M1090=phu!$I$96,M1090=phu!$I$97,M1090=phu!$I$98,M1090=phu!$I$99,M1090=phu!$I$100),"Huyện khác",""),IF(OR(M1090=phu!$I$101,M1090=phu!$I$102),"Tỉnh khác",""))</f>
        <v/>
      </c>
      <c r="O1090" s="829" t="str">
        <f t="shared" si="96"/>
        <v/>
      </c>
      <c r="P1090" s="254"/>
      <c r="Q1090" s="254"/>
      <c r="R1090" s="254"/>
      <c r="S1090" s="254"/>
      <c r="T1090" s="254"/>
      <c r="U1090" s="254"/>
      <c r="V1090" s="254"/>
      <c r="W1090" s="254"/>
      <c r="Y1090" s="246" t="str">
        <f t="shared" si="97"/>
        <v/>
      </c>
      <c r="Z1090" s="247" t="str">
        <f t="shared" si="101"/>
        <v/>
      </c>
      <c r="AA1090" s="246" t="str">
        <f t="shared" si="98"/>
        <v/>
      </c>
    </row>
    <row r="1091" spans="1:27" x14ac:dyDescent="0.25">
      <c r="A1091" s="248" t="str">
        <f t="shared" si="99"/>
        <v/>
      </c>
      <c r="B1091" s="249" t="str">
        <f t="shared" si="100"/>
        <v/>
      </c>
      <c r="C1091" s="250"/>
      <c r="D1091" s="251"/>
      <c r="E1091" s="241"/>
      <c r="F1091" s="252"/>
      <c r="G1091" s="252"/>
      <c r="H1091" s="253"/>
      <c r="I1091" s="250"/>
      <c r="J1091" s="250"/>
      <c r="K1091" s="270"/>
      <c r="L1091" s="250"/>
      <c r="M1091" s="250"/>
      <c r="N1091" s="540" t="str">
        <f>CONCATENATE(IF(OR(M1091=phu!$I$1,M1091=phu!$I$2,M1091=phu!$I$3),"Cam Thành Nam",""),IF(OR(M1091=phu!$I$4,M1091=phu!$I$5,M1091=phu!$I$6,M1091=phu!$I$7,M1091=phu!$I$8,M1091=phu!$I$9,M1091=phu!$I$10,M1091=phu!$I$11,M1091=phu!$I$12,M1091=phu!$I$13,M1091=phu!$I$14),"Cam Nghĩa",""),IF(OR(M1091=phu!$I$15,M1091=phu!$I$16,M1091=phu!$I$17,M1091=phu!$I$18,M1091=phu!$I$19,M1091=phu!$I$20,M1091=phu!$I$21),"Cam Phúc Bắc",""),IF(OR(M1091=phu!$I$22,M1091=phu!$I$23,M1091=phu!$I$24,M1091=phu!$I$25),"Cam Phúc Nam",""),IF(OR(M1091=phu!$I$26,M1091=phu!$I$27,M1091=phu!$I$28,M1091=phu!$I$29,M1091=phu!$I$30,M1091=phu!$I$31),"Cam Phú",""),IF(OR(M1091=phu!$I$32,M1091=phu!$I$33,M1091=phu!$I$34,M1091=phu!$I$35,M1091=phu!$I$36,M1091=phu!$I$37),"Cam Lộc",""),IF(OR(M1091=phu!$I$38,M1091=phu!$I$39,M1091=phu!$I$40,M1091=phu!$I$41,M1091=phu!$I$42,M1091=phu!$I$43,M1091=phu!$I$44),"Cam Thuận",""),IF(OR(M1091=phu!$I$45,M1091=phu!$I$46,M1091=phu!$I$47,M1091=phu!$I$48,M1091=phu!$I$49,M1091=phu!$I$50,M1091=phu!$I$51,M1091=phu!$I$52,M1091=phu!$I$53),"Cam Linh",""),IF(OR(M1091=phu!$I$54,M1091=phu!$I$55,M1091=phu!$I$56,M1091=phu!$I$57,M1091=phu!$I$58,M1091=phu!$I$59,M1091=phu!$I$60,M1091=phu!$I$61,M1091=phu!$I$62),"Cam Lợi",""),IF(OR(M1091=phu!$I$63,M1091=phu!$I$64,M1091=phu!$I$65,M1091=phu!$I$66,M1091=phu!$I$67,M1091=phu!$I$68,M1091=phu!$I$69,M1091=phu!$I$70,M1091=phu!$I$71),"Ba Ngòi",""),IF(OR(M1091=phu!$I$72,M1091=phu!$I$73,M1091=phu!$I$74,M1091=phu!$I$75,M1091=phu!$I$76,M1091=phu!$I$77,M1091=phu!$I$78),"Cam Phước Đông",""),IF(OR(M1091=phu!$I$79,M1091=phu!$I$80,M1091=phu!$I$81,M1091=phu!$I$82,M1091=phu!$I$83,M1091=phu!$I$84),"Cam Thịnh Đông",""),IF(OR(M1091=phu!$I$85,M1091=phu!$I$86,M1091=phu!$I$87,M1091=phu!$I$88),"Cam Thịnh Tây",""),IF(OR(M1091=phu!$I$89,M1091=phu!$I$90),"Cam Lập",""),IF(OR(M1091=phu!$I$91,M1091=phu!$I$92,M1091=phu!$I$93),"Cam Bình",""),IF(OR(M1091=phu!$I$94,M1091=phu!$I$95,M1091=phu!$I$96,M1091=phu!$I$97,M1091=phu!$I$98,M1091=phu!$I$99,M1091=phu!$I$100),"Huyện khác",""),IF(OR(M1091=phu!$I$101,M1091=phu!$I$102),"Tỉnh khác",""))</f>
        <v/>
      </c>
      <c r="O1091" s="829" t="str">
        <f t="shared" si="96"/>
        <v/>
      </c>
      <c r="P1091" s="254"/>
      <c r="Q1091" s="254"/>
      <c r="R1091" s="254"/>
      <c r="S1091" s="254"/>
      <c r="T1091" s="254"/>
      <c r="U1091" s="254"/>
      <c r="V1091" s="254"/>
      <c r="W1091" s="254"/>
      <c r="Y1091" s="246" t="str">
        <f t="shared" si="97"/>
        <v/>
      </c>
      <c r="Z1091" s="247" t="str">
        <f t="shared" si="101"/>
        <v/>
      </c>
      <c r="AA1091" s="246" t="str">
        <f t="shared" si="98"/>
        <v/>
      </c>
    </row>
    <row r="1092" spans="1:27" x14ac:dyDescent="0.25">
      <c r="A1092" s="248" t="str">
        <f t="shared" si="99"/>
        <v/>
      </c>
      <c r="B1092" s="249" t="str">
        <f t="shared" si="100"/>
        <v/>
      </c>
      <c r="C1092" s="250"/>
      <c r="D1092" s="251"/>
      <c r="E1092" s="241"/>
      <c r="F1092" s="252"/>
      <c r="G1092" s="252"/>
      <c r="H1092" s="253"/>
      <c r="I1092" s="250"/>
      <c r="J1092" s="250"/>
      <c r="K1092" s="270"/>
      <c r="L1092" s="250"/>
      <c r="M1092" s="250"/>
      <c r="N1092" s="540" t="str">
        <f>CONCATENATE(IF(OR(M1092=phu!$I$1,M1092=phu!$I$2,M1092=phu!$I$3),"Cam Thành Nam",""),IF(OR(M1092=phu!$I$4,M1092=phu!$I$5,M1092=phu!$I$6,M1092=phu!$I$7,M1092=phu!$I$8,M1092=phu!$I$9,M1092=phu!$I$10,M1092=phu!$I$11,M1092=phu!$I$12,M1092=phu!$I$13,M1092=phu!$I$14),"Cam Nghĩa",""),IF(OR(M1092=phu!$I$15,M1092=phu!$I$16,M1092=phu!$I$17,M1092=phu!$I$18,M1092=phu!$I$19,M1092=phu!$I$20,M1092=phu!$I$21),"Cam Phúc Bắc",""),IF(OR(M1092=phu!$I$22,M1092=phu!$I$23,M1092=phu!$I$24,M1092=phu!$I$25),"Cam Phúc Nam",""),IF(OR(M1092=phu!$I$26,M1092=phu!$I$27,M1092=phu!$I$28,M1092=phu!$I$29,M1092=phu!$I$30,M1092=phu!$I$31),"Cam Phú",""),IF(OR(M1092=phu!$I$32,M1092=phu!$I$33,M1092=phu!$I$34,M1092=phu!$I$35,M1092=phu!$I$36,M1092=phu!$I$37),"Cam Lộc",""),IF(OR(M1092=phu!$I$38,M1092=phu!$I$39,M1092=phu!$I$40,M1092=phu!$I$41,M1092=phu!$I$42,M1092=phu!$I$43,M1092=phu!$I$44),"Cam Thuận",""),IF(OR(M1092=phu!$I$45,M1092=phu!$I$46,M1092=phu!$I$47,M1092=phu!$I$48,M1092=phu!$I$49,M1092=phu!$I$50,M1092=phu!$I$51,M1092=phu!$I$52,M1092=phu!$I$53),"Cam Linh",""),IF(OR(M1092=phu!$I$54,M1092=phu!$I$55,M1092=phu!$I$56,M1092=phu!$I$57,M1092=phu!$I$58,M1092=phu!$I$59,M1092=phu!$I$60,M1092=phu!$I$61,M1092=phu!$I$62),"Cam Lợi",""),IF(OR(M1092=phu!$I$63,M1092=phu!$I$64,M1092=phu!$I$65,M1092=phu!$I$66,M1092=phu!$I$67,M1092=phu!$I$68,M1092=phu!$I$69,M1092=phu!$I$70,M1092=phu!$I$71),"Ba Ngòi",""),IF(OR(M1092=phu!$I$72,M1092=phu!$I$73,M1092=phu!$I$74,M1092=phu!$I$75,M1092=phu!$I$76,M1092=phu!$I$77,M1092=phu!$I$78),"Cam Phước Đông",""),IF(OR(M1092=phu!$I$79,M1092=phu!$I$80,M1092=phu!$I$81,M1092=phu!$I$82,M1092=phu!$I$83,M1092=phu!$I$84),"Cam Thịnh Đông",""),IF(OR(M1092=phu!$I$85,M1092=phu!$I$86,M1092=phu!$I$87,M1092=phu!$I$88),"Cam Thịnh Tây",""),IF(OR(M1092=phu!$I$89,M1092=phu!$I$90),"Cam Lập",""),IF(OR(M1092=phu!$I$91,M1092=phu!$I$92,M1092=phu!$I$93),"Cam Bình",""),IF(OR(M1092=phu!$I$94,M1092=phu!$I$95,M1092=phu!$I$96,M1092=phu!$I$97,M1092=phu!$I$98,M1092=phu!$I$99,M1092=phu!$I$100),"Huyện khác",""),IF(OR(M1092=phu!$I$101,M1092=phu!$I$102),"Tỉnh khác",""))</f>
        <v/>
      </c>
      <c r="O1092" s="829" t="str">
        <f t="shared" si="96"/>
        <v/>
      </c>
      <c r="P1092" s="254"/>
      <c r="Q1092" s="254"/>
      <c r="R1092" s="254"/>
      <c r="S1092" s="254"/>
      <c r="T1092" s="254"/>
      <c r="U1092" s="254"/>
      <c r="V1092" s="254"/>
      <c r="W1092" s="254"/>
      <c r="Y1092" s="246" t="str">
        <f t="shared" si="97"/>
        <v/>
      </c>
      <c r="Z1092" s="247" t="str">
        <f t="shared" si="101"/>
        <v/>
      </c>
      <c r="AA1092" s="246" t="str">
        <f t="shared" si="98"/>
        <v/>
      </c>
    </row>
    <row r="1093" spans="1:27" x14ac:dyDescent="0.25">
      <c r="A1093" s="248" t="str">
        <f t="shared" si="99"/>
        <v/>
      </c>
      <c r="B1093" s="249" t="str">
        <f t="shared" si="100"/>
        <v/>
      </c>
      <c r="C1093" s="250"/>
      <c r="D1093" s="251"/>
      <c r="E1093" s="241"/>
      <c r="F1093" s="252"/>
      <c r="G1093" s="252"/>
      <c r="H1093" s="253"/>
      <c r="I1093" s="250"/>
      <c r="J1093" s="250"/>
      <c r="K1093" s="270"/>
      <c r="L1093" s="250"/>
      <c r="M1093" s="250"/>
      <c r="N1093" s="540" t="str">
        <f>CONCATENATE(IF(OR(M1093=phu!$I$1,M1093=phu!$I$2,M1093=phu!$I$3),"Cam Thành Nam",""),IF(OR(M1093=phu!$I$4,M1093=phu!$I$5,M1093=phu!$I$6,M1093=phu!$I$7,M1093=phu!$I$8,M1093=phu!$I$9,M1093=phu!$I$10,M1093=phu!$I$11,M1093=phu!$I$12,M1093=phu!$I$13,M1093=phu!$I$14),"Cam Nghĩa",""),IF(OR(M1093=phu!$I$15,M1093=phu!$I$16,M1093=phu!$I$17,M1093=phu!$I$18,M1093=phu!$I$19,M1093=phu!$I$20,M1093=phu!$I$21),"Cam Phúc Bắc",""),IF(OR(M1093=phu!$I$22,M1093=phu!$I$23,M1093=phu!$I$24,M1093=phu!$I$25),"Cam Phúc Nam",""),IF(OR(M1093=phu!$I$26,M1093=phu!$I$27,M1093=phu!$I$28,M1093=phu!$I$29,M1093=phu!$I$30,M1093=phu!$I$31),"Cam Phú",""),IF(OR(M1093=phu!$I$32,M1093=phu!$I$33,M1093=phu!$I$34,M1093=phu!$I$35,M1093=phu!$I$36,M1093=phu!$I$37),"Cam Lộc",""),IF(OR(M1093=phu!$I$38,M1093=phu!$I$39,M1093=phu!$I$40,M1093=phu!$I$41,M1093=phu!$I$42,M1093=phu!$I$43,M1093=phu!$I$44),"Cam Thuận",""),IF(OR(M1093=phu!$I$45,M1093=phu!$I$46,M1093=phu!$I$47,M1093=phu!$I$48,M1093=phu!$I$49,M1093=phu!$I$50,M1093=phu!$I$51,M1093=phu!$I$52,M1093=phu!$I$53),"Cam Linh",""),IF(OR(M1093=phu!$I$54,M1093=phu!$I$55,M1093=phu!$I$56,M1093=phu!$I$57,M1093=phu!$I$58,M1093=phu!$I$59,M1093=phu!$I$60,M1093=phu!$I$61,M1093=phu!$I$62),"Cam Lợi",""),IF(OR(M1093=phu!$I$63,M1093=phu!$I$64,M1093=phu!$I$65,M1093=phu!$I$66,M1093=phu!$I$67,M1093=phu!$I$68,M1093=phu!$I$69,M1093=phu!$I$70,M1093=phu!$I$71),"Ba Ngòi",""),IF(OR(M1093=phu!$I$72,M1093=phu!$I$73,M1093=phu!$I$74,M1093=phu!$I$75,M1093=phu!$I$76,M1093=phu!$I$77,M1093=phu!$I$78),"Cam Phước Đông",""),IF(OR(M1093=phu!$I$79,M1093=phu!$I$80,M1093=phu!$I$81,M1093=phu!$I$82,M1093=phu!$I$83,M1093=phu!$I$84),"Cam Thịnh Đông",""),IF(OR(M1093=phu!$I$85,M1093=phu!$I$86,M1093=phu!$I$87,M1093=phu!$I$88),"Cam Thịnh Tây",""),IF(OR(M1093=phu!$I$89,M1093=phu!$I$90),"Cam Lập",""),IF(OR(M1093=phu!$I$91,M1093=phu!$I$92,M1093=phu!$I$93),"Cam Bình",""),IF(OR(M1093=phu!$I$94,M1093=phu!$I$95,M1093=phu!$I$96,M1093=phu!$I$97,M1093=phu!$I$98,M1093=phu!$I$99,M1093=phu!$I$100),"Huyện khác",""),IF(OR(M1093=phu!$I$101,M1093=phu!$I$102),"Tỉnh khác",""))</f>
        <v/>
      </c>
      <c r="O1093" s="829" t="str">
        <f t="shared" si="96"/>
        <v/>
      </c>
      <c r="P1093" s="254"/>
      <c r="Q1093" s="254"/>
      <c r="R1093" s="254"/>
      <c r="S1093" s="254"/>
      <c r="T1093" s="254"/>
      <c r="U1093" s="254"/>
      <c r="V1093" s="254"/>
      <c r="W1093" s="254"/>
      <c r="Y1093" s="246" t="str">
        <f t="shared" si="97"/>
        <v/>
      </c>
      <c r="Z1093" s="247" t="str">
        <f t="shared" si="101"/>
        <v/>
      </c>
      <c r="AA1093" s="246" t="str">
        <f t="shared" si="98"/>
        <v/>
      </c>
    </row>
    <row r="1094" spans="1:27" x14ac:dyDescent="0.25">
      <c r="A1094" s="248" t="str">
        <f t="shared" si="99"/>
        <v/>
      </c>
      <c r="B1094" s="249" t="str">
        <f t="shared" si="100"/>
        <v/>
      </c>
      <c r="C1094" s="250"/>
      <c r="D1094" s="251"/>
      <c r="E1094" s="241"/>
      <c r="F1094" s="252"/>
      <c r="G1094" s="252"/>
      <c r="H1094" s="253"/>
      <c r="I1094" s="250"/>
      <c r="J1094" s="250"/>
      <c r="K1094" s="270"/>
      <c r="L1094" s="250"/>
      <c r="M1094" s="250"/>
      <c r="N1094" s="540" t="str">
        <f>CONCATENATE(IF(OR(M1094=phu!$I$1,M1094=phu!$I$2,M1094=phu!$I$3),"Cam Thành Nam",""),IF(OR(M1094=phu!$I$4,M1094=phu!$I$5,M1094=phu!$I$6,M1094=phu!$I$7,M1094=phu!$I$8,M1094=phu!$I$9,M1094=phu!$I$10,M1094=phu!$I$11,M1094=phu!$I$12,M1094=phu!$I$13,M1094=phu!$I$14),"Cam Nghĩa",""),IF(OR(M1094=phu!$I$15,M1094=phu!$I$16,M1094=phu!$I$17,M1094=phu!$I$18,M1094=phu!$I$19,M1094=phu!$I$20,M1094=phu!$I$21),"Cam Phúc Bắc",""),IF(OR(M1094=phu!$I$22,M1094=phu!$I$23,M1094=phu!$I$24,M1094=phu!$I$25),"Cam Phúc Nam",""),IF(OR(M1094=phu!$I$26,M1094=phu!$I$27,M1094=phu!$I$28,M1094=phu!$I$29,M1094=phu!$I$30,M1094=phu!$I$31),"Cam Phú",""),IF(OR(M1094=phu!$I$32,M1094=phu!$I$33,M1094=phu!$I$34,M1094=phu!$I$35,M1094=phu!$I$36,M1094=phu!$I$37),"Cam Lộc",""),IF(OR(M1094=phu!$I$38,M1094=phu!$I$39,M1094=phu!$I$40,M1094=phu!$I$41,M1094=phu!$I$42,M1094=phu!$I$43,M1094=phu!$I$44),"Cam Thuận",""),IF(OR(M1094=phu!$I$45,M1094=phu!$I$46,M1094=phu!$I$47,M1094=phu!$I$48,M1094=phu!$I$49,M1094=phu!$I$50,M1094=phu!$I$51,M1094=phu!$I$52,M1094=phu!$I$53),"Cam Linh",""),IF(OR(M1094=phu!$I$54,M1094=phu!$I$55,M1094=phu!$I$56,M1094=phu!$I$57,M1094=phu!$I$58,M1094=phu!$I$59,M1094=phu!$I$60,M1094=phu!$I$61,M1094=phu!$I$62),"Cam Lợi",""),IF(OR(M1094=phu!$I$63,M1094=phu!$I$64,M1094=phu!$I$65,M1094=phu!$I$66,M1094=phu!$I$67,M1094=phu!$I$68,M1094=phu!$I$69,M1094=phu!$I$70,M1094=phu!$I$71),"Ba Ngòi",""),IF(OR(M1094=phu!$I$72,M1094=phu!$I$73,M1094=phu!$I$74,M1094=phu!$I$75,M1094=phu!$I$76,M1094=phu!$I$77,M1094=phu!$I$78),"Cam Phước Đông",""),IF(OR(M1094=phu!$I$79,M1094=phu!$I$80,M1094=phu!$I$81,M1094=phu!$I$82,M1094=phu!$I$83,M1094=phu!$I$84),"Cam Thịnh Đông",""),IF(OR(M1094=phu!$I$85,M1094=phu!$I$86,M1094=phu!$I$87,M1094=phu!$I$88),"Cam Thịnh Tây",""),IF(OR(M1094=phu!$I$89,M1094=phu!$I$90),"Cam Lập",""),IF(OR(M1094=phu!$I$91,M1094=phu!$I$92,M1094=phu!$I$93),"Cam Bình",""),IF(OR(M1094=phu!$I$94,M1094=phu!$I$95,M1094=phu!$I$96,M1094=phu!$I$97,M1094=phu!$I$98,M1094=phu!$I$99,M1094=phu!$I$100),"Huyện khác",""),IF(OR(M1094=phu!$I$101,M1094=phu!$I$102),"Tỉnh khác",""))</f>
        <v/>
      </c>
      <c r="O1094" s="829" t="str">
        <f t="shared" si="96"/>
        <v/>
      </c>
      <c r="P1094" s="254"/>
      <c r="Q1094" s="254"/>
      <c r="R1094" s="254"/>
      <c r="S1094" s="254"/>
      <c r="T1094" s="254"/>
      <c r="U1094" s="254"/>
      <c r="V1094" s="254"/>
      <c r="W1094" s="254"/>
      <c r="Y1094" s="246" t="str">
        <f t="shared" si="97"/>
        <v/>
      </c>
      <c r="Z1094" s="247" t="str">
        <f t="shared" si="101"/>
        <v/>
      </c>
      <c r="AA1094" s="246" t="str">
        <f t="shared" si="98"/>
        <v/>
      </c>
    </row>
    <row r="1095" spans="1:27" x14ac:dyDescent="0.25">
      <c r="A1095" s="248" t="str">
        <f t="shared" si="99"/>
        <v/>
      </c>
      <c r="B1095" s="249" t="str">
        <f t="shared" si="100"/>
        <v/>
      </c>
      <c r="C1095" s="250"/>
      <c r="D1095" s="251"/>
      <c r="E1095" s="241"/>
      <c r="F1095" s="252"/>
      <c r="G1095" s="252"/>
      <c r="H1095" s="253"/>
      <c r="I1095" s="250"/>
      <c r="J1095" s="250"/>
      <c r="K1095" s="270"/>
      <c r="L1095" s="250"/>
      <c r="M1095" s="250"/>
      <c r="N1095" s="540" t="str">
        <f>CONCATENATE(IF(OR(M1095=phu!$I$1,M1095=phu!$I$2,M1095=phu!$I$3),"Cam Thành Nam",""),IF(OR(M1095=phu!$I$4,M1095=phu!$I$5,M1095=phu!$I$6,M1095=phu!$I$7,M1095=phu!$I$8,M1095=phu!$I$9,M1095=phu!$I$10,M1095=phu!$I$11,M1095=phu!$I$12,M1095=phu!$I$13,M1095=phu!$I$14),"Cam Nghĩa",""),IF(OR(M1095=phu!$I$15,M1095=phu!$I$16,M1095=phu!$I$17,M1095=phu!$I$18,M1095=phu!$I$19,M1095=phu!$I$20,M1095=phu!$I$21),"Cam Phúc Bắc",""),IF(OR(M1095=phu!$I$22,M1095=phu!$I$23,M1095=phu!$I$24,M1095=phu!$I$25),"Cam Phúc Nam",""),IF(OR(M1095=phu!$I$26,M1095=phu!$I$27,M1095=phu!$I$28,M1095=phu!$I$29,M1095=phu!$I$30,M1095=phu!$I$31),"Cam Phú",""),IF(OR(M1095=phu!$I$32,M1095=phu!$I$33,M1095=phu!$I$34,M1095=phu!$I$35,M1095=phu!$I$36,M1095=phu!$I$37),"Cam Lộc",""),IF(OR(M1095=phu!$I$38,M1095=phu!$I$39,M1095=phu!$I$40,M1095=phu!$I$41,M1095=phu!$I$42,M1095=phu!$I$43,M1095=phu!$I$44),"Cam Thuận",""),IF(OR(M1095=phu!$I$45,M1095=phu!$I$46,M1095=phu!$I$47,M1095=phu!$I$48,M1095=phu!$I$49,M1095=phu!$I$50,M1095=phu!$I$51,M1095=phu!$I$52,M1095=phu!$I$53),"Cam Linh",""),IF(OR(M1095=phu!$I$54,M1095=phu!$I$55,M1095=phu!$I$56,M1095=phu!$I$57,M1095=phu!$I$58,M1095=phu!$I$59,M1095=phu!$I$60,M1095=phu!$I$61,M1095=phu!$I$62),"Cam Lợi",""),IF(OR(M1095=phu!$I$63,M1095=phu!$I$64,M1095=phu!$I$65,M1095=phu!$I$66,M1095=phu!$I$67,M1095=phu!$I$68,M1095=phu!$I$69,M1095=phu!$I$70,M1095=phu!$I$71),"Ba Ngòi",""),IF(OR(M1095=phu!$I$72,M1095=phu!$I$73,M1095=phu!$I$74,M1095=phu!$I$75,M1095=phu!$I$76,M1095=phu!$I$77,M1095=phu!$I$78),"Cam Phước Đông",""),IF(OR(M1095=phu!$I$79,M1095=phu!$I$80,M1095=phu!$I$81,M1095=phu!$I$82,M1095=phu!$I$83,M1095=phu!$I$84),"Cam Thịnh Đông",""),IF(OR(M1095=phu!$I$85,M1095=phu!$I$86,M1095=phu!$I$87,M1095=phu!$I$88),"Cam Thịnh Tây",""),IF(OR(M1095=phu!$I$89,M1095=phu!$I$90),"Cam Lập",""),IF(OR(M1095=phu!$I$91,M1095=phu!$I$92,M1095=phu!$I$93),"Cam Bình",""),IF(OR(M1095=phu!$I$94,M1095=phu!$I$95,M1095=phu!$I$96,M1095=phu!$I$97,M1095=phu!$I$98,M1095=phu!$I$99,M1095=phu!$I$100),"Huyện khác",""),IF(OR(M1095=phu!$I$101,M1095=phu!$I$102),"Tỉnh khác",""))</f>
        <v/>
      </c>
      <c r="O1095" s="829" t="str">
        <f t="shared" ref="O1095:O1158" si="102">CONCATENATE(IF(OR(N1095="Cam Thành Nam",N1095="Cam Nghĩa",N1095="Cam Phúc Bắc"),"Bắc Cam Ranh",""),IF(OR(N1095="Cam Phúc Nam",N1095="Cam Phú",N1095="Cam Lộc"),"Cam Ranh",""),IF(OR(N1095="Cam Thuận",N1095="Cam Linh",N1095="Cam Lợi"),"Cam Linh",""),IF(OR(N1095="Ba Ngòi",N1095="Cam Phước Đông"),"Ba Ngòi",""),IF(OR(N1095="Cam Thịnh Đông",N1095="Cam Thịnh Tây",N1095="Cam Lập",N1095="Cam Bình"),"Nam Cam Ranh",""),IF(N1095="Huyện khác","Huyện khác",""),IF(N1095="Tỉnh khác","Tỉnh khác",""))</f>
        <v/>
      </c>
      <c r="P1095" s="254"/>
      <c r="Q1095" s="254"/>
      <c r="R1095" s="254"/>
      <c r="S1095" s="254"/>
      <c r="T1095" s="254"/>
      <c r="U1095" s="254"/>
      <c r="V1095" s="254"/>
      <c r="W1095" s="254"/>
      <c r="Y1095" s="246" t="str">
        <f t="shared" ref="Y1095:Y1158" si="103">IF(OR(AND(B1095="",C1095="",D1095="",E1095="",F1095="",G1095="",H1095="",I1095="",J1095="",L1095="",M1095="",N1095="",P1095="",Q1095="",R1095="",S1095=""),AND(B1095&lt;&gt;"",C1095&lt;&gt;"",D1095&lt;&gt;"",E1095&lt;&gt;"",F1095&lt;&gt;"",G1095&lt;&gt;"",H1095&lt;&gt;"",J1095&lt;&gt;"",M1095&lt;&gt;"",N1095&lt;&gt;"",P1095&lt;&gt;"",OR(AND(Q1095&lt;&gt;"",R1095=""),AND(Q1095="",R1095&lt;&gt;""),AND(Q1095&lt;&gt;"",R1095&lt;&gt;"")),OR(AND(K1095="X",T1095&lt;&gt;""),AND(K1095="",T1095="")))),"","er")</f>
        <v/>
      </c>
      <c r="Z1095" s="247" t="str">
        <f t="shared" si="101"/>
        <v/>
      </c>
      <c r="AA1095" s="246" t="str">
        <f t="shared" ref="AA1095:AA1158" si="104">IF(OR(AND(Z1095&lt;=10,B1095&gt;5),AND(Z1095&lt;=11,B1095&gt;6),AND(Z1095&lt;=12,B1095&gt;7),AND(Z1095&lt;=13,B1095&gt;8),AND(Z1095&lt;=14,B1095&gt;9),AND(Z1095=11,B1095=6,L1095="X"),AND(Z1095=12,B1095=7,L1095="X"),AND(Z1095=13,B1095=8,L1095="X"),AND(Z1095=14,B1095=9,L1095="X")),"er","")</f>
        <v/>
      </c>
    </row>
    <row r="1096" spans="1:27" x14ac:dyDescent="0.25">
      <c r="A1096" s="248" t="str">
        <f t="shared" ref="A1096:A1159" si="105">IF(OR(A1095="",B1096="",C1096="",D1096="",E1096=""),"",A1095+1)</f>
        <v/>
      </c>
      <c r="B1096" s="249" t="str">
        <f t="shared" ref="B1096:B1159" si="106">IF(C1096="","",VALUE(LEFT(C1096,1)))</f>
        <v/>
      </c>
      <c r="C1096" s="250"/>
      <c r="D1096" s="251"/>
      <c r="E1096" s="241"/>
      <c r="F1096" s="252"/>
      <c r="G1096" s="252"/>
      <c r="H1096" s="253"/>
      <c r="I1096" s="250"/>
      <c r="J1096" s="250"/>
      <c r="K1096" s="270"/>
      <c r="L1096" s="250"/>
      <c r="M1096" s="250"/>
      <c r="N1096" s="540" t="str">
        <f>CONCATENATE(IF(OR(M1096=phu!$I$1,M1096=phu!$I$2,M1096=phu!$I$3),"Cam Thành Nam",""),IF(OR(M1096=phu!$I$4,M1096=phu!$I$5,M1096=phu!$I$6,M1096=phu!$I$7,M1096=phu!$I$8,M1096=phu!$I$9,M1096=phu!$I$10,M1096=phu!$I$11,M1096=phu!$I$12,M1096=phu!$I$13,M1096=phu!$I$14),"Cam Nghĩa",""),IF(OR(M1096=phu!$I$15,M1096=phu!$I$16,M1096=phu!$I$17,M1096=phu!$I$18,M1096=phu!$I$19,M1096=phu!$I$20,M1096=phu!$I$21),"Cam Phúc Bắc",""),IF(OR(M1096=phu!$I$22,M1096=phu!$I$23,M1096=phu!$I$24,M1096=phu!$I$25),"Cam Phúc Nam",""),IF(OR(M1096=phu!$I$26,M1096=phu!$I$27,M1096=phu!$I$28,M1096=phu!$I$29,M1096=phu!$I$30,M1096=phu!$I$31),"Cam Phú",""),IF(OR(M1096=phu!$I$32,M1096=phu!$I$33,M1096=phu!$I$34,M1096=phu!$I$35,M1096=phu!$I$36,M1096=phu!$I$37),"Cam Lộc",""),IF(OR(M1096=phu!$I$38,M1096=phu!$I$39,M1096=phu!$I$40,M1096=phu!$I$41,M1096=phu!$I$42,M1096=phu!$I$43,M1096=phu!$I$44),"Cam Thuận",""),IF(OR(M1096=phu!$I$45,M1096=phu!$I$46,M1096=phu!$I$47,M1096=phu!$I$48,M1096=phu!$I$49,M1096=phu!$I$50,M1096=phu!$I$51,M1096=phu!$I$52,M1096=phu!$I$53),"Cam Linh",""),IF(OR(M1096=phu!$I$54,M1096=phu!$I$55,M1096=phu!$I$56,M1096=phu!$I$57,M1096=phu!$I$58,M1096=phu!$I$59,M1096=phu!$I$60,M1096=phu!$I$61,M1096=phu!$I$62),"Cam Lợi",""),IF(OR(M1096=phu!$I$63,M1096=phu!$I$64,M1096=phu!$I$65,M1096=phu!$I$66,M1096=phu!$I$67,M1096=phu!$I$68,M1096=phu!$I$69,M1096=phu!$I$70,M1096=phu!$I$71),"Ba Ngòi",""),IF(OR(M1096=phu!$I$72,M1096=phu!$I$73,M1096=phu!$I$74,M1096=phu!$I$75,M1096=phu!$I$76,M1096=phu!$I$77,M1096=phu!$I$78),"Cam Phước Đông",""),IF(OR(M1096=phu!$I$79,M1096=phu!$I$80,M1096=phu!$I$81,M1096=phu!$I$82,M1096=phu!$I$83,M1096=phu!$I$84),"Cam Thịnh Đông",""),IF(OR(M1096=phu!$I$85,M1096=phu!$I$86,M1096=phu!$I$87,M1096=phu!$I$88),"Cam Thịnh Tây",""),IF(OR(M1096=phu!$I$89,M1096=phu!$I$90),"Cam Lập",""),IF(OR(M1096=phu!$I$91,M1096=phu!$I$92,M1096=phu!$I$93),"Cam Bình",""),IF(OR(M1096=phu!$I$94,M1096=phu!$I$95,M1096=phu!$I$96,M1096=phu!$I$97,M1096=phu!$I$98,M1096=phu!$I$99,M1096=phu!$I$100),"Huyện khác",""),IF(OR(M1096=phu!$I$101,M1096=phu!$I$102),"Tỉnh khác",""))</f>
        <v/>
      </c>
      <c r="O1096" s="829" t="str">
        <f t="shared" si="102"/>
        <v/>
      </c>
      <c r="P1096" s="254"/>
      <c r="Q1096" s="254"/>
      <c r="R1096" s="254"/>
      <c r="S1096" s="254"/>
      <c r="T1096" s="254"/>
      <c r="U1096" s="254"/>
      <c r="V1096" s="254"/>
      <c r="W1096" s="254"/>
      <c r="Y1096" s="246" t="str">
        <f t="shared" si="103"/>
        <v/>
      </c>
      <c r="Z1096" s="247" t="str">
        <f t="shared" ref="Z1096:Z1159" si="107">IF(H1096="","",$Z$1-H1096)</f>
        <v/>
      </c>
      <c r="AA1096" s="246" t="str">
        <f t="shared" si="104"/>
        <v/>
      </c>
    </row>
    <row r="1097" spans="1:27" x14ac:dyDescent="0.25">
      <c r="A1097" s="248" t="str">
        <f t="shared" si="105"/>
        <v/>
      </c>
      <c r="B1097" s="249" t="str">
        <f t="shared" si="106"/>
        <v/>
      </c>
      <c r="C1097" s="250"/>
      <c r="D1097" s="251"/>
      <c r="E1097" s="241"/>
      <c r="F1097" s="252"/>
      <c r="G1097" s="252"/>
      <c r="H1097" s="253"/>
      <c r="I1097" s="250"/>
      <c r="J1097" s="250"/>
      <c r="K1097" s="270"/>
      <c r="L1097" s="250"/>
      <c r="M1097" s="250"/>
      <c r="N1097" s="540" t="str">
        <f>CONCATENATE(IF(OR(M1097=phu!$I$1,M1097=phu!$I$2,M1097=phu!$I$3),"Cam Thành Nam",""),IF(OR(M1097=phu!$I$4,M1097=phu!$I$5,M1097=phu!$I$6,M1097=phu!$I$7,M1097=phu!$I$8,M1097=phu!$I$9,M1097=phu!$I$10,M1097=phu!$I$11,M1097=phu!$I$12,M1097=phu!$I$13,M1097=phu!$I$14),"Cam Nghĩa",""),IF(OR(M1097=phu!$I$15,M1097=phu!$I$16,M1097=phu!$I$17,M1097=phu!$I$18,M1097=phu!$I$19,M1097=phu!$I$20,M1097=phu!$I$21),"Cam Phúc Bắc",""),IF(OR(M1097=phu!$I$22,M1097=phu!$I$23,M1097=phu!$I$24,M1097=phu!$I$25),"Cam Phúc Nam",""),IF(OR(M1097=phu!$I$26,M1097=phu!$I$27,M1097=phu!$I$28,M1097=phu!$I$29,M1097=phu!$I$30,M1097=phu!$I$31),"Cam Phú",""),IF(OR(M1097=phu!$I$32,M1097=phu!$I$33,M1097=phu!$I$34,M1097=phu!$I$35,M1097=phu!$I$36,M1097=phu!$I$37),"Cam Lộc",""),IF(OR(M1097=phu!$I$38,M1097=phu!$I$39,M1097=phu!$I$40,M1097=phu!$I$41,M1097=phu!$I$42,M1097=phu!$I$43,M1097=phu!$I$44),"Cam Thuận",""),IF(OR(M1097=phu!$I$45,M1097=phu!$I$46,M1097=phu!$I$47,M1097=phu!$I$48,M1097=phu!$I$49,M1097=phu!$I$50,M1097=phu!$I$51,M1097=phu!$I$52,M1097=phu!$I$53),"Cam Linh",""),IF(OR(M1097=phu!$I$54,M1097=phu!$I$55,M1097=phu!$I$56,M1097=phu!$I$57,M1097=phu!$I$58,M1097=phu!$I$59,M1097=phu!$I$60,M1097=phu!$I$61,M1097=phu!$I$62),"Cam Lợi",""),IF(OR(M1097=phu!$I$63,M1097=phu!$I$64,M1097=phu!$I$65,M1097=phu!$I$66,M1097=phu!$I$67,M1097=phu!$I$68,M1097=phu!$I$69,M1097=phu!$I$70,M1097=phu!$I$71),"Ba Ngòi",""),IF(OR(M1097=phu!$I$72,M1097=phu!$I$73,M1097=phu!$I$74,M1097=phu!$I$75,M1097=phu!$I$76,M1097=phu!$I$77,M1097=phu!$I$78),"Cam Phước Đông",""),IF(OR(M1097=phu!$I$79,M1097=phu!$I$80,M1097=phu!$I$81,M1097=phu!$I$82,M1097=phu!$I$83,M1097=phu!$I$84),"Cam Thịnh Đông",""),IF(OR(M1097=phu!$I$85,M1097=phu!$I$86,M1097=phu!$I$87,M1097=phu!$I$88),"Cam Thịnh Tây",""),IF(OR(M1097=phu!$I$89,M1097=phu!$I$90),"Cam Lập",""),IF(OR(M1097=phu!$I$91,M1097=phu!$I$92,M1097=phu!$I$93),"Cam Bình",""),IF(OR(M1097=phu!$I$94,M1097=phu!$I$95,M1097=phu!$I$96,M1097=phu!$I$97,M1097=phu!$I$98,M1097=phu!$I$99,M1097=phu!$I$100),"Huyện khác",""),IF(OR(M1097=phu!$I$101,M1097=phu!$I$102),"Tỉnh khác",""))</f>
        <v/>
      </c>
      <c r="O1097" s="829" t="str">
        <f t="shared" si="102"/>
        <v/>
      </c>
      <c r="P1097" s="254"/>
      <c r="Q1097" s="254"/>
      <c r="R1097" s="254"/>
      <c r="S1097" s="254"/>
      <c r="T1097" s="254"/>
      <c r="U1097" s="254"/>
      <c r="V1097" s="254"/>
      <c r="W1097" s="254"/>
      <c r="Y1097" s="246" t="str">
        <f t="shared" si="103"/>
        <v/>
      </c>
      <c r="Z1097" s="247" t="str">
        <f t="shared" si="107"/>
        <v/>
      </c>
      <c r="AA1097" s="246" t="str">
        <f t="shared" si="104"/>
        <v/>
      </c>
    </row>
    <row r="1098" spans="1:27" x14ac:dyDescent="0.25">
      <c r="A1098" s="248" t="str">
        <f t="shared" si="105"/>
        <v/>
      </c>
      <c r="B1098" s="249" t="str">
        <f t="shared" si="106"/>
        <v/>
      </c>
      <c r="C1098" s="250"/>
      <c r="D1098" s="251"/>
      <c r="E1098" s="241"/>
      <c r="F1098" s="252"/>
      <c r="G1098" s="252"/>
      <c r="H1098" s="253"/>
      <c r="I1098" s="250"/>
      <c r="J1098" s="250"/>
      <c r="K1098" s="270"/>
      <c r="L1098" s="250"/>
      <c r="M1098" s="250"/>
      <c r="N1098" s="540" t="str">
        <f>CONCATENATE(IF(OR(M1098=phu!$I$1,M1098=phu!$I$2,M1098=phu!$I$3),"Cam Thành Nam",""),IF(OR(M1098=phu!$I$4,M1098=phu!$I$5,M1098=phu!$I$6,M1098=phu!$I$7,M1098=phu!$I$8,M1098=phu!$I$9,M1098=phu!$I$10,M1098=phu!$I$11,M1098=phu!$I$12,M1098=phu!$I$13,M1098=phu!$I$14),"Cam Nghĩa",""),IF(OR(M1098=phu!$I$15,M1098=phu!$I$16,M1098=phu!$I$17,M1098=phu!$I$18,M1098=phu!$I$19,M1098=phu!$I$20,M1098=phu!$I$21),"Cam Phúc Bắc",""),IF(OR(M1098=phu!$I$22,M1098=phu!$I$23,M1098=phu!$I$24,M1098=phu!$I$25),"Cam Phúc Nam",""),IF(OR(M1098=phu!$I$26,M1098=phu!$I$27,M1098=phu!$I$28,M1098=phu!$I$29,M1098=phu!$I$30,M1098=phu!$I$31),"Cam Phú",""),IF(OR(M1098=phu!$I$32,M1098=phu!$I$33,M1098=phu!$I$34,M1098=phu!$I$35,M1098=phu!$I$36,M1098=phu!$I$37),"Cam Lộc",""),IF(OR(M1098=phu!$I$38,M1098=phu!$I$39,M1098=phu!$I$40,M1098=phu!$I$41,M1098=phu!$I$42,M1098=phu!$I$43,M1098=phu!$I$44),"Cam Thuận",""),IF(OR(M1098=phu!$I$45,M1098=phu!$I$46,M1098=phu!$I$47,M1098=phu!$I$48,M1098=phu!$I$49,M1098=phu!$I$50,M1098=phu!$I$51,M1098=phu!$I$52,M1098=phu!$I$53),"Cam Linh",""),IF(OR(M1098=phu!$I$54,M1098=phu!$I$55,M1098=phu!$I$56,M1098=phu!$I$57,M1098=phu!$I$58,M1098=phu!$I$59,M1098=phu!$I$60,M1098=phu!$I$61,M1098=phu!$I$62),"Cam Lợi",""),IF(OR(M1098=phu!$I$63,M1098=phu!$I$64,M1098=phu!$I$65,M1098=phu!$I$66,M1098=phu!$I$67,M1098=phu!$I$68,M1098=phu!$I$69,M1098=phu!$I$70,M1098=phu!$I$71),"Ba Ngòi",""),IF(OR(M1098=phu!$I$72,M1098=phu!$I$73,M1098=phu!$I$74,M1098=phu!$I$75,M1098=phu!$I$76,M1098=phu!$I$77,M1098=phu!$I$78),"Cam Phước Đông",""),IF(OR(M1098=phu!$I$79,M1098=phu!$I$80,M1098=phu!$I$81,M1098=phu!$I$82,M1098=phu!$I$83,M1098=phu!$I$84),"Cam Thịnh Đông",""),IF(OR(M1098=phu!$I$85,M1098=phu!$I$86,M1098=phu!$I$87,M1098=phu!$I$88),"Cam Thịnh Tây",""),IF(OR(M1098=phu!$I$89,M1098=phu!$I$90),"Cam Lập",""),IF(OR(M1098=phu!$I$91,M1098=phu!$I$92,M1098=phu!$I$93),"Cam Bình",""),IF(OR(M1098=phu!$I$94,M1098=phu!$I$95,M1098=phu!$I$96,M1098=phu!$I$97,M1098=phu!$I$98,M1098=phu!$I$99,M1098=phu!$I$100),"Huyện khác",""),IF(OR(M1098=phu!$I$101,M1098=phu!$I$102),"Tỉnh khác",""))</f>
        <v/>
      </c>
      <c r="O1098" s="829" t="str">
        <f t="shared" si="102"/>
        <v/>
      </c>
      <c r="P1098" s="254"/>
      <c r="Q1098" s="254"/>
      <c r="R1098" s="254"/>
      <c r="S1098" s="254"/>
      <c r="T1098" s="254"/>
      <c r="U1098" s="254"/>
      <c r="V1098" s="254"/>
      <c r="W1098" s="254"/>
      <c r="Y1098" s="246" t="str">
        <f t="shared" si="103"/>
        <v/>
      </c>
      <c r="Z1098" s="247" t="str">
        <f t="shared" si="107"/>
        <v/>
      </c>
      <c r="AA1098" s="246" t="str">
        <f t="shared" si="104"/>
        <v/>
      </c>
    </row>
    <row r="1099" spans="1:27" x14ac:dyDescent="0.25">
      <c r="A1099" s="248" t="str">
        <f t="shared" si="105"/>
        <v/>
      </c>
      <c r="B1099" s="249" t="str">
        <f t="shared" si="106"/>
        <v/>
      </c>
      <c r="C1099" s="250"/>
      <c r="D1099" s="251"/>
      <c r="E1099" s="241"/>
      <c r="F1099" s="252"/>
      <c r="G1099" s="252"/>
      <c r="H1099" s="253"/>
      <c r="I1099" s="250"/>
      <c r="J1099" s="250"/>
      <c r="K1099" s="270"/>
      <c r="L1099" s="250"/>
      <c r="M1099" s="250"/>
      <c r="N1099" s="540" t="str">
        <f>CONCATENATE(IF(OR(M1099=phu!$I$1,M1099=phu!$I$2,M1099=phu!$I$3),"Cam Thành Nam",""),IF(OR(M1099=phu!$I$4,M1099=phu!$I$5,M1099=phu!$I$6,M1099=phu!$I$7,M1099=phu!$I$8,M1099=phu!$I$9,M1099=phu!$I$10,M1099=phu!$I$11,M1099=phu!$I$12,M1099=phu!$I$13,M1099=phu!$I$14),"Cam Nghĩa",""),IF(OR(M1099=phu!$I$15,M1099=phu!$I$16,M1099=phu!$I$17,M1099=phu!$I$18,M1099=phu!$I$19,M1099=phu!$I$20,M1099=phu!$I$21),"Cam Phúc Bắc",""),IF(OR(M1099=phu!$I$22,M1099=phu!$I$23,M1099=phu!$I$24,M1099=phu!$I$25),"Cam Phúc Nam",""),IF(OR(M1099=phu!$I$26,M1099=phu!$I$27,M1099=phu!$I$28,M1099=phu!$I$29,M1099=phu!$I$30,M1099=phu!$I$31),"Cam Phú",""),IF(OR(M1099=phu!$I$32,M1099=phu!$I$33,M1099=phu!$I$34,M1099=phu!$I$35,M1099=phu!$I$36,M1099=phu!$I$37),"Cam Lộc",""),IF(OR(M1099=phu!$I$38,M1099=phu!$I$39,M1099=phu!$I$40,M1099=phu!$I$41,M1099=phu!$I$42,M1099=phu!$I$43,M1099=phu!$I$44),"Cam Thuận",""),IF(OR(M1099=phu!$I$45,M1099=phu!$I$46,M1099=phu!$I$47,M1099=phu!$I$48,M1099=phu!$I$49,M1099=phu!$I$50,M1099=phu!$I$51,M1099=phu!$I$52,M1099=phu!$I$53),"Cam Linh",""),IF(OR(M1099=phu!$I$54,M1099=phu!$I$55,M1099=phu!$I$56,M1099=phu!$I$57,M1099=phu!$I$58,M1099=phu!$I$59,M1099=phu!$I$60,M1099=phu!$I$61,M1099=phu!$I$62),"Cam Lợi",""),IF(OR(M1099=phu!$I$63,M1099=phu!$I$64,M1099=phu!$I$65,M1099=phu!$I$66,M1099=phu!$I$67,M1099=phu!$I$68,M1099=phu!$I$69,M1099=phu!$I$70,M1099=phu!$I$71),"Ba Ngòi",""),IF(OR(M1099=phu!$I$72,M1099=phu!$I$73,M1099=phu!$I$74,M1099=phu!$I$75,M1099=phu!$I$76,M1099=phu!$I$77,M1099=phu!$I$78),"Cam Phước Đông",""),IF(OR(M1099=phu!$I$79,M1099=phu!$I$80,M1099=phu!$I$81,M1099=phu!$I$82,M1099=phu!$I$83,M1099=phu!$I$84),"Cam Thịnh Đông",""),IF(OR(M1099=phu!$I$85,M1099=phu!$I$86,M1099=phu!$I$87,M1099=phu!$I$88),"Cam Thịnh Tây",""),IF(OR(M1099=phu!$I$89,M1099=phu!$I$90),"Cam Lập",""),IF(OR(M1099=phu!$I$91,M1099=phu!$I$92,M1099=phu!$I$93),"Cam Bình",""),IF(OR(M1099=phu!$I$94,M1099=phu!$I$95,M1099=phu!$I$96,M1099=phu!$I$97,M1099=phu!$I$98,M1099=phu!$I$99,M1099=phu!$I$100),"Huyện khác",""),IF(OR(M1099=phu!$I$101,M1099=phu!$I$102),"Tỉnh khác",""))</f>
        <v/>
      </c>
      <c r="O1099" s="829" t="str">
        <f t="shared" si="102"/>
        <v/>
      </c>
      <c r="P1099" s="254"/>
      <c r="Q1099" s="254"/>
      <c r="R1099" s="254"/>
      <c r="S1099" s="254"/>
      <c r="T1099" s="254"/>
      <c r="U1099" s="254"/>
      <c r="V1099" s="254"/>
      <c r="W1099" s="254"/>
      <c r="Y1099" s="246" t="str">
        <f t="shared" si="103"/>
        <v/>
      </c>
      <c r="Z1099" s="247" t="str">
        <f t="shared" si="107"/>
        <v/>
      </c>
      <c r="AA1099" s="246" t="str">
        <f t="shared" si="104"/>
        <v/>
      </c>
    </row>
    <row r="1100" spans="1:27" x14ac:dyDescent="0.25">
      <c r="A1100" s="248" t="str">
        <f t="shared" si="105"/>
        <v/>
      </c>
      <c r="B1100" s="249" t="str">
        <f t="shared" si="106"/>
        <v/>
      </c>
      <c r="C1100" s="250"/>
      <c r="D1100" s="251"/>
      <c r="E1100" s="241"/>
      <c r="F1100" s="252"/>
      <c r="G1100" s="252"/>
      <c r="H1100" s="253"/>
      <c r="I1100" s="250"/>
      <c r="J1100" s="250"/>
      <c r="K1100" s="270"/>
      <c r="L1100" s="250"/>
      <c r="M1100" s="250"/>
      <c r="N1100" s="540" t="str">
        <f>CONCATENATE(IF(OR(M1100=phu!$I$1,M1100=phu!$I$2,M1100=phu!$I$3),"Cam Thành Nam",""),IF(OR(M1100=phu!$I$4,M1100=phu!$I$5,M1100=phu!$I$6,M1100=phu!$I$7,M1100=phu!$I$8,M1100=phu!$I$9,M1100=phu!$I$10,M1100=phu!$I$11,M1100=phu!$I$12,M1100=phu!$I$13,M1100=phu!$I$14),"Cam Nghĩa",""),IF(OR(M1100=phu!$I$15,M1100=phu!$I$16,M1100=phu!$I$17,M1100=phu!$I$18,M1100=phu!$I$19,M1100=phu!$I$20,M1100=phu!$I$21),"Cam Phúc Bắc",""),IF(OR(M1100=phu!$I$22,M1100=phu!$I$23,M1100=phu!$I$24,M1100=phu!$I$25),"Cam Phúc Nam",""),IF(OR(M1100=phu!$I$26,M1100=phu!$I$27,M1100=phu!$I$28,M1100=phu!$I$29,M1100=phu!$I$30,M1100=phu!$I$31),"Cam Phú",""),IF(OR(M1100=phu!$I$32,M1100=phu!$I$33,M1100=phu!$I$34,M1100=phu!$I$35,M1100=phu!$I$36,M1100=phu!$I$37),"Cam Lộc",""),IF(OR(M1100=phu!$I$38,M1100=phu!$I$39,M1100=phu!$I$40,M1100=phu!$I$41,M1100=phu!$I$42,M1100=phu!$I$43,M1100=phu!$I$44),"Cam Thuận",""),IF(OR(M1100=phu!$I$45,M1100=phu!$I$46,M1100=phu!$I$47,M1100=phu!$I$48,M1100=phu!$I$49,M1100=phu!$I$50,M1100=phu!$I$51,M1100=phu!$I$52,M1100=phu!$I$53),"Cam Linh",""),IF(OR(M1100=phu!$I$54,M1100=phu!$I$55,M1100=phu!$I$56,M1100=phu!$I$57,M1100=phu!$I$58,M1100=phu!$I$59,M1100=phu!$I$60,M1100=phu!$I$61,M1100=phu!$I$62),"Cam Lợi",""),IF(OR(M1100=phu!$I$63,M1100=phu!$I$64,M1100=phu!$I$65,M1100=phu!$I$66,M1100=phu!$I$67,M1100=phu!$I$68,M1100=phu!$I$69,M1100=phu!$I$70,M1100=phu!$I$71),"Ba Ngòi",""),IF(OR(M1100=phu!$I$72,M1100=phu!$I$73,M1100=phu!$I$74,M1100=phu!$I$75,M1100=phu!$I$76,M1100=phu!$I$77,M1100=phu!$I$78),"Cam Phước Đông",""),IF(OR(M1100=phu!$I$79,M1100=phu!$I$80,M1100=phu!$I$81,M1100=phu!$I$82,M1100=phu!$I$83,M1100=phu!$I$84),"Cam Thịnh Đông",""),IF(OR(M1100=phu!$I$85,M1100=phu!$I$86,M1100=phu!$I$87,M1100=phu!$I$88),"Cam Thịnh Tây",""),IF(OR(M1100=phu!$I$89,M1100=phu!$I$90),"Cam Lập",""),IF(OR(M1100=phu!$I$91,M1100=phu!$I$92,M1100=phu!$I$93),"Cam Bình",""),IF(OR(M1100=phu!$I$94,M1100=phu!$I$95,M1100=phu!$I$96,M1100=phu!$I$97,M1100=phu!$I$98,M1100=phu!$I$99,M1100=phu!$I$100),"Huyện khác",""),IF(OR(M1100=phu!$I$101,M1100=phu!$I$102),"Tỉnh khác",""))</f>
        <v/>
      </c>
      <c r="O1100" s="829" t="str">
        <f t="shared" si="102"/>
        <v/>
      </c>
      <c r="P1100" s="254"/>
      <c r="Q1100" s="254"/>
      <c r="R1100" s="254"/>
      <c r="S1100" s="254"/>
      <c r="T1100" s="254"/>
      <c r="U1100" s="254"/>
      <c r="V1100" s="254"/>
      <c r="W1100" s="254"/>
      <c r="Y1100" s="246" t="str">
        <f t="shared" si="103"/>
        <v/>
      </c>
      <c r="Z1100" s="247" t="str">
        <f t="shared" si="107"/>
        <v/>
      </c>
      <c r="AA1100" s="246" t="str">
        <f t="shared" si="104"/>
        <v/>
      </c>
    </row>
    <row r="1101" spans="1:27" x14ac:dyDescent="0.25">
      <c r="A1101" s="248" t="str">
        <f t="shared" si="105"/>
        <v/>
      </c>
      <c r="B1101" s="249" t="str">
        <f t="shared" si="106"/>
        <v/>
      </c>
      <c r="C1101" s="250"/>
      <c r="D1101" s="251"/>
      <c r="E1101" s="241"/>
      <c r="F1101" s="252"/>
      <c r="G1101" s="252"/>
      <c r="H1101" s="253"/>
      <c r="I1101" s="250"/>
      <c r="J1101" s="250"/>
      <c r="K1101" s="270"/>
      <c r="L1101" s="250"/>
      <c r="M1101" s="250"/>
      <c r="N1101" s="540" t="str">
        <f>CONCATENATE(IF(OR(M1101=phu!$I$1,M1101=phu!$I$2,M1101=phu!$I$3),"Cam Thành Nam",""),IF(OR(M1101=phu!$I$4,M1101=phu!$I$5,M1101=phu!$I$6,M1101=phu!$I$7,M1101=phu!$I$8,M1101=phu!$I$9,M1101=phu!$I$10,M1101=phu!$I$11,M1101=phu!$I$12,M1101=phu!$I$13,M1101=phu!$I$14),"Cam Nghĩa",""),IF(OR(M1101=phu!$I$15,M1101=phu!$I$16,M1101=phu!$I$17,M1101=phu!$I$18,M1101=phu!$I$19,M1101=phu!$I$20,M1101=phu!$I$21),"Cam Phúc Bắc",""),IF(OR(M1101=phu!$I$22,M1101=phu!$I$23,M1101=phu!$I$24,M1101=phu!$I$25),"Cam Phúc Nam",""),IF(OR(M1101=phu!$I$26,M1101=phu!$I$27,M1101=phu!$I$28,M1101=phu!$I$29,M1101=phu!$I$30,M1101=phu!$I$31),"Cam Phú",""),IF(OR(M1101=phu!$I$32,M1101=phu!$I$33,M1101=phu!$I$34,M1101=phu!$I$35,M1101=phu!$I$36,M1101=phu!$I$37),"Cam Lộc",""),IF(OR(M1101=phu!$I$38,M1101=phu!$I$39,M1101=phu!$I$40,M1101=phu!$I$41,M1101=phu!$I$42,M1101=phu!$I$43,M1101=phu!$I$44),"Cam Thuận",""),IF(OR(M1101=phu!$I$45,M1101=phu!$I$46,M1101=phu!$I$47,M1101=phu!$I$48,M1101=phu!$I$49,M1101=phu!$I$50,M1101=phu!$I$51,M1101=phu!$I$52,M1101=phu!$I$53),"Cam Linh",""),IF(OR(M1101=phu!$I$54,M1101=phu!$I$55,M1101=phu!$I$56,M1101=phu!$I$57,M1101=phu!$I$58,M1101=phu!$I$59,M1101=phu!$I$60,M1101=phu!$I$61,M1101=phu!$I$62),"Cam Lợi",""),IF(OR(M1101=phu!$I$63,M1101=phu!$I$64,M1101=phu!$I$65,M1101=phu!$I$66,M1101=phu!$I$67,M1101=phu!$I$68,M1101=phu!$I$69,M1101=phu!$I$70,M1101=phu!$I$71),"Ba Ngòi",""),IF(OR(M1101=phu!$I$72,M1101=phu!$I$73,M1101=phu!$I$74,M1101=phu!$I$75,M1101=phu!$I$76,M1101=phu!$I$77,M1101=phu!$I$78),"Cam Phước Đông",""),IF(OR(M1101=phu!$I$79,M1101=phu!$I$80,M1101=phu!$I$81,M1101=phu!$I$82,M1101=phu!$I$83,M1101=phu!$I$84),"Cam Thịnh Đông",""),IF(OR(M1101=phu!$I$85,M1101=phu!$I$86,M1101=phu!$I$87,M1101=phu!$I$88),"Cam Thịnh Tây",""),IF(OR(M1101=phu!$I$89,M1101=phu!$I$90),"Cam Lập",""),IF(OR(M1101=phu!$I$91,M1101=phu!$I$92,M1101=phu!$I$93),"Cam Bình",""),IF(OR(M1101=phu!$I$94,M1101=phu!$I$95,M1101=phu!$I$96,M1101=phu!$I$97,M1101=phu!$I$98,M1101=phu!$I$99,M1101=phu!$I$100),"Huyện khác",""),IF(OR(M1101=phu!$I$101,M1101=phu!$I$102),"Tỉnh khác",""))</f>
        <v/>
      </c>
      <c r="O1101" s="829" t="str">
        <f t="shared" si="102"/>
        <v/>
      </c>
      <c r="P1101" s="254"/>
      <c r="Q1101" s="254"/>
      <c r="R1101" s="254"/>
      <c r="S1101" s="254"/>
      <c r="T1101" s="254"/>
      <c r="U1101" s="254"/>
      <c r="V1101" s="254"/>
      <c r="W1101" s="254"/>
      <c r="Y1101" s="246" t="str">
        <f t="shared" si="103"/>
        <v/>
      </c>
      <c r="Z1101" s="247" t="str">
        <f t="shared" si="107"/>
        <v/>
      </c>
      <c r="AA1101" s="246" t="str">
        <f t="shared" si="104"/>
        <v/>
      </c>
    </row>
    <row r="1102" spans="1:27" x14ac:dyDescent="0.25">
      <c r="A1102" s="248" t="str">
        <f t="shared" si="105"/>
        <v/>
      </c>
      <c r="B1102" s="249" t="str">
        <f t="shared" si="106"/>
        <v/>
      </c>
      <c r="C1102" s="250"/>
      <c r="D1102" s="251"/>
      <c r="E1102" s="241"/>
      <c r="F1102" s="252"/>
      <c r="G1102" s="252"/>
      <c r="H1102" s="253"/>
      <c r="I1102" s="250"/>
      <c r="J1102" s="250"/>
      <c r="K1102" s="270"/>
      <c r="L1102" s="250"/>
      <c r="M1102" s="250"/>
      <c r="N1102" s="540" t="str">
        <f>CONCATENATE(IF(OR(M1102=phu!$I$1,M1102=phu!$I$2,M1102=phu!$I$3),"Cam Thành Nam",""),IF(OR(M1102=phu!$I$4,M1102=phu!$I$5,M1102=phu!$I$6,M1102=phu!$I$7,M1102=phu!$I$8,M1102=phu!$I$9,M1102=phu!$I$10,M1102=phu!$I$11,M1102=phu!$I$12,M1102=phu!$I$13,M1102=phu!$I$14),"Cam Nghĩa",""),IF(OR(M1102=phu!$I$15,M1102=phu!$I$16,M1102=phu!$I$17,M1102=phu!$I$18,M1102=phu!$I$19,M1102=phu!$I$20,M1102=phu!$I$21),"Cam Phúc Bắc",""),IF(OR(M1102=phu!$I$22,M1102=phu!$I$23,M1102=phu!$I$24,M1102=phu!$I$25),"Cam Phúc Nam",""),IF(OR(M1102=phu!$I$26,M1102=phu!$I$27,M1102=phu!$I$28,M1102=phu!$I$29,M1102=phu!$I$30,M1102=phu!$I$31),"Cam Phú",""),IF(OR(M1102=phu!$I$32,M1102=phu!$I$33,M1102=phu!$I$34,M1102=phu!$I$35,M1102=phu!$I$36,M1102=phu!$I$37),"Cam Lộc",""),IF(OR(M1102=phu!$I$38,M1102=phu!$I$39,M1102=phu!$I$40,M1102=phu!$I$41,M1102=phu!$I$42,M1102=phu!$I$43,M1102=phu!$I$44),"Cam Thuận",""),IF(OR(M1102=phu!$I$45,M1102=phu!$I$46,M1102=phu!$I$47,M1102=phu!$I$48,M1102=phu!$I$49,M1102=phu!$I$50,M1102=phu!$I$51,M1102=phu!$I$52,M1102=phu!$I$53),"Cam Linh",""),IF(OR(M1102=phu!$I$54,M1102=phu!$I$55,M1102=phu!$I$56,M1102=phu!$I$57,M1102=phu!$I$58,M1102=phu!$I$59,M1102=phu!$I$60,M1102=phu!$I$61,M1102=phu!$I$62),"Cam Lợi",""),IF(OR(M1102=phu!$I$63,M1102=phu!$I$64,M1102=phu!$I$65,M1102=phu!$I$66,M1102=phu!$I$67,M1102=phu!$I$68,M1102=phu!$I$69,M1102=phu!$I$70,M1102=phu!$I$71),"Ba Ngòi",""),IF(OR(M1102=phu!$I$72,M1102=phu!$I$73,M1102=phu!$I$74,M1102=phu!$I$75,M1102=phu!$I$76,M1102=phu!$I$77,M1102=phu!$I$78),"Cam Phước Đông",""),IF(OR(M1102=phu!$I$79,M1102=phu!$I$80,M1102=phu!$I$81,M1102=phu!$I$82,M1102=phu!$I$83,M1102=phu!$I$84),"Cam Thịnh Đông",""),IF(OR(M1102=phu!$I$85,M1102=phu!$I$86,M1102=phu!$I$87,M1102=phu!$I$88),"Cam Thịnh Tây",""),IF(OR(M1102=phu!$I$89,M1102=phu!$I$90),"Cam Lập",""),IF(OR(M1102=phu!$I$91,M1102=phu!$I$92,M1102=phu!$I$93),"Cam Bình",""),IF(OR(M1102=phu!$I$94,M1102=phu!$I$95,M1102=phu!$I$96,M1102=phu!$I$97,M1102=phu!$I$98,M1102=phu!$I$99,M1102=phu!$I$100),"Huyện khác",""),IF(OR(M1102=phu!$I$101,M1102=phu!$I$102),"Tỉnh khác",""))</f>
        <v/>
      </c>
      <c r="O1102" s="829" t="str">
        <f t="shared" si="102"/>
        <v/>
      </c>
      <c r="P1102" s="254"/>
      <c r="Q1102" s="254"/>
      <c r="R1102" s="254"/>
      <c r="S1102" s="254"/>
      <c r="T1102" s="254"/>
      <c r="U1102" s="254"/>
      <c r="V1102" s="254"/>
      <c r="W1102" s="254"/>
      <c r="Y1102" s="246" t="str">
        <f t="shared" si="103"/>
        <v/>
      </c>
      <c r="Z1102" s="247" t="str">
        <f t="shared" si="107"/>
        <v/>
      </c>
      <c r="AA1102" s="246" t="str">
        <f t="shared" si="104"/>
        <v/>
      </c>
    </row>
    <row r="1103" spans="1:27" x14ac:dyDescent="0.25">
      <c r="A1103" s="248" t="str">
        <f t="shared" si="105"/>
        <v/>
      </c>
      <c r="B1103" s="249" t="str">
        <f t="shared" si="106"/>
        <v/>
      </c>
      <c r="C1103" s="250"/>
      <c r="D1103" s="251"/>
      <c r="E1103" s="241"/>
      <c r="F1103" s="252"/>
      <c r="G1103" s="252"/>
      <c r="H1103" s="253"/>
      <c r="I1103" s="250"/>
      <c r="J1103" s="250"/>
      <c r="K1103" s="270"/>
      <c r="L1103" s="250"/>
      <c r="M1103" s="250"/>
      <c r="N1103" s="540" t="str">
        <f>CONCATENATE(IF(OR(M1103=phu!$I$1,M1103=phu!$I$2,M1103=phu!$I$3),"Cam Thành Nam",""),IF(OR(M1103=phu!$I$4,M1103=phu!$I$5,M1103=phu!$I$6,M1103=phu!$I$7,M1103=phu!$I$8,M1103=phu!$I$9,M1103=phu!$I$10,M1103=phu!$I$11,M1103=phu!$I$12,M1103=phu!$I$13,M1103=phu!$I$14),"Cam Nghĩa",""),IF(OR(M1103=phu!$I$15,M1103=phu!$I$16,M1103=phu!$I$17,M1103=phu!$I$18,M1103=phu!$I$19,M1103=phu!$I$20,M1103=phu!$I$21),"Cam Phúc Bắc",""),IF(OR(M1103=phu!$I$22,M1103=phu!$I$23,M1103=phu!$I$24,M1103=phu!$I$25),"Cam Phúc Nam",""),IF(OR(M1103=phu!$I$26,M1103=phu!$I$27,M1103=phu!$I$28,M1103=phu!$I$29,M1103=phu!$I$30,M1103=phu!$I$31),"Cam Phú",""),IF(OR(M1103=phu!$I$32,M1103=phu!$I$33,M1103=phu!$I$34,M1103=phu!$I$35,M1103=phu!$I$36,M1103=phu!$I$37),"Cam Lộc",""),IF(OR(M1103=phu!$I$38,M1103=phu!$I$39,M1103=phu!$I$40,M1103=phu!$I$41,M1103=phu!$I$42,M1103=phu!$I$43,M1103=phu!$I$44),"Cam Thuận",""),IF(OR(M1103=phu!$I$45,M1103=phu!$I$46,M1103=phu!$I$47,M1103=phu!$I$48,M1103=phu!$I$49,M1103=phu!$I$50,M1103=phu!$I$51,M1103=phu!$I$52,M1103=phu!$I$53),"Cam Linh",""),IF(OR(M1103=phu!$I$54,M1103=phu!$I$55,M1103=phu!$I$56,M1103=phu!$I$57,M1103=phu!$I$58,M1103=phu!$I$59,M1103=phu!$I$60,M1103=phu!$I$61,M1103=phu!$I$62),"Cam Lợi",""),IF(OR(M1103=phu!$I$63,M1103=phu!$I$64,M1103=phu!$I$65,M1103=phu!$I$66,M1103=phu!$I$67,M1103=phu!$I$68,M1103=phu!$I$69,M1103=phu!$I$70,M1103=phu!$I$71),"Ba Ngòi",""),IF(OR(M1103=phu!$I$72,M1103=phu!$I$73,M1103=phu!$I$74,M1103=phu!$I$75,M1103=phu!$I$76,M1103=phu!$I$77,M1103=phu!$I$78),"Cam Phước Đông",""),IF(OR(M1103=phu!$I$79,M1103=phu!$I$80,M1103=phu!$I$81,M1103=phu!$I$82,M1103=phu!$I$83,M1103=phu!$I$84),"Cam Thịnh Đông",""),IF(OR(M1103=phu!$I$85,M1103=phu!$I$86,M1103=phu!$I$87,M1103=phu!$I$88),"Cam Thịnh Tây",""),IF(OR(M1103=phu!$I$89,M1103=phu!$I$90),"Cam Lập",""),IF(OR(M1103=phu!$I$91,M1103=phu!$I$92,M1103=phu!$I$93),"Cam Bình",""),IF(OR(M1103=phu!$I$94,M1103=phu!$I$95,M1103=phu!$I$96,M1103=phu!$I$97,M1103=phu!$I$98,M1103=phu!$I$99,M1103=phu!$I$100),"Huyện khác",""),IF(OR(M1103=phu!$I$101,M1103=phu!$I$102),"Tỉnh khác",""))</f>
        <v/>
      </c>
      <c r="O1103" s="829" t="str">
        <f t="shared" si="102"/>
        <v/>
      </c>
      <c r="P1103" s="254"/>
      <c r="Q1103" s="254"/>
      <c r="R1103" s="254"/>
      <c r="S1103" s="254"/>
      <c r="T1103" s="254"/>
      <c r="U1103" s="254"/>
      <c r="V1103" s="254"/>
      <c r="W1103" s="254"/>
      <c r="Y1103" s="246" t="str">
        <f t="shared" si="103"/>
        <v/>
      </c>
      <c r="Z1103" s="247" t="str">
        <f t="shared" si="107"/>
        <v/>
      </c>
      <c r="AA1103" s="246" t="str">
        <f t="shared" si="104"/>
        <v/>
      </c>
    </row>
    <row r="1104" spans="1:27" x14ac:dyDescent="0.25">
      <c r="A1104" s="248" t="str">
        <f t="shared" si="105"/>
        <v/>
      </c>
      <c r="B1104" s="249" t="str">
        <f t="shared" si="106"/>
        <v/>
      </c>
      <c r="C1104" s="250"/>
      <c r="D1104" s="251"/>
      <c r="E1104" s="241"/>
      <c r="F1104" s="252"/>
      <c r="G1104" s="252"/>
      <c r="H1104" s="253"/>
      <c r="I1104" s="250"/>
      <c r="J1104" s="250"/>
      <c r="K1104" s="270"/>
      <c r="L1104" s="250"/>
      <c r="M1104" s="250"/>
      <c r="N1104" s="540" t="str">
        <f>CONCATENATE(IF(OR(M1104=phu!$I$1,M1104=phu!$I$2,M1104=phu!$I$3),"Cam Thành Nam",""),IF(OR(M1104=phu!$I$4,M1104=phu!$I$5,M1104=phu!$I$6,M1104=phu!$I$7,M1104=phu!$I$8,M1104=phu!$I$9,M1104=phu!$I$10,M1104=phu!$I$11,M1104=phu!$I$12,M1104=phu!$I$13,M1104=phu!$I$14),"Cam Nghĩa",""),IF(OR(M1104=phu!$I$15,M1104=phu!$I$16,M1104=phu!$I$17,M1104=phu!$I$18,M1104=phu!$I$19,M1104=phu!$I$20,M1104=phu!$I$21),"Cam Phúc Bắc",""),IF(OR(M1104=phu!$I$22,M1104=phu!$I$23,M1104=phu!$I$24,M1104=phu!$I$25),"Cam Phúc Nam",""),IF(OR(M1104=phu!$I$26,M1104=phu!$I$27,M1104=phu!$I$28,M1104=phu!$I$29,M1104=phu!$I$30,M1104=phu!$I$31),"Cam Phú",""),IF(OR(M1104=phu!$I$32,M1104=phu!$I$33,M1104=phu!$I$34,M1104=phu!$I$35,M1104=phu!$I$36,M1104=phu!$I$37),"Cam Lộc",""),IF(OR(M1104=phu!$I$38,M1104=phu!$I$39,M1104=phu!$I$40,M1104=phu!$I$41,M1104=phu!$I$42,M1104=phu!$I$43,M1104=phu!$I$44),"Cam Thuận",""),IF(OR(M1104=phu!$I$45,M1104=phu!$I$46,M1104=phu!$I$47,M1104=phu!$I$48,M1104=phu!$I$49,M1104=phu!$I$50,M1104=phu!$I$51,M1104=phu!$I$52,M1104=phu!$I$53),"Cam Linh",""),IF(OR(M1104=phu!$I$54,M1104=phu!$I$55,M1104=phu!$I$56,M1104=phu!$I$57,M1104=phu!$I$58,M1104=phu!$I$59,M1104=phu!$I$60,M1104=phu!$I$61,M1104=phu!$I$62),"Cam Lợi",""),IF(OR(M1104=phu!$I$63,M1104=phu!$I$64,M1104=phu!$I$65,M1104=phu!$I$66,M1104=phu!$I$67,M1104=phu!$I$68,M1104=phu!$I$69,M1104=phu!$I$70,M1104=phu!$I$71),"Ba Ngòi",""),IF(OR(M1104=phu!$I$72,M1104=phu!$I$73,M1104=phu!$I$74,M1104=phu!$I$75,M1104=phu!$I$76,M1104=phu!$I$77,M1104=phu!$I$78),"Cam Phước Đông",""),IF(OR(M1104=phu!$I$79,M1104=phu!$I$80,M1104=phu!$I$81,M1104=phu!$I$82,M1104=phu!$I$83,M1104=phu!$I$84),"Cam Thịnh Đông",""),IF(OR(M1104=phu!$I$85,M1104=phu!$I$86,M1104=phu!$I$87,M1104=phu!$I$88),"Cam Thịnh Tây",""),IF(OR(M1104=phu!$I$89,M1104=phu!$I$90),"Cam Lập",""),IF(OR(M1104=phu!$I$91,M1104=phu!$I$92,M1104=phu!$I$93),"Cam Bình",""),IF(OR(M1104=phu!$I$94,M1104=phu!$I$95,M1104=phu!$I$96,M1104=phu!$I$97,M1104=phu!$I$98,M1104=phu!$I$99,M1104=phu!$I$100),"Huyện khác",""),IF(OR(M1104=phu!$I$101,M1104=phu!$I$102),"Tỉnh khác",""))</f>
        <v/>
      </c>
      <c r="O1104" s="829" t="str">
        <f t="shared" si="102"/>
        <v/>
      </c>
      <c r="P1104" s="254"/>
      <c r="Q1104" s="254"/>
      <c r="R1104" s="254"/>
      <c r="S1104" s="254"/>
      <c r="T1104" s="254"/>
      <c r="U1104" s="254"/>
      <c r="V1104" s="254"/>
      <c r="W1104" s="254"/>
      <c r="Y1104" s="246" t="str">
        <f t="shared" si="103"/>
        <v/>
      </c>
      <c r="Z1104" s="247" t="str">
        <f t="shared" si="107"/>
        <v/>
      </c>
      <c r="AA1104" s="246" t="str">
        <f t="shared" si="104"/>
        <v/>
      </c>
    </row>
    <row r="1105" spans="1:27" x14ac:dyDescent="0.25">
      <c r="A1105" s="248" t="str">
        <f t="shared" si="105"/>
        <v/>
      </c>
      <c r="B1105" s="249" t="str">
        <f t="shared" si="106"/>
        <v/>
      </c>
      <c r="C1105" s="250"/>
      <c r="D1105" s="251"/>
      <c r="E1105" s="241"/>
      <c r="F1105" s="252"/>
      <c r="G1105" s="252"/>
      <c r="H1105" s="253"/>
      <c r="I1105" s="250"/>
      <c r="J1105" s="250"/>
      <c r="K1105" s="270"/>
      <c r="L1105" s="250"/>
      <c r="M1105" s="250"/>
      <c r="N1105" s="540" t="str">
        <f>CONCATENATE(IF(OR(M1105=phu!$I$1,M1105=phu!$I$2,M1105=phu!$I$3),"Cam Thành Nam",""),IF(OR(M1105=phu!$I$4,M1105=phu!$I$5,M1105=phu!$I$6,M1105=phu!$I$7,M1105=phu!$I$8,M1105=phu!$I$9,M1105=phu!$I$10,M1105=phu!$I$11,M1105=phu!$I$12,M1105=phu!$I$13,M1105=phu!$I$14),"Cam Nghĩa",""),IF(OR(M1105=phu!$I$15,M1105=phu!$I$16,M1105=phu!$I$17,M1105=phu!$I$18,M1105=phu!$I$19,M1105=phu!$I$20,M1105=phu!$I$21),"Cam Phúc Bắc",""),IF(OR(M1105=phu!$I$22,M1105=phu!$I$23,M1105=phu!$I$24,M1105=phu!$I$25),"Cam Phúc Nam",""),IF(OR(M1105=phu!$I$26,M1105=phu!$I$27,M1105=phu!$I$28,M1105=phu!$I$29,M1105=phu!$I$30,M1105=phu!$I$31),"Cam Phú",""),IF(OR(M1105=phu!$I$32,M1105=phu!$I$33,M1105=phu!$I$34,M1105=phu!$I$35,M1105=phu!$I$36,M1105=phu!$I$37),"Cam Lộc",""),IF(OR(M1105=phu!$I$38,M1105=phu!$I$39,M1105=phu!$I$40,M1105=phu!$I$41,M1105=phu!$I$42,M1105=phu!$I$43,M1105=phu!$I$44),"Cam Thuận",""),IF(OR(M1105=phu!$I$45,M1105=phu!$I$46,M1105=phu!$I$47,M1105=phu!$I$48,M1105=phu!$I$49,M1105=phu!$I$50,M1105=phu!$I$51,M1105=phu!$I$52,M1105=phu!$I$53),"Cam Linh",""),IF(OR(M1105=phu!$I$54,M1105=phu!$I$55,M1105=phu!$I$56,M1105=phu!$I$57,M1105=phu!$I$58,M1105=phu!$I$59,M1105=phu!$I$60,M1105=phu!$I$61,M1105=phu!$I$62),"Cam Lợi",""),IF(OR(M1105=phu!$I$63,M1105=phu!$I$64,M1105=phu!$I$65,M1105=phu!$I$66,M1105=phu!$I$67,M1105=phu!$I$68,M1105=phu!$I$69,M1105=phu!$I$70,M1105=phu!$I$71),"Ba Ngòi",""),IF(OR(M1105=phu!$I$72,M1105=phu!$I$73,M1105=phu!$I$74,M1105=phu!$I$75,M1105=phu!$I$76,M1105=phu!$I$77,M1105=phu!$I$78),"Cam Phước Đông",""),IF(OR(M1105=phu!$I$79,M1105=phu!$I$80,M1105=phu!$I$81,M1105=phu!$I$82,M1105=phu!$I$83,M1105=phu!$I$84),"Cam Thịnh Đông",""),IF(OR(M1105=phu!$I$85,M1105=phu!$I$86,M1105=phu!$I$87,M1105=phu!$I$88),"Cam Thịnh Tây",""),IF(OR(M1105=phu!$I$89,M1105=phu!$I$90),"Cam Lập",""),IF(OR(M1105=phu!$I$91,M1105=phu!$I$92,M1105=phu!$I$93),"Cam Bình",""),IF(OR(M1105=phu!$I$94,M1105=phu!$I$95,M1105=phu!$I$96,M1105=phu!$I$97,M1105=phu!$I$98,M1105=phu!$I$99,M1105=phu!$I$100),"Huyện khác",""),IF(OR(M1105=phu!$I$101,M1105=phu!$I$102),"Tỉnh khác",""))</f>
        <v/>
      </c>
      <c r="O1105" s="829" t="str">
        <f t="shared" si="102"/>
        <v/>
      </c>
      <c r="P1105" s="254"/>
      <c r="Q1105" s="254"/>
      <c r="R1105" s="254"/>
      <c r="S1105" s="254"/>
      <c r="T1105" s="254"/>
      <c r="U1105" s="254"/>
      <c r="V1105" s="254"/>
      <c r="W1105" s="254"/>
      <c r="Y1105" s="246" t="str">
        <f t="shared" si="103"/>
        <v/>
      </c>
      <c r="Z1105" s="247" t="str">
        <f t="shared" si="107"/>
        <v/>
      </c>
      <c r="AA1105" s="246" t="str">
        <f t="shared" si="104"/>
        <v/>
      </c>
    </row>
    <row r="1106" spans="1:27" x14ac:dyDescent="0.25">
      <c r="A1106" s="248" t="str">
        <f t="shared" si="105"/>
        <v/>
      </c>
      <c r="B1106" s="249" t="str">
        <f t="shared" si="106"/>
        <v/>
      </c>
      <c r="C1106" s="250"/>
      <c r="D1106" s="251"/>
      <c r="E1106" s="241"/>
      <c r="F1106" s="252"/>
      <c r="G1106" s="252"/>
      <c r="H1106" s="253"/>
      <c r="I1106" s="250"/>
      <c r="J1106" s="250"/>
      <c r="K1106" s="270"/>
      <c r="L1106" s="250"/>
      <c r="M1106" s="250"/>
      <c r="N1106" s="540" t="str">
        <f>CONCATENATE(IF(OR(M1106=phu!$I$1,M1106=phu!$I$2,M1106=phu!$I$3),"Cam Thành Nam",""),IF(OR(M1106=phu!$I$4,M1106=phu!$I$5,M1106=phu!$I$6,M1106=phu!$I$7,M1106=phu!$I$8,M1106=phu!$I$9,M1106=phu!$I$10,M1106=phu!$I$11,M1106=phu!$I$12,M1106=phu!$I$13,M1106=phu!$I$14),"Cam Nghĩa",""),IF(OR(M1106=phu!$I$15,M1106=phu!$I$16,M1106=phu!$I$17,M1106=phu!$I$18,M1106=phu!$I$19,M1106=phu!$I$20,M1106=phu!$I$21),"Cam Phúc Bắc",""),IF(OR(M1106=phu!$I$22,M1106=phu!$I$23,M1106=phu!$I$24,M1106=phu!$I$25),"Cam Phúc Nam",""),IF(OR(M1106=phu!$I$26,M1106=phu!$I$27,M1106=phu!$I$28,M1106=phu!$I$29,M1106=phu!$I$30,M1106=phu!$I$31),"Cam Phú",""),IF(OR(M1106=phu!$I$32,M1106=phu!$I$33,M1106=phu!$I$34,M1106=phu!$I$35,M1106=phu!$I$36,M1106=phu!$I$37),"Cam Lộc",""),IF(OR(M1106=phu!$I$38,M1106=phu!$I$39,M1106=phu!$I$40,M1106=phu!$I$41,M1106=phu!$I$42,M1106=phu!$I$43,M1106=phu!$I$44),"Cam Thuận",""),IF(OR(M1106=phu!$I$45,M1106=phu!$I$46,M1106=phu!$I$47,M1106=phu!$I$48,M1106=phu!$I$49,M1106=phu!$I$50,M1106=phu!$I$51,M1106=phu!$I$52,M1106=phu!$I$53),"Cam Linh",""),IF(OR(M1106=phu!$I$54,M1106=phu!$I$55,M1106=phu!$I$56,M1106=phu!$I$57,M1106=phu!$I$58,M1106=phu!$I$59,M1106=phu!$I$60,M1106=phu!$I$61,M1106=phu!$I$62),"Cam Lợi",""),IF(OR(M1106=phu!$I$63,M1106=phu!$I$64,M1106=phu!$I$65,M1106=phu!$I$66,M1106=phu!$I$67,M1106=phu!$I$68,M1106=phu!$I$69,M1106=phu!$I$70,M1106=phu!$I$71),"Ba Ngòi",""),IF(OR(M1106=phu!$I$72,M1106=phu!$I$73,M1106=phu!$I$74,M1106=phu!$I$75,M1106=phu!$I$76,M1106=phu!$I$77,M1106=phu!$I$78),"Cam Phước Đông",""),IF(OR(M1106=phu!$I$79,M1106=phu!$I$80,M1106=phu!$I$81,M1106=phu!$I$82,M1106=phu!$I$83,M1106=phu!$I$84),"Cam Thịnh Đông",""),IF(OR(M1106=phu!$I$85,M1106=phu!$I$86,M1106=phu!$I$87,M1106=phu!$I$88),"Cam Thịnh Tây",""),IF(OR(M1106=phu!$I$89,M1106=phu!$I$90),"Cam Lập",""),IF(OR(M1106=phu!$I$91,M1106=phu!$I$92,M1106=phu!$I$93),"Cam Bình",""),IF(OR(M1106=phu!$I$94,M1106=phu!$I$95,M1106=phu!$I$96,M1106=phu!$I$97,M1106=phu!$I$98,M1106=phu!$I$99,M1106=phu!$I$100),"Huyện khác",""),IF(OR(M1106=phu!$I$101,M1106=phu!$I$102),"Tỉnh khác",""))</f>
        <v/>
      </c>
      <c r="O1106" s="829" t="str">
        <f t="shared" si="102"/>
        <v/>
      </c>
      <c r="P1106" s="254"/>
      <c r="Q1106" s="254"/>
      <c r="R1106" s="254"/>
      <c r="S1106" s="254"/>
      <c r="T1106" s="254"/>
      <c r="U1106" s="254"/>
      <c r="V1106" s="254"/>
      <c r="W1106" s="254"/>
      <c r="Y1106" s="246" t="str">
        <f t="shared" si="103"/>
        <v/>
      </c>
      <c r="Z1106" s="247" t="str">
        <f t="shared" si="107"/>
        <v/>
      </c>
      <c r="AA1106" s="246" t="str">
        <f t="shared" si="104"/>
        <v/>
      </c>
    </row>
    <row r="1107" spans="1:27" x14ac:dyDescent="0.25">
      <c r="A1107" s="248" t="str">
        <f t="shared" si="105"/>
        <v/>
      </c>
      <c r="B1107" s="249" t="str">
        <f t="shared" si="106"/>
        <v/>
      </c>
      <c r="C1107" s="250"/>
      <c r="D1107" s="251"/>
      <c r="E1107" s="241"/>
      <c r="F1107" s="252"/>
      <c r="G1107" s="252"/>
      <c r="H1107" s="253"/>
      <c r="I1107" s="250"/>
      <c r="J1107" s="250"/>
      <c r="K1107" s="270"/>
      <c r="L1107" s="250"/>
      <c r="M1107" s="250"/>
      <c r="N1107" s="540" t="str">
        <f>CONCATENATE(IF(OR(M1107=phu!$I$1,M1107=phu!$I$2,M1107=phu!$I$3),"Cam Thành Nam",""),IF(OR(M1107=phu!$I$4,M1107=phu!$I$5,M1107=phu!$I$6,M1107=phu!$I$7,M1107=phu!$I$8,M1107=phu!$I$9,M1107=phu!$I$10,M1107=phu!$I$11,M1107=phu!$I$12,M1107=phu!$I$13,M1107=phu!$I$14),"Cam Nghĩa",""),IF(OR(M1107=phu!$I$15,M1107=phu!$I$16,M1107=phu!$I$17,M1107=phu!$I$18,M1107=phu!$I$19,M1107=phu!$I$20,M1107=phu!$I$21),"Cam Phúc Bắc",""),IF(OR(M1107=phu!$I$22,M1107=phu!$I$23,M1107=phu!$I$24,M1107=phu!$I$25),"Cam Phúc Nam",""),IF(OR(M1107=phu!$I$26,M1107=phu!$I$27,M1107=phu!$I$28,M1107=phu!$I$29,M1107=phu!$I$30,M1107=phu!$I$31),"Cam Phú",""),IF(OR(M1107=phu!$I$32,M1107=phu!$I$33,M1107=phu!$I$34,M1107=phu!$I$35,M1107=phu!$I$36,M1107=phu!$I$37),"Cam Lộc",""),IF(OR(M1107=phu!$I$38,M1107=phu!$I$39,M1107=phu!$I$40,M1107=phu!$I$41,M1107=phu!$I$42,M1107=phu!$I$43,M1107=phu!$I$44),"Cam Thuận",""),IF(OR(M1107=phu!$I$45,M1107=phu!$I$46,M1107=phu!$I$47,M1107=phu!$I$48,M1107=phu!$I$49,M1107=phu!$I$50,M1107=phu!$I$51,M1107=phu!$I$52,M1107=phu!$I$53),"Cam Linh",""),IF(OR(M1107=phu!$I$54,M1107=phu!$I$55,M1107=phu!$I$56,M1107=phu!$I$57,M1107=phu!$I$58,M1107=phu!$I$59,M1107=phu!$I$60,M1107=phu!$I$61,M1107=phu!$I$62),"Cam Lợi",""),IF(OR(M1107=phu!$I$63,M1107=phu!$I$64,M1107=phu!$I$65,M1107=phu!$I$66,M1107=phu!$I$67,M1107=phu!$I$68,M1107=phu!$I$69,M1107=phu!$I$70,M1107=phu!$I$71),"Ba Ngòi",""),IF(OR(M1107=phu!$I$72,M1107=phu!$I$73,M1107=phu!$I$74,M1107=phu!$I$75,M1107=phu!$I$76,M1107=phu!$I$77,M1107=phu!$I$78),"Cam Phước Đông",""),IF(OR(M1107=phu!$I$79,M1107=phu!$I$80,M1107=phu!$I$81,M1107=phu!$I$82,M1107=phu!$I$83,M1107=phu!$I$84),"Cam Thịnh Đông",""),IF(OR(M1107=phu!$I$85,M1107=phu!$I$86,M1107=phu!$I$87,M1107=phu!$I$88),"Cam Thịnh Tây",""),IF(OR(M1107=phu!$I$89,M1107=phu!$I$90),"Cam Lập",""),IF(OR(M1107=phu!$I$91,M1107=phu!$I$92,M1107=phu!$I$93),"Cam Bình",""),IF(OR(M1107=phu!$I$94,M1107=phu!$I$95,M1107=phu!$I$96,M1107=phu!$I$97,M1107=phu!$I$98,M1107=phu!$I$99,M1107=phu!$I$100),"Huyện khác",""),IF(OR(M1107=phu!$I$101,M1107=phu!$I$102),"Tỉnh khác",""))</f>
        <v/>
      </c>
      <c r="O1107" s="829" t="str">
        <f t="shared" si="102"/>
        <v/>
      </c>
      <c r="P1107" s="254"/>
      <c r="Q1107" s="254"/>
      <c r="R1107" s="254"/>
      <c r="S1107" s="254"/>
      <c r="T1107" s="254"/>
      <c r="U1107" s="254"/>
      <c r="V1107" s="254"/>
      <c r="W1107" s="254"/>
      <c r="Y1107" s="246" t="str">
        <f t="shared" si="103"/>
        <v/>
      </c>
      <c r="Z1107" s="247" t="str">
        <f t="shared" si="107"/>
        <v/>
      </c>
      <c r="AA1107" s="246" t="str">
        <f t="shared" si="104"/>
        <v/>
      </c>
    </row>
    <row r="1108" spans="1:27" x14ac:dyDescent="0.25">
      <c r="A1108" s="248" t="str">
        <f t="shared" si="105"/>
        <v/>
      </c>
      <c r="B1108" s="249" t="str">
        <f t="shared" si="106"/>
        <v/>
      </c>
      <c r="C1108" s="250"/>
      <c r="D1108" s="251"/>
      <c r="E1108" s="241"/>
      <c r="F1108" s="252"/>
      <c r="G1108" s="252"/>
      <c r="H1108" s="253"/>
      <c r="I1108" s="250"/>
      <c r="J1108" s="250"/>
      <c r="K1108" s="270"/>
      <c r="L1108" s="250"/>
      <c r="M1108" s="250"/>
      <c r="N1108" s="540" t="str">
        <f>CONCATENATE(IF(OR(M1108=phu!$I$1,M1108=phu!$I$2,M1108=phu!$I$3),"Cam Thành Nam",""),IF(OR(M1108=phu!$I$4,M1108=phu!$I$5,M1108=phu!$I$6,M1108=phu!$I$7,M1108=phu!$I$8,M1108=phu!$I$9,M1108=phu!$I$10,M1108=phu!$I$11,M1108=phu!$I$12,M1108=phu!$I$13,M1108=phu!$I$14),"Cam Nghĩa",""),IF(OR(M1108=phu!$I$15,M1108=phu!$I$16,M1108=phu!$I$17,M1108=phu!$I$18,M1108=phu!$I$19,M1108=phu!$I$20,M1108=phu!$I$21),"Cam Phúc Bắc",""),IF(OR(M1108=phu!$I$22,M1108=phu!$I$23,M1108=phu!$I$24,M1108=phu!$I$25),"Cam Phúc Nam",""),IF(OR(M1108=phu!$I$26,M1108=phu!$I$27,M1108=phu!$I$28,M1108=phu!$I$29,M1108=phu!$I$30,M1108=phu!$I$31),"Cam Phú",""),IF(OR(M1108=phu!$I$32,M1108=phu!$I$33,M1108=phu!$I$34,M1108=phu!$I$35,M1108=phu!$I$36,M1108=phu!$I$37),"Cam Lộc",""),IF(OR(M1108=phu!$I$38,M1108=phu!$I$39,M1108=phu!$I$40,M1108=phu!$I$41,M1108=phu!$I$42,M1108=phu!$I$43,M1108=phu!$I$44),"Cam Thuận",""),IF(OR(M1108=phu!$I$45,M1108=phu!$I$46,M1108=phu!$I$47,M1108=phu!$I$48,M1108=phu!$I$49,M1108=phu!$I$50,M1108=phu!$I$51,M1108=phu!$I$52,M1108=phu!$I$53),"Cam Linh",""),IF(OR(M1108=phu!$I$54,M1108=phu!$I$55,M1108=phu!$I$56,M1108=phu!$I$57,M1108=phu!$I$58,M1108=phu!$I$59,M1108=phu!$I$60,M1108=phu!$I$61,M1108=phu!$I$62),"Cam Lợi",""),IF(OR(M1108=phu!$I$63,M1108=phu!$I$64,M1108=phu!$I$65,M1108=phu!$I$66,M1108=phu!$I$67,M1108=phu!$I$68,M1108=phu!$I$69,M1108=phu!$I$70,M1108=phu!$I$71),"Ba Ngòi",""),IF(OR(M1108=phu!$I$72,M1108=phu!$I$73,M1108=phu!$I$74,M1108=phu!$I$75,M1108=phu!$I$76,M1108=phu!$I$77,M1108=phu!$I$78),"Cam Phước Đông",""),IF(OR(M1108=phu!$I$79,M1108=phu!$I$80,M1108=phu!$I$81,M1108=phu!$I$82,M1108=phu!$I$83,M1108=phu!$I$84),"Cam Thịnh Đông",""),IF(OR(M1108=phu!$I$85,M1108=phu!$I$86,M1108=phu!$I$87,M1108=phu!$I$88),"Cam Thịnh Tây",""),IF(OR(M1108=phu!$I$89,M1108=phu!$I$90),"Cam Lập",""),IF(OR(M1108=phu!$I$91,M1108=phu!$I$92,M1108=phu!$I$93),"Cam Bình",""),IF(OR(M1108=phu!$I$94,M1108=phu!$I$95,M1108=phu!$I$96,M1108=phu!$I$97,M1108=phu!$I$98,M1108=phu!$I$99,M1108=phu!$I$100),"Huyện khác",""),IF(OR(M1108=phu!$I$101,M1108=phu!$I$102),"Tỉnh khác",""))</f>
        <v/>
      </c>
      <c r="O1108" s="829" t="str">
        <f t="shared" si="102"/>
        <v/>
      </c>
      <c r="P1108" s="254"/>
      <c r="Q1108" s="254"/>
      <c r="R1108" s="254"/>
      <c r="S1108" s="254"/>
      <c r="T1108" s="254"/>
      <c r="U1108" s="254"/>
      <c r="V1108" s="254"/>
      <c r="W1108" s="254"/>
      <c r="Y1108" s="246" t="str">
        <f t="shared" si="103"/>
        <v/>
      </c>
      <c r="Z1108" s="247" t="str">
        <f t="shared" si="107"/>
        <v/>
      </c>
      <c r="AA1108" s="246" t="str">
        <f t="shared" si="104"/>
        <v/>
      </c>
    </row>
    <row r="1109" spans="1:27" x14ac:dyDescent="0.25">
      <c r="A1109" s="248" t="str">
        <f t="shared" si="105"/>
        <v/>
      </c>
      <c r="B1109" s="249" t="str">
        <f t="shared" si="106"/>
        <v/>
      </c>
      <c r="C1109" s="250"/>
      <c r="D1109" s="251"/>
      <c r="E1109" s="241"/>
      <c r="F1109" s="252"/>
      <c r="G1109" s="252"/>
      <c r="H1109" s="253"/>
      <c r="I1109" s="250"/>
      <c r="J1109" s="250"/>
      <c r="K1109" s="270"/>
      <c r="L1109" s="250"/>
      <c r="M1109" s="250"/>
      <c r="N1109" s="540" t="str">
        <f>CONCATENATE(IF(OR(M1109=phu!$I$1,M1109=phu!$I$2,M1109=phu!$I$3),"Cam Thành Nam",""),IF(OR(M1109=phu!$I$4,M1109=phu!$I$5,M1109=phu!$I$6,M1109=phu!$I$7,M1109=phu!$I$8,M1109=phu!$I$9,M1109=phu!$I$10,M1109=phu!$I$11,M1109=phu!$I$12,M1109=phu!$I$13,M1109=phu!$I$14),"Cam Nghĩa",""),IF(OR(M1109=phu!$I$15,M1109=phu!$I$16,M1109=phu!$I$17,M1109=phu!$I$18,M1109=phu!$I$19,M1109=phu!$I$20,M1109=phu!$I$21),"Cam Phúc Bắc",""),IF(OR(M1109=phu!$I$22,M1109=phu!$I$23,M1109=phu!$I$24,M1109=phu!$I$25),"Cam Phúc Nam",""),IF(OR(M1109=phu!$I$26,M1109=phu!$I$27,M1109=phu!$I$28,M1109=phu!$I$29,M1109=phu!$I$30,M1109=phu!$I$31),"Cam Phú",""),IF(OR(M1109=phu!$I$32,M1109=phu!$I$33,M1109=phu!$I$34,M1109=phu!$I$35,M1109=phu!$I$36,M1109=phu!$I$37),"Cam Lộc",""),IF(OR(M1109=phu!$I$38,M1109=phu!$I$39,M1109=phu!$I$40,M1109=phu!$I$41,M1109=phu!$I$42,M1109=phu!$I$43,M1109=phu!$I$44),"Cam Thuận",""),IF(OR(M1109=phu!$I$45,M1109=phu!$I$46,M1109=phu!$I$47,M1109=phu!$I$48,M1109=phu!$I$49,M1109=phu!$I$50,M1109=phu!$I$51,M1109=phu!$I$52,M1109=phu!$I$53),"Cam Linh",""),IF(OR(M1109=phu!$I$54,M1109=phu!$I$55,M1109=phu!$I$56,M1109=phu!$I$57,M1109=phu!$I$58,M1109=phu!$I$59,M1109=phu!$I$60,M1109=phu!$I$61,M1109=phu!$I$62),"Cam Lợi",""),IF(OR(M1109=phu!$I$63,M1109=phu!$I$64,M1109=phu!$I$65,M1109=phu!$I$66,M1109=phu!$I$67,M1109=phu!$I$68,M1109=phu!$I$69,M1109=phu!$I$70,M1109=phu!$I$71),"Ba Ngòi",""),IF(OR(M1109=phu!$I$72,M1109=phu!$I$73,M1109=phu!$I$74,M1109=phu!$I$75,M1109=phu!$I$76,M1109=phu!$I$77,M1109=phu!$I$78),"Cam Phước Đông",""),IF(OR(M1109=phu!$I$79,M1109=phu!$I$80,M1109=phu!$I$81,M1109=phu!$I$82,M1109=phu!$I$83,M1109=phu!$I$84),"Cam Thịnh Đông",""),IF(OR(M1109=phu!$I$85,M1109=phu!$I$86,M1109=phu!$I$87,M1109=phu!$I$88),"Cam Thịnh Tây",""),IF(OR(M1109=phu!$I$89,M1109=phu!$I$90),"Cam Lập",""),IF(OR(M1109=phu!$I$91,M1109=phu!$I$92,M1109=phu!$I$93),"Cam Bình",""),IF(OR(M1109=phu!$I$94,M1109=phu!$I$95,M1109=phu!$I$96,M1109=phu!$I$97,M1109=phu!$I$98,M1109=phu!$I$99,M1109=phu!$I$100),"Huyện khác",""),IF(OR(M1109=phu!$I$101,M1109=phu!$I$102),"Tỉnh khác",""))</f>
        <v/>
      </c>
      <c r="O1109" s="829" t="str">
        <f t="shared" si="102"/>
        <v/>
      </c>
      <c r="P1109" s="254"/>
      <c r="Q1109" s="254"/>
      <c r="R1109" s="254"/>
      <c r="S1109" s="254"/>
      <c r="T1109" s="254"/>
      <c r="U1109" s="254"/>
      <c r="V1109" s="254"/>
      <c r="W1109" s="254"/>
      <c r="Y1109" s="246" t="str">
        <f t="shared" si="103"/>
        <v/>
      </c>
      <c r="Z1109" s="247" t="str">
        <f t="shared" si="107"/>
        <v/>
      </c>
      <c r="AA1109" s="246" t="str">
        <f t="shared" si="104"/>
        <v/>
      </c>
    </row>
    <row r="1110" spans="1:27" x14ac:dyDescent="0.25">
      <c r="A1110" s="248" t="str">
        <f t="shared" si="105"/>
        <v/>
      </c>
      <c r="B1110" s="249" t="str">
        <f t="shared" si="106"/>
        <v/>
      </c>
      <c r="C1110" s="250"/>
      <c r="D1110" s="251"/>
      <c r="E1110" s="241"/>
      <c r="F1110" s="252"/>
      <c r="G1110" s="252"/>
      <c r="H1110" s="253"/>
      <c r="I1110" s="250"/>
      <c r="J1110" s="250"/>
      <c r="K1110" s="270"/>
      <c r="L1110" s="250"/>
      <c r="M1110" s="250"/>
      <c r="N1110" s="540" t="str">
        <f>CONCATENATE(IF(OR(M1110=phu!$I$1,M1110=phu!$I$2,M1110=phu!$I$3),"Cam Thành Nam",""),IF(OR(M1110=phu!$I$4,M1110=phu!$I$5,M1110=phu!$I$6,M1110=phu!$I$7,M1110=phu!$I$8,M1110=phu!$I$9,M1110=phu!$I$10,M1110=phu!$I$11,M1110=phu!$I$12,M1110=phu!$I$13,M1110=phu!$I$14),"Cam Nghĩa",""),IF(OR(M1110=phu!$I$15,M1110=phu!$I$16,M1110=phu!$I$17,M1110=phu!$I$18,M1110=phu!$I$19,M1110=phu!$I$20,M1110=phu!$I$21),"Cam Phúc Bắc",""),IF(OR(M1110=phu!$I$22,M1110=phu!$I$23,M1110=phu!$I$24,M1110=phu!$I$25),"Cam Phúc Nam",""),IF(OR(M1110=phu!$I$26,M1110=phu!$I$27,M1110=phu!$I$28,M1110=phu!$I$29,M1110=phu!$I$30,M1110=phu!$I$31),"Cam Phú",""),IF(OR(M1110=phu!$I$32,M1110=phu!$I$33,M1110=phu!$I$34,M1110=phu!$I$35,M1110=phu!$I$36,M1110=phu!$I$37),"Cam Lộc",""),IF(OR(M1110=phu!$I$38,M1110=phu!$I$39,M1110=phu!$I$40,M1110=phu!$I$41,M1110=phu!$I$42,M1110=phu!$I$43,M1110=phu!$I$44),"Cam Thuận",""),IF(OR(M1110=phu!$I$45,M1110=phu!$I$46,M1110=phu!$I$47,M1110=phu!$I$48,M1110=phu!$I$49,M1110=phu!$I$50,M1110=phu!$I$51,M1110=phu!$I$52,M1110=phu!$I$53),"Cam Linh",""),IF(OR(M1110=phu!$I$54,M1110=phu!$I$55,M1110=phu!$I$56,M1110=phu!$I$57,M1110=phu!$I$58,M1110=phu!$I$59,M1110=phu!$I$60,M1110=phu!$I$61,M1110=phu!$I$62),"Cam Lợi",""),IF(OR(M1110=phu!$I$63,M1110=phu!$I$64,M1110=phu!$I$65,M1110=phu!$I$66,M1110=phu!$I$67,M1110=phu!$I$68,M1110=phu!$I$69,M1110=phu!$I$70,M1110=phu!$I$71),"Ba Ngòi",""),IF(OR(M1110=phu!$I$72,M1110=phu!$I$73,M1110=phu!$I$74,M1110=phu!$I$75,M1110=phu!$I$76,M1110=phu!$I$77,M1110=phu!$I$78),"Cam Phước Đông",""),IF(OR(M1110=phu!$I$79,M1110=phu!$I$80,M1110=phu!$I$81,M1110=phu!$I$82,M1110=phu!$I$83,M1110=phu!$I$84),"Cam Thịnh Đông",""),IF(OR(M1110=phu!$I$85,M1110=phu!$I$86,M1110=phu!$I$87,M1110=phu!$I$88),"Cam Thịnh Tây",""),IF(OR(M1110=phu!$I$89,M1110=phu!$I$90),"Cam Lập",""),IF(OR(M1110=phu!$I$91,M1110=phu!$I$92,M1110=phu!$I$93),"Cam Bình",""),IF(OR(M1110=phu!$I$94,M1110=phu!$I$95,M1110=phu!$I$96,M1110=phu!$I$97,M1110=phu!$I$98,M1110=phu!$I$99,M1110=phu!$I$100),"Huyện khác",""),IF(OR(M1110=phu!$I$101,M1110=phu!$I$102),"Tỉnh khác",""))</f>
        <v/>
      </c>
      <c r="O1110" s="829" t="str">
        <f t="shared" si="102"/>
        <v/>
      </c>
      <c r="P1110" s="254"/>
      <c r="Q1110" s="254"/>
      <c r="R1110" s="254"/>
      <c r="S1110" s="254"/>
      <c r="T1110" s="254"/>
      <c r="U1110" s="254"/>
      <c r="V1110" s="254"/>
      <c r="W1110" s="254"/>
      <c r="Y1110" s="246" t="str">
        <f t="shared" si="103"/>
        <v/>
      </c>
      <c r="Z1110" s="247" t="str">
        <f t="shared" si="107"/>
        <v/>
      </c>
      <c r="AA1110" s="246" t="str">
        <f t="shared" si="104"/>
        <v/>
      </c>
    </row>
    <row r="1111" spans="1:27" x14ac:dyDescent="0.25">
      <c r="A1111" s="248" t="str">
        <f t="shared" si="105"/>
        <v/>
      </c>
      <c r="B1111" s="249" t="str">
        <f t="shared" si="106"/>
        <v/>
      </c>
      <c r="C1111" s="250"/>
      <c r="D1111" s="251"/>
      <c r="E1111" s="241"/>
      <c r="F1111" s="252"/>
      <c r="G1111" s="252"/>
      <c r="H1111" s="253"/>
      <c r="I1111" s="250"/>
      <c r="J1111" s="250"/>
      <c r="K1111" s="270"/>
      <c r="L1111" s="250"/>
      <c r="M1111" s="250"/>
      <c r="N1111" s="540" t="str">
        <f>CONCATENATE(IF(OR(M1111=phu!$I$1,M1111=phu!$I$2,M1111=phu!$I$3),"Cam Thành Nam",""),IF(OR(M1111=phu!$I$4,M1111=phu!$I$5,M1111=phu!$I$6,M1111=phu!$I$7,M1111=phu!$I$8,M1111=phu!$I$9,M1111=phu!$I$10,M1111=phu!$I$11,M1111=phu!$I$12,M1111=phu!$I$13,M1111=phu!$I$14),"Cam Nghĩa",""),IF(OR(M1111=phu!$I$15,M1111=phu!$I$16,M1111=phu!$I$17,M1111=phu!$I$18,M1111=phu!$I$19,M1111=phu!$I$20,M1111=phu!$I$21),"Cam Phúc Bắc",""),IF(OR(M1111=phu!$I$22,M1111=phu!$I$23,M1111=phu!$I$24,M1111=phu!$I$25),"Cam Phúc Nam",""),IF(OR(M1111=phu!$I$26,M1111=phu!$I$27,M1111=phu!$I$28,M1111=phu!$I$29,M1111=phu!$I$30,M1111=phu!$I$31),"Cam Phú",""),IF(OR(M1111=phu!$I$32,M1111=phu!$I$33,M1111=phu!$I$34,M1111=phu!$I$35,M1111=phu!$I$36,M1111=phu!$I$37),"Cam Lộc",""),IF(OR(M1111=phu!$I$38,M1111=phu!$I$39,M1111=phu!$I$40,M1111=phu!$I$41,M1111=phu!$I$42,M1111=phu!$I$43,M1111=phu!$I$44),"Cam Thuận",""),IF(OR(M1111=phu!$I$45,M1111=phu!$I$46,M1111=phu!$I$47,M1111=phu!$I$48,M1111=phu!$I$49,M1111=phu!$I$50,M1111=phu!$I$51,M1111=phu!$I$52,M1111=phu!$I$53),"Cam Linh",""),IF(OR(M1111=phu!$I$54,M1111=phu!$I$55,M1111=phu!$I$56,M1111=phu!$I$57,M1111=phu!$I$58,M1111=phu!$I$59,M1111=phu!$I$60,M1111=phu!$I$61,M1111=phu!$I$62),"Cam Lợi",""),IF(OR(M1111=phu!$I$63,M1111=phu!$I$64,M1111=phu!$I$65,M1111=phu!$I$66,M1111=phu!$I$67,M1111=phu!$I$68,M1111=phu!$I$69,M1111=phu!$I$70,M1111=phu!$I$71),"Ba Ngòi",""),IF(OR(M1111=phu!$I$72,M1111=phu!$I$73,M1111=phu!$I$74,M1111=phu!$I$75,M1111=phu!$I$76,M1111=phu!$I$77,M1111=phu!$I$78),"Cam Phước Đông",""),IF(OR(M1111=phu!$I$79,M1111=phu!$I$80,M1111=phu!$I$81,M1111=phu!$I$82,M1111=phu!$I$83,M1111=phu!$I$84),"Cam Thịnh Đông",""),IF(OR(M1111=phu!$I$85,M1111=phu!$I$86,M1111=phu!$I$87,M1111=phu!$I$88),"Cam Thịnh Tây",""),IF(OR(M1111=phu!$I$89,M1111=phu!$I$90),"Cam Lập",""),IF(OR(M1111=phu!$I$91,M1111=phu!$I$92,M1111=phu!$I$93),"Cam Bình",""),IF(OR(M1111=phu!$I$94,M1111=phu!$I$95,M1111=phu!$I$96,M1111=phu!$I$97,M1111=phu!$I$98,M1111=phu!$I$99,M1111=phu!$I$100),"Huyện khác",""),IF(OR(M1111=phu!$I$101,M1111=phu!$I$102),"Tỉnh khác",""))</f>
        <v/>
      </c>
      <c r="O1111" s="829" t="str">
        <f t="shared" si="102"/>
        <v/>
      </c>
      <c r="P1111" s="254"/>
      <c r="Q1111" s="254"/>
      <c r="R1111" s="254"/>
      <c r="S1111" s="254"/>
      <c r="T1111" s="254"/>
      <c r="U1111" s="254"/>
      <c r="V1111" s="254"/>
      <c r="W1111" s="254"/>
      <c r="Y1111" s="246" t="str">
        <f t="shared" si="103"/>
        <v/>
      </c>
      <c r="Z1111" s="247" t="str">
        <f t="shared" si="107"/>
        <v/>
      </c>
      <c r="AA1111" s="246" t="str">
        <f t="shared" si="104"/>
        <v/>
      </c>
    </row>
    <row r="1112" spans="1:27" x14ac:dyDescent="0.25">
      <c r="A1112" s="248" t="str">
        <f t="shared" si="105"/>
        <v/>
      </c>
      <c r="B1112" s="249" t="str">
        <f t="shared" si="106"/>
        <v/>
      </c>
      <c r="C1112" s="250"/>
      <c r="D1112" s="251"/>
      <c r="E1112" s="241"/>
      <c r="F1112" s="252"/>
      <c r="G1112" s="252"/>
      <c r="H1112" s="253"/>
      <c r="I1112" s="250"/>
      <c r="J1112" s="250"/>
      <c r="K1112" s="270"/>
      <c r="L1112" s="250"/>
      <c r="M1112" s="250"/>
      <c r="N1112" s="540" t="str">
        <f>CONCATENATE(IF(OR(M1112=phu!$I$1,M1112=phu!$I$2,M1112=phu!$I$3),"Cam Thành Nam",""),IF(OR(M1112=phu!$I$4,M1112=phu!$I$5,M1112=phu!$I$6,M1112=phu!$I$7,M1112=phu!$I$8,M1112=phu!$I$9,M1112=phu!$I$10,M1112=phu!$I$11,M1112=phu!$I$12,M1112=phu!$I$13,M1112=phu!$I$14),"Cam Nghĩa",""),IF(OR(M1112=phu!$I$15,M1112=phu!$I$16,M1112=phu!$I$17,M1112=phu!$I$18,M1112=phu!$I$19,M1112=phu!$I$20,M1112=phu!$I$21),"Cam Phúc Bắc",""),IF(OR(M1112=phu!$I$22,M1112=phu!$I$23,M1112=phu!$I$24,M1112=phu!$I$25),"Cam Phúc Nam",""),IF(OR(M1112=phu!$I$26,M1112=phu!$I$27,M1112=phu!$I$28,M1112=phu!$I$29,M1112=phu!$I$30,M1112=phu!$I$31),"Cam Phú",""),IF(OR(M1112=phu!$I$32,M1112=phu!$I$33,M1112=phu!$I$34,M1112=phu!$I$35,M1112=phu!$I$36,M1112=phu!$I$37),"Cam Lộc",""),IF(OR(M1112=phu!$I$38,M1112=phu!$I$39,M1112=phu!$I$40,M1112=phu!$I$41,M1112=phu!$I$42,M1112=phu!$I$43,M1112=phu!$I$44),"Cam Thuận",""),IF(OR(M1112=phu!$I$45,M1112=phu!$I$46,M1112=phu!$I$47,M1112=phu!$I$48,M1112=phu!$I$49,M1112=phu!$I$50,M1112=phu!$I$51,M1112=phu!$I$52,M1112=phu!$I$53),"Cam Linh",""),IF(OR(M1112=phu!$I$54,M1112=phu!$I$55,M1112=phu!$I$56,M1112=phu!$I$57,M1112=phu!$I$58,M1112=phu!$I$59,M1112=phu!$I$60,M1112=phu!$I$61,M1112=phu!$I$62),"Cam Lợi",""),IF(OR(M1112=phu!$I$63,M1112=phu!$I$64,M1112=phu!$I$65,M1112=phu!$I$66,M1112=phu!$I$67,M1112=phu!$I$68,M1112=phu!$I$69,M1112=phu!$I$70,M1112=phu!$I$71),"Ba Ngòi",""),IF(OR(M1112=phu!$I$72,M1112=phu!$I$73,M1112=phu!$I$74,M1112=phu!$I$75,M1112=phu!$I$76,M1112=phu!$I$77,M1112=phu!$I$78),"Cam Phước Đông",""),IF(OR(M1112=phu!$I$79,M1112=phu!$I$80,M1112=phu!$I$81,M1112=phu!$I$82,M1112=phu!$I$83,M1112=phu!$I$84),"Cam Thịnh Đông",""),IF(OR(M1112=phu!$I$85,M1112=phu!$I$86,M1112=phu!$I$87,M1112=phu!$I$88),"Cam Thịnh Tây",""),IF(OR(M1112=phu!$I$89,M1112=phu!$I$90),"Cam Lập",""),IF(OR(M1112=phu!$I$91,M1112=phu!$I$92,M1112=phu!$I$93),"Cam Bình",""),IF(OR(M1112=phu!$I$94,M1112=phu!$I$95,M1112=phu!$I$96,M1112=phu!$I$97,M1112=phu!$I$98,M1112=phu!$I$99,M1112=phu!$I$100),"Huyện khác",""),IF(OR(M1112=phu!$I$101,M1112=phu!$I$102),"Tỉnh khác",""))</f>
        <v/>
      </c>
      <c r="O1112" s="829" t="str">
        <f t="shared" si="102"/>
        <v/>
      </c>
      <c r="P1112" s="254"/>
      <c r="Q1112" s="254"/>
      <c r="R1112" s="254"/>
      <c r="S1112" s="254"/>
      <c r="T1112" s="254"/>
      <c r="U1112" s="254"/>
      <c r="V1112" s="254"/>
      <c r="W1112" s="254"/>
      <c r="Y1112" s="246" t="str">
        <f t="shared" si="103"/>
        <v/>
      </c>
      <c r="Z1112" s="247" t="str">
        <f t="shared" si="107"/>
        <v/>
      </c>
      <c r="AA1112" s="246" t="str">
        <f t="shared" si="104"/>
        <v/>
      </c>
    </row>
    <row r="1113" spans="1:27" x14ac:dyDescent="0.25">
      <c r="A1113" s="248" t="str">
        <f t="shared" si="105"/>
        <v/>
      </c>
      <c r="B1113" s="249" t="str">
        <f t="shared" si="106"/>
        <v/>
      </c>
      <c r="C1113" s="250"/>
      <c r="D1113" s="251"/>
      <c r="E1113" s="241"/>
      <c r="F1113" s="252"/>
      <c r="G1113" s="252"/>
      <c r="H1113" s="253"/>
      <c r="I1113" s="250"/>
      <c r="J1113" s="250"/>
      <c r="K1113" s="270"/>
      <c r="L1113" s="250"/>
      <c r="M1113" s="250"/>
      <c r="N1113" s="540" t="str">
        <f>CONCATENATE(IF(OR(M1113=phu!$I$1,M1113=phu!$I$2,M1113=phu!$I$3),"Cam Thành Nam",""),IF(OR(M1113=phu!$I$4,M1113=phu!$I$5,M1113=phu!$I$6,M1113=phu!$I$7,M1113=phu!$I$8,M1113=phu!$I$9,M1113=phu!$I$10,M1113=phu!$I$11,M1113=phu!$I$12,M1113=phu!$I$13,M1113=phu!$I$14),"Cam Nghĩa",""),IF(OR(M1113=phu!$I$15,M1113=phu!$I$16,M1113=phu!$I$17,M1113=phu!$I$18,M1113=phu!$I$19,M1113=phu!$I$20,M1113=phu!$I$21),"Cam Phúc Bắc",""),IF(OR(M1113=phu!$I$22,M1113=phu!$I$23,M1113=phu!$I$24,M1113=phu!$I$25),"Cam Phúc Nam",""),IF(OR(M1113=phu!$I$26,M1113=phu!$I$27,M1113=phu!$I$28,M1113=phu!$I$29,M1113=phu!$I$30,M1113=phu!$I$31),"Cam Phú",""),IF(OR(M1113=phu!$I$32,M1113=phu!$I$33,M1113=phu!$I$34,M1113=phu!$I$35,M1113=phu!$I$36,M1113=phu!$I$37),"Cam Lộc",""),IF(OR(M1113=phu!$I$38,M1113=phu!$I$39,M1113=phu!$I$40,M1113=phu!$I$41,M1113=phu!$I$42,M1113=phu!$I$43,M1113=phu!$I$44),"Cam Thuận",""),IF(OR(M1113=phu!$I$45,M1113=phu!$I$46,M1113=phu!$I$47,M1113=phu!$I$48,M1113=phu!$I$49,M1113=phu!$I$50,M1113=phu!$I$51,M1113=phu!$I$52,M1113=phu!$I$53),"Cam Linh",""),IF(OR(M1113=phu!$I$54,M1113=phu!$I$55,M1113=phu!$I$56,M1113=phu!$I$57,M1113=phu!$I$58,M1113=phu!$I$59,M1113=phu!$I$60,M1113=phu!$I$61,M1113=phu!$I$62),"Cam Lợi",""),IF(OR(M1113=phu!$I$63,M1113=phu!$I$64,M1113=phu!$I$65,M1113=phu!$I$66,M1113=phu!$I$67,M1113=phu!$I$68,M1113=phu!$I$69,M1113=phu!$I$70,M1113=phu!$I$71),"Ba Ngòi",""),IF(OR(M1113=phu!$I$72,M1113=phu!$I$73,M1113=phu!$I$74,M1113=phu!$I$75,M1113=phu!$I$76,M1113=phu!$I$77,M1113=phu!$I$78),"Cam Phước Đông",""),IF(OR(M1113=phu!$I$79,M1113=phu!$I$80,M1113=phu!$I$81,M1113=phu!$I$82,M1113=phu!$I$83,M1113=phu!$I$84),"Cam Thịnh Đông",""),IF(OR(M1113=phu!$I$85,M1113=phu!$I$86,M1113=phu!$I$87,M1113=phu!$I$88),"Cam Thịnh Tây",""),IF(OR(M1113=phu!$I$89,M1113=phu!$I$90),"Cam Lập",""),IF(OR(M1113=phu!$I$91,M1113=phu!$I$92,M1113=phu!$I$93),"Cam Bình",""),IF(OR(M1113=phu!$I$94,M1113=phu!$I$95,M1113=phu!$I$96,M1113=phu!$I$97,M1113=phu!$I$98,M1113=phu!$I$99,M1113=phu!$I$100),"Huyện khác",""),IF(OR(M1113=phu!$I$101,M1113=phu!$I$102),"Tỉnh khác",""))</f>
        <v/>
      </c>
      <c r="O1113" s="829" t="str">
        <f t="shared" si="102"/>
        <v/>
      </c>
      <c r="P1113" s="254"/>
      <c r="Q1113" s="254"/>
      <c r="R1113" s="254"/>
      <c r="S1113" s="254"/>
      <c r="T1113" s="254"/>
      <c r="U1113" s="254"/>
      <c r="V1113" s="254"/>
      <c r="W1113" s="254"/>
      <c r="Y1113" s="246" t="str">
        <f t="shared" si="103"/>
        <v/>
      </c>
      <c r="Z1113" s="247" t="str">
        <f t="shared" si="107"/>
        <v/>
      </c>
      <c r="AA1113" s="246" t="str">
        <f t="shared" si="104"/>
        <v/>
      </c>
    </row>
    <row r="1114" spans="1:27" x14ac:dyDescent="0.25">
      <c r="A1114" s="248" t="str">
        <f t="shared" si="105"/>
        <v/>
      </c>
      <c r="B1114" s="249" t="str">
        <f t="shared" si="106"/>
        <v/>
      </c>
      <c r="C1114" s="250"/>
      <c r="D1114" s="251"/>
      <c r="E1114" s="241"/>
      <c r="F1114" s="252"/>
      <c r="G1114" s="252"/>
      <c r="H1114" s="253"/>
      <c r="I1114" s="250"/>
      <c r="J1114" s="250"/>
      <c r="K1114" s="270"/>
      <c r="L1114" s="250"/>
      <c r="M1114" s="250"/>
      <c r="N1114" s="540" t="str">
        <f>CONCATENATE(IF(OR(M1114=phu!$I$1,M1114=phu!$I$2,M1114=phu!$I$3),"Cam Thành Nam",""),IF(OR(M1114=phu!$I$4,M1114=phu!$I$5,M1114=phu!$I$6,M1114=phu!$I$7,M1114=phu!$I$8,M1114=phu!$I$9,M1114=phu!$I$10,M1114=phu!$I$11,M1114=phu!$I$12,M1114=phu!$I$13,M1114=phu!$I$14),"Cam Nghĩa",""),IF(OR(M1114=phu!$I$15,M1114=phu!$I$16,M1114=phu!$I$17,M1114=phu!$I$18,M1114=phu!$I$19,M1114=phu!$I$20,M1114=phu!$I$21),"Cam Phúc Bắc",""),IF(OR(M1114=phu!$I$22,M1114=phu!$I$23,M1114=phu!$I$24,M1114=phu!$I$25),"Cam Phúc Nam",""),IF(OR(M1114=phu!$I$26,M1114=phu!$I$27,M1114=phu!$I$28,M1114=phu!$I$29,M1114=phu!$I$30,M1114=phu!$I$31),"Cam Phú",""),IF(OR(M1114=phu!$I$32,M1114=phu!$I$33,M1114=phu!$I$34,M1114=phu!$I$35,M1114=phu!$I$36,M1114=phu!$I$37),"Cam Lộc",""),IF(OR(M1114=phu!$I$38,M1114=phu!$I$39,M1114=phu!$I$40,M1114=phu!$I$41,M1114=phu!$I$42,M1114=phu!$I$43,M1114=phu!$I$44),"Cam Thuận",""),IF(OR(M1114=phu!$I$45,M1114=phu!$I$46,M1114=phu!$I$47,M1114=phu!$I$48,M1114=phu!$I$49,M1114=phu!$I$50,M1114=phu!$I$51,M1114=phu!$I$52,M1114=phu!$I$53),"Cam Linh",""),IF(OR(M1114=phu!$I$54,M1114=phu!$I$55,M1114=phu!$I$56,M1114=phu!$I$57,M1114=phu!$I$58,M1114=phu!$I$59,M1114=phu!$I$60,M1114=phu!$I$61,M1114=phu!$I$62),"Cam Lợi",""),IF(OR(M1114=phu!$I$63,M1114=phu!$I$64,M1114=phu!$I$65,M1114=phu!$I$66,M1114=phu!$I$67,M1114=phu!$I$68,M1114=phu!$I$69,M1114=phu!$I$70,M1114=phu!$I$71),"Ba Ngòi",""),IF(OR(M1114=phu!$I$72,M1114=phu!$I$73,M1114=phu!$I$74,M1114=phu!$I$75,M1114=phu!$I$76,M1114=phu!$I$77,M1114=phu!$I$78),"Cam Phước Đông",""),IF(OR(M1114=phu!$I$79,M1114=phu!$I$80,M1114=phu!$I$81,M1114=phu!$I$82,M1114=phu!$I$83,M1114=phu!$I$84),"Cam Thịnh Đông",""),IF(OR(M1114=phu!$I$85,M1114=phu!$I$86,M1114=phu!$I$87,M1114=phu!$I$88),"Cam Thịnh Tây",""),IF(OR(M1114=phu!$I$89,M1114=phu!$I$90),"Cam Lập",""),IF(OR(M1114=phu!$I$91,M1114=phu!$I$92,M1114=phu!$I$93),"Cam Bình",""),IF(OR(M1114=phu!$I$94,M1114=phu!$I$95,M1114=phu!$I$96,M1114=phu!$I$97,M1114=phu!$I$98,M1114=phu!$I$99,M1114=phu!$I$100),"Huyện khác",""),IF(OR(M1114=phu!$I$101,M1114=phu!$I$102),"Tỉnh khác",""))</f>
        <v/>
      </c>
      <c r="O1114" s="829" t="str">
        <f t="shared" si="102"/>
        <v/>
      </c>
      <c r="P1114" s="254"/>
      <c r="Q1114" s="254"/>
      <c r="R1114" s="254"/>
      <c r="S1114" s="254"/>
      <c r="T1114" s="254"/>
      <c r="U1114" s="254"/>
      <c r="V1114" s="254"/>
      <c r="W1114" s="254"/>
      <c r="Y1114" s="246" t="str">
        <f t="shared" si="103"/>
        <v/>
      </c>
      <c r="Z1114" s="247" t="str">
        <f t="shared" si="107"/>
        <v/>
      </c>
      <c r="AA1114" s="246" t="str">
        <f t="shared" si="104"/>
        <v/>
      </c>
    </row>
    <row r="1115" spans="1:27" x14ac:dyDescent="0.25">
      <c r="A1115" s="248" t="str">
        <f t="shared" si="105"/>
        <v/>
      </c>
      <c r="B1115" s="249" t="str">
        <f t="shared" si="106"/>
        <v/>
      </c>
      <c r="C1115" s="250"/>
      <c r="D1115" s="251"/>
      <c r="E1115" s="241"/>
      <c r="F1115" s="252"/>
      <c r="G1115" s="252"/>
      <c r="H1115" s="253"/>
      <c r="I1115" s="250"/>
      <c r="J1115" s="250"/>
      <c r="K1115" s="270"/>
      <c r="L1115" s="250"/>
      <c r="M1115" s="250"/>
      <c r="N1115" s="540" t="str">
        <f>CONCATENATE(IF(OR(M1115=phu!$I$1,M1115=phu!$I$2,M1115=phu!$I$3),"Cam Thành Nam",""),IF(OR(M1115=phu!$I$4,M1115=phu!$I$5,M1115=phu!$I$6,M1115=phu!$I$7,M1115=phu!$I$8,M1115=phu!$I$9,M1115=phu!$I$10,M1115=phu!$I$11,M1115=phu!$I$12,M1115=phu!$I$13,M1115=phu!$I$14),"Cam Nghĩa",""),IF(OR(M1115=phu!$I$15,M1115=phu!$I$16,M1115=phu!$I$17,M1115=phu!$I$18,M1115=phu!$I$19,M1115=phu!$I$20,M1115=phu!$I$21),"Cam Phúc Bắc",""),IF(OR(M1115=phu!$I$22,M1115=phu!$I$23,M1115=phu!$I$24,M1115=phu!$I$25),"Cam Phúc Nam",""),IF(OR(M1115=phu!$I$26,M1115=phu!$I$27,M1115=phu!$I$28,M1115=phu!$I$29,M1115=phu!$I$30,M1115=phu!$I$31),"Cam Phú",""),IF(OR(M1115=phu!$I$32,M1115=phu!$I$33,M1115=phu!$I$34,M1115=phu!$I$35,M1115=phu!$I$36,M1115=phu!$I$37),"Cam Lộc",""),IF(OR(M1115=phu!$I$38,M1115=phu!$I$39,M1115=phu!$I$40,M1115=phu!$I$41,M1115=phu!$I$42,M1115=phu!$I$43,M1115=phu!$I$44),"Cam Thuận",""),IF(OR(M1115=phu!$I$45,M1115=phu!$I$46,M1115=phu!$I$47,M1115=phu!$I$48,M1115=phu!$I$49,M1115=phu!$I$50,M1115=phu!$I$51,M1115=phu!$I$52,M1115=phu!$I$53),"Cam Linh",""),IF(OR(M1115=phu!$I$54,M1115=phu!$I$55,M1115=phu!$I$56,M1115=phu!$I$57,M1115=phu!$I$58,M1115=phu!$I$59,M1115=phu!$I$60,M1115=phu!$I$61,M1115=phu!$I$62),"Cam Lợi",""),IF(OR(M1115=phu!$I$63,M1115=phu!$I$64,M1115=phu!$I$65,M1115=phu!$I$66,M1115=phu!$I$67,M1115=phu!$I$68,M1115=phu!$I$69,M1115=phu!$I$70,M1115=phu!$I$71),"Ba Ngòi",""),IF(OR(M1115=phu!$I$72,M1115=phu!$I$73,M1115=phu!$I$74,M1115=phu!$I$75,M1115=phu!$I$76,M1115=phu!$I$77,M1115=phu!$I$78),"Cam Phước Đông",""),IF(OR(M1115=phu!$I$79,M1115=phu!$I$80,M1115=phu!$I$81,M1115=phu!$I$82,M1115=phu!$I$83,M1115=phu!$I$84),"Cam Thịnh Đông",""),IF(OR(M1115=phu!$I$85,M1115=phu!$I$86,M1115=phu!$I$87,M1115=phu!$I$88),"Cam Thịnh Tây",""),IF(OR(M1115=phu!$I$89,M1115=phu!$I$90),"Cam Lập",""),IF(OR(M1115=phu!$I$91,M1115=phu!$I$92,M1115=phu!$I$93),"Cam Bình",""),IF(OR(M1115=phu!$I$94,M1115=phu!$I$95,M1115=phu!$I$96,M1115=phu!$I$97,M1115=phu!$I$98,M1115=phu!$I$99,M1115=phu!$I$100),"Huyện khác",""),IF(OR(M1115=phu!$I$101,M1115=phu!$I$102),"Tỉnh khác",""))</f>
        <v/>
      </c>
      <c r="O1115" s="829" t="str">
        <f t="shared" si="102"/>
        <v/>
      </c>
      <c r="P1115" s="254"/>
      <c r="Q1115" s="254"/>
      <c r="R1115" s="254"/>
      <c r="S1115" s="254"/>
      <c r="T1115" s="254"/>
      <c r="U1115" s="254"/>
      <c r="V1115" s="254"/>
      <c r="W1115" s="254"/>
      <c r="Y1115" s="246" t="str">
        <f t="shared" si="103"/>
        <v/>
      </c>
      <c r="Z1115" s="247" t="str">
        <f t="shared" si="107"/>
        <v/>
      </c>
      <c r="AA1115" s="246" t="str">
        <f t="shared" si="104"/>
        <v/>
      </c>
    </row>
    <row r="1116" spans="1:27" x14ac:dyDescent="0.25">
      <c r="A1116" s="248" t="str">
        <f t="shared" si="105"/>
        <v/>
      </c>
      <c r="B1116" s="249" t="str">
        <f t="shared" si="106"/>
        <v/>
      </c>
      <c r="C1116" s="250"/>
      <c r="D1116" s="251"/>
      <c r="E1116" s="241"/>
      <c r="F1116" s="252"/>
      <c r="G1116" s="252"/>
      <c r="H1116" s="253"/>
      <c r="I1116" s="250"/>
      <c r="J1116" s="250"/>
      <c r="K1116" s="270"/>
      <c r="L1116" s="250"/>
      <c r="M1116" s="250"/>
      <c r="N1116" s="540" t="str">
        <f>CONCATENATE(IF(OR(M1116=phu!$I$1,M1116=phu!$I$2,M1116=phu!$I$3),"Cam Thành Nam",""),IF(OR(M1116=phu!$I$4,M1116=phu!$I$5,M1116=phu!$I$6,M1116=phu!$I$7,M1116=phu!$I$8,M1116=phu!$I$9,M1116=phu!$I$10,M1116=phu!$I$11,M1116=phu!$I$12,M1116=phu!$I$13,M1116=phu!$I$14),"Cam Nghĩa",""),IF(OR(M1116=phu!$I$15,M1116=phu!$I$16,M1116=phu!$I$17,M1116=phu!$I$18,M1116=phu!$I$19,M1116=phu!$I$20,M1116=phu!$I$21),"Cam Phúc Bắc",""),IF(OR(M1116=phu!$I$22,M1116=phu!$I$23,M1116=phu!$I$24,M1116=phu!$I$25),"Cam Phúc Nam",""),IF(OR(M1116=phu!$I$26,M1116=phu!$I$27,M1116=phu!$I$28,M1116=phu!$I$29,M1116=phu!$I$30,M1116=phu!$I$31),"Cam Phú",""),IF(OR(M1116=phu!$I$32,M1116=phu!$I$33,M1116=phu!$I$34,M1116=phu!$I$35,M1116=phu!$I$36,M1116=phu!$I$37),"Cam Lộc",""),IF(OR(M1116=phu!$I$38,M1116=phu!$I$39,M1116=phu!$I$40,M1116=phu!$I$41,M1116=phu!$I$42,M1116=phu!$I$43,M1116=phu!$I$44),"Cam Thuận",""),IF(OR(M1116=phu!$I$45,M1116=phu!$I$46,M1116=phu!$I$47,M1116=phu!$I$48,M1116=phu!$I$49,M1116=phu!$I$50,M1116=phu!$I$51,M1116=phu!$I$52,M1116=phu!$I$53),"Cam Linh",""),IF(OR(M1116=phu!$I$54,M1116=phu!$I$55,M1116=phu!$I$56,M1116=phu!$I$57,M1116=phu!$I$58,M1116=phu!$I$59,M1116=phu!$I$60,M1116=phu!$I$61,M1116=phu!$I$62),"Cam Lợi",""),IF(OR(M1116=phu!$I$63,M1116=phu!$I$64,M1116=phu!$I$65,M1116=phu!$I$66,M1116=phu!$I$67,M1116=phu!$I$68,M1116=phu!$I$69,M1116=phu!$I$70,M1116=phu!$I$71),"Ba Ngòi",""),IF(OR(M1116=phu!$I$72,M1116=phu!$I$73,M1116=phu!$I$74,M1116=phu!$I$75,M1116=phu!$I$76,M1116=phu!$I$77,M1116=phu!$I$78),"Cam Phước Đông",""),IF(OR(M1116=phu!$I$79,M1116=phu!$I$80,M1116=phu!$I$81,M1116=phu!$I$82,M1116=phu!$I$83,M1116=phu!$I$84),"Cam Thịnh Đông",""),IF(OR(M1116=phu!$I$85,M1116=phu!$I$86,M1116=phu!$I$87,M1116=phu!$I$88),"Cam Thịnh Tây",""),IF(OR(M1116=phu!$I$89,M1116=phu!$I$90),"Cam Lập",""),IF(OR(M1116=phu!$I$91,M1116=phu!$I$92,M1116=phu!$I$93),"Cam Bình",""),IF(OR(M1116=phu!$I$94,M1116=phu!$I$95,M1116=phu!$I$96,M1116=phu!$I$97,M1116=phu!$I$98,M1116=phu!$I$99,M1116=phu!$I$100),"Huyện khác",""),IF(OR(M1116=phu!$I$101,M1116=phu!$I$102),"Tỉnh khác",""))</f>
        <v/>
      </c>
      <c r="O1116" s="829" t="str">
        <f t="shared" si="102"/>
        <v/>
      </c>
      <c r="P1116" s="254"/>
      <c r="Q1116" s="254"/>
      <c r="R1116" s="254"/>
      <c r="S1116" s="254"/>
      <c r="T1116" s="254"/>
      <c r="U1116" s="254"/>
      <c r="V1116" s="254"/>
      <c r="W1116" s="254"/>
      <c r="Y1116" s="246" t="str">
        <f t="shared" si="103"/>
        <v/>
      </c>
      <c r="Z1116" s="247" t="str">
        <f t="shared" si="107"/>
        <v/>
      </c>
      <c r="AA1116" s="246" t="str">
        <f t="shared" si="104"/>
        <v/>
      </c>
    </row>
    <row r="1117" spans="1:27" x14ac:dyDescent="0.25">
      <c r="A1117" s="248" t="str">
        <f t="shared" si="105"/>
        <v/>
      </c>
      <c r="B1117" s="249" t="str">
        <f t="shared" si="106"/>
        <v/>
      </c>
      <c r="C1117" s="250"/>
      <c r="D1117" s="251"/>
      <c r="E1117" s="241"/>
      <c r="F1117" s="252"/>
      <c r="G1117" s="252"/>
      <c r="H1117" s="253"/>
      <c r="I1117" s="250"/>
      <c r="J1117" s="250"/>
      <c r="K1117" s="270"/>
      <c r="L1117" s="250"/>
      <c r="M1117" s="250"/>
      <c r="N1117" s="540" t="str">
        <f>CONCATENATE(IF(OR(M1117=phu!$I$1,M1117=phu!$I$2,M1117=phu!$I$3),"Cam Thành Nam",""),IF(OR(M1117=phu!$I$4,M1117=phu!$I$5,M1117=phu!$I$6,M1117=phu!$I$7,M1117=phu!$I$8,M1117=phu!$I$9,M1117=phu!$I$10,M1117=phu!$I$11,M1117=phu!$I$12,M1117=phu!$I$13,M1117=phu!$I$14),"Cam Nghĩa",""),IF(OR(M1117=phu!$I$15,M1117=phu!$I$16,M1117=phu!$I$17,M1117=phu!$I$18,M1117=phu!$I$19,M1117=phu!$I$20,M1117=phu!$I$21),"Cam Phúc Bắc",""),IF(OR(M1117=phu!$I$22,M1117=phu!$I$23,M1117=phu!$I$24,M1117=phu!$I$25),"Cam Phúc Nam",""),IF(OR(M1117=phu!$I$26,M1117=phu!$I$27,M1117=phu!$I$28,M1117=phu!$I$29,M1117=phu!$I$30,M1117=phu!$I$31),"Cam Phú",""),IF(OR(M1117=phu!$I$32,M1117=phu!$I$33,M1117=phu!$I$34,M1117=phu!$I$35,M1117=phu!$I$36,M1117=phu!$I$37),"Cam Lộc",""),IF(OR(M1117=phu!$I$38,M1117=phu!$I$39,M1117=phu!$I$40,M1117=phu!$I$41,M1117=phu!$I$42,M1117=phu!$I$43,M1117=phu!$I$44),"Cam Thuận",""),IF(OR(M1117=phu!$I$45,M1117=phu!$I$46,M1117=phu!$I$47,M1117=phu!$I$48,M1117=phu!$I$49,M1117=phu!$I$50,M1117=phu!$I$51,M1117=phu!$I$52,M1117=phu!$I$53),"Cam Linh",""),IF(OR(M1117=phu!$I$54,M1117=phu!$I$55,M1117=phu!$I$56,M1117=phu!$I$57,M1117=phu!$I$58,M1117=phu!$I$59,M1117=phu!$I$60,M1117=phu!$I$61,M1117=phu!$I$62),"Cam Lợi",""),IF(OR(M1117=phu!$I$63,M1117=phu!$I$64,M1117=phu!$I$65,M1117=phu!$I$66,M1117=phu!$I$67,M1117=phu!$I$68,M1117=phu!$I$69,M1117=phu!$I$70,M1117=phu!$I$71),"Ba Ngòi",""),IF(OR(M1117=phu!$I$72,M1117=phu!$I$73,M1117=phu!$I$74,M1117=phu!$I$75,M1117=phu!$I$76,M1117=phu!$I$77,M1117=phu!$I$78),"Cam Phước Đông",""),IF(OR(M1117=phu!$I$79,M1117=phu!$I$80,M1117=phu!$I$81,M1117=phu!$I$82,M1117=phu!$I$83,M1117=phu!$I$84),"Cam Thịnh Đông",""),IF(OR(M1117=phu!$I$85,M1117=phu!$I$86,M1117=phu!$I$87,M1117=phu!$I$88),"Cam Thịnh Tây",""),IF(OR(M1117=phu!$I$89,M1117=phu!$I$90),"Cam Lập",""),IF(OR(M1117=phu!$I$91,M1117=phu!$I$92,M1117=phu!$I$93),"Cam Bình",""),IF(OR(M1117=phu!$I$94,M1117=phu!$I$95,M1117=phu!$I$96,M1117=phu!$I$97,M1117=phu!$I$98,M1117=phu!$I$99,M1117=phu!$I$100),"Huyện khác",""),IF(OR(M1117=phu!$I$101,M1117=phu!$I$102),"Tỉnh khác",""))</f>
        <v/>
      </c>
      <c r="O1117" s="829" t="str">
        <f t="shared" si="102"/>
        <v/>
      </c>
      <c r="P1117" s="254"/>
      <c r="Q1117" s="254"/>
      <c r="R1117" s="254"/>
      <c r="S1117" s="254"/>
      <c r="T1117" s="254"/>
      <c r="U1117" s="254"/>
      <c r="V1117" s="254"/>
      <c r="W1117" s="254"/>
      <c r="Y1117" s="246" t="str">
        <f t="shared" si="103"/>
        <v/>
      </c>
      <c r="Z1117" s="247" t="str">
        <f t="shared" si="107"/>
        <v/>
      </c>
      <c r="AA1117" s="246" t="str">
        <f t="shared" si="104"/>
        <v/>
      </c>
    </row>
    <row r="1118" spans="1:27" x14ac:dyDescent="0.25">
      <c r="A1118" s="248" t="str">
        <f t="shared" si="105"/>
        <v/>
      </c>
      <c r="B1118" s="249" t="str">
        <f t="shared" si="106"/>
        <v/>
      </c>
      <c r="C1118" s="250"/>
      <c r="D1118" s="251"/>
      <c r="E1118" s="241"/>
      <c r="F1118" s="252"/>
      <c r="G1118" s="252"/>
      <c r="H1118" s="253"/>
      <c r="I1118" s="250"/>
      <c r="J1118" s="250"/>
      <c r="K1118" s="270"/>
      <c r="L1118" s="250"/>
      <c r="M1118" s="250"/>
      <c r="N1118" s="540" t="str">
        <f>CONCATENATE(IF(OR(M1118=phu!$I$1,M1118=phu!$I$2,M1118=phu!$I$3),"Cam Thành Nam",""),IF(OR(M1118=phu!$I$4,M1118=phu!$I$5,M1118=phu!$I$6,M1118=phu!$I$7,M1118=phu!$I$8,M1118=phu!$I$9,M1118=phu!$I$10,M1118=phu!$I$11,M1118=phu!$I$12,M1118=phu!$I$13,M1118=phu!$I$14),"Cam Nghĩa",""),IF(OR(M1118=phu!$I$15,M1118=phu!$I$16,M1118=phu!$I$17,M1118=phu!$I$18,M1118=phu!$I$19,M1118=phu!$I$20,M1118=phu!$I$21),"Cam Phúc Bắc",""),IF(OR(M1118=phu!$I$22,M1118=phu!$I$23,M1118=phu!$I$24,M1118=phu!$I$25),"Cam Phúc Nam",""),IF(OR(M1118=phu!$I$26,M1118=phu!$I$27,M1118=phu!$I$28,M1118=phu!$I$29,M1118=phu!$I$30,M1118=phu!$I$31),"Cam Phú",""),IF(OR(M1118=phu!$I$32,M1118=phu!$I$33,M1118=phu!$I$34,M1118=phu!$I$35,M1118=phu!$I$36,M1118=phu!$I$37),"Cam Lộc",""),IF(OR(M1118=phu!$I$38,M1118=phu!$I$39,M1118=phu!$I$40,M1118=phu!$I$41,M1118=phu!$I$42,M1118=phu!$I$43,M1118=phu!$I$44),"Cam Thuận",""),IF(OR(M1118=phu!$I$45,M1118=phu!$I$46,M1118=phu!$I$47,M1118=phu!$I$48,M1118=phu!$I$49,M1118=phu!$I$50,M1118=phu!$I$51,M1118=phu!$I$52,M1118=phu!$I$53),"Cam Linh",""),IF(OR(M1118=phu!$I$54,M1118=phu!$I$55,M1118=phu!$I$56,M1118=phu!$I$57,M1118=phu!$I$58,M1118=phu!$I$59,M1118=phu!$I$60,M1118=phu!$I$61,M1118=phu!$I$62),"Cam Lợi",""),IF(OR(M1118=phu!$I$63,M1118=phu!$I$64,M1118=phu!$I$65,M1118=phu!$I$66,M1118=phu!$I$67,M1118=phu!$I$68,M1118=phu!$I$69,M1118=phu!$I$70,M1118=phu!$I$71),"Ba Ngòi",""),IF(OR(M1118=phu!$I$72,M1118=phu!$I$73,M1118=phu!$I$74,M1118=phu!$I$75,M1118=phu!$I$76,M1118=phu!$I$77,M1118=phu!$I$78),"Cam Phước Đông",""),IF(OR(M1118=phu!$I$79,M1118=phu!$I$80,M1118=phu!$I$81,M1118=phu!$I$82,M1118=phu!$I$83,M1118=phu!$I$84),"Cam Thịnh Đông",""),IF(OR(M1118=phu!$I$85,M1118=phu!$I$86,M1118=phu!$I$87,M1118=phu!$I$88),"Cam Thịnh Tây",""),IF(OR(M1118=phu!$I$89,M1118=phu!$I$90),"Cam Lập",""),IF(OR(M1118=phu!$I$91,M1118=phu!$I$92,M1118=phu!$I$93),"Cam Bình",""),IF(OR(M1118=phu!$I$94,M1118=phu!$I$95,M1118=phu!$I$96,M1118=phu!$I$97,M1118=phu!$I$98,M1118=phu!$I$99,M1118=phu!$I$100),"Huyện khác",""),IF(OR(M1118=phu!$I$101,M1118=phu!$I$102),"Tỉnh khác",""))</f>
        <v/>
      </c>
      <c r="O1118" s="829" t="str">
        <f t="shared" si="102"/>
        <v/>
      </c>
      <c r="P1118" s="254"/>
      <c r="Q1118" s="254"/>
      <c r="R1118" s="254"/>
      <c r="S1118" s="254"/>
      <c r="T1118" s="254"/>
      <c r="U1118" s="254"/>
      <c r="V1118" s="254"/>
      <c r="W1118" s="254"/>
      <c r="Y1118" s="246" t="str">
        <f t="shared" si="103"/>
        <v/>
      </c>
      <c r="Z1118" s="247" t="str">
        <f t="shared" si="107"/>
        <v/>
      </c>
      <c r="AA1118" s="246" t="str">
        <f t="shared" si="104"/>
        <v/>
      </c>
    </row>
    <row r="1119" spans="1:27" x14ac:dyDescent="0.25">
      <c r="A1119" s="248" t="str">
        <f t="shared" si="105"/>
        <v/>
      </c>
      <c r="B1119" s="249" t="str">
        <f t="shared" si="106"/>
        <v/>
      </c>
      <c r="C1119" s="250"/>
      <c r="D1119" s="251"/>
      <c r="E1119" s="241"/>
      <c r="F1119" s="252"/>
      <c r="G1119" s="252"/>
      <c r="H1119" s="253"/>
      <c r="I1119" s="250"/>
      <c r="J1119" s="250"/>
      <c r="K1119" s="270"/>
      <c r="L1119" s="250"/>
      <c r="M1119" s="250"/>
      <c r="N1119" s="540" t="str">
        <f>CONCATENATE(IF(OR(M1119=phu!$I$1,M1119=phu!$I$2,M1119=phu!$I$3),"Cam Thành Nam",""),IF(OR(M1119=phu!$I$4,M1119=phu!$I$5,M1119=phu!$I$6,M1119=phu!$I$7,M1119=phu!$I$8,M1119=phu!$I$9,M1119=phu!$I$10,M1119=phu!$I$11,M1119=phu!$I$12,M1119=phu!$I$13,M1119=phu!$I$14),"Cam Nghĩa",""),IF(OR(M1119=phu!$I$15,M1119=phu!$I$16,M1119=phu!$I$17,M1119=phu!$I$18,M1119=phu!$I$19,M1119=phu!$I$20,M1119=phu!$I$21),"Cam Phúc Bắc",""),IF(OR(M1119=phu!$I$22,M1119=phu!$I$23,M1119=phu!$I$24,M1119=phu!$I$25),"Cam Phúc Nam",""),IF(OR(M1119=phu!$I$26,M1119=phu!$I$27,M1119=phu!$I$28,M1119=phu!$I$29,M1119=phu!$I$30,M1119=phu!$I$31),"Cam Phú",""),IF(OR(M1119=phu!$I$32,M1119=phu!$I$33,M1119=phu!$I$34,M1119=phu!$I$35,M1119=phu!$I$36,M1119=phu!$I$37),"Cam Lộc",""),IF(OR(M1119=phu!$I$38,M1119=phu!$I$39,M1119=phu!$I$40,M1119=phu!$I$41,M1119=phu!$I$42,M1119=phu!$I$43,M1119=phu!$I$44),"Cam Thuận",""),IF(OR(M1119=phu!$I$45,M1119=phu!$I$46,M1119=phu!$I$47,M1119=phu!$I$48,M1119=phu!$I$49,M1119=phu!$I$50,M1119=phu!$I$51,M1119=phu!$I$52,M1119=phu!$I$53),"Cam Linh",""),IF(OR(M1119=phu!$I$54,M1119=phu!$I$55,M1119=phu!$I$56,M1119=phu!$I$57,M1119=phu!$I$58,M1119=phu!$I$59,M1119=phu!$I$60,M1119=phu!$I$61,M1119=phu!$I$62),"Cam Lợi",""),IF(OR(M1119=phu!$I$63,M1119=phu!$I$64,M1119=phu!$I$65,M1119=phu!$I$66,M1119=phu!$I$67,M1119=phu!$I$68,M1119=phu!$I$69,M1119=phu!$I$70,M1119=phu!$I$71),"Ba Ngòi",""),IF(OR(M1119=phu!$I$72,M1119=phu!$I$73,M1119=phu!$I$74,M1119=phu!$I$75,M1119=phu!$I$76,M1119=phu!$I$77,M1119=phu!$I$78),"Cam Phước Đông",""),IF(OR(M1119=phu!$I$79,M1119=phu!$I$80,M1119=phu!$I$81,M1119=phu!$I$82,M1119=phu!$I$83,M1119=phu!$I$84),"Cam Thịnh Đông",""),IF(OR(M1119=phu!$I$85,M1119=phu!$I$86,M1119=phu!$I$87,M1119=phu!$I$88),"Cam Thịnh Tây",""),IF(OR(M1119=phu!$I$89,M1119=phu!$I$90),"Cam Lập",""),IF(OR(M1119=phu!$I$91,M1119=phu!$I$92,M1119=phu!$I$93),"Cam Bình",""),IF(OR(M1119=phu!$I$94,M1119=phu!$I$95,M1119=phu!$I$96,M1119=phu!$I$97,M1119=phu!$I$98,M1119=phu!$I$99,M1119=phu!$I$100),"Huyện khác",""),IF(OR(M1119=phu!$I$101,M1119=phu!$I$102),"Tỉnh khác",""))</f>
        <v/>
      </c>
      <c r="O1119" s="829" t="str">
        <f t="shared" si="102"/>
        <v/>
      </c>
      <c r="P1119" s="254"/>
      <c r="Q1119" s="254"/>
      <c r="R1119" s="254"/>
      <c r="S1119" s="254"/>
      <c r="T1119" s="254"/>
      <c r="U1119" s="254"/>
      <c r="V1119" s="254"/>
      <c r="W1119" s="254"/>
      <c r="Y1119" s="246" t="str">
        <f t="shared" si="103"/>
        <v/>
      </c>
      <c r="Z1119" s="247" t="str">
        <f t="shared" si="107"/>
        <v/>
      </c>
      <c r="AA1119" s="246" t="str">
        <f t="shared" si="104"/>
        <v/>
      </c>
    </row>
    <row r="1120" spans="1:27" x14ac:dyDescent="0.25">
      <c r="A1120" s="248" t="str">
        <f t="shared" si="105"/>
        <v/>
      </c>
      <c r="B1120" s="249" t="str">
        <f t="shared" si="106"/>
        <v/>
      </c>
      <c r="C1120" s="250"/>
      <c r="D1120" s="251"/>
      <c r="E1120" s="241"/>
      <c r="F1120" s="252"/>
      <c r="G1120" s="252"/>
      <c r="H1120" s="253"/>
      <c r="I1120" s="250"/>
      <c r="J1120" s="250"/>
      <c r="K1120" s="270"/>
      <c r="L1120" s="250"/>
      <c r="M1120" s="250"/>
      <c r="N1120" s="540" t="str">
        <f>CONCATENATE(IF(OR(M1120=phu!$I$1,M1120=phu!$I$2,M1120=phu!$I$3),"Cam Thành Nam",""),IF(OR(M1120=phu!$I$4,M1120=phu!$I$5,M1120=phu!$I$6,M1120=phu!$I$7,M1120=phu!$I$8,M1120=phu!$I$9,M1120=phu!$I$10,M1120=phu!$I$11,M1120=phu!$I$12,M1120=phu!$I$13,M1120=phu!$I$14),"Cam Nghĩa",""),IF(OR(M1120=phu!$I$15,M1120=phu!$I$16,M1120=phu!$I$17,M1120=phu!$I$18,M1120=phu!$I$19,M1120=phu!$I$20,M1120=phu!$I$21),"Cam Phúc Bắc",""),IF(OR(M1120=phu!$I$22,M1120=phu!$I$23,M1120=phu!$I$24,M1120=phu!$I$25),"Cam Phúc Nam",""),IF(OR(M1120=phu!$I$26,M1120=phu!$I$27,M1120=phu!$I$28,M1120=phu!$I$29,M1120=phu!$I$30,M1120=phu!$I$31),"Cam Phú",""),IF(OR(M1120=phu!$I$32,M1120=phu!$I$33,M1120=phu!$I$34,M1120=phu!$I$35,M1120=phu!$I$36,M1120=phu!$I$37),"Cam Lộc",""),IF(OR(M1120=phu!$I$38,M1120=phu!$I$39,M1120=phu!$I$40,M1120=phu!$I$41,M1120=phu!$I$42,M1120=phu!$I$43,M1120=phu!$I$44),"Cam Thuận",""),IF(OR(M1120=phu!$I$45,M1120=phu!$I$46,M1120=phu!$I$47,M1120=phu!$I$48,M1120=phu!$I$49,M1120=phu!$I$50,M1120=phu!$I$51,M1120=phu!$I$52,M1120=phu!$I$53),"Cam Linh",""),IF(OR(M1120=phu!$I$54,M1120=phu!$I$55,M1120=phu!$I$56,M1120=phu!$I$57,M1120=phu!$I$58,M1120=phu!$I$59,M1120=phu!$I$60,M1120=phu!$I$61,M1120=phu!$I$62),"Cam Lợi",""),IF(OR(M1120=phu!$I$63,M1120=phu!$I$64,M1120=phu!$I$65,M1120=phu!$I$66,M1120=phu!$I$67,M1120=phu!$I$68,M1120=phu!$I$69,M1120=phu!$I$70,M1120=phu!$I$71),"Ba Ngòi",""),IF(OR(M1120=phu!$I$72,M1120=phu!$I$73,M1120=phu!$I$74,M1120=phu!$I$75,M1120=phu!$I$76,M1120=phu!$I$77,M1120=phu!$I$78),"Cam Phước Đông",""),IF(OR(M1120=phu!$I$79,M1120=phu!$I$80,M1120=phu!$I$81,M1120=phu!$I$82,M1120=phu!$I$83,M1120=phu!$I$84),"Cam Thịnh Đông",""),IF(OR(M1120=phu!$I$85,M1120=phu!$I$86,M1120=phu!$I$87,M1120=phu!$I$88),"Cam Thịnh Tây",""),IF(OR(M1120=phu!$I$89,M1120=phu!$I$90),"Cam Lập",""),IF(OR(M1120=phu!$I$91,M1120=phu!$I$92,M1120=phu!$I$93),"Cam Bình",""),IF(OR(M1120=phu!$I$94,M1120=phu!$I$95,M1120=phu!$I$96,M1120=phu!$I$97,M1120=phu!$I$98,M1120=phu!$I$99,M1120=phu!$I$100),"Huyện khác",""),IF(OR(M1120=phu!$I$101,M1120=phu!$I$102),"Tỉnh khác",""))</f>
        <v/>
      </c>
      <c r="O1120" s="829" t="str">
        <f t="shared" si="102"/>
        <v/>
      </c>
      <c r="P1120" s="254"/>
      <c r="Q1120" s="254"/>
      <c r="R1120" s="254"/>
      <c r="S1120" s="254"/>
      <c r="T1120" s="254"/>
      <c r="U1120" s="254"/>
      <c r="V1120" s="254"/>
      <c r="W1120" s="254"/>
      <c r="Y1120" s="246" t="str">
        <f t="shared" si="103"/>
        <v/>
      </c>
      <c r="Z1120" s="247" t="str">
        <f t="shared" si="107"/>
        <v/>
      </c>
      <c r="AA1120" s="246" t="str">
        <f t="shared" si="104"/>
        <v/>
      </c>
    </row>
    <row r="1121" spans="1:27" x14ac:dyDescent="0.25">
      <c r="A1121" s="248" t="str">
        <f t="shared" si="105"/>
        <v/>
      </c>
      <c r="B1121" s="249" t="str">
        <f t="shared" si="106"/>
        <v/>
      </c>
      <c r="C1121" s="250"/>
      <c r="D1121" s="251"/>
      <c r="E1121" s="241"/>
      <c r="F1121" s="252"/>
      <c r="G1121" s="252"/>
      <c r="H1121" s="253"/>
      <c r="I1121" s="250"/>
      <c r="J1121" s="250"/>
      <c r="K1121" s="270"/>
      <c r="L1121" s="250"/>
      <c r="M1121" s="250"/>
      <c r="N1121" s="540" t="str">
        <f>CONCATENATE(IF(OR(M1121=phu!$I$1,M1121=phu!$I$2,M1121=phu!$I$3),"Cam Thành Nam",""),IF(OR(M1121=phu!$I$4,M1121=phu!$I$5,M1121=phu!$I$6,M1121=phu!$I$7,M1121=phu!$I$8,M1121=phu!$I$9,M1121=phu!$I$10,M1121=phu!$I$11,M1121=phu!$I$12,M1121=phu!$I$13,M1121=phu!$I$14),"Cam Nghĩa",""),IF(OR(M1121=phu!$I$15,M1121=phu!$I$16,M1121=phu!$I$17,M1121=phu!$I$18,M1121=phu!$I$19,M1121=phu!$I$20,M1121=phu!$I$21),"Cam Phúc Bắc",""),IF(OR(M1121=phu!$I$22,M1121=phu!$I$23,M1121=phu!$I$24,M1121=phu!$I$25),"Cam Phúc Nam",""),IF(OR(M1121=phu!$I$26,M1121=phu!$I$27,M1121=phu!$I$28,M1121=phu!$I$29,M1121=phu!$I$30,M1121=phu!$I$31),"Cam Phú",""),IF(OR(M1121=phu!$I$32,M1121=phu!$I$33,M1121=phu!$I$34,M1121=phu!$I$35,M1121=phu!$I$36,M1121=phu!$I$37),"Cam Lộc",""),IF(OR(M1121=phu!$I$38,M1121=phu!$I$39,M1121=phu!$I$40,M1121=phu!$I$41,M1121=phu!$I$42,M1121=phu!$I$43,M1121=phu!$I$44),"Cam Thuận",""),IF(OR(M1121=phu!$I$45,M1121=phu!$I$46,M1121=phu!$I$47,M1121=phu!$I$48,M1121=phu!$I$49,M1121=phu!$I$50,M1121=phu!$I$51,M1121=phu!$I$52,M1121=phu!$I$53),"Cam Linh",""),IF(OR(M1121=phu!$I$54,M1121=phu!$I$55,M1121=phu!$I$56,M1121=phu!$I$57,M1121=phu!$I$58,M1121=phu!$I$59,M1121=phu!$I$60,M1121=phu!$I$61,M1121=phu!$I$62),"Cam Lợi",""),IF(OR(M1121=phu!$I$63,M1121=phu!$I$64,M1121=phu!$I$65,M1121=phu!$I$66,M1121=phu!$I$67,M1121=phu!$I$68,M1121=phu!$I$69,M1121=phu!$I$70,M1121=phu!$I$71),"Ba Ngòi",""),IF(OR(M1121=phu!$I$72,M1121=phu!$I$73,M1121=phu!$I$74,M1121=phu!$I$75,M1121=phu!$I$76,M1121=phu!$I$77,M1121=phu!$I$78),"Cam Phước Đông",""),IF(OR(M1121=phu!$I$79,M1121=phu!$I$80,M1121=phu!$I$81,M1121=phu!$I$82,M1121=phu!$I$83,M1121=phu!$I$84),"Cam Thịnh Đông",""),IF(OR(M1121=phu!$I$85,M1121=phu!$I$86,M1121=phu!$I$87,M1121=phu!$I$88),"Cam Thịnh Tây",""),IF(OR(M1121=phu!$I$89,M1121=phu!$I$90),"Cam Lập",""),IF(OR(M1121=phu!$I$91,M1121=phu!$I$92,M1121=phu!$I$93),"Cam Bình",""),IF(OR(M1121=phu!$I$94,M1121=phu!$I$95,M1121=phu!$I$96,M1121=phu!$I$97,M1121=phu!$I$98,M1121=phu!$I$99,M1121=phu!$I$100),"Huyện khác",""),IF(OR(M1121=phu!$I$101,M1121=phu!$I$102),"Tỉnh khác",""))</f>
        <v/>
      </c>
      <c r="O1121" s="829" t="str">
        <f t="shared" si="102"/>
        <v/>
      </c>
      <c r="P1121" s="254"/>
      <c r="Q1121" s="254"/>
      <c r="R1121" s="254"/>
      <c r="S1121" s="254"/>
      <c r="T1121" s="254"/>
      <c r="U1121" s="254"/>
      <c r="V1121" s="254"/>
      <c r="W1121" s="254"/>
      <c r="Y1121" s="246" t="str">
        <f t="shared" si="103"/>
        <v/>
      </c>
      <c r="Z1121" s="247" t="str">
        <f t="shared" si="107"/>
        <v/>
      </c>
      <c r="AA1121" s="246" t="str">
        <f t="shared" si="104"/>
        <v/>
      </c>
    </row>
    <row r="1122" spans="1:27" x14ac:dyDescent="0.25">
      <c r="A1122" s="248" t="str">
        <f t="shared" si="105"/>
        <v/>
      </c>
      <c r="B1122" s="249" t="str">
        <f t="shared" si="106"/>
        <v/>
      </c>
      <c r="C1122" s="250"/>
      <c r="D1122" s="251"/>
      <c r="E1122" s="241"/>
      <c r="F1122" s="252"/>
      <c r="G1122" s="252"/>
      <c r="H1122" s="253"/>
      <c r="I1122" s="250"/>
      <c r="J1122" s="250"/>
      <c r="K1122" s="270"/>
      <c r="L1122" s="250"/>
      <c r="M1122" s="250"/>
      <c r="N1122" s="540" t="str">
        <f>CONCATENATE(IF(OR(M1122=phu!$I$1,M1122=phu!$I$2,M1122=phu!$I$3),"Cam Thành Nam",""),IF(OR(M1122=phu!$I$4,M1122=phu!$I$5,M1122=phu!$I$6,M1122=phu!$I$7,M1122=phu!$I$8,M1122=phu!$I$9,M1122=phu!$I$10,M1122=phu!$I$11,M1122=phu!$I$12,M1122=phu!$I$13,M1122=phu!$I$14),"Cam Nghĩa",""),IF(OR(M1122=phu!$I$15,M1122=phu!$I$16,M1122=phu!$I$17,M1122=phu!$I$18,M1122=phu!$I$19,M1122=phu!$I$20,M1122=phu!$I$21),"Cam Phúc Bắc",""),IF(OR(M1122=phu!$I$22,M1122=phu!$I$23,M1122=phu!$I$24,M1122=phu!$I$25),"Cam Phúc Nam",""),IF(OR(M1122=phu!$I$26,M1122=phu!$I$27,M1122=phu!$I$28,M1122=phu!$I$29,M1122=phu!$I$30,M1122=phu!$I$31),"Cam Phú",""),IF(OR(M1122=phu!$I$32,M1122=phu!$I$33,M1122=phu!$I$34,M1122=phu!$I$35,M1122=phu!$I$36,M1122=phu!$I$37),"Cam Lộc",""),IF(OR(M1122=phu!$I$38,M1122=phu!$I$39,M1122=phu!$I$40,M1122=phu!$I$41,M1122=phu!$I$42,M1122=phu!$I$43,M1122=phu!$I$44),"Cam Thuận",""),IF(OR(M1122=phu!$I$45,M1122=phu!$I$46,M1122=phu!$I$47,M1122=phu!$I$48,M1122=phu!$I$49,M1122=phu!$I$50,M1122=phu!$I$51,M1122=phu!$I$52,M1122=phu!$I$53),"Cam Linh",""),IF(OR(M1122=phu!$I$54,M1122=phu!$I$55,M1122=phu!$I$56,M1122=phu!$I$57,M1122=phu!$I$58,M1122=phu!$I$59,M1122=phu!$I$60,M1122=phu!$I$61,M1122=phu!$I$62),"Cam Lợi",""),IF(OR(M1122=phu!$I$63,M1122=phu!$I$64,M1122=phu!$I$65,M1122=phu!$I$66,M1122=phu!$I$67,M1122=phu!$I$68,M1122=phu!$I$69,M1122=phu!$I$70,M1122=phu!$I$71),"Ba Ngòi",""),IF(OR(M1122=phu!$I$72,M1122=phu!$I$73,M1122=phu!$I$74,M1122=phu!$I$75,M1122=phu!$I$76,M1122=phu!$I$77,M1122=phu!$I$78),"Cam Phước Đông",""),IF(OR(M1122=phu!$I$79,M1122=phu!$I$80,M1122=phu!$I$81,M1122=phu!$I$82,M1122=phu!$I$83,M1122=phu!$I$84),"Cam Thịnh Đông",""),IF(OR(M1122=phu!$I$85,M1122=phu!$I$86,M1122=phu!$I$87,M1122=phu!$I$88),"Cam Thịnh Tây",""),IF(OR(M1122=phu!$I$89,M1122=phu!$I$90),"Cam Lập",""),IF(OR(M1122=phu!$I$91,M1122=phu!$I$92,M1122=phu!$I$93),"Cam Bình",""),IF(OR(M1122=phu!$I$94,M1122=phu!$I$95,M1122=phu!$I$96,M1122=phu!$I$97,M1122=phu!$I$98,M1122=phu!$I$99,M1122=phu!$I$100),"Huyện khác",""),IF(OR(M1122=phu!$I$101,M1122=phu!$I$102),"Tỉnh khác",""))</f>
        <v/>
      </c>
      <c r="O1122" s="829" t="str">
        <f t="shared" si="102"/>
        <v/>
      </c>
      <c r="P1122" s="254"/>
      <c r="Q1122" s="254"/>
      <c r="R1122" s="254"/>
      <c r="S1122" s="254"/>
      <c r="T1122" s="254"/>
      <c r="U1122" s="254"/>
      <c r="V1122" s="254"/>
      <c r="W1122" s="254"/>
      <c r="Y1122" s="246" t="str">
        <f t="shared" si="103"/>
        <v/>
      </c>
      <c r="Z1122" s="247" t="str">
        <f t="shared" si="107"/>
        <v/>
      </c>
      <c r="AA1122" s="246" t="str">
        <f t="shared" si="104"/>
        <v/>
      </c>
    </row>
    <row r="1123" spans="1:27" x14ac:dyDescent="0.25">
      <c r="A1123" s="248" t="str">
        <f t="shared" si="105"/>
        <v/>
      </c>
      <c r="B1123" s="249" t="str">
        <f t="shared" si="106"/>
        <v/>
      </c>
      <c r="C1123" s="250"/>
      <c r="D1123" s="251"/>
      <c r="E1123" s="241"/>
      <c r="F1123" s="252"/>
      <c r="G1123" s="252"/>
      <c r="H1123" s="253"/>
      <c r="I1123" s="250"/>
      <c r="J1123" s="250"/>
      <c r="K1123" s="270"/>
      <c r="L1123" s="250"/>
      <c r="M1123" s="250"/>
      <c r="N1123" s="540" t="str">
        <f>CONCATENATE(IF(OR(M1123=phu!$I$1,M1123=phu!$I$2,M1123=phu!$I$3),"Cam Thành Nam",""),IF(OR(M1123=phu!$I$4,M1123=phu!$I$5,M1123=phu!$I$6,M1123=phu!$I$7,M1123=phu!$I$8,M1123=phu!$I$9,M1123=phu!$I$10,M1123=phu!$I$11,M1123=phu!$I$12,M1123=phu!$I$13,M1123=phu!$I$14),"Cam Nghĩa",""),IF(OR(M1123=phu!$I$15,M1123=phu!$I$16,M1123=phu!$I$17,M1123=phu!$I$18,M1123=phu!$I$19,M1123=phu!$I$20,M1123=phu!$I$21),"Cam Phúc Bắc",""),IF(OR(M1123=phu!$I$22,M1123=phu!$I$23,M1123=phu!$I$24,M1123=phu!$I$25),"Cam Phúc Nam",""),IF(OR(M1123=phu!$I$26,M1123=phu!$I$27,M1123=phu!$I$28,M1123=phu!$I$29,M1123=phu!$I$30,M1123=phu!$I$31),"Cam Phú",""),IF(OR(M1123=phu!$I$32,M1123=phu!$I$33,M1123=phu!$I$34,M1123=phu!$I$35,M1123=phu!$I$36,M1123=phu!$I$37),"Cam Lộc",""),IF(OR(M1123=phu!$I$38,M1123=phu!$I$39,M1123=phu!$I$40,M1123=phu!$I$41,M1123=phu!$I$42,M1123=phu!$I$43,M1123=phu!$I$44),"Cam Thuận",""),IF(OR(M1123=phu!$I$45,M1123=phu!$I$46,M1123=phu!$I$47,M1123=phu!$I$48,M1123=phu!$I$49,M1123=phu!$I$50,M1123=phu!$I$51,M1123=phu!$I$52,M1123=phu!$I$53),"Cam Linh",""),IF(OR(M1123=phu!$I$54,M1123=phu!$I$55,M1123=phu!$I$56,M1123=phu!$I$57,M1123=phu!$I$58,M1123=phu!$I$59,M1123=phu!$I$60,M1123=phu!$I$61,M1123=phu!$I$62),"Cam Lợi",""),IF(OR(M1123=phu!$I$63,M1123=phu!$I$64,M1123=phu!$I$65,M1123=phu!$I$66,M1123=phu!$I$67,M1123=phu!$I$68,M1123=phu!$I$69,M1123=phu!$I$70,M1123=phu!$I$71),"Ba Ngòi",""),IF(OR(M1123=phu!$I$72,M1123=phu!$I$73,M1123=phu!$I$74,M1123=phu!$I$75,M1123=phu!$I$76,M1123=phu!$I$77,M1123=phu!$I$78),"Cam Phước Đông",""),IF(OR(M1123=phu!$I$79,M1123=phu!$I$80,M1123=phu!$I$81,M1123=phu!$I$82,M1123=phu!$I$83,M1123=phu!$I$84),"Cam Thịnh Đông",""),IF(OR(M1123=phu!$I$85,M1123=phu!$I$86,M1123=phu!$I$87,M1123=phu!$I$88),"Cam Thịnh Tây",""),IF(OR(M1123=phu!$I$89,M1123=phu!$I$90),"Cam Lập",""),IF(OR(M1123=phu!$I$91,M1123=phu!$I$92,M1123=phu!$I$93),"Cam Bình",""),IF(OR(M1123=phu!$I$94,M1123=phu!$I$95,M1123=phu!$I$96,M1123=phu!$I$97,M1123=phu!$I$98,M1123=phu!$I$99,M1123=phu!$I$100),"Huyện khác",""),IF(OR(M1123=phu!$I$101,M1123=phu!$I$102),"Tỉnh khác",""))</f>
        <v/>
      </c>
      <c r="O1123" s="829" t="str">
        <f t="shared" si="102"/>
        <v/>
      </c>
      <c r="P1123" s="254"/>
      <c r="Q1123" s="254"/>
      <c r="R1123" s="254"/>
      <c r="S1123" s="254"/>
      <c r="T1123" s="254"/>
      <c r="U1123" s="254"/>
      <c r="V1123" s="254"/>
      <c r="W1123" s="254"/>
      <c r="Y1123" s="246" t="str">
        <f t="shared" si="103"/>
        <v/>
      </c>
      <c r="Z1123" s="247" t="str">
        <f t="shared" si="107"/>
        <v/>
      </c>
      <c r="AA1123" s="246" t="str">
        <f t="shared" si="104"/>
        <v/>
      </c>
    </row>
    <row r="1124" spans="1:27" x14ac:dyDescent="0.25">
      <c r="A1124" s="248" t="str">
        <f t="shared" si="105"/>
        <v/>
      </c>
      <c r="B1124" s="249" t="str">
        <f t="shared" si="106"/>
        <v/>
      </c>
      <c r="C1124" s="250"/>
      <c r="D1124" s="251"/>
      <c r="E1124" s="241"/>
      <c r="F1124" s="252"/>
      <c r="G1124" s="252"/>
      <c r="H1124" s="253"/>
      <c r="I1124" s="250"/>
      <c r="J1124" s="250"/>
      <c r="K1124" s="270"/>
      <c r="L1124" s="250"/>
      <c r="M1124" s="250"/>
      <c r="N1124" s="540" t="str">
        <f>CONCATENATE(IF(OR(M1124=phu!$I$1,M1124=phu!$I$2,M1124=phu!$I$3),"Cam Thành Nam",""),IF(OR(M1124=phu!$I$4,M1124=phu!$I$5,M1124=phu!$I$6,M1124=phu!$I$7,M1124=phu!$I$8,M1124=phu!$I$9,M1124=phu!$I$10,M1124=phu!$I$11,M1124=phu!$I$12,M1124=phu!$I$13,M1124=phu!$I$14),"Cam Nghĩa",""),IF(OR(M1124=phu!$I$15,M1124=phu!$I$16,M1124=phu!$I$17,M1124=phu!$I$18,M1124=phu!$I$19,M1124=phu!$I$20,M1124=phu!$I$21),"Cam Phúc Bắc",""),IF(OR(M1124=phu!$I$22,M1124=phu!$I$23,M1124=phu!$I$24,M1124=phu!$I$25),"Cam Phúc Nam",""),IF(OR(M1124=phu!$I$26,M1124=phu!$I$27,M1124=phu!$I$28,M1124=phu!$I$29,M1124=phu!$I$30,M1124=phu!$I$31),"Cam Phú",""),IF(OR(M1124=phu!$I$32,M1124=phu!$I$33,M1124=phu!$I$34,M1124=phu!$I$35,M1124=phu!$I$36,M1124=phu!$I$37),"Cam Lộc",""),IF(OR(M1124=phu!$I$38,M1124=phu!$I$39,M1124=phu!$I$40,M1124=phu!$I$41,M1124=phu!$I$42,M1124=phu!$I$43,M1124=phu!$I$44),"Cam Thuận",""),IF(OR(M1124=phu!$I$45,M1124=phu!$I$46,M1124=phu!$I$47,M1124=phu!$I$48,M1124=phu!$I$49,M1124=phu!$I$50,M1124=phu!$I$51,M1124=phu!$I$52,M1124=phu!$I$53),"Cam Linh",""),IF(OR(M1124=phu!$I$54,M1124=phu!$I$55,M1124=phu!$I$56,M1124=phu!$I$57,M1124=phu!$I$58,M1124=phu!$I$59,M1124=phu!$I$60,M1124=phu!$I$61,M1124=phu!$I$62),"Cam Lợi",""),IF(OR(M1124=phu!$I$63,M1124=phu!$I$64,M1124=phu!$I$65,M1124=phu!$I$66,M1124=phu!$I$67,M1124=phu!$I$68,M1124=phu!$I$69,M1124=phu!$I$70,M1124=phu!$I$71),"Ba Ngòi",""),IF(OR(M1124=phu!$I$72,M1124=phu!$I$73,M1124=phu!$I$74,M1124=phu!$I$75,M1124=phu!$I$76,M1124=phu!$I$77,M1124=phu!$I$78),"Cam Phước Đông",""),IF(OR(M1124=phu!$I$79,M1124=phu!$I$80,M1124=phu!$I$81,M1124=phu!$I$82,M1124=phu!$I$83,M1124=phu!$I$84),"Cam Thịnh Đông",""),IF(OR(M1124=phu!$I$85,M1124=phu!$I$86,M1124=phu!$I$87,M1124=phu!$I$88),"Cam Thịnh Tây",""),IF(OR(M1124=phu!$I$89,M1124=phu!$I$90),"Cam Lập",""),IF(OR(M1124=phu!$I$91,M1124=phu!$I$92,M1124=phu!$I$93),"Cam Bình",""),IF(OR(M1124=phu!$I$94,M1124=phu!$I$95,M1124=phu!$I$96,M1124=phu!$I$97,M1124=phu!$I$98,M1124=phu!$I$99,M1124=phu!$I$100),"Huyện khác",""),IF(OR(M1124=phu!$I$101,M1124=phu!$I$102),"Tỉnh khác",""))</f>
        <v/>
      </c>
      <c r="O1124" s="829" t="str">
        <f t="shared" si="102"/>
        <v/>
      </c>
      <c r="P1124" s="254"/>
      <c r="Q1124" s="254"/>
      <c r="R1124" s="254"/>
      <c r="S1124" s="254"/>
      <c r="T1124" s="254"/>
      <c r="U1124" s="254"/>
      <c r="V1124" s="254"/>
      <c r="W1124" s="254"/>
      <c r="Y1124" s="246" t="str">
        <f t="shared" si="103"/>
        <v/>
      </c>
      <c r="Z1124" s="247" t="str">
        <f t="shared" si="107"/>
        <v/>
      </c>
      <c r="AA1124" s="246" t="str">
        <f t="shared" si="104"/>
        <v/>
      </c>
    </row>
    <row r="1125" spans="1:27" x14ac:dyDescent="0.25">
      <c r="A1125" s="248" t="str">
        <f t="shared" si="105"/>
        <v/>
      </c>
      <c r="B1125" s="249" t="str">
        <f t="shared" si="106"/>
        <v/>
      </c>
      <c r="C1125" s="250"/>
      <c r="D1125" s="251"/>
      <c r="E1125" s="241"/>
      <c r="F1125" s="252"/>
      <c r="G1125" s="252"/>
      <c r="H1125" s="253"/>
      <c r="I1125" s="250"/>
      <c r="J1125" s="250"/>
      <c r="K1125" s="270"/>
      <c r="L1125" s="250"/>
      <c r="M1125" s="250"/>
      <c r="N1125" s="540" t="str">
        <f>CONCATENATE(IF(OR(M1125=phu!$I$1,M1125=phu!$I$2,M1125=phu!$I$3),"Cam Thành Nam",""),IF(OR(M1125=phu!$I$4,M1125=phu!$I$5,M1125=phu!$I$6,M1125=phu!$I$7,M1125=phu!$I$8,M1125=phu!$I$9,M1125=phu!$I$10,M1125=phu!$I$11,M1125=phu!$I$12,M1125=phu!$I$13,M1125=phu!$I$14),"Cam Nghĩa",""),IF(OR(M1125=phu!$I$15,M1125=phu!$I$16,M1125=phu!$I$17,M1125=phu!$I$18,M1125=phu!$I$19,M1125=phu!$I$20,M1125=phu!$I$21),"Cam Phúc Bắc",""),IF(OR(M1125=phu!$I$22,M1125=phu!$I$23,M1125=phu!$I$24,M1125=phu!$I$25),"Cam Phúc Nam",""),IF(OR(M1125=phu!$I$26,M1125=phu!$I$27,M1125=phu!$I$28,M1125=phu!$I$29,M1125=phu!$I$30,M1125=phu!$I$31),"Cam Phú",""),IF(OR(M1125=phu!$I$32,M1125=phu!$I$33,M1125=phu!$I$34,M1125=phu!$I$35,M1125=phu!$I$36,M1125=phu!$I$37),"Cam Lộc",""),IF(OR(M1125=phu!$I$38,M1125=phu!$I$39,M1125=phu!$I$40,M1125=phu!$I$41,M1125=phu!$I$42,M1125=phu!$I$43,M1125=phu!$I$44),"Cam Thuận",""),IF(OR(M1125=phu!$I$45,M1125=phu!$I$46,M1125=phu!$I$47,M1125=phu!$I$48,M1125=phu!$I$49,M1125=phu!$I$50,M1125=phu!$I$51,M1125=phu!$I$52,M1125=phu!$I$53),"Cam Linh",""),IF(OR(M1125=phu!$I$54,M1125=phu!$I$55,M1125=phu!$I$56,M1125=phu!$I$57,M1125=phu!$I$58,M1125=phu!$I$59,M1125=phu!$I$60,M1125=phu!$I$61,M1125=phu!$I$62),"Cam Lợi",""),IF(OR(M1125=phu!$I$63,M1125=phu!$I$64,M1125=phu!$I$65,M1125=phu!$I$66,M1125=phu!$I$67,M1125=phu!$I$68,M1125=phu!$I$69,M1125=phu!$I$70,M1125=phu!$I$71),"Ba Ngòi",""),IF(OR(M1125=phu!$I$72,M1125=phu!$I$73,M1125=phu!$I$74,M1125=phu!$I$75,M1125=phu!$I$76,M1125=phu!$I$77,M1125=phu!$I$78),"Cam Phước Đông",""),IF(OR(M1125=phu!$I$79,M1125=phu!$I$80,M1125=phu!$I$81,M1125=phu!$I$82,M1125=phu!$I$83,M1125=phu!$I$84),"Cam Thịnh Đông",""),IF(OR(M1125=phu!$I$85,M1125=phu!$I$86,M1125=phu!$I$87,M1125=phu!$I$88),"Cam Thịnh Tây",""),IF(OR(M1125=phu!$I$89,M1125=phu!$I$90),"Cam Lập",""),IF(OR(M1125=phu!$I$91,M1125=phu!$I$92,M1125=phu!$I$93),"Cam Bình",""),IF(OR(M1125=phu!$I$94,M1125=phu!$I$95,M1125=phu!$I$96,M1125=phu!$I$97,M1125=phu!$I$98,M1125=phu!$I$99,M1125=phu!$I$100),"Huyện khác",""),IF(OR(M1125=phu!$I$101,M1125=phu!$I$102),"Tỉnh khác",""))</f>
        <v/>
      </c>
      <c r="O1125" s="829" t="str">
        <f t="shared" si="102"/>
        <v/>
      </c>
      <c r="P1125" s="254"/>
      <c r="Q1125" s="254"/>
      <c r="R1125" s="254"/>
      <c r="S1125" s="254"/>
      <c r="T1125" s="254"/>
      <c r="U1125" s="254"/>
      <c r="V1125" s="254"/>
      <c r="W1125" s="254"/>
      <c r="Y1125" s="246" t="str">
        <f t="shared" si="103"/>
        <v/>
      </c>
      <c r="Z1125" s="247" t="str">
        <f t="shared" si="107"/>
        <v/>
      </c>
      <c r="AA1125" s="246" t="str">
        <f t="shared" si="104"/>
        <v/>
      </c>
    </row>
    <row r="1126" spans="1:27" x14ac:dyDescent="0.25">
      <c r="A1126" s="248" t="str">
        <f t="shared" si="105"/>
        <v/>
      </c>
      <c r="B1126" s="249" t="str">
        <f t="shared" si="106"/>
        <v/>
      </c>
      <c r="C1126" s="250"/>
      <c r="D1126" s="251"/>
      <c r="E1126" s="241"/>
      <c r="F1126" s="252"/>
      <c r="G1126" s="252"/>
      <c r="H1126" s="253"/>
      <c r="I1126" s="250"/>
      <c r="J1126" s="250"/>
      <c r="K1126" s="270"/>
      <c r="L1126" s="250"/>
      <c r="M1126" s="250"/>
      <c r="N1126" s="540" t="str">
        <f>CONCATENATE(IF(OR(M1126=phu!$I$1,M1126=phu!$I$2,M1126=phu!$I$3),"Cam Thành Nam",""),IF(OR(M1126=phu!$I$4,M1126=phu!$I$5,M1126=phu!$I$6,M1126=phu!$I$7,M1126=phu!$I$8,M1126=phu!$I$9,M1126=phu!$I$10,M1126=phu!$I$11,M1126=phu!$I$12,M1126=phu!$I$13,M1126=phu!$I$14),"Cam Nghĩa",""),IF(OR(M1126=phu!$I$15,M1126=phu!$I$16,M1126=phu!$I$17,M1126=phu!$I$18,M1126=phu!$I$19,M1126=phu!$I$20,M1126=phu!$I$21),"Cam Phúc Bắc",""),IF(OR(M1126=phu!$I$22,M1126=phu!$I$23,M1126=phu!$I$24,M1126=phu!$I$25),"Cam Phúc Nam",""),IF(OR(M1126=phu!$I$26,M1126=phu!$I$27,M1126=phu!$I$28,M1126=phu!$I$29,M1126=phu!$I$30,M1126=phu!$I$31),"Cam Phú",""),IF(OR(M1126=phu!$I$32,M1126=phu!$I$33,M1126=phu!$I$34,M1126=phu!$I$35,M1126=phu!$I$36,M1126=phu!$I$37),"Cam Lộc",""),IF(OR(M1126=phu!$I$38,M1126=phu!$I$39,M1126=phu!$I$40,M1126=phu!$I$41,M1126=phu!$I$42,M1126=phu!$I$43,M1126=phu!$I$44),"Cam Thuận",""),IF(OR(M1126=phu!$I$45,M1126=phu!$I$46,M1126=phu!$I$47,M1126=phu!$I$48,M1126=phu!$I$49,M1126=phu!$I$50,M1126=phu!$I$51,M1126=phu!$I$52,M1126=phu!$I$53),"Cam Linh",""),IF(OR(M1126=phu!$I$54,M1126=phu!$I$55,M1126=phu!$I$56,M1126=phu!$I$57,M1126=phu!$I$58,M1126=phu!$I$59,M1126=phu!$I$60,M1126=phu!$I$61,M1126=phu!$I$62),"Cam Lợi",""),IF(OR(M1126=phu!$I$63,M1126=phu!$I$64,M1126=phu!$I$65,M1126=phu!$I$66,M1126=phu!$I$67,M1126=phu!$I$68,M1126=phu!$I$69,M1126=phu!$I$70,M1126=phu!$I$71),"Ba Ngòi",""),IF(OR(M1126=phu!$I$72,M1126=phu!$I$73,M1126=phu!$I$74,M1126=phu!$I$75,M1126=phu!$I$76,M1126=phu!$I$77,M1126=phu!$I$78),"Cam Phước Đông",""),IF(OR(M1126=phu!$I$79,M1126=phu!$I$80,M1126=phu!$I$81,M1126=phu!$I$82,M1126=phu!$I$83,M1126=phu!$I$84),"Cam Thịnh Đông",""),IF(OR(M1126=phu!$I$85,M1126=phu!$I$86,M1126=phu!$I$87,M1126=phu!$I$88),"Cam Thịnh Tây",""),IF(OR(M1126=phu!$I$89,M1126=phu!$I$90),"Cam Lập",""),IF(OR(M1126=phu!$I$91,M1126=phu!$I$92,M1126=phu!$I$93),"Cam Bình",""),IF(OR(M1126=phu!$I$94,M1126=phu!$I$95,M1126=phu!$I$96,M1126=phu!$I$97,M1126=phu!$I$98,M1126=phu!$I$99,M1126=phu!$I$100),"Huyện khác",""),IF(OR(M1126=phu!$I$101,M1126=phu!$I$102),"Tỉnh khác",""))</f>
        <v/>
      </c>
      <c r="O1126" s="829" t="str">
        <f t="shared" si="102"/>
        <v/>
      </c>
      <c r="P1126" s="254"/>
      <c r="Q1126" s="254"/>
      <c r="R1126" s="254"/>
      <c r="S1126" s="254"/>
      <c r="T1126" s="254"/>
      <c r="U1126" s="254"/>
      <c r="V1126" s="254"/>
      <c r="W1126" s="254"/>
      <c r="Y1126" s="246" t="str">
        <f t="shared" si="103"/>
        <v/>
      </c>
      <c r="Z1126" s="247" t="str">
        <f t="shared" si="107"/>
        <v/>
      </c>
      <c r="AA1126" s="246" t="str">
        <f t="shared" si="104"/>
        <v/>
      </c>
    </row>
    <row r="1127" spans="1:27" x14ac:dyDescent="0.25">
      <c r="A1127" s="248" t="str">
        <f t="shared" si="105"/>
        <v/>
      </c>
      <c r="B1127" s="249" t="str">
        <f t="shared" si="106"/>
        <v/>
      </c>
      <c r="C1127" s="250"/>
      <c r="D1127" s="251"/>
      <c r="E1127" s="241"/>
      <c r="F1127" s="252"/>
      <c r="G1127" s="252"/>
      <c r="H1127" s="253"/>
      <c r="I1127" s="250"/>
      <c r="J1127" s="250"/>
      <c r="K1127" s="270"/>
      <c r="L1127" s="250"/>
      <c r="M1127" s="250"/>
      <c r="N1127" s="540" t="str">
        <f>CONCATENATE(IF(OR(M1127=phu!$I$1,M1127=phu!$I$2,M1127=phu!$I$3),"Cam Thành Nam",""),IF(OR(M1127=phu!$I$4,M1127=phu!$I$5,M1127=phu!$I$6,M1127=phu!$I$7,M1127=phu!$I$8,M1127=phu!$I$9,M1127=phu!$I$10,M1127=phu!$I$11,M1127=phu!$I$12,M1127=phu!$I$13,M1127=phu!$I$14),"Cam Nghĩa",""),IF(OR(M1127=phu!$I$15,M1127=phu!$I$16,M1127=phu!$I$17,M1127=phu!$I$18,M1127=phu!$I$19,M1127=phu!$I$20,M1127=phu!$I$21),"Cam Phúc Bắc",""),IF(OR(M1127=phu!$I$22,M1127=phu!$I$23,M1127=phu!$I$24,M1127=phu!$I$25),"Cam Phúc Nam",""),IF(OR(M1127=phu!$I$26,M1127=phu!$I$27,M1127=phu!$I$28,M1127=phu!$I$29,M1127=phu!$I$30,M1127=phu!$I$31),"Cam Phú",""),IF(OR(M1127=phu!$I$32,M1127=phu!$I$33,M1127=phu!$I$34,M1127=phu!$I$35,M1127=phu!$I$36,M1127=phu!$I$37),"Cam Lộc",""),IF(OR(M1127=phu!$I$38,M1127=phu!$I$39,M1127=phu!$I$40,M1127=phu!$I$41,M1127=phu!$I$42,M1127=phu!$I$43,M1127=phu!$I$44),"Cam Thuận",""),IF(OR(M1127=phu!$I$45,M1127=phu!$I$46,M1127=phu!$I$47,M1127=phu!$I$48,M1127=phu!$I$49,M1127=phu!$I$50,M1127=phu!$I$51,M1127=phu!$I$52,M1127=phu!$I$53),"Cam Linh",""),IF(OR(M1127=phu!$I$54,M1127=phu!$I$55,M1127=phu!$I$56,M1127=phu!$I$57,M1127=phu!$I$58,M1127=phu!$I$59,M1127=phu!$I$60,M1127=phu!$I$61,M1127=phu!$I$62),"Cam Lợi",""),IF(OR(M1127=phu!$I$63,M1127=phu!$I$64,M1127=phu!$I$65,M1127=phu!$I$66,M1127=phu!$I$67,M1127=phu!$I$68,M1127=phu!$I$69,M1127=phu!$I$70,M1127=phu!$I$71),"Ba Ngòi",""),IF(OR(M1127=phu!$I$72,M1127=phu!$I$73,M1127=phu!$I$74,M1127=phu!$I$75,M1127=phu!$I$76,M1127=phu!$I$77,M1127=phu!$I$78),"Cam Phước Đông",""),IF(OR(M1127=phu!$I$79,M1127=phu!$I$80,M1127=phu!$I$81,M1127=phu!$I$82,M1127=phu!$I$83,M1127=phu!$I$84),"Cam Thịnh Đông",""),IF(OR(M1127=phu!$I$85,M1127=phu!$I$86,M1127=phu!$I$87,M1127=phu!$I$88),"Cam Thịnh Tây",""),IF(OR(M1127=phu!$I$89,M1127=phu!$I$90),"Cam Lập",""),IF(OR(M1127=phu!$I$91,M1127=phu!$I$92,M1127=phu!$I$93),"Cam Bình",""),IF(OR(M1127=phu!$I$94,M1127=phu!$I$95,M1127=phu!$I$96,M1127=phu!$I$97,M1127=phu!$I$98,M1127=phu!$I$99,M1127=phu!$I$100),"Huyện khác",""),IF(OR(M1127=phu!$I$101,M1127=phu!$I$102),"Tỉnh khác",""))</f>
        <v/>
      </c>
      <c r="O1127" s="829" t="str">
        <f t="shared" si="102"/>
        <v/>
      </c>
      <c r="P1127" s="254"/>
      <c r="Q1127" s="254"/>
      <c r="R1127" s="254"/>
      <c r="S1127" s="254"/>
      <c r="T1127" s="254"/>
      <c r="U1127" s="254"/>
      <c r="V1127" s="254"/>
      <c r="W1127" s="254"/>
      <c r="Y1127" s="246" t="str">
        <f t="shared" si="103"/>
        <v/>
      </c>
      <c r="Z1127" s="247" t="str">
        <f t="shared" si="107"/>
        <v/>
      </c>
      <c r="AA1127" s="246" t="str">
        <f t="shared" si="104"/>
        <v/>
      </c>
    </row>
    <row r="1128" spans="1:27" x14ac:dyDescent="0.25">
      <c r="A1128" s="248" t="str">
        <f t="shared" si="105"/>
        <v/>
      </c>
      <c r="B1128" s="249" t="str">
        <f t="shared" si="106"/>
        <v/>
      </c>
      <c r="C1128" s="250"/>
      <c r="D1128" s="251"/>
      <c r="E1128" s="241"/>
      <c r="F1128" s="252"/>
      <c r="G1128" s="252"/>
      <c r="H1128" s="253"/>
      <c r="I1128" s="250"/>
      <c r="J1128" s="250"/>
      <c r="K1128" s="270"/>
      <c r="L1128" s="250"/>
      <c r="M1128" s="250"/>
      <c r="N1128" s="540" t="str">
        <f>CONCATENATE(IF(OR(M1128=phu!$I$1,M1128=phu!$I$2,M1128=phu!$I$3),"Cam Thành Nam",""),IF(OR(M1128=phu!$I$4,M1128=phu!$I$5,M1128=phu!$I$6,M1128=phu!$I$7,M1128=phu!$I$8,M1128=phu!$I$9,M1128=phu!$I$10,M1128=phu!$I$11,M1128=phu!$I$12,M1128=phu!$I$13,M1128=phu!$I$14),"Cam Nghĩa",""),IF(OR(M1128=phu!$I$15,M1128=phu!$I$16,M1128=phu!$I$17,M1128=phu!$I$18,M1128=phu!$I$19,M1128=phu!$I$20,M1128=phu!$I$21),"Cam Phúc Bắc",""),IF(OR(M1128=phu!$I$22,M1128=phu!$I$23,M1128=phu!$I$24,M1128=phu!$I$25),"Cam Phúc Nam",""),IF(OR(M1128=phu!$I$26,M1128=phu!$I$27,M1128=phu!$I$28,M1128=phu!$I$29,M1128=phu!$I$30,M1128=phu!$I$31),"Cam Phú",""),IF(OR(M1128=phu!$I$32,M1128=phu!$I$33,M1128=phu!$I$34,M1128=phu!$I$35,M1128=phu!$I$36,M1128=phu!$I$37),"Cam Lộc",""),IF(OR(M1128=phu!$I$38,M1128=phu!$I$39,M1128=phu!$I$40,M1128=phu!$I$41,M1128=phu!$I$42,M1128=phu!$I$43,M1128=phu!$I$44),"Cam Thuận",""),IF(OR(M1128=phu!$I$45,M1128=phu!$I$46,M1128=phu!$I$47,M1128=phu!$I$48,M1128=phu!$I$49,M1128=phu!$I$50,M1128=phu!$I$51,M1128=phu!$I$52,M1128=phu!$I$53),"Cam Linh",""),IF(OR(M1128=phu!$I$54,M1128=phu!$I$55,M1128=phu!$I$56,M1128=phu!$I$57,M1128=phu!$I$58,M1128=phu!$I$59,M1128=phu!$I$60,M1128=phu!$I$61,M1128=phu!$I$62),"Cam Lợi",""),IF(OR(M1128=phu!$I$63,M1128=phu!$I$64,M1128=phu!$I$65,M1128=phu!$I$66,M1128=phu!$I$67,M1128=phu!$I$68,M1128=phu!$I$69,M1128=phu!$I$70,M1128=phu!$I$71),"Ba Ngòi",""),IF(OR(M1128=phu!$I$72,M1128=phu!$I$73,M1128=phu!$I$74,M1128=phu!$I$75,M1128=phu!$I$76,M1128=phu!$I$77,M1128=phu!$I$78),"Cam Phước Đông",""),IF(OR(M1128=phu!$I$79,M1128=phu!$I$80,M1128=phu!$I$81,M1128=phu!$I$82,M1128=phu!$I$83,M1128=phu!$I$84),"Cam Thịnh Đông",""),IF(OR(M1128=phu!$I$85,M1128=phu!$I$86,M1128=phu!$I$87,M1128=phu!$I$88),"Cam Thịnh Tây",""),IF(OR(M1128=phu!$I$89,M1128=phu!$I$90),"Cam Lập",""),IF(OR(M1128=phu!$I$91,M1128=phu!$I$92,M1128=phu!$I$93),"Cam Bình",""),IF(OR(M1128=phu!$I$94,M1128=phu!$I$95,M1128=phu!$I$96,M1128=phu!$I$97,M1128=phu!$I$98,M1128=phu!$I$99,M1128=phu!$I$100),"Huyện khác",""),IF(OR(M1128=phu!$I$101,M1128=phu!$I$102),"Tỉnh khác",""))</f>
        <v/>
      </c>
      <c r="O1128" s="829" t="str">
        <f t="shared" si="102"/>
        <v/>
      </c>
      <c r="P1128" s="254"/>
      <c r="Q1128" s="254"/>
      <c r="R1128" s="254"/>
      <c r="S1128" s="254"/>
      <c r="T1128" s="254"/>
      <c r="U1128" s="254"/>
      <c r="V1128" s="254"/>
      <c r="W1128" s="254"/>
      <c r="Y1128" s="246" t="str">
        <f t="shared" si="103"/>
        <v/>
      </c>
      <c r="Z1128" s="247" t="str">
        <f t="shared" si="107"/>
        <v/>
      </c>
      <c r="AA1128" s="246" t="str">
        <f t="shared" si="104"/>
        <v/>
      </c>
    </row>
    <row r="1129" spans="1:27" x14ac:dyDescent="0.25">
      <c r="A1129" s="248" t="str">
        <f t="shared" si="105"/>
        <v/>
      </c>
      <c r="B1129" s="249" t="str">
        <f t="shared" si="106"/>
        <v/>
      </c>
      <c r="C1129" s="250"/>
      <c r="D1129" s="251"/>
      <c r="E1129" s="241"/>
      <c r="F1129" s="252"/>
      <c r="G1129" s="252"/>
      <c r="H1129" s="253"/>
      <c r="I1129" s="250"/>
      <c r="J1129" s="250"/>
      <c r="K1129" s="270"/>
      <c r="L1129" s="250"/>
      <c r="M1129" s="250"/>
      <c r="N1129" s="540" t="str">
        <f>CONCATENATE(IF(OR(M1129=phu!$I$1,M1129=phu!$I$2,M1129=phu!$I$3),"Cam Thành Nam",""),IF(OR(M1129=phu!$I$4,M1129=phu!$I$5,M1129=phu!$I$6,M1129=phu!$I$7,M1129=phu!$I$8,M1129=phu!$I$9,M1129=phu!$I$10,M1129=phu!$I$11,M1129=phu!$I$12,M1129=phu!$I$13,M1129=phu!$I$14),"Cam Nghĩa",""),IF(OR(M1129=phu!$I$15,M1129=phu!$I$16,M1129=phu!$I$17,M1129=phu!$I$18,M1129=phu!$I$19,M1129=phu!$I$20,M1129=phu!$I$21),"Cam Phúc Bắc",""),IF(OR(M1129=phu!$I$22,M1129=phu!$I$23,M1129=phu!$I$24,M1129=phu!$I$25),"Cam Phúc Nam",""),IF(OR(M1129=phu!$I$26,M1129=phu!$I$27,M1129=phu!$I$28,M1129=phu!$I$29,M1129=phu!$I$30,M1129=phu!$I$31),"Cam Phú",""),IF(OR(M1129=phu!$I$32,M1129=phu!$I$33,M1129=phu!$I$34,M1129=phu!$I$35,M1129=phu!$I$36,M1129=phu!$I$37),"Cam Lộc",""),IF(OR(M1129=phu!$I$38,M1129=phu!$I$39,M1129=phu!$I$40,M1129=phu!$I$41,M1129=phu!$I$42,M1129=phu!$I$43,M1129=phu!$I$44),"Cam Thuận",""),IF(OR(M1129=phu!$I$45,M1129=phu!$I$46,M1129=phu!$I$47,M1129=phu!$I$48,M1129=phu!$I$49,M1129=phu!$I$50,M1129=phu!$I$51,M1129=phu!$I$52,M1129=phu!$I$53),"Cam Linh",""),IF(OR(M1129=phu!$I$54,M1129=phu!$I$55,M1129=phu!$I$56,M1129=phu!$I$57,M1129=phu!$I$58,M1129=phu!$I$59,M1129=phu!$I$60,M1129=phu!$I$61,M1129=phu!$I$62),"Cam Lợi",""),IF(OR(M1129=phu!$I$63,M1129=phu!$I$64,M1129=phu!$I$65,M1129=phu!$I$66,M1129=phu!$I$67,M1129=phu!$I$68,M1129=phu!$I$69,M1129=phu!$I$70,M1129=phu!$I$71),"Ba Ngòi",""),IF(OR(M1129=phu!$I$72,M1129=phu!$I$73,M1129=phu!$I$74,M1129=phu!$I$75,M1129=phu!$I$76,M1129=phu!$I$77,M1129=phu!$I$78),"Cam Phước Đông",""),IF(OR(M1129=phu!$I$79,M1129=phu!$I$80,M1129=phu!$I$81,M1129=phu!$I$82,M1129=phu!$I$83,M1129=phu!$I$84),"Cam Thịnh Đông",""),IF(OR(M1129=phu!$I$85,M1129=phu!$I$86,M1129=phu!$I$87,M1129=phu!$I$88),"Cam Thịnh Tây",""),IF(OR(M1129=phu!$I$89,M1129=phu!$I$90),"Cam Lập",""),IF(OR(M1129=phu!$I$91,M1129=phu!$I$92,M1129=phu!$I$93),"Cam Bình",""),IF(OR(M1129=phu!$I$94,M1129=phu!$I$95,M1129=phu!$I$96,M1129=phu!$I$97,M1129=phu!$I$98,M1129=phu!$I$99,M1129=phu!$I$100),"Huyện khác",""),IF(OR(M1129=phu!$I$101,M1129=phu!$I$102),"Tỉnh khác",""))</f>
        <v/>
      </c>
      <c r="O1129" s="829" t="str">
        <f t="shared" si="102"/>
        <v/>
      </c>
      <c r="P1129" s="254"/>
      <c r="Q1129" s="254"/>
      <c r="R1129" s="254"/>
      <c r="S1129" s="254"/>
      <c r="T1129" s="254"/>
      <c r="U1129" s="254"/>
      <c r="V1129" s="254"/>
      <c r="W1129" s="254"/>
      <c r="Y1129" s="246" t="str">
        <f t="shared" si="103"/>
        <v/>
      </c>
      <c r="Z1129" s="247" t="str">
        <f t="shared" si="107"/>
        <v/>
      </c>
      <c r="AA1129" s="246" t="str">
        <f t="shared" si="104"/>
        <v/>
      </c>
    </row>
    <row r="1130" spans="1:27" x14ac:dyDescent="0.25">
      <c r="A1130" s="248" t="str">
        <f t="shared" si="105"/>
        <v/>
      </c>
      <c r="B1130" s="249" t="str">
        <f t="shared" si="106"/>
        <v/>
      </c>
      <c r="C1130" s="250"/>
      <c r="D1130" s="251"/>
      <c r="E1130" s="241"/>
      <c r="F1130" s="252"/>
      <c r="G1130" s="252"/>
      <c r="H1130" s="253"/>
      <c r="I1130" s="250"/>
      <c r="J1130" s="250"/>
      <c r="K1130" s="270"/>
      <c r="L1130" s="250"/>
      <c r="M1130" s="250"/>
      <c r="N1130" s="540" t="str">
        <f>CONCATENATE(IF(OR(M1130=phu!$I$1,M1130=phu!$I$2,M1130=phu!$I$3),"Cam Thành Nam",""),IF(OR(M1130=phu!$I$4,M1130=phu!$I$5,M1130=phu!$I$6,M1130=phu!$I$7,M1130=phu!$I$8,M1130=phu!$I$9,M1130=phu!$I$10,M1130=phu!$I$11,M1130=phu!$I$12,M1130=phu!$I$13,M1130=phu!$I$14),"Cam Nghĩa",""),IF(OR(M1130=phu!$I$15,M1130=phu!$I$16,M1130=phu!$I$17,M1130=phu!$I$18,M1130=phu!$I$19,M1130=phu!$I$20,M1130=phu!$I$21),"Cam Phúc Bắc",""),IF(OR(M1130=phu!$I$22,M1130=phu!$I$23,M1130=phu!$I$24,M1130=phu!$I$25),"Cam Phúc Nam",""),IF(OR(M1130=phu!$I$26,M1130=phu!$I$27,M1130=phu!$I$28,M1130=phu!$I$29,M1130=phu!$I$30,M1130=phu!$I$31),"Cam Phú",""),IF(OR(M1130=phu!$I$32,M1130=phu!$I$33,M1130=phu!$I$34,M1130=phu!$I$35,M1130=phu!$I$36,M1130=phu!$I$37),"Cam Lộc",""),IF(OR(M1130=phu!$I$38,M1130=phu!$I$39,M1130=phu!$I$40,M1130=phu!$I$41,M1130=phu!$I$42,M1130=phu!$I$43,M1130=phu!$I$44),"Cam Thuận",""),IF(OR(M1130=phu!$I$45,M1130=phu!$I$46,M1130=phu!$I$47,M1130=phu!$I$48,M1130=phu!$I$49,M1130=phu!$I$50,M1130=phu!$I$51,M1130=phu!$I$52,M1130=phu!$I$53),"Cam Linh",""),IF(OR(M1130=phu!$I$54,M1130=phu!$I$55,M1130=phu!$I$56,M1130=phu!$I$57,M1130=phu!$I$58,M1130=phu!$I$59,M1130=phu!$I$60,M1130=phu!$I$61,M1130=phu!$I$62),"Cam Lợi",""),IF(OR(M1130=phu!$I$63,M1130=phu!$I$64,M1130=phu!$I$65,M1130=phu!$I$66,M1130=phu!$I$67,M1130=phu!$I$68,M1130=phu!$I$69,M1130=phu!$I$70,M1130=phu!$I$71),"Ba Ngòi",""),IF(OR(M1130=phu!$I$72,M1130=phu!$I$73,M1130=phu!$I$74,M1130=phu!$I$75,M1130=phu!$I$76,M1130=phu!$I$77,M1130=phu!$I$78),"Cam Phước Đông",""),IF(OR(M1130=phu!$I$79,M1130=phu!$I$80,M1130=phu!$I$81,M1130=phu!$I$82,M1130=phu!$I$83,M1130=phu!$I$84),"Cam Thịnh Đông",""),IF(OR(M1130=phu!$I$85,M1130=phu!$I$86,M1130=phu!$I$87,M1130=phu!$I$88),"Cam Thịnh Tây",""),IF(OR(M1130=phu!$I$89,M1130=phu!$I$90),"Cam Lập",""),IF(OR(M1130=phu!$I$91,M1130=phu!$I$92,M1130=phu!$I$93),"Cam Bình",""),IF(OR(M1130=phu!$I$94,M1130=phu!$I$95,M1130=phu!$I$96,M1130=phu!$I$97,M1130=phu!$I$98,M1130=phu!$I$99,M1130=phu!$I$100),"Huyện khác",""),IF(OR(M1130=phu!$I$101,M1130=phu!$I$102),"Tỉnh khác",""))</f>
        <v/>
      </c>
      <c r="O1130" s="829" t="str">
        <f t="shared" si="102"/>
        <v/>
      </c>
      <c r="P1130" s="254"/>
      <c r="Q1130" s="254"/>
      <c r="R1130" s="254"/>
      <c r="S1130" s="254"/>
      <c r="T1130" s="254"/>
      <c r="U1130" s="254"/>
      <c r="V1130" s="254"/>
      <c r="W1130" s="254"/>
      <c r="Y1130" s="246" t="str">
        <f t="shared" si="103"/>
        <v/>
      </c>
      <c r="Z1130" s="247" t="str">
        <f t="shared" si="107"/>
        <v/>
      </c>
      <c r="AA1130" s="246" t="str">
        <f t="shared" si="104"/>
        <v/>
      </c>
    </row>
    <row r="1131" spans="1:27" x14ac:dyDescent="0.25">
      <c r="A1131" s="248" t="str">
        <f t="shared" si="105"/>
        <v/>
      </c>
      <c r="B1131" s="249" t="str">
        <f t="shared" si="106"/>
        <v/>
      </c>
      <c r="C1131" s="250"/>
      <c r="D1131" s="251"/>
      <c r="E1131" s="241"/>
      <c r="F1131" s="252"/>
      <c r="G1131" s="252"/>
      <c r="H1131" s="253"/>
      <c r="I1131" s="250"/>
      <c r="J1131" s="250"/>
      <c r="K1131" s="270"/>
      <c r="L1131" s="250"/>
      <c r="M1131" s="250"/>
      <c r="N1131" s="540" t="str">
        <f>CONCATENATE(IF(OR(M1131=phu!$I$1,M1131=phu!$I$2,M1131=phu!$I$3),"Cam Thành Nam",""),IF(OR(M1131=phu!$I$4,M1131=phu!$I$5,M1131=phu!$I$6,M1131=phu!$I$7,M1131=phu!$I$8,M1131=phu!$I$9,M1131=phu!$I$10,M1131=phu!$I$11,M1131=phu!$I$12,M1131=phu!$I$13,M1131=phu!$I$14),"Cam Nghĩa",""),IF(OR(M1131=phu!$I$15,M1131=phu!$I$16,M1131=phu!$I$17,M1131=phu!$I$18,M1131=phu!$I$19,M1131=phu!$I$20,M1131=phu!$I$21),"Cam Phúc Bắc",""),IF(OR(M1131=phu!$I$22,M1131=phu!$I$23,M1131=phu!$I$24,M1131=phu!$I$25),"Cam Phúc Nam",""),IF(OR(M1131=phu!$I$26,M1131=phu!$I$27,M1131=phu!$I$28,M1131=phu!$I$29,M1131=phu!$I$30,M1131=phu!$I$31),"Cam Phú",""),IF(OR(M1131=phu!$I$32,M1131=phu!$I$33,M1131=phu!$I$34,M1131=phu!$I$35,M1131=phu!$I$36,M1131=phu!$I$37),"Cam Lộc",""),IF(OR(M1131=phu!$I$38,M1131=phu!$I$39,M1131=phu!$I$40,M1131=phu!$I$41,M1131=phu!$I$42,M1131=phu!$I$43,M1131=phu!$I$44),"Cam Thuận",""),IF(OR(M1131=phu!$I$45,M1131=phu!$I$46,M1131=phu!$I$47,M1131=phu!$I$48,M1131=phu!$I$49,M1131=phu!$I$50,M1131=phu!$I$51,M1131=phu!$I$52,M1131=phu!$I$53),"Cam Linh",""),IF(OR(M1131=phu!$I$54,M1131=phu!$I$55,M1131=phu!$I$56,M1131=phu!$I$57,M1131=phu!$I$58,M1131=phu!$I$59,M1131=phu!$I$60,M1131=phu!$I$61,M1131=phu!$I$62),"Cam Lợi",""),IF(OR(M1131=phu!$I$63,M1131=phu!$I$64,M1131=phu!$I$65,M1131=phu!$I$66,M1131=phu!$I$67,M1131=phu!$I$68,M1131=phu!$I$69,M1131=phu!$I$70,M1131=phu!$I$71),"Ba Ngòi",""),IF(OR(M1131=phu!$I$72,M1131=phu!$I$73,M1131=phu!$I$74,M1131=phu!$I$75,M1131=phu!$I$76,M1131=phu!$I$77,M1131=phu!$I$78),"Cam Phước Đông",""),IF(OR(M1131=phu!$I$79,M1131=phu!$I$80,M1131=phu!$I$81,M1131=phu!$I$82,M1131=phu!$I$83,M1131=phu!$I$84),"Cam Thịnh Đông",""),IF(OR(M1131=phu!$I$85,M1131=phu!$I$86,M1131=phu!$I$87,M1131=phu!$I$88),"Cam Thịnh Tây",""),IF(OR(M1131=phu!$I$89,M1131=phu!$I$90),"Cam Lập",""),IF(OR(M1131=phu!$I$91,M1131=phu!$I$92,M1131=phu!$I$93),"Cam Bình",""),IF(OR(M1131=phu!$I$94,M1131=phu!$I$95,M1131=phu!$I$96,M1131=phu!$I$97,M1131=phu!$I$98,M1131=phu!$I$99,M1131=phu!$I$100),"Huyện khác",""),IF(OR(M1131=phu!$I$101,M1131=phu!$I$102),"Tỉnh khác",""))</f>
        <v/>
      </c>
      <c r="O1131" s="829" t="str">
        <f t="shared" si="102"/>
        <v/>
      </c>
      <c r="P1131" s="254"/>
      <c r="Q1131" s="254"/>
      <c r="R1131" s="254"/>
      <c r="S1131" s="254"/>
      <c r="T1131" s="254"/>
      <c r="U1131" s="254"/>
      <c r="V1131" s="254"/>
      <c r="W1131" s="254"/>
      <c r="Y1131" s="246" t="str">
        <f t="shared" si="103"/>
        <v/>
      </c>
      <c r="Z1131" s="247" t="str">
        <f t="shared" si="107"/>
        <v/>
      </c>
      <c r="AA1131" s="246" t="str">
        <f t="shared" si="104"/>
        <v/>
      </c>
    </row>
    <row r="1132" spans="1:27" x14ac:dyDescent="0.25">
      <c r="A1132" s="248" t="str">
        <f t="shared" si="105"/>
        <v/>
      </c>
      <c r="B1132" s="249" t="str">
        <f t="shared" si="106"/>
        <v/>
      </c>
      <c r="C1132" s="250"/>
      <c r="D1132" s="251"/>
      <c r="E1132" s="241"/>
      <c r="F1132" s="252"/>
      <c r="G1132" s="252"/>
      <c r="H1132" s="253"/>
      <c r="I1132" s="250"/>
      <c r="J1132" s="250"/>
      <c r="K1132" s="270"/>
      <c r="L1132" s="250"/>
      <c r="M1132" s="250"/>
      <c r="N1132" s="540" t="str">
        <f>CONCATENATE(IF(OR(M1132=phu!$I$1,M1132=phu!$I$2,M1132=phu!$I$3),"Cam Thành Nam",""),IF(OR(M1132=phu!$I$4,M1132=phu!$I$5,M1132=phu!$I$6,M1132=phu!$I$7,M1132=phu!$I$8,M1132=phu!$I$9,M1132=phu!$I$10,M1132=phu!$I$11,M1132=phu!$I$12,M1132=phu!$I$13,M1132=phu!$I$14),"Cam Nghĩa",""),IF(OR(M1132=phu!$I$15,M1132=phu!$I$16,M1132=phu!$I$17,M1132=phu!$I$18,M1132=phu!$I$19,M1132=phu!$I$20,M1132=phu!$I$21),"Cam Phúc Bắc",""),IF(OR(M1132=phu!$I$22,M1132=phu!$I$23,M1132=phu!$I$24,M1132=phu!$I$25),"Cam Phúc Nam",""),IF(OR(M1132=phu!$I$26,M1132=phu!$I$27,M1132=phu!$I$28,M1132=phu!$I$29,M1132=phu!$I$30,M1132=phu!$I$31),"Cam Phú",""),IF(OR(M1132=phu!$I$32,M1132=phu!$I$33,M1132=phu!$I$34,M1132=phu!$I$35,M1132=phu!$I$36,M1132=phu!$I$37),"Cam Lộc",""),IF(OR(M1132=phu!$I$38,M1132=phu!$I$39,M1132=phu!$I$40,M1132=phu!$I$41,M1132=phu!$I$42,M1132=phu!$I$43,M1132=phu!$I$44),"Cam Thuận",""),IF(OR(M1132=phu!$I$45,M1132=phu!$I$46,M1132=phu!$I$47,M1132=phu!$I$48,M1132=phu!$I$49,M1132=phu!$I$50,M1132=phu!$I$51,M1132=phu!$I$52,M1132=phu!$I$53),"Cam Linh",""),IF(OR(M1132=phu!$I$54,M1132=phu!$I$55,M1132=phu!$I$56,M1132=phu!$I$57,M1132=phu!$I$58,M1132=phu!$I$59,M1132=phu!$I$60,M1132=phu!$I$61,M1132=phu!$I$62),"Cam Lợi",""),IF(OR(M1132=phu!$I$63,M1132=phu!$I$64,M1132=phu!$I$65,M1132=phu!$I$66,M1132=phu!$I$67,M1132=phu!$I$68,M1132=phu!$I$69,M1132=phu!$I$70,M1132=phu!$I$71),"Ba Ngòi",""),IF(OR(M1132=phu!$I$72,M1132=phu!$I$73,M1132=phu!$I$74,M1132=phu!$I$75,M1132=phu!$I$76,M1132=phu!$I$77,M1132=phu!$I$78),"Cam Phước Đông",""),IF(OR(M1132=phu!$I$79,M1132=phu!$I$80,M1132=phu!$I$81,M1132=phu!$I$82,M1132=phu!$I$83,M1132=phu!$I$84),"Cam Thịnh Đông",""),IF(OR(M1132=phu!$I$85,M1132=phu!$I$86,M1132=phu!$I$87,M1132=phu!$I$88),"Cam Thịnh Tây",""),IF(OR(M1132=phu!$I$89,M1132=phu!$I$90),"Cam Lập",""),IF(OR(M1132=phu!$I$91,M1132=phu!$I$92,M1132=phu!$I$93),"Cam Bình",""),IF(OR(M1132=phu!$I$94,M1132=phu!$I$95,M1132=phu!$I$96,M1132=phu!$I$97,M1132=phu!$I$98,M1132=phu!$I$99,M1132=phu!$I$100),"Huyện khác",""),IF(OR(M1132=phu!$I$101,M1132=phu!$I$102),"Tỉnh khác",""))</f>
        <v/>
      </c>
      <c r="O1132" s="829" t="str">
        <f t="shared" si="102"/>
        <v/>
      </c>
      <c r="P1132" s="254"/>
      <c r="Q1132" s="254"/>
      <c r="R1132" s="254"/>
      <c r="S1132" s="254"/>
      <c r="T1132" s="254"/>
      <c r="U1132" s="254"/>
      <c r="V1132" s="254"/>
      <c r="W1132" s="254"/>
      <c r="Y1132" s="246" t="str">
        <f t="shared" si="103"/>
        <v/>
      </c>
      <c r="Z1132" s="247" t="str">
        <f t="shared" si="107"/>
        <v/>
      </c>
      <c r="AA1132" s="246" t="str">
        <f t="shared" si="104"/>
        <v/>
      </c>
    </row>
    <row r="1133" spans="1:27" x14ac:dyDescent="0.25">
      <c r="A1133" s="248" t="str">
        <f t="shared" si="105"/>
        <v/>
      </c>
      <c r="B1133" s="249" t="str">
        <f t="shared" si="106"/>
        <v/>
      </c>
      <c r="C1133" s="250"/>
      <c r="D1133" s="251"/>
      <c r="E1133" s="241"/>
      <c r="F1133" s="252"/>
      <c r="G1133" s="252"/>
      <c r="H1133" s="253"/>
      <c r="I1133" s="250"/>
      <c r="J1133" s="250"/>
      <c r="K1133" s="270"/>
      <c r="L1133" s="250"/>
      <c r="M1133" s="250"/>
      <c r="N1133" s="540" t="str">
        <f>CONCATENATE(IF(OR(M1133=phu!$I$1,M1133=phu!$I$2,M1133=phu!$I$3),"Cam Thành Nam",""),IF(OR(M1133=phu!$I$4,M1133=phu!$I$5,M1133=phu!$I$6,M1133=phu!$I$7,M1133=phu!$I$8,M1133=phu!$I$9,M1133=phu!$I$10,M1133=phu!$I$11,M1133=phu!$I$12,M1133=phu!$I$13,M1133=phu!$I$14),"Cam Nghĩa",""),IF(OR(M1133=phu!$I$15,M1133=phu!$I$16,M1133=phu!$I$17,M1133=phu!$I$18,M1133=phu!$I$19,M1133=phu!$I$20,M1133=phu!$I$21),"Cam Phúc Bắc",""),IF(OR(M1133=phu!$I$22,M1133=phu!$I$23,M1133=phu!$I$24,M1133=phu!$I$25),"Cam Phúc Nam",""),IF(OR(M1133=phu!$I$26,M1133=phu!$I$27,M1133=phu!$I$28,M1133=phu!$I$29,M1133=phu!$I$30,M1133=phu!$I$31),"Cam Phú",""),IF(OR(M1133=phu!$I$32,M1133=phu!$I$33,M1133=phu!$I$34,M1133=phu!$I$35,M1133=phu!$I$36,M1133=phu!$I$37),"Cam Lộc",""),IF(OR(M1133=phu!$I$38,M1133=phu!$I$39,M1133=phu!$I$40,M1133=phu!$I$41,M1133=phu!$I$42,M1133=phu!$I$43,M1133=phu!$I$44),"Cam Thuận",""),IF(OR(M1133=phu!$I$45,M1133=phu!$I$46,M1133=phu!$I$47,M1133=phu!$I$48,M1133=phu!$I$49,M1133=phu!$I$50,M1133=phu!$I$51,M1133=phu!$I$52,M1133=phu!$I$53),"Cam Linh",""),IF(OR(M1133=phu!$I$54,M1133=phu!$I$55,M1133=phu!$I$56,M1133=phu!$I$57,M1133=phu!$I$58,M1133=phu!$I$59,M1133=phu!$I$60,M1133=phu!$I$61,M1133=phu!$I$62),"Cam Lợi",""),IF(OR(M1133=phu!$I$63,M1133=phu!$I$64,M1133=phu!$I$65,M1133=phu!$I$66,M1133=phu!$I$67,M1133=phu!$I$68,M1133=phu!$I$69,M1133=phu!$I$70,M1133=phu!$I$71),"Ba Ngòi",""),IF(OR(M1133=phu!$I$72,M1133=phu!$I$73,M1133=phu!$I$74,M1133=phu!$I$75,M1133=phu!$I$76,M1133=phu!$I$77,M1133=phu!$I$78),"Cam Phước Đông",""),IF(OR(M1133=phu!$I$79,M1133=phu!$I$80,M1133=phu!$I$81,M1133=phu!$I$82,M1133=phu!$I$83,M1133=phu!$I$84),"Cam Thịnh Đông",""),IF(OR(M1133=phu!$I$85,M1133=phu!$I$86,M1133=phu!$I$87,M1133=phu!$I$88),"Cam Thịnh Tây",""),IF(OR(M1133=phu!$I$89,M1133=phu!$I$90),"Cam Lập",""),IF(OR(M1133=phu!$I$91,M1133=phu!$I$92,M1133=phu!$I$93),"Cam Bình",""),IF(OR(M1133=phu!$I$94,M1133=phu!$I$95,M1133=phu!$I$96,M1133=phu!$I$97,M1133=phu!$I$98,M1133=phu!$I$99,M1133=phu!$I$100),"Huyện khác",""),IF(OR(M1133=phu!$I$101,M1133=phu!$I$102),"Tỉnh khác",""))</f>
        <v/>
      </c>
      <c r="O1133" s="829" t="str">
        <f t="shared" si="102"/>
        <v/>
      </c>
      <c r="P1133" s="254"/>
      <c r="Q1133" s="254"/>
      <c r="R1133" s="254"/>
      <c r="S1133" s="254"/>
      <c r="T1133" s="254"/>
      <c r="U1133" s="254"/>
      <c r="V1133" s="254"/>
      <c r="W1133" s="254"/>
      <c r="Y1133" s="246" t="str">
        <f t="shared" si="103"/>
        <v/>
      </c>
      <c r="Z1133" s="247" t="str">
        <f t="shared" si="107"/>
        <v/>
      </c>
      <c r="AA1133" s="246" t="str">
        <f t="shared" si="104"/>
        <v/>
      </c>
    </row>
    <row r="1134" spans="1:27" x14ac:dyDescent="0.25">
      <c r="A1134" s="248" t="str">
        <f t="shared" si="105"/>
        <v/>
      </c>
      <c r="B1134" s="249" t="str">
        <f t="shared" si="106"/>
        <v/>
      </c>
      <c r="C1134" s="250"/>
      <c r="D1134" s="251"/>
      <c r="E1134" s="241"/>
      <c r="F1134" s="252"/>
      <c r="G1134" s="252"/>
      <c r="H1134" s="253"/>
      <c r="I1134" s="250"/>
      <c r="J1134" s="250"/>
      <c r="K1134" s="270"/>
      <c r="L1134" s="250"/>
      <c r="M1134" s="250"/>
      <c r="N1134" s="540" t="str">
        <f>CONCATENATE(IF(OR(M1134=phu!$I$1,M1134=phu!$I$2,M1134=phu!$I$3),"Cam Thành Nam",""),IF(OR(M1134=phu!$I$4,M1134=phu!$I$5,M1134=phu!$I$6,M1134=phu!$I$7,M1134=phu!$I$8,M1134=phu!$I$9,M1134=phu!$I$10,M1134=phu!$I$11,M1134=phu!$I$12,M1134=phu!$I$13,M1134=phu!$I$14),"Cam Nghĩa",""),IF(OR(M1134=phu!$I$15,M1134=phu!$I$16,M1134=phu!$I$17,M1134=phu!$I$18,M1134=phu!$I$19,M1134=phu!$I$20,M1134=phu!$I$21),"Cam Phúc Bắc",""),IF(OR(M1134=phu!$I$22,M1134=phu!$I$23,M1134=phu!$I$24,M1134=phu!$I$25),"Cam Phúc Nam",""),IF(OR(M1134=phu!$I$26,M1134=phu!$I$27,M1134=phu!$I$28,M1134=phu!$I$29,M1134=phu!$I$30,M1134=phu!$I$31),"Cam Phú",""),IF(OR(M1134=phu!$I$32,M1134=phu!$I$33,M1134=phu!$I$34,M1134=phu!$I$35,M1134=phu!$I$36,M1134=phu!$I$37),"Cam Lộc",""),IF(OR(M1134=phu!$I$38,M1134=phu!$I$39,M1134=phu!$I$40,M1134=phu!$I$41,M1134=phu!$I$42,M1134=phu!$I$43,M1134=phu!$I$44),"Cam Thuận",""),IF(OR(M1134=phu!$I$45,M1134=phu!$I$46,M1134=phu!$I$47,M1134=phu!$I$48,M1134=phu!$I$49,M1134=phu!$I$50,M1134=phu!$I$51,M1134=phu!$I$52,M1134=phu!$I$53),"Cam Linh",""),IF(OR(M1134=phu!$I$54,M1134=phu!$I$55,M1134=phu!$I$56,M1134=phu!$I$57,M1134=phu!$I$58,M1134=phu!$I$59,M1134=phu!$I$60,M1134=phu!$I$61,M1134=phu!$I$62),"Cam Lợi",""),IF(OR(M1134=phu!$I$63,M1134=phu!$I$64,M1134=phu!$I$65,M1134=phu!$I$66,M1134=phu!$I$67,M1134=phu!$I$68,M1134=phu!$I$69,M1134=phu!$I$70,M1134=phu!$I$71),"Ba Ngòi",""),IF(OR(M1134=phu!$I$72,M1134=phu!$I$73,M1134=phu!$I$74,M1134=phu!$I$75,M1134=phu!$I$76,M1134=phu!$I$77,M1134=phu!$I$78),"Cam Phước Đông",""),IF(OR(M1134=phu!$I$79,M1134=phu!$I$80,M1134=phu!$I$81,M1134=phu!$I$82,M1134=phu!$I$83,M1134=phu!$I$84),"Cam Thịnh Đông",""),IF(OR(M1134=phu!$I$85,M1134=phu!$I$86,M1134=phu!$I$87,M1134=phu!$I$88),"Cam Thịnh Tây",""),IF(OR(M1134=phu!$I$89,M1134=phu!$I$90),"Cam Lập",""),IF(OR(M1134=phu!$I$91,M1134=phu!$I$92,M1134=phu!$I$93),"Cam Bình",""),IF(OR(M1134=phu!$I$94,M1134=phu!$I$95,M1134=phu!$I$96,M1134=phu!$I$97,M1134=phu!$I$98,M1134=phu!$I$99,M1134=phu!$I$100),"Huyện khác",""),IF(OR(M1134=phu!$I$101,M1134=phu!$I$102),"Tỉnh khác",""))</f>
        <v/>
      </c>
      <c r="O1134" s="829" t="str">
        <f t="shared" si="102"/>
        <v/>
      </c>
      <c r="P1134" s="254"/>
      <c r="Q1134" s="254"/>
      <c r="R1134" s="254"/>
      <c r="S1134" s="254"/>
      <c r="T1134" s="254"/>
      <c r="U1134" s="254"/>
      <c r="V1134" s="254"/>
      <c r="W1134" s="254"/>
      <c r="Y1134" s="246" t="str">
        <f t="shared" si="103"/>
        <v/>
      </c>
      <c r="Z1134" s="247" t="str">
        <f t="shared" si="107"/>
        <v/>
      </c>
      <c r="AA1134" s="246" t="str">
        <f t="shared" si="104"/>
        <v/>
      </c>
    </row>
    <row r="1135" spans="1:27" x14ac:dyDescent="0.25">
      <c r="A1135" s="248" t="str">
        <f t="shared" si="105"/>
        <v/>
      </c>
      <c r="B1135" s="249" t="str">
        <f t="shared" si="106"/>
        <v/>
      </c>
      <c r="C1135" s="250"/>
      <c r="D1135" s="251"/>
      <c r="E1135" s="241"/>
      <c r="F1135" s="252"/>
      <c r="G1135" s="252"/>
      <c r="H1135" s="253"/>
      <c r="I1135" s="250"/>
      <c r="J1135" s="250"/>
      <c r="K1135" s="270"/>
      <c r="L1135" s="250"/>
      <c r="M1135" s="250"/>
      <c r="N1135" s="540" t="str">
        <f>CONCATENATE(IF(OR(M1135=phu!$I$1,M1135=phu!$I$2,M1135=phu!$I$3),"Cam Thành Nam",""),IF(OR(M1135=phu!$I$4,M1135=phu!$I$5,M1135=phu!$I$6,M1135=phu!$I$7,M1135=phu!$I$8,M1135=phu!$I$9,M1135=phu!$I$10,M1135=phu!$I$11,M1135=phu!$I$12,M1135=phu!$I$13,M1135=phu!$I$14),"Cam Nghĩa",""),IF(OR(M1135=phu!$I$15,M1135=phu!$I$16,M1135=phu!$I$17,M1135=phu!$I$18,M1135=phu!$I$19,M1135=phu!$I$20,M1135=phu!$I$21),"Cam Phúc Bắc",""),IF(OR(M1135=phu!$I$22,M1135=phu!$I$23,M1135=phu!$I$24,M1135=phu!$I$25),"Cam Phúc Nam",""),IF(OR(M1135=phu!$I$26,M1135=phu!$I$27,M1135=phu!$I$28,M1135=phu!$I$29,M1135=phu!$I$30,M1135=phu!$I$31),"Cam Phú",""),IF(OR(M1135=phu!$I$32,M1135=phu!$I$33,M1135=phu!$I$34,M1135=phu!$I$35,M1135=phu!$I$36,M1135=phu!$I$37),"Cam Lộc",""),IF(OR(M1135=phu!$I$38,M1135=phu!$I$39,M1135=phu!$I$40,M1135=phu!$I$41,M1135=phu!$I$42,M1135=phu!$I$43,M1135=phu!$I$44),"Cam Thuận",""),IF(OR(M1135=phu!$I$45,M1135=phu!$I$46,M1135=phu!$I$47,M1135=phu!$I$48,M1135=phu!$I$49,M1135=phu!$I$50,M1135=phu!$I$51,M1135=phu!$I$52,M1135=phu!$I$53),"Cam Linh",""),IF(OR(M1135=phu!$I$54,M1135=phu!$I$55,M1135=phu!$I$56,M1135=phu!$I$57,M1135=phu!$I$58,M1135=phu!$I$59,M1135=phu!$I$60,M1135=phu!$I$61,M1135=phu!$I$62),"Cam Lợi",""),IF(OR(M1135=phu!$I$63,M1135=phu!$I$64,M1135=phu!$I$65,M1135=phu!$I$66,M1135=phu!$I$67,M1135=phu!$I$68,M1135=phu!$I$69,M1135=phu!$I$70,M1135=phu!$I$71),"Ba Ngòi",""),IF(OR(M1135=phu!$I$72,M1135=phu!$I$73,M1135=phu!$I$74,M1135=phu!$I$75,M1135=phu!$I$76,M1135=phu!$I$77,M1135=phu!$I$78),"Cam Phước Đông",""),IF(OR(M1135=phu!$I$79,M1135=phu!$I$80,M1135=phu!$I$81,M1135=phu!$I$82,M1135=phu!$I$83,M1135=phu!$I$84),"Cam Thịnh Đông",""),IF(OR(M1135=phu!$I$85,M1135=phu!$I$86,M1135=phu!$I$87,M1135=phu!$I$88),"Cam Thịnh Tây",""),IF(OR(M1135=phu!$I$89,M1135=phu!$I$90),"Cam Lập",""),IF(OR(M1135=phu!$I$91,M1135=phu!$I$92,M1135=phu!$I$93),"Cam Bình",""),IF(OR(M1135=phu!$I$94,M1135=phu!$I$95,M1135=phu!$I$96,M1135=phu!$I$97,M1135=phu!$I$98,M1135=phu!$I$99,M1135=phu!$I$100),"Huyện khác",""),IF(OR(M1135=phu!$I$101,M1135=phu!$I$102),"Tỉnh khác",""))</f>
        <v/>
      </c>
      <c r="O1135" s="829" t="str">
        <f t="shared" si="102"/>
        <v/>
      </c>
      <c r="P1135" s="254"/>
      <c r="Q1135" s="254"/>
      <c r="R1135" s="254"/>
      <c r="S1135" s="254"/>
      <c r="T1135" s="254"/>
      <c r="U1135" s="254"/>
      <c r="V1135" s="254"/>
      <c r="W1135" s="254"/>
      <c r="Y1135" s="246" t="str">
        <f t="shared" si="103"/>
        <v/>
      </c>
      <c r="Z1135" s="247" t="str">
        <f t="shared" si="107"/>
        <v/>
      </c>
      <c r="AA1135" s="246" t="str">
        <f t="shared" si="104"/>
        <v/>
      </c>
    </row>
    <row r="1136" spans="1:27" x14ac:dyDescent="0.25">
      <c r="A1136" s="248" t="str">
        <f t="shared" si="105"/>
        <v/>
      </c>
      <c r="B1136" s="249" t="str">
        <f t="shared" si="106"/>
        <v/>
      </c>
      <c r="C1136" s="250"/>
      <c r="D1136" s="251"/>
      <c r="E1136" s="241"/>
      <c r="F1136" s="252"/>
      <c r="G1136" s="252"/>
      <c r="H1136" s="253"/>
      <c r="I1136" s="250"/>
      <c r="J1136" s="250"/>
      <c r="K1136" s="270"/>
      <c r="L1136" s="250"/>
      <c r="M1136" s="250"/>
      <c r="N1136" s="540" t="str">
        <f>CONCATENATE(IF(OR(M1136=phu!$I$1,M1136=phu!$I$2,M1136=phu!$I$3),"Cam Thành Nam",""),IF(OR(M1136=phu!$I$4,M1136=phu!$I$5,M1136=phu!$I$6,M1136=phu!$I$7,M1136=phu!$I$8,M1136=phu!$I$9,M1136=phu!$I$10,M1136=phu!$I$11,M1136=phu!$I$12,M1136=phu!$I$13,M1136=phu!$I$14),"Cam Nghĩa",""),IF(OR(M1136=phu!$I$15,M1136=phu!$I$16,M1136=phu!$I$17,M1136=phu!$I$18,M1136=phu!$I$19,M1136=phu!$I$20,M1136=phu!$I$21),"Cam Phúc Bắc",""),IF(OR(M1136=phu!$I$22,M1136=phu!$I$23,M1136=phu!$I$24,M1136=phu!$I$25),"Cam Phúc Nam",""),IF(OR(M1136=phu!$I$26,M1136=phu!$I$27,M1136=phu!$I$28,M1136=phu!$I$29,M1136=phu!$I$30,M1136=phu!$I$31),"Cam Phú",""),IF(OR(M1136=phu!$I$32,M1136=phu!$I$33,M1136=phu!$I$34,M1136=phu!$I$35,M1136=phu!$I$36,M1136=phu!$I$37),"Cam Lộc",""),IF(OR(M1136=phu!$I$38,M1136=phu!$I$39,M1136=phu!$I$40,M1136=phu!$I$41,M1136=phu!$I$42,M1136=phu!$I$43,M1136=phu!$I$44),"Cam Thuận",""),IF(OR(M1136=phu!$I$45,M1136=phu!$I$46,M1136=phu!$I$47,M1136=phu!$I$48,M1136=phu!$I$49,M1136=phu!$I$50,M1136=phu!$I$51,M1136=phu!$I$52,M1136=phu!$I$53),"Cam Linh",""),IF(OR(M1136=phu!$I$54,M1136=phu!$I$55,M1136=phu!$I$56,M1136=phu!$I$57,M1136=phu!$I$58,M1136=phu!$I$59,M1136=phu!$I$60,M1136=phu!$I$61,M1136=phu!$I$62),"Cam Lợi",""),IF(OR(M1136=phu!$I$63,M1136=phu!$I$64,M1136=phu!$I$65,M1136=phu!$I$66,M1136=phu!$I$67,M1136=phu!$I$68,M1136=phu!$I$69,M1136=phu!$I$70,M1136=phu!$I$71),"Ba Ngòi",""),IF(OR(M1136=phu!$I$72,M1136=phu!$I$73,M1136=phu!$I$74,M1136=phu!$I$75,M1136=phu!$I$76,M1136=phu!$I$77,M1136=phu!$I$78),"Cam Phước Đông",""),IF(OR(M1136=phu!$I$79,M1136=phu!$I$80,M1136=phu!$I$81,M1136=phu!$I$82,M1136=phu!$I$83,M1136=phu!$I$84),"Cam Thịnh Đông",""),IF(OR(M1136=phu!$I$85,M1136=phu!$I$86,M1136=phu!$I$87,M1136=phu!$I$88),"Cam Thịnh Tây",""),IF(OR(M1136=phu!$I$89,M1136=phu!$I$90),"Cam Lập",""),IF(OR(M1136=phu!$I$91,M1136=phu!$I$92,M1136=phu!$I$93),"Cam Bình",""),IF(OR(M1136=phu!$I$94,M1136=phu!$I$95,M1136=phu!$I$96,M1136=phu!$I$97,M1136=phu!$I$98,M1136=phu!$I$99,M1136=phu!$I$100),"Huyện khác",""),IF(OR(M1136=phu!$I$101,M1136=phu!$I$102),"Tỉnh khác",""))</f>
        <v/>
      </c>
      <c r="O1136" s="829" t="str">
        <f t="shared" si="102"/>
        <v/>
      </c>
      <c r="P1136" s="254"/>
      <c r="Q1136" s="254"/>
      <c r="R1136" s="254"/>
      <c r="S1136" s="254"/>
      <c r="T1136" s="254"/>
      <c r="U1136" s="254"/>
      <c r="V1136" s="254"/>
      <c r="W1136" s="254"/>
      <c r="Y1136" s="246" t="str">
        <f t="shared" si="103"/>
        <v/>
      </c>
      <c r="Z1136" s="247" t="str">
        <f t="shared" si="107"/>
        <v/>
      </c>
      <c r="AA1136" s="246" t="str">
        <f t="shared" si="104"/>
        <v/>
      </c>
    </row>
    <row r="1137" spans="1:27" x14ac:dyDescent="0.25">
      <c r="A1137" s="248" t="str">
        <f t="shared" si="105"/>
        <v/>
      </c>
      <c r="B1137" s="249" t="str">
        <f t="shared" si="106"/>
        <v/>
      </c>
      <c r="C1137" s="250"/>
      <c r="D1137" s="251"/>
      <c r="E1137" s="241"/>
      <c r="F1137" s="252"/>
      <c r="G1137" s="252"/>
      <c r="H1137" s="253"/>
      <c r="I1137" s="250"/>
      <c r="J1137" s="250"/>
      <c r="K1137" s="270"/>
      <c r="L1137" s="250"/>
      <c r="M1137" s="250"/>
      <c r="N1137" s="540" t="str">
        <f>CONCATENATE(IF(OR(M1137=phu!$I$1,M1137=phu!$I$2,M1137=phu!$I$3),"Cam Thành Nam",""),IF(OR(M1137=phu!$I$4,M1137=phu!$I$5,M1137=phu!$I$6,M1137=phu!$I$7,M1137=phu!$I$8,M1137=phu!$I$9,M1137=phu!$I$10,M1137=phu!$I$11,M1137=phu!$I$12,M1137=phu!$I$13,M1137=phu!$I$14),"Cam Nghĩa",""),IF(OR(M1137=phu!$I$15,M1137=phu!$I$16,M1137=phu!$I$17,M1137=phu!$I$18,M1137=phu!$I$19,M1137=phu!$I$20,M1137=phu!$I$21),"Cam Phúc Bắc",""),IF(OR(M1137=phu!$I$22,M1137=phu!$I$23,M1137=phu!$I$24,M1137=phu!$I$25),"Cam Phúc Nam",""),IF(OR(M1137=phu!$I$26,M1137=phu!$I$27,M1137=phu!$I$28,M1137=phu!$I$29,M1137=phu!$I$30,M1137=phu!$I$31),"Cam Phú",""),IF(OR(M1137=phu!$I$32,M1137=phu!$I$33,M1137=phu!$I$34,M1137=phu!$I$35,M1137=phu!$I$36,M1137=phu!$I$37),"Cam Lộc",""),IF(OR(M1137=phu!$I$38,M1137=phu!$I$39,M1137=phu!$I$40,M1137=phu!$I$41,M1137=phu!$I$42,M1137=phu!$I$43,M1137=phu!$I$44),"Cam Thuận",""),IF(OR(M1137=phu!$I$45,M1137=phu!$I$46,M1137=phu!$I$47,M1137=phu!$I$48,M1137=phu!$I$49,M1137=phu!$I$50,M1137=phu!$I$51,M1137=phu!$I$52,M1137=phu!$I$53),"Cam Linh",""),IF(OR(M1137=phu!$I$54,M1137=phu!$I$55,M1137=phu!$I$56,M1137=phu!$I$57,M1137=phu!$I$58,M1137=phu!$I$59,M1137=phu!$I$60,M1137=phu!$I$61,M1137=phu!$I$62),"Cam Lợi",""),IF(OR(M1137=phu!$I$63,M1137=phu!$I$64,M1137=phu!$I$65,M1137=phu!$I$66,M1137=phu!$I$67,M1137=phu!$I$68,M1137=phu!$I$69,M1137=phu!$I$70,M1137=phu!$I$71),"Ba Ngòi",""),IF(OR(M1137=phu!$I$72,M1137=phu!$I$73,M1137=phu!$I$74,M1137=phu!$I$75,M1137=phu!$I$76,M1137=phu!$I$77,M1137=phu!$I$78),"Cam Phước Đông",""),IF(OR(M1137=phu!$I$79,M1137=phu!$I$80,M1137=phu!$I$81,M1137=phu!$I$82,M1137=phu!$I$83,M1137=phu!$I$84),"Cam Thịnh Đông",""),IF(OR(M1137=phu!$I$85,M1137=phu!$I$86,M1137=phu!$I$87,M1137=phu!$I$88),"Cam Thịnh Tây",""),IF(OR(M1137=phu!$I$89,M1137=phu!$I$90),"Cam Lập",""),IF(OR(M1137=phu!$I$91,M1137=phu!$I$92,M1137=phu!$I$93),"Cam Bình",""),IF(OR(M1137=phu!$I$94,M1137=phu!$I$95,M1137=phu!$I$96,M1137=phu!$I$97,M1137=phu!$I$98,M1137=phu!$I$99,M1137=phu!$I$100),"Huyện khác",""),IF(OR(M1137=phu!$I$101,M1137=phu!$I$102),"Tỉnh khác",""))</f>
        <v/>
      </c>
      <c r="O1137" s="829" t="str">
        <f t="shared" si="102"/>
        <v/>
      </c>
      <c r="P1137" s="254"/>
      <c r="Q1137" s="254"/>
      <c r="R1137" s="254"/>
      <c r="S1137" s="254"/>
      <c r="T1137" s="254"/>
      <c r="U1137" s="254"/>
      <c r="V1137" s="254"/>
      <c r="W1137" s="254"/>
      <c r="Y1137" s="246" t="str">
        <f t="shared" si="103"/>
        <v/>
      </c>
      <c r="Z1137" s="247" t="str">
        <f t="shared" si="107"/>
        <v/>
      </c>
      <c r="AA1137" s="246" t="str">
        <f t="shared" si="104"/>
        <v/>
      </c>
    </row>
    <row r="1138" spans="1:27" x14ac:dyDescent="0.25">
      <c r="A1138" s="248" t="str">
        <f t="shared" si="105"/>
        <v/>
      </c>
      <c r="B1138" s="249" t="str">
        <f t="shared" si="106"/>
        <v/>
      </c>
      <c r="C1138" s="250"/>
      <c r="D1138" s="251"/>
      <c r="E1138" s="241"/>
      <c r="F1138" s="252"/>
      <c r="G1138" s="252"/>
      <c r="H1138" s="253"/>
      <c r="I1138" s="250"/>
      <c r="J1138" s="250"/>
      <c r="K1138" s="270"/>
      <c r="L1138" s="250"/>
      <c r="M1138" s="250"/>
      <c r="N1138" s="540" t="str">
        <f>CONCATENATE(IF(OR(M1138=phu!$I$1,M1138=phu!$I$2,M1138=phu!$I$3),"Cam Thành Nam",""),IF(OR(M1138=phu!$I$4,M1138=phu!$I$5,M1138=phu!$I$6,M1138=phu!$I$7,M1138=phu!$I$8,M1138=phu!$I$9,M1138=phu!$I$10,M1138=phu!$I$11,M1138=phu!$I$12,M1138=phu!$I$13,M1138=phu!$I$14),"Cam Nghĩa",""),IF(OR(M1138=phu!$I$15,M1138=phu!$I$16,M1138=phu!$I$17,M1138=phu!$I$18,M1138=phu!$I$19,M1138=phu!$I$20,M1138=phu!$I$21),"Cam Phúc Bắc",""),IF(OR(M1138=phu!$I$22,M1138=phu!$I$23,M1138=phu!$I$24,M1138=phu!$I$25),"Cam Phúc Nam",""),IF(OR(M1138=phu!$I$26,M1138=phu!$I$27,M1138=phu!$I$28,M1138=phu!$I$29,M1138=phu!$I$30,M1138=phu!$I$31),"Cam Phú",""),IF(OR(M1138=phu!$I$32,M1138=phu!$I$33,M1138=phu!$I$34,M1138=phu!$I$35,M1138=phu!$I$36,M1138=phu!$I$37),"Cam Lộc",""),IF(OR(M1138=phu!$I$38,M1138=phu!$I$39,M1138=phu!$I$40,M1138=phu!$I$41,M1138=phu!$I$42,M1138=phu!$I$43,M1138=phu!$I$44),"Cam Thuận",""),IF(OR(M1138=phu!$I$45,M1138=phu!$I$46,M1138=phu!$I$47,M1138=phu!$I$48,M1138=phu!$I$49,M1138=phu!$I$50,M1138=phu!$I$51,M1138=phu!$I$52,M1138=phu!$I$53),"Cam Linh",""),IF(OR(M1138=phu!$I$54,M1138=phu!$I$55,M1138=phu!$I$56,M1138=phu!$I$57,M1138=phu!$I$58,M1138=phu!$I$59,M1138=phu!$I$60,M1138=phu!$I$61,M1138=phu!$I$62),"Cam Lợi",""),IF(OR(M1138=phu!$I$63,M1138=phu!$I$64,M1138=phu!$I$65,M1138=phu!$I$66,M1138=phu!$I$67,M1138=phu!$I$68,M1138=phu!$I$69,M1138=phu!$I$70,M1138=phu!$I$71),"Ba Ngòi",""),IF(OR(M1138=phu!$I$72,M1138=phu!$I$73,M1138=phu!$I$74,M1138=phu!$I$75,M1138=phu!$I$76,M1138=phu!$I$77,M1138=phu!$I$78),"Cam Phước Đông",""),IF(OR(M1138=phu!$I$79,M1138=phu!$I$80,M1138=phu!$I$81,M1138=phu!$I$82,M1138=phu!$I$83,M1138=phu!$I$84),"Cam Thịnh Đông",""),IF(OR(M1138=phu!$I$85,M1138=phu!$I$86,M1138=phu!$I$87,M1138=phu!$I$88),"Cam Thịnh Tây",""),IF(OR(M1138=phu!$I$89,M1138=phu!$I$90),"Cam Lập",""),IF(OR(M1138=phu!$I$91,M1138=phu!$I$92,M1138=phu!$I$93),"Cam Bình",""),IF(OR(M1138=phu!$I$94,M1138=phu!$I$95,M1138=phu!$I$96,M1138=phu!$I$97,M1138=phu!$I$98,M1138=phu!$I$99,M1138=phu!$I$100),"Huyện khác",""),IF(OR(M1138=phu!$I$101,M1138=phu!$I$102),"Tỉnh khác",""))</f>
        <v/>
      </c>
      <c r="O1138" s="829" t="str">
        <f t="shared" si="102"/>
        <v/>
      </c>
      <c r="P1138" s="254"/>
      <c r="Q1138" s="254"/>
      <c r="R1138" s="254"/>
      <c r="S1138" s="254"/>
      <c r="T1138" s="254"/>
      <c r="U1138" s="254"/>
      <c r="V1138" s="254"/>
      <c r="W1138" s="254"/>
      <c r="Y1138" s="246" t="str">
        <f t="shared" si="103"/>
        <v/>
      </c>
      <c r="Z1138" s="247" t="str">
        <f t="shared" si="107"/>
        <v/>
      </c>
      <c r="AA1138" s="246" t="str">
        <f t="shared" si="104"/>
        <v/>
      </c>
    </row>
    <row r="1139" spans="1:27" x14ac:dyDescent="0.25">
      <c r="A1139" s="248" t="str">
        <f t="shared" si="105"/>
        <v/>
      </c>
      <c r="B1139" s="249" t="str">
        <f t="shared" si="106"/>
        <v/>
      </c>
      <c r="C1139" s="250"/>
      <c r="D1139" s="251"/>
      <c r="E1139" s="241"/>
      <c r="F1139" s="252"/>
      <c r="G1139" s="252"/>
      <c r="H1139" s="253"/>
      <c r="I1139" s="250"/>
      <c r="J1139" s="250"/>
      <c r="K1139" s="270"/>
      <c r="L1139" s="250"/>
      <c r="M1139" s="250"/>
      <c r="N1139" s="540" t="str">
        <f>CONCATENATE(IF(OR(M1139=phu!$I$1,M1139=phu!$I$2,M1139=phu!$I$3),"Cam Thành Nam",""),IF(OR(M1139=phu!$I$4,M1139=phu!$I$5,M1139=phu!$I$6,M1139=phu!$I$7,M1139=phu!$I$8,M1139=phu!$I$9,M1139=phu!$I$10,M1139=phu!$I$11,M1139=phu!$I$12,M1139=phu!$I$13,M1139=phu!$I$14),"Cam Nghĩa",""),IF(OR(M1139=phu!$I$15,M1139=phu!$I$16,M1139=phu!$I$17,M1139=phu!$I$18,M1139=phu!$I$19,M1139=phu!$I$20,M1139=phu!$I$21),"Cam Phúc Bắc",""),IF(OR(M1139=phu!$I$22,M1139=phu!$I$23,M1139=phu!$I$24,M1139=phu!$I$25),"Cam Phúc Nam",""),IF(OR(M1139=phu!$I$26,M1139=phu!$I$27,M1139=phu!$I$28,M1139=phu!$I$29,M1139=phu!$I$30,M1139=phu!$I$31),"Cam Phú",""),IF(OR(M1139=phu!$I$32,M1139=phu!$I$33,M1139=phu!$I$34,M1139=phu!$I$35,M1139=phu!$I$36,M1139=phu!$I$37),"Cam Lộc",""),IF(OR(M1139=phu!$I$38,M1139=phu!$I$39,M1139=phu!$I$40,M1139=phu!$I$41,M1139=phu!$I$42,M1139=phu!$I$43,M1139=phu!$I$44),"Cam Thuận",""),IF(OR(M1139=phu!$I$45,M1139=phu!$I$46,M1139=phu!$I$47,M1139=phu!$I$48,M1139=phu!$I$49,M1139=phu!$I$50,M1139=phu!$I$51,M1139=phu!$I$52,M1139=phu!$I$53),"Cam Linh",""),IF(OR(M1139=phu!$I$54,M1139=phu!$I$55,M1139=phu!$I$56,M1139=phu!$I$57,M1139=phu!$I$58,M1139=phu!$I$59,M1139=phu!$I$60,M1139=phu!$I$61,M1139=phu!$I$62),"Cam Lợi",""),IF(OR(M1139=phu!$I$63,M1139=phu!$I$64,M1139=phu!$I$65,M1139=phu!$I$66,M1139=phu!$I$67,M1139=phu!$I$68,M1139=phu!$I$69,M1139=phu!$I$70,M1139=phu!$I$71),"Ba Ngòi",""),IF(OR(M1139=phu!$I$72,M1139=phu!$I$73,M1139=phu!$I$74,M1139=phu!$I$75,M1139=phu!$I$76,M1139=phu!$I$77,M1139=phu!$I$78),"Cam Phước Đông",""),IF(OR(M1139=phu!$I$79,M1139=phu!$I$80,M1139=phu!$I$81,M1139=phu!$I$82,M1139=phu!$I$83,M1139=phu!$I$84),"Cam Thịnh Đông",""),IF(OR(M1139=phu!$I$85,M1139=phu!$I$86,M1139=phu!$I$87,M1139=phu!$I$88),"Cam Thịnh Tây",""),IF(OR(M1139=phu!$I$89,M1139=phu!$I$90),"Cam Lập",""),IF(OR(M1139=phu!$I$91,M1139=phu!$I$92,M1139=phu!$I$93),"Cam Bình",""),IF(OR(M1139=phu!$I$94,M1139=phu!$I$95,M1139=phu!$I$96,M1139=phu!$I$97,M1139=phu!$I$98,M1139=phu!$I$99,M1139=phu!$I$100),"Huyện khác",""),IF(OR(M1139=phu!$I$101,M1139=phu!$I$102),"Tỉnh khác",""))</f>
        <v/>
      </c>
      <c r="O1139" s="829" t="str">
        <f t="shared" si="102"/>
        <v/>
      </c>
      <c r="P1139" s="254"/>
      <c r="Q1139" s="254"/>
      <c r="R1139" s="254"/>
      <c r="S1139" s="254"/>
      <c r="T1139" s="254"/>
      <c r="U1139" s="254"/>
      <c r="V1139" s="254"/>
      <c r="W1139" s="254"/>
      <c r="Y1139" s="246" t="str">
        <f t="shared" si="103"/>
        <v/>
      </c>
      <c r="Z1139" s="247" t="str">
        <f t="shared" si="107"/>
        <v/>
      </c>
      <c r="AA1139" s="246" t="str">
        <f t="shared" si="104"/>
        <v/>
      </c>
    </row>
    <row r="1140" spans="1:27" x14ac:dyDescent="0.25">
      <c r="A1140" s="248" t="str">
        <f t="shared" si="105"/>
        <v/>
      </c>
      <c r="B1140" s="249" t="str">
        <f t="shared" si="106"/>
        <v/>
      </c>
      <c r="C1140" s="250"/>
      <c r="D1140" s="251"/>
      <c r="E1140" s="241"/>
      <c r="F1140" s="252"/>
      <c r="G1140" s="252"/>
      <c r="H1140" s="253"/>
      <c r="I1140" s="250"/>
      <c r="J1140" s="250"/>
      <c r="K1140" s="270"/>
      <c r="L1140" s="250"/>
      <c r="M1140" s="250"/>
      <c r="N1140" s="540" t="str">
        <f>CONCATENATE(IF(OR(M1140=phu!$I$1,M1140=phu!$I$2,M1140=phu!$I$3),"Cam Thành Nam",""),IF(OR(M1140=phu!$I$4,M1140=phu!$I$5,M1140=phu!$I$6,M1140=phu!$I$7,M1140=phu!$I$8,M1140=phu!$I$9,M1140=phu!$I$10,M1140=phu!$I$11,M1140=phu!$I$12,M1140=phu!$I$13,M1140=phu!$I$14),"Cam Nghĩa",""),IF(OR(M1140=phu!$I$15,M1140=phu!$I$16,M1140=phu!$I$17,M1140=phu!$I$18,M1140=phu!$I$19,M1140=phu!$I$20,M1140=phu!$I$21),"Cam Phúc Bắc",""),IF(OR(M1140=phu!$I$22,M1140=phu!$I$23,M1140=phu!$I$24,M1140=phu!$I$25),"Cam Phúc Nam",""),IF(OR(M1140=phu!$I$26,M1140=phu!$I$27,M1140=phu!$I$28,M1140=phu!$I$29,M1140=phu!$I$30,M1140=phu!$I$31),"Cam Phú",""),IF(OR(M1140=phu!$I$32,M1140=phu!$I$33,M1140=phu!$I$34,M1140=phu!$I$35,M1140=phu!$I$36,M1140=phu!$I$37),"Cam Lộc",""),IF(OR(M1140=phu!$I$38,M1140=phu!$I$39,M1140=phu!$I$40,M1140=phu!$I$41,M1140=phu!$I$42,M1140=phu!$I$43,M1140=phu!$I$44),"Cam Thuận",""),IF(OR(M1140=phu!$I$45,M1140=phu!$I$46,M1140=phu!$I$47,M1140=phu!$I$48,M1140=phu!$I$49,M1140=phu!$I$50,M1140=phu!$I$51,M1140=phu!$I$52,M1140=phu!$I$53),"Cam Linh",""),IF(OR(M1140=phu!$I$54,M1140=phu!$I$55,M1140=phu!$I$56,M1140=phu!$I$57,M1140=phu!$I$58,M1140=phu!$I$59,M1140=phu!$I$60,M1140=phu!$I$61,M1140=phu!$I$62),"Cam Lợi",""),IF(OR(M1140=phu!$I$63,M1140=phu!$I$64,M1140=phu!$I$65,M1140=phu!$I$66,M1140=phu!$I$67,M1140=phu!$I$68,M1140=phu!$I$69,M1140=phu!$I$70,M1140=phu!$I$71),"Ba Ngòi",""),IF(OR(M1140=phu!$I$72,M1140=phu!$I$73,M1140=phu!$I$74,M1140=phu!$I$75,M1140=phu!$I$76,M1140=phu!$I$77,M1140=phu!$I$78),"Cam Phước Đông",""),IF(OR(M1140=phu!$I$79,M1140=phu!$I$80,M1140=phu!$I$81,M1140=phu!$I$82,M1140=phu!$I$83,M1140=phu!$I$84),"Cam Thịnh Đông",""),IF(OR(M1140=phu!$I$85,M1140=phu!$I$86,M1140=phu!$I$87,M1140=phu!$I$88),"Cam Thịnh Tây",""),IF(OR(M1140=phu!$I$89,M1140=phu!$I$90),"Cam Lập",""),IF(OR(M1140=phu!$I$91,M1140=phu!$I$92,M1140=phu!$I$93),"Cam Bình",""),IF(OR(M1140=phu!$I$94,M1140=phu!$I$95,M1140=phu!$I$96,M1140=phu!$I$97,M1140=phu!$I$98,M1140=phu!$I$99,M1140=phu!$I$100),"Huyện khác",""),IF(OR(M1140=phu!$I$101,M1140=phu!$I$102),"Tỉnh khác",""))</f>
        <v/>
      </c>
      <c r="O1140" s="829" t="str">
        <f t="shared" si="102"/>
        <v/>
      </c>
      <c r="P1140" s="254"/>
      <c r="Q1140" s="254"/>
      <c r="R1140" s="254"/>
      <c r="S1140" s="254"/>
      <c r="T1140" s="254"/>
      <c r="U1140" s="254"/>
      <c r="V1140" s="254"/>
      <c r="W1140" s="254"/>
      <c r="Y1140" s="246" t="str">
        <f t="shared" si="103"/>
        <v/>
      </c>
      <c r="Z1140" s="247" t="str">
        <f t="shared" si="107"/>
        <v/>
      </c>
      <c r="AA1140" s="246" t="str">
        <f t="shared" si="104"/>
        <v/>
      </c>
    </row>
    <row r="1141" spans="1:27" x14ac:dyDescent="0.25">
      <c r="A1141" s="248" t="str">
        <f t="shared" si="105"/>
        <v/>
      </c>
      <c r="B1141" s="249" t="str">
        <f t="shared" si="106"/>
        <v/>
      </c>
      <c r="C1141" s="250"/>
      <c r="D1141" s="251"/>
      <c r="E1141" s="241"/>
      <c r="F1141" s="252"/>
      <c r="G1141" s="252"/>
      <c r="H1141" s="253"/>
      <c r="I1141" s="250"/>
      <c r="J1141" s="250"/>
      <c r="K1141" s="270"/>
      <c r="L1141" s="250"/>
      <c r="M1141" s="250"/>
      <c r="N1141" s="540" t="str">
        <f>CONCATENATE(IF(OR(M1141=phu!$I$1,M1141=phu!$I$2,M1141=phu!$I$3),"Cam Thành Nam",""),IF(OR(M1141=phu!$I$4,M1141=phu!$I$5,M1141=phu!$I$6,M1141=phu!$I$7,M1141=phu!$I$8,M1141=phu!$I$9,M1141=phu!$I$10,M1141=phu!$I$11,M1141=phu!$I$12,M1141=phu!$I$13,M1141=phu!$I$14),"Cam Nghĩa",""),IF(OR(M1141=phu!$I$15,M1141=phu!$I$16,M1141=phu!$I$17,M1141=phu!$I$18,M1141=phu!$I$19,M1141=phu!$I$20,M1141=phu!$I$21),"Cam Phúc Bắc",""),IF(OR(M1141=phu!$I$22,M1141=phu!$I$23,M1141=phu!$I$24,M1141=phu!$I$25),"Cam Phúc Nam",""),IF(OR(M1141=phu!$I$26,M1141=phu!$I$27,M1141=phu!$I$28,M1141=phu!$I$29,M1141=phu!$I$30,M1141=phu!$I$31),"Cam Phú",""),IF(OR(M1141=phu!$I$32,M1141=phu!$I$33,M1141=phu!$I$34,M1141=phu!$I$35,M1141=phu!$I$36,M1141=phu!$I$37),"Cam Lộc",""),IF(OR(M1141=phu!$I$38,M1141=phu!$I$39,M1141=phu!$I$40,M1141=phu!$I$41,M1141=phu!$I$42,M1141=phu!$I$43,M1141=phu!$I$44),"Cam Thuận",""),IF(OR(M1141=phu!$I$45,M1141=phu!$I$46,M1141=phu!$I$47,M1141=phu!$I$48,M1141=phu!$I$49,M1141=phu!$I$50,M1141=phu!$I$51,M1141=phu!$I$52,M1141=phu!$I$53),"Cam Linh",""),IF(OR(M1141=phu!$I$54,M1141=phu!$I$55,M1141=phu!$I$56,M1141=phu!$I$57,M1141=phu!$I$58,M1141=phu!$I$59,M1141=phu!$I$60,M1141=phu!$I$61,M1141=phu!$I$62),"Cam Lợi",""),IF(OR(M1141=phu!$I$63,M1141=phu!$I$64,M1141=phu!$I$65,M1141=phu!$I$66,M1141=phu!$I$67,M1141=phu!$I$68,M1141=phu!$I$69,M1141=phu!$I$70,M1141=phu!$I$71),"Ba Ngòi",""),IF(OR(M1141=phu!$I$72,M1141=phu!$I$73,M1141=phu!$I$74,M1141=phu!$I$75,M1141=phu!$I$76,M1141=phu!$I$77,M1141=phu!$I$78),"Cam Phước Đông",""),IF(OR(M1141=phu!$I$79,M1141=phu!$I$80,M1141=phu!$I$81,M1141=phu!$I$82,M1141=phu!$I$83,M1141=phu!$I$84),"Cam Thịnh Đông",""),IF(OR(M1141=phu!$I$85,M1141=phu!$I$86,M1141=phu!$I$87,M1141=phu!$I$88),"Cam Thịnh Tây",""),IF(OR(M1141=phu!$I$89,M1141=phu!$I$90),"Cam Lập",""),IF(OR(M1141=phu!$I$91,M1141=phu!$I$92,M1141=phu!$I$93),"Cam Bình",""),IF(OR(M1141=phu!$I$94,M1141=phu!$I$95,M1141=phu!$I$96,M1141=phu!$I$97,M1141=phu!$I$98,M1141=phu!$I$99,M1141=phu!$I$100),"Huyện khác",""),IF(OR(M1141=phu!$I$101,M1141=phu!$I$102),"Tỉnh khác",""))</f>
        <v/>
      </c>
      <c r="O1141" s="829" t="str">
        <f t="shared" si="102"/>
        <v/>
      </c>
      <c r="P1141" s="254"/>
      <c r="Q1141" s="254"/>
      <c r="R1141" s="254"/>
      <c r="S1141" s="254"/>
      <c r="T1141" s="254"/>
      <c r="U1141" s="254"/>
      <c r="V1141" s="254"/>
      <c r="W1141" s="254"/>
      <c r="Y1141" s="246" t="str">
        <f t="shared" si="103"/>
        <v/>
      </c>
      <c r="Z1141" s="247" t="str">
        <f t="shared" si="107"/>
        <v/>
      </c>
      <c r="AA1141" s="246" t="str">
        <f t="shared" si="104"/>
        <v/>
      </c>
    </row>
    <row r="1142" spans="1:27" x14ac:dyDescent="0.25">
      <c r="A1142" s="248" t="str">
        <f t="shared" si="105"/>
        <v/>
      </c>
      <c r="B1142" s="249" t="str">
        <f t="shared" si="106"/>
        <v/>
      </c>
      <c r="C1142" s="250"/>
      <c r="D1142" s="251"/>
      <c r="E1142" s="241"/>
      <c r="F1142" s="252"/>
      <c r="G1142" s="252"/>
      <c r="H1142" s="253"/>
      <c r="I1142" s="250"/>
      <c r="J1142" s="250"/>
      <c r="K1142" s="270"/>
      <c r="L1142" s="250"/>
      <c r="M1142" s="250"/>
      <c r="N1142" s="540" t="str">
        <f>CONCATENATE(IF(OR(M1142=phu!$I$1,M1142=phu!$I$2,M1142=phu!$I$3),"Cam Thành Nam",""),IF(OR(M1142=phu!$I$4,M1142=phu!$I$5,M1142=phu!$I$6,M1142=phu!$I$7,M1142=phu!$I$8,M1142=phu!$I$9,M1142=phu!$I$10,M1142=phu!$I$11,M1142=phu!$I$12,M1142=phu!$I$13,M1142=phu!$I$14),"Cam Nghĩa",""),IF(OR(M1142=phu!$I$15,M1142=phu!$I$16,M1142=phu!$I$17,M1142=phu!$I$18,M1142=phu!$I$19,M1142=phu!$I$20,M1142=phu!$I$21),"Cam Phúc Bắc",""),IF(OR(M1142=phu!$I$22,M1142=phu!$I$23,M1142=phu!$I$24,M1142=phu!$I$25),"Cam Phúc Nam",""),IF(OR(M1142=phu!$I$26,M1142=phu!$I$27,M1142=phu!$I$28,M1142=phu!$I$29,M1142=phu!$I$30,M1142=phu!$I$31),"Cam Phú",""),IF(OR(M1142=phu!$I$32,M1142=phu!$I$33,M1142=phu!$I$34,M1142=phu!$I$35,M1142=phu!$I$36,M1142=phu!$I$37),"Cam Lộc",""),IF(OR(M1142=phu!$I$38,M1142=phu!$I$39,M1142=phu!$I$40,M1142=phu!$I$41,M1142=phu!$I$42,M1142=phu!$I$43,M1142=phu!$I$44),"Cam Thuận",""),IF(OR(M1142=phu!$I$45,M1142=phu!$I$46,M1142=phu!$I$47,M1142=phu!$I$48,M1142=phu!$I$49,M1142=phu!$I$50,M1142=phu!$I$51,M1142=phu!$I$52,M1142=phu!$I$53),"Cam Linh",""),IF(OR(M1142=phu!$I$54,M1142=phu!$I$55,M1142=phu!$I$56,M1142=phu!$I$57,M1142=phu!$I$58,M1142=phu!$I$59,M1142=phu!$I$60,M1142=phu!$I$61,M1142=phu!$I$62),"Cam Lợi",""),IF(OR(M1142=phu!$I$63,M1142=phu!$I$64,M1142=phu!$I$65,M1142=phu!$I$66,M1142=phu!$I$67,M1142=phu!$I$68,M1142=phu!$I$69,M1142=phu!$I$70,M1142=phu!$I$71),"Ba Ngòi",""),IF(OR(M1142=phu!$I$72,M1142=phu!$I$73,M1142=phu!$I$74,M1142=phu!$I$75,M1142=phu!$I$76,M1142=phu!$I$77,M1142=phu!$I$78),"Cam Phước Đông",""),IF(OR(M1142=phu!$I$79,M1142=phu!$I$80,M1142=phu!$I$81,M1142=phu!$I$82,M1142=phu!$I$83,M1142=phu!$I$84),"Cam Thịnh Đông",""),IF(OR(M1142=phu!$I$85,M1142=phu!$I$86,M1142=phu!$I$87,M1142=phu!$I$88),"Cam Thịnh Tây",""),IF(OR(M1142=phu!$I$89,M1142=phu!$I$90),"Cam Lập",""),IF(OR(M1142=phu!$I$91,M1142=phu!$I$92,M1142=phu!$I$93),"Cam Bình",""),IF(OR(M1142=phu!$I$94,M1142=phu!$I$95,M1142=phu!$I$96,M1142=phu!$I$97,M1142=phu!$I$98,M1142=phu!$I$99,M1142=phu!$I$100),"Huyện khác",""),IF(OR(M1142=phu!$I$101,M1142=phu!$I$102),"Tỉnh khác",""))</f>
        <v/>
      </c>
      <c r="O1142" s="829" t="str">
        <f t="shared" si="102"/>
        <v/>
      </c>
      <c r="P1142" s="254"/>
      <c r="Q1142" s="254"/>
      <c r="R1142" s="254"/>
      <c r="S1142" s="254"/>
      <c r="T1142" s="254"/>
      <c r="U1142" s="254"/>
      <c r="V1142" s="254"/>
      <c r="W1142" s="254"/>
      <c r="Y1142" s="246" t="str">
        <f t="shared" si="103"/>
        <v/>
      </c>
      <c r="Z1142" s="247" t="str">
        <f t="shared" si="107"/>
        <v/>
      </c>
      <c r="AA1142" s="246" t="str">
        <f t="shared" si="104"/>
        <v/>
      </c>
    </row>
    <row r="1143" spans="1:27" x14ac:dyDescent="0.25">
      <c r="A1143" s="248" t="str">
        <f t="shared" si="105"/>
        <v/>
      </c>
      <c r="B1143" s="249" t="str">
        <f t="shared" si="106"/>
        <v/>
      </c>
      <c r="C1143" s="250"/>
      <c r="D1143" s="251"/>
      <c r="E1143" s="241"/>
      <c r="F1143" s="252"/>
      <c r="G1143" s="252"/>
      <c r="H1143" s="253"/>
      <c r="I1143" s="250"/>
      <c r="J1143" s="250"/>
      <c r="K1143" s="270"/>
      <c r="L1143" s="250"/>
      <c r="M1143" s="250"/>
      <c r="N1143" s="540" t="str">
        <f>CONCATENATE(IF(OR(M1143=phu!$I$1,M1143=phu!$I$2,M1143=phu!$I$3),"Cam Thành Nam",""),IF(OR(M1143=phu!$I$4,M1143=phu!$I$5,M1143=phu!$I$6,M1143=phu!$I$7,M1143=phu!$I$8,M1143=phu!$I$9,M1143=phu!$I$10,M1143=phu!$I$11,M1143=phu!$I$12,M1143=phu!$I$13,M1143=phu!$I$14),"Cam Nghĩa",""),IF(OR(M1143=phu!$I$15,M1143=phu!$I$16,M1143=phu!$I$17,M1143=phu!$I$18,M1143=phu!$I$19,M1143=phu!$I$20,M1143=phu!$I$21),"Cam Phúc Bắc",""),IF(OR(M1143=phu!$I$22,M1143=phu!$I$23,M1143=phu!$I$24,M1143=phu!$I$25),"Cam Phúc Nam",""),IF(OR(M1143=phu!$I$26,M1143=phu!$I$27,M1143=phu!$I$28,M1143=phu!$I$29,M1143=phu!$I$30,M1143=phu!$I$31),"Cam Phú",""),IF(OR(M1143=phu!$I$32,M1143=phu!$I$33,M1143=phu!$I$34,M1143=phu!$I$35,M1143=phu!$I$36,M1143=phu!$I$37),"Cam Lộc",""),IF(OR(M1143=phu!$I$38,M1143=phu!$I$39,M1143=phu!$I$40,M1143=phu!$I$41,M1143=phu!$I$42,M1143=phu!$I$43,M1143=phu!$I$44),"Cam Thuận",""),IF(OR(M1143=phu!$I$45,M1143=phu!$I$46,M1143=phu!$I$47,M1143=phu!$I$48,M1143=phu!$I$49,M1143=phu!$I$50,M1143=phu!$I$51,M1143=phu!$I$52,M1143=phu!$I$53),"Cam Linh",""),IF(OR(M1143=phu!$I$54,M1143=phu!$I$55,M1143=phu!$I$56,M1143=phu!$I$57,M1143=phu!$I$58,M1143=phu!$I$59,M1143=phu!$I$60,M1143=phu!$I$61,M1143=phu!$I$62),"Cam Lợi",""),IF(OR(M1143=phu!$I$63,M1143=phu!$I$64,M1143=phu!$I$65,M1143=phu!$I$66,M1143=phu!$I$67,M1143=phu!$I$68,M1143=phu!$I$69,M1143=phu!$I$70,M1143=phu!$I$71),"Ba Ngòi",""),IF(OR(M1143=phu!$I$72,M1143=phu!$I$73,M1143=phu!$I$74,M1143=phu!$I$75,M1143=phu!$I$76,M1143=phu!$I$77,M1143=phu!$I$78),"Cam Phước Đông",""),IF(OR(M1143=phu!$I$79,M1143=phu!$I$80,M1143=phu!$I$81,M1143=phu!$I$82,M1143=phu!$I$83,M1143=phu!$I$84),"Cam Thịnh Đông",""),IF(OR(M1143=phu!$I$85,M1143=phu!$I$86,M1143=phu!$I$87,M1143=phu!$I$88),"Cam Thịnh Tây",""),IF(OR(M1143=phu!$I$89,M1143=phu!$I$90),"Cam Lập",""),IF(OR(M1143=phu!$I$91,M1143=phu!$I$92,M1143=phu!$I$93),"Cam Bình",""),IF(OR(M1143=phu!$I$94,M1143=phu!$I$95,M1143=phu!$I$96,M1143=phu!$I$97,M1143=phu!$I$98,M1143=phu!$I$99,M1143=phu!$I$100),"Huyện khác",""),IF(OR(M1143=phu!$I$101,M1143=phu!$I$102),"Tỉnh khác",""))</f>
        <v/>
      </c>
      <c r="O1143" s="829" t="str">
        <f t="shared" si="102"/>
        <v/>
      </c>
      <c r="P1143" s="254"/>
      <c r="Q1143" s="254"/>
      <c r="R1143" s="254"/>
      <c r="S1143" s="254"/>
      <c r="T1143" s="254"/>
      <c r="U1143" s="254"/>
      <c r="V1143" s="254"/>
      <c r="W1143" s="254"/>
      <c r="Y1143" s="246" t="str">
        <f t="shared" si="103"/>
        <v/>
      </c>
      <c r="Z1143" s="247" t="str">
        <f t="shared" si="107"/>
        <v/>
      </c>
      <c r="AA1143" s="246" t="str">
        <f t="shared" si="104"/>
        <v/>
      </c>
    </row>
    <row r="1144" spans="1:27" x14ac:dyDescent="0.25">
      <c r="A1144" s="248" t="str">
        <f t="shared" si="105"/>
        <v/>
      </c>
      <c r="B1144" s="249" t="str">
        <f t="shared" si="106"/>
        <v/>
      </c>
      <c r="C1144" s="250"/>
      <c r="D1144" s="251"/>
      <c r="E1144" s="241"/>
      <c r="F1144" s="252"/>
      <c r="G1144" s="252"/>
      <c r="H1144" s="253"/>
      <c r="I1144" s="250"/>
      <c r="J1144" s="250"/>
      <c r="K1144" s="270"/>
      <c r="L1144" s="250"/>
      <c r="M1144" s="250"/>
      <c r="N1144" s="540" t="str">
        <f>CONCATENATE(IF(OR(M1144=phu!$I$1,M1144=phu!$I$2,M1144=phu!$I$3),"Cam Thành Nam",""),IF(OR(M1144=phu!$I$4,M1144=phu!$I$5,M1144=phu!$I$6,M1144=phu!$I$7,M1144=phu!$I$8,M1144=phu!$I$9,M1144=phu!$I$10,M1144=phu!$I$11,M1144=phu!$I$12,M1144=phu!$I$13,M1144=phu!$I$14),"Cam Nghĩa",""),IF(OR(M1144=phu!$I$15,M1144=phu!$I$16,M1144=phu!$I$17,M1144=phu!$I$18,M1144=phu!$I$19,M1144=phu!$I$20,M1144=phu!$I$21),"Cam Phúc Bắc",""),IF(OR(M1144=phu!$I$22,M1144=phu!$I$23,M1144=phu!$I$24,M1144=phu!$I$25),"Cam Phúc Nam",""),IF(OR(M1144=phu!$I$26,M1144=phu!$I$27,M1144=phu!$I$28,M1144=phu!$I$29,M1144=phu!$I$30,M1144=phu!$I$31),"Cam Phú",""),IF(OR(M1144=phu!$I$32,M1144=phu!$I$33,M1144=phu!$I$34,M1144=phu!$I$35,M1144=phu!$I$36,M1144=phu!$I$37),"Cam Lộc",""),IF(OR(M1144=phu!$I$38,M1144=phu!$I$39,M1144=phu!$I$40,M1144=phu!$I$41,M1144=phu!$I$42,M1144=phu!$I$43,M1144=phu!$I$44),"Cam Thuận",""),IF(OR(M1144=phu!$I$45,M1144=phu!$I$46,M1144=phu!$I$47,M1144=phu!$I$48,M1144=phu!$I$49,M1144=phu!$I$50,M1144=phu!$I$51,M1144=phu!$I$52,M1144=phu!$I$53),"Cam Linh",""),IF(OR(M1144=phu!$I$54,M1144=phu!$I$55,M1144=phu!$I$56,M1144=phu!$I$57,M1144=phu!$I$58,M1144=phu!$I$59,M1144=phu!$I$60,M1144=phu!$I$61,M1144=phu!$I$62),"Cam Lợi",""),IF(OR(M1144=phu!$I$63,M1144=phu!$I$64,M1144=phu!$I$65,M1144=phu!$I$66,M1144=phu!$I$67,M1144=phu!$I$68,M1144=phu!$I$69,M1144=phu!$I$70,M1144=phu!$I$71),"Ba Ngòi",""),IF(OR(M1144=phu!$I$72,M1144=phu!$I$73,M1144=phu!$I$74,M1144=phu!$I$75,M1144=phu!$I$76,M1144=phu!$I$77,M1144=phu!$I$78),"Cam Phước Đông",""),IF(OR(M1144=phu!$I$79,M1144=phu!$I$80,M1144=phu!$I$81,M1144=phu!$I$82,M1144=phu!$I$83,M1144=phu!$I$84),"Cam Thịnh Đông",""),IF(OR(M1144=phu!$I$85,M1144=phu!$I$86,M1144=phu!$I$87,M1144=phu!$I$88),"Cam Thịnh Tây",""),IF(OR(M1144=phu!$I$89,M1144=phu!$I$90),"Cam Lập",""),IF(OR(M1144=phu!$I$91,M1144=phu!$I$92,M1144=phu!$I$93),"Cam Bình",""),IF(OR(M1144=phu!$I$94,M1144=phu!$I$95,M1144=phu!$I$96,M1144=phu!$I$97,M1144=phu!$I$98,M1144=phu!$I$99,M1144=phu!$I$100),"Huyện khác",""),IF(OR(M1144=phu!$I$101,M1144=phu!$I$102),"Tỉnh khác",""))</f>
        <v/>
      </c>
      <c r="O1144" s="829" t="str">
        <f t="shared" si="102"/>
        <v/>
      </c>
      <c r="P1144" s="254"/>
      <c r="Q1144" s="254"/>
      <c r="R1144" s="254"/>
      <c r="S1144" s="254"/>
      <c r="T1144" s="254"/>
      <c r="U1144" s="254"/>
      <c r="V1144" s="254"/>
      <c r="W1144" s="254"/>
      <c r="Y1144" s="246" t="str">
        <f t="shared" si="103"/>
        <v/>
      </c>
      <c r="Z1144" s="247" t="str">
        <f t="shared" si="107"/>
        <v/>
      </c>
      <c r="AA1144" s="246" t="str">
        <f t="shared" si="104"/>
        <v/>
      </c>
    </row>
    <row r="1145" spans="1:27" x14ac:dyDescent="0.25">
      <c r="A1145" s="248" t="str">
        <f t="shared" si="105"/>
        <v/>
      </c>
      <c r="B1145" s="249" t="str">
        <f t="shared" si="106"/>
        <v/>
      </c>
      <c r="C1145" s="250"/>
      <c r="D1145" s="251"/>
      <c r="E1145" s="241"/>
      <c r="F1145" s="252"/>
      <c r="G1145" s="252"/>
      <c r="H1145" s="253"/>
      <c r="I1145" s="250"/>
      <c r="J1145" s="250"/>
      <c r="K1145" s="270"/>
      <c r="L1145" s="250"/>
      <c r="M1145" s="250"/>
      <c r="N1145" s="540" t="str">
        <f>CONCATENATE(IF(OR(M1145=phu!$I$1,M1145=phu!$I$2,M1145=phu!$I$3),"Cam Thành Nam",""),IF(OR(M1145=phu!$I$4,M1145=phu!$I$5,M1145=phu!$I$6,M1145=phu!$I$7,M1145=phu!$I$8,M1145=phu!$I$9,M1145=phu!$I$10,M1145=phu!$I$11,M1145=phu!$I$12,M1145=phu!$I$13,M1145=phu!$I$14),"Cam Nghĩa",""),IF(OR(M1145=phu!$I$15,M1145=phu!$I$16,M1145=phu!$I$17,M1145=phu!$I$18,M1145=phu!$I$19,M1145=phu!$I$20,M1145=phu!$I$21),"Cam Phúc Bắc",""),IF(OR(M1145=phu!$I$22,M1145=phu!$I$23,M1145=phu!$I$24,M1145=phu!$I$25),"Cam Phúc Nam",""),IF(OR(M1145=phu!$I$26,M1145=phu!$I$27,M1145=phu!$I$28,M1145=phu!$I$29,M1145=phu!$I$30,M1145=phu!$I$31),"Cam Phú",""),IF(OR(M1145=phu!$I$32,M1145=phu!$I$33,M1145=phu!$I$34,M1145=phu!$I$35,M1145=phu!$I$36,M1145=phu!$I$37),"Cam Lộc",""),IF(OR(M1145=phu!$I$38,M1145=phu!$I$39,M1145=phu!$I$40,M1145=phu!$I$41,M1145=phu!$I$42,M1145=phu!$I$43,M1145=phu!$I$44),"Cam Thuận",""),IF(OR(M1145=phu!$I$45,M1145=phu!$I$46,M1145=phu!$I$47,M1145=phu!$I$48,M1145=phu!$I$49,M1145=phu!$I$50,M1145=phu!$I$51,M1145=phu!$I$52,M1145=phu!$I$53),"Cam Linh",""),IF(OR(M1145=phu!$I$54,M1145=phu!$I$55,M1145=phu!$I$56,M1145=phu!$I$57,M1145=phu!$I$58,M1145=phu!$I$59,M1145=phu!$I$60,M1145=phu!$I$61,M1145=phu!$I$62),"Cam Lợi",""),IF(OR(M1145=phu!$I$63,M1145=phu!$I$64,M1145=phu!$I$65,M1145=phu!$I$66,M1145=phu!$I$67,M1145=phu!$I$68,M1145=phu!$I$69,M1145=phu!$I$70,M1145=phu!$I$71),"Ba Ngòi",""),IF(OR(M1145=phu!$I$72,M1145=phu!$I$73,M1145=phu!$I$74,M1145=phu!$I$75,M1145=phu!$I$76,M1145=phu!$I$77,M1145=phu!$I$78),"Cam Phước Đông",""),IF(OR(M1145=phu!$I$79,M1145=phu!$I$80,M1145=phu!$I$81,M1145=phu!$I$82,M1145=phu!$I$83,M1145=phu!$I$84),"Cam Thịnh Đông",""),IF(OR(M1145=phu!$I$85,M1145=phu!$I$86,M1145=phu!$I$87,M1145=phu!$I$88),"Cam Thịnh Tây",""),IF(OR(M1145=phu!$I$89,M1145=phu!$I$90),"Cam Lập",""),IF(OR(M1145=phu!$I$91,M1145=phu!$I$92,M1145=phu!$I$93),"Cam Bình",""),IF(OR(M1145=phu!$I$94,M1145=phu!$I$95,M1145=phu!$I$96,M1145=phu!$I$97,M1145=phu!$I$98,M1145=phu!$I$99,M1145=phu!$I$100),"Huyện khác",""),IF(OR(M1145=phu!$I$101,M1145=phu!$I$102),"Tỉnh khác",""))</f>
        <v/>
      </c>
      <c r="O1145" s="829" t="str">
        <f t="shared" si="102"/>
        <v/>
      </c>
      <c r="P1145" s="254"/>
      <c r="Q1145" s="254"/>
      <c r="R1145" s="254"/>
      <c r="S1145" s="254"/>
      <c r="T1145" s="254"/>
      <c r="U1145" s="254"/>
      <c r="V1145" s="254"/>
      <c r="W1145" s="254"/>
      <c r="Y1145" s="246" t="str">
        <f t="shared" si="103"/>
        <v/>
      </c>
      <c r="Z1145" s="247" t="str">
        <f t="shared" si="107"/>
        <v/>
      </c>
      <c r="AA1145" s="246" t="str">
        <f t="shared" si="104"/>
        <v/>
      </c>
    </row>
    <row r="1146" spans="1:27" x14ac:dyDescent="0.25">
      <c r="A1146" s="248" t="str">
        <f t="shared" si="105"/>
        <v/>
      </c>
      <c r="B1146" s="249" t="str">
        <f t="shared" si="106"/>
        <v/>
      </c>
      <c r="C1146" s="250"/>
      <c r="D1146" s="251"/>
      <c r="E1146" s="241"/>
      <c r="F1146" s="252"/>
      <c r="G1146" s="252"/>
      <c r="H1146" s="253"/>
      <c r="I1146" s="250"/>
      <c r="J1146" s="250"/>
      <c r="K1146" s="270"/>
      <c r="L1146" s="250"/>
      <c r="M1146" s="250"/>
      <c r="N1146" s="540" t="str">
        <f>CONCATENATE(IF(OR(M1146=phu!$I$1,M1146=phu!$I$2,M1146=phu!$I$3),"Cam Thành Nam",""),IF(OR(M1146=phu!$I$4,M1146=phu!$I$5,M1146=phu!$I$6,M1146=phu!$I$7,M1146=phu!$I$8,M1146=phu!$I$9,M1146=phu!$I$10,M1146=phu!$I$11,M1146=phu!$I$12,M1146=phu!$I$13,M1146=phu!$I$14),"Cam Nghĩa",""),IF(OR(M1146=phu!$I$15,M1146=phu!$I$16,M1146=phu!$I$17,M1146=phu!$I$18,M1146=phu!$I$19,M1146=phu!$I$20,M1146=phu!$I$21),"Cam Phúc Bắc",""),IF(OR(M1146=phu!$I$22,M1146=phu!$I$23,M1146=phu!$I$24,M1146=phu!$I$25),"Cam Phúc Nam",""),IF(OR(M1146=phu!$I$26,M1146=phu!$I$27,M1146=phu!$I$28,M1146=phu!$I$29,M1146=phu!$I$30,M1146=phu!$I$31),"Cam Phú",""),IF(OR(M1146=phu!$I$32,M1146=phu!$I$33,M1146=phu!$I$34,M1146=phu!$I$35,M1146=phu!$I$36,M1146=phu!$I$37),"Cam Lộc",""),IF(OR(M1146=phu!$I$38,M1146=phu!$I$39,M1146=phu!$I$40,M1146=phu!$I$41,M1146=phu!$I$42,M1146=phu!$I$43,M1146=phu!$I$44),"Cam Thuận",""),IF(OR(M1146=phu!$I$45,M1146=phu!$I$46,M1146=phu!$I$47,M1146=phu!$I$48,M1146=phu!$I$49,M1146=phu!$I$50,M1146=phu!$I$51,M1146=phu!$I$52,M1146=phu!$I$53),"Cam Linh",""),IF(OR(M1146=phu!$I$54,M1146=phu!$I$55,M1146=phu!$I$56,M1146=phu!$I$57,M1146=phu!$I$58,M1146=phu!$I$59,M1146=phu!$I$60,M1146=phu!$I$61,M1146=phu!$I$62),"Cam Lợi",""),IF(OR(M1146=phu!$I$63,M1146=phu!$I$64,M1146=phu!$I$65,M1146=phu!$I$66,M1146=phu!$I$67,M1146=phu!$I$68,M1146=phu!$I$69,M1146=phu!$I$70,M1146=phu!$I$71),"Ba Ngòi",""),IF(OR(M1146=phu!$I$72,M1146=phu!$I$73,M1146=phu!$I$74,M1146=phu!$I$75,M1146=phu!$I$76,M1146=phu!$I$77,M1146=phu!$I$78),"Cam Phước Đông",""),IF(OR(M1146=phu!$I$79,M1146=phu!$I$80,M1146=phu!$I$81,M1146=phu!$I$82,M1146=phu!$I$83,M1146=phu!$I$84),"Cam Thịnh Đông",""),IF(OR(M1146=phu!$I$85,M1146=phu!$I$86,M1146=phu!$I$87,M1146=phu!$I$88),"Cam Thịnh Tây",""),IF(OR(M1146=phu!$I$89,M1146=phu!$I$90),"Cam Lập",""),IF(OR(M1146=phu!$I$91,M1146=phu!$I$92,M1146=phu!$I$93),"Cam Bình",""),IF(OR(M1146=phu!$I$94,M1146=phu!$I$95,M1146=phu!$I$96,M1146=phu!$I$97,M1146=phu!$I$98,M1146=phu!$I$99,M1146=phu!$I$100),"Huyện khác",""),IF(OR(M1146=phu!$I$101,M1146=phu!$I$102),"Tỉnh khác",""))</f>
        <v/>
      </c>
      <c r="O1146" s="829" t="str">
        <f t="shared" si="102"/>
        <v/>
      </c>
      <c r="P1146" s="254"/>
      <c r="Q1146" s="254"/>
      <c r="R1146" s="254"/>
      <c r="S1146" s="254"/>
      <c r="T1146" s="254"/>
      <c r="U1146" s="254"/>
      <c r="V1146" s="254"/>
      <c r="W1146" s="254"/>
      <c r="Y1146" s="246" t="str">
        <f t="shared" si="103"/>
        <v/>
      </c>
      <c r="Z1146" s="247" t="str">
        <f t="shared" si="107"/>
        <v/>
      </c>
      <c r="AA1146" s="246" t="str">
        <f t="shared" si="104"/>
        <v/>
      </c>
    </row>
    <row r="1147" spans="1:27" x14ac:dyDescent="0.25">
      <c r="A1147" s="248" t="str">
        <f t="shared" si="105"/>
        <v/>
      </c>
      <c r="B1147" s="249" t="str">
        <f t="shared" si="106"/>
        <v/>
      </c>
      <c r="C1147" s="250"/>
      <c r="D1147" s="251"/>
      <c r="E1147" s="241"/>
      <c r="F1147" s="252"/>
      <c r="G1147" s="252"/>
      <c r="H1147" s="253"/>
      <c r="I1147" s="250"/>
      <c r="J1147" s="250"/>
      <c r="K1147" s="270"/>
      <c r="L1147" s="250"/>
      <c r="M1147" s="250"/>
      <c r="N1147" s="540" t="str">
        <f>CONCATENATE(IF(OR(M1147=phu!$I$1,M1147=phu!$I$2,M1147=phu!$I$3),"Cam Thành Nam",""),IF(OR(M1147=phu!$I$4,M1147=phu!$I$5,M1147=phu!$I$6,M1147=phu!$I$7,M1147=phu!$I$8,M1147=phu!$I$9,M1147=phu!$I$10,M1147=phu!$I$11,M1147=phu!$I$12,M1147=phu!$I$13,M1147=phu!$I$14),"Cam Nghĩa",""),IF(OR(M1147=phu!$I$15,M1147=phu!$I$16,M1147=phu!$I$17,M1147=phu!$I$18,M1147=phu!$I$19,M1147=phu!$I$20,M1147=phu!$I$21),"Cam Phúc Bắc",""),IF(OR(M1147=phu!$I$22,M1147=phu!$I$23,M1147=phu!$I$24,M1147=phu!$I$25),"Cam Phúc Nam",""),IF(OR(M1147=phu!$I$26,M1147=phu!$I$27,M1147=phu!$I$28,M1147=phu!$I$29,M1147=phu!$I$30,M1147=phu!$I$31),"Cam Phú",""),IF(OR(M1147=phu!$I$32,M1147=phu!$I$33,M1147=phu!$I$34,M1147=phu!$I$35,M1147=phu!$I$36,M1147=phu!$I$37),"Cam Lộc",""),IF(OR(M1147=phu!$I$38,M1147=phu!$I$39,M1147=phu!$I$40,M1147=phu!$I$41,M1147=phu!$I$42,M1147=phu!$I$43,M1147=phu!$I$44),"Cam Thuận",""),IF(OR(M1147=phu!$I$45,M1147=phu!$I$46,M1147=phu!$I$47,M1147=phu!$I$48,M1147=phu!$I$49,M1147=phu!$I$50,M1147=phu!$I$51,M1147=phu!$I$52,M1147=phu!$I$53),"Cam Linh",""),IF(OR(M1147=phu!$I$54,M1147=phu!$I$55,M1147=phu!$I$56,M1147=phu!$I$57,M1147=phu!$I$58,M1147=phu!$I$59,M1147=phu!$I$60,M1147=phu!$I$61,M1147=phu!$I$62),"Cam Lợi",""),IF(OR(M1147=phu!$I$63,M1147=phu!$I$64,M1147=phu!$I$65,M1147=phu!$I$66,M1147=phu!$I$67,M1147=phu!$I$68,M1147=phu!$I$69,M1147=phu!$I$70,M1147=phu!$I$71),"Ba Ngòi",""),IF(OR(M1147=phu!$I$72,M1147=phu!$I$73,M1147=phu!$I$74,M1147=phu!$I$75,M1147=phu!$I$76,M1147=phu!$I$77,M1147=phu!$I$78),"Cam Phước Đông",""),IF(OR(M1147=phu!$I$79,M1147=phu!$I$80,M1147=phu!$I$81,M1147=phu!$I$82,M1147=phu!$I$83,M1147=phu!$I$84),"Cam Thịnh Đông",""),IF(OR(M1147=phu!$I$85,M1147=phu!$I$86,M1147=phu!$I$87,M1147=phu!$I$88),"Cam Thịnh Tây",""),IF(OR(M1147=phu!$I$89,M1147=phu!$I$90),"Cam Lập",""),IF(OR(M1147=phu!$I$91,M1147=phu!$I$92,M1147=phu!$I$93),"Cam Bình",""),IF(OR(M1147=phu!$I$94,M1147=phu!$I$95,M1147=phu!$I$96,M1147=phu!$I$97,M1147=phu!$I$98,M1147=phu!$I$99,M1147=phu!$I$100),"Huyện khác",""),IF(OR(M1147=phu!$I$101,M1147=phu!$I$102),"Tỉnh khác",""))</f>
        <v/>
      </c>
      <c r="O1147" s="829" t="str">
        <f t="shared" si="102"/>
        <v/>
      </c>
      <c r="P1147" s="254"/>
      <c r="Q1147" s="254"/>
      <c r="R1147" s="254"/>
      <c r="S1147" s="254"/>
      <c r="T1147" s="254"/>
      <c r="U1147" s="254"/>
      <c r="V1147" s="254"/>
      <c r="W1147" s="254"/>
      <c r="Y1147" s="246" t="str">
        <f t="shared" si="103"/>
        <v/>
      </c>
      <c r="Z1147" s="247" t="str">
        <f t="shared" si="107"/>
        <v/>
      </c>
      <c r="AA1147" s="246" t="str">
        <f t="shared" si="104"/>
        <v/>
      </c>
    </row>
    <row r="1148" spans="1:27" x14ac:dyDescent="0.25">
      <c r="A1148" s="248" t="str">
        <f t="shared" si="105"/>
        <v/>
      </c>
      <c r="B1148" s="249" t="str">
        <f t="shared" si="106"/>
        <v/>
      </c>
      <c r="C1148" s="250"/>
      <c r="D1148" s="251"/>
      <c r="E1148" s="241"/>
      <c r="F1148" s="252"/>
      <c r="G1148" s="252"/>
      <c r="H1148" s="253"/>
      <c r="I1148" s="250"/>
      <c r="J1148" s="250"/>
      <c r="K1148" s="270"/>
      <c r="L1148" s="250"/>
      <c r="M1148" s="250"/>
      <c r="N1148" s="540" t="str">
        <f>CONCATENATE(IF(OR(M1148=phu!$I$1,M1148=phu!$I$2,M1148=phu!$I$3),"Cam Thành Nam",""),IF(OR(M1148=phu!$I$4,M1148=phu!$I$5,M1148=phu!$I$6,M1148=phu!$I$7,M1148=phu!$I$8,M1148=phu!$I$9,M1148=phu!$I$10,M1148=phu!$I$11,M1148=phu!$I$12,M1148=phu!$I$13,M1148=phu!$I$14),"Cam Nghĩa",""),IF(OR(M1148=phu!$I$15,M1148=phu!$I$16,M1148=phu!$I$17,M1148=phu!$I$18,M1148=phu!$I$19,M1148=phu!$I$20,M1148=phu!$I$21),"Cam Phúc Bắc",""),IF(OR(M1148=phu!$I$22,M1148=phu!$I$23,M1148=phu!$I$24,M1148=phu!$I$25),"Cam Phúc Nam",""),IF(OR(M1148=phu!$I$26,M1148=phu!$I$27,M1148=phu!$I$28,M1148=phu!$I$29,M1148=phu!$I$30,M1148=phu!$I$31),"Cam Phú",""),IF(OR(M1148=phu!$I$32,M1148=phu!$I$33,M1148=phu!$I$34,M1148=phu!$I$35,M1148=phu!$I$36,M1148=phu!$I$37),"Cam Lộc",""),IF(OR(M1148=phu!$I$38,M1148=phu!$I$39,M1148=phu!$I$40,M1148=phu!$I$41,M1148=phu!$I$42,M1148=phu!$I$43,M1148=phu!$I$44),"Cam Thuận",""),IF(OR(M1148=phu!$I$45,M1148=phu!$I$46,M1148=phu!$I$47,M1148=phu!$I$48,M1148=phu!$I$49,M1148=phu!$I$50,M1148=phu!$I$51,M1148=phu!$I$52,M1148=phu!$I$53),"Cam Linh",""),IF(OR(M1148=phu!$I$54,M1148=phu!$I$55,M1148=phu!$I$56,M1148=phu!$I$57,M1148=phu!$I$58,M1148=phu!$I$59,M1148=phu!$I$60,M1148=phu!$I$61,M1148=phu!$I$62),"Cam Lợi",""),IF(OR(M1148=phu!$I$63,M1148=phu!$I$64,M1148=phu!$I$65,M1148=phu!$I$66,M1148=phu!$I$67,M1148=phu!$I$68,M1148=phu!$I$69,M1148=phu!$I$70,M1148=phu!$I$71),"Ba Ngòi",""),IF(OR(M1148=phu!$I$72,M1148=phu!$I$73,M1148=phu!$I$74,M1148=phu!$I$75,M1148=phu!$I$76,M1148=phu!$I$77,M1148=phu!$I$78),"Cam Phước Đông",""),IF(OR(M1148=phu!$I$79,M1148=phu!$I$80,M1148=phu!$I$81,M1148=phu!$I$82,M1148=phu!$I$83,M1148=phu!$I$84),"Cam Thịnh Đông",""),IF(OR(M1148=phu!$I$85,M1148=phu!$I$86,M1148=phu!$I$87,M1148=phu!$I$88),"Cam Thịnh Tây",""),IF(OR(M1148=phu!$I$89,M1148=phu!$I$90),"Cam Lập",""),IF(OR(M1148=phu!$I$91,M1148=phu!$I$92,M1148=phu!$I$93),"Cam Bình",""),IF(OR(M1148=phu!$I$94,M1148=phu!$I$95,M1148=phu!$I$96,M1148=phu!$I$97,M1148=phu!$I$98,M1148=phu!$I$99,M1148=phu!$I$100),"Huyện khác",""),IF(OR(M1148=phu!$I$101,M1148=phu!$I$102),"Tỉnh khác",""))</f>
        <v/>
      </c>
      <c r="O1148" s="829" t="str">
        <f t="shared" si="102"/>
        <v/>
      </c>
      <c r="P1148" s="254"/>
      <c r="Q1148" s="254"/>
      <c r="R1148" s="254"/>
      <c r="S1148" s="254"/>
      <c r="T1148" s="254"/>
      <c r="U1148" s="254"/>
      <c r="V1148" s="254"/>
      <c r="W1148" s="254"/>
      <c r="Y1148" s="246" t="str">
        <f t="shared" si="103"/>
        <v/>
      </c>
      <c r="Z1148" s="247" t="str">
        <f t="shared" si="107"/>
        <v/>
      </c>
      <c r="AA1148" s="246" t="str">
        <f t="shared" si="104"/>
        <v/>
      </c>
    </row>
    <row r="1149" spans="1:27" x14ac:dyDescent="0.25">
      <c r="A1149" s="248" t="str">
        <f t="shared" si="105"/>
        <v/>
      </c>
      <c r="B1149" s="249" t="str">
        <f t="shared" si="106"/>
        <v/>
      </c>
      <c r="C1149" s="250"/>
      <c r="D1149" s="251"/>
      <c r="E1149" s="241"/>
      <c r="F1149" s="252"/>
      <c r="G1149" s="252"/>
      <c r="H1149" s="253"/>
      <c r="I1149" s="250"/>
      <c r="J1149" s="250"/>
      <c r="K1149" s="270"/>
      <c r="L1149" s="250"/>
      <c r="M1149" s="250"/>
      <c r="N1149" s="540" t="str">
        <f>CONCATENATE(IF(OR(M1149=phu!$I$1,M1149=phu!$I$2,M1149=phu!$I$3),"Cam Thành Nam",""),IF(OR(M1149=phu!$I$4,M1149=phu!$I$5,M1149=phu!$I$6,M1149=phu!$I$7,M1149=phu!$I$8,M1149=phu!$I$9,M1149=phu!$I$10,M1149=phu!$I$11,M1149=phu!$I$12,M1149=phu!$I$13,M1149=phu!$I$14),"Cam Nghĩa",""),IF(OR(M1149=phu!$I$15,M1149=phu!$I$16,M1149=phu!$I$17,M1149=phu!$I$18,M1149=phu!$I$19,M1149=phu!$I$20,M1149=phu!$I$21),"Cam Phúc Bắc",""),IF(OR(M1149=phu!$I$22,M1149=phu!$I$23,M1149=phu!$I$24,M1149=phu!$I$25),"Cam Phúc Nam",""),IF(OR(M1149=phu!$I$26,M1149=phu!$I$27,M1149=phu!$I$28,M1149=phu!$I$29,M1149=phu!$I$30,M1149=phu!$I$31),"Cam Phú",""),IF(OR(M1149=phu!$I$32,M1149=phu!$I$33,M1149=phu!$I$34,M1149=phu!$I$35,M1149=phu!$I$36,M1149=phu!$I$37),"Cam Lộc",""),IF(OR(M1149=phu!$I$38,M1149=phu!$I$39,M1149=phu!$I$40,M1149=phu!$I$41,M1149=phu!$I$42,M1149=phu!$I$43,M1149=phu!$I$44),"Cam Thuận",""),IF(OR(M1149=phu!$I$45,M1149=phu!$I$46,M1149=phu!$I$47,M1149=phu!$I$48,M1149=phu!$I$49,M1149=phu!$I$50,M1149=phu!$I$51,M1149=phu!$I$52,M1149=phu!$I$53),"Cam Linh",""),IF(OR(M1149=phu!$I$54,M1149=phu!$I$55,M1149=phu!$I$56,M1149=phu!$I$57,M1149=phu!$I$58,M1149=phu!$I$59,M1149=phu!$I$60,M1149=phu!$I$61,M1149=phu!$I$62),"Cam Lợi",""),IF(OR(M1149=phu!$I$63,M1149=phu!$I$64,M1149=phu!$I$65,M1149=phu!$I$66,M1149=phu!$I$67,M1149=phu!$I$68,M1149=phu!$I$69,M1149=phu!$I$70,M1149=phu!$I$71),"Ba Ngòi",""),IF(OR(M1149=phu!$I$72,M1149=phu!$I$73,M1149=phu!$I$74,M1149=phu!$I$75,M1149=phu!$I$76,M1149=phu!$I$77,M1149=phu!$I$78),"Cam Phước Đông",""),IF(OR(M1149=phu!$I$79,M1149=phu!$I$80,M1149=phu!$I$81,M1149=phu!$I$82,M1149=phu!$I$83,M1149=phu!$I$84),"Cam Thịnh Đông",""),IF(OR(M1149=phu!$I$85,M1149=phu!$I$86,M1149=phu!$I$87,M1149=phu!$I$88),"Cam Thịnh Tây",""),IF(OR(M1149=phu!$I$89,M1149=phu!$I$90),"Cam Lập",""),IF(OR(M1149=phu!$I$91,M1149=phu!$I$92,M1149=phu!$I$93),"Cam Bình",""),IF(OR(M1149=phu!$I$94,M1149=phu!$I$95,M1149=phu!$I$96,M1149=phu!$I$97,M1149=phu!$I$98,M1149=phu!$I$99,M1149=phu!$I$100),"Huyện khác",""),IF(OR(M1149=phu!$I$101,M1149=phu!$I$102),"Tỉnh khác",""))</f>
        <v/>
      </c>
      <c r="O1149" s="829" t="str">
        <f t="shared" si="102"/>
        <v/>
      </c>
      <c r="P1149" s="254"/>
      <c r="Q1149" s="254"/>
      <c r="R1149" s="254"/>
      <c r="S1149" s="254"/>
      <c r="T1149" s="254"/>
      <c r="U1149" s="254"/>
      <c r="V1149" s="254"/>
      <c r="W1149" s="254"/>
      <c r="Y1149" s="246" t="str">
        <f t="shared" si="103"/>
        <v/>
      </c>
      <c r="Z1149" s="247" t="str">
        <f t="shared" si="107"/>
        <v/>
      </c>
      <c r="AA1149" s="246" t="str">
        <f t="shared" si="104"/>
        <v/>
      </c>
    </row>
    <row r="1150" spans="1:27" x14ac:dyDescent="0.25">
      <c r="A1150" s="248" t="str">
        <f t="shared" si="105"/>
        <v/>
      </c>
      <c r="B1150" s="249" t="str">
        <f t="shared" si="106"/>
        <v/>
      </c>
      <c r="C1150" s="250"/>
      <c r="D1150" s="251"/>
      <c r="E1150" s="241"/>
      <c r="F1150" s="252"/>
      <c r="G1150" s="252"/>
      <c r="H1150" s="253"/>
      <c r="I1150" s="250"/>
      <c r="J1150" s="250"/>
      <c r="K1150" s="270"/>
      <c r="L1150" s="250"/>
      <c r="M1150" s="250"/>
      <c r="N1150" s="540" t="str">
        <f>CONCATENATE(IF(OR(M1150=phu!$I$1,M1150=phu!$I$2,M1150=phu!$I$3),"Cam Thành Nam",""),IF(OR(M1150=phu!$I$4,M1150=phu!$I$5,M1150=phu!$I$6,M1150=phu!$I$7,M1150=phu!$I$8,M1150=phu!$I$9,M1150=phu!$I$10,M1150=phu!$I$11,M1150=phu!$I$12,M1150=phu!$I$13,M1150=phu!$I$14),"Cam Nghĩa",""),IF(OR(M1150=phu!$I$15,M1150=phu!$I$16,M1150=phu!$I$17,M1150=phu!$I$18,M1150=phu!$I$19,M1150=phu!$I$20,M1150=phu!$I$21),"Cam Phúc Bắc",""),IF(OR(M1150=phu!$I$22,M1150=phu!$I$23,M1150=phu!$I$24,M1150=phu!$I$25),"Cam Phúc Nam",""),IF(OR(M1150=phu!$I$26,M1150=phu!$I$27,M1150=phu!$I$28,M1150=phu!$I$29,M1150=phu!$I$30,M1150=phu!$I$31),"Cam Phú",""),IF(OR(M1150=phu!$I$32,M1150=phu!$I$33,M1150=phu!$I$34,M1150=phu!$I$35,M1150=phu!$I$36,M1150=phu!$I$37),"Cam Lộc",""),IF(OR(M1150=phu!$I$38,M1150=phu!$I$39,M1150=phu!$I$40,M1150=phu!$I$41,M1150=phu!$I$42,M1150=phu!$I$43,M1150=phu!$I$44),"Cam Thuận",""),IF(OR(M1150=phu!$I$45,M1150=phu!$I$46,M1150=phu!$I$47,M1150=phu!$I$48,M1150=phu!$I$49,M1150=phu!$I$50,M1150=phu!$I$51,M1150=phu!$I$52,M1150=phu!$I$53),"Cam Linh",""),IF(OR(M1150=phu!$I$54,M1150=phu!$I$55,M1150=phu!$I$56,M1150=phu!$I$57,M1150=phu!$I$58,M1150=phu!$I$59,M1150=phu!$I$60,M1150=phu!$I$61,M1150=phu!$I$62),"Cam Lợi",""),IF(OR(M1150=phu!$I$63,M1150=phu!$I$64,M1150=phu!$I$65,M1150=phu!$I$66,M1150=phu!$I$67,M1150=phu!$I$68,M1150=phu!$I$69,M1150=phu!$I$70,M1150=phu!$I$71),"Ba Ngòi",""),IF(OR(M1150=phu!$I$72,M1150=phu!$I$73,M1150=phu!$I$74,M1150=phu!$I$75,M1150=phu!$I$76,M1150=phu!$I$77,M1150=phu!$I$78),"Cam Phước Đông",""),IF(OR(M1150=phu!$I$79,M1150=phu!$I$80,M1150=phu!$I$81,M1150=phu!$I$82,M1150=phu!$I$83,M1150=phu!$I$84),"Cam Thịnh Đông",""),IF(OR(M1150=phu!$I$85,M1150=phu!$I$86,M1150=phu!$I$87,M1150=phu!$I$88),"Cam Thịnh Tây",""),IF(OR(M1150=phu!$I$89,M1150=phu!$I$90),"Cam Lập",""),IF(OR(M1150=phu!$I$91,M1150=phu!$I$92,M1150=phu!$I$93),"Cam Bình",""),IF(OR(M1150=phu!$I$94,M1150=phu!$I$95,M1150=phu!$I$96,M1150=phu!$I$97,M1150=phu!$I$98,M1150=phu!$I$99,M1150=phu!$I$100),"Huyện khác",""),IF(OR(M1150=phu!$I$101,M1150=phu!$I$102),"Tỉnh khác",""))</f>
        <v/>
      </c>
      <c r="O1150" s="829" t="str">
        <f t="shared" si="102"/>
        <v/>
      </c>
      <c r="P1150" s="254"/>
      <c r="Q1150" s="254"/>
      <c r="R1150" s="254"/>
      <c r="S1150" s="254"/>
      <c r="T1150" s="254"/>
      <c r="U1150" s="254"/>
      <c r="V1150" s="254"/>
      <c r="W1150" s="254"/>
      <c r="Y1150" s="246" t="str">
        <f t="shared" si="103"/>
        <v/>
      </c>
      <c r="Z1150" s="247" t="str">
        <f t="shared" si="107"/>
        <v/>
      </c>
      <c r="AA1150" s="246" t="str">
        <f t="shared" si="104"/>
        <v/>
      </c>
    </row>
    <row r="1151" spans="1:27" x14ac:dyDescent="0.25">
      <c r="A1151" s="248" t="str">
        <f t="shared" si="105"/>
        <v/>
      </c>
      <c r="B1151" s="249" t="str">
        <f t="shared" si="106"/>
        <v/>
      </c>
      <c r="C1151" s="250"/>
      <c r="D1151" s="251"/>
      <c r="E1151" s="241"/>
      <c r="F1151" s="252"/>
      <c r="G1151" s="252"/>
      <c r="H1151" s="253"/>
      <c r="I1151" s="250"/>
      <c r="J1151" s="250"/>
      <c r="K1151" s="270"/>
      <c r="L1151" s="250"/>
      <c r="M1151" s="250"/>
      <c r="N1151" s="540" t="str">
        <f>CONCATENATE(IF(OR(M1151=phu!$I$1,M1151=phu!$I$2,M1151=phu!$I$3),"Cam Thành Nam",""),IF(OR(M1151=phu!$I$4,M1151=phu!$I$5,M1151=phu!$I$6,M1151=phu!$I$7,M1151=phu!$I$8,M1151=phu!$I$9,M1151=phu!$I$10,M1151=phu!$I$11,M1151=phu!$I$12,M1151=phu!$I$13,M1151=phu!$I$14),"Cam Nghĩa",""),IF(OR(M1151=phu!$I$15,M1151=phu!$I$16,M1151=phu!$I$17,M1151=phu!$I$18,M1151=phu!$I$19,M1151=phu!$I$20,M1151=phu!$I$21),"Cam Phúc Bắc",""),IF(OR(M1151=phu!$I$22,M1151=phu!$I$23,M1151=phu!$I$24,M1151=phu!$I$25),"Cam Phúc Nam",""),IF(OR(M1151=phu!$I$26,M1151=phu!$I$27,M1151=phu!$I$28,M1151=phu!$I$29,M1151=phu!$I$30,M1151=phu!$I$31),"Cam Phú",""),IF(OR(M1151=phu!$I$32,M1151=phu!$I$33,M1151=phu!$I$34,M1151=phu!$I$35,M1151=phu!$I$36,M1151=phu!$I$37),"Cam Lộc",""),IF(OR(M1151=phu!$I$38,M1151=phu!$I$39,M1151=phu!$I$40,M1151=phu!$I$41,M1151=phu!$I$42,M1151=phu!$I$43,M1151=phu!$I$44),"Cam Thuận",""),IF(OR(M1151=phu!$I$45,M1151=phu!$I$46,M1151=phu!$I$47,M1151=phu!$I$48,M1151=phu!$I$49,M1151=phu!$I$50,M1151=phu!$I$51,M1151=phu!$I$52,M1151=phu!$I$53),"Cam Linh",""),IF(OR(M1151=phu!$I$54,M1151=phu!$I$55,M1151=phu!$I$56,M1151=phu!$I$57,M1151=phu!$I$58,M1151=phu!$I$59,M1151=phu!$I$60,M1151=phu!$I$61,M1151=phu!$I$62),"Cam Lợi",""),IF(OR(M1151=phu!$I$63,M1151=phu!$I$64,M1151=phu!$I$65,M1151=phu!$I$66,M1151=phu!$I$67,M1151=phu!$I$68,M1151=phu!$I$69,M1151=phu!$I$70,M1151=phu!$I$71),"Ba Ngòi",""),IF(OR(M1151=phu!$I$72,M1151=phu!$I$73,M1151=phu!$I$74,M1151=phu!$I$75,M1151=phu!$I$76,M1151=phu!$I$77,M1151=phu!$I$78),"Cam Phước Đông",""),IF(OR(M1151=phu!$I$79,M1151=phu!$I$80,M1151=phu!$I$81,M1151=phu!$I$82,M1151=phu!$I$83,M1151=phu!$I$84),"Cam Thịnh Đông",""),IF(OR(M1151=phu!$I$85,M1151=phu!$I$86,M1151=phu!$I$87,M1151=phu!$I$88),"Cam Thịnh Tây",""),IF(OR(M1151=phu!$I$89,M1151=phu!$I$90),"Cam Lập",""),IF(OR(M1151=phu!$I$91,M1151=phu!$I$92,M1151=phu!$I$93),"Cam Bình",""),IF(OR(M1151=phu!$I$94,M1151=phu!$I$95,M1151=phu!$I$96,M1151=phu!$I$97,M1151=phu!$I$98,M1151=phu!$I$99,M1151=phu!$I$100),"Huyện khác",""),IF(OR(M1151=phu!$I$101,M1151=phu!$I$102),"Tỉnh khác",""))</f>
        <v/>
      </c>
      <c r="O1151" s="829" t="str">
        <f t="shared" si="102"/>
        <v/>
      </c>
      <c r="P1151" s="254"/>
      <c r="Q1151" s="254"/>
      <c r="R1151" s="254"/>
      <c r="S1151" s="254"/>
      <c r="T1151" s="254"/>
      <c r="U1151" s="254"/>
      <c r="V1151" s="254"/>
      <c r="W1151" s="254"/>
      <c r="Y1151" s="246" t="str">
        <f t="shared" si="103"/>
        <v/>
      </c>
      <c r="Z1151" s="247" t="str">
        <f t="shared" si="107"/>
        <v/>
      </c>
      <c r="AA1151" s="246" t="str">
        <f t="shared" si="104"/>
        <v/>
      </c>
    </row>
    <row r="1152" spans="1:27" x14ac:dyDescent="0.25">
      <c r="A1152" s="248" t="str">
        <f t="shared" si="105"/>
        <v/>
      </c>
      <c r="B1152" s="249" t="str">
        <f t="shared" si="106"/>
        <v/>
      </c>
      <c r="C1152" s="250"/>
      <c r="D1152" s="251"/>
      <c r="E1152" s="241"/>
      <c r="F1152" s="252"/>
      <c r="G1152" s="252"/>
      <c r="H1152" s="253"/>
      <c r="I1152" s="250"/>
      <c r="J1152" s="250"/>
      <c r="K1152" s="270"/>
      <c r="L1152" s="250"/>
      <c r="M1152" s="250"/>
      <c r="N1152" s="540" t="str">
        <f>CONCATENATE(IF(OR(M1152=phu!$I$1,M1152=phu!$I$2,M1152=phu!$I$3),"Cam Thành Nam",""),IF(OR(M1152=phu!$I$4,M1152=phu!$I$5,M1152=phu!$I$6,M1152=phu!$I$7,M1152=phu!$I$8,M1152=phu!$I$9,M1152=phu!$I$10,M1152=phu!$I$11,M1152=phu!$I$12,M1152=phu!$I$13,M1152=phu!$I$14),"Cam Nghĩa",""),IF(OR(M1152=phu!$I$15,M1152=phu!$I$16,M1152=phu!$I$17,M1152=phu!$I$18,M1152=phu!$I$19,M1152=phu!$I$20,M1152=phu!$I$21),"Cam Phúc Bắc",""),IF(OR(M1152=phu!$I$22,M1152=phu!$I$23,M1152=phu!$I$24,M1152=phu!$I$25),"Cam Phúc Nam",""),IF(OR(M1152=phu!$I$26,M1152=phu!$I$27,M1152=phu!$I$28,M1152=phu!$I$29,M1152=phu!$I$30,M1152=phu!$I$31),"Cam Phú",""),IF(OR(M1152=phu!$I$32,M1152=phu!$I$33,M1152=phu!$I$34,M1152=phu!$I$35,M1152=phu!$I$36,M1152=phu!$I$37),"Cam Lộc",""),IF(OR(M1152=phu!$I$38,M1152=phu!$I$39,M1152=phu!$I$40,M1152=phu!$I$41,M1152=phu!$I$42,M1152=phu!$I$43,M1152=phu!$I$44),"Cam Thuận",""),IF(OR(M1152=phu!$I$45,M1152=phu!$I$46,M1152=phu!$I$47,M1152=phu!$I$48,M1152=phu!$I$49,M1152=phu!$I$50,M1152=phu!$I$51,M1152=phu!$I$52,M1152=phu!$I$53),"Cam Linh",""),IF(OR(M1152=phu!$I$54,M1152=phu!$I$55,M1152=phu!$I$56,M1152=phu!$I$57,M1152=phu!$I$58,M1152=phu!$I$59,M1152=phu!$I$60,M1152=phu!$I$61,M1152=phu!$I$62),"Cam Lợi",""),IF(OR(M1152=phu!$I$63,M1152=phu!$I$64,M1152=phu!$I$65,M1152=phu!$I$66,M1152=phu!$I$67,M1152=phu!$I$68,M1152=phu!$I$69,M1152=phu!$I$70,M1152=phu!$I$71),"Ba Ngòi",""),IF(OR(M1152=phu!$I$72,M1152=phu!$I$73,M1152=phu!$I$74,M1152=phu!$I$75,M1152=phu!$I$76,M1152=phu!$I$77,M1152=phu!$I$78),"Cam Phước Đông",""),IF(OR(M1152=phu!$I$79,M1152=phu!$I$80,M1152=phu!$I$81,M1152=phu!$I$82,M1152=phu!$I$83,M1152=phu!$I$84),"Cam Thịnh Đông",""),IF(OR(M1152=phu!$I$85,M1152=phu!$I$86,M1152=phu!$I$87,M1152=phu!$I$88),"Cam Thịnh Tây",""),IF(OR(M1152=phu!$I$89,M1152=phu!$I$90),"Cam Lập",""),IF(OR(M1152=phu!$I$91,M1152=phu!$I$92,M1152=phu!$I$93),"Cam Bình",""),IF(OR(M1152=phu!$I$94,M1152=phu!$I$95,M1152=phu!$I$96,M1152=phu!$I$97,M1152=phu!$I$98,M1152=phu!$I$99,M1152=phu!$I$100),"Huyện khác",""),IF(OR(M1152=phu!$I$101,M1152=phu!$I$102),"Tỉnh khác",""))</f>
        <v/>
      </c>
      <c r="O1152" s="829" t="str">
        <f t="shared" si="102"/>
        <v/>
      </c>
      <c r="P1152" s="254"/>
      <c r="Q1152" s="254"/>
      <c r="R1152" s="254"/>
      <c r="S1152" s="254"/>
      <c r="T1152" s="254"/>
      <c r="U1152" s="254"/>
      <c r="V1152" s="254"/>
      <c r="W1152" s="254"/>
      <c r="Y1152" s="246" t="str">
        <f t="shared" si="103"/>
        <v/>
      </c>
      <c r="Z1152" s="247" t="str">
        <f t="shared" si="107"/>
        <v/>
      </c>
      <c r="AA1152" s="246" t="str">
        <f t="shared" si="104"/>
        <v/>
      </c>
    </row>
    <row r="1153" spans="1:27" x14ac:dyDescent="0.25">
      <c r="A1153" s="248" t="str">
        <f t="shared" si="105"/>
        <v/>
      </c>
      <c r="B1153" s="249" t="str">
        <f t="shared" si="106"/>
        <v/>
      </c>
      <c r="C1153" s="250"/>
      <c r="D1153" s="251"/>
      <c r="E1153" s="241"/>
      <c r="F1153" s="252"/>
      <c r="G1153" s="252"/>
      <c r="H1153" s="253"/>
      <c r="I1153" s="250"/>
      <c r="J1153" s="250"/>
      <c r="K1153" s="270"/>
      <c r="L1153" s="250"/>
      <c r="M1153" s="250"/>
      <c r="N1153" s="540" t="str">
        <f>CONCATENATE(IF(OR(M1153=phu!$I$1,M1153=phu!$I$2,M1153=phu!$I$3),"Cam Thành Nam",""),IF(OR(M1153=phu!$I$4,M1153=phu!$I$5,M1153=phu!$I$6,M1153=phu!$I$7,M1153=phu!$I$8,M1153=phu!$I$9,M1153=phu!$I$10,M1153=phu!$I$11,M1153=phu!$I$12,M1153=phu!$I$13,M1153=phu!$I$14),"Cam Nghĩa",""),IF(OR(M1153=phu!$I$15,M1153=phu!$I$16,M1153=phu!$I$17,M1153=phu!$I$18,M1153=phu!$I$19,M1153=phu!$I$20,M1153=phu!$I$21),"Cam Phúc Bắc",""),IF(OR(M1153=phu!$I$22,M1153=phu!$I$23,M1153=phu!$I$24,M1153=phu!$I$25),"Cam Phúc Nam",""),IF(OR(M1153=phu!$I$26,M1153=phu!$I$27,M1153=phu!$I$28,M1153=phu!$I$29,M1153=phu!$I$30,M1153=phu!$I$31),"Cam Phú",""),IF(OR(M1153=phu!$I$32,M1153=phu!$I$33,M1153=phu!$I$34,M1153=phu!$I$35,M1153=phu!$I$36,M1153=phu!$I$37),"Cam Lộc",""),IF(OR(M1153=phu!$I$38,M1153=phu!$I$39,M1153=phu!$I$40,M1153=phu!$I$41,M1153=phu!$I$42,M1153=phu!$I$43,M1153=phu!$I$44),"Cam Thuận",""),IF(OR(M1153=phu!$I$45,M1153=phu!$I$46,M1153=phu!$I$47,M1153=phu!$I$48,M1153=phu!$I$49,M1153=phu!$I$50,M1153=phu!$I$51,M1153=phu!$I$52,M1153=phu!$I$53),"Cam Linh",""),IF(OR(M1153=phu!$I$54,M1153=phu!$I$55,M1153=phu!$I$56,M1153=phu!$I$57,M1153=phu!$I$58,M1153=phu!$I$59,M1153=phu!$I$60,M1153=phu!$I$61,M1153=phu!$I$62),"Cam Lợi",""),IF(OR(M1153=phu!$I$63,M1153=phu!$I$64,M1153=phu!$I$65,M1153=phu!$I$66,M1153=phu!$I$67,M1153=phu!$I$68,M1153=phu!$I$69,M1153=phu!$I$70,M1153=phu!$I$71),"Ba Ngòi",""),IF(OR(M1153=phu!$I$72,M1153=phu!$I$73,M1153=phu!$I$74,M1153=phu!$I$75,M1153=phu!$I$76,M1153=phu!$I$77,M1153=phu!$I$78),"Cam Phước Đông",""),IF(OR(M1153=phu!$I$79,M1153=phu!$I$80,M1153=phu!$I$81,M1153=phu!$I$82,M1153=phu!$I$83,M1153=phu!$I$84),"Cam Thịnh Đông",""),IF(OR(M1153=phu!$I$85,M1153=phu!$I$86,M1153=phu!$I$87,M1153=phu!$I$88),"Cam Thịnh Tây",""),IF(OR(M1153=phu!$I$89,M1153=phu!$I$90),"Cam Lập",""),IF(OR(M1153=phu!$I$91,M1153=phu!$I$92,M1153=phu!$I$93),"Cam Bình",""),IF(OR(M1153=phu!$I$94,M1153=phu!$I$95,M1153=phu!$I$96,M1153=phu!$I$97,M1153=phu!$I$98,M1153=phu!$I$99,M1153=phu!$I$100),"Huyện khác",""),IF(OR(M1153=phu!$I$101,M1153=phu!$I$102),"Tỉnh khác",""))</f>
        <v/>
      </c>
      <c r="O1153" s="829" t="str">
        <f t="shared" si="102"/>
        <v/>
      </c>
      <c r="P1153" s="254"/>
      <c r="Q1153" s="254"/>
      <c r="R1153" s="254"/>
      <c r="S1153" s="254"/>
      <c r="T1153" s="254"/>
      <c r="U1153" s="254"/>
      <c r="V1153" s="254"/>
      <c r="W1153" s="254"/>
      <c r="Y1153" s="246" t="str">
        <f t="shared" si="103"/>
        <v/>
      </c>
      <c r="Z1153" s="247" t="str">
        <f t="shared" si="107"/>
        <v/>
      </c>
      <c r="AA1153" s="246" t="str">
        <f t="shared" si="104"/>
        <v/>
      </c>
    </row>
    <row r="1154" spans="1:27" x14ac:dyDescent="0.25">
      <c r="A1154" s="248" t="str">
        <f t="shared" si="105"/>
        <v/>
      </c>
      <c r="B1154" s="249" t="str">
        <f t="shared" si="106"/>
        <v/>
      </c>
      <c r="C1154" s="250"/>
      <c r="D1154" s="251"/>
      <c r="E1154" s="241"/>
      <c r="F1154" s="252"/>
      <c r="G1154" s="252"/>
      <c r="H1154" s="253"/>
      <c r="I1154" s="250"/>
      <c r="J1154" s="250"/>
      <c r="K1154" s="270"/>
      <c r="L1154" s="250"/>
      <c r="M1154" s="250"/>
      <c r="N1154" s="540" t="str">
        <f>CONCATENATE(IF(OR(M1154=phu!$I$1,M1154=phu!$I$2,M1154=phu!$I$3),"Cam Thành Nam",""),IF(OR(M1154=phu!$I$4,M1154=phu!$I$5,M1154=phu!$I$6,M1154=phu!$I$7,M1154=phu!$I$8,M1154=phu!$I$9,M1154=phu!$I$10,M1154=phu!$I$11,M1154=phu!$I$12,M1154=phu!$I$13,M1154=phu!$I$14),"Cam Nghĩa",""),IF(OR(M1154=phu!$I$15,M1154=phu!$I$16,M1154=phu!$I$17,M1154=phu!$I$18,M1154=phu!$I$19,M1154=phu!$I$20,M1154=phu!$I$21),"Cam Phúc Bắc",""),IF(OR(M1154=phu!$I$22,M1154=phu!$I$23,M1154=phu!$I$24,M1154=phu!$I$25),"Cam Phúc Nam",""),IF(OR(M1154=phu!$I$26,M1154=phu!$I$27,M1154=phu!$I$28,M1154=phu!$I$29,M1154=phu!$I$30,M1154=phu!$I$31),"Cam Phú",""),IF(OR(M1154=phu!$I$32,M1154=phu!$I$33,M1154=phu!$I$34,M1154=phu!$I$35,M1154=phu!$I$36,M1154=phu!$I$37),"Cam Lộc",""),IF(OR(M1154=phu!$I$38,M1154=phu!$I$39,M1154=phu!$I$40,M1154=phu!$I$41,M1154=phu!$I$42,M1154=phu!$I$43,M1154=phu!$I$44),"Cam Thuận",""),IF(OR(M1154=phu!$I$45,M1154=phu!$I$46,M1154=phu!$I$47,M1154=phu!$I$48,M1154=phu!$I$49,M1154=phu!$I$50,M1154=phu!$I$51,M1154=phu!$I$52,M1154=phu!$I$53),"Cam Linh",""),IF(OR(M1154=phu!$I$54,M1154=phu!$I$55,M1154=phu!$I$56,M1154=phu!$I$57,M1154=phu!$I$58,M1154=phu!$I$59,M1154=phu!$I$60,M1154=phu!$I$61,M1154=phu!$I$62),"Cam Lợi",""),IF(OR(M1154=phu!$I$63,M1154=phu!$I$64,M1154=phu!$I$65,M1154=phu!$I$66,M1154=phu!$I$67,M1154=phu!$I$68,M1154=phu!$I$69,M1154=phu!$I$70,M1154=phu!$I$71),"Ba Ngòi",""),IF(OR(M1154=phu!$I$72,M1154=phu!$I$73,M1154=phu!$I$74,M1154=phu!$I$75,M1154=phu!$I$76,M1154=phu!$I$77,M1154=phu!$I$78),"Cam Phước Đông",""),IF(OR(M1154=phu!$I$79,M1154=phu!$I$80,M1154=phu!$I$81,M1154=phu!$I$82,M1154=phu!$I$83,M1154=phu!$I$84),"Cam Thịnh Đông",""),IF(OR(M1154=phu!$I$85,M1154=phu!$I$86,M1154=phu!$I$87,M1154=phu!$I$88),"Cam Thịnh Tây",""),IF(OR(M1154=phu!$I$89,M1154=phu!$I$90),"Cam Lập",""),IF(OR(M1154=phu!$I$91,M1154=phu!$I$92,M1154=phu!$I$93),"Cam Bình",""),IF(OR(M1154=phu!$I$94,M1154=phu!$I$95,M1154=phu!$I$96,M1154=phu!$I$97,M1154=phu!$I$98,M1154=phu!$I$99,M1154=phu!$I$100),"Huyện khác",""),IF(OR(M1154=phu!$I$101,M1154=phu!$I$102),"Tỉnh khác",""))</f>
        <v/>
      </c>
      <c r="O1154" s="829" t="str">
        <f t="shared" si="102"/>
        <v/>
      </c>
      <c r="P1154" s="254"/>
      <c r="Q1154" s="254"/>
      <c r="R1154" s="254"/>
      <c r="S1154" s="254"/>
      <c r="T1154" s="254"/>
      <c r="U1154" s="254"/>
      <c r="V1154" s="254"/>
      <c r="W1154" s="254"/>
      <c r="Y1154" s="246" t="str">
        <f t="shared" si="103"/>
        <v/>
      </c>
      <c r="Z1154" s="247" t="str">
        <f t="shared" si="107"/>
        <v/>
      </c>
      <c r="AA1154" s="246" t="str">
        <f t="shared" si="104"/>
        <v/>
      </c>
    </row>
    <row r="1155" spans="1:27" x14ac:dyDescent="0.25">
      <c r="A1155" s="248" t="str">
        <f t="shared" si="105"/>
        <v/>
      </c>
      <c r="B1155" s="249" t="str">
        <f t="shared" si="106"/>
        <v/>
      </c>
      <c r="C1155" s="250"/>
      <c r="D1155" s="251"/>
      <c r="E1155" s="241"/>
      <c r="F1155" s="252"/>
      <c r="G1155" s="252"/>
      <c r="H1155" s="253"/>
      <c r="I1155" s="250"/>
      <c r="J1155" s="250"/>
      <c r="K1155" s="270"/>
      <c r="L1155" s="250"/>
      <c r="M1155" s="250"/>
      <c r="N1155" s="540" t="str">
        <f>CONCATENATE(IF(OR(M1155=phu!$I$1,M1155=phu!$I$2,M1155=phu!$I$3),"Cam Thành Nam",""),IF(OR(M1155=phu!$I$4,M1155=phu!$I$5,M1155=phu!$I$6,M1155=phu!$I$7,M1155=phu!$I$8,M1155=phu!$I$9,M1155=phu!$I$10,M1155=phu!$I$11,M1155=phu!$I$12,M1155=phu!$I$13,M1155=phu!$I$14),"Cam Nghĩa",""),IF(OR(M1155=phu!$I$15,M1155=phu!$I$16,M1155=phu!$I$17,M1155=phu!$I$18,M1155=phu!$I$19,M1155=phu!$I$20,M1155=phu!$I$21),"Cam Phúc Bắc",""),IF(OR(M1155=phu!$I$22,M1155=phu!$I$23,M1155=phu!$I$24,M1155=phu!$I$25),"Cam Phúc Nam",""),IF(OR(M1155=phu!$I$26,M1155=phu!$I$27,M1155=phu!$I$28,M1155=phu!$I$29,M1155=phu!$I$30,M1155=phu!$I$31),"Cam Phú",""),IF(OR(M1155=phu!$I$32,M1155=phu!$I$33,M1155=phu!$I$34,M1155=phu!$I$35,M1155=phu!$I$36,M1155=phu!$I$37),"Cam Lộc",""),IF(OR(M1155=phu!$I$38,M1155=phu!$I$39,M1155=phu!$I$40,M1155=phu!$I$41,M1155=phu!$I$42,M1155=phu!$I$43,M1155=phu!$I$44),"Cam Thuận",""),IF(OR(M1155=phu!$I$45,M1155=phu!$I$46,M1155=phu!$I$47,M1155=phu!$I$48,M1155=phu!$I$49,M1155=phu!$I$50,M1155=phu!$I$51,M1155=phu!$I$52,M1155=phu!$I$53),"Cam Linh",""),IF(OR(M1155=phu!$I$54,M1155=phu!$I$55,M1155=phu!$I$56,M1155=phu!$I$57,M1155=phu!$I$58,M1155=phu!$I$59,M1155=phu!$I$60,M1155=phu!$I$61,M1155=phu!$I$62),"Cam Lợi",""),IF(OR(M1155=phu!$I$63,M1155=phu!$I$64,M1155=phu!$I$65,M1155=phu!$I$66,M1155=phu!$I$67,M1155=phu!$I$68,M1155=phu!$I$69,M1155=phu!$I$70,M1155=phu!$I$71),"Ba Ngòi",""),IF(OR(M1155=phu!$I$72,M1155=phu!$I$73,M1155=phu!$I$74,M1155=phu!$I$75,M1155=phu!$I$76,M1155=phu!$I$77,M1155=phu!$I$78),"Cam Phước Đông",""),IF(OR(M1155=phu!$I$79,M1155=phu!$I$80,M1155=phu!$I$81,M1155=phu!$I$82,M1155=phu!$I$83,M1155=phu!$I$84),"Cam Thịnh Đông",""),IF(OR(M1155=phu!$I$85,M1155=phu!$I$86,M1155=phu!$I$87,M1155=phu!$I$88),"Cam Thịnh Tây",""),IF(OR(M1155=phu!$I$89,M1155=phu!$I$90),"Cam Lập",""),IF(OR(M1155=phu!$I$91,M1155=phu!$I$92,M1155=phu!$I$93),"Cam Bình",""),IF(OR(M1155=phu!$I$94,M1155=phu!$I$95,M1155=phu!$I$96,M1155=phu!$I$97,M1155=phu!$I$98,M1155=phu!$I$99,M1155=phu!$I$100),"Huyện khác",""),IF(OR(M1155=phu!$I$101,M1155=phu!$I$102),"Tỉnh khác",""))</f>
        <v/>
      </c>
      <c r="O1155" s="829" t="str">
        <f t="shared" si="102"/>
        <v/>
      </c>
      <c r="P1155" s="254"/>
      <c r="Q1155" s="254"/>
      <c r="R1155" s="254"/>
      <c r="S1155" s="254"/>
      <c r="T1155" s="254"/>
      <c r="U1155" s="254"/>
      <c r="V1155" s="254"/>
      <c r="W1155" s="254"/>
      <c r="Y1155" s="246" t="str">
        <f t="shared" si="103"/>
        <v/>
      </c>
      <c r="Z1155" s="247" t="str">
        <f t="shared" si="107"/>
        <v/>
      </c>
      <c r="AA1155" s="246" t="str">
        <f t="shared" si="104"/>
        <v/>
      </c>
    </row>
    <row r="1156" spans="1:27" x14ac:dyDescent="0.25">
      <c r="A1156" s="248" t="str">
        <f t="shared" si="105"/>
        <v/>
      </c>
      <c r="B1156" s="249" t="str">
        <f t="shared" si="106"/>
        <v/>
      </c>
      <c r="C1156" s="250"/>
      <c r="D1156" s="251"/>
      <c r="E1156" s="241"/>
      <c r="F1156" s="252"/>
      <c r="G1156" s="252"/>
      <c r="H1156" s="253"/>
      <c r="I1156" s="250"/>
      <c r="J1156" s="250"/>
      <c r="K1156" s="270"/>
      <c r="L1156" s="250"/>
      <c r="M1156" s="250"/>
      <c r="N1156" s="540" t="str">
        <f>CONCATENATE(IF(OR(M1156=phu!$I$1,M1156=phu!$I$2,M1156=phu!$I$3),"Cam Thành Nam",""),IF(OR(M1156=phu!$I$4,M1156=phu!$I$5,M1156=phu!$I$6,M1156=phu!$I$7,M1156=phu!$I$8,M1156=phu!$I$9,M1156=phu!$I$10,M1156=phu!$I$11,M1156=phu!$I$12,M1156=phu!$I$13,M1156=phu!$I$14),"Cam Nghĩa",""),IF(OR(M1156=phu!$I$15,M1156=phu!$I$16,M1156=phu!$I$17,M1156=phu!$I$18,M1156=phu!$I$19,M1156=phu!$I$20,M1156=phu!$I$21),"Cam Phúc Bắc",""),IF(OR(M1156=phu!$I$22,M1156=phu!$I$23,M1156=phu!$I$24,M1156=phu!$I$25),"Cam Phúc Nam",""),IF(OR(M1156=phu!$I$26,M1156=phu!$I$27,M1156=phu!$I$28,M1156=phu!$I$29,M1156=phu!$I$30,M1156=phu!$I$31),"Cam Phú",""),IF(OR(M1156=phu!$I$32,M1156=phu!$I$33,M1156=phu!$I$34,M1156=phu!$I$35,M1156=phu!$I$36,M1156=phu!$I$37),"Cam Lộc",""),IF(OR(M1156=phu!$I$38,M1156=phu!$I$39,M1156=phu!$I$40,M1156=phu!$I$41,M1156=phu!$I$42,M1156=phu!$I$43,M1156=phu!$I$44),"Cam Thuận",""),IF(OR(M1156=phu!$I$45,M1156=phu!$I$46,M1156=phu!$I$47,M1156=phu!$I$48,M1156=phu!$I$49,M1156=phu!$I$50,M1156=phu!$I$51,M1156=phu!$I$52,M1156=phu!$I$53),"Cam Linh",""),IF(OR(M1156=phu!$I$54,M1156=phu!$I$55,M1156=phu!$I$56,M1156=phu!$I$57,M1156=phu!$I$58,M1156=phu!$I$59,M1156=phu!$I$60,M1156=phu!$I$61,M1156=phu!$I$62),"Cam Lợi",""),IF(OR(M1156=phu!$I$63,M1156=phu!$I$64,M1156=phu!$I$65,M1156=phu!$I$66,M1156=phu!$I$67,M1156=phu!$I$68,M1156=phu!$I$69,M1156=phu!$I$70,M1156=phu!$I$71),"Ba Ngòi",""),IF(OR(M1156=phu!$I$72,M1156=phu!$I$73,M1156=phu!$I$74,M1156=phu!$I$75,M1156=phu!$I$76,M1156=phu!$I$77,M1156=phu!$I$78),"Cam Phước Đông",""),IF(OR(M1156=phu!$I$79,M1156=phu!$I$80,M1156=phu!$I$81,M1156=phu!$I$82,M1156=phu!$I$83,M1156=phu!$I$84),"Cam Thịnh Đông",""),IF(OR(M1156=phu!$I$85,M1156=phu!$I$86,M1156=phu!$I$87,M1156=phu!$I$88),"Cam Thịnh Tây",""),IF(OR(M1156=phu!$I$89,M1156=phu!$I$90),"Cam Lập",""),IF(OR(M1156=phu!$I$91,M1156=phu!$I$92,M1156=phu!$I$93),"Cam Bình",""),IF(OR(M1156=phu!$I$94,M1156=phu!$I$95,M1156=phu!$I$96,M1156=phu!$I$97,M1156=phu!$I$98,M1156=phu!$I$99,M1156=phu!$I$100),"Huyện khác",""),IF(OR(M1156=phu!$I$101,M1156=phu!$I$102),"Tỉnh khác",""))</f>
        <v/>
      </c>
      <c r="O1156" s="829" t="str">
        <f t="shared" si="102"/>
        <v/>
      </c>
      <c r="P1156" s="254"/>
      <c r="Q1156" s="254"/>
      <c r="R1156" s="254"/>
      <c r="S1156" s="254"/>
      <c r="T1156" s="254"/>
      <c r="U1156" s="254"/>
      <c r="V1156" s="254"/>
      <c r="W1156" s="254"/>
      <c r="Y1156" s="246" t="str">
        <f t="shared" si="103"/>
        <v/>
      </c>
      <c r="Z1156" s="247" t="str">
        <f t="shared" si="107"/>
        <v/>
      </c>
      <c r="AA1156" s="246" t="str">
        <f t="shared" si="104"/>
        <v/>
      </c>
    </row>
    <row r="1157" spans="1:27" x14ac:dyDescent="0.25">
      <c r="A1157" s="248" t="str">
        <f t="shared" si="105"/>
        <v/>
      </c>
      <c r="B1157" s="249" t="str">
        <f t="shared" si="106"/>
        <v/>
      </c>
      <c r="C1157" s="250"/>
      <c r="D1157" s="251"/>
      <c r="E1157" s="241"/>
      <c r="F1157" s="252"/>
      <c r="G1157" s="252"/>
      <c r="H1157" s="253"/>
      <c r="I1157" s="250"/>
      <c r="J1157" s="250"/>
      <c r="K1157" s="270"/>
      <c r="L1157" s="250"/>
      <c r="M1157" s="250"/>
      <c r="N1157" s="540" t="str">
        <f>CONCATENATE(IF(OR(M1157=phu!$I$1,M1157=phu!$I$2,M1157=phu!$I$3),"Cam Thành Nam",""),IF(OR(M1157=phu!$I$4,M1157=phu!$I$5,M1157=phu!$I$6,M1157=phu!$I$7,M1157=phu!$I$8,M1157=phu!$I$9,M1157=phu!$I$10,M1157=phu!$I$11,M1157=phu!$I$12,M1157=phu!$I$13,M1157=phu!$I$14),"Cam Nghĩa",""),IF(OR(M1157=phu!$I$15,M1157=phu!$I$16,M1157=phu!$I$17,M1157=phu!$I$18,M1157=phu!$I$19,M1157=phu!$I$20,M1157=phu!$I$21),"Cam Phúc Bắc",""),IF(OR(M1157=phu!$I$22,M1157=phu!$I$23,M1157=phu!$I$24,M1157=phu!$I$25),"Cam Phúc Nam",""),IF(OR(M1157=phu!$I$26,M1157=phu!$I$27,M1157=phu!$I$28,M1157=phu!$I$29,M1157=phu!$I$30,M1157=phu!$I$31),"Cam Phú",""),IF(OR(M1157=phu!$I$32,M1157=phu!$I$33,M1157=phu!$I$34,M1157=phu!$I$35,M1157=phu!$I$36,M1157=phu!$I$37),"Cam Lộc",""),IF(OR(M1157=phu!$I$38,M1157=phu!$I$39,M1157=phu!$I$40,M1157=phu!$I$41,M1157=phu!$I$42,M1157=phu!$I$43,M1157=phu!$I$44),"Cam Thuận",""),IF(OR(M1157=phu!$I$45,M1157=phu!$I$46,M1157=phu!$I$47,M1157=phu!$I$48,M1157=phu!$I$49,M1157=phu!$I$50,M1157=phu!$I$51,M1157=phu!$I$52,M1157=phu!$I$53),"Cam Linh",""),IF(OR(M1157=phu!$I$54,M1157=phu!$I$55,M1157=phu!$I$56,M1157=phu!$I$57,M1157=phu!$I$58,M1157=phu!$I$59,M1157=phu!$I$60,M1157=phu!$I$61,M1157=phu!$I$62),"Cam Lợi",""),IF(OR(M1157=phu!$I$63,M1157=phu!$I$64,M1157=phu!$I$65,M1157=phu!$I$66,M1157=phu!$I$67,M1157=phu!$I$68,M1157=phu!$I$69,M1157=phu!$I$70,M1157=phu!$I$71),"Ba Ngòi",""),IF(OR(M1157=phu!$I$72,M1157=phu!$I$73,M1157=phu!$I$74,M1157=phu!$I$75,M1157=phu!$I$76,M1157=phu!$I$77,M1157=phu!$I$78),"Cam Phước Đông",""),IF(OR(M1157=phu!$I$79,M1157=phu!$I$80,M1157=phu!$I$81,M1157=phu!$I$82,M1157=phu!$I$83,M1157=phu!$I$84),"Cam Thịnh Đông",""),IF(OR(M1157=phu!$I$85,M1157=phu!$I$86,M1157=phu!$I$87,M1157=phu!$I$88),"Cam Thịnh Tây",""),IF(OR(M1157=phu!$I$89,M1157=phu!$I$90),"Cam Lập",""),IF(OR(M1157=phu!$I$91,M1157=phu!$I$92,M1157=phu!$I$93),"Cam Bình",""),IF(OR(M1157=phu!$I$94,M1157=phu!$I$95,M1157=phu!$I$96,M1157=phu!$I$97,M1157=phu!$I$98,M1157=phu!$I$99,M1157=phu!$I$100),"Huyện khác",""),IF(OR(M1157=phu!$I$101,M1157=phu!$I$102),"Tỉnh khác",""))</f>
        <v/>
      </c>
      <c r="O1157" s="829" t="str">
        <f t="shared" si="102"/>
        <v/>
      </c>
      <c r="P1157" s="254"/>
      <c r="Q1157" s="254"/>
      <c r="R1157" s="254"/>
      <c r="S1157" s="254"/>
      <c r="T1157" s="254"/>
      <c r="U1157" s="254"/>
      <c r="V1157" s="254"/>
      <c r="W1157" s="254"/>
      <c r="Y1157" s="246" t="str">
        <f t="shared" si="103"/>
        <v/>
      </c>
      <c r="Z1157" s="247" t="str">
        <f t="shared" si="107"/>
        <v/>
      </c>
      <c r="AA1157" s="246" t="str">
        <f t="shared" si="104"/>
        <v/>
      </c>
    </row>
    <row r="1158" spans="1:27" x14ac:dyDescent="0.25">
      <c r="A1158" s="248" t="str">
        <f t="shared" si="105"/>
        <v/>
      </c>
      <c r="B1158" s="249" t="str">
        <f t="shared" si="106"/>
        <v/>
      </c>
      <c r="C1158" s="250"/>
      <c r="D1158" s="251"/>
      <c r="E1158" s="241"/>
      <c r="F1158" s="252"/>
      <c r="G1158" s="252"/>
      <c r="H1158" s="253"/>
      <c r="I1158" s="250"/>
      <c r="J1158" s="250"/>
      <c r="K1158" s="270"/>
      <c r="L1158" s="250"/>
      <c r="M1158" s="250"/>
      <c r="N1158" s="540" t="str">
        <f>CONCATENATE(IF(OR(M1158=phu!$I$1,M1158=phu!$I$2,M1158=phu!$I$3),"Cam Thành Nam",""),IF(OR(M1158=phu!$I$4,M1158=phu!$I$5,M1158=phu!$I$6,M1158=phu!$I$7,M1158=phu!$I$8,M1158=phu!$I$9,M1158=phu!$I$10,M1158=phu!$I$11,M1158=phu!$I$12,M1158=phu!$I$13,M1158=phu!$I$14),"Cam Nghĩa",""),IF(OR(M1158=phu!$I$15,M1158=phu!$I$16,M1158=phu!$I$17,M1158=phu!$I$18,M1158=phu!$I$19,M1158=phu!$I$20,M1158=phu!$I$21),"Cam Phúc Bắc",""),IF(OR(M1158=phu!$I$22,M1158=phu!$I$23,M1158=phu!$I$24,M1158=phu!$I$25),"Cam Phúc Nam",""),IF(OR(M1158=phu!$I$26,M1158=phu!$I$27,M1158=phu!$I$28,M1158=phu!$I$29,M1158=phu!$I$30,M1158=phu!$I$31),"Cam Phú",""),IF(OR(M1158=phu!$I$32,M1158=phu!$I$33,M1158=phu!$I$34,M1158=phu!$I$35,M1158=phu!$I$36,M1158=phu!$I$37),"Cam Lộc",""),IF(OR(M1158=phu!$I$38,M1158=phu!$I$39,M1158=phu!$I$40,M1158=phu!$I$41,M1158=phu!$I$42,M1158=phu!$I$43,M1158=phu!$I$44),"Cam Thuận",""),IF(OR(M1158=phu!$I$45,M1158=phu!$I$46,M1158=phu!$I$47,M1158=phu!$I$48,M1158=phu!$I$49,M1158=phu!$I$50,M1158=phu!$I$51,M1158=phu!$I$52,M1158=phu!$I$53),"Cam Linh",""),IF(OR(M1158=phu!$I$54,M1158=phu!$I$55,M1158=phu!$I$56,M1158=phu!$I$57,M1158=phu!$I$58,M1158=phu!$I$59,M1158=phu!$I$60,M1158=phu!$I$61,M1158=phu!$I$62),"Cam Lợi",""),IF(OR(M1158=phu!$I$63,M1158=phu!$I$64,M1158=phu!$I$65,M1158=phu!$I$66,M1158=phu!$I$67,M1158=phu!$I$68,M1158=phu!$I$69,M1158=phu!$I$70,M1158=phu!$I$71),"Ba Ngòi",""),IF(OR(M1158=phu!$I$72,M1158=phu!$I$73,M1158=phu!$I$74,M1158=phu!$I$75,M1158=phu!$I$76,M1158=phu!$I$77,M1158=phu!$I$78),"Cam Phước Đông",""),IF(OR(M1158=phu!$I$79,M1158=phu!$I$80,M1158=phu!$I$81,M1158=phu!$I$82,M1158=phu!$I$83,M1158=phu!$I$84),"Cam Thịnh Đông",""),IF(OR(M1158=phu!$I$85,M1158=phu!$I$86,M1158=phu!$I$87,M1158=phu!$I$88),"Cam Thịnh Tây",""),IF(OR(M1158=phu!$I$89,M1158=phu!$I$90),"Cam Lập",""),IF(OR(M1158=phu!$I$91,M1158=phu!$I$92,M1158=phu!$I$93),"Cam Bình",""),IF(OR(M1158=phu!$I$94,M1158=phu!$I$95,M1158=phu!$I$96,M1158=phu!$I$97,M1158=phu!$I$98,M1158=phu!$I$99,M1158=phu!$I$100),"Huyện khác",""),IF(OR(M1158=phu!$I$101,M1158=phu!$I$102),"Tỉnh khác",""))</f>
        <v/>
      </c>
      <c r="O1158" s="829" t="str">
        <f t="shared" si="102"/>
        <v/>
      </c>
      <c r="P1158" s="254"/>
      <c r="Q1158" s="254"/>
      <c r="R1158" s="254"/>
      <c r="S1158" s="254"/>
      <c r="T1158" s="254"/>
      <c r="U1158" s="254"/>
      <c r="V1158" s="254"/>
      <c r="W1158" s="254"/>
      <c r="Y1158" s="246" t="str">
        <f t="shared" si="103"/>
        <v/>
      </c>
      <c r="Z1158" s="247" t="str">
        <f t="shared" si="107"/>
        <v/>
      </c>
      <c r="AA1158" s="246" t="str">
        <f t="shared" si="104"/>
        <v/>
      </c>
    </row>
    <row r="1159" spans="1:27" x14ac:dyDescent="0.25">
      <c r="A1159" s="248" t="str">
        <f t="shared" si="105"/>
        <v/>
      </c>
      <c r="B1159" s="249" t="str">
        <f t="shared" si="106"/>
        <v/>
      </c>
      <c r="C1159" s="250"/>
      <c r="D1159" s="251"/>
      <c r="E1159" s="241"/>
      <c r="F1159" s="252"/>
      <c r="G1159" s="252"/>
      <c r="H1159" s="253"/>
      <c r="I1159" s="250"/>
      <c r="J1159" s="250"/>
      <c r="K1159" s="270"/>
      <c r="L1159" s="250"/>
      <c r="M1159" s="250"/>
      <c r="N1159" s="540" t="str">
        <f>CONCATENATE(IF(OR(M1159=phu!$I$1,M1159=phu!$I$2,M1159=phu!$I$3),"Cam Thành Nam",""),IF(OR(M1159=phu!$I$4,M1159=phu!$I$5,M1159=phu!$I$6,M1159=phu!$I$7,M1159=phu!$I$8,M1159=phu!$I$9,M1159=phu!$I$10,M1159=phu!$I$11,M1159=phu!$I$12,M1159=phu!$I$13,M1159=phu!$I$14),"Cam Nghĩa",""),IF(OR(M1159=phu!$I$15,M1159=phu!$I$16,M1159=phu!$I$17,M1159=phu!$I$18,M1159=phu!$I$19,M1159=phu!$I$20,M1159=phu!$I$21),"Cam Phúc Bắc",""),IF(OR(M1159=phu!$I$22,M1159=phu!$I$23,M1159=phu!$I$24,M1159=phu!$I$25),"Cam Phúc Nam",""),IF(OR(M1159=phu!$I$26,M1159=phu!$I$27,M1159=phu!$I$28,M1159=phu!$I$29,M1159=phu!$I$30,M1159=phu!$I$31),"Cam Phú",""),IF(OR(M1159=phu!$I$32,M1159=phu!$I$33,M1159=phu!$I$34,M1159=phu!$I$35,M1159=phu!$I$36,M1159=phu!$I$37),"Cam Lộc",""),IF(OR(M1159=phu!$I$38,M1159=phu!$I$39,M1159=phu!$I$40,M1159=phu!$I$41,M1159=phu!$I$42,M1159=phu!$I$43,M1159=phu!$I$44),"Cam Thuận",""),IF(OR(M1159=phu!$I$45,M1159=phu!$I$46,M1159=phu!$I$47,M1159=phu!$I$48,M1159=phu!$I$49,M1159=phu!$I$50,M1159=phu!$I$51,M1159=phu!$I$52,M1159=phu!$I$53),"Cam Linh",""),IF(OR(M1159=phu!$I$54,M1159=phu!$I$55,M1159=phu!$I$56,M1159=phu!$I$57,M1159=phu!$I$58,M1159=phu!$I$59,M1159=phu!$I$60,M1159=phu!$I$61,M1159=phu!$I$62),"Cam Lợi",""),IF(OR(M1159=phu!$I$63,M1159=phu!$I$64,M1159=phu!$I$65,M1159=phu!$I$66,M1159=phu!$I$67,M1159=phu!$I$68,M1159=phu!$I$69,M1159=phu!$I$70,M1159=phu!$I$71),"Ba Ngòi",""),IF(OR(M1159=phu!$I$72,M1159=phu!$I$73,M1159=phu!$I$74,M1159=phu!$I$75,M1159=phu!$I$76,M1159=phu!$I$77,M1159=phu!$I$78),"Cam Phước Đông",""),IF(OR(M1159=phu!$I$79,M1159=phu!$I$80,M1159=phu!$I$81,M1159=phu!$I$82,M1159=phu!$I$83,M1159=phu!$I$84),"Cam Thịnh Đông",""),IF(OR(M1159=phu!$I$85,M1159=phu!$I$86,M1159=phu!$I$87,M1159=phu!$I$88),"Cam Thịnh Tây",""),IF(OR(M1159=phu!$I$89,M1159=phu!$I$90),"Cam Lập",""),IF(OR(M1159=phu!$I$91,M1159=phu!$I$92,M1159=phu!$I$93),"Cam Bình",""),IF(OR(M1159=phu!$I$94,M1159=phu!$I$95,M1159=phu!$I$96,M1159=phu!$I$97,M1159=phu!$I$98,M1159=phu!$I$99,M1159=phu!$I$100),"Huyện khác",""),IF(OR(M1159=phu!$I$101,M1159=phu!$I$102),"Tỉnh khác",""))</f>
        <v/>
      </c>
      <c r="O1159" s="829" t="str">
        <f t="shared" ref="O1159:O1222" si="108">CONCATENATE(IF(OR(N1159="Cam Thành Nam",N1159="Cam Nghĩa",N1159="Cam Phúc Bắc"),"Bắc Cam Ranh",""),IF(OR(N1159="Cam Phúc Nam",N1159="Cam Phú",N1159="Cam Lộc"),"Cam Ranh",""),IF(OR(N1159="Cam Thuận",N1159="Cam Linh",N1159="Cam Lợi"),"Cam Linh",""),IF(OR(N1159="Ba Ngòi",N1159="Cam Phước Đông"),"Ba Ngòi",""),IF(OR(N1159="Cam Thịnh Đông",N1159="Cam Thịnh Tây",N1159="Cam Lập",N1159="Cam Bình"),"Nam Cam Ranh",""),IF(N1159="Huyện khác","Huyện khác",""),IF(N1159="Tỉnh khác","Tỉnh khác",""))</f>
        <v/>
      </c>
      <c r="P1159" s="254"/>
      <c r="Q1159" s="254"/>
      <c r="R1159" s="254"/>
      <c r="S1159" s="254"/>
      <c r="T1159" s="254"/>
      <c r="U1159" s="254"/>
      <c r="V1159" s="254"/>
      <c r="W1159" s="254"/>
      <c r="Y1159" s="246" t="str">
        <f t="shared" ref="Y1159:Y1222" si="109">IF(OR(AND(B1159="",C1159="",D1159="",E1159="",F1159="",G1159="",H1159="",I1159="",J1159="",L1159="",M1159="",N1159="",P1159="",Q1159="",R1159="",S1159=""),AND(B1159&lt;&gt;"",C1159&lt;&gt;"",D1159&lt;&gt;"",E1159&lt;&gt;"",F1159&lt;&gt;"",G1159&lt;&gt;"",H1159&lt;&gt;"",J1159&lt;&gt;"",M1159&lt;&gt;"",N1159&lt;&gt;"",P1159&lt;&gt;"",OR(AND(Q1159&lt;&gt;"",R1159=""),AND(Q1159="",R1159&lt;&gt;""),AND(Q1159&lt;&gt;"",R1159&lt;&gt;"")),OR(AND(K1159="X",T1159&lt;&gt;""),AND(K1159="",T1159="")))),"","er")</f>
        <v/>
      </c>
      <c r="Z1159" s="247" t="str">
        <f t="shared" si="107"/>
        <v/>
      </c>
      <c r="AA1159" s="246" t="str">
        <f t="shared" ref="AA1159:AA1222" si="110">IF(OR(AND(Z1159&lt;=10,B1159&gt;5),AND(Z1159&lt;=11,B1159&gt;6),AND(Z1159&lt;=12,B1159&gt;7),AND(Z1159&lt;=13,B1159&gt;8),AND(Z1159&lt;=14,B1159&gt;9),AND(Z1159=11,B1159=6,L1159="X"),AND(Z1159=12,B1159=7,L1159="X"),AND(Z1159=13,B1159=8,L1159="X"),AND(Z1159=14,B1159=9,L1159="X")),"er","")</f>
        <v/>
      </c>
    </row>
    <row r="1160" spans="1:27" x14ac:dyDescent="0.25">
      <c r="A1160" s="248" t="str">
        <f t="shared" ref="A1160:A1223" si="111">IF(OR(A1159="",B1160="",C1160="",D1160="",E1160=""),"",A1159+1)</f>
        <v/>
      </c>
      <c r="B1160" s="249" t="str">
        <f t="shared" ref="B1160:B1223" si="112">IF(C1160="","",VALUE(LEFT(C1160,1)))</f>
        <v/>
      </c>
      <c r="C1160" s="250"/>
      <c r="D1160" s="251"/>
      <c r="E1160" s="241"/>
      <c r="F1160" s="252"/>
      <c r="G1160" s="252"/>
      <c r="H1160" s="253"/>
      <c r="I1160" s="250"/>
      <c r="J1160" s="250"/>
      <c r="K1160" s="270"/>
      <c r="L1160" s="250"/>
      <c r="M1160" s="250"/>
      <c r="N1160" s="540" t="str">
        <f>CONCATENATE(IF(OR(M1160=phu!$I$1,M1160=phu!$I$2,M1160=phu!$I$3),"Cam Thành Nam",""),IF(OR(M1160=phu!$I$4,M1160=phu!$I$5,M1160=phu!$I$6,M1160=phu!$I$7,M1160=phu!$I$8,M1160=phu!$I$9,M1160=phu!$I$10,M1160=phu!$I$11,M1160=phu!$I$12,M1160=phu!$I$13,M1160=phu!$I$14),"Cam Nghĩa",""),IF(OR(M1160=phu!$I$15,M1160=phu!$I$16,M1160=phu!$I$17,M1160=phu!$I$18,M1160=phu!$I$19,M1160=phu!$I$20,M1160=phu!$I$21),"Cam Phúc Bắc",""),IF(OR(M1160=phu!$I$22,M1160=phu!$I$23,M1160=phu!$I$24,M1160=phu!$I$25),"Cam Phúc Nam",""),IF(OR(M1160=phu!$I$26,M1160=phu!$I$27,M1160=phu!$I$28,M1160=phu!$I$29,M1160=phu!$I$30,M1160=phu!$I$31),"Cam Phú",""),IF(OR(M1160=phu!$I$32,M1160=phu!$I$33,M1160=phu!$I$34,M1160=phu!$I$35,M1160=phu!$I$36,M1160=phu!$I$37),"Cam Lộc",""),IF(OR(M1160=phu!$I$38,M1160=phu!$I$39,M1160=phu!$I$40,M1160=phu!$I$41,M1160=phu!$I$42,M1160=phu!$I$43,M1160=phu!$I$44),"Cam Thuận",""),IF(OR(M1160=phu!$I$45,M1160=phu!$I$46,M1160=phu!$I$47,M1160=phu!$I$48,M1160=phu!$I$49,M1160=phu!$I$50,M1160=phu!$I$51,M1160=phu!$I$52,M1160=phu!$I$53),"Cam Linh",""),IF(OR(M1160=phu!$I$54,M1160=phu!$I$55,M1160=phu!$I$56,M1160=phu!$I$57,M1160=phu!$I$58,M1160=phu!$I$59,M1160=phu!$I$60,M1160=phu!$I$61,M1160=phu!$I$62),"Cam Lợi",""),IF(OR(M1160=phu!$I$63,M1160=phu!$I$64,M1160=phu!$I$65,M1160=phu!$I$66,M1160=phu!$I$67,M1160=phu!$I$68,M1160=phu!$I$69,M1160=phu!$I$70,M1160=phu!$I$71),"Ba Ngòi",""),IF(OR(M1160=phu!$I$72,M1160=phu!$I$73,M1160=phu!$I$74,M1160=phu!$I$75,M1160=phu!$I$76,M1160=phu!$I$77,M1160=phu!$I$78),"Cam Phước Đông",""),IF(OR(M1160=phu!$I$79,M1160=phu!$I$80,M1160=phu!$I$81,M1160=phu!$I$82,M1160=phu!$I$83,M1160=phu!$I$84),"Cam Thịnh Đông",""),IF(OR(M1160=phu!$I$85,M1160=phu!$I$86,M1160=phu!$I$87,M1160=phu!$I$88),"Cam Thịnh Tây",""),IF(OR(M1160=phu!$I$89,M1160=phu!$I$90),"Cam Lập",""),IF(OR(M1160=phu!$I$91,M1160=phu!$I$92,M1160=phu!$I$93),"Cam Bình",""),IF(OR(M1160=phu!$I$94,M1160=phu!$I$95,M1160=phu!$I$96,M1160=phu!$I$97,M1160=phu!$I$98,M1160=phu!$I$99,M1160=phu!$I$100),"Huyện khác",""),IF(OR(M1160=phu!$I$101,M1160=phu!$I$102),"Tỉnh khác",""))</f>
        <v/>
      </c>
      <c r="O1160" s="829" t="str">
        <f t="shared" si="108"/>
        <v/>
      </c>
      <c r="P1160" s="254"/>
      <c r="Q1160" s="254"/>
      <c r="R1160" s="254"/>
      <c r="S1160" s="254"/>
      <c r="T1160" s="254"/>
      <c r="U1160" s="254"/>
      <c r="V1160" s="254"/>
      <c r="W1160" s="254"/>
      <c r="Y1160" s="246" t="str">
        <f t="shared" si="109"/>
        <v/>
      </c>
      <c r="Z1160" s="247" t="str">
        <f t="shared" ref="Z1160:Z1223" si="113">IF(H1160="","",$Z$1-H1160)</f>
        <v/>
      </c>
      <c r="AA1160" s="246" t="str">
        <f t="shared" si="110"/>
        <v/>
      </c>
    </row>
    <row r="1161" spans="1:27" x14ac:dyDescent="0.25">
      <c r="A1161" s="248" t="str">
        <f t="shared" si="111"/>
        <v/>
      </c>
      <c r="B1161" s="249" t="str">
        <f t="shared" si="112"/>
        <v/>
      </c>
      <c r="C1161" s="250"/>
      <c r="D1161" s="251"/>
      <c r="E1161" s="241"/>
      <c r="F1161" s="252"/>
      <c r="G1161" s="252"/>
      <c r="H1161" s="253"/>
      <c r="I1161" s="250"/>
      <c r="J1161" s="250"/>
      <c r="K1161" s="270"/>
      <c r="L1161" s="250"/>
      <c r="M1161" s="250"/>
      <c r="N1161" s="540" t="str">
        <f>CONCATENATE(IF(OR(M1161=phu!$I$1,M1161=phu!$I$2,M1161=phu!$I$3),"Cam Thành Nam",""),IF(OR(M1161=phu!$I$4,M1161=phu!$I$5,M1161=phu!$I$6,M1161=phu!$I$7,M1161=phu!$I$8,M1161=phu!$I$9,M1161=phu!$I$10,M1161=phu!$I$11,M1161=phu!$I$12,M1161=phu!$I$13,M1161=phu!$I$14),"Cam Nghĩa",""),IF(OR(M1161=phu!$I$15,M1161=phu!$I$16,M1161=phu!$I$17,M1161=phu!$I$18,M1161=phu!$I$19,M1161=phu!$I$20,M1161=phu!$I$21),"Cam Phúc Bắc",""),IF(OR(M1161=phu!$I$22,M1161=phu!$I$23,M1161=phu!$I$24,M1161=phu!$I$25),"Cam Phúc Nam",""),IF(OR(M1161=phu!$I$26,M1161=phu!$I$27,M1161=phu!$I$28,M1161=phu!$I$29,M1161=phu!$I$30,M1161=phu!$I$31),"Cam Phú",""),IF(OR(M1161=phu!$I$32,M1161=phu!$I$33,M1161=phu!$I$34,M1161=phu!$I$35,M1161=phu!$I$36,M1161=phu!$I$37),"Cam Lộc",""),IF(OR(M1161=phu!$I$38,M1161=phu!$I$39,M1161=phu!$I$40,M1161=phu!$I$41,M1161=phu!$I$42,M1161=phu!$I$43,M1161=phu!$I$44),"Cam Thuận",""),IF(OR(M1161=phu!$I$45,M1161=phu!$I$46,M1161=phu!$I$47,M1161=phu!$I$48,M1161=phu!$I$49,M1161=phu!$I$50,M1161=phu!$I$51,M1161=phu!$I$52,M1161=phu!$I$53),"Cam Linh",""),IF(OR(M1161=phu!$I$54,M1161=phu!$I$55,M1161=phu!$I$56,M1161=phu!$I$57,M1161=phu!$I$58,M1161=phu!$I$59,M1161=phu!$I$60,M1161=phu!$I$61,M1161=phu!$I$62),"Cam Lợi",""),IF(OR(M1161=phu!$I$63,M1161=phu!$I$64,M1161=phu!$I$65,M1161=phu!$I$66,M1161=phu!$I$67,M1161=phu!$I$68,M1161=phu!$I$69,M1161=phu!$I$70,M1161=phu!$I$71),"Ba Ngòi",""),IF(OR(M1161=phu!$I$72,M1161=phu!$I$73,M1161=phu!$I$74,M1161=phu!$I$75,M1161=phu!$I$76,M1161=phu!$I$77,M1161=phu!$I$78),"Cam Phước Đông",""),IF(OR(M1161=phu!$I$79,M1161=phu!$I$80,M1161=phu!$I$81,M1161=phu!$I$82,M1161=phu!$I$83,M1161=phu!$I$84),"Cam Thịnh Đông",""),IF(OR(M1161=phu!$I$85,M1161=phu!$I$86,M1161=phu!$I$87,M1161=phu!$I$88),"Cam Thịnh Tây",""),IF(OR(M1161=phu!$I$89,M1161=phu!$I$90),"Cam Lập",""),IF(OR(M1161=phu!$I$91,M1161=phu!$I$92,M1161=phu!$I$93),"Cam Bình",""),IF(OR(M1161=phu!$I$94,M1161=phu!$I$95,M1161=phu!$I$96,M1161=phu!$I$97,M1161=phu!$I$98,M1161=phu!$I$99,M1161=phu!$I$100),"Huyện khác",""),IF(OR(M1161=phu!$I$101,M1161=phu!$I$102),"Tỉnh khác",""))</f>
        <v/>
      </c>
      <c r="O1161" s="829" t="str">
        <f t="shared" si="108"/>
        <v/>
      </c>
      <c r="P1161" s="254"/>
      <c r="Q1161" s="254"/>
      <c r="R1161" s="254"/>
      <c r="S1161" s="254"/>
      <c r="T1161" s="254"/>
      <c r="U1161" s="254"/>
      <c r="V1161" s="254"/>
      <c r="W1161" s="254"/>
      <c r="Y1161" s="246" t="str">
        <f t="shared" si="109"/>
        <v/>
      </c>
      <c r="Z1161" s="247" t="str">
        <f t="shared" si="113"/>
        <v/>
      </c>
      <c r="AA1161" s="246" t="str">
        <f t="shared" si="110"/>
        <v/>
      </c>
    </row>
    <row r="1162" spans="1:27" x14ac:dyDescent="0.25">
      <c r="A1162" s="248" t="str">
        <f t="shared" si="111"/>
        <v/>
      </c>
      <c r="B1162" s="249" t="str">
        <f t="shared" si="112"/>
        <v/>
      </c>
      <c r="C1162" s="250"/>
      <c r="D1162" s="251"/>
      <c r="E1162" s="241"/>
      <c r="F1162" s="252"/>
      <c r="G1162" s="252"/>
      <c r="H1162" s="253"/>
      <c r="I1162" s="250"/>
      <c r="J1162" s="250"/>
      <c r="K1162" s="270"/>
      <c r="L1162" s="250"/>
      <c r="M1162" s="250"/>
      <c r="N1162" s="540" t="str">
        <f>CONCATENATE(IF(OR(M1162=phu!$I$1,M1162=phu!$I$2,M1162=phu!$I$3),"Cam Thành Nam",""),IF(OR(M1162=phu!$I$4,M1162=phu!$I$5,M1162=phu!$I$6,M1162=phu!$I$7,M1162=phu!$I$8,M1162=phu!$I$9,M1162=phu!$I$10,M1162=phu!$I$11,M1162=phu!$I$12,M1162=phu!$I$13,M1162=phu!$I$14),"Cam Nghĩa",""),IF(OR(M1162=phu!$I$15,M1162=phu!$I$16,M1162=phu!$I$17,M1162=phu!$I$18,M1162=phu!$I$19,M1162=phu!$I$20,M1162=phu!$I$21),"Cam Phúc Bắc",""),IF(OR(M1162=phu!$I$22,M1162=phu!$I$23,M1162=phu!$I$24,M1162=phu!$I$25),"Cam Phúc Nam",""),IF(OR(M1162=phu!$I$26,M1162=phu!$I$27,M1162=phu!$I$28,M1162=phu!$I$29,M1162=phu!$I$30,M1162=phu!$I$31),"Cam Phú",""),IF(OR(M1162=phu!$I$32,M1162=phu!$I$33,M1162=phu!$I$34,M1162=phu!$I$35,M1162=phu!$I$36,M1162=phu!$I$37),"Cam Lộc",""),IF(OR(M1162=phu!$I$38,M1162=phu!$I$39,M1162=phu!$I$40,M1162=phu!$I$41,M1162=phu!$I$42,M1162=phu!$I$43,M1162=phu!$I$44),"Cam Thuận",""),IF(OR(M1162=phu!$I$45,M1162=phu!$I$46,M1162=phu!$I$47,M1162=phu!$I$48,M1162=phu!$I$49,M1162=phu!$I$50,M1162=phu!$I$51,M1162=phu!$I$52,M1162=phu!$I$53),"Cam Linh",""),IF(OR(M1162=phu!$I$54,M1162=phu!$I$55,M1162=phu!$I$56,M1162=phu!$I$57,M1162=phu!$I$58,M1162=phu!$I$59,M1162=phu!$I$60,M1162=phu!$I$61,M1162=phu!$I$62),"Cam Lợi",""),IF(OR(M1162=phu!$I$63,M1162=phu!$I$64,M1162=phu!$I$65,M1162=phu!$I$66,M1162=phu!$I$67,M1162=phu!$I$68,M1162=phu!$I$69,M1162=phu!$I$70,M1162=phu!$I$71),"Ba Ngòi",""),IF(OR(M1162=phu!$I$72,M1162=phu!$I$73,M1162=phu!$I$74,M1162=phu!$I$75,M1162=phu!$I$76,M1162=phu!$I$77,M1162=phu!$I$78),"Cam Phước Đông",""),IF(OR(M1162=phu!$I$79,M1162=phu!$I$80,M1162=phu!$I$81,M1162=phu!$I$82,M1162=phu!$I$83,M1162=phu!$I$84),"Cam Thịnh Đông",""),IF(OR(M1162=phu!$I$85,M1162=phu!$I$86,M1162=phu!$I$87,M1162=phu!$I$88),"Cam Thịnh Tây",""),IF(OR(M1162=phu!$I$89,M1162=phu!$I$90),"Cam Lập",""),IF(OR(M1162=phu!$I$91,M1162=phu!$I$92,M1162=phu!$I$93),"Cam Bình",""),IF(OR(M1162=phu!$I$94,M1162=phu!$I$95,M1162=phu!$I$96,M1162=phu!$I$97,M1162=phu!$I$98,M1162=phu!$I$99,M1162=phu!$I$100),"Huyện khác",""),IF(OR(M1162=phu!$I$101,M1162=phu!$I$102),"Tỉnh khác",""))</f>
        <v/>
      </c>
      <c r="O1162" s="829" t="str">
        <f t="shared" si="108"/>
        <v/>
      </c>
      <c r="P1162" s="254"/>
      <c r="Q1162" s="254"/>
      <c r="R1162" s="254"/>
      <c r="S1162" s="254"/>
      <c r="T1162" s="254"/>
      <c r="U1162" s="254"/>
      <c r="V1162" s="254"/>
      <c r="W1162" s="254"/>
      <c r="Y1162" s="246" t="str">
        <f t="shared" si="109"/>
        <v/>
      </c>
      <c r="Z1162" s="247" t="str">
        <f t="shared" si="113"/>
        <v/>
      </c>
      <c r="AA1162" s="246" t="str">
        <f t="shared" si="110"/>
        <v/>
      </c>
    </row>
    <row r="1163" spans="1:27" x14ac:dyDescent="0.25">
      <c r="A1163" s="248" t="str">
        <f t="shared" si="111"/>
        <v/>
      </c>
      <c r="B1163" s="249" t="str">
        <f t="shared" si="112"/>
        <v/>
      </c>
      <c r="C1163" s="250"/>
      <c r="D1163" s="251"/>
      <c r="E1163" s="241"/>
      <c r="F1163" s="252"/>
      <c r="G1163" s="252"/>
      <c r="H1163" s="253"/>
      <c r="I1163" s="250"/>
      <c r="J1163" s="250"/>
      <c r="K1163" s="270"/>
      <c r="L1163" s="250"/>
      <c r="M1163" s="250"/>
      <c r="N1163" s="540" t="str">
        <f>CONCATENATE(IF(OR(M1163=phu!$I$1,M1163=phu!$I$2,M1163=phu!$I$3),"Cam Thành Nam",""),IF(OR(M1163=phu!$I$4,M1163=phu!$I$5,M1163=phu!$I$6,M1163=phu!$I$7,M1163=phu!$I$8,M1163=phu!$I$9,M1163=phu!$I$10,M1163=phu!$I$11,M1163=phu!$I$12,M1163=phu!$I$13,M1163=phu!$I$14),"Cam Nghĩa",""),IF(OR(M1163=phu!$I$15,M1163=phu!$I$16,M1163=phu!$I$17,M1163=phu!$I$18,M1163=phu!$I$19,M1163=phu!$I$20,M1163=phu!$I$21),"Cam Phúc Bắc",""),IF(OR(M1163=phu!$I$22,M1163=phu!$I$23,M1163=phu!$I$24,M1163=phu!$I$25),"Cam Phúc Nam",""),IF(OR(M1163=phu!$I$26,M1163=phu!$I$27,M1163=phu!$I$28,M1163=phu!$I$29,M1163=phu!$I$30,M1163=phu!$I$31),"Cam Phú",""),IF(OR(M1163=phu!$I$32,M1163=phu!$I$33,M1163=phu!$I$34,M1163=phu!$I$35,M1163=phu!$I$36,M1163=phu!$I$37),"Cam Lộc",""),IF(OR(M1163=phu!$I$38,M1163=phu!$I$39,M1163=phu!$I$40,M1163=phu!$I$41,M1163=phu!$I$42,M1163=phu!$I$43,M1163=phu!$I$44),"Cam Thuận",""),IF(OR(M1163=phu!$I$45,M1163=phu!$I$46,M1163=phu!$I$47,M1163=phu!$I$48,M1163=phu!$I$49,M1163=phu!$I$50,M1163=phu!$I$51,M1163=phu!$I$52,M1163=phu!$I$53),"Cam Linh",""),IF(OR(M1163=phu!$I$54,M1163=phu!$I$55,M1163=phu!$I$56,M1163=phu!$I$57,M1163=phu!$I$58,M1163=phu!$I$59,M1163=phu!$I$60,M1163=phu!$I$61,M1163=phu!$I$62),"Cam Lợi",""),IF(OR(M1163=phu!$I$63,M1163=phu!$I$64,M1163=phu!$I$65,M1163=phu!$I$66,M1163=phu!$I$67,M1163=phu!$I$68,M1163=phu!$I$69,M1163=phu!$I$70,M1163=phu!$I$71),"Ba Ngòi",""),IF(OR(M1163=phu!$I$72,M1163=phu!$I$73,M1163=phu!$I$74,M1163=phu!$I$75,M1163=phu!$I$76,M1163=phu!$I$77,M1163=phu!$I$78),"Cam Phước Đông",""),IF(OR(M1163=phu!$I$79,M1163=phu!$I$80,M1163=phu!$I$81,M1163=phu!$I$82,M1163=phu!$I$83,M1163=phu!$I$84),"Cam Thịnh Đông",""),IF(OR(M1163=phu!$I$85,M1163=phu!$I$86,M1163=phu!$I$87,M1163=phu!$I$88),"Cam Thịnh Tây",""),IF(OR(M1163=phu!$I$89,M1163=phu!$I$90),"Cam Lập",""),IF(OR(M1163=phu!$I$91,M1163=phu!$I$92,M1163=phu!$I$93),"Cam Bình",""),IF(OR(M1163=phu!$I$94,M1163=phu!$I$95,M1163=phu!$I$96,M1163=phu!$I$97,M1163=phu!$I$98,M1163=phu!$I$99,M1163=phu!$I$100),"Huyện khác",""),IF(OR(M1163=phu!$I$101,M1163=phu!$I$102),"Tỉnh khác",""))</f>
        <v/>
      </c>
      <c r="O1163" s="829" t="str">
        <f t="shared" si="108"/>
        <v/>
      </c>
      <c r="P1163" s="254"/>
      <c r="Q1163" s="254"/>
      <c r="R1163" s="254"/>
      <c r="S1163" s="254"/>
      <c r="T1163" s="254"/>
      <c r="U1163" s="254"/>
      <c r="V1163" s="254"/>
      <c r="W1163" s="254"/>
      <c r="Y1163" s="246" t="str">
        <f t="shared" si="109"/>
        <v/>
      </c>
      <c r="Z1163" s="247" t="str">
        <f t="shared" si="113"/>
        <v/>
      </c>
      <c r="AA1163" s="246" t="str">
        <f t="shared" si="110"/>
        <v/>
      </c>
    </row>
    <row r="1164" spans="1:27" x14ac:dyDescent="0.25">
      <c r="A1164" s="248" t="str">
        <f t="shared" si="111"/>
        <v/>
      </c>
      <c r="B1164" s="249" t="str">
        <f t="shared" si="112"/>
        <v/>
      </c>
      <c r="C1164" s="250"/>
      <c r="D1164" s="251"/>
      <c r="E1164" s="241"/>
      <c r="F1164" s="252"/>
      <c r="G1164" s="252"/>
      <c r="H1164" s="253"/>
      <c r="I1164" s="250"/>
      <c r="J1164" s="250"/>
      <c r="K1164" s="270"/>
      <c r="L1164" s="250"/>
      <c r="M1164" s="250"/>
      <c r="N1164" s="540" t="str">
        <f>CONCATENATE(IF(OR(M1164=phu!$I$1,M1164=phu!$I$2,M1164=phu!$I$3),"Cam Thành Nam",""),IF(OR(M1164=phu!$I$4,M1164=phu!$I$5,M1164=phu!$I$6,M1164=phu!$I$7,M1164=phu!$I$8,M1164=phu!$I$9,M1164=phu!$I$10,M1164=phu!$I$11,M1164=phu!$I$12,M1164=phu!$I$13,M1164=phu!$I$14),"Cam Nghĩa",""),IF(OR(M1164=phu!$I$15,M1164=phu!$I$16,M1164=phu!$I$17,M1164=phu!$I$18,M1164=phu!$I$19,M1164=phu!$I$20,M1164=phu!$I$21),"Cam Phúc Bắc",""),IF(OR(M1164=phu!$I$22,M1164=phu!$I$23,M1164=phu!$I$24,M1164=phu!$I$25),"Cam Phúc Nam",""),IF(OR(M1164=phu!$I$26,M1164=phu!$I$27,M1164=phu!$I$28,M1164=phu!$I$29,M1164=phu!$I$30,M1164=phu!$I$31),"Cam Phú",""),IF(OR(M1164=phu!$I$32,M1164=phu!$I$33,M1164=phu!$I$34,M1164=phu!$I$35,M1164=phu!$I$36,M1164=phu!$I$37),"Cam Lộc",""),IF(OR(M1164=phu!$I$38,M1164=phu!$I$39,M1164=phu!$I$40,M1164=phu!$I$41,M1164=phu!$I$42,M1164=phu!$I$43,M1164=phu!$I$44),"Cam Thuận",""),IF(OR(M1164=phu!$I$45,M1164=phu!$I$46,M1164=phu!$I$47,M1164=phu!$I$48,M1164=phu!$I$49,M1164=phu!$I$50,M1164=phu!$I$51,M1164=phu!$I$52,M1164=phu!$I$53),"Cam Linh",""),IF(OR(M1164=phu!$I$54,M1164=phu!$I$55,M1164=phu!$I$56,M1164=phu!$I$57,M1164=phu!$I$58,M1164=phu!$I$59,M1164=phu!$I$60,M1164=phu!$I$61,M1164=phu!$I$62),"Cam Lợi",""),IF(OR(M1164=phu!$I$63,M1164=phu!$I$64,M1164=phu!$I$65,M1164=phu!$I$66,M1164=phu!$I$67,M1164=phu!$I$68,M1164=phu!$I$69,M1164=phu!$I$70,M1164=phu!$I$71),"Ba Ngòi",""),IF(OR(M1164=phu!$I$72,M1164=phu!$I$73,M1164=phu!$I$74,M1164=phu!$I$75,M1164=phu!$I$76,M1164=phu!$I$77,M1164=phu!$I$78),"Cam Phước Đông",""),IF(OR(M1164=phu!$I$79,M1164=phu!$I$80,M1164=phu!$I$81,M1164=phu!$I$82,M1164=phu!$I$83,M1164=phu!$I$84),"Cam Thịnh Đông",""),IF(OR(M1164=phu!$I$85,M1164=phu!$I$86,M1164=phu!$I$87,M1164=phu!$I$88),"Cam Thịnh Tây",""),IF(OR(M1164=phu!$I$89,M1164=phu!$I$90),"Cam Lập",""),IF(OR(M1164=phu!$I$91,M1164=phu!$I$92,M1164=phu!$I$93),"Cam Bình",""),IF(OR(M1164=phu!$I$94,M1164=phu!$I$95,M1164=phu!$I$96,M1164=phu!$I$97,M1164=phu!$I$98,M1164=phu!$I$99,M1164=phu!$I$100),"Huyện khác",""),IF(OR(M1164=phu!$I$101,M1164=phu!$I$102),"Tỉnh khác",""))</f>
        <v/>
      </c>
      <c r="O1164" s="829" t="str">
        <f t="shared" si="108"/>
        <v/>
      </c>
      <c r="P1164" s="254"/>
      <c r="Q1164" s="254"/>
      <c r="R1164" s="254"/>
      <c r="S1164" s="254"/>
      <c r="T1164" s="254"/>
      <c r="U1164" s="254"/>
      <c r="V1164" s="254"/>
      <c r="W1164" s="254"/>
      <c r="Y1164" s="246" t="str">
        <f t="shared" si="109"/>
        <v/>
      </c>
      <c r="Z1164" s="247" t="str">
        <f t="shared" si="113"/>
        <v/>
      </c>
      <c r="AA1164" s="246" t="str">
        <f t="shared" si="110"/>
        <v/>
      </c>
    </row>
    <row r="1165" spans="1:27" x14ac:dyDescent="0.25">
      <c r="A1165" s="248" t="str">
        <f t="shared" si="111"/>
        <v/>
      </c>
      <c r="B1165" s="249" t="str">
        <f t="shared" si="112"/>
        <v/>
      </c>
      <c r="C1165" s="250"/>
      <c r="D1165" s="251"/>
      <c r="E1165" s="241"/>
      <c r="F1165" s="252"/>
      <c r="G1165" s="252"/>
      <c r="H1165" s="253"/>
      <c r="I1165" s="250"/>
      <c r="J1165" s="250"/>
      <c r="K1165" s="270"/>
      <c r="L1165" s="250"/>
      <c r="M1165" s="250"/>
      <c r="N1165" s="540" t="str">
        <f>CONCATENATE(IF(OR(M1165=phu!$I$1,M1165=phu!$I$2,M1165=phu!$I$3),"Cam Thành Nam",""),IF(OR(M1165=phu!$I$4,M1165=phu!$I$5,M1165=phu!$I$6,M1165=phu!$I$7,M1165=phu!$I$8,M1165=phu!$I$9,M1165=phu!$I$10,M1165=phu!$I$11,M1165=phu!$I$12,M1165=phu!$I$13,M1165=phu!$I$14),"Cam Nghĩa",""),IF(OR(M1165=phu!$I$15,M1165=phu!$I$16,M1165=phu!$I$17,M1165=phu!$I$18,M1165=phu!$I$19,M1165=phu!$I$20,M1165=phu!$I$21),"Cam Phúc Bắc",""),IF(OR(M1165=phu!$I$22,M1165=phu!$I$23,M1165=phu!$I$24,M1165=phu!$I$25),"Cam Phúc Nam",""),IF(OR(M1165=phu!$I$26,M1165=phu!$I$27,M1165=phu!$I$28,M1165=phu!$I$29,M1165=phu!$I$30,M1165=phu!$I$31),"Cam Phú",""),IF(OR(M1165=phu!$I$32,M1165=phu!$I$33,M1165=phu!$I$34,M1165=phu!$I$35,M1165=phu!$I$36,M1165=phu!$I$37),"Cam Lộc",""),IF(OR(M1165=phu!$I$38,M1165=phu!$I$39,M1165=phu!$I$40,M1165=phu!$I$41,M1165=phu!$I$42,M1165=phu!$I$43,M1165=phu!$I$44),"Cam Thuận",""),IF(OR(M1165=phu!$I$45,M1165=phu!$I$46,M1165=phu!$I$47,M1165=phu!$I$48,M1165=phu!$I$49,M1165=phu!$I$50,M1165=phu!$I$51,M1165=phu!$I$52,M1165=phu!$I$53),"Cam Linh",""),IF(OR(M1165=phu!$I$54,M1165=phu!$I$55,M1165=phu!$I$56,M1165=phu!$I$57,M1165=phu!$I$58,M1165=phu!$I$59,M1165=phu!$I$60,M1165=phu!$I$61,M1165=phu!$I$62),"Cam Lợi",""),IF(OR(M1165=phu!$I$63,M1165=phu!$I$64,M1165=phu!$I$65,M1165=phu!$I$66,M1165=phu!$I$67,M1165=phu!$I$68,M1165=phu!$I$69,M1165=phu!$I$70,M1165=phu!$I$71),"Ba Ngòi",""),IF(OR(M1165=phu!$I$72,M1165=phu!$I$73,M1165=phu!$I$74,M1165=phu!$I$75,M1165=phu!$I$76,M1165=phu!$I$77,M1165=phu!$I$78),"Cam Phước Đông",""),IF(OR(M1165=phu!$I$79,M1165=phu!$I$80,M1165=phu!$I$81,M1165=phu!$I$82,M1165=phu!$I$83,M1165=phu!$I$84),"Cam Thịnh Đông",""),IF(OR(M1165=phu!$I$85,M1165=phu!$I$86,M1165=phu!$I$87,M1165=phu!$I$88),"Cam Thịnh Tây",""),IF(OR(M1165=phu!$I$89,M1165=phu!$I$90),"Cam Lập",""),IF(OR(M1165=phu!$I$91,M1165=phu!$I$92,M1165=phu!$I$93),"Cam Bình",""),IF(OR(M1165=phu!$I$94,M1165=phu!$I$95,M1165=phu!$I$96,M1165=phu!$I$97,M1165=phu!$I$98,M1165=phu!$I$99,M1165=phu!$I$100),"Huyện khác",""),IF(OR(M1165=phu!$I$101,M1165=phu!$I$102),"Tỉnh khác",""))</f>
        <v/>
      </c>
      <c r="O1165" s="829" t="str">
        <f t="shared" si="108"/>
        <v/>
      </c>
      <c r="P1165" s="254"/>
      <c r="Q1165" s="254"/>
      <c r="R1165" s="254"/>
      <c r="S1165" s="254"/>
      <c r="T1165" s="254"/>
      <c r="U1165" s="254"/>
      <c r="V1165" s="254"/>
      <c r="W1165" s="254"/>
      <c r="Y1165" s="246" t="str">
        <f t="shared" si="109"/>
        <v/>
      </c>
      <c r="Z1165" s="247" t="str">
        <f t="shared" si="113"/>
        <v/>
      </c>
      <c r="AA1165" s="246" t="str">
        <f t="shared" si="110"/>
        <v/>
      </c>
    </row>
    <row r="1166" spans="1:27" x14ac:dyDescent="0.25">
      <c r="A1166" s="248" t="str">
        <f t="shared" si="111"/>
        <v/>
      </c>
      <c r="B1166" s="249" t="str">
        <f t="shared" si="112"/>
        <v/>
      </c>
      <c r="C1166" s="250"/>
      <c r="D1166" s="251"/>
      <c r="E1166" s="241"/>
      <c r="F1166" s="252"/>
      <c r="G1166" s="252"/>
      <c r="H1166" s="253"/>
      <c r="I1166" s="250"/>
      <c r="J1166" s="250"/>
      <c r="K1166" s="270"/>
      <c r="L1166" s="250"/>
      <c r="M1166" s="250"/>
      <c r="N1166" s="540" t="str">
        <f>CONCATENATE(IF(OR(M1166=phu!$I$1,M1166=phu!$I$2,M1166=phu!$I$3),"Cam Thành Nam",""),IF(OR(M1166=phu!$I$4,M1166=phu!$I$5,M1166=phu!$I$6,M1166=phu!$I$7,M1166=phu!$I$8,M1166=phu!$I$9,M1166=phu!$I$10,M1166=phu!$I$11,M1166=phu!$I$12,M1166=phu!$I$13,M1166=phu!$I$14),"Cam Nghĩa",""),IF(OR(M1166=phu!$I$15,M1166=phu!$I$16,M1166=phu!$I$17,M1166=phu!$I$18,M1166=phu!$I$19,M1166=phu!$I$20,M1166=phu!$I$21),"Cam Phúc Bắc",""),IF(OR(M1166=phu!$I$22,M1166=phu!$I$23,M1166=phu!$I$24,M1166=phu!$I$25),"Cam Phúc Nam",""),IF(OR(M1166=phu!$I$26,M1166=phu!$I$27,M1166=phu!$I$28,M1166=phu!$I$29,M1166=phu!$I$30,M1166=phu!$I$31),"Cam Phú",""),IF(OR(M1166=phu!$I$32,M1166=phu!$I$33,M1166=phu!$I$34,M1166=phu!$I$35,M1166=phu!$I$36,M1166=phu!$I$37),"Cam Lộc",""),IF(OR(M1166=phu!$I$38,M1166=phu!$I$39,M1166=phu!$I$40,M1166=phu!$I$41,M1166=phu!$I$42,M1166=phu!$I$43,M1166=phu!$I$44),"Cam Thuận",""),IF(OR(M1166=phu!$I$45,M1166=phu!$I$46,M1166=phu!$I$47,M1166=phu!$I$48,M1166=phu!$I$49,M1166=phu!$I$50,M1166=phu!$I$51,M1166=phu!$I$52,M1166=phu!$I$53),"Cam Linh",""),IF(OR(M1166=phu!$I$54,M1166=phu!$I$55,M1166=phu!$I$56,M1166=phu!$I$57,M1166=phu!$I$58,M1166=phu!$I$59,M1166=phu!$I$60,M1166=phu!$I$61,M1166=phu!$I$62),"Cam Lợi",""),IF(OR(M1166=phu!$I$63,M1166=phu!$I$64,M1166=phu!$I$65,M1166=phu!$I$66,M1166=phu!$I$67,M1166=phu!$I$68,M1166=phu!$I$69,M1166=phu!$I$70,M1166=phu!$I$71),"Ba Ngòi",""),IF(OR(M1166=phu!$I$72,M1166=phu!$I$73,M1166=phu!$I$74,M1166=phu!$I$75,M1166=phu!$I$76,M1166=phu!$I$77,M1166=phu!$I$78),"Cam Phước Đông",""),IF(OR(M1166=phu!$I$79,M1166=phu!$I$80,M1166=phu!$I$81,M1166=phu!$I$82,M1166=phu!$I$83,M1166=phu!$I$84),"Cam Thịnh Đông",""),IF(OR(M1166=phu!$I$85,M1166=phu!$I$86,M1166=phu!$I$87,M1166=phu!$I$88),"Cam Thịnh Tây",""),IF(OR(M1166=phu!$I$89,M1166=phu!$I$90),"Cam Lập",""),IF(OR(M1166=phu!$I$91,M1166=phu!$I$92,M1166=phu!$I$93),"Cam Bình",""),IF(OR(M1166=phu!$I$94,M1166=phu!$I$95,M1166=phu!$I$96,M1166=phu!$I$97,M1166=phu!$I$98,M1166=phu!$I$99,M1166=phu!$I$100),"Huyện khác",""),IF(OR(M1166=phu!$I$101,M1166=phu!$I$102),"Tỉnh khác",""))</f>
        <v/>
      </c>
      <c r="O1166" s="829" t="str">
        <f t="shared" si="108"/>
        <v/>
      </c>
      <c r="P1166" s="254"/>
      <c r="Q1166" s="254"/>
      <c r="R1166" s="254"/>
      <c r="S1166" s="254"/>
      <c r="T1166" s="254"/>
      <c r="U1166" s="254"/>
      <c r="V1166" s="254"/>
      <c r="W1166" s="254"/>
      <c r="Y1166" s="246" t="str">
        <f t="shared" si="109"/>
        <v/>
      </c>
      <c r="Z1166" s="247" t="str">
        <f t="shared" si="113"/>
        <v/>
      </c>
      <c r="AA1166" s="246" t="str">
        <f t="shared" si="110"/>
        <v/>
      </c>
    </row>
    <row r="1167" spans="1:27" x14ac:dyDescent="0.25">
      <c r="A1167" s="248" t="str">
        <f t="shared" si="111"/>
        <v/>
      </c>
      <c r="B1167" s="249" t="str">
        <f t="shared" si="112"/>
        <v/>
      </c>
      <c r="C1167" s="250"/>
      <c r="D1167" s="251"/>
      <c r="E1167" s="241"/>
      <c r="F1167" s="252"/>
      <c r="G1167" s="252"/>
      <c r="H1167" s="253"/>
      <c r="I1167" s="250"/>
      <c r="J1167" s="250"/>
      <c r="K1167" s="270"/>
      <c r="L1167" s="250"/>
      <c r="M1167" s="250"/>
      <c r="N1167" s="540" t="str">
        <f>CONCATENATE(IF(OR(M1167=phu!$I$1,M1167=phu!$I$2,M1167=phu!$I$3),"Cam Thành Nam",""),IF(OR(M1167=phu!$I$4,M1167=phu!$I$5,M1167=phu!$I$6,M1167=phu!$I$7,M1167=phu!$I$8,M1167=phu!$I$9,M1167=phu!$I$10,M1167=phu!$I$11,M1167=phu!$I$12,M1167=phu!$I$13,M1167=phu!$I$14),"Cam Nghĩa",""),IF(OR(M1167=phu!$I$15,M1167=phu!$I$16,M1167=phu!$I$17,M1167=phu!$I$18,M1167=phu!$I$19,M1167=phu!$I$20,M1167=phu!$I$21),"Cam Phúc Bắc",""),IF(OR(M1167=phu!$I$22,M1167=phu!$I$23,M1167=phu!$I$24,M1167=phu!$I$25),"Cam Phúc Nam",""),IF(OR(M1167=phu!$I$26,M1167=phu!$I$27,M1167=phu!$I$28,M1167=phu!$I$29,M1167=phu!$I$30,M1167=phu!$I$31),"Cam Phú",""),IF(OR(M1167=phu!$I$32,M1167=phu!$I$33,M1167=phu!$I$34,M1167=phu!$I$35,M1167=phu!$I$36,M1167=phu!$I$37),"Cam Lộc",""),IF(OR(M1167=phu!$I$38,M1167=phu!$I$39,M1167=phu!$I$40,M1167=phu!$I$41,M1167=phu!$I$42,M1167=phu!$I$43,M1167=phu!$I$44),"Cam Thuận",""),IF(OR(M1167=phu!$I$45,M1167=phu!$I$46,M1167=phu!$I$47,M1167=phu!$I$48,M1167=phu!$I$49,M1167=phu!$I$50,M1167=phu!$I$51,M1167=phu!$I$52,M1167=phu!$I$53),"Cam Linh",""),IF(OR(M1167=phu!$I$54,M1167=phu!$I$55,M1167=phu!$I$56,M1167=phu!$I$57,M1167=phu!$I$58,M1167=phu!$I$59,M1167=phu!$I$60,M1167=phu!$I$61,M1167=phu!$I$62),"Cam Lợi",""),IF(OR(M1167=phu!$I$63,M1167=phu!$I$64,M1167=phu!$I$65,M1167=phu!$I$66,M1167=phu!$I$67,M1167=phu!$I$68,M1167=phu!$I$69,M1167=phu!$I$70,M1167=phu!$I$71),"Ba Ngòi",""),IF(OR(M1167=phu!$I$72,M1167=phu!$I$73,M1167=phu!$I$74,M1167=phu!$I$75,M1167=phu!$I$76,M1167=phu!$I$77,M1167=phu!$I$78),"Cam Phước Đông",""),IF(OR(M1167=phu!$I$79,M1167=phu!$I$80,M1167=phu!$I$81,M1167=phu!$I$82,M1167=phu!$I$83,M1167=phu!$I$84),"Cam Thịnh Đông",""),IF(OR(M1167=phu!$I$85,M1167=phu!$I$86,M1167=phu!$I$87,M1167=phu!$I$88),"Cam Thịnh Tây",""),IF(OR(M1167=phu!$I$89,M1167=phu!$I$90),"Cam Lập",""),IF(OR(M1167=phu!$I$91,M1167=phu!$I$92,M1167=phu!$I$93),"Cam Bình",""),IF(OR(M1167=phu!$I$94,M1167=phu!$I$95,M1167=phu!$I$96,M1167=phu!$I$97,M1167=phu!$I$98,M1167=phu!$I$99,M1167=phu!$I$100),"Huyện khác",""),IF(OR(M1167=phu!$I$101,M1167=phu!$I$102),"Tỉnh khác",""))</f>
        <v/>
      </c>
      <c r="O1167" s="829" t="str">
        <f t="shared" si="108"/>
        <v/>
      </c>
      <c r="P1167" s="254"/>
      <c r="Q1167" s="254"/>
      <c r="R1167" s="254"/>
      <c r="S1167" s="254"/>
      <c r="T1167" s="254"/>
      <c r="U1167" s="254"/>
      <c r="V1167" s="254"/>
      <c r="W1167" s="254"/>
      <c r="Y1167" s="246" t="str">
        <f t="shared" si="109"/>
        <v/>
      </c>
      <c r="Z1167" s="247" t="str">
        <f t="shared" si="113"/>
        <v/>
      </c>
      <c r="AA1167" s="246" t="str">
        <f t="shared" si="110"/>
        <v/>
      </c>
    </row>
    <row r="1168" spans="1:27" x14ac:dyDescent="0.25">
      <c r="A1168" s="248" t="str">
        <f t="shared" si="111"/>
        <v/>
      </c>
      <c r="B1168" s="249" t="str">
        <f t="shared" si="112"/>
        <v/>
      </c>
      <c r="C1168" s="250"/>
      <c r="D1168" s="251"/>
      <c r="E1168" s="241"/>
      <c r="F1168" s="252"/>
      <c r="G1168" s="252"/>
      <c r="H1168" s="253"/>
      <c r="I1168" s="250"/>
      <c r="J1168" s="250"/>
      <c r="K1168" s="270"/>
      <c r="L1168" s="250"/>
      <c r="M1168" s="250"/>
      <c r="N1168" s="540" t="str">
        <f>CONCATENATE(IF(OR(M1168=phu!$I$1,M1168=phu!$I$2,M1168=phu!$I$3),"Cam Thành Nam",""),IF(OR(M1168=phu!$I$4,M1168=phu!$I$5,M1168=phu!$I$6,M1168=phu!$I$7,M1168=phu!$I$8,M1168=phu!$I$9,M1168=phu!$I$10,M1168=phu!$I$11,M1168=phu!$I$12,M1168=phu!$I$13,M1168=phu!$I$14),"Cam Nghĩa",""),IF(OR(M1168=phu!$I$15,M1168=phu!$I$16,M1168=phu!$I$17,M1168=phu!$I$18,M1168=phu!$I$19,M1168=phu!$I$20,M1168=phu!$I$21),"Cam Phúc Bắc",""),IF(OR(M1168=phu!$I$22,M1168=phu!$I$23,M1168=phu!$I$24,M1168=phu!$I$25),"Cam Phúc Nam",""),IF(OR(M1168=phu!$I$26,M1168=phu!$I$27,M1168=phu!$I$28,M1168=phu!$I$29,M1168=phu!$I$30,M1168=phu!$I$31),"Cam Phú",""),IF(OR(M1168=phu!$I$32,M1168=phu!$I$33,M1168=phu!$I$34,M1168=phu!$I$35,M1168=phu!$I$36,M1168=phu!$I$37),"Cam Lộc",""),IF(OR(M1168=phu!$I$38,M1168=phu!$I$39,M1168=phu!$I$40,M1168=phu!$I$41,M1168=phu!$I$42,M1168=phu!$I$43,M1168=phu!$I$44),"Cam Thuận",""),IF(OR(M1168=phu!$I$45,M1168=phu!$I$46,M1168=phu!$I$47,M1168=phu!$I$48,M1168=phu!$I$49,M1168=phu!$I$50,M1168=phu!$I$51,M1168=phu!$I$52,M1168=phu!$I$53),"Cam Linh",""),IF(OR(M1168=phu!$I$54,M1168=phu!$I$55,M1168=phu!$I$56,M1168=phu!$I$57,M1168=phu!$I$58,M1168=phu!$I$59,M1168=phu!$I$60,M1168=phu!$I$61,M1168=phu!$I$62),"Cam Lợi",""),IF(OR(M1168=phu!$I$63,M1168=phu!$I$64,M1168=phu!$I$65,M1168=phu!$I$66,M1168=phu!$I$67,M1168=phu!$I$68,M1168=phu!$I$69,M1168=phu!$I$70,M1168=phu!$I$71),"Ba Ngòi",""),IF(OR(M1168=phu!$I$72,M1168=phu!$I$73,M1168=phu!$I$74,M1168=phu!$I$75,M1168=phu!$I$76,M1168=phu!$I$77,M1168=phu!$I$78),"Cam Phước Đông",""),IF(OR(M1168=phu!$I$79,M1168=phu!$I$80,M1168=phu!$I$81,M1168=phu!$I$82,M1168=phu!$I$83,M1168=phu!$I$84),"Cam Thịnh Đông",""),IF(OR(M1168=phu!$I$85,M1168=phu!$I$86,M1168=phu!$I$87,M1168=phu!$I$88),"Cam Thịnh Tây",""),IF(OR(M1168=phu!$I$89,M1168=phu!$I$90),"Cam Lập",""),IF(OR(M1168=phu!$I$91,M1168=phu!$I$92,M1168=phu!$I$93),"Cam Bình",""),IF(OR(M1168=phu!$I$94,M1168=phu!$I$95,M1168=phu!$I$96,M1168=phu!$I$97,M1168=phu!$I$98,M1168=phu!$I$99,M1168=phu!$I$100),"Huyện khác",""),IF(OR(M1168=phu!$I$101,M1168=phu!$I$102),"Tỉnh khác",""))</f>
        <v/>
      </c>
      <c r="O1168" s="829" t="str">
        <f t="shared" si="108"/>
        <v/>
      </c>
      <c r="P1168" s="254"/>
      <c r="Q1168" s="254"/>
      <c r="R1168" s="254"/>
      <c r="S1168" s="254"/>
      <c r="T1168" s="254"/>
      <c r="U1168" s="254"/>
      <c r="V1168" s="254"/>
      <c r="W1168" s="254"/>
      <c r="Y1168" s="246" t="str">
        <f t="shared" si="109"/>
        <v/>
      </c>
      <c r="Z1168" s="247" t="str">
        <f t="shared" si="113"/>
        <v/>
      </c>
      <c r="AA1168" s="246" t="str">
        <f t="shared" si="110"/>
        <v/>
      </c>
    </row>
    <row r="1169" spans="1:27" x14ac:dyDescent="0.25">
      <c r="A1169" s="248" t="str">
        <f t="shared" si="111"/>
        <v/>
      </c>
      <c r="B1169" s="249" t="str">
        <f t="shared" si="112"/>
        <v/>
      </c>
      <c r="C1169" s="250"/>
      <c r="D1169" s="251"/>
      <c r="E1169" s="241"/>
      <c r="F1169" s="252"/>
      <c r="G1169" s="252"/>
      <c r="H1169" s="253"/>
      <c r="I1169" s="250"/>
      <c r="J1169" s="250"/>
      <c r="K1169" s="270"/>
      <c r="L1169" s="250"/>
      <c r="M1169" s="250"/>
      <c r="N1169" s="540" t="str">
        <f>CONCATENATE(IF(OR(M1169=phu!$I$1,M1169=phu!$I$2,M1169=phu!$I$3),"Cam Thành Nam",""),IF(OR(M1169=phu!$I$4,M1169=phu!$I$5,M1169=phu!$I$6,M1169=phu!$I$7,M1169=phu!$I$8,M1169=phu!$I$9,M1169=phu!$I$10,M1169=phu!$I$11,M1169=phu!$I$12,M1169=phu!$I$13,M1169=phu!$I$14),"Cam Nghĩa",""),IF(OR(M1169=phu!$I$15,M1169=phu!$I$16,M1169=phu!$I$17,M1169=phu!$I$18,M1169=phu!$I$19,M1169=phu!$I$20,M1169=phu!$I$21),"Cam Phúc Bắc",""),IF(OR(M1169=phu!$I$22,M1169=phu!$I$23,M1169=phu!$I$24,M1169=phu!$I$25),"Cam Phúc Nam",""),IF(OR(M1169=phu!$I$26,M1169=phu!$I$27,M1169=phu!$I$28,M1169=phu!$I$29,M1169=phu!$I$30,M1169=phu!$I$31),"Cam Phú",""),IF(OR(M1169=phu!$I$32,M1169=phu!$I$33,M1169=phu!$I$34,M1169=phu!$I$35,M1169=phu!$I$36,M1169=phu!$I$37),"Cam Lộc",""),IF(OR(M1169=phu!$I$38,M1169=phu!$I$39,M1169=phu!$I$40,M1169=phu!$I$41,M1169=phu!$I$42,M1169=phu!$I$43,M1169=phu!$I$44),"Cam Thuận",""),IF(OR(M1169=phu!$I$45,M1169=phu!$I$46,M1169=phu!$I$47,M1169=phu!$I$48,M1169=phu!$I$49,M1169=phu!$I$50,M1169=phu!$I$51,M1169=phu!$I$52,M1169=phu!$I$53),"Cam Linh",""),IF(OR(M1169=phu!$I$54,M1169=phu!$I$55,M1169=phu!$I$56,M1169=phu!$I$57,M1169=phu!$I$58,M1169=phu!$I$59,M1169=phu!$I$60,M1169=phu!$I$61,M1169=phu!$I$62),"Cam Lợi",""),IF(OR(M1169=phu!$I$63,M1169=phu!$I$64,M1169=phu!$I$65,M1169=phu!$I$66,M1169=phu!$I$67,M1169=phu!$I$68,M1169=phu!$I$69,M1169=phu!$I$70,M1169=phu!$I$71),"Ba Ngòi",""),IF(OR(M1169=phu!$I$72,M1169=phu!$I$73,M1169=phu!$I$74,M1169=phu!$I$75,M1169=phu!$I$76,M1169=phu!$I$77,M1169=phu!$I$78),"Cam Phước Đông",""),IF(OR(M1169=phu!$I$79,M1169=phu!$I$80,M1169=phu!$I$81,M1169=phu!$I$82,M1169=phu!$I$83,M1169=phu!$I$84),"Cam Thịnh Đông",""),IF(OR(M1169=phu!$I$85,M1169=phu!$I$86,M1169=phu!$I$87,M1169=phu!$I$88),"Cam Thịnh Tây",""),IF(OR(M1169=phu!$I$89,M1169=phu!$I$90),"Cam Lập",""),IF(OR(M1169=phu!$I$91,M1169=phu!$I$92,M1169=phu!$I$93),"Cam Bình",""),IF(OR(M1169=phu!$I$94,M1169=phu!$I$95,M1169=phu!$I$96,M1169=phu!$I$97,M1169=phu!$I$98,M1169=phu!$I$99,M1169=phu!$I$100),"Huyện khác",""),IF(OR(M1169=phu!$I$101,M1169=phu!$I$102),"Tỉnh khác",""))</f>
        <v/>
      </c>
      <c r="O1169" s="829" t="str">
        <f t="shared" si="108"/>
        <v/>
      </c>
      <c r="P1169" s="254"/>
      <c r="Q1169" s="254"/>
      <c r="R1169" s="254"/>
      <c r="S1169" s="254"/>
      <c r="T1169" s="254"/>
      <c r="U1169" s="254"/>
      <c r="V1169" s="254"/>
      <c r="W1169" s="254"/>
      <c r="Y1169" s="246" t="str">
        <f t="shared" si="109"/>
        <v/>
      </c>
      <c r="Z1169" s="247" t="str">
        <f t="shared" si="113"/>
        <v/>
      </c>
      <c r="AA1169" s="246" t="str">
        <f t="shared" si="110"/>
        <v/>
      </c>
    </row>
    <row r="1170" spans="1:27" x14ac:dyDescent="0.25">
      <c r="A1170" s="248" t="str">
        <f t="shared" si="111"/>
        <v/>
      </c>
      <c r="B1170" s="249" t="str">
        <f t="shared" si="112"/>
        <v/>
      </c>
      <c r="C1170" s="250"/>
      <c r="D1170" s="251"/>
      <c r="E1170" s="241"/>
      <c r="F1170" s="252"/>
      <c r="G1170" s="252"/>
      <c r="H1170" s="253"/>
      <c r="I1170" s="250"/>
      <c r="J1170" s="250"/>
      <c r="K1170" s="270"/>
      <c r="L1170" s="250"/>
      <c r="M1170" s="250"/>
      <c r="N1170" s="540" t="str">
        <f>CONCATENATE(IF(OR(M1170=phu!$I$1,M1170=phu!$I$2,M1170=phu!$I$3),"Cam Thành Nam",""),IF(OR(M1170=phu!$I$4,M1170=phu!$I$5,M1170=phu!$I$6,M1170=phu!$I$7,M1170=phu!$I$8,M1170=phu!$I$9,M1170=phu!$I$10,M1170=phu!$I$11,M1170=phu!$I$12,M1170=phu!$I$13,M1170=phu!$I$14),"Cam Nghĩa",""),IF(OR(M1170=phu!$I$15,M1170=phu!$I$16,M1170=phu!$I$17,M1170=phu!$I$18,M1170=phu!$I$19,M1170=phu!$I$20,M1170=phu!$I$21),"Cam Phúc Bắc",""),IF(OR(M1170=phu!$I$22,M1170=phu!$I$23,M1170=phu!$I$24,M1170=phu!$I$25),"Cam Phúc Nam",""),IF(OR(M1170=phu!$I$26,M1170=phu!$I$27,M1170=phu!$I$28,M1170=phu!$I$29,M1170=phu!$I$30,M1170=phu!$I$31),"Cam Phú",""),IF(OR(M1170=phu!$I$32,M1170=phu!$I$33,M1170=phu!$I$34,M1170=phu!$I$35,M1170=phu!$I$36,M1170=phu!$I$37),"Cam Lộc",""),IF(OR(M1170=phu!$I$38,M1170=phu!$I$39,M1170=phu!$I$40,M1170=phu!$I$41,M1170=phu!$I$42,M1170=phu!$I$43,M1170=phu!$I$44),"Cam Thuận",""),IF(OR(M1170=phu!$I$45,M1170=phu!$I$46,M1170=phu!$I$47,M1170=phu!$I$48,M1170=phu!$I$49,M1170=phu!$I$50,M1170=phu!$I$51,M1170=phu!$I$52,M1170=phu!$I$53),"Cam Linh",""),IF(OR(M1170=phu!$I$54,M1170=phu!$I$55,M1170=phu!$I$56,M1170=phu!$I$57,M1170=phu!$I$58,M1170=phu!$I$59,M1170=phu!$I$60,M1170=phu!$I$61,M1170=phu!$I$62),"Cam Lợi",""),IF(OR(M1170=phu!$I$63,M1170=phu!$I$64,M1170=phu!$I$65,M1170=phu!$I$66,M1170=phu!$I$67,M1170=phu!$I$68,M1170=phu!$I$69,M1170=phu!$I$70,M1170=phu!$I$71),"Ba Ngòi",""),IF(OR(M1170=phu!$I$72,M1170=phu!$I$73,M1170=phu!$I$74,M1170=phu!$I$75,M1170=phu!$I$76,M1170=phu!$I$77,M1170=phu!$I$78),"Cam Phước Đông",""),IF(OR(M1170=phu!$I$79,M1170=phu!$I$80,M1170=phu!$I$81,M1170=phu!$I$82,M1170=phu!$I$83,M1170=phu!$I$84),"Cam Thịnh Đông",""),IF(OR(M1170=phu!$I$85,M1170=phu!$I$86,M1170=phu!$I$87,M1170=phu!$I$88),"Cam Thịnh Tây",""),IF(OR(M1170=phu!$I$89,M1170=phu!$I$90),"Cam Lập",""),IF(OR(M1170=phu!$I$91,M1170=phu!$I$92,M1170=phu!$I$93),"Cam Bình",""),IF(OR(M1170=phu!$I$94,M1170=phu!$I$95,M1170=phu!$I$96,M1170=phu!$I$97,M1170=phu!$I$98,M1170=phu!$I$99,M1170=phu!$I$100),"Huyện khác",""),IF(OR(M1170=phu!$I$101,M1170=phu!$I$102),"Tỉnh khác",""))</f>
        <v/>
      </c>
      <c r="O1170" s="829" t="str">
        <f t="shared" si="108"/>
        <v/>
      </c>
      <c r="P1170" s="254"/>
      <c r="Q1170" s="254"/>
      <c r="R1170" s="254"/>
      <c r="S1170" s="254"/>
      <c r="T1170" s="254"/>
      <c r="U1170" s="254"/>
      <c r="V1170" s="254"/>
      <c r="W1170" s="254"/>
      <c r="Y1170" s="246" t="str">
        <f t="shared" si="109"/>
        <v/>
      </c>
      <c r="Z1170" s="247" t="str">
        <f t="shared" si="113"/>
        <v/>
      </c>
      <c r="AA1170" s="246" t="str">
        <f t="shared" si="110"/>
        <v/>
      </c>
    </row>
    <row r="1171" spans="1:27" x14ac:dyDescent="0.25">
      <c r="A1171" s="248" t="str">
        <f t="shared" si="111"/>
        <v/>
      </c>
      <c r="B1171" s="249" t="str">
        <f t="shared" si="112"/>
        <v/>
      </c>
      <c r="C1171" s="250"/>
      <c r="D1171" s="251"/>
      <c r="E1171" s="241"/>
      <c r="F1171" s="252"/>
      <c r="G1171" s="252"/>
      <c r="H1171" s="253"/>
      <c r="I1171" s="250"/>
      <c r="J1171" s="250"/>
      <c r="K1171" s="270"/>
      <c r="L1171" s="250"/>
      <c r="M1171" s="250"/>
      <c r="N1171" s="540" t="str">
        <f>CONCATENATE(IF(OR(M1171=phu!$I$1,M1171=phu!$I$2,M1171=phu!$I$3),"Cam Thành Nam",""),IF(OR(M1171=phu!$I$4,M1171=phu!$I$5,M1171=phu!$I$6,M1171=phu!$I$7,M1171=phu!$I$8,M1171=phu!$I$9,M1171=phu!$I$10,M1171=phu!$I$11,M1171=phu!$I$12,M1171=phu!$I$13,M1171=phu!$I$14),"Cam Nghĩa",""),IF(OR(M1171=phu!$I$15,M1171=phu!$I$16,M1171=phu!$I$17,M1171=phu!$I$18,M1171=phu!$I$19,M1171=phu!$I$20,M1171=phu!$I$21),"Cam Phúc Bắc",""),IF(OR(M1171=phu!$I$22,M1171=phu!$I$23,M1171=phu!$I$24,M1171=phu!$I$25),"Cam Phúc Nam",""),IF(OR(M1171=phu!$I$26,M1171=phu!$I$27,M1171=phu!$I$28,M1171=phu!$I$29,M1171=phu!$I$30,M1171=phu!$I$31),"Cam Phú",""),IF(OR(M1171=phu!$I$32,M1171=phu!$I$33,M1171=phu!$I$34,M1171=phu!$I$35,M1171=phu!$I$36,M1171=phu!$I$37),"Cam Lộc",""),IF(OR(M1171=phu!$I$38,M1171=phu!$I$39,M1171=phu!$I$40,M1171=phu!$I$41,M1171=phu!$I$42,M1171=phu!$I$43,M1171=phu!$I$44),"Cam Thuận",""),IF(OR(M1171=phu!$I$45,M1171=phu!$I$46,M1171=phu!$I$47,M1171=phu!$I$48,M1171=phu!$I$49,M1171=phu!$I$50,M1171=phu!$I$51,M1171=phu!$I$52,M1171=phu!$I$53),"Cam Linh",""),IF(OR(M1171=phu!$I$54,M1171=phu!$I$55,M1171=phu!$I$56,M1171=phu!$I$57,M1171=phu!$I$58,M1171=phu!$I$59,M1171=phu!$I$60,M1171=phu!$I$61,M1171=phu!$I$62),"Cam Lợi",""),IF(OR(M1171=phu!$I$63,M1171=phu!$I$64,M1171=phu!$I$65,M1171=phu!$I$66,M1171=phu!$I$67,M1171=phu!$I$68,M1171=phu!$I$69,M1171=phu!$I$70,M1171=phu!$I$71),"Ba Ngòi",""),IF(OR(M1171=phu!$I$72,M1171=phu!$I$73,M1171=phu!$I$74,M1171=phu!$I$75,M1171=phu!$I$76,M1171=phu!$I$77,M1171=phu!$I$78),"Cam Phước Đông",""),IF(OR(M1171=phu!$I$79,M1171=phu!$I$80,M1171=phu!$I$81,M1171=phu!$I$82,M1171=phu!$I$83,M1171=phu!$I$84),"Cam Thịnh Đông",""),IF(OR(M1171=phu!$I$85,M1171=phu!$I$86,M1171=phu!$I$87,M1171=phu!$I$88),"Cam Thịnh Tây",""),IF(OR(M1171=phu!$I$89,M1171=phu!$I$90),"Cam Lập",""),IF(OR(M1171=phu!$I$91,M1171=phu!$I$92,M1171=phu!$I$93),"Cam Bình",""),IF(OR(M1171=phu!$I$94,M1171=phu!$I$95,M1171=phu!$I$96,M1171=phu!$I$97,M1171=phu!$I$98,M1171=phu!$I$99,M1171=phu!$I$100),"Huyện khác",""),IF(OR(M1171=phu!$I$101,M1171=phu!$I$102),"Tỉnh khác",""))</f>
        <v/>
      </c>
      <c r="O1171" s="829" t="str">
        <f t="shared" si="108"/>
        <v/>
      </c>
      <c r="P1171" s="254"/>
      <c r="Q1171" s="254"/>
      <c r="R1171" s="254"/>
      <c r="S1171" s="254"/>
      <c r="T1171" s="254"/>
      <c r="U1171" s="254"/>
      <c r="V1171" s="254"/>
      <c r="W1171" s="254"/>
      <c r="Y1171" s="246" t="str">
        <f t="shared" si="109"/>
        <v/>
      </c>
      <c r="Z1171" s="247" t="str">
        <f t="shared" si="113"/>
        <v/>
      </c>
      <c r="AA1171" s="246" t="str">
        <f t="shared" si="110"/>
        <v/>
      </c>
    </row>
    <row r="1172" spans="1:27" x14ac:dyDescent="0.25">
      <c r="A1172" s="248" t="str">
        <f t="shared" si="111"/>
        <v/>
      </c>
      <c r="B1172" s="249" t="str">
        <f t="shared" si="112"/>
        <v/>
      </c>
      <c r="C1172" s="250"/>
      <c r="D1172" s="251"/>
      <c r="E1172" s="241"/>
      <c r="F1172" s="252"/>
      <c r="G1172" s="252"/>
      <c r="H1172" s="253"/>
      <c r="I1172" s="250"/>
      <c r="J1172" s="250"/>
      <c r="K1172" s="270"/>
      <c r="L1172" s="250"/>
      <c r="M1172" s="250"/>
      <c r="N1172" s="540" t="str">
        <f>CONCATENATE(IF(OR(M1172=phu!$I$1,M1172=phu!$I$2,M1172=phu!$I$3),"Cam Thành Nam",""),IF(OR(M1172=phu!$I$4,M1172=phu!$I$5,M1172=phu!$I$6,M1172=phu!$I$7,M1172=phu!$I$8,M1172=phu!$I$9,M1172=phu!$I$10,M1172=phu!$I$11,M1172=phu!$I$12,M1172=phu!$I$13,M1172=phu!$I$14),"Cam Nghĩa",""),IF(OR(M1172=phu!$I$15,M1172=phu!$I$16,M1172=phu!$I$17,M1172=phu!$I$18,M1172=phu!$I$19,M1172=phu!$I$20,M1172=phu!$I$21),"Cam Phúc Bắc",""),IF(OR(M1172=phu!$I$22,M1172=phu!$I$23,M1172=phu!$I$24,M1172=phu!$I$25),"Cam Phúc Nam",""),IF(OR(M1172=phu!$I$26,M1172=phu!$I$27,M1172=phu!$I$28,M1172=phu!$I$29,M1172=phu!$I$30,M1172=phu!$I$31),"Cam Phú",""),IF(OR(M1172=phu!$I$32,M1172=phu!$I$33,M1172=phu!$I$34,M1172=phu!$I$35,M1172=phu!$I$36,M1172=phu!$I$37),"Cam Lộc",""),IF(OR(M1172=phu!$I$38,M1172=phu!$I$39,M1172=phu!$I$40,M1172=phu!$I$41,M1172=phu!$I$42,M1172=phu!$I$43,M1172=phu!$I$44),"Cam Thuận",""),IF(OR(M1172=phu!$I$45,M1172=phu!$I$46,M1172=phu!$I$47,M1172=phu!$I$48,M1172=phu!$I$49,M1172=phu!$I$50,M1172=phu!$I$51,M1172=phu!$I$52,M1172=phu!$I$53),"Cam Linh",""),IF(OR(M1172=phu!$I$54,M1172=phu!$I$55,M1172=phu!$I$56,M1172=phu!$I$57,M1172=phu!$I$58,M1172=phu!$I$59,M1172=phu!$I$60,M1172=phu!$I$61,M1172=phu!$I$62),"Cam Lợi",""),IF(OR(M1172=phu!$I$63,M1172=phu!$I$64,M1172=phu!$I$65,M1172=phu!$I$66,M1172=phu!$I$67,M1172=phu!$I$68,M1172=phu!$I$69,M1172=phu!$I$70,M1172=phu!$I$71),"Ba Ngòi",""),IF(OR(M1172=phu!$I$72,M1172=phu!$I$73,M1172=phu!$I$74,M1172=phu!$I$75,M1172=phu!$I$76,M1172=phu!$I$77,M1172=phu!$I$78),"Cam Phước Đông",""),IF(OR(M1172=phu!$I$79,M1172=phu!$I$80,M1172=phu!$I$81,M1172=phu!$I$82,M1172=phu!$I$83,M1172=phu!$I$84),"Cam Thịnh Đông",""),IF(OR(M1172=phu!$I$85,M1172=phu!$I$86,M1172=phu!$I$87,M1172=phu!$I$88),"Cam Thịnh Tây",""),IF(OR(M1172=phu!$I$89,M1172=phu!$I$90),"Cam Lập",""),IF(OR(M1172=phu!$I$91,M1172=phu!$I$92,M1172=phu!$I$93),"Cam Bình",""),IF(OR(M1172=phu!$I$94,M1172=phu!$I$95,M1172=phu!$I$96,M1172=phu!$I$97,M1172=phu!$I$98,M1172=phu!$I$99,M1172=phu!$I$100),"Huyện khác",""),IF(OR(M1172=phu!$I$101,M1172=phu!$I$102),"Tỉnh khác",""))</f>
        <v/>
      </c>
      <c r="O1172" s="829" t="str">
        <f t="shared" si="108"/>
        <v/>
      </c>
      <c r="P1172" s="254"/>
      <c r="Q1172" s="254"/>
      <c r="R1172" s="254"/>
      <c r="S1172" s="254"/>
      <c r="T1172" s="254"/>
      <c r="U1172" s="254"/>
      <c r="V1172" s="254"/>
      <c r="W1172" s="254"/>
      <c r="Y1172" s="246" t="str">
        <f t="shared" si="109"/>
        <v/>
      </c>
      <c r="Z1172" s="247" t="str">
        <f t="shared" si="113"/>
        <v/>
      </c>
      <c r="AA1172" s="246" t="str">
        <f t="shared" si="110"/>
        <v/>
      </c>
    </row>
    <row r="1173" spans="1:27" x14ac:dyDescent="0.25">
      <c r="A1173" s="248" t="str">
        <f t="shared" si="111"/>
        <v/>
      </c>
      <c r="B1173" s="249" t="str">
        <f t="shared" si="112"/>
        <v/>
      </c>
      <c r="C1173" s="250"/>
      <c r="D1173" s="251"/>
      <c r="E1173" s="241"/>
      <c r="F1173" s="252"/>
      <c r="G1173" s="252"/>
      <c r="H1173" s="253"/>
      <c r="I1173" s="250"/>
      <c r="J1173" s="250"/>
      <c r="K1173" s="270"/>
      <c r="L1173" s="250"/>
      <c r="M1173" s="250"/>
      <c r="N1173" s="540" t="str">
        <f>CONCATENATE(IF(OR(M1173=phu!$I$1,M1173=phu!$I$2,M1173=phu!$I$3),"Cam Thành Nam",""),IF(OR(M1173=phu!$I$4,M1173=phu!$I$5,M1173=phu!$I$6,M1173=phu!$I$7,M1173=phu!$I$8,M1173=phu!$I$9,M1173=phu!$I$10,M1173=phu!$I$11,M1173=phu!$I$12,M1173=phu!$I$13,M1173=phu!$I$14),"Cam Nghĩa",""),IF(OR(M1173=phu!$I$15,M1173=phu!$I$16,M1173=phu!$I$17,M1173=phu!$I$18,M1173=phu!$I$19,M1173=phu!$I$20,M1173=phu!$I$21),"Cam Phúc Bắc",""),IF(OR(M1173=phu!$I$22,M1173=phu!$I$23,M1173=phu!$I$24,M1173=phu!$I$25),"Cam Phúc Nam",""),IF(OR(M1173=phu!$I$26,M1173=phu!$I$27,M1173=phu!$I$28,M1173=phu!$I$29,M1173=phu!$I$30,M1173=phu!$I$31),"Cam Phú",""),IF(OR(M1173=phu!$I$32,M1173=phu!$I$33,M1173=phu!$I$34,M1173=phu!$I$35,M1173=phu!$I$36,M1173=phu!$I$37),"Cam Lộc",""),IF(OR(M1173=phu!$I$38,M1173=phu!$I$39,M1173=phu!$I$40,M1173=phu!$I$41,M1173=phu!$I$42,M1173=phu!$I$43,M1173=phu!$I$44),"Cam Thuận",""),IF(OR(M1173=phu!$I$45,M1173=phu!$I$46,M1173=phu!$I$47,M1173=phu!$I$48,M1173=phu!$I$49,M1173=phu!$I$50,M1173=phu!$I$51,M1173=phu!$I$52,M1173=phu!$I$53),"Cam Linh",""),IF(OR(M1173=phu!$I$54,M1173=phu!$I$55,M1173=phu!$I$56,M1173=phu!$I$57,M1173=phu!$I$58,M1173=phu!$I$59,M1173=phu!$I$60,M1173=phu!$I$61,M1173=phu!$I$62),"Cam Lợi",""),IF(OR(M1173=phu!$I$63,M1173=phu!$I$64,M1173=phu!$I$65,M1173=phu!$I$66,M1173=phu!$I$67,M1173=phu!$I$68,M1173=phu!$I$69,M1173=phu!$I$70,M1173=phu!$I$71),"Ba Ngòi",""),IF(OR(M1173=phu!$I$72,M1173=phu!$I$73,M1173=phu!$I$74,M1173=phu!$I$75,M1173=phu!$I$76,M1173=phu!$I$77,M1173=phu!$I$78),"Cam Phước Đông",""),IF(OR(M1173=phu!$I$79,M1173=phu!$I$80,M1173=phu!$I$81,M1173=phu!$I$82,M1173=phu!$I$83,M1173=phu!$I$84),"Cam Thịnh Đông",""),IF(OR(M1173=phu!$I$85,M1173=phu!$I$86,M1173=phu!$I$87,M1173=phu!$I$88),"Cam Thịnh Tây",""),IF(OR(M1173=phu!$I$89,M1173=phu!$I$90),"Cam Lập",""),IF(OR(M1173=phu!$I$91,M1173=phu!$I$92,M1173=phu!$I$93),"Cam Bình",""),IF(OR(M1173=phu!$I$94,M1173=phu!$I$95,M1173=phu!$I$96,M1173=phu!$I$97,M1173=phu!$I$98,M1173=phu!$I$99,M1173=phu!$I$100),"Huyện khác",""),IF(OR(M1173=phu!$I$101,M1173=phu!$I$102),"Tỉnh khác",""))</f>
        <v/>
      </c>
      <c r="O1173" s="829" t="str">
        <f t="shared" si="108"/>
        <v/>
      </c>
      <c r="P1173" s="254"/>
      <c r="Q1173" s="254"/>
      <c r="R1173" s="254"/>
      <c r="S1173" s="254"/>
      <c r="T1173" s="254"/>
      <c r="U1173" s="254"/>
      <c r="V1173" s="254"/>
      <c r="W1173" s="254"/>
      <c r="Y1173" s="246" t="str">
        <f t="shared" si="109"/>
        <v/>
      </c>
      <c r="Z1173" s="247" t="str">
        <f t="shared" si="113"/>
        <v/>
      </c>
      <c r="AA1173" s="246" t="str">
        <f t="shared" si="110"/>
        <v/>
      </c>
    </row>
    <row r="1174" spans="1:27" x14ac:dyDescent="0.25">
      <c r="A1174" s="248" t="str">
        <f t="shared" si="111"/>
        <v/>
      </c>
      <c r="B1174" s="249" t="str">
        <f t="shared" si="112"/>
        <v/>
      </c>
      <c r="C1174" s="250"/>
      <c r="D1174" s="251"/>
      <c r="E1174" s="241"/>
      <c r="F1174" s="252"/>
      <c r="G1174" s="252"/>
      <c r="H1174" s="253"/>
      <c r="I1174" s="250"/>
      <c r="J1174" s="250"/>
      <c r="K1174" s="270"/>
      <c r="L1174" s="250"/>
      <c r="M1174" s="250"/>
      <c r="N1174" s="540" t="str">
        <f>CONCATENATE(IF(OR(M1174=phu!$I$1,M1174=phu!$I$2,M1174=phu!$I$3),"Cam Thành Nam",""),IF(OR(M1174=phu!$I$4,M1174=phu!$I$5,M1174=phu!$I$6,M1174=phu!$I$7,M1174=phu!$I$8,M1174=phu!$I$9,M1174=phu!$I$10,M1174=phu!$I$11,M1174=phu!$I$12,M1174=phu!$I$13,M1174=phu!$I$14),"Cam Nghĩa",""),IF(OR(M1174=phu!$I$15,M1174=phu!$I$16,M1174=phu!$I$17,M1174=phu!$I$18,M1174=phu!$I$19,M1174=phu!$I$20,M1174=phu!$I$21),"Cam Phúc Bắc",""),IF(OR(M1174=phu!$I$22,M1174=phu!$I$23,M1174=phu!$I$24,M1174=phu!$I$25),"Cam Phúc Nam",""),IF(OR(M1174=phu!$I$26,M1174=phu!$I$27,M1174=phu!$I$28,M1174=phu!$I$29,M1174=phu!$I$30,M1174=phu!$I$31),"Cam Phú",""),IF(OR(M1174=phu!$I$32,M1174=phu!$I$33,M1174=phu!$I$34,M1174=phu!$I$35,M1174=phu!$I$36,M1174=phu!$I$37),"Cam Lộc",""),IF(OR(M1174=phu!$I$38,M1174=phu!$I$39,M1174=phu!$I$40,M1174=phu!$I$41,M1174=phu!$I$42,M1174=phu!$I$43,M1174=phu!$I$44),"Cam Thuận",""),IF(OR(M1174=phu!$I$45,M1174=phu!$I$46,M1174=phu!$I$47,M1174=phu!$I$48,M1174=phu!$I$49,M1174=phu!$I$50,M1174=phu!$I$51,M1174=phu!$I$52,M1174=phu!$I$53),"Cam Linh",""),IF(OR(M1174=phu!$I$54,M1174=phu!$I$55,M1174=phu!$I$56,M1174=phu!$I$57,M1174=phu!$I$58,M1174=phu!$I$59,M1174=phu!$I$60,M1174=phu!$I$61,M1174=phu!$I$62),"Cam Lợi",""),IF(OR(M1174=phu!$I$63,M1174=phu!$I$64,M1174=phu!$I$65,M1174=phu!$I$66,M1174=phu!$I$67,M1174=phu!$I$68,M1174=phu!$I$69,M1174=phu!$I$70,M1174=phu!$I$71),"Ba Ngòi",""),IF(OR(M1174=phu!$I$72,M1174=phu!$I$73,M1174=phu!$I$74,M1174=phu!$I$75,M1174=phu!$I$76,M1174=phu!$I$77,M1174=phu!$I$78),"Cam Phước Đông",""),IF(OR(M1174=phu!$I$79,M1174=phu!$I$80,M1174=phu!$I$81,M1174=phu!$I$82,M1174=phu!$I$83,M1174=phu!$I$84),"Cam Thịnh Đông",""),IF(OR(M1174=phu!$I$85,M1174=phu!$I$86,M1174=phu!$I$87,M1174=phu!$I$88),"Cam Thịnh Tây",""),IF(OR(M1174=phu!$I$89,M1174=phu!$I$90),"Cam Lập",""),IF(OR(M1174=phu!$I$91,M1174=phu!$I$92,M1174=phu!$I$93),"Cam Bình",""),IF(OR(M1174=phu!$I$94,M1174=phu!$I$95,M1174=phu!$I$96,M1174=phu!$I$97,M1174=phu!$I$98,M1174=phu!$I$99,M1174=phu!$I$100),"Huyện khác",""),IF(OR(M1174=phu!$I$101,M1174=phu!$I$102),"Tỉnh khác",""))</f>
        <v/>
      </c>
      <c r="O1174" s="829" t="str">
        <f t="shared" si="108"/>
        <v/>
      </c>
      <c r="P1174" s="254"/>
      <c r="Q1174" s="254"/>
      <c r="R1174" s="254"/>
      <c r="S1174" s="254"/>
      <c r="T1174" s="254"/>
      <c r="U1174" s="254"/>
      <c r="V1174" s="254"/>
      <c r="W1174" s="254"/>
      <c r="Y1174" s="246" t="str">
        <f t="shared" si="109"/>
        <v/>
      </c>
      <c r="Z1174" s="247" t="str">
        <f t="shared" si="113"/>
        <v/>
      </c>
      <c r="AA1174" s="246" t="str">
        <f t="shared" si="110"/>
        <v/>
      </c>
    </row>
    <row r="1175" spans="1:27" x14ac:dyDescent="0.25">
      <c r="A1175" s="248" t="str">
        <f t="shared" si="111"/>
        <v/>
      </c>
      <c r="B1175" s="249" t="str">
        <f t="shared" si="112"/>
        <v/>
      </c>
      <c r="C1175" s="250"/>
      <c r="D1175" s="251"/>
      <c r="E1175" s="241"/>
      <c r="F1175" s="252"/>
      <c r="G1175" s="252"/>
      <c r="H1175" s="253"/>
      <c r="I1175" s="250"/>
      <c r="J1175" s="250"/>
      <c r="K1175" s="270"/>
      <c r="L1175" s="250"/>
      <c r="M1175" s="250"/>
      <c r="N1175" s="540" t="str">
        <f>CONCATENATE(IF(OR(M1175=phu!$I$1,M1175=phu!$I$2,M1175=phu!$I$3),"Cam Thành Nam",""),IF(OR(M1175=phu!$I$4,M1175=phu!$I$5,M1175=phu!$I$6,M1175=phu!$I$7,M1175=phu!$I$8,M1175=phu!$I$9,M1175=phu!$I$10,M1175=phu!$I$11,M1175=phu!$I$12,M1175=phu!$I$13,M1175=phu!$I$14),"Cam Nghĩa",""),IF(OR(M1175=phu!$I$15,M1175=phu!$I$16,M1175=phu!$I$17,M1175=phu!$I$18,M1175=phu!$I$19,M1175=phu!$I$20,M1175=phu!$I$21),"Cam Phúc Bắc",""),IF(OR(M1175=phu!$I$22,M1175=phu!$I$23,M1175=phu!$I$24,M1175=phu!$I$25),"Cam Phúc Nam",""),IF(OR(M1175=phu!$I$26,M1175=phu!$I$27,M1175=phu!$I$28,M1175=phu!$I$29,M1175=phu!$I$30,M1175=phu!$I$31),"Cam Phú",""),IF(OR(M1175=phu!$I$32,M1175=phu!$I$33,M1175=phu!$I$34,M1175=phu!$I$35,M1175=phu!$I$36,M1175=phu!$I$37),"Cam Lộc",""),IF(OR(M1175=phu!$I$38,M1175=phu!$I$39,M1175=phu!$I$40,M1175=phu!$I$41,M1175=phu!$I$42,M1175=phu!$I$43,M1175=phu!$I$44),"Cam Thuận",""),IF(OR(M1175=phu!$I$45,M1175=phu!$I$46,M1175=phu!$I$47,M1175=phu!$I$48,M1175=phu!$I$49,M1175=phu!$I$50,M1175=phu!$I$51,M1175=phu!$I$52,M1175=phu!$I$53),"Cam Linh",""),IF(OR(M1175=phu!$I$54,M1175=phu!$I$55,M1175=phu!$I$56,M1175=phu!$I$57,M1175=phu!$I$58,M1175=phu!$I$59,M1175=phu!$I$60,M1175=phu!$I$61,M1175=phu!$I$62),"Cam Lợi",""),IF(OR(M1175=phu!$I$63,M1175=phu!$I$64,M1175=phu!$I$65,M1175=phu!$I$66,M1175=phu!$I$67,M1175=phu!$I$68,M1175=phu!$I$69,M1175=phu!$I$70,M1175=phu!$I$71),"Ba Ngòi",""),IF(OR(M1175=phu!$I$72,M1175=phu!$I$73,M1175=phu!$I$74,M1175=phu!$I$75,M1175=phu!$I$76,M1175=phu!$I$77,M1175=phu!$I$78),"Cam Phước Đông",""),IF(OR(M1175=phu!$I$79,M1175=phu!$I$80,M1175=phu!$I$81,M1175=phu!$I$82,M1175=phu!$I$83,M1175=phu!$I$84),"Cam Thịnh Đông",""),IF(OR(M1175=phu!$I$85,M1175=phu!$I$86,M1175=phu!$I$87,M1175=phu!$I$88),"Cam Thịnh Tây",""),IF(OR(M1175=phu!$I$89,M1175=phu!$I$90),"Cam Lập",""),IF(OR(M1175=phu!$I$91,M1175=phu!$I$92,M1175=phu!$I$93),"Cam Bình",""),IF(OR(M1175=phu!$I$94,M1175=phu!$I$95,M1175=phu!$I$96,M1175=phu!$I$97,M1175=phu!$I$98,M1175=phu!$I$99,M1175=phu!$I$100),"Huyện khác",""),IF(OR(M1175=phu!$I$101,M1175=phu!$I$102),"Tỉnh khác",""))</f>
        <v/>
      </c>
      <c r="O1175" s="829" t="str">
        <f t="shared" si="108"/>
        <v/>
      </c>
      <c r="P1175" s="254"/>
      <c r="Q1175" s="254"/>
      <c r="R1175" s="254"/>
      <c r="S1175" s="254"/>
      <c r="T1175" s="254"/>
      <c r="U1175" s="254"/>
      <c r="V1175" s="254"/>
      <c r="W1175" s="254"/>
      <c r="Y1175" s="246" t="str">
        <f t="shared" si="109"/>
        <v/>
      </c>
      <c r="Z1175" s="247" t="str">
        <f t="shared" si="113"/>
        <v/>
      </c>
      <c r="AA1175" s="246" t="str">
        <f t="shared" si="110"/>
        <v/>
      </c>
    </row>
    <row r="1176" spans="1:27" x14ac:dyDescent="0.25">
      <c r="A1176" s="248" t="str">
        <f t="shared" si="111"/>
        <v/>
      </c>
      <c r="B1176" s="249" t="str">
        <f t="shared" si="112"/>
        <v/>
      </c>
      <c r="C1176" s="250"/>
      <c r="D1176" s="251"/>
      <c r="E1176" s="241"/>
      <c r="F1176" s="252"/>
      <c r="G1176" s="252"/>
      <c r="H1176" s="253"/>
      <c r="I1176" s="250"/>
      <c r="J1176" s="250"/>
      <c r="K1176" s="270"/>
      <c r="L1176" s="250"/>
      <c r="M1176" s="250"/>
      <c r="N1176" s="540" t="str">
        <f>CONCATENATE(IF(OR(M1176=phu!$I$1,M1176=phu!$I$2,M1176=phu!$I$3),"Cam Thành Nam",""),IF(OR(M1176=phu!$I$4,M1176=phu!$I$5,M1176=phu!$I$6,M1176=phu!$I$7,M1176=phu!$I$8,M1176=phu!$I$9,M1176=phu!$I$10,M1176=phu!$I$11,M1176=phu!$I$12,M1176=phu!$I$13,M1176=phu!$I$14),"Cam Nghĩa",""),IF(OR(M1176=phu!$I$15,M1176=phu!$I$16,M1176=phu!$I$17,M1176=phu!$I$18,M1176=phu!$I$19,M1176=phu!$I$20,M1176=phu!$I$21),"Cam Phúc Bắc",""),IF(OR(M1176=phu!$I$22,M1176=phu!$I$23,M1176=phu!$I$24,M1176=phu!$I$25),"Cam Phúc Nam",""),IF(OR(M1176=phu!$I$26,M1176=phu!$I$27,M1176=phu!$I$28,M1176=phu!$I$29,M1176=phu!$I$30,M1176=phu!$I$31),"Cam Phú",""),IF(OR(M1176=phu!$I$32,M1176=phu!$I$33,M1176=phu!$I$34,M1176=phu!$I$35,M1176=phu!$I$36,M1176=phu!$I$37),"Cam Lộc",""),IF(OR(M1176=phu!$I$38,M1176=phu!$I$39,M1176=phu!$I$40,M1176=phu!$I$41,M1176=phu!$I$42,M1176=phu!$I$43,M1176=phu!$I$44),"Cam Thuận",""),IF(OR(M1176=phu!$I$45,M1176=phu!$I$46,M1176=phu!$I$47,M1176=phu!$I$48,M1176=phu!$I$49,M1176=phu!$I$50,M1176=phu!$I$51,M1176=phu!$I$52,M1176=phu!$I$53),"Cam Linh",""),IF(OR(M1176=phu!$I$54,M1176=phu!$I$55,M1176=phu!$I$56,M1176=phu!$I$57,M1176=phu!$I$58,M1176=phu!$I$59,M1176=phu!$I$60,M1176=phu!$I$61,M1176=phu!$I$62),"Cam Lợi",""),IF(OR(M1176=phu!$I$63,M1176=phu!$I$64,M1176=phu!$I$65,M1176=phu!$I$66,M1176=phu!$I$67,M1176=phu!$I$68,M1176=phu!$I$69,M1176=phu!$I$70,M1176=phu!$I$71),"Ba Ngòi",""),IF(OR(M1176=phu!$I$72,M1176=phu!$I$73,M1176=phu!$I$74,M1176=phu!$I$75,M1176=phu!$I$76,M1176=phu!$I$77,M1176=phu!$I$78),"Cam Phước Đông",""),IF(OR(M1176=phu!$I$79,M1176=phu!$I$80,M1176=phu!$I$81,M1176=phu!$I$82,M1176=phu!$I$83,M1176=phu!$I$84),"Cam Thịnh Đông",""),IF(OR(M1176=phu!$I$85,M1176=phu!$I$86,M1176=phu!$I$87,M1176=phu!$I$88),"Cam Thịnh Tây",""),IF(OR(M1176=phu!$I$89,M1176=phu!$I$90),"Cam Lập",""),IF(OR(M1176=phu!$I$91,M1176=phu!$I$92,M1176=phu!$I$93),"Cam Bình",""),IF(OR(M1176=phu!$I$94,M1176=phu!$I$95,M1176=phu!$I$96,M1176=phu!$I$97,M1176=phu!$I$98,M1176=phu!$I$99,M1176=phu!$I$100),"Huyện khác",""),IF(OR(M1176=phu!$I$101,M1176=phu!$I$102),"Tỉnh khác",""))</f>
        <v/>
      </c>
      <c r="O1176" s="829" t="str">
        <f t="shared" si="108"/>
        <v/>
      </c>
      <c r="P1176" s="254"/>
      <c r="Q1176" s="254"/>
      <c r="R1176" s="254"/>
      <c r="S1176" s="254"/>
      <c r="T1176" s="254"/>
      <c r="U1176" s="254"/>
      <c r="V1176" s="254"/>
      <c r="W1176" s="254"/>
      <c r="Y1176" s="246" t="str">
        <f t="shared" si="109"/>
        <v/>
      </c>
      <c r="Z1176" s="247" t="str">
        <f t="shared" si="113"/>
        <v/>
      </c>
      <c r="AA1176" s="246" t="str">
        <f t="shared" si="110"/>
        <v/>
      </c>
    </row>
    <row r="1177" spans="1:27" x14ac:dyDescent="0.25">
      <c r="A1177" s="248" t="str">
        <f t="shared" si="111"/>
        <v/>
      </c>
      <c r="B1177" s="249" t="str">
        <f t="shared" si="112"/>
        <v/>
      </c>
      <c r="C1177" s="250"/>
      <c r="D1177" s="251"/>
      <c r="E1177" s="241"/>
      <c r="F1177" s="252"/>
      <c r="G1177" s="252"/>
      <c r="H1177" s="253"/>
      <c r="I1177" s="250"/>
      <c r="J1177" s="250"/>
      <c r="K1177" s="270"/>
      <c r="L1177" s="250"/>
      <c r="M1177" s="250"/>
      <c r="N1177" s="540" t="str">
        <f>CONCATENATE(IF(OR(M1177=phu!$I$1,M1177=phu!$I$2,M1177=phu!$I$3),"Cam Thành Nam",""),IF(OR(M1177=phu!$I$4,M1177=phu!$I$5,M1177=phu!$I$6,M1177=phu!$I$7,M1177=phu!$I$8,M1177=phu!$I$9,M1177=phu!$I$10,M1177=phu!$I$11,M1177=phu!$I$12,M1177=phu!$I$13,M1177=phu!$I$14),"Cam Nghĩa",""),IF(OR(M1177=phu!$I$15,M1177=phu!$I$16,M1177=phu!$I$17,M1177=phu!$I$18,M1177=phu!$I$19,M1177=phu!$I$20,M1177=phu!$I$21),"Cam Phúc Bắc",""),IF(OR(M1177=phu!$I$22,M1177=phu!$I$23,M1177=phu!$I$24,M1177=phu!$I$25),"Cam Phúc Nam",""),IF(OR(M1177=phu!$I$26,M1177=phu!$I$27,M1177=phu!$I$28,M1177=phu!$I$29,M1177=phu!$I$30,M1177=phu!$I$31),"Cam Phú",""),IF(OR(M1177=phu!$I$32,M1177=phu!$I$33,M1177=phu!$I$34,M1177=phu!$I$35,M1177=phu!$I$36,M1177=phu!$I$37),"Cam Lộc",""),IF(OR(M1177=phu!$I$38,M1177=phu!$I$39,M1177=phu!$I$40,M1177=phu!$I$41,M1177=phu!$I$42,M1177=phu!$I$43,M1177=phu!$I$44),"Cam Thuận",""),IF(OR(M1177=phu!$I$45,M1177=phu!$I$46,M1177=phu!$I$47,M1177=phu!$I$48,M1177=phu!$I$49,M1177=phu!$I$50,M1177=phu!$I$51,M1177=phu!$I$52,M1177=phu!$I$53),"Cam Linh",""),IF(OR(M1177=phu!$I$54,M1177=phu!$I$55,M1177=phu!$I$56,M1177=phu!$I$57,M1177=phu!$I$58,M1177=phu!$I$59,M1177=phu!$I$60,M1177=phu!$I$61,M1177=phu!$I$62),"Cam Lợi",""),IF(OR(M1177=phu!$I$63,M1177=phu!$I$64,M1177=phu!$I$65,M1177=phu!$I$66,M1177=phu!$I$67,M1177=phu!$I$68,M1177=phu!$I$69,M1177=phu!$I$70,M1177=phu!$I$71),"Ba Ngòi",""),IF(OR(M1177=phu!$I$72,M1177=phu!$I$73,M1177=phu!$I$74,M1177=phu!$I$75,M1177=phu!$I$76,M1177=phu!$I$77,M1177=phu!$I$78),"Cam Phước Đông",""),IF(OR(M1177=phu!$I$79,M1177=phu!$I$80,M1177=phu!$I$81,M1177=phu!$I$82,M1177=phu!$I$83,M1177=phu!$I$84),"Cam Thịnh Đông",""),IF(OR(M1177=phu!$I$85,M1177=phu!$I$86,M1177=phu!$I$87,M1177=phu!$I$88),"Cam Thịnh Tây",""),IF(OR(M1177=phu!$I$89,M1177=phu!$I$90),"Cam Lập",""),IF(OR(M1177=phu!$I$91,M1177=phu!$I$92,M1177=phu!$I$93),"Cam Bình",""),IF(OR(M1177=phu!$I$94,M1177=phu!$I$95,M1177=phu!$I$96,M1177=phu!$I$97,M1177=phu!$I$98,M1177=phu!$I$99,M1177=phu!$I$100),"Huyện khác",""),IF(OR(M1177=phu!$I$101,M1177=phu!$I$102),"Tỉnh khác",""))</f>
        <v/>
      </c>
      <c r="O1177" s="829" t="str">
        <f t="shared" si="108"/>
        <v/>
      </c>
      <c r="P1177" s="254"/>
      <c r="Q1177" s="254"/>
      <c r="R1177" s="254"/>
      <c r="S1177" s="254"/>
      <c r="T1177" s="254"/>
      <c r="U1177" s="254"/>
      <c r="V1177" s="254"/>
      <c r="W1177" s="254"/>
      <c r="Y1177" s="246" t="str">
        <f t="shared" si="109"/>
        <v/>
      </c>
      <c r="Z1177" s="247" t="str">
        <f t="shared" si="113"/>
        <v/>
      </c>
      <c r="AA1177" s="246" t="str">
        <f t="shared" si="110"/>
        <v/>
      </c>
    </row>
    <row r="1178" spans="1:27" x14ac:dyDescent="0.25">
      <c r="A1178" s="248" t="str">
        <f t="shared" si="111"/>
        <v/>
      </c>
      <c r="B1178" s="249" t="str">
        <f t="shared" si="112"/>
        <v/>
      </c>
      <c r="C1178" s="250"/>
      <c r="D1178" s="251"/>
      <c r="E1178" s="241"/>
      <c r="F1178" s="252"/>
      <c r="G1178" s="252"/>
      <c r="H1178" s="253"/>
      <c r="I1178" s="250"/>
      <c r="J1178" s="250"/>
      <c r="K1178" s="270"/>
      <c r="L1178" s="250"/>
      <c r="M1178" s="250"/>
      <c r="N1178" s="540" t="str">
        <f>CONCATENATE(IF(OR(M1178=phu!$I$1,M1178=phu!$I$2,M1178=phu!$I$3),"Cam Thành Nam",""),IF(OR(M1178=phu!$I$4,M1178=phu!$I$5,M1178=phu!$I$6,M1178=phu!$I$7,M1178=phu!$I$8,M1178=phu!$I$9,M1178=phu!$I$10,M1178=phu!$I$11,M1178=phu!$I$12,M1178=phu!$I$13,M1178=phu!$I$14),"Cam Nghĩa",""),IF(OR(M1178=phu!$I$15,M1178=phu!$I$16,M1178=phu!$I$17,M1178=phu!$I$18,M1178=phu!$I$19,M1178=phu!$I$20,M1178=phu!$I$21),"Cam Phúc Bắc",""),IF(OR(M1178=phu!$I$22,M1178=phu!$I$23,M1178=phu!$I$24,M1178=phu!$I$25),"Cam Phúc Nam",""),IF(OR(M1178=phu!$I$26,M1178=phu!$I$27,M1178=phu!$I$28,M1178=phu!$I$29,M1178=phu!$I$30,M1178=phu!$I$31),"Cam Phú",""),IF(OR(M1178=phu!$I$32,M1178=phu!$I$33,M1178=phu!$I$34,M1178=phu!$I$35,M1178=phu!$I$36,M1178=phu!$I$37),"Cam Lộc",""),IF(OR(M1178=phu!$I$38,M1178=phu!$I$39,M1178=phu!$I$40,M1178=phu!$I$41,M1178=phu!$I$42,M1178=phu!$I$43,M1178=phu!$I$44),"Cam Thuận",""),IF(OR(M1178=phu!$I$45,M1178=phu!$I$46,M1178=phu!$I$47,M1178=phu!$I$48,M1178=phu!$I$49,M1178=phu!$I$50,M1178=phu!$I$51,M1178=phu!$I$52,M1178=phu!$I$53),"Cam Linh",""),IF(OR(M1178=phu!$I$54,M1178=phu!$I$55,M1178=phu!$I$56,M1178=phu!$I$57,M1178=phu!$I$58,M1178=phu!$I$59,M1178=phu!$I$60,M1178=phu!$I$61,M1178=phu!$I$62),"Cam Lợi",""),IF(OR(M1178=phu!$I$63,M1178=phu!$I$64,M1178=phu!$I$65,M1178=phu!$I$66,M1178=phu!$I$67,M1178=phu!$I$68,M1178=phu!$I$69,M1178=phu!$I$70,M1178=phu!$I$71),"Ba Ngòi",""),IF(OR(M1178=phu!$I$72,M1178=phu!$I$73,M1178=phu!$I$74,M1178=phu!$I$75,M1178=phu!$I$76,M1178=phu!$I$77,M1178=phu!$I$78),"Cam Phước Đông",""),IF(OR(M1178=phu!$I$79,M1178=phu!$I$80,M1178=phu!$I$81,M1178=phu!$I$82,M1178=phu!$I$83,M1178=phu!$I$84),"Cam Thịnh Đông",""),IF(OR(M1178=phu!$I$85,M1178=phu!$I$86,M1178=phu!$I$87,M1178=phu!$I$88),"Cam Thịnh Tây",""),IF(OR(M1178=phu!$I$89,M1178=phu!$I$90),"Cam Lập",""),IF(OR(M1178=phu!$I$91,M1178=phu!$I$92,M1178=phu!$I$93),"Cam Bình",""),IF(OR(M1178=phu!$I$94,M1178=phu!$I$95,M1178=phu!$I$96,M1178=phu!$I$97,M1178=phu!$I$98,M1178=phu!$I$99,M1178=phu!$I$100),"Huyện khác",""),IF(OR(M1178=phu!$I$101,M1178=phu!$I$102),"Tỉnh khác",""))</f>
        <v/>
      </c>
      <c r="O1178" s="829" t="str">
        <f t="shared" si="108"/>
        <v/>
      </c>
      <c r="P1178" s="254"/>
      <c r="Q1178" s="254"/>
      <c r="R1178" s="254"/>
      <c r="S1178" s="254"/>
      <c r="T1178" s="254"/>
      <c r="U1178" s="254"/>
      <c r="V1178" s="254"/>
      <c r="W1178" s="254"/>
      <c r="Y1178" s="246" t="str">
        <f t="shared" si="109"/>
        <v/>
      </c>
      <c r="Z1178" s="247" t="str">
        <f t="shared" si="113"/>
        <v/>
      </c>
      <c r="AA1178" s="246" t="str">
        <f t="shared" si="110"/>
        <v/>
      </c>
    </row>
    <row r="1179" spans="1:27" x14ac:dyDescent="0.25">
      <c r="A1179" s="248" t="str">
        <f t="shared" si="111"/>
        <v/>
      </c>
      <c r="B1179" s="249" t="str">
        <f t="shared" si="112"/>
        <v/>
      </c>
      <c r="C1179" s="250"/>
      <c r="D1179" s="251"/>
      <c r="E1179" s="241"/>
      <c r="F1179" s="252"/>
      <c r="G1179" s="252"/>
      <c r="H1179" s="253"/>
      <c r="I1179" s="250"/>
      <c r="J1179" s="250"/>
      <c r="K1179" s="270"/>
      <c r="L1179" s="250"/>
      <c r="M1179" s="250"/>
      <c r="N1179" s="540" t="str">
        <f>CONCATENATE(IF(OR(M1179=phu!$I$1,M1179=phu!$I$2,M1179=phu!$I$3),"Cam Thành Nam",""),IF(OR(M1179=phu!$I$4,M1179=phu!$I$5,M1179=phu!$I$6,M1179=phu!$I$7,M1179=phu!$I$8,M1179=phu!$I$9,M1179=phu!$I$10,M1179=phu!$I$11,M1179=phu!$I$12,M1179=phu!$I$13,M1179=phu!$I$14),"Cam Nghĩa",""),IF(OR(M1179=phu!$I$15,M1179=phu!$I$16,M1179=phu!$I$17,M1179=phu!$I$18,M1179=phu!$I$19,M1179=phu!$I$20,M1179=phu!$I$21),"Cam Phúc Bắc",""),IF(OR(M1179=phu!$I$22,M1179=phu!$I$23,M1179=phu!$I$24,M1179=phu!$I$25),"Cam Phúc Nam",""),IF(OR(M1179=phu!$I$26,M1179=phu!$I$27,M1179=phu!$I$28,M1179=phu!$I$29,M1179=phu!$I$30,M1179=phu!$I$31),"Cam Phú",""),IF(OR(M1179=phu!$I$32,M1179=phu!$I$33,M1179=phu!$I$34,M1179=phu!$I$35,M1179=phu!$I$36,M1179=phu!$I$37),"Cam Lộc",""),IF(OR(M1179=phu!$I$38,M1179=phu!$I$39,M1179=phu!$I$40,M1179=phu!$I$41,M1179=phu!$I$42,M1179=phu!$I$43,M1179=phu!$I$44),"Cam Thuận",""),IF(OR(M1179=phu!$I$45,M1179=phu!$I$46,M1179=phu!$I$47,M1179=phu!$I$48,M1179=phu!$I$49,M1179=phu!$I$50,M1179=phu!$I$51,M1179=phu!$I$52,M1179=phu!$I$53),"Cam Linh",""),IF(OR(M1179=phu!$I$54,M1179=phu!$I$55,M1179=phu!$I$56,M1179=phu!$I$57,M1179=phu!$I$58,M1179=phu!$I$59,M1179=phu!$I$60,M1179=phu!$I$61,M1179=phu!$I$62),"Cam Lợi",""),IF(OR(M1179=phu!$I$63,M1179=phu!$I$64,M1179=phu!$I$65,M1179=phu!$I$66,M1179=phu!$I$67,M1179=phu!$I$68,M1179=phu!$I$69,M1179=phu!$I$70,M1179=phu!$I$71),"Ba Ngòi",""),IF(OR(M1179=phu!$I$72,M1179=phu!$I$73,M1179=phu!$I$74,M1179=phu!$I$75,M1179=phu!$I$76,M1179=phu!$I$77,M1179=phu!$I$78),"Cam Phước Đông",""),IF(OR(M1179=phu!$I$79,M1179=phu!$I$80,M1179=phu!$I$81,M1179=phu!$I$82,M1179=phu!$I$83,M1179=phu!$I$84),"Cam Thịnh Đông",""),IF(OR(M1179=phu!$I$85,M1179=phu!$I$86,M1179=phu!$I$87,M1179=phu!$I$88),"Cam Thịnh Tây",""),IF(OR(M1179=phu!$I$89,M1179=phu!$I$90),"Cam Lập",""),IF(OR(M1179=phu!$I$91,M1179=phu!$I$92,M1179=phu!$I$93),"Cam Bình",""),IF(OR(M1179=phu!$I$94,M1179=phu!$I$95,M1179=phu!$I$96,M1179=phu!$I$97,M1179=phu!$I$98,M1179=phu!$I$99,M1179=phu!$I$100),"Huyện khác",""),IF(OR(M1179=phu!$I$101,M1179=phu!$I$102),"Tỉnh khác",""))</f>
        <v/>
      </c>
      <c r="O1179" s="829" t="str">
        <f t="shared" si="108"/>
        <v/>
      </c>
      <c r="P1179" s="254"/>
      <c r="Q1179" s="254"/>
      <c r="R1179" s="254"/>
      <c r="S1179" s="254"/>
      <c r="T1179" s="254"/>
      <c r="U1179" s="254"/>
      <c r="V1179" s="254"/>
      <c r="W1179" s="254"/>
      <c r="Y1179" s="246" t="str">
        <f t="shared" si="109"/>
        <v/>
      </c>
      <c r="Z1179" s="247" t="str">
        <f t="shared" si="113"/>
        <v/>
      </c>
      <c r="AA1179" s="246" t="str">
        <f t="shared" si="110"/>
        <v/>
      </c>
    </row>
    <row r="1180" spans="1:27" x14ac:dyDescent="0.25">
      <c r="A1180" s="248" t="str">
        <f t="shared" si="111"/>
        <v/>
      </c>
      <c r="B1180" s="249" t="str">
        <f t="shared" si="112"/>
        <v/>
      </c>
      <c r="C1180" s="250"/>
      <c r="D1180" s="251"/>
      <c r="E1180" s="241"/>
      <c r="F1180" s="252"/>
      <c r="G1180" s="252"/>
      <c r="H1180" s="253"/>
      <c r="I1180" s="250"/>
      <c r="J1180" s="250"/>
      <c r="K1180" s="270"/>
      <c r="L1180" s="250"/>
      <c r="M1180" s="250"/>
      <c r="N1180" s="540" t="str">
        <f>CONCATENATE(IF(OR(M1180=phu!$I$1,M1180=phu!$I$2,M1180=phu!$I$3),"Cam Thành Nam",""),IF(OR(M1180=phu!$I$4,M1180=phu!$I$5,M1180=phu!$I$6,M1180=phu!$I$7,M1180=phu!$I$8,M1180=phu!$I$9,M1180=phu!$I$10,M1180=phu!$I$11,M1180=phu!$I$12,M1180=phu!$I$13,M1180=phu!$I$14),"Cam Nghĩa",""),IF(OR(M1180=phu!$I$15,M1180=phu!$I$16,M1180=phu!$I$17,M1180=phu!$I$18,M1180=phu!$I$19,M1180=phu!$I$20,M1180=phu!$I$21),"Cam Phúc Bắc",""),IF(OR(M1180=phu!$I$22,M1180=phu!$I$23,M1180=phu!$I$24,M1180=phu!$I$25),"Cam Phúc Nam",""),IF(OR(M1180=phu!$I$26,M1180=phu!$I$27,M1180=phu!$I$28,M1180=phu!$I$29,M1180=phu!$I$30,M1180=phu!$I$31),"Cam Phú",""),IF(OR(M1180=phu!$I$32,M1180=phu!$I$33,M1180=phu!$I$34,M1180=phu!$I$35,M1180=phu!$I$36,M1180=phu!$I$37),"Cam Lộc",""),IF(OR(M1180=phu!$I$38,M1180=phu!$I$39,M1180=phu!$I$40,M1180=phu!$I$41,M1180=phu!$I$42,M1180=phu!$I$43,M1180=phu!$I$44),"Cam Thuận",""),IF(OR(M1180=phu!$I$45,M1180=phu!$I$46,M1180=phu!$I$47,M1180=phu!$I$48,M1180=phu!$I$49,M1180=phu!$I$50,M1180=phu!$I$51,M1180=phu!$I$52,M1180=phu!$I$53),"Cam Linh",""),IF(OR(M1180=phu!$I$54,M1180=phu!$I$55,M1180=phu!$I$56,M1180=phu!$I$57,M1180=phu!$I$58,M1180=phu!$I$59,M1180=phu!$I$60,M1180=phu!$I$61,M1180=phu!$I$62),"Cam Lợi",""),IF(OR(M1180=phu!$I$63,M1180=phu!$I$64,M1180=phu!$I$65,M1180=phu!$I$66,M1180=phu!$I$67,M1180=phu!$I$68,M1180=phu!$I$69,M1180=phu!$I$70,M1180=phu!$I$71),"Ba Ngòi",""),IF(OR(M1180=phu!$I$72,M1180=phu!$I$73,M1180=phu!$I$74,M1180=phu!$I$75,M1180=phu!$I$76,M1180=phu!$I$77,M1180=phu!$I$78),"Cam Phước Đông",""),IF(OR(M1180=phu!$I$79,M1180=phu!$I$80,M1180=phu!$I$81,M1180=phu!$I$82,M1180=phu!$I$83,M1180=phu!$I$84),"Cam Thịnh Đông",""),IF(OR(M1180=phu!$I$85,M1180=phu!$I$86,M1180=phu!$I$87,M1180=phu!$I$88),"Cam Thịnh Tây",""),IF(OR(M1180=phu!$I$89,M1180=phu!$I$90),"Cam Lập",""),IF(OR(M1180=phu!$I$91,M1180=phu!$I$92,M1180=phu!$I$93),"Cam Bình",""),IF(OR(M1180=phu!$I$94,M1180=phu!$I$95,M1180=phu!$I$96,M1180=phu!$I$97,M1180=phu!$I$98,M1180=phu!$I$99,M1180=phu!$I$100),"Huyện khác",""),IF(OR(M1180=phu!$I$101,M1180=phu!$I$102),"Tỉnh khác",""))</f>
        <v/>
      </c>
      <c r="O1180" s="829" t="str">
        <f t="shared" si="108"/>
        <v/>
      </c>
      <c r="P1180" s="254"/>
      <c r="Q1180" s="254"/>
      <c r="R1180" s="254"/>
      <c r="S1180" s="254"/>
      <c r="T1180" s="254"/>
      <c r="U1180" s="254"/>
      <c r="V1180" s="254"/>
      <c r="W1180" s="254"/>
      <c r="Y1180" s="246" t="str">
        <f t="shared" si="109"/>
        <v/>
      </c>
      <c r="Z1180" s="247" t="str">
        <f t="shared" si="113"/>
        <v/>
      </c>
      <c r="AA1180" s="246" t="str">
        <f t="shared" si="110"/>
        <v/>
      </c>
    </row>
    <row r="1181" spans="1:27" x14ac:dyDescent="0.25">
      <c r="A1181" s="248" t="str">
        <f t="shared" si="111"/>
        <v/>
      </c>
      <c r="B1181" s="249" t="str">
        <f t="shared" si="112"/>
        <v/>
      </c>
      <c r="C1181" s="250"/>
      <c r="D1181" s="251"/>
      <c r="E1181" s="241"/>
      <c r="F1181" s="252"/>
      <c r="G1181" s="252"/>
      <c r="H1181" s="253"/>
      <c r="I1181" s="250"/>
      <c r="J1181" s="250"/>
      <c r="K1181" s="270"/>
      <c r="L1181" s="250"/>
      <c r="M1181" s="250"/>
      <c r="N1181" s="540" t="str">
        <f>CONCATENATE(IF(OR(M1181=phu!$I$1,M1181=phu!$I$2,M1181=phu!$I$3),"Cam Thành Nam",""),IF(OR(M1181=phu!$I$4,M1181=phu!$I$5,M1181=phu!$I$6,M1181=phu!$I$7,M1181=phu!$I$8,M1181=phu!$I$9,M1181=phu!$I$10,M1181=phu!$I$11,M1181=phu!$I$12,M1181=phu!$I$13,M1181=phu!$I$14),"Cam Nghĩa",""),IF(OR(M1181=phu!$I$15,M1181=phu!$I$16,M1181=phu!$I$17,M1181=phu!$I$18,M1181=phu!$I$19,M1181=phu!$I$20,M1181=phu!$I$21),"Cam Phúc Bắc",""),IF(OR(M1181=phu!$I$22,M1181=phu!$I$23,M1181=phu!$I$24,M1181=phu!$I$25),"Cam Phúc Nam",""),IF(OR(M1181=phu!$I$26,M1181=phu!$I$27,M1181=phu!$I$28,M1181=phu!$I$29,M1181=phu!$I$30,M1181=phu!$I$31),"Cam Phú",""),IF(OR(M1181=phu!$I$32,M1181=phu!$I$33,M1181=phu!$I$34,M1181=phu!$I$35,M1181=phu!$I$36,M1181=phu!$I$37),"Cam Lộc",""),IF(OR(M1181=phu!$I$38,M1181=phu!$I$39,M1181=phu!$I$40,M1181=phu!$I$41,M1181=phu!$I$42,M1181=phu!$I$43,M1181=phu!$I$44),"Cam Thuận",""),IF(OR(M1181=phu!$I$45,M1181=phu!$I$46,M1181=phu!$I$47,M1181=phu!$I$48,M1181=phu!$I$49,M1181=phu!$I$50,M1181=phu!$I$51,M1181=phu!$I$52,M1181=phu!$I$53),"Cam Linh",""),IF(OR(M1181=phu!$I$54,M1181=phu!$I$55,M1181=phu!$I$56,M1181=phu!$I$57,M1181=phu!$I$58,M1181=phu!$I$59,M1181=phu!$I$60,M1181=phu!$I$61,M1181=phu!$I$62),"Cam Lợi",""),IF(OR(M1181=phu!$I$63,M1181=phu!$I$64,M1181=phu!$I$65,M1181=phu!$I$66,M1181=phu!$I$67,M1181=phu!$I$68,M1181=phu!$I$69,M1181=phu!$I$70,M1181=phu!$I$71),"Ba Ngòi",""),IF(OR(M1181=phu!$I$72,M1181=phu!$I$73,M1181=phu!$I$74,M1181=phu!$I$75,M1181=phu!$I$76,M1181=phu!$I$77,M1181=phu!$I$78),"Cam Phước Đông",""),IF(OR(M1181=phu!$I$79,M1181=phu!$I$80,M1181=phu!$I$81,M1181=phu!$I$82,M1181=phu!$I$83,M1181=phu!$I$84),"Cam Thịnh Đông",""),IF(OR(M1181=phu!$I$85,M1181=phu!$I$86,M1181=phu!$I$87,M1181=phu!$I$88),"Cam Thịnh Tây",""),IF(OR(M1181=phu!$I$89,M1181=phu!$I$90),"Cam Lập",""),IF(OR(M1181=phu!$I$91,M1181=phu!$I$92,M1181=phu!$I$93),"Cam Bình",""),IF(OR(M1181=phu!$I$94,M1181=phu!$I$95,M1181=phu!$I$96,M1181=phu!$I$97,M1181=phu!$I$98,M1181=phu!$I$99,M1181=phu!$I$100),"Huyện khác",""),IF(OR(M1181=phu!$I$101,M1181=phu!$I$102),"Tỉnh khác",""))</f>
        <v/>
      </c>
      <c r="O1181" s="829" t="str">
        <f t="shared" si="108"/>
        <v/>
      </c>
      <c r="P1181" s="254"/>
      <c r="Q1181" s="254"/>
      <c r="R1181" s="254"/>
      <c r="S1181" s="254"/>
      <c r="T1181" s="254"/>
      <c r="U1181" s="254"/>
      <c r="V1181" s="254"/>
      <c r="W1181" s="254"/>
      <c r="Y1181" s="246" t="str">
        <f t="shared" si="109"/>
        <v/>
      </c>
      <c r="Z1181" s="247" t="str">
        <f t="shared" si="113"/>
        <v/>
      </c>
      <c r="AA1181" s="246" t="str">
        <f t="shared" si="110"/>
        <v/>
      </c>
    </row>
    <row r="1182" spans="1:27" x14ac:dyDescent="0.25">
      <c r="A1182" s="248" t="str">
        <f t="shared" si="111"/>
        <v/>
      </c>
      <c r="B1182" s="249" t="str">
        <f t="shared" si="112"/>
        <v/>
      </c>
      <c r="C1182" s="250"/>
      <c r="D1182" s="251"/>
      <c r="E1182" s="241"/>
      <c r="F1182" s="252"/>
      <c r="G1182" s="252"/>
      <c r="H1182" s="253"/>
      <c r="I1182" s="250"/>
      <c r="J1182" s="250"/>
      <c r="K1182" s="270"/>
      <c r="L1182" s="250"/>
      <c r="M1182" s="250"/>
      <c r="N1182" s="540" t="str">
        <f>CONCATENATE(IF(OR(M1182=phu!$I$1,M1182=phu!$I$2,M1182=phu!$I$3),"Cam Thành Nam",""),IF(OR(M1182=phu!$I$4,M1182=phu!$I$5,M1182=phu!$I$6,M1182=phu!$I$7,M1182=phu!$I$8,M1182=phu!$I$9,M1182=phu!$I$10,M1182=phu!$I$11,M1182=phu!$I$12,M1182=phu!$I$13,M1182=phu!$I$14),"Cam Nghĩa",""),IF(OR(M1182=phu!$I$15,M1182=phu!$I$16,M1182=phu!$I$17,M1182=phu!$I$18,M1182=phu!$I$19,M1182=phu!$I$20,M1182=phu!$I$21),"Cam Phúc Bắc",""),IF(OR(M1182=phu!$I$22,M1182=phu!$I$23,M1182=phu!$I$24,M1182=phu!$I$25),"Cam Phúc Nam",""),IF(OR(M1182=phu!$I$26,M1182=phu!$I$27,M1182=phu!$I$28,M1182=phu!$I$29,M1182=phu!$I$30,M1182=phu!$I$31),"Cam Phú",""),IF(OR(M1182=phu!$I$32,M1182=phu!$I$33,M1182=phu!$I$34,M1182=phu!$I$35,M1182=phu!$I$36,M1182=phu!$I$37),"Cam Lộc",""),IF(OR(M1182=phu!$I$38,M1182=phu!$I$39,M1182=phu!$I$40,M1182=phu!$I$41,M1182=phu!$I$42,M1182=phu!$I$43,M1182=phu!$I$44),"Cam Thuận",""),IF(OR(M1182=phu!$I$45,M1182=phu!$I$46,M1182=phu!$I$47,M1182=phu!$I$48,M1182=phu!$I$49,M1182=phu!$I$50,M1182=phu!$I$51,M1182=phu!$I$52,M1182=phu!$I$53),"Cam Linh",""),IF(OR(M1182=phu!$I$54,M1182=phu!$I$55,M1182=phu!$I$56,M1182=phu!$I$57,M1182=phu!$I$58,M1182=phu!$I$59,M1182=phu!$I$60,M1182=phu!$I$61,M1182=phu!$I$62),"Cam Lợi",""),IF(OR(M1182=phu!$I$63,M1182=phu!$I$64,M1182=phu!$I$65,M1182=phu!$I$66,M1182=phu!$I$67,M1182=phu!$I$68,M1182=phu!$I$69,M1182=phu!$I$70,M1182=phu!$I$71),"Ba Ngòi",""),IF(OR(M1182=phu!$I$72,M1182=phu!$I$73,M1182=phu!$I$74,M1182=phu!$I$75,M1182=phu!$I$76,M1182=phu!$I$77,M1182=phu!$I$78),"Cam Phước Đông",""),IF(OR(M1182=phu!$I$79,M1182=phu!$I$80,M1182=phu!$I$81,M1182=phu!$I$82,M1182=phu!$I$83,M1182=phu!$I$84),"Cam Thịnh Đông",""),IF(OR(M1182=phu!$I$85,M1182=phu!$I$86,M1182=phu!$I$87,M1182=phu!$I$88),"Cam Thịnh Tây",""),IF(OR(M1182=phu!$I$89,M1182=phu!$I$90),"Cam Lập",""),IF(OR(M1182=phu!$I$91,M1182=phu!$I$92,M1182=phu!$I$93),"Cam Bình",""),IF(OR(M1182=phu!$I$94,M1182=phu!$I$95,M1182=phu!$I$96,M1182=phu!$I$97,M1182=phu!$I$98,M1182=phu!$I$99,M1182=phu!$I$100),"Huyện khác",""),IF(OR(M1182=phu!$I$101,M1182=phu!$I$102),"Tỉnh khác",""))</f>
        <v/>
      </c>
      <c r="O1182" s="829" t="str">
        <f t="shared" si="108"/>
        <v/>
      </c>
      <c r="P1182" s="254"/>
      <c r="Q1182" s="254"/>
      <c r="R1182" s="254"/>
      <c r="S1182" s="254"/>
      <c r="T1182" s="254"/>
      <c r="U1182" s="254"/>
      <c r="V1182" s="254"/>
      <c r="W1182" s="254"/>
      <c r="Y1182" s="246" t="str">
        <f t="shared" si="109"/>
        <v/>
      </c>
      <c r="Z1182" s="247" t="str">
        <f t="shared" si="113"/>
        <v/>
      </c>
      <c r="AA1182" s="246" t="str">
        <f t="shared" si="110"/>
        <v/>
      </c>
    </row>
    <row r="1183" spans="1:27" x14ac:dyDescent="0.25">
      <c r="A1183" s="248" t="str">
        <f t="shared" si="111"/>
        <v/>
      </c>
      <c r="B1183" s="249" t="str">
        <f t="shared" si="112"/>
        <v/>
      </c>
      <c r="C1183" s="250"/>
      <c r="D1183" s="251"/>
      <c r="E1183" s="241"/>
      <c r="F1183" s="252"/>
      <c r="G1183" s="252"/>
      <c r="H1183" s="253"/>
      <c r="I1183" s="250"/>
      <c r="J1183" s="250"/>
      <c r="K1183" s="270"/>
      <c r="L1183" s="250"/>
      <c r="M1183" s="250"/>
      <c r="N1183" s="540" t="str">
        <f>CONCATENATE(IF(OR(M1183=phu!$I$1,M1183=phu!$I$2,M1183=phu!$I$3),"Cam Thành Nam",""),IF(OR(M1183=phu!$I$4,M1183=phu!$I$5,M1183=phu!$I$6,M1183=phu!$I$7,M1183=phu!$I$8,M1183=phu!$I$9,M1183=phu!$I$10,M1183=phu!$I$11,M1183=phu!$I$12,M1183=phu!$I$13,M1183=phu!$I$14),"Cam Nghĩa",""),IF(OR(M1183=phu!$I$15,M1183=phu!$I$16,M1183=phu!$I$17,M1183=phu!$I$18,M1183=phu!$I$19,M1183=phu!$I$20,M1183=phu!$I$21),"Cam Phúc Bắc",""),IF(OR(M1183=phu!$I$22,M1183=phu!$I$23,M1183=phu!$I$24,M1183=phu!$I$25),"Cam Phúc Nam",""),IF(OR(M1183=phu!$I$26,M1183=phu!$I$27,M1183=phu!$I$28,M1183=phu!$I$29,M1183=phu!$I$30,M1183=phu!$I$31),"Cam Phú",""),IF(OR(M1183=phu!$I$32,M1183=phu!$I$33,M1183=phu!$I$34,M1183=phu!$I$35,M1183=phu!$I$36,M1183=phu!$I$37),"Cam Lộc",""),IF(OR(M1183=phu!$I$38,M1183=phu!$I$39,M1183=phu!$I$40,M1183=phu!$I$41,M1183=phu!$I$42,M1183=phu!$I$43,M1183=phu!$I$44),"Cam Thuận",""),IF(OR(M1183=phu!$I$45,M1183=phu!$I$46,M1183=phu!$I$47,M1183=phu!$I$48,M1183=phu!$I$49,M1183=phu!$I$50,M1183=phu!$I$51,M1183=phu!$I$52,M1183=phu!$I$53),"Cam Linh",""),IF(OR(M1183=phu!$I$54,M1183=phu!$I$55,M1183=phu!$I$56,M1183=phu!$I$57,M1183=phu!$I$58,M1183=phu!$I$59,M1183=phu!$I$60,M1183=phu!$I$61,M1183=phu!$I$62),"Cam Lợi",""),IF(OR(M1183=phu!$I$63,M1183=phu!$I$64,M1183=phu!$I$65,M1183=phu!$I$66,M1183=phu!$I$67,M1183=phu!$I$68,M1183=phu!$I$69,M1183=phu!$I$70,M1183=phu!$I$71),"Ba Ngòi",""),IF(OR(M1183=phu!$I$72,M1183=phu!$I$73,M1183=phu!$I$74,M1183=phu!$I$75,M1183=phu!$I$76,M1183=phu!$I$77,M1183=phu!$I$78),"Cam Phước Đông",""),IF(OR(M1183=phu!$I$79,M1183=phu!$I$80,M1183=phu!$I$81,M1183=phu!$I$82,M1183=phu!$I$83,M1183=phu!$I$84),"Cam Thịnh Đông",""),IF(OR(M1183=phu!$I$85,M1183=phu!$I$86,M1183=phu!$I$87,M1183=phu!$I$88),"Cam Thịnh Tây",""),IF(OR(M1183=phu!$I$89,M1183=phu!$I$90),"Cam Lập",""),IF(OR(M1183=phu!$I$91,M1183=phu!$I$92,M1183=phu!$I$93),"Cam Bình",""),IF(OR(M1183=phu!$I$94,M1183=phu!$I$95,M1183=phu!$I$96,M1183=phu!$I$97,M1183=phu!$I$98,M1183=phu!$I$99,M1183=phu!$I$100),"Huyện khác",""),IF(OR(M1183=phu!$I$101,M1183=phu!$I$102),"Tỉnh khác",""))</f>
        <v/>
      </c>
      <c r="O1183" s="829" t="str">
        <f t="shared" si="108"/>
        <v/>
      </c>
      <c r="P1183" s="254"/>
      <c r="Q1183" s="254"/>
      <c r="R1183" s="254"/>
      <c r="S1183" s="254"/>
      <c r="T1183" s="254"/>
      <c r="U1183" s="254"/>
      <c r="V1183" s="254"/>
      <c r="W1183" s="254"/>
      <c r="Y1183" s="246" t="str">
        <f t="shared" si="109"/>
        <v/>
      </c>
      <c r="Z1183" s="247" t="str">
        <f t="shared" si="113"/>
        <v/>
      </c>
      <c r="AA1183" s="246" t="str">
        <f t="shared" si="110"/>
        <v/>
      </c>
    </row>
    <row r="1184" spans="1:27" x14ac:dyDescent="0.25">
      <c r="A1184" s="248" t="str">
        <f t="shared" si="111"/>
        <v/>
      </c>
      <c r="B1184" s="249" t="str">
        <f t="shared" si="112"/>
        <v/>
      </c>
      <c r="C1184" s="250"/>
      <c r="D1184" s="251"/>
      <c r="E1184" s="241"/>
      <c r="F1184" s="252"/>
      <c r="G1184" s="252"/>
      <c r="H1184" s="253"/>
      <c r="I1184" s="250"/>
      <c r="J1184" s="250"/>
      <c r="K1184" s="270"/>
      <c r="L1184" s="250"/>
      <c r="M1184" s="250"/>
      <c r="N1184" s="540" t="str">
        <f>CONCATENATE(IF(OR(M1184=phu!$I$1,M1184=phu!$I$2,M1184=phu!$I$3),"Cam Thành Nam",""),IF(OR(M1184=phu!$I$4,M1184=phu!$I$5,M1184=phu!$I$6,M1184=phu!$I$7,M1184=phu!$I$8,M1184=phu!$I$9,M1184=phu!$I$10,M1184=phu!$I$11,M1184=phu!$I$12,M1184=phu!$I$13,M1184=phu!$I$14),"Cam Nghĩa",""),IF(OR(M1184=phu!$I$15,M1184=phu!$I$16,M1184=phu!$I$17,M1184=phu!$I$18,M1184=phu!$I$19,M1184=phu!$I$20,M1184=phu!$I$21),"Cam Phúc Bắc",""),IF(OR(M1184=phu!$I$22,M1184=phu!$I$23,M1184=phu!$I$24,M1184=phu!$I$25),"Cam Phúc Nam",""),IF(OR(M1184=phu!$I$26,M1184=phu!$I$27,M1184=phu!$I$28,M1184=phu!$I$29,M1184=phu!$I$30,M1184=phu!$I$31),"Cam Phú",""),IF(OR(M1184=phu!$I$32,M1184=phu!$I$33,M1184=phu!$I$34,M1184=phu!$I$35,M1184=phu!$I$36,M1184=phu!$I$37),"Cam Lộc",""),IF(OR(M1184=phu!$I$38,M1184=phu!$I$39,M1184=phu!$I$40,M1184=phu!$I$41,M1184=phu!$I$42,M1184=phu!$I$43,M1184=phu!$I$44),"Cam Thuận",""),IF(OR(M1184=phu!$I$45,M1184=phu!$I$46,M1184=phu!$I$47,M1184=phu!$I$48,M1184=phu!$I$49,M1184=phu!$I$50,M1184=phu!$I$51,M1184=phu!$I$52,M1184=phu!$I$53),"Cam Linh",""),IF(OR(M1184=phu!$I$54,M1184=phu!$I$55,M1184=phu!$I$56,M1184=phu!$I$57,M1184=phu!$I$58,M1184=phu!$I$59,M1184=phu!$I$60,M1184=phu!$I$61,M1184=phu!$I$62),"Cam Lợi",""),IF(OR(M1184=phu!$I$63,M1184=phu!$I$64,M1184=phu!$I$65,M1184=phu!$I$66,M1184=phu!$I$67,M1184=phu!$I$68,M1184=phu!$I$69,M1184=phu!$I$70,M1184=phu!$I$71),"Ba Ngòi",""),IF(OR(M1184=phu!$I$72,M1184=phu!$I$73,M1184=phu!$I$74,M1184=phu!$I$75,M1184=phu!$I$76,M1184=phu!$I$77,M1184=phu!$I$78),"Cam Phước Đông",""),IF(OR(M1184=phu!$I$79,M1184=phu!$I$80,M1184=phu!$I$81,M1184=phu!$I$82,M1184=phu!$I$83,M1184=phu!$I$84),"Cam Thịnh Đông",""),IF(OR(M1184=phu!$I$85,M1184=phu!$I$86,M1184=phu!$I$87,M1184=phu!$I$88),"Cam Thịnh Tây",""),IF(OR(M1184=phu!$I$89,M1184=phu!$I$90),"Cam Lập",""),IF(OR(M1184=phu!$I$91,M1184=phu!$I$92,M1184=phu!$I$93),"Cam Bình",""),IF(OR(M1184=phu!$I$94,M1184=phu!$I$95,M1184=phu!$I$96,M1184=phu!$I$97,M1184=phu!$I$98,M1184=phu!$I$99,M1184=phu!$I$100),"Huyện khác",""),IF(OR(M1184=phu!$I$101,M1184=phu!$I$102),"Tỉnh khác",""))</f>
        <v/>
      </c>
      <c r="O1184" s="829" t="str">
        <f t="shared" si="108"/>
        <v/>
      </c>
      <c r="P1184" s="254"/>
      <c r="Q1184" s="254"/>
      <c r="R1184" s="254"/>
      <c r="S1184" s="254"/>
      <c r="T1184" s="254"/>
      <c r="U1184" s="254"/>
      <c r="V1184" s="254"/>
      <c r="W1184" s="254"/>
      <c r="Y1184" s="246" t="str">
        <f t="shared" si="109"/>
        <v/>
      </c>
      <c r="Z1184" s="247" t="str">
        <f t="shared" si="113"/>
        <v/>
      </c>
      <c r="AA1184" s="246" t="str">
        <f t="shared" si="110"/>
        <v/>
      </c>
    </row>
    <row r="1185" spans="1:27" x14ac:dyDescent="0.25">
      <c r="A1185" s="248" t="str">
        <f t="shared" si="111"/>
        <v/>
      </c>
      <c r="B1185" s="249" t="str">
        <f t="shared" si="112"/>
        <v/>
      </c>
      <c r="C1185" s="250"/>
      <c r="D1185" s="251"/>
      <c r="E1185" s="241"/>
      <c r="F1185" s="252"/>
      <c r="G1185" s="252"/>
      <c r="H1185" s="253"/>
      <c r="I1185" s="250"/>
      <c r="J1185" s="250"/>
      <c r="K1185" s="270"/>
      <c r="L1185" s="250"/>
      <c r="M1185" s="250"/>
      <c r="N1185" s="540" t="str">
        <f>CONCATENATE(IF(OR(M1185=phu!$I$1,M1185=phu!$I$2,M1185=phu!$I$3),"Cam Thành Nam",""),IF(OR(M1185=phu!$I$4,M1185=phu!$I$5,M1185=phu!$I$6,M1185=phu!$I$7,M1185=phu!$I$8,M1185=phu!$I$9,M1185=phu!$I$10,M1185=phu!$I$11,M1185=phu!$I$12,M1185=phu!$I$13,M1185=phu!$I$14),"Cam Nghĩa",""),IF(OR(M1185=phu!$I$15,M1185=phu!$I$16,M1185=phu!$I$17,M1185=phu!$I$18,M1185=phu!$I$19,M1185=phu!$I$20,M1185=phu!$I$21),"Cam Phúc Bắc",""),IF(OR(M1185=phu!$I$22,M1185=phu!$I$23,M1185=phu!$I$24,M1185=phu!$I$25),"Cam Phúc Nam",""),IF(OR(M1185=phu!$I$26,M1185=phu!$I$27,M1185=phu!$I$28,M1185=phu!$I$29,M1185=phu!$I$30,M1185=phu!$I$31),"Cam Phú",""),IF(OR(M1185=phu!$I$32,M1185=phu!$I$33,M1185=phu!$I$34,M1185=phu!$I$35,M1185=phu!$I$36,M1185=phu!$I$37),"Cam Lộc",""),IF(OR(M1185=phu!$I$38,M1185=phu!$I$39,M1185=phu!$I$40,M1185=phu!$I$41,M1185=phu!$I$42,M1185=phu!$I$43,M1185=phu!$I$44),"Cam Thuận",""),IF(OR(M1185=phu!$I$45,M1185=phu!$I$46,M1185=phu!$I$47,M1185=phu!$I$48,M1185=phu!$I$49,M1185=phu!$I$50,M1185=phu!$I$51,M1185=phu!$I$52,M1185=phu!$I$53),"Cam Linh",""),IF(OR(M1185=phu!$I$54,M1185=phu!$I$55,M1185=phu!$I$56,M1185=phu!$I$57,M1185=phu!$I$58,M1185=phu!$I$59,M1185=phu!$I$60,M1185=phu!$I$61,M1185=phu!$I$62),"Cam Lợi",""),IF(OR(M1185=phu!$I$63,M1185=phu!$I$64,M1185=phu!$I$65,M1185=phu!$I$66,M1185=phu!$I$67,M1185=phu!$I$68,M1185=phu!$I$69,M1185=phu!$I$70,M1185=phu!$I$71),"Ba Ngòi",""),IF(OR(M1185=phu!$I$72,M1185=phu!$I$73,M1185=phu!$I$74,M1185=phu!$I$75,M1185=phu!$I$76,M1185=phu!$I$77,M1185=phu!$I$78),"Cam Phước Đông",""),IF(OR(M1185=phu!$I$79,M1185=phu!$I$80,M1185=phu!$I$81,M1185=phu!$I$82,M1185=phu!$I$83,M1185=phu!$I$84),"Cam Thịnh Đông",""),IF(OR(M1185=phu!$I$85,M1185=phu!$I$86,M1185=phu!$I$87,M1185=phu!$I$88),"Cam Thịnh Tây",""),IF(OR(M1185=phu!$I$89,M1185=phu!$I$90),"Cam Lập",""),IF(OR(M1185=phu!$I$91,M1185=phu!$I$92,M1185=phu!$I$93),"Cam Bình",""),IF(OR(M1185=phu!$I$94,M1185=phu!$I$95,M1185=phu!$I$96,M1185=phu!$I$97,M1185=phu!$I$98,M1185=phu!$I$99,M1185=phu!$I$100),"Huyện khác",""),IF(OR(M1185=phu!$I$101,M1185=phu!$I$102),"Tỉnh khác",""))</f>
        <v/>
      </c>
      <c r="O1185" s="829" t="str">
        <f t="shared" si="108"/>
        <v/>
      </c>
      <c r="P1185" s="254"/>
      <c r="Q1185" s="254"/>
      <c r="R1185" s="254"/>
      <c r="S1185" s="254"/>
      <c r="T1185" s="254"/>
      <c r="U1185" s="254"/>
      <c r="V1185" s="254"/>
      <c r="W1185" s="254"/>
      <c r="Y1185" s="246" t="str">
        <f t="shared" si="109"/>
        <v/>
      </c>
      <c r="Z1185" s="247" t="str">
        <f t="shared" si="113"/>
        <v/>
      </c>
      <c r="AA1185" s="246" t="str">
        <f t="shared" si="110"/>
        <v/>
      </c>
    </row>
    <row r="1186" spans="1:27" x14ac:dyDescent="0.25">
      <c r="A1186" s="248" t="str">
        <f t="shared" si="111"/>
        <v/>
      </c>
      <c r="B1186" s="249" t="str">
        <f t="shared" si="112"/>
        <v/>
      </c>
      <c r="C1186" s="250"/>
      <c r="D1186" s="251"/>
      <c r="E1186" s="241"/>
      <c r="F1186" s="252"/>
      <c r="G1186" s="252"/>
      <c r="H1186" s="253"/>
      <c r="I1186" s="250"/>
      <c r="J1186" s="250"/>
      <c r="K1186" s="270"/>
      <c r="L1186" s="250"/>
      <c r="M1186" s="250"/>
      <c r="N1186" s="540" t="str">
        <f>CONCATENATE(IF(OR(M1186=phu!$I$1,M1186=phu!$I$2,M1186=phu!$I$3),"Cam Thành Nam",""),IF(OR(M1186=phu!$I$4,M1186=phu!$I$5,M1186=phu!$I$6,M1186=phu!$I$7,M1186=phu!$I$8,M1186=phu!$I$9,M1186=phu!$I$10,M1186=phu!$I$11,M1186=phu!$I$12,M1186=phu!$I$13,M1186=phu!$I$14),"Cam Nghĩa",""),IF(OR(M1186=phu!$I$15,M1186=phu!$I$16,M1186=phu!$I$17,M1186=phu!$I$18,M1186=phu!$I$19,M1186=phu!$I$20,M1186=phu!$I$21),"Cam Phúc Bắc",""),IF(OR(M1186=phu!$I$22,M1186=phu!$I$23,M1186=phu!$I$24,M1186=phu!$I$25),"Cam Phúc Nam",""),IF(OR(M1186=phu!$I$26,M1186=phu!$I$27,M1186=phu!$I$28,M1186=phu!$I$29,M1186=phu!$I$30,M1186=phu!$I$31),"Cam Phú",""),IF(OR(M1186=phu!$I$32,M1186=phu!$I$33,M1186=phu!$I$34,M1186=phu!$I$35,M1186=phu!$I$36,M1186=phu!$I$37),"Cam Lộc",""),IF(OR(M1186=phu!$I$38,M1186=phu!$I$39,M1186=phu!$I$40,M1186=phu!$I$41,M1186=phu!$I$42,M1186=phu!$I$43,M1186=phu!$I$44),"Cam Thuận",""),IF(OR(M1186=phu!$I$45,M1186=phu!$I$46,M1186=phu!$I$47,M1186=phu!$I$48,M1186=phu!$I$49,M1186=phu!$I$50,M1186=phu!$I$51,M1186=phu!$I$52,M1186=phu!$I$53),"Cam Linh",""),IF(OR(M1186=phu!$I$54,M1186=phu!$I$55,M1186=phu!$I$56,M1186=phu!$I$57,M1186=phu!$I$58,M1186=phu!$I$59,M1186=phu!$I$60,M1186=phu!$I$61,M1186=phu!$I$62),"Cam Lợi",""),IF(OR(M1186=phu!$I$63,M1186=phu!$I$64,M1186=phu!$I$65,M1186=phu!$I$66,M1186=phu!$I$67,M1186=phu!$I$68,M1186=phu!$I$69,M1186=phu!$I$70,M1186=phu!$I$71),"Ba Ngòi",""),IF(OR(M1186=phu!$I$72,M1186=phu!$I$73,M1186=phu!$I$74,M1186=phu!$I$75,M1186=phu!$I$76,M1186=phu!$I$77,M1186=phu!$I$78),"Cam Phước Đông",""),IF(OR(M1186=phu!$I$79,M1186=phu!$I$80,M1186=phu!$I$81,M1186=phu!$I$82,M1186=phu!$I$83,M1186=phu!$I$84),"Cam Thịnh Đông",""),IF(OR(M1186=phu!$I$85,M1186=phu!$I$86,M1186=phu!$I$87,M1186=phu!$I$88),"Cam Thịnh Tây",""),IF(OR(M1186=phu!$I$89,M1186=phu!$I$90),"Cam Lập",""),IF(OR(M1186=phu!$I$91,M1186=phu!$I$92,M1186=phu!$I$93),"Cam Bình",""),IF(OR(M1186=phu!$I$94,M1186=phu!$I$95,M1186=phu!$I$96,M1186=phu!$I$97,M1186=phu!$I$98,M1186=phu!$I$99,M1186=phu!$I$100),"Huyện khác",""),IF(OR(M1186=phu!$I$101,M1186=phu!$I$102),"Tỉnh khác",""))</f>
        <v/>
      </c>
      <c r="O1186" s="829" t="str">
        <f t="shared" si="108"/>
        <v/>
      </c>
      <c r="P1186" s="254"/>
      <c r="Q1186" s="254"/>
      <c r="R1186" s="254"/>
      <c r="S1186" s="254"/>
      <c r="T1186" s="254"/>
      <c r="U1186" s="254"/>
      <c r="V1186" s="254"/>
      <c r="W1186" s="254"/>
      <c r="Y1186" s="246" t="str">
        <f t="shared" si="109"/>
        <v/>
      </c>
      <c r="Z1186" s="247" t="str">
        <f t="shared" si="113"/>
        <v/>
      </c>
      <c r="AA1186" s="246" t="str">
        <f t="shared" si="110"/>
        <v/>
      </c>
    </row>
    <row r="1187" spans="1:27" x14ac:dyDescent="0.25">
      <c r="A1187" s="248" t="str">
        <f t="shared" si="111"/>
        <v/>
      </c>
      <c r="B1187" s="249" t="str">
        <f t="shared" si="112"/>
        <v/>
      </c>
      <c r="C1187" s="250"/>
      <c r="D1187" s="251"/>
      <c r="E1187" s="241"/>
      <c r="F1187" s="252"/>
      <c r="G1187" s="252"/>
      <c r="H1187" s="253"/>
      <c r="I1187" s="250"/>
      <c r="J1187" s="250"/>
      <c r="K1187" s="270"/>
      <c r="L1187" s="250"/>
      <c r="M1187" s="250"/>
      <c r="N1187" s="540" t="str">
        <f>CONCATENATE(IF(OR(M1187=phu!$I$1,M1187=phu!$I$2,M1187=phu!$I$3),"Cam Thành Nam",""),IF(OR(M1187=phu!$I$4,M1187=phu!$I$5,M1187=phu!$I$6,M1187=phu!$I$7,M1187=phu!$I$8,M1187=phu!$I$9,M1187=phu!$I$10,M1187=phu!$I$11,M1187=phu!$I$12,M1187=phu!$I$13,M1187=phu!$I$14),"Cam Nghĩa",""),IF(OR(M1187=phu!$I$15,M1187=phu!$I$16,M1187=phu!$I$17,M1187=phu!$I$18,M1187=phu!$I$19,M1187=phu!$I$20,M1187=phu!$I$21),"Cam Phúc Bắc",""),IF(OR(M1187=phu!$I$22,M1187=phu!$I$23,M1187=phu!$I$24,M1187=phu!$I$25),"Cam Phúc Nam",""),IF(OR(M1187=phu!$I$26,M1187=phu!$I$27,M1187=phu!$I$28,M1187=phu!$I$29,M1187=phu!$I$30,M1187=phu!$I$31),"Cam Phú",""),IF(OR(M1187=phu!$I$32,M1187=phu!$I$33,M1187=phu!$I$34,M1187=phu!$I$35,M1187=phu!$I$36,M1187=phu!$I$37),"Cam Lộc",""),IF(OR(M1187=phu!$I$38,M1187=phu!$I$39,M1187=phu!$I$40,M1187=phu!$I$41,M1187=phu!$I$42,M1187=phu!$I$43,M1187=phu!$I$44),"Cam Thuận",""),IF(OR(M1187=phu!$I$45,M1187=phu!$I$46,M1187=phu!$I$47,M1187=phu!$I$48,M1187=phu!$I$49,M1187=phu!$I$50,M1187=phu!$I$51,M1187=phu!$I$52,M1187=phu!$I$53),"Cam Linh",""),IF(OR(M1187=phu!$I$54,M1187=phu!$I$55,M1187=phu!$I$56,M1187=phu!$I$57,M1187=phu!$I$58,M1187=phu!$I$59,M1187=phu!$I$60,M1187=phu!$I$61,M1187=phu!$I$62),"Cam Lợi",""),IF(OR(M1187=phu!$I$63,M1187=phu!$I$64,M1187=phu!$I$65,M1187=phu!$I$66,M1187=phu!$I$67,M1187=phu!$I$68,M1187=phu!$I$69,M1187=phu!$I$70,M1187=phu!$I$71),"Ba Ngòi",""),IF(OR(M1187=phu!$I$72,M1187=phu!$I$73,M1187=phu!$I$74,M1187=phu!$I$75,M1187=phu!$I$76,M1187=phu!$I$77,M1187=phu!$I$78),"Cam Phước Đông",""),IF(OR(M1187=phu!$I$79,M1187=phu!$I$80,M1187=phu!$I$81,M1187=phu!$I$82,M1187=phu!$I$83,M1187=phu!$I$84),"Cam Thịnh Đông",""),IF(OR(M1187=phu!$I$85,M1187=phu!$I$86,M1187=phu!$I$87,M1187=phu!$I$88),"Cam Thịnh Tây",""),IF(OR(M1187=phu!$I$89,M1187=phu!$I$90),"Cam Lập",""),IF(OR(M1187=phu!$I$91,M1187=phu!$I$92,M1187=phu!$I$93),"Cam Bình",""),IF(OR(M1187=phu!$I$94,M1187=phu!$I$95,M1187=phu!$I$96,M1187=phu!$I$97,M1187=phu!$I$98,M1187=phu!$I$99,M1187=phu!$I$100),"Huyện khác",""),IF(OR(M1187=phu!$I$101,M1187=phu!$I$102),"Tỉnh khác",""))</f>
        <v/>
      </c>
      <c r="O1187" s="829" t="str">
        <f t="shared" si="108"/>
        <v/>
      </c>
      <c r="P1187" s="254"/>
      <c r="Q1187" s="254"/>
      <c r="R1187" s="254"/>
      <c r="S1187" s="254"/>
      <c r="T1187" s="254"/>
      <c r="U1187" s="254"/>
      <c r="V1187" s="254"/>
      <c r="W1187" s="254"/>
      <c r="Y1187" s="246" t="str">
        <f t="shared" si="109"/>
        <v/>
      </c>
      <c r="Z1187" s="247" t="str">
        <f t="shared" si="113"/>
        <v/>
      </c>
      <c r="AA1187" s="246" t="str">
        <f t="shared" si="110"/>
        <v/>
      </c>
    </row>
    <row r="1188" spans="1:27" x14ac:dyDescent="0.25">
      <c r="A1188" s="248" t="str">
        <f t="shared" si="111"/>
        <v/>
      </c>
      <c r="B1188" s="249" t="str">
        <f t="shared" si="112"/>
        <v/>
      </c>
      <c r="C1188" s="250"/>
      <c r="D1188" s="251"/>
      <c r="E1188" s="241"/>
      <c r="F1188" s="252"/>
      <c r="G1188" s="252"/>
      <c r="H1188" s="253"/>
      <c r="I1188" s="250"/>
      <c r="J1188" s="250"/>
      <c r="K1188" s="270"/>
      <c r="L1188" s="250"/>
      <c r="M1188" s="250"/>
      <c r="N1188" s="540" t="str">
        <f>CONCATENATE(IF(OR(M1188=phu!$I$1,M1188=phu!$I$2,M1188=phu!$I$3),"Cam Thành Nam",""),IF(OR(M1188=phu!$I$4,M1188=phu!$I$5,M1188=phu!$I$6,M1188=phu!$I$7,M1188=phu!$I$8,M1188=phu!$I$9,M1188=phu!$I$10,M1188=phu!$I$11,M1188=phu!$I$12,M1188=phu!$I$13,M1188=phu!$I$14),"Cam Nghĩa",""),IF(OR(M1188=phu!$I$15,M1188=phu!$I$16,M1188=phu!$I$17,M1188=phu!$I$18,M1188=phu!$I$19,M1188=phu!$I$20,M1188=phu!$I$21),"Cam Phúc Bắc",""),IF(OR(M1188=phu!$I$22,M1188=phu!$I$23,M1188=phu!$I$24,M1188=phu!$I$25),"Cam Phúc Nam",""),IF(OR(M1188=phu!$I$26,M1188=phu!$I$27,M1188=phu!$I$28,M1188=phu!$I$29,M1188=phu!$I$30,M1188=phu!$I$31),"Cam Phú",""),IF(OR(M1188=phu!$I$32,M1188=phu!$I$33,M1188=phu!$I$34,M1188=phu!$I$35,M1188=phu!$I$36,M1188=phu!$I$37),"Cam Lộc",""),IF(OR(M1188=phu!$I$38,M1188=phu!$I$39,M1188=phu!$I$40,M1188=phu!$I$41,M1188=phu!$I$42,M1188=phu!$I$43,M1188=phu!$I$44),"Cam Thuận",""),IF(OR(M1188=phu!$I$45,M1188=phu!$I$46,M1188=phu!$I$47,M1188=phu!$I$48,M1188=phu!$I$49,M1188=phu!$I$50,M1188=phu!$I$51,M1188=phu!$I$52,M1188=phu!$I$53),"Cam Linh",""),IF(OR(M1188=phu!$I$54,M1188=phu!$I$55,M1188=phu!$I$56,M1188=phu!$I$57,M1188=phu!$I$58,M1188=phu!$I$59,M1188=phu!$I$60,M1188=phu!$I$61,M1188=phu!$I$62),"Cam Lợi",""),IF(OR(M1188=phu!$I$63,M1188=phu!$I$64,M1188=phu!$I$65,M1188=phu!$I$66,M1188=phu!$I$67,M1188=phu!$I$68,M1188=phu!$I$69,M1188=phu!$I$70,M1188=phu!$I$71),"Ba Ngòi",""),IF(OR(M1188=phu!$I$72,M1188=phu!$I$73,M1188=phu!$I$74,M1188=phu!$I$75,M1188=phu!$I$76,M1188=phu!$I$77,M1188=phu!$I$78),"Cam Phước Đông",""),IF(OR(M1188=phu!$I$79,M1188=phu!$I$80,M1188=phu!$I$81,M1188=phu!$I$82,M1188=phu!$I$83,M1188=phu!$I$84),"Cam Thịnh Đông",""),IF(OR(M1188=phu!$I$85,M1188=phu!$I$86,M1188=phu!$I$87,M1188=phu!$I$88),"Cam Thịnh Tây",""),IF(OR(M1188=phu!$I$89,M1188=phu!$I$90),"Cam Lập",""),IF(OR(M1188=phu!$I$91,M1188=phu!$I$92,M1188=phu!$I$93),"Cam Bình",""),IF(OR(M1188=phu!$I$94,M1188=phu!$I$95,M1188=phu!$I$96,M1188=phu!$I$97,M1188=phu!$I$98,M1188=phu!$I$99,M1188=phu!$I$100),"Huyện khác",""),IF(OR(M1188=phu!$I$101,M1188=phu!$I$102),"Tỉnh khác",""))</f>
        <v/>
      </c>
      <c r="O1188" s="829" t="str">
        <f t="shared" si="108"/>
        <v/>
      </c>
      <c r="P1188" s="254"/>
      <c r="Q1188" s="254"/>
      <c r="R1188" s="254"/>
      <c r="S1188" s="254"/>
      <c r="T1188" s="254"/>
      <c r="U1188" s="254"/>
      <c r="V1188" s="254"/>
      <c r="W1188" s="254"/>
      <c r="Y1188" s="246" t="str">
        <f t="shared" si="109"/>
        <v/>
      </c>
      <c r="Z1188" s="247" t="str">
        <f t="shared" si="113"/>
        <v/>
      </c>
      <c r="AA1188" s="246" t="str">
        <f t="shared" si="110"/>
        <v/>
      </c>
    </row>
    <row r="1189" spans="1:27" x14ac:dyDescent="0.25">
      <c r="A1189" s="248" t="str">
        <f t="shared" si="111"/>
        <v/>
      </c>
      <c r="B1189" s="249" t="str">
        <f t="shared" si="112"/>
        <v/>
      </c>
      <c r="C1189" s="250"/>
      <c r="D1189" s="251"/>
      <c r="E1189" s="241"/>
      <c r="F1189" s="252"/>
      <c r="G1189" s="252"/>
      <c r="H1189" s="253"/>
      <c r="I1189" s="250"/>
      <c r="J1189" s="250"/>
      <c r="K1189" s="270"/>
      <c r="L1189" s="250"/>
      <c r="M1189" s="250"/>
      <c r="N1189" s="540" t="str">
        <f>CONCATENATE(IF(OR(M1189=phu!$I$1,M1189=phu!$I$2,M1189=phu!$I$3),"Cam Thành Nam",""),IF(OR(M1189=phu!$I$4,M1189=phu!$I$5,M1189=phu!$I$6,M1189=phu!$I$7,M1189=phu!$I$8,M1189=phu!$I$9,M1189=phu!$I$10,M1189=phu!$I$11,M1189=phu!$I$12,M1189=phu!$I$13,M1189=phu!$I$14),"Cam Nghĩa",""),IF(OR(M1189=phu!$I$15,M1189=phu!$I$16,M1189=phu!$I$17,M1189=phu!$I$18,M1189=phu!$I$19,M1189=phu!$I$20,M1189=phu!$I$21),"Cam Phúc Bắc",""),IF(OR(M1189=phu!$I$22,M1189=phu!$I$23,M1189=phu!$I$24,M1189=phu!$I$25),"Cam Phúc Nam",""),IF(OR(M1189=phu!$I$26,M1189=phu!$I$27,M1189=phu!$I$28,M1189=phu!$I$29,M1189=phu!$I$30,M1189=phu!$I$31),"Cam Phú",""),IF(OR(M1189=phu!$I$32,M1189=phu!$I$33,M1189=phu!$I$34,M1189=phu!$I$35,M1189=phu!$I$36,M1189=phu!$I$37),"Cam Lộc",""),IF(OR(M1189=phu!$I$38,M1189=phu!$I$39,M1189=phu!$I$40,M1189=phu!$I$41,M1189=phu!$I$42,M1189=phu!$I$43,M1189=phu!$I$44),"Cam Thuận",""),IF(OR(M1189=phu!$I$45,M1189=phu!$I$46,M1189=phu!$I$47,M1189=phu!$I$48,M1189=phu!$I$49,M1189=phu!$I$50,M1189=phu!$I$51,M1189=phu!$I$52,M1189=phu!$I$53),"Cam Linh",""),IF(OR(M1189=phu!$I$54,M1189=phu!$I$55,M1189=phu!$I$56,M1189=phu!$I$57,M1189=phu!$I$58,M1189=phu!$I$59,M1189=phu!$I$60,M1189=phu!$I$61,M1189=phu!$I$62),"Cam Lợi",""),IF(OR(M1189=phu!$I$63,M1189=phu!$I$64,M1189=phu!$I$65,M1189=phu!$I$66,M1189=phu!$I$67,M1189=phu!$I$68,M1189=phu!$I$69,M1189=phu!$I$70,M1189=phu!$I$71),"Ba Ngòi",""),IF(OR(M1189=phu!$I$72,M1189=phu!$I$73,M1189=phu!$I$74,M1189=phu!$I$75,M1189=phu!$I$76,M1189=phu!$I$77,M1189=phu!$I$78),"Cam Phước Đông",""),IF(OR(M1189=phu!$I$79,M1189=phu!$I$80,M1189=phu!$I$81,M1189=phu!$I$82,M1189=phu!$I$83,M1189=phu!$I$84),"Cam Thịnh Đông",""),IF(OR(M1189=phu!$I$85,M1189=phu!$I$86,M1189=phu!$I$87,M1189=phu!$I$88),"Cam Thịnh Tây",""),IF(OR(M1189=phu!$I$89,M1189=phu!$I$90),"Cam Lập",""),IF(OR(M1189=phu!$I$91,M1189=phu!$I$92,M1189=phu!$I$93),"Cam Bình",""),IF(OR(M1189=phu!$I$94,M1189=phu!$I$95,M1189=phu!$I$96,M1189=phu!$I$97,M1189=phu!$I$98,M1189=phu!$I$99,M1189=phu!$I$100),"Huyện khác",""),IF(OR(M1189=phu!$I$101,M1189=phu!$I$102),"Tỉnh khác",""))</f>
        <v/>
      </c>
      <c r="O1189" s="829" t="str">
        <f t="shared" si="108"/>
        <v/>
      </c>
      <c r="P1189" s="254"/>
      <c r="Q1189" s="254"/>
      <c r="R1189" s="254"/>
      <c r="S1189" s="254"/>
      <c r="T1189" s="254"/>
      <c r="U1189" s="254"/>
      <c r="V1189" s="254"/>
      <c r="W1189" s="254"/>
      <c r="Y1189" s="246" t="str">
        <f t="shared" si="109"/>
        <v/>
      </c>
      <c r="Z1189" s="247" t="str">
        <f t="shared" si="113"/>
        <v/>
      </c>
      <c r="AA1189" s="246" t="str">
        <f t="shared" si="110"/>
        <v/>
      </c>
    </row>
    <row r="1190" spans="1:27" x14ac:dyDescent="0.25">
      <c r="A1190" s="248" t="str">
        <f t="shared" si="111"/>
        <v/>
      </c>
      <c r="B1190" s="249" t="str">
        <f t="shared" si="112"/>
        <v/>
      </c>
      <c r="C1190" s="250"/>
      <c r="D1190" s="251"/>
      <c r="E1190" s="241"/>
      <c r="F1190" s="252"/>
      <c r="G1190" s="252"/>
      <c r="H1190" s="253"/>
      <c r="I1190" s="250"/>
      <c r="J1190" s="250"/>
      <c r="K1190" s="270"/>
      <c r="L1190" s="250"/>
      <c r="M1190" s="250"/>
      <c r="N1190" s="540" t="str">
        <f>CONCATENATE(IF(OR(M1190=phu!$I$1,M1190=phu!$I$2,M1190=phu!$I$3),"Cam Thành Nam",""),IF(OR(M1190=phu!$I$4,M1190=phu!$I$5,M1190=phu!$I$6,M1190=phu!$I$7,M1190=phu!$I$8,M1190=phu!$I$9,M1190=phu!$I$10,M1190=phu!$I$11,M1190=phu!$I$12,M1190=phu!$I$13,M1190=phu!$I$14),"Cam Nghĩa",""),IF(OR(M1190=phu!$I$15,M1190=phu!$I$16,M1190=phu!$I$17,M1190=phu!$I$18,M1190=phu!$I$19,M1190=phu!$I$20,M1190=phu!$I$21),"Cam Phúc Bắc",""),IF(OR(M1190=phu!$I$22,M1190=phu!$I$23,M1190=phu!$I$24,M1190=phu!$I$25),"Cam Phúc Nam",""),IF(OR(M1190=phu!$I$26,M1190=phu!$I$27,M1190=phu!$I$28,M1190=phu!$I$29,M1190=phu!$I$30,M1190=phu!$I$31),"Cam Phú",""),IF(OR(M1190=phu!$I$32,M1190=phu!$I$33,M1190=phu!$I$34,M1190=phu!$I$35,M1190=phu!$I$36,M1190=phu!$I$37),"Cam Lộc",""),IF(OR(M1190=phu!$I$38,M1190=phu!$I$39,M1190=phu!$I$40,M1190=phu!$I$41,M1190=phu!$I$42,M1190=phu!$I$43,M1190=phu!$I$44),"Cam Thuận",""),IF(OR(M1190=phu!$I$45,M1190=phu!$I$46,M1190=phu!$I$47,M1190=phu!$I$48,M1190=phu!$I$49,M1190=phu!$I$50,M1190=phu!$I$51,M1190=phu!$I$52,M1190=phu!$I$53),"Cam Linh",""),IF(OR(M1190=phu!$I$54,M1190=phu!$I$55,M1190=phu!$I$56,M1190=phu!$I$57,M1190=phu!$I$58,M1190=phu!$I$59,M1190=phu!$I$60,M1190=phu!$I$61,M1190=phu!$I$62),"Cam Lợi",""),IF(OR(M1190=phu!$I$63,M1190=phu!$I$64,M1190=phu!$I$65,M1190=phu!$I$66,M1190=phu!$I$67,M1190=phu!$I$68,M1190=phu!$I$69,M1190=phu!$I$70,M1190=phu!$I$71),"Ba Ngòi",""),IF(OR(M1190=phu!$I$72,M1190=phu!$I$73,M1190=phu!$I$74,M1190=phu!$I$75,M1190=phu!$I$76,M1190=phu!$I$77,M1190=phu!$I$78),"Cam Phước Đông",""),IF(OR(M1190=phu!$I$79,M1190=phu!$I$80,M1190=phu!$I$81,M1190=phu!$I$82,M1190=phu!$I$83,M1190=phu!$I$84),"Cam Thịnh Đông",""),IF(OR(M1190=phu!$I$85,M1190=phu!$I$86,M1190=phu!$I$87,M1190=phu!$I$88),"Cam Thịnh Tây",""),IF(OR(M1190=phu!$I$89,M1190=phu!$I$90),"Cam Lập",""),IF(OR(M1190=phu!$I$91,M1190=phu!$I$92,M1190=phu!$I$93),"Cam Bình",""),IF(OR(M1190=phu!$I$94,M1190=phu!$I$95,M1190=phu!$I$96,M1190=phu!$I$97,M1190=phu!$I$98,M1190=phu!$I$99,M1190=phu!$I$100),"Huyện khác",""),IF(OR(M1190=phu!$I$101,M1190=phu!$I$102),"Tỉnh khác",""))</f>
        <v/>
      </c>
      <c r="O1190" s="829" t="str">
        <f t="shared" si="108"/>
        <v/>
      </c>
      <c r="P1190" s="254"/>
      <c r="Q1190" s="254"/>
      <c r="R1190" s="254"/>
      <c r="S1190" s="254"/>
      <c r="T1190" s="254"/>
      <c r="U1190" s="254"/>
      <c r="V1190" s="254"/>
      <c r="W1190" s="254"/>
      <c r="Y1190" s="246" t="str">
        <f t="shared" si="109"/>
        <v/>
      </c>
      <c r="Z1190" s="247" t="str">
        <f t="shared" si="113"/>
        <v/>
      </c>
      <c r="AA1190" s="246" t="str">
        <f t="shared" si="110"/>
        <v/>
      </c>
    </row>
    <row r="1191" spans="1:27" x14ac:dyDescent="0.25">
      <c r="A1191" s="248" t="str">
        <f t="shared" si="111"/>
        <v/>
      </c>
      <c r="B1191" s="249" t="str">
        <f t="shared" si="112"/>
        <v/>
      </c>
      <c r="C1191" s="250"/>
      <c r="D1191" s="251"/>
      <c r="E1191" s="241"/>
      <c r="F1191" s="252"/>
      <c r="G1191" s="252"/>
      <c r="H1191" s="253"/>
      <c r="I1191" s="250"/>
      <c r="J1191" s="250"/>
      <c r="K1191" s="270"/>
      <c r="L1191" s="250"/>
      <c r="M1191" s="250"/>
      <c r="N1191" s="540" t="str">
        <f>CONCATENATE(IF(OR(M1191=phu!$I$1,M1191=phu!$I$2,M1191=phu!$I$3),"Cam Thành Nam",""),IF(OR(M1191=phu!$I$4,M1191=phu!$I$5,M1191=phu!$I$6,M1191=phu!$I$7,M1191=phu!$I$8,M1191=phu!$I$9,M1191=phu!$I$10,M1191=phu!$I$11,M1191=phu!$I$12,M1191=phu!$I$13,M1191=phu!$I$14),"Cam Nghĩa",""),IF(OR(M1191=phu!$I$15,M1191=phu!$I$16,M1191=phu!$I$17,M1191=phu!$I$18,M1191=phu!$I$19,M1191=phu!$I$20,M1191=phu!$I$21),"Cam Phúc Bắc",""),IF(OR(M1191=phu!$I$22,M1191=phu!$I$23,M1191=phu!$I$24,M1191=phu!$I$25),"Cam Phúc Nam",""),IF(OR(M1191=phu!$I$26,M1191=phu!$I$27,M1191=phu!$I$28,M1191=phu!$I$29,M1191=phu!$I$30,M1191=phu!$I$31),"Cam Phú",""),IF(OR(M1191=phu!$I$32,M1191=phu!$I$33,M1191=phu!$I$34,M1191=phu!$I$35,M1191=phu!$I$36,M1191=phu!$I$37),"Cam Lộc",""),IF(OR(M1191=phu!$I$38,M1191=phu!$I$39,M1191=phu!$I$40,M1191=phu!$I$41,M1191=phu!$I$42,M1191=phu!$I$43,M1191=phu!$I$44),"Cam Thuận",""),IF(OR(M1191=phu!$I$45,M1191=phu!$I$46,M1191=phu!$I$47,M1191=phu!$I$48,M1191=phu!$I$49,M1191=phu!$I$50,M1191=phu!$I$51,M1191=phu!$I$52,M1191=phu!$I$53),"Cam Linh",""),IF(OR(M1191=phu!$I$54,M1191=phu!$I$55,M1191=phu!$I$56,M1191=phu!$I$57,M1191=phu!$I$58,M1191=phu!$I$59,M1191=phu!$I$60,M1191=phu!$I$61,M1191=phu!$I$62),"Cam Lợi",""),IF(OR(M1191=phu!$I$63,M1191=phu!$I$64,M1191=phu!$I$65,M1191=phu!$I$66,M1191=phu!$I$67,M1191=phu!$I$68,M1191=phu!$I$69,M1191=phu!$I$70,M1191=phu!$I$71),"Ba Ngòi",""),IF(OR(M1191=phu!$I$72,M1191=phu!$I$73,M1191=phu!$I$74,M1191=phu!$I$75,M1191=phu!$I$76,M1191=phu!$I$77,M1191=phu!$I$78),"Cam Phước Đông",""),IF(OR(M1191=phu!$I$79,M1191=phu!$I$80,M1191=phu!$I$81,M1191=phu!$I$82,M1191=phu!$I$83,M1191=phu!$I$84),"Cam Thịnh Đông",""),IF(OR(M1191=phu!$I$85,M1191=phu!$I$86,M1191=phu!$I$87,M1191=phu!$I$88),"Cam Thịnh Tây",""),IF(OR(M1191=phu!$I$89,M1191=phu!$I$90),"Cam Lập",""),IF(OR(M1191=phu!$I$91,M1191=phu!$I$92,M1191=phu!$I$93),"Cam Bình",""),IF(OR(M1191=phu!$I$94,M1191=phu!$I$95,M1191=phu!$I$96,M1191=phu!$I$97,M1191=phu!$I$98,M1191=phu!$I$99,M1191=phu!$I$100),"Huyện khác",""),IF(OR(M1191=phu!$I$101,M1191=phu!$I$102),"Tỉnh khác",""))</f>
        <v/>
      </c>
      <c r="O1191" s="829" t="str">
        <f t="shared" si="108"/>
        <v/>
      </c>
      <c r="P1191" s="254"/>
      <c r="Q1191" s="254"/>
      <c r="R1191" s="254"/>
      <c r="S1191" s="254"/>
      <c r="T1191" s="254"/>
      <c r="U1191" s="254"/>
      <c r="V1191" s="254"/>
      <c r="W1191" s="254"/>
      <c r="Y1191" s="246" t="str">
        <f t="shared" si="109"/>
        <v/>
      </c>
      <c r="Z1191" s="247" t="str">
        <f t="shared" si="113"/>
        <v/>
      </c>
      <c r="AA1191" s="246" t="str">
        <f t="shared" si="110"/>
        <v/>
      </c>
    </row>
    <row r="1192" spans="1:27" x14ac:dyDescent="0.25">
      <c r="A1192" s="248" t="str">
        <f t="shared" si="111"/>
        <v/>
      </c>
      <c r="B1192" s="249" t="str">
        <f t="shared" si="112"/>
        <v/>
      </c>
      <c r="C1192" s="250"/>
      <c r="D1192" s="251"/>
      <c r="E1192" s="241"/>
      <c r="F1192" s="252"/>
      <c r="G1192" s="252"/>
      <c r="H1192" s="253"/>
      <c r="I1192" s="250"/>
      <c r="J1192" s="250"/>
      <c r="K1192" s="270"/>
      <c r="L1192" s="250"/>
      <c r="M1192" s="250"/>
      <c r="N1192" s="540" t="str">
        <f>CONCATENATE(IF(OR(M1192=phu!$I$1,M1192=phu!$I$2,M1192=phu!$I$3),"Cam Thành Nam",""),IF(OR(M1192=phu!$I$4,M1192=phu!$I$5,M1192=phu!$I$6,M1192=phu!$I$7,M1192=phu!$I$8,M1192=phu!$I$9,M1192=phu!$I$10,M1192=phu!$I$11,M1192=phu!$I$12,M1192=phu!$I$13,M1192=phu!$I$14),"Cam Nghĩa",""),IF(OR(M1192=phu!$I$15,M1192=phu!$I$16,M1192=phu!$I$17,M1192=phu!$I$18,M1192=phu!$I$19,M1192=phu!$I$20,M1192=phu!$I$21),"Cam Phúc Bắc",""),IF(OR(M1192=phu!$I$22,M1192=phu!$I$23,M1192=phu!$I$24,M1192=phu!$I$25),"Cam Phúc Nam",""),IF(OR(M1192=phu!$I$26,M1192=phu!$I$27,M1192=phu!$I$28,M1192=phu!$I$29,M1192=phu!$I$30,M1192=phu!$I$31),"Cam Phú",""),IF(OR(M1192=phu!$I$32,M1192=phu!$I$33,M1192=phu!$I$34,M1192=phu!$I$35,M1192=phu!$I$36,M1192=phu!$I$37),"Cam Lộc",""),IF(OR(M1192=phu!$I$38,M1192=phu!$I$39,M1192=phu!$I$40,M1192=phu!$I$41,M1192=phu!$I$42,M1192=phu!$I$43,M1192=phu!$I$44),"Cam Thuận",""),IF(OR(M1192=phu!$I$45,M1192=phu!$I$46,M1192=phu!$I$47,M1192=phu!$I$48,M1192=phu!$I$49,M1192=phu!$I$50,M1192=phu!$I$51,M1192=phu!$I$52,M1192=phu!$I$53),"Cam Linh",""),IF(OR(M1192=phu!$I$54,M1192=phu!$I$55,M1192=phu!$I$56,M1192=phu!$I$57,M1192=phu!$I$58,M1192=phu!$I$59,M1192=phu!$I$60,M1192=phu!$I$61,M1192=phu!$I$62),"Cam Lợi",""),IF(OR(M1192=phu!$I$63,M1192=phu!$I$64,M1192=phu!$I$65,M1192=phu!$I$66,M1192=phu!$I$67,M1192=phu!$I$68,M1192=phu!$I$69,M1192=phu!$I$70,M1192=phu!$I$71),"Ba Ngòi",""),IF(OR(M1192=phu!$I$72,M1192=phu!$I$73,M1192=phu!$I$74,M1192=phu!$I$75,M1192=phu!$I$76,M1192=phu!$I$77,M1192=phu!$I$78),"Cam Phước Đông",""),IF(OR(M1192=phu!$I$79,M1192=phu!$I$80,M1192=phu!$I$81,M1192=phu!$I$82,M1192=phu!$I$83,M1192=phu!$I$84),"Cam Thịnh Đông",""),IF(OR(M1192=phu!$I$85,M1192=phu!$I$86,M1192=phu!$I$87,M1192=phu!$I$88),"Cam Thịnh Tây",""),IF(OR(M1192=phu!$I$89,M1192=phu!$I$90),"Cam Lập",""),IF(OR(M1192=phu!$I$91,M1192=phu!$I$92,M1192=phu!$I$93),"Cam Bình",""),IF(OR(M1192=phu!$I$94,M1192=phu!$I$95,M1192=phu!$I$96,M1192=phu!$I$97,M1192=phu!$I$98,M1192=phu!$I$99,M1192=phu!$I$100),"Huyện khác",""),IF(OR(M1192=phu!$I$101,M1192=phu!$I$102),"Tỉnh khác",""))</f>
        <v/>
      </c>
      <c r="O1192" s="829" t="str">
        <f t="shared" si="108"/>
        <v/>
      </c>
      <c r="P1192" s="254"/>
      <c r="Q1192" s="254"/>
      <c r="R1192" s="254"/>
      <c r="S1192" s="254"/>
      <c r="T1192" s="254"/>
      <c r="U1192" s="254"/>
      <c r="V1192" s="254"/>
      <c r="W1192" s="254"/>
      <c r="Y1192" s="246" t="str">
        <f t="shared" si="109"/>
        <v/>
      </c>
      <c r="Z1192" s="247" t="str">
        <f t="shared" si="113"/>
        <v/>
      </c>
      <c r="AA1192" s="246" t="str">
        <f t="shared" si="110"/>
        <v/>
      </c>
    </row>
    <row r="1193" spans="1:27" x14ac:dyDescent="0.25">
      <c r="A1193" s="248" t="str">
        <f t="shared" si="111"/>
        <v/>
      </c>
      <c r="B1193" s="249" t="str">
        <f t="shared" si="112"/>
        <v/>
      </c>
      <c r="C1193" s="250"/>
      <c r="D1193" s="251"/>
      <c r="E1193" s="241"/>
      <c r="F1193" s="252"/>
      <c r="G1193" s="252"/>
      <c r="H1193" s="253"/>
      <c r="I1193" s="250"/>
      <c r="J1193" s="250"/>
      <c r="K1193" s="270"/>
      <c r="L1193" s="250"/>
      <c r="M1193" s="250"/>
      <c r="N1193" s="540" t="str">
        <f>CONCATENATE(IF(OR(M1193=phu!$I$1,M1193=phu!$I$2,M1193=phu!$I$3),"Cam Thành Nam",""),IF(OR(M1193=phu!$I$4,M1193=phu!$I$5,M1193=phu!$I$6,M1193=phu!$I$7,M1193=phu!$I$8,M1193=phu!$I$9,M1193=phu!$I$10,M1193=phu!$I$11,M1193=phu!$I$12,M1193=phu!$I$13,M1193=phu!$I$14),"Cam Nghĩa",""),IF(OR(M1193=phu!$I$15,M1193=phu!$I$16,M1193=phu!$I$17,M1193=phu!$I$18,M1193=phu!$I$19,M1193=phu!$I$20,M1193=phu!$I$21),"Cam Phúc Bắc",""),IF(OR(M1193=phu!$I$22,M1193=phu!$I$23,M1193=phu!$I$24,M1193=phu!$I$25),"Cam Phúc Nam",""),IF(OR(M1193=phu!$I$26,M1193=phu!$I$27,M1193=phu!$I$28,M1193=phu!$I$29,M1193=phu!$I$30,M1193=phu!$I$31),"Cam Phú",""),IF(OR(M1193=phu!$I$32,M1193=phu!$I$33,M1193=phu!$I$34,M1193=phu!$I$35,M1193=phu!$I$36,M1193=phu!$I$37),"Cam Lộc",""),IF(OR(M1193=phu!$I$38,M1193=phu!$I$39,M1193=phu!$I$40,M1193=phu!$I$41,M1193=phu!$I$42,M1193=phu!$I$43,M1193=phu!$I$44),"Cam Thuận",""),IF(OR(M1193=phu!$I$45,M1193=phu!$I$46,M1193=phu!$I$47,M1193=phu!$I$48,M1193=phu!$I$49,M1193=phu!$I$50,M1193=phu!$I$51,M1193=phu!$I$52,M1193=phu!$I$53),"Cam Linh",""),IF(OR(M1193=phu!$I$54,M1193=phu!$I$55,M1193=phu!$I$56,M1193=phu!$I$57,M1193=phu!$I$58,M1193=phu!$I$59,M1193=phu!$I$60,M1193=phu!$I$61,M1193=phu!$I$62),"Cam Lợi",""),IF(OR(M1193=phu!$I$63,M1193=phu!$I$64,M1193=phu!$I$65,M1193=phu!$I$66,M1193=phu!$I$67,M1193=phu!$I$68,M1193=phu!$I$69,M1193=phu!$I$70,M1193=phu!$I$71),"Ba Ngòi",""),IF(OR(M1193=phu!$I$72,M1193=phu!$I$73,M1193=phu!$I$74,M1193=phu!$I$75,M1193=phu!$I$76,M1193=phu!$I$77,M1193=phu!$I$78),"Cam Phước Đông",""),IF(OR(M1193=phu!$I$79,M1193=phu!$I$80,M1193=phu!$I$81,M1193=phu!$I$82,M1193=phu!$I$83,M1193=phu!$I$84),"Cam Thịnh Đông",""),IF(OR(M1193=phu!$I$85,M1193=phu!$I$86,M1193=phu!$I$87,M1193=phu!$I$88),"Cam Thịnh Tây",""),IF(OR(M1193=phu!$I$89,M1193=phu!$I$90),"Cam Lập",""),IF(OR(M1193=phu!$I$91,M1193=phu!$I$92,M1193=phu!$I$93),"Cam Bình",""),IF(OR(M1193=phu!$I$94,M1193=phu!$I$95,M1193=phu!$I$96,M1193=phu!$I$97,M1193=phu!$I$98,M1193=phu!$I$99,M1193=phu!$I$100),"Huyện khác",""),IF(OR(M1193=phu!$I$101,M1193=phu!$I$102),"Tỉnh khác",""))</f>
        <v/>
      </c>
      <c r="O1193" s="829" t="str">
        <f t="shared" si="108"/>
        <v/>
      </c>
      <c r="P1193" s="254"/>
      <c r="Q1193" s="254"/>
      <c r="R1193" s="254"/>
      <c r="S1193" s="254"/>
      <c r="T1193" s="254"/>
      <c r="U1193" s="254"/>
      <c r="V1193" s="254"/>
      <c r="W1193" s="254"/>
      <c r="Y1193" s="246" t="str">
        <f t="shared" si="109"/>
        <v/>
      </c>
      <c r="Z1193" s="247" t="str">
        <f t="shared" si="113"/>
        <v/>
      </c>
      <c r="AA1193" s="246" t="str">
        <f t="shared" si="110"/>
        <v/>
      </c>
    </row>
    <row r="1194" spans="1:27" x14ac:dyDescent="0.25">
      <c r="A1194" s="248" t="str">
        <f t="shared" si="111"/>
        <v/>
      </c>
      <c r="B1194" s="249" t="str">
        <f t="shared" si="112"/>
        <v/>
      </c>
      <c r="C1194" s="250"/>
      <c r="D1194" s="251"/>
      <c r="E1194" s="241"/>
      <c r="F1194" s="252"/>
      <c r="G1194" s="252"/>
      <c r="H1194" s="253"/>
      <c r="I1194" s="250"/>
      <c r="J1194" s="250"/>
      <c r="K1194" s="270"/>
      <c r="L1194" s="250"/>
      <c r="M1194" s="250"/>
      <c r="N1194" s="540" t="str">
        <f>CONCATENATE(IF(OR(M1194=phu!$I$1,M1194=phu!$I$2,M1194=phu!$I$3),"Cam Thành Nam",""),IF(OR(M1194=phu!$I$4,M1194=phu!$I$5,M1194=phu!$I$6,M1194=phu!$I$7,M1194=phu!$I$8,M1194=phu!$I$9,M1194=phu!$I$10,M1194=phu!$I$11,M1194=phu!$I$12,M1194=phu!$I$13,M1194=phu!$I$14),"Cam Nghĩa",""),IF(OR(M1194=phu!$I$15,M1194=phu!$I$16,M1194=phu!$I$17,M1194=phu!$I$18,M1194=phu!$I$19,M1194=phu!$I$20,M1194=phu!$I$21),"Cam Phúc Bắc",""),IF(OR(M1194=phu!$I$22,M1194=phu!$I$23,M1194=phu!$I$24,M1194=phu!$I$25),"Cam Phúc Nam",""),IF(OR(M1194=phu!$I$26,M1194=phu!$I$27,M1194=phu!$I$28,M1194=phu!$I$29,M1194=phu!$I$30,M1194=phu!$I$31),"Cam Phú",""),IF(OR(M1194=phu!$I$32,M1194=phu!$I$33,M1194=phu!$I$34,M1194=phu!$I$35,M1194=phu!$I$36,M1194=phu!$I$37),"Cam Lộc",""),IF(OR(M1194=phu!$I$38,M1194=phu!$I$39,M1194=phu!$I$40,M1194=phu!$I$41,M1194=phu!$I$42,M1194=phu!$I$43,M1194=phu!$I$44),"Cam Thuận",""),IF(OR(M1194=phu!$I$45,M1194=phu!$I$46,M1194=phu!$I$47,M1194=phu!$I$48,M1194=phu!$I$49,M1194=phu!$I$50,M1194=phu!$I$51,M1194=phu!$I$52,M1194=phu!$I$53),"Cam Linh",""),IF(OR(M1194=phu!$I$54,M1194=phu!$I$55,M1194=phu!$I$56,M1194=phu!$I$57,M1194=phu!$I$58,M1194=phu!$I$59,M1194=phu!$I$60,M1194=phu!$I$61,M1194=phu!$I$62),"Cam Lợi",""),IF(OR(M1194=phu!$I$63,M1194=phu!$I$64,M1194=phu!$I$65,M1194=phu!$I$66,M1194=phu!$I$67,M1194=phu!$I$68,M1194=phu!$I$69,M1194=phu!$I$70,M1194=phu!$I$71),"Ba Ngòi",""),IF(OR(M1194=phu!$I$72,M1194=phu!$I$73,M1194=phu!$I$74,M1194=phu!$I$75,M1194=phu!$I$76,M1194=phu!$I$77,M1194=phu!$I$78),"Cam Phước Đông",""),IF(OR(M1194=phu!$I$79,M1194=phu!$I$80,M1194=phu!$I$81,M1194=phu!$I$82,M1194=phu!$I$83,M1194=phu!$I$84),"Cam Thịnh Đông",""),IF(OR(M1194=phu!$I$85,M1194=phu!$I$86,M1194=phu!$I$87,M1194=phu!$I$88),"Cam Thịnh Tây",""),IF(OR(M1194=phu!$I$89,M1194=phu!$I$90),"Cam Lập",""),IF(OR(M1194=phu!$I$91,M1194=phu!$I$92,M1194=phu!$I$93),"Cam Bình",""),IF(OR(M1194=phu!$I$94,M1194=phu!$I$95,M1194=phu!$I$96,M1194=phu!$I$97,M1194=phu!$I$98,M1194=phu!$I$99,M1194=phu!$I$100),"Huyện khác",""),IF(OR(M1194=phu!$I$101,M1194=phu!$I$102),"Tỉnh khác",""))</f>
        <v/>
      </c>
      <c r="O1194" s="829" t="str">
        <f t="shared" si="108"/>
        <v/>
      </c>
      <c r="P1194" s="254"/>
      <c r="Q1194" s="254"/>
      <c r="R1194" s="254"/>
      <c r="S1194" s="254"/>
      <c r="T1194" s="254"/>
      <c r="U1194" s="254"/>
      <c r="V1194" s="254"/>
      <c r="W1194" s="254"/>
      <c r="Y1194" s="246" t="str">
        <f t="shared" si="109"/>
        <v/>
      </c>
      <c r="Z1194" s="247" t="str">
        <f t="shared" si="113"/>
        <v/>
      </c>
      <c r="AA1194" s="246" t="str">
        <f t="shared" si="110"/>
        <v/>
      </c>
    </row>
    <row r="1195" spans="1:27" x14ac:dyDescent="0.25">
      <c r="A1195" s="248" t="str">
        <f t="shared" si="111"/>
        <v/>
      </c>
      <c r="B1195" s="249" t="str">
        <f t="shared" si="112"/>
        <v/>
      </c>
      <c r="C1195" s="250"/>
      <c r="D1195" s="251"/>
      <c r="E1195" s="241"/>
      <c r="F1195" s="252"/>
      <c r="G1195" s="252"/>
      <c r="H1195" s="253"/>
      <c r="I1195" s="250"/>
      <c r="J1195" s="250"/>
      <c r="K1195" s="270"/>
      <c r="L1195" s="250"/>
      <c r="M1195" s="250"/>
      <c r="N1195" s="540" t="str">
        <f>CONCATENATE(IF(OR(M1195=phu!$I$1,M1195=phu!$I$2,M1195=phu!$I$3),"Cam Thành Nam",""),IF(OR(M1195=phu!$I$4,M1195=phu!$I$5,M1195=phu!$I$6,M1195=phu!$I$7,M1195=phu!$I$8,M1195=phu!$I$9,M1195=phu!$I$10,M1195=phu!$I$11,M1195=phu!$I$12,M1195=phu!$I$13,M1195=phu!$I$14),"Cam Nghĩa",""),IF(OR(M1195=phu!$I$15,M1195=phu!$I$16,M1195=phu!$I$17,M1195=phu!$I$18,M1195=phu!$I$19,M1195=phu!$I$20,M1195=phu!$I$21),"Cam Phúc Bắc",""),IF(OR(M1195=phu!$I$22,M1195=phu!$I$23,M1195=phu!$I$24,M1195=phu!$I$25),"Cam Phúc Nam",""),IF(OR(M1195=phu!$I$26,M1195=phu!$I$27,M1195=phu!$I$28,M1195=phu!$I$29,M1195=phu!$I$30,M1195=phu!$I$31),"Cam Phú",""),IF(OR(M1195=phu!$I$32,M1195=phu!$I$33,M1195=phu!$I$34,M1195=phu!$I$35,M1195=phu!$I$36,M1195=phu!$I$37),"Cam Lộc",""),IF(OR(M1195=phu!$I$38,M1195=phu!$I$39,M1195=phu!$I$40,M1195=phu!$I$41,M1195=phu!$I$42,M1195=phu!$I$43,M1195=phu!$I$44),"Cam Thuận",""),IF(OR(M1195=phu!$I$45,M1195=phu!$I$46,M1195=phu!$I$47,M1195=phu!$I$48,M1195=phu!$I$49,M1195=phu!$I$50,M1195=phu!$I$51,M1195=phu!$I$52,M1195=phu!$I$53),"Cam Linh",""),IF(OR(M1195=phu!$I$54,M1195=phu!$I$55,M1195=phu!$I$56,M1195=phu!$I$57,M1195=phu!$I$58,M1195=phu!$I$59,M1195=phu!$I$60,M1195=phu!$I$61,M1195=phu!$I$62),"Cam Lợi",""),IF(OR(M1195=phu!$I$63,M1195=phu!$I$64,M1195=phu!$I$65,M1195=phu!$I$66,M1195=phu!$I$67,M1195=phu!$I$68,M1195=phu!$I$69,M1195=phu!$I$70,M1195=phu!$I$71),"Ba Ngòi",""),IF(OR(M1195=phu!$I$72,M1195=phu!$I$73,M1195=phu!$I$74,M1195=phu!$I$75,M1195=phu!$I$76,M1195=phu!$I$77,M1195=phu!$I$78),"Cam Phước Đông",""),IF(OR(M1195=phu!$I$79,M1195=phu!$I$80,M1195=phu!$I$81,M1195=phu!$I$82,M1195=phu!$I$83,M1195=phu!$I$84),"Cam Thịnh Đông",""),IF(OR(M1195=phu!$I$85,M1195=phu!$I$86,M1195=phu!$I$87,M1195=phu!$I$88),"Cam Thịnh Tây",""),IF(OR(M1195=phu!$I$89,M1195=phu!$I$90),"Cam Lập",""),IF(OR(M1195=phu!$I$91,M1195=phu!$I$92,M1195=phu!$I$93),"Cam Bình",""),IF(OR(M1195=phu!$I$94,M1195=phu!$I$95,M1195=phu!$I$96,M1195=phu!$I$97,M1195=phu!$I$98,M1195=phu!$I$99,M1195=phu!$I$100),"Huyện khác",""),IF(OR(M1195=phu!$I$101,M1195=phu!$I$102),"Tỉnh khác",""))</f>
        <v/>
      </c>
      <c r="O1195" s="829" t="str">
        <f t="shared" si="108"/>
        <v/>
      </c>
      <c r="P1195" s="254"/>
      <c r="Q1195" s="254"/>
      <c r="R1195" s="254"/>
      <c r="S1195" s="254"/>
      <c r="T1195" s="254"/>
      <c r="U1195" s="254"/>
      <c r="V1195" s="254"/>
      <c r="W1195" s="254"/>
      <c r="Y1195" s="246" t="str">
        <f t="shared" si="109"/>
        <v/>
      </c>
      <c r="Z1195" s="247" t="str">
        <f t="shared" si="113"/>
        <v/>
      </c>
      <c r="AA1195" s="246" t="str">
        <f t="shared" si="110"/>
        <v/>
      </c>
    </row>
    <row r="1196" spans="1:27" x14ac:dyDescent="0.25">
      <c r="A1196" s="248" t="str">
        <f t="shared" si="111"/>
        <v/>
      </c>
      <c r="B1196" s="249" t="str">
        <f t="shared" si="112"/>
        <v/>
      </c>
      <c r="C1196" s="250"/>
      <c r="D1196" s="251"/>
      <c r="E1196" s="241"/>
      <c r="F1196" s="252"/>
      <c r="G1196" s="252"/>
      <c r="H1196" s="253"/>
      <c r="I1196" s="250"/>
      <c r="J1196" s="250"/>
      <c r="K1196" s="270"/>
      <c r="L1196" s="250"/>
      <c r="M1196" s="250"/>
      <c r="N1196" s="540" t="str">
        <f>CONCATENATE(IF(OR(M1196=phu!$I$1,M1196=phu!$I$2,M1196=phu!$I$3),"Cam Thành Nam",""),IF(OR(M1196=phu!$I$4,M1196=phu!$I$5,M1196=phu!$I$6,M1196=phu!$I$7,M1196=phu!$I$8,M1196=phu!$I$9,M1196=phu!$I$10,M1196=phu!$I$11,M1196=phu!$I$12,M1196=phu!$I$13,M1196=phu!$I$14),"Cam Nghĩa",""),IF(OR(M1196=phu!$I$15,M1196=phu!$I$16,M1196=phu!$I$17,M1196=phu!$I$18,M1196=phu!$I$19,M1196=phu!$I$20,M1196=phu!$I$21),"Cam Phúc Bắc",""),IF(OR(M1196=phu!$I$22,M1196=phu!$I$23,M1196=phu!$I$24,M1196=phu!$I$25),"Cam Phúc Nam",""),IF(OR(M1196=phu!$I$26,M1196=phu!$I$27,M1196=phu!$I$28,M1196=phu!$I$29,M1196=phu!$I$30,M1196=phu!$I$31),"Cam Phú",""),IF(OR(M1196=phu!$I$32,M1196=phu!$I$33,M1196=phu!$I$34,M1196=phu!$I$35,M1196=phu!$I$36,M1196=phu!$I$37),"Cam Lộc",""),IF(OR(M1196=phu!$I$38,M1196=phu!$I$39,M1196=phu!$I$40,M1196=phu!$I$41,M1196=phu!$I$42,M1196=phu!$I$43,M1196=phu!$I$44),"Cam Thuận",""),IF(OR(M1196=phu!$I$45,M1196=phu!$I$46,M1196=phu!$I$47,M1196=phu!$I$48,M1196=phu!$I$49,M1196=phu!$I$50,M1196=phu!$I$51,M1196=phu!$I$52,M1196=phu!$I$53),"Cam Linh",""),IF(OR(M1196=phu!$I$54,M1196=phu!$I$55,M1196=phu!$I$56,M1196=phu!$I$57,M1196=phu!$I$58,M1196=phu!$I$59,M1196=phu!$I$60,M1196=phu!$I$61,M1196=phu!$I$62),"Cam Lợi",""),IF(OR(M1196=phu!$I$63,M1196=phu!$I$64,M1196=phu!$I$65,M1196=phu!$I$66,M1196=phu!$I$67,M1196=phu!$I$68,M1196=phu!$I$69,M1196=phu!$I$70,M1196=phu!$I$71),"Ba Ngòi",""),IF(OR(M1196=phu!$I$72,M1196=phu!$I$73,M1196=phu!$I$74,M1196=phu!$I$75,M1196=phu!$I$76,M1196=phu!$I$77,M1196=phu!$I$78),"Cam Phước Đông",""),IF(OR(M1196=phu!$I$79,M1196=phu!$I$80,M1196=phu!$I$81,M1196=phu!$I$82,M1196=phu!$I$83,M1196=phu!$I$84),"Cam Thịnh Đông",""),IF(OR(M1196=phu!$I$85,M1196=phu!$I$86,M1196=phu!$I$87,M1196=phu!$I$88),"Cam Thịnh Tây",""),IF(OR(M1196=phu!$I$89,M1196=phu!$I$90),"Cam Lập",""),IF(OR(M1196=phu!$I$91,M1196=phu!$I$92,M1196=phu!$I$93),"Cam Bình",""),IF(OR(M1196=phu!$I$94,M1196=phu!$I$95,M1196=phu!$I$96,M1196=phu!$I$97,M1196=phu!$I$98,M1196=phu!$I$99,M1196=phu!$I$100),"Huyện khác",""),IF(OR(M1196=phu!$I$101,M1196=phu!$I$102),"Tỉnh khác",""))</f>
        <v/>
      </c>
      <c r="O1196" s="829" t="str">
        <f t="shared" si="108"/>
        <v/>
      </c>
      <c r="P1196" s="254"/>
      <c r="Q1196" s="254"/>
      <c r="R1196" s="254"/>
      <c r="S1196" s="254"/>
      <c r="T1196" s="254"/>
      <c r="U1196" s="254"/>
      <c r="V1196" s="254"/>
      <c r="W1196" s="254"/>
      <c r="Y1196" s="246" t="str">
        <f t="shared" si="109"/>
        <v/>
      </c>
      <c r="Z1196" s="247" t="str">
        <f t="shared" si="113"/>
        <v/>
      </c>
      <c r="AA1196" s="246" t="str">
        <f t="shared" si="110"/>
        <v/>
      </c>
    </row>
    <row r="1197" spans="1:27" x14ac:dyDescent="0.25">
      <c r="A1197" s="248" t="str">
        <f t="shared" si="111"/>
        <v/>
      </c>
      <c r="B1197" s="249" t="str">
        <f t="shared" si="112"/>
        <v/>
      </c>
      <c r="C1197" s="250"/>
      <c r="D1197" s="251"/>
      <c r="E1197" s="241"/>
      <c r="F1197" s="252"/>
      <c r="G1197" s="252"/>
      <c r="H1197" s="253"/>
      <c r="I1197" s="250"/>
      <c r="J1197" s="250"/>
      <c r="K1197" s="270"/>
      <c r="L1197" s="250"/>
      <c r="M1197" s="250"/>
      <c r="N1197" s="540" t="str">
        <f>CONCATENATE(IF(OR(M1197=phu!$I$1,M1197=phu!$I$2,M1197=phu!$I$3),"Cam Thành Nam",""),IF(OR(M1197=phu!$I$4,M1197=phu!$I$5,M1197=phu!$I$6,M1197=phu!$I$7,M1197=phu!$I$8,M1197=phu!$I$9,M1197=phu!$I$10,M1197=phu!$I$11,M1197=phu!$I$12,M1197=phu!$I$13,M1197=phu!$I$14),"Cam Nghĩa",""),IF(OR(M1197=phu!$I$15,M1197=phu!$I$16,M1197=phu!$I$17,M1197=phu!$I$18,M1197=phu!$I$19,M1197=phu!$I$20,M1197=phu!$I$21),"Cam Phúc Bắc",""),IF(OR(M1197=phu!$I$22,M1197=phu!$I$23,M1197=phu!$I$24,M1197=phu!$I$25),"Cam Phúc Nam",""),IF(OR(M1197=phu!$I$26,M1197=phu!$I$27,M1197=phu!$I$28,M1197=phu!$I$29,M1197=phu!$I$30,M1197=phu!$I$31),"Cam Phú",""),IF(OR(M1197=phu!$I$32,M1197=phu!$I$33,M1197=phu!$I$34,M1197=phu!$I$35,M1197=phu!$I$36,M1197=phu!$I$37),"Cam Lộc",""),IF(OR(M1197=phu!$I$38,M1197=phu!$I$39,M1197=phu!$I$40,M1197=phu!$I$41,M1197=phu!$I$42,M1197=phu!$I$43,M1197=phu!$I$44),"Cam Thuận",""),IF(OR(M1197=phu!$I$45,M1197=phu!$I$46,M1197=phu!$I$47,M1197=phu!$I$48,M1197=phu!$I$49,M1197=phu!$I$50,M1197=phu!$I$51,M1197=phu!$I$52,M1197=phu!$I$53),"Cam Linh",""),IF(OR(M1197=phu!$I$54,M1197=phu!$I$55,M1197=phu!$I$56,M1197=phu!$I$57,M1197=phu!$I$58,M1197=phu!$I$59,M1197=phu!$I$60,M1197=phu!$I$61,M1197=phu!$I$62),"Cam Lợi",""),IF(OR(M1197=phu!$I$63,M1197=phu!$I$64,M1197=phu!$I$65,M1197=phu!$I$66,M1197=phu!$I$67,M1197=phu!$I$68,M1197=phu!$I$69,M1197=phu!$I$70,M1197=phu!$I$71),"Ba Ngòi",""),IF(OR(M1197=phu!$I$72,M1197=phu!$I$73,M1197=phu!$I$74,M1197=phu!$I$75,M1197=phu!$I$76,M1197=phu!$I$77,M1197=phu!$I$78),"Cam Phước Đông",""),IF(OR(M1197=phu!$I$79,M1197=phu!$I$80,M1197=phu!$I$81,M1197=phu!$I$82,M1197=phu!$I$83,M1197=phu!$I$84),"Cam Thịnh Đông",""),IF(OR(M1197=phu!$I$85,M1197=phu!$I$86,M1197=phu!$I$87,M1197=phu!$I$88),"Cam Thịnh Tây",""),IF(OR(M1197=phu!$I$89,M1197=phu!$I$90),"Cam Lập",""),IF(OR(M1197=phu!$I$91,M1197=phu!$I$92,M1197=phu!$I$93),"Cam Bình",""),IF(OR(M1197=phu!$I$94,M1197=phu!$I$95,M1197=phu!$I$96,M1197=phu!$I$97,M1197=phu!$I$98,M1197=phu!$I$99,M1197=phu!$I$100),"Huyện khác",""),IF(OR(M1197=phu!$I$101,M1197=phu!$I$102),"Tỉnh khác",""))</f>
        <v/>
      </c>
      <c r="O1197" s="829" t="str">
        <f t="shared" si="108"/>
        <v/>
      </c>
      <c r="P1197" s="254"/>
      <c r="Q1197" s="254"/>
      <c r="R1197" s="254"/>
      <c r="S1197" s="254"/>
      <c r="T1197" s="254"/>
      <c r="U1197" s="254"/>
      <c r="V1197" s="254"/>
      <c r="W1197" s="254"/>
      <c r="Y1197" s="246" t="str">
        <f t="shared" si="109"/>
        <v/>
      </c>
      <c r="Z1197" s="247" t="str">
        <f t="shared" si="113"/>
        <v/>
      </c>
      <c r="AA1197" s="246" t="str">
        <f t="shared" si="110"/>
        <v/>
      </c>
    </row>
    <row r="1198" spans="1:27" x14ac:dyDescent="0.25">
      <c r="A1198" s="248" t="str">
        <f t="shared" si="111"/>
        <v/>
      </c>
      <c r="B1198" s="249" t="str">
        <f t="shared" si="112"/>
        <v/>
      </c>
      <c r="C1198" s="250"/>
      <c r="D1198" s="251"/>
      <c r="E1198" s="241"/>
      <c r="F1198" s="252"/>
      <c r="G1198" s="252"/>
      <c r="H1198" s="253"/>
      <c r="I1198" s="250"/>
      <c r="J1198" s="250"/>
      <c r="K1198" s="270"/>
      <c r="L1198" s="250"/>
      <c r="M1198" s="250"/>
      <c r="N1198" s="540" t="str">
        <f>CONCATENATE(IF(OR(M1198=phu!$I$1,M1198=phu!$I$2,M1198=phu!$I$3),"Cam Thành Nam",""),IF(OR(M1198=phu!$I$4,M1198=phu!$I$5,M1198=phu!$I$6,M1198=phu!$I$7,M1198=phu!$I$8,M1198=phu!$I$9,M1198=phu!$I$10,M1198=phu!$I$11,M1198=phu!$I$12,M1198=phu!$I$13,M1198=phu!$I$14),"Cam Nghĩa",""),IF(OR(M1198=phu!$I$15,M1198=phu!$I$16,M1198=phu!$I$17,M1198=phu!$I$18,M1198=phu!$I$19,M1198=phu!$I$20,M1198=phu!$I$21),"Cam Phúc Bắc",""),IF(OR(M1198=phu!$I$22,M1198=phu!$I$23,M1198=phu!$I$24,M1198=phu!$I$25),"Cam Phúc Nam",""),IF(OR(M1198=phu!$I$26,M1198=phu!$I$27,M1198=phu!$I$28,M1198=phu!$I$29,M1198=phu!$I$30,M1198=phu!$I$31),"Cam Phú",""),IF(OR(M1198=phu!$I$32,M1198=phu!$I$33,M1198=phu!$I$34,M1198=phu!$I$35,M1198=phu!$I$36,M1198=phu!$I$37),"Cam Lộc",""),IF(OR(M1198=phu!$I$38,M1198=phu!$I$39,M1198=phu!$I$40,M1198=phu!$I$41,M1198=phu!$I$42,M1198=phu!$I$43,M1198=phu!$I$44),"Cam Thuận",""),IF(OR(M1198=phu!$I$45,M1198=phu!$I$46,M1198=phu!$I$47,M1198=phu!$I$48,M1198=phu!$I$49,M1198=phu!$I$50,M1198=phu!$I$51,M1198=phu!$I$52,M1198=phu!$I$53),"Cam Linh",""),IF(OR(M1198=phu!$I$54,M1198=phu!$I$55,M1198=phu!$I$56,M1198=phu!$I$57,M1198=phu!$I$58,M1198=phu!$I$59,M1198=phu!$I$60,M1198=phu!$I$61,M1198=phu!$I$62),"Cam Lợi",""),IF(OR(M1198=phu!$I$63,M1198=phu!$I$64,M1198=phu!$I$65,M1198=phu!$I$66,M1198=phu!$I$67,M1198=phu!$I$68,M1198=phu!$I$69,M1198=phu!$I$70,M1198=phu!$I$71),"Ba Ngòi",""),IF(OR(M1198=phu!$I$72,M1198=phu!$I$73,M1198=phu!$I$74,M1198=phu!$I$75,M1198=phu!$I$76,M1198=phu!$I$77,M1198=phu!$I$78),"Cam Phước Đông",""),IF(OR(M1198=phu!$I$79,M1198=phu!$I$80,M1198=phu!$I$81,M1198=phu!$I$82,M1198=phu!$I$83,M1198=phu!$I$84),"Cam Thịnh Đông",""),IF(OR(M1198=phu!$I$85,M1198=phu!$I$86,M1198=phu!$I$87,M1198=phu!$I$88),"Cam Thịnh Tây",""),IF(OR(M1198=phu!$I$89,M1198=phu!$I$90),"Cam Lập",""),IF(OR(M1198=phu!$I$91,M1198=phu!$I$92,M1198=phu!$I$93),"Cam Bình",""),IF(OR(M1198=phu!$I$94,M1198=phu!$I$95,M1198=phu!$I$96,M1198=phu!$I$97,M1198=phu!$I$98,M1198=phu!$I$99,M1198=phu!$I$100),"Huyện khác",""),IF(OR(M1198=phu!$I$101,M1198=phu!$I$102),"Tỉnh khác",""))</f>
        <v/>
      </c>
      <c r="O1198" s="829" t="str">
        <f t="shared" si="108"/>
        <v/>
      </c>
      <c r="P1198" s="254"/>
      <c r="Q1198" s="254"/>
      <c r="R1198" s="254"/>
      <c r="S1198" s="254"/>
      <c r="T1198" s="254"/>
      <c r="U1198" s="254"/>
      <c r="V1198" s="254"/>
      <c r="W1198" s="254"/>
      <c r="Y1198" s="246" t="str">
        <f t="shared" si="109"/>
        <v/>
      </c>
      <c r="Z1198" s="247" t="str">
        <f t="shared" si="113"/>
        <v/>
      </c>
      <c r="AA1198" s="246" t="str">
        <f t="shared" si="110"/>
        <v/>
      </c>
    </row>
    <row r="1199" spans="1:27" x14ac:dyDescent="0.25">
      <c r="A1199" s="248" t="str">
        <f t="shared" si="111"/>
        <v/>
      </c>
      <c r="B1199" s="249" t="str">
        <f t="shared" si="112"/>
        <v/>
      </c>
      <c r="C1199" s="250"/>
      <c r="D1199" s="251"/>
      <c r="E1199" s="241"/>
      <c r="F1199" s="252"/>
      <c r="G1199" s="252"/>
      <c r="H1199" s="253"/>
      <c r="I1199" s="250"/>
      <c r="J1199" s="250"/>
      <c r="K1199" s="270"/>
      <c r="L1199" s="250"/>
      <c r="M1199" s="250"/>
      <c r="N1199" s="540" t="str">
        <f>CONCATENATE(IF(OR(M1199=phu!$I$1,M1199=phu!$I$2,M1199=phu!$I$3),"Cam Thành Nam",""),IF(OR(M1199=phu!$I$4,M1199=phu!$I$5,M1199=phu!$I$6,M1199=phu!$I$7,M1199=phu!$I$8,M1199=phu!$I$9,M1199=phu!$I$10,M1199=phu!$I$11,M1199=phu!$I$12,M1199=phu!$I$13,M1199=phu!$I$14),"Cam Nghĩa",""),IF(OR(M1199=phu!$I$15,M1199=phu!$I$16,M1199=phu!$I$17,M1199=phu!$I$18,M1199=phu!$I$19,M1199=phu!$I$20,M1199=phu!$I$21),"Cam Phúc Bắc",""),IF(OR(M1199=phu!$I$22,M1199=phu!$I$23,M1199=phu!$I$24,M1199=phu!$I$25),"Cam Phúc Nam",""),IF(OR(M1199=phu!$I$26,M1199=phu!$I$27,M1199=phu!$I$28,M1199=phu!$I$29,M1199=phu!$I$30,M1199=phu!$I$31),"Cam Phú",""),IF(OR(M1199=phu!$I$32,M1199=phu!$I$33,M1199=phu!$I$34,M1199=phu!$I$35,M1199=phu!$I$36,M1199=phu!$I$37),"Cam Lộc",""),IF(OR(M1199=phu!$I$38,M1199=phu!$I$39,M1199=phu!$I$40,M1199=phu!$I$41,M1199=phu!$I$42,M1199=phu!$I$43,M1199=phu!$I$44),"Cam Thuận",""),IF(OR(M1199=phu!$I$45,M1199=phu!$I$46,M1199=phu!$I$47,M1199=phu!$I$48,M1199=phu!$I$49,M1199=phu!$I$50,M1199=phu!$I$51,M1199=phu!$I$52,M1199=phu!$I$53),"Cam Linh",""),IF(OR(M1199=phu!$I$54,M1199=phu!$I$55,M1199=phu!$I$56,M1199=phu!$I$57,M1199=phu!$I$58,M1199=phu!$I$59,M1199=phu!$I$60,M1199=phu!$I$61,M1199=phu!$I$62),"Cam Lợi",""),IF(OR(M1199=phu!$I$63,M1199=phu!$I$64,M1199=phu!$I$65,M1199=phu!$I$66,M1199=phu!$I$67,M1199=phu!$I$68,M1199=phu!$I$69,M1199=phu!$I$70,M1199=phu!$I$71),"Ba Ngòi",""),IF(OR(M1199=phu!$I$72,M1199=phu!$I$73,M1199=phu!$I$74,M1199=phu!$I$75,M1199=phu!$I$76,M1199=phu!$I$77,M1199=phu!$I$78),"Cam Phước Đông",""),IF(OR(M1199=phu!$I$79,M1199=phu!$I$80,M1199=phu!$I$81,M1199=phu!$I$82,M1199=phu!$I$83,M1199=phu!$I$84),"Cam Thịnh Đông",""),IF(OR(M1199=phu!$I$85,M1199=phu!$I$86,M1199=phu!$I$87,M1199=phu!$I$88),"Cam Thịnh Tây",""),IF(OR(M1199=phu!$I$89,M1199=phu!$I$90),"Cam Lập",""),IF(OR(M1199=phu!$I$91,M1199=phu!$I$92,M1199=phu!$I$93),"Cam Bình",""),IF(OR(M1199=phu!$I$94,M1199=phu!$I$95,M1199=phu!$I$96,M1199=phu!$I$97,M1199=phu!$I$98,M1199=phu!$I$99,M1199=phu!$I$100),"Huyện khác",""),IF(OR(M1199=phu!$I$101,M1199=phu!$I$102),"Tỉnh khác",""))</f>
        <v/>
      </c>
      <c r="O1199" s="829" t="str">
        <f t="shared" si="108"/>
        <v/>
      </c>
      <c r="P1199" s="254"/>
      <c r="Q1199" s="254"/>
      <c r="R1199" s="254"/>
      <c r="S1199" s="254"/>
      <c r="T1199" s="254"/>
      <c r="U1199" s="254"/>
      <c r="V1199" s="254"/>
      <c r="W1199" s="254"/>
      <c r="Y1199" s="246" t="str">
        <f t="shared" si="109"/>
        <v/>
      </c>
      <c r="Z1199" s="247" t="str">
        <f t="shared" si="113"/>
        <v/>
      </c>
      <c r="AA1199" s="246" t="str">
        <f t="shared" si="110"/>
        <v/>
      </c>
    </row>
    <row r="1200" spans="1:27" x14ac:dyDescent="0.25">
      <c r="A1200" s="248" t="str">
        <f t="shared" si="111"/>
        <v/>
      </c>
      <c r="B1200" s="249" t="str">
        <f t="shared" si="112"/>
        <v/>
      </c>
      <c r="C1200" s="250"/>
      <c r="D1200" s="251"/>
      <c r="E1200" s="241"/>
      <c r="F1200" s="252"/>
      <c r="G1200" s="252"/>
      <c r="H1200" s="253"/>
      <c r="I1200" s="250"/>
      <c r="J1200" s="250"/>
      <c r="K1200" s="270"/>
      <c r="L1200" s="250"/>
      <c r="M1200" s="250"/>
      <c r="N1200" s="540" t="str">
        <f>CONCATENATE(IF(OR(M1200=phu!$I$1,M1200=phu!$I$2,M1200=phu!$I$3),"Cam Thành Nam",""),IF(OR(M1200=phu!$I$4,M1200=phu!$I$5,M1200=phu!$I$6,M1200=phu!$I$7,M1200=phu!$I$8,M1200=phu!$I$9,M1200=phu!$I$10,M1200=phu!$I$11,M1200=phu!$I$12,M1200=phu!$I$13,M1200=phu!$I$14),"Cam Nghĩa",""),IF(OR(M1200=phu!$I$15,M1200=phu!$I$16,M1200=phu!$I$17,M1200=phu!$I$18,M1200=phu!$I$19,M1200=phu!$I$20,M1200=phu!$I$21),"Cam Phúc Bắc",""),IF(OR(M1200=phu!$I$22,M1200=phu!$I$23,M1200=phu!$I$24,M1200=phu!$I$25),"Cam Phúc Nam",""),IF(OR(M1200=phu!$I$26,M1200=phu!$I$27,M1200=phu!$I$28,M1200=phu!$I$29,M1200=phu!$I$30,M1200=phu!$I$31),"Cam Phú",""),IF(OR(M1200=phu!$I$32,M1200=phu!$I$33,M1200=phu!$I$34,M1200=phu!$I$35,M1200=phu!$I$36,M1200=phu!$I$37),"Cam Lộc",""),IF(OR(M1200=phu!$I$38,M1200=phu!$I$39,M1200=phu!$I$40,M1200=phu!$I$41,M1200=phu!$I$42,M1200=phu!$I$43,M1200=phu!$I$44),"Cam Thuận",""),IF(OR(M1200=phu!$I$45,M1200=phu!$I$46,M1200=phu!$I$47,M1200=phu!$I$48,M1200=phu!$I$49,M1200=phu!$I$50,M1200=phu!$I$51,M1200=phu!$I$52,M1200=phu!$I$53),"Cam Linh",""),IF(OR(M1200=phu!$I$54,M1200=phu!$I$55,M1200=phu!$I$56,M1200=phu!$I$57,M1200=phu!$I$58,M1200=phu!$I$59,M1200=phu!$I$60,M1200=phu!$I$61,M1200=phu!$I$62),"Cam Lợi",""),IF(OR(M1200=phu!$I$63,M1200=phu!$I$64,M1200=phu!$I$65,M1200=phu!$I$66,M1200=phu!$I$67,M1200=phu!$I$68,M1200=phu!$I$69,M1200=phu!$I$70,M1200=phu!$I$71),"Ba Ngòi",""),IF(OR(M1200=phu!$I$72,M1200=phu!$I$73,M1200=phu!$I$74,M1200=phu!$I$75,M1200=phu!$I$76,M1200=phu!$I$77,M1200=phu!$I$78),"Cam Phước Đông",""),IF(OR(M1200=phu!$I$79,M1200=phu!$I$80,M1200=phu!$I$81,M1200=phu!$I$82,M1200=phu!$I$83,M1200=phu!$I$84),"Cam Thịnh Đông",""),IF(OR(M1200=phu!$I$85,M1200=phu!$I$86,M1200=phu!$I$87,M1200=phu!$I$88),"Cam Thịnh Tây",""),IF(OR(M1200=phu!$I$89,M1200=phu!$I$90),"Cam Lập",""),IF(OR(M1200=phu!$I$91,M1200=phu!$I$92,M1200=phu!$I$93),"Cam Bình",""),IF(OR(M1200=phu!$I$94,M1200=phu!$I$95,M1200=phu!$I$96,M1200=phu!$I$97,M1200=phu!$I$98,M1200=phu!$I$99,M1200=phu!$I$100),"Huyện khác",""),IF(OR(M1200=phu!$I$101,M1200=phu!$I$102),"Tỉnh khác",""))</f>
        <v/>
      </c>
      <c r="O1200" s="829" t="str">
        <f t="shared" si="108"/>
        <v/>
      </c>
      <c r="P1200" s="254"/>
      <c r="Q1200" s="254"/>
      <c r="R1200" s="254"/>
      <c r="S1200" s="254"/>
      <c r="T1200" s="254"/>
      <c r="U1200" s="254"/>
      <c r="V1200" s="254"/>
      <c r="W1200" s="254"/>
      <c r="Y1200" s="246" t="str">
        <f t="shared" si="109"/>
        <v/>
      </c>
      <c r="Z1200" s="247" t="str">
        <f t="shared" si="113"/>
        <v/>
      </c>
      <c r="AA1200" s="246" t="str">
        <f t="shared" si="110"/>
        <v/>
      </c>
    </row>
    <row r="1201" spans="1:27" x14ac:dyDescent="0.25">
      <c r="A1201" s="248" t="str">
        <f t="shared" si="111"/>
        <v/>
      </c>
      <c r="B1201" s="249" t="str">
        <f t="shared" si="112"/>
        <v/>
      </c>
      <c r="C1201" s="250"/>
      <c r="D1201" s="251"/>
      <c r="E1201" s="241"/>
      <c r="F1201" s="252"/>
      <c r="G1201" s="252"/>
      <c r="H1201" s="253"/>
      <c r="I1201" s="250"/>
      <c r="J1201" s="250"/>
      <c r="K1201" s="270"/>
      <c r="L1201" s="250"/>
      <c r="M1201" s="250"/>
      <c r="N1201" s="540" t="str">
        <f>CONCATENATE(IF(OR(M1201=phu!$I$1,M1201=phu!$I$2,M1201=phu!$I$3),"Cam Thành Nam",""),IF(OR(M1201=phu!$I$4,M1201=phu!$I$5,M1201=phu!$I$6,M1201=phu!$I$7,M1201=phu!$I$8,M1201=phu!$I$9,M1201=phu!$I$10,M1201=phu!$I$11,M1201=phu!$I$12,M1201=phu!$I$13,M1201=phu!$I$14),"Cam Nghĩa",""),IF(OR(M1201=phu!$I$15,M1201=phu!$I$16,M1201=phu!$I$17,M1201=phu!$I$18,M1201=phu!$I$19,M1201=phu!$I$20,M1201=phu!$I$21),"Cam Phúc Bắc",""),IF(OR(M1201=phu!$I$22,M1201=phu!$I$23,M1201=phu!$I$24,M1201=phu!$I$25),"Cam Phúc Nam",""),IF(OR(M1201=phu!$I$26,M1201=phu!$I$27,M1201=phu!$I$28,M1201=phu!$I$29,M1201=phu!$I$30,M1201=phu!$I$31),"Cam Phú",""),IF(OR(M1201=phu!$I$32,M1201=phu!$I$33,M1201=phu!$I$34,M1201=phu!$I$35,M1201=phu!$I$36,M1201=phu!$I$37),"Cam Lộc",""),IF(OR(M1201=phu!$I$38,M1201=phu!$I$39,M1201=phu!$I$40,M1201=phu!$I$41,M1201=phu!$I$42,M1201=phu!$I$43,M1201=phu!$I$44),"Cam Thuận",""),IF(OR(M1201=phu!$I$45,M1201=phu!$I$46,M1201=phu!$I$47,M1201=phu!$I$48,M1201=phu!$I$49,M1201=phu!$I$50,M1201=phu!$I$51,M1201=phu!$I$52,M1201=phu!$I$53),"Cam Linh",""),IF(OR(M1201=phu!$I$54,M1201=phu!$I$55,M1201=phu!$I$56,M1201=phu!$I$57,M1201=phu!$I$58,M1201=phu!$I$59,M1201=phu!$I$60,M1201=phu!$I$61,M1201=phu!$I$62),"Cam Lợi",""),IF(OR(M1201=phu!$I$63,M1201=phu!$I$64,M1201=phu!$I$65,M1201=phu!$I$66,M1201=phu!$I$67,M1201=phu!$I$68,M1201=phu!$I$69,M1201=phu!$I$70,M1201=phu!$I$71),"Ba Ngòi",""),IF(OR(M1201=phu!$I$72,M1201=phu!$I$73,M1201=phu!$I$74,M1201=phu!$I$75,M1201=phu!$I$76,M1201=phu!$I$77,M1201=phu!$I$78),"Cam Phước Đông",""),IF(OR(M1201=phu!$I$79,M1201=phu!$I$80,M1201=phu!$I$81,M1201=phu!$I$82,M1201=phu!$I$83,M1201=phu!$I$84),"Cam Thịnh Đông",""),IF(OR(M1201=phu!$I$85,M1201=phu!$I$86,M1201=phu!$I$87,M1201=phu!$I$88),"Cam Thịnh Tây",""),IF(OR(M1201=phu!$I$89,M1201=phu!$I$90),"Cam Lập",""),IF(OR(M1201=phu!$I$91,M1201=phu!$I$92,M1201=phu!$I$93),"Cam Bình",""),IF(OR(M1201=phu!$I$94,M1201=phu!$I$95,M1201=phu!$I$96,M1201=phu!$I$97,M1201=phu!$I$98,M1201=phu!$I$99,M1201=phu!$I$100),"Huyện khác",""),IF(OR(M1201=phu!$I$101,M1201=phu!$I$102),"Tỉnh khác",""))</f>
        <v/>
      </c>
      <c r="O1201" s="829" t="str">
        <f t="shared" si="108"/>
        <v/>
      </c>
      <c r="P1201" s="254"/>
      <c r="Q1201" s="254"/>
      <c r="R1201" s="254"/>
      <c r="S1201" s="254"/>
      <c r="T1201" s="254"/>
      <c r="U1201" s="254"/>
      <c r="V1201" s="254"/>
      <c r="W1201" s="254"/>
      <c r="Y1201" s="246" t="str">
        <f t="shared" si="109"/>
        <v/>
      </c>
      <c r="Z1201" s="247" t="str">
        <f t="shared" si="113"/>
        <v/>
      </c>
      <c r="AA1201" s="246" t="str">
        <f t="shared" si="110"/>
        <v/>
      </c>
    </row>
    <row r="1202" spans="1:27" x14ac:dyDescent="0.25">
      <c r="A1202" s="248" t="str">
        <f t="shared" si="111"/>
        <v/>
      </c>
      <c r="B1202" s="249" t="str">
        <f t="shared" si="112"/>
        <v/>
      </c>
      <c r="C1202" s="250"/>
      <c r="D1202" s="251"/>
      <c r="E1202" s="241"/>
      <c r="F1202" s="252"/>
      <c r="G1202" s="252"/>
      <c r="H1202" s="253"/>
      <c r="I1202" s="250"/>
      <c r="J1202" s="250"/>
      <c r="K1202" s="270"/>
      <c r="L1202" s="250"/>
      <c r="M1202" s="250"/>
      <c r="N1202" s="540" t="str">
        <f>CONCATENATE(IF(OR(M1202=phu!$I$1,M1202=phu!$I$2,M1202=phu!$I$3),"Cam Thành Nam",""),IF(OR(M1202=phu!$I$4,M1202=phu!$I$5,M1202=phu!$I$6,M1202=phu!$I$7,M1202=phu!$I$8,M1202=phu!$I$9,M1202=phu!$I$10,M1202=phu!$I$11,M1202=phu!$I$12,M1202=phu!$I$13,M1202=phu!$I$14),"Cam Nghĩa",""),IF(OR(M1202=phu!$I$15,M1202=phu!$I$16,M1202=phu!$I$17,M1202=phu!$I$18,M1202=phu!$I$19,M1202=phu!$I$20,M1202=phu!$I$21),"Cam Phúc Bắc",""),IF(OR(M1202=phu!$I$22,M1202=phu!$I$23,M1202=phu!$I$24,M1202=phu!$I$25),"Cam Phúc Nam",""),IF(OR(M1202=phu!$I$26,M1202=phu!$I$27,M1202=phu!$I$28,M1202=phu!$I$29,M1202=phu!$I$30,M1202=phu!$I$31),"Cam Phú",""),IF(OR(M1202=phu!$I$32,M1202=phu!$I$33,M1202=phu!$I$34,M1202=phu!$I$35,M1202=phu!$I$36,M1202=phu!$I$37),"Cam Lộc",""),IF(OR(M1202=phu!$I$38,M1202=phu!$I$39,M1202=phu!$I$40,M1202=phu!$I$41,M1202=phu!$I$42,M1202=phu!$I$43,M1202=phu!$I$44),"Cam Thuận",""),IF(OR(M1202=phu!$I$45,M1202=phu!$I$46,M1202=phu!$I$47,M1202=phu!$I$48,M1202=phu!$I$49,M1202=phu!$I$50,M1202=phu!$I$51,M1202=phu!$I$52,M1202=phu!$I$53),"Cam Linh",""),IF(OR(M1202=phu!$I$54,M1202=phu!$I$55,M1202=phu!$I$56,M1202=phu!$I$57,M1202=phu!$I$58,M1202=phu!$I$59,M1202=phu!$I$60,M1202=phu!$I$61,M1202=phu!$I$62),"Cam Lợi",""),IF(OR(M1202=phu!$I$63,M1202=phu!$I$64,M1202=phu!$I$65,M1202=phu!$I$66,M1202=phu!$I$67,M1202=phu!$I$68,M1202=phu!$I$69,M1202=phu!$I$70,M1202=phu!$I$71),"Ba Ngòi",""),IF(OR(M1202=phu!$I$72,M1202=phu!$I$73,M1202=phu!$I$74,M1202=phu!$I$75,M1202=phu!$I$76,M1202=phu!$I$77,M1202=phu!$I$78),"Cam Phước Đông",""),IF(OR(M1202=phu!$I$79,M1202=phu!$I$80,M1202=phu!$I$81,M1202=phu!$I$82,M1202=phu!$I$83,M1202=phu!$I$84),"Cam Thịnh Đông",""),IF(OR(M1202=phu!$I$85,M1202=phu!$I$86,M1202=phu!$I$87,M1202=phu!$I$88),"Cam Thịnh Tây",""),IF(OR(M1202=phu!$I$89,M1202=phu!$I$90),"Cam Lập",""),IF(OR(M1202=phu!$I$91,M1202=phu!$I$92,M1202=phu!$I$93),"Cam Bình",""),IF(OR(M1202=phu!$I$94,M1202=phu!$I$95,M1202=phu!$I$96,M1202=phu!$I$97,M1202=phu!$I$98,M1202=phu!$I$99,M1202=phu!$I$100),"Huyện khác",""),IF(OR(M1202=phu!$I$101,M1202=phu!$I$102),"Tỉnh khác",""))</f>
        <v/>
      </c>
      <c r="O1202" s="829" t="str">
        <f t="shared" si="108"/>
        <v/>
      </c>
      <c r="P1202" s="254"/>
      <c r="Q1202" s="254"/>
      <c r="R1202" s="254"/>
      <c r="S1202" s="254"/>
      <c r="T1202" s="254"/>
      <c r="U1202" s="254"/>
      <c r="V1202" s="254"/>
      <c r="W1202" s="254"/>
      <c r="Y1202" s="246" t="str">
        <f t="shared" si="109"/>
        <v/>
      </c>
      <c r="Z1202" s="247" t="str">
        <f t="shared" si="113"/>
        <v/>
      </c>
      <c r="AA1202" s="246" t="str">
        <f t="shared" si="110"/>
        <v/>
      </c>
    </row>
    <row r="1203" spans="1:27" x14ac:dyDescent="0.25">
      <c r="A1203" s="248" t="str">
        <f t="shared" si="111"/>
        <v/>
      </c>
      <c r="B1203" s="249" t="str">
        <f t="shared" si="112"/>
        <v/>
      </c>
      <c r="C1203" s="250"/>
      <c r="D1203" s="251"/>
      <c r="E1203" s="241"/>
      <c r="F1203" s="252"/>
      <c r="G1203" s="252"/>
      <c r="H1203" s="253"/>
      <c r="I1203" s="250"/>
      <c r="J1203" s="250"/>
      <c r="K1203" s="270"/>
      <c r="L1203" s="250"/>
      <c r="M1203" s="250"/>
      <c r="N1203" s="540" t="str">
        <f>CONCATENATE(IF(OR(M1203=phu!$I$1,M1203=phu!$I$2,M1203=phu!$I$3),"Cam Thành Nam",""),IF(OR(M1203=phu!$I$4,M1203=phu!$I$5,M1203=phu!$I$6,M1203=phu!$I$7,M1203=phu!$I$8,M1203=phu!$I$9,M1203=phu!$I$10,M1203=phu!$I$11,M1203=phu!$I$12,M1203=phu!$I$13,M1203=phu!$I$14),"Cam Nghĩa",""),IF(OR(M1203=phu!$I$15,M1203=phu!$I$16,M1203=phu!$I$17,M1203=phu!$I$18,M1203=phu!$I$19,M1203=phu!$I$20,M1203=phu!$I$21),"Cam Phúc Bắc",""),IF(OR(M1203=phu!$I$22,M1203=phu!$I$23,M1203=phu!$I$24,M1203=phu!$I$25),"Cam Phúc Nam",""),IF(OR(M1203=phu!$I$26,M1203=phu!$I$27,M1203=phu!$I$28,M1203=phu!$I$29,M1203=phu!$I$30,M1203=phu!$I$31),"Cam Phú",""),IF(OR(M1203=phu!$I$32,M1203=phu!$I$33,M1203=phu!$I$34,M1203=phu!$I$35,M1203=phu!$I$36,M1203=phu!$I$37),"Cam Lộc",""),IF(OR(M1203=phu!$I$38,M1203=phu!$I$39,M1203=phu!$I$40,M1203=phu!$I$41,M1203=phu!$I$42,M1203=phu!$I$43,M1203=phu!$I$44),"Cam Thuận",""),IF(OR(M1203=phu!$I$45,M1203=phu!$I$46,M1203=phu!$I$47,M1203=phu!$I$48,M1203=phu!$I$49,M1203=phu!$I$50,M1203=phu!$I$51,M1203=phu!$I$52,M1203=phu!$I$53),"Cam Linh",""),IF(OR(M1203=phu!$I$54,M1203=phu!$I$55,M1203=phu!$I$56,M1203=phu!$I$57,M1203=phu!$I$58,M1203=phu!$I$59,M1203=phu!$I$60,M1203=phu!$I$61,M1203=phu!$I$62),"Cam Lợi",""),IF(OR(M1203=phu!$I$63,M1203=phu!$I$64,M1203=phu!$I$65,M1203=phu!$I$66,M1203=phu!$I$67,M1203=phu!$I$68,M1203=phu!$I$69,M1203=phu!$I$70,M1203=phu!$I$71),"Ba Ngòi",""),IF(OR(M1203=phu!$I$72,M1203=phu!$I$73,M1203=phu!$I$74,M1203=phu!$I$75,M1203=phu!$I$76,M1203=phu!$I$77,M1203=phu!$I$78),"Cam Phước Đông",""),IF(OR(M1203=phu!$I$79,M1203=phu!$I$80,M1203=phu!$I$81,M1203=phu!$I$82,M1203=phu!$I$83,M1203=phu!$I$84),"Cam Thịnh Đông",""),IF(OR(M1203=phu!$I$85,M1203=phu!$I$86,M1203=phu!$I$87,M1203=phu!$I$88),"Cam Thịnh Tây",""),IF(OR(M1203=phu!$I$89,M1203=phu!$I$90),"Cam Lập",""),IF(OR(M1203=phu!$I$91,M1203=phu!$I$92,M1203=phu!$I$93),"Cam Bình",""),IF(OR(M1203=phu!$I$94,M1203=phu!$I$95,M1203=phu!$I$96,M1203=phu!$I$97,M1203=phu!$I$98,M1203=phu!$I$99,M1203=phu!$I$100),"Huyện khác",""),IF(OR(M1203=phu!$I$101,M1203=phu!$I$102),"Tỉnh khác",""))</f>
        <v/>
      </c>
      <c r="O1203" s="829" t="str">
        <f t="shared" si="108"/>
        <v/>
      </c>
      <c r="P1203" s="254"/>
      <c r="Q1203" s="254"/>
      <c r="R1203" s="254"/>
      <c r="S1203" s="254"/>
      <c r="T1203" s="254"/>
      <c r="U1203" s="254"/>
      <c r="V1203" s="254"/>
      <c r="W1203" s="254"/>
      <c r="Y1203" s="246" t="str">
        <f t="shared" si="109"/>
        <v/>
      </c>
      <c r="Z1203" s="247" t="str">
        <f t="shared" si="113"/>
        <v/>
      </c>
      <c r="AA1203" s="246" t="str">
        <f t="shared" si="110"/>
        <v/>
      </c>
    </row>
    <row r="1204" spans="1:27" x14ac:dyDescent="0.25">
      <c r="A1204" s="248" t="str">
        <f t="shared" si="111"/>
        <v/>
      </c>
      <c r="B1204" s="249" t="str">
        <f t="shared" si="112"/>
        <v/>
      </c>
      <c r="C1204" s="250"/>
      <c r="D1204" s="251"/>
      <c r="E1204" s="241"/>
      <c r="F1204" s="252"/>
      <c r="G1204" s="252"/>
      <c r="H1204" s="253"/>
      <c r="I1204" s="250"/>
      <c r="J1204" s="250"/>
      <c r="K1204" s="270"/>
      <c r="L1204" s="250"/>
      <c r="M1204" s="250"/>
      <c r="N1204" s="540" t="str">
        <f>CONCATENATE(IF(OR(M1204=phu!$I$1,M1204=phu!$I$2,M1204=phu!$I$3),"Cam Thành Nam",""),IF(OR(M1204=phu!$I$4,M1204=phu!$I$5,M1204=phu!$I$6,M1204=phu!$I$7,M1204=phu!$I$8,M1204=phu!$I$9,M1204=phu!$I$10,M1204=phu!$I$11,M1204=phu!$I$12,M1204=phu!$I$13,M1204=phu!$I$14),"Cam Nghĩa",""),IF(OR(M1204=phu!$I$15,M1204=phu!$I$16,M1204=phu!$I$17,M1204=phu!$I$18,M1204=phu!$I$19,M1204=phu!$I$20,M1204=phu!$I$21),"Cam Phúc Bắc",""),IF(OR(M1204=phu!$I$22,M1204=phu!$I$23,M1204=phu!$I$24,M1204=phu!$I$25),"Cam Phúc Nam",""),IF(OR(M1204=phu!$I$26,M1204=phu!$I$27,M1204=phu!$I$28,M1204=phu!$I$29,M1204=phu!$I$30,M1204=phu!$I$31),"Cam Phú",""),IF(OR(M1204=phu!$I$32,M1204=phu!$I$33,M1204=phu!$I$34,M1204=phu!$I$35,M1204=phu!$I$36,M1204=phu!$I$37),"Cam Lộc",""),IF(OR(M1204=phu!$I$38,M1204=phu!$I$39,M1204=phu!$I$40,M1204=phu!$I$41,M1204=phu!$I$42,M1204=phu!$I$43,M1204=phu!$I$44),"Cam Thuận",""),IF(OR(M1204=phu!$I$45,M1204=phu!$I$46,M1204=phu!$I$47,M1204=phu!$I$48,M1204=phu!$I$49,M1204=phu!$I$50,M1204=phu!$I$51,M1204=phu!$I$52,M1204=phu!$I$53),"Cam Linh",""),IF(OR(M1204=phu!$I$54,M1204=phu!$I$55,M1204=phu!$I$56,M1204=phu!$I$57,M1204=phu!$I$58,M1204=phu!$I$59,M1204=phu!$I$60,M1204=phu!$I$61,M1204=phu!$I$62),"Cam Lợi",""),IF(OR(M1204=phu!$I$63,M1204=phu!$I$64,M1204=phu!$I$65,M1204=phu!$I$66,M1204=phu!$I$67,M1204=phu!$I$68,M1204=phu!$I$69,M1204=phu!$I$70,M1204=phu!$I$71),"Ba Ngòi",""),IF(OR(M1204=phu!$I$72,M1204=phu!$I$73,M1204=phu!$I$74,M1204=phu!$I$75,M1204=phu!$I$76,M1204=phu!$I$77,M1204=phu!$I$78),"Cam Phước Đông",""),IF(OR(M1204=phu!$I$79,M1204=phu!$I$80,M1204=phu!$I$81,M1204=phu!$I$82,M1204=phu!$I$83,M1204=phu!$I$84),"Cam Thịnh Đông",""),IF(OR(M1204=phu!$I$85,M1204=phu!$I$86,M1204=phu!$I$87,M1204=phu!$I$88),"Cam Thịnh Tây",""),IF(OR(M1204=phu!$I$89,M1204=phu!$I$90),"Cam Lập",""),IF(OR(M1204=phu!$I$91,M1204=phu!$I$92,M1204=phu!$I$93),"Cam Bình",""),IF(OR(M1204=phu!$I$94,M1204=phu!$I$95,M1204=phu!$I$96,M1204=phu!$I$97,M1204=phu!$I$98,M1204=phu!$I$99,M1204=phu!$I$100),"Huyện khác",""),IF(OR(M1204=phu!$I$101,M1204=phu!$I$102),"Tỉnh khác",""))</f>
        <v/>
      </c>
      <c r="O1204" s="829" t="str">
        <f t="shared" si="108"/>
        <v/>
      </c>
      <c r="P1204" s="254"/>
      <c r="Q1204" s="254"/>
      <c r="R1204" s="254"/>
      <c r="S1204" s="254"/>
      <c r="T1204" s="254"/>
      <c r="U1204" s="254"/>
      <c r="V1204" s="254"/>
      <c r="W1204" s="254"/>
      <c r="Y1204" s="246" t="str">
        <f t="shared" si="109"/>
        <v/>
      </c>
      <c r="Z1204" s="247" t="str">
        <f t="shared" si="113"/>
        <v/>
      </c>
      <c r="AA1204" s="246" t="str">
        <f t="shared" si="110"/>
        <v/>
      </c>
    </row>
    <row r="1205" spans="1:27" x14ac:dyDescent="0.25">
      <c r="A1205" s="248" t="str">
        <f t="shared" si="111"/>
        <v/>
      </c>
      <c r="B1205" s="249" t="str">
        <f t="shared" si="112"/>
        <v/>
      </c>
      <c r="C1205" s="250"/>
      <c r="D1205" s="251"/>
      <c r="E1205" s="241"/>
      <c r="F1205" s="252"/>
      <c r="G1205" s="252"/>
      <c r="H1205" s="253"/>
      <c r="I1205" s="250"/>
      <c r="J1205" s="250"/>
      <c r="K1205" s="270"/>
      <c r="L1205" s="250"/>
      <c r="M1205" s="250"/>
      <c r="N1205" s="540" t="str">
        <f>CONCATENATE(IF(OR(M1205=phu!$I$1,M1205=phu!$I$2,M1205=phu!$I$3),"Cam Thành Nam",""),IF(OR(M1205=phu!$I$4,M1205=phu!$I$5,M1205=phu!$I$6,M1205=phu!$I$7,M1205=phu!$I$8,M1205=phu!$I$9,M1205=phu!$I$10,M1205=phu!$I$11,M1205=phu!$I$12,M1205=phu!$I$13,M1205=phu!$I$14),"Cam Nghĩa",""),IF(OR(M1205=phu!$I$15,M1205=phu!$I$16,M1205=phu!$I$17,M1205=phu!$I$18,M1205=phu!$I$19,M1205=phu!$I$20,M1205=phu!$I$21),"Cam Phúc Bắc",""),IF(OR(M1205=phu!$I$22,M1205=phu!$I$23,M1205=phu!$I$24,M1205=phu!$I$25),"Cam Phúc Nam",""),IF(OR(M1205=phu!$I$26,M1205=phu!$I$27,M1205=phu!$I$28,M1205=phu!$I$29,M1205=phu!$I$30,M1205=phu!$I$31),"Cam Phú",""),IF(OR(M1205=phu!$I$32,M1205=phu!$I$33,M1205=phu!$I$34,M1205=phu!$I$35,M1205=phu!$I$36,M1205=phu!$I$37),"Cam Lộc",""),IF(OR(M1205=phu!$I$38,M1205=phu!$I$39,M1205=phu!$I$40,M1205=phu!$I$41,M1205=phu!$I$42,M1205=phu!$I$43,M1205=phu!$I$44),"Cam Thuận",""),IF(OR(M1205=phu!$I$45,M1205=phu!$I$46,M1205=phu!$I$47,M1205=phu!$I$48,M1205=phu!$I$49,M1205=phu!$I$50,M1205=phu!$I$51,M1205=phu!$I$52,M1205=phu!$I$53),"Cam Linh",""),IF(OR(M1205=phu!$I$54,M1205=phu!$I$55,M1205=phu!$I$56,M1205=phu!$I$57,M1205=phu!$I$58,M1205=phu!$I$59,M1205=phu!$I$60,M1205=phu!$I$61,M1205=phu!$I$62),"Cam Lợi",""),IF(OR(M1205=phu!$I$63,M1205=phu!$I$64,M1205=phu!$I$65,M1205=phu!$I$66,M1205=phu!$I$67,M1205=phu!$I$68,M1205=phu!$I$69,M1205=phu!$I$70,M1205=phu!$I$71),"Ba Ngòi",""),IF(OR(M1205=phu!$I$72,M1205=phu!$I$73,M1205=phu!$I$74,M1205=phu!$I$75,M1205=phu!$I$76,M1205=phu!$I$77,M1205=phu!$I$78),"Cam Phước Đông",""),IF(OR(M1205=phu!$I$79,M1205=phu!$I$80,M1205=phu!$I$81,M1205=phu!$I$82,M1205=phu!$I$83,M1205=phu!$I$84),"Cam Thịnh Đông",""),IF(OR(M1205=phu!$I$85,M1205=phu!$I$86,M1205=phu!$I$87,M1205=phu!$I$88),"Cam Thịnh Tây",""),IF(OR(M1205=phu!$I$89,M1205=phu!$I$90),"Cam Lập",""),IF(OR(M1205=phu!$I$91,M1205=phu!$I$92,M1205=phu!$I$93),"Cam Bình",""),IF(OR(M1205=phu!$I$94,M1205=phu!$I$95,M1205=phu!$I$96,M1205=phu!$I$97,M1205=phu!$I$98,M1205=phu!$I$99,M1205=phu!$I$100),"Huyện khác",""),IF(OR(M1205=phu!$I$101,M1205=phu!$I$102),"Tỉnh khác",""))</f>
        <v/>
      </c>
      <c r="O1205" s="829" t="str">
        <f t="shared" si="108"/>
        <v/>
      </c>
      <c r="P1205" s="254"/>
      <c r="Q1205" s="254"/>
      <c r="R1205" s="254"/>
      <c r="S1205" s="254"/>
      <c r="T1205" s="254"/>
      <c r="U1205" s="254"/>
      <c r="V1205" s="254"/>
      <c r="W1205" s="254"/>
      <c r="Y1205" s="246" t="str">
        <f t="shared" si="109"/>
        <v/>
      </c>
      <c r="Z1205" s="247" t="str">
        <f t="shared" si="113"/>
        <v/>
      </c>
      <c r="AA1205" s="246" t="str">
        <f t="shared" si="110"/>
        <v/>
      </c>
    </row>
    <row r="1206" spans="1:27" x14ac:dyDescent="0.25">
      <c r="A1206" s="248" t="str">
        <f t="shared" si="111"/>
        <v/>
      </c>
      <c r="B1206" s="249" t="str">
        <f t="shared" si="112"/>
        <v/>
      </c>
      <c r="C1206" s="250"/>
      <c r="D1206" s="251"/>
      <c r="E1206" s="241"/>
      <c r="F1206" s="252"/>
      <c r="G1206" s="252"/>
      <c r="H1206" s="253"/>
      <c r="I1206" s="250"/>
      <c r="J1206" s="250"/>
      <c r="K1206" s="270"/>
      <c r="L1206" s="250"/>
      <c r="M1206" s="250"/>
      <c r="N1206" s="540" t="str">
        <f>CONCATENATE(IF(OR(M1206=phu!$I$1,M1206=phu!$I$2,M1206=phu!$I$3),"Cam Thành Nam",""),IF(OR(M1206=phu!$I$4,M1206=phu!$I$5,M1206=phu!$I$6,M1206=phu!$I$7,M1206=phu!$I$8,M1206=phu!$I$9,M1206=phu!$I$10,M1206=phu!$I$11,M1206=phu!$I$12,M1206=phu!$I$13,M1206=phu!$I$14),"Cam Nghĩa",""),IF(OR(M1206=phu!$I$15,M1206=phu!$I$16,M1206=phu!$I$17,M1206=phu!$I$18,M1206=phu!$I$19,M1206=phu!$I$20,M1206=phu!$I$21),"Cam Phúc Bắc",""),IF(OR(M1206=phu!$I$22,M1206=phu!$I$23,M1206=phu!$I$24,M1206=phu!$I$25),"Cam Phúc Nam",""),IF(OR(M1206=phu!$I$26,M1206=phu!$I$27,M1206=phu!$I$28,M1206=phu!$I$29,M1206=phu!$I$30,M1206=phu!$I$31),"Cam Phú",""),IF(OR(M1206=phu!$I$32,M1206=phu!$I$33,M1206=phu!$I$34,M1206=phu!$I$35,M1206=phu!$I$36,M1206=phu!$I$37),"Cam Lộc",""),IF(OR(M1206=phu!$I$38,M1206=phu!$I$39,M1206=phu!$I$40,M1206=phu!$I$41,M1206=phu!$I$42,M1206=phu!$I$43,M1206=phu!$I$44),"Cam Thuận",""),IF(OR(M1206=phu!$I$45,M1206=phu!$I$46,M1206=phu!$I$47,M1206=phu!$I$48,M1206=phu!$I$49,M1206=phu!$I$50,M1206=phu!$I$51,M1206=phu!$I$52,M1206=phu!$I$53),"Cam Linh",""),IF(OR(M1206=phu!$I$54,M1206=phu!$I$55,M1206=phu!$I$56,M1206=phu!$I$57,M1206=phu!$I$58,M1206=phu!$I$59,M1206=phu!$I$60,M1206=phu!$I$61,M1206=phu!$I$62),"Cam Lợi",""),IF(OR(M1206=phu!$I$63,M1206=phu!$I$64,M1206=phu!$I$65,M1206=phu!$I$66,M1206=phu!$I$67,M1206=phu!$I$68,M1206=phu!$I$69,M1206=phu!$I$70,M1206=phu!$I$71),"Ba Ngòi",""),IF(OR(M1206=phu!$I$72,M1206=phu!$I$73,M1206=phu!$I$74,M1206=phu!$I$75,M1206=phu!$I$76,M1206=phu!$I$77,M1206=phu!$I$78),"Cam Phước Đông",""),IF(OR(M1206=phu!$I$79,M1206=phu!$I$80,M1206=phu!$I$81,M1206=phu!$I$82,M1206=phu!$I$83,M1206=phu!$I$84),"Cam Thịnh Đông",""),IF(OR(M1206=phu!$I$85,M1206=phu!$I$86,M1206=phu!$I$87,M1206=phu!$I$88),"Cam Thịnh Tây",""),IF(OR(M1206=phu!$I$89,M1206=phu!$I$90),"Cam Lập",""),IF(OR(M1206=phu!$I$91,M1206=phu!$I$92,M1206=phu!$I$93),"Cam Bình",""),IF(OR(M1206=phu!$I$94,M1206=phu!$I$95,M1206=phu!$I$96,M1206=phu!$I$97,M1206=phu!$I$98,M1206=phu!$I$99,M1206=phu!$I$100),"Huyện khác",""),IF(OR(M1206=phu!$I$101,M1206=phu!$I$102),"Tỉnh khác",""))</f>
        <v/>
      </c>
      <c r="O1206" s="829" t="str">
        <f t="shared" si="108"/>
        <v/>
      </c>
      <c r="P1206" s="254"/>
      <c r="Q1206" s="254"/>
      <c r="R1206" s="254"/>
      <c r="S1206" s="254"/>
      <c r="T1206" s="254"/>
      <c r="U1206" s="254"/>
      <c r="V1206" s="254"/>
      <c r="W1206" s="254"/>
      <c r="Y1206" s="246" t="str">
        <f t="shared" si="109"/>
        <v/>
      </c>
      <c r="Z1206" s="247" t="str">
        <f t="shared" si="113"/>
        <v/>
      </c>
      <c r="AA1206" s="246" t="str">
        <f t="shared" si="110"/>
        <v/>
      </c>
    </row>
    <row r="1207" spans="1:27" x14ac:dyDescent="0.25">
      <c r="A1207" s="248" t="str">
        <f t="shared" si="111"/>
        <v/>
      </c>
      <c r="B1207" s="249" t="str">
        <f t="shared" si="112"/>
        <v/>
      </c>
      <c r="C1207" s="250"/>
      <c r="D1207" s="251"/>
      <c r="E1207" s="241"/>
      <c r="F1207" s="252"/>
      <c r="G1207" s="252"/>
      <c r="H1207" s="253"/>
      <c r="I1207" s="250"/>
      <c r="J1207" s="250"/>
      <c r="K1207" s="270"/>
      <c r="L1207" s="250"/>
      <c r="M1207" s="250"/>
      <c r="N1207" s="540" t="str">
        <f>CONCATENATE(IF(OR(M1207=phu!$I$1,M1207=phu!$I$2,M1207=phu!$I$3),"Cam Thành Nam",""),IF(OR(M1207=phu!$I$4,M1207=phu!$I$5,M1207=phu!$I$6,M1207=phu!$I$7,M1207=phu!$I$8,M1207=phu!$I$9,M1207=phu!$I$10,M1207=phu!$I$11,M1207=phu!$I$12,M1207=phu!$I$13,M1207=phu!$I$14),"Cam Nghĩa",""),IF(OR(M1207=phu!$I$15,M1207=phu!$I$16,M1207=phu!$I$17,M1207=phu!$I$18,M1207=phu!$I$19,M1207=phu!$I$20,M1207=phu!$I$21),"Cam Phúc Bắc",""),IF(OR(M1207=phu!$I$22,M1207=phu!$I$23,M1207=phu!$I$24,M1207=phu!$I$25),"Cam Phúc Nam",""),IF(OR(M1207=phu!$I$26,M1207=phu!$I$27,M1207=phu!$I$28,M1207=phu!$I$29,M1207=phu!$I$30,M1207=phu!$I$31),"Cam Phú",""),IF(OR(M1207=phu!$I$32,M1207=phu!$I$33,M1207=phu!$I$34,M1207=phu!$I$35,M1207=phu!$I$36,M1207=phu!$I$37),"Cam Lộc",""),IF(OR(M1207=phu!$I$38,M1207=phu!$I$39,M1207=phu!$I$40,M1207=phu!$I$41,M1207=phu!$I$42,M1207=phu!$I$43,M1207=phu!$I$44),"Cam Thuận",""),IF(OR(M1207=phu!$I$45,M1207=phu!$I$46,M1207=phu!$I$47,M1207=phu!$I$48,M1207=phu!$I$49,M1207=phu!$I$50,M1207=phu!$I$51,M1207=phu!$I$52,M1207=phu!$I$53),"Cam Linh",""),IF(OR(M1207=phu!$I$54,M1207=phu!$I$55,M1207=phu!$I$56,M1207=phu!$I$57,M1207=phu!$I$58,M1207=phu!$I$59,M1207=phu!$I$60,M1207=phu!$I$61,M1207=phu!$I$62),"Cam Lợi",""),IF(OR(M1207=phu!$I$63,M1207=phu!$I$64,M1207=phu!$I$65,M1207=phu!$I$66,M1207=phu!$I$67,M1207=phu!$I$68,M1207=phu!$I$69,M1207=phu!$I$70,M1207=phu!$I$71),"Ba Ngòi",""),IF(OR(M1207=phu!$I$72,M1207=phu!$I$73,M1207=phu!$I$74,M1207=phu!$I$75,M1207=phu!$I$76,M1207=phu!$I$77,M1207=phu!$I$78),"Cam Phước Đông",""),IF(OR(M1207=phu!$I$79,M1207=phu!$I$80,M1207=phu!$I$81,M1207=phu!$I$82,M1207=phu!$I$83,M1207=phu!$I$84),"Cam Thịnh Đông",""),IF(OR(M1207=phu!$I$85,M1207=phu!$I$86,M1207=phu!$I$87,M1207=phu!$I$88),"Cam Thịnh Tây",""),IF(OR(M1207=phu!$I$89,M1207=phu!$I$90),"Cam Lập",""),IF(OR(M1207=phu!$I$91,M1207=phu!$I$92,M1207=phu!$I$93),"Cam Bình",""),IF(OR(M1207=phu!$I$94,M1207=phu!$I$95,M1207=phu!$I$96,M1207=phu!$I$97,M1207=phu!$I$98,M1207=phu!$I$99,M1207=phu!$I$100),"Huyện khác",""),IF(OR(M1207=phu!$I$101,M1207=phu!$I$102),"Tỉnh khác",""))</f>
        <v/>
      </c>
      <c r="O1207" s="829" t="str">
        <f t="shared" si="108"/>
        <v/>
      </c>
      <c r="P1207" s="254"/>
      <c r="Q1207" s="254"/>
      <c r="R1207" s="254"/>
      <c r="S1207" s="254"/>
      <c r="T1207" s="254"/>
      <c r="U1207" s="254"/>
      <c r="V1207" s="254"/>
      <c r="W1207" s="254"/>
      <c r="Y1207" s="246" t="str">
        <f t="shared" si="109"/>
        <v/>
      </c>
      <c r="Z1207" s="247" t="str">
        <f t="shared" si="113"/>
        <v/>
      </c>
      <c r="AA1207" s="246" t="str">
        <f t="shared" si="110"/>
        <v/>
      </c>
    </row>
    <row r="1208" spans="1:27" x14ac:dyDescent="0.25">
      <c r="A1208" s="248" t="str">
        <f t="shared" si="111"/>
        <v/>
      </c>
      <c r="B1208" s="249" t="str">
        <f t="shared" si="112"/>
        <v/>
      </c>
      <c r="C1208" s="250"/>
      <c r="D1208" s="251"/>
      <c r="E1208" s="241"/>
      <c r="F1208" s="252"/>
      <c r="G1208" s="252"/>
      <c r="H1208" s="253"/>
      <c r="I1208" s="250"/>
      <c r="J1208" s="250"/>
      <c r="K1208" s="270"/>
      <c r="L1208" s="250"/>
      <c r="M1208" s="250"/>
      <c r="N1208" s="540" t="str">
        <f>CONCATENATE(IF(OR(M1208=phu!$I$1,M1208=phu!$I$2,M1208=phu!$I$3),"Cam Thành Nam",""),IF(OR(M1208=phu!$I$4,M1208=phu!$I$5,M1208=phu!$I$6,M1208=phu!$I$7,M1208=phu!$I$8,M1208=phu!$I$9,M1208=phu!$I$10,M1208=phu!$I$11,M1208=phu!$I$12,M1208=phu!$I$13,M1208=phu!$I$14),"Cam Nghĩa",""),IF(OR(M1208=phu!$I$15,M1208=phu!$I$16,M1208=phu!$I$17,M1208=phu!$I$18,M1208=phu!$I$19,M1208=phu!$I$20,M1208=phu!$I$21),"Cam Phúc Bắc",""),IF(OR(M1208=phu!$I$22,M1208=phu!$I$23,M1208=phu!$I$24,M1208=phu!$I$25),"Cam Phúc Nam",""),IF(OR(M1208=phu!$I$26,M1208=phu!$I$27,M1208=phu!$I$28,M1208=phu!$I$29,M1208=phu!$I$30,M1208=phu!$I$31),"Cam Phú",""),IF(OR(M1208=phu!$I$32,M1208=phu!$I$33,M1208=phu!$I$34,M1208=phu!$I$35,M1208=phu!$I$36,M1208=phu!$I$37),"Cam Lộc",""),IF(OR(M1208=phu!$I$38,M1208=phu!$I$39,M1208=phu!$I$40,M1208=phu!$I$41,M1208=phu!$I$42,M1208=phu!$I$43,M1208=phu!$I$44),"Cam Thuận",""),IF(OR(M1208=phu!$I$45,M1208=phu!$I$46,M1208=phu!$I$47,M1208=phu!$I$48,M1208=phu!$I$49,M1208=phu!$I$50,M1208=phu!$I$51,M1208=phu!$I$52,M1208=phu!$I$53),"Cam Linh",""),IF(OR(M1208=phu!$I$54,M1208=phu!$I$55,M1208=phu!$I$56,M1208=phu!$I$57,M1208=phu!$I$58,M1208=phu!$I$59,M1208=phu!$I$60,M1208=phu!$I$61,M1208=phu!$I$62),"Cam Lợi",""),IF(OR(M1208=phu!$I$63,M1208=phu!$I$64,M1208=phu!$I$65,M1208=phu!$I$66,M1208=phu!$I$67,M1208=phu!$I$68,M1208=phu!$I$69,M1208=phu!$I$70,M1208=phu!$I$71),"Ba Ngòi",""),IF(OR(M1208=phu!$I$72,M1208=phu!$I$73,M1208=phu!$I$74,M1208=phu!$I$75,M1208=phu!$I$76,M1208=phu!$I$77,M1208=phu!$I$78),"Cam Phước Đông",""),IF(OR(M1208=phu!$I$79,M1208=phu!$I$80,M1208=phu!$I$81,M1208=phu!$I$82,M1208=phu!$I$83,M1208=phu!$I$84),"Cam Thịnh Đông",""),IF(OR(M1208=phu!$I$85,M1208=phu!$I$86,M1208=phu!$I$87,M1208=phu!$I$88),"Cam Thịnh Tây",""),IF(OR(M1208=phu!$I$89,M1208=phu!$I$90),"Cam Lập",""),IF(OR(M1208=phu!$I$91,M1208=phu!$I$92,M1208=phu!$I$93),"Cam Bình",""),IF(OR(M1208=phu!$I$94,M1208=phu!$I$95,M1208=phu!$I$96,M1208=phu!$I$97,M1208=phu!$I$98,M1208=phu!$I$99,M1208=phu!$I$100),"Huyện khác",""),IF(OR(M1208=phu!$I$101,M1208=phu!$I$102),"Tỉnh khác",""))</f>
        <v/>
      </c>
      <c r="O1208" s="829" t="str">
        <f t="shared" si="108"/>
        <v/>
      </c>
      <c r="P1208" s="254"/>
      <c r="Q1208" s="254"/>
      <c r="R1208" s="254"/>
      <c r="S1208" s="254"/>
      <c r="T1208" s="254"/>
      <c r="U1208" s="254"/>
      <c r="V1208" s="254"/>
      <c r="W1208" s="254"/>
      <c r="Y1208" s="246" t="str">
        <f t="shared" si="109"/>
        <v/>
      </c>
      <c r="Z1208" s="247" t="str">
        <f t="shared" si="113"/>
        <v/>
      </c>
      <c r="AA1208" s="246" t="str">
        <f t="shared" si="110"/>
        <v/>
      </c>
    </row>
    <row r="1209" spans="1:27" x14ac:dyDescent="0.25">
      <c r="A1209" s="248" t="str">
        <f t="shared" si="111"/>
        <v/>
      </c>
      <c r="B1209" s="249" t="str">
        <f t="shared" si="112"/>
        <v/>
      </c>
      <c r="C1209" s="250"/>
      <c r="D1209" s="251"/>
      <c r="E1209" s="241"/>
      <c r="F1209" s="252"/>
      <c r="G1209" s="252"/>
      <c r="H1209" s="253"/>
      <c r="I1209" s="250"/>
      <c r="J1209" s="250"/>
      <c r="K1209" s="270"/>
      <c r="L1209" s="250"/>
      <c r="M1209" s="250"/>
      <c r="N1209" s="540" t="str">
        <f>CONCATENATE(IF(OR(M1209=phu!$I$1,M1209=phu!$I$2,M1209=phu!$I$3),"Cam Thành Nam",""),IF(OR(M1209=phu!$I$4,M1209=phu!$I$5,M1209=phu!$I$6,M1209=phu!$I$7,M1209=phu!$I$8,M1209=phu!$I$9,M1209=phu!$I$10,M1209=phu!$I$11,M1209=phu!$I$12,M1209=phu!$I$13,M1209=phu!$I$14),"Cam Nghĩa",""),IF(OR(M1209=phu!$I$15,M1209=phu!$I$16,M1209=phu!$I$17,M1209=phu!$I$18,M1209=phu!$I$19,M1209=phu!$I$20,M1209=phu!$I$21),"Cam Phúc Bắc",""),IF(OR(M1209=phu!$I$22,M1209=phu!$I$23,M1209=phu!$I$24,M1209=phu!$I$25),"Cam Phúc Nam",""),IF(OR(M1209=phu!$I$26,M1209=phu!$I$27,M1209=phu!$I$28,M1209=phu!$I$29,M1209=phu!$I$30,M1209=phu!$I$31),"Cam Phú",""),IF(OR(M1209=phu!$I$32,M1209=phu!$I$33,M1209=phu!$I$34,M1209=phu!$I$35,M1209=phu!$I$36,M1209=phu!$I$37),"Cam Lộc",""),IF(OR(M1209=phu!$I$38,M1209=phu!$I$39,M1209=phu!$I$40,M1209=phu!$I$41,M1209=phu!$I$42,M1209=phu!$I$43,M1209=phu!$I$44),"Cam Thuận",""),IF(OR(M1209=phu!$I$45,M1209=phu!$I$46,M1209=phu!$I$47,M1209=phu!$I$48,M1209=phu!$I$49,M1209=phu!$I$50,M1209=phu!$I$51,M1209=phu!$I$52,M1209=phu!$I$53),"Cam Linh",""),IF(OR(M1209=phu!$I$54,M1209=phu!$I$55,M1209=phu!$I$56,M1209=phu!$I$57,M1209=phu!$I$58,M1209=phu!$I$59,M1209=phu!$I$60,M1209=phu!$I$61,M1209=phu!$I$62),"Cam Lợi",""),IF(OR(M1209=phu!$I$63,M1209=phu!$I$64,M1209=phu!$I$65,M1209=phu!$I$66,M1209=phu!$I$67,M1209=phu!$I$68,M1209=phu!$I$69,M1209=phu!$I$70,M1209=phu!$I$71),"Ba Ngòi",""),IF(OR(M1209=phu!$I$72,M1209=phu!$I$73,M1209=phu!$I$74,M1209=phu!$I$75,M1209=phu!$I$76,M1209=phu!$I$77,M1209=phu!$I$78),"Cam Phước Đông",""),IF(OR(M1209=phu!$I$79,M1209=phu!$I$80,M1209=phu!$I$81,M1209=phu!$I$82,M1209=phu!$I$83,M1209=phu!$I$84),"Cam Thịnh Đông",""),IF(OR(M1209=phu!$I$85,M1209=phu!$I$86,M1209=phu!$I$87,M1209=phu!$I$88),"Cam Thịnh Tây",""),IF(OR(M1209=phu!$I$89,M1209=phu!$I$90),"Cam Lập",""),IF(OR(M1209=phu!$I$91,M1209=phu!$I$92,M1209=phu!$I$93),"Cam Bình",""),IF(OR(M1209=phu!$I$94,M1209=phu!$I$95,M1209=phu!$I$96,M1209=phu!$I$97,M1209=phu!$I$98,M1209=phu!$I$99,M1209=phu!$I$100),"Huyện khác",""),IF(OR(M1209=phu!$I$101,M1209=phu!$I$102),"Tỉnh khác",""))</f>
        <v/>
      </c>
      <c r="O1209" s="829" t="str">
        <f t="shared" si="108"/>
        <v/>
      </c>
      <c r="P1209" s="254"/>
      <c r="Q1209" s="254"/>
      <c r="R1209" s="254"/>
      <c r="S1209" s="254"/>
      <c r="T1209" s="254"/>
      <c r="U1209" s="254"/>
      <c r="V1209" s="254"/>
      <c r="W1209" s="254"/>
      <c r="Y1209" s="246" t="str">
        <f t="shared" si="109"/>
        <v/>
      </c>
      <c r="Z1209" s="247" t="str">
        <f t="shared" si="113"/>
        <v/>
      </c>
      <c r="AA1209" s="246" t="str">
        <f t="shared" si="110"/>
        <v/>
      </c>
    </row>
    <row r="1210" spans="1:27" x14ac:dyDescent="0.25">
      <c r="A1210" s="248" t="str">
        <f t="shared" si="111"/>
        <v/>
      </c>
      <c r="B1210" s="249" t="str">
        <f t="shared" si="112"/>
        <v/>
      </c>
      <c r="C1210" s="250"/>
      <c r="D1210" s="251"/>
      <c r="E1210" s="241"/>
      <c r="F1210" s="252"/>
      <c r="G1210" s="252"/>
      <c r="H1210" s="253"/>
      <c r="I1210" s="250"/>
      <c r="J1210" s="250"/>
      <c r="K1210" s="270"/>
      <c r="L1210" s="250"/>
      <c r="M1210" s="250"/>
      <c r="N1210" s="540" t="str">
        <f>CONCATENATE(IF(OR(M1210=phu!$I$1,M1210=phu!$I$2,M1210=phu!$I$3),"Cam Thành Nam",""),IF(OR(M1210=phu!$I$4,M1210=phu!$I$5,M1210=phu!$I$6,M1210=phu!$I$7,M1210=phu!$I$8,M1210=phu!$I$9,M1210=phu!$I$10,M1210=phu!$I$11,M1210=phu!$I$12,M1210=phu!$I$13,M1210=phu!$I$14),"Cam Nghĩa",""),IF(OR(M1210=phu!$I$15,M1210=phu!$I$16,M1210=phu!$I$17,M1210=phu!$I$18,M1210=phu!$I$19,M1210=phu!$I$20,M1210=phu!$I$21),"Cam Phúc Bắc",""),IF(OR(M1210=phu!$I$22,M1210=phu!$I$23,M1210=phu!$I$24,M1210=phu!$I$25),"Cam Phúc Nam",""),IF(OR(M1210=phu!$I$26,M1210=phu!$I$27,M1210=phu!$I$28,M1210=phu!$I$29,M1210=phu!$I$30,M1210=phu!$I$31),"Cam Phú",""),IF(OR(M1210=phu!$I$32,M1210=phu!$I$33,M1210=phu!$I$34,M1210=phu!$I$35,M1210=phu!$I$36,M1210=phu!$I$37),"Cam Lộc",""),IF(OR(M1210=phu!$I$38,M1210=phu!$I$39,M1210=phu!$I$40,M1210=phu!$I$41,M1210=phu!$I$42,M1210=phu!$I$43,M1210=phu!$I$44),"Cam Thuận",""),IF(OR(M1210=phu!$I$45,M1210=phu!$I$46,M1210=phu!$I$47,M1210=phu!$I$48,M1210=phu!$I$49,M1210=phu!$I$50,M1210=phu!$I$51,M1210=phu!$I$52,M1210=phu!$I$53),"Cam Linh",""),IF(OR(M1210=phu!$I$54,M1210=phu!$I$55,M1210=phu!$I$56,M1210=phu!$I$57,M1210=phu!$I$58,M1210=phu!$I$59,M1210=phu!$I$60,M1210=phu!$I$61,M1210=phu!$I$62),"Cam Lợi",""),IF(OR(M1210=phu!$I$63,M1210=phu!$I$64,M1210=phu!$I$65,M1210=phu!$I$66,M1210=phu!$I$67,M1210=phu!$I$68,M1210=phu!$I$69,M1210=phu!$I$70,M1210=phu!$I$71),"Ba Ngòi",""),IF(OR(M1210=phu!$I$72,M1210=phu!$I$73,M1210=phu!$I$74,M1210=phu!$I$75,M1210=phu!$I$76,M1210=phu!$I$77,M1210=phu!$I$78),"Cam Phước Đông",""),IF(OR(M1210=phu!$I$79,M1210=phu!$I$80,M1210=phu!$I$81,M1210=phu!$I$82,M1210=phu!$I$83,M1210=phu!$I$84),"Cam Thịnh Đông",""),IF(OR(M1210=phu!$I$85,M1210=phu!$I$86,M1210=phu!$I$87,M1210=phu!$I$88),"Cam Thịnh Tây",""),IF(OR(M1210=phu!$I$89,M1210=phu!$I$90),"Cam Lập",""),IF(OR(M1210=phu!$I$91,M1210=phu!$I$92,M1210=phu!$I$93),"Cam Bình",""),IF(OR(M1210=phu!$I$94,M1210=phu!$I$95,M1210=phu!$I$96,M1210=phu!$I$97,M1210=phu!$I$98,M1210=phu!$I$99,M1210=phu!$I$100),"Huyện khác",""),IF(OR(M1210=phu!$I$101,M1210=phu!$I$102),"Tỉnh khác",""))</f>
        <v/>
      </c>
      <c r="O1210" s="829" t="str">
        <f t="shared" si="108"/>
        <v/>
      </c>
      <c r="P1210" s="254"/>
      <c r="Q1210" s="254"/>
      <c r="R1210" s="254"/>
      <c r="S1210" s="254"/>
      <c r="T1210" s="254"/>
      <c r="U1210" s="254"/>
      <c r="V1210" s="254"/>
      <c r="W1210" s="254"/>
      <c r="Y1210" s="246" t="str">
        <f t="shared" si="109"/>
        <v/>
      </c>
      <c r="Z1210" s="247" t="str">
        <f t="shared" si="113"/>
        <v/>
      </c>
      <c r="AA1210" s="246" t="str">
        <f t="shared" si="110"/>
        <v/>
      </c>
    </row>
    <row r="1211" spans="1:27" x14ac:dyDescent="0.25">
      <c r="A1211" s="248" t="str">
        <f t="shared" si="111"/>
        <v/>
      </c>
      <c r="B1211" s="249" t="str">
        <f t="shared" si="112"/>
        <v/>
      </c>
      <c r="C1211" s="250"/>
      <c r="D1211" s="251"/>
      <c r="E1211" s="241"/>
      <c r="F1211" s="252"/>
      <c r="G1211" s="252"/>
      <c r="H1211" s="253"/>
      <c r="I1211" s="250"/>
      <c r="J1211" s="250"/>
      <c r="K1211" s="270"/>
      <c r="L1211" s="250"/>
      <c r="M1211" s="250"/>
      <c r="N1211" s="540" t="str">
        <f>CONCATENATE(IF(OR(M1211=phu!$I$1,M1211=phu!$I$2,M1211=phu!$I$3),"Cam Thành Nam",""),IF(OR(M1211=phu!$I$4,M1211=phu!$I$5,M1211=phu!$I$6,M1211=phu!$I$7,M1211=phu!$I$8,M1211=phu!$I$9,M1211=phu!$I$10,M1211=phu!$I$11,M1211=phu!$I$12,M1211=phu!$I$13,M1211=phu!$I$14),"Cam Nghĩa",""),IF(OR(M1211=phu!$I$15,M1211=phu!$I$16,M1211=phu!$I$17,M1211=phu!$I$18,M1211=phu!$I$19,M1211=phu!$I$20,M1211=phu!$I$21),"Cam Phúc Bắc",""),IF(OR(M1211=phu!$I$22,M1211=phu!$I$23,M1211=phu!$I$24,M1211=phu!$I$25),"Cam Phúc Nam",""),IF(OR(M1211=phu!$I$26,M1211=phu!$I$27,M1211=phu!$I$28,M1211=phu!$I$29,M1211=phu!$I$30,M1211=phu!$I$31),"Cam Phú",""),IF(OR(M1211=phu!$I$32,M1211=phu!$I$33,M1211=phu!$I$34,M1211=phu!$I$35,M1211=phu!$I$36,M1211=phu!$I$37),"Cam Lộc",""),IF(OR(M1211=phu!$I$38,M1211=phu!$I$39,M1211=phu!$I$40,M1211=phu!$I$41,M1211=phu!$I$42,M1211=phu!$I$43,M1211=phu!$I$44),"Cam Thuận",""),IF(OR(M1211=phu!$I$45,M1211=phu!$I$46,M1211=phu!$I$47,M1211=phu!$I$48,M1211=phu!$I$49,M1211=phu!$I$50,M1211=phu!$I$51,M1211=phu!$I$52,M1211=phu!$I$53),"Cam Linh",""),IF(OR(M1211=phu!$I$54,M1211=phu!$I$55,M1211=phu!$I$56,M1211=phu!$I$57,M1211=phu!$I$58,M1211=phu!$I$59,M1211=phu!$I$60,M1211=phu!$I$61,M1211=phu!$I$62),"Cam Lợi",""),IF(OR(M1211=phu!$I$63,M1211=phu!$I$64,M1211=phu!$I$65,M1211=phu!$I$66,M1211=phu!$I$67,M1211=phu!$I$68,M1211=phu!$I$69,M1211=phu!$I$70,M1211=phu!$I$71),"Ba Ngòi",""),IF(OR(M1211=phu!$I$72,M1211=phu!$I$73,M1211=phu!$I$74,M1211=phu!$I$75,M1211=phu!$I$76,M1211=phu!$I$77,M1211=phu!$I$78),"Cam Phước Đông",""),IF(OR(M1211=phu!$I$79,M1211=phu!$I$80,M1211=phu!$I$81,M1211=phu!$I$82,M1211=phu!$I$83,M1211=phu!$I$84),"Cam Thịnh Đông",""),IF(OR(M1211=phu!$I$85,M1211=phu!$I$86,M1211=phu!$I$87,M1211=phu!$I$88),"Cam Thịnh Tây",""),IF(OR(M1211=phu!$I$89,M1211=phu!$I$90),"Cam Lập",""),IF(OR(M1211=phu!$I$91,M1211=phu!$I$92,M1211=phu!$I$93),"Cam Bình",""),IF(OR(M1211=phu!$I$94,M1211=phu!$I$95,M1211=phu!$I$96,M1211=phu!$I$97,M1211=phu!$I$98,M1211=phu!$I$99,M1211=phu!$I$100),"Huyện khác",""),IF(OR(M1211=phu!$I$101,M1211=phu!$I$102),"Tỉnh khác",""))</f>
        <v/>
      </c>
      <c r="O1211" s="829" t="str">
        <f t="shared" si="108"/>
        <v/>
      </c>
      <c r="P1211" s="254"/>
      <c r="Q1211" s="254"/>
      <c r="R1211" s="254"/>
      <c r="S1211" s="254"/>
      <c r="T1211" s="254"/>
      <c r="U1211" s="254"/>
      <c r="V1211" s="254"/>
      <c r="W1211" s="254"/>
      <c r="Y1211" s="246" t="str">
        <f t="shared" si="109"/>
        <v/>
      </c>
      <c r="Z1211" s="247" t="str">
        <f t="shared" si="113"/>
        <v/>
      </c>
      <c r="AA1211" s="246" t="str">
        <f t="shared" si="110"/>
        <v/>
      </c>
    </row>
    <row r="1212" spans="1:27" x14ac:dyDescent="0.25">
      <c r="A1212" s="248" t="str">
        <f t="shared" si="111"/>
        <v/>
      </c>
      <c r="B1212" s="249" t="str">
        <f t="shared" si="112"/>
        <v/>
      </c>
      <c r="C1212" s="250"/>
      <c r="D1212" s="251"/>
      <c r="E1212" s="241"/>
      <c r="F1212" s="252"/>
      <c r="G1212" s="252"/>
      <c r="H1212" s="253"/>
      <c r="I1212" s="250"/>
      <c r="J1212" s="250"/>
      <c r="K1212" s="270"/>
      <c r="L1212" s="250"/>
      <c r="M1212" s="250"/>
      <c r="N1212" s="540" t="str">
        <f>CONCATENATE(IF(OR(M1212=phu!$I$1,M1212=phu!$I$2,M1212=phu!$I$3),"Cam Thành Nam",""),IF(OR(M1212=phu!$I$4,M1212=phu!$I$5,M1212=phu!$I$6,M1212=phu!$I$7,M1212=phu!$I$8,M1212=phu!$I$9,M1212=phu!$I$10,M1212=phu!$I$11,M1212=phu!$I$12,M1212=phu!$I$13,M1212=phu!$I$14),"Cam Nghĩa",""),IF(OR(M1212=phu!$I$15,M1212=phu!$I$16,M1212=phu!$I$17,M1212=phu!$I$18,M1212=phu!$I$19,M1212=phu!$I$20,M1212=phu!$I$21),"Cam Phúc Bắc",""),IF(OR(M1212=phu!$I$22,M1212=phu!$I$23,M1212=phu!$I$24,M1212=phu!$I$25),"Cam Phúc Nam",""),IF(OR(M1212=phu!$I$26,M1212=phu!$I$27,M1212=phu!$I$28,M1212=phu!$I$29,M1212=phu!$I$30,M1212=phu!$I$31),"Cam Phú",""),IF(OR(M1212=phu!$I$32,M1212=phu!$I$33,M1212=phu!$I$34,M1212=phu!$I$35,M1212=phu!$I$36,M1212=phu!$I$37),"Cam Lộc",""),IF(OR(M1212=phu!$I$38,M1212=phu!$I$39,M1212=phu!$I$40,M1212=phu!$I$41,M1212=phu!$I$42,M1212=phu!$I$43,M1212=phu!$I$44),"Cam Thuận",""),IF(OR(M1212=phu!$I$45,M1212=phu!$I$46,M1212=phu!$I$47,M1212=phu!$I$48,M1212=phu!$I$49,M1212=phu!$I$50,M1212=phu!$I$51,M1212=phu!$I$52,M1212=phu!$I$53),"Cam Linh",""),IF(OR(M1212=phu!$I$54,M1212=phu!$I$55,M1212=phu!$I$56,M1212=phu!$I$57,M1212=phu!$I$58,M1212=phu!$I$59,M1212=phu!$I$60,M1212=phu!$I$61,M1212=phu!$I$62),"Cam Lợi",""),IF(OR(M1212=phu!$I$63,M1212=phu!$I$64,M1212=phu!$I$65,M1212=phu!$I$66,M1212=phu!$I$67,M1212=phu!$I$68,M1212=phu!$I$69,M1212=phu!$I$70,M1212=phu!$I$71),"Ba Ngòi",""),IF(OR(M1212=phu!$I$72,M1212=phu!$I$73,M1212=phu!$I$74,M1212=phu!$I$75,M1212=phu!$I$76,M1212=phu!$I$77,M1212=phu!$I$78),"Cam Phước Đông",""),IF(OR(M1212=phu!$I$79,M1212=phu!$I$80,M1212=phu!$I$81,M1212=phu!$I$82,M1212=phu!$I$83,M1212=phu!$I$84),"Cam Thịnh Đông",""),IF(OR(M1212=phu!$I$85,M1212=phu!$I$86,M1212=phu!$I$87,M1212=phu!$I$88),"Cam Thịnh Tây",""),IF(OR(M1212=phu!$I$89,M1212=phu!$I$90),"Cam Lập",""),IF(OR(M1212=phu!$I$91,M1212=phu!$I$92,M1212=phu!$I$93),"Cam Bình",""),IF(OR(M1212=phu!$I$94,M1212=phu!$I$95,M1212=phu!$I$96,M1212=phu!$I$97,M1212=phu!$I$98,M1212=phu!$I$99,M1212=phu!$I$100),"Huyện khác",""),IF(OR(M1212=phu!$I$101,M1212=phu!$I$102),"Tỉnh khác",""))</f>
        <v/>
      </c>
      <c r="O1212" s="829" t="str">
        <f t="shared" si="108"/>
        <v/>
      </c>
      <c r="P1212" s="254"/>
      <c r="Q1212" s="254"/>
      <c r="R1212" s="254"/>
      <c r="S1212" s="254"/>
      <c r="T1212" s="254"/>
      <c r="U1212" s="254"/>
      <c r="V1212" s="254"/>
      <c r="W1212" s="254"/>
      <c r="Y1212" s="246" t="str">
        <f t="shared" si="109"/>
        <v/>
      </c>
      <c r="Z1212" s="247" t="str">
        <f t="shared" si="113"/>
        <v/>
      </c>
      <c r="AA1212" s="246" t="str">
        <f t="shared" si="110"/>
        <v/>
      </c>
    </row>
    <row r="1213" spans="1:27" x14ac:dyDescent="0.25">
      <c r="A1213" s="248" t="str">
        <f t="shared" si="111"/>
        <v/>
      </c>
      <c r="B1213" s="249" t="str">
        <f t="shared" si="112"/>
        <v/>
      </c>
      <c r="C1213" s="250"/>
      <c r="D1213" s="251"/>
      <c r="E1213" s="241"/>
      <c r="F1213" s="252"/>
      <c r="G1213" s="252"/>
      <c r="H1213" s="253"/>
      <c r="I1213" s="250"/>
      <c r="J1213" s="250"/>
      <c r="K1213" s="270"/>
      <c r="L1213" s="250"/>
      <c r="M1213" s="250"/>
      <c r="N1213" s="540" t="str">
        <f>CONCATENATE(IF(OR(M1213=phu!$I$1,M1213=phu!$I$2,M1213=phu!$I$3),"Cam Thành Nam",""),IF(OR(M1213=phu!$I$4,M1213=phu!$I$5,M1213=phu!$I$6,M1213=phu!$I$7,M1213=phu!$I$8,M1213=phu!$I$9,M1213=phu!$I$10,M1213=phu!$I$11,M1213=phu!$I$12,M1213=phu!$I$13,M1213=phu!$I$14),"Cam Nghĩa",""),IF(OR(M1213=phu!$I$15,M1213=phu!$I$16,M1213=phu!$I$17,M1213=phu!$I$18,M1213=phu!$I$19,M1213=phu!$I$20,M1213=phu!$I$21),"Cam Phúc Bắc",""),IF(OR(M1213=phu!$I$22,M1213=phu!$I$23,M1213=phu!$I$24,M1213=phu!$I$25),"Cam Phúc Nam",""),IF(OR(M1213=phu!$I$26,M1213=phu!$I$27,M1213=phu!$I$28,M1213=phu!$I$29,M1213=phu!$I$30,M1213=phu!$I$31),"Cam Phú",""),IF(OR(M1213=phu!$I$32,M1213=phu!$I$33,M1213=phu!$I$34,M1213=phu!$I$35,M1213=phu!$I$36,M1213=phu!$I$37),"Cam Lộc",""),IF(OR(M1213=phu!$I$38,M1213=phu!$I$39,M1213=phu!$I$40,M1213=phu!$I$41,M1213=phu!$I$42,M1213=phu!$I$43,M1213=phu!$I$44),"Cam Thuận",""),IF(OR(M1213=phu!$I$45,M1213=phu!$I$46,M1213=phu!$I$47,M1213=phu!$I$48,M1213=phu!$I$49,M1213=phu!$I$50,M1213=phu!$I$51,M1213=phu!$I$52,M1213=phu!$I$53),"Cam Linh",""),IF(OR(M1213=phu!$I$54,M1213=phu!$I$55,M1213=phu!$I$56,M1213=phu!$I$57,M1213=phu!$I$58,M1213=phu!$I$59,M1213=phu!$I$60,M1213=phu!$I$61,M1213=phu!$I$62),"Cam Lợi",""),IF(OR(M1213=phu!$I$63,M1213=phu!$I$64,M1213=phu!$I$65,M1213=phu!$I$66,M1213=phu!$I$67,M1213=phu!$I$68,M1213=phu!$I$69,M1213=phu!$I$70,M1213=phu!$I$71),"Ba Ngòi",""),IF(OR(M1213=phu!$I$72,M1213=phu!$I$73,M1213=phu!$I$74,M1213=phu!$I$75,M1213=phu!$I$76,M1213=phu!$I$77,M1213=phu!$I$78),"Cam Phước Đông",""),IF(OR(M1213=phu!$I$79,M1213=phu!$I$80,M1213=phu!$I$81,M1213=phu!$I$82,M1213=phu!$I$83,M1213=phu!$I$84),"Cam Thịnh Đông",""),IF(OR(M1213=phu!$I$85,M1213=phu!$I$86,M1213=phu!$I$87,M1213=phu!$I$88),"Cam Thịnh Tây",""),IF(OR(M1213=phu!$I$89,M1213=phu!$I$90),"Cam Lập",""),IF(OR(M1213=phu!$I$91,M1213=phu!$I$92,M1213=phu!$I$93),"Cam Bình",""),IF(OR(M1213=phu!$I$94,M1213=phu!$I$95,M1213=phu!$I$96,M1213=phu!$I$97,M1213=phu!$I$98,M1213=phu!$I$99,M1213=phu!$I$100),"Huyện khác",""),IF(OR(M1213=phu!$I$101,M1213=phu!$I$102),"Tỉnh khác",""))</f>
        <v/>
      </c>
      <c r="O1213" s="829" t="str">
        <f t="shared" si="108"/>
        <v/>
      </c>
      <c r="P1213" s="254"/>
      <c r="Q1213" s="254"/>
      <c r="R1213" s="254"/>
      <c r="S1213" s="254"/>
      <c r="T1213" s="254"/>
      <c r="U1213" s="254"/>
      <c r="V1213" s="254"/>
      <c r="W1213" s="254"/>
      <c r="Y1213" s="246" t="str">
        <f t="shared" si="109"/>
        <v/>
      </c>
      <c r="Z1213" s="247" t="str">
        <f t="shared" si="113"/>
        <v/>
      </c>
      <c r="AA1213" s="246" t="str">
        <f t="shared" si="110"/>
        <v/>
      </c>
    </row>
    <row r="1214" spans="1:27" x14ac:dyDescent="0.25">
      <c r="A1214" s="248" t="str">
        <f t="shared" si="111"/>
        <v/>
      </c>
      <c r="B1214" s="249" t="str">
        <f t="shared" si="112"/>
        <v/>
      </c>
      <c r="C1214" s="250"/>
      <c r="D1214" s="251"/>
      <c r="E1214" s="241"/>
      <c r="F1214" s="252"/>
      <c r="G1214" s="252"/>
      <c r="H1214" s="253"/>
      <c r="I1214" s="250"/>
      <c r="J1214" s="250"/>
      <c r="K1214" s="270"/>
      <c r="L1214" s="250"/>
      <c r="M1214" s="250"/>
      <c r="N1214" s="540" t="str">
        <f>CONCATENATE(IF(OR(M1214=phu!$I$1,M1214=phu!$I$2,M1214=phu!$I$3),"Cam Thành Nam",""),IF(OR(M1214=phu!$I$4,M1214=phu!$I$5,M1214=phu!$I$6,M1214=phu!$I$7,M1214=phu!$I$8,M1214=phu!$I$9,M1214=phu!$I$10,M1214=phu!$I$11,M1214=phu!$I$12,M1214=phu!$I$13,M1214=phu!$I$14),"Cam Nghĩa",""),IF(OR(M1214=phu!$I$15,M1214=phu!$I$16,M1214=phu!$I$17,M1214=phu!$I$18,M1214=phu!$I$19,M1214=phu!$I$20,M1214=phu!$I$21),"Cam Phúc Bắc",""),IF(OR(M1214=phu!$I$22,M1214=phu!$I$23,M1214=phu!$I$24,M1214=phu!$I$25),"Cam Phúc Nam",""),IF(OR(M1214=phu!$I$26,M1214=phu!$I$27,M1214=phu!$I$28,M1214=phu!$I$29,M1214=phu!$I$30,M1214=phu!$I$31),"Cam Phú",""),IF(OR(M1214=phu!$I$32,M1214=phu!$I$33,M1214=phu!$I$34,M1214=phu!$I$35,M1214=phu!$I$36,M1214=phu!$I$37),"Cam Lộc",""),IF(OR(M1214=phu!$I$38,M1214=phu!$I$39,M1214=phu!$I$40,M1214=phu!$I$41,M1214=phu!$I$42,M1214=phu!$I$43,M1214=phu!$I$44),"Cam Thuận",""),IF(OR(M1214=phu!$I$45,M1214=phu!$I$46,M1214=phu!$I$47,M1214=phu!$I$48,M1214=phu!$I$49,M1214=phu!$I$50,M1214=phu!$I$51,M1214=phu!$I$52,M1214=phu!$I$53),"Cam Linh",""),IF(OR(M1214=phu!$I$54,M1214=phu!$I$55,M1214=phu!$I$56,M1214=phu!$I$57,M1214=phu!$I$58,M1214=phu!$I$59,M1214=phu!$I$60,M1214=phu!$I$61,M1214=phu!$I$62),"Cam Lợi",""),IF(OR(M1214=phu!$I$63,M1214=phu!$I$64,M1214=phu!$I$65,M1214=phu!$I$66,M1214=phu!$I$67,M1214=phu!$I$68,M1214=phu!$I$69,M1214=phu!$I$70,M1214=phu!$I$71),"Ba Ngòi",""),IF(OR(M1214=phu!$I$72,M1214=phu!$I$73,M1214=phu!$I$74,M1214=phu!$I$75,M1214=phu!$I$76,M1214=phu!$I$77,M1214=phu!$I$78),"Cam Phước Đông",""),IF(OR(M1214=phu!$I$79,M1214=phu!$I$80,M1214=phu!$I$81,M1214=phu!$I$82,M1214=phu!$I$83,M1214=phu!$I$84),"Cam Thịnh Đông",""),IF(OR(M1214=phu!$I$85,M1214=phu!$I$86,M1214=phu!$I$87,M1214=phu!$I$88),"Cam Thịnh Tây",""),IF(OR(M1214=phu!$I$89,M1214=phu!$I$90),"Cam Lập",""),IF(OR(M1214=phu!$I$91,M1214=phu!$I$92,M1214=phu!$I$93),"Cam Bình",""),IF(OR(M1214=phu!$I$94,M1214=phu!$I$95,M1214=phu!$I$96,M1214=phu!$I$97,M1214=phu!$I$98,M1214=phu!$I$99,M1214=phu!$I$100),"Huyện khác",""),IF(OR(M1214=phu!$I$101,M1214=phu!$I$102),"Tỉnh khác",""))</f>
        <v/>
      </c>
      <c r="O1214" s="829" t="str">
        <f t="shared" si="108"/>
        <v/>
      </c>
      <c r="P1214" s="254"/>
      <c r="Q1214" s="254"/>
      <c r="R1214" s="254"/>
      <c r="S1214" s="254"/>
      <c r="T1214" s="254"/>
      <c r="U1214" s="254"/>
      <c r="V1214" s="254"/>
      <c r="W1214" s="254"/>
      <c r="Y1214" s="246" t="str">
        <f t="shared" si="109"/>
        <v/>
      </c>
      <c r="Z1214" s="247" t="str">
        <f t="shared" si="113"/>
        <v/>
      </c>
      <c r="AA1214" s="246" t="str">
        <f t="shared" si="110"/>
        <v/>
      </c>
    </row>
    <row r="1215" spans="1:27" x14ac:dyDescent="0.25">
      <c r="A1215" s="248" t="str">
        <f t="shared" si="111"/>
        <v/>
      </c>
      <c r="B1215" s="249" t="str">
        <f t="shared" si="112"/>
        <v/>
      </c>
      <c r="C1215" s="250"/>
      <c r="D1215" s="251"/>
      <c r="E1215" s="241"/>
      <c r="F1215" s="252"/>
      <c r="G1215" s="252"/>
      <c r="H1215" s="253"/>
      <c r="I1215" s="250"/>
      <c r="J1215" s="250"/>
      <c r="K1215" s="270"/>
      <c r="L1215" s="250"/>
      <c r="M1215" s="250"/>
      <c r="N1215" s="540" t="str">
        <f>CONCATENATE(IF(OR(M1215=phu!$I$1,M1215=phu!$I$2,M1215=phu!$I$3),"Cam Thành Nam",""),IF(OR(M1215=phu!$I$4,M1215=phu!$I$5,M1215=phu!$I$6,M1215=phu!$I$7,M1215=phu!$I$8,M1215=phu!$I$9,M1215=phu!$I$10,M1215=phu!$I$11,M1215=phu!$I$12,M1215=phu!$I$13,M1215=phu!$I$14),"Cam Nghĩa",""),IF(OR(M1215=phu!$I$15,M1215=phu!$I$16,M1215=phu!$I$17,M1215=phu!$I$18,M1215=phu!$I$19,M1215=phu!$I$20,M1215=phu!$I$21),"Cam Phúc Bắc",""),IF(OR(M1215=phu!$I$22,M1215=phu!$I$23,M1215=phu!$I$24,M1215=phu!$I$25),"Cam Phúc Nam",""),IF(OR(M1215=phu!$I$26,M1215=phu!$I$27,M1215=phu!$I$28,M1215=phu!$I$29,M1215=phu!$I$30,M1215=phu!$I$31),"Cam Phú",""),IF(OR(M1215=phu!$I$32,M1215=phu!$I$33,M1215=phu!$I$34,M1215=phu!$I$35,M1215=phu!$I$36,M1215=phu!$I$37),"Cam Lộc",""),IF(OR(M1215=phu!$I$38,M1215=phu!$I$39,M1215=phu!$I$40,M1215=phu!$I$41,M1215=phu!$I$42,M1215=phu!$I$43,M1215=phu!$I$44),"Cam Thuận",""),IF(OR(M1215=phu!$I$45,M1215=phu!$I$46,M1215=phu!$I$47,M1215=phu!$I$48,M1215=phu!$I$49,M1215=phu!$I$50,M1215=phu!$I$51,M1215=phu!$I$52,M1215=phu!$I$53),"Cam Linh",""),IF(OR(M1215=phu!$I$54,M1215=phu!$I$55,M1215=phu!$I$56,M1215=phu!$I$57,M1215=phu!$I$58,M1215=phu!$I$59,M1215=phu!$I$60,M1215=phu!$I$61,M1215=phu!$I$62),"Cam Lợi",""),IF(OR(M1215=phu!$I$63,M1215=phu!$I$64,M1215=phu!$I$65,M1215=phu!$I$66,M1215=phu!$I$67,M1215=phu!$I$68,M1215=phu!$I$69,M1215=phu!$I$70,M1215=phu!$I$71),"Ba Ngòi",""),IF(OR(M1215=phu!$I$72,M1215=phu!$I$73,M1215=phu!$I$74,M1215=phu!$I$75,M1215=phu!$I$76,M1215=phu!$I$77,M1215=phu!$I$78),"Cam Phước Đông",""),IF(OR(M1215=phu!$I$79,M1215=phu!$I$80,M1215=phu!$I$81,M1215=phu!$I$82,M1215=phu!$I$83,M1215=phu!$I$84),"Cam Thịnh Đông",""),IF(OR(M1215=phu!$I$85,M1215=phu!$I$86,M1215=phu!$I$87,M1215=phu!$I$88),"Cam Thịnh Tây",""),IF(OR(M1215=phu!$I$89,M1215=phu!$I$90),"Cam Lập",""),IF(OR(M1215=phu!$I$91,M1215=phu!$I$92,M1215=phu!$I$93),"Cam Bình",""),IF(OR(M1215=phu!$I$94,M1215=phu!$I$95,M1215=phu!$I$96,M1215=phu!$I$97,M1215=phu!$I$98,M1215=phu!$I$99,M1215=phu!$I$100),"Huyện khác",""),IF(OR(M1215=phu!$I$101,M1215=phu!$I$102),"Tỉnh khác",""))</f>
        <v/>
      </c>
      <c r="O1215" s="829" t="str">
        <f t="shared" si="108"/>
        <v/>
      </c>
      <c r="P1215" s="254"/>
      <c r="Q1215" s="254"/>
      <c r="R1215" s="254"/>
      <c r="S1215" s="254"/>
      <c r="T1215" s="254"/>
      <c r="U1215" s="254"/>
      <c r="V1215" s="254"/>
      <c r="W1215" s="254"/>
      <c r="Y1215" s="246" t="str">
        <f t="shared" si="109"/>
        <v/>
      </c>
      <c r="Z1215" s="247" t="str">
        <f t="shared" si="113"/>
        <v/>
      </c>
      <c r="AA1215" s="246" t="str">
        <f t="shared" si="110"/>
        <v/>
      </c>
    </row>
    <row r="1216" spans="1:27" x14ac:dyDescent="0.25">
      <c r="A1216" s="248" t="str">
        <f t="shared" si="111"/>
        <v/>
      </c>
      <c r="B1216" s="249" t="str">
        <f t="shared" si="112"/>
        <v/>
      </c>
      <c r="C1216" s="250"/>
      <c r="D1216" s="251"/>
      <c r="E1216" s="241"/>
      <c r="F1216" s="252"/>
      <c r="G1216" s="252"/>
      <c r="H1216" s="253"/>
      <c r="I1216" s="250"/>
      <c r="J1216" s="250"/>
      <c r="K1216" s="270"/>
      <c r="L1216" s="250"/>
      <c r="M1216" s="250"/>
      <c r="N1216" s="540" t="str">
        <f>CONCATENATE(IF(OR(M1216=phu!$I$1,M1216=phu!$I$2,M1216=phu!$I$3),"Cam Thành Nam",""),IF(OR(M1216=phu!$I$4,M1216=phu!$I$5,M1216=phu!$I$6,M1216=phu!$I$7,M1216=phu!$I$8,M1216=phu!$I$9,M1216=phu!$I$10,M1216=phu!$I$11,M1216=phu!$I$12,M1216=phu!$I$13,M1216=phu!$I$14),"Cam Nghĩa",""),IF(OR(M1216=phu!$I$15,M1216=phu!$I$16,M1216=phu!$I$17,M1216=phu!$I$18,M1216=phu!$I$19,M1216=phu!$I$20,M1216=phu!$I$21),"Cam Phúc Bắc",""),IF(OR(M1216=phu!$I$22,M1216=phu!$I$23,M1216=phu!$I$24,M1216=phu!$I$25),"Cam Phúc Nam",""),IF(OR(M1216=phu!$I$26,M1216=phu!$I$27,M1216=phu!$I$28,M1216=phu!$I$29,M1216=phu!$I$30,M1216=phu!$I$31),"Cam Phú",""),IF(OR(M1216=phu!$I$32,M1216=phu!$I$33,M1216=phu!$I$34,M1216=phu!$I$35,M1216=phu!$I$36,M1216=phu!$I$37),"Cam Lộc",""),IF(OR(M1216=phu!$I$38,M1216=phu!$I$39,M1216=phu!$I$40,M1216=phu!$I$41,M1216=phu!$I$42,M1216=phu!$I$43,M1216=phu!$I$44),"Cam Thuận",""),IF(OR(M1216=phu!$I$45,M1216=phu!$I$46,M1216=phu!$I$47,M1216=phu!$I$48,M1216=phu!$I$49,M1216=phu!$I$50,M1216=phu!$I$51,M1216=phu!$I$52,M1216=phu!$I$53),"Cam Linh",""),IF(OR(M1216=phu!$I$54,M1216=phu!$I$55,M1216=phu!$I$56,M1216=phu!$I$57,M1216=phu!$I$58,M1216=phu!$I$59,M1216=phu!$I$60,M1216=phu!$I$61,M1216=phu!$I$62),"Cam Lợi",""),IF(OR(M1216=phu!$I$63,M1216=phu!$I$64,M1216=phu!$I$65,M1216=phu!$I$66,M1216=phu!$I$67,M1216=phu!$I$68,M1216=phu!$I$69,M1216=phu!$I$70,M1216=phu!$I$71),"Ba Ngòi",""),IF(OR(M1216=phu!$I$72,M1216=phu!$I$73,M1216=phu!$I$74,M1216=phu!$I$75,M1216=phu!$I$76,M1216=phu!$I$77,M1216=phu!$I$78),"Cam Phước Đông",""),IF(OR(M1216=phu!$I$79,M1216=phu!$I$80,M1216=phu!$I$81,M1216=phu!$I$82,M1216=phu!$I$83,M1216=phu!$I$84),"Cam Thịnh Đông",""),IF(OR(M1216=phu!$I$85,M1216=phu!$I$86,M1216=phu!$I$87,M1216=phu!$I$88),"Cam Thịnh Tây",""),IF(OR(M1216=phu!$I$89,M1216=phu!$I$90),"Cam Lập",""),IF(OR(M1216=phu!$I$91,M1216=phu!$I$92,M1216=phu!$I$93),"Cam Bình",""),IF(OR(M1216=phu!$I$94,M1216=phu!$I$95,M1216=phu!$I$96,M1216=phu!$I$97,M1216=phu!$I$98,M1216=phu!$I$99,M1216=phu!$I$100),"Huyện khác",""),IF(OR(M1216=phu!$I$101,M1216=phu!$I$102),"Tỉnh khác",""))</f>
        <v/>
      </c>
      <c r="O1216" s="829" t="str">
        <f t="shared" si="108"/>
        <v/>
      </c>
      <c r="P1216" s="254"/>
      <c r="Q1216" s="254"/>
      <c r="R1216" s="254"/>
      <c r="S1216" s="254"/>
      <c r="T1216" s="254"/>
      <c r="U1216" s="254"/>
      <c r="V1216" s="254"/>
      <c r="W1216" s="254"/>
      <c r="Y1216" s="246" t="str">
        <f t="shared" si="109"/>
        <v/>
      </c>
      <c r="Z1216" s="247" t="str">
        <f t="shared" si="113"/>
        <v/>
      </c>
      <c r="AA1216" s="246" t="str">
        <f t="shared" si="110"/>
        <v/>
      </c>
    </row>
    <row r="1217" spans="1:27" x14ac:dyDescent="0.25">
      <c r="A1217" s="248" t="str">
        <f t="shared" si="111"/>
        <v/>
      </c>
      <c r="B1217" s="249" t="str">
        <f t="shared" si="112"/>
        <v/>
      </c>
      <c r="C1217" s="250"/>
      <c r="D1217" s="251"/>
      <c r="E1217" s="241"/>
      <c r="F1217" s="252"/>
      <c r="G1217" s="252"/>
      <c r="H1217" s="253"/>
      <c r="I1217" s="250"/>
      <c r="J1217" s="250"/>
      <c r="K1217" s="270"/>
      <c r="L1217" s="250"/>
      <c r="M1217" s="250"/>
      <c r="N1217" s="540" t="str">
        <f>CONCATENATE(IF(OR(M1217=phu!$I$1,M1217=phu!$I$2,M1217=phu!$I$3),"Cam Thành Nam",""),IF(OR(M1217=phu!$I$4,M1217=phu!$I$5,M1217=phu!$I$6,M1217=phu!$I$7,M1217=phu!$I$8,M1217=phu!$I$9,M1217=phu!$I$10,M1217=phu!$I$11,M1217=phu!$I$12,M1217=phu!$I$13,M1217=phu!$I$14),"Cam Nghĩa",""),IF(OR(M1217=phu!$I$15,M1217=phu!$I$16,M1217=phu!$I$17,M1217=phu!$I$18,M1217=phu!$I$19,M1217=phu!$I$20,M1217=phu!$I$21),"Cam Phúc Bắc",""),IF(OR(M1217=phu!$I$22,M1217=phu!$I$23,M1217=phu!$I$24,M1217=phu!$I$25),"Cam Phúc Nam",""),IF(OR(M1217=phu!$I$26,M1217=phu!$I$27,M1217=phu!$I$28,M1217=phu!$I$29,M1217=phu!$I$30,M1217=phu!$I$31),"Cam Phú",""),IF(OR(M1217=phu!$I$32,M1217=phu!$I$33,M1217=phu!$I$34,M1217=phu!$I$35,M1217=phu!$I$36,M1217=phu!$I$37),"Cam Lộc",""),IF(OR(M1217=phu!$I$38,M1217=phu!$I$39,M1217=phu!$I$40,M1217=phu!$I$41,M1217=phu!$I$42,M1217=phu!$I$43,M1217=phu!$I$44),"Cam Thuận",""),IF(OR(M1217=phu!$I$45,M1217=phu!$I$46,M1217=phu!$I$47,M1217=phu!$I$48,M1217=phu!$I$49,M1217=phu!$I$50,M1217=phu!$I$51,M1217=phu!$I$52,M1217=phu!$I$53),"Cam Linh",""),IF(OR(M1217=phu!$I$54,M1217=phu!$I$55,M1217=phu!$I$56,M1217=phu!$I$57,M1217=phu!$I$58,M1217=phu!$I$59,M1217=phu!$I$60,M1217=phu!$I$61,M1217=phu!$I$62),"Cam Lợi",""),IF(OR(M1217=phu!$I$63,M1217=phu!$I$64,M1217=phu!$I$65,M1217=phu!$I$66,M1217=phu!$I$67,M1217=phu!$I$68,M1217=phu!$I$69,M1217=phu!$I$70,M1217=phu!$I$71),"Ba Ngòi",""),IF(OR(M1217=phu!$I$72,M1217=phu!$I$73,M1217=phu!$I$74,M1217=phu!$I$75,M1217=phu!$I$76,M1217=phu!$I$77,M1217=phu!$I$78),"Cam Phước Đông",""),IF(OR(M1217=phu!$I$79,M1217=phu!$I$80,M1217=phu!$I$81,M1217=phu!$I$82,M1217=phu!$I$83,M1217=phu!$I$84),"Cam Thịnh Đông",""),IF(OR(M1217=phu!$I$85,M1217=phu!$I$86,M1217=phu!$I$87,M1217=phu!$I$88),"Cam Thịnh Tây",""),IF(OR(M1217=phu!$I$89,M1217=phu!$I$90),"Cam Lập",""),IF(OR(M1217=phu!$I$91,M1217=phu!$I$92,M1217=phu!$I$93),"Cam Bình",""),IF(OR(M1217=phu!$I$94,M1217=phu!$I$95,M1217=phu!$I$96,M1217=phu!$I$97,M1217=phu!$I$98,M1217=phu!$I$99,M1217=phu!$I$100),"Huyện khác",""),IF(OR(M1217=phu!$I$101,M1217=phu!$I$102),"Tỉnh khác",""))</f>
        <v/>
      </c>
      <c r="O1217" s="829" t="str">
        <f t="shared" si="108"/>
        <v/>
      </c>
      <c r="P1217" s="254"/>
      <c r="Q1217" s="254"/>
      <c r="R1217" s="254"/>
      <c r="S1217" s="254"/>
      <c r="T1217" s="254"/>
      <c r="U1217" s="254"/>
      <c r="V1217" s="254"/>
      <c r="W1217" s="254"/>
      <c r="Y1217" s="246" t="str">
        <f t="shared" si="109"/>
        <v/>
      </c>
      <c r="Z1217" s="247" t="str">
        <f t="shared" si="113"/>
        <v/>
      </c>
      <c r="AA1217" s="246" t="str">
        <f t="shared" si="110"/>
        <v/>
      </c>
    </row>
    <row r="1218" spans="1:27" x14ac:dyDescent="0.25">
      <c r="A1218" s="248" t="str">
        <f t="shared" si="111"/>
        <v/>
      </c>
      <c r="B1218" s="249" t="str">
        <f t="shared" si="112"/>
        <v/>
      </c>
      <c r="C1218" s="250"/>
      <c r="D1218" s="251"/>
      <c r="E1218" s="241"/>
      <c r="F1218" s="252"/>
      <c r="G1218" s="252"/>
      <c r="H1218" s="253"/>
      <c r="I1218" s="250"/>
      <c r="J1218" s="250"/>
      <c r="K1218" s="270"/>
      <c r="L1218" s="250"/>
      <c r="M1218" s="250"/>
      <c r="N1218" s="540" t="str">
        <f>CONCATENATE(IF(OR(M1218=phu!$I$1,M1218=phu!$I$2,M1218=phu!$I$3),"Cam Thành Nam",""),IF(OR(M1218=phu!$I$4,M1218=phu!$I$5,M1218=phu!$I$6,M1218=phu!$I$7,M1218=phu!$I$8,M1218=phu!$I$9,M1218=phu!$I$10,M1218=phu!$I$11,M1218=phu!$I$12,M1218=phu!$I$13,M1218=phu!$I$14),"Cam Nghĩa",""),IF(OR(M1218=phu!$I$15,M1218=phu!$I$16,M1218=phu!$I$17,M1218=phu!$I$18,M1218=phu!$I$19,M1218=phu!$I$20,M1218=phu!$I$21),"Cam Phúc Bắc",""),IF(OR(M1218=phu!$I$22,M1218=phu!$I$23,M1218=phu!$I$24,M1218=phu!$I$25),"Cam Phúc Nam",""),IF(OR(M1218=phu!$I$26,M1218=phu!$I$27,M1218=phu!$I$28,M1218=phu!$I$29,M1218=phu!$I$30,M1218=phu!$I$31),"Cam Phú",""),IF(OR(M1218=phu!$I$32,M1218=phu!$I$33,M1218=phu!$I$34,M1218=phu!$I$35,M1218=phu!$I$36,M1218=phu!$I$37),"Cam Lộc",""),IF(OR(M1218=phu!$I$38,M1218=phu!$I$39,M1218=phu!$I$40,M1218=phu!$I$41,M1218=phu!$I$42,M1218=phu!$I$43,M1218=phu!$I$44),"Cam Thuận",""),IF(OR(M1218=phu!$I$45,M1218=phu!$I$46,M1218=phu!$I$47,M1218=phu!$I$48,M1218=phu!$I$49,M1218=phu!$I$50,M1218=phu!$I$51,M1218=phu!$I$52,M1218=phu!$I$53),"Cam Linh",""),IF(OR(M1218=phu!$I$54,M1218=phu!$I$55,M1218=phu!$I$56,M1218=phu!$I$57,M1218=phu!$I$58,M1218=phu!$I$59,M1218=phu!$I$60,M1218=phu!$I$61,M1218=phu!$I$62),"Cam Lợi",""),IF(OR(M1218=phu!$I$63,M1218=phu!$I$64,M1218=phu!$I$65,M1218=phu!$I$66,M1218=phu!$I$67,M1218=phu!$I$68,M1218=phu!$I$69,M1218=phu!$I$70,M1218=phu!$I$71),"Ba Ngòi",""),IF(OR(M1218=phu!$I$72,M1218=phu!$I$73,M1218=phu!$I$74,M1218=phu!$I$75,M1218=phu!$I$76,M1218=phu!$I$77,M1218=phu!$I$78),"Cam Phước Đông",""),IF(OR(M1218=phu!$I$79,M1218=phu!$I$80,M1218=phu!$I$81,M1218=phu!$I$82,M1218=phu!$I$83,M1218=phu!$I$84),"Cam Thịnh Đông",""),IF(OR(M1218=phu!$I$85,M1218=phu!$I$86,M1218=phu!$I$87,M1218=phu!$I$88),"Cam Thịnh Tây",""),IF(OR(M1218=phu!$I$89,M1218=phu!$I$90),"Cam Lập",""),IF(OR(M1218=phu!$I$91,M1218=phu!$I$92,M1218=phu!$I$93),"Cam Bình",""),IF(OR(M1218=phu!$I$94,M1218=phu!$I$95,M1218=phu!$I$96,M1218=phu!$I$97,M1218=phu!$I$98,M1218=phu!$I$99,M1218=phu!$I$100),"Huyện khác",""),IF(OR(M1218=phu!$I$101,M1218=phu!$I$102),"Tỉnh khác",""))</f>
        <v/>
      </c>
      <c r="O1218" s="829" t="str">
        <f t="shared" si="108"/>
        <v/>
      </c>
      <c r="P1218" s="254"/>
      <c r="Q1218" s="254"/>
      <c r="R1218" s="254"/>
      <c r="S1218" s="254"/>
      <c r="T1218" s="254"/>
      <c r="U1218" s="254"/>
      <c r="V1218" s="254"/>
      <c r="W1218" s="254"/>
      <c r="Y1218" s="246" t="str">
        <f t="shared" si="109"/>
        <v/>
      </c>
      <c r="Z1218" s="247" t="str">
        <f t="shared" si="113"/>
        <v/>
      </c>
      <c r="AA1218" s="246" t="str">
        <f t="shared" si="110"/>
        <v/>
      </c>
    </row>
    <row r="1219" spans="1:27" x14ac:dyDescent="0.25">
      <c r="A1219" s="248" t="str">
        <f t="shared" si="111"/>
        <v/>
      </c>
      <c r="B1219" s="249" t="str">
        <f t="shared" si="112"/>
        <v/>
      </c>
      <c r="C1219" s="250"/>
      <c r="D1219" s="251"/>
      <c r="E1219" s="241"/>
      <c r="F1219" s="252"/>
      <c r="G1219" s="252"/>
      <c r="H1219" s="253"/>
      <c r="I1219" s="250"/>
      <c r="J1219" s="250"/>
      <c r="K1219" s="270"/>
      <c r="L1219" s="250"/>
      <c r="M1219" s="250"/>
      <c r="N1219" s="540" t="str">
        <f>CONCATENATE(IF(OR(M1219=phu!$I$1,M1219=phu!$I$2,M1219=phu!$I$3),"Cam Thành Nam",""),IF(OR(M1219=phu!$I$4,M1219=phu!$I$5,M1219=phu!$I$6,M1219=phu!$I$7,M1219=phu!$I$8,M1219=phu!$I$9,M1219=phu!$I$10,M1219=phu!$I$11,M1219=phu!$I$12,M1219=phu!$I$13,M1219=phu!$I$14),"Cam Nghĩa",""),IF(OR(M1219=phu!$I$15,M1219=phu!$I$16,M1219=phu!$I$17,M1219=phu!$I$18,M1219=phu!$I$19,M1219=phu!$I$20,M1219=phu!$I$21),"Cam Phúc Bắc",""),IF(OR(M1219=phu!$I$22,M1219=phu!$I$23,M1219=phu!$I$24,M1219=phu!$I$25),"Cam Phúc Nam",""),IF(OR(M1219=phu!$I$26,M1219=phu!$I$27,M1219=phu!$I$28,M1219=phu!$I$29,M1219=phu!$I$30,M1219=phu!$I$31),"Cam Phú",""),IF(OR(M1219=phu!$I$32,M1219=phu!$I$33,M1219=phu!$I$34,M1219=phu!$I$35,M1219=phu!$I$36,M1219=phu!$I$37),"Cam Lộc",""),IF(OR(M1219=phu!$I$38,M1219=phu!$I$39,M1219=phu!$I$40,M1219=phu!$I$41,M1219=phu!$I$42,M1219=phu!$I$43,M1219=phu!$I$44),"Cam Thuận",""),IF(OR(M1219=phu!$I$45,M1219=phu!$I$46,M1219=phu!$I$47,M1219=phu!$I$48,M1219=phu!$I$49,M1219=phu!$I$50,M1219=phu!$I$51,M1219=phu!$I$52,M1219=phu!$I$53),"Cam Linh",""),IF(OR(M1219=phu!$I$54,M1219=phu!$I$55,M1219=phu!$I$56,M1219=phu!$I$57,M1219=phu!$I$58,M1219=phu!$I$59,M1219=phu!$I$60,M1219=phu!$I$61,M1219=phu!$I$62),"Cam Lợi",""),IF(OR(M1219=phu!$I$63,M1219=phu!$I$64,M1219=phu!$I$65,M1219=phu!$I$66,M1219=phu!$I$67,M1219=phu!$I$68,M1219=phu!$I$69,M1219=phu!$I$70,M1219=phu!$I$71),"Ba Ngòi",""),IF(OR(M1219=phu!$I$72,M1219=phu!$I$73,M1219=phu!$I$74,M1219=phu!$I$75,M1219=phu!$I$76,M1219=phu!$I$77,M1219=phu!$I$78),"Cam Phước Đông",""),IF(OR(M1219=phu!$I$79,M1219=phu!$I$80,M1219=phu!$I$81,M1219=phu!$I$82,M1219=phu!$I$83,M1219=phu!$I$84),"Cam Thịnh Đông",""),IF(OR(M1219=phu!$I$85,M1219=phu!$I$86,M1219=phu!$I$87,M1219=phu!$I$88),"Cam Thịnh Tây",""),IF(OR(M1219=phu!$I$89,M1219=phu!$I$90),"Cam Lập",""),IF(OR(M1219=phu!$I$91,M1219=phu!$I$92,M1219=phu!$I$93),"Cam Bình",""),IF(OR(M1219=phu!$I$94,M1219=phu!$I$95,M1219=phu!$I$96,M1219=phu!$I$97,M1219=phu!$I$98,M1219=phu!$I$99,M1219=phu!$I$100),"Huyện khác",""),IF(OR(M1219=phu!$I$101,M1219=phu!$I$102),"Tỉnh khác",""))</f>
        <v/>
      </c>
      <c r="O1219" s="829" t="str">
        <f t="shared" si="108"/>
        <v/>
      </c>
      <c r="P1219" s="254"/>
      <c r="Q1219" s="254"/>
      <c r="R1219" s="254"/>
      <c r="S1219" s="254"/>
      <c r="T1219" s="254"/>
      <c r="U1219" s="254"/>
      <c r="V1219" s="254"/>
      <c r="W1219" s="254"/>
      <c r="Y1219" s="246" t="str">
        <f t="shared" si="109"/>
        <v/>
      </c>
      <c r="Z1219" s="247" t="str">
        <f t="shared" si="113"/>
        <v/>
      </c>
      <c r="AA1219" s="246" t="str">
        <f t="shared" si="110"/>
        <v/>
      </c>
    </row>
    <row r="1220" spans="1:27" x14ac:dyDescent="0.25">
      <c r="A1220" s="248" t="str">
        <f t="shared" si="111"/>
        <v/>
      </c>
      <c r="B1220" s="249" t="str">
        <f t="shared" si="112"/>
        <v/>
      </c>
      <c r="C1220" s="250"/>
      <c r="D1220" s="251"/>
      <c r="E1220" s="241"/>
      <c r="F1220" s="252"/>
      <c r="G1220" s="252"/>
      <c r="H1220" s="253"/>
      <c r="I1220" s="250"/>
      <c r="J1220" s="250"/>
      <c r="K1220" s="270"/>
      <c r="L1220" s="250"/>
      <c r="M1220" s="250"/>
      <c r="N1220" s="540" t="str">
        <f>CONCATENATE(IF(OR(M1220=phu!$I$1,M1220=phu!$I$2,M1220=phu!$I$3),"Cam Thành Nam",""),IF(OR(M1220=phu!$I$4,M1220=phu!$I$5,M1220=phu!$I$6,M1220=phu!$I$7,M1220=phu!$I$8,M1220=phu!$I$9,M1220=phu!$I$10,M1220=phu!$I$11,M1220=phu!$I$12,M1220=phu!$I$13,M1220=phu!$I$14),"Cam Nghĩa",""),IF(OR(M1220=phu!$I$15,M1220=phu!$I$16,M1220=phu!$I$17,M1220=phu!$I$18,M1220=phu!$I$19,M1220=phu!$I$20,M1220=phu!$I$21),"Cam Phúc Bắc",""),IF(OR(M1220=phu!$I$22,M1220=phu!$I$23,M1220=phu!$I$24,M1220=phu!$I$25),"Cam Phúc Nam",""),IF(OR(M1220=phu!$I$26,M1220=phu!$I$27,M1220=phu!$I$28,M1220=phu!$I$29,M1220=phu!$I$30,M1220=phu!$I$31),"Cam Phú",""),IF(OR(M1220=phu!$I$32,M1220=phu!$I$33,M1220=phu!$I$34,M1220=phu!$I$35,M1220=phu!$I$36,M1220=phu!$I$37),"Cam Lộc",""),IF(OR(M1220=phu!$I$38,M1220=phu!$I$39,M1220=phu!$I$40,M1220=phu!$I$41,M1220=phu!$I$42,M1220=phu!$I$43,M1220=phu!$I$44),"Cam Thuận",""),IF(OR(M1220=phu!$I$45,M1220=phu!$I$46,M1220=phu!$I$47,M1220=phu!$I$48,M1220=phu!$I$49,M1220=phu!$I$50,M1220=phu!$I$51,M1220=phu!$I$52,M1220=phu!$I$53),"Cam Linh",""),IF(OR(M1220=phu!$I$54,M1220=phu!$I$55,M1220=phu!$I$56,M1220=phu!$I$57,M1220=phu!$I$58,M1220=phu!$I$59,M1220=phu!$I$60,M1220=phu!$I$61,M1220=phu!$I$62),"Cam Lợi",""),IF(OR(M1220=phu!$I$63,M1220=phu!$I$64,M1220=phu!$I$65,M1220=phu!$I$66,M1220=phu!$I$67,M1220=phu!$I$68,M1220=phu!$I$69,M1220=phu!$I$70,M1220=phu!$I$71),"Ba Ngòi",""),IF(OR(M1220=phu!$I$72,M1220=phu!$I$73,M1220=phu!$I$74,M1220=phu!$I$75,M1220=phu!$I$76,M1220=phu!$I$77,M1220=phu!$I$78),"Cam Phước Đông",""),IF(OR(M1220=phu!$I$79,M1220=phu!$I$80,M1220=phu!$I$81,M1220=phu!$I$82,M1220=phu!$I$83,M1220=phu!$I$84),"Cam Thịnh Đông",""),IF(OR(M1220=phu!$I$85,M1220=phu!$I$86,M1220=phu!$I$87,M1220=phu!$I$88),"Cam Thịnh Tây",""),IF(OR(M1220=phu!$I$89,M1220=phu!$I$90),"Cam Lập",""),IF(OR(M1220=phu!$I$91,M1220=phu!$I$92,M1220=phu!$I$93),"Cam Bình",""),IF(OR(M1220=phu!$I$94,M1220=phu!$I$95,M1220=phu!$I$96,M1220=phu!$I$97,M1220=phu!$I$98,M1220=phu!$I$99,M1220=phu!$I$100),"Huyện khác",""),IF(OR(M1220=phu!$I$101,M1220=phu!$I$102),"Tỉnh khác",""))</f>
        <v/>
      </c>
      <c r="O1220" s="829" t="str">
        <f t="shared" si="108"/>
        <v/>
      </c>
      <c r="P1220" s="254"/>
      <c r="Q1220" s="254"/>
      <c r="R1220" s="254"/>
      <c r="S1220" s="254"/>
      <c r="T1220" s="254"/>
      <c r="U1220" s="254"/>
      <c r="V1220" s="254"/>
      <c r="W1220" s="254"/>
      <c r="Y1220" s="246" t="str">
        <f t="shared" si="109"/>
        <v/>
      </c>
      <c r="Z1220" s="247" t="str">
        <f t="shared" si="113"/>
        <v/>
      </c>
      <c r="AA1220" s="246" t="str">
        <f t="shared" si="110"/>
        <v/>
      </c>
    </row>
    <row r="1221" spans="1:27" x14ac:dyDescent="0.25">
      <c r="A1221" s="248" t="str">
        <f t="shared" si="111"/>
        <v/>
      </c>
      <c r="B1221" s="249" t="str">
        <f t="shared" si="112"/>
        <v/>
      </c>
      <c r="C1221" s="250"/>
      <c r="D1221" s="251"/>
      <c r="E1221" s="241"/>
      <c r="F1221" s="252"/>
      <c r="G1221" s="252"/>
      <c r="H1221" s="253"/>
      <c r="I1221" s="250"/>
      <c r="J1221" s="250"/>
      <c r="K1221" s="270"/>
      <c r="L1221" s="250"/>
      <c r="M1221" s="250"/>
      <c r="N1221" s="540" t="str">
        <f>CONCATENATE(IF(OR(M1221=phu!$I$1,M1221=phu!$I$2,M1221=phu!$I$3),"Cam Thành Nam",""),IF(OR(M1221=phu!$I$4,M1221=phu!$I$5,M1221=phu!$I$6,M1221=phu!$I$7,M1221=phu!$I$8,M1221=phu!$I$9,M1221=phu!$I$10,M1221=phu!$I$11,M1221=phu!$I$12,M1221=phu!$I$13,M1221=phu!$I$14),"Cam Nghĩa",""),IF(OR(M1221=phu!$I$15,M1221=phu!$I$16,M1221=phu!$I$17,M1221=phu!$I$18,M1221=phu!$I$19,M1221=phu!$I$20,M1221=phu!$I$21),"Cam Phúc Bắc",""),IF(OR(M1221=phu!$I$22,M1221=phu!$I$23,M1221=phu!$I$24,M1221=phu!$I$25),"Cam Phúc Nam",""),IF(OR(M1221=phu!$I$26,M1221=phu!$I$27,M1221=phu!$I$28,M1221=phu!$I$29,M1221=phu!$I$30,M1221=phu!$I$31),"Cam Phú",""),IF(OR(M1221=phu!$I$32,M1221=phu!$I$33,M1221=phu!$I$34,M1221=phu!$I$35,M1221=phu!$I$36,M1221=phu!$I$37),"Cam Lộc",""),IF(OR(M1221=phu!$I$38,M1221=phu!$I$39,M1221=phu!$I$40,M1221=phu!$I$41,M1221=phu!$I$42,M1221=phu!$I$43,M1221=phu!$I$44),"Cam Thuận",""),IF(OR(M1221=phu!$I$45,M1221=phu!$I$46,M1221=phu!$I$47,M1221=phu!$I$48,M1221=phu!$I$49,M1221=phu!$I$50,M1221=phu!$I$51,M1221=phu!$I$52,M1221=phu!$I$53),"Cam Linh",""),IF(OR(M1221=phu!$I$54,M1221=phu!$I$55,M1221=phu!$I$56,M1221=phu!$I$57,M1221=phu!$I$58,M1221=phu!$I$59,M1221=phu!$I$60,M1221=phu!$I$61,M1221=phu!$I$62),"Cam Lợi",""),IF(OR(M1221=phu!$I$63,M1221=phu!$I$64,M1221=phu!$I$65,M1221=phu!$I$66,M1221=phu!$I$67,M1221=phu!$I$68,M1221=phu!$I$69,M1221=phu!$I$70,M1221=phu!$I$71),"Ba Ngòi",""),IF(OR(M1221=phu!$I$72,M1221=phu!$I$73,M1221=phu!$I$74,M1221=phu!$I$75,M1221=phu!$I$76,M1221=phu!$I$77,M1221=phu!$I$78),"Cam Phước Đông",""),IF(OR(M1221=phu!$I$79,M1221=phu!$I$80,M1221=phu!$I$81,M1221=phu!$I$82,M1221=phu!$I$83,M1221=phu!$I$84),"Cam Thịnh Đông",""),IF(OR(M1221=phu!$I$85,M1221=phu!$I$86,M1221=phu!$I$87,M1221=phu!$I$88),"Cam Thịnh Tây",""),IF(OR(M1221=phu!$I$89,M1221=phu!$I$90),"Cam Lập",""),IF(OR(M1221=phu!$I$91,M1221=phu!$I$92,M1221=phu!$I$93),"Cam Bình",""),IF(OR(M1221=phu!$I$94,M1221=phu!$I$95,M1221=phu!$I$96,M1221=phu!$I$97,M1221=phu!$I$98,M1221=phu!$I$99,M1221=phu!$I$100),"Huyện khác",""),IF(OR(M1221=phu!$I$101,M1221=phu!$I$102),"Tỉnh khác",""))</f>
        <v/>
      </c>
      <c r="O1221" s="829" t="str">
        <f t="shared" si="108"/>
        <v/>
      </c>
      <c r="P1221" s="254"/>
      <c r="Q1221" s="254"/>
      <c r="R1221" s="254"/>
      <c r="S1221" s="254"/>
      <c r="T1221" s="254"/>
      <c r="U1221" s="254"/>
      <c r="V1221" s="254"/>
      <c r="W1221" s="254"/>
      <c r="Y1221" s="246" t="str">
        <f t="shared" si="109"/>
        <v/>
      </c>
      <c r="Z1221" s="247" t="str">
        <f t="shared" si="113"/>
        <v/>
      </c>
      <c r="AA1221" s="246" t="str">
        <f t="shared" si="110"/>
        <v/>
      </c>
    </row>
    <row r="1222" spans="1:27" x14ac:dyDescent="0.25">
      <c r="A1222" s="248" t="str">
        <f t="shared" si="111"/>
        <v/>
      </c>
      <c r="B1222" s="249" t="str">
        <f t="shared" si="112"/>
        <v/>
      </c>
      <c r="C1222" s="250"/>
      <c r="D1222" s="251"/>
      <c r="E1222" s="241"/>
      <c r="F1222" s="252"/>
      <c r="G1222" s="252"/>
      <c r="H1222" s="253"/>
      <c r="I1222" s="250"/>
      <c r="J1222" s="250"/>
      <c r="K1222" s="270"/>
      <c r="L1222" s="250"/>
      <c r="M1222" s="250"/>
      <c r="N1222" s="540" t="str">
        <f>CONCATENATE(IF(OR(M1222=phu!$I$1,M1222=phu!$I$2,M1222=phu!$I$3),"Cam Thành Nam",""),IF(OR(M1222=phu!$I$4,M1222=phu!$I$5,M1222=phu!$I$6,M1222=phu!$I$7,M1222=phu!$I$8,M1222=phu!$I$9,M1222=phu!$I$10,M1222=phu!$I$11,M1222=phu!$I$12,M1222=phu!$I$13,M1222=phu!$I$14),"Cam Nghĩa",""),IF(OR(M1222=phu!$I$15,M1222=phu!$I$16,M1222=phu!$I$17,M1222=phu!$I$18,M1222=phu!$I$19,M1222=phu!$I$20,M1222=phu!$I$21),"Cam Phúc Bắc",""),IF(OR(M1222=phu!$I$22,M1222=phu!$I$23,M1222=phu!$I$24,M1222=phu!$I$25),"Cam Phúc Nam",""),IF(OR(M1222=phu!$I$26,M1222=phu!$I$27,M1222=phu!$I$28,M1222=phu!$I$29,M1222=phu!$I$30,M1222=phu!$I$31),"Cam Phú",""),IF(OR(M1222=phu!$I$32,M1222=phu!$I$33,M1222=phu!$I$34,M1222=phu!$I$35,M1222=phu!$I$36,M1222=phu!$I$37),"Cam Lộc",""),IF(OR(M1222=phu!$I$38,M1222=phu!$I$39,M1222=phu!$I$40,M1222=phu!$I$41,M1222=phu!$I$42,M1222=phu!$I$43,M1222=phu!$I$44),"Cam Thuận",""),IF(OR(M1222=phu!$I$45,M1222=phu!$I$46,M1222=phu!$I$47,M1222=phu!$I$48,M1222=phu!$I$49,M1222=phu!$I$50,M1222=phu!$I$51,M1222=phu!$I$52,M1222=phu!$I$53),"Cam Linh",""),IF(OR(M1222=phu!$I$54,M1222=phu!$I$55,M1222=phu!$I$56,M1222=phu!$I$57,M1222=phu!$I$58,M1222=phu!$I$59,M1222=phu!$I$60,M1222=phu!$I$61,M1222=phu!$I$62),"Cam Lợi",""),IF(OR(M1222=phu!$I$63,M1222=phu!$I$64,M1222=phu!$I$65,M1222=phu!$I$66,M1222=phu!$I$67,M1222=phu!$I$68,M1222=phu!$I$69,M1222=phu!$I$70,M1222=phu!$I$71),"Ba Ngòi",""),IF(OR(M1222=phu!$I$72,M1222=phu!$I$73,M1222=phu!$I$74,M1222=phu!$I$75,M1222=phu!$I$76,M1222=phu!$I$77,M1222=phu!$I$78),"Cam Phước Đông",""),IF(OR(M1222=phu!$I$79,M1222=phu!$I$80,M1222=phu!$I$81,M1222=phu!$I$82,M1222=phu!$I$83,M1222=phu!$I$84),"Cam Thịnh Đông",""),IF(OR(M1222=phu!$I$85,M1222=phu!$I$86,M1222=phu!$I$87,M1222=phu!$I$88),"Cam Thịnh Tây",""),IF(OR(M1222=phu!$I$89,M1222=phu!$I$90),"Cam Lập",""),IF(OR(M1222=phu!$I$91,M1222=phu!$I$92,M1222=phu!$I$93),"Cam Bình",""),IF(OR(M1222=phu!$I$94,M1222=phu!$I$95,M1222=phu!$I$96,M1222=phu!$I$97,M1222=phu!$I$98,M1222=phu!$I$99,M1222=phu!$I$100),"Huyện khác",""),IF(OR(M1222=phu!$I$101,M1222=phu!$I$102),"Tỉnh khác",""))</f>
        <v/>
      </c>
      <c r="O1222" s="829" t="str">
        <f t="shared" si="108"/>
        <v/>
      </c>
      <c r="P1222" s="254"/>
      <c r="Q1222" s="254"/>
      <c r="R1222" s="254"/>
      <c r="S1222" s="254"/>
      <c r="T1222" s="254"/>
      <c r="U1222" s="254"/>
      <c r="V1222" s="254"/>
      <c r="W1222" s="254"/>
      <c r="Y1222" s="246" t="str">
        <f t="shared" si="109"/>
        <v/>
      </c>
      <c r="Z1222" s="247" t="str">
        <f t="shared" si="113"/>
        <v/>
      </c>
      <c r="AA1222" s="246" t="str">
        <f t="shared" si="110"/>
        <v/>
      </c>
    </row>
    <row r="1223" spans="1:27" x14ac:dyDescent="0.25">
      <c r="A1223" s="248" t="str">
        <f t="shared" si="111"/>
        <v/>
      </c>
      <c r="B1223" s="249" t="str">
        <f t="shared" si="112"/>
        <v/>
      </c>
      <c r="C1223" s="250"/>
      <c r="D1223" s="251"/>
      <c r="E1223" s="241"/>
      <c r="F1223" s="252"/>
      <c r="G1223" s="252"/>
      <c r="H1223" s="253"/>
      <c r="I1223" s="250"/>
      <c r="J1223" s="250"/>
      <c r="K1223" s="270"/>
      <c r="L1223" s="250"/>
      <c r="M1223" s="250"/>
      <c r="N1223" s="540" t="str">
        <f>CONCATENATE(IF(OR(M1223=phu!$I$1,M1223=phu!$I$2,M1223=phu!$I$3),"Cam Thành Nam",""),IF(OR(M1223=phu!$I$4,M1223=phu!$I$5,M1223=phu!$I$6,M1223=phu!$I$7,M1223=phu!$I$8,M1223=phu!$I$9,M1223=phu!$I$10,M1223=phu!$I$11,M1223=phu!$I$12,M1223=phu!$I$13,M1223=phu!$I$14),"Cam Nghĩa",""),IF(OR(M1223=phu!$I$15,M1223=phu!$I$16,M1223=phu!$I$17,M1223=phu!$I$18,M1223=phu!$I$19,M1223=phu!$I$20,M1223=phu!$I$21),"Cam Phúc Bắc",""),IF(OR(M1223=phu!$I$22,M1223=phu!$I$23,M1223=phu!$I$24,M1223=phu!$I$25),"Cam Phúc Nam",""),IF(OR(M1223=phu!$I$26,M1223=phu!$I$27,M1223=phu!$I$28,M1223=phu!$I$29,M1223=phu!$I$30,M1223=phu!$I$31),"Cam Phú",""),IF(OR(M1223=phu!$I$32,M1223=phu!$I$33,M1223=phu!$I$34,M1223=phu!$I$35,M1223=phu!$I$36,M1223=phu!$I$37),"Cam Lộc",""),IF(OR(M1223=phu!$I$38,M1223=phu!$I$39,M1223=phu!$I$40,M1223=phu!$I$41,M1223=phu!$I$42,M1223=phu!$I$43,M1223=phu!$I$44),"Cam Thuận",""),IF(OR(M1223=phu!$I$45,M1223=phu!$I$46,M1223=phu!$I$47,M1223=phu!$I$48,M1223=phu!$I$49,M1223=phu!$I$50,M1223=phu!$I$51,M1223=phu!$I$52,M1223=phu!$I$53),"Cam Linh",""),IF(OR(M1223=phu!$I$54,M1223=phu!$I$55,M1223=phu!$I$56,M1223=phu!$I$57,M1223=phu!$I$58,M1223=phu!$I$59,M1223=phu!$I$60,M1223=phu!$I$61,M1223=phu!$I$62),"Cam Lợi",""),IF(OR(M1223=phu!$I$63,M1223=phu!$I$64,M1223=phu!$I$65,M1223=phu!$I$66,M1223=phu!$I$67,M1223=phu!$I$68,M1223=phu!$I$69,M1223=phu!$I$70,M1223=phu!$I$71),"Ba Ngòi",""),IF(OR(M1223=phu!$I$72,M1223=phu!$I$73,M1223=phu!$I$74,M1223=phu!$I$75,M1223=phu!$I$76,M1223=phu!$I$77,M1223=phu!$I$78),"Cam Phước Đông",""),IF(OR(M1223=phu!$I$79,M1223=phu!$I$80,M1223=phu!$I$81,M1223=phu!$I$82,M1223=phu!$I$83,M1223=phu!$I$84),"Cam Thịnh Đông",""),IF(OR(M1223=phu!$I$85,M1223=phu!$I$86,M1223=phu!$I$87,M1223=phu!$I$88),"Cam Thịnh Tây",""),IF(OR(M1223=phu!$I$89,M1223=phu!$I$90),"Cam Lập",""),IF(OR(M1223=phu!$I$91,M1223=phu!$I$92,M1223=phu!$I$93),"Cam Bình",""),IF(OR(M1223=phu!$I$94,M1223=phu!$I$95,M1223=phu!$I$96,M1223=phu!$I$97,M1223=phu!$I$98,M1223=phu!$I$99,M1223=phu!$I$100),"Huyện khác",""),IF(OR(M1223=phu!$I$101,M1223=phu!$I$102),"Tỉnh khác",""))</f>
        <v/>
      </c>
      <c r="O1223" s="829" t="str">
        <f t="shared" ref="O1223:O1286" si="114">CONCATENATE(IF(OR(N1223="Cam Thành Nam",N1223="Cam Nghĩa",N1223="Cam Phúc Bắc"),"Bắc Cam Ranh",""),IF(OR(N1223="Cam Phúc Nam",N1223="Cam Phú",N1223="Cam Lộc"),"Cam Ranh",""),IF(OR(N1223="Cam Thuận",N1223="Cam Linh",N1223="Cam Lợi"),"Cam Linh",""),IF(OR(N1223="Ba Ngòi",N1223="Cam Phước Đông"),"Ba Ngòi",""),IF(OR(N1223="Cam Thịnh Đông",N1223="Cam Thịnh Tây",N1223="Cam Lập",N1223="Cam Bình"),"Nam Cam Ranh",""),IF(N1223="Huyện khác","Huyện khác",""),IF(N1223="Tỉnh khác","Tỉnh khác",""))</f>
        <v/>
      </c>
      <c r="P1223" s="254"/>
      <c r="Q1223" s="254"/>
      <c r="R1223" s="254"/>
      <c r="S1223" s="254"/>
      <c r="T1223" s="254"/>
      <c r="U1223" s="254"/>
      <c r="V1223" s="254"/>
      <c r="W1223" s="254"/>
      <c r="Y1223" s="246" t="str">
        <f t="shared" ref="Y1223:Y1286" si="115">IF(OR(AND(B1223="",C1223="",D1223="",E1223="",F1223="",G1223="",H1223="",I1223="",J1223="",L1223="",M1223="",N1223="",P1223="",Q1223="",R1223="",S1223=""),AND(B1223&lt;&gt;"",C1223&lt;&gt;"",D1223&lt;&gt;"",E1223&lt;&gt;"",F1223&lt;&gt;"",G1223&lt;&gt;"",H1223&lt;&gt;"",J1223&lt;&gt;"",M1223&lt;&gt;"",N1223&lt;&gt;"",P1223&lt;&gt;"",OR(AND(Q1223&lt;&gt;"",R1223=""),AND(Q1223="",R1223&lt;&gt;""),AND(Q1223&lt;&gt;"",R1223&lt;&gt;"")),OR(AND(K1223="X",T1223&lt;&gt;""),AND(K1223="",T1223="")))),"","er")</f>
        <v/>
      </c>
      <c r="Z1223" s="247" t="str">
        <f t="shared" si="113"/>
        <v/>
      </c>
      <c r="AA1223" s="246" t="str">
        <f t="shared" ref="AA1223:AA1286" si="116">IF(OR(AND(Z1223&lt;=10,B1223&gt;5),AND(Z1223&lt;=11,B1223&gt;6),AND(Z1223&lt;=12,B1223&gt;7),AND(Z1223&lt;=13,B1223&gt;8),AND(Z1223&lt;=14,B1223&gt;9),AND(Z1223=11,B1223=6,L1223="X"),AND(Z1223=12,B1223=7,L1223="X"),AND(Z1223=13,B1223=8,L1223="X"),AND(Z1223=14,B1223=9,L1223="X")),"er","")</f>
        <v/>
      </c>
    </row>
    <row r="1224" spans="1:27" x14ac:dyDescent="0.25">
      <c r="A1224" s="248" t="str">
        <f t="shared" ref="A1224:A1287" si="117">IF(OR(A1223="",B1224="",C1224="",D1224="",E1224=""),"",A1223+1)</f>
        <v/>
      </c>
      <c r="B1224" s="249" t="str">
        <f t="shared" ref="B1224:B1287" si="118">IF(C1224="","",VALUE(LEFT(C1224,1)))</f>
        <v/>
      </c>
      <c r="C1224" s="250"/>
      <c r="D1224" s="251"/>
      <c r="E1224" s="241"/>
      <c r="F1224" s="252"/>
      <c r="G1224" s="252"/>
      <c r="H1224" s="253"/>
      <c r="I1224" s="250"/>
      <c r="J1224" s="250"/>
      <c r="K1224" s="270"/>
      <c r="L1224" s="250"/>
      <c r="M1224" s="250"/>
      <c r="N1224" s="540" t="str">
        <f>CONCATENATE(IF(OR(M1224=phu!$I$1,M1224=phu!$I$2,M1224=phu!$I$3),"Cam Thành Nam",""),IF(OR(M1224=phu!$I$4,M1224=phu!$I$5,M1224=phu!$I$6,M1224=phu!$I$7,M1224=phu!$I$8,M1224=phu!$I$9,M1224=phu!$I$10,M1224=phu!$I$11,M1224=phu!$I$12,M1224=phu!$I$13,M1224=phu!$I$14),"Cam Nghĩa",""),IF(OR(M1224=phu!$I$15,M1224=phu!$I$16,M1224=phu!$I$17,M1224=phu!$I$18,M1224=phu!$I$19,M1224=phu!$I$20,M1224=phu!$I$21),"Cam Phúc Bắc",""),IF(OR(M1224=phu!$I$22,M1224=phu!$I$23,M1224=phu!$I$24,M1224=phu!$I$25),"Cam Phúc Nam",""),IF(OR(M1224=phu!$I$26,M1224=phu!$I$27,M1224=phu!$I$28,M1224=phu!$I$29,M1224=phu!$I$30,M1224=phu!$I$31),"Cam Phú",""),IF(OR(M1224=phu!$I$32,M1224=phu!$I$33,M1224=phu!$I$34,M1224=phu!$I$35,M1224=phu!$I$36,M1224=phu!$I$37),"Cam Lộc",""),IF(OR(M1224=phu!$I$38,M1224=phu!$I$39,M1224=phu!$I$40,M1224=phu!$I$41,M1224=phu!$I$42,M1224=phu!$I$43,M1224=phu!$I$44),"Cam Thuận",""),IF(OR(M1224=phu!$I$45,M1224=phu!$I$46,M1224=phu!$I$47,M1224=phu!$I$48,M1224=phu!$I$49,M1224=phu!$I$50,M1224=phu!$I$51,M1224=phu!$I$52,M1224=phu!$I$53),"Cam Linh",""),IF(OR(M1224=phu!$I$54,M1224=phu!$I$55,M1224=phu!$I$56,M1224=phu!$I$57,M1224=phu!$I$58,M1224=phu!$I$59,M1224=phu!$I$60,M1224=phu!$I$61,M1224=phu!$I$62),"Cam Lợi",""),IF(OR(M1224=phu!$I$63,M1224=phu!$I$64,M1224=phu!$I$65,M1224=phu!$I$66,M1224=phu!$I$67,M1224=phu!$I$68,M1224=phu!$I$69,M1224=phu!$I$70,M1224=phu!$I$71),"Ba Ngòi",""),IF(OR(M1224=phu!$I$72,M1224=phu!$I$73,M1224=phu!$I$74,M1224=phu!$I$75,M1224=phu!$I$76,M1224=phu!$I$77,M1224=phu!$I$78),"Cam Phước Đông",""),IF(OR(M1224=phu!$I$79,M1224=phu!$I$80,M1224=phu!$I$81,M1224=phu!$I$82,M1224=phu!$I$83,M1224=phu!$I$84),"Cam Thịnh Đông",""),IF(OR(M1224=phu!$I$85,M1224=phu!$I$86,M1224=phu!$I$87,M1224=phu!$I$88),"Cam Thịnh Tây",""),IF(OR(M1224=phu!$I$89,M1224=phu!$I$90),"Cam Lập",""),IF(OR(M1224=phu!$I$91,M1224=phu!$I$92,M1224=phu!$I$93),"Cam Bình",""),IF(OR(M1224=phu!$I$94,M1224=phu!$I$95,M1224=phu!$I$96,M1224=phu!$I$97,M1224=phu!$I$98,M1224=phu!$I$99,M1224=phu!$I$100),"Huyện khác",""),IF(OR(M1224=phu!$I$101,M1224=phu!$I$102),"Tỉnh khác",""))</f>
        <v/>
      </c>
      <c r="O1224" s="829" t="str">
        <f t="shared" si="114"/>
        <v/>
      </c>
      <c r="P1224" s="254"/>
      <c r="Q1224" s="254"/>
      <c r="R1224" s="254"/>
      <c r="S1224" s="254"/>
      <c r="T1224" s="254"/>
      <c r="U1224" s="254"/>
      <c r="V1224" s="254"/>
      <c r="W1224" s="254"/>
      <c r="Y1224" s="246" t="str">
        <f t="shared" si="115"/>
        <v/>
      </c>
      <c r="Z1224" s="247" t="str">
        <f t="shared" ref="Z1224:Z1287" si="119">IF(H1224="","",$Z$1-H1224)</f>
        <v/>
      </c>
      <c r="AA1224" s="246" t="str">
        <f t="shared" si="116"/>
        <v/>
      </c>
    </row>
    <row r="1225" spans="1:27" x14ac:dyDescent="0.25">
      <c r="A1225" s="248" t="str">
        <f t="shared" si="117"/>
        <v/>
      </c>
      <c r="B1225" s="249" t="str">
        <f t="shared" si="118"/>
        <v/>
      </c>
      <c r="C1225" s="250"/>
      <c r="D1225" s="251"/>
      <c r="E1225" s="241"/>
      <c r="F1225" s="252"/>
      <c r="G1225" s="252"/>
      <c r="H1225" s="253"/>
      <c r="I1225" s="250"/>
      <c r="J1225" s="250"/>
      <c r="K1225" s="270"/>
      <c r="L1225" s="250"/>
      <c r="M1225" s="250"/>
      <c r="N1225" s="540" t="str">
        <f>CONCATENATE(IF(OR(M1225=phu!$I$1,M1225=phu!$I$2,M1225=phu!$I$3),"Cam Thành Nam",""),IF(OR(M1225=phu!$I$4,M1225=phu!$I$5,M1225=phu!$I$6,M1225=phu!$I$7,M1225=phu!$I$8,M1225=phu!$I$9,M1225=phu!$I$10,M1225=phu!$I$11,M1225=phu!$I$12,M1225=phu!$I$13,M1225=phu!$I$14),"Cam Nghĩa",""),IF(OR(M1225=phu!$I$15,M1225=phu!$I$16,M1225=phu!$I$17,M1225=phu!$I$18,M1225=phu!$I$19,M1225=phu!$I$20,M1225=phu!$I$21),"Cam Phúc Bắc",""),IF(OR(M1225=phu!$I$22,M1225=phu!$I$23,M1225=phu!$I$24,M1225=phu!$I$25),"Cam Phúc Nam",""),IF(OR(M1225=phu!$I$26,M1225=phu!$I$27,M1225=phu!$I$28,M1225=phu!$I$29,M1225=phu!$I$30,M1225=phu!$I$31),"Cam Phú",""),IF(OR(M1225=phu!$I$32,M1225=phu!$I$33,M1225=phu!$I$34,M1225=phu!$I$35,M1225=phu!$I$36,M1225=phu!$I$37),"Cam Lộc",""),IF(OR(M1225=phu!$I$38,M1225=phu!$I$39,M1225=phu!$I$40,M1225=phu!$I$41,M1225=phu!$I$42,M1225=phu!$I$43,M1225=phu!$I$44),"Cam Thuận",""),IF(OR(M1225=phu!$I$45,M1225=phu!$I$46,M1225=phu!$I$47,M1225=phu!$I$48,M1225=phu!$I$49,M1225=phu!$I$50,M1225=phu!$I$51,M1225=phu!$I$52,M1225=phu!$I$53),"Cam Linh",""),IF(OR(M1225=phu!$I$54,M1225=phu!$I$55,M1225=phu!$I$56,M1225=phu!$I$57,M1225=phu!$I$58,M1225=phu!$I$59,M1225=phu!$I$60,M1225=phu!$I$61,M1225=phu!$I$62),"Cam Lợi",""),IF(OR(M1225=phu!$I$63,M1225=phu!$I$64,M1225=phu!$I$65,M1225=phu!$I$66,M1225=phu!$I$67,M1225=phu!$I$68,M1225=phu!$I$69,M1225=phu!$I$70,M1225=phu!$I$71),"Ba Ngòi",""),IF(OR(M1225=phu!$I$72,M1225=phu!$I$73,M1225=phu!$I$74,M1225=phu!$I$75,M1225=phu!$I$76,M1225=phu!$I$77,M1225=phu!$I$78),"Cam Phước Đông",""),IF(OR(M1225=phu!$I$79,M1225=phu!$I$80,M1225=phu!$I$81,M1225=phu!$I$82,M1225=phu!$I$83,M1225=phu!$I$84),"Cam Thịnh Đông",""),IF(OR(M1225=phu!$I$85,M1225=phu!$I$86,M1225=phu!$I$87,M1225=phu!$I$88),"Cam Thịnh Tây",""),IF(OR(M1225=phu!$I$89,M1225=phu!$I$90),"Cam Lập",""),IF(OR(M1225=phu!$I$91,M1225=phu!$I$92,M1225=phu!$I$93),"Cam Bình",""),IF(OR(M1225=phu!$I$94,M1225=phu!$I$95,M1225=phu!$I$96,M1225=phu!$I$97,M1225=phu!$I$98,M1225=phu!$I$99,M1225=phu!$I$100),"Huyện khác",""),IF(OR(M1225=phu!$I$101,M1225=phu!$I$102),"Tỉnh khác",""))</f>
        <v/>
      </c>
      <c r="O1225" s="829" t="str">
        <f t="shared" si="114"/>
        <v/>
      </c>
      <c r="P1225" s="254"/>
      <c r="Q1225" s="254"/>
      <c r="R1225" s="254"/>
      <c r="S1225" s="254"/>
      <c r="T1225" s="254"/>
      <c r="U1225" s="254"/>
      <c r="V1225" s="254"/>
      <c r="W1225" s="254"/>
      <c r="Y1225" s="246" t="str">
        <f t="shared" si="115"/>
        <v/>
      </c>
      <c r="Z1225" s="247" t="str">
        <f t="shared" si="119"/>
        <v/>
      </c>
      <c r="AA1225" s="246" t="str">
        <f t="shared" si="116"/>
        <v/>
      </c>
    </row>
    <row r="1226" spans="1:27" x14ac:dyDescent="0.25">
      <c r="A1226" s="248" t="str">
        <f t="shared" si="117"/>
        <v/>
      </c>
      <c r="B1226" s="249" t="str">
        <f t="shared" si="118"/>
        <v/>
      </c>
      <c r="C1226" s="250"/>
      <c r="D1226" s="251"/>
      <c r="E1226" s="241"/>
      <c r="F1226" s="252"/>
      <c r="G1226" s="252"/>
      <c r="H1226" s="253"/>
      <c r="I1226" s="250"/>
      <c r="J1226" s="250"/>
      <c r="K1226" s="270"/>
      <c r="L1226" s="250"/>
      <c r="M1226" s="250"/>
      <c r="N1226" s="540" t="str">
        <f>CONCATENATE(IF(OR(M1226=phu!$I$1,M1226=phu!$I$2,M1226=phu!$I$3),"Cam Thành Nam",""),IF(OR(M1226=phu!$I$4,M1226=phu!$I$5,M1226=phu!$I$6,M1226=phu!$I$7,M1226=phu!$I$8,M1226=phu!$I$9,M1226=phu!$I$10,M1226=phu!$I$11,M1226=phu!$I$12,M1226=phu!$I$13,M1226=phu!$I$14),"Cam Nghĩa",""),IF(OR(M1226=phu!$I$15,M1226=phu!$I$16,M1226=phu!$I$17,M1226=phu!$I$18,M1226=phu!$I$19,M1226=phu!$I$20,M1226=phu!$I$21),"Cam Phúc Bắc",""),IF(OR(M1226=phu!$I$22,M1226=phu!$I$23,M1226=phu!$I$24,M1226=phu!$I$25),"Cam Phúc Nam",""),IF(OR(M1226=phu!$I$26,M1226=phu!$I$27,M1226=phu!$I$28,M1226=phu!$I$29,M1226=phu!$I$30,M1226=phu!$I$31),"Cam Phú",""),IF(OR(M1226=phu!$I$32,M1226=phu!$I$33,M1226=phu!$I$34,M1226=phu!$I$35,M1226=phu!$I$36,M1226=phu!$I$37),"Cam Lộc",""),IF(OR(M1226=phu!$I$38,M1226=phu!$I$39,M1226=phu!$I$40,M1226=phu!$I$41,M1226=phu!$I$42,M1226=phu!$I$43,M1226=phu!$I$44),"Cam Thuận",""),IF(OR(M1226=phu!$I$45,M1226=phu!$I$46,M1226=phu!$I$47,M1226=phu!$I$48,M1226=phu!$I$49,M1226=phu!$I$50,M1226=phu!$I$51,M1226=phu!$I$52,M1226=phu!$I$53),"Cam Linh",""),IF(OR(M1226=phu!$I$54,M1226=phu!$I$55,M1226=phu!$I$56,M1226=phu!$I$57,M1226=phu!$I$58,M1226=phu!$I$59,M1226=phu!$I$60,M1226=phu!$I$61,M1226=phu!$I$62),"Cam Lợi",""),IF(OR(M1226=phu!$I$63,M1226=phu!$I$64,M1226=phu!$I$65,M1226=phu!$I$66,M1226=phu!$I$67,M1226=phu!$I$68,M1226=phu!$I$69,M1226=phu!$I$70,M1226=phu!$I$71),"Ba Ngòi",""),IF(OR(M1226=phu!$I$72,M1226=phu!$I$73,M1226=phu!$I$74,M1226=phu!$I$75,M1226=phu!$I$76,M1226=phu!$I$77,M1226=phu!$I$78),"Cam Phước Đông",""),IF(OR(M1226=phu!$I$79,M1226=phu!$I$80,M1226=phu!$I$81,M1226=phu!$I$82,M1226=phu!$I$83,M1226=phu!$I$84),"Cam Thịnh Đông",""),IF(OR(M1226=phu!$I$85,M1226=phu!$I$86,M1226=phu!$I$87,M1226=phu!$I$88),"Cam Thịnh Tây",""),IF(OR(M1226=phu!$I$89,M1226=phu!$I$90),"Cam Lập",""),IF(OR(M1226=phu!$I$91,M1226=phu!$I$92,M1226=phu!$I$93),"Cam Bình",""),IF(OR(M1226=phu!$I$94,M1226=phu!$I$95,M1226=phu!$I$96,M1226=phu!$I$97,M1226=phu!$I$98,M1226=phu!$I$99,M1226=phu!$I$100),"Huyện khác",""),IF(OR(M1226=phu!$I$101,M1226=phu!$I$102),"Tỉnh khác",""))</f>
        <v/>
      </c>
      <c r="O1226" s="829" t="str">
        <f t="shared" si="114"/>
        <v/>
      </c>
      <c r="P1226" s="254"/>
      <c r="Q1226" s="254"/>
      <c r="R1226" s="254"/>
      <c r="S1226" s="254"/>
      <c r="T1226" s="254"/>
      <c r="U1226" s="254"/>
      <c r="V1226" s="254"/>
      <c r="W1226" s="254"/>
      <c r="Y1226" s="246" t="str">
        <f t="shared" si="115"/>
        <v/>
      </c>
      <c r="Z1226" s="247" t="str">
        <f t="shared" si="119"/>
        <v/>
      </c>
      <c r="AA1226" s="246" t="str">
        <f t="shared" si="116"/>
        <v/>
      </c>
    </row>
    <row r="1227" spans="1:27" x14ac:dyDescent="0.25">
      <c r="A1227" s="248" t="str">
        <f t="shared" si="117"/>
        <v/>
      </c>
      <c r="B1227" s="249" t="str">
        <f t="shared" si="118"/>
        <v/>
      </c>
      <c r="C1227" s="250"/>
      <c r="D1227" s="251"/>
      <c r="E1227" s="241"/>
      <c r="F1227" s="252"/>
      <c r="G1227" s="252"/>
      <c r="H1227" s="253"/>
      <c r="I1227" s="250"/>
      <c r="J1227" s="250"/>
      <c r="K1227" s="270"/>
      <c r="L1227" s="250"/>
      <c r="M1227" s="250"/>
      <c r="N1227" s="540" t="str">
        <f>CONCATENATE(IF(OR(M1227=phu!$I$1,M1227=phu!$I$2,M1227=phu!$I$3),"Cam Thành Nam",""),IF(OR(M1227=phu!$I$4,M1227=phu!$I$5,M1227=phu!$I$6,M1227=phu!$I$7,M1227=phu!$I$8,M1227=phu!$I$9,M1227=phu!$I$10,M1227=phu!$I$11,M1227=phu!$I$12,M1227=phu!$I$13,M1227=phu!$I$14),"Cam Nghĩa",""),IF(OR(M1227=phu!$I$15,M1227=phu!$I$16,M1227=phu!$I$17,M1227=phu!$I$18,M1227=phu!$I$19,M1227=phu!$I$20,M1227=phu!$I$21),"Cam Phúc Bắc",""),IF(OR(M1227=phu!$I$22,M1227=phu!$I$23,M1227=phu!$I$24,M1227=phu!$I$25),"Cam Phúc Nam",""),IF(OR(M1227=phu!$I$26,M1227=phu!$I$27,M1227=phu!$I$28,M1227=phu!$I$29,M1227=phu!$I$30,M1227=phu!$I$31),"Cam Phú",""),IF(OR(M1227=phu!$I$32,M1227=phu!$I$33,M1227=phu!$I$34,M1227=phu!$I$35,M1227=phu!$I$36,M1227=phu!$I$37),"Cam Lộc",""),IF(OR(M1227=phu!$I$38,M1227=phu!$I$39,M1227=phu!$I$40,M1227=phu!$I$41,M1227=phu!$I$42,M1227=phu!$I$43,M1227=phu!$I$44),"Cam Thuận",""),IF(OR(M1227=phu!$I$45,M1227=phu!$I$46,M1227=phu!$I$47,M1227=phu!$I$48,M1227=phu!$I$49,M1227=phu!$I$50,M1227=phu!$I$51,M1227=phu!$I$52,M1227=phu!$I$53),"Cam Linh",""),IF(OR(M1227=phu!$I$54,M1227=phu!$I$55,M1227=phu!$I$56,M1227=phu!$I$57,M1227=phu!$I$58,M1227=phu!$I$59,M1227=phu!$I$60,M1227=phu!$I$61,M1227=phu!$I$62),"Cam Lợi",""),IF(OR(M1227=phu!$I$63,M1227=phu!$I$64,M1227=phu!$I$65,M1227=phu!$I$66,M1227=phu!$I$67,M1227=phu!$I$68,M1227=phu!$I$69,M1227=phu!$I$70,M1227=phu!$I$71),"Ba Ngòi",""),IF(OR(M1227=phu!$I$72,M1227=phu!$I$73,M1227=phu!$I$74,M1227=phu!$I$75,M1227=phu!$I$76,M1227=phu!$I$77,M1227=phu!$I$78),"Cam Phước Đông",""),IF(OR(M1227=phu!$I$79,M1227=phu!$I$80,M1227=phu!$I$81,M1227=phu!$I$82,M1227=phu!$I$83,M1227=phu!$I$84),"Cam Thịnh Đông",""),IF(OR(M1227=phu!$I$85,M1227=phu!$I$86,M1227=phu!$I$87,M1227=phu!$I$88),"Cam Thịnh Tây",""),IF(OR(M1227=phu!$I$89,M1227=phu!$I$90),"Cam Lập",""),IF(OR(M1227=phu!$I$91,M1227=phu!$I$92,M1227=phu!$I$93),"Cam Bình",""),IF(OR(M1227=phu!$I$94,M1227=phu!$I$95,M1227=phu!$I$96,M1227=phu!$I$97,M1227=phu!$I$98,M1227=phu!$I$99,M1227=phu!$I$100),"Huyện khác",""),IF(OR(M1227=phu!$I$101,M1227=phu!$I$102),"Tỉnh khác",""))</f>
        <v/>
      </c>
      <c r="O1227" s="829" t="str">
        <f t="shared" si="114"/>
        <v/>
      </c>
      <c r="P1227" s="254"/>
      <c r="Q1227" s="254"/>
      <c r="R1227" s="254"/>
      <c r="S1227" s="254"/>
      <c r="T1227" s="254"/>
      <c r="U1227" s="254"/>
      <c r="V1227" s="254"/>
      <c r="W1227" s="254"/>
      <c r="Y1227" s="246" t="str">
        <f t="shared" si="115"/>
        <v/>
      </c>
      <c r="Z1227" s="247" t="str">
        <f t="shared" si="119"/>
        <v/>
      </c>
      <c r="AA1227" s="246" t="str">
        <f t="shared" si="116"/>
        <v/>
      </c>
    </row>
    <row r="1228" spans="1:27" x14ac:dyDescent="0.25">
      <c r="A1228" s="248" t="str">
        <f t="shared" si="117"/>
        <v/>
      </c>
      <c r="B1228" s="249" t="str">
        <f t="shared" si="118"/>
        <v/>
      </c>
      <c r="C1228" s="250"/>
      <c r="D1228" s="251"/>
      <c r="E1228" s="241"/>
      <c r="F1228" s="252"/>
      <c r="G1228" s="252"/>
      <c r="H1228" s="253"/>
      <c r="I1228" s="250"/>
      <c r="J1228" s="250"/>
      <c r="K1228" s="270"/>
      <c r="L1228" s="250"/>
      <c r="M1228" s="250"/>
      <c r="N1228" s="540" t="str">
        <f>CONCATENATE(IF(OR(M1228=phu!$I$1,M1228=phu!$I$2,M1228=phu!$I$3),"Cam Thành Nam",""),IF(OR(M1228=phu!$I$4,M1228=phu!$I$5,M1228=phu!$I$6,M1228=phu!$I$7,M1228=phu!$I$8,M1228=phu!$I$9,M1228=phu!$I$10,M1228=phu!$I$11,M1228=phu!$I$12,M1228=phu!$I$13,M1228=phu!$I$14),"Cam Nghĩa",""),IF(OR(M1228=phu!$I$15,M1228=phu!$I$16,M1228=phu!$I$17,M1228=phu!$I$18,M1228=phu!$I$19,M1228=phu!$I$20,M1228=phu!$I$21),"Cam Phúc Bắc",""),IF(OR(M1228=phu!$I$22,M1228=phu!$I$23,M1228=phu!$I$24,M1228=phu!$I$25),"Cam Phúc Nam",""),IF(OR(M1228=phu!$I$26,M1228=phu!$I$27,M1228=phu!$I$28,M1228=phu!$I$29,M1228=phu!$I$30,M1228=phu!$I$31),"Cam Phú",""),IF(OR(M1228=phu!$I$32,M1228=phu!$I$33,M1228=phu!$I$34,M1228=phu!$I$35,M1228=phu!$I$36,M1228=phu!$I$37),"Cam Lộc",""),IF(OR(M1228=phu!$I$38,M1228=phu!$I$39,M1228=phu!$I$40,M1228=phu!$I$41,M1228=phu!$I$42,M1228=phu!$I$43,M1228=phu!$I$44),"Cam Thuận",""),IF(OR(M1228=phu!$I$45,M1228=phu!$I$46,M1228=phu!$I$47,M1228=phu!$I$48,M1228=phu!$I$49,M1228=phu!$I$50,M1228=phu!$I$51,M1228=phu!$I$52,M1228=phu!$I$53),"Cam Linh",""),IF(OR(M1228=phu!$I$54,M1228=phu!$I$55,M1228=phu!$I$56,M1228=phu!$I$57,M1228=phu!$I$58,M1228=phu!$I$59,M1228=phu!$I$60,M1228=phu!$I$61,M1228=phu!$I$62),"Cam Lợi",""),IF(OR(M1228=phu!$I$63,M1228=phu!$I$64,M1228=phu!$I$65,M1228=phu!$I$66,M1228=phu!$I$67,M1228=phu!$I$68,M1228=phu!$I$69,M1228=phu!$I$70,M1228=phu!$I$71),"Ba Ngòi",""),IF(OR(M1228=phu!$I$72,M1228=phu!$I$73,M1228=phu!$I$74,M1228=phu!$I$75,M1228=phu!$I$76,M1228=phu!$I$77,M1228=phu!$I$78),"Cam Phước Đông",""),IF(OR(M1228=phu!$I$79,M1228=phu!$I$80,M1228=phu!$I$81,M1228=phu!$I$82,M1228=phu!$I$83,M1228=phu!$I$84),"Cam Thịnh Đông",""),IF(OR(M1228=phu!$I$85,M1228=phu!$I$86,M1228=phu!$I$87,M1228=phu!$I$88),"Cam Thịnh Tây",""),IF(OR(M1228=phu!$I$89,M1228=phu!$I$90),"Cam Lập",""),IF(OR(M1228=phu!$I$91,M1228=phu!$I$92,M1228=phu!$I$93),"Cam Bình",""),IF(OR(M1228=phu!$I$94,M1228=phu!$I$95,M1228=phu!$I$96,M1228=phu!$I$97,M1228=phu!$I$98,M1228=phu!$I$99,M1228=phu!$I$100),"Huyện khác",""),IF(OR(M1228=phu!$I$101,M1228=phu!$I$102),"Tỉnh khác",""))</f>
        <v/>
      </c>
      <c r="O1228" s="829" t="str">
        <f t="shared" si="114"/>
        <v/>
      </c>
      <c r="P1228" s="254"/>
      <c r="Q1228" s="254"/>
      <c r="R1228" s="254"/>
      <c r="S1228" s="254"/>
      <c r="T1228" s="254"/>
      <c r="U1228" s="254"/>
      <c r="V1228" s="254"/>
      <c r="W1228" s="254"/>
      <c r="Y1228" s="246" t="str">
        <f t="shared" si="115"/>
        <v/>
      </c>
      <c r="Z1228" s="247" t="str">
        <f t="shared" si="119"/>
        <v/>
      </c>
      <c r="AA1228" s="246" t="str">
        <f t="shared" si="116"/>
        <v/>
      </c>
    </row>
    <row r="1229" spans="1:27" x14ac:dyDescent="0.25">
      <c r="A1229" s="248" t="str">
        <f t="shared" si="117"/>
        <v/>
      </c>
      <c r="B1229" s="249" t="str">
        <f t="shared" si="118"/>
        <v/>
      </c>
      <c r="C1229" s="250"/>
      <c r="D1229" s="251"/>
      <c r="E1229" s="241"/>
      <c r="F1229" s="252"/>
      <c r="G1229" s="252"/>
      <c r="H1229" s="253"/>
      <c r="I1229" s="250"/>
      <c r="J1229" s="250"/>
      <c r="K1229" s="270"/>
      <c r="L1229" s="250"/>
      <c r="M1229" s="250"/>
      <c r="N1229" s="540" t="str">
        <f>CONCATENATE(IF(OR(M1229=phu!$I$1,M1229=phu!$I$2,M1229=phu!$I$3),"Cam Thành Nam",""),IF(OR(M1229=phu!$I$4,M1229=phu!$I$5,M1229=phu!$I$6,M1229=phu!$I$7,M1229=phu!$I$8,M1229=phu!$I$9,M1229=phu!$I$10,M1229=phu!$I$11,M1229=phu!$I$12,M1229=phu!$I$13,M1229=phu!$I$14),"Cam Nghĩa",""),IF(OR(M1229=phu!$I$15,M1229=phu!$I$16,M1229=phu!$I$17,M1229=phu!$I$18,M1229=phu!$I$19,M1229=phu!$I$20,M1229=phu!$I$21),"Cam Phúc Bắc",""),IF(OR(M1229=phu!$I$22,M1229=phu!$I$23,M1229=phu!$I$24,M1229=phu!$I$25),"Cam Phúc Nam",""),IF(OR(M1229=phu!$I$26,M1229=phu!$I$27,M1229=phu!$I$28,M1229=phu!$I$29,M1229=phu!$I$30,M1229=phu!$I$31),"Cam Phú",""),IF(OR(M1229=phu!$I$32,M1229=phu!$I$33,M1229=phu!$I$34,M1229=phu!$I$35,M1229=phu!$I$36,M1229=phu!$I$37),"Cam Lộc",""),IF(OR(M1229=phu!$I$38,M1229=phu!$I$39,M1229=phu!$I$40,M1229=phu!$I$41,M1229=phu!$I$42,M1229=phu!$I$43,M1229=phu!$I$44),"Cam Thuận",""),IF(OR(M1229=phu!$I$45,M1229=phu!$I$46,M1229=phu!$I$47,M1229=phu!$I$48,M1229=phu!$I$49,M1229=phu!$I$50,M1229=phu!$I$51,M1229=phu!$I$52,M1229=phu!$I$53),"Cam Linh",""),IF(OR(M1229=phu!$I$54,M1229=phu!$I$55,M1229=phu!$I$56,M1229=phu!$I$57,M1229=phu!$I$58,M1229=phu!$I$59,M1229=phu!$I$60,M1229=phu!$I$61,M1229=phu!$I$62),"Cam Lợi",""),IF(OR(M1229=phu!$I$63,M1229=phu!$I$64,M1229=phu!$I$65,M1229=phu!$I$66,M1229=phu!$I$67,M1229=phu!$I$68,M1229=phu!$I$69,M1229=phu!$I$70,M1229=phu!$I$71),"Ba Ngòi",""),IF(OR(M1229=phu!$I$72,M1229=phu!$I$73,M1229=phu!$I$74,M1229=phu!$I$75,M1229=phu!$I$76,M1229=phu!$I$77,M1229=phu!$I$78),"Cam Phước Đông",""),IF(OR(M1229=phu!$I$79,M1229=phu!$I$80,M1229=phu!$I$81,M1229=phu!$I$82,M1229=phu!$I$83,M1229=phu!$I$84),"Cam Thịnh Đông",""),IF(OR(M1229=phu!$I$85,M1229=phu!$I$86,M1229=phu!$I$87,M1229=phu!$I$88),"Cam Thịnh Tây",""),IF(OR(M1229=phu!$I$89,M1229=phu!$I$90),"Cam Lập",""),IF(OR(M1229=phu!$I$91,M1229=phu!$I$92,M1229=phu!$I$93),"Cam Bình",""),IF(OR(M1229=phu!$I$94,M1229=phu!$I$95,M1229=phu!$I$96,M1229=phu!$I$97,M1229=phu!$I$98,M1229=phu!$I$99,M1229=phu!$I$100),"Huyện khác",""),IF(OR(M1229=phu!$I$101,M1229=phu!$I$102),"Tỉnh khác",""))</f>
        <v/>
      </c>
      <c r="O1229" s="829" t="str">
        <f t="shared" si="114"/>
        <v/>
      </c>
      <c r="P1229" s="254"/>
      <c r="Q1229" s="254"/>
      <c r="R1229" s="254"/>
      <c r="S1229" s="254"/>
      <c r="T1229" s="254"/>
      <c r="U1229" s="254"/>
      <c r="V1229" s="254"/>
      <c r="W1229" s="254"/>
      <c r="Y1229" s="246" t="str">
        <f t="shared" si="115"/>
        <v/>
      </c>
      <c r="Z1229" s="247" t="str">
        <f t="shared" si="119"/>
        <v/>
      </c>
      <c r="AA1229" s="246" t="str">
        <f t="shared" si="116"/>
        <v/>
      </c>
    </row>
    <row r="1230" spans="1:27" x14ac:dyDescent="0.25">
      <c r="A1230" s="248" t="str">
        <f t="shared" si="117"/>
        <v/>
      </c>
      <c r="B1230" s="249" t="str">
        <f t="shared" si="118"/>
        <v/>
      </c>
      <c r="C1230" s="250"/>
      <c r="D1230" s="251"/>
      <c r="E1230" s="241"/>
      <c r="F1230" s="252"/>
      <c r="G1230" s="252"/>
      <c r="H1230" s="253"/>
      <c r="I1230" s="250"/>
      <c r="J1230" s="250"/>
      <c r="K1230" s="270"/>
      <c r="L1230" s="250"/>
      <c r="M1230" s="250"/>
      <c r="N1230" s="540" t="str">
        <f>CONCATENATE(IF(OR(M1230=phu!$I$1,M1230=phu!$I$2,M1230=phu!$I$3),"Cam Thành Nam",""),IF(OR(M1230=phu!$I$4,M1230=phu!$I$5,M1230=phu!$I$6,M1230=phu!$I$7,M1230=phu!$I$8,M1230=phu!$I$9,M1230=phu!$I$10,M1230=phu!$I$11,M1230=phu!$I$12,M1230=phu!$I$13,M1230=phu!$I$14),"Cam Nghĩa",""),IF(OR(M1230=phu!$I$15,M1230=phu!$I$16,M1230=phu!$I$17,M1230=phu!$I$18,M1230=phu!$I$19,M1230=phu!$I$20,M1230=phu!$I$21),"Cam Phúc Bắc",""),IF(OR(M1230=phu!$I$22,M1230=phu!$I$23,M1230=phu!$I$24,M1230=phu!$I$25),"Cam Phúc Nam",""),IF(OR(M1230=phu!$I$26,M1230=phu!$I$27,M1230=phu!$I$28,M1230=phu!$I$29,M1230=phu!$I$30,M1230=phu!$I$31),"Cam Phú",""),IF(OR(M1230=phu!$I$32,M1230=phu!$I$33,M1230=phu!$I$34,M1230=phu!$I$35,M1230=phu!$I$36,M1230=phu!$I$37),"Cam Lộc",""),IF(OR(M1230=phu!$I$38,M1230=phu!$I$39,M1230=phu!$I$40,M1230=phu!$I$41,M1230=phu!$I$42,M1230=phu!$I$43,M1230=phu!$I$44),"Cam Thuận",""),IF(OR(M1230=phu!$I$45,M1230=phu!$I$46,M1230=phu!$I$47,M1230=phu!$I$48,M1230=phu!$I$49,M1230=phu!$I$50,M1230=phu!$I$51,M1230=phu!$I$52,M1230=phu!$I$53),"Cam Linh",""),IF(OR(M1230=phu!$I$54,M1230=phu!$I$55,M1230=phu!$I$56,M1230=phu!$I$57,M1230=phu!$I$58,M1230=phu!$I$59,M1230=phu!$I$60,M1230=phu!$I$61,M1230=phu!$I$62),"Cam Lợi",""),IF(OR(M1230=phu!$I$63,M1230=phu!$I$64,M1230=phu!$I$65,M1230=phu!$I$66,M1230=phu!$I$67,M1230=phu!$I$68,M1230=phu!$I$69,M1230=phu!$I$70,M1230=phu!$I$71),"Ba Ngòi",""),IF(OR(M1230=phu!$I$72,M1230=phu!$I$73,M1230=phu!$I$74,M1230=phu!$I$75,M1230=phu!$I$76,M1230=phu!$I$77,M1230=phu!$I$78),"Cam Phước Đông",""),IF(OR(M1230=phu!$I$79,M1230=phu!$I$80,M1230=phu!$I$81,M1230=phu!$I$82,M1230=phu!$I$83,M1230=phu!$I$84),"Cam Thịnh Đông",""),IF(OR(M1230=phu!$I$85,M1230=phu!$I$86,M1230=phu!$I$87,M1230=phu!$I$88),"Cam Thịnh Tây",""),IF(OR(M1230=phu!$I$89,M1230=phu!$I$90),"Cam Lập",""),IF(OR(M1230=phu!$I$91,M1230=phu!$I$92,M1230=phu!$I$93),"Cam Bình",""),IF(OR(M1230=phu!$I$94,M1230=phu!$I$95,M1230=phu!$I$96,M1230=phu!$I$97,M1230=phu!$I$98,M1230=phu!$I$99,M1230=phu!$I$100),"Huyện khác",""),IF(OR(M1230=phu!$I$101,M1230=phu!$I$102),"Tỉnh khác",""))</f>
        <v/>
      </c>
      <c r="O1230" s="829" t="str">
        <f t="shared" si="114"/>
        <v/>
      </c>
      <c r="P1230" s="254"/>
      <c r="Q1230" s="254"/>
      <c r="R1230" s="254"/>
      <c r="S1230" s="254"/>
      <c r="T1230" s="254"/>
      <c r="U1230" s="254"/>
      <c r="V1230" s="254"/>
      <c r="W1230" s="254"/>
      <c r="Y1230" s="246" t="str">
        <f t="shared" si="115"/>
        <v/>
      </c>
      <c r="Z1230" s="247" t="str">
        <f t="shared" si="119"/>
        <v/>
      </c>
      <c r="AA1230" s="246" t="str">
        <f t="shared" si="116"/>
        <v/>
      </c>
    </row>
    <row r="1231" spans="1:27" x14ac:dyDescent="0.25">
      <c r="A1231" s="248" t="str">
        <f t="shared" si="117"/>
        <v/>
      </c>
      <c r="B1231" s="249" t="str">
        <f t="shared" si="118"/>
        <v/>
      </c>
      <c r="C1231" s="250"/>
      <c r="D1231" s="251"/>
      <c r="E1231" s="241"/>
      <c r="F1231" s="252"/>
      <c r="G1231" s="252"/>
      <c r="H1231" s="253"/>
      <c r="I1231" s="250"/>
      <c r="J1231" s="250"/>
      <c r="K1231" s="270"/>
      <c r="L1231" s="250"/>
      <c r="M1231" s="250"/>
      <c r="N1231" s="540" t="str">
        <f>CONCATENATE(IF(OR(M1231=phu!$I$1,M1231=phu!$I$2,M1231=phu!$I$3),"Cam Thành Nam",""),IF(OR(M1231=phu!$I$4,M1231=phu!$I$5,M1231=phu!$I$6,M1231=phu!$I$7,M1231=phu!$I$8,M1231=phu!$I$9,M1231=phu!$I$10,M1231=phu!$I$11,M1231=phu!$I$12,M1231=phu!$I$13,M1231=phu!$I$14),"Cam Nghĩa",""),IF(OR(M1231=phu!$I$15,M1231=phu!$I$16,M1231=phu!$I$17,M1231=phu!$I$18,M1231=phu!$I$19,M1231=phu!$I$20,M1231=phu!$I$21),"Cam Phúc Bắc",""),IF(OR(M1231=phu!$I$22,M1231=phu!$I$23,M1231=phu!$I$24,M1231=phu!$I$25),"Cam Phúc Nam",""),IF(OR(M1231=phu!$I$26,M1231=phu!$I$27,M1231=phu!$I$28,M1231=phu!$I$29,M1231=phu!$I$30,M1231=phu!$I$31),"Cam Phú",""),IF(OR(M1231=phu!$I$32,M1231=phu!$I$33,M1231=phu!$I$34,M1231=phu!$I$35,M1231=phu!$I$36,M1231=phu!$I$37),"Cam Lộc",""),IF(OR(M1231=phu!$I$38,M1231=phu!$I$39,M1231=phu!$I$40,M1231=phu!$I$41,M1231=phu!$I$42,M1231=phu!$I$43,M1231=phu!$I$44),"Cam Thuận",""),IF(OR(M1231=phu!$I$45,M1231=phu!$I$46,M1231=phu!$I$47,M1231=phu!$I$48,M1231=phu!$I$49,M1231=phu!$I$50,M1231=phu!$I$51,M1231=phu!$I$52,M1231=phu!$I$53),"Cam Linh",""),IF(OR(M1231=phu!$I$54,M1231=phu!$I$55,M1231=phu!$I$56,M1231=phu!$I$57,M1231=phu!$I$58,M1231=phu!$I$59,M1231=phu!$I$60,M1231=phu!$I$61,M1231=phu!$I$62),"Cam Lợi",""),IF(OR(M1231=phu!$I$63,M1231=phu!$I$64,M1231=phu!$I$65,M1231=phu!$I$66,M1231=phu!$I$67,M1231=phu!$I$68,M1231=phu!$I$69,M1231=phu!$I$70,M1231=phu!$I$71),"Ba Ngòi",""),IF(OR(M1231=phu!$I$72,M1231=phu!$I$73,M1231=phu!$I$74,M1231=phu!$I$75,M1231=phu!$I$76,M1231=phu!$I$77,M1231=phu!$I$78),"Cam Phước Đông",""),IF(OR(M1231=phu!$I$79,M1231=phu!$I$80,M1231=phu!$I$81,M1231=phu!$I$82,M1231=phu!$I$83,M1231=phu!$I$84),"Cam Thịnh Đông",""),IF(OR(M1231=phu!$I$85,M1231=phu!$I$86,M1231=phu!$I$87,M1231=phu!$I$88),"Cam Thịnh Tây",""),IF(OR(M1231=phu!$I$89,M1231=phu!$I$90),"Cam Lập",""),IF(OR(M1231=phu!$I$91,M1231=phu!$I$92,M1231=phu!$I$93),"Cam Bình",""),IF(OR(M1231=phu!$I$94,M1231=phu!$I$95,M1231=phu!$I$96,M1231=phu!$I$97,M1231=phu!$I$98,M1231=phu!$I$99,M1231=phu!$I$100),"Huyện khác",""),IF(OR(M1231=phu!$I$101,M1231=phu!$I$102),"Tỉnh khác",""))</f>
        <v/>
      </c>
      <c r="O1231" s="829" t="str">
        <f t="shared" si="114"/>
        <v/>
      </c>
      <c r="P1231" s="254"/>
      <c r="Q1231" s="254"/>
      <c r="R1231" s="254"/>
      <c r="S1231" s="254"/>
      <c r="T1231" s="254"/>
      <c r="U1231" s="254"/>
      <c r="V1231" s="254"/>
      <c r="W1231" s="254"/>
      <c r="Y1231" s="246" t="str">
        <f t="shared" si="115"/>
        <v/>
      </c>
      <c r="Z1231" s="247" t="str">
        <f t="shared" si="119"/>
        <v/>
      </c>
      <c r="AA1231" s="246" t="str">
        <f t="shared" si="116"/>
        <v/>
      </c>
    </row>
    <row r="1232" spans="1:27" x14ac:dyDescent="0.25">
      <c r="A1232" s="248" t="str">
        <f t="shared" si="117"/>
        <v/>
      </c>
      <c r="B1232" s="249" t="str">
        <f t="shared" si="118"/>
        <v/>
      </c>
      <c r="C1232" s="250"/>
      <c r="D1232" s="251"/>
      <c r="E1232" s="241"/>
      <c r="F1232" s="252"/>
      <c r="G1232" s="252"/>
      <c r="H1232" s="253"/>
      <c r="I1232" s="250"/>
      <c r="J1232" s="250"/>
      <c r="K1232" s="270"/>
      <c r="L1232" s="250"/>
      <c r="M1232" s="250"/>
      <c r="N1232" s="540" t="str">
        <f>CONCATENATE(IF(OR(M1232=phu!$I$1,M1232=phu!$I$2,M1232=phu!$I$3),"Cam Thành Nam",""),IF(OR(M1232=phu!$I$4,M1232=phu!$I$5,M1232=phu!$I$6,M1232=phu!$I$7,M1232=phu!$I$8,M1232=phu!$I$9,M1232=phu!$I$10,M1232=phu!$I$11,M1232=phu!$I$12,M1232=phu!$I$13,M1232=phu!$I$14),"Cam Nghĩa",""),IF(OR(M1232=phu!$I$15,M1232=phu!$I$16,M1232=phu!$I$17,M1232=phu!$I$18,M1232=phu!$I$19,M1232=phu!$I$20,M1232=phu!$I$21),"Cam Phúc Bắc",""),IF(OR(M1232=phu!$I$22,M1232=phu!$I$23,M1232=phu!$I$24,M1232=phu!$I$25),"Cam Phúc Nam",""),IF(OR(M1232=phu!$I$26,M1232=phu!$I$27,M1232=phu!$I$28,M1232=phu!$I$29,M1232=phu!$I$30,M1232=phu!$I$31),"Cam Phú",""),IF(OR(M1232=phu!$I$32,M1232=phu!$I$33,M1232=phu!$I$34,M1232=phu!$I$35,M1232=phu!$I$36,M1232=phu!$I$37),"Cam Lộc",""),IF(OR(M1232=phu!$I$38,M1232=phu!$I$39,M1232=phu!$I$40,M1232=phu!$I$41,M1232=phu!$I$42,M1232=phu!$I$43,M1232=phu!$I$44),"Cam Thuận",""),IF(OR(M1232=phu!$I$45,M1232=phu!$I$46,M1232=phu!$I$47,M1232=phu!$I$48,M1232=phu!$I$49,M1232=phu!$I$50,M1232=phu!$I$51,M1232=phu!$I$52,M1232=phu!$I$53),"Cam Linh",""),IF(OR(M1232=phu!$I$54,M1232=phu!$I$55,M1232=phu!$I$56,M1232=phu!$I$57,M1232=phu!$I$58,M1232=phu!$I$59,M1232=phu!$I$60,M1232=phu!$I$61,M1232=phu!$I$62),"Cam Lợi",""),IF(OR(M1232=phu!$I$63,M1232=phu!$I$64,M1232=phu!$I$65,M1232=phu!$I$66,M1232=phu!$I$67,M1232=phu!$I$68,M1232=phu!$I$69,M1232=phu!$I$70,M1232=phu!$I$71),"Ba Ngòi",""),IF(OR(M1232=phu!$I$72,M1232=phu!$I$73,M1232=phu!$I$74,M1232=phu!$I$75,M1232=phu!$I$76,M1232=phu!$I$77,M1232=phu!$I$78),"Cam Phước Đông",""),IF(OR(M1232=phu!$I$79,M1232=phu!$I$80,M1232=phu!$I$81,M1232=phu!$I$82,M1232=phu!$I$83,M1232=phu!$I$84),"Cam Thịnh Đông",""),IF(OR(M1232=phu!$I$85,M1232=phu!$I$86,M1232=phu!$I$87,M1232=phu!$I$88),"Cam Thịnh Tây",""),IF(OR(M1232=phu!$I$89,M1232=phu!$I$90),"Cam Lập",""),IF(OR(M1232=phu!$I$91,M1232=phu!$I$92,M1232=phu!$I$93),"Cam Bình",""),IF(OR(M1232=phu!$I$94,M1232=phu!$I$95,M1232=phu!$I$96,M1232=phu!$I$97,M1232=phu!$I$98,M1232=phu!$I$99,M1232=phu!$I$100),"Huyện khác",""),IF(OR(M1232=phu!$I$101,M1232=phu!$I$102),"Tỉnh khác",""))</f>
        <v/>
      </c>
      <c r="O1232" s="829" t="str">
        <f t="shared" si="114"/>
        <v/>
      </c>
      <c r="P1232" s="254"/>
      <c r="Q1232" s="254"/>
      <c r="R1232" s="254"/>
      <c r="S1232" s="254"/>
      <c r="T1232" s="254"/>
      <c r="U1232" s="254"/>
      <c r="V1232" s="254"/>
      <c r="W1232" s="254"/>
      <c r="Y1232" s="246" t="str">
        <f t="shared" si="115"/>
        <v/>
      </c>
      <c r="Z1232" s="247" t="str">
        <f t="shared" si="119"/>
        <v/>
      </c>
      <c r="AA1232" s="246" t="str">
        <f t="shared" si="116"/>
        <v/>
      </c>
    </row>
    <row r="1233" spans="1:27" x14ac:dyDescent="0.25">
      <c r="A1233" s="248" t="str">
        <f t="shared" si="117"/>
        <v/>
      </c>
      <c r="B1233" s="249" t="str">
        <f t="shared" si="118"/>
        <v/>
      </c>
      <c r="C1233" s="250"/>
      <c r="D1233" s="251"/>
      <c r="E1233" s="241"/>
      <c r="F1233" s="252"/>
      <c r="G1233" s="252"/>
      <c r="H1233" s="253"/>
      <c r="I1233" s="250"/>
      <c r="J1233" s="250"/>
      <c r="K1233" s="270"/>
      <c r="L1233" s="250"/>
      <c r="M1233" s="250"/>
      <c r="N1233" s="540" t="str">
        <f>CONCATENATE(IF(OR(M1233=phu!$I$1,M1233=phu!$I$2,M1233=phu!$I$3),"Cam Thành Nam",""),IF(OR(M1233=phu!$I$4,M1233=phu!$I$5,M1233=phu!$I$6,M1233=phu!$I$7,M1233=phu!$I$8,M1233=phu!$I$9,M1233=phu!$I$10,M1233=phu!$I$11,M1233=phu!$I$12,M1233=phu!$I$13,M1233=phu!$I$14),"Cam Nghĩa",""),IF(OR(M1233=phu!$I$15,M1233=phu!$I$16,M1233=phu!$I$17,M1233=phu!$I$18,M1233=phu!$I$19,M1233=phu!$I$20,M1233=phu!$I$21),"Cam Phúc Bắc",""),IF(OR(M1233=phu!$I$22,M1233=phu!$I$23,M1233=phu!$I$24,M1233=phu!$I$25),"Cam Phúc Nam",""),IF(OR(M1233=phu!$I$26,M1233=phu!$I$27,M1233=phu!$I$28,M1233=phu!$I$29,M1233=phu!$I$30,M1233=phu!$I$31),"Cam Phú",""),IF(OR(M1233=phu!$I$32,M1233=phu!$I$33,M1233=phu!$I$34,M1233=phu!$I$35,M1233=phu!$I$36,M1233=phu!$I$37),"Cam Lộc",""),IF(OR(M1233=phu!$I$38,M1233=phu!$I$39,M1233=phu!$I$40,M1233=phu!$I$41,M1233=phu!$I$42,M1233=phu!$I$43,M1233=phu!$I$44),"Cam Thuận",""),IF(OR(M1233=phu!$I$45,M1233=phu!$I$46,M1233=phu!$I$47,M1233=phu!$I$48,M1233=phu!$I$49,M1233=phu!$I$50,M1233=phu!$I$51,M1233=phu!$I$52,M1233=phu!$I$53),"Cam Linh",""),IF(OR(M1233=phu!$I$54,M1233=phu!$I$55,M1233=phu!$I$56,M1233=phu!$I$57,M1233=phu!$I$58,M1233=phu!$I$59,M1233=phu!$I$60,M1233=phu!$I$61,M1233=phu!$I$62),"Cam Lợi",""),IF(OR(M1233=phu!$I$63,M1233=phu!$I$64,M1233=phu!$I$65,M1233=phu!$I$66,M1233=phu!$I$67,M1233=phu!$I$68,M1233=phu!$I$69,M1233=phu!$I$70,M1233=phu!$I$71),"Ba Ngòi",""),IF(OR(M1233=phu!$I$72,M1233=phu!$I$73,M1233=phu!$I$74,M1233=phu!$I$75,M1233=phu!$I$76,M1233=phu!$I$77,M1233=phu!$I$78),"Cam Phước Đông",""),IF(OR(M1233=phu!$I$79,M1233=phu!$I$80,M1233=phu!$I$81,M1233=phu!$I$82,M1233=phu!$I$83,M1233=phu!$I$84),"Cam Thịnh Đông",""),IF(OR(M1233=phu!$I$85,M1233=phu!$I$86,M1233=phu!$I$87,M1233=phu!$I$88),"Cam Thịnh Tây",""),IF(OR(M1233=phu!$I$89,M1233=phu!$I$90),"Cam Lập",""),IF(OR(M1233=phu!$I$91,M1233=phu!$I$92,M1233=phu!$I$93),"Cam Bình",""),IF(OR(M1233=phu!$I$94,M1233=phu!$I$95,M1233=phu!$I$96,M1233=phu!$I$97,M1233=phu!$I$98,M1233=phu!$I$99,M1233=phu!$I$100),"Huyện khác",""),IF(OR(M1233=phu!$I$101,M1233=phu!$I$102),"Tỉnh khác",""))</f>
        <v/>
      </c>
      <c r="O1233" s="829" t="str">
        <f t="shared" si="114"/>
        <v/>
      </c>
      <c r="P1233" s="254"/>
      <c r="Q1233" s="254"/>
      <c r="R1233" s="254"/>
      <c r="S1233" s="254"/>
      <c r="T1233" s="254"/>
      <c r="U1233" s="254"/>
      <c r="V1233" s="254"/>
      <c r="W1233" s="254"/>
      <c r="Y1233" s="246" t="str">
        <f t="shared" si="115"/>
        <v/>
      </c>
      <c r="Z1233" s="247" t="str">
        <f t="shared" si="119"/>
        <v/>
      </c>
      <c r="AA1233" s="246" t="str">
        <f t="shared" si="116"/>
        <v/>
      </c>
    </row>
    <row r="1234" spans="1:27" x14ac:dyDescent="0.25">
      <c r="A1234" s="248" t="str">
        <f t="shared" si="117"/>
        <v/>
      </c>
      <c r="B1234" s="249" t="str">
        <f t="shared" si="118"/>
        <v/>
      </c>
      <c r="C1234" s="250"/>
      <c r="D1234" s="251"/>
      <c r="E1234" s="241"/>
      <c r="F1234" s="252"/>
      <c r="G1234" s="252"/>
      <c r="H1234" s="253"/>
      <c r="I1234" s="250"/>
      <c r="J1234" s="250"/>
      <c r="K1234" s="270"/>
      <c r="L1234" s="250"/>
      <c r="M1234" s="250"/>
      <c r="N1234" s="540" t="str">
        <f>CONCATENATE(IF(OR(M1234=phu!$I$1,M1234=phu!$I$2,M1234=phu!$I$3),"Cam Thành Nam",""),IF(OR(M1234=phu!$I$4,M1234=phu!$I$5,M1234=phu!$I$6,M1234=phu!$I$7,M1234=phu!$I$8,M1234=phu!$I$9,M1234=phu!$I$10,M1234=phu!$I$11,M1234=phu!$I$12,M1234=phu!$I$13,M1234=phu!$I$14),"Cam Nghĩa",""),IF(OR(M1234=phu!$I$15,M1234=phu!$I$16,M1234=phu!$I$17,M1234=phu!$I$18,M1234=phu!$I$19,M1234=phu!$I$20,M1234=phu!$I$21),"Cam Phúc Bắc",""),IF(OR(M1234=phu!$I$22,M1234=phu!$I$23,M1234=phu!$I$24,M1234=phu!$I$25),"Cam Phúc Nam",""),IF(OR(M1234=phu!$I$26,M1234=phu!$I$27,M1234=phu!$I$28,M1234=phu!$I$29,M1234=phu!$I$30,M1234=phu!$I$31),"Cam Phú",""),IF(OR(M1234=phu!$I$32,M1234=phu!$I$33,M1234=phu!$I$34,M1234=phu!$I$35,M1234=phu!$I$36,M1234=phu!$I$37),"Cam Lộc",""),IF(OR(M1234=phu!$I$38,M1234=phu!$I$39,M1234=phu!$I$40,M1234=phu!$I$41,M1234=phu!$I$42,M1234=phu!$I$43,M1234=phu!$I$44),"Cam Thuận",""),IF(OR(M1234=phu!$I$45,M1234=phu!$I$46,M1234=phu!$I$47,M1234=phu!$I$48,M1234=phu!$I$49,M1234=phu!$I$50,M1234=phu!$I$51,M1234=phu!$I$52,M1234=phu!$I$53),"Cam Linh",""),IF(OR(M1234=phu!$I$54,M1234=phu!$I$55,M1234=phu!$I$56,M1234=phu!$I$57,M1234=phu!$I$58,M1234=phu!$I$59,M1234=phu!$I$60,M1234=phu!$I$61,M1234=phu!$I$62),"Cam Lợi",""),IF(OR(M1234=phu!$I$63,M1234=phu!$I$64,M1234=phu!$I$65,M1234=phu!$I$66,M1234=phu!$I$67,M1234=phu!$I$68,M1234=phu!$I$69,M1234=phu!$I$70,M1234=phu!$I$71),"Ba Ngòi",""),IF(OR(M1234=phu!$I$72,M1234=phu!$I$73,M1234=phu!$I$74,M1234=phu!$I$75,M1234=phu!$I$76,M1234=phu!$I$77,M1234=phu!$I$78),"Cam Phước Đông",""),IF(OR(M1234=phu!$I$79,M1234=phu!$I$80,M1234=phu!$I$81,M1234=phu!$I$82,M1234=phu!$I$83,M1234=phu!$I$84),"Cam Thịnh Đông",""),IF(OR(M1234=phu!$I$85,M1234=phu!$I$86,M1234=phu!$I$87,M1234=phu!$I$88),"Cam Thịnh Tây",""),IF(OR(M1234=phu!$I$89,M1234=phu!$I$90),"Cam Lập",""),IF(OR(M1234=phu!$I$91,M1234=phu!$I$92,M1234=phu!$I$93),"Cam Bình",""),IF(OR(M1234=phu!$I$94,M1234=phu!$I$95,M1234=phu!$I$96,M1234=phu!$I$97,M1234=phu!$I$98,M1234=phu!$I$99,M1234=phu!$I$100),"Huyện khác",""),IF(OR(M1234=phu!$I$101,M1234=phu!$I$102),"Tỉnh khác",""))</f>
        <v/>
      </c>
      <c r="O1234" s="829" t="str">
        <f t="shared" si="114"/>
        <v/>
      </c>
      <c r="P1234" s="254"/>
      <c r="Q1234" s="254"/>
      <c r="R1234" s="254"/>
      <c r="S1234" s="254"/>
      <c r="T1234" s="254"/>
      <c r="U1234" s="254"/>
      <c r="V1234" s="254"/>
      <c r="W1234" s="254"/>
      <c r="Y1234" s="246" t="str">
        <f t="shared" si="115"/>
        <v/>
      </c>
      <c r="Z1234" s="247" t="str">
        <f t="shared" si="119"/>
        <v/>
      </c>
      <c r="AA1234" s="246" t="str">
        <f t="shared" si="116"/>
        <v/>
      </c>
    </row>
    <row r="1235" spans="1:27" x14ac:dyDescent="0.25">
      <c r="A1235" s="248" t="str">
        <f t="shared" si="117"/>
        <v/>
      </c>
      <c r="B1235" s="249" t="str">
        <f t="shared" si="118"/>
        <v/>
      </c>
      <c r="C1235" s="250"/>
      <c r="D1235" s="251"/>
      <c r="E1235" s="241"/>
      <c r="F1235" s="252"/>
      <c r="G1235" s="252"/>
      <c r="H1235" s="253"/>
      <c r="I1235" s="250"/>
      <c r="J1235" s="250"/>
      <c r="K1235" s="270"/>
      <c r="L1235" s="250"/>
      <c r="M1235" s="250"/>
      <c r="N1235" s="540" t="str">
        <f>CONCATENATE(IF(OR(M1235=phu!$I$1,M1235=phu!$I$2,M1235=phu!$I$3),"Cam Thành Nam",""),IF(OR(M1235=phu!$I$4,M1235=phu!$I$5,M1235=phu!$I$6,M1235=phu!$I$7,M1235=phu!$I$8,M1235=phu!$I$9,M1235=phu!$I$10,M1235=phu!$I$11,M1235=phu!$I$12,M1235=phu!$I$13,M1235=phu!$I$14),"Cam Nghĩa",""),IF(OR(M1235=phu!$I$15,M1235=phu!$I$16,M1235=phu!$I$17,M1235=phu!$I$18,M1235=phu!$I$19,M1235=phu!$I$20,M1235=phu!$I$21),"Cam Phúc Bắc",""),IF(OR(M1235=phu!$I$22,M1235=phu!$I$23,M1235=phu!$I$24,M1235=phu!$I$25),"Cam Phúc Nam",""),IF(OR(M1235=phu!$I$26,M1235=phu!$I$27,M1235=phu!$I$28,M1235=phu!$I$29,M1235=phu!$I$30,M1235=phu!$I$31),"Cam Phú",""),IF(OR(M1235=phu!$I$32,M1235=phu!$I$33,M1235=phu!$I$34,M1235=phu!$I$35,M1235=phu!$I$36,M1235=phu!$I$37),"Cam Lộc",""),IF(OR(M1235=phu!$I$38,M1235=phu!$I$39,M1235=phu!$I$40,M1235=phu!$I$41,M1235=phu!$I$42,M1235=phu!$I$43,M1235=phu!$I$44),"Cam Thuận",""),IF(OR(M1235=phu!$I$45,M1235=phu!$I$46,M1235=phu!$I$47,M1235=phu!$I$48,M1235=phu!$I$49,M1235=phu!$I$50,M1235=phu!$I$51,M1235=phu!$I$52,M1235=phu!$I$53),"Cam Linh",""),IF(OR(M1235=phu!$I$54,M1235=phu!$I$55,M1235=phu!$I$56,M1235=phu!$I$57,M1235=phu!$I$58,M1235=phu!$I$59,M1235=phu!$I$60,M1235=phu!$I$61,M1235=phu!$I$62),"Cam Lợi",""),IF(OR(M1235=phu!$I$63,M1235=phu!$I$64,M1235=phu!$I$65,M1235=phu!$I$66,M1235=phu!$I$67,M1235=phu!$I$68,M1235=phu!$I$69,M1235=phu!$I$70,M1235=phu!$I$71),"Ba Ngòi",""),IF(OR(M1235=phu!$I$72,M1235=phu!$I$73,M1235=phu!$I$74,M1235=phu!$I$75,M1235=phu!$I$76,M1235=phu!$I$77,M1235=phu!$I$78),"Cam Phước Đông",""),IF(OR(M1235=phu!$I$79,M1235=phu!$I$80,M1235=phu!$I$81,M1235=phu!$I$82,M1235=phu!$I$83,M1235=phu!$I$84),"Cam Thịnh Đông",""),IF(OR(M1235=phu!$I$85,M1235=phu!$I$86,M1235=phu!$I$87,M1235=phu!$I$88),"Cam Thịnh Tây",""),IF(OR(M1235=phu!$I$89,M1235=phu!$I$90),"Cam Lập",""),IF(OR(M1235=phu!$I$91,M1235=phu!$I$92,M1235=phu!$I$93),"Cam Bình",""),IF(OR(M1235=phu!$I$94,M1235=phu!$I$95,M1235=phu!$I$96,M1235=phu!$I$97,M1235=phu!$I$98,M1235=phu!$I$99,M1235=phu!$I$100),"Huyện khác",""),IF(OR(M1235=phu!$I$101,M1235=phu!$I$102),"Tỉnh khác",""))</f>
        <v/>
      </c>
      <c r="O1235" s="829" t="str">
        <f t="shared" si="114"/>
        <v/>
      </c>
      <c r="P1235" s="254"/>
      <c r="Q1235" s="254"/>
      <c r="R1235" s="254"/>
      <c r="S1235" s="254"/>
      <c r="T1235" s="254"/>
      <c r="U1235" s="254"/>
      <c r="V1235" s="254"/>
      <c r="W1235" s="254"/>
      <c r="Y1235" s="246" t="str">
        <f t="shared" si="115"/>
        <v/>
      </c>
      <c r="Z1235" s="247" t="str">
        <f t="shared" si="119"/>
        <v/>
      </c>
      <c r="AA1235" s="246" t="str">
        <f t="shared" si="116"/>
        <v/>
      </c>
    </row>
    <row r="1236" spans="1:27" x14ac:dyDescent="0.25">
      <c r="A1236" s="248" t="str">
        <f t="shared" si="117"/>
        <v/>
      </c>
      <c r="B1236" s="249" t="str">
        <f t="shared" si="118"/>
        <v/>
      </c>
      <c r="C1236" s="250"/>
      <c r="D1236" s="251"/>
      <c r="E1236" s="241"/>
      <c r="F1236" s="252"/>
      <c r="G1236" s="252"/>
      <c r="H1236" s="253"/>
      <c r="I1236" s="250"/>
      <c r="J1236" s="250"/>
      <c r="K1236" s="270"/>
      <c r="L1236" s="250"/>
      <c r="M1236" s="250"/>
      <c r="N1236" s="540" t="str">
        <f>CONCATENATE(IF(OR(M1236=phu!$I$1,M1236=phu!$I$2,M1236=phu!$I$3),"Cam Thành Nam",""),IF(OR(M1236=phu!$I$4,M1236=phu!$I$5,M1236=phu!$I$6,M1236=phu!$I$7,M1236=phu!$I$8,M1236=phu!$I$9,M1236=phu!$I$10,M1236=phu!$I$11,M1236=phu!$I$12,M1236=phu!$I$13,M1236=phu!$I$14),"Cam Nghĩa",""),IF(OR(M1236=phu!$I$15,M1236=phu!$I$16,M1236=phu!$I$17,M1236=phu!$I$18,M1236=phu!$I$19,M1236=phu!$I$20,M1236=phu!$I$21),"Cam Phúc Bắc",""),IF(OR(M1236=phu!$I$22,M1236=phu!$I$23,M1236=phu!$I$24,M1236=phu!$I$25),"Cam Phúc Nam",""),IF(OR(M1236=phu!$I$26,M1236=phu!$I$27,M1236=phu!$I$28,M1236=phu!$I$29,M1236=phu!$I$30,M1236=phu!$I$31),"Cam Phú",""),IF(OR(M1236=phu!$I$32,M1236=phu!$I$33,M1236=phu!$I$34,M1236=phu!$I$35,M1236=phu!$I$36,M1236=phu!$I$37),"Cam Lộc",""),IF(OR(M1236=phu!$I$38,M1236=phu!$I$39,M1236=phu!$I$40,M1236=phu!$I$41,M1236=phu!$I$42,M1236=phu!$I$43,M1236=phu!$I$44),"Cam Thuận",""),IF(OR(M1236=phu!$I$45,M1236=phu!$I$46,M1236=phu!$I$47,M1236=phu!$I$48,M1236=phu!$I$49,M1236=phu!$I$50,M1236=phu!$I$51,M1236=phu!$I$52,M1236=phu!$I$53),"Cam Linh",""),IF(OR(M1236=phu!$I$54,M1236=phu!$I$55,M1236=phu!$I$56,M1236=phu!$I$57,M1236=phu!$I$58,M1236=phu!$I$59,M1236=phu!$I$60,M1236=phu!$I$61,M1236=phu!$I$62),"Cam Lợi",""),IF(OR(M1236=phu!$I$63,M1236=phu!$I$64,M1236=phu!$I$65,M1236=phu!$I$66,M1236=phu!$I$67,M1236=phu!$I$68,M1236=phu!$I$69,M1236=phu!$I$70,M1236=phu!$I$71),"Ba Ngòi",""),IF(OR(M1236=phu!$I$72,M1236=phu!$I$73,M1236=phu!$I$74,M1236=phu!$I$75,M1236=phu!$I$76,M1236=phu!$I$77,M1236=phu!$I$78),"Cam Phước Đông",""),IF(OR(M1236=phu!$I$79,M1236=phu!$I$80,M1236=phu!$I$81,M1236=phu!$I$82,M1236=phu!$I$83,M1236=phu!$I$84),"Cam Thịnh Đông",""),IF(OR(M1236=phu!$I$85,M1236=phu!$I$86,M1236=phu!$I$87,M1236=phu!$I$88),"Cam Thịnh Tây",""),IF(OR(M1236=phu!$I$89,M1236=phu!$I$90),"Cam Lập",""),IF(OR(M1236=phu!$I$91,M1236=phu!$I$92,M1236=phu!$I$93),"Cam Bình",""),IF(OR(M1236=phu!$I$94,M1236=phu!$I$95,M1236=phu!$I$96,M1236=phu!$I$97,M1236=phu!$I$98,M1236=phu!$I$99,M1236=phu!$I$100),"Huyện khác",""),IF(OR(M1236=phu!$I$101,M1236=phu!$I$102),"Tỉnh khác",""))</f>
        <v/>
      </c>
      <c r="O1236" s="829" t="str">
        <f t="shared" si="114"/>
        <v/>
      </c>
      <c r="P1236" s="254"/>
      <c r="Q1236" s="254"/>
      <c r="R1236" s="254"/>
      <c r="S1236" s="254"/>
      <c r="T1236" s="254"/>
      <c r="U1236" s="254"/>
      <c r="V1236" s="254"/>
      <c r="W1236" s="254"/>
      <c r="Y1236" s="246" t="str">
        <f t="shared" si="115"/>
        <v/>
      </c>
      <c r="Z1236" s="247" t="str">
        <f t="shared" si="119"/>
        <v/>
      </c>
      <c r="AA1236" s="246" t="str">
        <f t="shared" si="116"/>
        <v/>
      </c>
    </row>
    <row r="1237" spans="1:27" x14ac:dyDescent="0.25">
      <c r="A1237" s="248" t="str">
        <f t="shared" si="117"/>
        <v/>
      </c>
      <c r="B1237" s="249" t="str">
        <f t="shared" si="118"/>
        <v/>
      </c>
      <c r="C1237" s="250"/>
      <c r="D1237" s="251"/>
      <c r="E1237" s="241"/>
      <c r="F1237" s="252"/>
      <c r="G1237" s="252"/>
      <c r="H1237" s="253"/>
      <c r="I1237" s="250"/>
      <c r="J1237" s="250"/>
      <c r="K1237" s="270"/>
      <c r="L1237" s="250"/>
      <c r="M1237" s="250"/>
      <c r="N1237" s="540" t="str">
        <f>CONCATENATE(IF(OR(M1237=phu!$I$1,M1237=phu!$I$2,M1237=phu!$I$3),"Cam Thành Nam",""),IF(OR(M1237=phu!$I$4,M1237=phu!$I$5,M1237=phu!$I$6,M1237=phu!$I$7,M1237=phu!$I$8,M1237=phu!$I$9,M1237=phu!$I$10,M1237=phu!$I$11,M1237=phu!$I$12,M1237=phu!$I$13,M1237=phu!$I$14),"Cam Nghĩa",""),IF(OR(M1237=phu!$I$15,M1237=phu!$I$16,M1237=phu!$I$17,M1237=phu!$I$18,M1237=phu!$I$19,M1237=phu!$I$20,M1237=phu!$I$21),"Cam Phúc Bắc",""),IF(OR(M1237=phu!$I$22,M1237=phu!$I$23,M1237=phu!$I$24,M1237=phu!$I$25),"Cam Phúc Nam",""),IF(OR(M1237=phu!$I$26,M1237=phu!$I$27,M1237=phu!$I$28,M1237=phu!$I$29,M1237=phu!$I$30,M1237=phu!$I$31),"Cam Phú",""),IF(OR(M1237=phu!$I$32,M1237=phu!$I$33,M1237=phu!$I$34,M1237=phu!$I$35,M1237=phu!$I$36,M1237=phu!$I$37),"Cam Lộc",""),IF(OR(M1237=phu!$I$38,M1237=phu!$I$39,M1237=phu!$I$40,M1237=phu!$I$41,M1237=phu!$I$42,M1237=phu!$I$43,M1237=phu!$I$44),"Cam Thuận",""),IF(OR(M1237=phu!$I$45,M1237=phu!$I$46,M1237=phu!$I$47,M1237=phu!$I$48,M1237=phu!$I$49,M1237=phu!$I$50,M1237=phu!$I$51,M1237=phu!$I$52,M1237=phu!$I$53),"Cam Linh",""),IF(OR(M1237=phu!$I$54,M1237=phu!$I$55,M1237=phu!$I$56,M1237=phu!$I$57,M1237=phu!$I$58,M1237=phu!$I$59,M1237=phu!$I$60,M1237=phu!$I$61,M1237=phu!$I$62),"Cam Lợi",""),IF(OR(M1237=phu!$I$63,M1237=phu!$I$64,M1237=phu!$I$65,M1237=phu!$I$66,M1237=phu!$I$67,M1237=phu!$I$68,M1237=phu!$I$69,M1237=phu!$I$70,M1237=phu!$I$71),"Ba Ngòi",""),IF(OR(M1237=phu!$I$72,M1237=phu!$I$73,M1237=phu!$I$74,M1237=phu!$I$75,M1237=phu!$I$76,M1237=phu!$I$77,M1237=phu!$I$78),"Cam Phước Đông",""),IF(OR(M1237=phu!$I$79,M1237=phu!$I$80,M1237=phu!$I$81,M1237=phu!$I$82,M1237=phu!$I$83,M1237=phu!$I$84),"Cam Thịnh Đông",""),IF(OR(M1237=phu!$I$85,M1237=phu!$I$86,M1237=phu!$I$87,M1237=phu!$I$88),"Cam Thịnh Tây",""),IF(OR(M1237=phu!$I$89,M1237=phu!$I$90),"Cam Lập",""),IF(OR(M1237=phu!$I$91,M1237=phu!$I$92,M1237=phu!$I$93),"Cam Bình",""),IF(OR(M1237=phu!$I$94,M1237=phu!$I$95,M1237=phu!$I$96,M1237=phu!$I$97,M1237=phu!$I$98,M1237=phu!$I$99,M1237=phu!$I$100),"Huyện khác",""),IF(OR(M1237=phu!$I$101,M1237=phu!$I$102),"Tỉnh khác",""))</f>
        <v/>
      </c>
      <c r="O1237" s="829" t="str">
        <f t="shared" si="114"/>
        <v/>
      </c>
      <c r="P1237" s="254"/>
      <c r="Q1237" s="254"/>
      <c r="R1237" s="254"/>
      <c r="S1237" s="254"/>
      <c r="T1237" s="254"/>
      <c r="U1237" s="254"/>
      <c r="V1237" s="254"/>
      <c r="W1237" s="254"/>
      <c r="Y1237" s="246" t="str">
        <f t="shared" si="115"/>
        <v/>
      </c>
      <c r="Z1237" s="247" t="str">
        <f t="shared" si="119"/>
        <v/>
      </c>
      <c r="AA1237" s="246" t="str">
        <f t="shared" si="116"/>
        <v/>
      </c>
    </row>
    <row r="1238" spans="1:27" x14ac:dyDescent="0.25">
      <c r="A1238" s="248" t="str">
        <f t="shared" si="117"/>
        <v/>
      </c>
      <c r="B1238" s="249" t="str">
        <f t="shared" si="118"/>
        <v/>
      </c>
      <c r="C1238" s="250"/>
      <c r="D1238" s="251"/>
      <c r="E1238" s="241"/>
      <c r="F1238" s="252"/>
      <c r="G1238" s="252"/>
      <c r="H1238" s="253"/>
      <c r="I1238" s="250"/>
      <c r="J1238" s="250"/>
      <c r="K1238" s="270"/>
      <c r="L1238" s="250"/>
      <c r="M1238" s="250"/>
      <c r="N1238" s="540" t="str">
        <f>CONCATENATE(IF(OR(M1238=phu!$I$1,M1238=phu!$I$2,M1238=phu!$I$3),"Cam Thành Nam",""),IF(OR(M1238=phu!$I$4,M1238=phu!$I$5,M1238=phu!$I$6,M1238=phu!$I$7,M1238=phu!$I$8,M1238=phu!$I$9,M1238=phu!$I$10,M1238=phu!$I$11,M1238=phu!$I$12,M1238=phu!$I$13,M1238=phu!$I$14),"Cam Nghĩa",""),IF(OR(M1238=phu!$I$15,M1238=phu!$I$16,M1238=phu!$I$17,M1238=phu!$I$18,M1238=phu!$I$19,M1238=phu!$I$20,M1238=phu!$I$21),"Cam Phúc Bắc",""),IF(OR(M1238=phu!$I$22,M1238=phu!$I$23,M1238=phu!$I$24,M1238=phu!$I$25),"Cam Phúc Nam",""),IF(OR(M1238=phu!$I$26,M1238=phu!$I$27,M1238=phu!$I$28,M1238=phu!$I$29,M1238=phu!$I$30,M1238=phu!$I$31),"Cam Phú",""),IF(OR(M1238=phu!$I$32,M1238=phu!$I$33,M1238=phu!$I$34,M1238=phu!$I$35,M1238=phu!$I$36,M1238=phu!$I$37),"Cam Lộc",""),IF(OR(M1238=phu!$I$38,M1238=phu!$I$39,M1238=phu!$I$40,M1238=phu!$I$41,M1238=phu!$I$42,M1238=phu!$I$43,M1238=phu!$I$44),"Cam Thuận",""),IF(OR(M1238=phu!$I$45,M1238=phu!$I$46,M1238=phu!$I$47,M1238=phu!$I$48,M1238=phu!$I$49,M1238=phu!$I$50,M1238=phu!$I$51,M1238=phu!$I$52,M1238=phu!$I$53),"Cam Linh",""),IF(OR(M1238=phu!$I$54,M1238=phu!$I$55,M1238=phu!$I$56,M1238=phu!$I$57,M1238=phu!$I$58,M1238=phu!$I$59,M1238=phu!$I$60,M1238=phu!$I$61,M1238=phu!$I$62),"Cam Lợi",""),IF(OR(M1238=phu!$I$63,M1238=phu!$I$64,M1238=phu!$I$65,M1238=phu!$I$66,M1238=phu!$I$67,M1238=phu!$I$68,M1238=phu!$I$69,M1238=phu!$I$70,M1238=phu!$I$71),"Ba Ngòi",""),IF(OR(M1238=phu!$I$72,M1238=phu!$I$73,M1238=phu!$I$74,M1238=phu!$I$75,M1238=phu!$I$76,M1238=phu!$I$77,M1238=phu!$I$78),"Cam Phước Đông",""),IF(OR(M1238=phu!$I$79,M1238=phu!$I$80,M1238=phu!$I$81,M1238=phu!$I$82,M1238=phu!$I$83,M1238=phu!$I$84),"Cam Thịnh Đông",""),IF(OR(M1238=phu!$I$85,M1238=phu!$I$86,M1238=phu!$I$87,M1238=phu!$I$88),"Cam Thịnh Tây",""),IF(OR(M1238=phu!$I$89,M1238=phu!$I$90),"Cam Lập",""),IF(OR(M1238=phu!$I$91,M1238=phu!$I$92,M1238=phu!$I$93),"Cam Bình",""),IF(OR(M1238=phu!$I$94,M1238=phu!$I$95,M1238=phu!$I$96,M1238=phu!$I$97,M1238=phu!$I$98,M1238=phu!$I$99,M1238=phu!$I$100),"Huyện khác",""),IF(OR(M1238=phu!$I$101,M1238=phu!$I$102),"Tỉnh khác",""))</f>
        <v/>
      </c>
      <c r="O1238" s="829" t="str">
        <f t="shared" si="114"/>
        <v/>
      </c>
      <c r="P1238" s="254"/>
      <c r="Q1238" s="254"/>
      <c r="R1238" s="254"/>
      <c r="S1238" s="254"/>
      <c r="T1238" s="254"/>
      <c r="U1238" s="254"/>
      <c r="V1238" s="254"/>
      <c r="W1238" s="254"/>
      <c r="Y1238" s="246" t="str">
        <f t="shared" si="115"/>
        <v/>
      </c>
      <c r="Z1238" s="247" t="str">
        <f t="shared" si="119"/>
        <v/>
      </c>
      <c r="AA1238" s="246" t="str">
        <f t="shared" si="116"/>
        <v/>
      </c>
    </row>
    <row r="1239" spans="1:27" x14ac:dyDescent="0.25">
      <c r="A1239" s="248" t="str">
        <f t="shared" si="117"/>
        <v/>
      </c>
      <c r="B1239" s="249" t="str">
        <f t="shared" si="118"/>
        <v/>
      </c>
      <c r="C1239" s="250"/>
      <c r="D1239" s="251"/>
      <c r="E1239" s="241"/>
      <c r="F1239" s="252"/>
      <c r="G1239" s="252"/>
      <c r="H1239" s="253"/>
      <c r="I1239" s="250"/>
      <c r="J1239" s="250"/>
      <c r="K1239" s="270"/>
      <c r="L1239" s="250"/>
      <c r="M1239" s="250"/>
      <c r="N1239" s="540" t="str">
        <f>CONCATENATE(IF(OR(M1239=phu!$I$1,M1239=phu!$I$2,M1239=phu!$I$3),"Cam Thành Nam",""),IF(OR(M1239=phu!$I$4,M1239=phu!$I$5,M1239=phu!$I$6,M1239=phu!$I$7,M1239=phu!$I$8,M1239=phu!$I$9,M1239=phu!$I$10,M1239=phu!$I$11,M1239=phu!$I$12,M1239=phu!$I$13,M1239=phu!$I$14),"Cam Nghĩa",""),IF(OR(M1239=phu!$I$15,M1239=phu!$I$16,M1239=phu!$I$17,M1239=phu!$I$18,M1239=phu!$I$19,M1239=phu!$I$20,M1239=phu!$I$21),"Cam Phúc Bắc",""),IF(OR(M1239=phu!$I$22,M1239=phu!$I$23,M1239=phu!$I$24,M1239=phu!$I$25),"Cam Phúc Nam",""),IF(OR(M1239=phu!$I$26,M1239=phu!$I$27,M1239=phu!$I$28,M1239=phu!$I$29,M1239=phu!$I$30,M1239=phu!$I$31),"Cam Phú",""),IF(OR(M1239=phu!$I$32,M1239=phu!$I$33,M1239=phu!$I$34,M1239=phu!$I$35,M1239=phu!$I$36,M1239=phu!$I$37),"Cam Lộc",""),IF(OR(M1239=phu!$I$38,M1239=phu!$I$39,M1239=phu!$I$40,M1239=phu!$I$41,M1239=phu!$I$42,M1239=phu!$I$43,M1239=phu!$I$44),"Cam Thuận",""),IF(OR(M1239=phu!$I$45,M1239=phu!$I$46,M1239=phu!$I$47,M1239=phu!$I$48,M1239=phu!$I$49,M1239=phu!$I$50,M1239=phu!$I$51,M1239=phu!$I$52,M1239=phu!$I$53),"Cam Linh",""),IF(OR(M1239=phu!$I$54,M1239=phu!$I$55,M1239=phu!$I$56,M1239=phu!$I$57,M1239=phu!$I$58,M1239=phu!$I$59,M1239=phu!$I$60,M1239=phu!$I$61,M1239=phu!$I$62),"Cam Lợi",""),IF(OR(M1239=phu!$I$63,M1239=phu!$I$64,M1239=phu!$I$65,M1239=phu!$I$66,M1239=phu!$I$67,M1239=phu!$I$68,M1239=phu!$I$69,M1239=phu!$I$70,M1239=phu!$I$71),"Ba Ngòi",""),IF(OR(M1239=phu!$I$72,M1239=phu!$I$73,M1239=phu!$I$74,M1239=phu!$I$75,M1239=phu!$I$76,M1239=phu!$I$77,M1239=phu!$I$78),"Cam Phước Đông",""),IF(OR(M1239=phu!$I$79,M1239=phu!$I$80,M1239=phu!$I$81,M1239=phu!$I$82,M1239=phu!$I$83,M1239=phu!$I$84),"Cam Thịnh Đông",""),IF(OR(M1239=phu!$I$85,M1239=phu!$I$86,M1239=phu!$I$87,M1239=phu!$I$88),"Cam Thịnh Tây",""),IF(OR(M1239=phu!$I$89,M1239=phu!$I$90),"Cam Lập",""),IF(OR(M1239=phu!$I$91,M1239=phu!$I$92,M1239=phu!$I$93),"Cam Bình",""),IF(OR(M1239=phu!$I$94,M1239=phu!$I$95,M1239=phu!$I$96,M1239=phu!$I$97,M1239=phu!$I$98,M1239=phu!$I$99,M1239=phu!$I$100),"Huyện khác",""),IF(OR(M1239=phu!$I$101,M1239=phu!$I$102),"Tỉnh khác",""))</f>
        <v/>
      </c>
      <c r="O1239" s="829" t="str">
        <f t="shared" si="114"/>
        <v/>
      </c>
      <c r="P1239" s="254"/>
      <c r="Q1239" s="254"/>
      <c r="R1239" s="254"/>
      <c r="S1239" s="254"/>
      <c r="T1239" s="254"/>
      <c r="U1239" s="254"/>
      <c r="V1239" s="254"/>
      <c r="W1239" s="254"/>
      <c r="Y1239" s="246" t="str">
        <f t="shared" si="115"/>
        <v/>
      </c>
      <c r="Z1239" s="247" t="str">
        <f t="shared" si="119"/>
        <v/>
      </c>
      <c r="AA1239" s="246" t="str">
        <f t="shared" si="116"/>
        <v/>
      </c>
    </row>
    <row r="1240" spans="1:27" x14ac:dyDescent="0.25">
      <c r="A1240" s="248" t="str">
        <f t="shared" si="117"/>
        <v/>
      </c>
      <c r="B1240" s="249" t="str">
        <f t="shared" si="118"/>
        <v/>
      </c>
      <c r="C1240" s="250"/>
      <c r="D1240" s="251"/>
      <c r="E1240" s="241"/>
      <c r="F1240" s="252"/>
      <c r="G1240" s="252"/>
      <c r="H1240" s="253"/>
      <c r="I1240" s="250"/>
      <c r="J1240" s="250"/>
      <c r="K1240" s="270"/>
      <c r="L1240" s="250"/>
      <c r="M1240" s="250"/>
      <c r="N1240" s="540" t="str">
        <f>CONCATENATE(IF(OR(M1240=phu!$I$1,M1240=phu!$I$2,M1240=phu!$I$3),"Cam Thành Nam",""),IF(OR(M1240=phu!$I$4,M1240=phu!$I$5,M1240=phu!$I$6,M1240=phu!$I$7,M1240=phu!$I$8,M1240=phu!$I$9,M1240=phu!$I$10,M1240=phu!$I$11,M1240=phu!$I$12,M1240=phu!$I$13,M1240=phu!$I$14),"Cam Nghĩa",""),IF(OR(M1240=phu!$I$15,M1240=phu!$I$16,M1240=phu!$I$17,M1240=phu!$I$18,M1240=phu!$I$19,M1240=phu!$I$20,M1240=phu!$I$21),"Cam Phúc Bắc",""),IF(OR(M1240=phu!$I$22,M1240=phu!$I$23,M1240=phu!$I$24,M1240=phu!$I$25),"Cam Phúc Nam",""),IF(OR(M1240=phu!$I$26,M1240=phu!$I$27,M1240=phu!$I$28,M1240=phu!$I$29,M1240=phu!$I$30,M1240=phu!$I$31),"Cam Phú",""),IF(OR(M1240=phu!$I$32,M1240=phu!$I$33,M1240=phu!$I$34,M1240=phu!$I$35,M1240=phu!$I$36,M1240=phu!$I$37),"Cam Lộc",""),IF(OR(M1240=phu!$I$38,M1240=phu!$I$39,M1240=phu!$I$40,M1240=phu!$I$41,M1240=phu!$I$42,M1240=phu!$I$43,M1240=phu!$I$44),"Cam Thuận",""),IF(OR(M1240=phu!$I$45,M1240=phu!$I$46,M1240=phu!$I$47,M1240=phu!$I$48,M1240=phu!$I$49,M1240=phu!$I$50,M1240=phu!$I$51,M1240=phu!$I$52,M1240=phu!$I$53),"Cam Linh",""),IF(OR(M1240=phu!$I$54,M1240=phu!$I$55,M1240=phu!$I$56,M1240=phu!$I$57,M1240=phu!$I$58,M1240=phu!$I$59,M1240=phu!$I$60,M1240=phu!$I$61,M1240=phu!$I$62),"Cam Lợi",""),IF(OR(M1240=phu!$I$63,M1240=phu!$I$64,M1240=phu!$I$65,M1240=phu!$I$66,M1240=phu!$I$67,M1240=phu!$I$68,M1240=phu!$I$69,M1240=phu!$I$70,M1240=phu!$I$71),"Ba Ngòi",""),IF(OR(M1240=phu!$I$72,M1240=phu!$I$73,M1240=phu!$I$74,M1240=phu!$I$75,M1240=phu!$I$76,M1240=phu!$I$77,M1240=phu!$I$78),"Cam Phước Đông",""),IF(OR(M1240=phu!$I$79,M1240=phu!$I$80,M1240=phu!$I$81,M1240=phu!$I$82,M1240=phu!$I$83,M1240=phu!$I$84),"Cam Thịnh Đông",""),IF(OR(M1240=phu!$I$85,M1240=phu!$I$86,M1240=phu!$I$87,M1240=phu!$I$88),"Cam Thịnh Tây",""),IF(OR(M1240=phu!$I$89,M1240=phu!$I$90),"Cam Lập",""),IF(OR(M1240=phu!$I$91,M1240=phu!$I$92,M1240=phu!$I$93),"Cam Bình",""),IF(OR(M1240=phu!$I$94,M1240=phu!$I$95,M1240=phu!$I$96,M1240=phu!$I$97,M1240=phu!$I$98,M1240=phu!$I$99,M1240=phu!$I$100),"Huyện khác",""),IF(OR(M1240=phu!$I$101,M1240=phu!$I$102),"Tỉnh khác",""))</f>
        <v/>
      </c>
      <c r="O1240" s="829" t="str">
        <f t="shared" si="114"/>
        <v/>
      </c>
      <c r="P1240" s="254"/>
      <c r="Q1240" s="254"/>
      <c r="R1240" s="254"/>
      <c r="S1240" s="254"/>
      <c r="T1240" s="254"/>
      <c r="U1240" s="254"/>
      <c r="V1240" s="254"/>
      <c r="W1240" s="254"/>
      <c r="Y1240" s="246" t="str">
        <f t="shared" si="115"/>
        <v/>
      </c>
      <c r="Z1240" s="247" t="str">
        <f t="shared" si="119"/>
        <v/>
      </c>
      <c r="AA1240" s="246" t="str">
        <f t="shared" si="116"/>
        <v/>
      </c>
    </row>
    <row r="1241" spans="1:27" x14ac:dyDescent="0.25">
      <c r="A1241" s="248" t="str">
        <f t="shared" si="117"/>
        <v/>
      </c>
      <c r="B1241" s="249" t="str">
        <f t="shared" si="118"/>
        <v/>
      </c>
      <c r="C1241" s="250"/>
      <c r="D1241" s="251"/>
      <c r="E1241" s="241"/>
      <c r="F1241" s="252"/>
      <c r="G1241" s="252"/>
      <c r="H1241" s="253"/>
      <c r="I1241" s="250"/>
      <c r="J1241" s="250"/>
      <c r="K1241" s="270"/>
      <c r="L1241" s="250"/>
      <c r="M1241" s="250"/>
      <c r="N1241" s="540" t="str">
        <f>CONCATENATE(IF(OR(M1241=phu!$I$1,M1241=phu!$I$2,M1241=phu!$I$3),"Cam Thành Nam",""),IF(OR(M1241=phu!$I$4,M1241=phu!$I$5,M1241=phu!$I$6,M1241=phu!$I$7,M1241=phu!$I$8,M1241=phu!$I$9,M1241=phu!$I$10,M1241=phu!$I$11,M1241=phu!$I$12,M1241=phu!$I$13,M1241=phu!$I$14),"Cam Nghĩa",""),IF(OR(M1241=phu!$I$15,M1241=phu!$I$16,M1241=phu!$I$17,M1241=phu!$I$18,M1241=phu!$I$19,M1241=phu!$I$20,M1241=phu!$I$21),"Cam Phúc Bắc",""),IF(OR(M1241=phu!$I$22,M1241=phu!$I$23,M1241=phu!$I$24,M1241=phu!$I$25),"Cam Phúc Nam",""),IF(OR(M1241=phu!$I$26,M1241=phu!$I$27,M1241=phu!$I$28,M1241=phu!$I$29,M1241=phu!$I$30,M1241=phu!$I$31),"Cam Phú",""),IF(OR(M1241=phu!$I$32,M1241=phu!$I$33,M1241=phu!$I$34,M1241=phu!$I$35,M1241=phu!$I$36,M1241=phu!$I$37),"Cam Lộc",""),IF(OR(M1241=phu!$I$38,M1241=phu!$I$39,M1241=phu!$I$40,M1241=phu!$I$41,M1241=phu!$I$42,M1241=phu!$I$43,M1241=phu!$I$44),"Cam Thuận",""),IF(OR(M1241=phu!$I$45,M1241=phu!$I$46,M1241=phu!$I$47,M1241=phu!$I$48,M1241=phu!$I$49,M1241=phu!$I$50,M1241=phu!$I$51,M1241=phu!$I$52,M1241=phu!$I$53),"Cam Linh",""),IF(OR(M1241=phu!$I$54,M1241=phu!$I$55,M1241=phu!$I$56,M1241=phu!$I$57,M1241=phu!$I$58,M1241=phu!$I$59,M1241=phu!$I$60,M1241=phu!$I$61,M1241=phu!$I$62),"Cam Lợi",""),IF(OR(M1241=phu!$I$63,M1241=phu!$I$64,M1241=phu!$I$65,M1241=phu!$I$66,M1241=phu!$I$67,M1241=phu!$I$68,M1241=phu!$I$69,M1241=phu!$I$70,M1241=phu!$I$71),"Ba Ngòi",""),IF(OR(M1241=phu!$I$72,M1241=phu!$I$73,M1241=phu!$I$74,M1241=phu!$I$75,M1241=phu!$I$76,M1241=phu!$I$77,M1241=phu!$I$78),"Cam Phước Đông",""),IF(OR(M1241=phu!$I$79,M1241=phu!$I$80,M1241=phu!$I$81,M1241=phu!$I$82,M1241=phu!$I$83,M1241=phu!$I$84),"Cam Thịnh Đông",""),IF(OR(M1241=phu!$I$85,M1241=phu!$I$86,M1241=phu!$I$87,M1241=phu!$I$88),"Cam Thịnh Tây",""),IF(OR(M1241=phu!$I$89,M1241=phu!$I$90),"Cam Lập",""),IF(OR(M1241=phu!$I$91,M1241=phu!$I$92,M1241=phu!$I$93),"Cam Bình",""),IF(OR(M1241=phu!$I$94,M1241=phu!$I$95,M1241=phu!$I$96,M1241=phu!$I$97,M1241=phu!$I$98,M1241=phu!$I$99,M1241=phu!$I$100),"Huyện khác",""),IF(OR(M1241=phu!$I$101,M1241=phu!$I$102),"Tỉnh khác",""))</f>
        <v/>
      </c>
      <c r="O1241" s="829" t="str">
        <f t="shared" si="114"/>
        <v/>
      </c>
      <c r="P1241" s="254"/>
      <c r="Q1241" s="254"/>
      <c r="R1241" s="254"/>
      <c r="S1241" s="254"/>
      <c r="T1241" s="254"/>
      <c r="U1241" s="254"/>
      <c r="V1241" s="254"/>
      <c r="W1241" s="254"/>
      <c r="Y1241" s="246" t="str">
        <f t="shared" si="115"/>
        <v/>
      </c>
      <c r="Z1241" s="247" t="str">
        <f t="shared" si="119"/>
        <v/>
      </c>
      <c r="AA1241" s="246" t="str">
        <f t="shared" si="116"/>
        <v/>
      </c>
    </row>
    <row r="1242" spans="1:27" x14ac:dyDescent="0.25">
      <c r="A1242" s="248" t="str">
        <f t="shared" si="117"/>
        <v/>
      </c>
      <c r="B1242" s="249" t="str">
        <f t="shared" si="118"/>
        <v/>
      </c>
      <c r="C1242" s="250"/>
      <c r="D1242" s="251"/>
      <c r="E1242" s="241"/>
      <c r="F1242" s="252"/>
      <c r="G1242" s="252"/>
      <c r="H1242" s="253"/>
      <c r="I1242" s="250"/>
      <c r="J1242" s="250"/>
      <c r="K1242" s="270"/>
      <c r="L1242" s="250"/>
      <c r="M1242" s="250"/>
      <c r="N1242" s="540" t="str">
        <f>CONCATENATE(IF(OR(M1242=phu!$I$1,M1242=phu!$I$2,M1242=phu!$I$3),"Cam Thành Nam",""),IF(OR(M1242=phu!$I$4,M1242=phu!$I$5,M1242=phu!$I$6,M1242=phu!$I$7,M1242=phu!$I$8,M1242=phu!$I$9,M1242=phu!$I$10,M1242=phu!$I$11,M1242=phu!$I$12,M1242=phu!$I$13,M1242=phu!$I$14),"Cam Nghĩa",""),IF(OR(M1242=phu!$I$15,M1242=phu!$I$16,M1242=phu!$I$17,M1242=phu!$I$18,M1242=phu!$I$19,M1242=phu!$I$20,M1242=phu!$I$21),"Cam Phúc Bắc",""),IF(OR(M1242=phu!$I$22,M1242=phu!$I$23,M1242=phu!$I$24,M1242=phu!$I$25),"Cam Phúc Nam",""),IF(OR(M1242=phu!$I$26,M1242=phu!$I$27,M1242=phu!$I$28,M1242=phu!$I$29,M1242=phu!$I$30,M1242=phu!$I$31),"Cam Phú",""),IF(OR(M1242=phu!$I$32,M1242=phu!$I$33,M1242=phu!$I$34,M1242=phu!$I$35,M1242=phu!$I$36,M1242=phu!$I$37),"Cam Lộc",""),IF(OR(M1242=phu!$I$38,M1242=phu!$I$39,M1242=phu!$I$40,M1242=phu!$I$41,M1242=phu!$I$42,M1242=phu!$I$43,M1242=phu!$I$44),"Cam Thuận",""),IF(OR(M1242=phu!$I$45,M1242=phu!$I$46,M1242=phu!$I$47,M1242=phu!$I$48,M1242=phu!$I$49,M1242=phu!$I$50,M1242=phu!$I$51,M1242=phu!$I$52,M1242=phu!$I$53),"Cam Linh",""),IF(OR(M1242=phu!$I$54,M1242=phu!$I$55,M1242=phu!$I$56,M1242=phu!$I$57,M1242=phu!$I$58,M1242=phu!$I$59,M1242=phu!$I$60,M1242=phu!$I$61,M1242=phu!$I$62),"Cam Lợi",""),IF(OR(M1242=phu!$I$63,M1242=phu!$I$64,M1242=phu!$I$65,M1242=phu!$I$66,M1242=phu!$I$67,M1242=phu!$I$68,M1242=phu!$I$69,M1242=phu!$I$70,M1242=phu!$I$71),"Ba Ngòi",""),IF(OR(M1242=phu!$I$72,M1242=phu!$I$73,M1242=phu!$I$74,M1242=phu!$I$75,M1242=phu!$I$76,M1242=phu!$I$77,M1242=phu!$I$78),"Cam Phước Đông",""),IF(OR(M1242=phu!$I$79,M1242=phu!$I$80,M1242=phu!$I$81,M1242=phu!$I$82,M1242=phu!$I$83,M1242=phu!$I$84),"Cam Thịnh Đông",""),IF(OR(M1242=phu!$I$85,M1242=phu!$I$86,M1242=phu!$I$87,M1242=phu!$I$88),"Cam Thịnh Tây",""),IF(OR(M1242=phu!$I$89,M1242=phu!$I$90),"Cam Lập",""),IF(OR(M1242=phu!$I$91,M1242=phu!$I$92,M1242=phu!$I$93),"Cam Bình",""),IF(OR(M1242=phu!$I$94,M1242=phu!$I$95,M1242=phu!$I$96,M1242=phu!$I$97,M1242=phu!$I$98,M1242=phu!$I$99,M1242=phu!$I$100),"Huyện khác",""),IF(OR(M1242=phu!$I$101,M1242=phu!$I$102),"Tỉnh khác",""))</f>
        <v/>
      </c>
      <c r="O1242" s="829" t="str">
        <f t="shared" si="114"/>
        <v/>
      </c>
      <c r="P1242" s="254"/>
      <c r="Q1242" s="254"/>
      <c r="R1242" s="254"/>
      <c r="S1242" s="254"/>
      <c r="T1242" s="254"/>
      <c r="U1242" s="254"/>
      <c r="V1242" s="254"/>
      <c r="W1242" s="254"/>
      <c r="Y1242" s="246" t="str">
        <f t="shared" si="115"/>
        <v/>
      </c>
      <c r="Z1242" s="247" t="str">
        <f t="shared" si="119"/>
        <v/>
      </c>
      <c r="AA1242" s="246" t="str">
        <f t="shared" si="116"/>
        <v/>
      </c>
    </row>
    <row r="1243" spans="1:27" x14ac:dyDescent="0.25">
      <c r="A1243" s="248" t="str">
        <f t="shared" si="117"/>
        <v/>
      </c>
      <c r="B1243" s="249" t="str">
        <f t="shared" si="118"/>
        <v/>
      </c>
      <c r="C1243" s="250"/>
      <c r="D1243" s="251"/>
      <c r="E1243" s="241"/>
      <c r="F1243" s="252"/>
      <c r="G1243" s="252"/>
      <c r="H1243" s="253"/>
      <c r="I1243" s="250"/>
      <c r="J1243" s="250"/>
      <c r="K1243" s="270"/>
      <c r="L1243" s="250"/>
      <c r="M1243" s="250"/>
      <c r="N1243" s="540" t="str">
        <f>CONCATENATE(IF(OR(M1243=phu!$I$1,M1243=phu!$I$2,M1243=phu!$I$3),"Cam Thành Nam",""),IF(OR(M1243=phu!$I$4,M1243=phu!$I$5,M1243=phu!$I$6,M1243=phu!$I$7,M1243=phu!$I$8,M1243=phu!$I$9,M1243=phu!$I$10,M1243=phu!$I$11,M1243=phu!$I$12,M1243=phu!$I$13,M1243=phu!$I$14),"Cam Nghĩa",""),IF(OR(M1243=phu!$I$15,M1243=phu!$I$16,M1243=phu!$I$17,M1243=phu!$I$18,M1243=phu!$I$19,M1243=phu!$I$20,M1243=phu!$I$21),"Cam Phúc Bắc",""),IF(OR(M1243=phu!$I$22,M1243=phu!$I$23,M1243=phu!$I$24,M1243=phu!$I$25),"Cam Phúc Nam",""),IF(OR(M1243=phu!$I$26,M1243=phu!$I$27,M1243=phu!$I$28,M1243=phu!$I$29,M1243=phu!$I$30,M1243=phu!$I$31),"Cam Phú",""),IF(OR(M1243=phu!$I$32,M1243=phu!$I$33,M1243=phu!$I$34,M1243=phu!$I$35,M1243=phu!$I$36,M1243=phu!$I$37),"Cam Lộc",""),IF(OR(M1243=phu!$I$38,M1243=phu!$I$39,M1243=phu!$I$40,M1243=phu!$I$41,M1243=phu!$I$42,M1243=phu!$I$43,M1243=phu!$I$44),"Cam Thuận",""),IF(OR(M1243=phu!$I$45,M1243=phu!$I$46,M1243=phu!$I$47,M1243=phu!$I$48,M1243=phu!$I$49,M1243=phu!$I$50,M1243=phu!$I$51,M1243=phu!$I$52,M1243=phu!$I$53),"Cam Linh",""),IF(OR(M1243=phu!$I$54,M1243=phu!$I$55,M1243=phu!$I$56,M1243=phu!$I$57,M1243=phu!$I$58,M1243=phu!$I$59,M1243=phu!$I$60,M1243=phu!$I$61,M1243=phu!$I$62),"Cam Lợi",""),IF(OR(M1243=phu!$I$63,M1243=phu!$I$64,M1243=phu!$I$65,M1243=phu!$I$66,M1243=phu!$I$67,M1243=phu!$I$68,M1243=phu!$I$69,M1243=phu!$I$70,M1243=phu!$I$71),"Ba Ngòi",""),IF(OR(M1243=phu!$I$72,M1243=phu!$I$73,M1243=phu!$I$74,M1243=phu!$I$75,M1243=phu!$I$76,M1243=phu!$I$77,M1243=phu!$I$78),"Cam Phước Đông",""),IF(OR(M1243=phu!$I$79,M1243=phu!$I$80,M1243=phu!$I$81,M1243=phu!$I$82,M1243=phu!$I$83,M1243=phu!$I$84),"Cam Thịnh Đông",""),IF(OR(M1243=phu!$I$85,M1243=phu!$I$86,M1243=phu!$I$87,M1243=phu!$I$88),"Cam Thịnh Tây",""),IF(OR(M1243=phu!$I$89,M1243=phu!$I$90),"Cam Lập",""),IF(OR(M1243=phu!$I$91,M1243=phu!$I$92,M1243=phu!$I$93),"Cam Bình",""),IF(OR(M1243=phu!$I$94,M1243=phu!$I$95,M1243=phu!$I$96,M1243=phu!$I$97,M1243=phu!$I$98,M1243=phu!$I$99,M1243=phu!$I$100),"Huyện khác",""),IF(OR(M1243=phu!$I$101,M1243=phu!$I$102),"Tỉnh khác",""))</f>
        <v/>
      </c>
      <c r="O1243" s="829" t="str">
        <f t="shared" si="114"/>
        <v/>
      </c>
      <c r="P1243" s="254"/>
      <c r="Q1243" s="254"/>
      <c r="R1243" s="254"/>
      <c r="S1243" s="254"/>
      <c r="T1243" s="254"/>
      <c r="U1243" s="254"/>
      <c r="V1243" s="254"/>
      <c r="W1243" s="254"/>
      <c r="Y1243" s="246" t="str">
        <f t="shared" si="115"/>
        <v/>
      </c>
      <c r="Z1243" s="247" t="str">
        <f t="shared" si="119"/>
        <v/>
      </c>
      <c r="AA1243" s="246" t="str">
        <f t="shared" si="116"/>
        <v/>
      </c>
    </row>
    <row r="1244" spans="1:27" x14ac:dyDescent="0.25">
      <c r="A1244" s="248" t="str">
        <f t="shared" si="117"/>
        <v/>
      </c>
      <c r="B1244" s="249" t="str">
        <f t="shared" si="118"/>
        <v/>
      </c>
      <c r="C1244" s="250"/>
      <c r="D1244" s="251"/>
      <c r="E1244" s="241"/>
      <c r="F1244" s="252"/>
      <c r="G1244" s="252"/>
      <c r="H1244" s="253"/>
      <c r="I1244" s="250"/>
      <c r="J1244" s="250"/>
      <c r="K1244" s="270"/>
      <c r="L1244" s="250"/>
      <c r="M1244" s="250"/>
      <c r="N1244" s="540" t="str">
        <f>CONCATENATE(IF(OR(M1244=phu!$I$1,M1244=phu!$I$2,M1244=phu!$I$3),"Cam Thành Nam",""),IF(OR(M1244=phu!$I$4,M1244=phu!$I$5,M1244=phu!$I$6,M1244=phu!$I$7,M1244=phu!$I$8,M1244=phu!$I$9,M1244=phu!$I$10,M1244=phu!$I$11,M1244=phu!$I$12,M1244=phu!$I$13,M1244=phu!$I$14),"Cam Nghĩa",""),IF(OR(M1244=phu!$I$15,M1244=phu!$I$16,M1244=phu!$I$17,M1244=phu!$I$18,M1244=phu!$I$19,M1244=phu!$I$20,M1244=phu!$I$21),"Cam Phúc Bắc",""),IF(OR(M1244=phu!$I$22,M1244=phu!$I$23,M1244=phu!$I$24,M1244=phu!$I$25),"Cam Phúc Nam",""),IF(OR(M1244=phu!$I$26,M1244=phu!$I$27,M1244=phu!$I$28,M1244=phu!$I$29,M1244=phu!$I$30,M1244=phu!$I$31),"Cam Phú",""),IF(OR(M1244=phu!$I$32,M1244=phu!$I$33,M1244=phu!$I$34,M1244=phu!$I$35,M1244=phu!$I$36,M1244=phu!$I$37),"Cam Lộc",""),IF(OR(M1244=phu!$I$38,M1244=phu!$I$39,M1244=phu!$I$40,M1244=phu!$I$41,M1244=phu!$I$42,M1244=phu!$I$43,M1244=phu!$I$44),"Cam Thuận",""),IF(OR(M1244=phu!$I$45,M1244=phu!$I$46,M1244=phu!$I$47,M1244=phu!$I$48,M1244=phu!$I$49,M1244=phu!$I$50,M1244=phu!$I$51,M1244=phu!$I$52,M1244=phu!$I$53),"Cam Linh",""),IF(OR(M1244=phu!$I$54,M1244=phu!$I$55,M1244=phu!$I$56,M1244=phu!$I$57,M1244=phu!$I$58,M1244=phu!$I$59,M1244=phu!$I$60,M1244=phu!$I$61,M1244=phu!$I$62),"Cam Lợi",""),IF(OR(M1244=phu!$I$63,M1244=phu!$I$64,M1244=phu!$I$65,M1244=phu!$I$66,M1244=phu!$I$67,M1244=phu!$I$68,M1244=phu!$I$69,M1244=phu!$I$70,M1244=phu!$I$71),"Ba Ngòi",""),IF(OR(M1244=phu!$I$72,M1244=phu!$I$73,M1244=phu!$I$74,M1244=phu!$I$75,M1244=phu!$I$76,M1244=phu!$I$77,M1244=phu!$I$78),"Cam Phước Đông",""),IF(OR(M1244=phu!$I$79,M1244=phu!$I$80,M1244=phu!$I$81,M1244=phu!$I$82,M1244=phu!$I$83,M1244=phu!$I$84),"Cam Thịnh Đông",""),IF(OR(M1244=phu!$I$85,M1244=phu!$I$86,M1244=phu!$I$87,M1244=phu!$I$88),"Cam Thịnh Tây",""),IF(OR(M1244=phu!$I$89,M1244=phu!$I$90),"Cam Lập",""),IF(OR(M1244=phu!$I$91,M1244=phu!$I$92,M1244=phu!$I$93),"Cam Bình",""),IF(OR(M1244=phu!$I$94,M1244=phu!$I$95,M1244=phu!$I$96,M1244=phu!$I$97,M1244=phu!$I$98,M1244=phu!$I$99,M1244=phu!$I$100),"Huyện khác",""),IF(OR(M1244=phu!$I$101,M1244=phu!$I$102),"Tỉnh khác",""))</f>
        <v/>
      </c>
      <c r="O1244" s="829" t="str">
        <f t="shared" si="114"/>
        <v/>
      </c>
      <c r="P1244" s="254"/>
      <c r="Q1244" s="254"/>
      <c r="R1244" s="254"/>
      <c r="S1244" s="254"/>
      <c r="T1244" s="254"/>
      <c r="U1244" s="254"/>
      <c r="V1244" s="254"/>
      <c r="W1244" s="254"/>
      <c r="Y1244" s="246" t="str">
        <f t="shared" si="115"/>
        <v/>
      </c>
      <c r="Z1244" s="247" t="str">
        <f t="shared" si="119"/>
        <v/>
      </c>
      <c r="AA1244" s="246" t="str">
        <f t="shared" si="116"/>
        <v/>
      </c>
    </row>
    <row r="1245" spans="1:27" x14ac:dyDescent="0.25">
      <c r="A1245" s="248" t="str">
        <f t="shared" si="117"/>
        <v/>
      </c>
      <c r="B1245" s="249" t="str">
        <f t="shared" si="118"/>
        <v/>
      </c>
      <c r="C1245" s="250"/>
      <c r="D1245" s="251"/>
      <c r="E1245" s="241"/>
      <c r="F1245" s="252"/>
      <c r="G1245" s="252"/>
      <c r="H1245" s="253"/>
      <c r="I1245" s="250"/>
      <c r="J1245" s="250"/>
      <c r="K1245" s="270"/>
      <c r="L1245" s="250"/>
      <c r="M1245" s="250"/>
      <c r="N1245" s="540" t="str">
        <f>CONCATENATE(IF(OR(M1245=phu!$I$1,M1245=phu!$I$2,M1245=phu!$I$3),"Cam Thành Nam",""),IF(OR(M1245=phu!$I$4,M1245=phu!$I$5,M1245=phu!$I$6,M1245=phu!$I$7,M1245=phu!$I$8,M1245=phu!$I$9,M1245=phu!$I$10,M1245=phu!$I$11,M1245=phu!$I$12,M1245=phu!$I$13,M1245=phu!$I$14),"Cam Nghĩa",""),IF(OR(M1245=phu!$I$15,M1245=phu!$I$16,M1245=phu!$I$17,M1245=phu!$I$18,M1245=phu!$I$19,M1245=phu!$I$20,M1245=phu!$I$21),"Cam Phúc Bắc",""),IF(OR(M1245=phu!$I$22,M1245=phu!$I$23,M1245=phu!$I$24,M1245=phu!$I$25),"Cam Phúc Nam",""),IF(OR(M1245=phu!$I$26,M1245=phu!$I$27,M1245=phu!$I$28,M1245=phu!$I$29,M1245=phu!$I$30,M1245=phu!$I$31),"Cam Phú",""),IF(OR(M1245=phu!$I$32,M1245=phu!$I$33,M1245=phu!$I$34,M1245=phu!$I$35,M1245=phu!$I$36,M1245=phu!$I$37),"Cam Lộc",""),IF(OR(M1245=phu!$I$38,M1245=phu!$I$39,M1245=phu!$I$40,M1245=phu!$I$41,M1245=phu!$I$42,M1245=phu!$I$43,M1245=phu!$I$44),"Cam Thuận",""),IF(OR(M1245=phu!$I$45,M1245=phu!$I$46,M1245=phu!$I$47,M1245=phu!$I$48,M1245=phu!$I$49,M1245=phu!$I$50,M1245=phu!$I$51,M1245=phu!$I$52,M1245=phu!$I$53),"Cam Linh",""),IF(OR(M1245=phu!$I$54,M1245=phu!$I$55,M1245=phu!$I$56,M1245=phu!$I$57,M1245=phu!$I$58,M1245=phu!$I$59,M1245=phu!$I$60,M1245=phu!$I$61,M1245=phu!$I$62),"Cam Lợi",""),IF(OR(M1245=phu!$I$63,M1245=phu!$I$64,M1245=phu!$I$65,M1245=phu!$I$66,M1245=phu!$I$67,M1245=phu!$I$68,M1245=phu!$I$69,M1245=phu!$I$70,M1245=phu!$I$71),"Ba Ngòi",""),IF(OR(M1245=phu!$I$72,M1245=phu!$I$73,M1245=phu!$I$74,M1245=phu!$I$75,M1245=phu!$I$76,M1245=phu!$I$77,M1245=phu!$I$78),"Cam Phước Đông",""),IF(OR(M1245=phu!$I$79,M1245=phu!$I$80,M1245=phu!$I$81,M1245=phu!$I$82,M1245=phu!$I$83,M1245=phu!$I$84),"Cam Thịnh Đông",""),IF(OR(M1245=phu!$I$85,M1245=phu!$I$86,M1245=phu!$I$87,M1245=phu!$I$88),"Cam Thịnh Tây",""),IF(OR(M1245=phu!$I$89,M1245=phu!$I$90),"Cam Lập",""),IF(OR(M1245=phu!$I$91,M1245=phu!$I$92,M1245=phu!$I$93),"Cam Bình",""),IF(OR(M1245=phu!$I$94,M1245=phu!$I$95,M1245=phu!$I$96,M1245=phu!$I$97,M1245=phu!$I$98,M1245=phu!$I$99,M1245=phu!$I$100),"Huyện khác",""),IF(OR(M1245=phu!$I$101,M1245=phu!$I$102),"Tỉnh khác",""))</f>
        <v/>
      </c>
      <c r="O1245" s="829" t="str">
        <f t="shared" si="114"/>
        <v/>
      </c>
      <c r="P1245" s="254"/>
      <c r="Q1245" s="254"/>
      <c r="R1245" s="254"/>
      <c r="S1245" s="254"/>
      <c r="T1245" s="254"/>
      <c r="U1245" s="254"/>
      <c r="V1245" s="254"/>
      <c r="W1245" s="254"/>
      <c r="Y1245" s="246" t="str">
        <f t="shared" si="115"/>
        <v/>
      </c>
      <c r="Z1245" s="247" t="str">
        <f t="shared" si="119"/>
        <v/>
      </c>
      <c r="AA1245" s="246" t="str">
        <f t="shared" si="116"/>
        <v/>
      </c>
    </row>
    <row r="1246" spans="1:27" x14ac:dyDescent="0.25">
      <c r="A1246" s="248" t="str">
        <f t="shared" si="117"/>
        <v/>
      </c>
      <c r="B1246" s="249" t="str">
        <f t="shared" si="118"/>
        <v/>
      </c>
      <c r="C1246" s="250"/>
      <c r="D1246" s="251"/>
      <c r="E1246" s="241"/>
      <c r="F1246" s="252"/>
      <c r="G1246" s="252"/>
      <c r="H1246" s="253"/>
      <c r="I1246" s="250"/>
      <c r="J1246" s="250"/>
      <c r="K1246" s="270"/>
      <c r="L1246" s="250"/>
      <c r="M1246" s="250"/>
      <c r="N1246" s="540" t="str">
        <f>CONCATENATE(IF(OR(M1246=phu!$I$1,M1246=phu!$I$2,M1246=phu!$I$3),"Cam Thành Nam",""),IF(OR(M1246=phu!$I$4,M1246=phu!$I$5,M1246=phu!$I$6,M1246=phu!$I$7,M1246=phu!$I$8,M1246=phu!$I$9,M1246=phu!$I$10,M1246=phu!$I$11,M1246=phu!$I$12,M1246=phu!$I$13,M1246=phu!$I$14),"Cam Nghĩa",""),IF(OR(M1246=phu!$I$15,M1246=phu!$I$16,M1246=phu!$I$17,M1246=phu!$I$18,M1246=phu!$I$19,M1246=phu!$I$20,M1246=phu!$I$21),"Cam Phúc Bắc",""),IF(OR(M1246=phu!$I$22,M1246=phu!$I$23,M1246=phu!$I$24,M1246=phu!$I$25),"Cam Phúc Nam",""),IF(OR(M1246=phu!$I$26,M1246=phu!$I$27,M1246=phu!$I$28,M1246=phu!$I$29,M1246=phu!$I$30,M1246=phu!$I$31),"Cam Phú",""),IF(OR(M1246=phu!$I$32,M1246=phu!$I$33,M1246=phu!$I$34,M1246=phu!$I$35,M1246=phu!$I$36,M1246=phu!$I$37),"Cam Lộc",""),IF(OR(M1246=phu!$I$38,M1246=phu!$I$39,M1246=phu!$I$40,M1246=phu!$I$41,M1246=phu!$I$42,M1246=phu!$I$43,M1246=phu!$I$44),"Cam Thuận",""),IF(OR(M1246=phu!$I$45,M1246=phu!$I$46,M1246=phu!$I$47,M1246=phu!$I$48,M1246=phu!$I$49,M1246=phu!$I$50,M1246=phu!$I$51,M1246=phu!$I$52,M1246=phu!$I$53),"Cam Linh",""),IF(OR(M1246=phu!$I$54,M1246=phu!$I$55,M1246=phu!$I$56,M1246=phu!$I$57,M1246=phu!$I$58,M1246=phu!$I$59,M1246=phu!$I$60,M1246=phu!$I$61,M1246=phu!$I$62),"Cam Lợi",""),IF(OR(M1246=phu!$I$63,M1246=phu!$I$64,M1246=phu!$I$65,M1246=phu!$I$66,M1246=phu!$I$67,M1246=phu!$I$68,M1246=phu!$I$69,M1246=phu!$I$70,M1246=phu!$I$71),"Ba Ngòi",""),IF(OR(M1246=phu!$I$72,M1246=phu!$I$73,M1246=phu!$I$74,M1246=phu!$I$75,M1246=phu!$I$76,M1246=phu!$I$77,M1246=phu!$I$78),"Cam Phước Đông",""),IF(OR(M1246=phu!$I$79,M1246=phu!$I$80,M1246=phu!$I$81,M1246=phu!$I$82,M1246=phu!$I$83,M1246=phu!$I$84),"Cam Thịnh Đông",""),IF(OR(M1246=phu!$I$85,M1246=phu!$I$86,M1246=phu!$I$87,M1246=phu!$I$88),"Cam Thịnh Tây",""),IF(OR(M1246=phu!$I$89,M1246=phu!$I$90),"Cam Lập",""),IF(OR(M1246=phu!$I$91,M1246=phu!$I$92,M1246=phu!$I$93),"Cam Bình",""),IF(OR(M1246=phu!$I$94,M1246=phu!$I$95,M1246=phu!$I$96,M1246=phu!$I$97,M1246=phu!$I$98,M1246=phu!$I$99,M1246=phu!$I$100),"Huyện khác",""),IF(OR(M1246=phu!$I$101,M1246=phu!$I$102),"Tỉnh khác",""))</f>
        <v/>
      </c>
      <c r="O1246" s="829" t="str">
        <f t="shared" si="114"/>
        <v/>
      </c>
      <c r="P1246" s="254"/>
      <c r="Q1246" s="254"/>
      <c r="R1246" s="254"/>
      <c r="S1246" s="254"/>
      <c r="T1246" s="254"/>
      <c r="U1246" s="254"/>
      <c r="V1246" s="254"/>
      <c r="W1246" s="254"/>
      <c r="Y1246" s="246" t="str">
        <f t="shared" si="115"/>
        <v/>
      </c>
      <c r="Z1246" s="247" t="str">
        <f t="shared" si="119"/>
        <v/>
      </c>
      <c r="AA1246" s="246" t="str">
        <f t="shared" si="116"/>
        <v/>
      </c>
    </row>
    <row r="1247" spans="1:27" x14ac:dyDescent="0.25">
      <c r="A1247" s="248" t="str">
        <f t="shared" si="117"/>
        <v/>
      </c>
      <c r="B1247" s="249" t="str">
        <f t="shared" si="118"/>
        <v/>
      </c>
      <c r="C1247" s="250"/>
      <c r="D1247" s="251"/>
      <c r="E1247" s="241"/>
      <c r="F1247" s="252"/>
      <c r="G1247" s="252"/>
      <c r="H1247" s="253"/>
      <c r="I1247" s="250"/>
      <c r="J1247" s="250"/>
      <c r="K1247" s="270"/>
      <c r="L1247" s="250"/>
      <c r="M1247" s="250"/>
      <c r="N1247" s="540" t="str">
        <f>CONCATENATE(IF(OR(M1247=phu!$I$1,M1247=phu!$I$2,M1247=phu!$I$3),"Cam Thành Nam",""),IF(OR(M1247=phu!$I$4,M1247=phu!$I$5,M1247=phu!$I$6,M1247=phu!$I$7,M1247=phu!$I$8,M1247=phu!$I$9,M1247=phu!$I$10,M1247=phu!$I$11,M1247=phu!$I$12,M1247=phu!$I$13,M1247=phu!$I$14),"Cam Nghĩa",""),IF(OR(M1247=phu!$I$15,M1247=phu!$I$16,M1247=phu!$I$17,M1247=phu!$I$18,M1247=phu!$I$19,M1247=phu!$I$20,M1247=phu!$I$21),"Cam Phúc Bắc",""),IF(OR(M1247=phu!$I$22,M1247=phu!$I$23,M1247=phu!$I$24,M1247=phu!$I$25),"Cam Phúc Nam",""),IF(OR(M1247=phu!$I$26,M1247=phu!$I$27,M1247=phu!$I$28,M1247=phu!$I$29,M1247=phu!$I$30,M1247=phu!$I$31),"Cam Phú",""),IF(OR(M1247=phu!$I$32,M1247=phu!$I$33,M1247=phu!$I$34,M1247=phu!$I$35,M1247=phu!$I$36,M1247=phu!$I$37),"Cam Lộc",""),IF(OR(M1247=phu!$I$38,M1247=phu!$I$39,M1247=phu!$I$40,M1247=phu!$I$41,M1247=phu!$I$42,M1247=phu!$I$43,M1247=phu!$I$44),"Cam Thuận",""),IF(OR(M1247=phu!$I$45,M1247=phu!$I$46,M1247=phu!$I$47,M1247=phu!$I$48,M1247=phu!$I$49,M1247=phu!$I$50,M1247=phu!$I$51,M1247=phu!$I$52,M1247=phu!$I$53),"Cam Linh",""),IF(OR(M1247=phu!$I$54,M1247=phu!$I$55,M1247=phu!$I$56,M1247=phu!$I$57,M1247=phu!$I$58,M1247=phu!$I$59,M1247=phu!$I$60,M1247=phu!$I$61,M1247=phu!$I$62),"Cam Lợi",""),IF(OR(M1247=phu!$I$63,M1247=phu!$I$64,M1247=phu!$I$65,M1247=phu!$I$66,M1247=phu!$I$67,M1247=phu!$I$68,M1247=phu!$I$69,M1247=phu!$I$70,M1247=phu!$I$71),"Ba Ngòi",""),IF(OR(M1247=phu!$I$72,M1247=phu!$I$73,M1247=phu!$I$74,M1247=phu!$I$75,M1247=phu!$I$76,M1247=phu!$I$77,M1247=phu!$I$78),"Cam Phước Đông",""),IF(OR(M1247=phu!$I$79,M1247=phu!$I$80,M1247=phu!$I$81,M1247=phu!$I$82,M1247=phu!$I$83,M1247=phu!$I$84),"Cam Thịnh Đông",""),IF(OR(M1247=phu!$I$85,M1247=phu!$I$86,M1247=phu!$I$87,M1247=phu!$I$88),"Cam Thịnh Tây",""),IF(OR(M1247=phu!$I$89,M1247=phu!$I$90),"Cam Lập",""),IF(OR(M1247=phu!$I$91,M1247=phu!$I$92,M1247=phu!$I$93),"Cam Bình",""),IF(OR(M1247=phu!$I$94,M1247=phu!$I$95,M1247=phu!$I$96,M1247=phu!$I$97,M1247=phu!$I$98,M1247=phu!$I$99,M1247=phu!$I$100),"Huyện khác",""),IF(OR(M1247=phu!$I$101,M1247=phu!$I$102),"Tỉnh khác",""))</f>
        <v/>
      </c>
      <c r="O1247" s="829" t="str">
        <f t="shared" si="114"/>
        <v/>
      </c>
      <c r="P1247" s="254"/>
      <c r="Q1247" s="254"/>
      <c r="R1247" s="254"/>
      <c r="S1247" s="254"/>
      <c r="T1247" s="254"/>
      <c r="U1247" s="254"/>
      <c r="V1247" s="254"/>
      <c r="W1247" s="254"/>
      <c r="Y1247" s="246" t="str">
        <f t="shared" si="115"/>
        <v/>
      </c>
      <c r="Z1247" s="247" t="str">
        <f t="shared" si="119"/>
        <v/>
      </c>
      <c r="AA1247" s="246" t="str">
        <f t="shared" si="116"/>
        <v/>
      </c>
    </row>
    <row r="1248" spans="1:27" x14ac:dyDescent="0.25">
      <c r="A1248" s="248" t="str">
        <f t="shared" si="117"/>
        <v/>
      </c>
      <c r="B1248" s="249" t="str">
        <f t="shared" si="118"/>
        <v/>
      </c>
      <c r="C1248" s="250"/>
      <c r="D1248" s="251"/>
      <c r="E1248" s="241"/>
      <c r="F1248" s="252"/>
      <c r="G1248" s="252"/>
      <c r="H1248" s="253"/>
      <c r="I1248" s="250"/>
      <c r="J1248" s="250"/>
      <c r="K1248" s="270"/>
      <c r="L1248" s="250"/>
      <c r="M1248" s="250"/>
      <c r="N1248" s="540" t="str">
        <f>CONCATENATE(IF(OR(M1248=phu!$I$1,M1248=phu!$I$2,M1248=phu!$I$3),"Cam Thành Nam",""),IF(OR(M1248=phu!$I$4,M1248=phu!$I$5,M1248=phu!$I$6,M1248=phu!$I$7,M1248=phu!$I$8,M1248=phu!$I$9,M1248=phu!$I$10,M1248=phu!$I$11,M1248=phu!$I$12,M1248=phu!$I$13,M1248=phu!$I$14),"Cam Nghĩa",""),IF(OR(M1248=phu!$I$15,M1248=phu!$I$16,M1248=phu!$I$17,M1248=phu!$I$18,M1248=phu!$I$19,M1248=phu!$I$20,M1248=phu!$I$21),"Cam Phúc Bắc",""),IF(OR(M1248=phu!$I$22,M1248=phu!$I$23,M1248=phu!$I$24,M1248=phu!$I$25),"Cam Phúc Nam",""),IF(OR(M1248=phu!$I$26,M1248=phu!$I$27,M1248=phu!$I$28,M1248=phu!$I$29,M1248=phu!$I$30,M1248=phu!$I$31),"Cam Phú",""),IF(OR(M1248=phu!$I$32,M1248=phu!$I$33,M1248=phu!$I$34,M1248=phu!$I$35,M1248=phu!$I$36,M1248=phu!$I$37),"Cam Lộc",""),IF(OR(M1248=phu!$I$38,M1248=phu!$I$39,M1248=phu!$I$40,M1248=phu!$I$41,M1248=phu!$I$42,M1248=phu!$I$43,M1248=phu!$I$44),"Cam Thuận",""),IF(OR(M1248=phu!$I$45,M1248=phu!$I$46,M1248=phu!$I$47,M1248=phu!$I$48,M1248=phu!$I$49,M1248=phu!$I$50,M1248=phu!$I$51,M1248=phu!$I$52,M1248=phu!$I$53),"Cam Linh",""),IF(OR(M1248=phu!$I$54,M1248=phu!$I$55,M1248=phu!$I$56,M1248=phu!$I$57,M1248=phu!$I$58,M1248=phu!$I$59,M1248=phu!$I$60,M1248=phu!$I$61,M1248=phu!$I$62),"Cam Lợi",""),IF(OR(M1248=phu!$I$63,M1248=phu!$I$64,M1248=phu!$I$65,M1248=phu!$I$66,M1248=phu!$I$67,M1248=phu!$I$68,M1248=phu!$I$69,M1248=phu!$I$70,M1248=phu!$I$71),"Ba Ngòi",""),IF(OR(M1248=phu!$I$72,M1248=phu!$I$73,M1248=phu!$I$74,M1248=phu!$I$75,M1248=phu!$I$76,M1248=phu!$I$77,M1248=phu!$I$78),"Cam Phước Đông",""),IF(OR(M1248=phu!$I$79,M1248=phu!$I$80,M1248=phu!$I$81,M1248=phu!$I$82,M1248=phu!$I$83,M1248=phu!$I$84),"Cam Thịnh Đông",""),IF(OR(M1248=phu!$I$85,M1248=phu!$I$86,M1248=phu!$I$87,M1248=phu!$I$88),"Cam Thịnh Tây",""),IF(OR(M1248=phu!$I$89,M1248=phu!$I$90),"Cam Lập",""),IF(OR(M1248=phu!$I$91,M1248=phu!$I$92,M1248=phu!$I$93),"Cam Bình",""),IF(OR(M1248=phu!$I$94,M1248=phu!$I$95,M1248=phu!$I$96,M1248=phu!$I$97,M1248=phu!$I$98,M1248=phu!$I$99,M1248=phu!$I$100),"Huyện khác",""),IF(OR(M1248=phu!$I$101,M1248=phu!$I$102),"Tỉnh khác",""))</f>
        <v/>
      </c>
      <c r="O1248" s="829" t="str">
        <f t="shared" si="114"/>
        <v/>
      </c>
      <c r="P1248" s="254"/>
      <c r="Q1248" s="254"/>
      <c r="R1248" s="254"/>
      <c r="S1248" s="254"/>
      <c r="T1248" s="254"/>
      <c r="U1248" s="254"/>
      <c r="V1248" s="254"/>
      <c r="W1248" s="254"/>
      <c r="Y1248" s="246" t="str">
        <f t="shared" si="115"/>
        <v/>
      </c>
      <c r="Z1248" s="247" t="str">
        <f t="shared" si="119"/>
        <v/>
      </c>
      <c r="AA1248" s="246" t="str">
        <f t="shared" si="116"/>
        <v/>
      </c>
    </row>
    <row r="1249" spans="1:27" x14ac:dyDescent="0.25">
      <c r="A1249" s="248" t="str">
        <f t="shared" si="117"/>
        <v/>
      </c>
      <c r="B1249" s="249" t="str">
        <f t="shared" si="118"/>
        <v/>
      </c>
      <c r="C1249" s="250"/>
      <c r="D1249" s="251"/>
      <c r="E1249" s="241"/>
      <c r="F1249" s="252"/>
      <c r="G1249" s="252"/>
      <c r="H1249" s="253"/>
      <c r="I1249" s="250"/>
      <c r="J1249" s="250"/>
      <c r="K1249" s="270"/>
      <c r="L1249" s="250"/>
      <c r="M1249" s="250"/>
      <c r="N1249" s="540" t="str">
        <f>CONCATENATE(IF(OR(M1249=phu!$I$1,M1249=phu!$I$2,M1249=phu!$I$3),"Cam Thành Nam",""),IF(OR(M1249=phu!$I$4,M1249=phu!$I$5,M1249=phu!$I$6,M1249=phu!$I$7,M1249=phu!$I$8,M1249=phu!$I$9,M1249=phu!$I$10,M1249=phu!$I$11,M1249=phu!$I$12,M1249=phu!$I$13,M1249=phu!$I$14),"Cam Nghĩa",""),IF(OR(M1249=phu!$I$15,M1249=phu!$I$16,M1249=phu!$I$17,M1249=phu!$I$18,M1249=phu!$I$19,M1249=phu!$I$20,M1249=phu!$I$21),"Cam Phúc Bắc",""),IF(OR(M1249=phu!$I$22,M1249=phu!$I$23,M1249=phu!$I$24,M1249=phu!$I$25),"Cam Phúc Nam",""),IF(OR(M1249=phu!$I$26,M1249=phu!$I$27,M1249=phu!$I$28,M1249=phu!$I$29,M1249=phu!$I$30,M1249=phu!$I$31),"Cam Phú",""),IF(OR(M1249=phu!$I$32,M1249=phu!$I$33,M1249=phu!$I$34,M1249=phu!$I$35,M1249=phu!$I$36,M1249=phu!$I$37),"Cam Lộc",""),IF(OR(M1249=phu!$I$38,M1249=phu!$I$39,M1249=phu!$I$40,M1249=phu!$I$41,M1249=phu!$I$42,M1249=phu!$I$43,M1249=phu!$I$44),"Cam Thuận",""),IF(OR(M1249=phu!$I$45,M1249=phu!$I$46,M1249=phu!$I$47,M1249=phu!$I$48,M1249=phu!$I$49,M1249=phu!$I$50,M1249=phu!$I$51,M1249=phu!$I$52,M1249=phu!$I$53),"Cam Linh",""),IF(OR(M1249=phu!$I$54,M1249=phu!$I$55,M1249=phu!$I$56,M1249=phu!$I$57,M1249=phu!$I$58,M1249=phu!$I$59,M1249=phu!$I$60,M1249=phu!$I$61,M1249=phu!$I$62),"Cam Lợi",""),IF(OR(M1249=phu!$I$63,M1249=phu!$I$64,M1249=phu!$I$65,M1249=phu!$I$66,M1249=phu!$I$67,M1249=phu!$I$68,M1249=phu!$I$69,M1249=phu!$I$70,M1249=phu!$I$71),"Ba Ngòi",""),IF(OR(M1249=phu!$I$72,M1249=phu!$I$73,M1249=phu!$I$74,M1249=phu!$I$75,M1249=phu!$I$76,M1249=phu!$I$77,M1249=phu!$I$78),"Cam Phước Đông",""),IF(OR(M1249=phu!$I$79,M1249=phu!$I$80,M1249=phu!$I$81,M1249=phu!$I$82,M1249=phu!$I$83,M1249=phu!$I$84),"Cam Thịnh Đông",""),IF(OR(M1249=phu!$I$85,M1249=phu!$I$86,M1249=phu!$I$87,M1249=phu!$I$88),"Cam Thịnh Tây",""),IF(OR(M1249=phu!$I$89,M1249=phu!$I$90),"Cam Lập",""),IF(OR(M1249=phu!$I$91,M1249=phu!$I$92,M1249=phu!$I$93),"Cam Bình",""),IF(OR(M1249=phu!$I$94,M1249=phu!$I$95,M1249=phu!$I$96,M1249=phu!$I$97,M1249=phu!$I$98,M1249=phu!$I$99,M1249=phu!$I$100),"Huyện khác",""),IF(OR(M1249=phu!$I$101,M1249=phu!$I$102),"Tỉnh khác",""))</f>
        <v/>
      </c>
      <c r="O1249" s="829" t="str">
        <f t="shared" si="114"/>
        <v/>
      </c>
      <c r="P1249" s="254"/>
      <c r="Q1249" s="254"/>
      <c r="R1249" s="254"/>
      <c r="S1249" s="254"/>
      <c r="T1249" s="254"/>
      <c r="U1249" s="254"/>
      <c r="V1249" s="254"/>
      <c r="W1249" s="254"/>
      <c r="Y1249" s="246" t="str">
        <f t="shared" si="115"/>
        <v/>
      </c>
      <c r="Z1249" s="247" t="str">
        <f t="shared" si="119"/>
        <v/>
      </c>
      <c r="AA1249" s="246" t="str">
        <f t="shared" si="116"/>
        <v/>
      </c>
    </row>
    <row r="1250" spans="1:27" x14ac:dyDescent="0.25">
      <c r="A1250" s="248" t="str">
        <f t="shared" si="117"/>
        <v/>
      </c>
      <c r="B1250" s="249" t="str">
        <f t="shared" si="118"/>
        <v/>
      </c>
      <c r="C1250" s="250"/>
      <c r="D1250" s="251"/>
      <c r="E1250" s="241"/>
      <c r="F1250" s="252"/>
      <c r="G1250" s="252"/>
      <c r="H1250" s="253"/>
      <c r="I1250" s="250"/>
      <c r="J1250" s="250"/>
      <c r="K1250" s="270"/>
      <c r="L1250" s="250"/>
      <c r="M1250" s="250"/>
      <c r="N1250" s="540" t="str">
        <f>CONCATENATE(IF(OR(M1250=phu!$I$1,M1250=phu!$I$2,M1250=phu!$I$3),"Cam Thành Nam",""),IF(OR(M1250=phu!$I$4,M1250=phu!$I$5,M1250=phu!$I$6,M1250=phu!$I$7,M1250=phu!$I$8,M1250=phu!$I$9,M1250=phu!$I$10,M1250=phu!$I$11,M1250=phu!$I$12,M1250=phu!$I$13,M1250=phu!$I$14),"Cam Nghĩa",""),IF(OR(M1250=phu!$I$15,M1250=phu!$I$16,M1250=phu!$I$17,M1250=phu!$I$18,M1250=phu!$I$19,M1250=phu!$I$20,M1250=phu!$I$21),"Cam Phúc Bắc",""),IF(OR(M1250=phu!$I$22,M1250=phu!$I$23,M1250=phu!$I$24,M1250=phu!$I$25),"Cam Phúc Nam",""),IF(OR(M1250=phu!$I$26,M1250=phu!$I$27,M1250=phu!$I$28,M1250=phu!$I$29,M1250=phu!$I$30,M1250=phu!$I$31),"Cam Phú",""),IF(OR(M1250=phu!$I$32,M1250=phu!$I$33,M1250=phu!$I$34,M1250=phu!$I$35,M1250=phu!$I$36,M1250=phu!$I$37),"Cam Lộc",""),IF(OR(M1250=phu!$I$38,M1250=phu!$I$39,M1250=phu!$I$40,M1250=phu!$I$41,M1250=phu!$I$42,M1250=phu!$I$43,M1250=phu!$I$44),"Cam Thuận",""),IF(OR(M1250=phu!$I$45,M1250=phu!$I$46,M1250=phu!$I$47,M1250=phu!$I$48,M1250=phu!$I$49,M1250=phu!$I$50,M1250=phu!$I$51,M1250=phu!$I$52,M1250=phu!$I$53),"Cam Linh",""),IF(OR(M1250=phu!$I$54,M1250=phu!$I$55,M1250=phu!$I$56,M1250=phu!$I$57,M1250=phu!$I$58,M1250=phu!$I$59,M1250=phu!$I$60,M1250=phu!$I$61,M1250=phu!$I$62),"Cam Lợi",""),IF(OR(M1250=phu!$I$63,M1250=phu!$I$64,M1250=phu!$I$65,M1250=phu!$I$66,M1250=phu!$I$67,M1250=phu!$I$68,M1250=phu!$I$69,M1250=phu!$I$70,M1250=phu!$I$71),"Ba Ngòi",""),IF(OR(M1250=phu!$I$72,M1250=phu!$I$73,M1250=phu!$I$74,M1250=phu!$I$75,M1250=phu!$I$76,M1250=phu!$I$77,M1250=phu!$I$78),"Cam Phước Đông",""),IF(OR(M1250=phu!$I$79,M1250=phu!$I$80,M1250=phu!$I$81,M1250=phu!$I$82,M1250=phu!$I$83,M1250=phu!$I$84),"Cam Thịnh Đông",""),IF(OR(M1250=phu!$I$85,M1250=phu!$I$86,M1250=phu!$I$87,M1250=phu!$I$88),"Cam Thịnh Tây",""),IF(OR(M1250=phu!$I$89,M1250=phu!$I$90),"Cam Lập",""),IF(OR(M1250=phu!$I$91,M1250=phu!$I$92,M1250=phu!$I$93),"Cam Bình",""),IF(OR(M1250=phu!$I$94,M1250=phu!$I$95,M1250=phu!$I$96,M1250=phu!$I$97,M1250=phu!$I$98,M1250=phu!$I$99,M1250=phu!$I$100),"Huyện khác",""),IF(OR(M1250=phu!$I$101,M1250=phu!$I$102),"Tỉnh khác",""))</f>
        <v/>
      </c>
      <c r="O1250" s="829" t="str">
        <f t="shared" si="114"/>
        <v/>
      </c>
      <c r="P1250" s="254"/>
      <c r="Q1250" s="254"/>
      <c r="R1250" s="254"/>
      <c r="S1250" s="254"/>
      <c r="T1250" s="254"/>
      <c r="U1250" s="254"/>
      <c r="V1250" s="254"/>
      <c r="W1250" s="254"/>
      <c r="Y1250" s="246" t="str">
        <f t="shared" si="115"/>
        <v/>
      </c>
      <c r="Z1250" s="247" t="str">
        <f t="shared" si="119"/>
        <v/>
      </c>
      <c r="AA1250" s="246" t="str">
        <f t="shared" si="116"/>
        <v/>
      </c>
    </row>
    <row r="1251" spans="1:27" x14ac:dyDescent="0.25">
      <c r="A1251" s="248" t="str">
        <f t="shared" si="117"/>
        <v/>
      </c>
      <c r="B1251" s="249" t="str">
        <f t="shared" si="118"/>
        <v/>
      </c>
      <c r="C1251" s="250"/>
      <c r="D1251" s="251"/>
      <c r="E1251" s="241"/>
      <c r="F1251" s="252"/>
      <c r="G1251" s="252"/>
      <c r="H1251" s="253"/>
      <c r="I1251" s="250"/>
      <c r="J1251" s="250"/>
      <c r="K1251" s="270"/>
      <c r="L1251" s="250"/>
      <c r="M1251" s="250"/>
      <c r="N1251" s="540" t="str">
        <f>CONCATENATE(IF(OR(M1251=phu!$I$1,M1251=phu!$I$2,M1251=phu!$I$3),"Cam Thành Nam",""),IF(OR(M1251=phu!$I$4,M1251=phu!$I$5,M1251=phu!$I$6,M1251=phu!$I$7,M1251=phu!$I$8,M1251=phu!$I$9,M1251=phu!$I$10,M1251=phu!$I$11,M1251=phu!$I$12,M1251=phu!$I$13,M1251=phu!$I$14),"Cam Nghĩa",""),IF(OR(M1251=phu!$I$15,M1251=phu!$I$16,M1251=phu!$I$17,M1251=phu!$I$18,M1251=phu!$I$19,M1251=phu!$I$20,M1251=phu!$I$21),"Cam Phúc Bắc",""),IF(OR(M1251=phu!$I$22,M1251=phu!$I$23,M1251=phu!$I$24,M1251=phu!$I$25),"Cam Phúc Nam",""),IF(OR(M1251=phu!$I$26,M1251=phu!$I$27,M1251=phu!$I$28,M1251=phu!$I$29,M1251=phu!$I$30,M1251=phu!$I$31),"Cam Phú",""),IF(OR(M1251=phu!$I$32,M1251=phu!$I$33,M1251=phu!$I$34,M1251=phu!$I$35,M1251=phu!$I$36,M1251=phu!$I$37),"Cam Lộc",""),IF(OR(M1251=phu!$I$38,M1251=phu!$I$39,M1251=phu!$I$40,M1251=phu!$I$41,M1251=phu!$I$42,M1251=phu!$I$43,M1251=phu!$I$44),"Cam Thuận",""),IF(OR(M1251=phu!$I$45,M1251=phu!$I$46,M1251=phu!$I$47,M1251=phu!$I$48,M1251=phu!$I$49,M1251=phu!$I$50,M1251=phu!$I$51,M1251=phu!$I$52,M1251=phu!$I$53),"Cam Linh",""),IF(OR(M1251=phu!$I$54,M1251=phu!$I$55,M1251=phu!$I$56,M1251=phu!$I$57,M1251=phu!$I$58,M1251=phu!$I$59,M1251=phu!$I$60,M1251=phu!$I$61,M1251=phu!$I$62),"Cam Lợi",""),IF(OR(M1251=phu!$I$63,M1251=phu!$I$64,M1251=phu!$I$65,M1251=phu!$I$66,M1251=phu!$I$67,M1251=phu!$I$68,M1251=phu!$I$69,M1251=phu!$I$70,M1251=phu!$I$71),"Ba Ngòi",""),IF(OR(M1251=phu!$I$72,M1251=phu!$I$73,M1251=phu!$I$74,M1251=phu!$I$75,M1251=phu!$I$76,M1251=phu!$I$77,M1251=phu!$I$78),"Cam Phước Đông",""),IF(OR(M1251=phu!$I$79,M1251=phu!$I$80,M1251=phu!$I$81,M1251=phu!$I$82,M1251=phu!$I$83,M1251=phu!$I$84),"Cam Thịnh Đông",""),IF(OR(M1251=phu!$I$85,M1251=phu!$I$86,M1251=phu!$I$87,M1251=phu!$I$88),"Cam Thịnh Tây",""),IF(OR(M1251=phu!$I$89,M1251=phu!$I$90),"Cam Lập",""),IF(OR(M1251=phu!$I$91,M1251=phu!$I$92,M1251=phu!$I$93),"Cam Bình",""),IF(OR(M1251=phu!$I$94,M1251=phu!$I$95,M1251=phu!$I$96,M1251=phu!$I$97,M1251=phu!$I$98,M1251=phu!$I$99,M1251=phu!$I$100),"Huyện khác",""),IF(OR(M1251=phu!$I$101,M1251=phu!$I$102),"Tỉnh khác",""))</f>
        <v/>
      </c>
      <c r="O1251" s="829" t="str">
        <f t="shared" si="114"/>
        <v/>
      </c>
      <c r="P1251" s="254"/>
      <c r="Q1251" s="254"/>
      <c r="R1251" s="254"/>
      <c r="S1251" s="254"/>
      <c r="T1251" s="254"/>
      <c r="U1251" s="254"/>
      <c r="V1251" s="254"/>
      <c r="W1251" s="254"/>
      <c r="Y1251" s="246" t="str">
        <f t="shared" si="115"/>
        <v/>
      </c>
      <c r="Z1251" s="247" t="str">
        <f t="shared" si="119"/>
        <v/>
      </c>
      <c r="AA1251" s="246" t="str">
        <f t="shared" si="116"/>
        <v/>
      </c>
    </row>
    <row r="1252" spans="1:27" x14ac:dyDescent="0.25">
      <c r="A1252" s="248" t="str">
        <f t="shared" si="117"/>
        <v/>
      </c>
      <c r="B1252" s="249" t="str">
        <f t="shared" si="118"/>
        <v/>
      </c>
      <c r="C1252" s="250"/>
      <c r="D1252" s="251"/>
      <c r="E1252" s="241"/>
      <c r="F1252" s="252"/>
      <c r="G1252" s="252"/>
      <c r="H1252" s="253"/>
      <c r="I1252" s="250"/>
      <c r="J1252" s="250"/>
      <c r="K1252" s="270"/>
      <c r="L1252" s="250"/>
      <c r="M1252" s="250"/>
      <c r="N1252" s="540" t="str">
        <f>CONCATENATE(IF(OR(M1252=phu!$I$1,M1252=phu!$I$2,M1252=phu!$I$3),"Cam Thành Nam",""),IF(OR(M1252=phu!$I$4,M1252=phu!$I$5,M1252=phu!$I$6,M1252=phu!$I$7,M1252=phu!$I$8,M1252=phu!$I$9,M1252=phu!$I$10,M1252=phu!$I$11,M1252=phu!$I$12,M1252=phu!$I$13,M1252=phu!$I$14),"Cam Nghĩa",""),IF(OR(M1252=phu!$I$15,M1252=phu!$I$16,M1252=phu!$I$17,M1252=phu!$I$18,M1252=phu!$I$19,M1252=phu!$I$20,M1252=phu!$I$21),"Cam Phúc Bắc",""),IF(OR(M1252=phu!$I$22,M1252=phu!$I$23,M1252=phu!$I$24,M1252=phu!$I$25),"Cam Phúc Nam",""),IF(OR(M1252=phu!$I$26,M1252=phu!$I$27,M1252=phu!$I$28,M1252=phu!$I$29,M1252=phu!$I$30,M1252=phu!$I$31),"Cam Phú",""),IF(OR(M1252=phu!$I$32,M1252=phu!$I$33,M1252=phu!$I$34,M1252=phu!$I$35,M1252=phu!$I$36,M1252=phu!$I$37),"Cam Lộc",""),IF(OR(M1252=phu!$I$38,M1252=phu!$I$39,M1252=phu!$I$40,M1252=phu!$I$41,M1252=phu!$I$42,M1252=phu!$I$43,M1252=phu!$I$44),"Cam Thuận",""),IF(OR(M1252=phu!$I$45,M1252=phu!$I$46,M1252=phu!$I$47,M1252=phu!$I$48,M1252=phu!$I$49,M1252=phu!$I$50,M1252=phu!$I$51,M1252=phu!$I$52,M1252=phu!$I$53),"Cam Linh",""),IF(OR(M1252=phu!$I$54,M1252=phu!$I$55,M1252=phu!$I$56,M1252=phu!$I$57,M1252=phu!$I$58,M1252=phu!$I$59,M1252=phu!$I$60,M1252=phu!$I$61,M1252=phu!$I$62),"Cam Lợi",""),IF(OR(M1252=phu!$I$63,M1252=phu!$I$64,M1252=phu!$I$65,M1252=phu!$I$66,M1252=phu!$I$67,M1252=phu!$I$68,M1252=phu!$I$69,M1252=phu!$I$70,M1252=phu!$I$71),"Ba Ngòi",""),IF(OR(M1252=phu!$I$72,M1252=phu!$I$73,M1252=phu!$I$74,M1252=phu!$I$75,M1252=phu!$I$76,M1252=phu!$I$77,M1252=phu!$I$78),"Cam Phước Đông",""),IF(OR(M1252=phu!$I$79,M1252=phu!$I$80,M1252=phu!$I$81,M1252=phu!$I$82,M1252=phu!$I$83,M1252=phu!$I$84),"Cam Thịnh Đông",""),IF(OR(M1252=phu!$I$85,M1252=phu!$I$86,M1252=phu!$I$87,M1252=phu!$I$88),"Cam Thịnh Tây",""),IF(OR(M1252=phu!$I$89,M1252=phu!$I$90),"Cam Lập",""),IF(OR(M1252=phu!$I$91,M1252=phu!$I$92,M1252=phu!$I$93),"Cam Bình",""),IF(OR(M1252=phu!$I$94,M1252=phu!$I$95,M1252=phu!$I$96,M1252=phu!$I$97,M1252=phu!$I$98,M1252=phu!$I$99,M1252=phu!$I$100),"Huyện khác",""),IF(OR(M1252=phu!$I$101,M1252=phu!$I$102),"Tỉnh khác",""))</f>
        <v/>
      </c>
      <c r="O1252" s="829" t="str">
        <f t="shared" si="114"/>
        <v/>
      </c>
      <c r="P1252" s="254"/>
      <c r="Q1252" s="254"/>
      <c r="R1252" s="254"/>
      <c r="S1252" s="254"/>
      <c r="T1252" s="254"/>
      <c r="U1252" s="254"/>
      <c r="V1252" s="254"/>
      <c r="W1252" s="254"/>
      <c r="Y1252" s="246" t="str">
        <f t="shared" si="115"/>
        <v/>
      </c>
      <c r="Z1252" s="247" t="str">
        <f t="shared" si="119"/>
        <v/>
      </c>
      <c r="AA1252" s="246" t="str">
        <f t="shared" si="116"/>
        <v/>
      </c>
    </row>
    <row r="1253" spans="1:27" x14ac:dyDescent="0.25">
      <c r="A1253" s="248" t="str">
        <f t="shared" si="117"/>
        <v/>
      </c>
      <c r="B1253" s="249" t="str">
        <f t="shared" si="118"/>
        <v/>
      </c>
      <c r="C1253" s="250"/>
      <c r="D1253" s="251"/>
      <c r="E1253" s="241"/>
      <c r="F1253" s="252"/>
      <c r="G1253" s="252"/>
      <c r="H1253" s="253"/>
      <c r="I1253" s="250"/>
      <c r="J1253" s="250"/>
      <c r="K1253" s="270"/>
      <c r="L1253" s="250"/>
      <c r="M1253" s="250"/>
      <c r="N1253" s="540" t="str">
        <f>CONCATENATE(IF(OR(M1253=phu!$I$1,M1253=phu!$I$2,M1253=phu!$I$3),"Cam Thành Nam",""),IF(OR(M1253=phu!$I$4,M1253=phu!$I$5,M1253=phu!$I$6,M1253=phu!$I$7,M1253=phu!$I$8,M1253=phu!$I$9,M1253=phu!$I$10,M1253=phu!$I$11,M1253=phu!$I$12,M1253=phu!$I$13,M1253=phu!$I$14),"Cam Nghĩa",""),IF(OR(M1253=phu!$I$15,M1253=phu!$I$16,M1253=phu!$I$17,M1253=phu!$I$18,M1253=phu!$I$19,M1253=phu!$I$20,M1253=phu!$I$21),"Cam Phúc Bắc",""),IF(OR(M1253=phu!$I$22,M1253=phu!$I$23,M1253=phu!$I$24,M1253=phu!$I$25),"Cam Phúc Nam",""),IF(OR(M1253=phu!$I$26,M1253=phu!$I$27,M1253=phu!$I$28,M1253=phu!$I$29,M1253=phu!$I$30,M1253=phu!$I$31),"Cam Phú",""),IF(OR(M1253=phu!$I$32,M1253=phu!$I$33,M1253=phu!$I$34,M1253=phu!$I$35,M1253=phu!$I$36,M1253=phu!$I$37),"Cam Lộc",""),IF(OR(M1253=phu!$I$38,M1253=phu!$I$39,M1253=phu!$I$40,M1253=phu!$I$41,M1253=phu!$I$42,M1253=phu!$I$43,M1253=phu!$I$44),"Cam Thuận",""),IF(OR(M1253=phu!$I$45,M1253=phu!$I$46,M1253=phu!$I$47,M1253=phu!$I$48,M1253=phu!$I$49,M1253=phu!$I$50,M1253=phu!$I$51,M1253=phu!$I$52,M1253=phu!$I$53),"Cam Linh",""),IF(OR(M1253=phu!$I$54,M1253=phu!$I$55,M1253=phu!$I$56,M1253=phu!$I$57,M1253=phu!$I$58,M1253=phu!$I$59,M1253=phu!$I$60,M1253=phu!$I$61,M1253=phu!$I$62),"Cam Lợi",""),IF(OR(M1253=phu!$I$63,M1253=phu!$I$64,M1253=phu!$I$65,M1253=phu!$I$66,M1253=phu!$I$67,M1253=phu!$I$68,M1253=phu!$I$69,M1253=phu!$I$70,M1253=phu!$I$71),"Ba Ngòi",""),IF(OR(M1253=phu!$I$72,M1253=phu!$I$73,M1253=phu!$I$74,M1253=phu!$I$75,M1253=phu!$I$76,M1253=phu!$I$77,M1253=phu!$I$78),"Cam Phước Đông",""),IF(OR(M1253=phu!$I$79,M1253=phu!$I$80,M1253=phu!$I$81,M1253=phu!$I$82,M1253=phu!$I$83,M1253=phu!$I$84),"Cam Thịnh Đông",""),IF(OR(M1253=phu!$I$85,M1253=phu!$I$86,M1253=phu!$I$87,M1253=phu!$I$88),"Cam Thịnh Tây",""),IF(OR(M1253=phu!$I$89,M1253=phu!$I$90),"Cam Lập",""),IF(OR(M1253=phu!$I$91,M1253=phu!$I$92,M1253=phu!$I$93),"Cam Bình",""),IF(OR(M1253=phu!$I$94,M1253=phu!$I$95,M1253=phu!$I$96,M1253=phu!$I$97,M1253=phu!$I$98,M1253=phu!$I$99,M1253=phu!$I$100),"Huyện khác",""),IF(OR(M1253=phu!$I$101,M1253=phu!$I$102),"Tỉnh khác",""))</f>
        <v/>
      </c>
      <c r="O1253" s="829" t="str">
        <f t="shared" si="114"/>
        <v/>
      </c>
      <c r="P1253" s="254"/>
      <c r="Q1253" s="254"/>
      <c r="R1253" s="254"/>
      <c r="S1253" s="254"/>
      <c r="T1253" s="254"/>
      <c r="U1253" s="254"/>
      <c r="V1253" s="254"/>
      <c r="W1253" s="254"/>
      <c r="Y1253" s="246" t="str">
        <f t="shared" si="115"/>
        <v/>
      </c>
      <c r="Z1253" s="247" t="str">
        <f t="shared" si="119"/>
        <v/>
      </c>
      <c r="AA1253" s="246" t="str">
        <f t="shared" si="116"/>
        <v/>
      </c>
    </row>
    <row r="1254" spans="1:27" x14ac:dyDescent="0.25">
      <c r="A1254" s="248" t="str">
        <f t="shared" si="117"/>
        <v/>
      </c>
      <c r="B1254" s="249" t="str">
        <f t="shared" si="118"/>
        <v/>
      </c>
      <c r="C1254" s="250"/>
      <c r="D1254" s="251"/>
      <c r="E1254" s="241"/>
      <c r="F1254" s="252"/>
      <c r="G1254" s="252"/>
      <c r="H1254" s="253"/>
      <c r="I1254" s="250"/>
      <c r="J1254" s="250"/>
      <c r="K1254" s="270"/>
      <c r="L1254" s="250"/>
      <c r="M1254" s="250"/>
      <c r="N1254" s="540" t="str">
        <f>CONCATENATE(IF(OR(M1254=phu!$I$1,M1254=phu!$I$2,M1254=phu!$I$3),"Cam Thành Nam",""),IF(OR(M1254=phu!$I$4,M1254=phu!$I$5,M1254=phu!$I$6,M1254=phu!$I$7,M1254=phu!$I$8,M1254=phu!$I$9,M1254=phu!$I$10,M1254=phu!$I$11,M1254=phu!$I$12,M1254=phu!$I$13,M1254=phu!$I$14),"Cam Nghĩa",""),IF(OR(M1254=phu!$I$15,M1254=phu!$I$16,M1254=phu!$I$17,M1254=phu!$I$18,M1254=phu!$I$19,M1254=phu!$I$20,M1254=phu!$I$21),"Cam Phúc Bắc",""),IF(OR(M1254=phu!$I$22,M1254=phu!$I$23,M1254=phu!$I$24,M1254=phu!$I$25),"Cam Phúc Nam",""),IF(OR(M1254=phu!$I$26,M1254=phu!$I$27,M1254=phu!$I$28,M1254=phu!$I$29,M1254=phu!$I$30,M1254=phu!$I$31),"Cam Phú",""),IF(OR(M1254=phu!$I$32,M1254=phu!$I$33,M1254=phu!$I$34,M1254=phu!$I$35,M1254=phu!$I$36,M1254=phu!$I$37),"Cam Lộc",""),IF(OR(M1254=phu!$I$38,M1254=phu!$I$39,M1254=phu!$I$40,M1254=phu!$I$41,M1254=phu!$I$42,M1254=phu!$I$43,M1254=phu!$I$44),"Cam Thuận",""),IF(OR(M1254=phu!$I$45,M1254=phu!$I$46,M1254=phu!$I$47,M1254=phu!$I$48,M1254=phu!$I$49,M1254=phu!$I$50,M1254=phu!$I$51,M1254=phu!$I$52,M1254=phu!$I$53),"Cam Linh",""),IF(OR(M1254=phu!$I$54,M1254=phu!$I$55,M1254=phu!$I$56,M1254=phu!$I$57,M1254=phu!$I$58,M1254=phu!$I$59,M1254=phu!$I$60,M1254=phu!$I$61,M1254=phu!$I$62),"Cam Lợi",""),IF(OR(M1254=phu!$I$63,M1254=phu!$I$64,M1254=phu!$I$65,M1254=phu!$I$66,M1254=phu!$I$67,M1254=phu!$I$68,M1254=phu!$I$69,M1254=phu!$I$70,M1254=phu!$I$71),"Ba Ngòi",""),IF(OR(M1254=phu!$I$72,M1254=phu!$I$73,M1254=phu!$I$74,M1254=phu!$I$75,M1254=phu!$I$76,M1254=phu!$I$77,M1254=phu!$I$78),"Cam Phước Đông",""),IF(OR(M1254=phu!$I$79,M1254=phu!$I$80,M1254=phu!$I$81,M1254=phu!$I$82,M1254=phu!$I$83,M1254=phu!$I$84),"Cam Thịnh Đông",""),IF(OR(M1254=phu!$I$85,M1254=phu!$I$86,M1254=phu!$I$87,M1254=phu!$I$88),"Cam Thịnh Tây",""),IF(OR(M1254=phu!$I$89,M1254=phu!$I$90),"Cam Lập",""),IF(OR(M1254=phu!$I$91,M1254=phu!$I$92,M1254=phu!$I$93),"Cam Bình",""),IF(OR(M1254=phu!$I$94,M1254=phu!$I$95,M1254=phu!$I$96,M1254=phu!$I$97,M1254=phu!$I$98,M1254=phu!$I$99,M1254=phu!$I$100),"Huyện khác",""),IF(OR(M1254=phu!$I$101,M1254=phu!$I$102),"Tỉnh khác",""))</f>
        <v/>
      </c>
      <c r="O1254" s="829" t="str">
        <f t="shared" si="114"/>
        <v/>
      </c>
      <c r="P1254" s="254"/>
      <c r="Q1254" s="254"/>
      <c r="R1254" s="254"/>
      <c r="S1254" s="254"/>
      <c r="T1254" s="254"/>
      <c r="U1254" s="254"/>
      <c r="V1254" s="254"/>
      <c r="W1254" s="254"/>
      <c r="Y1254" s="246" t="str">
        <f t="shared" si="115"/>
        <v/>
      </c>
      <c r="Z1254" s="247" t="str">
        <f t="shared" si="119"/>
        <v/>
      </c>
      <c r="AA1254" s="246" t="str">
        <f t="shared" si="116"/>
        <v/>
      </c>
    </row>
    <row r="1255" spans="1:27" x14ac:dyDescent="0.25">
      <c r="A1255" s="248" t="str">
        <f t="shared" si="117"/>
        <v/>
      </c>
      <c r="B1255" s="249" t="str">
        <f t="shared" si="118"/>
        <v/>
      </c>
      <c r="C1255" s="250"/>
      <c r="D1255" s="251"/>
      <c r="E1255" s="241"/>
      <c r="F1255" s="252"/>
      <c r="G1255" s="252"/>
      <c r="H1255" s="253"/>
      <c r="I1255" s="250"/>
      <c r="J1255" s="250"/>
      <c r="K1255" s="270"/>
      <c r="L1255" s="250"/>
      <c r="M1255" s="250"/>
      <c r="N1255" s="540" t="str">
        <f>CONCATENATE(IF(OR(M1255=phu!$I$1,M1255=phu!$I$2,M1255=phu!$I$3),"Cam Thành Nam",""),IF(OR(M1255=phu!$I$4,M1255=phu!$I$5,M1255=phu!$I$6,M1255=phu!$I$7,M1255=phu!$I$8,M1255=phu!$I$9,M1255=phu!$I$10,M1255=phu!$I$11,M1255=phu!$I$12,M1255=phu!$I$13,M1255=phu!$I$14),"Cam Nghĩa",""),IF(OR(M1255=phu!$I$15,M1255=phu!$I$16,M1255=phu!$I$17,M1255=phu!$I$18,M1255=phu!$I$19,M1255=phu!$I$20,M1255=phu!$I$21),"Cam Phúc Bắc",""),IF(OR(M1255=phu!$I$22,M1255=phu!$I$23,M1255=phu!$I$24,M1255=phu!$I$25),"Cam Phúc Nam",""),IF(OR(M1255=phu!$I$26,M1255=phu!$I$27,M1255=phu!$I$28,M1255=phu!$I$29,M1255=phu!$I$30,M1255=phu!$I$31),"Cam Phú",""),IF(OR(M1255=phu!$I$32,M1255=phu!$I$33,M1255=phu!$I$34,M1255=phu!$I$35,M1255=phu!$I$36,M1255=phu!$I$37),"Cam Lộc",""),IF(OR(M1255=phu!$I$38,M1255=phu!$I$39,M1255=phu!$I$40,M1255=phu!$I$41,M1255=phu!$I$42,M1255=phu!$I$43,M1255=phu!$I$44),"Cam Thuận",""),IF(OR(M1255=phu!$I$45,M1255=phu!$I$46,M1255=phu!$I$47,M1255=phu!$I$48,M1255=phu!$I$49,M1255=phu!$I$50,M1255=phu!$I$51,M1255=phu!$I$52,M1255=phu!$I$53),"Cam Linh",""),IF(OR(M1255=phu!$I$54,M1255=phu!$I$55,M1255=phu!$I$56,M1255=phu!$I$57,M1255=phu!$I$58,M1255=phu!$I$59,M1255=phu!$I$60,M1255=phu!$I$61,M1255=phu!$I$62),"Cam Lợi",""),IF(OR(M1255=phu!$I$63,M1255=phu!$I$64,M1255=phu!$I$65,M1255=phu!$I$66,M1255=phu!$I$67,M1255=phu!$I$68,M1255=phu!$I$69,M1255=phu!$I$70,M1255=phu!$I$71),"Ba Ngòi",""),IF(OR(M1255=phu!$I$72,M1255=phu!$I$73,M1255=phu!$I$74,M1255=phu!$I$75,M1255=phu!$I$76,M1255=phu!$I$77,M1255=phu!$I$78),"Cam Phước Đông",""),IF(OR(M1255=phu!$I$79,M1255=phu!$I$80,M1255=phu!$I$81,M1255=phu!$I$82,M1255=phu!$I$83,M1255=phu!$I$84),"Cam Thịnh Đông",""),IF(OR(M1255=phu!$I$85,M1255=phu!$I$86,M1255=phu!$I$87,M1255=phu!$I$88),"Cam Thịnh Tây",""),IF(OR(M1255=phu!$I$89,M1255=phu!$I$90),"Cam Lập",""),IF(OR(M1255=phu!$I$91,M1255=phu!$I$92,M1255=phu!$I$93),"Cam Bình",""),IF(OR(M1255=phu!$I$94,M1255=phu!$I$95,M1255=phu!$I$96,M1255=phu!$I$97,M1255=phu!$I$98,M1255=phu!$I$99,M1255=phu!$I$100),"Huyện khác",""),IF(OR(M1255=phu!$I$101,M1255=phu!$I$102),"Tỉnh khác",""))</f>
        <v/>
      </c>
      <c r="O1255" s="829" t="str">
        <f t="shared" si="114"/>
        <v/>
      </c>
      <c r="P1255" s="254"/>
      <c r="Q1255" s="254"/>
      <c r="R1255" s="254"/>
      <c r="S1255" s="254"/>
      <c r="T1255" s="254"/>
      <c r="U1255" s="254"/>
      <c r="V1255" s="254"/>
      <c r="W1255" s="254"/>
      <c r="Y1255" s="246" t="str">
        <f t="shared" si="115"/>
        <v/>
      </c>
      <c r="Z1255" s="247" t="str">
        <f t="shared" si="119"/>
        <v/>
      </c>
      <c r="AA1255" s="246" t="str">
        <f t="shared" si="116"/>
        <v/>
      </c>
    </row>
    <row r="1256" spans="1:27" x14ac:dyDescent="0.25">
      <c r="A1256" s="248" t="str">
        <f t="shared" si="117"/>
        <v/>
      </c>
      <c r="B1256" s="249" t="str">
        <f t="shared" si="118"/>
        <v/>
      </c>
      <c r="C1256" s="250"/>
      <c r="D1256" s="251"/>
      <c r="E1256" s="241"/>
      <c r="F1256" s="252"/>
      <c r="G1256" s="252"/>
      <c r="H1256" s="253"/>
      <c r="I1256" s="250"/>
      <c r="J1256" s="250"/>
      <c r="K1256" s="270"/>
      <c r="L1256" s="250"/>
      <c r="M1256" s="250"/>
      <c r="N1256" s="540" t="str">
        <f>CONCATENATE(IF(OR(M1256=phu!$I$1,M1256=phu!$I$2,M1256=phu!$I$3),"Cam Thành Nam",""),IF(OR(M1256=phu!$I$4,M1256=phu!$I$5,M1256=phu!$I$6,M1256=phu!$I$7,M1256=phu!$I$8,M1256=phu!$I$9,M1256=phu!$I$10,M1256=phu!$I$11,M1256=phu!$I$12,M1256=phu!$I$13,M1256=phu!$I$14),"Cam Nghĩa",""),IF(OR(M1256=phu!$I$15,M1256=phu!$I$16,M1256=phu!$I$17,M1256=phu!$I$18,M1256=phu!$I$19,M1256=phu!$I$20,M1256=phu!$I$21),"Cam Phúc Bắc",""),IF(OR(M1256=phu!$I$22,M1256=phu!$I$23,M1256=phu!$I$24,M1256=phu!$I$25),"Cam Phúc Nam",""),IF(OR(M1256=phu!$I$26,M1256=phu!$I$27,M1256=phu!$I$28,M1256=phu!$I$29,M1256=phu!$I$30,M1256=phu!$I$31),"Cam Phú",""),IF(OR(M1256=phu!$I$32,M1256=phu!$I$33,M1256=phu!$I$34,M1256=phu!$I$35,M1256=phu!$I$36,M1256=phu!$I$37),"Cam Lộc",""),IF(OR(M1256=phu!$I$38,M1256=phu!$I$39,M1256=phu!$I$40,M1256=phu!$I$41,M1256=phu!$I$42,M1256=phu!$I$43,M1256=phu!$I$44),"Cam Thuận",""),IF(OR(M1256=phu!$I$45,M1256=phu!$I$46,M1256=phu!$I$47,M1256=phu!$I$48,M1256=phu!$I$49,M1256=phu!$I$50,M1256=phu!$I$51,M1256=phu!$I$52,M1256=phu!$I$53),"Cam Linh",""),IF(OR(M1256=phu!$I$54,M1256=phu!$I$55,M1256=phu!$I$56,M1256=phu!$I$57,M1256=phu!$I$58,M1256=phu!$I$59,M1256=phu!$I$60,M1256=phu!$I$61,M1256=phu!$I$62),"Cam Lợi",""),IF(OR(M1256=phu!$I$63,M1256=phu!$I$64,M1256=phu!$I$65,M1256=phu!$I$66,M1256=phu!$I$67,M1256=phu!$I$68,M1256=phu!$I$69,M1256=phu!$I$70,M1256=phu!$I$71),"Ba Ngòi",""),IF(OR(M1256=phu!$I$72,M1256=phu!$I$73,M1256=phu!$I$74,M1256=phu!$I$75,M1256=phu!$I$76,M1256=phu!$I$77,M1256=phu!$I$78),"Cam Phước Đông",""),IF(OR(M1256=phu!$I$79,M1256=phu!$I$80,M1256=phu!$I$81,M1256=phu!$I$82,M1256=phu!$I$83,M1256=phu!$I$84),"Cam Thịnh Đông",""),IF(OR(M1256=phu!$I$85,M1256=phu!$I$86,M1256=phu!$I$87,M1256=phu!$I$88),"Cam Thịnh Tây",""),IF(OR(M1256=phu!$I$89,M1256=phu!$I$90),"Cam Lập",""),IF(OR(M1256=phu!$I$91,M1256=phu!$I$92,M1256=phu!$I$93),"Cam Bình",""),IF(OR(M1256=phu!$I$94,M1256=phu!$I$95,M1256=phu!$I$96,M1256=phu!$I$97,M1256=phu!$I$98,M1256=phu!$I$99,M1256=phu!$I$100),"Huyện khác",""),IF(OR(M1256=phu!$I$101,M1256=phu!$I$102),"Tỉnh khác",""))</f>
        <v/>
      </c>
      <c r="O1256" s="829" t="str">
        <f t="shared" si="114"/>
        <v/>
      </c>
      <c r="P1256" s="254"/>
      <c r="Q1256" s="254"/>
      <c r="R1256" s="254"/>
      <c r="S1256" s="254"/>
      <c r="T1256" s="254"/>
      <c r="U1256" s="254"/>
      <c r="V1256" s="254"/>
      <c r="W1256" s="254"/>
      <c r="Y1256" s="246" t="str">
        <f t="shared" si="115"/>
        <v/>
      </c>
      <c r="Z1256" s="247" t="str">
        <f t="shared" si="119"/>
        <v/>
      </c>
      <c r="AA1256" s="246" t="str">
        <f t="shared" si="116"/>
        <v/>
      </c>
    </row>
    <row r="1257" spans="1:27" x14ac:dyDescent="0.25">
      <c r="A1257" s="248" t="str">
        <f t="shared" si="117"/>
        <v/>
      </c>
      <c r="B1257" s="249" t="str">
        <f t="shared" si="118"/>
        <v/>
      </c>
      <c r="C1257" s="250"/>
      <c r="D1257" s="251"/>
      <c r="E1257" s="241"/>
      <c r="F1257" s="252"/>
      <c r="G1257" s="252"/>
      <c r="H1257" s="253"/>
      <c r="I1257" s="250"/>
      <c r="J1257" s="250"/>
      <c r="K1257" s="270"/>
      <c r="L1257" s="250"/>
      <c r="M1257" s="250"/>
      <c r="N1257" s="540" t="str">
        <f>CONCATENATE(IF(OR(M1257=phu!$I$1,M1257=phu!$I$2,M1257=phu!$I$3),"Cam Thành Nam",""),IF(OR(M1257=phu!$I$4,M1257=phu!$I$5,M1257=phu!$I$6,M1257=phu!$I$7,M1257=phu!$I$8,M1257=phu!$I$9,M1257=phu!$I$10,M1257=phu!$I$11,M1257=phu!$I$12,M1257=phu!$I$13,M1257=phu!$I$14),"Cam Nghĩa",""),IF(OR(M1257=phu!$I$15,M1257=phu!$I$16,M1257=phu!$I$17,M1257=phu!$I$18,M1257=phu!$I$19,M1257=phu!$I$20,M1257=phu!$I$21),"Cam Phúc Bắc",""),IF(OR(M1257=phu!$I$22,M1257=phu!$I$23,M1257=phu!$I$24,M1257=phu!$I$25),"Cam Phúc Nam",""),IF(OR(M1257=phu!$I$26,M1257=phu!$I$27,M1257=phu!$I$28,M1257=phu!$I$29,M1257=phu!$I$30,M1257=phu!$I$31),"Cam Phú",""),IF(OR(M1257=phu!$I$32,M1257=phu!$I$33,M1257=phu!$I$34,M1257=phu!$I$35,M1257=phu!$I$36,M1257=phu!$I$37),"Cam Lộc",""),IF(OR(M1257=phu!$I$38,M1257=phu!$I$39,M1257=phu!$I$40,M1257=phu!$I$41,M1257=phu!$I$42,M1257=phu!$I$43,M1257=phu!$I$44),"Cam Thuận",""),IF(OR(M1257=phu!$I$45,M1257=phu!$I$46,M1257=phu!$I$47,M1257=phu!$I$48,M1257=phu!$I$49,M1257=phu!$I$50,M1257=phu!$I$51,M1257=phu!$I$52,M1257=phu!$I$53),"Cam Linh",""),IF(OR(M1257=phu!$I$54,M1257=phu!$I$55,M1257=phu!$I$56,M1257=phu!$I$57,M1257=phu!$I$58,M1257=phu!$I$59,M1257=phu!$I$60,M1257=phu!$I$61,M1257=phu!$I$62),"Cam Lợi",""),IF(OR(M1257=phu!$I$63,M1257=phu!$I$64,M1257=phu!$I$65,M1257=phu!$I$66,M1257=phu!$I$67,M1257=phu!$I$68,M1257=phu!$I$69,M1257=phu!$I$70,M1257=phu!$I$71),"Ba Ngòi",""),IF(OR(M1257=phu!$I$72,M1257=phu!$I$73,M1257=phu!$I$74,M1257=phu!$I$75,M1257=phu!$I$76,M1257=phu!$I$77,M1257=phu!$I$78),"Cam Phước Đông",""),IF(OR(M1257=phu!$I$79,M1257=phu!$I$80,M1257=phu!$I$81,M1257=phu!$I$82,M1257=phu!$I$83,M1257=phu!$I$84),"Cam Thịnh Đông",""),IF(OR(M1257=phu!$I$85,M1257=phu!$I$86,M1257=phu!$I$87,M1257=phu!$I$88),"Cam Thịnh Tây",""),IF(OR(M1257=phu!$I$89,M1257=phu!$I$90),"Cam Lập",""),IF(OR(M1257=phu!$I$91,M1257=phu!$I$92,M1257=phu!$I$93),"Cam Bình",""),IF(OR(M1257=phu!$I$94,M1257=phu!$I$95,M1257=phu!$I$96,M1257=phu!$I$97,M1257=phu!$I$98,M1257=phu!$I$99,M1257=phu!$I$100),"Huyện khác",""),IF(OR(M1257=phu!$I$101,M1257=phu!$I$102),"Tỉnh khác",""))</f>
        <v/>
      </c>
      <c r="O1257" s="829" t="str">
        <f t="shared" si="114"/>
        <v/>
      </c>
      <c r="P1257" s="254"/>
      <c r="Q1257" s="254"/>
      <c r="R1257" s="254"/>
      <c r="S1257" s="254"/>
      <c r="T1257" s="254"/>
      <c r="U1257" s="254"/>
      <c r="V1257" s="254"/>
      <c r="W1257" s="254"/>
      <c r="Y1257" s="246" t="str">
        <f t="shared" si="115"/>
        <v/>
      </c>
      <c r="Z1257" s="247" t="str">
        <f t="shared" si="119"/>
        <v/>
      </c>
      <c r="AA1257" s="246" t="str">
        <f t="shared" si="116"/>
        <v/>
      </c>
    </row>
    <row r="1258" spans="1:27" x14ac:dyDescent="0.25">
      <c r="A1258" s="248" t="str">
        <f t="shared" si="117"/>
        <v/>
      </c>
      <c r="B1258" s="249" t="str">
        <f t="shared" si="118"/>
        <v/>
      </c>
      <c r="C1258" s="250"/>
      <c r="D1258" s="251"/>
      <c r="E1258" s="241"/>
      <c r="F1258" s="252"/>
      <c r="G1258" s="252"/>
      <c r="H1258" s="253"/>
      <c r="I1258" s="250"/>
      <c r="J1258" s="250"/>
      <c r="K1258" s="270"/>
      <c r="L1258" s="250"/>
      <c r="M1258" s="250"/>
      <c r="N1258" s="540" t="str">
        <f>CONCATENATE(IF(OR(M1258=phu!$I$1,M1258=phu!$I$2,M1258=phu!$I$3),"Cam Thành Nam",""),IF(OR(M1258=phu!$I$4,M1258=phu!$I$5,M1258=phu!$I$6,M1258=phu!$I$7,M1258=phu!$I$8,M1258=phu!$I$9,M1258=phu!$I$10,M1258=phu!$I$11,M1258=phu!$I$12,M1258=phu!$I$13,M1258=phu!$I$14),"Cam Nghĩa",""),IF(OR(M1258=phu!$I$15,M1258=phu!$I$16,M1258=phu!$I$17,M1258=phu!$I$18,M1258=phu!$I$19,M1258=phu!$I$20,M1258=phu!$I$21),"Cam Phúc Bắc",""),IF(OR(M1258=phu!$I$22,M1258=phu!$I$23,M1258=phu!$I$24,M1258=phu!$I$25),"Cam Phúc Nam",""),IF(OR(M1258=phu!$I$26,M1258=phu!$I$27,M1258=phu!$I$28,M1258=phu!$I$29,M1258=phu!$I$30,M1258=phu!$I$31),"Cam Phú",""),IF(OR(M1258=phu!$I$32,M1258=phu!$I$33,M1258=phu!$I$34,M1258=phu!$I$35,M1258=phu!$I$36,M1258=phu!$I$37),"Cam Lộc",""),IF(OR(M1258=phu!$I$38,M1258=phu!$I$39,M1258=phu!$I$40,M1258=phu!$I$41,M1258=phu!$I$42,M1258=phu!$I$43,M1258=phu!$I$44),"Cam Thuận",""),IF(OR(M1258=phu!$I$45,M1258=phu!$I$46,M1258=phu!$I$47,M1258=phu!$I$48,M1258=phu!$I$49,M1258=phu!$I$50,M1258=phu!$I$51,M1258=phu!$I$52,M1258=phu!$I$53),"Cam Linh",""),IF(OR(M1258=phu!$I$54,M1258=phu!$I$55,M1258=phu!$I$56,M1258=phu!$I$57,M1258=phu!$I$58,M1258=phu!$I$59,M1258=phu!$I$60,M1258=phu!$I$61,M1258=phu!$I$62),"Cam Lợi",""),IF(OR(M1258=phu!$I$63,M1258=phu!$I$64,M1258=phu!$I$65,M1258=phu!$I$66,M1258=phu!$I$67,M1258=phu!$I$68,M1258=phu!$I$69,M1258=phu!$I$70,M1258=phu!$I$71),"Ba Ngòi",""),IF(OR(M1258=phu!$I$72,M1258=phu!$I$73,M1258=phu!$I$74,M1258=phu!$I$75,M1258=phu!$I$76,M1258=phu!$I$77,M1258=phu!$I$78),"Cam Phước Đông",""),IF(OR(M1258=phu!$I$79,M1258=phu!$I$80,M1258=phu!$I$81,M1258=phu!$I$82,M1258=phu!$I$83,M1258=phu!$I$84),"Cam Thịnh Đông",""),IF(OR(M1258=phu!$I$85,M1258=phu!$I$86,M1258=phu!$I$87,M1258=phu!$I$88),"Cam Thịnh Tây",""),IF(OR(M1258=phu!$I$89,M1258=phu!$I$90),"Cam Lập",""),IF(OR(M1258=phu!$I$91,M1258=phu!$I$92,M1258=phu!$I$93),"Cam Bình",""),IF(OR(M1258=phu!$I$94,M1258=phu!$I$95,M1258=phu!$I$96,M1258=phu!$I$97,M1258=phu!$I$98,M1258=phu!$I$99,M1258=phu!$I$100),"Huyện khác",""),IF(OR(M1258=phu!$I$101,M1258=phu!$I$102),"Tỉnh khác",""))</f>
        <v/>
      </c>
      <c r="O1258" s="829" t="str">
        <f t="shared" si="114"/>
        <v/>
      </c>
      <c r="P1258" s="254"/>
      <c r="Q1258" s="254"/>
      <c r="R1258" s="254"/>
      <c r="S1258" s="254"/>
      <c r="T1258" s="254"/>
      <c r="U1258" s="254"/>
      <c r="V1258" s="254"/>
      <c r="W1258" s="254"/>
      <c r="Y1258" s="246" t="str">
        <f t="shared" si="115"/>
        <v/>
      </c>
      <c r="Z1258" s="247" t="str">
        <f t="shared" si="119"/>
        <v/>
      </c>
      <c r="AA1258" s="246" t="str">
        <f t="shared" si="116"/>
        <v/>
      </c>
    </row>
    <row r="1259" spans="1:27" x14ac:dyDescent="0.25">
      <c r="A1259" s="248" t="str">
        <f t="shared" si="117"/>
        <v/>
      </c>
      <c r="B1259" s="249" t="str">
        <f t="shared" si="118"/>
        <v/>
      </c>
      <c r="C1259" s="250"/>
      <c r="D1259" s="251"/>
      <c r="E1259" s="241"/>
      <c r="F1259" s="252"/>
      <c r="G1259" s="252"/>
      <c r="H1259" s="253"/>
      <c r="I1259" s="250"/>
      <c r="J1259" s="250"/>
      <c r="K1259" s="270"/>
      <c r="L1259" s="250"/>
      <c r="M1259" s="250"/>
      <c r="N1259" s="540" t="str">
        <f>CONCATENATE(IF(OR(M1259=phu!$I$1,M1259=phu!$I$2,M1259=phu!$I$3),"Cam Thành Nam",""),IF(OR(M1259=phu!$I$4,M1259=phu!$I$5,M1259=phu!$I$6,M1259=phu!$I$7,M1259=phu!$I$8,M1259=phu!$I$9,M1259=phu!$I$10,M1259=phu!$I$11,M1259=phu!$I$12,M1259=phu!$I$13,M1259=phu!$I$14),"Cam Nghĩa",""),IF(OR(M1259=phu!$I$15,M1259=phu!$I$16,M1259=phu!$I$17,M1259=phu!$I$18,M1259=phu!$I$19,M1259=phu!$I$20,M1259=phu!$I$21),"Cam Phúc Bắc",""),IF(OR(M1259=phu!$I$22,M1259=phu!$I$23,M1259=phu!$I$24,M1259=phu!$I$25),"Cam Phúc Nam",""),IF(OR(M1259=phu!$I$26,M1259=phu!$I$27,M1259=phu!$I$28,M1259=phu!$I$29,M1259=phu!$I$30,M1259=phu!$I$31),"Cam Phú",""),IF(OR(M1259=phu!$I$32,M1259=phu!$I$33,M1259=phu!$I$34,M1259=phu!$I$35,M1259=phu!$I$36,M1259=phu!$I$37),"Cam Lộc",""),IF(OR(M1259=phu!$I$38,M1259=phu!$I$39,M1259=phu!$I$40,M1259=phu!$I$41,M1259=phu!$I$42,M1259=phu!$I$43,M1259=phu!$I$44),"Cam Thuận",""),IF(OR(M1259=phu!$I$45,M1259=phu!$I$46,M1259=phu!$I$47,M1259=phu!$I$48,M1259=phu!$I$49,M1259=phu!$I$50,M1259=phu!$I$51,M1259=phu!$I$52,M1259=phu!$I$53),"Cam Linh",""),IF(OR(M1259=phu!$I$54,M1259=phu!$I$55,M1259=phu!$I$56,M1259=phu!$I$57,M1259=phu!$I$58,M1259=phu!$I$59,M1259=phu!$I$60,M1259=phu!$I$61,M1259=phu!$I$62),"Cam Lợi",""),IF(OR(M1259=phu!$I$63,M1259=phu!$I$64,M1259=phu!$I$65,M1259=phu!$I$66,M1259=phu!$I$67,M1259=phu!$I$68,M1259=phu!$I$69,M1259=phu!$I$70,M1259=phu!$I$71),"Ba Ngòi",""),IF(OR(M1259=phu!$I$72,M1259=phu!$I$73,M1259=phu!$I$74,M1259=phu!$I$75,M1259=phu!$I$76,M1259=phu!$I$77,M1259=phu!$I$78),"Cam Phước Đông",""),IF(OR(M1259=phu!$I$79,M1259=phu!$I$80,M1259=phu!$I$81,M1259=phu!$I$82,M1259=phu!$I$83,M1259=phu!$I$84),"Cam Thịnh Đông",""),IF(OR(M1259=phu!$I$85,M1259=phu!$I$86,M1259=phu!$I$87,M1259=phu!$I$88),"Cam Thịnh Tây",""),IF(OR(M1259=phu!$I$89,M1259=phu!$I$90),"Cam Lập",""),IF(OR(M1259=phu!$I$91,M1259=phu!$I$92,M1259=phu!$I$93),"Cam Bình",""),IF(OR(M1259=phu!$I$94,M1259=phu!$I$95,M1259=phu!$I$96,M1259=phu!$I$97,M1259=phu!$I$98,M1259=phu!$I$99,M1259=phu!$I$100),"Huyện khác",""),IF(OR(M1259=phu!$I$101,M1259=phu!$I$102),"Tỉnh khác",""))</f>
        <v/>
      </c>
      <c r="O1259" s="829" t="str">
        <f t="shared" si="114"/>
        <v/>
      </c>
      <c r="P1259" s="254"/>
      <c r="Q1259" s="254"/>
      <c r="R1259" s="254"/>
      <c r="S1259" s="254"/>
      <c r="T1259" s="254"/>
      <c r="U1259" s="254"/>
      <c r="V1259" s="254"/>
      <c r="W1259" s="254"/>
      <c r="Y1259" s="246" t="str">
        <f t="shared" si="115"/>
        <v/>
      </c>
      <c r="Z1259" s="247" t="str">
        <f t="shared" si="119"/>
        <v/>
      </c>
      <c r="AA1259" s="246" t="str">
        <f t="shared" si="116"/>
        <v/>
      </c>
    </row>
    <row r="1260" spans="1:27" x14ac:dyDescent="0.25">
      <c r="A1260" s="248" t="str">
        <f t="shared" si="117"/>
        <v/>
      </c>
      <c r="B1260" s="249" t="str">
        <f t="shared" si="118"/>
        <v/>
      </c>
      <c r="C1260" s="250"/>
      <c r="D1260" s="251"/>
      <c r="E1260" s="241"/>
      <c r="F1260" s="252"/>
      <c r="G1260" s="252"/>
      <c r="H1260" s="253"/>
      <c r="I1260" s="250"/>
      <c r="J1260" s="250"/>
      <c r="K1260" s="270"/>
      <c r="L1260" s="250"/>
      <c r="M1260" s="250"/>
      <c r="N1260" s="540" t="str">
        <f>CONCATENATE(IF(OR(M1260=phu!$I$1,M1260=phu!$I$2,M1260=phu!$I$3),"Cam Thành Nam",""),IF(OR(M1260=phu!$I$4,M1260=phu!$I$5,M1260=phu!$I$6,M1260=phu!$I$7,M1260=phu!$I$8,M1260=phu!$I$9,M1260=phu!$I$10,M1260=phu!$I$11,M1260=phu!$I$12,M1260=phu!$I$13,M1260=phu!$I$14),"Cam Nghĩa",""),IF(OR(M1260=phu!$I$15,M1260=phu!$I$16,M1260=phu!$I$17,M1260=phu!$I$18,M1260=phu!$I$19,M1260=phu!$I$20,M1260=phu!$I$21),"Cam Phúc Bắc",""),IF(OR(M1260=phu!$I$22,M1260=phu!$I$23,M1260=phu!$I$24,M1260=phu!$I$25),"Cam Phúc Nam",""),IF(OR(M1260=phu!$I$26,M1260=phu!$I$27,M1260=phu!$I$28,M1260=phu!$I$29,M1260=phu!$I$30,M1260=phu!$I$31),"Cam Phú",""),IF(OR(M1260=phu!$I$32,M1260=phu!$I$33,M1260=phu!$I$34,M1260=phu!$I$35,M1260=phu!$I$36,M1260=phu!$I$37),"Cam Lộc",""),IF(OR(M1260=phu!$I$38,M1260=phu!$I$39,M1260=phu!$I$40,M1260=phu!$I$41,M1260=phu!$I$42,M1260=phu!$I$43,M1260=phu!$I$44),"Cam Thuận",""),IF(OR(M1260=phu!$I$45,M1260=phu!$I$46,M1260=phu!$I$47,M1260=phu!$I$48,M1260=phu!$I$49,M1260=phu!$I$50,M1260=phu!$I$51,M1260=phu!$I$52,M1260=phu!$I$53),"Cam Linh",""),IF(OR(M1260=phu!$I$54,M1260=phu!$I$55,M1260=phu!$I$56,M1260=phu!$I$57,M1260=phu!$I$58,M1260=phu!$I$59,M1260=phu!$I$60,M1260=phu!$I$61,M1260=phu!$I$62),"Cam Lợi",""),IF(OR(M1260=phu!$I$63,M1260=phu!$I$64,M1260=phu!$I$65,M1260=phu!$I$66,M1260=phu!$I$67,M1260=phu!$I$68,M1260=phu!$I$69,M1260=phu!$I$70,M1260=phu!$I$71),"Ba Ngòi",""),IF(OR(M1260=phu!$I$72,M1260=phu!$I$73,M1260=phu!$I$74,M1260=phu!$I$75,M1260=phu!$I$76,M1260=phu!$I$77,M1260=phu!$I$78),"Cam Phước Đông",""),IF(OR(M1260=phu!$I$79,M1260=phu!$I$80,M1260=phu!$I$81,M1260=phu!$I$82,M1260=phu!$I$83,M1260=phu!$I$84),"Cam Thịnh Đông",""),IF(OR(M1260=phu!$I$85,M1260=phu!$I$86,M1260=phu!$I$87,M1260=phu!$I$88),"Cam Thịnh Tây",""),IF(OR(M1260=phu!$I$89,M1260=phu!$I$90),"Cam Lập",""),IF(OR(M1260=phu!$I$91,M1260=phu!$I$92,M1260=phu!$I$93),"Cam Bình",""),IF(OR(M1260=phu!$I$94,M1260=phu!$I$95,M1260=phu!$I$96,M1260=phu!$I$97,M1260=phu!$I$98,M1260=phu!$I$99,M1260=phu!$I$100),"Huyện khác",""),IF(OR(M1260=phu!$I$101,M1260=phu!$I$102),"Tỉnh khác",""))</f>
        <v/>
      </c>
      <c r="O1260" s="829" t="str">
        <f t="shared" si="114"/>
        <v/>
      </c>
      <c r="P1260" s="254"/>
      <c r="Q1260" s="254"/>
      <c r="R1260" s="254"/>
      <c r="S1260" s="254"/>
      <c r="T1260" s="254"/>
      <c r="U1260" s="254"/>
      <c r="V1260" s="254"/>
      <c r="W1260" s="254"/>
      <c r="Y1260" s="246" t="str">
        <f t="shared" si="115"/>
        <v/>
      </c>
      <c r="Z1260" s="247" t="str">
        <f t="shared" si="119"/>
        <v/>
      </c>
      <c r="AA1260" s="246" t="str">
        <f t="shared" si="116"/>
        <v/>
      </c>
    </row>
    <row r="1261" spans="1:27" x14ac:dyDescent="0.25">
      <c r="A1261" s="248" t="str">
        <f t="shared" si="117"/>
        <v/>
      </c>
      <c r="B1261" s="249" t="str">
        <f t="shared" si="118"/>
        <v/>
      </c>
      <c r="C1261" s="250"/>
      <c r="D1261" s="251"/>
      <c r="E1261" s="241"/>
      <c r="F1261" s="252"/>
      <c r="G1261" s="252"/>
      <c r="H1261" s="253"/>
      <c r="I1261" s="250"/>
      <c r="J1261" s="250"/>
      <c r="K1261" s="270"/>
      <c r="L1261" s="250"/>
      <c r="M1261" s="250"/>
      <c r="N1261" s="540" t="str">
        <f>CONCATENATE(IF(OR(M1261=phu!$I$1,M1261=phu!$I$2,M1261=phu!$I$3),"Cam Thành Nam",""),IF(OR(M1261=phu!$I$4,M1261=phu!$I$5,M1261=phu!$I$6,M1261=phu!$I$7,M1261=phu!$I$8,M1261=phu!$I$9,M1261=phu!$I$10,M1261=phu!$I$11,M1261=phu!$I$12,M1261=phu!$I$13,M1261=phu!$I$14),"Cam Nghĩa",""),IF(OR(M1261=phu!$I$15,M1261=phu!$I$16,M1261=phu!$I$17,M1261=phu!$I$18,M1261=phu!$I$19,M1261=phu!$I$20,M1261=phu!$I$21),"Cam Phúc Bắc",""),IF(OR(M1261=phu!$I$22,M1261=phu!$I$23,M1261=phu!$I$24,M1261=phu!$I$25),"Cam Phúc Nam",""),IF(OR(M1261=phu!$I$26,M1261=phu!$I$27,M1261=phu!$I$28,M1261=phu!$I$29,M1261=phu!$I$30,M1261=phu!$I$31),"Cam Phú",""),IF(OR(M1261=phu!$I$32,M1261=phu!$I$33,M1261=phu!$I$34,M1261=phu!$I$35,M1261=phu!$I$36,M1261=phu!$I$37),"Cam Lộc",""),IF(OR(M1261=phu!$I$38,M1261=phu!$I$39,M1261=phu!$I$40,M1261=phu!$I$41,M1261=phu!$I$42,M1261=phu!$I$43,M1261=phu!$I$44),"Cam Thuận",""),IF(OR(M1261=phu!$I$45,M1261=phu!$I$46,M1261=phu!$I$47,M1261=phu!$I$48,M1261=phu!$I$49,M1261=phu!$I$50,M1261=phu!$I$51,M1261=phu!$I$52,M1261=phu!$I$53),"Cam Linh",""),IF(OR(M1261=phu!$I$54,M1261=phu!$I$55,M1261=phu!$I$56,M1261=phu!$I$57,M1261=phu!$I$58,M1261=phu!$I$59,M1261=phu!$I$60,M1261=phu!$I$61,M1261=phu!$I$62),"Cam Lợi",""),IF(OR(M1261=phu!$I$63,M1261=phu!$I$64,M1261=phu!$I$65,M1261=phu!$I$66,M1261=phu!$I$67,M1261=phu!$I$68,M1261=phu!$I$69,M1261=phu!$I$70,M1261=phu!$I$71),"Ba Ngòi",""),IF(OR(M1261=phu!$I$72,M1261=phu!$I$73,M1261=phu!$I$74,M1261=phu!$I$75,M1261=phu!$I$76,M1261=phu!$I$77,M1261=phu!$I$78),"Cam Phước Đông",""),IF(OR(M1261=phu!$I$79,M1261=phu!$I$80,M1261=phu!$I$81,M1261=phu!$I$82,M1261=phu!$I$83,M1261=phu!$I$84),"Cam Thịnh Đông",""),IF(OR(M1261=phu!$I$85,M1261=phu!$I$86,M1261=phu!$I$87,M1261=phu!$I$88),"Cam Thịnh Tây",""),IF(OR(M1261=phu!$I$89,M1261=phu!$I$90),"Cam Lập",""),IF(OR(M1261=phu!$I$91,M1261=phu!$I$92,M1261=phu!$I$93),"Cam Bình",""),IF(OR(M1261=phu!$I$94,M1261=phu!$I$95,M1261=phu!$I$96,M1261=phu!$I$97,M1261=phu!$I$98,M1261=phu!$I$99,M1261=phu!$I$100),"Huyện khác",""),IF(OR(M1261=phu!$I$101,M1261=phu!$I$102),"Tỉnh khác",""))</f>
        <v/>
      </c>
      <c r="O1261" s="829" t="str">
        <f t="shared" si="114"/>
        <v/>
      </c>
      <c r="P1261" s="254"/>
      <c r="Q1261" s="254"/>
      <c r="R1261" s="254"/>
      <c r="S1261" s="254"/>
      <c r="T1261" s="254"/>
      <c r="U1261" s="254"/>
      <c r="V1261" s="254"/>
      <c r="W1261" s="254"/>
      <c r="Y1261" s="246" t="str">
        <f t="shared" si="115"/>
        <v/>
      </c>
      <c r="Z1261" s="247" t="str">
        <f t="shared" si="119"/>
        <v/>
      </c>
      <c r="AA1261" s="246" t="str">
        <f t="shared" si="116"/>
        <v/>
      </c>
    </row>
    <row r="1262" spans="1:27" x14ac:dyDescent="0.25">
      <c r="A1262" s="248" t="str">
        <f t="shared" si="117"/>
        <v/>
      </c>
      <c r="B1262" s="249" t="str">
        <f t="shared" si="118"/>
        <v/>
      </c>
      <c r="C1262" s="250"/>
      <c r="D1262" s="251"/>
      <c r="E1262" s="241"/>
      <c r="F1262" s="252"/>
      <c r="G1262" s="252"/>
      <c r="H1262" s="253"/>
      <c r="I1262" s="250"/>
      <c r="J1262" s="250"/>
      <c r="K1262" s="270"/>
      <c r="L1262" s="250"/>
      <c r="M1262" s="250"/>
      <c r="N1262" s="540" t="str">
        <f>CONCATENATE(IF(OR(M1262=phu!$I$1,M1262=phu!$I$2,M1262=phu!$I$3),"Cam Thành Nam",""),IF(OR(M1262=phu!$I$4,M1262=phu!$I$5,M1262=phu!$I$6,M1262=phu!$I$7,M1262=phu!$I$8,M1262=phu!$I$9,M1262=phu!$I$10,M1262=phu!$I$11,M1262=phu!$I$12,M1262=phu!$I$13,M1262=phu!$I$14),"Cam Nghĩa",""),IF(OR(M1262=phu!$I$15,M1262=phu!$I$16,M1262=phu!$I$17,M1262=phu!$I$18,M1262=phu!$I$19,M1262=phu!$I$20,M1262=phu!$I$21),"Cam Phúc Bắc",""),IF(OR(M1262=phu!$I$22,M1262=phu!$I$23,M1262=phu!$I$24,M1262=phu!$I$25),"Cam Phúc Nam",""),IF(OR(M1262=phu!$I$26,M1262=phu!$I$27,M1262=phu!$I$28,M1262=phu!$I$29,M1262=phu!$I$30,M1262=phu!$I$31),"Cam Phú",""),IF(OR(M1262=phu!$I$32,M1262=phu!$I$33,M1262=phu!$I$34,M1262=phu!$I$35,M1262=phu!$I$36,M1262=phu!$I$37),"Cam Lộc",""),IF(OR(M1262=phu!$I$38,M1262=phu!$I$39,M1262=phu!$I$40,M1262=phu!$I$41,M1262=phu!$I$42,M1262=phu!$I$43,M1262=phu!$I$44),"Cam Thuận",""),IF(OR(M1262=phu!$I$45,M1262=phu!$I$46,M1262=phu!$I$47,M1262=phu!$I$48,M1262=phu!$I$49,M1262=phu!$I$50,M1262=phu!$I$51,M1262=phu!$I$52,M1262=phu!$I$53),"Cam Linh",""),IF(OR(M1262=phu!$I$54,M1262=phu!$I$55,M1262=phu!$I$56,M1262=phu!$I$57,M1262=phu!$I$58,M1262=phu!$I$59,M1262=phu!$I$60,M1262=phu!$I$61,M1262=phu!$I$62),"Cam Lợi",""),IF(OR(M1262=phu!$I$63,M1262=phu!$I$64,M1262=phu!$I$65,M1262=phu!$I$66,M1262=phu!$I$67,M1262=phu!$I$68,M1262=phu!$I$69,M1262=phu!$I$70,M1262=phu!$I$71),"Ba Ngòi",""),IF(OR(M1262=phu!$I$72,M1262=phu!$I$73,M1262=phu!$I$74,M1262=phu!$I$75,M1262=phu!$I$76,M1262=phu!$I$77,M1262=phu!$I$78),"Cam Phước Đông",""),IF(OR(M1262=phu!$I$79,M1262=phu!$I$80,M1262=phu!$I$81,M1262=phu!$I$82,M1262=phu!$I$83,M1262=phu!$I$84),"Cam Thịnh Đông",""),IF(OR(M1262=phu!$I$85,M1262=phu!$I$86,M1262=phu!$I$87,M1262=phu!$I$88),"Cam Thịnh Tây",""),IF(OR(M1262=phu!$I$89,M1262=phu!$I$90),"Cam Lập",""),IF(OR(M1262=phu!$I$91,M1262=phu!$I$92,M1262=phu!$I$93),"Cam Bình",""),IF(OR(M1262=phu!$I$94,M1262=phu!$I$95,M1262=phu!$I$96,M1262=phu!$I$97,M1262=phu!$I$98,M1262=phu!$I$99,M1262=phu!$I$100),"Huyện khác",""),IF(OR(M1262=phu!$I$101,M1262=phu!$I$102),"Tỉnh khác",""))</f>
        <v/>
      </c>
      <c r="O1262" s="829" t="str">
        <f t="shared" si="114"/>
        <v/>
      </c>
      <c r="P1262" s="254"/>
      <c r="Q1262" s="254"/>
      <c r="R1262" s="254"/>
      <c r="S1262" s="254"/>
      <c r="T1262" s="254"/>
      <c r="U1262" s="254"/>
      <c r="V1262" s="254"/>
      <c r="W1262" s="254"/>
      <c r="Y1262" s="246" t="str">
        <f t="shared" si="115"/>
        <v/>
      </c>
      <c r="Z1262" s="247" t="str">
        <f t="shared" si="119"/>
        <v/>
      </c>
      <c r="AA1262" s="246" t="str">
        <f t="shared" si="116"/>
        <v/>
      </c>
    </row>
    <row r="1263" spans="1:27" x14ac:dyDescent="0.25">
      <c r="A1263" s="248" t="str">
        <f t="shared" si="117"/>
        <v/>
      </c>
      <c r="B1263" s="249" t="str">
        <f t="shared" si="118"/>
        <v/>
      </c>
      <c r="C1263" s="250"/>
      <c r="D1263" s="251"/>
      <c r="E1263" s="241"/>
      <c r="F1263" s="252"/>
      <c r="G1263" s="252"/>
      <c r="H1263" s="253"/>
      <c r="I1263" s="250"/>
      <c r="J1263" s="250"/>
      <c r="K1263" s="270"/>
      <c r="L1263" s="250"/>
      <c r="M1263" s="250"/>
      <c r="N1263" s="540" t="str">
        <f>CONCATENATE(IF(OR(M1263=phu!$I$1,M1263=phu!$I$2,M1263=phu!$I$3),"Cam Thành Nam",""),IF(OR(M1263=phu!$I$4,M1263=phu!$I$5,M1263=phu!$I$6,M1263=phu!$I$7,M1263=phu!$I$8,M1263=phu!$I$9,M1263=phu!$I$10,M1263=phu!$I$11,M1263=phu!$I$12,M1263=phu!$I$13,M1263=phu!$I$14),"Cam Nghĩa",""),IF(OR(M1263=phu!$I$15,M1263=phu!$I$16,M1263=phu!$I$17,M1263=phu!$I$18,M1263=phu!$I$19,M1263=phu!$I$20,M1263=phu!$I$21),"Cam Phúc Bắc",""),IF(OR(M1263=phu!$I$22,M1263=phu!$I$23,M1263=phu!$I$24,M1263=phu!$I$25),"Cam Phúc Nam",""),IF(OR(M1263=phu!$I$26,M1263=phu!$I$27,M1263=phu!$I$28,M1263=phu!$I$29,M1263=phu!$I$30,M1263=phu!$I$31),"Cam Phú",""),IF(OR(M1263=phu!$I$32,M1263=phu!$I$33,M1263=phu!$I$34,M1263=phu!$I$35,M1263=phu!$I$36,M1263=phu!$I$37),"Cam Lộc",""),IF(OR(M1263=phu!$I$38,M1263=phu!$I$39,M1263=phu!$I$40,M1263=phu!$I$41,M1263=phu!$I$42,M1263=phu!$I$43,M1263=phu!$I$44),"Cam Thuận",""),IF(OR(M1263=phu!$I$45,M1263=phu!$I$46,M1263=phu!$I$47,M1263=phu!$I$48,M1263=phu!$I$49,M1263=phu!$I$50,M1263=phu!$I$51,M1263=phu!$I$52,M1263=phu!$I$53),"Cam Linh",""),IF(OR(M1263=phu!$I$54,M1263=phu!$I$55,M1263=phu!$I$56,M1263=phu!$I$57,M1263=phu!$I$58,M1263=phu!$I$59,M1263=phu!$I$60,M1263=phu!$I$61,M1263=phu!$I$62),"Cam Lợi",""),IF(OR(M1263=phu!$I$63,M1263=phu!$I$64,M1263=phu!$I$65,M1263=phu!$I$66,M1263=phu!$I$67,M1263=phu!$I$68,M1263=phu!$I$69,M1263=phu!$I$70,M1263=phu!$I$71),"Ba Ngòi",""),IF(OR(M1263=phu!$I$72,M1263=phu!$I$73,M1263=phu!$I$74,M1263=phu!$I$75,M1263=phu!$I$76,M1263=phu!$I$77,M1263=phu!$I$78),"Cam Phước Đông",""),IF(OR(M1263=phu!$I$79,M1263=phu!$I$80,M1263=phu!$I$81,M1263=phu!$I$82,M1263=phu!$I$83,M1263=phu!$I$84),"Cam Thịnh Đông",""),IF(OR(M1263=phu!$I$85,M1263=phu!$I$86,M1263=phu!$I$87,M1263=phu!$I$88),"Cam Thịnh Tây",""),IF(OR(M1263=phu!$I$89,M1263=phu!$I$90),"Cam Lập",""),IF(OR(M1263=phu!$I$91,M1263=phu!$I$92,M1263=phu!$I$93),"Cam Bình",""),IF(OR(M1263=phu!$I$94,M1263=phu!$I$95,M1263=phu!$I$96,M1263=phu!$I$97,M1263=phu!$I$98,M1263=phu!$I$99,M1263=phu!$I$100),"Huyện khác",""),IF(OR(M1263=phu!$I$101,M1263=phu!$I$102),"Tỉnh khác",""))</f>
        <v/>
      </c>
      <c r="O1263" s="829" t="str">
        <f t="shared" si="114"/>
        <v/>
      </c>
      <c r="P1263" s="254"/>
      <c r="Q1263" s="254"/>
      <c r="R1263" s="254"/>
      <c r="S1263" s="254"/>
      <c r="T1263" s="254"/>
      <c r="U1263" s="254"/>
      <c r="V1263" s="254"/>
      <c r="W1263" s="254"/>
      <c r="Y1263" s="246" t="str">
        <f t="shared" si="115"/>
        <v/>
      </c>
      <c r="Z1263" s="247" t="str">
        <f t="shared" si="119"/>
        <v/>
      </c>
      <c r="AA1263" s="246" t="str">
        <f t="shared" si="116"/>
        <v/>
      </c>
    </row>
    <row r="1264" spans="1:27" x14ac:dyDescent="0.25">
      <c r="A1264" s="248" t="str">
        <f t="shared" si="117"/>
        <v/>
      </c>
      <c r="B1264" s="249" t="str">
        <f t="shared" si="118"/>
        <v/>
      </c>
      <c r="C1264" s="250"/>
      <c r="D1264" s="251"/>
      <c r="E1264" s="241"/>
      <c r="F1264" s="252"/>
      <c r="G1264" s="252"/>
      <c r="H1264" s="253"/>
      <c r="I1264" s="250"/>
      <c r="J1264" s="250"/>
      <c r="K1264" s="270"/>
      <c r="L1264" s="250"/>
      <c r="M1264" s="250"/>
      <c r="N1264" s="540" t="str">
        <f>CONCATENATE(IF(OR(M1264=phu!$I$1,M1264=phu!$I$2,M1264=phu!$I$3),"Cam Thành Nam",""),IF(OR(M1264=phu!$I$4,M1264=phu!$I$5,M1264=phu!$I$6,M1264=phu!$I$7,M1264=phu!$I$8,M1264=phu!$I$9,M1264=phu!$I$10,M1264=phu!$I$11,M1264=phu!$I$12,M1264=phu!$I$13,M1264=phu!$I$14),"Cam Nghĩa",""),IF(OR(M1264=phu!$I$15,M1264=phu!$I$16,M1264=phu!$I$17,M1264=phu!$I$18,M1264=phu!$I$19,M1264=phu!$I$20,M1264=phu!$I$21),"Cam Phúc Bắc",""),IF(OR(M1264=phu!$I$22,M1264=phu!$I$23,M1264=phu!$I$24,M1264=phu!$I$25),"Cam Phúc Nam",""),IF(OR(M1264=phu!$I$26,M1264=phu!$I$27,M1264=phu!$I$28,M1264=phu!$I$29,M1264=phu!$I$30,M1264=phu!$I$31),"Cam Phú",""),IF(OR(M1264=phu!$I$32,M1264=phu!$I$33,M1264=phu!$I$34,M1264=phu!$I$35,M1264=phu!$I$36,M1264=phu!$I$37),"Cam Lộc",""),IF(OR(M1264=phu!$I$38,M1264=phu!$I$39,M1264=phu!$I$40,M1264=phu!$I$41,M1264=phu!$I$42,M1264=phu!$I$43,M1264=phu!$I$44),"Cam Thuận",""),IF(OR(M1264=phu!$I$45,M1264=phu!$I$46,M1264=phu!$I$47,M1264=phu!$I$48,M1264=phu!$I$49,M1264=phu!$I$50,M1264=phu!$I$51,M1264=phu!$I$52,M1264=phu!$I$53),"Cam Linh",""),IF(OR(M1264=phu!$I$54,M1264=phu!$I$55,M1264=phu!$I$56,M1264=phu!$I$57,M1264=phu!$I$58,M1264=phu!$I$59,M1264=phu!$I$60,M1264=phu!$I$61,M1264=phu!$I$62),"Cam Lợi",""),IF(OR(M1264=phu!$I$63,M1264=phu!$I$64,M1264=phu!$I$65,M1264=phu!$I$66,M1264=phu!$I$67,M1264=phu!$I$68,M1264=phu!$I$69,M1264=phu!$I$70,M1264=phu!$I$71),"Ba Ngòi",""),IF(OR(M1264=phu!$I$72,M1264=phu!$I$73,M1264=phu!$I$74,M1264=phu!$I$75,M1264=phu!$I$76,M1264=phu!$I$77,M1264=phu!$I$78),"Cam Phước Đông",""),IF(OR(M1264=phu!$I$79,M1264=phu!$I$80,M1264=phu!$I$81,M1264=phu!$I$82,M1264=phu!$I$83,M1264=phu!$I$84),"Cam Thịnh Đông",""),IF(OR(M1264=phu!$I$85,M1264=phu!$I$86,M1264=phu!$I$87,M1264=phu!$I$88),"Cam Thịnh Tây",""),IF(OR(M1264=phu!$I$89,M1264=phu!$I$90),"Cam Lập",""),IF(OR(M1264=phu!$I$91,M1264=phu!$I$92,M1264=phu!$I$93),"Cam Bình",""),IF(OR(M1264=phu!$I$94,M1264=phu!$I$95,M1264=phu!$I$96,M1264=phu!$I$97,M1264=phu!$I$98,M1264=phu!$I$99,M1264=phu!$I$100),"Huyện khác",""),IF(OR(M1264=phu!$I$101,M1264=phu!$I$102),"Tỉnh khác",""))</f>
        <v/>
      </c>
      <c r="O1264" s="829" t="str">
        <f t="shared" si="114"/>
        <v/>
      </c>
      <c r="P1264" s="254"/>
      <c r="Q1264" s="254"/>
      <c r="R1264" s="254"/>
      <c r="S1264" s="254"/>
      <c r="T1264" s="254"/>
      <c r="U1264" s="254"/>
      <c r="V1264" s="254"/>
      <c r="W1264" s="254"/>
      <c r="Y1264" s="246" t="str">
        <f t="shared" si="115"/>
        <v/>
      </c>
      <c r="Z1264" s="247" t="str">
        <f t="shared" si="119"/>
        <v/>
      </c>
      <c r="AA1264" s="246" t="str">
        <f t="shared" si="116"/>
        <v/>
      </c>
    </row>
    <row r="1265" spans="1:27" x14ac:dyDescent="0.25">
      <c r="A1265" s="248" t="str">
        <f t="shared" si="117"/>
        <v/>
      </c>
      <c r="B1265" s="249" t="str">
        <f t="shared" si="118"/>
        <v/>
      </c>
      <c r="C1265" s="250"/>
      <c r="D1265" s="251"/>
      <c r="E1265" s="241"/>
      <c r="F1265" s="252"/>
      <c r="G1265" s="252"/>
      <c r="H1265" s="253"/>
      <c r="I1265" s="250"/>
      <c r="J1265" s="250"/>
      <c r="K1265" s="270"/>
      <c r="L1265" s="250"/>
      <c r="M1265" s="250"/>
      <c r="N1265" s="540" t="str">
        <f>CONCATENATE(IF(OR(M1265=phu!$I$1,M1265=phu!$I$2,M1265=phu!$I$3),"Cam Thành Nam",""),IF(OR(M1265=phu!$I$4,M1265=phu!$I$5,M1265=phu!$I$6,M1265=phu!$I$7,M1265=phu!$I$8,M1265=phu!$I$9,M1265=phu!$I$10,M1265=phu!$I$11,M1265=phu!$I$12,M1265=phu!$I$13,M1265=phu!$I$14),"Cam Nghĩa",""),IF(OR(M1265=phu!$I$15,M1265=phu!$I$16,M1265=phu!$I$17,M1265=phu!$I$18,M1265=phu!$I$19,M1265=phu!$I$20,M1265=phu!$I$21),"Cam Phúc Bắc",""),IF(OR(M1265=phu!$I$22,M1265=phu!$I$23,M1265=phu!$I$24,M1265=phu!$I$25),"Cam Phúc Nam",""),IF(OR(M1265=phu!$I$26,M1265=phu!$I$27,M1265=phu!$I$28,M1265=phu!$I$29,M1265=phu!$I$30,M1265=phu!$I$31),"Cam Phú",""),IF(OR(M1265=phu!$I$32,M1265=phu!$I$33,M1265=phu!$I$34,M1265=phu!$I$35,M1265=phu!$I$36,M1265=phu!$I$37),"Cam Lộc",""),IF(OR(M1265=phu!$I$38,M1265=phu!$I$39,M1265=phu!$I$40,M1265=phu!$I$41,M1265=phu!$I$42,M1265=phu!$I$43,M1265=phu!$I$44),"Cam Thuận",""),IF(OR(M1265=phu!$I$45,M1265=phu!$I$46,M1265=phu!$I$47,M1265=phu!$I$48,M1265=phu!$I$49,M1265=phu!$I$50,M1265=phu!$I$51,M1265=phu!$I$52,M1265=phu!$I$53),"Cam Linh",""),IF(OR(M1265=phu!$I$54,M1265=phu!$I$55,M1265=phu!$I$56,M1265=phu!$I$57,M1265=phu!$I$58,M1265=phu!$I$59,M1265=phu!$I$60,M1265=phu!$I$61,M1265=phu!$I$62),"Cam Lợi",""),IF(OR(M1265=phu!$I$63,M1265=phu!$I$64,M1265=phu!$I$65,M1265=phu!$I$66,M1265=phu!$I$67,M1265=phu!$I$68,M1265=phu!$I$69,M1265=phu!$I$70,M1265=phu!$I$71),"Ba Ngòi",""),IF(OR(M1265=phu!$I$72,M1265=phu!$I$73,M1265=phu!$I$74,M1265=phu!$I$75,M1265=phu!$I$76,M1265=phu!$I$77,M1265=phu!$I$78),"Cam Phước Đông",""),IF(OR(M1265=phu!$I$79,M1265=phu!$I$80,M1265=phu!$I$81,M1265=phu!$I$82,M1265=phu!$I$83,M1265=phu!$I$84),"Cam Thịnh Đông",""),IF(OR(M1265=phu!$I$85,M1265=phu!$I$86,M1265=phu!$I$87,M1265=phu!$I$88),"Cam Thịnh Tây",""),IF(OR(M1265=phu!$I$89,M1265=phu!$I$90),"Cam Lập",""),IF(OR(M1265=phu!$I$91,M1265=phu!$I$92,M1265=phu!$I$93),"Cam Bình",""),IF(OR(M1265=phu!$I$94,M1265=phu!$I$95,M1265=phu!$I$96,M1265=phu!$I$97,M1265=phu!$I$98,M1265=phu!$I$99,M1265=phu!$I$100),"Huyện khác",""),IF(OR(M1265=phu!$I$101,M1265=phu!$I$102),"Tỉnh khác",""))</f>
        <v/>
      </c>
      <c r="O1265" s="829" t="str">
        <f t="shared" si="114"/>
        <v/>
      </c>
      <c r="P1265" s="254"/>
      <c r="Q1265" s="254"/>
      <c r="R1265" s="254"/>
      <c r="S1265" s="254"/>
      <c r="T1265" s="254"/>
      <c r="U1265" s="254"/>
      <c r="V1265" s="254"/>
      <c r="W1265" s="254"/>
      <c r="Y1265" s="246" t="str">
        <f t="shared" si="115"/>
        <v/>
      </c>
      <c r="Z1265" s="247" t="str">
        <f t="shared" si="119"/>
        <v/>
      </c>
      <c r="AA1265" s="246" t="str">
        <f t="shared" si="116"/>
        <v/>
      </c>
    </row>
    <row r="1266" spans="1:27" x14ac:dyDescent="0.25">
      <c r="A1266" s="248" t="str">
        <f t="shared" si="117"/>
        <v/>
      </c>
      <c r="B1266" s="249" t="str">
        <f t="shared" si="118"/>
        <v/>
      </c>
      <c r="C1266" s="250"/>
      <c r="D1266" s="251"/>
      <c r="E1266" s="241"/>
      <c r="F1266" s="252"/>
      <c r="G1266" s="252"/>
      <c r="H1266" s="253"/>
      <c r="I1266" s="250"/>
      <c r="J1266" s="250"/>
      <c r="K1266" s="270"/>
      <c r="L1266" s="250"/>
      <c r="M1266" s="250"/>
      <c r="N1266" s="540" t="str">
        <f>CONCATENATE(IF(OR(M1266=phu!$I$1,M1266=phu!$I$2,M1266=phu!$I$3),"Cam Thành Nam",""),IF(OR(M1266=phu!$I$4,M1266=phu!$I$5,M1266=phu!$I$6,M1266=phu!$I$7,M1266=phu!$I$8,M1266=phu!$I$9,M1266=phu!$I$10,M1266=phu!$I$11,M1266=phu!$I$12,M1266=phu!$I$13,M1266=phu!$I$14),"Cam Nghĩa",""),IF(OR(M1266=phu!$I$15,M1266=phu!$I$16,M1266=phu!$I$17,M1266=phu!$I$18,M1266=phu!$I$19,M1266=phu!$I$20,M1266=phu!$I$21),"Cam Phúc Bắc",""),IF(OR(M1266=phu!$I$22,M1266=phu!$I$23,M1266=phu!$I$24,M1266=phu!$I$25),"Cam Phúc Nam",""),IF(OR(M1266=phu!$I$26,M1266=phu!$I$27,M1266=phu!$I$28,M1266=phu!$I$29,M1266=phu!$I$30,M1266=phu!$I$31),"Cam Phú",""),IF(OR(M1266=phu!$I$32,M1266=phu!$I$33,M1266=phu!$I$34,M1266=phu!$I$35,M1266=phu!$I$36,M1266=phu!$I$37),"Cam Lộc",""),IF(OR(M1266=phu!$I$38,M1266=phu!$I$39,M1266=phu!$I$40,M1266=phu!$I$41,M1266=phu!$I$42,M1266=phu!$I$43,M1266=phu!$I$44),"Cam Thuận",""),IF(OR(M1266=phu!$I$45,M1266=phu!$I$46,M1266=phu!$I$47,M1266=phu!$I$48,M1266=phu!$I$49,M1266=phu!$I$50,M1266=phu!$I$51,M1266=phu!$I$52,M1266=phu!$I$53),"Cam Linh",""),IF(OR(M1266=phu!$I$54,M1266=phu!$I$55,M1266=phu!$I$56,M1266=phu!$I$57,M1266=phu!$I$58,M1266=phu!$I$59,M1266=phu!$I$60,M1266=phu!$I$61,M1266=phu!$I$62),"Cam Lợi",""),IF(OR(M1266=phu!$I$63,M1266=phu!$I$64,M1266=phu!$I$65,M1266=phu!$I$66,M1266=phu!$I$67,M1266=phu!$I$68,M1266=phu!$I$69,M1266=phu!$I$70,M1266=phu!$I$71),"Ba Ngòi",""),IF(OR(M1266=phu!$I$72,M1266=phu!$I$73,M1266=phu!$I$74,M1266=phu!$I$75,M1266=phu!$I$76,M1266=phu!$I$77,M1266=phu!$I$78),"Cam Phước Đông",""),IF(OR(M1266=phu!$I$79,M1266=phu!$I$80,M1266=phu!$I$81,M1266=phu!$I$82,M1266=phu!$I$83,M1266=phu!$I$84),"Cam Thịnh Đông",""),IF(OR(M1266=phu!$I$85,M1266=phu!$I$86,M1266=phu!$I$87,M1266=phu!$I$88),"Cam Thịnh Tây",""),IF(OR(M1266=phu!$I$89,M1266=phu!$I$90),"Cam Lập",""),IF(OR(M1266=phu!$I$91,M1266=phu!$I$92,M1266=phu!$I$93),"Cam Bình",""),IF(OR(M1266=phu!$I$94,M1266=phu!$I$95,M1266=phu!$I$96,M1266=phu!$I$97,M1266=phu!$I$98,M1266=phu!$I$99,M1266=phu!$I$100),"Huyện khác",""),IF(OR(M1266=phu!$I$101,M1266=phu!$I$102),"Tỉnh khác",""))</f>
        <v/>
      </c>
      <c r="O1266" s="829" t="str">
        <f t="shared" si="114"/>
        <v/>
      </c>
      <c r="P1266" s="254"/>
      <c r="Q1266" s="254"/>
      <c r="R1266" s="254"/>
      <c r="S1266" s="254"/>
      <c r="T1266" s="254"/>
      <c r="U1266" s="254"/>
      <c r="V1266" s="254"/>
      <c r="W1266" s="254"/>
      <c r="Y1266" s="246" t="str">
        <f t="shared" si="115"/>
        <v/>
      </c>
      <c r="Z1266" s="247" t="str">
        <f t="shared" si="119"/>
        <v/>
      </c>
      <c r="AA1266" s="246" t="str">
        <f t="shared" si="116"/>
        <v/>
      </c>
    </row>
    <row r="1267" spans="1:27" x14ac:dyDescent="0.25">
      <c r="A1267" s="248" t="str">
        <f t="shared" si="117"/>
        <v/>
      </c>
      <c r="B1267" s="249" t="str">
        <f t="shared" si="118"/>
        <v/>
      </c>
      <c r="C1267" s="250"/>
      <c r="D1267" s="251"/>
      <c r="E1267" s="241"/>
      <c r="F1267" s="252"/>
      <c r="G1267" s="252"/>
      <c r="H1267" s="253"/>
      <c r="I1267" s="250"/>
      <c r="J1267" s="250"/>
      <c r="K1267" s="270"/>
      <c r="L1267" s="250"/>
      <c r="M1267" s="250"/>
      <c r="N1267" s="540" t="str">
        <f>CONCATENATE(IF(OR(M1267=phu!$I$1,M1267=phu!$I$2,M1267=phu!$I$3),"Cam Thành Nam",""),IF(OR(M1267=phu!$I$4,M1267=phu!$I$5,M1267=phu!$I$6,M1267=phu!$I$7,M1267=phu!$I$8,M1267=phu!$I$9,M1267=phu!$I$10,M1267=phu!$I$11,M1267=phu!$I$12,M1267=phu!$I$13,M1267=phu!$I$14),"Cam Nghĩa",""),IF(OR(M1267=phu!$I$15,M1267=phu!$I$16,M1267=phu!$I$17,M1267=phu!$I$18,M1267=phu!$I$19,M1267=phu!$I$20,M1267=phu!$I$21),"Cam Phúc Bắc",""),IF(OR(M1267=phu!$I$22,M1267=phu!$I$23,M1267=phu!$I$24,M1267=phu!$I$25),"Cam Phúc Nam",""),IF(OR(M1267=phu!$I$26,M1267=phu!$I$27,M1267=phu!$I$28,M1267=phu!$I$29,M1267=phu!$I$30,M1267=phu!$I$31),"Cam Phú",""),IF(OR(M1267=phu!$I$32,M1267=phu!$I$33,M1267=phu!$I$34,M1267=phu!$I$35,M1267=phu!$I$36,M1267=phu!$I$37),"Cam Lộc",""),IF(OR(M1267=phu!$I$38,M1267=phu!$I$39,M1267=phu!$I$40,M1267=phu!$I$41,M1267=phu!$I$42,M1267=phu!$I$43,M1267=phu!$I$44),"Cam Thuận",""),IF(OR(M1267=phu!$I$45,M1267=phu!$I$46,M1267=phu!$I$47,M1267=phu!$I$48,M1267=phu!$I$49,M1267=phu!$I$50,M1267=phu!$I$51,M1267=phu!$I$52,M1267=phu!$I$53),"Cam Linh",""),IF(OR(M1267=phu!$I$54,M1267=phu!$I$55,M1267=phu!$I$56,M1267=phu!$I$57,M1267=phu!$I$58,M1267=phu!$I$59,M1267=phu!$I$60,M1267=phu!$I$61,M1267=phu!$I$62),"Cam Lợi",""),IF(OR(M1267=phu!$I$63,M1267=phu!$I$64,M1267=phu!$I$65,M1267=phu!$I$66,M1267=phu!$I$67,M1267=phu!$I$68,M1267=phu!$I$69,M1267=phu!$I$70,M1267=phu!$I$71),"Ba Ngòi",""),IF(OR(M1267=phu!$I$72,M1267=phu!$I$73,M1267=phu!$I$74,M1267=phu!$I$75,M1267=phu!$I$76,M1267=phu!$I$77,M1267=phu!$I$78),"Cam Phước Đông",""),IF(OR(M1267=phu!$I$79,M1267=phu!$I$80,M1267=phu!$I$81,M1267=phu!$I$82,M1267=phu!$I$83,M1267=phu!$I$84),"Cam Thịnh Đông",""),IF(OR(M1267=phu!$I$85,M1267=phu!$I$86,M1267=phu!$I$87,M1267=phu!$I$88),"Cam Thịnh Tây",""),IF(OR(M1267=phu!$I$89,M1267=phu!$I$90),"Cam Lập",""),IF(OR(M1267=phu!$I$91,M1267=phu!$I$92,M1267=phu!$I$93),"Cam Bình",""),IF(OR(M1267=phu!$I$94,M1267=phu!$I$95,M1267=phu!$I$96,M1267=phu!$I$97,M1267=phu!$I$98,M1267=phu!$I$99,M1267=phu!$I$100),"Huyện khác",""),IF(OR(M1267=phu!$I$101,M1267=phu!$I$102),"Tỉnh khác",""))</f>
        <v/>
      </c>
      <c r="O1267" s="829" t="str">
        <f t="shared" si="114"/>
        <v/>
      </c>
      <c r="P1267" s="254"/>
      <c r="Q1267" s="254"/>
      <c r="R1267" s="254"/>
      <c r="S1267" s="254"/>
      <c r="T1267" s="254"/>
      <c r="U1267" s="254"/>
      <c r="V1267" s="254"/>
      <c r="W1267" s="254"/>
      <c r="Y1267" s="246" t="str">
        <f t="shared" si="115"/>
        <v/>
      </c>
      <c r="Z1267" s="247" t="str">
        <f t="shared" si="119"/>
        <v/>
      </c>
      <c r="AA1267" s="246" t="str">
        <f t="shared" si="116"/>
        <v/>
      </c>
    </row>
    <row r="1268" spans="1:27" x14ac:dyDescent="0.25">
      <c r="A1268" s="248" t="str">
        <f t="shared" si="117"/>
        <v/>
      </c>
      <c r="B1268" s="249" t="str">
        <f t="shared" si="118"/>
        <v/>
      </c>
      <c r="C1268" s="250"/>
      <c r="D1268" s="251"/>
      <c r="E1268" s="241"/>
      <c r="F1268" s="252"/>
      <c r="G1268" s="252"/>
      <c r="H1268" s="253"/>
      <c r="I1268" s="250"/>
      <c r="J1268" s="250"/>
      <c r="K1268" s="270"/>
      <c r="L1268" s="250"/>
      <c r="M1268" s="250"/>
      <c r="N1268" s="540" t="str">
        <f>CONCATENATE(IF(OR(M1268=phu!$I$1,M1268=phu!$I$2,M1268=phu!$I$3),"Cam Thành Nam",""),IF(OR(M1268=phu!$I$4,M1268=phu!$I$5,M1268=phu!$I$6,M1268=phu!$I$7,M1268=phu!$I$8,M1268=phu!$I$9,M1268=phu!$I$10,M1268=phu!$I$11,M1268=phu!$I$12,M1268=phu!$I$13,M1268=phu!$I$14),"Cam Nghĩa",""),IF(OR(M1268=phu!$I$15,M1268=phu!$I$16,M1268=phu!$I$17,M1268=phu!$I$18,M1268=phu!$I$19,M1268=phu!$I$20,M1268=phu!$I$21),"Cam Phúc Bắc",""),IF(OR(M1268=phu!$I$22,M1268=phu!$I$23,M1268=phu!$I$24,M1268=phu!$I$25),"Cam Phúc Nam",""),IF(OR(M1268=phu!$I$26,M1268=phu!$I$27,M1268=phu!$I$28,M1268=phu!$I$29,M1268=phu!$I$30,M1268=phu!$I$31),"Cam Phú",""),IF(OR(M1268=phu!$I$32,M1268=phu!$I$33,M1268=phu!$I$34,M1268=phu!$I$35,M1268=phu!$I$36,M1268=phu!$I$37),"Cam Lộc",""),IF(OR(M1268=phu!$I$38,M1268=phu!$I$39,M1268=phu!$I$40,M1268=phu!$I$41,M1268=phu!$I$42,M1268=phu!$I$43,M1268=phu!$I$44),"Cam Thuận",""),IF(OR(M1268=phu!$I$45,M1268=phu!$I$46,M1268=phu!$I$47,M1268=phu!$I$48,M1268=phu!$I$49,M1268=phu!$I$50,M1268=phu!$I$51,M1268=phu!$I$52,M1268=phu!$I$53),"Cam Linh",""),IF(OR(M1268=phu!$I$54,M1268=phu!$I$55,M1268=phu!$I$56,M1268=phu!$I$57,M1268=phu!$I$58,M1268=phu!$I$59,M1268=phu!$I$60,M1268=phu!$I$61,M1268=phu!$I$62),"Cam Lợi",""),IF(OR(M1268=phu!$I$63,M1268=phu!$I$64,M1268=phu!$I$65,M1268=phu!$I$66,M1268=phu!$I$67,M1268=phu!$I$68,M1268=phu!$I$69,M1268=phu!$I$70,M1268=phu!$I$71),"Ba Ngòi",""),IF(OR(M1268=phu!$I$72,M1268=phu!$I$73,M1268=phu!$I$74,M1268=phu!$I$75,M1268=phu!$I$76,M1268=phu!$I$77,M1268=phu!$I$78),"Cam Phước Đông",""),IF(OR(M1268=phu!$I$79,M1268=phu!$I$80,M1268=phu!$I$81,M1268=phu!$I$82,M1268=phu!$I$83,M1268=phu!$I$84),"Cam Thịnh Đông",""),IF(OR(M1268=phu!$I$85,M1268=phu!$I$86,M1268=phu!$I$87,M1268=phu!$I$88),"Cam Thịnh Tây",""),IF(OR(M1268=phu!$I$89,M1268=phu!$I$90),"Cam Lập",""),IF(OR(M1268=phu!$I$91,M1268=phu!$I$92,M1268=phu!$I$93),"Cam Bình",""),IF(OR(M1268=phu!$I$94,M1268=phu!$I$95,M1268=phu!$I$96,M1268=phu!$I$97,M1268=phu!$I$98,M1268=phu!$I$99,M1268=phu!$I$100),"Huyện khác",""),IF(OR(M1268=phu!$I$101,M1268=phu!$I$102),"Tỉnh khác",""))</f>
        <v/>
      </c>
      <c r="O1268" s="829" t="str">
        <f t="shared" si="114"/>
        <v/>
      </c>
      <c r="P1268" s="254"/>
      <c r="Q1268" s="254"/>
      <c r="R1268" s="254"/>
      <c r="S1268" s="254"/>
      <c r="T1268" s="254"/>
      <c r="U1268" s="254"/>
      <c r="V1268" s="254"/>
      <c r="W1268" s="254"/>
      <c r="Y1268" s="246" t="str">
        <f t="shared" si="115"/>
        <v/>
      </c>
      <c r="Z1268" s="247" t="str">
        <f t="shared" si="119"/>
        <v/>
      </c>
      <c r="AA1268" s="246" t="str">
        <f t="shared" si="116"/>
        <v/>
      </c>
    </row>
    <row r="1269" spans="1:27" x14ac:dyDescent="0.25">
      <c r="A1269" s="248" t="str">
        <f t="shared" si="117"/>
        <v/>
      </c>
      <c r="B1269" s="249" t="str">
        <f t="shared" si="118"/>
        <v/>
      </c>
      <c r="C1269" s="250"/>
      <c r="D1269" s="251"/>
      <c r="E1269" s="241"/>
      <c r="F1269" s="252"/>
      <c r="G1269" s="252"/>
      <c r="H1269" s="253"/>
      <c r="I1269" s="250"/>
      <c r="J1269" s="250"/>
      <c r="K1269" s="270"/>
      <c r="L1269" s="250"/>
      <c r="M1269" s="250"/>
      <c r="N1269" s="540" t="str">
        <f>CONCATENATE(IF(OR(M1269=phu!$I$1,M1269=phu!$I$2,M1269=phu!$I$3),"Cam Thành Nam",""),IF(OR(M1269=phu!$I$4,M1269=phu!$I$5,M1269=phu!$I$6,M1269=phu!$I$7,M1269=phu!$I$8,M1269=phu!$I$9,M1269=phu!$I$10,M1269=phu!$I$11,M1269=phu!$I$12,M1269=phu!$I$13,M1269=phu!$I$14),"Cam Nghĩa",""),IF(OR(M1269=phu!$I$15,M1269=phu!$I$16,M1269=phu!$I$17,M1269=phu!$I$18,M1269=phu!$I$19,M1269=phu!$I$20,M1269=phu!$I$21),"Cam Phúc Bắc",""),IF(OR(M1269=phu!$I$22,M1269=phu!$I$23,M1269=phu!$I$24,M1269=phu!$I$25),"Cam Phúc Nam",""),IF(OR(M1269=phu!$I$26,M1269=phu!$I$27,M1269=phu!$I$28,M1269=phu!$I$29,M1269=phu!$I$30,M1269=phu!$I$31),"Cam Phú",""),IF(OR(M1269=phu!$I$32,M1269=phu!$I$33,M1269=phu!$I$34,M1269=phu!$I$35,M1269=phu!$I$36,M1269=phu!$I$37),"Cam Lộc",""),IF(OR(M1269=phu!$I$38,M1269=phu!$I$39,M1269=phu!$I$40,M1269=phu!$I$41,M1269=phu!$I$42,M1269=phu!$I$43,M1269=phu!$I$44),"Cam Thuận",""),IF(OR(M1269=phu!$I$45,M1269=phu!$I$46,M1269=phu!$I$47,M1269=phu!$I$48,M1269=phu!$I$49,M1269=phu!$I$50,M1269=phu!$I$51,M1269=phu!$I$52,M1269=phu!$I$53),"Cam Linh",""),IF(OR(M1269=phu!$I$54,M1269=phu!$I$55,M1269=phu!$I$56,M1269=phu!$I$57,M1269=phu!$I$58,M1269=phu!$I$59,M1269=phu!$I$60,M1269=phu!$I$61,M1269=phu!$I$62),"Cam Lợi",""),IF(OR(M1269=phu!$I$63,M1269=phu!$I$64,M1269=phu!$I$65,M1269=phu!$I$66,M1269=phu!$I$67,M1269=phu!$I$68,M1269=phu!$I$69,M1269=phu!$I$70,M1269=phu!$I$71),"Ba Ngòi",""),IF(OR(M1269=phu!$I$72,M1269=phu!$I$73,M1269=phu!$I$74,M1269=phu!$I$75,M1269=phu!$I$76,M1269=phu!$I$77,M1269=phu!$I$78),"Cam Phước Đông",""),IF(OR(M1269=phu!$I$79,M1269=phu!$I$80,M1269=phu!$I$81,M1269=phu!$I$82,M1269=phu!$I$83,M1269=phu!$I$84),"Cam Thịnh Đông",""),IF(OR(M1269=phu!$I$85,M1269=phu!$I$86,M1269=phu!$I$87,M1269=phu!$I$88),"Cam Thịnh Tây",""),IF(OR(M1269=phu!$I$89,M1269=phu!$I$90),"Cam Lập",""),IF(OR(M1269=phu!$I$91,M1269=phu!$I$92,M1269=phu!$I$93),"Cam Bình",""),IF(OR(M1269=phu!$I$94,M1269=phu!$I$95,M1269=phu!$I$96,M1269=phu!$I$97,M1269=phu!$I$98,M1269=phu!$I$99,M1269=phu!$I$100),"Huyện khác",""),IF(OR(M1269=phu!$I$101,M1269=phu!$I$102),"Tỉnh khác",""))</f>
        <v/>
      </c>
      <c r="O1269" s="829" t="str">
        <f t="shared" si="114"/>
        <v/>
      </c>
      <c r="P1269" s="254"/>
      <c r="Q1269" s="254"/>
      <c r="R1269" s="254"/>
      <c r="S1269" s="254"/>
      <c r="T1269" s="254"/>
      <c r="U1269" s="254"/>
      <c r="V1269" s="254"/>
      <c r="W1269" s="254"/>
      <c r="Y1269" s="246" t="str">
        <f t="shared" si="115"/>
        <v/>
      </c>
      <c r="Z1269" s="247" t="str">
        <f t="shared" si="119"/>
        <v/>
      </c>
      <c r="AA1269" s="246" t="str">
        <f t="shared" si="116"/>
        <v/>
      </c>
    </row>
    <row r="1270" spans="1:27" x14ac:dyDescent="0.25">
      <c r="A1270" s="248" t="str">
        <f t="shared" si="117"/>
        <v/>
      </c>
      <c r="B1270" s="249" t="str">
        <f t="shared" si="118"/>
        <v/>
      </c>
      <c r="C1270" s="250"/>
      <c r="D1270" s="251"/>
      <c r="E1270" s="241"/>
      <c r="F1270" s="252"/>
      <c r="G1270" s="252"/>
      <c r="H1270" s="253"/>
      <c r="I1270" s="250"/>
      <c r="J1270" s="250"/>
      <c r="K1270" s="270"/>
      <c r="L1270" s="250"/>
      <c r="M1270" s="250"/>
      <c r="N1270" s="540" t="str">
        <f>CONCATENATE(IF(OR(M1270=phu!$I$1,M1270=phu!$I$2,M1270=phu!$I$3),"Cam Thành Nam",""),IF(OR(M1270=phu!$I$4,M1270=phu!$I$5,M1270=phu!$I$6,M1270=phu!$I$7,M1270=phu!$I$8,M1270=phu!$I$9,M1270=phu!$I$10,M1270=phu!$I$11,M1270=phu!$I$12,M1270=phu!$I$13,M1270=phu!$I$14),"Cam Nghĩa",""),IF(OR(M1270=phu!$I$15,M1270=phu!$I$16,M1270=phu!$I$17,M1270=phu!$I$18,M1270=phu!$I$19,M1270=phu!$I$20,M1270=phu!$I$21),"Cam Phúc Bắc",""),IF(OR(M1270=phu!$I$22,M1270=phu!$I$23,M1270=phu!$I$24,M1270=phu!$I$25),"Cam Phúc Nam",""),IF(OR(M1270=phu!$I$26,M1270=phu!$I$27,M1270=phu!$I$28,M1270=phu!$I$29,M1270=phu!$I$30,M1270=phu!$I$31),"Cam Phú",""),IF(OR(M1270=phu!$I$32,M1270=phu!$I$33,M1270=phu!$I$34,M1270=phu!$I$35,M1270=phu!$I$36,M1270=phu!$I$37),"Cam Lộc",""),IF(OR(M1270=phu!$I$38,M1270=phu!$I$39,M1270=phu!$I$40,M1270=phu!$I$41,M1270=phu!$I$42,M1270=phu!$I$43,M1270=phu!$I$44),"Cam Thuận",""),IF(OR(M1270=phu!$I$45,M1270=phu!$I$46,M1270=phu!$I$47,M1270=phu!$I$48,M1270=phu!$I$49,M1270=phu!$I$50,M1270=phu!$I$51,M1270=phu!$I$52,M1270=phu!$I$53),"Cam Linh",""),IF(OR(M1270=phu!$I$54,M1270=phu!$I$55,M1270=phu!$I$56,M1270=phu!$I$57,M1270=phu!$I$58,M1270=phu!$I$59,M1270=phu!$I$60,M1270=phu!$I$61,M1270=phu!$I$62),"Cam Lợi",""),IF(OR(M1270=phu!$I$63,M1270=phu!$I$64,M1270=phu!$I$65,M1270=phu!$I$66,M1270=phu!$I$67,M1270=phu!$I$68,M1270=phu!$I$69,M1270=phu!$I$70,M1270=phu!$I$71),"Ba Ngòi",""),IF(OR(M1270=phu!$I$72,M1270=phu!$I$73,M1270=phu!$I$74,M1270=phu!$I$75,M1270=phu!$I$76,M1270=phu!$I$77,M1270=phu!$I$78),"Cam Phước Đông",""),IF(OR(M1270=phu!$I$79,M1270=phu!$I$80,M1270=phu!$I$81,M1270=phu!$I$82,M1270=phu!$I$83,M1270=phu!$I$84),"Cam Thịnh Đông",""),IF(OR(M1270=phu!$I$85,M1270=phu!$I$86,M1270=phu!$I$87,M1270=phu!$I$88),"Cam Thịnh Tây",""),IF(OR(M1270=phu!$I$89,M1270=phu!$I$90),"Cam Lập",""),IF(OR(M1270=phu!$I$91,M1270=phu!$I$92,M1270=phu!$I$93),"Cam Bình",""),IF(OR(M1270=phu!$I$94,M1270=phu!$I$95,M1270=phu!$I$96,M1270=phu!$I$97,M1270=phu!$I$98,M1270=phu!$I$99,M1270=phu!$I$100),"Huyện khác",""),IF(OR(M1270=phu!$I$101,M1270=phu!$I$102),"Tỉnh khác",""))</f>
        <v/>
      </c>
      <c r="O1270" s="829" t="str">
        <f t="shared" si="114"/>
        <v/>
      </c>
      <c r="P1270" s="254"/>
      <c r="Q1270" s="254"/>
      <c r="R1270" s="254"/>
      <c r="S1270" s="254"/>
      <c r="T1270" s="254"/>
      <c r="U1270" s="254"/>
      <c r="V1270" s="254"/>
      <c r="W1270" s="254"/>
      <c r="Y1270" s="246" t="str">
        <f t="shared" si="115"/>
        <v/>
      </c>
      <c r="Z1270" s="247" t="str">
        <f t="shared" si="119"/>
        <v/>
      </c>
      <c r="AA1270" s="246" t="str">
        <f t="shared" si="116"/>
        <v/>
      </c>
    </row>
    <row r="1271" spans="1:27" x14ac:dyDescent="0.25">
      <c r="A1271" s="248" t="str">
        <f t="shared" si="117"/>
        <v/>
      </c>
      <c r="B1271" s="249" t="str">
        <f t="shared" si="118"/>
        <v/>
      </c>
      <c r="C1271" s="250"/>
      <c r="D1271" s="251"/>
      <c r="E1271" s="241"/>
      <c r="F1271" s="252"/>
      <c r="G1271" s="252"/>
      <c r="H1271" s="253"/>
      <c r="I1271" s="250"/>
      <c r="J1271" s="250"/>
      <c r="K1271" s="270"/>
      <c r="L1271" s="250"/>
      <c r="M1271" s="250"/>
      <c r="N1271" s="540" t="str">
        <f>CONCATENATE(IF(OR(M1271=phu!$I$1,M1271=phu!$I$2,M1271=phu!$I$3),"Cam Thành Nam",""),IF(OR(M1271=phu!$I$4,M1271=phu!$I$5,M1271=phu!$I$6,M1271=phu!$I$7,M1271=phu!$I$8,M1271=phu!$I$9,M1271=phu!$I$10,M1271=phu!$I$11,M1271=phu!$I$12,M1271=phu!$I$13,M1271=phu!$I$14),"Cam Nghĩa",""),IF(OR(M1271=phu!$I$15,M1271=phu!$I$16,M1271=phu!$I$17,M1271=phu!$I$18,M1271=phu!$I$19,M1271=phu!$I$20,M1271=phu!$I$21),"Cam Phúc Bắc",""),IF(OR(M1271=phu!$I$22,M1271=phu!$I$23,M1271=phu!$I$24,M1271=phu!$I$25),"Cam Phúc Nam",""),IF(OR(M1271=phu!$I$26,M1271=phu!$I$27,M1271=phu!$I$28,M1271=phu!$I$29,M1271=phu!$I$30,M1271=phu!$I$31),"Cam Phú",""),IF(OR(M1271=phu!$I$32,M1271=phu!$I$33,M1271=phu!$I$34,M1271=phu!$I$35,M1271=phu!$I$36,M1271=phu!$I$37),"Cam Lộc",""),IF(OR(M1271=phu!$I$38,M1271=phu!$I$39,M1271=phu!$I$40,M1271=phu!$I$41,M1271=phu!$I$42,M1271=phu!$I$43,M1271=phu!$I$44),"Cam Thuận",""),IF(OR(M1271=phu!$I$45,M1271=phu!$I$46,M1271=phu!$I$47,M1271=phu!$I$48,M1271=phu!$I$49,M1271=phu!$I$50,M1271=phu!$I$51,M1271=phu!$I$52,M1271=phu!$I$53),"Cam Linh",""),IF(OR(M1271=phu!$I$54,M1271=phu!$I$55,M1271=phu!$I$56,M1271=phu!$I$57,M1271=phu!$I$58,M1271=phu!$I$59,M1271=phu!$I$60,M1271=phu!$I$61,M1271=phu!$I$62),"Cam Lợi",""),IF(OR(M1271=phu!$I$63,M1271=phu!$I$64,M1271=phu!$I$65,M1271=phu!$I$66,M1271=phu!$I$67,M1271=phu!$I$68,M1271=phu!$I$69,M1271=phu!$I$70,M1271=phu!$I$71),"Ba Ngòi",""),IF(OR(M1271=phu!$I$72,M1271=phu!$I$73,M1271=phu!$I$74,M1271=phu!$I$75,M1271=phu!$I$76,M1271=phu!$I$77,M1271=phu!$I$78),"Cam Phước Đông",""),IF(OR(M1271=phu!$I$79,M1271=phu!$I$80,M1271=phu!$I$81,M1271=phu!$I$82,M1271=phu!$I$83,M1271=phu!$I$84),"Cam Thịnh Đông",""),IF(OR(M1271=phu!$I$85,M1271=phu!$I$86,M1271=phu!$I$87,M1271=phu!$I$88),"Cam Thịnh Tây",""),IF(OR(M1271=phu!$I$89,M1271=phu!$I$90),"Cam Lập",""),IF(OR(M1271=phu!$I$91,M1271=phu!$I$92,M1271=phu!$I$93),"Cam Bình",""),IF(OR(M1271=phu!$I$94,M1271=phu!$I$95,M1271=phu!$I$96,M1271=phu!$I$97,M1271=phu!$I$98,M1271=phu!$I$99,M1271=phu!$I$100),"Huyện khác",""),IF(OR(M1271=phu!$I$101,M1271=phu!$I$102),"Tỉnh khác",""))</f>
        <v/>
      </c>
      <c r="O1271" s="829" t="str">
        <f t="shared" si="114"/>
        <v/>
      </c>
      <c r="P1271" s="254"/>
      <c r="Q1271" s="254"/>
      <c r="R1271" s="254"/>
      <c r="S1271" s="254"/>
      <c r="T1271" s="254"/>
      <c r="U1271" s="254"/>
      <c r="V1271" s="254"/>
      <c r="W1271" s="254"/>
      <c r="Y1271" s="246" t="str">
        <f t="shared" si="115"/>
        <v/>
      </c>
      <c r="Z1271" s="247" t="str">
        <f t="shared" si="119"/>
        <v/>
      </c>
      <c r="AA1271" s="246" t="str">
        <f t="shared" si="116"/>
        <v/>
      </c>
    </row>
    <row r="1272" spans="1:27" x14ac:dyDescent="0.25">
      <c r="A1272" s="248" t="str">
        <f t="shared" si="117"/>
        <v/>
      </c>
      <c r="B1272" s="249" t="str">
        <f t="shared" si="118"/>
        <v/>
      </c>
      <c r="C1272" s="250"/>
      <c r="D1272" s="251"/>
      <c r="E1272" s="241"/>
      <c r="F1272" s="252"/>
      <c r="G1272" s="252"/>
      <c r="H1272" s="253"/>
      <c r="I1272" s="250"/>
      <c r="J1272" s="250"/>
      <c r="K1272" s="270"/>
      <c r="L1272" s="250"/>
      <c r="M1272" s="250"/>
      <c r="N1272" s="540" t="str">
        <f>CONCATENATE(IF(OR(M1272=phu!$I$1,M1272=phu!$I$2,M1272=phu!$I$3),"Cam Thành Nam",""),IF(OR(M1272=phu!$I$4,M1272=phu!$I$5,M1272=phu!$I$6,M1272=phu!$I$7,M1272=phu!$I$8,M1272=phu!$I$9,M1272=phu!$I$10,M1272=phu!$I$11,M1272=phu!$I$12,M1272=phu!$I$13,M1272=phu!$I$14),"Cam Nghĩa",""),IF(OR(M1272=phu!$I$15,M1272=phu!$I$16,M1272=phu!$I$17,M1272=phu!$I$18,M1272=phu!$I$19,M1272=phu!$I$20,M1272=phu!$I$21),"Cam Phúc Bắc",""),IF(OR(M1272=phu!$I$22,M1272=phu!$I$23,M1272=phu!$I$24,M1272=phu!$I$25),"Cam Phúc Nam",""),IF(OR(M1272=phu!$I$26,M1272=phu!$I$27,M1272=phu!$I$28,M1272=phu!$I$29,M1272=phu!$I$30,M1272=phu!$I$31),"Cam Phú",""),IF(OR(M1272=phu!$I$32,M1272=phu!$I$33,M1272=phu!$I$34,M1272=phu!$I$35,M1272=phu!$I$36,M1272=phu!$I$37),"Cam Lộc",""),IF(OR(M1272=phu!$I$38,M1272=phu!$I$39,M1272=phu!$I$40,M1272=phu!$I$41,M1272=phu!$I$42,M1272=phu!$I$43,M1272=phu!$I$44),"Cam Thuận",""),IF(OR(M1272=phu!$I$45,M1272=phu!$I$46,M1272=phu!$I$47,M1272=phu!$I$48,M1272=phu!$I$49,M1272=phu!$I$50,M1272=phu!$I$51,M1272=phu!$I$52,M1272=phu!$I$53),"Cam Linh",""),IF(OR(M1272=phu!$I$54,M1272=phu!$I$55,M1272=phu!$I$56,M1272=phu!$I$57,M1272=phu!$I$58,M1272=phu!$I$59,M1272=phu!$I$60,M1272=phu!$I$61,M1272=phu!$I$62),"Cam Lợi",""),IF(OR(M1272=phu!$I$63,M1272=phu!$I$64,M1272=phu!$I$65,M1272=phu!$I$66,M1272=phu!$I$67,M1272=phu!$I$68,M1272=phu!$I$69,M1272=phu!$I$70,M1272=phu!$I$71),"Ba Ngòi",""),IF(OR(M1272=phu!$I$72,M1272=phu!$I$73,M1272=phu!$I$74,M1272=phu!$I$75,M1272=phu!$I$76,M1272=phu!$I$77,M1272=phu!$I$78),"Cam Phước Đông",""),IF(OR(M1272=phu!$I$79,M1272=phu!$I$80,M1272=phu!$I$81,M1272=phu!$I$82,M1272=phu!$I$83,M1272=phu!$I$84),"Cam Thịnh Đông",""),IF(OR(M1272=phu!$I$85,M1272=phu!$I$86,M1272=phu!$I$87,M1272=phu!$I$88),"Cam Thịnh Tây",""),IF(OR(M1272=phu!$I$89,M1272=phu!$I$90),"Cam Lập",""),IF(OR(M1272=phu!$I$91,M1272=phu!$I$92,M1272=phu!$I$93),"Cam Bình",""),IF(OR(M1272=phu!$I$94,M1272=phu!$I$95,M1272=phu!$I$96,M1272=phu!$I$97,M1272=phu!$I$98,M1272=phu!$I$99,M1272=phu!$I$100),"Huyện khác",""),IF(OR(M1272=phu!$I$101,M1272=phu!$I$102),"Tỉnh khác",""))</f>
        <v/>
      </c>
      <c r="O1272" s="829" t="str">
        <f t="shared" si="114"/>
        <v/>
      </c>
      <c r="P1272" s="254"/>
      <c r="Q1272" s="254"/>
      <c r="R1272" s="254"/>
      <c r="S1272" s="254"/>
      <c r="T1272" s="254"/>
      <c r="U1272" s="254"/>
      <c r="V1272" s="254"/>
      <c r="W1272" s="254"/>
      <c r="Y1272" s="246" t="str">
        <f t="shared" si="115"/>
        <v/>
      </c>
      <c r="Z1272" s="247" t="str">
        <f t="shared" si="119"/>
        <v/>
      </c>
      <c r="AA1272" s="246" t="str">
        <f t="shared" si="116"/>
        <v/>
      </c>
    </row>
    <row r="1273" spans="1:27" x14ac:dyDescent="0.25">
      <c r="A1273" s="248" t="str">
        <f t="shared" si="117"/>
        <v/>
      </c>
      <c r="B1273" s="249" t="str">
        <f t="shared" si="118"/>
        <v/>
      </c>
      <c r="C1273" s="250"/>
      <c r="D1273" s="251"/>
      <c r="E1273" s="241"/>
      <c r="F1273" s="252"/>
      <c r="G1273" s="252"/>
      <c r="H1273" s="253"/>
      <c r="I1273" s="250"/>
      <c r="J1273" s="250"/>
      <c r="K1273" s="270"/>
      <c r="L1273" s="250"/>
      <c r="M1273" s="250"/>
      <c r="N1273" s="540" t="str">
        <f>CONCATENATE(IF(OR(M1273=phu!$I$1,M1273=phu!$I$2,M1273=phu!$I$3),"Cam Thành Nam",""),IF(OR(M1273=phu!$I$4,M1273=phu!$I$5,M1273=phu!$I$6,M1273=phu!$I$7,M1273=phu!$I$8,M1273=phu!$I$9,M1273=phu!$I$10,M1273=phu!$I$11,M1273=phu!$I$12,M1273=phu!$I$13,M1273=phu!$I$14),"Cam Nghĩa",""),IF(OR(M1273=phu!$I$15,M1273=phu!$I$16,M1273=phu!$I$17,M1273=phu!$I$18,M1273=phu!$I$19,M1273=phu!$I$20,M1273=phu!$I$21),"Cam Phúc Bắc",""),IF(OR(M1273=phu!$I$22,M1273=phu!$I$23,M1273=phu!$I$24,M1273=phu!$I$25),"Cam Phúc Nam",""),IF(OR(M1273=phu!$I$26,M1273=phu!$I$27,M1273=phu!$I$28,M1273=phu!$I$29,M1273=phu!$I$30,M1273=phu!$I$31),"Cam Phú",""),IF(OR(M1273=phu!$I$32,M1273=phu!$I$33,M1273=phu!$I$34,M1273=phu!$I$35,M1273=phu!$I$36,M1273=phu!$I$37),"Cam Lộc",""),IF(OR(M1273=phu!$I$38,M1273=phu!$I$39,M1273=phu!$I$40,M1273=phu!$I$41,M1273=phu!$I$42,M1273=phu!$I$43,M1273=phu!$I$44),"Cam Thuận",""),IF(OR(M1273=phu!$I$45,M1273=phu!$I$46,M1273=phu!$I$47,M1273=phu!$I$48,M1273=phu!$I$49,M1273=phu!$I$50,M1273=phu!$I$51,M1273=phu!$I$52,M1273=phu!$I$53),"Cam Linh",""),IF(OR(M1273=phu!$I$54,M1273=phu!$I$55,M1273=phu!$I$56,M1273=phu!$I$57,M1273=phu!$I$58,M1273=phu!$I$59,M1273=phu!$I$60,M1273=phu!$I$61,M1273=phu!$I$62),"Cam Lợi",""),IF(OR(M1273=phu!$I$63,M1273=phu!$I$64,M1273=phu!$I$65,M1273=phu!$I$66,M1273=phu!$I$67,M1273=phu!$I$68,M1273=phu!$I$69,M1273=phu!$I$70,M1273=phu!$I$71),"Ba Ngòi",""),IF(OR(M1273=phu!$I$72,M1273=phu!$I$73,M1273=phu!$I$74,M1273=phu!$I$75,M1273=phu!$I$76,M1273=phu!$I$77,M1273=phu!$I$78),"Cam Phước Đông",""),IF(OR(M1273=phu!$I$79,M1273=phu!$I$80,M1273=phu!$I$81,M1273=phu!$I$82,M1273=phu!$I$83,M1273=phu!$I$84),"Cam Thịnh Đông",""),IF(OR(M1273=phu!$I$85,M1273=phu!$I$86,M1273=phu!$I$87,M1273=phu!$I$88),"Cam Thịnh Tây",""),IF(OR(M1273=phu!$I$89,M1273=phu!$I$90),"Cam Lập",""),IF(OR(M1273=phu!$I$91,M1273=phu!$I$92,M1273=phu!$I$93),"Cam Bình",""),IF(OR(M1273=phu!$I$94,M1273=phu!$I$95,M1273=phu!$I$96,M1273=phu!$I$97,M1273=phu!$I$98,M1273=phu!$I$99,M1273=phu!$I$100),"Huyện khác",""),IF(OR(M1273=phu!$I$101,M1273=phu!$I$102),"Tỉnh khác",""))</f>
        <v/>
      </c>
      <c r="O1273" s="829" t="str">
        <f t="shared" si="114"/>
        <v/>
      </c>
      <c r="P1273" s="254"/>
      <c r="Q1273" s="254"/>
      <c r="R1273" s="254"/>
      <c r="S1273" s="254"/>
      <c r="T1273" s="254"/>
      <c r="U1273" s="254"/>
      <c r="V1273" s="254"/>
      <c r="W1273" s="254"/>
      <c r="Y1273" s="246" t="str">
        <f t="shared" si="115"/>
        <v/>
      </c>
      <c r="Z1273" s="247" t="str">
        <f t="shared" si="119"/>
        <v/>
      </c>
      <c r="AA1273" s="246" t="str">
        <f t="shared" si="116"/>
        <v/>
      </c>
    </row>
    <row r="1274" spans="1:27" x14ac:dyDescent="0.25">
      <c r="A1274" s="248" t="str">
        <f t="shared" si="117"/>
        <v/>
      </c>
      <c r="B1274" s="249" t="str">
        <f t="shared" si="118"/>
        <v/>
      </c>
      <c r="C1274" s="250"/>
      <c r="D1274" s="251"/>
      <c r="E1274" s="241"/>
      <c r="F1274" s="252"/>
      <c r="G1274" s="252"/>
      <c r="H1274" s="253"/>
      <c r="I1274" s="250"/>
      <c r="J1274" s="250"/>
      <c r="K1274" s="270"/>
      <c r="L1274" s="250"/>
      <c r="M1274" s="250"/>
      <c r="N1274" s="540" t="str">
        <f>CONCATENATE(IF(OR(M1274=phu!$I$1,M1274=phu!$I$2,M1274=phu!$I$3),"Cam Thành Nam",""),IF(OR(M1274=phu!$I$4,M1274=phu!$I$5,M1274=phu!$I$6,M1274=phu!$I$7,M1274=phu!$I$8,M1274=phu!$I$9,M1274=phu!$I$10,M1274=phu!$I$11,M1274=phu!$I$12,M1274=phu!$I$13,M1274=phu!$I$14),"Cam Nghĩa",""),IF(OR(M1274=phu!$I$15,M1274=phu!$I$16,M1274=phu!$I$17,M1274=phu!$I$18,M1274=phu!$I$19,M1274=phu!$I$20,M1274=phu!$I$21),"Cam Phúc Bắc",""),IF(OR(M1274=phu!$I$22,M1274=phu!$I$23,M1274=phu!$I$24,M1274=phu!$I$25),"Cam Phúc Nam",""),IF(OR(M1274=phu!$I$26,M1274=phu!$I$27,M1274=phu!$I$28,M1274=phu!$I$29,M1274=phu!$I$30,M1274=phu!$I$31),"Cam Phú",""),IF(OR(M1274=phu!$I$32,M1274=phu!$I$33,M1274=phu!$I$34,M1274=phu!$I$35,M1274=phu!$I$36,M1274=phu!$I$37),"Cam Lộc",""),IF(OR(M1274=phu!$I$38,M1274=phu!$I$39,M1274=phu!$I$40,M1274=phu!$I$41,M1274=phu!$I$42,M1274=phu!$I$43,M1274=phu!$I$44),"Cam Thuận",""),IF(OR(M1274=phu!$I$45,M1274=phu!$I$46,M1274=phu!$I$47,M1274=phu!$I$48,M1274=phu!$I$49,M1274=phu!$I$50,M1274=phu!$I$51,M1274=phu!$I$52,M1274=phu!$I$53),"Cam Linh",""),IF(OR(M1274=phu!$I$54,M1274=phu!$I$55,M1274=phu!$I$56,M1274=phu!$I$57,M1274=phu!$I$58,M1274=phu!$I$59,M1274=phu!$I$60,M1274=phu!$I$61,M1274=phu!$I$62),"Cam Lợi",""),IF(OR(M1274=phu!$I$63,M1274=phu!$I$64,M1274=phu!$I$65,M1274=phu!$I$66,M1274=phu!$I$67,M1274=phu!$I$68,M1274=phu!$I$69,M1274=phu!$I$70,M1274=phu!$I$71),"Ba Ngòi",""),IF(OR(M1274=phu!$I$72,M1274=phu!$I$73,M1274=phu!$I$74,M1274=phu!$I$75,M1274=phu!$I$76,M1274=phu!$I$77,M1274=phu!$I$78),"Cam Phước Đông",""),IF(OR(M1274=phu!$I$79,M1274=phu!$I$80,M1274=phu!$I$81,M1274=phu!$I$82,M1274=phu!$I$83,M1274=phu!$I$84),"Cam Thịnh Đông",""),IF(OR(M1274=phu!$I$85,M1274=phu!$I$86,M1274=phu!$I$87,M1274=phu!$I$88),"Cam Thịnh Tây",""),IF(OR(M1274=phu!$I$89,M1274=phu!$I$90),"Cam Lập",""),IF(OR(M1274=phu!$I$91,M1274=phu!$I$92,M1274=phu!$I$93),"Cam Bình",""),IF(OR(M1274=phu!$I$94,M1274=phu!$I$95,M1274=phu!$I$96,M1274=phu!$I$97,M1274=phu!$I$98,M1274=phu!$I$99,M1274=phu!$I$100),"Huyện khác",""),IF(OR(M1274=phu!$I$101,M1274=phu!$I$102),"Tỉnh khác",""))</f>
        <v/>
      </c>
      <c r="O1274" s="829" t="str">
        <f t="shared" si="114"/>
        <v/>
      </c>
      <c r="P1274" s="254"/>
      <c r="Q1274" s="254"/>
      <c r="R1274" s="254"/>
      <c r="S1274" s="254"/>
      <c r="T1274" s="254"/>
      <c r="U1274" s="254"/>
      <c r="V1274" s="254"/>
      <c r="W1274" s="254"/>
      <c r="Y1274" s="246" t="str">
        <f t="shared" si="115"/>
        <v/>
      </c>
      <c r="Z1274" s="247" t="str">
        <f t="shared" si="119"/>
        <v/>
      </c>
      <c r="AA1274" s="246" t="str">
        <f t="shared" si="116"/>
        <v/>
      </c>
    </row>
    <row r="1275" spans="1:27" x14ac:dyDescent="0.25">
      <c r="A1275" s="248" t="str">
        <f t="shared" si="117"/>
        <v/>
      </c>
      <c r="B1275" s="249" t="str">
        <f t="shared" si="118"/>
        <v/>
      </c>
      <c r="C1275" s="250"/>
      <c r="D1275" s="251"/>
      <c r="E1275" s="241"/>
      <c r="F1275" s="252"/>
      <c r="G1275" s="252"/>
      <c r="H1275" s="253"/>
      <c r="I1275" s="250"/>
      <c r="J1275" s="250"/>
      <c r="K1275" s="270"/>
      <c r="L1275" s="250"/>
      <c r="M1275" s="250"/>
      <c r="N1275" s="540" t="str">
        <f>CONCATENATE(IF(OR(M1275=phu!$I$1,M1275=phu!$I$2,M1275=phu!$I$3),"Cam Thành Nam",""),IF(OR(M1275=phu!$I$4,M1275=phu!$I$5,M1275=phu!$I$6,M1275=phu!$I$7,M1275=phu!$I$8,M1275=phu!$I$9,M1275=phu!$I$10,M1275=phu!$I$11,M1275=phu!$I$12,M1275=phu!$I$13,M1275=phu!$I$14),"Cam Nghĩa",""),IF(OR(M1275=phu!$I$15,M1275=phu!$I$16,M1275=phu!$I$17,M1275=phu!$I$18,M1275=phu!$I$19,M1275=phu!$I$20,M1275=phu!$I$21),"Cam Phúc Bắc",""),IF(OR(M1275=phu!$I$22,M1275=phu!$I$23,M1275=phu!$I$24,M1275=phu!$I$25),"Cam Phúc Nam",""),IF(OR(M1275=phu!$I$26,M1275=phu!$I$27,M1275=phu!$I$28,M1275=phu!$I$29,M1275=phu!$I$30,M1275=phu!$I$31),"Cam Phú",""),IF(OR(M1275=phu!$I$32,M1275=phu!$I$33,M1275=phu!$I$34,M1275=phu!$I$35,M1275=phu!$I$36,M1275=phu!$I$37),"Cam Lộc",""),IF(OR(M1275=phu!$I$38,M1275=phu!$I$39,M1275=phu!$I$40,M1275=phu!$I$41,M1275=phu!$I$42,M1275=phu!$I$43,M1275=phu!$I$44),"Cam Thuận",""),IF(OR(M1275=phu!$I$45,M1275=phu!$I$46,M1275=phu!$I$47,M1275=phu!$I$48,M1275=phu!$I$49,M1275=phu!$I$50,M1275=phu!$I$51,M1275=phu!$I$52,M1275=phu!$I$53),"Cam Linh",""),IF(OR(M1275=phu!$I$54,M1275=phu!$I$55,M1275=phu!$I$56,M1275=phu!$I$57,M1275=phu!$I$58,M1275=phu!$I$59,M1275=phu!$I$60,M1275=phu!$I$61,M1275=phu!$I$62),"Cam Lợi",""),IF(OR(M1275=phu!$I$63,M1275=phu!$I$64,M1275=phu!$I$65,M1275=phu!$I$66,M1275=phu!$I$67,M1275=phu!$I$68,M1275=phu!$I$69,M1275=phu!$I$70,M1275=phu!$I$71),"Ba Ngòi",""),IF(OR(M1275=phu!$I$72,M1275=phu!$I$73,M1275=phu!$I$74,M1275=phu!$I$75,M1275=phu!$I$76,M1275=phu!$I$77,M1275=phu!$I$78),"Cam Phước Đông",""),IF(OR(M1275=phu!$I$79,M1275=phu!$I$80,M1275=phu!$I$81,M1275=phu!$I$82,M1275=phu!$I$83,M1275=phu!$I$84),"Cam Thịnh Đông",""),IF(OR(M1275=phu!$I$85,M1275=phu!$I$86,M1275=phu!$I$87,M1275=phu!$I$88),"Cam Thịnh Tây",""),IF(OR(M1275=phu!$I$89,M1275=phu!$I$90),"Cam Lập",""),IF(OR(M1275=phu!$I$91,M1275=phu!$I$92,M1275=phu!$I$93),"Cam Bình",""),IF(OR(M1275=phu!$I$94,M1275=phu!$I$95,M1275=phu!$I$96,M1275=phu!$I$97,M1275=phu!$I$98,M1275=phu!$I$99,M1275=phu!$I$100),"Huyện khác",""),IF(OR(M1275=phu!$I$101,M1275=phu!$I$102),"Tỉnh khác",""))</f>
        <v/>
      </c>
      <c r="O1275" s="829" t="str">
        <f t="shared" si="114"/>
        <v/>
      </c>
      <c r="P1275" s="254"/>
      <c r="Q1275" s="254"/>
      <c r="R1275" s="254"/>
      <c r="S1275" s="254"/>
      <c r="T1275" s="254"/>
      <c r="U1275" s="254"/>
      <c r="V1275" s="254"/>
      <c r="W1275" s="254"/>
      <c r="Y1275" s="246" t="str">
        <f t="shared" si="115"/>
        <v/>
      </c>
      <c r="Z1275" s="247" t="str">
        <f t="shared" si="119"/>
        <v/>
      </c>
      <c r="AA1275" s="246" t="str">
        <f t="shared" si="116"/>
        <v/>
      </c>
    </row>
    <row r="1276" spans="1:27" x14ac:dyDescent="0.25">
      <c r="A1276" s="248" t="str">
        <f t="shared" si="117"/>
        <v/>
      </c>
      <c r="B1276" s="249" t="str">
        <f t="shared" si="118"/>
        <v/>
      </c>
      <c r="C1276" s="250"/>
      <c r="D1276" s="251"/>
      <c r="E1276" s="241"/>
      <c r="F1276" s="252"/>
      <c r="G1276" s="252"/>
      <c r="H1276" s="253"/>
      <c r="I1276" s="250"/>
      <c r="J1276" s="250"/>
      <c r="K1276" s="270"/>
      <c r="L1276" s="250"/>
      <c r="M1276" s="250"/>
      <c r="N1276" s="540" t="str">
        <f>CONCATENATE(IF(OR(M1276=phu!$I$1,M1276=phu!$I$2,M1276=phu!$I$3),"Cam Thành Nam",""),IF(OR(M1276=phu!$I$4,M1276=phu!$I$5,M1276=phu!$I$6,M1276=phu!$I$7,M1276=phu!$I$8,M1276=phu!$I$9,M1276=phu!$I$10,M1276=phu!$I$11,M1276=phu!$I$12,M1276=phu!$I$13,M1276=phu!$I$14),"Cam Nghĩa",""),IF(OR(M1276=phu!$I$15,M1276=phu!$I$16,M1276=phu!$I$17,M1276=phu!$I$18,M1276=phu!$I$19,M1276=phu!$I$20,M1276=phu!$I$21),"Cam Phúc Bắc",""),IF(OR(M1276=phu!$I$22,M1276=phu!$I$23,M1276=phu!$I$24,M1276=phu!$I$25),"Cam Phúc Nam",""),IF(OR(M1276=phu!$I$26,M1276=phu!$I$27,M1276=phu!$I$28,M1276=phu!$I$29,M1276=phu!$I$30,M1276=phu!$I$31),"Cam Phú",""),IF(OR(M1276=phu!$I$32,M1276=phu!$I$33,M1276=phu!$I$34,M1276=phu!$I$35,M1276=phu!$I$36,M1276=phu!$I$37),"Cam Lộc",""),IF(OR(M1276=phu!$I$38,M1276=phu!$I$39,M1276=phu!$I$40,M1276=phu!$I$41,M1276=phu!$I$42,M1276=phu!$I$43,M1276=phu!$I$44),"Cam Thuận",""),IF(OR(M1276=phu!$I$45,M1276=phu!$I$46,M1276=phu!$I$47,M1276=phu!$I$48,M1276=phu!$I$49,M1276=phu!$I$50,M1276=phu!$I$51,M1276=phu!$I$52,M1276=phu!$I$53),"Cam Linh",""),IF(OR(M1276=phu!$I$54,M1276=phu!$I$55,M1276=phu!$I$56,M1276=phu!$I$57,M1276=phu!$I$58,M1276=phu!$I$59,M1276=phu!$I$60,M1276=phu!$I$61,M1276=phu!$I$62),"Cam Lợi",""),IF(OR(M1276=phu!$I$63,M1276=phu!$I$64,M1276=phu!$I$65,M1276=phu!$I$66,M1276=phu!$I$67,M1276=phu!$I$68,M1276=phu!$I$69,M1276=phu!$I$70,M1276=phu!$I$71),"Ba Ngòi",""),IF(OR(M1276=phu!$I$72,M1276=phu!$I$73,M1276=phu!$I$74,M1276=phu!$I$75,M1276=phu!$I$76,M1276=phu!$I$77,M1276=phu!$I$78),"Cam Phước Đông",""),IF(OR(M1276=phu!$I$79,M1276=phu!$I$80,M1276=phu!$I$81,M1276=phu!$I$82,M1276=phu!$I$83,M1276=phu!$I$84),"Cam Thịnh Đông",""),IF(OR(M1276=phu!$I$85,M1276=phu!$I$86,M1276=phu!$I$87,M1276=phu!$I$88),"Cam Thịnh Tây",""),IF(OR(M1276=phu!$I$89,M1276=phu!$I$90),"Cam Lập",""),IF(OR(M1276=phu!$I$91,M1276=phu!$I$92,M1276=phu!$I$93),"Cam Bình",""),IF(OR(M1276=phu!$I$94,M1276=phu!$I$95,M1276=phu!$I$96,M1276=phu!$I$97,M1276=phu!$I$98,M1276=phu!$I$99,M1276=phu!$I$100),"Huyện khác",""),IF(OR(M1276=phu!$I$101,M1276=phu!$I$102),"Tỉnh khác",""))</f>
        <v/>
      </c>
      <c r="O1276" s="829" t="str">
        <f t="shared" si="114"/>
        <v/>
      </c>
      <c r="P1276" s="254"/>
      <c r="Q1276" s="254"/>
      <c r="R1276" s="254"/>
      <c r="S1276" s="254"/>
      <c r="T1276" s="254"/>
      <c r="U1276" s="254"/>
      <c r="V1276" s="254"/>
      <c r="W1276" s="254"/>
      <c r="Y1276" s="246" t="str">
        <f t="shared" si="115"/>
        <v/>
      </c>
      <c r="Z1276" s="247" t="str">
        <f t="shared" si="119"/>
        <v/>
      </c>
      <c r="AA1276" s="246" t="str">
        <f t="shared" si="116"/>
        <v/>
      </c>
    </row>
    <row r="1277" spans="1:27" x14ac:dyDescent="0.25">
      <c r="A1277" s="248" t="str">
        <f t="shared" si="117"/>
        <v/>
      </c>
      <c r="B1277" s="249" t="str">
        <f t="shared" si="118"/>
        <v/>
      </c>
      <c r="C1277" s="250"/>
      <c r="D1277" s="251"/>
      <c r="E1277" s="241"/>
      <c r="F1277" s="252"/>
      <c r="G1277" s="252"/>
      <c r="H1277" s="253"/>
      <c r="I1277" s="250"/>
      <c r="J1277" s="250"/>
      <c r="K1277" s="270"/>
      <c r="L1277" s="250"/>
      <c r="M1277" s="250"/>
      <c r="N1277" s="540" t="str">
        <f>CONCATENATE(IF(OR(M1277=phu!$I$1,M1277=phu!$I$2,M1277=phu!$I$3),"Cam Thành Nam",""),IF(OR(M1277=phu!$I$4,M1277=phu!$I$5,M1277=phu!$I$6,M1277=phu!$I$7,M1277=phu!$I$8,M1277=phu!$I$9,M1277=phu!$I$10,M1277=phu!$I$11,M1277=phu!$I$12,M1277=phu!$I$13,M1277=phu!$I$14),"Cam Nghĩa",""),IF(OR(M1277=phu!$I$15,M1277=phu!$I$16,M1277=phu!$I$17,M1277=phu!$I$18,M1277=phu!$I$19,M1277=phu!$I$20,M1277=phu!$I$21),"Cam Phúc Bắc",""),IF(OR(M1277=phu!$I$22,M1277=phu!$I$23,M1277=phu!$I$24,M1277=phu!$I$25),"Cam Phúc Nam",""),IF(OR(M1277=phu!$I$26,M1277=phu!$I$27,M1277=phu!$I$28,M1277=phu!$I$29,M1277=phu!$I$30,M1277=phu!$I$31),"Cam Phú",""),IF(OR(M1277=phu!$I$32,M1277=phu!$I$33,M1277=phu!$I$34,M1277=phu!$I$35,M1277=phu!$I$36,M1277=phu!$I$37),"Cam Lộc",""),IF(OR(M1277=phu!$I$38,M1277=phu!$I$39,M1277=phu!$I$40,M1277=phu!$I$41,M1277=phu!$I$42,M1277=phu!$I$43,M1277=phu!$I$44),"Cam Thuận",""),IF(OR(M1277=phu!$I$45,M1277=phu!$I$46,M1277=phu!$I$47,M1277=phu!$I$48,M1277=phu!$I$49,M1277=phu!$I$50,M1277=phu!$I$51,M1277=phu!$I$52,M1277=phu!$I$53),"Cam Linh",""),IF(OR(M1277=phu!$I$54,M1277=phu!$I$55,M1277=phu!$I$56,M1277=phu!$I$57,M1277=phu!$I$58,M1277=phu!$I$59,M1277=phu!$I$60,M1277=phu!$I$61,M1277=phu!$I$62),"Cam Lợi",""),IF(OR(M1277=phu!$I$63,M1277=phu!$I$64,M1277=phu!$I$65,M1277=phu!$I$66,M1277=phu!$I$67,M1277=phu!$I$68,M1277=phu!$I$69,M1277=phu!$I$70,M1277=phu!$I$71),"Ba Ngòi",""),IF(OR(M1277=phu!$I$72,M1277=phu!$I$73,M1277=phu!$I$74,M1277=phu!$I$75,M1277=phu!$I$76,M1277=phu!$I$77,M1277=phu!$I$78),"Cam Phước Đông",""),IF(OR(M1277=phu!$I$79,M1277=phu!$I$80,M1277=phu!$I$81,M1277=phu!$I$82,M1277=phu!$I$83,M1277=phu!$I$84),"Cam Thịnh Đông",""),IF(OR(M1277=phu!$I$85,M1277=phu!$I$86,M1277=phu!$I$87,M1277=phu!$I$88),"Cam Thịnh Tây",""),IF(OR(M1277=phu!$I$89,M1277=phu!$I$90),"Cam Lập",""),IF(OR(M1277=phu!$I$91,M1277=phu!$I$92,M1277=phu!$I$93),"Cam Bình",""),IF(OR(M1277=phu!$I$94,M1277=phu!$I$95,M1277=phu!$I$96,M1277=phu!$I$97,M1277=phu!$I$98,M1277=phu!$I$99,M1277=phu!$I$100),"Huyện khác",""),IF(OR(M1277=phu!$I$101,M1277=phu!$I$102),"Tỉnh khác",""))</f>
        <v/>
      </c>
      <c r="O1277" s="829" t="str">
        <f t="shared" si="114"/>
        <v/>
      </c>
      <c r="P1277" s="254"/>
      <c r="Q1277" s="254"/>
      <c r="R1277" s="254"/>
      <c r="S1277" s="254"/>
      <c r="T1277" s="254"/>
      <c r="U1277" s="254"/>
      <c r="V1277" s="254"/>
      <c r="W1277" s="254"/>
      <c r="Y1277" s="246" t="str">
        <f t="shared" si="115"/>
        <v/>
      </c>
      <c r="Z1277" s="247" t="str">
        <f t="shared" si="119"/>
        <v/>
      </c>
      <c r="AA1277" s="246" t="str">
        <f t="shared" si="116"/>
        <v/>
      </c>
    </row>
    <row r="1278" spans="1:27" x14ac:dyDescent="0.25">
      <c r="A1278" s="248" t="str">
        <f t="shared" si="117"/>
        <v/>
      </c>
      <c r="B1278" s="249" t="str">
        <f t="shared" si="118"/>
        <v/>
      </c>
      <c r="C1278" s="250"/>
      <c r="D1278" s="251"/>
      <c r="E1278" s="241"/>
      <c r="F1278" s="252"/>
      <c r="G1278" s="252"/>
      <c r="H1278" s="253"/>
      <c r="I1278" s="250"/>
      <c r="J1278" s="250"/>
      <c r="K1278" s="270"/>
      <c r="L1278" s="250"/>
      <c r="M1278" s="250"/>
      <c r="N1278" s="540" t="str">
        <f>CONCATENATE(IF(OR(M1278=phu!$I$1,M1278=phu!$I$2,M1278=phu!$I$3),"Cam Thành Nam",""),IF(OR(M1278=phu!$I$4,M1278=phu!$I$5,M1278=phu!$I$6,M1278=phu!$I$7,M1278=phu!$I$8,M1278=phu!$I$9,M1278=phu!$I$10,M1278=phu!$I$11,M1278=phu!$I$12,M1278=phu!$I$13,M1278=phu!$I$14),"Cam Nghĩa",""),IF(OR(M1278=phu!$I$15,M1278=phu!$I$16,M1278=phu!$I$17,M1278=phu!$I$18,M1278=phu!$I$19,M1278=phu!$I$20,M1278=phu!$I$21),"Cam Phúc Bắc",""),IF(OR(M1278=phu!$I$22,M1278=phu!$I$23,M1278=phu!$I$24,M1278=phu!$I$25),"Cam Phúc Nam",""),IF(OR(M1278=phu!$I$26,M1278=phu!$I$27,M1278=phu!$I$28,M1278=phu!$I$29,M1278=phu!$I$30,M1278=phu!$I$31),"Cam Phú",""),IF(OR(M1278=phu!$I$32,M1278=phu!$I$33,M1278=phu!$I$34,M1278=phu!$I$35,M1278=phu!$I$36,M1278=phu!$I$37),"Cam Lộc",""),IF(OR(M1278=phu!$I$38,M1278=phu!$I$39,M1278=phu!$I$40,M1278=phu!$I$41,M1278=phu!$I$42,M1278=phu!$I$43,M1278=phu!$I$44),"Cam Thuận",""),IF(OR(M1278=phu!$I$45,M1278=phu!$I$46,M1278=phu!$I$47,M1278=phu!$I$48,M1278=phu!$I$49,M1278=phu!$I$50,M1278=phu!$I$51,M1278=phu!$I$52,M1278=phu!$I$53),"Cam Linh",""),IF(OR(M1278=phu!$I$54,M1278=phu!$I$55,M1278=phu!$I$56,M1278=phu!$I$57,M1278=phu!$I$58,M1278=phu!$I$59,M1278=phu!$I$60,M1278=phu!$I$61,M1278=phu!$I$62),"Cam Lợi",""),IF(OR(M1278=phu!$I$63,M1278=phu!$I$64,M1278=phu!$I$65,M1278=phu!$I$66,M1278=phu!$I$67,M1278=phu!$I$68,M1278=phu!$I$69,M1278=phu!$I$70,M1278=phu!$I$71),"Ba Ngòi",""),IF(OR(M1278=phu!$I$72,M1278=phu!$I$73,M1278=phu!$I$74,M1278=phu!$I$75,M1278=phu!$I$76,M1278=phu!$I$77,M1278=phu!$I$78),"Cam Phước Đông",""),IF(OR(M1278=phu!$I$79,M1278=phu!$I$80,M1278=phu!$I$81,M1278=phu!$I$82,M1278=phu!$I$83,M1278=phu!$I$84),"Cam Thịnh Đông",""),IF(OR(M1278=phu!$I$85,M1278=phu!$I$86,M1278=phu!$I$87,M1278=phu!$I$88),"Cam Thịnh Tây",""),IF(OR(M1278=phu!$I$89,M1278=phu!$I$90),"Cam Lập",""),IF(OR(M1278=phu!$I$91,M1278=phu!$I$92,M1278=phu!$I$93),"Cam Bình",""),IF(OR(M1278=phu!$I$94,M1278=phu!$I$95,M1278=phu!$I$96,M1278=phu!$I$97,M1278=phu!$I$98,M1278=phu!$I$99,M1278=phu!$I$100),"Huyện khác",""),IF(OR(M1278=phu!$I$101,M1278=phu!$I$102),"Tỉnh khác",""))</f>
        <v/>
      </c>
      <c r="O1278" s="829" t="str">
        <f t="shared" si="114"/>
        <v/>
      </c>
      <c r="P1278" s="254"/>
      <c r="Q1278" s="254"/>
      <c r="R1278" s="254"/>
      <c r="S1278" s="254"/>
      <c r="T1278" s="254"/>
      <c r="U1278" s="254"/>
      <c r="V1278" s="254"/>
      <c r="W1278" s="254"/>
      <c r="Y1278" s="246" t="str">
        <f t="shared" si="115"/>
        <v/>
      </c>
      <c r="Z1278" s="247" t="str">
        <f t="shared" si="119"/>
        <v/>
      </c>
      <c r="AA1278" s="246" t="str">
        <f t="shared" si="116"/>
        <v/>
      </c>
    </row>
    <row r="1279" spans="1:27" x14ac:dyDescent="0.25">
      <c r="A1279" s="248" t="str">
        <f t="shared" si="117"/>
        <v/>
      </c>
      <c r="B1279" s="249" t="str">
        <f t="shared" si="118"/>
        <v/>
      </c>
      <c r="C1279" s="250"/>
      <c r="D1279" s="251"/>
      <c r="E1279" s="241"/>
      <c r="F1279" s="252"/>
      <c r="G1279" s="252"/>
      <c r="H1279" s="253"/>
      <c r="I1279" s="250"/>
      <c r="J1279" s="250"/>
      <c r="K1279" s="270"/>
      <c r="L1279" s="250"/>
      <c r="M1279" s="250"/>
      <c r="N1279" s="540" t="str">
        <f>CONCATENATE(IF(OR(M1279=phu!$I$1,M1279=phu!$I$2,M1279=phu!$I$3),"Cam Thành Nam",""),IF(OR(M1279=phu!$I$4,M1279=phu!$I$5,M1279=phu!$I$6,M1279=phu!$I$7,M1279=phu!$I$8,M1279=phu!$I$9,M1279=phu!$I$10,M1279=phu!$I$11,M1279=phu!$I$12,M1279=phu!$I$13,M1279=phu!$I$14),"Cam Nghĩa",""),IF(OR(M1279=phu!$I$15,M1279=phu!$I$16,M1279=phu!$I$17,M1279=phu!$I$18,M1279=phu!$I$19,M1279=phu!$I$20,M1279=phu!$I$21),"Cam Phúc Bắc",""),IF(OR(M1279=phu!$I$22,M1279=phu!$I$23,M1279=phu!$I$24,M1279=phu!$I$25),"Cam Phúc Nam",""),IF(OR(M1279=phu!$I$26,M1279=phu!$I$27,M1279=phu!$I$28,M1279=phu!$I$29,M1279=phu!$I$30,M1279=phu!$I$31),"Cam Phú",""),IF(OR(M1279=phu!$I$32,M1279=phu!$I$33,M1279=phu!$I$34,M1279=phu!$I$35,M1279=phu!$I$36,M1279=phu!$I$37),"Cam Lộc",""),IF(OR(M1279=phu!$I$38,M1279=phu!$I$39,M1279=phu!$I$40,M1279=phu!$I$41,M1279=phu!$I$42,M1279=phu!$I$43,M1279=phu!$I$44),"Cam Thuận",""),IF(OR(M1279=phu!$I$45,M1279=phu!$I$46,M1279=phu!$I$47,M1279=phu!$I$48,M1279=phu!$I$49,M1279=phu!$I$50,M1279=phu!$I$51,M1279=phu!$I$52,M1279=phu!$I$53),"Cam Linh",""),IF(OR(M1279=phu!$I$54,M1279=phu!$I$55,M1279=phu!$I$56,M1279=phu!$I$57,M1279=phu!$I$58,M1279=phu!$I$59,M1279=phu!$I$60,M1279=phu!$I$61,M1279=phu!$I$62),"Cam Lợi",""),IF(OR(M1279=phu!$I$63,M1279=phu!$I$64,M1279=phu!$I$65,M1279=phu!$I$66,M1279=phu!$I$67,M1279=phu!$I$68,M1279=phu!$I$69,M1279=phu!$I$70,M1279=phu!$I$71),"Ba Ngòi",""),IF(OR(M1279=phu!$I$72,M1279=phu!$I$73,M1279=phu!$I$74,M1279=phu!$I$75,M1279=phu!$I$76,M1279=phu!$I$77,M1279=phu!$I$78),"Cam Phước Đông",""),IF(OR(M1279=phu!$I$79,M1279=phu!$I$80,M1279=phu!$I$81,M1279=phu!$I$82,M1279=phu!$I$83,M1279=phu!$I$84),"Cam Thịnh Đông",""),IF(OR(M1279=phu!$I$85,M1279=phu!$I$86,M1279=phu!$I$87,M1279=phu!$I$88),"Cam Thịnh Tây",""),IF(OR(M1279=phu!$I$89,M1279=phu!$I$90),"Cam Lập",""),IF(OR(M1279=phu!$I$91,M1279=phu!$I$92,M1279=phu!$I$93),"Cam Bình",""),IF(OR(M1279=phu!$I$94,M1279=phu!$I$95,M1279=phu!$I$96,M1279=phu!$I$97,M1279=phu!$I$98,M1279=phu!$I$99,M1279=phu!$I$100),"Huyện khác",""),IF(OR(M1279=phu!$I$101,M1279=phu!$I$102),"Tỉnh khác",""))</f>
        <v/>
      </c>
      <c r="O1279" s="829" t="str">
        <f t="shared" si="114"/>
        <v/>
      </c>
      <c r="P1279" s="254"/>
      <c r="Q1279" s="254"/>
      <c r="R1279" s="254"/>
      <c r="S1279" s="254"/>
      <c r="T1279" s="254"/>
      <c r="U1279" s="254"/>
      <c r="V1279" s="254"/>
      <c r="W1279" s="254"/>
      <c r="Y1279" s="246" t="str">
        <f t="shared" si="115"/>
        <v/>
      </c>
      <c r="Z1279" s="247" t="str">
        <f t="shared" si="119"/>
        <v/>
      </c>
      <c r="AA1279" s="246" t="str">
        <f t="shared" si="116"/>
        <v/>
      </c>
    </row>
    <row r="1280" spans="1:27" x14ac:dyDescent="0.25">
      <c r="A1280" s="248" t="str">
        <f t="shared" si="117"/>
        <v/>
      </c>
      <c r="B1280" s="249" t="str">
        <f t="shared" si="118"/>
        <v/>
      </c>
      <c r="C1280" s="250"/>
      <c r="D1280" s="251"/>
      <c r="E1280" s="241"/>
      <c r="F1280" s="252"/>
      <c r="G1280" s="252"/>
      <c r="H1280" s="253"/>
      <c r="I1280" s="250"/>
      <c r="J1280" s="250"/>
      <c r="K1280" s="270"/>
      <c r="L1280" s="250"/>
      <c r="M1280" s="250"/>
      <c r="N1280" s="540" t="str">
        <f>CONCATENATE(IF(OR(M1280=phu!$I$1,M1280=phu!$I$2,M1280=phu!$I$3),"Cam Thành Nam",""),IF(OR(M1280=phu!$I$4,M1280=phu!$I$5,M1280=phu!$I$6,M1280=phu!$I$7,M1280=phu!$I$8,M1280=phu!$I$9,M1280=phu!$I$10,M1280=phu!$I$11,M1280=phu!$I$12,M1280=phu!$I$13,M1280=phu!$I$14),"Cam Nghĩa",""),IF(OR(M1280=phu!$I$15,M1280=phu!$I$16,M1280=phu!$I$17,M1280=phu!$I$18,M1280=phu!$I$19,M1280=phu!$I$20,M1280=phu!$I$21),"Cam Phúc Bắc",""),IF(OR(M1280=phu!$I$22,M1280=phu!$I$23,M1280=phu!$I$24,M1280=phu!$I$25),"Cam Phúc Nam",""),IF(OR(M1280=phu!$I$26,M1280=phu!$I$27,M1280=phu!$I$28,M1280=phu!$I$29,M1280=phu!$I$30,M1280=phu!$I$31),"Cam Phú",""),IF(OR(M1280=phu!$I$32,M1280=phu!$I$33,M1280=phu!$I$34,M1280=phu!$I$35,M1280=phu!$I$36,M1280=phu!$I$37),"Cam Lộc",""),IF(OR(M1280=phu!$I$38,M1280=phu!$I$39,M1280=phu!$I$40,M1280=phu!$I$41,M1280=phu!$I$42,M1280=phu!$I$43,M1280=phu!$I$44),"Cam Thuận",""),IF(OR(M1280=phu!$I$45,M1280=phu!$I$46,M1280=phu!$I$47,M1280=phu!$I$48,M1280=phu!$I$49,M1280=phu!$I$50,M1280=phu!$I$51,M1280=phu!$I$52,M1280=phu!$I$53),"Cam Linh",""),IF(OR(M1280=phu!$I$54,M1280=phu!$I$55,M1280=phu!$I$56,M1280=phu!$I$57,M1280=phu!$I$58,M1280=phu!$I$59,M1280=phu!$I$60,M1280=phu!$I$61,M1280=phu!$I$62),"Cam Lợi",""),IF(OR(M1280=phu!$I$63,M1280=phu!$I$64,M1280=phu!$I$65,M1280=phu!$I$66,M1280=phu!$I$67,M1280=phu!$I$68,M1280=phu!$I$69,M1280=phu!$I$70,M1280=phu!$I$71),"Ba Ngòi",""),IF(OR(M1280=phu!$I$72,M1280=phu!$I$73,M1280=phu!$I$74,M1280=phu!$I$75,M1280=phu!$I$76,M1280=phu!$I$77,M1280=phu!$I$78),"Cam Phước Đông",""),IF(OR(M1280=phu!$I$79,M1280=phu!$I$80,M1280=phu!$I$81,M1280=phu!$I$82,M1280=phu!$I$83,M1280=phu!$I$84),"Cam Thịnh Đông",""),IF(OR(M1280=phu!$I$85,M1280=phu!$I$86,M1280=phu!$I$87,M1280=phu!$I$88),"Cam Thịnh Tây",""),IF(OR(M1280=phu!$I$89,M1280=phu!$I$90),"Cam Lập",""),IF(OR(M1280=phu!$I$91,M1280=phu!$I$92,M1280=phu!$I$93),"Cam Bình",""),IF(OR(M1280=phu!$I$94,M1280=phu!$I$95,M1280=phu!$I$96,M1280=phu!$I$97,M1280=phu!$I$98,M1280=phu!$I$99,M1280=phu!$I$100),"Huyện khác",""),IF(OR(M1280=phu!$I$101,M1280=phu!$I$102),"Tỉnh khác",""))</f>
        <v/>
      </c>
      <c r="O1280" s="829" t="str">
        <f t="shared" si="114"/>
        <v/>
      </c>
      <c r="P1280" s="254"/>
      <c r="Q1280" s="254"/>
      <c r="R1280" s="254"/>
      <c r="S1280" s="254"/>
      <c r="T1280" s="254"/>
      <c r="U1280" s="254"/>
      <c r="V1280" s="254"/>
      <c r="W1280" s="254"/>
      <c r="Y1280" s="246" t="str">
        <f t="shared" si="115"/>
        <v/>
      </c>
      <c r="Z1280" s="247" t="str">
        <f t="shared" si="119"/>
        <v/>
      </c>
      <c r="AA1280" s="246" t="str">
        <f t="shared" si="116"/>
        <v/>
      </c>
    </row>
    <row r="1281" spans="1:27" x14ac:dyDescent="0.25">
      <c r="A1281" s="248" t="str">
        <f t="shared" si="117"/>
        <v/>
      </c>
      <c r="B1281" s="249" t="str">
        <f t="shared" si="118"/>
        <v/>
      </c>
      <c r="C1281" s="250"/>
      <c r="D1281" s="251"/>
      <c r="E1281" s="241"/>
      <c r="F1281" s="252"/>
      <c r="G1281" s="252"/>
      <c r="H1281" s="253"/>
      <c r="I1281" s="250"/>
      <c r="J1281" s="250"/>
      <c r="K1281" s="270"/>
      <c r="L1281" s="250"/>
      <c r="M1281" s="250"/>
      <c r="N1281" s="540" t="str">
        <f>CONCATENATE(IF(OR(M1281=phu!$I$1,M1281=phu!$I$2,M1281=phu!$I$3),"Cam Thành Nam",""),IF(OR(M1281=phu!$I$4,M1281=phu!$I$5,M1281=phu!$I$6,M1281=phu!$I$7,M1281=phu!$I$8,M1281=phu!$I$9,M1281=phu!$I$10,M1281=phu!$I$11,M1281=phu!$I$12,M1281=phu!$I$13,M1281=phu!$I$14),"Cam Nghĩa",""),IF(OR(M1281=phu!$I$15,M1281=phu!$I$16,M1281=phu!$I$17,M1281=phu!$I$18,M1281=phu!$I$19,M1281=phu!$I$20,M1281=phu!$I$21),"Cam Phúc Bắc",""),IF(OR(M1281=phu!$I$22,M1281=phu!$I$23,M1281=phu!$I$24,M1281=phu!$I$25),"Cam Phúc Nam",""),IF(OR(M1281=phu!$I$26,M1281=phu!$I$27,M1281=phu!$I$28,M1281=phu!$I$29,M1281=phu!$I$30,M1281=phu!$I$31),"Cam Phú",""),IF(OR(M1281=phu!$I$32,M1281=phu!$I$33,M1281=phu!$I$34,M1281=phu!$I$35,M1281=phu!$I$36,M1281=phu!$I$37),"Cam Lộc",""),IF(OR(M1281=phu!$I$38,M1281=phu!$I$39,M1281=phu!$I$40,M1281=phu!$I$41,M1281=phu!$I$42,M1281=phu!$I$43,M1281=phu!$I$44),"Cam Thuận",""),IF(OR(M1281=phu!$I$45,M1281=phu!$I$46,M1281=phu!$I$47,M1281=phu!$I$48,M1281=phu!$I$49,M1281=phu!$I$50,M1281=phu!$I$51,M1281=phu!$I$52,M1281=phu!$I$53),"Cam Linh",""),IF(OR(M1281=phu!$I$54,M1281=phu!$I$55,M1281=phu!$I$56,M1281=phu!$I$57,M1281=phu!$I$58,M1281=phu!$I$59,M1281=phu!$I$60,M1281=phu!$I$61,M1281=phu!$I$62),"Cam Lợi",""),IF(OR(M1281=phu!$I$63,M1281=phu!$I$64,M1281=phu!$I$65,M1281=phu!$I$66,M1281=phu!$I$67,M1281=phu!$I$68,M1281=phu!$I$69,M1281=phu!$I$70,M1281=phu!$I$71),"Ba Ngòi",""),IF(OR(M1281=phu!$I$72,M1281=phu!$I$73,M1281=phu!$I$74,M1281=phu!$I$75,M1281=phu!$I$76,M1281=phu!$I$77,M1281=phu!$I$78),"Cam Phước Đông",""),IF(OR(M1281=phu!$I$79,M1281=phu!$I$80,M1281=phu!$I$81,M1281=phu!$I$82,M1281=phu!$I$83,M1281=phu!$I$84),"Cam Thịnh Đông",""),IF(OR(M1281=phu!$I$85,M1281=phu!$I$86,M1281=phu!$I$87,M1281=phu!$I$88),"Cam Thịnh Tây",""),IF(OR(M1281=phu!$I$89,M1281=phu!$I$90),"Cam Lập",""),IF(OR(M1281=phu!$I$91,M1281=phu!$I$92,M1281=phu!$I$93),"Cam Bình",""),IF(OR(M1281=phu!$I$94,M1281=phu!$I$95,M1281=phu!$I$96,M1281=phu!$I$97,M1281=phu!$I$98,M1281=phu!$I$99,M1281=phu!$I$100),"Huyện khác",""),IF(OR(M1281=phu!$I$101,M1281=phu!$I$102),"Tỉnh khác",""))</f>
        <v/>
      </c>
      <c r="O1281" s="829" t="str">
        <f t="shared" si="114"/>
        <v/>
      </c>
      <c r="P1281" s="254"/>
      <c r="Q1281" s="254"/>
      <c r="R1281" s="254"/>
      <c r="S1281" s="254"/>
      <c r="T1281" s="254"/>
      <c r="U1281" s="254"/>
      <c r="V1281" s="254"/>
      <c r="W1281" s="254"/>
      <c r="Y1281" s="246" t="str">
        <f t="shared" si="115"/>
        <v/>
      </c>
      <c r="Z1281" s="247" t="str">
        <f t="shared" si="119"/>
        <v/>
      </c>
      <c r="AA1281" s="246" t="str">
        <f t="shared" si="116"/>
        <v/>
      </c>
    </row>
    <row r="1282" spans="1:27" x14ac:dyDescent="0.25">
      <c r="A1282" s="248" t="str">
        <f t="shared" si="117"/>
        <v/>
      </c>
      <c r="B1282" s="249" t="str">
        <f t="shared" si="118"/>
        <v/>
      </c>
      <c r="C1282" s="250"/>
      <c r="D1282" s="251"/>
      <c r="E1282" s="241"/>
      <c r="F1282" s="252"/>
      <c r="G1282" s="252"/>
      <c r="H1282" s="253"/>
      <c r="I1282" s="250"/>
      <c r="J1282" s="250"/>
      <c r="K1282" s="270"/>
      <c r="L1282" s="250"/>
      <c r="M1282" s="250"/>
      <c r="N1282" s="540" t="str">
        <f>CONCATENATE(IF(OR(M1282=phu!$I$1,M1282=phu!$I$2,M1282=phu!$I$3),"Cam Thành Nam",""),IF(OR(M1282=phu!$I$4,M1282=phu!$I$5,M1282=phu!$I$6,M1282=phu!$I$7,M1282=phu!$I$8,M1282=phu!$I$9,M1282=phu!$I$10,M1282=phu!$I$11,M1282=phu!$I$12,M1282=phu!$I$13,M1282=phu!$I$14),"Cam Nghĩa",""),IF(OR(M1282=phu!$I$15,M1282=phu!$I$16,M1282=phu!$I$17,M1282=phu!$I$18,M1282=phu!$I$19,M1282=phu!$I$20,M1282=phu!$I$21),"Cam Phúc Bắc",""),IF(OR(M1282=phu!$I$22,M1282=phu!$I$23,M1282=phu!$I$24,M1282=phu!$I$25),"Cam Phúc Nam",""),IF(OR(M1282=phu!$I$26,M1282=phu!$I$27,M1282=phu!$I$28,M1282=phu!$I$29,M1282=phu!$I$30,M1282=phu!$I$31),"Cam Phú",""),IF(OR(M1282=phu!$I$32,M1282=phu!$I$33,M1282=phu!$I$34,M1282=phu!$I$35,M1282=phu!$I$36,M1282=phu!$I$37),"Cam Lộc",""),IF(OR(M1282=phu!$I$38,M1282=phu!$I$39,M1282=phu!$I$40,M1282=phu!$I$41,M1282=phu!$I$42,M1282=phu!$I$43,M1282=phu!$I$44),"Cam Thuận",""),IF(OR(M1282=phu!$I$45,M1282=phu!$I$46,M1282=phu!$I$47,M1282=phu!$I$48,M1282=phu!$I$49,M1282=phu!$I$50,M1282=phu!$I$51,M1282=phu!$I$52,M1282=phu!$I$53),"Cam Linh",""),IF(OR(M1282=phu!$I$54,M1282=phu!$I$55,M1282=phu!$I$56,M1282=phu!$I$57,M1282=phu!$I$58,M1282=phu!$I$59,M1282=phu!$I$60,M1282=phu!$I$61,M1282=phu!$I$62),"Cam Lợi",""),IF(OR(M1282=phu!$I$63,M1282=phu!$I$64,M1282=phu!$I$65,M1282=phu!$I$66,M1282=phu!$I$67,M1282=phu!$I$68,M1282=phu!$I$69,M1282=phu!$I$70,M1282=phu!$I$71),"Ba Ngòi",""),IF(OR(M1282=phu!$I$72,M1282=phu!$I$73,M1282=phu!$I$74,M1282=phu!$I$75,M1282=phu!$I$76,M1282=phu!$I$77,M1282=phu!$I$78),"Cam Phước Đông",""),IF(OR(M1282=phu!$I$79,M1282=phu!$I$80,M1282=phu!$I$81,M1282=phu!$I$82,M1282=phu!$I$83,M1282=phu!$I$84),"Cam Thịnh Đông",""),IF(OR(M1282=phu!$I$85,M1282=phu!$I$86,M1282=phu!$I$87,M1282=phu!$I$88),"Cam Thịnh Tây",""),IF(OR(M1282=phu!$I$89,M1282=phu!$I$90),"Cam Lập",""),IF(OR(M1282=phu!$I$91,M1282=phu!$I$92,M1282=phu!$I$93),"Cam Bình",""),IF(OR(M1282=phu!$I$94,M1282=phu!$I$95,M1282=phu!$I$96,M1282=phu!$I$97,M1282=phu!$I$98,M1282=phu!$I$99,M1282=phu!$I$100),"Huyện khác",""),IF(OR(M1282=phu!$I$101,M1282=phu!$I$102),"Tỉnh khác",""))</f>
        <v/>
      </c>
      <c r="O1282" s="829" t="str">
        <f t="shared" si="114"/>
        <v/>
      </c>
      <c r="P1282" s="254"/>
      <c r="Q1282" s="254"/>
      <c r="R1282" s="254"/>
      <c r="S1282" s="254"/>
      <c r="T1282" s="254"/>
      <c r="U1282" s="254"/>
      <c r="V1282" s="254"/>
      <c r="W1282" s="254"/>
      <c r="Y1282" s="246" t="str">
        <f t="shared" si="115"/>
        <v/>
      </c>
      <c r="Z1282" s="247" t="str">
        <f t="shared" si="119"/>
        <v/>
      </c>
      <c r="AA1282" s="246" t="str">
        <f t="shared" si="116"/>
        <v/>
      </c>
    </row>
    <row r="1283" spans="1:27" x14ac:dyDescent="0.25">
      <c r="A1283" s="248" t="str">
        <f t="shared" si="117"/>
        <v/>
      </c>
      <c r="B1283" s="249" t="str">
        <f t="shared" si="118"/>
        <v/>
      </c>
      <c r="C1283" s="250"/>
      <c r="D1283" s="251"/>
      <c r="E1283" s="241"/>
      <c r="F1283" s="252"/>
      <c r="G1283" s="252"/>
      <c r="H1283" s="253"/>
      <c r="I1283" s="250"/>
      <c r="J1283" s="250"/>
      <c r="K1283" s="270"/>
      <c r="L1283" s="250"/>
      <c r="M1283" s="250"/>
      <c r="N1283" s="540" t="str">
        <f>CONCATENATE(IF(OR(M1283=phu!$I$1,M1283=phu!$I$2,M1283=phu!$I$3),"Cam Thành Nam",""),IF(OR(M1283=phu!$I$4,M1283=phu!$I$5,M1283=phu!$I$6,M1283=phu!$I$7,M1283=phu!$I$8,M1283=phu!$I$9,M1283=phu!$I$10,M1283=phu!$I$11,M1283=phu!$I$12,M1283=phu!$I$13,M1283=phu!$I$14),"Cam Nghĩa",""),IF(OR(M1283=phu!$I$15,M1283=phu!$I$16,M1283=phu!$I$17,M1283=phu!$I$18,M1283=phu!$I$19,M1283=phu!$I$20,M1283=phu!$I$21),"Cam Phúc Bắc",""),IF(OR(M1283=phu!$I$22,M1283=phu!$I$23,M1283=phu!$I$24,M1283=phu!$I$25),"Cam Phúc Nam",""),IF(OR(M1283=phu!$I$26,M1283=phu!$I$27,M1283=phu!$I$28,M1283=phu!$I$29,M1283=phu!$I$30,M1283=phu!$I$31),"Cam Phú",""),IF(OR(M1283=phu!$I$32,M1283=phu!$I$33,M1283=phu!$I$34,M1283=phu!$I$35,M1283=phu!$I$36,M1283=phu!$I$37),"Cam Lộc",""),IF(OR(M1283=phu!$I$38,M1283=phu!$I$39,M1283=phu!$I$40,M1283=phu!$I$41,M1283=phu!$I$42,M1283=phu!$I$43,M1283=phu!$I$44),"Cam Thuận",""),IF(OR(M1283=phu!$I$45,M1283=phu!$I$46,M1283=phu!$I$47,M1283=phu!$I$48,M1283=phu!$I$49,M1283=phu!$I$50,M1283=phu!$I$51,M1283=phu!$I$52,M1283=phu!$I$53),"Cam Linh",""),IF(OR(M1283=phu!$I$54,M1283=phu!$I$55,M1283=phu!$I$56,M1283=phu!$I$57,M1283=phu!$I$58,M1283=phu!$I$59,M1283=phu!$I$60,M1283=phu!$I$61,M1283=phu!$I$62),"Cam Lợi",""),IF(OR(M1283=phu!$I$63,M1283=phu!$I$64,M1283=phu!$I$65,M1283=phu!$I$66,M1283=phu!$I$67,M1283=phu!$I$68,M1283=phu!$I$69,M1283=phu!$I$70,M1283=phu!$I$71),"Ba Ngòi",""),IF(OR(M1283=phu!$I$72,M1283=phu!$I$73,M1283=phu!$I$74,M1283=phu!$I$75,M1283=phu!$I$76,M1283=phu!$I$77,M1283=phu!$I$78),"Cam Phước Đông",""),IF(OR(M1283=phu!$I$79,M1283=phu!$I$80,M1283=phu!$I$81,M1283=phu!$I$82,M1283=phu!$I$83,M1283=phu!$I$84),"Cam Thịnh Đông",""),IF(OR(M1283=phu!$I$85,M1283=phu!$I$86,M1283=phu!$I$87,M1283=phu!$I$88),"Cam Thịnh Tây",""),IF(OR(M1283=phu!$I$89,M1283=phu!$I$90),"Cam Lập",""),IF(OR(M1283=phu!$I$91,M1283=phu!$I$92,M1283=phu!$I$93),"Cam Bình",""),IF(OR(M1283=phu!$I$94,M1283=phu!$I$95,M1283=phu!$I$96,M1283=phu!$I$97,M1283=phu!$I$98,M1283=phu!$I$99,M1283=phu!$I$100),"Huyện khác",""),IF(OR(M1283=phu!$I$101,M1283=phu!$I$102),"Tỉnh khác",""))</f>
        <v/>
      </c>
      <c r="O1283" s="829" t="str">
        <f t="shared" si="114"/>
        <v/>
      </c>
      <c r="P1283" s="254"/>
      <c r="Q1283" s="254"/>
      <c r="R1283" s="254"/>
      <c r="S1283" s="254"/>
      <c r="T1283" s="254"/>
      <c r="U1283" s="254"/>
      <c r="V1283" s="254"/>
      <c r="W1283" s="254"/>
      <c r="Y1283" s="246" t="str">
        <f t="shared" si="115"/>
        <v/>
      </c>
      <c r="Z1283" s="247" t="str">
        <f t="shared" si="119"/>
        <v/>
      </c>
      <c r="AA1283" s="246" t="str">
        <f t="shared" si="116"/>
        <v/>
      </c>
    </row>
    <row r="1284" spans="1:27" x14ac:dyDescent="0.25">
      <c r="A1284" s="248" t="str">
        <f t="shared" si="117"/>
        <v/>
      </c>
      <c r="B1284" s="249" t="str">
        <f t="shared" si="118"/>
        <v/>
      </c>
      <c r="C1284" s="250"/>
      <c r="D1284" s="251"/>
      <c r="E1284" s="241"/>
      <c r="F1284" s="252"/>
      <c r="G1284" s="252"/>
      <c r="H1284" s="253"/>
      <c r="I1284" s="250"/>
      <c r="J1284" s="250"/>
      <c r="K1284" s="270"/>
      <c r="L1284" s="250"/>
      <c r="M1284" s="250"/>
      <c r="N1284" s="540" t="str">
        <f>CONCATENATE(IF(OR(M1284=phu!$I$1,M1284=phu!$I$2,M1284=phu!$I$3),"Cam Thành Nam",""),IF(OR(M1284=phu!$I$4,M1284=phu!$I$5,M1284=phu!$I$6,M1284=phu!$I$7,M1284=phu!$I$8,M1284=phu!$I$9,M1284=phu!$I$10,M1284=phu!$I$11,M1284=phu!$I$12,M1284=phu!$I$13,M1284=phu!$I$14),"Cam Nghĩa",""),IF(OR(M1284=phu!$I$15,M1284=phu!$I$16,M1284=phu!$I$17,M1284=phu!$I$18,M1284=phu!$I$19,M1284=phu!$I$20,M1284=phu!$I$21),"Cam Phúc Bắc",""),IF(OR(M1284=phu!$I$22,M1284=phu!$I$23,M1284=phu!$I$24,M1284=phu!$I$25),"Cam Phúc Nam",""),IF(OR(M1284=phu!$I$26,M1284=phu!$I$27,M1284=phu!$I$28,M1284=phu!$I$29,M1284=phu!$I$30,M1284=phu!$I$31),"Cam Phú",""),IF(OR(M1284=phu!$I$32,M1284=phu!$I$33,M1284=phu!$I$34,M1284=phu!$I$35,M1284=phu!$I$36,M1284=phu!$I$37),"Cam Lộc",""),IF(OR(M1284=phu!$I$38,M1284=phu!$I$39,M1284=phu!$I$40,M1284=phu!$I$41,M1284=phu!$I$42,M1284=phu!$I$43,M1284=phu!$I$44),"Cam Thuận",""),IF(OR(M1284=phu!$I$45,M1284=phu!$I$46,M1284=phu!$I$47,M1284=phu!$I$48,M1284=phu!$I$49,M1284=phu!$I$50,M1284=phu!$I$51,M1284=phu!$I$52,M1284=phu!$I$53),"Cam Linh",""),IF(OR(M1284=phu!$I$54,M1284=phu!$I$55,M1284=phu!$I$56,M1284=phu!$I$57,M1284=phu!$I$58,M1284=phu!$I$59,M1284=phu!$I$60,M1284=phu!$I$61,M1284=phu!$I$62),"Cam Lợi",""),IF(OR(M1284=phu!$I$63,M1284=phu!$I$64,M1284=phu!$I$65,M1284=phu!$I$66,M1284=phu!$I$67,M1284=phu!$I$68,M1284=phu!$I$69,M1284=phu!$I$70,M1284=phu!$I$71),"Ba Ngòi",""),IF(OR(M1284=phu!$I$72,M1284=phu!$I$73,M1284=phu!$I$74,M1284=phu!$I$75,M1284=phu!$I$76,M1284=phu!$I$77,M1284=phu!$I$78),"Cam Phước Đông",""),IF(OR(M1284=phu!$I$79,M1284=phu!$I$80,M1284=phu!$I$81,M1284=phu!$I$82,M1284=phu!$I$83,M1284=phu!$I$84),"Cam Thịnh Đông",""),IF(OR(M1284=phu!$I$85,M1284=phu!$I$86,M1284=phu!$I$87,M1284=phu!$I$88),"Cam Thịnh Tây",""),IF(OR(M1284=phu!$I$89,M1284=phu!$I$90),"Cam Lập",""),IF(OR(M1284=phu!$I$91,M1284=phu!$I$92,M1284=phu!$I$93),"Cam Bình",""),IF(OR(M1284=phu!$I$94,M1284=phu!$I$95,M1284=phu!$I$96,M1284=phu!$I$97,M1284=phu!$I$98,M1284=phu!$I$99,M1284=phu!$I$100),"Huyện khác",""),IF(OR(M1284=phu!$I$101,M1284=phu!$I$102),"Tỉnh khác",""))</f>
        <v/>
      </c>
      <c r="O1284" s="829" t="str">
        <f t="shared" si="114"/>
        <v/>
      </c>
      <c r="P1284" s="254"/>
      <c r="Q1284" s="254"/>
      <c r="R1284" s="254"/>
      <c r="S1284" s="254"/>
      <c r="T1284" s="254"/>
      <c r="U1284" s="254"/>
      <c r="V1284" s="254"/>
      <c r="W1284" s="254"/>
      <c r="Y1284" s="246" t="str">
        <f t="shared" si="115"/>
        <v/>
      </c>
      <c r="Z1284" s="247" t="str">
        <f t="shared" si="119"/>
        <v/>
      </c>
      <c r="AA1284" s="246" t="str">
        <f t="shared" si="116"/>
        <v/>
      </c>
    </row>
    <row r="1285" spans="1:27" x14ac:dyDescent="0.25">
      <c r="A1285" s="248" t="str">
        <f t="shared" si="117"/>
        <v/>
      </c>
      <c r="B1285" s="249" t="str">
        <f t="shared" si="118"/>
        <v/>
      </c>
      <c r="C1285" s="250"/>
      <c r="D1285" s="251"/>
      <c r="E1285" s="241"/>
      <c r="F1285" s="252"/>
      <c r="G1285" s="252"/>
      <c r="H1285" s="253"/>
      <c r="I1285" s="250"/>
      <c r="J1285" s="250"/>
      <c r="K1285" s="270"/>
      <c r="L1285" s="250"/>
      <c r="M1285" s="250"/>
      <c r="N1285" s="540" t="str">
        <f>CONCATENATE(IF(OR(M1285=phu!$I$1,M1285=phu!$I$2,M1285=phu!$I$3),"Cam Thành Nam",""),IF(OR(M1285=phu!$I$4,M1285=phu!$I$5,M1285=phu!$I$6,M1285=phu!$I$7,M1285=phu!$I$8,M1285=phu!$I$9,M1285=phu!$I$10,M1285=phu!$I$11,M1285=phu!$I$12,M1285=phu!$I$13,M1285=phu!$I$14),"Cam Nghĩa",""),IF(OR(M1285=phu!$I$15,M1285=phu!$I$16,M1285=phu!$I$17,M1285=phu!$I$18,M1285=phu!$I$19,M1285=phu!$I$20,M1285=phu!$I$21),"Cam Phúc Bắc",""),IF(OR(M1285=phu!$I$22,M1285=phu!$I$23,M1285=phu!$I$24,M1285=phu!$I$25),"Cam Phúc Nam",""),IF(OR(M1285=phu!$I$26,M1285=phu!$I$27,M1285=phu!$I$28,M1285=phu!$I$29,M1285=phu!$I$30,M1285=phu!$I$31),"Cam Phú",""),IF(OR(M1285=phu!$I$32,M1285=phu!$I$33,M1285=phu!$I$34,M1285=phu!$I$35,M1285=phu!$I$36,M1285=phu!$I$37),"Cam Lộc",""),IF(OR(M1285=phu!$I$38,M1285=phu!$I$39,M1285=phu!$I$40,M1285=phu!$I$41,M1285=phu!$I$42,M1285=phu!$I$43,M1285=phu!$I$44),"Cam Thuận",""),IF(OR(M1285=phu!$I$45,M1285=phu!$I$46,M1285=phu!$I$47,M1285=phu!$I$48,M1285=phu!$I$49,M1285=phu!$I$50,M1285=phu!$I$51,M1285=phu!$I$52,M1285=phu!$I$53),"Cam Linh",""),IF(OR(M1285=phu!$I$54,M1285=phu!$I$55,M1285=phu!$I$56,M1285=phu!$I$57,M1285=phu!$I$58,M1285=phu!$I$59,M1285=phu!$I$60,M1285=phu!$I$61,M1285=phu!$I$62),"Cam Lợi",""),IF(OR(M1285=phu!$I$63,M1285=phu!$I$64,M1285=phu!$I$65,M1285=phu!$I$66,M1285=phu!$I$67,M1285=phu!$I$68,M1285=phu!$I$69,M1285=phu!$I$70,M1285=phu!$I$71),"Ba Ngòi",""),IF(OR(M1285=phu!$I$72,M1285=phu!$I$73,M1285=phu!$I$74,M1285=phu!$I$75,M1285=phu!$I$76,M1285=phu!$I$77,M1285=phu!$I$78),"Cam Phước Đông",""),IF(OR(M1285=phu!$I$79,M1285=phu!$I$80,M1285=phu!$I$81,M1285=phu!$I$82,M1285=phu!$I$83,M1285=phu!$I$84),"Cam Thịnh Đông",""),IF(OR(M1285=phu!$I$85,M1285=phu!$I$86,M1285=phu!$I$87,M1285=phu!$I$88),"Cam Thịnh Tây",""),IF(OR(M1285=phu!$I$89,M1285=phu!$I$90),"Cam Lập",""),IF(OR(M1285=phu!$I$91,M1285=phu!$I$92,M1285=phu!$I$93),"Cam Bình",""),IF(OR(M1285=phu!$I$94,M1285=phu!$I$95,M1285=phu!$I$96,M1285=phu!$I$97,M1285=phu!$I$98,M1285=phu!$I$99,M1285=phu!$I$100),"Huyện khác",""),IF(OR(M1285=phu!$I$101,M1285=phu!$I$102),"Tỉnh khác",""))</f>
        <v/>
      </c>
      <c r="O1285" s="829" t="str">
        <f t="shared" si="114"/>
        <v/>
      </c>
      <c r="P1285" s="254"/>
      <c r="Q1285" s="254"/>
      <c r="R1285" s="254"/>
      <c r="S1285" s="254"/>
      <c r="T1285" s="254"/>
      <c r="U1285" s="254"/>
      <c r="V1285" s="254"/>
      <c r="W1285" s="254"/>
      <c r="Y1285" s="246" t="str">
        <f t="shared" si="115"/>
        <v/>
      </c>
      <c r="Z1285" s="247" t="str">
        <f t="shared" si="119"/>
        <v/>
      </c>
      <c r="AA1285" s="246" t="str">
        <f t="shared" si="116"/>
        <v/>
      </c>
    </row>
    <row r="1286" spans="1:27" x14ac:dyDescent="0.25">
      <c r="A1286" s="248" t="str">
        <f t="shared" si="117"/>
        <v/>
      </c>
      <c r="B1286" s="249" t="str">
        <f t="shared" si="118"/>
        <v/>
      </c>
      <c r="C1286" s="250"/>
      <c r="D1286" s="251"/>
      <c r="E1286" s="241"/>
      <c r="F1286" s="252"/>
      <c r="G1286" s="252"/>
      <c r="H1286" s="253"/>
      <c r="I1286" s="250"/>
      <c r="J1286" s="250"/>
      <c r="K1286" s="270"/>
      <c r="L1286" s="250"/>
      <c r="M1286" s="250"/>
      <c r="N1286" s="540" t="str">
        <f>CONCATENATE(IF(OR(M1286=phu!$I$1,M1286=phu!$I$2,M1286=phu!$I$3),"Cam Thành Nam",""),IF(OR(M1286=phu!$I$4,M1286=phu!$I$5,M1286=phu!$I$6,M1286=phu!$I$7,M1286=phu!$I$8,M1286=phu!$I$9,M1286=phu!$I$10,M1286=phu!$I$11,M1286=phu!$I$12,M1286=phu!$I$13,M1286=phu!$I$14),"Cam Nghĩa",""),IF(OR(M1286=phu!$I$15,M1286=phu!$I$16,M1286=phu!$I$17,M1286=phu!$I$18,M1286=phu!$I$19,M1286=phu!$I$20,M1286=phu!$I$21),"Cam Phúc Bắc",""),IF(OR(M1286=phu!$I$22,M1286=phu!$I$23,M1286=phu!$I$24,M1286=phu!$I$25),"Cam Phúc Nam",""),IF(OR(M1286=phu!$I$26,M1286=phu!$I$27,M1286=phu!$I$28,M1286=phu!$I$29,M1286=phu!$I$30,M1286=phu!$I$31),"Cam Phú",""),IF(OR(M1286=phu!$I$32,M1286=phu!$I$33,M1286=phu!$I$34,M1286=phu!$I$35,M1286=phu!$I$36,M1286=phu!$I$37),"Cam Lộc",""),IF(OR(M1286=phu!$I$38,M1286=phu!$I$39,M1286=phu!$I$40,M1286=phu!$I$41,M1286=phu!$I$42,M1286=phu!$I$43,M1286=phu!$I$44),"Cam Thuận",""),IF(OR(M1286=phu!$I$45,M1286=phu!$I$46,M1286=phu!$I$47,M1286=phu!$I$48,M1286=phu!$I$49,M1286=phu!$I$50,M1286=phu!$I$51,M1286=phu!$I$52,M1286=phu!$I$53),"Cam Linh",""),IF(OR(M1286=phu!$I$54,M1286=phu!$I$55,M1286=phu!$I$56,M1286=phu!$I$57,M1286=phu!$I$58,M1286=phu!$I$59,M1286=phu!$I$60,M1286=phu!$I$61,M1286=phu!$I$62),"Cam Lợi",""),IF(OR(M1286=phu!$I$63,M1286=phu!$I$64,M1286=phu!$I$65,M1286=phu!$I$66,M1286=phu!$I$67,M1286=phu!$I$68,M1286=phu!$I$69,M1286=phu!$I$70,M1286=phu!$I$71),"Ba Ngòi",""),IF(OR(M1286=phu!$I$72,M1286=phu!$I$73,M1286=phu!$I$74,M1286=phu!$I$75,M1286=phu!$I$76,M1286=phu!$I$77,M1286=phu!$I$78),"Cam Phước Đông",""),IF(OR(M1286=phu!$I$79,M1286=phu!$I$80,M1286=phu!$I$81,M1286=phu!$I$82,M1286=phu!$I$83,M1286=phu!$I$84),"Cam Thịnh Đông",""),IF(OR(M1286=phu!$I$85,M1286=phu!$I$86,M1286=phu!$I$87,M1286=phu!$I$88),"Cam Thịnh Tây",""),IF(OR(M1286=phu!$I$89,M1286=phu!$I$90),"Cam Lập",""),IF(OR(M1286=phu!$I$91,M1286=phu!$I$92,M1286=phu!$I$93),"Cam Bình",""),IF(OR(M1286=phu!$I$94,M1286=phu!$I$95,M1286=phu!$I$96,M1286=phu!$I$97,M1286=phu!$I$98,M1286=phu!$I$99,M1286=phu!$I$100),"Huyện khác",""),IF(OR(M1286=phu!$I$101,M1286=phu!$I$102),"Tỉnh khác",""))</f>
        <v/>
      </c>
      <c r="O1286" s="829" t="str">
        <f t="shared" si="114"/>
        <v/>
      </c>
      <c r="P1286" s="254"/>
      <c r="Q1286" s="254"/>
      <c r="R1286" s="254"/>
      <c r="S1286" s="254"/>
      <c r="T1286" s="254"/>
      <c r="U1286" s="254"/>
      <c r="V1286" s="254"/>
      <c r="W1286" s="254"/>
      <c r="Y1286" s="246" t="str">
        <f t="shared" si="115"/>
        <v/>
      </c>
      <c r="Z1286" s="247" t="str">
        <f t="shared" si="119"/>
        <v/>
      </c>
      <c r="AA1286" s="246" t="str">
        <f t="shared" si="116"/>
        <v/>
      </c>
    </row>
    <row r="1287" spans="1:27" x14ac:dyDescent="0.25">
      <c r="A1287" s="248" t="str">
        <f t="shared" si="117"/>
        <v/>
      </c>
      <c r="B1287" s="249" t="str">
        <f t="shared" si="118"/>
        <v/>
      </c>
      <c r="C1287" s="250"/>
      <c r="D1287" s="251"/>
      <c r="E1287" s="241"/>
      <c r="F1287" s="252"/>
      <c r="G1287" s="252"/>
      <c r="H1287" s="253"/>
      <c r="I1287" s="250"/>
      <c r="J1287" s="250"/>
      <c r="K1287" s="270"/>
      <c r="L1287" s="250"/>
      <c r="M1287" s="250"/>
      <c r="N1287" s="540" t="str">
        <f>CONCATENATE(IF(OR(M1287=phu!$I$1,M1287=phu!$I$2,M1287=phu!$I$3),"Cam Thành Nam",""),IF(OR(M1287=phu!$I$4,M1287=phu!$I$5,M1287=phu!$I$6,M1287=phu!$I$7,M1287=phu!$I$8,M1287=phu!$I$9,M1287=phu!$I$10,M1287=phu!$I$11,M1287=phu!$I$12,M1287=phu!$I$13,M1287=phu!$I$14),"Cam Nghĩa",""),IF(OR(M1287=phu!$I$15,M1287=phu!$I$16,M1287=phu!$I$17,M1287=phu!$I$18,M1287=phu!$I$19,M1287=phu!$I$20,M1287=phu!$I$21),"Cam Phúc Bắc",""),IF(OR(M1287=phu!$I$22,M1287=phu!$I$23,M1287=phu!$I$24,M1287=phu!$I$25),"Cam Phúc Nam",""),IF(OR(M1287=phu!$I$26,M1287=phu!$I$27,M1287=phu!$I$28,M1287=phu!$I$29,M1287=phu!$I$30,M1287=phu!$I$31),"Cam Phú",""),IF(OR(M1287=phu!$I$32,M1287=phu!$I$33,M1287=phu!$I$34,M1287=phu!$I$35,M1287=phu!$I$36,M1287=phu!$I$37),"Cam Lộc",""),IF(OR(M1287=phu!$I$38,M1287=phu!$I$39,M1287=phu!$I$40,M1287=phu!$I$41,M1287=phu!$I$42,M1287=phu!$I$43,M1287=phu!$I$44),"Cam Thuận",""),IF(OR(M1287=phu!$I$45,M1287=phu!$I$46,M1287=phu!$I$47,M1287=phu!$I$48,M1287=phu!$I$49,M1287=phu!$I$50,M1287=phu!$I$51,M1287=phu!$I$52,M1287=phu!$I$53),"Cam Linh",""),IF(OR(M1287=phu!$I$54,M1287=phu!$I$55,M1287=phu!$I$56,M1287=phu!$I$57,M1287=phu!$I$58,M1287=phu!$I$59,M1287=phu!$I$60,M1287=phu!$I$61,M1287=phu!$I$62),"Cam Lợi",""),IF(OR(M1287=phu!$I$63,M1287=phu!$I$64,M1287=phu!$I$65,M1287=phu!$I$66,M1287=phu!$I$67,M1287=phu!$I$68,M1287=phu!$I$69,M1287=phu!$I$70,M1287=phu!$I$71),"Ba Ngòi",""),IF(OR(M1287=phu!$I$72,M1287=phu!$I$73,M1287=phu!$I$74,M1287=phu!$I$75,M1287=phu!$I$76,M1287=phu!$I$77,M1287=phu!$I$78),"Cam Phước Đông",""),IF(OR(M1287=phu!$I$79,M1287=phu!$I$80,M1287=phu!$I$81,M1287=phu!$I$82,M1287=phu!$I$83,M1287=phu!$I$84),"Cam Thịnh Đông",""),IF(OR(M1287=phu!$I$85,M1287=phu!$I$86,M1287=phu!$I$87,M1287=phu!$I$88),"Cam Thịnh Tây",""),IF(OR(M1287=phu!$I$89,M1287=phu!$I$90),"Cam Lập",""),IF(OR(M1287=phu!$I$91,M1287=phu!$I$92,M1287=phu!$I$93),"Cam Bình",""),IF(OR(M1287=phu!$I$94,M1287=phu!$I$95,M1287=phu!$I$96,M1287=phu!$I$97,M1287=phu!$I$98,M1287=phu!$I$99,M1287=phu!$I$100),"Huyện khác",""),IF(OR(M1287=phu!$I$101,M1287=phu!$I$102),"Tỉnh khác",""))</f>
        <v/>
      </c>
      <c r="O1287" s="829" t="str">
        <f t="shared" ref="O1287:O1350" si="120">CONCATENATE(IF(OR(N1287="Cam Thành Nam",N1287="Cam Nghĩa",N1287="Cam Phúc Bắc"),"Bắc Cam Ranh",""),IF(OR(N1287="Cam Phúc Nam",N1287="Cam Phú",N1287="Cam Lộc"),"Cam Ranh",""),IF(OR(N1287="Cam Thuận",N1287="Cam Linh",N1287="Cam Lợi"),"Cam Linh",""),IF(OR(N1287="Ba Ngòi",N1287="Cam Phước Đông"),"Ba Ngòi",""),IF(OR(N1287="Cam Thịnh Đông",N1287="Cam Thịnh Tây",N1287="Cam Lập",N1287="Cam Bình"),"Nam Cam Ranh",""),IF(N1287="Huyện khác","Huyện khác",""),IF(N1287="Tỉnh khác","Tỉnh khác",""))</f>
        <v/>
      </c>
      <c r="P1287" s="254"/>
      <c r="Q1287" s="254"/>
      <c r="R1287" s="254"/>
      <c r="S1287" s="254"/>
      <c r="T1287" s="254"/>
      <c r="U1287" s="254"/>
      <c r="V1287" s="254"/>
      <c r="W1287" s="254"/>
      <c r="Y1287" s="246" t="str">
        <f t="shared" ref="Y1287:Y1350" si="121">IF(OR(AND(B1287="",C1287="",D1287="",E1287="",F1287="",G1287="",H1287="",I1287="",J1287="",L1287="",M1287="",N1287="",P1287="",Q1287="",R1287="",S1287=""),AND(B1287&lt;&gt;"",C1287&lt;&gt;"",D1287&lt;&gt;"",E1287&lt;&gt;"",F1287&lt;&gt;"",G1287&lt;&gt;"",H1287&lt;&gt;"",J1287&lt;&gt;"",M1287&lt;&gt;"",N1287&lt;&gt;"",P1287&lt;&gt;"",OR(AND(Q1287&lt;&gt;"",R1287=""),AND(Q1287="",R1287&lt;&gt;""),AND(Q1287&lt;&gt;"",R1287&lt;&gt;"")),OR(AND(K1287="X",T1287&lt;&gt;""),AND(K1287="",T1287="")))),"","er")</f>
        <v/>
      </c>
      <c r="Z1287" s="247" t="str">
        <f t="shared" si="119"/>
        <v/>
      </c>
      <c r="AA1287" s="246" t="str">
        <f t="shared" ref="AA1287:AA1350" si="122">IF(OR(AND(Z1287&lt;=10,B1287&gt;5),AND(Z1287&lt;=11,B1287&gt;6),AND(Z1287&lt;=12,B1287&gt;7),AND(Z1287&lt;=13,B1287&gt;8),AND(Z1287&lt;=14,B1287&gt;9),AND(Z1287=11,B1287=6,L1287="X"),AND(Z1287=12,B1287=7,L1287="X"),AND(Z1287=13,B1287=8,L1287="X"),AND(Z1287=14,B1287=9,L1287="X")),"er","")</f>
        <v/>
      </c>
    </row>
    <row r="1288" spans="1:27" x14ac:dyDescent="0.25">
      <c r="A1288" s="248" t="str">
        <f t="shared" ref="A1288:A1351" si="123">IF(OR(A1287="",B1288="",C1288="",D1288="",E1288=""),"",A1287+1)</f>
        <v/>
      </c>
      <c r="B1288" s="249" t="str">
        <f t="shared" ref="B1288:B1351" si="124">IF(C1288="","",VALUE(LEFT(C1288,1)))</f>
        <v/>
      </c>
      <c r="C1288" s="250"/>
      <c r="D1288" s="251"/>
      <c r="E1288" s="241"/>
      <c r="F1288" s="252"/>
      <c r="G1288" s="252"/>
      <c r="H1288" s="253"/>
      <c r="I1288" s="250"/>
      <c r="J1288" s="250"/>
      <c r="K1288" s="270"/>
      <c r="L1288" s="250"/>
      <c r="M1288" s="250"/>
      <c r="N1288" s="540" t="str">
        <f>CONCATENATE(IF(OR(M1288=phu!$I$1,M1288=phu!$I$2,M1288=phu!$I$3),"Cam Thành Nam",""),IF(OR(M1288=phu!$I$4,M1288=phu!$I$5,M1288=phu!$I$6,M1288=phu!$I$7,M1288=phu!$I$8,M1288=phu!$I$9,M1288=phu!$I$10,M1288=phu!$I$11,M1288=phu!$I$12,M1288=phu!$I$13,M1288=phu!$I$14),"Cam Nghĩa",""),IF(OR(M1288=phu!$I$15,M1288=phu!$I$16,M1288=phu!$I$17,M1288=phu!$I$18,M1288=phu!$I$19,M1288=phu!$I$20,M1288=phu!$I$21),"Cam Phúc Bắc",""),IF(OR(M1288=phu!$I$22,M1288=phu!$I$23,M1288=phu!$I$24,M1288=phu!$I$25),"Cam Phúc Nam",""),IF(OR(M1288=phu!$I$26,M1288=phu!$I$27,M1288=phu!$I$28,M1288=phu!$I$29,M1288=phu!$I$30,M1288=phu!$I$31),"Cam Phú",""),IF(OR(M1288=phu!$I$32,M1288=phu!$I$33,M1288=phu!$I$34,M1288=phu!$I$35,M1288=phu!$I$36,M1288=phu!$I$37),"Cam Lộc",""),IF(OR(M1288=phu!$I$38,M1288=phu!$I$39,M1288=phu!$I$40,M1288=phu!$I$41,M1288=phu!$I$42,M1288=phu!$I$43,M1288=phu!$I$44),"Cam Thuận",""),IF(OR(M1288=phu!$I$45,M1288=phu!$I$46,M1288=phu!$I$47,M1288=phu!$I$48,M1288=phu!$I$49,M1288=phu!$I$50,M1288=phu!$I$51,M1288=phu!$I$52,M1288=phu!$I$53),"Cam Linh",""),IF(OR(M1288=phu!$I$54,M1288=phu!$I$55,M1288=phu!$I$56,M1288=phu!$I$57,M1288=phu!$I$58,M1288=phu!$I$59,M1288=phu!$I$60,M1288=phu!$I$61,M1288=phu!$I$62),"Cam Lợi",""),IF(OR(M1288=phu!$I$63,M1288=phu!$I$64,M1288=phu!$I$65,M1288=phu!$I$66,M1288=phu!$I$67,M1288=phu!$I$68,M1288=phu!$I$69,M1288=phu!$I$70,M1288=phu!$I$71),"Ba Ngòi",""),IF(OR(M1288=phu!$I$72,M1288=phu!$I$73,M1288=phu!$I$74,M1288=phu!$I$75,M1288=phu!$I$76,M1288=phu!$I$77,M1288=phu!$I$78),"Cam Phước Đông",""),IF(OR(M1288=phu!$I$79,M1288=phu!$I$80,M1288=phu!$I$81,M1288=phu!$I$82,M1288=phu!$I$83,M1288=phu!$I$84),"Cam Thịnh Đông",""),IF(OR(M1288=phu!$I$85,M1288=phu!$I$86,M1288=phu!$I$87,M1288=phu!$I$88),"Cam Thịnh Tây",""),IF(OR(M1288=phu!$I$89,M1288=phu!$I$90),"Cam Lập",""),IF(OR(M1288=phu!$I$91,M1288=phu!$I$92,M1288=phu!$I$93),"Cam Bình",""),IF(OR(M1288=phu!$I$94,M1288=phu!$I$95,M1288=phu!$I$96,M1288=phu!$I$97,M1288=phu!$I$98,M1288=phu!$I$99,M1288=phu!$I$100),"Huyện khác",""),IF(OR(M1288=phu!$I$101,M1288=phu!$I$102),"Tỉnh khác",""))</f>
        <v/>
      </c>
      <c r="O1288" s="829" t="str">
        <f t="shared" si="120"/>
        <v/>
      </c>
      <c r="P1288" s="254"/>
      <c r="Q1288" s="254"/>
      <c r="R1288" s="254"/>
      <c r="S1288" s="254"/>
      <c r="T1288" s="254"/>
      <c r="U1288" s="254"/>
      <c r="V1288" s="254"/>
      <c r="W1288" s="254"/>
      <c r="Y1288" s="246" t="str">
        <f t="shared" si="121"/>
        <v/>
      </c>
      <c r="Z1288" s="247" t="str">
        <f t="shared" ref="Z1288:Z1351" si="125">IF(H1288="","",$Z$1-H1288)</f>
        <v/>
      </c>
      <c r="AA1288" s="246" t="str">
        <f t="shared" si="122"/>
        <v/>
      </c>
    </row>
    <row r="1289" spans="1:27" x14ac:dyDescent="0.25">
      <c r="A1289" s="248" t="str">
        <f t="shared" si="123"/>
        <v/>
      </c>
      <c r="B1289" s="249" t="str">
        <f t="shared" si="124"/>
        <v/>
      </c>
      <c r="C1289" s="250"/>
      <c r="D1289" s="251"/>
      <c r="E1289" s="241"/>
      <c r="F1289" s="252"/>
      <c r="G1289" s="252"/>
      <c r="H1289" s="253"/>
      <c r="I1289" s="250"/>
      <c r="J1289" s="250"/>
      <c r="K1289" s="270"/>
      <c r="L1289" s="250"/>
      <c r="M1289" s="250"/>
      <c r="N1289" s="540" t="str">
        <f>CONCATENATE(IF(OR(M1289=phu!$I$1,M1289=phu!$I$2,M1289=phu!$I$3),"Cam Thành Nam",""),IF(OR(M1289=phu!$I$4,M1289=phu!$I$5,M1289=phu!$I$6,M1289=phu!$I$7,M1289=phu!$I$8,M1289=phu!$I$9,M1289=phu!$I$10,M1289=phu!$I$11,M1289=phu!$I$12,M1289=phu!$I$13,M1289=phu!$I$14),"Cam Nghĩa",""),IF(OR(M1289=phu!$I$15,M1289=phu!$I$16,M1289=phu!$I$17,M1289=phu!$I$18,M1289=phu!$I$19,M1289=phu!$I$20,M1289=phu!$I$21),"Cam Phúc Bắc",""),IF(OR(M1289=phu!$I$22,M1289=phu!$I$23,M1289=phu!$I$24,M1289=phu!$I$25),"Cam Phúc Nam",""),IF(OR(M1289=phu!$I$26,M1289=phu!$I$27,M1289=phu!$I$28,M1289=phu!$I$29,M1289=phu!$I$30,M1289=phu!$I$31),"Cam Phú",""),IF(OR(M1289=phu!$I$32,M1289=phu!$I$33,M1289=phu!$I$34,M1289=phu!$I$35,M1289=phu!$I$36,M1289=phu!$I$37),"Cam Lộc",""),IF(OR(M1289=phu!$I$38,M1289=phu!$I$39,M1289=phu!$I$40,M1289=phu!$I$41,M1289=phu!$I$42,M1289=phu!$I$43,M1289=phu!$I$44),"Cam Thuận",""),IF(OR(M1289=phu!$I$45,M1289=phu!$I$46,M1289=phu!$I$47,M1289=phu!$I$48,M1289=phu!$I$49,M1289=phu!$I$50,M1289=phu!$I$51,M1289=phu!$I$52,M1289=phu!$I$53),"Cam Linh",""),IF(OR(M1289=phu!$I$54,M1289=phu!$I$55,M1289=phu!$I$56,M1289=phu!$I$57,M1289=phu!$I$58,M1289=phu!$I$59,M1289=phu!$I$60,M1289=phu!$I$61,M1289=phu!$I$62),"Cam Lợi",""),IF(OR(M1289=phu!$I$63,M1289=phu!$I$64,M1289=phu!$I$65,M1289=phu!$I$66,M1289=phu!$I$67,M1289=phu!$I$68,M1289=phu!$I$69,M1289=phu!$I$70,M1289=phu!$I$71),"Ba Ngòi",""),IF(OR(M1289=phu!$I$72,M1289=phu!$I$73,M1289=phu!$I$74,M1289=phu!$I$75,M1289=phu!$I$76,M1289=phu!$I$77,M1289=phu!$I$78),"Cam Phước Đông",""),IF(OR(M1289=phu!$I$79,M1289=phu!$I$80,M1289=phu!$I$81,M1289=phu!$I$82,M1289=phu!$I$83,M1289=phu!$I$84),"Cam Thịnh Đông",""),IF(OR(M1289=phu!$I$85,M1289=phu!$I$86,M1289=phu!$I$87,M1289=phu!$I$88),"Cam Thịnh Tây",""),IF(OR(M1289=phu!$I$89,M1289=phu!$I$90),"Cam Lập",""),IF(OR(M1289=phu!$I$91,M1289=phu!$I$92,M1289=phu!$I$93),"Cam Bình",""),IF(OR(M1289=phu!$I$94,M1289=phu!$I$95,M1289=phu!$I$96,M1289=phu!$I$97,M1289=phu!$I$98,M1289=phu!$I$99,M1289=phu!$I$100),"Huyện khác",""),IF(OR(M1289=phu!$I$101,M1289=phu!$I$102),"Tỉnh khác",""))</f>
        <v/>
      </c>
      <c r="O1289" s="829" t="str">
        <f t="shared" si="120"/>
        <v/>
      </c>
      <c r="P1289" s="254"/>
      <c r="Q1289" s="254"/>
      <c r="R1289" s="254"/>
      <c r="S1289" s="254"/>
      <c r="T1289" s="254"/>
      <c r="U1289" s="254"/>
      <c r="V1289" s="254"/>
      <c r="W1289" s="254"/>
      <c r="Y1289" s="246" t="str">
        <f t="shared" si="121"/>
        <v/>
      </c>
      <c r="Z1289" s="247" t="str">
        <f t="shared" si="125"/>
        <v/>
      </c>
      <c r="AA1289" s="246" t="str">
        <f t="shared" si="122"/>
        <v/>
      </c>
    </row>
    <row r="1290" spans="1:27" x14ac:dyDescent="0.25">
      <c r="A1290" s="248" t="str">
        <f t="shared" si="123"/>
        <v/>
      </c>
      <c r="B1290" s="249" t="str">
        <f t="shared" si="124"/>
        <v/>
      </c>
      <c r="C1290" s="250"/>
      <c r="D1290" s="251"/>
      <c r="E1290" s="241"/>
      <c r="F1290" s="252"/>
      <c r="G1290" s="252"/>
      <c r="H1290" s="253"/>
      <c r="I1290" s="250"/>
      <c r="J1290" s="250"/>
      <c r="K1290" s="270"/>
      <c r="L1290" s="250"/>
      <c r="M1290" s="250"/>
      <c r="N1290" s="540" t="str">
        <f>CONCATENATE(IF(OR(M1290=phu!$I$1,M1290=phu!$I$2,M1290=phu!$I$3),"Cam Thành Nam",""),IF(OR(M1290=phu!$I$4,M1290=phu!$I$5,M1290=phu!$I$6,M1290=phu!$I$7,M1290=phu!$I$8,M1290=phu!$I$9,M1290=phu!$I$10,M1290=phu!$I$11,M1290=phu!$I$12,M1290=phu!$I$13,M1290=phu!$I$14),"Cam Nghĩa",""),IF(OR(M1290=phu!$I$15,M1290=phu!$I$16,M1290=phu!$I$17,M1290=phu!$I$18,M1290=phu!$I$19,M1290=phu!$I$20,M1290=phu!$I$21),"Cam Phúc Bắc",""),IF(OR(M1290=phu!$I$22,M1290=phu!$I$23,M1290=phu!$I$24,M1290=phu!$I$25),"Cam Phúc Nam",""),IF(OR(M1290=phu!$I$26,M1290=phu!$I$27,M1290=phu!$I$28,M1290=phu!$I$29,M1290=phu!$I$30,M1290=phu!$I$31),"Cam Phú",""),IF(OR(M1290=phu!$I$32,M1290=phu!$I$33,M1290=phu!$I$34,M1290=phu!$I$35,M1290=phu!$I$36,M1290=phu!$I$37),"Cam Lộc",""),IF(OR(M1290=phu!$I$38,M1290=phu!$I$39,M1290=phu!$I$40,M1290=phu!$I$41,M1290=phu!$I$42,M1290=phu!$I$43,M1290=phu!$I$44),"Cam Thuận",""),IF(OR(M1290=phu!$I$45,M1290=phu!$I$46,M1290=phu!$I$47,M1290=phu!$I$48,M1290=phu!$I$49,M1290=phu!$I$50,M1290=phu!$I$51,M1290=phu!$I$52,M1290=phu!$I$53),"Cam Linh",""),IF(OR(M1290=phu!$I$54,M1290=phu!$I$55,M1290=phu!$I$56,M1290=phu!$I$57,M1290=phu!$I$58,M1290=phu!$I$59,M1290=phu!$I$60,M1290=phu!$I$61,M1290=phu!$I$62),"Cam Lợi",""),IF(OR(M1290=phu!$I$63,M1290=phu!$I$64,M1290=phu!$I$65,M1290=phu!$I$66,M1290=phu!$I$67,M1290=phu!$I$68,M1290=phu!$I$69,M1290=phu!$I$70,M1290=phu!$I$71),"Ba Ngòi",""),IF(OR(M1290=phu!$I$72,M1290=phu!$I$73,M1290=phu!$I$74,M1290=phu!$I$75,M1290=phu!$I$76,M1290=phu!$I$77,M1290=phu!$I$78),"Cam Phước Đông",""),IF(OR(M1290=phu!$I$79,M1290=phu!$I$80,M1290=phu!$I$81,M1290=phu!$I$82,M1290=phu!$I$83,M1290=phu!$I$84),"Cam Thịnh Đông",""),IF(OR(M1290=phu!$I$85,M1290=phu!$I$86,M1290=phu!$I$87,M1290=phu!$I$88),"Cam Thịnh Tây",""),IF(OR(M1290=phu!$I$89,M1290=phu!$I$90),"Cam Lập",""),IF(OR(M1290=phu!$I$91,M1290=phu!$I$92,M1290=phu!$I$93),"Cam Bình",""),IF(OR(M1290=phu!$I$94,M1290=phu!$I$95,M1290=phu!$I$96,M1290=phu!$I$97,M1290=phu!$I$98,M1290=phu!$I$99,M1290=phu!$I$100),"Huyện khác",""),IF(OR(M1290=phu!$I$101,M1290=phu!$I$102),"Tỉnh khác",""))</f>
        <v/>
      </c>
      <c r="O1290" s="829" t="str">
        <f t="shared" si="120"/>
        <v/>
      </c>
      <c r="P1290" s="254"/>
      <c r="Q1290" s="254"/>
      <c r="R1290" s="254"/>
      <c r="S1290" s="254"/>
      <c r="T1290" s="254"/>
      <c r="U1290" s="254"/>
      <c r="V1290" s="254"/>
      <c r="W1290" s="254"/>
      <c r="Y1290" s="246" t="str">
        <f t="shared" si="121"/>
        <v/>
      </c>
      <c r="Z1290" s="247" t="str">
        <f t="shared" si="125"/>
        <v/>
      </c>
      <c r="AA1290" s="246" t="str">
        <f t="shared" si="122"/>
        <v/>
      </c>
    </row>
    <row r="1291" spans="1:27" x14ac:dyDescent="0.25">
      <c r="A1291" s="248" t="str">
        <f t="shared" si="123"/>
        <v/>
      </c>
      <c r="B1291" s="249" t="str">
        <f t="shared" si="124"/>
        <v/>
      </c>
      <c r="C1291" s="250"/>
      <c r="D1291" s="251"/>
      <c r="E1291" s="241"/>
      <c r="F1291" s="252"/>
      <c r="G1291" s="252"/>
      <c r="H1291" s="253"/>
      <c r="I1291" s="250"/>
      <c r="J1291" s="250"/>
      <c r="K1291" s="270"/>
      <c r="L1291" s="250"/>
      <c r="M1291" s="250"/>
      <c r="N1291" s="540" t="str">
        <f>CONCATENATE(IF(OR(M1291=phu!$I$1,M1291=phu!$I$2,M1291=phu!$I$3),"Cam Thành Nam",""),IF(OR(M1291=phu!$I$4,M1291=phu!$I$5,M1291=phu!$I$6,M1291=phu!$I$7,M1291=phu!$I$8,M1291=phu!$I$9,M1291=phu!$I$10,M1291=phu!$I$11,M1291=phu!$I$12,M1291=phu!$I$13,M1291=phu!$I$14),"Cam Nghĩa",""),IF(OR(M1291=phu!$I$15,M1291=phu!$I$16,M1291=phu!$I$17,M1291=phu!$I$18,M1291=phu!$I$19,M1291=phu!$I$20,M1291=phu!$I$21),"Cam Phúc Bắc",""),IF(OR(M1291=phu!$I$22,M1291=phu!$I$23,M1291=phu!$I$24,M1291=phu!$I$25),"Cam Phúc Nam",""),IF(OR(M1291=phu!$I$26,M1291=phu!$I$27,M1291=phu!$I$28,M1291=phu!$I$29,M1291=phu!$I$30,M1291=phu!$I$31),"Cam Phú",""),IF(OR(M1291=phu!$I$32,M1291=phu!$I$33,M1291=phu!$I$34,M1291=phu!$I$35,M1291=phu!$I$36,M1291=phu!$I$37),"Cam Lộc",""),IF(OR(M1291=phu!$I$38,M1291=phu!$I$39,M1291=phu!$I$40,M1291=phu!$I$41,M1291=phu!$I$42,M1291=phu!$I$43,M1291=phu!$I$44),"Cam Thuận",""),IF(OR(M1291=phu!$I$45,M1291=phu!$I$46,M1291=phu!$I$47,M1291=phu!$I$48,M1291=phu!$I$49,M1291=phu!$I$50,M1291=phu!$I$51,M1291=phu!$I$52,M1291=phu!$I$53),"Cam Linh",""),IF(OR(M1291=phu!$I$54,M1291=phu!$I$55,M1291=phu!$I$56,M1291=phu!$I$57,M1291=phu!$I$58,M1291=phu!$I$59,M1291=phu!$I$60,M1291=phu!$I$61,M1291=phu!$I$62),"Cam Lợi",""),IF(OR(M1291=phu!$I$63,M1291=phu!$I$64,M1291=phu!$I$65,M1291=phu!$I$66,M1291=phu!$I$67,M1291=phu!$I$68,M1291=phu!$I$69,M1291=phu!$I$70,M1291=phu!$I$71),"Ba Ngòi",""),IF(OR(M1291=phu!$I$72,M1291=phu!$I$73,M1291=phu!$I$74,M1291=phu!$I$75,M1291=phu!$I$76,M1291=phu!$I$77,M1291=phu!$I$78),"Cam Phước Đông",""),IF(OR(M1291=phu!$I$79,M1291=phu!$I$80,M1291=phu!$I$81,M1291=phu!$I$82,M1291=phu!$I$83,M1291=phu!$I$84),"Cam Thịnh Đông",""),IF(OR(M1291=phu!$I$85,M1291=phu!$I$86,M1291=phu!$I$87,M1291=phu!$I$88),"Cam Thịnh Tây",""),IF(OR(M1291=phu!$I$89,M1291=phu!$I$90),"Cam Lập",""),IF(OR(M1291=phu!$I$91,M1291=phu!$I$92,M1291=phu!$I$93),"Cam Bình",""),IF(OR(M1291=phu!$I$94,M1291=phu!$I$95,M1291=phu!$I$96,M1291=phu!$I$97,M1291=phu!$I$98,M1291=phu!$I$99,M1291=phu!$I$100),"Huyện khác",""),IF(OR(M1291=phu!$I$101,M1291=phu!$I$102),"Tỉnh khác",""))</f>
        <v/>
      </c>
      <c r="O1291" s="829" t="str">
        <f t="shared" si="120"/>
        <v/>
      </c>
      <c r="P1291" s="254"/>
      <c r="Q1291" s="254"/>
      <c r="R1291" s="254"/>
      <c r="S1291" s="254"/>
      <c r="T1291" s="254"/>
      <c r="U1291" s="254"/>
      <c r="V1291" s="254"/>
      <c r="W1291" s="254"/>
      <c r="Y1291" s="246" t="str">
        <f t="shared" si="121"/>
        <v/>
      </c>
      <c r="Z1291" s="247" t="str">
        <f t="shared" si="125"/>
        <v/>
      </c>
      <c r="AA1291" s="246" t="str">
        <f t="shared" si="122"/>
        <v/>
      </c>
    </row>
    <row r="1292" spans="1:27" x14ac:dyDescent="0.25">
      <c r="A1292" s="248" t="str">
        <f t="shared" si="123"/>
        <v/>
      </c>
      <c r="B1292" s="249" t="str">
        <f t="shared" si="124"/>
        <v/>
      </c>
      <c r="C1292" s="250"/>
      <c r="D1292" s="251"/>
      <c r="E1292" s="241"/>
      <c r="F1292" s="252"/>
      <c r="G1292" s="252"/>
      <c r="H1292" s="253"/>
      <c r="I1292" s="250"/>
      <c r="J1292" s="250"/>
      <c r="K1292" s="270"/>
      <c r="L1292" s="250"/>
      <c r="M1292" s="250"/>
      <c r="N1292" s="540" t="str">
        <f>CONCATENATE(IF(OR(M1292=phu!$I$1,M1292=phu!$I$2,M1292=phu!$I$3),"Cam Thành Nam",""),IF(OR(M1292=phu!$I$4,M1292=phu!$I$5,M1292=phu!$I$6,M1292=phu!$I$7,M1292=phu!$I$8,M1292=phu!$I$9,M1292=phu!$I$10,M1292=phu!$I$11,M1292=phu!$I$12,M1292=phu!$I$13,M1292=phu!$I$14),"Cam Nghĩa",""),IF(OR(M1292=phu!$I$15,M1292=phu!$I$16,M1292=phu!$I$17,M1292=phu!$I$18,M1292=phu!$I$19,M1292=phu!$I$20,M1292=phu!$I$21),"Cam Phúc Bắc",""),IF(OR(M1292=phu!$I$22,M1292=phu!$I$23,M1292=phu!$I$24,M1292=phu!$I$25),"Cam Phúc Nam",""),IF(OR(M1292=phu!$I$26,M1292=phu!$I$27,M1292=phu!$I$28,M1292=phu!$I$29,M1292=phu!$I$30,M1292=phu!$I$31),"Cam Phú",""),IF(OR(M1292=phu!$I$32,M1292=phu!$I$33,M1292=phu!$I$34,M1292=phu!$I$35,M1292=phu!$I$36,M1292=phu!$I$37),"Cam Lộc",""),IF(OR(M1292=phu!$I$38,M1292=phu!$I$39,M1292=phu!$I$40,M1292=phu!$I$41,M1292=phu!$I$42,M1292=phu!$I$43,M1292=phu!$I$44),"Cam Thuận",""),IF(OR(M1292=phu!$I$45,M1292=phu!$I$46,M1292=phu!$I$47,M1292=phu!$I$48,M1292=phu!$I$49,M1292=phu!$I$50,M1292=phu!$I$51,M1292=phu!$I$52,M1292=phu!$I$53),"Cam Linh",""),IF(OR(M1292=phu!$I$54,M1292=phu!$I$55,M1292=phu!$I$56,M1292=phu!$I$57,M1292=phu!$I$58,M1292=phu!$I$59,M1292=phu!$I$60,M1292=phu!$I$61,M1292=phu!$I$62),"Cam Lợi",""),IF(OR(M1292=phu!$I$63,M1292=phu!$I$64,M1292=phu!$I$65,M1292=phu!$I$66,M1292=phu!$I$67,M1292=phu!$I$68,M1292=phu!$I$69,M1292=phu!$I$70,M1292=phu!$I$71),"Ba Ngòi",""),IF(OR(M1292=phu!$I$72,M1292=phu!$I$73,M1292=phu!$I$74,M1292=phu!$I$75,M1292=phu!$I$76,M1292=phu!$I$77,M1292=phu!$I$78),"Cam Phước Đông",""),IF(OR(M1292=phu!$I$79,M1292=phu!$I$80,M1292=phu!$I$81,M1292=phu!$I$82,M1292=phu!$I$83,M1292=phu!$I$84),"Cam Thịnh Đông",""),IF(OR(M1292=phu!$I$85,M1292=phu!$I$86,M1292=phu!$I$87,M1292=phu!$I$88),"Cam Thịnh Tây",""),IF(OR(M1292=phu!$I$89,M1292=phu!$I$90),"Cam Lập",""),IF(OR(M1292=phu!$I$91,M1292=phu!$I$92,M1292=phu!$I$93),"Cam Bình",""),IF(OR(M1292=phu!$I$94,M1292=phu!$I$95,M1292=phu!$I$96,M1292=phu!$I$97,M1292=phu!$I$98,M1292=phu!$I$99,M1292=phu!$I$100),"Huyện khác",""),IF(OR(M1292=phu!$I$101,M1292=phu!$I$102),"Tỉnh khác",""))</f>
        <v/>
      </c>
      <c r="O1292" s="829" t="str">
        <f t="shared" si="120"/>
        <v/>
      </c>
      <c r="P1292" s="254"/>
      <c r="Q1292" s="254"/>
      <c r="R1292" s="254"/>
      <c r="S1292" s="254"/>
      <c r="T1292" s="254"/>
      <c r="U1292" s="254"/>
      <c r="V1292" s="254"/>
      <c r="W1292" s="254"/>
      <c r="Y1292" s="246" t="str">
        <f t="shared" si="121"/>
        <v/>
      </c>
      <c r="Z1292" s="247" t="str">
        <f t="shared" si="125"/>
        <v/>
      </c>
      <c r="AA1292" s="246" t="str">
        <f t="shared" si="122"/>
        <v/>
      </c>
    </row>
    <row r="1293" spans="1:27" x14ac:dyDescent="0.25">
      <c r="A1293" s="248" t="str">
        <f t="shared" si="123"/>
        <v/>
      </c>
      <c r="B1293" s="249" t="str">
        <f t="shared" si="124"/>
        <v/>
      </c>
      <c r="C1293" s="250"/>
      <c r="D1293" s="251"/>
      <c r="E1293" s="241"/>
      <c r="F1293" s="252"/>
      <c r="G1293" s="252"/>
      <c r="H1293" s="253"/>
      <c r="I1293" s="250"/>
      <c r="J1293" s="250"/>
      <c r="K1293" s="270"/>
      <c r="L1293" s="250"/>
      <c r="M1293" s="250"/>
      <c r="N1293" s="540" t="str">
        <f>CONCATENATE(IF(OR(M1293=phu!$I$1,M1293=phu!$I$2,M1293=phu!$I$3),"Cam Thành Nam",""),IF(OR(M1293=phu!$I$4,M1293=phu!$I$5,M1293=phu!$I$6,M1293=phu!$I$7,M1293=phu!$I$8,M1293=phu!$I$9,M1293=phu!$I$10,M1293=phu!$I$11,M1293=phu!$I$12,M1293=phu!$I$13,M1293=phu!$I$14),"Cam Nghĩa",""),IF(OR(M1293=phu!$I$15,M1293=phu!$I$16,M1293=phu!$I$17,M1293=phu!$I$18,M1293=phu!$I$19,M1293=phu!$I$20,M1293=phu!$I$21),"Cam Phúc Bắc",""),IF(OR(M1293=phu!$I$22,M1293=phu!$I$23,M1293=phu!$I$24,M1293=phu!$I$25),"Cam Phúc Nam",""),IF(OR(M1293=phu!$I$26,M1293=phu!$I$27,M1293=phu!$I$28,M1293=phu!$I$29,M1293=phu!$I$30,M1293=phu!$I$31),"Cam Phú",""),IF(OR(M1293=phu!$I$32,M1293=phu!$I$33,M1293=phu!$I$34,M1293=phu!$I$35,M1293=phu!$I$36,M1293=phu!$I$37),"Cam Lộc",""),IF(OR(M1293=phu!$I$38,M1293=phu!$I$39,M1293=phu!$I$40,M1293=phu!$I$41,M1293=phu!$I$42,M1293=phu!$I$43,M1293=phu!$I$44),"Cam Thuận",""),IF(OR(M1293=phu!$I$45,M1293=phu!$I$46,M1293=phu!$I$47,M1293=phu!$I$48,M1293=phu!$I$49,M1293=phu!$I$50,M1293=phu!$I$51,M1293=phu!$I$52,M1293=phu!$I$53),"Cam Linh",""),IF(OR(M1293=phu!$I$54,M1293=phu!$I$55,M1293=phu!$I$56,M1293=phu!$I$57,M1293=phu!$I$58,M1293=phu!$I$59,M1293=phu!$I$60,M1293=phu!$I$61,M1293=phu!$I$62),"Cam Lợi",""),IF(OR(M1293=phu!$I$63,M1293=phu!$I$64,M1293=phu!$I$65,M1293=phu!$I$66,M1293=phu!$I$67,M1293=phu!$I$68,M1293=phu!$I$69,M1293=phu!$I$70,M1293=phu!$I$71),"Ba Ngòi",""),IF(OR(M1293=phu!$I$72,M1293=phu!$I$73,M1293=phu!$I$74,M1293=phu!$I$75,M1293=phu!$I$76,M1293=phu!$I$77,M1293=phu!$I$78),"Cam Phước Đông",""),IF(OR(M1293=phu!$I$79,M1293=phu!$I$80,M1293=phu!$I$81,M1293=phu!$I$82,M1293=phu!$I$83,M1293=phu!$I$84),"Cam Thịnh Đông",""),IF(OR(M1293=phu!$I$85,M1293=phu!$I$86,M1293=phu!$I$87,M1293=phu!$I$88),"Cam Thịnh Tây",""),IF(OR(M1293=phu!$I$89,M1293=phu!$I$90),"Cam Lập",""),IF(OR(M1293=phu!$I$91,M1293=phu!$I$92,M1293=phu!$I$93),"Cam Bình",""),IF(OR(M1293=phu!$I$94,M1293=phu!$I$95,M1293=phu!$I$96,M1293=phu!$I$97,M1293=phu!$I$98,M1293=phu!$I$99,M1293=phu!$I$100),"Huyện khác",""),IF(OR(M1293=phu!$I$101,M1293=phu!$I$102),"Tỉnh khác",""))</f>
        <v/>
      </c>
      <c r="O1293" s="829" t="str">
        <f t="shared" si="120"/>
        <v/>
      </c>
      <c r="P1293" s="254"/>
      <c r="Q1293" s="254"/>
      <c r="R1293" s="254"/>
      <c r="S1293" s="254"/>
      <c r="T1293" s="254"/>
      <c r="U1293" s="254"/>
      <c r="V1293" s="254"/>
      <c r="W1293" s="254"/>
      <c r="Y1293" s="246" t="str">
        <f t="shared" si="121"/>
        <v/>
      </c>
      <c r="Z1293" s="247" t="str">
        <f t="shared" si="125"/>
        <v/>
      </c>
      <c r="AA1293" s="246" t="str">
        <f t="shared" si="122"/>
        <v/>
      </c>
    </row>
    <row r="1294" spans="1:27" x14ac:dyDescent="0.25">
      <c r="A1294" s="248" t="str">
        <f t="shared" si="123"/>
        <v/>
      </c>
      <c r="B1294" s="249" t="str">
        <f t="shared" si="124"/>
        <v/>
      </c>
      <c r="C1294" s="250"/>
      <c r="D1294" s="251"/>
      <c r="E1294" s="241"/>
      <c r="F1294" s="252"/>
      <c r="G1294" s="252"/>
      <c r="H1294" s="253"/>
      <c r="I1294" s="250"/>
      <c r="J1294" s="250"/>
      <c r="K1294" s="270"/>
      <c r="L1294" s="250"/>
      <c r="M1294" s="250"/>
      <c r="N1294" s="540" t="str">
        <f>CONCATENATE(IF(OR(M1294=phu!$I$1,M1294=phu!$I$2,M1294=phu!$I$3),"Cam Thành Nam",""),IF(OR(M1294=phu!$I$4,M1294=phu!$I$5,M1294=phu!$I$6,M1294=phu!$I$7,M1294=phu!$I$8,M1294=phu!$I$9,M1294=phu!$I$10,M1294=phu!$I$11,M1294=phu!$I$12,M1294=phu!$I$13,M1294=phu!$I$14),"Cam Nghĩa",""),IF(OR(M1294=phu!$I$15,M1294=phu!$I$16,M1294=phu!$I$17,M1294=phu!$I$18,M1294=phu!$I$19,M1294=phu!$I$20,M1294=phu!$I$21),"Cam Phúc Bắc",""),IF(OR(M1294=phu!$I$22,M1294=phu!$I$23,M1294=phu!$I$24,M1294=phu!$I$25),"Cam Phúc Nam",""),IF(OR(M1294=phu!$I$26,M1294=phu!$I$27,M1294=phu!$I$28,M1294=phu!$I$29,M1294=phu!$I$30,M1294=phu!$I$31),"Cam Phú",""),IF(OR(M1294=phu!$I$32,M1294=phu!$I$33,M1294=phu!$I$34,M1294=phu!$I$35,M1294=phu!$I$36,M1294=phu!$I$37),"Cam Lộc",""),IF(OR(M1294=phu!$I$38,M1294=phu!$I$39,M1294=phu!$I$40,M1294=phu!$I$41,M1294=phu!$I$42,M1294=phu!$I$43,M1294=phu!$I$44),"Cam Thuận",""),IF(OR(M1294=phu!$I$45,M1294=phu!$I$46,M1294=phu!$I$47,M1294=phu!$I$48,M1294=phu!$I$49,M1294=phu!$I$50,M1294=phu!$I$51,M1294=phu!$I$52,M1294=phu!$I$53),"Cam Linh",""),IF(OR(M1294=phu!$I$54,M1294=phu!$I$55,M1294=phu!$I$56,M1294=phu!$I$57,M1294=phu!$I$58,M1294=phu!$I$59,M1294=phu!$I$60,M1294=phu!$I$61,M1294=phu!$I$62),"Cam Lợi",""),IF(OR(M1294=phu!$I$63,M1294=phu!$I$64,M1294=phu!$I$65,M1294=phu!$I$66,M1294=phu!$I$67,M1294=phu!$I$68,M1294=phu!$I$69,M1294=phu!$I$70,M1294=phu!$I$71),"Ba Ngòi",""),IF(OR(M1294=phu!$I$72,M1294=phu!$I$73,M1294=phu!$I$74,M1294=phu!$I$75,M1294=phu!$I$76,M1294=phu!$I$77,M1294=phu!$I$78),"Cam Phước Đông",""),IF(OR(M1294=phu!$I$79,M1294=phu!$I$80,M1294=phu!$I$81,M1294=phu!$I$82,M1294=phu!$I$83,M1294=phu!$I$84),"Cam Thịnh Đông",""),IF(OR(M1294=phu!$I$85,M1294=phu!$I$86,M1294=phu!$I$87,M1294=phu!$I$88),"Cam Thịnh Tây",""),IF(OR(M1294=phu!$I$89,M1294=phu!$I$90),"Cam Lập",""),IF(OR(M1294=phu!$I$91,M1294=phu!$I$92,M1294=phu!$I$93),"Cam Bình",""),IF(OR(M1294=phu!$I$94,M1294=phu!$I$95,M1294=phu!$I$96,M1294=phu!$I$97,M1294=phu!$I$98,M1294=phu!$I$99,M1294=phu!$I$100),"Huyện khác",""),IF(OR(M1294=phu!$I$101,M1294=phu!$I$102),"Tỉnh khác",""))</f>
        <v/>
      </c>
      <c r="O1294" s="829" t="str">
        <f t="shared" si="120"/>
        <v/>
      </c>
      <c r="P1294" s="254"/>
      <c r="Q1294" s="254"/>
      <c r="R1294" s="254"/>
      <c r="S1294" s="254"/>
      <c r="T1294" s="254"/>
      <c r="U1294" s="254"/>
      <c r="V1294" s="254"/>
      <c r="W1294" s="254"/>
      <c r="Y1294" s="246" t="str">
        <f t="shared" si="121"/>
        <v/>
      </c>
      <c r="Z1294" s="247" t="str">
        <f t="shared" si="125"/>
        <v/>
      </c>
      <c r="AA1294" s="246" t="str">
        <f t="shared" si="122"/>
        <v/>
      </c>
    </row>
    <row r="1295" spans="1:27" x14ac:dyDescent="0.25">
      <c r="A1295" s="248" t="str">
        <f t="shared" si="123"/>
        <v/>
      </c>
      <c r="B1295" s="249" t="str">
        <f t="shared" si="124"/>
        <v/>
      </c>
      <c r="C1295" s="250"/>
      <c r="D1295" s="251"/>
      <c r="E1295" s="241"/>
      <c r="F1295" s="252"/>
      <c r="G1295" s="252"/>
      <c r="H1295" s="253"/>
      <c r="I1295" s="250"/>
      <c r="J1295" s="250"/>
      <c r="K1295" s="270"/>
      <c r="L1295" s="250"/>
      <c r="M1295" s="250"/>
      <c r="N1295" s="540" t="str">
        <f>CONCATENATE(IF(OR(M1295=phu!$I$1,M1295=phu!$I$2,M1295=phu!$I$3),"Cam Thành Nam",""),IF(OR(M1295=phu!$I$4,M1295=phu!$I$5,M1295=phu!$I$6,M1295=phu!$I$7,M1295=phu!$I$8,M1295=phu!$I$9,M1295=phu!$I$10,M1295=phu!$I$11,M1295=phu!$I$12,M1295=phu!$I$13,M1295=phu!$I$14),"Cam Nghĩa",""),IF(OR(M1295=phu!$I$15,M1295=phu!$I$16,M1295=phu!$I$17,M1295=phu!$I$18,M1295=phu!$I$19,M1295=phu!$I$20,M1295=phu!$I$21),"Cam Phúc Bắc",""),IF(OR(M1295=phu!$I$22,M1295=phu!$I$23,M1295=phu!$I$24,M1295=phu!$I$25),"Cam Phúc Nam",""),IF(OR(M1295=phu!$I$26,M1295=phu!$I$27,M1295=phu!$I$28,M1295=phu!$I$29,M1295=phu!$I$30,M1295=phu!$I$31),"Cam Phú",""),IF(OR(M1295=phu!$I$32,M1295=phu!$I$33,M1295=phu!$I$34,M1295=phu!$I$35,M1295=phu!$I$36,M1295=phu!$I$37),"Cam Lộc",""),IF(OR(M1295=phu!$I$38,M1295=phu!$I$39,M1295=phu!$I$40,M1295=phu!$I$41,M1295=phu!$I$42,M1295=phu!$I$43,M1295=phu!$I$44),"Cam Thuận",""),IF(OR(M1295=phu!$I$45,M1295=phu!$I$46,M1295=phu!$I$47,M1295=phu!$I$48,M1295=phu!$I$49,M1295=phu!$I$50,M1295=phu!$I$51,M1295=phu!$I$52,M1295=phu!$I$53),"Cam Linh",""),IF(OR(M1295=phu!$I$54,M1295=phu!$I$55,M1295=phu!$I$56,M1295=phu!$I$57,M1295=phu!$I$58,M1295=phu!$I$59,M1295=phu!$I$60,M1295=phu!$I$61,M1295=phu!$I$62),"Cam Lợi",""),IF(OR(M1295=phu!$I$63,M1295=phu!$I$64,M1295=phu!$I$65,M1295=phu!$I$66,M1295=phu!$I$67,M1295=phu!$I$68,M1295=phu!$I$69,M1295=phu!$I$70,M1295=phu!$I$71),"Ba Ngòi",""),IF(OR(M1295=phu!$I$72,M1295=phu!$I$73,M1295=phu!$I$74,M1295=phu!$I$75,M1295=phu!$I$76,M1295=phu!$I$77,M1295=phu!$I$78),"Cam Phước Đông",""),IF(OR(M1295=phu!$I$79,M1295=phu!$I$80,M1295=phu!$I$81,M1295=phu!$I$82,M1295=phu!$I$83,M1295=phu!$I$84),"Cam Thịnh Đông",""),IF(OR(M1295=phu!$I$85,M1295=phu!$I$86,M1295=phu!$I$87,M1295=phu!$I$88),"Cam Thịnh Tây",""),IF(OR(M1295=phu!$I$89,M1295=phu!$I$90),"Cam Lập",""),IF(OR(M1295=phu!$I$91,M1295=phu!$I$92,M1295=phu!$I$93),"Cam Bình",""),IF(OR(M1295=phu!$I$94,M1295=phu!$I$95,M1295=phu!$I$96,M1295=phu!$I$97,M1295=phu!$I$98,M1295=phu!$I$99,M1295=phu!$I$100),"Huyện khác",""),IF(OR(M1295=phu!$I$101,M1295=phu!$I$102),"Tỉnh khác",""))</f>
        <v/>
      </c>
      <c r="O1295" s="829" t="str">
        <f t="shared" si="120"/>
        <v/>
      </c>
      <c r="P1295" s="254"/>
      <c r="Q1295" s="254"/>
      <c r="R1295" s="254"/>
      <c r="S1295" s="254"/>
      <c r="T1295" s="254"/>
      <c r="U1295" s="254"/>
      <c r="V1295" s="254"/>
      <c r="W1295" s="254"/>
      <c r="Y1295" s="246" t="str">
        <f t="shared" si="121"/>
        <v/>
      </c>
      <c r="Z1295" s="247" t="str">
        <f t="shared" si="125"/>
        <v/>
      </c>
      <c r="AA1295" s="246" t="str">
        <f t="shared" si="122"/>
        <v/>
      </c>
    </row>
    <row r="1296" spans="1:27" x14ac:dyDescent="0.25">
      <c r="A1296" s="248" t="str">
        <f t="shared" si="123"/>
        <v/>
      </c>
      <c r="B1296" s="249" t="str">
        <f t="shared" si="124"/>
        <v/>
      </c>
      <c r="C1296" s="250"/>
      <c r="D1296" s="251"/>
      <c r="E1296" s="241"/>
      <c r="F1296" s="252"/>
      <c r="G1296" s="252"/>
      <c r="H1296" s="253"/>
      <c r="I1296" s="250"/>
      <c r="J1296" s="250"/>
      <c r="K1296" s="270"/>
      <c r="L1296" s="250"/>
      <c r="M1296" s="250"/>
      <c r="N1296" s="540" t="str">
        <f>CONCATENATE(IF(OR(M1296=phu!$I$1,M1296=phu!$I$2,M1296=phu!$I$3),"Cam Thành Nam",""),IF(OR(M1296=phu!$I$4,M1296=phu!$I$5,M1296=phu!$I$6,M1296=phu!$I$7,M1296=phu!$I$8,M1296=phu!$I$9,M1296=phu!$I$10,M1296=phu!$I$11,M1296=phu!$I$12,M1296=phu!$I$13,M1296=phu!$I$14),"Cam Nghĩa",""),IF(OR(M1296=phu!$I$15,M1296=phu!$I$16,M1296=phu!$I$17,M1296=phu!$I$18,M1296=phu!$I$19,M1296=phu!$I$20,M1296=phu!$I$21),"Cam Phúc Bắc",""),IF(OR(M1296=phu!$I$22,M1296=phu!$I$23,M1296=phu!$I$24,M1296=phu!$I$25),"Cam Phúc Nam",""),IF(OR(M1296=phu!$I$26,M1296=phu!$I$27,M1296=phu!$I$28,M1296=phu!$I$29,M1296=phu!$I$30,M1296=phu!$I$31),"Cam Phú",""),IF(OR(M1296=phu!$I$32,M1296=phu!$I$33,M1296=phu!$I$34,M1296=phu!$I$35,M1296=phu!$I$36,M1296=phu!$I$37),"Cam Lộc",""),IF(OR(M1296=phu!$I$38,M1296=phu!$I$39,M1296=phu!$I$40,M1296=phu!$I$41,M1296=phu!$I$42,M1296=phu!$I$43,M1296=phu!$I$44),"Cam Thuận",""),IF(OR(M1296=phu!$I$45,M1296=phu!$I$46,M1296=phu!$I$47,M1296=phu!$I$48,M1296=phu!$I$49,M1296=phu!$I$50,M1296=phu!$I$51,M1296=phu!$I$52,M1296=phu!$I$53),"Cam Linh",""),IF(OR(M1296=phu!$I$54,M1296=phu!$I$55,M1296=phu!$I$56,M1296=phu!$I$57,M1296=phu!$I$58,M1296=phu!$I$59,M1296=phu!$I$60,M1296=phu!$I$61,M1296=phu!$I$62),"Cam Lợi",""),IF(OR(M1296=phu!$I$63,M1296=phu!$I$64,M1296=phu!$I$65,M1296=phu!$I$66,M1296=phu!$I$67,M1296=phu!$I$68,M1296=phu!$I$69,M1296=phu!$I$70,M1296=phu!$I$71),"Ba Ngòi",""),IF(OR(M1296=phu!$I$72,M1296=phu!$I$73,M1296=phu!$I$74,M1296=phu!$I$75,M1296=phu!$I$76,M1296=phu!$I$77,M1296=phu!$I$78),"Cam Phước Đông",""),IF(OR(M1296=phu!$I$79,M1296=phu!$I$80,M1296=phu!$I$81,M1296=phu!$I$82,M1296=phu!$I$83,M1296=phu!$I$84),"Cam Thịnh Đông",""),IF(OR(M1296=phu!$I$85,M1296=phu!$I$86,M1296=phu!$I$87,M1296=phu!$I$88),"Cam Thịnh Tây",""),IF(OR(M1296=phu!$I$89,M1296=phu!$I$90),"Cam Lập",""),IF(OR(M1296=phu!$I$91,M1296=phu!$I$92,M1296=phu!$I$93),"Cam Bình",""),IF(OR(M1296=phu!$I$94,M1296=phu!$I$95,M1296=phu!$I$96,M1296=phu!$I$97,M1296=phu!$I$98,M1296=phu!$I$99,M1296=phu!$I$100),"Huyện khác",""),IF(OR(M1296=phu!$I$101,M1296=phu!$I$102),"Tỉnh khác",""))</f>
        <v/>
      </c>
      <c r="O1296" s="829" t="str">
        <f t="shared" si="120"/>
        <v/>
      </c>
      <c r="P1296" s="254"/>
      <c r="Q1296" s="254"/>
      <c r="R1296" s="254"/>
      <c r="S1296" s="254"/>
      <c r="T1296" s="254"/>
      <c r="U1296" s="254"/>
      <c r="V1296" s="254"/>
      <c r="W1296" s="254"/>
      <c r="Y1296" s="246" t="str">
        <f t="shared" si="121"/>
        <v/>
      </c>
      <c r="Z1296" s="247" t="str">
        <f t="shared" si="125"/>
        <v/>
      </c>
      <c r="AA1296" s="246" t="str">
        <f t="shared" si="122"/>
        <v/>
      </c>
    </row>
    <row r="1297" spans="1:27" x14ac:dyDescent="0.25">
      <c r="A1297" s="248" t="str">
        <f t="shared" si="123"/>
        <v/>
      </c>
      <c r="B1297" s="249" t="str">
        <f t="shared" si="124"/>
        <v/>
      </c>
      <c r="C1297" s="250"/>
      <c r="D1297" s="251"/>
      <c r="E1297" s="241"/>
      <c r="F1297" s="252"/>
      <c r="G1297" s="252"/>
      <c r="H1297" s="253"/>
      <c r="I1297" s="250"/>
      <c r="J1297" s="250"/>
      <c r="K1297" s="270"/>
      <c r="L1297" s="250"/>
      <c r="M1297" s="250"/>
      <c r="N1297" s="540" t="str">
        <f>CONCATENATE(IF(OR(M1297=phu!$I$1,M1297=phu!$I$2,M1297=phu!$I$3),"Cam Thành Nam",""),IF(OR(M1297=phu!$I$4,M1297=phu!$I$5,M1297=phu!$I$6,M1297=phu!$I$7,M1297=phu!$I$8,M1297=phu!$I$9,M1297=phu!$I$10,M1297=phu!$I$11,M1297=phu!$I$12,M1297=phu!$I$13,M1297=phu!$I$14),"Cam Nghĩa",""),IF(OR(M1297=phu!$I$15,M1297=phu!$I$16,M1297=phu!$I$17,M1297=phu!$I$18,M1297=phu!$I$19,M1297=phu!$I$20,M1297=phu!$I$21),"Cam Phúc Bắc",""),IF(OR(M1297=phu!$I$22,M1297=phu!$I$23,M1297=phu!$I$24,M1297=phu!$I$25),"Cam Phúc Nam",""),IF(OR(M1297=phu!$I$26,M1297=phu!$I$27,M1297=phu!$I$28,M1297=phu!$I$29,M1297=phu!$I$30,M1297=phu!$I$31),"Cam Phú",""),IF(OR(M1297=phu!$I$32,M1297=phu!$I$33,M1297=phu!$I$34,M1297=phu!$I$35,M1297=phu!$I$36,M1297=phu!$I$37),"Cam Lộc",""),IF(OR(M1297=phu!$I$38,M1297=phu!$I$39,M1297=phu!$I$40,M1297=phu!$I$41,M1297=phu!$I$42,M1297=phu!$I$43,M1297=phu!$I$44),"Cam Thuận",""),IF(OR(M1297=phu!$I$45,M1297=phu!$I$46,M1297=phu!$I$47,M1297=phu!$I$48,M1297=phu!$I$49,M1297=phu!$I$50,M1297=phu!$I$51,M1297=phu!$I$52,M1297=phu!$I$53),"Cam Linh",""),IF(OR(M1297=phu!$I$54,M1297=phu!$I$55,M1297=phu!$I$56,M1297=phu!$I$57,M1297=phu!$I$58,M1297=phu!$I$59,M1297=phu!$I$60,M1297=phu!$I$61,M1297=phu!$I$62),"Cam Lợi",""),IF(OR(M1297=phu!$I$63,M1297=phu!$I$64,M1297=phu!$I$65,M1297=phu!$I$66,M1297=phu!$I$67,M1297=phu!$I$68,M1297=phu!$I$69,M1297=phu!$I$70,M1297=phu!$I$71),"Ba Ngòi",""),IF(OR(M1297=phu!$I$72,M1297=phu!$I$73,M1297=phu!$I$74,M1297=phu!$I$75,M1297=phu!$I$76,M1297=phu!$I$77,M1297=phu!$I$78),"Cam Phước Đông",""),IF(OR(M1297=phu!$I$79,M1297=phu!$I$80,M1297=phu!$I$81,M1297=phu!$I$82,M1297=phu!$I$83,M1297=phu!$I$84),"Cam Thịnh Đông",""),IF(OR(M1297=phu!$I$85,M1297=phu!$I$86,M1297=phu!$I$87,M1297=phu!$I$88),"Cam Thịnh Tây",""),IF(OR(M1297=phu!$I$89,M1297=phu!$I$90),"Cam Lập",""),IF(OR(M1297=phu!$I$91,M1297=phu!$I$92,M1297=phu!$I$93),"Cam Bình",""),IF(OR(M1297=phu!$I$94,M1297=phu!$I$95,M1297=phu!$I$96,M1297=phu!$I$97,M1297=phu!$I$98,M1297=phu!$I$99,M1297=phu!$I$100),"Huyện khác",""),IF(OR(M1297=phu!$I$101,M1297=phu!$I$102),"Tỉnh khác",""))</f>
        <v/>
      </c>
      <c r="O1297" s="829" t="str">
        <f t="shared" si="120"/>
        <v/>
      </c>
      <c r="P1297" s="254"/>
      <c r="Q1297" s="254"/>
      <c r="R1297" s="254"/>
      <c r="S1297" s="254"/>
      <c r="T1297" s="254"/>
      <c r="U1297" s="254"/>
      <c r="V1297" s="254"/>
      <c r="W1297" s="254"/>
      <c r="Y1297" s="246" t="str">
        <f t="shared" si="121"/>
        <v/>
      </c>
      <c r="Z1297" s="247" t="str">
        <f t="shared" si="125"/>
        <v/>
      </c>
      <c r="AA1297" s="246" t="str">
        <f t="shared" si="122"/>
        <v/>
      </c>
    </row>
    <row r="1298" spans="1:27" x14ac:dyDescent="0.25">
      <c r="A1298" s="248" t="str">
        <f t="shared" si="123"/>
        <v/>
      </c>
      <c r="B1298" s="249" t="str">
        <f t="shared" si="124"/>
        <v/>
      </c>
      <c r="C1298" s="250"/>
      <c r="D1298" s="251"/>
      <c r="E1298" s="241"/>
      <c r="F1298" s="252"/>
      <c r="G1298" s="252"/>
      <c r="H1298" s="253"/>
      <c r="I1298" s="250"/>
      <c r="J1298" s="250"/>
      <c r="K1298" s="270"/>
      <c r="L1298" s="250"/>
      <c r="M1298" s="250"/>
      <c r="N1298" s="540" t="str">
        <f>CONCATENATE(IF(OR(M1298=phu!$I$1,M1298=phu!$I$2,M1298=phu!$I$3),"Cam Thành Nam",""),IF(OR(M1298=phu!$I$4,M1298=phu!$I$5,M1298=phu!$I$6,M1298=phu!$I$7,M1298=phu!$I$8,M1298=phu!$I$9,M1298=phu!$I$10,M1298=phu!$I$11,M1298=phu!$I$12,M1298=phu!$I$13,M1298=phu!$I$14),"Cam Nghĩa",""),IF(OR(M1298=phu!$I$15,M1298=phu!$I$16,M1298=phu!$I$17,M1298=phu!$I$18,M1298=phu!$I$19,M1298=phu!$I$20,M1298=phu!$I$21),"Cam Phúc Bắc",""),IF(OR(M1298=phu!$I$22,M1298=phu!$I$23,M1298=phu!$I$24,M1298=phu!$I$25),"Cam Phúc Nam",""),IF(OR(M1298=phu!$I$26,M1298=phu!$I$27,M1298=phu!$I$28,M1298=phu!$I$29,M1298=phu!$I$30,M1298=phu!$I$31),"Cam Phú",""),IF(OR(M1298=phu!$I$32,M1298=phu!$I$33,M1298=phu!$I$34,M1298=phu!$I$35,M1298=phu!$I$36,M1298=phu!$I$37),"Cam Lộc",""),IF(OR(M1298=phu!$I$38,M1298=phu!$I$39,M1298=phu!$I$40,M1298=phu!$I$41,M1298=phu!$I$42,M1298=phu!$I$43,M1298=phu!$I$44),"Cam Thuận",""),IF(OR(M1298=phu!$I$45,M1298=phu!$I$46,M1298=phu!$I$47,M1298=phu!$I$48,M1298=phu!$I$49,M1298=phu!$I$50,M1298=phu!$I$51,M1298=phu!$I$52,M1298=phu!$I$53),"Cam Linh",""),IF(OR(M1298=phu!$I$54,M1298=phu!$I$55,M1298=phu!$I$56,M1298=phu!$I$57,M1298=phu!$I$58,M1298=phu!$I$59,M1298=phu!$I$60,M1298=phu!$I$61,M1298=phu!$I$62),"Cam Lợi",""),IF(OR(M1298=phu!$I$63,M1298=phu!$I$64,M1298=phu!$I$65,M1298=phu!$I$66,M1298=phu!$I$67,M1298=phu!$I$68,M1298=phu!$I$69,M1298=phu!$I$70,M1298=phu!$I$71),"Ba Ngòi",""),IF(OR(M1298=phu!$I$72,M1298=phu!$I$73,M1298=phu!$I$74,M1298=phu!$I$75,M1298=phu!$I$76,M1298=phu!$I$77,M1298=phu!$I$78),"Cam Phước Đông",""),IF(OR(M1298=phu!$I$79,M1298=phu!$I$80,M1298=phu!$I$81,M1298=phu!$I$82,M1298=phu!$I$83,M1298=phu!$I$84),"Cam Thịnh Đông",""),IF(OR(M1298=phu!$I$85,M1298=phu!$I$86,M1298=phu!$I$87,M1298=phu!$I$88),"Cam Thịnh Tây",""),IF(OR(M1298=phu!$I$89,M1298=phu!$I$90),"Cam Lập",""),IF(OR(M1298=phu!$I$91,M1298=phu!$I$92,M1298=phu!$I$93),"Cam Bình",""),IF(OR(M1298=phu!$I$94,M1298=phu!$I$95,M1298=phu!$I$96,M1298=phu!$I$97,M1298=phu!$I$98,M1298=phu!$I$99,M1298=phu!$I$100),"Huyện khác",""),IF(OR(M1298=phu!$I$101,M1298=phu!$I$102),"Tỉnh khác",""))</f>
        <v/>
      </c>
      <c r="O1298" s="829" t="str">
        <f t="shared" si="120"/>
        <v/>
      </c>
      <c r="P1298" s="254"/>
      <c r="Q1298" s="254"/>
      <c r="R1298" s="254"/>
      <c r="S1298" s="254"/>
      <c r="T1298" s="254"/>
      <c r="U1298" s="254"/>
      <c r="V1298" s="254"/>
      <c r="W1298" s="254"/>
      <c r="Y1298" s="246" t="str">
        <f t="shared" si="121"/>
        <v/>
      </c>
      <c r="Z1298" s="247" t="str">
        <f t="shared" si="125"/>
        <v/>
      </c>
      <c r="AA1298" s="246" t="str">
        <f t="shared" si="122"/>
        <v/>
      </c>
    </row>
    <row r="1299" spans="1:27" x14ac:dyDescent="0.25">
      <c r="A1299" s="248" t="str">
        <f t="shared" si="123"/>
        <v/>
      </c>
      <c r="B1299" s="249" t="str">
        <f t="shared" si="124"/>
        <v/>
      </c>
      <c r="C1299" s="250"/>
      <c r="D1299" s="251"/>
      <c r="E1299" s="241"/>
      <c r="F1299" s="252"/>
      <c r="G1299" s="252"/>
      <c r="H1299" s="253"/>
      <c r="I1299" s="250"/>
      <c r="J1299" s="250"/>
      <c r="K1299" s="270"/>
      <c r="L1299" s="250"/>
      <c r="M1299" s="250"/>
      <c r="N1299" s="540" t="str">
        <f>CONCATENATE(IF(OR(M1299=phu!$I$1,M1299=phu!$I$2,M1299=phu!$I$3),"Cam Thành Nam",""),IF(OR(M1299=phu!$I$4,M1299=phu!$I$5,M1299=phu!$I$6,M1299=phu!$I$7,M1299=phu!$I$8,M1299=phu!$I$9,M1299=phu!$I$10,M1299=phu!$I$11,M1299=phu!$I$12,M1299=phu!$I$13,M1299=phu!$I$14),"Cam Nghĩa",""),IF(OR(M1299=phu!$I$15,M1299=phu!$I$16,M1299=phu!$I$17,M1299=phu!$I$18,M1299=phu!$I$19,M1299=phu!$I$20,M1299=phu!$I$21),"Cam Phúc Bắc",""),IF(OR(M1299=phu!$I$22,M1299=phu!$I$23,M1299=phu!$I$24,M1299=phu!$I$25),"Cam Phúc Nam",""),IF(OR(M1299=phu!$I$26,M1299=phu!$I$27,M1299=phu!$I$28,M1299=phu!$I$29,M1299=phu!$I$30,M1299=phu!$I$31),"Cam Phú",""),IF(OR(M1299=phu!$I$32,M1299=phu!$I$33,M1299=phu!$I$34,M1299=phu!$I$35,M1299=phu!$I$36,M1299=phu!$I$37),"Cam Lộc",""),IF(OR(M1299=phu!$I$38,M1299=phu!$I$39,M1299=phu!$I$40,M1299=phu!$I$41,M1299=phu!$I$42,M1299=phu!$I$43,M1299=phu!$I$44),"Cam Thuận",""),IF(OR(M1299=phu!$I$45,M1299=phu!$I$46,M1299=phu!$I$47,M1299=phu!$I$48,M1299=phu!$I$49,M1299=phu!$I$50,M1299=phu!$I$51,M1299=phu!$I$52,M1299=phu!$I$53),"Cam Linh",""),IF(OR(M1299=phu!$I$54,M1299=phu!$I$55,M1299=phu!$I$56,M1299=phu!$I$57,M1299=phu!$I$58,M1299=phu!$I$59,M1299=phu!$I$60,M1299=phu!$I$61,M1299=phu!$I$62),"Cam Lợi",""),IF(OR(M1299=phu!$I$63,M1299=phu!$I$64,M1299=phu!$I$65,M1299=phu!$I$66,M1299=phu!$I$67,M1299=phu!$I$68,M1299=phu!$I$69,M1299=phu!$I$70,M1299=phu!$I$71),"Ba Ngòi",""),IF(OR(M1299=phu!$I$72,M1299=phu!$I$73,M1299=phu!$I$74,M1299=phu!$I$75,M1299=phu!$I$76,M1299=phu!$I$77,M1299=phu!$I$78),"Cam Phước Đông",""),IF(OR(M1299=phu!$I$79,M1299=phu!$I$80,M1299=phu!$I$81,M1299=phu!$I$82,M1299=phu!$I$83,M1299=phu!$I$84),"Cam Thịnh Đông",""),IF(OR(M1299=phu!$I$85,M1299=phu!$I$86,M1299=phu!$I$87,M1299=phu!$I$88),"Cam Thịnh Tây",""),IF(OR(M1299=phu!$I$89,M1299=phu!$I$90),"Cam Lập",""),IF(OR(M1299=phu!$I$91,M1299=phu!$I$92,M1299=phu!$I$93),"Cam Bình",""),IF(OR(M1299=phu!$I$94,M1299=phu!$I$95,M1299=phu!$I$96,M1299=phu!$I$97,M1299=phu!$I$98,M1299=phu!$I$99,M1299=phu!$I$100),"Huyện khác",""),IF(OR(M1299=phu!$I$101,M1299=phu!$I$102),"Tỉnh khác",""))</f>
        <v/>
      </c>
      <c r="O1299" s="829" t="str">
        <f t="shared" si="120"/>
        <v/>
      </c>
      <c r="P1299" s="254"/>
      <c r="Q1299" s="254"/>
      <c r="R1299" s="254"/>
      <c r="S1299" s="254"/>
      <c r="T1299" s="254"/>
      <c r="U1299" s="254"/>
      <c r="V1299" s="254"/>
      <c r="W1299" s="254"/>
      <c r="Y1299" s="246" t="str">
        <f t="shared" si="121"/>
        <v/>
      </c>
      <c r="Z1299" s="247" t="str">
        <f t="shared" si="125"/>
        <v/>
      </c>
      <c r="AA1299" s="246" t="str">
        <f t="shared" si="122"/>
        <v/>
      </c>
    </row>
    <row r="1300" spans="1:27" x14ac:dyDescent="0.25">
      <c r="A1300" s="248" t="str">
        <f t="shared" si="123"/>
        <v/>
      </c>
      <c r="B1300" s="249" t="str">
        <f t="shared" si="124"/>
        <v/>
      </c>
      <c r="C1300" s="250"/>
      <c r="D1300" s="251"/>
      <c r="E1300" s="241"/>
      <c r="F1300" s="252"/>
      <c r="G1300" s="252"/>
      <c r="H1300" s="253"/>
      <c r="I1300" s="250"/>
      <c r="J1300" s="250"/>
      <c r="K1300" s="270"/>
      <c r="L1300" s="250"/>
      <c r="M1300" s="250"/>
      <c r="N1300" s="540" t="str">
        <f>CONCATENATE(IF(OR(M1300=phu!$I$1,M1300=phu!$I$2,M1300=phu!$I$3),"Cam Thành Nam",""),IF(OR(M1300=phu!$I$4,M1300=phu!$I$5,M1300=phu!$I$6,M1300=phu!$I$7,M1300=phu!$I$8,M1300=phu!$I$9,M1300=phu!$I$10,M1300=phu!$I$11,M1300=phu!$I$12,M1300=phu!$I$13,M1300=phu!$I$14),"Cam Nghĩa",""),IF(OR(M1300=phu!$I$15,M1300=phu!$I$16,M1300=phu!$I$17,M1300=phu!$I$18,M1300=phu!$I$19,M1300=phu!$I$20,M1300=phu!$I$21),"Cam Phúc Bắc",""),IF(OR(M1300=phu!$I$22,M1300=phu!$I$23,M1300=phu!$I$24,M1300=phu!$I$25),"Cam Phúc Nam",""),IF(OR(M1300=phu!$I$26,M1300=phu!$I$27,M1300=phu!$I$28,M1300=phu!$I$29,M1300=phu!$I$30,M1300=phu!$I$31),"Cam Phú",""),IF(OR(M1300=phu!$I$32,M1300=phu!$I$33,M1300=phu!$I$34,M1300=phu!$I$35,M1300=phu!$I$36,M1300=phu!$I$37),"Cam Lộc",""),IF(OR(M1300=phu!$I$38,M1300=phu!$I$39,M1300=phu!$I$40,M1300=phu!$I$41,M1300=phu!$I$42,M1300=phu!$I$43,M1300=phu!$I$44),"Cam Thuận",""),IF(OR(M1300=phu!$I$45,M1300=phu!$I$46,M1300=phu!$I$47,M1300=phu!$I$48,M1300=phu!$I$49,M1300=phu!$I$50,M1300=phu!$I$51,M1300=phu!$I$52,M1300=phu!$I$53),"Cam Linh",""),IF(OR(M1300=phu!$I$54,M1300=phu!$I$55,M1300=phu!$I$56,M1300=phu!$I$57,M1300=phu!$I$58,M1300=phu!$I$59,M1300=phu!$I$60,M1300=phu!$I$61,M1300=phu!$I$62),"Cam Lợi",""),IF(OR(M1300=phu!$I$63,M1300=phu!$I$64,M1300=phu!$I$65,M1300=phu!$I$66,M1300=phu!$I$67,M1300=phu!$I$68,M1300=phu!$I$69,M1300=phu!$I$70,M1300=phu!$I$71),"Ba Ngòi",""),IF(OR(M1300=phu!$I$72,M1300=phu!$I$73,M1300=phu!$I$74,M1300=phu!$I$75,M1300=phu!$I$76,M1300=phu!$I$77,M1300=phu!$I$78),"Cam Phước Đông",""),IF(OR(M1300=phu!$I$79,M1300=phu!$I$80,M1300=phu!$I$81,M1300=phu!$I$82,M1300=phu!$I$83,M1300=phu!$I$84),"Cam Thịnh Đông",""),IF(OR(M1300=phu!$I$85,M1300=phu!$I$86,M1300=phu!$I$87,M1300=phu!$I$88),"Cam Thịnh Tây",""),IF(OR(M1300=phu!$I$89,M1300=phu!$I$90),"Cam Lập",""),IF(OR(M1300=phu!$I$91,M1300=phu!$I$92,M1300=phu!$I$93),"Cam Bình",""),IF(OR(M1300=phu!$I$94,M1300=phu!$I$95,M1300=phu!$I$96,M1300=phu!$I$97,M1300=phu!$I$98,M1300=phu!$I$99,M1300=phu!$I$100),"Huyện khác",""),IF(OR(M1300=phu!$I$101,M1300=phu!$I$102),"Tỉnh khác",""))</f>
        <v/>
      </c>
      <c r="O1300" s="829" t="str">
        <f t="shared" si="120"/>
        <v/>
      </c>
      <c r="P1300" s="254"/>
      <c r="Q1300" s="254"/>
      <c r="R1300" s="254"/>
      <c r="S1300" s="254"/>
      <c r="T1300" s="254"/>
      <c r="U1300" s="254"/>
      <c r="V1300" s="254"/>
      <c r="W1300" s="254"/>
      <c r="Y1300" s="246" t="str">
        <f t="shared" si="121"/>
        <v/>
      </c>
      <c r="Z1300" s="247" t="str">
        <f t="shared" si="125"/>
        <v/>
      </c>
      <c r="AA1300" s="246" t="str">
        <f t="shared" si="122"/>
        <v/>
      </c>
    </row>
    <row r="1301" spans="1:27" x14ac:dyDescent="0.25">
      <c r="A1301" s="248" t="str">
        <f t="shared" si="123"/>
        <v/>
      </c>
      <c r="B1301" s="249" t="str">
        <f t="shared" si="124"/>
        <v/>
      </c>
      <c r="C1301" s="250"/>
      <c r="D1301" s="251"/>
      <c r="E1301" s="241"/>
      <c r="F1301" s="252"/>
      <c r="G1301" s="252"/>
      <c r="H1301" s="253"/>
      <c r="I1301" s="250"/>
      <c r="J1301" s="250"/>
      <c r="K1301" s="270"/>
      <c r="L1301" s="250"/>
      <c r="M1301" s="250"/>
      <c r="N1301" s="540" t="str">
        <f>CONCATENATE(IF(OR(M1301=phu!$I$1,M1301=phu!$I$2,M1301=phu!$I$3),"Cam Thành Nam",""),IF(OR(M1301=phu!$I$4,M1301=phu!$I$5,M1301=phu!$I$6,M1301=phu!$I$7,M1301=phu!$I$8,M1301=phu!$I$9,M1301=phu!$I$10,M1301=phu!$I$11,M1301=phu!$I$12,M1301=phu!$I$13,M1301=phu!$I$14),"Cam Nghĩa",""),IF(OR(M1301=phu!$I$15,M1301=phu!$I$16,M1301=phu!$I$17,M1301=phu!$I$18,M1301=phu!$I$19,M1301=phu!$I$20,M1301=phu!$I$21),"Cam Phúc Bắc",""),IF(OR(M1301=phu!$I$22,M1301=phu!$I$23,M1301=phu!$I$24,M1301=phu!$I$25),"Cam Phúc Nam",""),IF(OR(M1301=phu!$I$26,M1301=phu!$I$27,M1301=phu!$I$28,M1301=phu!$I$29,M1301=phu!$I$30,M1301=phu!$I$31),"Cam Phú",""),IF(OR(M1301=phu!$I$32,M1301=phu!$I$33,M1301=phu!$I$34,M1301=phu!$I$35,M1301=phu!$I$36,M1301=phu!$I$37),"Cam Lộc",""),IF(OR(M1301=phu!$I$38,M1301=phu!$I$39,M1301=phu!$I$40,M1301=phu!$I$41,M1301=phu!$I$42,M1301=phu!$I$43,M1301=phu!$I$44),"Cam Thuận",""),IF(OR(M1301=phu!$I$45,M1301=phu!$I$46,M1301=phu!$I$47,M1301=phu!$I$48,M1301=phu!$I$49,M1301=phu!$I$50,M1301=phu!$I$51,M1301=phu!$I$52,M1301=phu!$I$53),"Cam Linh",""),IF(OR(M1301=phu!$I$54,M1301=phu!$I$55,M1301=phu!$I$56,M1301=phu!$I$57,M1301=phu!$I$58,M1301=phu!$I$59,M1301=phu!$I$60,M1301=phu!$I$61,M1301=phu!$I$62),"Cam Lợi",""),IF(OR(M1301=phu!$I$63,M1301=phu!$I$64,M1301=phu!$I$65,M1301=phu!$I$66,M1301=phu!$I$67,M1301=phu!$I$68,M1301=phu!$I$69,M1301=phu!$I$70,M1301=phu!$I$71),"Ba Ngòi",""),IF(OR(M1301=phu!$I$72,M1301=phu!$I$73,M1301=phu!$I$74,M1301=phu!$I$75,M1301=phu!$I$76,M1301=phu!$I$77,M1301=phu!$I$78),"Cam Phước Đông",""),IF(OR(M1301=phu!$I$79,M1301=phu!$I$80,M1301=phu!$I$81,M1301=phu!$I$82,M1301=phu!$I$83,M1301=phu!$I$84),"Cam Thịnh Đông",""),IF(OR(M1301=phu!$I$85,M1301=phu!$I$86,M1301=phu!$I$87,M1301=phu!$I$88),"Cam Thịnh Tây",""),IF(OR(M1301=phu!$I$89,M1301=phu!$I$90),"Cam Lập",""),IF(OR(M1301=phu!$I$91,M1301=phu!$I$92,M1301=phu!$I$93),"Cam Bình",""),IF(OR(M1301=phu!$I$94,M1301=phu!$I$95,M1301=phu!$I$96,M1301=phu!$I$97,M1301=phu!$I$98,M1301=phu!$I$99,M1301=phu!$I$100),"Huyện khác",""),IF(OR(M1301=phu!$I$101,M1301=phu!$I$102),"Tỉnh khác",""))</f>
        <v/>
      </c>
      <c r="O1301" s="829" t="str">
        <f t="shared" si="120"/>
        <v/>
      </c>
      <c r="P1301" s="254"/>
      <c r="Q1301" s="254"/>
      <c r="R1301" s="254"/>
      <c r="S1301" s="254"/>
      <c r="T1301" s="254"/>
      <c r="U1301" s="254"/>
      <c r="V1301" s="254"/>
      <c r="W1301" s="254"/>
      <c r="Y1301" s="246" t="str">
        <f t="shared" si="121"/>
        <v/>
      </c>
      <c r="Z1301" s="247" t="str">
        <f t="shared" si="125"/>
        <v/>
      </c>
      <c r="AA1301" s="246" t="str">
        <f t="shared" si="122"/>
        <v/>
      </c>
    </row>
    <row r="1302" spans="1:27" x14ac:dyDescent="0.25">
      <c r="A1302" s="248" t="str">
        <f t="shared" si="123"/>
        <v/>
      </c>
      <c r="B1302" s="249" t="str">
        <f t="shared" si="124"/>
        <v/>
      </c>
      <c r="C1302" s="250"/>
      <c r="D1302" s="251"/>
      <c r="E1302" s="241"/>
      <c r="F1302" s="252"/>
      <c r="G1302" s="252"/>
      <c r="H1302" s="253"/>
      <c r="I1302" s="250"/>
      <c r="J1302" s="250"/>
      <c r="K1302" s="270"/>
      <c r="L1302" s="250"/>
      <c r="M1302" s="250"/>
      <c r="N1302" s="540" t="str">
        <f>CONCATENATE(IF(OR(M1302=phu!$I$1,M1302=phu!$I$2,M1302=phu!$I$3),"Cam Thành Nam",""),IF(OR(M1302=phu!$I$4,M1302=phu!$I$5,M1302=phu!$I$6,M1302=phu!$I$7,M1302=phu!$I$8,M1302=phu!$I$9,M1302=phu!$I$10,M1302=phu!$I$11,M1302=phu!$I$12,M1302=phu!$I$13,M1302=phu!$I$14),"Cam Nghĩa",""),IF(OR(M1302=phu!$I$15,M1302=phu!$I$16,M1302=phu!$I$17,M1302=phu!$I$18,M1302=phu!$I$19,M1302=phu!$I$20,M1302=phu!$I$21),"Cam Phúc Bắc",""),IF(OR(M1302=phu!$I$22,M1302=phu!$I$23,M1302=phu!$I$24,M1302=phu!$I$25),"Cam Phúc Nam",""),IF(OR(M1302=phu!$I$26,M1302=phu!$I$27,M1302=phu!$I$28,M1302=phu!$I$29,M1302=phu!$I$30,M1302=phu!$I$31),"Cam Phú",""),IF(OR(M1302=phu!$I$32,M1302=phu!$I$33,M1302=phu!$I$34,M1302=phu!$I$35,M1302=phu!$I$36,M1302=phu!$I$37),"Cam Lộc",""),IF(OR(M1302=phu!$I$38,M1302=phu!$I$39,M1302=phu!$I$40,M1302=phu!$I$41,M1302=phu!$I$42,M1302=phu!$I$43,M1302=phu!$I$44),"Cam Thuận",""),IF(OR(M1302=phu!$I$45,M1302=phu!$I$46,M1302=phu!$I$47,M1302=phu!$I$48,M1302=phu!$I$49,M1302=phu!$I$50,M1302=phu!$I$51,M1302=phu!$I$52,M1302=phu!$I$53),"Cam Linh",""),IF(OR(M1302=phu!$I$54,M1302=phu!$I$55,M1302=phu!$I$56,M1302=phu!$I$57,M1302=phu!$I$58,M1302=phu!$I$59,M1302=phu!$I$60,M1302=phu!$I$61,M1302=phu!$I$62),"Cam Lợi",""),IF(OR(M1302=phu!$I$63,M1302=phu!$I$64,M1302=phu!$I$65,M1302=phu!$I$66,M1302=phu!$I$67,M1302=phu!$I$68,M1302=phu!$I$69,M1302=phu!$I$70,M1302=phu!$I$71),"Ba Ngòi",""),IF(OR(M1302=phu!$I$72,M1302=phu!$I$73,M1302=phu!$I$74,M1302=phu!$I$75,M1302=phu!$I$76,M1302=phu!$I$77,M1302=phu!$I$78),"Cam Phước Đông",""),IF(OR(M1302=phu!$I$79,M1302=phu!$I$80,M1302=phu!$I$81,M1302=phu!$I$82,M1302=phu!$I$83,M1302=phu!$I$84),"Cam Thịnh Đông",""),IF(OR(M1302=phu!$I$85,M1302=phu!$I$86,M1302=phu!$I$87,M1302=phu!$I$88),"Cam Thịnh Tây",""),IF(OR(M1302=phu!$I$89,M1302=phu!$I$90),"Cam Lập",""),IF(OR(M1302=phu!$I$91,M1302=phu!$I$92,M1302=phu!$I$93),"Cam Bình",""),IF(OR(M1302=phu!$I$94,M1302=phu!$I$95,M1302=phu!$I$96,M1302=phu!$I$97,M1302=phu!$I$98,M1302=phu!$I$99,M1302=phu!$I$100),"Huyện khác",""),IF(OR(M1302=phu!$I$101,M1302=phu!$I$102),"Tỉnh khác",""))</f>
        <v/>
      </c>
      <c r="O1302" s="829" t="str">
        <f t="shared" si="120"/>
        <v/>
      </c>
      <c r="P1302" s="254"/>
      <c r="Q1302" s="254"/>
      <c r="R1302" s="254"/>
      <c r="S1302" s="254"/>
      <c r="T1302" s="254"/>
      <c r="U1302" s="254"/>
      <c r="V1302" s="254"/>
      <c r="W1302" s="254"/>
      <c r="Y1302" s="246" t="str">
        <f t="shared" si="121"/>
        <v/>
      </c>
      <c r="Z1302" s="247" t="str">
        <f t="shared" si="125"/>
        <v/>
      </c>
      <c r="AA1302" s="246" t="str">
        <f t="shared" si="122"/>
        <v/>
      </c>
    </row>
    <row r="1303" spans="1:27" x14ac:dyDescent="0.25">
      <c r="A1303" s="248" t="str">
        <f t="shared" si="123"/>
        <v/>
      </c>
      <c r="B1303" s="249" t="str">
        <f t="shared" si="124"/>
        <v/>
      </c>
      <c r="C1303" s="250"/>
      <c r="D1303" s="251"/>
      <c r="E1303" s="241"/>
      <c r="F1303" s="252"/>
      <c r="G1303" s="252"/>
      <c r="H1303" s="253"/>
      <c r="I1303" s="250"/>
      <c r="J1303" s="250"/>
      <c r="K1303" s="270"/>
      <c r="L1303" s="250"/>
      <c r="M1303" s="250"/>
      <c r="N1303" s="540" t="str">
        <f>CONCATENATE(IF(OR(M1303=phu!$I$1,M1303=phu!$I$2,M1303=phu!$I$3),"Cam Thành Nam",""),IF(OR(M1303=phu!$I$4,M1303=phu!$I$5,M1303=phu!$I$6,M1303=phu!$I$7,M1303=phu!$I$8,M1303=phu!$I$9,M1303=phu!$I$10,M1303=phu!$I$11,M1303=phu!$I$12,M1303=phu!$I$13,M1303=phu!$I$14),"Cam Nghĩa",""),IF(OR(M1303=phu!$I$15,M1303=phu!$I$16,M1303=phu!$I$17,M1303=phu!$I$18,M1303=phu!$I$19,M1303=phu!$I$20,M1303=phu!$I$21),"Cam Phúc Bắc",""),IF(OR(M1303=phu!$I$22,M1303=phu!$I$23,M1303=phu!$I$24,M1303=phu!$I$25),"Cam Phúc Nam",""),IF(OR(M1303=phu!$I$26,M1303=phu!$I$27,M1303=phu!$I$28,M1303=phu!$I$29,M1303=phu!$I$30,M1303=phu!$I$31),"Cam Phú",""),IF(OR(M1303=phu!$I$32,M1303=phu!$I$33,M1303=phu!$I$34,M1303=phu!$I$35,M1303=phu!$I$36,M1303=phu!$I$37),"Cam Lộc",""),IF(OR(M1303=phu!$I$38,M1303=phu!$I$39,M1303=phu!$I$40,M1303=phu!$I$41,M1303=phu!$I$42,M1303=phu!$I$43,M1303=phu!$I$44),"Cam Thuận",""),IF(OR(M1303=phu!$I$45,M1303=phu!$I$46,M1303=phu!$I$47,M1303=phu!$I$48,M1303=phu!$I$49,M1303=phu!$I$50,M1303=phu!$I$51,M1303=phu!$I$52,M1303=phu!$I$53),"Cam Linh",""),IF(OR(M1303=phu!$I$54,M1303=phu!$I$55,M1303=phu!$I$56,M1303=phu!$I$57,M1303=phu!$I$58,M1303=phu!$I$59,M1303=phu!$I$60,M1303=phu!$I$61,M1303=phu!$I$62),"Cam Lợi",""),IF(OR(M1303=phu!$I$63,M1303=phu!$I$64,M1303=phu!$I$65,M1303=phu!$I$66,M1303=phu!$I$67,M1303=phu!$I$68,M1303=phu!$I$69,M1303=phu!$I$70,M1303=phu!$I$71),"Ba Ngòi",""),IF(OR(M1303=phu!$I$72,M1303=phu!$I$73,M1303=phu!$I$74,M1303=phu!$I$75,M1303=phu!$I$76,M1303=phu!$I$77,M1303=phu!$I$78),"Cam Phước Đông",""),IF(OR(M1303=phu!$I$79,M1303=phu!$I$80,M1303=phu!$I$81,M1303=phu!$I$82,M1303=phu!$I$83,M1303=phu!$I$84),"Cam Thịnh Đông",""),IF(OR(M1303=phu!$I$85,M1303=phu!$I$86,M1303=phu!$I$87,M1303=phu!$I$88),"Cam Thịnh Tây",""),IF(OR(M1303=phu!$I$89,M1303=phu!$I$90),"Cam Lập",""),IF(OR(M1303=phu!$I$91,M1303=phu!$I$92,M1303=phu!$I$93),"Cam Bình",""),IF(OR(M1303=phu!$I$94,M1303=phu!$I$95,M1303=phu!$I$96,M1303=phu!$I$97,M1303=phu!$I$98,M1303=phu!$I$99,M1303=phu!$I$100),"Huyện khác",""),IF(OR(M1303=phu!$I$101,M1303=phu!$I$102),"Tỉnh khác",""))</f>
        <v/>
      </c>
      <c r="O1303" s="829" t="str">
        <f t="shared" si="120"/>
        <v/>
      </c>
      <c r="P1303" s="254"/>
      <c r="Q1303" s="254"/>
      <c r="R1303" s="254"/>
      <c r="S1303" s="254"/>
      <c r="T1303" s="254"/>
      <c r="U1303" s="254"/>
      <c r="V1303" s="254"/>
      <c r="W1303" s="254"/>
      <c r="Y1303" s="246" t="str">
        <f t="shared" si="121"/>
        <v/>
      </c>
      <c r="Z1303" s="247" t="str">
        <f t="shared" si="125"/>
        <v/>
      </c>
      <c r="AA1303" s="246" t="str">
        <f t="shared" si="122"/>
        <v/>
      </c>
    </row>
    <row r="1304" spans="1:27" x14ac:dyDescent="0.25">
      <c r="A1304" s="248" t="str">
        <f t="shared" si="123"/>
        <v/>
      </c>
      <c r="B1304" s="249" t="str">
        <f t="shared" si="124"/>
        <v/>
      </c>
      <c r="C1304" s="250"/>
      <c r="D1304" s="251"/>
      <c r="E1304" s="241"/>
      <c r="F1304" s="252"/>
      <c r="G1304" s="252"/>
      <c r="H1304" s="253"/>
      <c r="I1304" s="250"/>
      <c r="J1304" s="250"/>
      <c r="K1304" s="270"/>
      <c r="L1304" s="250"/>
      <c r="M1304" s="250"/>
      <c r="N1304" s="540" t="str">
        <f>CONCATENATE(IF(OR(M1304=phu!$I$1,M1304=phu!$I$2,M1304=phu!$I$3),"Cam Thành Nam",""),IF(OR(M1304=phu!$I$4,M1304=phu!$I$5,M1304=phu!$I$6,M1304=phu!$I$7,M1304=phu!$I$8,M1304=phu!$I$9,M1304=phu!$I$10,M1304=phu!$I$11,M1304=phu!$I$12,M1304=phu!$I$13,M1304=phu!$I$14),"Cam Nghĩa",""),IF(OR(M1304=phu!$I$15,M1304=phu!$I$16,M1304=phu!$I$17,M1304=phu!$I$18,M1304=phu!$I$19,M1304=phu!$I$20,M1304=phu!$I$21),"Cam Phúc Bắc",""),IF(OR(M1304=phu!$I$22,M1304=phu!$I$23,M1304=phu!$I$24,M1304=phu!$I$25),"Cam Phúc Nam",""),IF(OR(M1304=phu!$I$26,M1304=phu!$I$27,M1304=phu!$I$28,M1304=phu!$I$29,M1304=phu!$I$30,M1304=phu!$I$31),"Cam Phú",""),IF(OR(M1304=phu!$I$32,M1304=phu!$I$33,M1304=phu!$I$34,M1304=phu!$I$35,M1304=phu!$I$36,M1304=phu!$I$37),"Cam Lộc",""),IF(OR(M1304=phu!$I$38,M1304=phu!$I$39,M1304=phu!$I$40,M1304=phu!$I$41,M1304=phu!$I$42,M1304=phu!$I$43,M1304=phu!$I$44),"Cam Thuận",""),IF(OR(M1304=phu!$I$45,M1304=phu!$I$46,M1304=phu!$I$47,M1304=phu!$I$48,M1304=phu!$I$49,M1304=phu!$I$50,M1304=phu!$I$51,M1304=phu!$I$52,M1304=phu!$I$53),"Cam Linh",""),IF(OR(M1304=phu!$I$54,M1304=phu!$I$55,M1304=phu!$I$56,M1304=phu!$I$57,M1304=phu!$I$58,M1304=phu!$I$59,M1304=phu!$I$60,M1304=phu!$I$61,M1304=phu!$I$62),"Cam Lợi",""),IF(OR(M1304=phu!$I$63,M1304=phu!$I$64,M1304=phu!$I$65,M1304=phu!$I$66,M1304=phu!$I$67,M1304=phu!$I$68,M1304=phu!$I$69,M1304=phu!$I$70,M1304=phu!$I$71),"Ba Ngòi",""),IF(OR(M1304=phu!$I$72,M1304=phu!$I$73,M1304=phu!$I$74,M1304=phu!$I$75,M1304=phu!$I$76,M1304=phu!$I$77,M1304=phu!$I$78),"Cam Phước Đông",""),IF(OR(M1304=phu!$I$79,M1304=phu!$I$80,M1304=phu!$I$81,M1304=phu!$I$82,M1304=phu!$I$83,M1304=phu!$I$84),"Cam Thịnh Đông",""),IF(OR(M1304=phu!$I$85,M1304=phu!$I$86,M1304=phu!$I$87,M1304=phu!$I$88),"Cam Thịnh Tây",""),IF(OR(M1304=phu!$I$89,M1304=phu!$I$90),"Cam Lập",""),IF(OR(M1304=phu!$I$91,M1304=phu!$I$92,M1304=phu!$I$93),"Cam Bình",""),IF(OR(M1304=phu!$I$94,M1304=phu!$I$95,M1304=phu!$I$96,M1304=phu!$I$97,M1304=phu!$I$98,M1304=phu!$I$99,M1304=phu!$I$100),"Huyện khác",""),IF(OR(M1304=phu!$I$101,M1304=phu!$I$102),"Tỉnh khác",""))</f>
        <v/>
      </c>
      <c r="O1304" s="829" t="str">
        <f t="shared" si="120"/>
        <v/>
      </c>
      <c r="P1304" s="254"/>
      <c r="Q1304" s="254"/>
      <c r="R1304" s="254"/>
      <c r="S1304" s="254"/>
      <c r="T1304" s="254"/>
      <c r="U1304" s="254"/>
      <c r="V1304" s="254"/>
      <c r="W1304" s="254"/>
      <c r="Y1304" s="246" t="str">
        <f t="shared" si="121"/>
        <v/>
      </c>
      <c r="Z1304" s="247" t="str">
        <f t="shared" si="125"/>
        <v/>
      </c>
      <c r="AA1304" s="246" t="str">
        <f t="shared" si="122"/>
        <v/>
      </c>
    </row>
    <row r="1305" spans="1:27" x14ac:dyDescent="0.25">
      <c r="A1305" s="248" t="str">
        <f t="shared" si="123"/>
        <v/>
      </c>
      <c r="B1305" s="249" t="str">
        <f t="shared" si="124"/>
        <v/>
      </c>
      <c r="C1305" s="250"/>
      <c r="D1305" s="251"/>
      <c r="E1305" s="241"/>
      <c r="F1305" s="252"/>
      <c r="G1305" s="252"/>
      <c r="H1305" s="253"/>
      <c r="I1305" s="250"/>
      <c r="J1305" s="250"/>
      <c r="K1305" s="270"/>
      <c r="L1305" s="250"/>
      <c r="M1305" s="250"/>
      <c r="N1305" s="540" t="str">
        <f>CONCATENATE(IF(OR(M1305=phu!$I$1,M1305=phu!$I$2,M1305=phu!$I$3),"Cam Thành Nam",""),IF(OR(M1305=phu!$I$4,M1305=phu!$I$5,M1305=phu!$I$6,M1305=phu!$I$7,M1305=phu!$I$8,M1305=phu!$I$9,M1305=phu!$I$10,M1305=phu!$I$11,M1305=phu!$I$12,M1305=phu!$I$13,M1305=phu!$I$14),"Cam Nghĩa",""),IF(OR(M1305=phu!$I$15,M1305=phu!$I$16,M1305=phu!$I$17,M1305=phu!$I$18,M1305=phu!$I$19,M1305=phu!$I$20,M1305=phu!$I$21),"Cam Phúc Bắc",""),IF(OR(M1305=phu!$I$22,M1305=phu!$I$23,M1305=phu!$I$24,M1305=phu!$I$25),"Cam Phúc Nam",""),IF(OR(M1305=phu!$I$26,M1305=phu!$I$27,M1305=phu!$I$28,M1305=phu!$I$29,M1305=phu!$I$30,M1305=phu!$I$31),"Cam Phú",""),IF(OR(M1305=phu!$I$32,M1305=phu!$I$33,M1305=phu!$I$34,M1305=phu!$I$35,M1305=phu!$I$36,M1305=phu!$I$37),"Cam Lộc",""),IF(OR(M1305=phu!$I$38,M1305=phu!$I$39,M1305=phu!$I$40,M1305=phu!$I$41,M1305=phu!$I$42,M1305=phu!$I$43,M1305=phu!$I$44),"Cam Thuận",""),IF(OR(M1305=phu!$I$45,M1305=phu!$I$46,M1305=phu!$I$47,M1305=phu!$I$48,M1305=phu!$I$49,M1305=phu!$I$50,M1305=phu!$I$51,M1305=phu!$I$52,M1305=phu!$I$53),"Cam Linh",""),IF(OR(M1305=phu!$I$54,M1305=phu!$I$55,M1305=phu!$I$56,M1305=phu!$I$57,M1305=phu!$I$58,M1305=phu!$I$59,M1305=phu!$I$60,M1305=phu!$I$61,M1305=phu!$I$62),"Cam Lợi",""),IF(OR(M1305=phu!$I$63,M1305=phu!$I$64,M1305=phu!$I$65,M1305=phu!$I$66,M1305=phu!$I$67,M1305=phu!$I$68,M1305=phu!$I$69,M1305=phu!$I$70,M1305=phu!$I$71),"Ba Ngòi",""),IF(OR(M1305=phu!$I$72,M1305=phu!$I$73,M1305=phu!$I$74,M1305=phu!$I$75,M1305=phu!$I$76,M1305=phu!$I$77,M1305=phu!$I$78),"Cam Phước Đông",""),IF(OR(M1305=phu!$I$79,M1305=phu!$I$80,M1305=phu!$I$81,M1305=phu!$I$82,M1305=phu!$I$83,M1305=phu!$I$84),"Cam Thịnh Đông",""),IF(OR(M1305=phu!$I$85,M1305=phu!$I$86,M1305=phu!$I$87,M1305=phu!$I$88),"Cam Thịnh Tây",""),IF(OR(M1305=phu!$I$89,M1305=phu!$I$90),"Cam Lập",""),IF(OR(M1305=phu!$I$91,M1305=phu!$I$92,M1305=phu!$I$93),"Cam Bình",""),IF(OR(M1305=phu!$I$94,M1305=phu!$I$95,M1305=phu!$I$96,M1305=phu!$I$97,M1305=phu!$I$98,M1305=phu!$I$99,M1305=phu!$I$100),"Huyện khác",""),IF(OR(M1305=phu!$I$101,M1305=phu!$I$102),"Tỉnh khác",""))</f>
        <v/>
      </c>
      <c r="O1305" s="829" t="str">
        <f t="shared" si="120"/>
        <v/>
      </c>
      <c r="P1305" s="254"/>
      <c r="Q1305" s="254"/>
      <c r="R1305" s="254"/>
      <c r="S1305" s="254"/>
      <c r="T1305" s="254"/>
      <c r="U1305" s="254"/>
      <c r="V1305" s="254"/>
      <c r="W1305" s="254"/>
      <c r="Y1305" s="246" t="str">
        <f t="shared" si="121"/>
        <v/>
      </c>
      <c r="Z1305" s="247" t="str">
        <f t="shared" si="125"/>
        <v/>
      </c>
      <c r="AA1305" s="246" t="str">
        <f t="shared" si="122"/>
        <v/>
      </c>
    </row>
    <row r="1306" spans="1:27" x14ac:dyDescent="0.25">
      <c r="A1306" s="248" t="str">
        <f t="shared" si="123"/>
        <v/>
      </c>
      <c r="B1306" s="249" t="str">
        <f t="shared" si="124"/>
        <v/>
      </c>
      <c r="C1306" s="250"/>
      <c r="D1306" s="251"/>
      <c r="E1306" s="241"/>
      <c r="F1306" s="252"/>
      <c r="G1306" s="252"/>
      <c r="H1306" s="253"/>
      <c r="I1306" s="250"/>
      <c r="J1306" s="250"/>
      <c r="K1306" s="270"/>
      <c r="L1306" s="250"/>
      <c r="M1306" s="250"/>
      <c r="N1306" s="540" t="str">
        <f>CONCATENATE(IF(OR(M1306=phu!$I$1,M1306=phu!$I$2,M1306=phu!$I$3),"Cam Thành Nam",""),IF(OR(M1306=phu!$I$4,M1306=phu!$I$5,M1306=phu!$I$6,M1306=phu!$I$7,M1306=phu!$I$8,M1306=phu!$I$9,M1306=phu!$I$10,M1306=phu!$I$11,M1306=phu!$I$12,M1306=phu!$I$13,M1306=phu!$I$14),"Cam Nghĩa",""),IF(OR(M1306=phu!$I$15,M1306=phu!$I$16,M1306=phu!$I$17,M1306=phu!$I$18,M1306=phu!$I$19,M1306=phu!$I$20,M1306=phu!$I$21),"Cam Phúc Bắc",""),IF(OR(M1306=phu!$I$22,M1306=phu!$I$23,M1306=phu!$I$24,M1306=phu!$I$25),"Cam Phúc Nam",""),IF(OR(M1306=phu!$I$26,M1306=phu!$I$27,M1306=phu!$I$28,M1306=phu!$I$29,M1306=phu!$I$30,M1306=phu!$I$31),"Cam Phú",""),IF(OR(M1306=phu!$I$32,M1306=phu!$I$33,M1306=phu!$I$34,M1306=phu!$I$35,M1306=phu!$I$36,M1306=phu!$I$37),"Cam Lộc",""),IF(OR(M1306=phu!$I$38,M1306=phu!$I$39,M1306=phu!$I$40,M1306=phu!$I$41,M1306=phu!$I$42,M1306=phu!$I$43,M1306=phu!$I$44),"Cam Thuận",""),IF(OR(M1306=phu!$I$45,M1306=phu!$I$46,M1306=phu!$I$47,M1306=phu!$I$48,M1306=phu!$I$49,M1306=phu!$I$50,M1306=phu!$I$51,M1306=phu!$I$52,M1306=phu!$I$53),"Cam Linh",""),IF(OR(M1306=phu!$I$54,M1306=phu!$I$55,M1306=phu!$I$56,M1306=phu!$I$57,M1306=phu!$I$58,M1306=phu!$I$59,M1306=phu!$I$60,M1306=phu!$I$61,M1306=phu!$I$62),"Cam Lợi",""),IF(OR(M1306=phu!$I$63,M1306=phu!$I$64,M1306=phu!$I$65,M1306=phu!$I$66,M1306=phu!$I$67,M1306=phu!$I$68,M1306=phu!$I$69,M1306=phu!$I$70,M1306=phu!$I$71),"Ba Ngòi",""),IF(OR(M1306=phu!$I$72,M1306=phu!$I$73,M1306=phu!$I$74,M1306=phu!$I$75,M1306=phu!$I$76,M1306=phu!$I$77,M1306=phu!$I$78),"Cam Phước Đông",""),IF(OR(M1306=phu!$I$79,M1306=phu!$I$80,M1306=phu!$I$81,M1306=phu!$I$82,M1306=phu!$I$83,M1306=phu!$I$84),"Cam Thịnh Đông",""),IF(OR(M1306=phu!$I$85,M1306=phu!$I$86,M1306=phu!$I$87,M1306=phu!$I$88),"Cam Thịnh Tây",""),IF(OR(M1306=phu!$I$89,M1306=phu!$I$90),"Cam Lập",""),IF(OR(M1306=phu!$I$91,M1306=phu!$I$92,M1306=phu!$I$93),"Cam Bình",""),IF(OR(M1306=phu!$I$94,M1306=phu!$I$95,M1306=phu!$I$96,M1306=phu!$I$97,M1306=phu!$I$98,M1306=phu!$I$99,M1306=phu!$I$100),"Huyện khác",""),IF(OR(M1306=phu!$I$101,M1306=phu!$I$102),"Tỉnh khác",""))</f>
        <v/>
      </c>
      <c r="O1306" s="829" t="str">
        <f t="shared" si="120"/>
        <v/>
      </c>
      <c r="P1306" s="254"/>
      <c r="Q1306" s="254"/>
      <c r="R1306" s="254"/>
      <c r="S1306" s="254"/>
      <c r="T1306" s="254"/>
      <c r="U1306" s="254"/>
      <c r="V1306" s="254"/>
      <c r="W1306" s="254"/>
      <c r="Y1306" s="246" t="str">
        <f t="shared" si="121"/>
        <v/>
      </c>
      <c r="Z1306" s="247" t="str">
        <f t="shared" si="125"/>
        <v/>
      </c>
      <c r="AA1306" s="246" t="str">
        <f t="shared" si="122"/>
        <v/>
      </c>
    </row>
    <row r="1307" spans="1:27" x14ac:dyDescent="0.25">
      <c r="A1307" s="248" t="str">
        <f t="shared" si="123"/>
        <v/>
      </c>
      <c r="B1307" s="249" t="str">
        <f t="shared" si="124"/>
        <v/>
      </c>
      <c r="C1307" s="250"/>
      <c r="D1307" s="251"/>
      <c r="E1307" s="241"/>
      <c r="F1307" s="252"/>
      <c r="G1307" s="252"/>
      <c r="H1307" s="253"/>
      <c r="I1307" s="250"/>
      <c r="J1307" s="250"/>
      <c r="K1307" s="270"/>
      <c r="L1307" s="250"/>
      <c r="M1307" s="250"/>
      <c r="N1307" s="540" t="str">
        <f>CONCATENATE(IF(OR(M1307=phu!$I$1,M1307=phu!$I$2,M1307=phu!$I$3),"Cam Thành Nam",""),IF(OR(M1307=phu!$I$4,M1307=phu!$I$5,M1307=phu!$I$6,M1307=phu!$I$7,M1307=phu!$I$8,M1307=phu!$I$9,M1307=phu!$I$10,M1307=phu!$I$11,M1307=phu!$I$12,M1307=phu!$I$13,M1307=phu!$I$14),"Cam Nghĩa",""),IF(OR(M1307=phu!$I$15,M1307=phu!$I$16,M1307=phu!$I$17,M1307=phu!$I$18,M1307=phu!$I$19,M1307=phu!$I$20,M1307=phu!$I$21),"Cam Phúc Bắc",""),IF(OR(M1307=phu!$I$22,M1307=phu!$I$23,M1307=phu!$I$24,M1307=phu!$I$25),"Cam Phúc Nam",""),IF(OR(M1307=phu!$I$26,M1307=phu!$I$27,M1307=phu!$I$28,M1307=phu!$I$29,M1307=phu!$I$30,M1307=phu!$I$31),"Cam Phú",""),IF(OR(M1307=phu!$I$32,M1307=phu!$I$33,M1307=phu!$I$34,M1307=phu!$I$35,M1307=phu!$I$36,M1307=phu!$I$37),"Cam Lộc",""),IF(OR(M1307=phu!$I$38,M1307=phu!$I$39,M1307=phu!$I$40,M1307=phu!$I$41,M1307=phu!$I$42,M1307=phu!$I$43,M1307=phu!$I$44),"Cam Thuận",""),IF(OR(M1307=phu!$I$45,M1307=phu!$I$46,M1307=phu!$I$47,M1307=phu!$I$48,M1307=phu!$I$49,M1307=phu!$I$50,M1307=phu!$I$51,M1307=phu!$I$52,M1307=phu!$I$53),"Cam Linh",""),IF(OR(M1307=phu!$I$54,M1307=phu!$I$55,M1307=phu!$I$56,M1307=phu!$I$57,M1307=phu!$I$58,M1307=phu!$I$59,M1307=phu!$I$60,M1307=phu!$I$61,M1307=phu!$I$62),"Cam Lợi",""),IF(OR(M1307=phu!$I$63,M1307=phu!$I$64,M1307=phu!$I$65,M1307=phu!$I$66,M1307=phu!$I$67,M1307=phu!$I$68,M1307=phu!$I$69,M1307=phu!$I$70,M1307=phu!$I$71),"Ba Ngòi",""),IF(OR(M1307=phu!$I$72,M1307=phu!$I$73,M1307=phu!$I$74,M1307=phu!$I$75,M1307=phu!$I$76,M1307=phu!$I$77,M1307=phu!$I$78),"Cam Phước Đông",""),IF(OR(M1307=phu!$I$79,M1307=phu!$I$80,M1307=phu!$I$81,M1307=phu!$I$82,M1307=phu!$I$83,M1307=phu!$I$84),"Cam Thịnh Đông",""),IF(OR(M1307=phu!$I$85,M1307=phu!$I$86,M1307=phu!$I$87,M1307=phu!$I$88),"Cam Thịnh Tây",""),IF(OR(M1307=phu!$I$89,M1307=phu!$I$90),"Cam Lập",""),IF(OR(M1307=phu!$I$91,M1307=phu!$I$92,M1307=phu!$I$93),"Cam Bình",""),IF(OR(M1307=phu!$I$94,M1307=phu!$I$95,M1307=phu!$I$96,M1307=phu!$I$97,M1307=phu!$I$98,M1307=phu!$I$99,M1307=phu!$I$100),"Huyện khác",""),IF(OR(M1307=phu!$I$101,M1307=phu!$I$102),"Tỉnh khác",""))</f>
        <v/>
      </c>
      <c r="O1307" s="829" t="str">
        <f t="shared" si="120"/>
        <v/>
      </c>
      <c r="P1307" s="254"/>
      <c r="Q1307" s="254"/>
      <c r="R1307" s="254"/>
      <c r="S1307" s="254"/>
      <c r="T1307" s="254"/>
      <c r="U1307" s="254"/>
      <c r="V1307" s="254"/>
      <c r="W1307" s="254"/>
      <c r="Y1307" s="246" t="str">
        <f t="shared" si="121"/>
        <v/>
      </c>
      <c r="Z1307" s="247" t="str">
        <f t="shared" si="125"/>
        <v/>
      </c>
      <c r="AA1307" s="246" t="str">
        <f t="shared" si="122"/>
        <v/>
      </c>
    </row>
    <row r="1308" spans="1:27" x14ac:dyDescent="0.25">
      <c r="A1308" s="248" t="str">
        <f t="shared" si="123"/>
        <v/>
      </c>
      <c r="B1308" s="249" t="str">
        <f t="shared" si="124"/>
        <v/>
      </c>
      <c r="C1308" s="250"/>
      <c r="D1308" s="251"/>
      <c r="E1308" s="241"/>
      <c r="F1308" s="252"/>
      <c r="G1308" s="252"/>
      <c r="H1308" s="253"/>
      <c r="I1308" s="250"/>
      <c r="J1308" s="250"/>
      <c r="K1308" s="270"/>
      <c r="L1308" s="250"/>
      <c r="M1308" s="250"/>
      <c r="N1308" s="540" t="str">
        <f>CONCATENATE(IF(OR(M1308=phu!$I$1,M1308=phu!$I$2,M1308=phu!$I$3),"Cam Thành Nam",""),IF(OR(M1308=phu!$I$4,M1308=phu!$I$5,M1308=phu!$I$6,M1308=phu!$I$7,M1308=phu!$I$8,M1308=phu!$I$9,M1308=phu!$I$10,M1308=phu!$I$11,M1308=phu!$I$12,M1308=phu!$I$13,M1308=phu!$I$14),"Cam Nghĩa",""),IF(OR(M1308=phu!$I$15,M1308=phu!$I$16,M1308=phu!$I$17,M1308=phu!$I$18,M1308=phu!$I$19,M1308=phu!$I$20,M1308=phu!$I$21),"Cam Phúc Bắc",""),IF(OR(M1308=phu!$I$22,M1308=phu!$I$23,M1308=phu!$I$24,M1308=phu!$I$25),"Cam Phúc Nam",""),IF(OR(M1308=phu!$I$26,M1308=phu!$I$27,M1308=phu!$I$28,M1308=phu!$I$29,M1308=phu!$I$30,M1308=phu!$I$31),"Cam Phú",""),IF(OR(M1308=phu!$I$32,M1308=phu!$I$33,M1308=phu!$I$34,M1308=phu!$I$35,M1308=phu!$I$36,M1308=phu!$I$37),"Cam Lộc",""),IF(OR(M1308=phu!$I$38,M1308=phu!$I$39,M1308=phu!$I$40,M1308=phu!$I$41,M1308=phu!$I$42,M1308=phu!$I$43,M1308=phu!$I$44),"Cam Thuận",""),IF(OR(M1308=phu!$I$45,M1308=phu!$I$46,M1308=phu!$I$47,M1308=phu!$I$48,M1308=phu!$I$49,M1308=phu!$I$50,M1308=phu!$I$51,M1308=phu!$I$52,M1308=phu!$I$53),"Cam Linh",""),IF(OR(M1308=phu!$I$54,M1308=phu!$I$55,M1308=phu!$I$56,M1308=phu!$I$57,M1308=phu!$I$58,M1308=phu!$I$59,M1308=phu!$I$60,M1308=phu!$I$61,M1308=phu!$I$62),"Cam Lợi",""),IF(OR(M1308=phu!$I$63,M1308=phu!$I$64,M1308=phu!$I$65,M1308=phu!$I$66,M1308=phu!$I$67,M1308=phu!$I$68,M1308=phu!$I$69,M1308=phu!$I$70,M1308=phu!$I$71),"Ba Ngòi",""),IF(OR(M1308=phu!$I$72,M1308=phu!$I$73,M1308=phu!$I$74,M1308=phu!$I$75,M1308=phu!$I$76,M1308=phu!$I$77,M1308=phu!$I$78),"Cam Phước Đông",""),IF(OR(M1308=phu!$I$79,M1308=phu!$I$80,M1308=phu!$I$81,M1308=phu!$I$82,M1308=phu!$I$83,M1308=phu!$I$84),"Cam Thịnh Đông",""),IF(OR(M1308=phu!$I$85,M1308=phu!$I$86,M1308=phu!$I$87,M1308=phu!$I$88),"Cam Thịnh Tây",""),IF(OR(M1308=phu!$I$89,M1308=phu!$I$90),"Cam Lập",""),IF(OR(M1308=phu!$I$91,M1308=phu!$I$92,M1308=phu!$I$93),"Cam Bình",""),IF(OR(M1308=phu!$I$94,M1308=phu!$I$95,M1308=phu!$I$96,M1308=phu!$I$97,M1308=phu!$I$98,M1308=phu!$I$99,M1308=phu!$I$100),"Huyện khác",""),IF(OR(M1308=phu!$I$101,M1308=phu!$I$102),"Tỉnh khác",""))</f>
        <v/>
      </c>
      <c r="O1308" s="829" t="str">
        <f t="shared" si="120"/>
        <v/>
      </c>
      <c r="P1308" s="254"/>
      <c r="Q1308" s="254"/>
      <c r="R1308" s="254"/>
      <c r="S1308" s="254"/>
      <c r="T1308" s="254"/>
      <c r="U1308" s="254"/>
      <c r="V1308" s="254"/>
      <c r="W1308" s="254"/>
      <c r="Y1308" s="246" t="str">
        <f t="shared" si="121"/>
        <v/>
      </c>
      <c r="Z1308" s="247" t="str">
        <f t="shared" si="125"/>
        <v/>
      </c>
      <c r="AA1308" s="246" t="str">
        <f t="shared" si="122"/>
        <v/>
      </c>
    </row>
    <row r="1309" spans="1:27" x14ac:dyDescent="0.25">
      <c r="A1309" s="248" t="str">
        <f t="shared" si="123"/>
        <v/>
      </c>
      <c r="B1309" s="249" t="str">
        <f t="shared" si="124"/>
        <v/>
      </c>
      <c r="C1309" s="250"/>
      <c r="D1309" s="251"/>
      <c r="E1309" s="241"/>
      <c r="F1309" s="252"/>
      <c r="G1309" s="252"/>
      <c r="H1309" s="253"/>
      <c r="I1309" s="250"/>
      <c r="J1309" s="250"/>
      <c r="K1309" s="270"/>
      <c r="L1309" s="250"/>
      <c r="M1309" s="250"/>
      <c r="N1309" s="540" t="str">
        <f>CONCATENATE(IF(OR(M1309=phu!$I$1,M1309=phu!$I$2,M1309=phu!$I$3),"Cam Thành Nam",""),IF(OR(M1309=phu!$I$4,M1309=phu!$I$5,M1309=phu!$I$6,M1309=phu!$I$7,M1309=phu!$I$8,M1309=phu!$I$9,M1309=phu!$I$10,M1309=phu!$I$11,M1309=phu!$I$12,M1309=phu!$I$13,M1309=phu!$I$14),"Cam Nghĩa",""),IF(OR(M1309=phu!$I$15,M1309=phu!$I$16,M1309=phu!$I$17,M1309=phu!$I$18,M1309=phu!$I$19,M1309=phu!$I$20,M1309=phu!$I$21),"Cam Phúc Bắc",""),IF(OR(M1309=phu!$I$22,M1309=phu!$I$23,M1309=phu!$I$24,M1309=phu!$I$25),"Cam Phúc Nam",""),IF(OR(M1309=phu!$I$26,M1309=phu!$I$27,M1309=phu!$I$28,M1309=phu!$I$29,M1309=phu!$I$30,M1309=phu!$I$31),"Cam Phú",""),IF(OR(M1309=phu!$I$32,M1309=phu!$I$33,M1309=phu!$I$34,M1309=phu!$I$35,M1309=phu!$I$36,M1309=phu!$I$37),"Cam Lộc",""),IF(OR(M1309=phu!$I$38,M1309=phu!$I$39,M1309=phu!$I$40,M1309=phu!$I$41,M1309=phu!$I$42,M1309=phu!$I$43,M1309=phu!$I$44),"Cam Thuận",""),IF(OR(M1309=phu!$I$45,M1309=phu!$I$46,M1309=phu!$I$47,M1309=phu!$I$48,M1309=phu!$I$49,M1309=phu!$I$50,M1309=phu!$I$51,M1309=phu!$I$52,M1309=phu!$I$53),"Cam Linh",""),IF(OR(M1309=phu!$I$54,M1309=phu!$I$55,M1309=phu!$I$56,M1309=phu!$I$57,M1309=phu!$I$58,M1309=phu!$I$59,M1309=phu!$I$60,M1309=phu!$I$61,M1309=phu!$I$62),"Cam Lợi",""),IF(OR(M1309=phu!$I$63,M1309=phu!$I$64,M1309=phu!$I$65,M1309=phu!$I$66,M1309=phu!$I$67,M1309=phu!$I$68,M1309=phu!$I$69,M1309=phu!$I$70,M1309=phu!$I$71),"Ba Ngòi",""),IF(OR(M1309=phu!$I$72,M1309=phu!$I$73,M1309=phu!$I$74,M1309=phu!$I$75,M1309=phu!$I$76,M1309=phu!$I$77,M1309=phu!$I$78),"Cam Phước Đông",""),IF(OR(M1309=phu!$I$79,M1309=phu!$I$80,M1309=phu!$I$81,M1309=phu!$I$82,M1309=phu!$I$83,M1309=phu!$I$84),"Cam Thịnh Đông",""),IF(OR(M1309=phu!$I$85,M1309=phu!$I$86,M1309=phu!$I$87,M1309=phu!$I$88),"Cam Thịnh Tây",""),IF(OR(M1309=phu!$I$89,M1309=phu!$I$90),"Cam Lập",""),IF(OR(M1309=phu!$I$91,M1309=phu!$I$92,M1309=phu!$I$93),"Cam Bình",""),IF(OR(M1309=phu!$I$94,M1309=phu!$I$95,M1309=phu!$I$96,M1309=phu!$I$97,M1309=phu!$I$98,M1309=phu!$I$99,M1309=phu!$I$100),"Huyện khác",""),IF(OR(M1309=phu!$I$101,M1309=phu!$I$102),"Tỉnh khác",""))</f>
        <v/>
      </c>
      <c r="O1309" s="829" t="str">
        <f t="shared" si="120"/>
        <v/>
      </c>
      <c r="P1309" s="254"/>
      <c r="Q1309" s="254"/>
      <c r="R1309" s="254"/>
      <c r="S1309" s="254"/>
      <c r="T1309" s="254"/>
      <c r="U1309" s="254"/>
      <c r="V1309" s="254"/>
      <c r="W1309" s="254"/>
      <c r="Y1309" s="246" t="str">
        <f t="shared" si="121"/>
        <v/>
      </c>
      <c r="Z1309" s="247" t="str">
        <f t="shared" si="125"/>
        <v/>
      </c>
      <c r="AA1309" s="246" t="str">
        <f t="shared" si="122"/>
        <v/>
      </c>
    </row>
    <row r="1310" spans="1:27" x14ac:dyDescent="0.25">
      <c r="A1310" s="248" t="str">
        <f t="shared" si="123"/>
        <v/>
      </c>
      <c r="B1310" s="249" t="str">
        <f t="shared" si="124"/>
        <v/>
      </c>
      <c r="C1310" s="250"/>
      <c r="D1310" s="251"/>
      <c r="E1310" s="241"/>
      <c r="F1310" s="252"/>
      <c r="G1310" s="252"/>
      <c r="H1310" s="253"/>
      <c r="I1310" s="250"/>
      <c r="J1310" s="250"/>
      <c r="K1310" s="270"/>
      <c r="L1310" s="250"/>
      <c r="M1310" s="250"/>
      <c r="N1310" s="540" t="str">
        <f>CONCATENATE(IF(OR(M1310=phu!$I$1,M1310=phu!$I$2,M1310=phu!$I$3),"Cam Thành Nam",""),IF(OR(M1310=phu!$I$4,M1310=phu!$I$5,M1310=phu!$I$6,M1310=phu!$I$7,M1310=phu!$I$8,M1310=phu!$I$9,M1310=phu!$I$10,M1310=phu!$I$11,M1310=phu!$I$12,M1310=phu!$I$13,M1310=phu!$I$14),"Cam Nghĩa",""),IF(OR(M1310=phu!$I$15,M1310=phu!$I$16,M1310=phu!$I$17,M1310=phu!$I$18,M1310=phu!$I$19,M1310=phu!$I$20,M1310=phu!$I$21),"Cam Phúc Bắc",""),IF(OR(M1310=phu!$I$22,M1310=phu!$I$23,M1310=phu!$I$24,M1310=phu!$I$25),"Cam Phúc Nam",""),IF(OR(M1310=phu!$I$26,M1310=phu!$I$27,M1310=phu!$I$28,M1310=phu!$I$29,M1310=phu!$I$30,M1310=phu!$I$31),"Cam Phú",""),IF(OR(M1310=phu!$I$32,M1310=phu!$I$33,M1310=phu!$I$34,M1310=phu!$I$35,M1310=phu!$I$36,M1310=phu!$I$37),"Cam Lộc",""),IF(OR(M1310=phu!$I$38,M1310=phu!$I$39,M1310=phu!$I$40,M1310=phu!$I$41,M1310=phu!$I$42,M1310=phu!$I$43,M1310=phu!$I$44),"Cam Thuận",""),IF(OR(M1310=phu!$I$45,M1310=phu!$I$46,M1310=phu!$I$47,M1310=phu!$I$48,M1310=phu!$I$49,M1310=phu!$I$50,M1310=phu!$I$51,M1310=phu!$I$52,M1310=phu!$I$53),"Cam Linh",""),IF(OR(M1310=phu!$I$54,M1310=phu!$I$55,M1310=phu!$I$56,M1310=phu!$I$57,M1310=phu!$I$58,M1310=phu!$I$59,M1310=phu!$I$60,M1310=phu!$I$61,M1310=phu!$I$62),"Cam Lợi",""),IF(OR(M1310=phu!$I$63,M1310=phu!$I$64,M1310=phu!$I$65,M1310=phu!$I$66,M1310=phu!$I$67,M1310=phu!$I$68,M1310=phu!$I$69,M1310=phu!$I$70,M1310=phu!$I$71),"Ba Ngòi",""),IF(OR(M1310=phu!$I$72,M1310=phu!$I$73,M1310=phu!$I$74,M1310=phu!$I$75,M1310=phu!$I$76,M1310=phu!$I$77,M1310=phu!$I$78),"Cam Phước Đông",""),IF(OR(M1310=phu!$I$79,M1310=phu!$I$80,M1310=phu!$I$81,M1310=phu!$I$82,M1310=phu!$I$83,M1310=phu!$I$84),"Cam Thịnh Đông",""),IF(OR(M1310=phu!$I$85,M1310=phu!$I$86,M1310=phu!$I$87,M1310=phu!$I$88),"Cam Thịnh Tây",""),IF(OR(M1310=phu!$I$89,M1310=phu!$I$90),"Cam Lập",""),IF(OR(M1310=phu!$I$91,M1310=phu!$I$92,M1310=phu!$I$93),"Cam Bình",""),IF(OR(M1310=phu!$I$94,M1310=phu!$I$95,M1310=phu!$I$96,M1310=phu!$I$97,M1310=phu!$I$98,M1310=phu!$I$99,M1310=phu!$I$100),"Huyện khác",""),IF(OR(M1310=phu!$I$101,M1310=phu!$I$102),"Tỉnh khác",""))</f>
        <v/>
      </c>
      <c r="O1310" s="829" t="str">
        <f t="shared" si="120"/>
        <v/>
      </c>
      <c r="P1310" s="254"/>
      <c r="Q1310" s="254"/>
      <c r="R1310" s="254"/>
      <c r="S1310" s="254"/>
      <c r="T1310" s="254"/>
      <c r="U1310" s="254"/>
      <c r="V1310" s="254"/>
      <c r="W1310" s="254"/>
      <c r="Y1310" s="246" t="str">
        <f t="shared" si="121"/>
        <v/>
      </c>
      <c r="Z1310" s="247" t="str">
        <f t="shared" si="125"/>
        <v/>
      </c>
      <c r="AA1310" s="246" t="str">
        <f t="shared" si="122"/>
        <v/>
      </c>
    </row>
    <row r="1311" spans="1:27" x14ac:dyDescent="0.25">
      <c r="A1311" s="248" t="str">
        <f t="shared" si="123"/>
        <v/>
      </c>
      <c r="B1311" s="249" t="str">
        <f t="shared" si="124"/>
        <v/>
      </c>
      <c r="C1311" s="250"/>
      <c r="D1311" s="251"/>
      <c r="E1311" s="241"/>
      <c r="F1311" s="252"/>
      <c r="G1311" s="252"/>
      <c r="H1311" s="253"/>
      <c r="I1311" s="250"/>
      <c r="J1311" s="250"/>
      <c r="K1311" s="270"/>
      <c r="L1311" s="250"/>
      <c r="M1311" s="250"/>
      <c r="N1311" s="540" t="str">
        <f>CONCATENATE(IF(OR(M1311=phu!$I$1,M1311=phu!$I$2,M1311=phu!$I$3),"Cam Thành Nam",""),IF(OR(M1311=phu!$I$4,M1311=phu!$I$5,M1311=phu!$I$6,M1311=phu!$I$7,M1311=phu!$I$8,M1311=phu!$I$9,M1311=phu!$I$10,M1311=phu!$I$11,M1311=phu!$I$12,M1311=phu!$I$13,M1311=phu!$I$14),"Cam Nghĩa",""),IF(OR(M1311=phu!$I$15,M1311=phu!$I$16,M1311=phu!$I$17,M1311=phu!$I$18,M1311=phu!$I$19,M1311=phu!$I$20,M1311=phu!$I$21),"Cam Phúc Bắc",""),IF(OR(M1311=phu!$I$22,M1311=phu!$I$23,M1311=phu!$I$24,M1311=phu!$I$25),"Cam Phúc Nam",""),IF(OR(M1311=phu!$I$26,M1311=phu!$I$27,M1311=phu!$I$28,M1311=phu!$I$29,M1311=phu!$I$30,M1311=phu!$I$31),"Cam Phú",""),IF(OR(M1311=phu!$I$32,M1311=phu!$I$33,M1311=phu!$I$34,M1311=phu!$I$35,M1311=phu!$I$36,M1311=phu!$I$37),"Cam Lộc",""),IF(OR(M1311=phu!$I$38,M1311=phu!$I$39,M1311=phu!$I$40,M1311=phu!$I$41,M1311=phu!$I$42,M1311=phu!$I$43,M1311=phu!$I$44),"Cam Thuận",""),IF(OR(M1311=phu!$I$45,M1311=phu!$I$46,M1311=phu!$I$47,M1311=phu!$I$48,M1311=phu!$I$49,M1311=phu!$I$50,M1311=phu!$I$51,M1311=phu!$I$52,M1311=phu!$I$53),"Cam Linh",""),IF(OR(M1311=phu!$I$54,M1311=phu!$I$55,M1311=phu!$I$56,M1311=phu!$I$57,M1311=phu!$I$58,M1311=phu!$I$59,M1311=phu!$I$60,M1311=phu!$I$61,M1311=phu!$I$62),"Cam Lợi",""),IF(OR(M1311=phu!$I$63,M1311=phu!$I$64,M1311=phu!$I$65,M1311=phu!$I$66,M1311=phu!$I$67,M1311=phu!$I$68,M1311=phu!$I$69,M1311=phu!$I$70,M1311=phu!$I$71),"Ba Ngòi",""),IF(OR(M1311=phu!$I$72,M1311=phu!$I$73,M1311=phu!$I$74,M1311=phu!$I$75,M1311=phu!$I$76,M1311=phu!$I$77,M1311=phu!$I$78),"Cam Phước Đông",""),IF(OR(M1311=phu!$I$79,M1311=phu!$I$80,M1311=phu!$I$81,M1311=phu!$I$82,M1311=phu!$I$83,M1311=phu!$I$84),"Cam Thịnh Đông",""),IF(OR(M1311=phu!$I$85,M1311=phu!$I$86,M1311=phu!$I$87,M1311=phu!$I$88),"Cam Thịnh Tây",""),IF(OR(M1311=phu!$I$89,M1311=phu!$I$90),"Cam Lập",""),IF(OR(M1311=phu!$I$91,M1311=phu!$I$92,M1311=phu!$I$93),"Cam Bình",""),IF(OR(M1311=phu!$I$94,M1311=phu!$I$95,M1311=phu!$I$96,M1311=phu!$I$97,M1311=phu!$I$98,M1311=phu!$I$99,M1311=phu!$I$100),"Huyện khác",""),IF(OR(M1311=phu!$I$101,M1311=phu!$I$102),"Tỉnh khác",""))</f>
        <v/>
      </c>
      <c r="O1311" s="829" t="str">
        <f t="shared" si="120"/>
        <v/>
      </c>
      <c r="P1311" s="254"/>
      <c r="Q1311" s="254"/>
      <c r="R1311" s="254"/>
      <c r="S1311" s="254"/>
      <c r="T1311" s="254"/>
      <c r="U1311" s="254"/>
      <c r="V1311" s="254"/>
      <c r="W1311" s="254"/>
      <c r="Y1311" s="246" t="str">
        <f t="shared" si="121"/>
        <v/>
      </c>
      <c r="Z1311" s="247" t="str">
        <f t="shared" si="125"/>
        <v/>
      </c>
      <c r="AA1311" s="246" t="str">
        <f t="shared" si="122"/>
        <v/>
      </c>
    </row>
    <row r="1312" spans="1:27" x14ac:dyDescent="0.25">
      <c r="A1312" s="248" t="str">
        <f t="shared" si="123"/>
        <v/>
      </c>
      <c r="B1312" s="249" t="str">
        <f t="shared" si="124"/>
        <v/>
      </c>
      <c r="C1312" s="250"/>
      <c r="D1312" s="251"/>
      <c r="E1312" s="241"/>
      <c r="F1312" s="252"/>
      <c r="G1312" s="252"/>
      <c r="H1312" s="253"/>
      <c r="I1312" s="250"/>
      <c r="J1312" s="250"/>
      <c r="K1312" s="270"/>
      <c r="L1312" s="250"/>
      <c r="M1312" s="250"/>
      <c r="N1312" s="540" t="str">
        <f>CONCATENATE(IF(OR(M1312=phu!$I$1,M1312=phu!$I$2,M1312=phu!$I$3),"Cam Thành Nam",""),IF(OR(M1312=phu!$I$4,M1312=phu!$I$5,M1312=phu!$I$6,M1312=phu!$I$7,M1312=phu!$I$8,M1312=phu!$I$9,M1312=phu!$I$10,M1312=phu!$I$11,M1312=phu!$I$12,M1312=phu!$I$13,M1312=phu!$I$14),"Cam Nghĩa",""),IF(OR(M1312=phu!$I$15,M1312=phu!$I$16,M1312=phu!$I$17,M1312=phu!$I$18,M1312=phu!$I$19,M1312=phu!$I$20,M1312=phu!$I$21),"Cam Phúc Bắc",""),IF(OR(M1312=phu!$I$22,M1312=phu!$I$23,M1312=phu!$I$24,M1312=phu!$I$25),"Cam Phúc Nam",""),IF(OR(M1312=phu!$I$26,M1312=phu!$I$27,M1312=phu!$I$28,M1312=phu!$I$29,M1312=phu!$I$30,M1312=phu!$I$31),"Cam Phú",""),IF(OR(M1312=phu!$I$32,M1312=phu!$I$33,M1312=phu!$I$34,M1312=phu!$I$35,M1312=phu!$I$36,M1312=phu!$I$37),"Cam Lộc",""),IF(OR(M1312=phu!$I$38,M1312=phu!$I$39,M1312=phu!$I$40,M1312=phu!$I$41,M1312=phu!$I$42,M1312=phu!$I$43,M1312=phu!$I$44),"Cam Thuận",""),IF(OR(M1312=phu!$I$45,M1312=phu!$I$46,M1312=phu!$I$47,M1312=phu!$I$48,M1312=phu!$I$49,M1312=phu!$I$50,M1312=phu!$I$51,M1312=phu!$I$52,M1312=phu!$I$53),"Cam Linh",""),IF(OR(M1312=phu!$I$54,M1312=phu!$I$55,M1312=phu!$I$56,M1312=phu!$I$57,M1312=phu!$I$58,M1312=phu!$I$59,M1312=phu!$I$60,M1312=phu!$I$61,M1312=phu!$I$62),"Cam Lợi",""),IF(OR(M1312=phu!$I$63,M1312=phu!$I$64,M1312=phu!$I$65,M1312=phu!$I$66,M1312=phu!$I$67,M1312=phu!$I$68,M1312=phu!$I$69,M1312=phu!$I$70,M1312=phu!$I$71),"Ba Ngòi",""),IF(OR(M1312=phu!$I$72,M1312=phu!$I$73,M1312=phu!$I$74,M1312=phu!$I$75,M1312=phu!$I$76,M1312=phu!$I$77,M1312=phu!$I$78),"Cam Phước Đông",""),IF(OR(M1312=phu!$I$79,M1312=phu!$I$80,M1312=phu!$I$81,M1312=phu!$I$82,M1312=phu!$I$83,M1312=phu!$I$84),"Cam Thịnh Đông",""),IF(OR(M1312=phu!$I$85,M1312=phu!$I$86,M1312=phu!$I$87,M1312=phu!$I$88),"Cam Thịnh Tây",""),IF(OR(M1312=phu!$I$89,M1312=phu!$I$90),"Cam Lập",""),IF(OR(M1312=phu!$I$91,M1312=phu!$I$92,M1312=phu!$I$93),"Cam Bình",""),IF(OR(M1312=phu!$I$94,M1312=phu!$I$95,M1312=phu!$I$96,M1312=phu!$I$97,M1312=phu!$I$98,M1312=phu!$I$99,M1312=phu!$I$100),"Huyện khác",""),IF(OR(M1312=phu!$I$101,M1312=phu!$I$102),"Tỉnh khác",""))</f>
        <v/>
      </c>
      <c r="O1312" s="829" t="str">
        <f t="shared" si="120"/>
        <v/>
      </c>
      <c r="P1312" s="254"/>
      <c r="Q1312" s="254"/>
      <c r="R1312" s="254"/>
      <c r="S1312" s="254"/>
      <c r="T1312" s="254"/>
      <c r="U1312" s="254"/>
      <c r="V1312" s="254"/>
      <c r="W1312" s="254"/>
      <c r="Y1312" s="246" t="str">
        <f t="shared" si="121"/>
        <v/>
      </c>
      <c r="Z1312" s="247" t="str">
        <f t="shared" si="125"/>
        <v/>
      </c>
      <c r="AA1312" s="246" t="str">
        <f t="shared" si="122"/>
        <v/>
      </c>
    </row>
    <row r="1313" spans="1:27" x14ac:dyDescent="0.25">
      <c r="A1313" s="248" t="str">
        <f t="shared" si="123"/>
        <v/>
      </c>
      <c r="B1313" s="249" t="str">
        <f t="shared" si="124"/>
        <v/>
      </c>
      <c r="C1313" s="250"/>
      <c r="D1313" s="251"/>
      <c r="E1313" s="241"/>
      <c r="F1313" s="252"/>
      <c r="G1313" s="252"/>
      <c r="H1313" s="253"/>
      <c r="I1313" s="250"/>
      <c r="J1313" s="250"/>
      <c r="K1313" s="270"/>
      <c r="L1313" s="250"/>
      <c r="M1313" s="250"/>
      <c r="N1313" s="540" t="str">
        <f>CONCATENATE(IF(OR(M1313=phu!$I$1,M1313=phu!$I$2,M1313=phu!$I$3),"Cam Thành Nam",""),IF(OR(M1313=phu!$I$4,M1313=phu!$I$5,M1313=phu!$I$6,M1313=phu!$I$7,M1313=phu!$I$8,M1313=phu!$I$9,M1313=phu!$I$10,M1313=phu!$I$11,M1313=phu!$I$12,M1313=phu!$I$13,M1313=phu!$I$14),"Cam Nghĩa",""),IF(OR(M1313=phu!$I$15,M1313=phu!$I$16,M1313=phu!$I$17,M1313=phu!$I$18,M1313=phu!$I$19,M1313=phu!$I$20,M1313=phu!$I$21),"Cam Phúc Bắc",""),IF(OR(M1313=phu!$I$22,M1313=phu!$I$23,M1313=phu!$I$24,M1313=phu!$I$25),"Cam Phúc Nam",""),IF(OR(M1313=phu!$I$26,M1313=phu!$I$27,M1313=phu!$I$28,M1313=phu!$I$29,M1313=phu!$I$30,M1313=phu!$I$31),"Cam Phú",""),IF(OR(M1313=phu!$I$32,M1313=phu!$I$33,M1313=phu!$I$34,M1313=phu!$I$35,M1313=phu!$I$36,M1313=phu!$I$37),"Cam Lộc",""),IF(OR(M1313=phu!$I$38,M1313=phu!$I$39,M1313=phu!$I$40,M1313=phu!$I$41,M1313=phu!$I$42,M1313=phu!$I$43,M1313=phu!$I$44),"Cam Thuận",""),IF(OR(M1313=phu!$I$45,M1313=phu!$I$46,M1313=phu!$I$47,M1313=phu!$I$48,M1313=phu!$I$49,M1313=phu!$I$50,M1313=phu!$I$51,M1313=phu!$I$52,M1313=phu!$I$53),"Cam Linh",""),IF(OR(M1313=phu!$I$54,M1313=phu!$I$55,M1313=phu!$I$56,M1313=phu!$I$57,M1313=phu!$I$58,M1313=phu!$I$59,M1313=phu!$I$60,M1313=phu!$I$61,M1313=phu!$I$62),"Cam Lợi",""),IF(OR(M1313=phu!$I$63,M1313=phu!$I$64,M1313=phu!$I$65,M1313=phu!$I$66,M1313=phu!$I$67,M1313=phu!$I$68,M1313=phu!$I$69,M1313=phu!$I$70,M1313=phu!$I$71),"Ba Ngòi",""),IF(OR(M1313=phu!$I$72,M1313=phu!$I$73,M1313=phu!$I$74,M1313=phu!$I$75,M1313=phu!$I$76,M1313=phu!$I$77,M1313=phu!$I$78),"Cam Phước Đông",""),IF(OR(M1313=phu!$I$79,M1313=phu!$I$80,M1313=phu!$I$81,M1313=phu!$I$82,M1313=phu!$I$83,M1313=phu!$I$84),"Cam Thịnh Đông",""),IF(OR(M1313=phu!$I$85,M1313=phu!$I$86,M1313=phu!$I$87,M1313=phu!$I$88),"Cam Thịnh Tây",""),IF(OR(M1313=phu!$I$89,M1313=phu!$I$90),"Cam Lập",""),IF(OR(M1313=phu!$I$91,M1313=phu!$I$92,M1313=phu!$I$93),"Cam Bình",""),IF(OR(M1313=phu!$I$94,M1313=phu!$I$95,M1313=phu!$I$96,M1313=phu!$I$97,M1313=phu!$I$98,M1313=phu!$I$99,M1313=phu!$I$100),"Huyện khác",""),IF(OR(M1313=phu!$I$101,M1313=phu!$I$102),"Tỉnh khác",""))</f>
        <v/>
      </c>
      <c r="O1313" s="829" t="str">
        <f t="shared" si="120"/>
        <v/>
      </c>
      <c r="P1313" s="254"/>
      <c r="Q1313" s="254"/>
      <c r="R1313" s="254"/>
      <c r="S1313" s="254"/>
      <c r="T1313" s="254"/>
      <c r="U1313" s="254"/>
      <c r="V1313" s="254"/>
      <c r="W1313" s="254"/>
      <c r="Y1313" s="246" t="str">
        <f t="shared" si="121"/>
        <v/>
      </c>
      <c r="Z1313" s="247" t="str">
        <f t="shared" si="125"/>
        <v/>
      </c>
      <c r="AA1313" s="246" t="str">
        <f t="shared" si="122"/>
        <v/>
      </c>
    </row>
    <row r="1314" spans="1:27" x14ac:dyDescent="0.25">
      <c r="A1314" s="248" t="str">
        <f t="shared" si="123"/>
        <v/>
      </c>
      <c r="B1314" s="249" t="str">
        <f t="shared" si="124"/>
        <v/>
      </c>
      <c r="C1314" s="250"/>
      <c r="D1314" s="251"/>
      <c r="E1314" s="241"/>
      <c r="F1314" s="252"/>
      <c r="G1314" s="252"/>
      <c r="H1314" s="253"/>
      <c r="I1314" s="250"/>
      <c r="J1314" s="250"/>
      <c r="K1314" s="270"/>
      <c r="L1314" s="250"/>
      <c r="M1314" s="250"/>
      <c r="N1314" s="540" t="str">
        <f>CONCATENATE(IF(OR(M1314=phu!$I$1,M1314=phu!$I$2,M1314=phu!$I$3),"Cam Thành Nam",""),IF(OR(M1314=phu!$I$4,M1314=phu!$I$5,M1314=phu!$I$6,M1314=phu!$I$7,M1314=phu!$I$8,M1314=phu!$I$9,M1314=phu!$I$10,M1314=phu!$I$11,M1314=phu!$I$12,M1314=phu!$I$13,M1314=phu!$I$14),"Cam Nghĩa",""),IF(OR(M1314=phu!$I$15,M1314=phu!$I$16,M1314=phu!$I$17,M1314=phu!$I$18,M1314=phu!$I$19,M1314=phu!$I$20,M1314=phu!$I$21),"Cam Phúc Bắc",""),IF(OR(M1314=phu!$I$22,M1314=phu!$I$23,M1314=phu!$I$24,M1314=phu!$I$25),"Cam Phúc Nam",""),IF(OR(M1314=phu!$I$26,M1314=phu!$I$27,M1314=phu!$I$28,M1314=phu!$I$29,M1314=phu!$I$30,M1314=phu!$I$31),"Cam Phú",""),IF(OR(M1314=phu!$I$32,M1314=phu!$I$33,M1314=phu!$I$34,M1314=phu!$I$35,M1314=phu!$I$36,M1314=phu!$I$37),"Cam Lộc",""),IF(OR(M1314=phu!$I$38,M1314=phu!$I$39,M1314=phu!$I$40,M1314=phu!$I$41,M1314=phu!$I$42,M1314=phu!$I$43,M1314=phu!$I$44),"Cam Thuận",""),IF(OR(M1314=phu!$I$45,M1314=phu!$I$46,M1314=phu!$I$47,M1314=phu!$I$48,M1314=phu!$I$49,M1314=phu!$I$50,M1314=phu!$I$51,M1314=phu!$I$52,M1314=phu!$I$53),"Cam Linh",""),IF(OR(M1314=phu!$I$54,M1314=phu!$I$55,M1314=phu!$I$56,M1314=phu!$I$57,M1314=phu!$I$58,M1314=phu!$I$59,M1314=phu!$I$60,M1314=phu!$I$61,M1314=phu!$I$62),"Cam Lợi",""),IF(OR(M1314=phu!$I$63,M1314=phu!$I$64,M1314=phu!$I$65,M1314=phu!$I$66,M1314=phu!$I$67,M1314=phu!$I$68,M1314=phu!$I$69,M1314=phu!$I$70,M1314=phu!$I$71),"Ba Ngòi",""),IF(OR(M1314=phu!$I$72,M1314=phu!$I$73,M1314=phu!$I$74,M1314=phu!$I$75,M1314=phu!$I$76,M1314=phu!$I$77,M1314=phu!$I$78),"Cam Phước Đông",""),IF(OR(M1314=phu!$I$79,M1314=phu!$I$80,M1314=phu!$I$81,M1314=phu!$I$82,M1314=phu!$I$83,M1314=phu!$I$84),"Cam Thịnh Đông",""),IF(OR(M1314=phu!$I$85,M1314=phu!$I$86,M1314=phu!$I$87,M1314=phu!$I$88),"Cam Thịnh Tây",""),IF(OR(M1314=phu!$I$89,M1314=phu!$I$90),"Cam Lập",""),IF(OR(M1314=phu!$I$91,M1314=phu!$I$92,M1314=phu!$I$93),"Cam Bình",""),IF(OR(M1314=phu!$I$94,M1314=phu!$I$95,M1314=phu!$I$96,M1314=phu!$I$97,M1314=phu!$I$98,M1314=phu!$I$99,M1314=phu!$I$100),"Huyện khác",""),IF(OR(M1314=phu!$I$101,M1314=phu!$I$102),"Tỉnh khác",""))</f>
        <v/>
      </c>
      <c r="O1314" s="829" t="str">
        <f t="shared" si="120"/>
        <v/>
      </c>
      <c r="P1314" s="254"/>
      <c r="Q1314" s="254"/>
      <c r="R1314" s="254"/>
      <c r="S1314" s="254"/>
      <c r="T1314" s="254"/>
      <c r="U1314" s="254"/>
      <c r="V1314" s="254"/>
      <c r="W1314" s="254"/>
      <c r="Y1314" s="246" t="str">
        <f t="shared" si="121"/>
        <v/>
      </c>
      <c r="Z1314" s="247" t="str">
        <f t="shared" si="125"/>
        <v/>
      </c>
      <c r="AA1314" s="246" t="str">
        <f t="shared" si="122"/>
        <v/>
      </c>
    </row>
    <row r="1315" spans="1:27" x14ac:dyDescent="0.25">
      <c r="A1315" s="248" t="str">
        <f t="shared" si="123"/>
        <v/>
      </c>
      <c r="B1315" s="249" t="str">
        <f t="shared" si="124"/>
        <v/>
      </c>
      <c r="C1315" s="250"/>
      <c r="D1315" s="251"/>
      <c r="E1315" s="241"/>
      <c r="F1315" s="252"/>
      <c r="G1315" s="252"/>
      <c r="H1315" s="253"/>
      <c r="I1315" s="250"/>
      <c r="J1315" s="250"/>
      <c r="K1315" s="270"/>
      <c r="L1315" s="250"/>
      <c r="M1315" s="250"/>
      <c r="N1315" s="540" t="str">
        <f>CONCATENATE(IF(OR(M1315=phu!$I$1,M1315=phu!$I$2,M1315=phu!$I$3),"Cam Thành Nam",""),IF(OR(M1315=phu!$I$4,M1315=phu!$I$5,M1315=phu!$I$6,M1315=phu!$I$7,M1315=phu!$I$8,M1315=phu!$I$9,M1315=phu!$I$10,M1315=phu!$I$11,M1315=phu!$I$12,M1315=phu!$I$13,M1315=phu!$I$14),"Cam Nghĩa",""),IF(OR(M1315=phu!$I$15,M1315=phu!$I$16,M1315=phu!$I$17,M1315=phu!$I$18,M1315=phu!$I$19,M1315=phu!$I$20,M1315=phu!$I$21),"Cam Phúc Bắc",""),IF(OR(M1315=phu!$I$22,M1315=phu!$I$23,M1315=phu!$I$24,M1315=phu!$I$25),"Cam Phúc Nam",""),IF(OR(M1315=phu!$I$26,M1315=phu!$I$27,M1315=phu!$I$28,M1315=phu!$I$29,M1315=phu!$I$30,M1315=phu!$I$31),"Cam Phú",""),IF(OR(M1315=phu!$I$32,M1315=phu!$I$33,M1315=phu!$I$34,M1315=phu!$I$35,M1315=phu!$I$36,M1315=phu!$I$37),"Cam Lộc",""),IF(OR(M1315=phu!$I$38,M1315=phu!$I$39,M1315=phu!$I$40,M1315=phu!$I$41,M1315=phu!$I$42,M1315=phu!$I$43,M1315=phu!$I$44),"Cam Thuận",""),IF(OR(M1315=phu!$I$45,M1315=phu!$I$46,M1315=phu!$I$47,M1315=phu!$I$48,M1315=phu!$I$49,M1315=phu!$I$50,M1315=phu!$I$51,M1315=phu!$I$52,M1315=phu!$I$53),"Cam Linh",""),IF(OR(M1315=phu!$I$54,M1315=phu!$I$55,M1315=phu!$I$56,M1315=phu!$I$57,M1315=phu!$I$58,M1315=phu!$I$59,M1315=phu!$I$60,M1315=phu!$I$61,M1315=phu!$I$62),"Cam Lợi",""),IF(OR(M1315=phu!$I$63,M1315=phu!$I$64,M1315=phu!$I$65,M1315=phu!$I$66,M1315=phu!$I$67,M1315=phu!$I$68,M1315=phu!$I$69,M1315=phu!$I$70,M1315=phu!$I$71),"Ba Ngòi",""),IF(OR(M1315=phu!$I$72,M1315=phu!$I$73,M1315=phu!$I$74,M1315=phu!$I$75,M1315=phu!$I$76,M1315=phu!$I$77,M1315=phu!$I$78),"Cam Phước Đông",""),IF(OR(M1315=phu!$I$79,M1315=phu!$I$80,M1315=phu!$I$81,M1315=phu!$I$82,M1315=phu!$I$83,M1315=phu!$I$84),"Cam Thịnh Đông",""),IF(OR(M1315=phu!$I$85,M1315=phu!$I$86,M1315=phu!$I$87,M1315=phu!$I$88),"Cam Thịnh Tây",""),IF(OR(M1315=phu!$I$89,M1315=phu!$I$90),"Cam Lập",""),IF(OR(M1315=phu!$I$91,M1315=phu!$I$92,M1315=phu!$I$93),"Cam Bình",""),IF(OR(M1315=phu!$I$94,M1315=phu!$I$95,M1315=phu!$I$96,M1315=phu!$I$97,M1315=phu!$I$98,M1315=phu!$I$99,M1315=phu!$I$100),"Huyện khác",""),IF(OR(M1315=phu!$I$101,M1315=phu!$I$102),"Tỉnh khác",""))</f>
        <v/>
      </c>
      <c r="O1315" s="829" t="str">
        <f t="shared" si="120"/>
        <v/>
      </c>
      <c r="P1315" s="254"/>
      <c r="Q1315" s="254"/>
      <c r="R1315" s="254"/>
      <c r="S1315" s="254"/>
      <c r="T1315" s="254"/>
      <c r="U1315" s="254"/>
      <c r="V1315" s="254"/>
      <c r="W1315" s="254"/>
      <c r="Y1315" s="246" t="str">
        <f t="shared" si="121"/>
        <v/>
      </c>
      <c r="Z1315" s="247" t="str">
        <f t="shared" si="125"/>
        <v/>
      </c>
      <c r="AA1315" s="246" t="str">
        <f t="shared" si="122"/>
        <v/>
      </c>
    </row>
    <row r="1316" spans="1:27" x14ac:dyDescent="0.25">
      <c r="A1316" s="248" t="str">
        <f t="shared" si="123"/>
        <v/>
      </c>
      <c r="B1316" s="249" t="str">
        <f t="shared" si="124"/>
        <v/>
      </c>
      <c r="C1316" s="250"/>
      <c r="D1316" s="251"/>
      <c r="E1316" s="241"/>
      <c r="F1316" s="252"/>
      <c r="G1316" s="252"/>
      <c r="H1316" s="253"/>
      <c r="I1316" s="250"/>
      <c r="J1316" s="250"/>
      <c r="K1316" s="270"/>
      <c r="L1316" s="250"/>
      <c r="M1316" s="250"/>
      <c r="N1316" s="540" t="str">
        <f>CONCATENATE(IF(OR(M1316=phu!$I$1,M1316=phu!$I$2,M1316=phu!$I$3),"Cam Thành Nam",""),IF(OR(M1316=phu!$I$4,M1316=phu!$I$5,M1316=phu!$I$6,M1316=phu!$I$7,M1316=phu!$I$8,M1316=phu!$I$9,M1316=phu!$I$10,M1316=phu!$I$11,M1316=phu!$I$12,M1316=phu!$I$13,M1316=phu!$I$14),"Cam Nghĩa",""),IF(OR(M1316=phu!$I$15,M1316=phu!$I$16,M1316=phu!$I$17,M1316=phu!$I$18,M1316=phu!$I$19,M1316=phu!$I$20,M1316=phu!$I$21),"Cam Phúc Bắc",""),IF(OR(M1316=phu!$I$22,M1316=phu!$I$23,M1316=phu!$I$24,M1316=phu!$I$25),"Cam Phúc Nam",""),IF(OR(M1316=phu!$I$26,M1316=phu!$I$27,M1316=phu!$I$28,M1316=phu!$I$29,M1316=phu!$I$30,M1316=phu!$I$31),"Cam Phú",""),IF(OR(M1316=phu!$I$32,M1316=phu!$I$33,M1316=phu!$I$34,M1316=phu!$I$35,M1316=phu!$I$36,M1316=phu!$I$37),"Cam Lộc",""),IF(OR(M1316=phu!$I$38,M1316=phu!$I$39,M1316=phu!$I$40,M1316=phu!$I$41,M1316=phu!$I$42,M1316=phu!$I$43,M1316=phu!$I$44),"Cam Thuận",""),IF(OR(M1316=phu!$I$45,M1316=phu!$I$46,M1316=phu!$I$47,M1316=phu!$I$48,M1316=phu!$I$49,M1316=phu!$I$50,M1316=phu!$I$51,M1316=phu!$I$52,M1316=phu!$I$53),"Cam Linh",""),IF(OR(M1316=phu!$I$54,M1316=phu!$I$55,M1316=phu!$I$56,M1316=phu!$I$57,M1316=phu!$I$58,M1316=phu!$I$59,M1316=phu!$I$60,M1316=phu!$I$61,M1316=phu!$I$62),"Cam Lợi",""),IF(OR(M1316=phu!$I$63,M1316=phu!$I$64,M1316=phu!$I$65,M1316=phu!$I$66,M1316=phu!$I$67,M1316=phu!$I$68,M1316=phu!$I$69,M1316=phu!$I$70,M1316=phu!$I$71),"Ba Ngòi",""),IF(OR(M1316=phu!$I$72,M1316=phu!$I$73,M1316=phu!$I$74,M1316=phu!$I$75,M1316=phu!$I$76,M1316=phu!$I$77,M1316=phu!$I$78),"Cam Phước Đông",""),IF(OR(M1316=phu!$I$79,M1316=phu!$I$80,M1316=phu!$I$81,M1316=phu!$I$82,M1316=phu!$I$83,M1316=phu!$I$84),"Cam Thịnh Đông",""),IF(OR(M1316=phu!$I$85,M1316=phu!$I$86,M1316=phu!$I$87,M1316=phu!$I$88),"Cam Thịnh Tây",""),IF(OR(M1316=phu!$I$89,M1316=phu!$I$90),"Cam Lập",""),IF(OR(M1316=phu!$I$91,M1316=phu!$I$92,M1316=phu!$I$93),"Cam Bình",""),IF(OR(M1316=phu!$I$94,M1316=phu!$I$95,M1316=phu!$I$96,M1316=phu!$I$97,M1316=phu!$I$98,M1316=phu!$I$99,M1316=phu!$I$100),"Huyện khác",""),IF(OR(M1316=phu!$I$101,M1316=phu!$I$102),"Tỉnh khác",""))</f>
        <v/>
      </c>
      <c r="O1316" s="829" t="str">
        <f t="shared" si="120"/>
        <v/>
      </c>
      <c r="P1316" s="254"/>
      <c r="Q1316" s="254"/>
      <c r="R1316" s="254"/>
      <c r="S1316" s="254"/>
      <c r="T1316" s="254"/>
      <c r="U1316" s="254"/>
      <c r="V1316" s="254"/>
      <c r="W1316" s="254"/>
      <c r="Y1316" s="246" t="str">
        <f t="shared" si="121"/>
        <v/>
      </c>
      <c r="Z1316" s="247" t="str">
        <f t="shared" si="125"/>
        <v/>
      </c>
      <c r="AA1316" s="246" t="str">
        <f t="shared" si="122"/>
        <v/>
      </c>
    </row>
    <row r="1317" spans="1:27" x14ac:dyDescent="0.25">
      <c r="A1317" s="248" t="str">
        <f t="shared" si="123"/>
        <v/>
      </c>
      <c r="B1317" s="249" t="str">
        <f t="shared" si="124"/>
        <v/>
      </c>
      <c r="C1317" s="250"/>
      <c r="D1317" s="251"/>
      <c r="E1317" s="241"/>
      <c r="F1317" s="252"/>
      <c r="G1317" s="252"/>
      <c r="H1317" s="253"/>
      <c r="I1317" s="250"/>
      <c r="J1317" s="250"/>
      <c r="K1317" s="270"/>
      <c r="L1317" s="250"/>
      <c r="M1317" s="250"/>
      <c r="N1317" s="540" t="str">
        <f>CONCATENATE(IF(OR(M1317=phu!$I$1,M1317=phu!$I$2,M1317=phu!$I$3),"Cam Thành Nam",""),IF(OR(M1317=phu!$I$4,M1317=phu!$I$5,M1317=phu!$I$6,M1317=phu!$I$7,M1317=phu!$I$8,M1317=phu!$I$9,M1317=phu!$I$10,M1317=phu!$I$11,M1317=phu!$I$12,M1317=phu!$I$13,M1317=phu!$I$14),"Cam Nghĩa",""),IF(OR(M1317=phu!$I$15,M1317=phu!$I$16,M1317=phu!$I$17,M1317=phu!$I$18,M1317=phu!$I$19,M1317=phu!$I$20,M1317=phu!$I$21),"Cam Phúc Bắc",""),IF(OR(M1317=phu!$I$22,M1317=phu!$I$23,M1317=phu!$I$24,M1317=phu!$I$25),"Cam Phúc Nam",""),IF(OR(M1317=phu!$I$26,M1317=phu!$I$27,M1317=phu!$I$28,M1317=phu!$I$29,M1317=phu!$I$30,M1317=phu!$I$31),"Cam Phú",""),IF(OR(M1317=phu!$I$32,M1317=phu!$I$33,M1317=phu!$I$34,M1317=phu!$I$35,M1317=phu!$I$36,M1317=phu!$I$37),"Cam Lộc",""),IF(OR(M1317=phu!$I$38,M1317=phu!$I$39,M1317=phu!$I$40,M1317=phu!$I$41,M1317=phu!$I$42,M1317=phu!$I$43,M1317=phu!$I$44),"Cam Thuận",""),IF(OR(M1317=phu!$I$45,M1317=phu!$I$46,M1317=phu!$I$47,M1317=phu!$I$48,M1317=phu!$I$49,M1317=phu!$I$50,M1317=phu!$I$51,M1317=phu!$I$52,M1317=phu!$I$53),"Cam Linh",""),IF(OR(M1317=phu!$I$54,M1317=phu!$I$55,M1317=phu!$I$56,M1317=phu!$I$57,M1317=phu!$I$58,M1317=phu!$I$59,M1317=phu!$I$60,M1317=phu!$I$61,M1317=phu!$I$62),"Cam Lợi",""),IF(OR(M1317=phu!$I$63,M1317=phu!$I$64,M1317=phu!$I$65,M1317=phu!$I$66,M1317=phu!$I$67,M1317=phu!$I$68,M1317=phu!$I$69,M1317=phu!$I$70,M1317=phu!$I$71),"Ba Ngòi",""),IF(OR(M1317=phu!$I$72,M1317=phu!$I$73,M1317=phu!$I$74,M1317=phu!$I$75,M1317=phu!$I$76,M1317=phu!$I$77,M1317=phu!$I$78),"Cam Phước Đông",""),IF(OR(M1317=phu!$I$79,M1317=phu!$I$80,M1317=phu!$I$81,M1317=phu!$I$82,M1317=phu!$I$83,M1317=phu!$I$84),"Cam Thịnh Đông",""),IF(OR(M1317=phu!$I$85,M1317=phu!$I$86,M1317=phu!$I$87,M1317=phu!$I$88),"Cam Thịnh Tây",""),IF(OR(M1317=phu!$I$89,M1317=phu!$I$90),"Cam Lập",""),IF(OR(M1317=phu!$I$91,M1317=phu!$I$92,M1317=phu!$I$93),"Cam Bình",""),IF(OR(M1317=phu!$I$94,M1317=phu!$I$95,M1317=phu!$I$96,M1317=phu!$I$97,M1317=phu!$I$98,M1317=phu!$I$99,M1317=phu!$I$100),"Huyện khác",""),IF(OR(M1317=phu!$I$101,M1317=phu!$I$102),"Tỉnh khác",""))</f>
        <v/>
      </c>
      <c r="O1317" s="829" t="str">
        <f t="shared" si="120"/>
        <v/>
      </c>
      <c r="P1317" s="254"/>
      <c r="Q1317" s="254"/>
      <c r="R1317" s="254"/>
      <c r="S1317" s="254"/>
      <c r="T1317" s="254"/>
      <c r="U1317" s="254"/>
      <c r="V1317" s="254"/>
      <c r="W1317" s="254"/>
      <c r="Y1317" s="246" t="str">
        <f t="shared" si="121"/>
        <v/>
      </c>
      <c r="Z1317" s="247" t="str">
        <f t="shared" si="125"/>
        <v/>
      </c>
      <c r="AA1317" s="246" t="str">
        <f t="shared" si="122"/>
        <v/>
      </c>
    </row>
    <row r="1318" spans="1:27" x14ac:dyDescent="0.25">
      <c r="A1318" s="248" t="str">
        <f t="shared" si="123"/>
        <v/>
      </c>
      <c r="B1318" s="249" t="str">
        <f t="shared" si="124"/>
        <v/>
      </c>
      <c r="C1318" s="250"/>
      <c r="D1318" s="251"/>
      <c r="E1318" s="241"/>
      <c r="F1318" s="252"/>
      <c r="G1318" s="252"/>
      <c r="H1318" s="253"/>
      <c r="I1318" s="250"/>
      <c r="J1318" s="250"/>
      <c r="K1318" s="270"/>
      <c r="L1318" s="250"/>
      <c r="M1318" s="250"/>
      <c r="N1318" s="540" t="str">
        <f>CONCATENATE(IF(OR(M1318=phu!$I$1,M1318=phu!$I$2,M1318=phu!$I$3),"Cam Thành Nam",""),IF(OR(M1318=phu!$I$4,M1318=phu!$I$5,M1318=phu!$I$6,M1318=phu!$I$7,M1318=phu!$I$8,M1318=phu!$I$9,M1318=phu!$I$10,M1318=phu!$I$11,M1318=phu!$I$12,M1318=phu!$I$13,M1318=phu!$I$14),"Cam Nghĩa",""),IF(OR(M1318=phu!$I$15,M1318=phu!$I$16,M1318=phu!$I$17,M1318=phu!$I$18,M1318=phu!$I$19,M1318=phu!$I$20,M1318=phu!$I$21),"Cam Phúc Bắc",""),IF(OR(M1318=phu!$I$22,M1318=phu!$I$23,M1318=phu!$I$24,M1318=phu!$I$25),"Cam Phúc Nam",""),IF(OR(M1318=phu!$I$26,M1318=phu!$I$27,M1318=phu!$I$28,M1318=phu!$I$29,M1318=phu!$I$30,M1318=phu!$I$31),"Cam Phú",""),IF(OR(M1318=phu!$I$32,M1318=phu!$I$33,M1318=phu!$I$34,M1318=phu!$I$35,M1318=phu!$I$36,M1318=phu!$I$37),"Cam Lộc",""),IF(OR(M1318=phu!$I$38,M1318=phu!$I$39,M1318=phu!$I$40,M1318=phu!$I$41,M1318=phu!$I$42,M1318=phu!$I$43,M1318=phu!$I$44),"Cam Thuận",""),IF(OR(M1318=phu!$I$45,M1318=phu!$I$46,M1318=phu!$I$47,M1318=phu!$I$48,M1318=phu!$I$49,M1318=phu!$I$50,M1318=phu!$I$51,M1318=phu!$I$52,M1318=phu!$I$53),"Cam Linh",""),IF(OR(M1318=phu!$I$54,M1318=phu!$I$55,M1318=phu!$I$56,M1318=phu!$I$57,M1318=phu!$I$58,M1318=phu!$I$59,M1318=phu!$I$60,M1318=phu!$I$61,M1318=phu!$I$62),"Cam Lợi",""),IF(OR(M1318=phu!$I$63,M1318=phu!$I$64,M1318=phu!$I$65,M1318=phu!$I$66,M1318=phu!$I$67,M1318=phu!$I$68,M1318=phu!$I$69,M1318=phu!$I$70,M1318=phu!$I$71),"Ba Ngòi",""),IF(OR(M1318=phu!$I$72,M1318=phu!$I$73,M1318=phu!$I$74,M1318=phu!$I$75,M1318=phu!$I$76,M1318=phu!$I$77,M1318=phu!$I$78),"Cam Phước Đông",""),IF(OR(M1318=phu!$I$79,M1318=phu!$I$80,M1318=phu!$I$81,M1318=phu!$I$82,M1318=phu!$I$83,M1318=phu!$I$84),"Cam Thịnh Đông",""),IF(OR(M1318=phu!$I$85,M1318=phu!$I$86,M1318=phu!$I$87,M1318=phu!$I$88),"Cam Thịnh Tây",""),IF(OR(M1318=phu!$I$89,M1318=phu!$I$90),"Cam Lập",""),IF(OR(M1318=phu!$I$91,M1318=phu!$I$92,M1318=phu!$I$93),"Cam Bình",""),IF(OR(M1318=phu!$I$94,M1318=phu!$I$95,M1318=phu!$I$96,M1318=phu!$I$97,M1318=phu!$I$98,M1318=phu!$I$99,M1318=phu!$I$100),"Huyện khác",""),IF(OR(M1318=phu!$I$101,M1318=phu!$I$102),"Tỉnh khác",""))</f>
        <v/>
      </c>
      <c r="O1318" s="829" t="str">
        <f t="shared" si="120"/>
        <v/>
      </c>
      <c r="P1318" s="254"/>
      <c r="Q1318" s="254"/>
      <c r="R1318" s="254"/>
      <c r="S1318" s="254"/>
      <c r="T1318" s="254"/>
      <c r="U1318" s="254"/>
      <c r="V1318" s="254"/>
      <c r="W1318" s="254"/>
      <c r="Y1318" s="246" t="str">
        <f t="shared" si="121"/>
        <v/>
      </c>
      <c r="Z1318" s="247" t="str">
        <f t="shared" si="125"/>
        <v/>
      </c>
      <c r="AA1318" s="246" t="str">
        <f t="shared" si="122"/>
        <v/>
      </c>
    </row>
    <row r="1319" spans="1:27" x14ac:dyDescent="0.25">
      <c r="A1319" s="248" t="str">
        <f t="shared" si="123"/>
        <v/>
      </c>
      <c r="B1319" s="249" t="str">
        <f t="shared" si="124"/>
        <v/>
      </c>
      <c r="C1319" s="250"/>
      <c r="D1319" s="251"/>
      <c r="E1319" s="241"/>
      <c r="F1319" s="252"/>
      <c r="G1319" s="252"/>
      <c r="H1319" s="253"/>
      <c r="I1319" s="250"/>
      <c r="J1319" s="250"/>
      <c r="K1319" s="270"/>
      <c r="L1319" s="250"/>
      <c r="M1319" s="250"/>
      <c r="N1319" s="540" t="str">
        <f>CONCATENATE(IF(OR(M1319=phu!$I$1,M1319=phu!$I$2,M1319=phu!$I$3),"Cam Thành Nam",""),IF(OR(M1319=phu!$I$4,M1319=phu!$I$5,M1319=phu!$I$6,M1319=phu!$I$7,M1319=phu!$I$8,M1319=phu!$I$9,M1319=phu!$I$10,M1319=phu!$I$11,M1319=phu!$I$12,M1319=phu!$I$13,M1319=phu!$I$14),"Cam Nghĩa",""),IF(OR(M1319=phu!$I$15,M1319=phu!$I$16,M1319=phu!$I$17,M1319=phu!$I$18,M1319=phu!$I$19,M1319=phu!$I$20,M1319=phu!$I$21),"Cam Phúc Bắc",""),IF(OR(M1319=phu!$I$22,M1319=phu!$I$23,M1319=phu!$I$24,M1319=phu!$I$25),"Cam Phúc Nam",""),IF(OR(M1319=phu!$I$26,M1319=phu!$I$27,M1319=phu!$I$28,M1319=phu!$I$29,M1319=phu!$I$30,M1319=phu!$I$31),"Cam Phú",""),IF(OR(M1319=phu!$I$32,M1319=phu!$I$33,M1319=phu!$I$34,M1319=phu!$I$35,M1319=phu!$I$36,M1319=phu!$I$37),"Cam Lộc",""),IF(OR(M1319=phu!$I$38,M1319=phu!$I$39,M1319=phu!$I$40,M1319=phu!$I$41,M1319=phu!$I$42,M1319=phu!$I$43,M1319=phu!$I$44),"Cam Thuận",""),IF(OR(M1319=phu!$I$45,M1319=phu!$I$46,M1319=phu!$I$47,M1319=phu!$I$48,M1319=phu!$I$49,M1319=phu!$I$50,M1319=phu!$I$51,M1319=phu!$I$52,M1319=phu!$I$53),"Cam Linh",""),IF(OR(M1319=phu!$I$54,M1319=phu!$I$55,M1319=phu!$I$56,M1319=phu!$I$57,M1319=phu!$I$58,M1319=phu!$I$59,M1319=phu!$I$60,M1319=phu!$I$61,M1319=phu!$I$62),"Cam Lợi",""),IF(OR(M1319=phu!$I$63,M1319=phu!$I$64,M1319=phu!$I$65,M1319=phu!$I$66,M1319=phu!$I$67,M1319=phu!$I$68,M1319=phu!$I$69,M1319=phu!$I$70,M1319=phu!$I$71),"Ba Ngòi",""),IF(OR(M1319=phu!$I$72,M1319=phu!$I$73,M1319=phu!$I$74,M1319=phu!$I$75,M1319=phu!$I$76,M1319=phu!$I$77,M1319=phu!$I$78),"Cam Phước Đông",""),IF(OR(M1319=phu!$I$79,M1319=phu!$I$80,M1319=phu!$I$81,M1319=phu!$I$82,M1319=phu!$I$83,M1319=phu!$I$84),"Cam Thịnh Đông",""),IF(OR(M1319=phu!$I$85,M1319=phu!$I$86,M1319=phu!$I$87,M1319=phu!$I$88),"Cam Thịnh Tây",""),IF(OR(M1319=phu!$I$89,M1319=phu!$I$90),"Cam Lập",""),IF(OR(M1319=phu!$I$91,M1319=phu!$I$92,M1319=phu!$I$93),"Cam Bình",""),IF(OR(M1319=phu!$I$94,M1319=phu!$I$95,M1319=phu!$I$96,M1319=phu!$I$97,M1319=phu!$I$98,M1319=phu!$I$99,M1319=phu!$I$100),"Huyện khác",""),IF(OR(M1319=phu!$I$101,M1319=phu!$I$102),"Tỉnh khác",""))</f>
        <v/>
      </c>
      <c r="O1319" s="829" t="str">
        <f t="shared" si="120"/>
        <v/>
      </c>
      <c r="P1319" s="254"/>
      <c r="Q1319" s="254"/>
      <c r="R1319" s="254"/>
      <c r="S1319" s="254"/>
      <c r="T1319" s="254"/>
      <c r="U1319" s="254"/>
      <c r="V1319" s="254"/>
      <c r="W1319" s="254"/>
      <c r="Y1319" s="246" t="str">
        <f t="shared" si="121"/>
        <v/>
      </c>
      <c r="Z1319" s="247" t="str">
        <f t="shared" si="125"/>
        <v/>
      </c>
      <c r="AA1319" s="246" t="str">
        <f t="shared" si="122"/>
        <v/>
      </c>
    </row>
    <row r="1320" spans="1:27" x14ac:dyDescent="0.25">
      <c r="A1320" s="248" t="str">
        <f t="shared" si="123"/>
        <v/>
      </c>
      <c r="B1320" s="249" t="str">
        <f t="shared" si="124"/>
        <v/>
      </c>
      <c r="C1320" s="250"/>
      <c r="D1320" s="251"/>
      <c r="E1320" s="241"/>
      <c r="F1320" s="252"/>
      <c r="G1320" s="252"/>
      <c r="H1320" s="253"/>
      <c r="I1320" s="250"/>
      <c r="J1320" s="250"/>
      <c r="K1320" s="270"/>
      <c r="L1320" s="250"/>
      <c r="M1320" s="250"/>
      <c r="N1320" s="540" t="str">
        <f>CONCATENATE(IF(OR(M1320=phu!$I$1,M1320=phu!$I$2,M1320=phu!$I$3),"Cam Thành Nam",""),IF(OR(M1320=phu!$I$4,M1320=phu!$I$5,M1320=phu!$I$6,M1320=phu!$I$7,M1320=phu!$I$8,M1320=phu!$I$9,M1320=phu!$I$10,M1320=phu!$I$11,M1320=phu!$I$12,M1320=phu!$I$13,M1320=phu!$I$14),"Cam Nghĩa",""),IF(OR(M1320=phu!$I$15,M1320=phu!$I$16,M1320=phu!$I$17,M1320=phu!$I$18,M1320=phu!$I$19,M1320=phu!$I$20,M1320=phu!$I$21),"Cam Phúc Bắc",""),IF(OR(M1320=phu!$I$22,M1320=phu!$I$23,M1320=phu!$I$24,M1320=phu!$I$25),"Cam Phúc Nam",""),IF(OR(M1320=phu!$I$26,M1320=phu!$I$27,M1320=phu!$I$28,M1320=phu!$I$29,M1320=phu!$I$30,M1320=phu!$I$31),"Cam Phú",""),IF(OR(M1320=phu!$I$32,M1320=phu!$I$33,M1320=phu!$I$34,M1320=phu!$I$35,M1320=phu!$I$36,M1320=phu!$I$37),"Cam Lộc",""),IF(OR(M1320=phu!$I$38,M1320=phu!$I$39,M1320=phu!$I$40,M1320=phu!$I$41,M1320=phu!$I$42,M1320=phu!$I$43,M1320=phu!$I$44),"Cam Thuận",""),IF(OR(M1320=phu!$I$45,M1320=phu!$I$46,M1320=phu!$I$47,M1320=phu!$I$48,M1320=phu!$I$49,M1320=phu!$I$50,M1320=phu!$I$51,M1320=phu!$I$52,M1320=phu!$I$53),"Cam Linh",""),IF(OR(M1320=phu!$I$54,M1320=phu!$I$55,M1320=phu!$I$56,M1320=phu!$I$57,M1320=phu!$I$58,M1320=phu!$I$59,M1320=phu!$I$60,M1320=phu!$I$61,M1320=phu!$I$62),"Cam Lợi",""),IF(OR(M1320=phu!$I$63,M1320=phu!$I$64,M1320=phu!$I$65,M1320=phu!$I$66,M1320=phu!$I$67,M1320=phu!$I$68,M1320=phu!$I$69,M1320=phu!$I$70,M1320=phu!$I$71),"Ba Ngòi",""),IF(OR(M1320=phu!$I$72,M1320=phu!$I$73,M1320=phu!$I$74,M1320=phu!$I$75,M1320=phu!$I$76,M1320=phu!$I$77,M1320=phu!$I$78),"Cam Phước Đông",""),IF(OR(M1320=phu!$I$79,M1320=phu!$I$80,M1320=phu!$I$81,M1320=phu!$I$82,M1320=phu!$I$83,M1320=phu!$I$84),"Cam Thịnh Đông",""),IF(OR(M1320=phu!$I$85,M1320=phu!$I$86,M1320=phu!$I$87,M1320=phu!$I$88),"Cam Thịnh Tây",""),IF(OR(M1320=phu!$I$89,M1320=phu!$I$90),"Cam Lập",""),IF(OR(M1320=phu!$I$91,M1320=phu!$I$92,M1320=phu!$I$93),"Cam Bình",""),IF(OR(M1320=phu!$I$94,M1320=phu!$I$95,M1320=phu!$I$96,M1320=phu!$I$97,M1320=phu!$I$98,M1320=phu!$I$99,M1320=phu!$I$100),"Huyện khác",""),IF(OR(M1320=phu!$I$101,M1320=phu!$I$102),"Tỉnh khác",""))</f>
        <v/>
      </c>
      <c r="O1320" s="829" t="str">
        <f t="shared" si="120"/>
        <v/>
      </c>
      <c r="P1320" s="254"/>
      <c r="Q1320" s="254"/>
      <c r="R1320" s="254"/>
      <c r="S1320" s="254"/>
      <c r="T1320" s="254"/>
      <c r="U1320" s="254"/>
      <c r="V1320" s="254"/>
      <c r="W1320" s="254"/>
      <c r="Y1320" s="246" t="str">
        <f t="shared" si="121"/>
        <v/>
      </c>
      <c r="Z1320" s="247" t="str">
        <f t="shared" si="125"/>
        <v/>
      </c>
      <c r="AA1320" s="246" t="str">
        <f t="shared" si="122"/>
        <v/>
      </c>
    </row>
    <row r="1321" spans="1:27" x14ac:dyDescent="0.25">
      <c r="A1321" s="248" t="str">
        <f t="shared" si="123"/>
        <v/>
      </c>
      <c r="B1321" s="249" t="str">
        <f t="shared" si="124"/>
        <v/>
      </c>
      <c r="C1321" s="250"/>
      <c r="D1321" s="251"/>
      <c r="E1321" s="241"/>
      <c r="F1321" s="252"/>
      <c r="G1321" s="252"/>
      <c r="H1321" s="253"/>
      <c r="I1321" s="250"/>
      <c r="J1321" s="250"/>
      <c r="K1321" s="270"/>
      <c r="L1321" s="250"/>
      <c r="M1321" s="250"/>
      <c r="N1321" s="540" t="str">
        <f>CONCATENATE(IF(OR(M1321=phu!$I$1,M1321=phu!$I$2,M1321=phu!$I$3),"Cam Thành Nam",""),IF(OR(M1321=phu!$I$4,M1321=phu!$I$5,M1321=phu!$I$6,M1321=phu!$I$7,M1321=phu!$I$8,M1321=phu!$I$9,M1321=phu!$I$10,M1321=phu!$I$11,M1321=phu!$I$12,M1321=phu!$I$13,M1321=phu!$I$14),"Cam Nghĩa",""),IF(OR(M1321=phu!$I$15,M1321=phu!$I$16,M1321=phu!$I$17,M1321=phu!$I$18,M1321=phu!$I$19,M1321=phu!$I$20,M1321=phu!$I$21),"Cam Phúc Bắc",""),IF(OR(M1321=phu!$I$22,M1321=phu!$I$23,M1321=phu!$I$24,M1321=phu!$I$25),"Cam Phúc Nam",""),IF(OR(M1321=phu!$I$26,M1321=phu!$I$27,M1321=phu!$I$28,M1321=phu!$I$29,M1321=phu!$I$30,M1321=phu!$I$31),"Cam Phú",""),IF(OR(M1321=phu!$I$32,M1321=phu!$I$33,M1321=phu!$I$34,M1321=phu!$I$35,M1321=phu!$I$36,M1321=phu!$I$37),"Cam Lộc",""),IF(OR(M1321=phu!$I$38,M1321=phu!$I$39,M1321=phu!$I$40,M1321=phu!$I$41,M1321=phu!$I$42,M1321=phu!$I$43,M1321=phu!$I$44),"Cam Thuận",""),IF(OR(M1321=phu!$I$45,M1321=phu!$I$46,M1321=phu!$I$47,M1321=phu!$I$48,M1321=phu!$I$49,M1321=phu!$I$50,M1321=phu!$I$51,M1321=phu!$I$52,M1321=phu!$I$53),"Cam Linh",""),IF(OR(M1321=phu!$I$54,M1321=phu!$I$55,M1321=phu!$I$56,M1321=phu!$I$57,M1321=phu!$I$58,M1321=phu!$I$59,M1321=phu!$I$60,M1321=phu!$I$61,M1321=phu!$I$62),"Cam Lợi",""),IF(OR(M1321=phu!$I$63,M1321=phu!$I$64,M1321=phu!$I$65,M1321=phu!$I$66,M1321=phu!$I$67,M1321=phu!$I$68,M1321=phu!$I$69,M1321=phu!$I$70,M1321=phu!$I$71),"Ba Ngòi",""),IF(OR(M1321=phu!$I$72,M1321=phu!$I$73,M1321=phu!$I$74,M1321=phu!$I$75,M1321=phu!$I$76,M1321=phu!$I$77,M1321=phu!$I$78),"Cam Phước Đông",""),IF(OR(M1321=phu!$I$79,M1321=phu!$I$80,M1321=phu!$I$81,M1321=phu!$I$82,M1321=phu!$I$83,M1321=phu!$I$84),"Cam Thịnh Đông",""),IF(OR(M1321=phu!$I$85,M1321=phu!$I$86,M1321=phu!$I$87,M1321=phu!$I$88),"Cam Thịnh Tây",""),IF(OR(M1321=phu!$I$89,M1321=phu!$I$90),"Cam Lập",""),IF(OR(M1321=phu!$I$91,M1321=phu!$I$92,M1321=phu!$I$93),"Cam Bình",""),IF(OR(M1321=phu!$I$94,M1321=phu!$I$95,M1321=phu!$I$96,M1321=phu!$I$97,M1321=phu!$I$98,M1321=phu!$I$99,M1321=phu!$I$100),"Huyện khác",""),IF(OR(M1321=phu!$I$101,M1321=phu!$I$102),"Tỉnh khác",""))</f>
        <v/>
      </c>
      <c r="O1321" s="829" t="str">
        <f t="shared" si="120"/>
        <v/>
      </c>
      <c r="P1321" s="254"/>
      <c r="Q1321" s="254"/>
      <c r="R1321" s="254"/>
      <c r="S1321" s="254"/>
      <c r="T1321" s="254"/>
      <c r="U1321" s="254"/>
      <c r="V1321" s="254"/>
      <c r="W1321" s="254"/>
      <c r="Y1321" s="246" t="str">
        <f t="shared" si="121"/>
        <v/>
      </c>
      <c r="Z1321" s="247" t="str">
        <f t="shared" si="125"/>
        <v/>
      </c>
      <c r="AA1321" s="246" t="str">
        <f t="shared" si="122"/>
        <v/>
      </c>
    </row>
    <row r="1322" spans="1:27" x14ac:dyDescent="0.25">
      <c r="A1322" s="248" t="str">
        <f t="shared" si="123"/>
        <v/>
      </c>
      <c r="B1322" s="249" t="str">
        <f t="shared" si="124"/>
        <v/>
      </c>
      <c r="C1322" s="250"/>
      <c r="D1322" s="251"/>
      <c r="E1322" s="241"/>
      <c r="F1322" s="252"/>
      <c r="G1322" s="252"/>
      <c r="H1322" s="253"/>
      <c r="I1322" s="250"/>
      <c r="J1322" s="250"/>
      <c r="K1322" s="270"/>
      <c r="L1322" s="250"/>
      <c r="M1322" s="250"/>
      <c r="N1322" s="540" t="str">
        <f>CONCATENATE(IF(OR(M1322=phu!$I$1,M1322=phu!$I$2,M1322=phu!$I$3),"Cam Thành Nam",""),IF(OR(M1322=phu!$I$4,M1322=phu!$I$5,M1322=phu!$I$6,M1322=phu!$I$7,M1322=phu!$I$8,M1322=phu!$I$9,M1322=phu!$I$10,M1322=phu!$I$11,M1322=phu!$I$12,M1322=phu!$I$13,M1322=phu!$I$14),"Cam Nghĩa",""),IF(OR(M1322=phu!$I$15,M1322=phu!$I$16,M1322=phu!$I$17,M1322=phu!$I$18,M1322=phu!$I$19,M1322=phu!$I$20,M1322=phu!$I$21),"Cam Phúc Bắc",""),IF(OR(M1322=phu!$I$22,M1322=phu!$I$23,M1322=phu!$I$24,M1322=phu!$I$25),"Cam Phúc Nam",""),IF(OR(M1322=phu!$I$26,M1322=phu!$I$27,M1322=phu!$I$28,M1322=phu!$I$29,M1322=phu!$I$30,M1322=phu!$I$31),"Cam Phú",""),IF(OR(M1322=phu!$I$32,M1322=phu!$I$33,M1322=phu!$I$34,M1322=phu!$I$35,M1322=phu!$I$36,M1322=phu!$I$37),"Cam Lộc",""),IF(OR(M1322=phu!$I$38,M1322=phu!$I$39,M1322=phu!$I$40,M1322=phu!$I$41,M1322=phu!$I$42,M1322=phu!$I$43,M1322=phu!$I$44),"Cam Thuận",""),IF(OR(M1322=phu!$I$45,M1322=phu!$I$46,M1322=phu!$I$47,M1322=phu!$I$48,M1322=phu!$I$49,M1322=phu!$I$50,M1322=phu!$I$51,M1322=phu!$I$52,M1322=phu!$I$53),"Cam Linh",""),IF(OR(M1322=phu!$I$54,M1322=phu!$I$55,M1322=phu!$I$56,M1322=phu!$I$57,M1322=phu!$I$58,M1322=phu!$I$59,M1322=phu!$I$60,M1322=phu!$I$61,M1322=phu!$I$62),"Cam Lợi",""),IF(OR(M1322=phu!$I$63,M1322=phu!$I$64,M1322=phu!$I$65,M1322=phu!$I$66,M1322=phu!$I$67,M1322=phu!$I$68,M1322=phu!$I$69,M1322=phu!$I$70,M1322=phu!$I$71),"Ba Ngòi",""),IF(OR(M1322=phu!$I$72,M1322=phu!$I$73,M1322=phu!$I$74,M1322=phu!$I$75,M1322=phu!$I$76,M1322=phu!$I$77,M1322=phu!$I$78),"Cam Phước Đông",""),IF(OR(M1322=phu!$I$79,M1322=phu!$I$80,M1322=phu!$I$81,M1322=phu!$I$82,M1322=phu!$I$83,M1322=phu!$I$84),"Cam Thịnh Đông",""),IF(OR(M1322=phu!$I$85,M1322=phu!$I$86,M1322=phu!$I$87,M1322=phu!$I$88),"Cam Thịnh Tây",""),IF(OR(M1322=phu!$I$89,M1322=phu!$I$90),"Cam Lập",""),IF(OR(M1322=phu!$I$91,M1322=phu!$I$92,M1322=phu!$I$93),"Cam Bình",""),IF(OR(M1322=phu!$I$94,M1322=phu!$I$95,M1322=phu!$I$96,M1322=phu!$I$97,M1322=phu!$I$98,M1322=phu!$I$99,M1322=phu!$I$100),"Huyện khác",""),IF(OR(M1322=phu!$I$101,M1322=phu!$I$102),"Tỉnh khác",""))</f>
        <v/>
      </c>
      <c r="O1322" s="829" t="str">
        <f t="shared" si="120"/>
        <v/>
      </c>
      <c r="P1322" s="254"/>
      <c r="Q1322" s="254"/>
      <c r="R1322" s="254"/>
      <c r="S1322" s="254"/>
      <c r="T1322" s="254"/>
      <c r="U1322" s="254"/>
      <c r="V1322" s="254"/>
      <c r="W1322" s="254"/>
      <c r="Y1322" s="246" t="str">
        <f t="shared" si="121"/>
        <v/>
      </c>
      <c r="Z1322" s="247" t="str">
        <f t="shared" si="125"/>
        <v/>
      </c>
      <c r="AA1322" s="246" t="str">
        <f t="shared" si="122"/>
        <v/>
      </c>
    </row>
    <row r="1323" spans="1:27" x14ac:dyDescent="0.25">
      <c r="A1323" s="248" t="str">
        <f t="shared" si="123"/>
        <v/>
      </c>
      <c r="B1323" s="249" t="str">
        <f t="shared" si="124"/>
        <v/>
      </c>
      <c r="C1323" s="250"/>
      <c r="D1323" s="251"/>
      <c r="E1323" s="241"/>
      <c r="F1323" s="252"/>
      <c r="G1323" s="252"/>
      <c r="H1323" s="253"/>
      <c r="I1323" s="250"/>
      <c r="J1323" s="250"/>
      <c r="K1323" s="270"/>
      <c r="L1323" s="250"/>
      <c r="M1323" s="250"/>
      <c r="N1323" s="540" t="str">
        <f>CONCATENATE(IF(OR(M1323=phu!$I$1,M1323=phu!$I$2,M1323=phu!$I$3),"Cam Thành Nam",""),IF(OR(M1323=phu!$I$4,M1323=phu!$I$5,M1323=phu!$I$6,M1323=phu!$I$7,M1323=phu!$I$8,M1323=phu!$I$9,M1323=phu!$I$10,M1323=phu!$I$11,M1323=phu!$I$12,M1323=phu!$I$13,M1323=phu!$I$14),"Cam Nghĩa",""),IF(OR(M1323=phu!$I$15,M1323=phu!$I$16,M1323=phu!$I$17,M1323=phu!$I$18,M1323=phu!$I$19,M1323=phu!$I$20,M1323=phu!$I$21),"Cam Phúc Bắc",""),IF(OR(M1323=phu!$I$22,M1323=phu!$I$23,M1323=phu!$I$24,M1323=phu!$I$25),"Cam Phúc Nam",""),IF(OR(M1323=phu!$I$26,M1323=phu!$I$27,M1323=phu!$I$28,M1323=phu!$I$29,M1323=phu!$I$30,M1323=phu!$I$31),"Cam Phú",""),IF(OR(M1323=phu!$I$32,M1323=phu!$I$33,M1323=phu!$I$34,M1323=phu!$I$35,M1323=phu!$I$36,M1323=phu!$I$37),"Cam Lộc",""),IF(OR(M1323=phu!$I$38,M1323=phu!$I$39,M1323=phu!$I$40,M1323=phu!$I$41,M1323=phu!$I$42,M1323=phu!$I$43,M1323=phu!$I$44),"Cam Thuận",""),IF(OR(M1323=phu!$I$45,M1323=phu!$I$46,M1323=phu!$I$47,M1323=phu!$I$48,M1323=phu!$I$49,M1323=phu!$I$50,M1323=phu!$I$51,M1323=phu!$I$52,M1323=phu!$I$53),"Cam Linh",""),IF(OR(M1323=phu!$I$54,M1323=phu!$I$55,M1323=phu!$I$56,M1323=phu!$I$57,M1323=phu!$I$58,M1323=phu!$I$59,M1323=phu!$I$60,M1323=phu!$I$61,M1323=phu!$I$62),"Cam Lợi",""),IF(OR(M1323=phu!$I$63,M1323=phu!$I$64,M1323=phu!$I$65,M1323=phu!$I$66,M1323=phu!$I$67,M1323=phu!$I$68,M1323=phu!$I$69,M1323=phu!$I$70,M1323=phu!$I$71),"Ba Ngòi",""),IF(OR(M1323=phu!$I$72,M1323=phu!$I$73,M1323=phu!$I$74,M1323=phu!$I$75,M1323=phu!$I$76,M1323=phu!$I$77,M1323=phu!$I$78),"Cam Phước Đông",""),IF(OR(M1323=phu!$I$79,M1323=phu!$I$80,M1323=phu!$I$81,M1323=phu!$I$82,M1323=phu!$I$83,M1323=phu!$I$84),"Cam Thịnh Đông",""),IF(OR(M1323=phu!$I$85,M1323=phu!$I$86,M1323=phu!$I$87,M1323=phu!$I$88),"Cam Thịnh Tây",""),IF(OR(M1323=phu!$I$89,M1323=phu!$I$90),"Cam Lập",""),IF(OR(M1323=phu!$I$91,M1323=phu!$I$92,M1323=phu!$I$93),"Cam Bình",""),IF(OR(M1323=phu!$I$94,M1323=phu!$I$95,M1323=phu!$I$96,M1323=phu!$I$97,M1323=phu!$I$98,M1323=phu!$I$99,M1323=phu!$I$100),"Huyện khác",""),IF(OR(M1323=phu!$I$101,M1323=phu!$I$102),"Tỉnh khác",""))</f>
        <v/>
      </c>
      <c r="O1323" s="829" t="str">
        <f t="shared" si="120"/>
        <v/>
      </c>
      <c r="P1323" s="254"/>
      <c r="Q1323" s="254"/>
      <c r="R1323" s="254"/>
      <c r="S1323" s="254"/>
      <c r="T1323" s="254"/>
      <c r="U1323" s="254"/>
      <c r="V1323" s="254"/>
      <c r="W1323" s="254"/>
      <c r="Y1323" s="246" t="str">
        <f t="shared" si="121"/>
        <v/>
      </c>
      <c r="Z1323" s="247" t="str">
        <f t="shared" si="125"/>
        <v/>
      </c>
      <c r="AA1323" s="246" t="str">
        <f t="shared" si="122"/>
        <v/>
      </c>
    </row>
    <row r="1324" spans="1:27" x14ac:dyDescent="0.25">
      <c r="A1324" s="248" t="str">
        <f t="shared" si="123"/>
        <v/>
      </c>
      <c r="B1324" s="249" t="str">
        <f t="shared" si="124"/>
        <v/>
      </c>
      <c r="C1324" s="250"/>
      <c r="D1324" s="251"/>
      <c r="E1324" s="241"/>
      <c r="F1324" s="252"/>
      <c r="G1324" s="252"/>
      <c r="H1324" s="253"/>
      <c r="I1324" s="250"/>
      <c r="J1324" s="250"/>
      <c r="K1324" s="270"/>
      <c r="L1324" s="250"/>
      <c r="M1324" s="250"/>
      <c r="N1324" s="540" t="str">
        <f>CONCATENATE(IF(OR(M1324=phu!$I$1,M1324=phu!$I$2,M1324=phu!$I$3),"Cam Thành Nam",""),IF(OR(M1324=phu!$I$4,M1324=phu!$I$5,M1324=phu!$I$6,M1324=phu!$I$7,M1324=phu!$I$8,M1324=phu!$I$9,M1324=phu!$I$10,M1324=phu!$I$11,M1324=phu!$I$12,M1324=phu!$I$13,M1324=phu!$I$14),"Cam Nghĩa",""),IF(OR(M1324=phu!$I$15,M1324=phu!$I$16,M1324=phu!$I$17,M1324=phu!$I$18,M1324=phu!$I$19,M1324=phu!$I$20,M1324=phu!$I$21),"Cam Phúc Bắc",""),IF(OR(M1324=phu!$I$22,M1324=phu!$I$23,M1324=phu!$I$24,M1324=phu!$I$25),"Cam Phúc Nam",""),IF(OR(M1324=phu!$I$26,M1324=phu!$I$27,M1324=phu!$I$28,M1324=phu!$I$29,M1324=phu!$I$30,M1324=phu!$I$31),"Cam Phú",""),IF(OR(M1324=phu!$I$32,M1324=phu!$I$33,M1324=phu!$I$34,M1324=phu!$I$35,M1324=phu!$I$36,M1324=phu!$I$37),"Cam Lộc",""),IF(OR(M1324=phu!$I$38,M1324=phu!$I$39,M1324=phu!$I$40,M1324=phu!$I$41,M1324=phu!$I$42,M1324=phu!$I$43,M1324=phu!$I$44),"Cam Thuận",""),IF(OR(M1324=phu!$I$45,M1324=phu!$I$46,M1324=phu!$I$47,M1324=phu!$I$48,M1324=phu!$I$49,M1324=phu!$I$50,M1324=phu!$I$51,M1324=phu!$I$52,M1324=phu!$I$53),"Cam Linh",""),IF(OR(M1324=phu!$I$54,M1324=phu!$I$55,M1324=phu!$I$56,M1324=phu!$I$57,M1324=phu!$I$58,M1324=phu!$I$59,M1324=phu!$I$60,M1324=phu!$I$61,M1324=phu!$I$62),"Cam Lợi",""),IF(OR(M1324=phu!$I$63,M1324=phu!$I$64,M1324=phu!$I$65,M1324=phu!$I$66,M1324=phu!$I$67,M1324=phu!$I$68,M1324=phu!$I$69,M1324=phu!$I$70,M1324=phu!$I$71),"Ba Ngòi",""),IF(OR(M1324=phu!$I$72,M1324=phu!$I$73,M1324=phu!$I$74,M1324=phu!$I$75,M1324=phu!$I$76,M1324=phu!$I$77,M1324=phu!$I$78),"Cam Phước Đông",""),IF(OR(M1324=phu!$I$79,M1324=phu!$I$80,M1324=phu!$I$81,M1324=phu!$I$82,M1324=phu!$I$83,M1324=phu!$I$84),"Cam Thịnh Đông",""),IF(OR(M1324=phu!$I$85,M1324=phu!$I$86,M1324=phu!$I$87,M1324=phu!$I$88),"Cam Thịnh Tây",""),IF(OR(M1324=phu!$I$89,M1324=phu!$I$90),"Cam Lập",""),IF(OR(M1324=phu!$I$91,M1324=phu!$I$92,M1324=phu!$I$93),"Cam Bình",""),IF(OR(M1324=phu!$I$94,M1324=phu!$I$95,M1324=phu!$I$96,M1324=phu!$I$97,M1324=phu!$I$98,M1324=phu!$I$99,M1324=phu!$I$100),"Huyện khác",""),IF(OR(M1324=phu!$I$101,M1324=phu!$I$102),"Tỉnh khác",""))</f>
        <v/>
      </c>
      <c r="O1324" s="829" t="str">
        <f t="shared" si="120"/>
        <v/>
      </c>
      <c r="P1324" s="254"/>
      <c r="Q1324" s="254"/>
      <c r="R1324" s="254"/>
      <c r="S1324" s="254"/>
      <c r="T1324" s="254"/>
      <c r="U1324" s="254"/>
      <c r="V1324" s="254"/>
      <c r="W1324" s="254"/>
      <c r="Y1324" s="246" t="str">
        <f t="shared" si="121"/>
        <v/>
      </c>
      <c r="Z1324" s="247" t="str">
        <f t="shared" si="125"/>
        <v/>
      </c>
      <c r="AA1324" s="246" t="str">
        <f t="shared" si="122"/>
        <v/>
      </c>
    </row>
    <row r="1325" spans="1:27" x14ac:dyDescent="0.25">
      <c r="A1325" s="248" t="str">
        <f t="shared" si="123"/>
        <v/>
      </c>
      <c r="B1325" s="249" t="str">
        <f t="shared" si="124"/>
        <v/>
      </c>
      <c r="C1325" s="250"/>
      <c r="D1325" s="251"/>
      <c r="E1325" s="241"/>
      <c r="F1325" s="252"/>
      <c r="G1325" s="252"/>
      <c r="H1325" s="253"/>
      <c r="I1325" s="250"/>
      <c r="J1325" s="250"/>
      <c r="K1325" s="270"/>
      <c r="L1325" s="250"/>
      <c r="M1325" s="250"/>
      <c r="N1325" s="540" t="str">
        <f>CONCATENATE(IF(OR(M1325=phu!$I$1,M1325=phu!$I$2,M1325=phu!$I$3),"Cam Thành Nam",""),IF(OR(M1325=phu!$I$4,M1325=phu!$I$5,M1325=phu!$I$6,M1325=phu!$I$7,M1325=phu!$I$8,M1325=phu!$I$9,M1325=phu!$I$10,M1325=phu!$I$11,M1325=phu!$I$12,M1325=phu!$I$13,M1325=phu!$I$14),"Cam Nghĩa",""),IF(OR(M1325=phu!$I$15,M1325=phu!$I$16,M1325=phu!$I$17,M1325=phu!$I$18,M1325=phu!$I$19,M1325=phu!$I$20,M1325=phu!$I$21),"Cam Phúc Bắc",""),IF(OR(M1325=phu!$I$22,M1325=phu!$I$23,M1325=phu!$I$24,M1325=phu!$I$25),"Cam Phúc Nam",""),IF(OR(M1325=phu!$I$26,M1325=phu!$I$27,M1325=phu!$I$28,M1325=phu!$I$29,M1325=phu!$I$30,M1325=phu!$I$31),"Cam Phú",""),IF(OR(M1325=phu!$I$32,M1325=phu!$I$33,M1325=phu!$I$34,M1325=phu!$I$35,M1325=phu!$I$36,M1325=phu!$I$37),"Cam Lộc",""),IF(OR(M1325=phu!$I$38,M1325=phu!$I$39,M1325=phu!$I$40,M1325=phu!$I$41,M1325=phu!$I$42,M1325=phu!$I$43,M1325=phu!$I$44),"Cam Thuận",""),IF(OR(M1325=phu!$I$45,M1325=phu!$I$46,M1325=phu!$I$47,M1325=phu!$I$48,M1325=phu!$I$49,M1325=phu!$I$50,M1325=phu!$I$51,M1325=phu!$I$52,M1325=phu!$I$53),"Cam Linh",""),IF(OR(M1325=phu!$I$54,M1325=phu!$I$55,M1325=phu!$I$56,M1325=phu!$I$57,M1325=phu!$I$58,M1325=phu!$I$59,M1325=phu!$I$60,M1325=phu!$I$61,M1325=phu!$I$62),"Cam Lợi",""),IF(OR(M1325=phu!$I$63,M1325=phu!$I$64,M1325=phu!$I$65,M1325=phu!$I$66,M1325=phu!$I$67,M1325=phu!$I$68,M1325=phu!$I$69,M1325=phu!$I$70,M1325=phu!$I$71),"Ba Ngòi",""),IF(OR(M1325=phu!$I$72,M1325=phu!$I$73,M1325=phu!$I$74,M1325=phu!$I$75,M1325=phu!$I$76,M1325=phu!$I$77,M1325=phu!$I$78),"Cam Phước Đông",""),IF(OR(M1325=phu!$I$79,M1325=phu!$I$80,M1325=phu!$I$81,M1325=phu!$I$82,M1325=phu!$I$83,M1325=phu!$I$84),"Cam Thịnh Đông",""),IF(OR(M1325=phu!$I$85,M1325=phu!$I$86,M1325=phu!$I$87,M1325=phu!$I$88),"Cam Thịnh Tây",""),IF(OR(M1325=phu!$I$89,M1325=phu!$I$90),"Cam Lập",""),IF(OR(M1325=phu!$I$91,M1325=phu!$I$92,M1325=phu!$I$93),"Cam Bình",""),IF(OR(M1325=phu!$I$94,M1325=phu!$I$95,M1325=phu!$I$96,M1325=phu!$I$97,M1325=phu!$I$98,M1325=phu!$I$99,M1325=phu!$I$100),"Huyện khác",""),IF(OR(M1325=phu!$I$101,M1325=phu!$I$102),"Tỉnh khác",""))</f>
        <v/>
      </c>
      <c r="O1325" s="829" t="str">
        <f t="shared" si="120"/>
        <v/>
      </c>
      <c r="P1325" s="254"/>
      <c r="Q1325" s="254"/>
      <c r="R1325" s="254"/>
      <c r="S1325" s="254"/>
      <c r="T1325" s="254"/>
      <c r="U1325" s="254"/>
      <c r="V1325" s="254"/>
      <c r="W1325" s="254"/>
      <c r="Y1325" s="246" t="str">
        <f t="shared" si="121"/>
        <v/>
      </c>
      <c r="Z1325" s="247" t="str">
        <f t="shared" si="125"/>
        <v/>
      </c>
      <c r="AA1325" s="246" t="str">
        <f t="shared" si="122"/>
        <v/>
      </c>
    </row>
    <row r="1326" spans="1:27" x14ac:dyDescent="0.25">
      <c r="A1326" s="248" t="str">
        <f t="shared" si="123"/>
        <v/>
      </c>
      <c r="B1326" s="249" t="str">
        <f t="shared" si="124"/>
        <v/>
      </c>
      <c r="C1326" s="250"/>
      <c r="D1326" s="251"/>
      <c r="E1326" s="241"/>
      <c r="F1326" s="252"/>
      <c r="G1326" s="252"/>
      <c r="H1326" s="253"/>
      <c r="I1326" s="250"/>
      <c r="J1326" s="250"/>
      <c r="K1326" s="270"/>
      <c r="L1326" s="250"/>
      <c r="M1326" s="250"/>
      <c r="N1326" s="540" t="str">
        <f>CONCATENATE(IF(OR(M1326=phu!$I$1,M1326=phu!$I$2,M1326=phu!$I$3),"Cam Thành Nam",""),IF(OR(M1326=phu!$I$4,M1326=phu!$I$5,M1326=phu!$I$6,M1326=phu!$I$7,M1326=phu!$I$8,M1326=phu!$I$9,M1326=phu!$I$10,M1326=phu!$I$11,M1326=phu!$I$12,M1326=phu!$I$13,M1326=phu!$I$14),"Cam Nghĩa",""),IF(OR(M1326=phu!$I$15,M1326=phu!$I$16,M1326=phu!$I$17,M1326=phu!$I$18,M1326=phu!$I$19,M1326=phu!$I$20,M1326=phu!$I$21),"Cam Phúc Bắc",""),IF(OR(M1326=phu!$I$22,M1326=phu!$I$23,M1326=phu!$I$24,M1326=phu!$I$25),"Cam Phúc Nam",""),IF(OR(M1326=phu!$I$26,M1326=phu!$I$27,M1326=phu!$I$28,M1326=phu!$I$29,M1326=phu!$I$30,M1326=phu!$I$31),"Cam Phú",""),IF(OR(M1326=phu!$I$32,M1326=phu!$I$33,M1326=phu!$I$34,M1326=phu!$I$35,M1326=phu!$I$36,M1326=phu!$I$37),"Cam Lộc",""),IF(OR(M1326=phu!$I$38,M1326=phu!$I$39,M1326=phu!$I$40,M1326=phu!$I$41,M1326=phu!$I$42,M1326=phu!$I$43,M1326=phu!$I$44),"Cam Thuận",""),IF(OR(M1326=phu!$I$45,M1326=phu!$I$46,M1326=phu!$I$47,M1326=phu!$I$48,M1326=phu!$I$49,M1326=phu!$I$50,M1326=phu!$I$51,M1326=phu!$I$52,M1326=phu!$I$53),"Cam Linh",""),IF(OR(M1326=phu!$I$54,M1326=phu!$I$55,M1326=phu!$I$56,M1326=phu!$I$57,M1326=phu!$I$58,M1326=phu!$I$59,M1326=phu!$I$60,M1326=phu!$I$61,M1326=phu!$I$62),"Cam Lợi",""),IF(OR(M1326=phu!$I$63,M1326=phu!$I$64,M1326=phu!$I$65,M1326=phu!$I$66,M1326=phu!$I$67,M1326=phu!$I$68,M1326=phu!$I$69,M1326=phu!$I$70,M1326=phu!$I$71),"Ba Ngòi",""),IF(OR(M1326=phu!$I$72,M1326=phu!$I$73,M1326=phu!$I$74,M1326=phu!$I$75,M1326=phu!$I$76,M1326=phu!$I$77,M1326=phu!$I$78),"Cam Phước Đông",""),IF(OR(M1326=phu!$I$79,M1326=phu!$I$80,M1326=phu!$I$81,M1326=phu!$I$82,M1326=phu!$I$83,M1326=phu!$I$84),"Cam Thịnh Đông",""),IF(OR(M1326=phu!$I$85,M1326=phu!$I$86,M1326=phu!$I$87,M1326=phu!$I$88),"Cam Thịnh Tây",""),IF(OR(M1326=phu!$I$89,M1326=phu!$I$90),"Cam Lập",""),IF(OR(M1326=phu!$I$91,M1326=phu!$I$92,M1326=phu!$I$93),"Cam Bình",""),IF(OR(M1326=phu!$I$94,M1326=phu!$I$95,M1326=phu!$I$96,M1326=phu!$I$97,M1326=phu!$I$98,M1326=phu!$I$99,M1326=phu!$I$100),"Huyện khác",""),IF(OR(M1326=phu!$I$101,M1326=phu!$I$102),"Tỉnh khác",""))</f>
        <v/>
      </c>
      <c r="O1326" s="829" t="str">
        <f t="shared" si="120"/>
        <v/>
      </c>
      <c r="P1326" s="254"/>
      <c r="Q1326" s="254"/>
      <c r="R1326" s="254"/>
      <c r="S1326" s="254"/>
      <c r="T1326" s="254"/>
      <c r="U1326" s="254"/>
      <c r="V1326" s="254"/>
      <c r="W1326" s="254"/>
      <c r="Y1326" s="246" t="str">
        <f t="shared" si="121"/>
        <v/>
      </c>
      <c r="Z1326" s="247" t="str">
        <f t="shared" si="125"/>
        <v/>
      </c>
      <c r="AA1326" s="246" t="str">
        <f t="shared" si="122"/>
        <v/>
      </c>
    </row>
    <row r="1327" spans="1:27" x14ac:dyDescent="0.25">
      <c r="A1327" s="248" t="str">
        <f t="shared" si="123"/>
        <v/>
      </c>
      <c r="B1327" s="249" t="str">
        <f t="shared" si="124"/>
        <v/>
      </c>
      <c r="C1327" s="250"/>
      <c r="D1327" s="251"/>
      <c r="E1327" s="241"/>
      <c r="F1327" s="252"/>
      <c r="G1327" s="252"/>
      <c r="H1327" s="253"/>
      <c r="I1327" s="250"/>
      <c r="J1327" s="250"/>
      <c r="K1327" s="270"/>
      <c r="L1327" s="250"/>
      <c r="M1327" s="250"/>
      <c r="N1327" s="540" t="str">
        <f>CONCATENATE(IF(OR(M1327=phu!$I$1,M1327=phu!$I$2,M1327=phu!$I$3),"Cam Thành Nam",""),IF(OR(M1327=phu!$I$4,M1327=phu!$I$5,M1327=phu!$I$6,M1327=phu!$I$7,M1327=phu!$I$8,M1327=phu!$I$9,M1327=phu!$I$10,M1327=phu!$I$11,M1327=phu!$I$12,M1327=phu!$I$13,M1327=phu!$I$14),"Cam Nghĩa",""),IF(OR(M1327=phu!$I$15,M1327=phu!$I$16,M1327=phu!$I$17,M1327=phu!$I$18,M1327=phu!$I$19,M1327=phu!$I$20,M1327=phu!$I$21),"Cam Phúc Bắc",""),IF(OR(M1327=phu!$I$22,M1327=phu!$I$23,M1327=phu!$I$24,M1327=phu!$I$25),"Cam Phúc Nam",""),IF(OR(M1327=phu!$I$26,M1327=phu!$I$27,M1327=phu!$I$28,M1327=phu!$I$29,M1327=phu!$I$30,M1327=phu!$I$31),"Cam Phú",""),IF(OR(M1327=phu!$I$32,M1327=phu!$I$33,M1327=phu!$I$34,M1327=phu!$I$35,M1327=phu!$I$36,M1327=phu!$I$37),"Cam Lộc",""),IF(OR(M1327=phu!$I$38,M1327=phu!$I$39,M1327=phu!$I$40,M1327=phu!$I$41,M1327=phu!$I$42,M1327=phu!$I$43,M1327=phu!$I$44),"Cam Thuận",""),IF(OR(M1327=phu!$I$45,M1327=phu!$I$46,M1327=phu!$I$47,M1327=phu!$I$48,M1327=phu!$I$49,M1327=phu!$I$50,M1327=phu!$I$51,M1327=phu!$I$52,M1327=phu!$I$53),"Cam Linh",""),IF(OR(M1327=phu!$I$54,M1327=phu!$I$55,M1327=phu!$I$56,M1327=phu!$I$57,M1327=phu!$I$58,M1327=phu!$I$59,M1327=phu!$I$60,M1327=phu!$I$61,M1327=phu!$I$62),"Cam Lợi",""),IF(OR(M1327=phu!$I$63,M1327=phu!$I$64,M1327=phu!$I$65,M1327=phu!$I$66,M1327=phu!$I$67,M1327=phu!$I$68,M1327=phu!$I$69,M1327=phu!$I$70,M1327=phu!$I$71),"Ba Ngòi",""),IF(OR(M1327=phu!$I$72,M1327=phu!$I$73,M1327=phu!$I$74,M1327=phu!$I$75,M1327=phu!$I$76,M1327=phu!$I$77,M1327=phu!$I$78),"Cam Phước Đông",""),IF(OR(M1327=phu!$I$79,M1327=phu!$I$80,M1327=phu!$I$81,M1327=phu!$I$82,M1327=phu!$I$83,M1327=phu!$I$84),"Cam Thịnh Đông",""),IF(OR(M1327=phu!$I$85,M1327=phu!$I$86,M1327=phu!$I$87,M1327=phu!$I$88),"Cam Thịnh Tây",""),IF(OR(M1327=phu!$I$89,M1327=phu!$I$90),"Cam Lập",""),IF(OR(M1327=phu!$I$91,M1327=phu!$I$92,M1327=phu!$I$93),"Cam Bình",""),IF(OR(M1327=phu!$I$94,M1327=phu!$I$95,M1327=phu!$I$96,M1327=phu!$I$97,M1327=phu!$I$98,M1327=phu!$I$99,M1327=phu!$I$100),"Huyện khác",""),IF(OR(M1327=phu!$I$101,M1327=phu!$I$102),"Tỉnh khác",""))</f>
        <v/>
      </c>
      <c r="O1327" s="829" t="str">
        <f t="shared" si="120"/>
        <v/>
      </c>
      <c r="P1327" s="254"/>
      <c r="Q1327" s="254"/>
      <c r="R1327" s="254"/>
      <c r="S1327" s="254"/>
      <c r="T1327" s="254"/>
      <c r="U1327" s="254"/>
      <c r="V1327" s="254"/>
      <c r="W1327" s="254"/>
      <c r="Y1327" s="246" t="str">
        <f t="shared" si="121"/>
        <v/>
      </c>
      <c r="Z1327" s="247" t="str">
        <f t="shared" si="125"/>
        <v/>
      </c>
      <c r="AA1327" s="246" t="str">
        <f t="shared" si="122"/>
        <v/>
      </c>
    </row>
    <row r="1328" spans="1:27" x14ac:dyDescent="0.25">
      <c r="A1328" s="248" t="str">
        <f t="shared" si="123"/>
        <v/>
      </c>
      <c r="B1328" s="249" t="str">
        <f t="shared" si="124"/>
        <v/>
      </c>
      <c r="C1328" s="250"/>
      <c r="D1328" s="251"/>
      <c r="E1328" s="241"/>
      <c r="F1328" s="252"/>
      <c r="G1328" s="252"/>
      <c r="H1328" s="253"/>
      <c r="I1328" s="250"/>
      <c r="J1328" s="250"/>
      <c r="K1328" s="270"/>
      <c r="L1328" s="250"/>
      <c r="M1328" s="250"/>
      <c r="N1328" s="540" t="str">
        <f>CONCATENATE(IF(OR(M1328=phu!$I$1,M1328=phu!$I$2,M1328=phu!$I$3),"Cam Thành Nam",""),IF(OR(M1328=phu!$I$4,M1328=phu!$I$5,M1328=phu!$I$6,M1328=phu!$I$7,M1328=phu!$I$8,M1328=phu!$I$9,M1328=phu!$I$10,M1328=phu!$I$11,M1328=phu!$I$12,M1328=phu!$I$13,M1328=phu!$I$14),"Cam Nghĩa",""),IF(OR(M1328=phu!$I$15,M1328=phu!$I$16,M1328=phu!$I$17,M1328=phu!$I$18,M1328=phu!$I$19,M1328=phu!$I$20,M1328=phu!$I$21),"Cam Phúc Bắc",""),IF(OR(M1328=phu!$I$22,M1328=phu!$I$23,M1328=phu!$I$24,M1328=phu!$I$25),"Cam Phúc Nam",""),IF(OR(M1328=phu!$I$26,M1328=phu!$I$27,M1328=phu!$I$28,M1328=phu!$I$29,M1328=phu!$I$30,M1328=phu!$I$31),"Cam Phú",""),IF(OR(M1328=phu!$I$32,M1328=phu!$I$33,M1328=phu!$I$34,M1328=phu!$I$35,M1328=phu!$I$36,M1328=phu!$I$37),"Cam Lộc",""),IF(OR(M1328=phu!$I$38,M1328=phu!$I$39,M1328=phu!$I$40,M1328=phu!$I$41,M1328=phu!$I$42,M1328=phu!$I$43,M1328=phu!$I$44),"Cam Thuận",""),IF(OR(M1328=phu!$I$45,M1328=phu!$I$46,M1328=phu!$I$47,M1328=phu!$I$48,M1328=phu!$I$49,M1328=phu!$I$50,M1328=phu!$I$51,M1328=phu!$I$52,M1328=phu!$I$53),"Cam Linh",""),IF(OR(M1328=phu!$I$54,M1328=phu!$I$55,M1328=phu!$I$56,M1328=phu!$I$57,M1328=phu!$I$58,M1328=phu!$I$59,M1328=phu!$I$60,M1328=phu!$I$61,M1328=phu!$I$62),"Cam Lợi",""),IF(OR(M1328=phu!$I$63,M1328=phu!$I$64,M1328=phu!$I$65,M1328=phu!$I$66,M1328=phu!$I$67,M1328=phu!$I$68,M1328=phu!$I$69,M1328=phu!$I$70,M1328=phu!$I$71),"Ba Ngòi",""),IF(OR(M1328=phu!$I$72,M1328=phu!$I$73,M1328=phu!$I$74,M1328=phu!$I$75,M1328=phu!$I$76,M1328=phu!$I$77,M1328=phu!$I$78),"Cam Phước Đông",""),IF(OR(M1328=phu!$I$79,M1328=phu!$I$80,M1328=phu!$I$81,M1328=phu!$I$82,M1328=phu!$I$83,M1328=phu!$I$84),"Cam Thịnh Đông",""),IF(OR(M1328=phu!$I$85,M1328=phu!$I$86,M1328=phu!$I$87,M1328=phu!$I$88),"Cam Thịnh Tây",""),IF(OR(M1328=phu!$I$89,M1328=phu!$I$90),"Cam Lập",""),IF(OR(M1328=phu!$I$91,M1328=phu!$I$92,M1328=phu!$I$93),"Cam Bình",""),IF(OR(M1328=phu!$I$94,M1328=phu!$I$95,M1328=phu!$I$96,M1328=phu!$I$97,M1328=phu!$I$98,M1328=phu!$I$99,M1328=phu!$I$100),"Huyện khác",""),IF(OR(M1328=phu!$I$101,M1328=phu!$I$102),"Tỉnh khác",""))</f>
        <v/>
      </c>
      <c r="O1328" s="829" t="str">
        <f t="shared" si="120"/>
        <v/>
      </c>
      <c r="P1328" s="254"/>
      <c r="Q1328" s="254"/>
      <c r="R1328" s="254"/>
      <c r="S1328" s="254"/>
      <c r="T1328" s="254"/>
      <c r="U1328" s="254"/>
      <c r="V1328" s="254"/>
      <c r="W1328" s="254"/>
      <c r="Y1328" s="246" t="str">
        <f t="shared" si="121"/>
        <v/>
      </c>
      <c r="Z1328" s="247" t="str">
        <f t="shared" si="125"/>
        <v/>
      </c>
      <c r="AA1328" s="246" t="str">
        <f t="shared" si="122"/>
        <v/>
      </c>
    </row>
    <row r="1329" spans="1:27" x14ac:dyDescent="0.25">
      <c r="A1329" s="248" t="str">
        <f t="shared" si="123"/>
        <v/>
      </c>
      <c r="B1329" s="249" t="str">
        <f t="shared" si="124"/>
        <v/>
      </c>
      <c r="C1329" s="250"/>
      <c r="D1329" s="251"/>
      <c r="E1329" s="241"/>
      <c r="F1329" s="252"/>
      <c r="G1329" s="252"/>
      <c r="H1329" s="253"/>
      <c r="I1329" s="250"/>
      <c r="J1329" s="250"/>
      <c r="K1329" s="270"/>
      <c r="L1329" s="250"/>
      <c r="M1329" s="250"/>
      <c r="N1329" s="540" t="str">
        <f>CONCATENATE(IF(OR(M1329=phu!$I$1,M1329=phu!$I$2,M1329=phu!$I$3),"Cam Thành Nam",""),IF(OR(M1329=phu!$I$4,M1329=phu!$I$5,M1329=phu!$I$6,M1329=phu!$I$7,M1329=phu!$I$8,M1329=phu!$I$9,M1329=phu!$I$10,M1329=phu!$I$11,M1329=phu!$I$12,M1329=phu!$I$13,M1329=phu!$I$14),"Cam Nghĩa",""),IF(OR(M1329=phu!$I$15,M1329=phu!$I$16,M1329=phu!$I$17,M1329=phu!$I$18,M1329=phu!$I$19,M1329=phu!$I$20,M1329=phu!$I$21),"Cam Phúc Bắc",""),IF(OR(M1329=phu!$I$22,M1329=phu!$I$23,M1329=phu!$I$24,M1329=phu!$I$25),"Cam Phúc Nam",""),IF(OR(M1329=phu!$I$26,M1329=phu!$I$27,M1329=phu!$I$28,M1329=phu!$I$29,M1329=phu!$I$30,M1329=phu!$I$31),"Cam Phú",""),IF(OR(M1329=phu!$I$32,M1329=phu!$I$33,M1329=phu!$I$34,M1329=phu!$I$35,M1329=phu!$I$36,M1329=phu!$I$37),"Cam Lộc",""),IF(OR(M1329=phu!$I$38,M1329=phu!$I$39,M1329=phu!$I$40,M1329=phu!$I$41,M1329=phu!$I$42,M1329=phu!$I$43,M1329=phu!$I$44),"Cam Thuận",""),IF(OR(M1329=phu!$I$45,M1329=phu!$I$46,M1329=phu!$I$47,M1329=phu!$I$48,M1329=phu!$I$49,M1329=phu!$I$50,M1329=phu!$I$51,M1329=phu!$I$52,M1329=phu!$I$53),"Cam Linh",""),IF(OR(M1329=phu!$I$54,M1329=phu!$I$55,M1329=phu!$I$56,M1329=phu!$I$57,M1329=phu!$I$58,M1329=phu!$I$59,M1329=phu!$I$60,M1329=phu!$I$61,M1329=phu!$I$62),"Cam Lợi",""),IF(OR(M1329=phu!$I$63,M1329=phu!$I$64,M1329=phu!$I$65,M1329=phu!$I$66,M1329=phu!$I$67,M1329=phu!$I$68,M1329=phu!$I$69,M1329=phu!$I$70,M1329=phu!$I$71),"Ba Ngòi",""),IF(OR(M1329=phu!$I$72,M1329=phu!$I$73,M1329=phu!$I$74,M1329=phu!$I$75,M1329=phu!$I$76,M1329=phu!$I$77,M1329=phu!$I$78),"Cam Phước Đông",""),IF(OR(M1329=phu!$I$79,M1329=phu!$I$80,M1329=phu!$I$81,M1329=phu!$I$82,M1329=phu!$I$83,M1329=phu!$I$84),"Cam Thịnh Đông",""),IF(OR(M1329=phu!$I$85,M1329=phu!$I$86,M1329=phu!$I$87,M1329=phu!$I$88),"Cam Thịnh Tây",""),IF(OR(M1329=phu!$I$89,M1329=phu!$I$90),"Cam Lập",""),IF(OR(M1329=phu!$I$91,M1329=phu!$I$92,M1329=phu!$I$93),"Cam Bình",""),IF(OR(M1329=phu!$I$94,M1329=phu!$I$95,M1329=phu!$I$96,M1329=phu!$I$97,M1329=phu!$I$98,M1329=phu!$I$99,M1329=phu!$I$100),"Huyện khác",""),IF(OR(M1329=phu!$I$101,M1329=phu!$I$102),"Tỉnh khác",""))</f>
        <v/>
      </c>
      <c r="O1329" s="829" t="str">
        <f t="shared" si="120"/>
        <v/>
      </c>
      <c r="P1329" s="254"/>
      <c r="Q1329" s="254"/>
      <c r="R1329" s="254"/>
      <c r="S1329" s="254"/>
      <c r="T1329" s="254"/>
      <c r="U1329" s="254"/>
      <c r="V1329" s="254"/>
      <c r="W1329" s="254"/>
      <c r="Y1329" s="246" t="str">
        <f t="shared" si="121"/>
        <v/>
      </c>
      <c r="Z1329" s="247" t="str">
        <f t="shared" si="125"/>
        <v/>
      </c>
      <c r="AA1329" s="246" t="str">
        <f t="shared" si="122"/>
        <v/>
      </c>
    </row>
    <row r="1330" spans="1:27" x14ac:dyDescent="0.25">
      <c r="A1330" s="248" t="str">
        <f t="shared" si="123"/>
        <v/>
      </c>
      <c r="B1330" s="249" t="str">
        <f t="shared" si="124"/>
        <v/>
      </c>
      <c r="C1330" s="250"/>
      <c r="D1330" s="251"/>
      <c r="E1330" s="241"/>
      <c r="F1330" s="252"/>
      <c r="G1330" s="252"/>
      <c r="H1330" s="253"/>
      <c r="I1330" s="250"/>
      <c r="J1330" s="250"/>
      <c r="K1330" s="270"/>
      <c r="L1330" s="250"/>
      <c r="M1330" s="250"/>
      <c r="N1330" s="540" t="str">
        <f>CONCATENATE(IF(OR(M1330=phu!$I$1,M1330=phu!$I$2,M1330=phu!$I$3),"Cam Thành Nam",""),IF(OR(M1330=phu!$I$4,M1330=phu!$I$5,M1330=phu!$I$6,M1330=phu!$I$7,M1330=phu!$I$8,M1330=phu!$I$9,M1330=phu!$I$10,M1330=phu!$I$11,M1330=phu!$I$12,M1330=phu!$I$13,M1330=phu!$I$14),"Cam Nghĩa",""),IF(OR(M1330=phu!$I$15,M1330=phu!$I$16,M1330=phu!$I$17,M1330=phu!$I$18,M1330=phu!$I$19,M1330=phu!$I$20,M1330=phu!$I$21),"Cam Phúc Bắc",""),IF(OR(M1330=phu!$I$22,M1330=phu!$I$23,M1330=phu!$I$24,M1330=phu!$I$25),"Cam Phúc Nam",""),IF(OR(M1330=phu!$I$26,M1330=phu!$I$27,M1330=phu!$I$28,M1330=phu!$I$29,M1330=phu!$I$30,M1330=phu!$I$31),"Cam Phú",""),IF(OR(M1330=phu!$I$32,M1330=phu!$I$33,M1330=phu!$I$34,M1330=phu!$I$35,M1330=phu!$I$36,M1330=phu!$I$37),"Cam Lộc",""),IF(OR(M1330=phu!$I$38,M1330=phu!$I$39,M1330=phu!$I$40,M1330=phu!$I$41,M1330=phu!$I$42,M1330=phu!$I$43,M1330=phu!$I$44),"Cam Thuận",""),IF(OR(M1330=phu!$I$45,M1330=phu!$I$46,M1330=phu!$I$47,M1330=phu!$I$48,M1330=phu!$I$49,M1330=phu!$I$50,M1330=phu!$I$51,M1330=phu!$I$52,M1330=phu!$I$53),"Cam Linh",""),IF(OR(M1330=phu!$I$54,M1330=phu!$I$55,M1330=phu!$I$56,M1330=phu!$I$57,M1330=phu!$I$58,M1330=phu!$I$59,M1330=phu!$I$60,M1330=phu!$I$61,M1330=phu!$I$62),"Cam Lợi",""),IF(OR(M1330=phu!$I$63,M1330=phu!$I$64,M1330=phu!$I$65,M1330=phu!$I$66,M1330=phu!$I$67,M1330=phu!$I$68,M1330=phu!$I$69,M1330=phu!$I$70,M1330=phu!$I$71),"Ba Ngòi",""),IF(OR(M1330=phu!$I$72,M1330=phu!$I$73,M1330=phu!$I$74,M1330=phu!$I$75,M1330=phu!$I$76,M1330=phu!$I$77,M1330=phu!$I$78),"Cam Phước Đông",""),IF(OR(M1330=phu!$I$79,M1330=phu!$I$80,M1330=phu!$I$81,M1330=phu!$I$82,M1330=phu!$I$83,M1330=phu!$I$84),"Cam Thịnh Đông",""),IF(OR(M1330=phu!$I$85,M1330=phu!$I$86,M1330=phu!$I$87,M1330=phu!$I$88),"Cam Thịnh Tây",""),IF(OR(M1330=phu!$I$89,M1330=phu!$I$90),"Cam Lập",""),IF(OR(M1330=phu!$I$91,M1330=phu!$I$92,M1330=phu!$I$93),"Cam Bình",""),IF(OR(M1330=phu!$I$94,M1330=phu!$I$95,M1330=phu!$I$96,M1330=phu!$I$97,M1330=phu!$I$98,M1330=phu!$I$99,M1330=phu!$I$100),"Huyện khác",""),IF(OR(M1330=phu!$I$101,M1330=phu!$I$102),"Tỉnh khác",""))</f>
        <v/>
      </c>
      <c r="O1330" s="829" t="str">
        <f t="shared" si="120"/>
        <v/>
      </c>
      <c r="P1330" s="254"/>
      <c r="Q1330" s="254"/>
      <c r="R1330" s="254"/>
      <c r="S1330" s="254"/>
      <c r="T1330" s="254"/>
      <c r="U1330" s="254"/>
      <c r="V1330" s="254"/>
      <c r="W1330" s="254"/>
      <c r="Y1330" s="246" t="str">
        <f t="shared" si="121"/>
        <v/>
      </c>
      <c r="Z1330" s="247" t="str">
        <f t="shared" si="125"/>
        <v/>
      </c>
      <c r="AA1330" s="246" t="str">
        <f t="shared" si="122"/>
        <v/>
      </c>
    </row>
    <row r="1331" spans="1:27" x14ac:dyDescent="0.25">
      <c r="A1331" s="248" t="str">
        <f t="shared" si="123"/>
        <v/>
      </c>
      <c r="B1331" s="249" t="str">
        <f t="shared" si="124"/>
        <v/>
      </c>
      <c r="C1331" s="250"/>
      <c r="D1331" s="251"/>
      <c r="E1331" s="241"/>
      <c r="F1331" s="252"/>
      <c r="G1331" s="252"/>
      <c r="H1331" s="253"/>
      <c r="I1331" s="250"/>
      <c r="J1331" s="250"/>
      <c r="K1331" s="270"/>
      <c r="L1331" s="250"/>
      <c r="M1331" s="250"/>
      <c r="N1331" s="540" t="str">
        <f>CONCATENATE(IF(OR(M1331=phu!$I$1,M1331=phu!$I$2,M1331=phu!$I$3),"Cam Thành Nam",""),IF(OR(M1331=phu!$I$4,M1331=phu!$I$5,M1331=phu!$I$6,M1331=phu!$I$7,M1331=phu!$I$8,M1331=phu!$I$9,M1331=phu!$I$10,M1331=phu!$I$11,M1331=phu!$I$12,M1331=phu!$I$13,M1331=phu!$I$14),"Cam Nghĩa",""),IF(OR(M1331=phu!$I$15,M1331=phu!$I$16,M1331=phu!$I$17,M1331=phu!$I$18,M1331=phu!$I$19,M1331=phu!$I$20,M1331=phu!$I$21),"Cam Phúc Bắc",""),IF(OR(M1331=phu!$I$22,M1331=phu!$I$23,M1331=phu!$I$24,M1331=phu!$I$25),"Cam Phúc Nam",""),IF(OR(M1331=phu!$I$26,M1331=phu!$I$27,M1331=phu!$I$28,M1331=phu!$I$29,M1331=phu!$I$30,M1331=phu!$I$31),"Cam Phú",""),IF(OR(M1331=phu!$I$32,M1331=phu!$I$33,M1331=phu!$I$34,M1331=phu!$I$35,M1331=phu!$I$36,M1331=phu!$I$37),"Cam Lộc",""),IF(OR(M1331=phu!$I$38,M1331=phu!$I$39,M1331=phu!$I$40,M1331=phu!$I$41,M1331=phu!$I$42,M1331=phu!$I$43,M1331=phu!$I$44),"Cam Thuận",""),IF(OR(M1331=phu!$I$45,M1331=phu!$I$46,M1331=phu!$I$47,M1331=phu!$I$48,M1331=phu!$I$49,M1331=phu!$I$50,M1331=phu!$I$51,M1331=phu!$I$52,M1331=phu!$I$53),"Cam Linh",""),IF(OR(M1331=phu!$I$54,M1331=phu!$I$55,M1331=phu!$I$56,M1331=phu!$I$57,M1331=phu!$I$58,M1331=phu!$I$59,M1331=phu!$I$60,M1331=phu!$I$61,M1331=phu!$I$62),"Cam Lợi",""),IF(OR(M1331=phu!$I$63,M1331=phu!$I$64,M1331=phu!$I$65,M1331=phu!$I$66,M1331=phu!$I$67,M1331=phu!$I$68,M1331=phu!$I$69,M1331=phu!$I$70,M1331=phu!$I$71),"Ba Ngòi",""),IF(OR(M1331=phu!$I$72,M1331=phu!$I$73,M1331=phu!$I$74,M1331=phu!$I$75,M1331=phu!$I$76,M1331=phu!$I$77,M1331=phu!$I$78),"Cam Phước Đông",""),IF(OR(M1331=phu!$I$79,M1331=phu!$I$80,M1331=phu!$I$81,M1331=phu!$I$82,M1331=phu!$I$83,M1331=phu!$I$84),"Cam Thịnh Đông",""),IF(OR(M1331=phu!$I$85,M1331=phu!$I$86,M1331=phu!$I$87,M1331=phu!$I$88),"Cam Thịnh Tây",""),IF(OR(M1331=phu!$I$89,M1331=phu!$I$90),"Cam Lập",""),IF(OR(M1331=phu!$I$91,M1331=phu!$I$92,M1331=phu!$I$93),"Cam Bình",""),IF(OR(M1331=phu!$I$94,M1331=phu!$I$95,M1331=phu!$I$96,M1331=phu!$I$97,M1331=phu!$I$98,M1331=phu!$I$99,M1331=phu!$I$100),"Huyện khác",""),IF(OR(M1331=phu!$I$101,M1331=phu!$I$102),"Tỉnh khác",""))</f>
        <v/>
      </c>
      <c r="O1331" s="829" t="str">
        <f t="shared" si="120"/>
        <v/>
      </c>
      <c r="P1331" s="254"/>
      <c r="Q1331" s="254"/>
      <c r="R1331" s="254"/>
      <c r="S1331" s="254"/>
      <c r="T1331" s="254"/>
      <c r="U1331" s="254"/>
      <c r="V1331" s="254"/>
      <c r="W1331" s="254"/>
      <c r="Y1331" s="246" t="str">
        <f t="shared" si="121"/>
        <v/>
      </c>
      <c r="Z1331" s="247" t="str">
        <f t="shared" si="125"/>
        <v/>
      </c>
      <c r="AA1331" s="246" t="str">
        <f t="shared" si="122"/>
        <v/>
      </c>
    </row>
    <row r="1332" spans="1:27" x14ac:dyDescent="0.25">
      <c r="A1332" s="248" t="str">
        <f t="shared" si="123"/>
        <v/>
      </c>
      <c r="B1332" s="249" t="str">
        <f t="shared" si="124"/>
        <v/>
      </c>
      <c r="C1332" s="250"/>
      <c r="D1332" s="251"/>
      <c r="E1332" s="241"/>
      <c r="F1332" s="252"/>
      <c r="G1332" s="252"/>
      <c r="H1332" s="253"/>
      <c r="I1332" s="250"/>
      <c r="J1332" s="250"/>
      <c r="K1332" s="270"/>
      <c r="L1332" s="250"/>
      <c r="M1332" s="250"/>
      <c r="N1332" s="540" t="str">
        <f>CONCATENATE(IF(OR(M1332=phu!$I$1,M1332=phu!$I$2,M1332=phu!$I$3),"Cam Thành Nam",""),IF(OR(M1332=phu!$I$4,M1332=phu!$I$5,M1332=phu!$I$6,M1332=phu!$I$7,M1332=phu!$I$8,M1332=phu!$I$9,M1332=phu!$I$10,M1332=phu!$I$11,M1332=phu!$I$12,M1332=phu!$I$13,M1332=phu!$I$14),"Cam Nghĩa",""),IF(OR(M1332=phu!$I$15,M1332=phu!$I$16,M1332=phu!$I$17,M1332=phu!$I$18,M1332=phu!$I$19,M1332=phu!$I$20,M1332=phu!$I$21),"Cam Phúc Bắc",""),IF(OR(M1332=phu!$I$22,M1332=phu!$I$23,M1332=phu!$I$24,M1332=phu!$I$25),"Cam Phúc Nam",""),IF(OR(M1332=phu!$I$26,M1332=phu!$I$27,M1332=phu!$I$28,M1332=phu!$I$29,M1332=phu!$I$30,M1332=phu!$I$31),"Cam Phú",""),IF(OR(M1332=phu!$I$32,M1332=phu!$I$33,M1332=phu!$I$34,M1332=phu!$I$35,M1332=phu!$I$36,M1332=phu!$I$37),"Cam Lộc",""),IF(OR(M1332=phu!$I$38,M1332=phu!$I$39,M1332=phu!$I$40,M1332=phu!$I$41,M1332=phu!$I$42,M1332=phu!$I$43,M1332=phu!$I$44),"Cam Thuận",""),IF(OR(M1332=phu!$I$45,M1332=phu!$I$46,M1332=phu!$I$47,M1332=phu!$I$48,M1332=phu!$I$49,M1332=phu!$I$50,M1332=phu!$I$51,M1332=phu!$I$52,M1332=phu!$I$53),"Cam Linh",""),IF(OR(M1332=phu!$I$54,M1332=phu!$I$55,M1332=phu!$I$56,M1332=phu!$I$57,M1332=phu!$I$58,M1332=phu!$I$59,M1332=phu!$I$60,M1332=phu!$I$61,M1332=phu!$I$62),"Cam Lợi",""),IF(OR(M1332=phu!$I$63,M1332=phu!$I$64,M1332=phu!$I$65,M1332=phu!$I$66,M1332=phu!$I$67,M1332=phu!$I$68,M1332=phu!$I$69,M1332=phu!$I$70,M1332=phu!$I$71),"Ba Ngòi",""),IF(OR(M1332=phu!$I$72,M1332=phu!$I$73,M1332=phu!$I$74,M1332=phu!$I$75,M1332=phu!$I$76,M1332=phu!$I$77,M1332=phu!$I$78),"Cam Phước Đông",""),IF(OR(M1332=phu!$I$79,M1332=phu!$I$80,M1332=phu!$I$81,M1332=phu!$I$82,M1332=phu!$I$83,M1332=phu!$I$84),"Cam Thịnh Đông",""),IF(OR(M1332=phu!$I$85,M1332=phu!$I$86,M1332=phu!$I$87,M1332=phu!$I$88),"Cam Thịnh Tây",""),IF(OR(M1332=phu!$I$89,M1332=phu!$I$90),"Cam Lập",""),IF(OR(M1332=phu!$I$91,M1332=phu!$I$92,M1332=phu!$I$93),"Cam Bình",""),IF(OR(M1332=phu!$I$94,M1332=phu!$I$95,M1332=phu!$I$96,M1332=phu!$I$97,M1332=phu!$I$98,M1332=phu!$I$99,M1332=phu!$I$100),"Huyện khác",""),IF(OR(M1332=phu!$I$101,M1332=phu!$I$102),"Tỉnh khác",""))</f>
        <v/>
      </c>
      <c r="O1332" s="829" t="str">
        <f t="shared" si="120"/>
        <v/>
      </c>
      <c r="P1332" s="254"/>
      <c r="Q1332" s="254"/>
      <c r="R1332" s="254"/>
      <c r="S1332" s="254"/>
      <c r="T1332" s="254"/>
      <c r="U1332" s="254"/>
      <c r="V1332" s="254"/>
      <c r="W1332" s="254"/>
      <c r="Y1332" s="246" t="str">
        <f t="shared" si="121"/>
        <v/>
      </c>
      <c r="Z1332" s="247" t="str">
        <f t="shared" si="125"/>
        <v/>
      </c>
      <c r="AA1332" s="246" t="str">
        <f t="shared" si="122"/>
        <v/>
      </c>
    </row>
    <row r="1333" spans="1:27" x14ac:dyDescent="0.25">
      <c r="A1333" s="248" t="str">
        <f t="shared" si="123"/>
        <v/>
      </c>
      <c r="B1333" s="249" t="str">
        <f t="shared" si="124"/>
        <v/>
      </c>
      <c r="C1333" s="250"/>
      <c r="D1333" s="251"/>
      <c r="E1333" s="241"/>
      <c r="F1333" s="252"/>
      <c r="G1333" s="252"/>
      <c r="H1333" s="253"/>
      <c r="I1333" s="250"/>
      <c r="J1333" s="250"/>
      <c r="K1333" s="270"/>
      <c r="L1333" s="250"/>
      <c r="M1333" s="250"/>
      <c r="N1333" s="540" t="str">
        <f>CONCATENATE(IF(OR(M1333=phu!$I$1,M1333=phu!$I$2,M1333=phu!$I$3),"Cam Thành Nam",""),IF(OR(M1333=phu!$I$4,M1333=phu!$I$5,M1333=phu!$I$6,M1333=phu!$I$7,M1333=phu!$I$8,M1333=phu!$I$9,M1333=phu!$I$10,M1333=phu!$I$11,M1333=phu!$I$12,M1333=phu!$I$13,M1333=phu!$I$14),"Cam Nghĩa",""),IF(OR(M1333=phu!$I$15,M1333=phu!$I$16,M1333=phu!$I$17,M1333=phu!$I$18,M1333=phu!$I$19,M1333=phu!$I$20,M1333=phu!$I$21),"Cam Phúc Bắc",""),IF(OR(M1333=phu!$I$22,M1333=phu!$I$23,M1333=phu!$I$24,M1333=phu!$I$25),"Cam Phúc Nam",""),IF(OR(M1333=phu!$I$26,M1333=phu!$I$27,M1333=phu!$I$28,M1333=phu!$I$29,M1333=phu!$I$30,M1333=phu!$I$31),"Cam Phú",""),IF(OR(M1333=phu!$I$32,M1333=phu!$I$33,M1333=phu!$I$34,M1333=phu!$I$35,M1333=phu!$I$36,M1333=phu!$I$37),"Cam Lộc",""),IF(OR(M1333=phu!$I$38,M1333=phu!$I$39,M1333=phu!$I$40,M1333=phu!$I$41,M1333=phu!$I$42,M1333=phu!$I$43,M1333=phu!$I$44),"Cam Thuận",""),IF(OR(M1333=phu!$I$45,M1333=phu!$I$46,M1333=phu!$I$47,M1333=phu!$I$48,M1333=phu!$I$49,M1333=phu!$I$50,M1333=phu!$I$51,M1333=phu!$I$52,M1333=phu!$I$53),"Cam Linh",""),IF(OR(M1333=phu!$I$54,M1333=phu!$I$55,M1333=phu!$I$56,M1333=phu!$I$57,M1333=phu!$I$58,M1333=phu!$I$59,M1333=phu!$I$60,M1333=phu!$I$61,M1333=phu!$I$62),"Cam Lợi",""),IF(OR(M1333=phu!$I$63,M1333=phu!$I$64,M1333=phu!$I$65,M1333=phu!$I$66,M1333=phu!$I$67,M1333=phu!$I$68,M1333=phu!$I$69,M1333=phu!$I$70,M1333=phu!$I$71),"Ba Ngòi",""),IF(OR(M1333=phu!$I$72,M1333=phu!$I$73,M1333=phu!$I$74,M1333=phu!$I$75,M1333=phu!$I$76,M1333=phu!$I$77,M1333=phu!$I$78),"Cam Phước Đông",""),IF(OR(M1333=phu!$I$79,M1333=phu!$I$80,M1333=phu!$I$81,M1333=phu!$I$82,M1333=phu!$I$83,M1333=phu!$I$84),"Cam Thịnh Đông",""),IF(OR(M1333=phu!$I$85,M1333=phu!$I$86,M1333=phu!$I$87,M1333=phu!$I$88),"Cam Thịnh Tây",""),IF(OR(M1333=phu!$I$89,M1333=phu!$I$90),"Cam Lập",""),IF(OR(M1333=phu!$I$91,M1333=phu!$I$92,M1333=phu!$I$93),"Cam Bình",""),IF(OR(M1333=phu!$I$94,M1333=phu!$I$95,M1333=phu!$I$96,M1333=phu!$I$97,M1333=phu!$I$98,M1333=phu!$I$99,M1333=phu!$I$100),"Huyện khác",""),IF(OR(M1333=phu!$I$101,M1333=phu!$I$102),"Tỉnh khác",""))</f>
        <v/>
      </c>
      <c r="O1333" s="829" t="str">
        <f t="shared" si="120"/>
        <v/>
      </c>
      <c r="P1333" s="254"/>
      <c r="Q1333" s="254"/>
      <c r="R1333" s="254"/>
      <c r="S1333" s="254"/>
      <c r="T1333" s="254"/>
      <c r="U1333" s="254"/>
      <c r="V1333" s="254"/>
      <c r="W1333" s="254"/>
      <c r="Y1333" s="246" t="str">
        <f t="shared" si="121"/>
        <v/>
      </c>
      <c r="Z1333" s="247" t="str">
        <f t="shared" si="125"/>
        <v/>
      </c>
      <c r="AA1333" s="246" t="str">
        <f t="shared" si="122"/>
        <v/>
      </c>
    </row>
    <row r="1334" spans="1:27" x14ac:dyDescent="0.25">
      <c r="A1334" s="248" t="str">
        <f t="shared" si="123"/>
        <v/>
      </c>
      <c r="B1334" s="249" t="str">
        <f t="shared" si="124"/>
        <v/>
      </c>
      <c r="C1334" s="250"/>
      <c r="D1334" s="251"/>
      <c r="E1334" s="241"/>
      <c r="F1334" s="252"/>
      <c r="G1334" s="252"/>
      <c r="H1334" s="253"/>
      <c r="I1334" s="250"/>
      <c r="J1334" s="250"/>
      <c r="K1334" s="270"/>
      <c r="L1334" s="250"/>
      <c r="M1334" s="250"/>
      <c r="N1334" s="540" t="str">
        <f>CONCATENATE(IF(OR(M1334=phu!$I$1,M1334=phu!$I$2,M1334=phu!$I$3),"Cam Thành Nam",""),IF(OR(M1334=phu!$I$4,M1334=phu!$I$5,M1334=phu!$I$6,M1334=phu!$I$7,M1334=phu!$I$8,M1334=phu!$I$9,M1334=phu!$I$10,M1334=phu!$I$11,M1334=phu!$I$12,M1334=phu!$I$13,M1334=phu!$I$14),"Cam Nghĩa",""),IF(OR(M1334=phu!$I$15,M1334=phu!$I$16,M1334=phu!$I$17,M1334=phu!$I$18,M1334=phu!$I$19,M1334=phu!$I$20,M1334=phu!$I$21),"Cam Phúc Bắc",""),IF(OR(M1334=phu!$I$22,M1334=phu!$I$23,M1334=phu!$I$24,M1334=phu!$I$25),"Cam Phúc Nam",""),IF(OR(M1334=phu!$I$26,M1334=phu!$I$27,M1334=phu!$I$28,M1334=phu!$I$29,M1334=phu!$I$30,M1334=phu!$I$31),"Cam Phú",""),IF(OR(M1334=phu!$I$32,M1334=phu!$I$33,M1334=phu!$I$34,M1334=phu!$I$35,M1334=phu!$I$36,M1334=phu!$I$37),"Cam Lộc",""),IF(OR(M1334=phu!$I$38,M1334=phu!$I$39,M1334=phu!$I$40,M1334=phu!$I$41,M1334=phu!$I$42,M1334=phu!$I$43,M1334=phu!$I$44),"Cam Thuận",""),IF(OR(M1334=phu!$I$45,M1334=phu!$I$46,M1334=phu!$I$47,M1334=phu!$I$48,M1334=phu!$I$49,M1334=phu!$I$50,M1334=phu!$I$51,M1334=phu!$I$52,M1334=phu!$I$53),"Cam Linh",""),IF(OR(M1334=phu!$I$54,M1334=phu!$I$55,M1334=phu!$I$56,M1334=phu!$I$57,M1334=phu!$I$58,M1334=phu!$I$59,M1334=phu!$I$60,M1334=phu!$I$61,M1334=phu!$I$62),"Cam Lợi",""),IF(OR(M1334=phu!$I$63,M1334=phu!$I$64,M1334=phu!$I$65,M1334=phu!$I$66,M1334=phu!$I$67,M1334=phu!$I$68,M1334=phu!$I$69,M1334=phu!$I$70,M1334=phu!$I$71),"Ba Ngòi",""),IF(OR(M1334=phu!$I$72,M1334=phu!$I$73,M1334=phu!$I$74,M1334=phu!$I$75,M1334=phu!$I$76,M1334=phu!$I$77,M1334=phu!$I$78),"Cam Phước Đông",""),IF(OR(M1334=phu!$I$79,M1334=phu!$I$80,M1334=phu!$I$81,M1334=phu!$I$82,M1334=phu!$I$83,M1334=phu!$I$84),"Cam Thịnh Đông",""),IF(OR(M1334=phu!$I$85,M1334=phu!$I$86,M1334=phu!$I$87,M1334=phu!$I$88),"Cam Thịnh Tây",""),IF(OR(M1334=phu!$I$89,M1334=phu!$I$90),"Cam Lập",""),IF(OR(M1334=phu!$I$91,M1334=phu!$I$92,M1334=phu!$I$93),"Cam Bình",""),IF(OR(M1334=phu!$I$94,M1334=phu!$I$95,M1334=phu!$I$96,M1334=phu!$I$97,M1334=phu!$I$98,M1334=phu!$I$99,M1334=phu!$I$100),"Huyện khác",""),IF(OR(M1334=phu!$I$101,M1334=phu!$I$102),"Tỉnh khác",""))</f>
        <v/>
      </c>
      <c r="O1334" s="829" t="str">
        <f t="shared" si="120"/>
        <v/>
      </c>
      <c r="P1334" s="254"/>
      <c r="Q1334" s="254"/>
      <c r="R1334" s="254"/>
      <c r="S1334" s="254"/>
      <c r="T1334" s="254"/>
      <c r="U1334" s="254"/>
      <c r="V1334" s="254"/>
      <c r="W1334" s="254"/>
      <c r="Y1334" s="246" t="str">
        <f t="shared" si="121"/>
        <v/>
      </c>
      <c r="Z1334" s="247" t="str">
        <f t="shared" si="125"/>
        <v/>
      </c>
      <c r="AA1334" s="246" t="str">
        <f t="shared" si="122"/>
        <v/>
      </c>
    </row>
    <row r="1335" spans="1:27" x14ac:dyDescent="0.25">
      <c r="A1335" s="248" t="str">
        <f t="shared" si="123"/>
        <v/>
      </c>
      <c r="B1335" s="249" t="str">
        <f t="shared" si="124"/>
        <v/>
      </c>
      <c r="C1335" s="250"/>
      <c r="D1335" s="251"/>
      <c r="E1335" s="241"/>
      <c r="F1335" s="252"/>
      <c r="G1335" s="252"/>
      <c r="H1335" s="253"/>
      <c r="I1335" s="250"/>
      <c r="J1335" s="250"/>
      <c r="K1335" s="270"/>
      <c r="L1335" s="250"/>
      <c r="M1335" s="250"/>
      <c r="N1335" s="540" t="str">
        <f>CONCATENATE(IF(OR(M1335=phu!$I$1,M1335=phu!$I$2,M1335=phu!$I$3),"Cam Thành Nam",""),IF(OR(M1335=phu!$I$4,M1335=phu!$I$5,M1335=phu!$I$6,M1335=phu!$I$7,M1335=phu!$I$8,M1335=phu!$I$9,M1335=phu!$I$10,M1335=phu!$I$11,M1335=phu!$I$12,M1335=phu!$I$13,M1335=phu!$I$14),"Cam Nghĩa",""),IF(OR(M1335=phu!$I$15,M1335=phu!$I$16,M1335=phu!$I$17,M1335=phu!$I$18,M1335=phu!$I$19,M1335=phu!$I$20,M1335=phu!$I$21),"Cam Phúc Bắc",""),IF(OR(M1335=phu!$I$22,M1335=phu!$I$23,M1335=phu!$I$24,M1335=phu!$I$25),"Cam Phúc Nam",""),IF(OR(M1335=phu!$I$26,M1335=phu!$I$27,M1335=phu!$I$28,M1335=phu!$I$29,M1335=phu!$I$30,M1335=phu!$I$31),"Cam Phú",""),IF(OR(M1335=phu!$I$32,M1335=phu!$I$33,M1335=phu!$I$34,M1335=phu!$I$35,M1335=phu!$I$36,M1335=phu!$I$37),"Cam Lộc",""),IF(OR(M1335=phu!$I$38,M1335=phu!$I$39,M1335=phu!$I$40,M1335=phu!$I$41,M1335=phu!$I$42,M1335=phu!$I$43,M1335=phu!$I$44),"Cam Thuận",""),IF(OR(M1335=phu!$I$45,M1335=phu!$I$46,M1335=phu!$I$47,M1335=phu!$I$48,M1335=phu!$I$49,M1335=phu!$I$50,M1335=phu!$I$51,M1335=phu!$I$52,M1335=phu!$I$53),"Cam Linh",""),IF(OR(M1335=phu!$I$54,M1335=phu!$I$55,M1335=phu!$I$56,M1335=phu!$I$57,M1335=phu!$I$58,M1335=phu!$I$59,M1335=phu!$I$60,M1335=phu!$I$61,M1335=phu!$I$62),"Cam Lợi",""),IF(OR(M1335=phu!$I$63,M1335=phu!$I$64,M1335=phu!$I$65,M1335=phu!$I$66,M1335=phu!$I$67,M1335=phu!$I$68,M1335=phu!$I$69,M1335=phu!$I$70,M1335=phu!$I$71),"Ba Ngòi",""),IF(OR(M1335=phu!$I$72,M1335=phu!$I$73,M1335=phu!$I$74,M1335=phu!$I$75,M1335=phu!$I$76,M1335=phu!$I$77,M1335=phu!$I$78),"Cam Phước Đông",""),IF(OR(M1335=phu!$I$79,M1335=phu!$I$80,M1335=phu!$I$81,M1335=phu!$I$82,M1335=phu!$I$83,M1335=phu!$I$84),"Cam Thịnh Đông",""),IF(OR(M1335=phu!$I$85,M1335=phu!$I$86,M1335=phu!$I$87,M1335=phu!$I$88),"Cam Thịnh Tây",""),IF(OR(M1335=phu!$I$89,M1335=phu!$I$90),"Cam Lập",""),IF(OR(M1335=phu!$I$91,M1335=phu!$I$92,M1335=phu!$I$93),"Cam Bình",""),IF(OR(M1335=phu!$I$94,M1335=phu!$I$95,M1335=phu!$I$96,M1335=phu!$I$97,M1335=phu!$I$98,M1335=phu!$I$99,M1335=phu!$I$100),"Huyện khác",""),IF(OR(M1335=phu!$I$101,M1335=phu!$I$102),"Tỉnh khác",""))</f>
        <v/>
      </c>
      <c r="O1335" s="829" t="str">
        <f t="shared" si="120"/>
        <v/>
      </c>
      <c r="P1335" s="254"/>
      <c r="Q1335" s="254"/>
      <c r="R1335" s="254"/>
      <c r="S1335" s="254"/>
      <c r="T1335" s="254"/>
      <c r="U1335" s="254"/>
      <c r="V1335" s="254"/>
      <c r="W1335" s="254"/>
      <c r="Y1335" s="246" t="str">
        <f t="shared" si="121"/>
        <v/>
      </c>
      <c r="Z1335" s="247" t="str">
        <f t="shared" si="125"/>
        <v/>
      </c>
      <c r="AA1335" s="246" t="str">
        <f t="shared" si="122"/>
        <v/>
      </c>
    </row>
    <row r="1336" spans="1:27" x14ac:dyDescent="0.25">
      <c r="A1336" s="248" t="str">
        <f t="shared" si="123"/>
        <v/>
      </c>
      <c r="B1336" s="249" t="str">
        <f t="shared" si="124"/>
        <v/>
      </c>
      <c r="C1336" s="250"/>
      <c r="D1336" s="251"/>
      <c r="E1336" s="241"/>
      <c r="F1336" s="252"/>
      <c r="G1336" s="252"/>
      <c r="H1336" s="253"/>
      <c r="I1336" s="250"/>
      <c r="J1336" s="250"/>
      <c r="K1336" s="270"/>
      <c r="L1336" s="250"/>
      <c r="M1336" s="250"/>
      <c r="N1336" s="540" t="str">
        <f>CONCATENATE(IF(OR(M1336=phu!$I$1,M1336=phu!$I$2,M1336=phu!$I$3),"Cam Thành Nam",""),IF(OR(M1336=phu!$I$4,M1336=phu!$I$5,M1336=phu!$I$6,M1336=phu!$I$7,M1336=phu!$I$8,M1336=phu!$I$9,M1336=phu!$I$10,M1336=phu!$I$11,M1336=phu!$I$12,M1336=phu!$I$13,M1336=phu!$I$14),"Cam Nghĩa",""),IF(OR(M1336=phu!$I$15,M1336=phu!$I$16,M1336=phu!$I$17,M1336=phu!$I$18,M1336=phu!$I$19,M1336=phu!$I$20,M1336=phu!$I$21),"Cam Phúc Bắc",""),IF(OR(M1336=phu!$I$22,M1336=phu!$I$23,M1336=phu!$I$24,M1336=phu!$I$25),"Cam Phúc Nam",""),IF(OR(M1336=phu!$I$26,M1336=phu!$I$27,M1336=phu!$I$28,M1336=phu!$I$29,M1336=phu!$I$30,M1336=phu!$I$31),"Cam Phú",""),IF(OR(M1336=phu!$I$32,M1336=phu!$I$33,M1336=phu!$I$34,M1336=phu!$I$35,M1336=phu!$I$36,M1336=phu!$I$37),"Cam Lộc",""),IF(OR(M1336=phu!$I$38,M1336=phu!$I$39,M1336=phu!$I$40,M1336=phu!$I$41,M1336=phu!$I$42,M1336=phu!$I$43,M1336=phu!$I$44),"Cam Thuận",""),IF(OR(M1336=phu!$I$45,M1336=phu!$I$46,M1336=phu!$I$47,M1336=phu!$I$48,M1336=phu!$I$49,M1336=phu!$I$50,M1336=phu!$I$51,M1336=phu!$I$52,M1336=phu!$I$53),"Cam Linh",""),IF(OR(M1336=phu!$I$54,M1336=phu!$I$55,M1336=phu!$I$56,M1336=phu!$I$57,M1336=phu!$I$58,M1336=phu!$I$59,M1336=phu!$I$60,M1336=phu!$I$61,M1336=phu!$I$62),"Cam Lợi",""),IF(OR(M1336=phu!$I$63,M1336=phu!$I$64,M1336=phu!$I$65,M1336=phu!$I$66,M1336=phu!$I$67,M1336=phu!$I$68,M1336=phu!$I$69,M1336=phu!$I$70,M1336=phu!$I$71),"Ba Ngòi",""),IF(OR(M1336=phu!$I$72,M1336=phu!$I$73,M1336=phu!$I$74,M1336=phu!$I$75,M1336=phu!$I$76,M1336=phu!$I$77,M1336=phu!$I$78),"Cam Phước Đông",""),IF(OR(M1336=phu!$I$79,M1336=phu!$I$80,M1336=phu!$I$81,M1336=phu!$I$82,M1336=phu!$I$83,M1336=phu!$I$84),"Cam Thịnh Đông",""),IF(OR(M1336=phu!$I$85,M1336=phu!$I$86,M1336=phu!$I$87,M1336=phu!$I$88),"Cam Thịnh Tây",""),IF(OR(M1336=phu!$I$89,M1336=phu!$I$90),"Cam Lập",""),IF(OR(M1336=phu!$I$91,M1336=phu!$I$92,M1336=phu!$I$93),"Cam Bình",""),IF(OR(M1336=phu!$I$94,M1336=phu!$I$95,M1336=phu!$I$96,M1336=phu!$I$97,M1336=phu!$I$98,M1336=phu!$I$99,M1336=phu!$I$100),"Huyện khác",""),IF(OR(M1336=phu!$I$101,M1336=phu!$I$102),"Tỉnh khác",""))</f>
        <v/>
      </c>
      <c r="O1336" s="829" t="str">
        <f t="shared" si="120"/>
        <v/>
      </c>
      <c r="P1336" s="254"/>
      <c r="Q1336" s="254"/>
      <c r="R1336" s="254"/>
      <c r="S1336" s="254"/>
      <c r="T1336" s="254"/>
      <c r="U1336" s="254"/>
      <c r="V1336" s="254"/>
      <c r="W1336" s="254"/>
      <c r="Y1336" s="246" t="str">
        <f t="shared" si="121"/>
        <v/>
      </c>
      <c r="Z1336" s="247" t="str">
        <f t="shared" si="125"/>
        <v/>
      </c>
      <c r="AA1336" s="246" t="str">
        <f t="shared" si="122"/>
        <v/>
      </c>
    </row>
    <row r="1337" spans="1:27" x14ac:dyDescent="0.25">
      <c r="A1337" s="248" t="str">
        <f t="shared" si="123"/>
        <v/>
      </c>
      <c r="B1337" s="249" t="str">
        <f t="shared" si="124"/>
        <v/>
      </c>
      <c r="C1337" s="250"/>
      <c r="D1337" s="251"/>
      <c r="E1337" s="241"/>
      <c r="F1337" s="252"/>
      <c r="G1337" s="252"/>
      <c r="H1337" s="253"/>
      <c r="I1337" s="250"/>
      <c r="J1337" s="250"/>
      <c r="K1337" s="270"/>
      <c r="L1337" s="250"/>
      <c r="M1337" s="250"/>
      <c r="N1337" s="540" t="str">
        <f>CONCATENATE(IF(OR(M1337=phu!$I$1,M1337=phu!$I$2,M1337=phu!$I$3),"Cam Thành Nam",""),IF(OR(M1337=phu!$I$4,M1337=phu!$I$5,M1337=phu!$I$6,M1337=phu!$I$7,M1337=phu!$I$8,M1337=phu!$I$9,M1337=phu!$I$10,M1337=phu!$I$11,M1337=phu!$I$12,M1337=phu!$I$13,M1337=phu!$I$14),"Cam Nghĩa",""),IF(OR(M1337=phu!$I$15,M1337=phu!$I$16,M1337=phu!$I$17,M1337=phu!$I$18,M1337=phu!$I$19,M1337=phu!$I$20,M1337=phu!$I$21),"Cam Phúc Bắc",""),IF(OR(M1337=phu!$I$22,M1337=phu!$I$23,M1337=phu!$I$24,M1337=phu!$I$25),"Cam Phúc Nam",""),IF(OR(M1337=phu!$I$26,M1337=phu!$I$27,M1337=phu!$I$28,M1337=phu!$I$29,M1337=phu!$I$30,M1337=phu!$I$31),"Cam Phú",""),IF(OR(M1337=phu!$I$32,M1337=phu!$I$33,M1337=phu!$I$34,M1337=phu!$I$35,M1337=phu!$I$36,M1337=phu!$I$37),"Cam Lộc",""),IF(OR(M1337=phu!$I$38,M1337=phu!$I$39,M1337=phu!$I$40,M1337=phu!$I$41,M1337=phu!$I$42,M1337=phu!$I$43,M1337=phu!$I$44),"Cam Thuận",""),IF(OR(M1337=phu!$I$45,M1337=phu!$I$46,M1337=phu!$I$47,M1337=phu!$I$48,M1337=phu!$I$49,M1337=phu!$I$50,M1337=phu!$I$51,M1337=phu!$I$52,M1337=phu!$I$53),"Cam Linh",""),IF(OR(M1337=phu!$I$54,M1337=phu!$I$55,M1337=phu!$I$56,M1337=phu!$I$57,M1337=phu!$I$58,M1337=phu!$I$59,M1337=phu!$I$60,M1337=phu!$I$61,M1337=phu!$I$62),"Cam Lợi",""),IF(OR(M1337=phu!$I$63,M1337=phu!$I$64,M1337=phu!$I$65,M1337=phu!$I$66,M1337=phu!$I$67,M1337=phu!$I$68,M1337=phu!$I$69,M1337=phu!$I$70,M1337=phu!$I$71),"Ba Ngòi",""),IF(OR(M1337=phu!$I$72,M1337=phu!$I$73,M1337=phu!$I$74,M1337=phu!$I$75,M1337=phu!$I$76,M1337=phu!$I$77,M1337=phu!$I$78),"Cam Phước Đông",""),IF(OR(M1337=phu!$I$79,M1337=phu!$I$80,M1337=phu!$I$81,M1337=phu!$I$82,M1337=phu!$I$83,M1337=phu!$I$84),"Cam Thịnh Đông",""),IF(OR(M1337=phu!$I$85,M1337=phu!$I$86,M1337=phu!$I$87,M1337=phu!$I$88),"Cam Thịnh Tây",""),IF(OR(M1337=phu!$I$89,M1337=phu!$I$90),"Cam Lập",""),IF(OR(M1337=phu!$I$91,M1337=phu!$I$92,M1337=phu!$I$93),"Cam Bình",""),IF(OR(M1337=phu!$I$94,M1337=phu!$I$95,M1337=phu!$I$96,M1337=phu!$I$97,M1337=phu!$I$98,M1337=phu!$I$99,M1337=phu!$I$100),"Huyện khác",""),IF(OR(M1337=phu!$I$101,M1337=phu!$I$102),"Tỉnh khác",""))</f>
        <v/>
      </c>
      <c r="O1337" s="829" t="str">
        <f t="shared" si="120"/>
        <v/>
      </c>
      <c r="P1337" s="254"/>
      <c r="Q1337" s="254"/>
      <c r="R1337" s="254"/>
      <c r="S1337" s="254"/>
      <c r="T1337" s="254"/>
      <c r="U1337" s="254"/>
      <c r="V1337" s="254"/>
      <c r="W1337" s="254"/>
      <c r="Y1337" s="246" t="str">
        <f t="shared" si="121"/>
        <v/>
      </c>
      <c r="Z1337" s="247" t="str">
        <f t="shared" si="125"/>
        <v/>
      </c>
      <c r="AA1337" s="246" t="str">
        <f t="shared" si="122"/>
        <v/>
      </c>
    </row>
    <row r="1338" spans="1:27" x14ac:dyDescent="0.25">
      <c r="A1338" s="248" t="str">
        <f t="shared" si="123"/>
        <v/>
      </c>
      <c r="B1338" s="249" t="str">
        <f t="shared" si="124"/>
        <v/>
      </c>
      <c r="C1338" s="250"/>
      <c r="D1338" s="251"/>
      <c r="E1338" s="241"/>
      <c r="F1338" s="252"/>
      <c r="G1338" s="252"/>
      <c r="H1338" s="253"/>
      <c r="I1338" s="250"/>
      <c r="J1338" s="250"/>
      <c r="K1338" s="270"/>
      <c r="L1338" s="250"/>
      <c r="M1338" s="250"/>
      <c r="N1338" s="540" t="str">
        <f>CONCATENATE(IF(OR(M1338=phu!$I$1,M1338=phu!$I$2,M1338=phu!$I$3),"Cam Thành Nam",""),IF(OR(M1338=phu!$I$4,M1338=phu!$I$5,M1338=phu!$I$6,M1338=phu!$I$7,M1338=phu!$I$8,M1338=phu!$I$9,M1338=phu!$I$10,M1338=phu!$I$11,M1338=phu!$I$12,M1338=phu!$I$13,M1338=phu!$I$14),"Cam Nghĩa",""),IF(OR(M1338=phu!$I$15,M1338=phu!$I$16,M1338=phu!$I$17,M1338=phu!$I$18,M1338=phu!$I$19,M1338=phu!$I$20,M1338=phu!$I$21),"Cam Phúc Bắc",""),IF(OR(M1338=phu!$I$22,M1338=phu!$I$23,M1338=phu!$I$24,M1338=phu!$I$25),"Cam Phúc Nam",""),IF(OR(M1338=phu!$I$26,M1338=phu!$I$27,M1338=phu!$I$28,M1338=phu!$I$29,M1338=phu!$I$30,M1338=phu!$I$31),"Cam Phú",""),IF(OR(M1338=phu!$I$32,M1338=phu!$I$33,M1338=phu!$I$34,M1338=phu!$I$35,M1338=phu!$I$36,M1338=phu!$I$37),"Cam Lộc",""),IF(OR(M1338=phu!$I$38,M1338=phu!$I$39,M1338=phu!$I$40,M1338=phu!$I$41,M1338=phu!$I$42,M1338=phu!$I$43,M1338=phu!$I$44),"Cam Thuận",""),IF(OR(M1338=phu!$I$45,M1338=phu!$I$46,M1338=phu!$I$47,M1338=phu!$I$48,M1338=phu!$I$49,M1338=phu!$I$50,M1338=phu!$I$51,M1338=phu!$I$52,M1338=phu!$I$53),"Cam Linh",""),IF(OR(M1338=phu!$I$54,M1338=phu!$I$55,M1338=phu!$I$56,M1338=phu!$I$57,M1338=phu!$I$58,M1338=phu!$I$59,M1338=phu!$I$60,M1338=phu!$I$61,M1338=phu!$I$62),"Cam Lợi",""),IF(OR(M1338=phu!$I$63,M1338=phu!$I$64,M1338=phu!$I$65,M1338=phu!$I$66,M1338=phu!$I$67,M1338=phu!$I$68,M1338=phu!$I$69,M1338=phu!$I$70,M1338=phu!$I$71),"Ba Ngòi",""),IF(OR(M1338=phu!$I$72,M1338=phu!$I$73,M1338=phu!$I$74,M1338=phu!$I$75,M1338=phu!$I$76,M1338=phu!$I$77,M1338=phu!$I$78),"Cam Phước Đông",""),IF(OR(M1338=phu!$I$79,M1338=phu!$I$80,M1338=phu!$I$81,M1338=phu!$I$82,M1338=phu!$I$83,M1338=phu!$I$84),"Cam Thịnh Đông",""),IF(OR(M1338=phu!$I$85,M1338=phu!$I$86,M1338=phu!$I$87,M1338=phu!$I$88),"Cam Thịnh Tây",""),IF(OR(M1338=phu!$I$89,M1338=phu!$I$90),"Cam Lập",""),IF(OR(M1338=phu!$I$91,M1338=phu!$I$92,M1338=phu!$I$93),"Cam Bình",""),IF(OR(M1338=phu!$I$94,M1338=phu!$I$95,M1338=phu!$I$96,M1338=phu!$I$97,M1338=phu!$I$98,M1338=phu!$I$99,M1338=phu!$I$100),"Huyện khác",""),IF(OR(M1338=phu!$I$101,M1338=phu!$I$102),"Tỉnh khác",""))</f>
        <v/>
      </c>
      <c r="O1338" s="829" t="str">
        <f t="shared" si="120"/>
        <v/>
      </c>
      <c r="P1338" s="254"/>
      <c r="Q1338" s="254"/>
      <c r="R1338" s="254"/>
      <c r="S1338" s="254"/>
      <c r="T1338" s="254"/>
      <c r="U1338" s="254"/>
      <c r="V1338" s="254"/>
      <c r="W1338" s="254"/>
      <c r="Y1338" s="246" t="str">
        <f t="shared" si="121"/>
        <v/>
      </c>
      <c r="Z1338" s="247" t="str">
        <f t="shared" si="125"/>
        <v/>
      </c>
      <c r="AA1338" s="246" t="str">
        <f t="shared" si="122"/>
        <v/>
      </c>
    </row>
    <row r="1339" spans="1:27" x14ac:dyDescent="0.25">
      <c r="A1339" s="248" t="str">
        <f t="shared" si="123"/>
        <v/>
      </c>
      <c r="B1339" s="249" t="str">
        <f t="shared" si="124"/>
        <v/>
      </c>
      <c r="C1339" s="250"/>
      <c r="D1339" s="251"/>
      <c r="E1339" s="241"/>
      <c r="F1339" s="252"/>
      <c r="G1339" s="252"/>
      <c r="H1339" s="253"/>
      <c r="I1339" s="250"/>
      <c r="J1339" s="250"/>
      <c r="K1339" s="270"/>
      <c r="L1339" s="250"/>
      <c r="M1339" s="250"/>
      <c r="N1339" s="540" t="str">
        <f>CONCATENATE(IF(OR(M1339=phu!$I$1,M1339=phu!$I$2,M1339=phu!$I$3),"Cam Thành Nam",""),IF(OR(M1339=phu!$I$4,M1339=phu!$I$5,M1339=phu!$I$6,M1339=phu!$I$7,M1339=phu!$I$8,M1339=phu!$I$9,M1339=phu!$I$10,M1339=phu!$I$11,M1339=phu!$I$12,M1339=phu!$I$13,M1339=phu!$I$14),"Cam Nghĩa",""),IF(OR(M1339=phu!$I$15,M1339=phu!$I$16,M1339=phu!$I$17,M1339=phu!$I$18,M1339=phu!$I$19,M1339=phu!$I$20,M1339=phu!$I$21),"Cam Phúc Bắc",""),IF(OR(M1339=phu!$I$22,M1339=phu!$I$23,M1339=phu!$I$24,M1339=phu!$I$25),"Cam Phúc Nam",""),IF(OR(M1339=phu!$I$26,M1339=phu!$I$27,M1339=phu!$I$28,M1339=phu!$I$29,M1339=phu!$I$30,M1339=phu!$I$31),"Cam Phú",""),IF(OR(M1339=phu!$I$32,M1339=phu!$I$33,M1339=phu!$I$34,M1339=phu!$I$35,M1339=phu!$I$36,M1339=phu!$I$37),"Cam Lộc",""),IF(OR(M1339=phu!$I$38,M1339=phu!$I$39,M1339=phu!$I$40,M1339=phu!$I$41,M1339=phu!$I$42,M1339=phu!$I$43,M1339=phu!$I$44),"Cam Thuận",""),IF(OR(M1339=phu!$I$45,M1339=phu!$I$46,M1339=phu!$I$47,M1339=phu!$I$48,M1339=phu!$I$49,M1339=phu!$I$50,M1339=phu!$I$51,M1339=phu!$I$52,M1339=phu!$I$53),"Cam Linh",""),IF(OR(M1339=phu!$I$54,M1339=phu!$I$55,M1339=phu!$I$56,M1339=phu!$I$57,M1339=phu!$I$58,M1339=phu!$I$59,M1339=phu!$I$60,M1339=phu!$I$61,M1339=phu!$I$62),"Cam Lợi",""),IF(OR(M1339=phu!$I$63,M1339=phu!$I$64,M1339=phu!$I$65,M1339=phu!$I$66,M1339=phu!$I$67,M1339=phu!$I$68,M1339=phu!$I$69,M1339=phu!$I$70,M1339=phu!$I$71),"Ba Ngòi",""),IF(OR(M1339=phu!$I$72,M1339=phu!$I$73,M1339=phu!$I$74,M1339=phu!$I$75,M1339=phu!$I$76,M1339=phu!$I$77,M1339=phu!$I$78),"Cam Phước Đông",""),IF(OR(M1339=phu!$I$79,M1339=phu!$I$80,M1339=phu!$I$81,M1339=phu!$I$82,M1339=phu!$I$83,M1339=phu!$I$84),"Cam Thịnh Đông",""),IF(OR(M1339=phu!$I$85,M1339=phu!$I$86,M1339=phu!$I$87,M1339=phu!$I$88),"Cam Thịnh Tây",""),IF(OR(M1339=phu!$I$89,M1339=phu!$I$90),"Cam Lập",""),IF(OR(M1339=phu!$I$91,M1339=phu!$I$92,M1339=phu!$I$93),"Cam Bình",""),IF(OR(M1339=phu!$I$94,M1339=phu!$I$95,M1339=phu!$I$96,M1339=phu!$I$97,M1339=phu!$I$98,M1339=phu!$I$99,M1339=phu!$I$100),"Huyện khác",""),IF(OR(M1339=phu!$I$101,M1339=phu!$I$102),"Tỉnh khác",""))</f>
        <v/>
      </c>
      <c r="O1339" s="829" t="str">
        <f t="shared" si="120"/>
        <v/>
      </c>
      <c r="P1339" s="254"/>
      <c r="Q1339" s="254"/>
      <c r="R1339" s="254"/>
      <c r="S1339" s="254"/>
      <c r="T1339" s="254"/>
      <c r="U1339" s="254"/>
      <c r="V1339" s="254"/>
      <c r="W1339" s="254"/>
      <c r="Y1339" s="246" t="str">
        <f t="shared" si="121"/>
        <v/>
      </c>
      <c r="Z1339" s="247" t="str">
        <f t="shared" si="125"/>
        <v/>
      </c>
      <c r="AA1339" s="246" t="str">
        <f t="shared" si="122"/>
        <v/>
      </c>
    </row>
    <row r="1340" spans="1:27" x14ac:dyDescent="0.25">
      <c r="A1340" s="248" t="str">
        <f t="shared" si="123"/>
        <v/>
      </c>
      <c r="B1340" s="249" t="str">
        <f t="shared" si="124"/>
        <v/>
      </c>
      <c r="C1340" s="250"/>
      <c r="D1340" s="251"/>
      <c r="E1340" s="241"/>
      <c r="F1340" s="252"/>
      <c r="G1340" s="252"/>
      <c r="H1340" s="253"/>
      <c r="I1340" s="250"/>
      <c r="J1340" s="250"/>
      <c r="K1340" s="270"/>
      <c r="L1340" s="250"/>
      <c r="M1340" s="250"/>
      <c r="N1340" s="540" t="str">
        <f>CONCATENATE(IF(OR(M1340=phu!$I$1,M1340=phu!$I$2,M1340=phu!$I$3),"Cam Thành Nam",""),IF(OR(M1340=phu!$I$4,M1340=phu!$I$5,M1340=phu!$I$6,M1340=phu!$I$7,M1340=phu!$I$8,M1340=phu!$I$9,M1340=phu!$I$10,M1340=phu!$I$11,M1340=phu!$I$12,M1340=phu!$I$13,M1340=phu!$I$14),"Cam Nghĩa",""),IF(OR(M1340=phu!$I$15,M1340=phu!$I$16,M1340=phu!$I$17,M1340=phu!$I$18,M1340=phu!$I$19,M1340=phu!$I$20,M1340=phu!$I$21),"Cam Phúc Bắc",""),IF(OR(M1340=phu!$I$22,M1340=phu!$I$23,M1340=phu!$I$24,M1340=phu!$I$25),"Cam Phúc Nam",""),IF(OR(M1340=phu!$I$26,M1340=phu!$I$27,M1340=phu!$I$28,M1340=phu!$I$29,M1340=phu!$I$30,M1340=phu!$I$31),"Cam Phú",""),IF(OR(M1340=phu!$I$32,M1340=phu!$I$33,M1340=phu!$I$34,M1340=phu!$I$35,M1340=phu!$I$36,M1340=phu!$I$37),"Cam Lộc",""),IF(OR(M1340=phu!$I$38,M1340=phu!$I$39,M1340=phu!$I$40,M1340=phu!$I$41,M1340=phu!$I$42,M1340=phu!$I$43,M1340=phu!$I$44),"Cam Thuận",""),IF(OR(M1340=phu!$I$45,M1340=phu!$I$46,M1340=phu!$I$47,M1340=phu!$I$48,M1340=phu!$I$49,M1340=phu!$I$50,M1340=phu!$I$51,M1340=phu!$I$52,M1340=phu!$I$53),"Cam Linh",""),IF(OR(M1340=phu!$I$54,M1340=phu!$I$55,M1340=phu!$I$56,M1340=phu!$I$57,M1340=phu!$I$58,M1340=phu!$I$59,M1340=phu!$I$60,M1340=phu!$I$61,M1340=phu!$I$62),"Cam Lợi",""),IF(OR(M1340=phu!$I$63,M1340=phu!$I$64,M1340=phu!$I$65,M1340=phu!$I$66,M1340=phu!$I$67,M1340=phu!$I$68,M1340=phu!$I$69,M1340=phu!$I$70,M1340=phu!$I$71),"Ba Ngòi",""),IF(OR(M1340=phu!$I$72,M1340=phu!$I$73,M1340=phu!$I$74,M1340=phu!$I$75,M1340=phu!$I$76,M1340=phu!$I$77,M1340=phu!$I$78),"Cam Phước Đông",""),IF(OR(M1340=phu!$I$79,M1340=phu!$I$80,M1340=phu!$I$81,M1340=phu!$I$82,M1340=phu!$I$83,M1340=phu!$I$84),"Cam Thịnh Đông",""),IF(OR(M1340=phu!$I$85,M1340=phu!$I$86,M1340=phu!$I$87,M1340=phu!$I$88),"Cam Thịnh Tây",""),IF(OR(M1340=phu!$I$89,M1340=phu!$I$90),"Cam Lập",""),IF(OR(M1340=phu!$I$91,M1340=phu!$I$92,M1340=phu!$I$93),"Cam Bình",""),IF(OR(M1340=phu!$I$94,M1340=phu!$I$95,M1340=phu!$I$96,M1340=phu!$I$97,M1340=phu!$I$98,M1340=phu!$I$99,M1340=phu!$I$100),"Huyện khác",""),IF(OR(M1340=phu!$I$101,M1340=phu!$I$102),"Tỉnh khác",""))</f>
        <v/>
      </c>
      <c r="O1340" s="829" t="str">
        <f t="shared" si="120"/>
        <v/>
      </c>
      <c r="P1340" s="254"/>
      <c r="Q1340" s="254"/>
      <c r="R1340" s="254"/>
      <c r="S1340" s="254"/>
      <c r="T1340" s="254"/>
      <c r="U1340" s="254"/>
      <c r="V1340" s="254"/>
      <c r="W1340" s="254"/>
      <c r="Y1340" s="246" t="str">
        <f t="shared" si="121"/>
        <v/>
      </c>
      <c r="Z1340" s="247" t="str">
        <f t="shared" si="125"/>
        <v/>
      </c>
      <c r="AA1340" s="246" t="str">
        <f t="shared" si="122"/>
        <v/>
      </c>
    </row>
    <row r="1341" spans="1:27" x14ac:dyDescent="0.25">
      <c r="A1341" s="248" t="str">
        <f t="shared" si="123"/>
        <v/>
      </c>
      <c r="B1341" s="249" t="str">
        <f t="shared" si="124"/>
        <v/>
      </c>
      <c r="C1341" s="250"/>
      <c r="D1341" s="251"/>
      <c r="E1341" s="241"/>
      <c r="F1341" s="252"/>
      <c r="G1341" s="252"/>
      <c r="H1341" s="253"/>
      <c r="I1341" s="250"/>
      <c r="J1341" s="250"/>
      <c r="K1341" s="270"/>
      <c r="L1341" s="250"/>
      <c r="M1341" s="250"/>
      <c r="N1341" s="540" t="str">
        <f>CONCATENATE(IF(OR(M1341=phu!$I$1,M1341=phu!$I$2,M1341=phu!$I$3),"Cam Thành Nam",""),IF(OR(M1341=phu!$I$4,M1341=phu!$I$5,M1341=phu!$I$6,M1341=phu!$I$7,M1341=phu!$I$8,M1341=phu!$I$9,M1341=phu!$I$10,M1341=phu!$I$11,M1341=phu!$I$12,M1341=phu!$I$13,M1341=phu!$I$14),"Cam Nghĩa",""),IF(OR(M1341=phu!$I$15,M1341=phu!$I$16,M1341=phu!$I$17,M1341=phu!$I$18,M1341=phu!$I$19,M1341=phu!$I$20,M1341=phu!$I$21),"Cam Phúc Bắc",""),IF(OR(M1341=phu!$I$22,M1341=phu!$I$23,M1341=phu!$I$24,M1341=phu!$I$25),"Cam Phúc Nam",""),IF(OR(M1341=phu!$I$26,M1341=phu!$I$27,M1341=phu!$I$28,M1341=phu!$I$29,M1341=phu!$I$30,M1341=phu!$I$31),"Cam Phú",""),IF(OR(M1341=phu!$I$32,M1341=phu!$I$33,M1341=phu!$I$34,M1341=phu!$I$35,M1341=phu!$I$36,M1341=phu!$I$37),"Cam Lộc",""),IF(OR(M1341=phu!$I$38,M1341=phu!$I$39,M1341=phu!$I$40,M1341=phu!$I$41,M1341=phu!$I$42,M1341=phu!$I$43,M1341=phu!$I$44),"Cam Thuận",""),IF(OR(M1341=phu!$I$45,M1341=phu!$I$46,M1341=phu!$I$47,M1341=phu!$I$48,M1341=phu!$I$49,M1341=phu!$I$50,M1341=phu!$I$51,M1341=phu!$I$52,M1341=phu!$I$53),"Cam Linh",""),IF(OR(M1341=phu!$I$54,M1341=phu!$I$55,M1341=phu!$I$56,M1341=phu!$I$57,M1341=phu!$I$58,M1341=phu!$I$59,M1341=phu!$I$60,M1341=phu!$I$61,M1341=phu!$I$62),"Cam Lợi",""),IF(OR(M1341=phu!$I$63,M1341=phu!$I$64,M1341=phu!$I$65,M1341=phu!$I$66,M1341=phu!$I$67,M1341=phu!$I$68,M1341=phu!$I$69,M1341=phu!$I$70,M1341=phu!$I$71),"Ba Ngòi",""),IF(OR(M1341=phu!$I$72,M1341=phu!$I$73,M1341=phu!$I$74,M1341=phu!$I$75,M1341=phu!$I$76,M1341=phu!$I$77,M1341=phu!$I$78),"Cam Phước Đông",""),IF(OR(M1341=phu!$I$79,M1341=phu!$I$80,M1341=phu!$I$81,M1341=phu!$I$82,M1341=phu!$I$83,M1341=phu!$I$84),"Cam Thịnh Đông",""),IF(OR(M1341=phu!$I$85,M1341=phu!$I$86,M1341=phu!$I$87,M1341=phu!$I$88),"Cam Thịnh Tây",""),IF(OR(M1341=phu!$I$89,M1341=phu!$I$90),"Cam Lập",""),IF(OR(M1341=phu!$I$91,M1341=phu!$I$92,M1341=phu!$I$93),"Cam Bình",""),IF(OR(M1341=phu!$I$94,M1341=phu!$I$95,M1341=phu!$I$96,M1341=phu!$I$97,M1341=phu!$I$98,M1341=phu!$I$99,M1341=phu!$I$100),"Huyện khác",""),IF(OR(M1341=phu!$I$101,M1341=phu!$I$102),"Tỉnh khác",""))</f>
        <v/>
      </c>
      <c r="O1341" s="829" t="str">
        <f t="shared" si="120"/>
        <v/>
      </c>
      <c r="P1341" s="254"/>
      <c r="Q1341" s="254"/>
      <c r="R1341" s="254"/>
      <c r="S1341" s="254"/>
      <c r="T1341" s="254"/>
      <c r="U1341" s="254"/>
      <c r="V1341" s="254"/>
      <c r="W1341" s="254"/>
      <c r="Y1341" s="246" t="str">
        <f t="shared" si="121"/>
        <v/>
      </c>
      <c r="Z1341" s="247" t="str">
        <f t="shared" si="125"/>
        <v/>
      </c>
      <c r="AA1341" s="246" t="str">
        <f t="shared" si="122"/>
        <v/>
      </c>
    </row>
    <row r="1342" spans="1:27" x14ac:dyDescent="0.25">
      <c r="A1342" s="248" t="str">
        <f t="shared" si="123"/>
        <v/>
      </c>
      <c r="B1342" s="249" t="str">
        <f t="shared" si="124"/>
        <v/>
      </c>
      <c r="C1342" s="250"/>
      <c r="D1342" s="251"/>
      <c r="E1342" s="241"/>
      <c r="F1342" s="252"/>
      <c r="G1342" s="252"/>
      <c r="H1342" s="253"/>
      <c r="I1342" s="250"/>
      <c r="J1342" s="250"/>
      <c r="K1342" s="270"/>
      <c r="L1342" s="250"/>
      <c r="M1342" s="250"/>
      <c r="N1342" s="540" t="str">
        <f>CONCATENATE(IF(OR(M1342=phu!$I$1,M1342=phu!$I$2,M1342=phu!$I$3),"Cam Thành Nam",""),IF(OR(M1342=phu!$I$4,M1342=phu!$I$5,M1342=phu!$I$6,M1342=phu!$I$7,M1342=phu!$I$8,M1342=phu!$I$9,M1342=phu!$I$10,M1342=phu!$I$11,M1342=phu!$I$12,M1342=phu!$I$13,M1342=phu!$I$14),"Cam Nghĩa",""),IF(OR(M1342=phu!$I$15,M1342=phu!$I$16,M1342=phu!$I$17,M1342=phu!$I$18,M1342=phu!$I$19,M1342=phu!$I$20,M1342=phu!$I$21),"Cam Phúc Bắc",""),IF(OR(M1342=phu!$I$22,M1342=phu!$I$23,M1342=phu!$I$24,M1342=phu!$I$25),"Cam Phúc Nam",""),IF(OR(M1342=phu!$I$26,M1342=phu!$I$27,M1342=phu!$I$28,M1342=phu!$I$29,M1342=phu!$I$30,M1342=phu!$I$31),"Cam Phú",""),IF(OR(M1342=phu!$I$32,M1342=phu!$I$33,M1342=phu!$I$34,M1342=phu!$I$35,M1342=phu!$I$36,M1342=phu!$I$37),"Cam Lộc",""),IF(OR(M1342=phu!$I$38,M1342=phu!$I$39,M1342=phu!$I$40,M1342=phu!$I$41,M1342=phu!$I$42,M1342=phu!$I$43,M1342=phu!$I$44),"Cam Thuận",""),IF(OR(M1342=phu!$I$45,M1342=phu!$I$46,M1342=phu!$I$47,M1342=phu!$I$48,M1342=phu!$I$49,M1342=phu!$I$50,M1342=phu!$I$51,M1342=phu!$I$52,M1342=phu!$I$53),"Cam Linh",""),IF(OR(M1342=phu!$I$54,M1342=phu!$I$55,M1342=phu!$I$56,M1342=phu!$I$57,M1342=phu!$I$58,M1342=phu!$I$59,M1342=phu!$I$60,M1342=phu!$I$61,M1342=phu!$I$62),"Cam Lợi",""),IF(OR(M1342=phu!$I$63,M1342=phu!$I$64,M1342=phu!$I$65,M1342=phu!$I$66,M1342=phu!$I$67,M1342=phu!$I$68,M1342=phu!$I$69,M1342=phu!$I$70,M1342=phu!$I$71),"Ba Ngòi",""),IF(OR(M1342=phu!$I$72,M1342=phu!$I$73,M1342=phu!$I$74,M1342=phu!$I$75,M1342=phu!$I$76,M1342=phu!$I$77,M1342=phu!$I$78),"Cam Phước Đông",""),IF(OR(M1342=phu!$I$79,M1342=phu!$I$80,M1342=phu!$I$81,M1342=phu!$I$82,M1342=phu!$I$83,M1342=phu!$I$84),"Cam Thịnh Đông",""),IF(OR(M1342=phu!$I$85,M1342=phu!$I$86,M1342=phu!$I$87,M1342=phu!$I$88),"Cam Thịnh Tây",""),IF(OR(M1342=phu!$I$89,M1342=phu!$I$90),"Cam Lập",""),IF(OR(M1342=phu!$I$91,M1342=phu!$I$92,M1342=phu!$I$93),"Cam Bình",""),IF(OR(M1342=phu!$I$94,M1342=phu!$I$95,M1342=phu!$I$96,M1342=phu!$I$97,M1342=phu!$I$98,M1342=phu!$I$99,M1342=phu!$I$100),"Huyện khác",""),IF(OR(M1342=phu!$I$101,M1342=phu!$I$102),"Tỉnh khác",""))</f>
        <v/>
      </c>
      <c r="O1342" s="829" t="str">
        <f t="shared" si="120"/>
        <v/>
      </c>
      <c r="P1342" s="254"/>
      <c r="Q1342" s="254"/>
      <c r="R1342" s="254"/>
      <c r="S1342" s="254"/>
      <c r="T1342" s="254"/>
      <c r="U1342" s="254"/>
      <c r="V1342" s="254"/>
      <c r="W1342" s="254"/>
      <c r="Y1342" s="246" t="str">
        <f t="shared" si="121"/>
        <v/>
      </c>
      <c r="Z1342" s="247" t="str">
        <f t="shared" si="125"/>
        <v/>
      </c>
      <c r="AA1342" s="246" t="str">
        <f t="shared" si="122"/>
        <v/>
      </c>
    </row>
    <row r="1343" spans="1:27" x14ac:dyDescent="0.25">
      <c r="A1343" s="248" t="str">
        <f t="shared" si="123"/>
        <v/>
      </c>
      <c r="B1343" s="249" t="str">
        <f t="shared" si="124"/>
        <v/>
      </c>
      <c r="C1343" s="250"/>
      <c r="D1343" s="251"/>
      <c r="E1343" s="241"/>
      <c r="F1343" s="252"/>
      <c r="G1343" s="252"/>
      <c r="H1343" s="253"/>
      <c r="I1343" s="250"/>
      <c r="J1343" s="250"/>
      <c r="K1343" s="270"/>
      <c r="L1343" s="250"/>
      <c r="M1343" s="250"/>
      <c r="N1343" s="540" t="str">
        <f>CONCATENATE(IF(OR(M1343=phu!$I$1,M1343=phu!$I$2,M1343=phu!$I$3),"Cam Thành Nam",""),IF(OR(M1343=phu!$I$4,M1343=phu!$I$5,M1343=phu!$I$6,M1343=phu!$I$7,M1343=phu!$I$8,M1343=phu!$I$9,M1343=phu!$I$10,M1343=phu!$I$11,M1343=phu!$I$12,M1343=phu!$I$13,M1343=phu!$I$14),"Cam Nghĩa",""),IF(OR(M1343=phu!$I$15,M1343=phu!$I$16,M1343=phu!$I$17,M1343=phu!$I$18,M1343=phu!$I$19,M1343=phu!$I$20,M1343=phu!$I$21),"Cam Phúc Bắc",""),IF(OR(M1343=phu!$I$22,M1343=phu!$I$23,M1343=phu!$I$24,M1343=phu!$I$25),"Cam Phúc Nam",""),IF(OR(M1343=phu!$I$26,M1343=phu!$I$27,M1343=phu!$I$28,M1343=phu!$I$29,M1343=phu!$I$30,M1343=phu!$I$31),"Cam Phú",""),IF(OR(M1343=phu!$I$32,M1343=phu!$I$33,M1343=phu!$I$34,M1343=phu!$I$35,M1343=phu!$I$36,M1343=phu!$I$37),"Cam Lộc",""),IF(OR(M1343=phu!$I$38,M1343=phu!$I$39,M1343=phu!$I$40,M1343=phu!$I$41,M1343=phu!$I$42,M1343=phu!$I$43,M1343=phu!$I$44),"Cam Thuận",""),IF(OR(M1343=phu!$I$45,M1343=phu!$I$46,M1343=phu!$I$47,M1343=phu!$I$48,M1343=phu!$I$49,M1343=phu!$I$50,M1343=phu!$I$51,M1343=phu!$I$52,M1343=phu!$I$53),"Cam Linh",""),IF(OR(M1343=phu!$I$54,M1343=phu!$I$55,M1343=phu!$I$56,M1343=phu!$I$57,M1343=phu!$I$58,M1343=phu!$I$59,M1343=phu!$I$60,M1343=phu!$I$61,M1343=phu!$I$62),"Cam Lợi",""),IF(OR(M1343=phu!$I$63,M1343=phu!$I$64,M1343=phu!$I$65,M1343=phu!$I$66,M1343=phu!$I$67,M1343=phu!$I$68,M1343=phu!$I$69,M1343=phu!$I$70,M1343=phu!$I$71),"Ba Ngòi",""),IF(OR(M1343=phu!$I$72,M1343=phu!$I$73,M1343=phu!$I$74,M1343=phu!$I$75,M1343=phu!$I$76,M1343=phu!$I$77,M1343=phu!$I$78),"Cam Phước Đông",""),IF(OR(M1343=phu!$I$79,M1343=phu!$I$80,M1343=phu!$I$81,M1343=phu!$I$82,M1343=phu!$I$83,M1343=phu!$I$84),"Cam Thịnh Đông",""),IF(OR(M1343=phu!$I$85,M1343=phu!$I$86,M1343=phu!$I$87,M1343=phu!$I$88),"Cam Thịnh Tây",""),IF(OR(M1343=phu!$I$89,M1343=phu!$I$90),"Cam Lập",""),IF(OR(M1343=phu!$I$91,M1343=phu!$I$92,M1343=phu!$I$93),"Cam Bình",""),IF(OR(M1343=phu!$I$94,M1343=phu!$I$95,M1343=phu!$I$96,M1343=phu!$I$97,M1343=phu!$I$98,M1343=phu!$I$99,M1343=phu!$I$100),"Huyện khác",""),IF(OR(M1343=phu!$I$101,M1343=phu!$I$102),"Tỉnh khác",""))</f>
        <v/>
      </c>
      <c r="O1343" s="829" t="str">
        <f t="shared" si="120"/>
        <v/>
      </c>
      <c r="P1343" s="254"/>
      <c r="Q1343" s="254"/>
      <c r="R1343" s="254"/>
      <c r="S1343" s="254"/>
      <c r="T1343" s="254"/>
      <c r="U1343" s="254"/>
      <c r="V1343" s="254"/>
      <c r="W1343" s="254"/>
      <c r="Y1343" s="246" t="str">
        <f t="shared" si="121"/>
        <v/>
      </c>
      <c r="Z1343" s="247" t="str">
        <f t="shared" si="125"/>
        <v/>
      </c>
      <c r="AA1343" s="246" t="str">
        <f t="shared" si="122"/>
        <v/>
      </c>
    </row>
    <row r="1344" spans="1:27" x14ac:dyDescent="0.25">
      <c r="A1344" s="248" t="str">
        <f t="shared" si="123"/>
        <v/>
      </c>
      <c r="B1344" s="249" t="str">
        <f t="shared" si="124"/>
        <v/>
      </c>
      <c r="C1344" s="250"/>
      <c r="D1344" s="251"/>
      <c r="E1344" s="241"/>
      <c r="F1344" s="252"/>
      <c r="G1344" s="252"/>
      <c r="H1344" s="253"/>
      <c r="I1344" s="250"/>
      <c r="J1344" s="250"/>
      <c r="K1344" s="270"/>
      <c r="L1344" s="250"/>
      <c r="M1344" s="250"/>
      <c r="N1344" s="540" t="str">
        <f>CONCATENATE(IF(OR(M1344=phu!$I$1,M1344=phu!$I$2,M1344=phu!$I$3),"Cam Thành Nam",""),IF(OR(M1344=phu!$I$4,M1344=phu!$I$5,M1344=phu!$I$6,M1344=phu!$I$7,M1344=phu!$I$8,M1344=phu!$I$9,M1344=phu!$I$10,M1344=phu!$I$11,M1344=phu!$I$12,M1344=phu!$I$13,M1344=phu!$I$14),"Cam Nghĩa",""),IF(OR(M1344=phu!$I$15,M1344=phu!$I$16,M1344=phu!$I$17,M1344=phu!$I$18,M1344=phu!$I$19,M1344=phu!$I$20,M1344=phu!$I$21),"Cam Phúc Bắc",""),IF(OR(M1344=phu!$I$22,M1344=phu!$I$23,M1344=phu!$I$24,M1344=phu!$I$25),"Cam Phúc Nam",""),IF(OR(M1344=phu!$I$26,M1344=phu!$I$27,M1344=phu!$I$28,M1344=phu!$I$29,M1344=phu!$I$30,M1344=phu!$I$31),"Cam Phú",""),IF(OR(M1344=phu!$I$32,M1344=phu!$I$33,M1344=phu!$I$34,M1344=phu!$I$35,M1344=phu!$I$36,M1344=phu!$I$37),"Cam Lộc",""),IF(OR(M1344=phu!$I$38,M1344=phu!$I$39,M1344=phu!$I$40,M1344=phu!$I$41,M1344=phu!$I$42,M1344=phu!$I$43,M1344=phu!$I$44),"Cam Thuận",""),IF(OR(M1344=phu!$I$45,M1344=phu!$I$46,M1344=phu!$I$47,M1344=phu!$I$48,M1344=phu!$I$49,M1344=phu!$I$50,M1344=phu!$I$51,M1344=phu!$I$52,M1344=phu!$I$53),"Cam Linh",""),IF(OR(M1344=phu!$I$54,M1344=phu!$I$55,M1344=phu!$I$56,M1344=phu!$I$57,M1344=phu!$I$58,M1344=phu!$I$59,M1344=phu!$I$60,M1344=phu!$I$61,M1344=phu!$I$62),"Cam Lợi",""),IF(OR(M1344=phu!$I$63,M1344=phu!$I$64,M1344=phu!$I$65,M1344=phu!$I$66,M1344=phu!$I$67,M1344=phu!$I$68,M1344=phu!$I$69,M1344=phu!$I$70,M1344=phu!$I$71),"Ba Ngòi",""),IF(OR(M1344=phu!$I$72,M1344=phu!$I$73,M1344=phu!$I$74,M1344=phu!$I$75,M1344=phu!$I$76,M1344=phu!$I$77,M1344=phu!$I$78),"Cam Phước Đông",""),IF(OR(M1344=phu!$I$79,M1344=phu!$I$80,M1344=phu!$I$81,M1344=phu!$I$82,M1344=phu!$I$83,M1344=phu!$I$84),"Cam Thịnh Đông",""),IF(OR(M1344=phu!$I$85,M1344=phu!$I$86,M1344=phu!$I$87,M1344=phu!$I$88),"Cam Thịnh Tây",""),IF(OR(M1344=phu!$I$89,M1344=phu!$I$90),"Cam Lập",""),IF(OR(M1344=phu!$I$91,M1344=phu!$I$92,M1344=phu!$I$93),"Cam Bình",""),IF(OR(M1344=phu!$I$94,M1344=phu!$I$95,M1344=phu!$I$96,M1344=phu!$I$97,M1344=phu!$I$98,M1344=phu!$I$99,M1344=phu!$I$100),"Huyện khác",""),IF(OR(M1344=phu!$I$101,M1344=phu!$I$102),"Tỉnh khác",""))</f>
        <v/>
      </c>
      <c r="O1344" s="829" t="str">
        <f t="shared" si="120"/>
        <v/>
      </c>
      <c r="P1344" s="254"/>
      <c r="Q1344" s="254"/>
      <c r="R1344" s="254"/>
      <c r="S1344" s="254"/>
      <c r="T1344" s="254"/>
      <c r="U1344" s="254"/>
      <c r="V1344" s="254"/>
      <c r="W1344" s="254"/>
      <c r="Y1344" s="246" t="str">
        <f t="shared" si="121"/>
        <v/>
      </c>
      <c r="Z1344" s="247" t="str">
        <f t="shared" si="125"/>
        <v/>
      </c>
      <c r="AA1344" s="246" t="str">
        <f t="shared" si="122"/>
        <v/>
      </c>
    </row>
    <row r="1345" spans="1:27" x14ac:dyDescent="0.25">
      <c r="A1345" s="248" t="str">
        <f t="shared" si="123"/>
        <v/>
      </c>
      <c r="B1345" s="249" t="str">
        <f t="shared" si="124"/>
        <v/>
      </c>
      <c r="C1345" s="250"/>
      <c r="D1345" s="251"/>
      <c r="E1345" s="241"/>
      <c r="F1345" s="252"/>
      <c r="G1345" s="252"/>
      <c r="H1345" s="253"/>
      <c r="I1345" s="250"/>
      <c r="J1345" s="250"/>
      <c r="K1345" s="270"/>
      <c r="L1345" s="250"/>
      <c r="M1345" s="250"/>
      <c r="N1345" s="540" t="str">
        <f>CONCATENATE(IF(OR(M1345=phu!$I$1,M1345=phu!$I$2,M1345=phu!$I$3),"Cam Thành Nam",""),IF(OR(M1345=phu!$I$4,M1345=phu!$I$5,M1345=phu!$I$6,M1345=phu!$I$7,M1345=phu!$I$8,M1345=phu!$I$9,M1345=phu!$I$10,M1345=phu!$I$11,M1345=phu!$I$12,M1345=phu!$I$13,M1345=phu!$I$14),"Cam Nghĩa",""),IF(OR(M1345=phu!$I$15,M1345=phu!$I$16,M1345=phu!$I$17,M1345=phu!$I$18,M1345=phu!$I$19,M1345=phu!$I$20,M1345=phu!$I$21),"Cam Phúc Bắc",""),IF(OR(M1345=phu!$I$22,M1345=phu!$I$23,M1345=phu!$I$24,M1345=phu!$I$25),"Cam Phúc Nam",""),IF(OR(M1345=phu!$I$26,M1345=phu!$I$27,M1345=phu!$I$28,M1345=phu!$I$29,M1345=phu!$I$30,M1345=phu!$I$31),"Cam Phú",""),IF(OR(M1345=phu!$I$32,M1345=phu!$I$33,M1345=phu!$I$34,M1345=phu!$I$35,M1345=phu!$I$36,M1345=phu!$I$37),"Cam Lộc",""),IF(OR(M1345=phu!$I$38,M1345=phu!$I$39,M1345=phu!$I$40,M1345=phu!$I$41,M1345=phu!$I$42,M1345=phu!$I$43,M1345=phu!$I$44),"Cam Thuận",""),IF(OR(M1345=phu!$I$45,M1345=phu!$I$46,M1345=phu!$I$47,M1345=phu!$I$48,M1345=phu!$I$49,M1345=phu!$I$50,M1345=phu!$I$51,M1345=phu!$I$52,M1345=phu!$I$53),"Cam Linh",""),IF(OR(M1345=phu!$I$54,M1345=phu!$I$55,M1345=phu!$I$56,M1345=phu!$I$57,M1345=phu!$I$58,M1345=phu!$I$59,M1345=phu!$I$60,M1345=phu!$I$61,M1345=phu!$I$62),"Cam Lợi",""),IF(OR(M1345=phu!$I$63,M1345=phu!$I$64,M1345=phu!$I$65,M1345=phu!$I$66,M1345=phu!$I$67,M1345=phu!$I$68,M1345=phu!$I$69,M1345=phu!$I$70,M1345=phu!$I$71),"Ba Ngòi",""),IF(OR(M1345=phu!$I$72,M1345=phu!$I$73,M1345=phu!$I$74,M1345=phu!$I$75,M1345=phu!$I$76,M1345=phu!$I$77,M1345=phu!$I$78),"Cam Phước Đông",""),IF(OR(M1345=phu!$I$79,M1345=phu!$I$80,M1345=phu!$I$81,M1345=phu!$I$82,M1345=phu!$I$83,M1345=phu!$I$84),"Cam Thịnh Đông",""),IF(OR(M1345=phu!$I$85,M1345=phu!$I$86,M1345=phu!$I$87,M1345=phu!$I$88),"Cam Thịnh Tây",""),IF(OR(M1345=phu!$I$89,M1345=phu!$I$90),"Cam Lập",""),IF(OR(M1345=phu!$I$91,M1345=phu!$I$92,M1345=phu!$I$93),"Cam Bình",""),IF(OR(M1345=phu!$I$94,M1345=phu!$I$95,M1345=phu!$I$96,M1345=phu!$I$97,M1345=phu!$I$98,M1345=phu!$I$99,M1345=phu!$I$100),"Huyện khác",""),IF(OR(M1345=phu!$I$101,M1345=phu!$I$102),"Tỉnh khác",""))</f>
        <v/>
      </c>
      <c r="O1345" s="829" t="str">
        <f t="shared" si="120"/>
        <v/>
      </c>
      <c r="P1345" s="254"/>
      <c r="Q1345" s="254"/>
      <c r="R1345" s="254"/>
      <c r="S1345" s="254"/>
      <c r="T1345" s="254"/>
      <c r="U1345" s="254"/>
      <c r="V1345" s="254"/>
      <c r="W1345" s="254"/>
      <c r="Y1345" s="246" t="str">
        <f t="shared" si="121"/>
        <v/>
      </c>
      <c r="Z1345" s="247" t="str">
        <f t="shared" si="125"/>
        <v/>
      </c>
      <c r="AA1345" s="246" t="str">
        <f t="shared" si="122"/>
        <v/>
      </c>
    </row>
    <row r="1346" spans="1:27" x14ac:dyDescent="0.25">
      <c r="A1346" s="248" t="str">
        <f t="shared" si="123"/>
        <v/>
      </c>
      <c r="B1346" s="249" t="str">
        <f t="shared" si="124"/>
        <v/>
      </c>
      <c r="C1346" s="250"/>
      <c r="D1346" s="251"/>
      <c r="E1346" s="241"/>
      <c r="F1346" s="252"/>
      <c r="G1346" s="252"/>
      <c r="H1346" s="253"/>
      <c r="I1346" s="250"/>
      <c r="J1346" s="250"/>
      <c r="K1346" s="270"/>
      <c r="L1346" s="250"/>
      <c r="M1346" s="250"/>
      <c r="N1346" s="540" t="str">
        <f>CONCATENATE(IF(OR(M1346=phu!$I$1,M1346=phu!$I$2,M1346=phu!$I$3),"Cam Thành Nam",""),IF(OR(M1346=phu!$I$4,M1346=phu!$I$5,M1346=phu!$I$6,M1346=phu!$I$7,M1346=phu!$I$8,M1346=phu!$I$9,M1346=phu!$I$10,M1346=phu!$I$11,M1346=phu!$I$12,M1346=phu!$I$13,M1346=phu!$I$14),"Cam Nghĩa",""),IF(OR(M1346=phu!$I$15,M1346=phu!$I$16,M1346=phu!$I$17,M1346=phu!$I$18,M1346=phu!$I$19,M1346=phu!$I$20,M1346=phu!$I$21),"Cam Phúc Bắc",""),IF(OR(M1346=phu!$I$22,M1346=phu!$I$23,M1346=phu!$I$24,M1346=phu!$I$25),"Cam Phúc Nam",""),IF(OR(M1346=phu!$I$26,M1346=phu!$I$27,M1346=phu!$I$28,M1346=phu!$I$29,M1346=phu!$I$30,M1346=phu!$I$31),"Cam Phú",""),IF(OR(M1346=phu!$I$32,M1346=phu!$I$33,M1346=phu!$I$34,M1346=phu!$I$35,M1346=phu!$I$36,M1346=phu!$I$37),"Cam Lộc",""),IF(OR(M1346=phu!$I$38,M1346=phu!$I$39,M1346=phu!$I$40,M1346=phu!$I$41,M1346=phu!$I$42,M1346=phu!$I$43,M1346=phu!$I$44),"Cam Thuận",""),IF(OR(M1346=phu!$I$45,M1346=phu!$I$46,M1346=phu!$I$47,M1346=phu!$I$48,M1346=phu!$I$49,M1346=phu!$I$50,M1346=phu!$I$51,M1346=phu!$I$52,M1346=phu!$I$53),"Cam Linh",""),IF(OR(M1346=phu!$I$54,M1346=phu!$I$55,M1346=phu!$I$56,M1346=phu!$I$57,M1346=phu!$I$58,M1346=phu!$I$59,M1346=phu!$I$60,M1346=phu!$I$61,M1346=phu!$I$62),"Cam Lợi",""),IF(OR(M1346=phu!$I$63,M1346=phu!$I$64,M1346=phu!$I$65,M1346=phu!$I$66,M1346=phu!$I$67,M1346=phu!$I$68,M1346=phu!$I$69,M1346=phu!$I$70,M1346=phu!$I$71),"Ba Ngòi",""),IF(OR(M1346=phu!$I$72,M1346=phu!$I$73,M1346=phu!$I$74,M1346=phu!$I$75,M1346=phu!$I$76,M1346=phu!$I$77,M1346=phu!$I$78),"Cam Phước Đông",""),IF(OR(M1346=phu!$I$79,M1346=phu!$I$80,M1346=phu!$I$81,M1346=phu!$I$82,M1346=phu!$I$83,M1346=phu!$I$84),"Cam Thịnh Đông",""),IF(OR(M1346=phu!$I$85,M1346=phu!$I$86,M1346=phu!$I$87,M1346=phu!$I$88),"Cam Thịnh Tây",""),IF(OR(M1346=phu!$I$89,M1346=phu!$I$90),"Cam Lập",""),IF(OR(M1346=phu!$I$91,M1346=phu!$I$92,M1346=phu!$I$93),"Cam Bình",""),IF(OR(M1346=phu!$I$94,M1346=phu!$I$95,M1346=phu!$I$96,M1346=phu!$I$97,M1346=phu!$I$98,M1346=phu!$I$99,M1346=phu!$I$100),"Huyện khác",""),IF(OR(M1346=phu!$I$101,M1346=phu!$I$102),"Tỉnh khác",""))</f>
        <v/>
      </c>
      <c r="O1346" s="829" t="str">
        <f t="shared" si="120"/>
        <v/>
      </c>
      <c r="P1346" s="254"/>
      <c r="Q1346" s="254"/>
      <c r="R1346" s="254"/>
      <c r="S1346" s="254"/>
      <c r="T1346" s="254"/>
      <c r="U1346" s="254"/>
      <c r="V1346" s="254"/>
      <c r="W1346" s="254"/>
      <c r="Y1346" s="246" t="str">
        <f t="shared" si="121"/>
        <v/>
      </c>
      <c r="Z1346" s="247" t="str">
        <f t="shared" si="125"/>
        <v/>
      </c>
      <c r="AA1346" s="246" t="str">
        <f t="shared" si="122"/>
        <v/>
      </c>
    </row>
    <row r="1347" spans="1:27" x14ac:dyDescent="0.25">
      <c r="A1347" s="248" t="str">
        <f t="shared" si="123"/>
        <v/>
      </c>
      <c r="B1347" s="249" t="str">
        <f t="shared" si="124"/>
        <v/>
      </c>
      <c r="C1347" s="250"/>
      <c r="D1347" s="251"/>
      <c r="E1347" s="241"/>
      <c r="F1347" s="252"/>
      <c r="G1347" s="252"/>
      <c r="H1347" s="253"/>
      <c r="I1347" s="250"/>
      <c r="J1347" s="250"/>
      <c r="K1347" s="270"/>
      <c r="L1347" s="250"/>
      <c r="M1347" s="250"/>
      <c r="N1347" s="540" t="str">
        <f>CONCATENATE(IF(OR(M1347=phu!$I$1,M1347=phu!$I$2,M1347=phu!$I$3),"Cam Thành Nam",""),IF(OR(M1347=phu!$I$4,M1347=phu!$I$5,M1347=phu!$I$6,M1347=phu!$I$7,M1347=phu!$I$8,M1347=phu!$I$9,M1347=phu!$I$10,M1347=phu!$I$11,M1347=phu!$I$12,M1347=phu!$I$13,M1347=phu!$I$14),"Cam Nghĩa",""),IF(OR(M1347=phu!$I$15,M1347=phu!$I$16,M1347=phu!$I$17,M1347=phu!$I$18,M1347=phu!$I$19,M1347=phu!$I$20,M1347=phu!$I$21),"Cam Phúc Bắc",""),IF(OR(M1347=phu!$I$22,M1347=phu!$I$23,M1347=phu!$I$24,M1347=phu!$I$25),"Cam Phúc Nam",""),IF(OR(M1347=phu!$I$26,M1347=phu!$I$27,M1347=phu!$I$28,M1347=phu!$I$29,M1347=phu!$I$30,M1347=phu!$I$31),"Cam Phú",""),IF(OR(M1347=phu!$I$32,M1347=phu!$I$33,M1347=phu!$I$34,M1347=phu!$I$35,M1347=phu!$I$36,M1347=phu!$I$37),"Cam Lộc",""),IF(OR(M1347=phu!$I$38,M1347=phu!$I$39,M1347=phu!$I$40,M1347=phu!$I$41,M1347=phu!$I$42,M1347=phu!$I$43,M1347=phu!$I$44),"Cam Thuận",""),IF(OR(M1347=phu!$I$45,M1347=phu!$I$46,M1347=phu!$I$47,M1347=phu!$I$48,M1347=phu!$I$49,M1347=phu!$I$50,M1347=phu!$I$51,M1347=phu!$I$52,M1347=phu!$I$53),"Cam Linh",""),IF(OR(M1347=phu!$I$54,M1347=phu!$I$55,M1347=phu!$I$56,M1347=phu!$I$57,M1347=phu!$I$58,M1347=phu!$I$59,M1347=phu!$I$60,M1347=phu!$I$61,M1347=phu!$I$62),"Cam Lợi",""),IF(OR(M1347=phu!$I$63,M1347=phu!$I$64,M1347=phu!$I$65,M1347=phu!$I$66,M1347=phu!$I$67,M1347=phu!$I$68,M1347=phu!$I$69,M1347=phu!$I$70,M1347=phu!$I$71),"Ba Ngòi",""),IF(OR(M1347=phu!$I$72,M1347=phu!$I$73,M1347=phu!$I$74,M1347=phu!$I$75,M1347=phu!$I$76,M1347=phu!$I$77,M1347=phu!$I$78),"Cam Phước Đông",""),IF(OR(M1347=phu!$I$79,M1347=phu!$I$80,M1347=phu!$I$81,M1347=phu!$I$82,M1347=phu!$I$83,M1347=phu!$I$84),"Cam Thịnh Đông",""),IF(OR(M1347=phu!$I$85,M1347=phu!$I$86,M1347=phu!$I$87,M1347=phu!$I$88),"Cam Thịnh Tây",""),IF(OR(M1347=phu!$I$89,M1347=phu!$I$90),"Cam Lập",""),IF(OR(M1347=phu!$I$91,M1347=phu!$I$92,M1347=phu!$I$93),"Cam Bình",""),IF(OR(M1347=phu!$I$94,M1347=phu!$I$95,M1347=phu!$I$96,M1347=phu!$I$97,M1347=phu!$I$98,M1347=phu!$I$99,M1347=phu!$I$100),"Huyện khác",""),IF(OR(M1347=phu!$I$101,M1347=phu!$I$102),"Tỉnh khác",""))</f>
        <v/>
      </c>
      <c r="O1347" s="829" t="str">
        <f t="shared" si="120"/>
        <v/>
      </c>
      <c r="P1347" s="254"/>
      <c r="Q1347" s="254"/>
      <c r="R1347" s="254"/>
      <c r="S1347" s="254"/>
      <c r="T1347" s="254"/>
      <c r="U1347" s="254"/>
      <c r="V1347" s="254"/>
      <c r="W1347" s="254"/>
      <c r="Y1347" s="246" t="str">
        <f t="shared" si="121"/>
        <v/>
      </c>
      <c r="Z1347" s="247" t="str">
        <f t="shared" si="125"/>
        <v/>
      </c>
      <c r="AA1347" s="246" t="str">
        <f t="shared" si="122"/>
        <v/>
      </c>
    </row>
    <row r="1348" spans="1:27" x14ac:dyDescent="0.25">
      <c r="A1348" s="248" t="str">
        <f t="shared" si="123"/>
        <v/>
      </c>
      <c r="B1348" s="249" t="str">
        <f t="shared" si="124"/>
        <v/>
      </c>
      <c r="C1348" s="250"/>
      <c r="D1348" s="251"/>
      <c r="E1348" s="241"/>
      <c r="F1348" s="252"/>
      <c r="G1348" s="252"/>
      <c r="H1348" s="253"/>
      <c r="I1348" s="250"/>
      <c r="J1348" s="250"/>
      <c r="K1348" s="270"/>
      <c r="L1348" s="250"/>
      <c r="M1348" s="250"/>
      <c r="N1348" s="540" t="str">
        <f>CONCATENATE(IF(OR(M1348=phu!$I$1,M1348=phu!$I$2,M1348=phu!$I$3),"Cam Thành Nam",""),IF(OR(M1348=phu!$I$4,M1348=phu!$I$5,M1348=phu!$I$6,M1348=phu!$I$7,M1348=phu!$I$8,M1348=phu!$I$9,M1348=phu!$I$10,M1348=phu!$I$11,M1348=phu!$I$12,M1348=phu!$I$13,M1348=phu!$I$14),"Cam Nghĩa",""),IF(OR(M1348=phu!$I$15,M1348=phu!$I$16,M1348=phu!$I$17,M1348=phu!$I$18,M1348=phu!$I$19,M1348=phu!$I$20,M1348=phu!$I$21),"Cam Phúc Bắc",""),IF(OR(M1348=phu!$I$22,M1348=phu!$I$23,M1348=phu!$I$24,M1348=phu!$I$25),"Cam Phúc Nam",""),IF(OR(M1348=phu!$I$26,M1348=phu!$I$27,M1348=phu!$I$28,M1348=phu!$I$29,M1348=phu!$I$30,M1348=phu!$I$31),"Cam Phú",""),IF(OR(M1348=phu!$I$32,M1348=phu!$I$33,M1348=phu!$I$34,M1348=phu!$I$35,M1348=phu!$I$36,M1348=phu!$I$37),"Cam Lộc",""),IF(OR(M1348=phu!$I$38,M1348=phu!$I$39,M1348=phu!$I$40,M1348=phu!$I$41,M1348=phu!$I$42,M1348=phu!$I$43,M1348=phu!$I$44),"Cam Thuận",""),IF(OR(M1348=phu!$I$45,M1348=phu!$I$46,M1348=phu!$I$47,M1348=phu!$I$48,M1348=phu!$I$49,M1348=phu!$I$50,M1348=phu!$I$51,M1348=phu!$I$52,M1348=phu!$I$53),"Cam Linh",""),IF(OR(M1348=phu!$I$54,M1348=phu!$I$55,M1348=phu!$I$56,M1348=phu!$I$57,M1348=phu!$I$58,M1348=phu!$I$59,M1348=phu!$I$60,M1348=phu!$I$61,M1348=phu!$I$62),"Cam Lợi",""),IF(OR(M1348=phu!$I$63,M1348=phu!$I$64,M1348=phu!$I$65,M1348=phu!$I$66,M1348=phu!$I$67,M1348=phu!$I$68,M1348=phu!$I$69,M1348=phu!$I$70,M1348=phu!$I$71),"Ba Ngòi",""),IF(OR(M1348=phu!$I$72,M1348=phu!$I$73,M1348=phu!$I$74,M1348=phu!$I$75,M1348=phu!$I$76,M1348=phu!$I$77,M1348=phu!$I$78),"Cam Phước Đông",""),IF(OR(M1348=phu!$I$79,M1348=phu!$I$80,M1348=phu!$I$81,M1348=phu!$I$82,M1348=phu!$I$83,M1348=phu!$I$84),"Cam Thịnh Đông",""),IF(OR(M1348=phu!$I$85,M1348=phu!$I$86,M1348=phu!$I$87,M1348=phu!$I$88),"Cam Thịnh Tây",""),IF(OR(M1348=phu!$I$89,M1348=phu!$I$90),"Cam Lập",""),IF(OR(M1348=phu!$I$91,M1348=phu!$I$92,M1348=phu!$I$93),"Cam Bình",""),IF(OR(M1348=phu!$I$94,M1348=phu!$I$95,M1348=phu!$I$96,M1348=phu!$I$97,M1348=phu!$I$98,M1348=phu!$I$99,M1348=phu!$I$100),"Huyện khác",""),IF(OR(M1348=phu!$I$101,M1348=phu!$I$102),"Tỉnh khác",""))</f>
        <v/>
      </c>
      <c r="O1348" s="829" t="str">
        <f t="shared" si="120"/>
        <v/>
      </c>
      <c r="P1348" s="254"/>
      <c r="Q1348" s="254"/>
      <c r="R1348" s="254"/>
      <c r="S1348" s="254"/>
      <c r="T1348" s="254"/>
      <c r="U1348" s="254"/>
      <c r="V1348" s="254"/>
      <c r="W1348" s="254"/>
      <c r="Y1348" s="246" t="str">
        <f t="shared" si="121"/>
        <v/>
      </c>
      <c r="Z1348" s="247" t="str">
        <f t="shared" si="125"/>
        <v/>
      </c>
      <c r="AA1348" s="246" t="str">
        <f t="shared" si="122"/>
        <v/>
      </c>
    </row>
    <row r="1349" spans="1:27" x14ac:dyDescent="0.25">
      <c r="A1349" s="248" t="str">
        <f t="shared" si="123"/>
        <v/>
      </c>
      <c r="B1349" s="249" t="str">
        <f t="shared" si="124"/>
        <v/>
      </c>
      <c r="C1349" s="250"/>
      <c r="D1349" s="251"/>
      <c r="E1349" s="241"/>
      <c r="F1349" s="252"/>
      <c r="G1349" s="252"/>
      <c r="H1349" s="253"/>
      <c r="I1349" s="250"/>
      <c r="J1349" s="250"/>
      <c r="K1349" s="270"/>
      <c r="L1349" s="250"/>
      <c r="M1349" s="250"/>
      <c r="N1349" s="540" t="str">
        <f>CONCATENATE(IF(OR(M1349=phu!$I$1,M1349=phu!$I$2,M1349=phu!$I$3),"Cam Thành Nam",""),IF(OR(M1349=phu!$I$4,M1349=phu!$I$5,M1349=phu!$I$6,M1349=phu!$I$7,M1349=phu!$I$8,M1349=phu!$I$9,M1349=phu!$I$10,M1349=phu!$I$11,M1349=phu!$I$12,M1349=phu!$I$13,M1349=phu!$I$14),"Cam Nghĩa",""),IF(OR(M1349=phu!$I$15,M1349=phu!$I$16,M1349=phu!$I$17,M1349=phu!$I$18,M1349=phu!$I$19,M1349=phu!$I$20,M1349=phu!$I$21),"Cam Phúc Bắc",""),IF(OR(M1349=phu!$I$22,M1349=phu!$I$23,M1349=phu!$I$24,M1349=phu!$I$25),"Cam Phúc Nam",""),IF(OR(M1349=phu!$I$26,M1349=phu!$I$27,M1349=phu!$I$28,M1349=phu!$I$29,M1349=phu!$I$30,M1349=phu!$I$31),"Cam Phú",""),IF(OR(M1349=phu!$I$32,M1349=phu!$I$33,M1349=phu!$I$34,M1349=phu!$I$35,M1349=phu!$I$36,M1349=phu!$I$37),"Cam Lộc",""),IF(OR(M1349=phu!$I$38,M1349=phu!$I$39,M1349=phu!$I$40,M1349=phu!$I$41,M1349=phu!$I$42,M1349=phu!$I$43,M1349=phu!$I$44),"Cam Thuận",""),IF(OR(M1349=phu!$I$45,M1349=phu!$I$46,M1349=phu!$I$47,M1349=phu!$I$48,M1349=phu!$I$49,M1349=phu!$I$50,M1349=phu!$I$51,M1349=phu!$I$52,M1349=phu!$I$53),"Cam Linh",""),IF(OR(M1349=phu!$I$54,M1349=phu!$I$55,M1349=phu!$I$56,M1349=phu!$I$57,M1349=phu!$I$58,M1349=phu!$I$59,M1349=phu!$I$60,M1349=phu!$I$61,M1349=phu!$I$62),"Cam Lợi",""),IF(OR(M1349=phu!$I$63,M1349=phu!$I$64,M1349=phu!$I$65,M1349=phu!$I$66,M1349=phu!$I$67,M1349=phu!$I$68,M1349=phu!$I$69,M1349=phu!$I$70,M1349=phu!$I$71),"Ba Ngòi",""),IF(OR(M1349=phu!$I$72,M1349=phu!$I$73,M1349=phu!$I$74,M1349=phu!$I$75,M1349=phu!$I$76,M1349=phu!$I$77,M1349=phu!$I$78),"Cam Phước Đông",""),IF(OR(M1349=phu!$I$79,M1349=phu!$I$80,M1349=phu!$I$81,M1349=phu!$I$82,M1349=phu!$I$83,M1349=phu!$I$84),"Cam Thịnh Đông",""),IF(OR(M1349=phu!$I$85,M1349=phu!$I$86,M1349=phu!$I$87,M1349=phu!$I$88),"Cam Thịnh Tây",""),IF(OR(M1349=phu!$I$89,M1349=phu!$I$90),"Cam Lập",""),IF(OR(M1349=phu!$I$91,M1349=phu!$I$92,M1349=phu!$I$93),"Cam Bình",""),IF(OR(M1349=phu!$I$94,M1349=phu!$I$95,M1349=phu!$I$96,M1349=phu!$I$97,M1349=phu!$I$98,M1349=phu!$I$99,M1349=phu!$I$100),"Huyện khác",""),IF(OR(M1349=phu!$I$101,M1349=phu!$I$102),"Tỉnh khác",""))</f>
        <v/>
      </c>
      <c r="O1349" s="829" t="str">
        <f t="shared" si="120"/>
        <v/>
      </c>
      <c r="P1349" s="254"/>
      <c r="Q1349" s="254"/>
      <c r="R1349" s="254"/>
      <c r="S1349" s="254"/>
      <c r="T1349" s="254"/>
      <c r="U1349" s="254"/>
      <c r="V1349" s="254"/>
      <c r="W1349" s="254"/>
      <c r="Y1349" s="246" t="str">
        <f t="shared" si="121"/>
        <v/>
      </c>
      <c r="Z1349" s="247" t="str">
        <f t="shared" si="125"/>
        <v/>
      </c>
      <c r="AA1349" s="246" t="str">
        <f t="shared" si="122"/>
        <v/>
      </c>
    </row>
    <row r="1350" spans="1:27" x14ac:dyDescent="0.25">
      <c r="A1350" s="248" t="str">
        <f t="shared" si="123"/>
        <v/>
      </c>
      <c r="B1350" s="249" t="str">
        <f t="shared" si="124"/>
        <v/>
      </c>
      <c r="C1350" s="250"/>
      <c r="D1350" s="251"/>
      <c r="E1350" s="241"/>
      <c r="F1350" s="252"/>
      <c r="G1350" s="252"/>
      <c r="H1350" s="253"/>
      <c r="I1350" s="250"/>
      <c r="J1350" s="250"/>
      <c r="K1350" s="270"/>
      <c r="L1350" s="250"/>
      <c r="M1350" s="250"/>
      <c r="N1350" s="540" t="str">
        <f>CONCATENATE(IF(OR(M1350=phu!$I$1,M1350=phu!$I$2,M1350=phu!$I$3),"Cam Thành Nam",""),IF(OR(M1350=phu!$I$4,M1350=phu!$I$5,M1350=phu!$I$6,M1350=phu!$I$7,M1350=phu!$I$8,M1350=phu!$I$9,M1350=phu!$I$10,M1350=phu!$I$11,M1350=phu!$I$12,M1350=phu!$I$13,M1350=phu!$I$14),"Cam Nghĩa",""),IF(OR(M1350=phu!$I$15,M1350=phu!$I$16,M1350=phu!$I$17,M1350=phu!$I$18,M1350=phu!$I$19,M1350=phu!$I$20,M1350=phu!$I$21),"Cam Phúc Bắc",""),IF(OR(M1350=phu!$I$22,M1350=phu!$I$23,M1350=phu!$I$24,M1350=phu!$I$25),"Cam Phúc Nam",""),IF(OR(M1350=phu!$I$26,M1350=phu!$I$27,M1350=phu!$I$28,M1350=phu!$I$29,M1350=phu!$I$30,M1350=phu!$I$31),"Cam Phú",""),IF(OR(M1350=phu!$I$32,M1350=phu!$I$33,M1350=phu!$I$34,M1350=phu!$I$35,M1350=phu!$I$36,M1350=phu!$I$37),"Cam Lộc",""),IF(OR(M1350=phu!$I$38,M1350=phu!$I$39,M1350=phu!$I$40,M1350=phu!$I$41,M1350=phu!$I$42,M1350=phu!$I$43,M1350=phu!$I$44),"Cam Thuận",""),IF(OR(M1350=phu!$I$45,M1350=phu!$I$46,M1350=phu!$I$47,M1350=phu!$I$48,M1350=phu!$I$49,M1350=phu!$I$50,M1350=phu!$I$51,M1350=phu!$I$52,M1350=phu!$I$53),"Cam Linh",""),IF(OR(M1350=phu!$I$54,M1350=phu!$I$55,M1350=phu!$I$56,M1350=phu!$I$57,M1350=phu!$I$58,M1350=phu!$I$59,M1350=phu!$I$60,M1350=phu!$I$61,M1350=phu!$I$62),"Cam Lợi",""),IF(OR(M1350=phu!$I$63,M1350=phu!$I$64,M1350=phu!$I$65,M1350=phu!$I$66,M1350=phu!$I$67,M1350=phu!$I$68,M1350=phu!$I$69,M1350=phu!$I$70,M1350=phu!$I$71),"Ba Ngòi",""),IF(OR(M1350=phu!$I$72,M1350=phu!$I$73,M1350=phu!$I$74,M1350=phu!$I$75,M1350=phu!$I$76,M1350=phu!$I$77,M1350=phu!$I$78),"Cam Phước Đông",""),IF(OR(M1350=phu!$I$79,M1350=phu!$I$80,M1350=phu!$I$81,M1350=phu!$I$82,M1350=phu!$I$83,M1350=phu!$I$84),"Cam Thịnh Đông",""),IF(OR(M1350=phu!$I$85,M1350=phu!$I$86,M1350=phu!$I$87,M1350=phu!$I$88),"Cam Thịnh Tây",""),IF(OR(M1350=phu!$I$89,M1350=phu!$I$90),"Cam Lập",""),IF(OR(M1350=phu!$I$91,M1350=phu!$I$92,M1350=phu!$I$93),"Cam Bình",""),IF(OR(M1350=phu!$I$94,M1350=phu!$I$95,M1350=phu!$I$96,M1350=phu!$I$97,M1350=phu!$I$98,M1350=phu!$I$99,M1350=phu!$I$100),"Huyện khác",""),IF(OR(M1350=phu!$I$101,M1350=phu!$I$102),"Tỉnh khác",""))</f>
        <v/>
      </c>
      <c r="O1350" s="829" t="str">
        <f t="shared" si="120"/>
        <v/>
      </c>
      <c r="P1350" s="254"/>
      <c r="Q1350" s="254"/>
      <c r="R1350" s="254"/>
      <c r="S1350" s="254"/>
      <c r="T1350" s="254"/>
      <c r="U1350" s="254"/>
      <c r="V1350" s="254"/>
      <c r="W1350" s="254"/>
      <c r="Y1350" s="246" t="str">
        <f t="shared" si="121"/>
        <v/>
      </c>
      <c r="Z1350" s="247" t="str">
        <f t="shared" si="125"/>
        <v/>
      </c>
      <c r="AA1350" s="246" t="str">
        <f t="shared" si="122"/>
        <v/>
      </c>
    </row>
    <row r="1351" spans="1:27" x14ac:dyDescent="0.25">
      <c r="A1351" s="248" t="str">
        <f t="shared" si="123"/>
        <v/>
      </c>
      <c r="B1351" s="249" t="str">
        <f t="shared" si="124"/>
        <v/>
      </c>
      <c r="C1351" s="250"/>
      <c r="D1351" s="251"/>
      <c r="E1351" s="241"/>
      <c r="F1351" s="252"/>
      <c r="G1351" s="252"/>
      <c r="H1351" s="253"/>
      <c r="I1351" s="250"/>
      <c r="J1351" s="250"/>
      <c r="K1351" s="270"/>
      <c r="L1351" s="250"/>
      <c r="M1351" s="250"/>
      <c r="N1351" s="540" t="str">
        <f>CONCATENATE(IF(OR(M1351=phu!$I$1,M1351=phu!$I$2,M1351=phu!$I$3),"Cam Thành Nam",""),IF(OR(M1351=phu!$I$4,M1351=phu!$I$5,M1351=phu!$I$6,M1351=phu!$I$7,M1351=phu!$I$8,M1351=phu!$I$9,M1351=phu!$I$10,M1351=phu!$I$11,M1351=phu!$I$12,M1351=phu!$I$13,M1351=phu!$I$14),"Cam Nghĩa",""),IF(OR(M1351=phu!$I$15,M1351=phu!$I$16,M1351=phu!$I$17,M1351=phu!$I$18,M1351=phu!$I$19,M1351=phu!$I$20,M1351=phu!$I$21),"Cam Phúc Bắc",""),IF(OR(M1351=phu!$I$22,M1351=phu!$I$23,M1351=phu!$I$24,M1351=phu!$I$25),"Cam Phúc Nam",""),IF(OR(M1351=phu!$I$26,M1351=phu!$I$27,M1351=phu!$I$28,M1351=phu!$I$29,M1351=phu!$I$30,M1351=phu!$I$31),"Cam Phú",""),IF(OR(M1351=phu!$I$32,M1351=phu!$I$33,M1351=phu!$I$34,M1351=phu!$I$35,M1351=phu!$I$36,M1351=phu!$I$37),"Cam Lộc",""),IF(OR(M1351=phu!$I$38,M1351=phu!$I$39,M1351=phu!$I$40,M1351=phu!$I$41,M1351=phu!$I$42,M1351=phu!$I$43,M1351=phu!$I$44),"Cam Thuận",""),IF(OR(M1351=phu!$I$45,M1351=phu!$I$46,M1351=phu!$I$47,M1351=phu!$I$48,M1351=phu!$I$49,M1351=phu!$I$50,M1351=phu!$I$51,M1351=phu!$I$52,M1351=phu!$I$53),"Cam Linh",""),IF(OR(M1351=phu!$I$54,M1351=phu!$I$55,M1351=phu!$I$56,M1351=phu!$I$57,M1351=phu!$I$58,M1351=phu!$I$59,M1351=phu!$I$60,M1351=phu!$I$61,M1351=phu!$I$62),"Cam Lợi",""),IF(OR(M1351=phu!$I$63,M1351=phu!$I$64,M1351=phu!$I$65,M1351=phu!$I$66,M1351=phu!$I$67,M1351=phu!$I$68,M1351=phu!$I$69,M1351=phu!$I$70,M1351=phu!$I$71),"Ba Ngòi",""),IF(OR(M1351=phu!$I$72,M1351=phu!$I$73,M1351=phu!$I$74,M1351=phu!$I$75,M1351=phu!$I$76,M1351=phu!$I$77,M1351=phu!$I$78),"Cam Phước Đông",""),IF(OR(M1351=phu!$I$79,M1351=phu!$I$80,M1351=phu!$I$81,M1351=phu!$I$82,M1351=phu!$I$83,M1351=phu!$I$84),"Cam Thịnh Đông",""),IF(OR(M1351=phu!$I$85,M1351=phu!$I$86,M1351=phu!$I$87,M1351=phu!$I$88),"Cam Thịnh Tây",""),IF(OR(M1351=phu!$I$89,M1351=phu!$I$90),"Cam Lập",""),IF(OR(M1351=phu!$I$91,M1351=phu!$I$92,M1351=phu!$I$93),"Cam Bình",""),IF(OR(M1351=phu!$I$94,M1351=phu!$I$95,M1351=phu!$I$96,M1351=phu!$I$97,M1351=phu!$I$98,M1351=phu!$I$99,M1351=phu!$I$100),"Huyện khác",""),IF(OR(M1351=phu!$I$101,M1351=phu!$I$102),"Tỉnh khác",""))</f>
        <v/>
      </c>
      <c r="O1351" s="829" t="str">
        <f t="shared" ref="O1351:O1414" si="126">CONCATENATE(IF(OR(N1351="Cam Thành Nam",N1351="Cam Nghĩa",N1351="Cam Phúc Bắc"),"Bắc Cam Ranh",""),IF(OR(N1351="Cam Phúc Nam",N1351="Cam Phú",N1351="Cam Lộc"),"Cam Ranh",""),IF(OR(N1351="Cam Thuận",N1351="Cam Linh",N1351="Cam Lợi"),"Cam Linh",""),IF(OR(N1351="Ba Ngòi",N1351="Cam Phước Đông"),"Ba Ngòi",""),IF(OR(N1351="Cam Thịnh Đông",N1351="Cam Thịnh Tây",N1351="Cam Lập",N1351="Cam Bình"),"Nam Cam Ranh",""),IF(N1351="Huyện khác","Huyện khác",""),IF(N1351="Tỉnh khác","Tỉnh khác",""))</f>
        <v/>
      </c>
      <c r="P1351" s="254"/>
      <c r="Q1351" s="254"/>
      <c r="R1351" s="254"/>
      <c r="S1351" s="254"/>
      <c r="T1351" s="254"/>
      <c r="U1351" s="254"/>
      <c r="V1351" s="254"/>
      <c r="W1351" s="254"/>
      <c r="Y1351" s="246" t="str">
        <f t="shared" ref="Y1351:Y1414" si="127">IF(OR(AND(B1351="",C1351="",D1351="",E1351="",F1351="",G1351="",H1351="",I1351="",J1351="",L1351="",M1351="",N1351="",P1351="",Q1351="",R1351="",S1351=""),AND(B1351&lt;&gt;"",C1351&lt;&gt;"",D1351&lt;&gt;"",E1351&lt;&gt;"",F1351&lt;&gt;"",G1351&lt;&gt;"",H1351&lt;&gt;"",J1351&lt;&gt;"",M1351&lt;&gt;"",N1351&lt;&gt;"",P1351&lt;&gt;"",OR(AND(Q1351&lt;&gt;"",R1351=""),AND(Q1351="",R1351&lt;&gt;""),AND(Q1351&lt;&gt;"",R1351&lt;&gt;"")),OR(AND(K1351="X",T1351&lt;&gt;""),AND(K1351="",T1351="")))),"","er")</f>
        <v/>
      </c>
      <c r="Z1351" s="247" t="str">
        <f t="shared" si="125"/>
        <v/>
      </c>
      <c r="AA1351" s="246" t="str">
        <f t="shared" ref="AA1351:AA1414" si="128">IF(OR(AND(Z1351&lt;=10,B1351&gt;5),AND(Z1351&lt;=11,B1351&gt;6),AND(Z1351&lt;=12,B1351&gt;7),AND(Z1351&lt;=13,B1351&gt;8),AND(Z1351&lt;=14,B1351&gt;9),AND(Z1351=11,B1351=6,L1351="X"),AND(Z1351=12,B1351=7,L1351="X"),AND(Z1351=13,B1351=8,L1351="X"),AND(Z1351=14,B1351=9,L1351="X")),"er","")</f>
        <v/>
      </c>
    </row>
    <row r="1352" spans="1:27" x14ac:dyDescent="0.25">
      <c r="A1352" s="248" t="str">
        <f t="shared" ref="A1352:A1415" si="129">IF(OR(A1351="",B1352="",C1352="",D1352="",E1352=""),"",A1351+1)</f>
        <v/>
      </c>
      <c r="B1352" s="249" t="str">
        <f t="shared" ref="B1352:B1415" si="130">IF(C1352="","",VALUE(LEFT(C1352,1)))</f>
        <v/>
      </c>
      <c r="C1352" s="250"/>
      <c r="D1352" s="251"/>
      <c r="E1352" s="241"/>
      <c r="F1352" s="252"/>
      <c r="G1352" s="252"/>
      <c r="H1352" s="253"/>
      <c r="I1352" s="250"/>
      <c r="J1352" s="250"/>
      <c r="K1352" s="270"/>
      <c r="L1352" s="250"/>
      <c r="M1352" s="250"/>
      <c r="N1352" s="540" t="str">
        <f>CONCATENATE(IF(OR(M1352=phu!$I$1,M1352=phu!$I$2,M1352=phu!$I$3),"Cam Thành Nam",""),IF(OR(M1352=phu!$I$4,M1352=phu!$I$5,M1352=phu!$I$6,M1352=phu!$I$7,M1352=phu!$I$8,M1352=phu!$I$9,M1352=phu!$I$10,M1352=phu!$I$11,M1352=phu!$I$12,M1352=phu!$I$13,M1352=phu!$I$14),"Cam Nghĩa",""),IF(OR(M1352=phu!$I$15,M1352=phu!$I$16,M1352=phu!$I$17,M1352=phu!$I$18,M1352=phu!$I$19,M1352=phu!$I$20,M1352=phu!$I$21),"Cam Phúc Bắc",""),IF(OR(M1352=phu!$I$22,M1352=phu!$I$23,M1352=phu!$I$24,M1352=phu!$I$25),"Cam Phúc Nam",""),IF(OR(M1352=phu!$I$26,M1352=phu!$I$27,M1352=phu!$I$28,M1352=phu!$I$29,M1352=phu!$I$30,M1352=phu!$I$31),"Cam Phú",""),IF(OR(M1352=phu!$I$32,M1352=phu!$I$33,M1352=phu!$I$34,M1352=phu!$I$35,M1352=phu!$I$36,M1352=phu!$I$37),"Cam Lộc",""),IF(OR(M1352=phu!$I$38,M1352=phu!$I$39,M1352=phu!$I$40,M1352=phu!$I$41,M1352=phu!$I$42,M1352=phu!$I$43,M1352=phu!$I$44),"Cam Thuận",""),IF(OR(M1352=phu!$I$45,M1352=phu!$I$46,M1352=phu!$I$47,M1352=phu!$I$48,M1352=phu!$I$49,M1352=phu!$I$50,M1352=phu!$I$51,M1352=phu!$I$52,M1352=phu!$I$53),"Cam Linh",""),IF(OR(M1352=phu!$I$54,M1352=phu!$I$55,M1352=phu!$I$56,M1352=phu!$I$57,M1352=phu!$I$58,M1352=phu!$I$59,M1352=phu!$I$60,M1352=phu!$I$61,M1352=phu!$I$62),"Cam Lợi",""),IF(OR(M1352=phu!$I$63,M1352=phu!$I$64,M1352=phu!$I$65,M1352=phu!$I$66,M1352=phu!$I$67,M1352=phu!$I$68,M1352=phu!$I$69,M1352=phu!$I$70,M1352=phu!$I$71),"Ba Ngòi",""),IF(OR(M1352=phu!$I$72,M1352=phu!$I$73,M1352=phu!$I$74,M1352=phu!$I$75,M1352=phu!$I$76,M1352=phu!$I$77,M1352=phu!$I$78),"Cam Phước Đông",""),IF(OR(M1352=phu!$I$79,M1352=phu!$I$80,M1352=phu!$I$81,M1352=phu!$I$82,M1352=phu!$I$83,M1352=phu!$I$84),"Cam Thịnh Đông",""),IF(OR(M1352=phu!$I$85,M1352=phu!$I$86,M1352=phu!$I$87,M1352=phu!$I$88),"Cam Thịnh Tây",""),IF(OR(M1352=phu!$I$89,M1352=phu!$I$90),"Cam Lập",""),IF(OR(M1352=phu!$I$91,M1352=phu!$I$92,M1352=phu!$I$93),"Cam Bình",""),IF(OR(M1352=phu!$I$94,M1352=phu!$I$95,M1352=phu!$I$96,M1352=phu!$I$97,M1352=phu!$I$98,M1352=phu!$I$99,M1352=phu!$I$100),"Huyện khác",""),IF(OR(M1352=phu!$I$101,M1352=phu!$I$102),"Tỉnh khác",""))</f>
        <v/>
      </c>
      <c r="O1352" s="829" t="str">
        <f t="shared" si="126"/>
        <v/>
      </c>
      <c r="P1352" s="254"/>
      <c r="Q1352" s="254"/>
      <c r="R1352" s="254"/>
      <c r="S1352" s="254"/>
      <c r="T1352" s="254"/>
      <c r="U1352" s="254"/>
      <c r="V1352" s="254"/>
      <c r="W1352" s="254"/>
      <c r="Y1352" s="246" t="str">
        <f t="shared" si="127"/>
        <v/>
      </c>
      <c r="Z1352" s="247" t="str">
        <f t="shared" ref="Z1352:Z1415" si="131">IF(H1352="","",$Z$1-H1352)</f>
        <v/>
      </c>
      <c r="AA1352" s="246" t="str">
        <f t="shared" si="128"/>
        <v/>
      </c>
    </row>
    <row r="1353" spans="1:27" x14ac:dyDescent="0.25">
      <c r="A1353" s="248" t="str">
        <f t="shared" si="129"/>
        <v/>
      </c>
      <c r="B1353" s="249" t="str">
        <f t="shared" si="130"/>
        <v/>
      </c>
      <c r="C1353" s="250"/>
      <c r="D1353" s="251"/>
      <c r="E1353" s="241"/>
      <c r="F1353" s="252"/>
      <c r="G1353" s="252"/>
      <c r="H1353" s="253"/>
      <c r="I1353" s="250"/>
      <c r="J1353" s="250"/>
      <c r="K1353" s="270"/>
      <c r="L1353" s="250"/>
      <c r="M1353" s="250"/>
      <c r="N1353" s="540" t="str">
        <f>CONCATENATE(IF(OR(M1353=phu!$I$1,M1353=phu!$I$2,M1353=phu!$I$3),"Cam Thành Nam",""),IF(OR(M1353=phu!$I$4,M1353=phu!$I$5,M1353=phu!$I$6,M1353=phu!$I$7,M1353=phu!$I$8,M1353=phu!$I$9,M1353=phu!$I$10,M1353=phu!$I$11,M1353=phu!$I$12,M1353=phu!$I$13,M1353=phu!$I$14),"Cam Nghĩa",""),IF(OR(M1353=phu!$I$15,M1353=phu!$I$16,M1353=phu!$I$17,M1353=phu!$I$18,M1353=phu!$I$19,M1353=phu!$I$20,M1353=phu!$I$21),"Cam Phúc Bắc",""),IF(OR(M1353=phu!$I$22,M1353=phu!$I$23,M1353=phu!$I$24,M1353=phu!$I$25),"Cam Phúc Nam",""),IF(OR(M1353=phu!$I$26,M1353=phu!$I$27,M1353=phu!$I$28,M1353=phu!$I$29,M1353=phu!$I$30,M1353=phu!$I$31),"Cam Phú",""),IF(OR(M1353=phu!$I$32,M1353=phu!$I$33,M1353=phu!$I$34,M1353=phu!$I$35,M1353=phu!$I$36,M1353=phu!$I$37),"Cam Lộc",""),IF(OR(M1353=phu!$I$38,M1353=phu!$I$39,M1353=phu!$I$40,M1353=phu!$I$41,M1353=phu!$I$42,M1353=phu!$I$43,M1353=phu!$I$44),"Cam Thuận",""),IF(OR(M1353=phu!$I$45,M1353=phu!$I$46,M1353=phu!$I$47,M1353=phu!$I$48,M1353=phu!$I$49,M1353=phu!$I$50,M1353=phu!$I$51,M1353=phu!$I$52,M1353=phu!$I$53),"Cam Linh",""),IF(OR(M1353=phu!$I$54,M1353=phu!$I$55,M1353=phu!$I$56,M1353=phu!$I$57,M1353=phu!$I$58,M1353=phu!$I$59,M1353=phu!$I$60,M1353=phu!$I$61,M1353=phu!$I$62),"Cam Lợi",""),IF(OR(M1353=phu!$I$63,M1353=phu!$I$64,M1353=phu!$I$65,M1353=phu!$I$66,M1353=phu!$I$67,M1353=phu!$I$68,M1353=phu!$I$69,M1353=phu!$I$70,M1353=phu!$I$71),"Ba Ngòi",""),IF(OR(M1353=phu!$I$72,M1353=phu!$I$73,M1353=phu!$I$74,M1353=phu!$I$75,M1353=phu!$I$76,M1353=phu!$I$77,M1353=phu!$I$78),"Cam Phước Đông",""),IF(OR(M1353=phu!$I$79,M1353=phu!$I$80,M1353=phu!$I$81,M1353=phu!$I$82,M1353=phu!$I$83,M1353=phu!$I$84),"Cam Thịnh Đông",""),IF(OR(M1353=phu!$I$85,M1353=phu!$I$86,M1353=phu!$I$87,M1353=phu!$I$88),"Cam Thịnh Tây",""),IF(OR(M1353=phu!$I$89,M1353=phu!$I$90),"Cam Lập",""),IF(OR(M1353=phu!$I$91,M1353=phu!$I$92,M1353=phu!$I$93),"Cam Bình",""),IF(OR(M1353=phu!$I$94,M1353=phu!$I$95,M1353=phu!$I$96,M1353=phu!$I$97,M1353=phu!$I$98,M1353=phu!$I$99,M1353=phu!$I$100),"Huyện khác",""),IF(OR(M1353=phu!$I$101,M1353=phu!$I$102),"Tỉnh khác",""))</f>
        <v/>
      </c>
      <c r="O1353" s="829" t="str">
        <f t="shared" si="126"/>
        <v/>
      </c>
      <c r="P1353" s="254"/>
      <c r="Q1353" s="254"/>
      <c r="R1353" s="254"/>
      <c r="S1353" s="254"/>
      <c r="T1353" s="254"/>
      <c r="U1353" s="254"/>
      <c r="V1353" s="254"/>
      <c r="W1353" s="254"/>
      <c r="Y1353" s="246" t="str">
        <f t="shared" si="127"/>
        <v/>
      </c>
      <c r="Z1353" s="247" t="str">
        <f t="shared" si="131"/>
        <v/>
      </c>
      <c r="AA1353" s="246" t="str">
        <f t="shared" si="128"/>
        <v/>
      </c>
    </row>
    <row r="1354" spans="1:27" x14ac:dyDescent="0.25">
      <c r="A1354" s="248" t="str">
        <f t="shared" si="129"/>
        <v/>
      </c>
      <c r="B1354" s="249" t="str">
        <f t="shared" si="130"/>
        <v/>
      </c>
      <c r="C1354" s="250"/>
      <c r="D1354" s="251"/>
      <c r="E1354" s="241"/>
      <c r="F1354" s="252"/>
      <c r="G1354" s="252"/>
      <c r="H1354" s="253"/>
      <c r="I1354" s="250"/>
      <c r="J1354" s="250"/>
      <c r="K1354" s="270"/>
      <c r="L1354" s="250"/>
      <c r="M1354" s="250"/>
      <c r="N1354" s="540" t="str">
        <f>CONCATENATE(IF(OR(M1354=phu!$I$1,M1354=phu!$I$2,M1354=phu!$I$3),"Cam Thành Nam",""),IF(OR(M1354=phu!$I$4,M1354=phu!$I$5,M1354=phu!$I$6,M1354=phu!$I$7,M1354=phu!$I$8,M1354=phu!$I$9,M1354=phu!$I$10,M1354=phu!$I$11,M1354=phu!$I$12,M1354=phu!$I$13,M1354=phu!$I$14),"Cam Nghĩa",""),IF(OR(M1354=phu!$I$15,M1354=phu!$I$16,M1354=phu!$I$17,M1354=phu!$I$18,M1354=phu!$I$19,M1354=phu!$I$20,M1354=phu!$I$21),"Cam Phúc Bắc",""),IF(OR(M1354=phu!$I$22,M1354=phu!$I$23,M1354=phu!$I$24,M1354=phu!$I$25),"Cam Phúc Nam",""),IF(OR(M1354=phu!$I$26,M1354=phu!$I$27,M1354=phu!$I$28,M1354=phu!$I$29,M1354=phu!$I$30,M1354=phu!$I$31),"Cam Phú",""),IF(OR(M1354=phu!$I$32,M1354=phu!$I$33,M1354=phu!$I$34,M1354=phu!$I$35,M1354=phu!$I$36,M1354=phu!$I$37),"Cam Lộc",""),IF(OR(M1354=phu!$I$38,M1354=phu!$I$39,M1354=phu!$I$40,M1354=phu!$I$41,M1354=phu!$I$42,M1354=phu!$I$43,M1354=phu!$I$44),"Cam Thuận",""),IF(OR(M1354=phu!$I$45,M1354=phu!$I$46,M1354=phu!$I$47,M1354=phu!$I$48,M1354=phu!$I$49,M1354=phu!$I$50,M1354=phu!$I$51,M1354=phu!$I$52,M1354=phu!$I$53),"Cam Linh",""),IF(OR(M1354=phu!$I$54,M1354=phu!$I$55,M1354=phu!$I$56,M1354=phu!$I$57,M1354=phu!$I$58,M1354=phu!$I$59,M1354=phu!$I$60,M1354=phu!$I$61,M1354=phu!$I$62),"Cam Lợi",""),IF(OR(M1354=phu!$I$63,M1354=phu!$I$64,M1354=phu!$I$65,M1354=phu!$I$66,M1354=phu!$I$67,M1354=phu!$I$68,M1354=phu!$I$69,M1354=phu!$I$70,M1354=phu!$I$71),"Ba Ngòi",""),IF(OR(M1354=phu!$I$72,M1354=phu!$I$73,M1354=phu!$I$74,M1354=phu!$I$75,M1354=phu!$I$76,M1354=phu!$I$77,M1354=phu!$I$78),"Cam Phước Đông",""),IF(OR(M1354=phu!$I$79,M1354=phu!$I$80,M1354=phu!$I$81,M1354=phu!$I$82,M1354=phu!$I$83,M1354=phu!$I$84),"Cam Thịnh Đông",""),IF(OR(M1354=phu!$I$85,M1354=phu!$I$86,M1354=phu!$I$87,M1354=phu!$I$88),"Cam Thịnh Tây",""),IF(OR(M1354=phu!$I$89,M1354=phu!$I$90),"Cam Lập",""),IF(OR(M1354=phu!$I$91,M1354=phu!$I$92,M1354=phu!$I$93),"Cam Bình",""),IF(OR(M1354=phu!$I$94,M1354=phu!$I$95,M1354=phu!$I$96,M1354=phu!$I$97,M1354=phu!$I$98,M1354=phu!$I$99,M1354=phu!$I$100),"Huyện khác",""),IF(OR(M1354=phu!$I$101,M1354=phu!$I$102),"Tỉnh khác",""))</f>
        <v/>
      </c>
      <c r="O1354" s="829" t="str">
        <f t="shared" si="126"/>
        <v/>
      </c>
      <c r="P1354" s="254"/>
      <c r="Q1354" s="254"/>
      <c r="R1354" s="254"/>
      <c r="S1354" s="254"/>
      <c r="T1354" s="254"/>
      <c r="U1354" s="254"/>
      <c r="V1354" s="254"/>
      <c r="W1354" s="254"/>
      <c r="Y1354" s="246" t="str">
        <f t="shared" si="127"/>
        <v/>
      </c>
      <c r="Z1354" s="247" t="str">
        <f t="shared" si="131"/>
        <v/>
      </c>
      <c r="AA1354" s="246" t="str">
        <f t="shared" si="128"/>
        <v/>
      </c>
    </row>
    <row r="1355" spans="1:27" x14ac:dyDescent="0.25">
      <c r="A1355" s="248" t="str">
        <f t="shared" si="129"/>
        <v/>
      </c>
      <c r="B1355" s="249" t="str">
        <f t="shared" si="130"/>
        <v/>
      </c>
      <c r="C1355" s="250"/>
      <c r="D1355" s="251"/>
      <c r="E1355" s="241"/>
      <c r="F1355" s="252"/>
      <c r="G1355" s="252"/>
      <c r="H1355" s="253"/>
      <c r="I1355" s="250"/>
      <c r="J1355" s="250"/>
      <c r="K1355" s="270"/>
      <c r="L1355" s="250"/>
      <c r="M1355" s="250"/>
      <c r="N1355" s="540" t="str">
        <f>CONCATENATE(IF(OR(M1355=phu!$I$1,M1355=phu!$I$2,M1355=phu!$I$3),"Cam Thành Nam",""),IF(OR(M1355=phu!$I$4,M1355=phu!$I$5,M1355=phu!$I$6,M1355=phu!$I$7,M1355=phu!$I$8,M1355=phu!$I$9,M1355=phu!$I$10,M1355=phu!$I$11,M1355=phu!$I$12,M1355=phu!$I$13,M1355=phu!$I$14),"Cam Nghĩa",""),IF(OR(M1355=phu!$I$15,M1355=phu!$I$16,M1355=phu!$I$17,M1355=phu!$I$18,M1355=phu!$I$19,M1355=phu!$I$20,M1355=phu!$I$21),"Cam Phúc Bắc",""),IF(OR(M1355=phu!$I$22,M1355=phu!$I$23,M1355=phu!$I$24,M1355=phu!$I$25),"Cam Phúc Nam",""),IF(OR(M1355=phu!$I$26,M1355=phu!$I$27,M1355=phu!$I$28,M1355=phu!$I$29,M1355=phu!$I$30,M1355=phu!$I$31),"Cam Phú",""),IF(OR(M1355=phu!$I$32,M1355=phu!$I$33,M1355=phu!$I$34,M1355=phu!$I$35,M1355=phu!$I$36,M1355=phu!$I$37),"Cam Lộc",""),IF(OR(M1355=phu!$I$38,M1355=phu!$I$39,M1355=phu!$I$40,M1355=phu!$I$41,M1355=phu!$I$42,M1355=phu!$I$43,M1355=phu!$I$44),"Cam Thuận",""),IF(OR(M1355=phu!$I$45,M1355=phu!$I$46,M1355=phu!$I$47,M1355=phu!$I$48,M1355=phu!$I$49,M1355=phu!$I$50,M1355=phu!$I$51,M1355=phu!$I$52,M1355=phu!$I$53),"Cam Linh",""),IF(OR(M1355=phu!$I$54,M1355=phu!$I$55,M1355=phu!$I$56,M1355=phu!$I$57,M1355=phu!$I$58,M1355=phu!$I$59,M1355=phu!$I$60,M1355=phu!$I$61,M1355=phu!$I$62),"Cam Lợi",""),IF(OR(M1355=phu!$I$63,M1355=phu!$I$64,M1355=phu!$I$65,M1355=phu!$I$66,M1355=phu!$I$67,M1355=phu!$I$68,M1355=phu!$I$69,M1355=phu!$I$70,M1355=phu!$I$71),"Ba Ngòi",""),IF(OR(M1355=phu!$I$72,M1355=phu!$I$73,M1355=phu!$I$74,M1355=phu!$I$75,M1355=phu!$I$76,M1355=phu!$I$77,M1355=phu!$I$78),"Cam Phước Đông",""),IF(OR(M1355=phu!$I$79,M1355=phu!$I$80,M1355=phu!$I$81,M1355=phu!$I$82,M1355=phu!$I$83,M1355=phu!$I$84),"Cam Thịnh Đông",""),IF(OR(M1355=phu!$I$85,M1355=phu!$I$86,M1355=phu!$I$87,M1355=phu!$I$88),"Cam Thịnh Tây",""),IF(OR(M1355=phu!$I$89,M1355=phu!$I$90),"Cam Lập",""),IF(OR(M1355=phu!$I$91,M1355=phu!$I$92,M1355=phu!$I$93),"Cam Bình",""),IF(OR(M1355=phu!$I$94,M1355=phu!$I$95,M1355=phu!$I$96,M1355=phu!$I$97,M1355=phu!$I$98,M1355=phu!$I$99,M1355=phu!$I$100),"Huyện khác",""),IF(OR(M1355=phu!$I$101,M1355=phu!$I$102),"Tỉnh khác",""))</f>
        <v/>
      </c>
      <c r="O1355" s="829" t="str">
        <f t="shared" si="126"/>
        <v/>
      </c>
      <c r="P1355" s="254"/>
      <c r="Q1355" s="254"/>
      <c r="R1355" s="254"/>
      <c r="S1355" s="254"/>
      <c r="T1355" s="254"/>
      <c r="U1355" s="254"/>
      <c r="V1355" s="254"/>
      <c r="W1355" s="254"/>
      <c r="Y1355" s="246" t="str">
        <f t="shared" si="127"/>
        <v/>
      </c>
      <c r="Z1355" s="247" t="str">
        <f t="shared" si="131"/>
        <v/>
      </c>
      <c r="AA1355" s="246" t="str">
        <f t="shared" si="128"/>
        <v/>
      </c>
    </row>
    <row r="1356" spans="1:27" x14ac:dyDescent="0.25">
      <c r="A1356" s="248" t="str">
        <f t="shared" si="129"/>
        <v/>
      </c>
      <c r="B1356" s="249" t="str">
        <f t="shared" si="130"/>
        <v/>
      </c>
      <c r="C1356" s="250"/>
      <c r="D1356" s="251"/>
      <c r="E1356" s="241"/>
      <c r="F1356" s="252"/>
      <c r="G1356" s="252"/>
      <c r="H1356" s="253"/>
      <c r="I1356" s="250"/>
      <c r="J1356" s="250"/>
      <c r="K1356" s="270"/>
      <c r="L1356" s="250"/>
      <c r="M1356" s="250"/>
      <c r="N1356" s="540" t="str">
        <f>CONCATENATE(IF(OR(M1356=phu!$I$1,M1356=phu!$I$2,M1356=phu!$I$3),"Cam Thành Nam",""),IF(OR(M1356=phu!$I$4,M1356=phu!$I$5,M1356=phu!$I$6,M1356=phu!$I$7,M1356=phu!$I$8,M1356=phu!$I$9,M1356=phu!$I$10,M1356=phu!$I$11,M1356=phu!$I$12,M1356=phu!$I$13,M1356=phu!$I$14),"Cam Nghĩa",""),IF(OR(M1356=phu!$I$15,M1356=phu!$I$16,M1356=phu!$I$17,M1356=phu!$I$18,M1356=phu!$I$19,M1356=phu!$I$20,M1356=phu!$I$21),"Cam Phúc Bắc",""),IF(OR(M1356=phu!$I$22,M1356=phu!$I$23,M1356=phu!$I$24,M1356=phu!$I$25),"Cam Phúc Nam",""),IF(OR(M1356=phu!$I$26,M1356=phu!$I$27,M1356=phu!$I$28,M1356=phu!$I$29,M1356=phu!$I$30,M1356=phu!$I$31),"Cam Phú",""),IF(OR(M1356=phu!$I$32,M1356=phu!$I$33,M1356=phu!$I$34,M1356=phu!$I$35,M1356=phu!$I$36,M1356=phu!$I$37),"Cam Lộc",""),IF(OR(M1356=phu!$I$38,M1356=phu!$I$39,M1356=phu!$I$40,M1356=phu!$I$41,M1356=phu!$I$42,M1356=phu!$I$43,M1356=phu!$I$44),"Cam Thuận",""),IF(OR(M1356=phu!$I$45,M1356=phu!$I$46,M1356=phu!$I$47,M1356=phu!$I$48,M1356=phu!$I$49,M1356=phu!$I$50,M1356=phu!$I$51,M1356=phu!$I$52,M1356=phu!$I$53),"Cam Linh",""),IF(OR(M1356=phu!$I$54,M1356=phu!$I$55,M1356=phu!$I$56,M1356=phu!$I$57,M1356=phu!$I$58,M1356=phu!$I$59,M1356=phu!$I$60,M1356=phu!$I$61,M1356=phu!$I$62),"Cam Lợi",""),IF(OR(M1356=phu!$I$63,M1356=phu!$I$64,M1356=phu!$I$65,M1356=phu!$I$66,M1356=phu!$I$67,M1356=phu!$I$68,M1356=phu!$I$69,M1356=phu!$I$70,M1356=phu!$I$71),"Ba Ngòi",""),IF(OR(M1356=phu!$I$72,M1356=phu!$I$73,M1356=phu!$I$74,M1356=phu!$I$75,M1356=phu!$I$76,M1356=phu!$I$77,M1356=phu!$I$78),"Cam Phước Đông",""),IF(OR(M1356=phu!$I$79,M1356=phu!$I$80,M1356=phu!$I$81,M1356=phu!$I$82,M1356=phu!$I$83,M1356=phu!$I$84),"Cam Thịnh Đông",""),IF(OR(M1356=phu!$I$85,M1356=phu!$I$86,M1356=phu!$I$87,M1356=phu!$I$88),"Cam Thịnh Tây",""),IF(OR(M1356=phu!$I$89,M1356=phu!$I$90),"Cam Lập",""),IF(OR(M1356=phu!$I$91,M1356=phu!$I$92,M1356=phu!$I$93),"Cam Bình",""),IF(OR(M1356=phu!$I$94,M1356=phu!$I$95,M1356=phu!$I$96,M1356=phu!$I$97,M1356=phu!$I$98,M1356=phu!$I$99,M1356=phu!$I$100),"Huyện khác",""),IF(OR(M1356=phu!$I$101,M1356=phu!$I$102),"Tỉnh khác",""))</f>
        <v/>
      </c>
      <c r="O1356" s="829" t="str">
        <f t="shared" si="126"/>
        <v/>
      </c>
      <c r="P1356" s="254"/>
      <c r="Q1356" s="254"/>
      <c r="R1356" s="254"/>
      <c r="S1356" s="254"/>
      <c r="T1356" s="254"/>
      <c r="U1356" s="254"/>
      <c r="V1356" s="254"/>
      <c r="W1356" s="254"/>
      <c r="Y1356" s="246" t="str">
        <f t="shared" si="127"/>
        <v/>
      </c>
      <c r="Z1356" s="247" t="str">
        <f t="shared" si="131"/>
        <v/>
      </c>
      <c r="AA1356" s="246" t="str">
        <f t="shared" si="128"/>
        <v/>
      </c>
    </row>
    <row r="1357" spans="1:27" x14ac:dyDescent="0.25">
      <c r="A1357" s="248" t="str">
        <f t="shared" si="129"/>
        <v/>
      </c>
      <c r="B1357" s="249" t="str">
        <f t="shared" si="130"/>
        <v/>
      </c>
      <c r="C1357" s="250"/>
      <c r="D1357" s="251"/>
      <c r="E1357" s="241"/>
      <c r="F1357" s="252"/>
      <c r="G1357" s="252"/>
      <c r="H1357" s="253"/>
      <c r="I1357" s="250"/>
      <c r="J1357" s="250"/>
      <c r="K1357" s="270"/>
      <c r="L1357" s="250"/>
      <c r="M1357" s="250"/>
      <c r="N1357" s="540" t="str">
        <f>CONCATENATE(IF(OR(M1357=phu!$I$1,M1357=phu!$I$2,M1357=phu!$I$3),"Cam Thành Nam",""),IF(OR(M1357=phu!$I$4,M1357=phu!$I$5,M1357=phu!$I$6,M1357=phu!$I$7,M1357=phu!$I$8,M1357=phu!$I$9,M1357=phu!$I$10,M1357=phu!$I$11,M1357=phu!$I$12,M1357=phu!$I$13,M1357=phu!$I$14),"Cam Nghĩa",""),IF(OR(M1357=phu!$I$15,M1357=phu!$I$16,M1357=phu!$I$17,M1357=phu!$I$18,M1357=phu!$I$19,M1357=phu!$I$20,M1357=phu!$I$21),"Cam Phúc Bắc",""),IF(OR(M1357=phu!$I$22,M1357=phu!$I$23,M1357=phu!$I$24,M1357=phu!$I$25),"Cam Phúc Nam",""),IF(OR(M1357=phu!$I$26,M1357=phu!$I$27,M1357=phu!$I$28,M1357=phu!$I$29,M1357=phu!$I$30,M1357=phu!$I$31),"Cam Phú",""),IF(OR(M1357=phu!$I$32,M1357=phu!$I$33,M1357=phu!$I$34,M1357=phu!$I$35,M1357=phu!$I$36,M1357=phu!$I$37),"Cam Lộc",""),IF(OR(M1357=phu!$I$38,M1357=phu!$I$39,M1357=phu!$I$40,M1357=phu!$I$41,M1357=phu!$I$42,M1357=phu!$I$43,M1357=phu!$I$44),"Cam Thuận",""),IF(OR(M1357=phu!$I$45,M1357=phu!$I$46,M1357=phu!$I$47,M1357=phu!$I$48,M1357=phu!$I$49,M1357=phu!$I$50,M1357=phu!$I$51,M1357=phu!$I$52,M1357=phu!$I$53),"Cam Linh",""),IF(OR(M1357=phu!$I$54,M1357=phu!$I$55,M1357=phu!$I$56,M1357=phu!$I$57,M1357=phu!$I$58,M1357=phu!$I$59,M1357=phu!$I$60,M1357=phu!$I$61,M1357=phu!$I$62),"Cam Lợi",""),IF(OR(M1357=phu!$I$63,M1357=phu!$I$64,M1357=phu!$I$65,M1357=phu!$I$66,M1357=phu!$I$67,M1357=phu!$I$68,M1357=phu!$I$69,M1357=phu!$I$70,M1357=phu!$I$71),"Ba Ngòi",""),IF(OR(M1357=phu!$I$72,M1357=phu!$I$73,M1357=phu!$I$74,M1357=phu!$I$75,M1357=phu!$I$76,M1357=phu!$I$77,M1357=phu!$I$78),"Cam Phước Đông",""),IF(OR(M1357=phu!$I$79,M1357=phu!$I$80,M1357=phu!$I$81,M1357=phu!$I$82,M1357=phu!$I$83,M1357=phu!$I$84),"Cam Thịnh Đông",""),IF(OR(M1357=phu!$I$85,M1357=phu!$I$86,M1357=phu!$I$87,M1357=phu!$I$88),"Cam Thịnh Tây",""),IF(OR(M1357=phu!$I$89,M1357=phu!$I$90),"Cam Lập",""),IF(OR(M1357=phu!$I$91,M1357=phu!$I$92,M1357=phu!$I$93),"Cam Bình",""),IF(OR(M1357=phu!$I$94,M1357=phu!$I$95,M1357=phu!$I$96,M1357=phu!$I$97,M1357=phu!$I$98,M1357=phu!$I$99,M1357=phu!$I$100),"Huyện khác",""),IF(OR(M1357=phu!$I$101,M1357=phu!$I$102),"Tỉnh khác",""))</f>
        <v/>
      </c>
      <c r="O1357" s="829" t="str">
        <f t="shared" si="126"/>
        <v/>
      </c>
      <c r="P1357" s="254"/>
      <c r="Q1357" s="254"/>
      <c r="R1357" s="254"/>
      <c r="S1357" s="254"/>
      <c r="T1357" s="254"/>
      <c r="U1357" s="254"/>
      <c r="V1357" s="254"/>
      <c r="W1357" s="254"/>
      <c r="Y1357" s="246" t="str">
        <f t="shared" si="127"/>
        <v/>
      </c>
      <c r="Z1357" s="247" t="str">
        <f t="shared" si="131"/>
        <v/>
      </c>
      <c r="AA1357" s="246" t="str">
        <f t="shared" si="128"/>
        <v/>
      </c>
    </row>
    <row r="1358" spans="1:27" x14ac:dyDescent="0.25">
      <c r="A1358" s="248" t="str">
        <f t="shared" si="129"/>
        <v/>
      </c>
      <c r="B1358" s="249" t="str">
        <f t="shared" si="130"/>
        <v/>
      </c>
      <c r="C1358" s="250"/>
      <c r="D1358" s="251"/>
      <c r="E1358" s="241"/>
      <c r="F1358" s="252"/>
      <c r="G1358" s="252"/>
      <c r="H1358" s="253"/>
      <c r="I1358" s="250"/>
      <c r="J1358" s="250"/>
      <c r="K1358" s="270"/>
      <c r="L1358" s="250"/>
      <c r="M1358" s="250"/>
      <c r="N1358" s="540" t="str">
        <f>CONCATENATE(IF(OR(M1358=phu!$I$1,M1358=phu!$I$2,M1358=phu!$I$3),"Cam Thành Nam",""),IF(OR(M1358=phu!$I$4,M1358=phu!$I$5,M1358=phu!$I$6,M1358=phu!$I$7,M1358=phu!$I$8,M1358=phu!$I$9,M1358=phu!$I$10,M1358=phu!$I$11,M1358=phu!$I$12,M1358=phu!$I$13,M1358=phu!$I$14),"Cam Nghĩa",""),IF(OR(M1358=phu!$I$15,M1358=phu!$I$16,M1358=phu!$I$17,M1358=phu!$I$18,M1358=phu!$I$19,M1358=phu!$I$20,M1358=phu!$I$21),"Cam Phúc Bắc",""),IF(OR(M1358=phu!$I$22,M1358=phu!$I$23,M1358=phu!$I$24,M1358=phu!$I$25),"Cam Phúc Nam",""),IF(OR(M1358=phu!$I$26,M1358=phu!$I$27,M1358=phu!$I$28,M1358=phu!$I$29,M1358=phu!$I$30,M1358=phu!$I$31),"Cam Phú",""),IF(OR(M1358=phu!$I$32,M1358=phu!$I$33,M1358=phu!$I$34,M1358=phu!$I$35,M1358=phu!$I$36,M1358=phu!$I$37),"Cam Lộc",""),IF(OR(M1358=phu!$I$38,M1358=phu!$I$39,M1358=phu!$I$40,M1358=phu!$I$41,M1358=phu!$I$42,M1358=phu!$I$43,M1358=phu!$I$44),"Cam Thuận",""),IF(OR(M1358=phu!$I$45,M1358=phu!$I$46,M1358=phu!$I$47,M1358=phu!$I$48,M1358=phu!$I$49,M1358=phu!$I$50,M1358=phu!$I$51,M1358=phu!$I$52,M1358=phu!$I$53),"Cam Linh",""),IF(OR(M1358=phu!$I$54,M1358=phu!$I$55,M1358=phu!$I$56,M1358=phu!$I$57,M1358=phu!$I$58,M1358=phu!$I$59,M1358=phu!$I$60,M1358=phu!$I$61,M1358=phu!$I$62),"Cam Lợi",""),IF(OR(M1358=phu!$I$63,M1358=phu!$I$64,M1358=phu!$I$65,M1358=phu!$I$66,M1358=phu!$I$67,M1358=phu!$I$68,M1358=phu!$I$69,M1358=phu!$I$70,M1358=phu!$I$71),"Ba Ngòi",""),IF(OR(M1358=phu!$I$72,M1358=phu!$I$73,M1358=phu!$I$74,M1358=phu!$I$75,M1358=phu!$I$76,M1358=phu!$I$77,M1358=phu!$I$78),"Cam Phước Đông",""),IF(OR(M1358=phu!$I$79,M1358=phu!$I$80,M1358=phu!$I$81,M1358=phu!$I$82,M1358=phu!$I$83,M1358=phu!$I$84),"Cam Thịnh Đông",""),IF(OR(M1358=phu!$I$85,M1358=phu!$I$86,M1358=phu!$I$87,M1358=phu!$I$88),"Cam Thịnh Tây",""),IF(OR(M1358=phu!$I$89,M1358=phu!$I$90),"Cam Lập",""),IF(OR(M1358=phu!$I$91,M1358=phu!$I$92,M1358=phu!$I$93),"Cam Bình",""),IF(OR(M1358=phu!$I$94,M1358=phu!$I$95,M1358=phu!$I$96,M1358=phu!$I$97,M1358=phu!$I$98,M1358=phu!$I$99,M1358=phu!$I$100),"Huyện khác",""),IF(OR(M1358=phu!$I$101,M1358=phu!$I$102),"Tỉnh khác",""))</f>
        <v/>
      </c>
      <c r="O1358" s="829" t="str">
        <f t="shared" si="126"/>
        <v/>
      </c>
      <c r="P1358" s="254"/>
      <c r="Q1358" s="254"/>
      <c r="R1358" s="254"/>
      <c r="S1358" s="254"/>
      <c r="T1358" s="254"/>
      <c r="U1358" s="254"/>
      <c r="V1358" s="254"/>
      <c r="W1358" s="254"/>
      <c r="Y1358" s="246" t="str">
        <f t="shared" si="127"/>
        <v/>
      </c>
      <c r="Z1358" s="247" t="str">
        <f t="shared" si="131"/>
        <v/>
      </c>
      <c r="AA1358" s="246" t="str">
        <f t="shared" si="128"/>
        <v/>
      </c>
    </row>
    <row r="1359" spans="1:27" x14ac:dyDescent="0.25">
      <c r="A1359" s="248" t="str">
        <f t="shared" si="129"/>
        <v/>
      </c>
      <c r="B1359" s="249" t="str">
        <f t="shared" si="130"/>
        <v/>
      </c>
      <c r="C1359" s="250"/>
      <c r="D1359" s="251"/>
      <c r="E1359" s="241"/>
      <c r="F1359" s="252"/>
      <c r="G1359" s="252"/>
      <c r="H1359" s="253"/>
      <c r="I1359" s="250"/>
      <c r="J1359" s="250"/>
      <c r="K1359" s="270"/>
      <c r="L1359" s="250"/>
      <c r="M1359" s="250"/>
      <c r="N1359" s="540" t="str">
        <f>CONCATENATE(IF(OR(M1359=phu!$I$1,M1359=phu!$I$2,M1359=phu!$I$3),"Cam Thành Nam",""),IF(OR(M1359=phu!$I$4,M1359=phu!$I$5,M1359=phu!$I$6,M1359=phu!$I$7,M1359=phu!$I$8,M1359=phu!$I$9,M1359=phu!$I$10,M1359=phu!$I$11,M1359=phu!$I$12,M1359=phu!$I$13,M1359=phu!$I$14),"Cam Nghĩa",""),IF(OR(M1359=phu!$I$15,M1359=phu!$I$16,M1359=phu!$I$17,M1359=phu!$I$18,M1359=phu!$I$19,M1359=phu!$I$20,M1359=phu!$I$21),"Cam Phúc Bắc",""),IF(OR(M1359=phu!$I$22,M1359=phu!$I$23,M1359=phu!$I$24,M1359=phu!$I$25),"Cam Phúc Nam",""),IF(OR(M1359=phu!$I$26,M1359=phu!$I$27,M1359=phu!$I$28,M1359=phu!$I$29,M1359=phu!$I$30,M1359=phu!$I$31),"Cam Phú",""),IF(OR(M1359=phu!$I$32,M1359=phu!$I$33,M1359=phu!$I$34,M1359=phu!$I$35,M1359=phu!$I$36,M1359=phu!$I$37),"Cam Lộc",""),IF(OR(M1359=phu!$I$38,M1359=phu!$I$39,M1359=phu!$I$40,M1359=phu!$I$41,M1359=phu!$I$42,M1359=phu!$I$43,M1359=phu!$I$44),"Cam Thuận",""),IF(OR(M1359=phu!$I$45,M1359=phu!$I$46,M1359=phu!$I$47,M1359=phu!$I$48,M1359=phu!$I$49,M1359=phu!$I$50,M1359=phu!$I$51,M1359=phu!$I$52,M1359=phu!$I$53),"Cam Linh",""),IF(OR(M1359=phu!$I$54,M1359=phu!$I$55,M1359=phu!$I$56,M1359=phu!$I$57,M1359=phu!$I$58,M1359=phu!$I$59,M1359=phu!$I$60,M1359=phu!$I$61,M1359=phu!$I$62),"Cam Lợi",""),IF(OR(M1359=phu!$I$63,M1359=phu!$I$64,M1359=phu!$I$65,M1359=phu!$I$66,M1359=phu!$I$67,M1359=phu!$I$68,M1359=phu!$I$69,M1359=phu!$I$70,M1359=phu!$I$71),"Ba Ngòi",""),IF(OR(M1359=phu!$I$72,M1359=phu!$I$73,M1359=phu!$I$74,M1359=phu!$I$75,M1359=phu!$I$76,M1359=phu!$I$77,M1359=phu!$I$78),"Cam Phước Đông",""),IF(OR(M1359=phu!$I$79,M1359=phu!$I$80,M1359=phu!$I$81,M1359=phu!$I$82,M1359=phu!$I$83,M1359=phu!$I$84),"Cam Thịnh Đông",""),IF(OR(M1359=phu!$I$85,M1359=phu!$I$86,M1359=phu!$I$87,M1359=phu!$I$88),"Cam Thịnh Tây",""),IF(OR(M1359=phu!$I$89,M1359=phu!$I$90),"Cam Lập",""),IF(OR(M1359=phu!$I$91,M1359=phu!$I$92,M1359=phu!$I$93),"Cam Bình",""),IF(OR(M1359=phu!$I$94,M1359=phu!$I$95,M1359=phu!$I$96,M1359=phu!$I$97,M1359=phu!$I$98,M1359=phu!$I$99,M1359=phu!$I$100),"Huyện khác",""),IF(OR(M1359=phu!$I$101,M1359=phu!$I$102),"Tỉnh khác",""))</f>
        <v/>
      </c>
      <c r="O1359" s="829" t="str">
        <f t="shared" si="126"/>
        <v/>
      </c>
      <c r="P1359" s="254"/>
      <c r="Q1359" s="254"/>
      <c r="R1359" s="254"/>
      <c r="S1359" s="254"/>
      <c r="T1359" s="254"/>
      <c r="U1359" s="254"/>
      <c r="V1359" s="254"/>
      <c r="W1359" s="254"/>
      <c r="Y1359" s="246" t="str">
        <f t="shared" si="127"/>
        <v/>
      </c>
      <c r="Z1359" s="247" t="str">
        <f t="shared" si="131"/>
        <v/>
      </c>
      <c r="AA1359" s="246" t="str">
        <f t="shared" si="128"/>
        <v/>
      </c>
    </row>
    <row r="1360" spans="1:27" x14ac:dyDescent="0.25">
      <c r="A1360" s="248" t="str">
        <f t="shared" si="129"/>
        <v/>
      </c>
      <c r="B1360" s="249" t="str">
        <f t="shared" si="130"/>
        <v/>
      </c>
      <c r="C1360" s="250"/>
      <c r="D1360" s="251"/>
      <c r="E1360" s="241"/>
      <c r="F1360" s="252"/>
      <c r="G1360" s="252"/>
      <c r="H1360" s="253"/>
      <c r="I1360" s="250"/>
      <c r="J1360" s="250"/>
      <c r="K1360" s="270"/>
      <c r="L1360" s="250"/>
      <c r="M1360" s="250"/>
      <c r="N1360" s="540" t="str">
        <f>CONCATENATE(IF(OR(M1360=phu!$I$1,M1360=phu!$I$2,M1360=phu!$I$3),"Cam Thành Nam",""),IF(OR(M1360=phu!$I$4,M1360=phu!$I$5,M1360=phu!$I$6,M1360=phu!$I$7,M1360=phu!$I$8,M1360=phu!$I$9,M1360=phu!$I$10,M1360=phu!$I$11,M1360=phu!$I$12,M1360=phu!$I$13,M1360=phu!$I$14),"Cam Nghĩa",""),IF(OR(M1360=phu!$I$15,M1360=phu!$I$16,M1360=phu!$I$17,M1360=phu!$I$18,M1360=phu!$I$19,M1360=phu!$I$20,M1360=phu!$I$21),"Cam Phúc Bắc",""),IF(OR(M1360=phu!$I$22,M1360=phu!$I$23,M1360=phu!$I$24,M1360=phu!$I$25),"Cam Phúc Nam",""),IF(OR(M1360=phu!$I$26,M1360=phu!$I$27,M1360=phu!$I$28,M1360=phu!$I$29,M1360=phu!$I$30,M1360=phu!$I$31),"Cam Phú",""),IF(OR(M1360=phu!$I$32,M1360=phu!$I$33,M1360=phu!$I$34,M1360=phu!$I$35,M1360=phu!$I$36,M1360=phu!$I$37),"Cam Lộc",""),IF(OR(M1360=phu!$I$38,M1360=phu!$I$39,M1360=phu!$I$40,M1360=phu!$I$41,M1360=phu!$I$42,M1360=phu!$I$43,M1360=phu!$I$44),"Cam Thuận",""),IF(OR(M1360=phu!$I$45,M1360=phu!$I$46,M1360=phu!$I$47,M1360=phu!$I$48,M1360=phu!$I$49,M1360=phu!$I$50,M1360=phu!$I$51,M1360=phu!$I$52,M1360=phu!$I$53),"Cam Linh",""),IF(OR(M1360=phu!$I$54,M1360=phu!$I$55,M1360=phu!$I$56,M1360=phu!$I$57,M1360=phu!$I$58,M1360=phu!$I$59,M1360=phu!$I$60,M1360=phu!$I$61,M1360=phu!$I$62),"Cam Lợi",""),IF(OR(M1360=phu!$I$63,M1360=phu!$I$64,M1360=phu!$I$65,M1360=phu!$I$66,M1360=phu!$I$67,M1360=phu!$I$68,M1360=phu!$I$69,M1360=phu!$I$70,M1360=phu!$I$71),"Ba Ngòi",""),IF(OR(M1360=phu!$I$72,M1360=phu!$I$73,M1360=phu!$I$74,M1360=phu!$I$75,M1360=phu!$I$76,M1360=phu!$I$77,M1360=phu!$I$78),"Cam Phước Đông",""),IF(OR(M1360=phu!$I$79,M1360=phu!$I$80,M1360=phu!$I$81,M1360=phu!$I$82,M1360=phu!$I$83,M1360=phu!$I$84),"Cam Thịnh Đông",""),IF(OR(M1360=phu!$I$85,M1360=phu!$I$86,M1360=phu!$I$87,M1360=phu!$I$88),"Cam Thịnh Tây",""),IF(OR(M1360=phu!$I$89,M1360=phu!$I$90),"Cam Lập",""),IF(OR(M1360=phu!$I$91,M1360=phu!$I$92,M1360=phu!$I$93),"Cam Bình",""),IF(OR(M1360=phu!$I$94,M1360=phu!$I$95,M1360=phu!$I$96,M1360=phu!$I$97,M1360=phu!$I$98,M1360=phu!$I$99,M1360=phu!$I$100),"Huyện khác",""),IF(OR(M1360=phu!$I$101,M1360=phu!$I$102),"Tỉnh khác",""))</f>
        <v/>
      </c>
      <c r="O1360" s="829" t="str">
        <f t="shared" si="126"/>
        <v/>
      </c>
      <c r="P1360" s="254"/>
      <c r="Q1360" s="254"/>
      <c r="R1360" s="254"/>
      <c r="S1360" s="254"/>
      <c r="T1360" s="254"/>
      <c r="U1360" s="254"/>
      <c r="V1360" s="254"/>
      <c r="W1360" s="254"/>
      <c r="Y1360" s="246" t="str">
        <f t="shared" si="127"/>
        <v/>
      </c>
      <c r="Z1360" s="247" t="str">
        <f t="shared" si="131"/>
        <v/>
      </c>
      <c r="AA1360" s="246" t="str">
        <f t="shared" si="128"/>
        <v/>
      </c>
    </row>
    <row r="1361" spans="1:27" x14ac:dyDescent="0.25">
      <c r="A1361" s="248" t="str">
        <f t="shared" si="129"/>
        <v/>
      </c>
      <c r="B1361" s="249" t="str">
        <f t="shared" si="130"/>
        <v/>
      </c>
      <c r="C1361" s="250"/>
      <c r="D1361" s="251"/>
      <c r="E1361" s="241"/>
      <c r="F1361" s="252"/>
      <c r="G1361" s="252"/>
      <c r="H1361" s="253"/>
      <c r="I1361" s="250"/>
      <c r="J1361" s="250"/>
      <c r="K1361" s="270"/>
      <c r="L1361" s="250"/>
      <c r="M1361" s="250"/>
      <c r="N1361" s="540" t="str">
        <f>CONCATENATE(IF(OR(M1361=phu!$I$1,M1361=phu!$I$2,M1361=phu!$I$3),"Cam Thành Nam",""),IF(OR(M1361=phu!$I$4,M1361=phu!$I$5,M1361=phu!$I$6,M1361=phu!$I$7,M1361=phu!$I$8,M1361=phu!$I$9,M1361=phu!$I$10,M1361=phu!$I$11,M1361=phu!$I$12,M1361=phu!$I$13,M1361=phu!$I$14),"Cam Nghĩa",""),IF(OR(M1361=phu!$I$15,M1361=phu!$I$16,M1361=phu!$I$17,M1361=phu!$I$18,M1361=phu!$I$19,M1361=phu!$I$20,M1361=phu!$I$21),"Cam Phúc Bắc",""),IF(OR(M1361=phu!$I$22,M1361=phu!$I$23,M1361=phu!$I$24,M1361=phu!$I$25),"Cam Phúc Nam",""),IF(OR(M1361=phu!$I$26,M1361=phu!$I$27,M1361=phu!$I$28,M1361=phu!$I$29,M1361=phu!$I$30,M1361=phu!$I$31),"Cam Phú",""),IF(OR(M1361=phu!$I$32,M1361=phu!$I$33,M1361=phu!$I$34,M1361=phu!$I$35,M1361=phu!$I$36,M1361=phu!$I$37),"Cam Lộc",""),IF(OR(M1361=phu!$I$38,M1361=phu!$I$39,M1361=phu!$I$40,M1361=phu!$I$41,M1361=phu!$I$42,M1361=phu!$I$43,M1361=phu!$I$44),"Cam Thuận",""),IF(OR(M1361=phu!$I$45,M1361=phu!$I$46,M1361=phu!$I$47,M1361=phu!$I$48,M1361=phu!$I$49,M1361=phu!$I$50,M1361=phu!$I$51,M1361=phu!$I$52,M1361=phu!$I$53),"Cam Linh",""),IF(OR(M1361=phu!$I$54,M1361=phu!$I$55,M1361=phu!$I$56,M1361=phu!$I$57,M1361=phu!$I$58,M1361=phu!$I$59,M1361=phu!$I$60,M1361=phu!$I$61,M1361=phu!$I$62),"Cam Lợi",""),IF(OR(M1361=phu!$I$63,M1361=phu!$I$64,M1361=phu!$I$65,M1361=phu!$I$66,M1361=phu!$I$67,M1361=phu!$I$68,M1361=phu!$I$69,M1361=phu!$I$70,M1361=phu!$I$71),"Ba Ngòi",""),IF(OR(M1361=phu!$I$72,M1361=phu!$I$73,M1361=phu!$I$74,M1361=phu!$I$75,M1361=phu!$I$76,M1361=phu!$I$77,M1361=phu!$I$78),"Cam Phước Đông",""),IF(OR(M1361=phu!$I$79,M1361=phu!$I$80,M1361=phu!$I$81,M1361=phu!$I$82,M1361=phu!$I$83,M1361=phu!$I$84),"Cam Thịnh Đông",""),IF(OR(M1361=phu!$I$85,M1361=phu!$I$86,M1361=phu!$I$87,M1361=phu!$I$88),"Cam Thịnh Tây",""),IF(OR(M1361=phu!$I$89,M1361=phu!$I$90),"Cam Lập",""),IF(OR(M1361=phu!$I$91,M1361=phu!$I$92,M1361=phu!$I$93),"Cam Bình",""),IF(OR(M1361=phu!$I$94,M1361=phu!$I$95,M1361=phu!$I$96,M1361=phu!$I$97,M1361=phu!$I$98,M1361=phu!$I$99,M1361=phu!$I$100),"Huyện khác",""),IF(OR(M1361=phu!$I$101,M1361=phu!$I$102),"Tỉnh khác",""))</f>
        <v/>
      </c>
      <c r="O1361" s="829" t="str">
        <f t="shared" si="126"/>
        <v/>
      </c>
      <c r="P1361" s="254"/>
      <c r="Q1361" s="254"/>
      <c r="R1361" s="254"/>
      <c r="S1361" s="254"/>
      <c r="T1361" s="254"/>
      <c r="U1361" s="254"/>
      <c r="V1361" s="254"/>
      <c r="W1361" s="254"/>
      <c r="Y1361" s="246" t="str">
        <f t="shared" si="127"/>
        <v/>
      </c>
      <c r="Z1361" s="247" t="str">
        <f t="shared" si="131"/>
        <v/>
      </c>
      <c r="AA1361" s="246" t="str">
        <f t="shared" si="128"/>
        <v/>
      </c>
    </row>
    <row r="1362" spans="1:27" x14ac:dyDescent="0.25">
      <c r="A1362" s="248" t="str">
        <f t="shared" si="129"/>
        <v/>
      </c>
      <c r="B1362" s="249" t="str">
        <f t="shared" si="130"/>
        <v/>
      </c>
      <c r="C1362" s="250"/>
      <c r="D1362" s="251"/>
      <c r="E1362" s="241"/>
      <c r="F1362" s="252"/>
      <c r="G1362" s="252"/>
      <c r="H1362" s="253"/>
      <c r="I1362" s="250"/>
      <c r="J1362" s="250"/>
      <c r="K1362" s="270"/>
      <c r="L1362" s="250"/>
      <c r="M1362" s="250"/>
      <c r="N1362" s="540" t="str">
        <f>CONCATENATE(IF(OR(M1362=phu!$I$1,M1362=phu!$I$2,M1362=phu!$I$3),"Cam Thành Nam",""),IF(OR(M1362=phu!$I$4,M1362=phu!$I$5,M1362=phu!$I$6,M1362=phu!$I$7,M1362=phu!$I$8,M1362=phu!$I$9,M1362=phu!$I$10,M1362=phu!$I$11,M1362=phu!$I$12,M1362=phu!$I$13,M1362=phu!$I$14),"Cam Nghĩa",""),IF(OR(M1362=phu!$I$15,M1362=phu!$I$16,M1362=phu!$I$17,M1362=phu!$I$18,M1362=phu!$I$19,M1362=phu!$I$20,M1362=phu!$I$21),"Cam Phúc Bắc",""),IF(OR(M1362=phu!$I$22,M1362=phu!$I$23,M1362=phu!$I$24,M1362=phu!$I$25),"Cam Phúc Nam",""),IF(OR(M1362=phu!$I$26,M1362=phu!$I$27,M1362=phu!$I$28,M1362=phu!$I$29,M1362=phu!$I$30,M1362=phu!$I$31),"Cam Phú",""),IF(OR(M1362=phu!$I$32,M1362=phu!$I$33,M1362=phu!$I$34,M1362=phu!$I$35,M1362=phu!$I$36,M1362=phu!$I$37),"Cam Lộc",""),IF(OR(M1362=phu!$I$38,M1362=phu!$I$39,M1362=phu!$I$40,M1362=phu!$I$41,M1362=phu!$I$42,M1362=phu!$I$43,M1362=phu!$I$44),"Cam Thuận",""),IF(OR(M1362=phu!$I$45,M1362=phu!$I$46,M1362=phu!$I$47,M1362=phu!$I$48,M1362=phu!$I$49,M1362=phu!$I$50,M1362=phu!$I$51,M1362=phu!$I$52,M1362=phu!$I$53),"Cam Linh",""),IF(OR(M1362=phu!$I$54,M1362=phu!$I$55,M1362=phu!$I$56,M1362=phu!$I$57,M1362=phu!$I$58,M1362=phu!$I$59,M1362=phu!$I$60,M1362=phu!$I$61,M1362=phu!$I$62),"Cam Lợi",""),IF(OR(M1362=phu!$I$63,M1362=phu!$I$64,M1362=phu!$I$65,M1362=phu!$I$66,M1362=phu!$I$67,M1362=phu!$I$68,M1362=phu!$I$69,M1362=phu!$I$70,M1362=phu!$I$71),"Ba Ngòi",""),IF(OR(M1362=phu!$I$72,M1362=phu!$I$73,M1362=phu!$I$74,M1362=phu!$I$75,M1362=phu!$I$76,M1362=phu!$I$77,M1362=phu!$I$78),"Cam Phước Đông",""),IF(OR(M1362=phu!$I$79,M1362=phu!$I$80,M1362=phu!$I$81,M1362=phu!$I$82,M1362=phu!$I$83,M1362=phu!$I$84),"Cam Thịnh Đông",""),IF(OR(M1362=phu!$I$85,M1362=phu!$I$86,M1362=phu!$I$87,M1362=phu!$I$88),"Cam Thịnh Tây",""),IF(OR(M1362=phu!$I$89,M1362=phu!$I$90),"Cam Lập",""),IF(OR(M1362=phu!$I$91,M1362=phu!$I$92,M1362=phu!$I$93),"Cam Bình",""),IF(OR(M1362=phu!$I$94,M1362=phu!$I$95,M1362=phu!$I$96,M1362=phu!$I$97,M1362=phu!$I$98,M1362=phu!$I$99,M1362=phu!$I$100),"Huyện khác",""),IF(OR(M1362=phu!$I$101,M1362=phu!$I$102),"Tỉnh khác",""))</f>
        <v/>
      </c>
      <c r="O1362" s="829" t="str">
        <f t="shared" si="126"/>
        <v/>
      </c>
      <c r="P1362" s="254"/>
      <c r="Q1362" s="254"/>
      <c r="R1362" s="254"/>
      <c r="S1362" s="254"/>
      <c r="T1362" s="254"/>
      <c r="U1362" s="254"/>
      <c r="V1362" s="254"/>
      <c r="W1362" s="254"/>
      <c r="Y1362" s="246" t="str">
        <f t="shared" si="127"/>
        <v/>
      </c>
      <c r="Z1362" s="247" t="str">
        <f t="shared" si="131"/>
        <v/>
      </c>
      <c r="AA1362" s="246" t="str">
        <f t="shared" si="128"/>
        <v/>
      </c>
    </row>
    <row r="1363" spans="1:27" x14ac:dyDescent="0.25">
      <c r="A1363" s="248" t="str">
        <f t="shared" si="129"/>
        <v/>
      </c>
      <c r="B1363" s="249" t="str">
        <f t="shared" si="130"/>
        <v/>
      </c>
      <c r="C1363" s="250"/>
      <c r="D1363" s="251"/>
      <c r="E1363" s="241"/>
      <c r="F1363" s="252"/>
      <c r="G1363" s="252"/>
      <c r="H1363" s="253"/>
      <c r="I1363" s="250"/>
      <c r="J1363" s="250"/>
      <c r="K1363" s="270"/>
      <c r="L1363" s="250"/>
      <c r="M1363" s="250"/>
      <c r="N1363" s="540" t="str">
        <f>CONCATENATE(IF(OR(M1363=phu!$I$1,M1363=phu!$I$2,M1363=phu!$I$3),"Cam Thành Nam",""),IF(OR(M1363=phu!$I$4,M1363=phu!$I$5,M1363=phu!$I$6,M1363=phu!$I$7,M1363=phu!$I$8,M1363=phu!$I$9,M1363=phu!$I$10,M1363=phu!$I$11,M1363=phu!$I$12,M1363=phu!$I$13,M1363=phu!$I$14),"Cam Nghĩa",""),IF(OR(M1363=phu!$I$15,M1363=phu!$I$16,M1363=phu!$I$17,M1363=phu!$I$18,M1363=phu!$I$19,M1363=phu!$I$20,M1363=phu!$I$21),"Cam Phúc Bắc",""),IF(OR(M1363=phu!$I$22,M1363=phu!$I$23,M1363=phu!$I$24,M1363=phu!$I$25),"Cam Phúc Nam",""),IF(OR(M1363=phu!$I$26,M1363=phu!$I$27,M1363=phu!$I$28,M1363=phu!$I$29,M1363=phu!$I$30,M1363=phu!$I$31),"Cam Phú",""),IF(OR(M1363=phu!$I$32,M1363=phu!$I$33,M1363=phu!$I$34,M1363=phu!$I$35,M1363=phu!$I$36,M1363=phu!$I$37),"Cam Lộc",""),IF(OR(M1363=phu!$I$38,M1363=phu!$I$39,M1363=phu!$I$40,M1363=phu!$I$41,M1363=phu!$I$42,M1363=phu!$I$43,M1363=phu!$I$44),"Cam Thuận",""),IF(OR(M1363=phu!$I$45,M1363=phu!$I$46,M1363=phu!$I$47,M1363=phu!$I$48,M1363=phu!$I$49,M1363=phu!$I$50,M1363=phu!$I$51,M1363=phu!$I$52,M1363=phu!$I$53),"Cam Linh",""),IF(OR(M1363=phu!$I$54,M1363=phu!$I$55,M1363=phu!$I$56,M1363=phu!$I$57,M1363=phu!$I$58,M1363=phu!$I$59,M1363=phu!$I$60,M1363=phu!$I$61,M1363=phu!$I$62),"Cam Lợi",""),IF(OR(M1363=phu!$I$63,M1363=phu!$I$64,M1363=phu!$I$65,M1363=phu!$I$66,M1363=phu!$I$67,M1363=phu!$I$68,M1363=phu!$I$69,M1363=phu!$I$70,M1363=phu!$I$71),"Ba Ngòi",""),IF(OR(M1363=phu!$I$72,M1363=phu!$I$73,M1363=phu!$I$74,M1363=phu!$I$75,M1363=phu!$I$76,M1363=phu!$I$77,M1363=phu!$I$78),"Cam Phước Đông",""),IF(OR(M1363=phu!$I$79,M1363=phu!$I$80,M1363=phu!$I$81,M1363=phu!$I$82,M1363=phu!$I$83,M1363=phu!$I$84),"Cam Thịnh Đông",""),IF(OR(M1363=phu!$I$85,M1363=phu!$I$86,M1363=phu!$I$87,M1363=phu!$I$88),"Cam Thịnh Tây",""),IF(OR(M1363=phu!$I$89,M1363=phu!$I$90),"Cam Lập",""),IF(OR(M1363=phu!$I$91,M1363=phu!$I$92,M1363=phu!$I$93),"Cam Bình",""),IF(OR(M1363=phu!$I$94,M1363=phu!$I$95,M1363=phu!$I$96,M1363=phu!$I$97,M1363=phu!$I$98,M1363=phu!$I$99,M1363=phu!$I$100),"Huyện khác",""),IF(OR(M1363=phu!$I$101,M1363=phu!$I$102),"Tỉnh khác",""))</f>
        <v/>
      </c>
      <c r="O1363" s="829" t="str">
        <f t="shared" si="126"/>
        <v/>
      </c>
      <c r="P1363" s="254"/>
      <c r="Q1363" s="254"/>
      <c r="R1363" s="254"/>
      <c r="S1363" s="254"/>
      <c r="T1363" s="254"/>
      <c r="U1363" s="254"/>
      <c r="V1363" s="254"/>
      <c r="W1363" s="254"/>
      <c r="Y1363" s="246" t="str">
        <f t="shared" si="127"/>
        <v/>
      </c>
      <c r="Z1363" s="247" t="str">
        <f t="shared" si="131"/>
        <v/>
      </c>
      <c r="AA1363" s="246" t="str">
        <f t="shared" si="128"/>
        <v/>
      </c>
    </row>
    <row r="1364" spans="1:27" x14ac:dyDescent="0.25">
      <c r="A1364" s="248" t="str">
        <f t="shared" si="129"/>
        <v/>
      </c>
      <c r="B1364" s="249" t="str">
        <f t="shared" si="130"/>
        <v/>
      </c>
      <c r="C1364" s="250"/>
      <c r="D1364" s="251"/>
      <c r="E1364" s="241"/>
      <c r="F1364" s="252"/>
      <c r="G1364" s="252"/>
      <c r="H1364" s="253"/>
      <c r="I1364" s="250"/>
      <c r="J1364" s="250"/>
      <c r="K1364" s="270"/>
      <c r="L1364" s="250"/>
      <c r="M1364" s="250"/>
      <c r="N1364" s="540" t="str">
        <f>CONCATENATE(IF(OR(M1364=phu!$I$1,M1364=phu!$I$2,M1364=phu!$I$3),"Cam Thành Nam",""),IF(OR(M1364=phu!$I$4,M1364=phu!$I$5,M1364=phu!$I$6,M1364=phu!$I$7,M1364=phu!$I$8,M1364=phu!$I$9,M1364=phu!$I$10,M1364=phu!$I$11,M1364=phu!$I$12,M1364=phu!$I$13,M1364=phu!$I$14),"Cam Nghĩa",""),IF(OR(M1364=phu!$I$15,M1364=phu!$I$16,M1364=phu!$I$17,M1364=phu!$I$18,M1364=phu!$I$19,M1364=phu!$I$20,M1364=phu!$I$21),"Cam Phúc Bắc",""),IF(OR(M1364=phu!$I$22,M1364=phu!$I$23,M1364=phu!$I$24,M1364=phu!$I$25),"Cam Phúc Nam",""),IF(OR(M1364=phu!$I$26,M1364=phu!$I$27,M1364=phu!$I$28,M1364=phu!$I$29,M1364=phu!$I$30,M1364=phu!$I$31),"Cam Phú",""),IF(OR(M1364=phu!$I$32,M1364=phu!$I$33,M1364=phu!$I$34,M1364=phu!$I$35,M1364=phu!$I$36,M1364=phu!$I$37),"Cam Lộc",""),IF(OR(M1364=phu!$I$38,M1364=phu!$I$39,M1364=phu!$I$40,M1364=phu!$I$41,M1364=phu!$I$42,M1364=phu!$I$43,M1364=phu!$I$44),"Cam Thuận",""),IF(OR(M1364=phu!$I$45,M1364=phu!$I$46,M1364=phu!$I$47,M1364=phu!$I$48,M1364=phu!$I$49,M1364=phu!$I$50,M1364=phu!$I$51,M1364=phu!$I$52,M1364=phu!$I$53),"Cam Linh",""),IF(OR(M1364=phu!$I$54,M1364=phu!$I$55,M1364=phu!$I$56,M1364=phu!$I$57,M1364=phu!$I$58,M1364=phu!$I$59,M1364=phu!$I$60,M1364=phu!$I$61,M1364=phu!$I$62),"Cam Lợi",""),IF(OR(M1364=phu!$I$63,M1364=phu!$I$64,M1364=phu!$I$65,M1364=phu!$I$66,M1364=phu!$I$67,M1364=phu!$I$68,M1364=phu!$I$69,M1364=phu!$I$70,M1364=phu!$I$71),"Ba Ngòi",""),IF(OR(M1364=phu!$I$72,M1364=phu!$I$73,M1364=phu!$I$74,M1364=phu!$I$75,M1364=phu!$I$76,M1364=phu!$I$77,M1364=phu!$I$78),"Cam Phước Đông",""),IF(OR(M1364=phu!$I$79,M1364=phu!$I$80,M1364=phu!$I$81,M1364=phu!$I$82,M1364=phu!$I$83,M1364=phu!$I$84),"Cam Thịnh Đông",""),IF(OR(M1364=phu!$I$85,M1364=phu!$I$86,M1364=phu!$I$87,M1364=phu!$I$88),"Cam Thịnh Tây",""),IF(OR(M1364=phu!$I$89,M1364=phu!$I$90),"Cam Lập",""),IF(OR(M1364=phu!$I$91,M1364=phu!$I$92,M1364=phu!$I$93),"Cam Bình",""),IF(OR(M1364=phu!$I$94,M1364=phu!$I$95,M1364=phu!$I$96,M1364=phu!$I$97,M1364=phu!$I$98,M1364=phu!$I$99,M1364=phu!$I$100),"Huyện khác",""),IF(OR(M1364=phu!$I$101,M1364=phu!$I$102),"Tỉnh khác",""))</f>
        <v/>
      </c>
      <c r="O1364" s="829" t="str">
        <f t="shared" si="126"/>
        <v/>
      </c>
      <c r="P1364" s="254"/>
      <c r="Q1364" s="254"/>
      <c r="R1364" s="254"/>
      <c r="S1364" s="254"/>
      <c r="T1364" s="254"/>
      <c r="U1364" s="254"/>
      <c r="V1364" s="254"/>
      <c r="W1364" s="254"/>
      <c r="Y1364" s="246" t="str">
        <f t="shared" si="127"/>
        <v/>
      </c>
      <c r="Z1364" s="247" t="str">
        <f t="shared" si="131"/>
        <v/>
      </c>
      <c r="AA1364" s="246" t="str">
        <f t="shared" si="128"/>
        <v/>
      </c>
    </row>
    <row r="1365" spans="1:27" x14ac:dyDescent="0.25">
      <c r="A1365" s="248" t="str">
        <f t="shared" si="129"/>
        <v/>
      </c>
      <c r="B1365" s="249" t="str">
        <f t="shared" si="130"/>
        <v/>
      </c>
      <c r="C1365" s="250"/>
      <c r="D1365" s="251"/>
      <c r="E1365" s="241"/>
      <c r="F1365" s="252"/>
      <c r="G1365" s="252"/>
      <c r="H1365" s="253"/>
      <c r="I1365" s="250"/>
      <c r="J1365" s="250"/>
      <c r="K1365" s="270"/>
      <c r="L1365" s="250"/>
      <c r="M1365" s="250"/>
      <c r="N1365" s="540" t="str">
        <f>CONCATENATE(IF(OR(M1365=phu!$I$1,M1365=phu!$I$2,M1365=phu!$I$3),"Cam Thành Nam",""),IF(OR(M1365=phu!$I$4,M1365=phu!$I$5,M1365=phu!$I$6,M1365=phu!$I$7,M1365=phu!$I$8,M1365=phu!$I$9,M1365=phu!$I$10,M1365=phu!$I$11,M1365=phu!$I$12,M1365=phu!$I$13,M1365=phu!$I$14),"Cam Nghĩa",""),IF(OR(M1365=phu!$I$15,M1365=phu!$I$16,M1365=phu!$I$17,M1365=phu!$I$18,M1365=phu!$I$19,M1365=phu!$I$20,M1365=phu!$I$21),"Cam Phúc Bắc",""),IF(OR(M1365=phu!$I$22,M1365=phu!$I$23,M1365=phu!$I$24,M1365=phu!$I$25),"Cam Phúc Nam",""),IF(OR(M1365=phu!$I$26,M1365=phu!$I$27,M1365=phu!$I$28,M1365=phu!$I$29,M1365=phu!$I$30,M1365=phu!$I$31),"Cam Phú",""),IF(OR(M1365=phu!$I$32,M1365=phu!$I$33,M1365=phu!$I$34,M1365=phu!$I$35,M1365=phu!$I$36,M1365=phu!$I$37),"Cam Lộc",""),IF(OR(M1365=phu!$I$38,M1365=phu!$I$39,M1365=phu!$I$40,M1365=phu!$I$41,M1365=phu!$I$42,M1365=phu!$I$43,M1365=phu!$I$44),"Cam Thuận",""),IF(OR(M1365=phu!$I$45,M1365=phu!$I$46,M1365=phu!$I$47,M1365=phu!$I$48,M1365=phu!$I$49,M1365=phu!$I$50,M1365=phu!$I$51,M1365=phu!$I$52,M1365=phu!$I$53),"Cam Linh",""),IF(OR(M1365=phu!$I$54,M1365=phu!$I$55,M1365=phu!$I$56,M1365=phu!$I$57,M1365=phu!$I$58,M1365=phu!$I$59,M1365=phu!$I$60,M1365=phu!$I$61,M1365=phu!$I$62),"Cam Lợi",""),IF(OR(M1365=phu!$I$63,M1365=phu!$I$64,M1365=phu!$I$65,M1365=phu!$I$66,M1365=phu!$I$67,M1365=phu!$I$68,M1365=phu!$I$69,M1365=phu!$I$70,M1365=phu!$I$71),"Ba Ngòi",""),IF(OR(M1365=phu!$I$72,M1365=phu!$I$73,M1365=phu!$I$74,M1365=phu!$I$75,M1365=phu!$I$76,M1365=phu!$I$77,M1365=phu!$I$78),"Cam Phước Đông",""),IF(OR(M1365=phu!$I$79,M1365=phu!$I$80,M1365=phu!$I$81,M1365=phu!$I$82,M1365=phu!$I$83,M1365=phu!$I$84),"Cam Thịnh Đông",""),IF(OR(M1365=phu!$I$85,M1365=phu!$I$86,M1365=phu!$I$87,M1365=phu!$I$88),"Cam Thịnh Tây",""),IF(OR(M1365=phu!$I$89,M1365=phu!$I$90),"Cam Lập",""),IF(OR(M1365=phu!$I$91,M1365=phu!$I$92,M1365=phu!$I$93),"Cam Bình",""),IF(OR(M1365=phu!$I$94,M1365=phu!$I$95,M1365=phu!$I$96,M1365=phu!$I$97,M1365=phu!$I$98,M1365=phu!$I$99,M1365=phu!$I$100),"Huyện khác",""),IF(OR(M1365=phu!$I$101,M1365=phu!$I$102),"Tỉnh khác",""))</f>
        <v/>
      </c>
      <c r="O1365" s="829" t="str">
        <f t="shared" si="126"/>
        <v/>
      </c>
      <c r="P1365" s="254"/>
      <c r="Q1365" s="254"/>
      <c r="R1365" s="254"/>
      <c r="S1365" s="254"/>
      <c r="T1365" s="254"/>
      <c r="U1365" s="254"/>
      <c r="V1365" s="254"/>
      <c r="W1365" s="254"/>
      <c r="Y1365" s="246" t="str">
        <f t="shared" si="127"/>
        <v/>
      </c>
      <c r="Z1365" s="247" t="str">
        <f t="shared" si="131"/>
        <v/>
      </c>
      <c r="AA1365" s="246" t="str">
        <f t="shared" si="128"/>
        <v/>
      </c>
    </row>
    <row r="1366" spans="1:27" x14ac:dyDescent="0.25">
      <c r="A1366" s="248" t="str">
        <f t="shared" si="129"/>
        <v/>
      </c>
      <c r="B1366" s="249" t="str">
        <f t="shared" si="130"/>
        <v/>
      </c>
      <c r="C1366" s="250"/>
      <c r="D1366" s="251"/>
      <c r="E1366" s="241"/>
      <c r="F1366" s="252"/>
      <c r="G1366" s="252"/>
      <c r="H1366" s="253"/>
      <c r="I1366" s="250"/>
      <c r="J1366" s="250"/>
      <c r="K1366" s="270"/>
      <c r="L1366" s="250"/>
      <c r="M1366" s="250"/>
      <c r="N1366" s="540" t="str">
        <f>CONCATENATE(IF(OR(M1366=phu!$I$1,M1366=phu!$I$2,M1366=phu!$I$3),"Cam Thành Nam",""),IF(OR(M1366=phu!$I$4,M1366=phu!$I$5,M1366=phu!$I$6,M1366=phu!$I$7,M1366=phu!$I$8,M1366=phu!$I$9,M1366=phu!$I$10,M1366=phu!$I$11,M1366=phu!$I$12,M1366=phu!$I$13,M1366=phu!$I$14),"Cam Nghĩa",""),IF(OR(M1366=phu!$I$15,M1366=phu!$I$16,M1366=phu!$I$17,M1366=phu!$I$18,M1366=phu!$I$19,M1366=phu!$I$20,M1366=phu!$I$21),"Cam Phúc Bắc",""),IF(OR(M1366=phu!$I$22,M1366=phu!$I$23,M1366=phu!$I$24,M1366=phu!$I$25),"Cam Phúc Nam",""),IF(OR(M1366=phu!$I$26,M1366=phu!$I$27,M1366=phu!$I$28,M1366=phu!$I$29,M1366=phu!$I$30,M1366=phu!$I$31),"Cam Phú",""),IF(OR(M1366=phu!$I$32,M1366=phu!$I$33,M1366=phu!$I$34,M1366=phu!$I$35,M1366=phu!$I$36,M1366=phu!$I$37),"Cam Lộc",""),IF(OR(M1366=phu!$I$38,M1366=phu!$I$39,M1366=phu!$I$40,M1366=phu!$I$41,M1366=phu!$I$42,M1366=phu!$I$43,M1366=phu!$I$44),"Cam Thuận",""),IF(OR(M1366=phu!$I$45,M1366=phu!$I$46,M1366=phu!$I$47,M1366=phu!$I$48,M1366=phu!$I$49,M1366=phu!$I$50,M1366=phu!$I$51,M1366=phu!$I$52,M1366=phu!$I$53),"Cam Linh",""),IF(OR(M1366=phu!$I$54,M1366=phu!$I$55,M1366=phu!$I$56,M1366=phu!$I$57,M1366=phu!$I$58,M1366=phu!$I$59,M1366=phu!$I$60,M1366=phu!$I$61,M1366=phu!$I$62),"Cam Lợi",""),IF(OR(M1366=phu!$I$63,M1366=phu!$I$64,M1366=phu!$I$65,M1366=phu!$I$66,M1366=phu!$I$67,M1366=phu!$I$68,M1366=phu!$I$69,M1366=phu!$I$70,M1366=phu!$I$71),"Ba Ngòi",""),IF(OR(M1366=phu!$I$72,M1366=phu!$I$73,M1366=phu!$I$74,M1366=phu!$I$75,M1366=phu!$I$76,M1366=phu!$I$77,M1366=phu!$I$78),"Cam Phước Đông",""),IF(OR(M1366=phu!$I$79,M1366=phu!$I$80,M1366=phu!$I$81,M1366=phu!$I$82,M1366=phu!$I$83,M1366=phu!$I$84),"Cam Thịnh Đông",""),IF(OR(M1366=phu!$I$85,M1366=phu!$I$86,M1366=phu!$I$87,M1366=phu!$I$88),"Cam Thịnh Tây",""),IF(OR(M1366=phu!$I$89,M1366=phu!$I$90),"Cam Lập",""),IF(OR(M1366=phu!$I$91,M1366=phu!$I$92,M1366=phu!$I$93),"Cam Bình",""),IF(OR(M1366=phu!$I$94,M1366=phu!$I$95,M1366=phu!$I$96,M1366=phu!$I$97,M1366=phu!$I$98,M1366=phu!$I$99,M1366=phu!$I$100),"Huyện khác",""),IF(OR(M1366=phu!$I$101,M1366=phu!$I$102),"Tỉnh khác",""))</f>
        <v/>
      </c>
      <c r="O1366" s="829" t="str">
        <f t="shared" si="126"/>
        <v/>
      </c>
      <c r="P1366" s="254"/>
      <c r="Q1366" s="254"/>
      <c r="R1366" s="254"/>
      <c r="S1366" s="254"/>
      <c r="T1366" s="254"/>
      <c r="U1366" s="254"/>
      <c r="V1366" s="254"/>
      <c r="W1366" s="254"/>
      <c r="Y1366" s="246" t="str">
        <f t="shared" si="127"/>
        <v/>
      </c>
      <c r="Z1366" s="247" t="str">
        <f t="shared" si="131"/>
        <v/>
      </c>
      <c r="AA1366" s="246" t="str">
        <f t="shared" si="128"/>
        <v/>
      </c>
    </row>
    <row r="1367" spans="1:27" x14ac:dyDescent="0.25">
      <c r="A1367" s="248" t="str">
        <f t="shared" si="129"/>
        <v/>
      </c>
      <c r="B1367" s="249" t="str">
        <f t="shared" si="130"/>
        <v/>
      </c>
      <c r="C1367" s="250"/>
      <c r="D1367" s="251"/>
      <c r="E1367" s="241"/>
      <c r="F1367" s="252"/>
      <c r="G1367" s="252"/>
      <c r="H1367" s="253"/>
      <c r="I1367" s="250"/>
      <c r="J1367" s="250"/>
      <c r="K1367" s="270"/>
      <c r="L1367" s="250"/>
      <c r="M1367" s="250"/>
      <c r="N1367" s="540" t="str">
        <f>CONCATENATE(IF(OR(M1367=phu!$I$1,M1367=phu!$I$2,M1367=phu!$I$3),"Cam Thành Nam",""),IF(OR(M1367=phu!$I$4,M1367=phu!$I$5,M1367=phu!$I$6,M1367=phu!$I$7,M1367=phu!$I$8,M1367=phu!$I$9,M1367=phu!$I$10,M1367=phu!$I$11,M1367=phu!$I$12,M1367=phu!$I$13,M1367=phu!$I$14),"Cam Nghĩa",""),IF(OR(M1367=phu!$I$15,M1367=phu!$I$16,M1367=phu!$I$17,M1367=phu!$I$18,M1367=phu!$I$19,M1367=phu!$I$20,M1367=phu!$I$21),"Cam Phúc Bắc",""),IF(OR(M1367=phu!$I$22,M1367=phu!$I$23,M1367=phu!$I$24,M1367=phu!$I$25),"Cam Phúc Nam",""),IF(OR(M1367=phu!$I$26,M1367=phu!$I$27,M1367=phu!$I$28,M1367=phu!$I$29,M1367=phu!$I$30,M1367=phu!$I$31),"Cam Phú",""),IF(OR(M1367=phu!$I$32,M1367=phu!$I$33,M1367=phu!$I$34,M1367=phu!$I$35,M1367=phu!$I$36,M1367=phu!$I$37),"Cam Lộc",""),IF(OR(M1367=phu!$I$38,M1367=phu!$I$39,M1367=phu!$I$40,M1367=phu!$I$41,M1367=phu!$I$42,M1367=phu!$I$43,M1367=phu!$I$44),"Cam Thuận",""),IF(OR(M1367=phu!$I$45,M1367=phu!$I$46,M1367=phu!$I$47,M1367=phu!$I$48,M1367=phu!$I$49,M1367=phu!$I$50,M1367=phu!$I$51,M1367=phu!$I$52,M1367=phu!$I$53),"Cam Linh",""),IF(OR(M1367=phu!$I$54,M1367=phu!$I$55,M1367=phu!$I$56,M1367=phu!$I$57,M1367=phu!$I$58,M1367=phu!$I$59,M1367=phu!$I$60,M1367=phu!$I$61,M1367=phu!$I$62),"Cam Lợi",""),IF(OR(M1367=phu!$I$63,M1367=phu!$I$64,M1367=phu!$I$65,M1367=phu!$I$66,M1367=phu!$I$67,M1367=phu!$I$68,M1367=phu!$I$69,M1367=phu!$I$70,M1367=phu!$I$71),"Ba Ngòi",""),IF(OR(M1367=phu!$I$72,M1367=phu!$I$73,M1367=phu!$I$74,M1367=phu!$I$75,M1367=phu!$I$76,M1367=phu!$I$77,M1367=phu!$I$78),"Cam Phước Đông",""),IF(OR(M1367=phu!$I$79,M1367=phu!$I$80,M1367=phu!$I$81,M1367=phu!$I$82,M1367=phu!$I$83,M1367=phu!$I$84),"Cam Thịnh Đông",""),IF(OR(M1367=phu!$I$85,M1367=phu!$I$86,M1367=phu!$I$87,M1367=phu!$I$88),"Cam Thịnh Tây",""),IF(OR(M1367=phu!$I$89,M1367=phu!$I$90),"Cam Lập",""),IF(OR(M1367=phu!$I$91,M1367=phu!$I$92,M1367=phu!$I$93),"Cam Bình",""),IF(OR(M1367=phu!$I$94,M1367=phu!$I$95,M1367=phu!$I$96,M1367=phu!$I$97,M1367=phu!$I$98,M1367=phu!$I$99,M1367=phu!$I$100),"Huyện khác",""),IF(OR(M1367=phu!$I$101,M1367=phu!$I$102),"Tỉnh khác",""))</f>
        <v/>
      </c>
      <c r="O1367" s="829" t="str">
        <f t="shared" si="126"/>
        <v/>
      </c>
      <c r="P1367" s="254"/>
      <c r="Q1367" s="254"/>
      <c r="R1367" s="254"/>
      <c r="S1367" s="254"/>
      <c r="T1367" s="254"/>
      <c r="U1367" s="254"/>
      <c r="V1367" s="254"/>
      <c r="W1367" s="254"/>
      <c r="Y1367" s="246" t="str">
        <f t="shared" si="127"/>
        <v/>
      </c>
      <c r="Z1367" s="247" t="str">
        <f t="shared" si="131"/>
        <v/>
      </c>
      <c r="AA1367" s="246" t="str">
        <f t="shared" si="128"/>
        <v/>
      </c>
    </row>
    <row r="1368" spans="1:27" x14ac:dyDescent="0.25">
      <c r="A1368" s="248" t="str">
        <f t="shared" si="129"/>
        <v/>
      </c>
      <c r="B1368" s="249" t="str">
        <f t="shared" si="130"/>
        <v/>
      </c>
      <c r="C1368" s="250"/>
      <c r="D1368" s="251"/>
      <c r="E1368" s="241"/>
      <c r="F1368" s="252"/>
      <c r="G1368" s="252"/>
      <c r="H1368" s="253"/>
      <c r="I1368" s="250"/>
      <c r="J1368" s="250"/>
      <c r="K1368" s="270"/>
      <c r="L1368" s="250"/>
      <c r="M1368" s="250"/>
      <c r="N1368" s="540" t="str">
        <f>CONCATENATE(IF(OR(M1368=phu!$I$1,M1368=phu!$I$2,M1368=phu!$I$3),"Cam Thành Nam",""),IF(OR(M1368=phu!$I$4,M1368=phu!$I$5,M1368=phu!$I$6,M1368=phu!$I$7,M1368=phu!$I$8,M1368=phu!$I$9,M1368=phu!$I$10,M1368=phu!$I$11,M1368=phu!$I$12,M1368=phu!$I$13,M1368=phu!$I$14),"Cam Nghĩa",""),IF(OR(M1368=phu!$I$15,M1368=phu!$I$16,M1368=phu!$I$17,M1368=phu!$I$18,M1368=phu!$I$19,M1368=phu!$I$20,M1368=phu!$I$21),"Cam Phúc Bắc",""),IF(OR(M1368=phu!$I$22,M1368=phu!$I$23,M1368=phu!$I$24,M1368=phu!$I$25),"Cam Phúc Nam",""),IF(OR(M1368=phu!$I$26,M1368=phu!$I$27,M1368=phu!$I$28,M1368=phu!$I$29,M1368=phu!$I$30,M1368=phu!$I$31),"Cam Phú",""),IF(OR(M1368=phu!$I$32,M1368=phu!$I$33,M1368=phu!$I$34,M1368=phu!$I$35,M1368=phu!$I$36,M1368=phu!$I$37),"Cam Lộc",""),IF(OR(M1368=phu!$I$38,M1368=phu!$I$39,M1368=phu!$I$40,M1368=phu!$I$41,M1368=phu!$I$42,M1368=phu!$I$43,M1368=phu!$I$44),"Cam Thuận",""),IF(OR(M1368=phu!$I$45,M1368=phu!$I$46,M1368=phu!$I$47,M1368=phu!$I$48,M1368=phu!$I$49,M1368=phu!$I$50,M1368=phu!$I$51,M1368=phu!$I$52,M1368=phu!$I$53),"Cam Linh",""),IF(OR(M1368=phu!$I$54,M1368=phu!$I$55,M1368=phu!$I$56,M1368=phu!$I$57,M1368=phu!$I$58,M1368=phu!$I$59,M1368=phu!$I$60,M1368=phu!$I$61,M1368=phu!$I$62),"Cam Lợi",""),IF(OR(M1368=phu!$I$63,M1368=phu!$I$64,M1368=phu!$I$65,M1368=phu!$I$66,M1368=phu!$I$67,M1368=phu!$I$68,M1368=phu!$I$69,M1368=phu!$I$70,M1368=phu!$I$71),"Ba Ngòi",""),IF(OR(M1368=phu!$I$72,M1368=phu!$I$73,M1368=phu!$I$74,M1368=phu!$I$75,M1368=phu!$I$76,M1368=phu!$I$77,M1368=phu!$I$78),"Cam Phước Đông",""),IF(OR(M1368=phu!$I$79,M1368=phu!$I$80,M1368=phu!$I$81,M1368=phu!$I$82,M1368=phu!$I$83,M1368=phu!$I$84),"Cam Thịnh Đông",""),IF(OR(M1368=phu!$I$85,M1368=phu!$I$86,M1368=phu!$I$87,M1368=phu!$I$88),"Cam Thịnh Tây",""),IF(OR(M1368=phu!$I$89,M1368=phu!$I$90),"Cam Lập",""),IF(OR(M1368=phu!$I$91,M1368=phu!$I$92,M1368=phu!$I$93),"Cam Bình",""),IF(OR(M1368=phu!$I$94,M1368=phu!$I$95,M1368=phu!$I$96,M1368=phu!$I$97,M1368=phu!$I$98,M1368=phu!$I$99,M1368=phu!$I$100),"Huyện khác",""),IF(OR(M1368=phu!$I$101,M1368=phu!$I$102),"Tỉnh khác",""))</f>
        <v/>
      </c>
      <c r="O1368" s="829" t="str">
        <f t="shared" si="126"/>
        <v/>
      </c>
      <c r="P1368" s="254"/>
      <c r="Q1368" s="254"/>
      <c r="R1368" s="254"/>
      <c r="S1368" s="254"/>
      <c r="T1368" s="254"/>
      <c r="U1368" s="254"/>
      <c r="V1368" s="254"/>
      <c r="W1368" s="254"/>
      <c r="Y1368" s="246" t="str">
        <f t="shared" si="127"/>
        <v/>
      </c>
      <c r="Z1368" s="247" t="str">
        <f t="shared" si="131"/>
        <v/>
      </c>
      <c r="AA1368" s="246" t="str">
        <f t="shared" si="128"/>
        <v/>
      </c>
    </row>
    <row r="1369" spans="1:27" x14ac:dyDescent="0.25">
      <c r="A1369" s="248" t="str">
        <f t="shared" si="129"/>
        <v/>
      </c>
      <c r="B1369" s="249" t="str">
        <f t="shared" si="130"/>
        <v/>
      </c>
      <c r="C1369" s="250"/>
      <c r="D1369" s="251"/>
      <c r="E1369" s="241"/>
      <c r="F1369" s="252"/>
      <c r="G1369" s="252"/>
      <c r="H1369" s="253"/>
      <c r="I1369" s="250"/>
      <c r="J1369" s="250"/>
      <c r="K1369" s="270"/>
      <c r="L1369" s="250"/>
      <c r="M1369" s="250"/>
      <c r="N1369" s="540" t="str">
        <f>CONCATENATE(IF(OR(M1369=phu!$I$1,M1369=phu!$I$2,M1369=phu!$I$3),"Cam Thành Nam",""),IF(OR(M1369=phu!$I$4,M1369=phu!$I$5,M1369=phu!$I$6,M1369=phu!$I$7,M1369=phu!$I$8,M1369=phu!$I$9,M1369=phu!$I$10,M1369=phu!$I$11,M1369=phu!$I$12,M1369=phu!$I$13,M1369=phu!$I$14),"Cam Nghĩa",""),IF(OR(M1369=phu!$I$15,M1369=phu!$I$16,M1369=phu!$I$17,M1369=phu!$I$18,M1369=phu!$I$19,M1369=phu!$I$20,M1369=phu!$I$21),"Cam Phúc Bắc",""),IF(OR(M1369=phu!$I$22,M1369=phu!$I$23,M1369=phu!$I$24,M1369=phu!$I$25),"Cam Phúc Nam",""),IF(OR(M1369=phu!$I$26,M1369=phu!$I$27,M1369=phu!$I$28,M1369=phu!$I$29,M1369=phu!$I$30,M1369=phu!$I$31),"Cam Phú",""),IF(OR(M1369=phu!$I$32,M1369=phu!$I$33,M1369=phu!$I$34,M1369=phu!$I$35,M1369=phu!$I$36,M1369=phu!$I$37),"Cam Lộc",""),IF(OR(M1369=phu!$I$38,M1369=phu!$I$39,M1369=phu!$I$40,M1369=phu!$I$41,M1369=phu!$I$42,M1369=phu!$I$43,M1369=phu!$I$44),"Cam Thuận",""),IF(OR(M1369=phu!$I$45,M1369=phu!$I$46,M1369=phu!$I$47,M1369=phu!$I$48,M1369=phu!$I$49,M1369=phu!$I$50,M1369=phu!$I$51,M1369=phu!$I$52,M1369=phu!$I$53),"Cam Linh",""),IF(OR(M1369=phu!$I$54,M1369=phu!$I$55,M1369=phu!$I$56,M1369=phu!$I$57,M1369=phu!$I$58,M1369=phu!$I$59,M1369=phu!$I$60,M1369=phu!$I$61,M1369=phu!$I$62),"Cam Lợi",""),IF(OR(M1369=phu!$I$63,M1369=phu!$I$64,M1369=phu!$I$65,M1369=phu!$I$66,M1369=phu!$I$67,M1369=phu!$I$68,M1369=phu!$I$69,M1369=phu!$I$70,M1369=phu!$I$71),"Ba Ngòi",""),IF(OR(M1369=phu!$I$72,M1369=phu!$I$73,M1369=phu!$I$74,M1369=phu!$I$75,M1369=phu!$I$76,M1369=phu!$I$77,M1369=phu!$I$78),"Cam Phước Đông",""),IF(OR(M1369=phu!$I$79,M1369=phu!$I$80,M1369=phu!$I$81,M1369=phu!$I$82,M1369=phu!$I$83,M1369=phu!$I$84),"Cam Thịnh Đông",""),IF(OR(M1369=phu!$I$85,M1369=phu!$I$86,M1369=phu!$I$87,M1369=phu!$I$88),"Cam Thịnh Tây",""),IF(OR(M1369=phu!$I$89,M1369=phu!$I$90),"Cam Lập",""),IF(OR(M1369=phu!$I$91,M1369=phu!$I$92,M1369=phu!$I$93),"Cam Bình",""),IF(OR(M1369=phu!$I$94,M1369=phu!$I$95,M1369=phu!$I$96,M1369=phu!$I$97,M1369=phu!$I$98,M1369=phu!$I$99,M1369=phu!$I$100),"Huyện khác",""),IF(OR(M1369=phu!$I$101,M1369=phu!$I$102),"Tỉnh khác",""))</f>
        <v/>
      </c>
      <c r="O1369" s="829" t="str">
        <f t="shared" si="126"/>
        <v/>
      </c>
      <c r="P1369" s="254"/>
      <c r="Q1369" s="254"/>
      <c r="R1369" s="254"/>
      <c r="S1369" s="254"/>
      <c r="T1369" s="254"/>
      <c r="U1369" s="254"/>
      <c r="V1369" s="254"/>
      <c r="W1369" s="254"/>
      <c r="Y1369" s="246" t="str">
        <f t="shared" si="127"/>
        <v/>
      </c>
      <c r="Z1369" s="247" t="str">
        <f t="shared" si="131"/>
        <v/>
      </c>
      <c r="AA1369" s="246" t="str">
        <f t="shared" si="128"/>
        <v/>
      </c>
    </row>
    <row r="1370" spans="1:27" x14ac:dyDescent="0.25">
      <c r="A1370" s="248" t="str">
        <f t="shared" si="129"/>
        <v/>
      </c>
      <c r="B1370" s="249" t="str">
        <f t="shared" si="130"/>
        <v/>
      </c>
      <c r="C1370" s="250"/>
      <c r="D1370" s="251"/>
      <c r="E1370" s="241"/>
      <c r="F1370" s="252"/>
      <c r="G1370" s="252"/>
      <c r="H1370" s="253"/>
      <c r="I1370" s="250"/>
      <c r="J1370" s="250"/>
      <c r="K1370" s="270"/>
      <c r="L1370" s="250"/>
      <c r="M1370" s="250"/>
      <c r="N1370" s="540" t="str">
        <f>CONCATENATE(IF(OR(M1370=phu!$I$1,M1370=phu!$I$2,M1370=phu!$I$3),"Cam Thành Nam",""),IF(OR(M1370=phu!$I$4,M1370=phu!$I$5,M1370=phu!$I$6,M1370=phu!$I$7,M1370=phu!$I$8,M1370=phu!$I$9,M1370=phu!$I$10,M1370=phu!$I$11,M1370=phu!$I$12,M1370=phu!$I$13,M1370=phu!$I$14),"Cam Nghĩa",""),IF(OR(M1370=phu!$I$15,M1370=phu!$I$16,M1370=phu!$I$17,M1370=phu!$I$18,M1370=phu!$I$19,M1370=phu!$I$20,M1370=phu!$I$21),"Cam Phúc Bắc",""),IF(OR(M1370=phu!$I$22,M1370=phu!$I$23,M1370=phu!$I$24,M1370=phu!$I$25),"Cam Phúc Nam",""),IF(OR(M1370=phu!$I$26,M1370=phu!$I$27,M1370=phu!$I$28,M1370=phu!$I$29,M1370=phu!$I$30,M1370=phu!$I$31),"Cam Phú",""),IF(OR(M1370=phu!$I$32,M1370=phu!$I$33,M1370=phu!$I$34,M1370=phu!$I$35,M1370=phu!$I$36,M1370=phu!$I$37),"Cam Lộc",""),IF(OR(M1370=phu!$I$38,M1370=phu!$I$39,M1370=phu!$I$40,M1370=phu!$I$41,M1370=phu!$I$42,M1370=phu!$I$43,M1370=phu!$I$44),"Cam Thuận",""),IF(OR(M1370=phu!$I$45,M1370=phu!$I$46,M1370=phu!$I$47,M1370=phu!$I$48,M1370=phu!$I$49,M1370=phu!$I$50,M1370=phu!$I$51,M1370=phu!$I$52,M1370=phu!$I$53),"Cam Linh",""),IF(OR(M1370=phu!$I$54,M1370=phu!$I$55,M1370=phu!$I$56,M1370=phu!$I$57,M1370=phu!$I$58,M1370=phu!$I$59,M1370=phu!$I$60,M1370=phu!$I$61,M1370=phu!$I$62),"Cam Lợi",""),IF(OR(M1370=phu!$I$63,M1370=phu!$I$64,M1370=phu!$I$65,M1370=phu!$I$66,M1370=phu!$I$67,M1370=phu!$I$68,M1370=phu!$I$69,M1370=phu!$I$70,M1370=phu!$I$71),"Ba Ngòi",""),IF(OR(M1370=phu!$I$72,M1370=phu!$I$73,M1370=phu!$I$74,M1370=phu!$I$75,M1370=phu!$I$76,M1370=phu!$I$77,M1370=phu!$I$78),"Cam Phước Đông",""),IF(OR(M1370=phu!$I$79,M1370=phu!$I$80,M1370=phu!$I$81,M1370=phu!$I$82,M1370=phu!$I$83,M1370=phu!$I$84),"Cam Thịnh Đông",""),IF(OR(M1370=phu!$I$85,M1370=phu!$I$86,M1370=phu!$I$87,M1370=phu!$I$88),"Cam Thịnh Tây",""),IF(OR(M1370=phu!$I$89,M1370=phu!$I$90),"Cam Lập",""),IF(OR(M1370=phu!$I$91,M1370=phu!$I$92,M1370=phu!$I$93),"Cam Bình",""),IF(OR(M1370=phu!$I$94,M1370=phu!$I$95,M1370=phu!$I$96,M1370=phu!$I$97,M1370=phu!$I$98,M1370=phu!$I$99,M1370=phu!$I$100),"Huyện khác",""),IF(OR(M1370=phu!$I$101,M1370=phu!$I$102),"Tỉnh khác",""))</f>
        <v/>
      </c>
      <c r="O1370" s="829" t="str">
        <f t="shared" si="126"/>
        <v/>
      </c>
      <c r="P1370" s="254"/>
      <c r="Q1370" s="254"/>
      <c r="R1370" s="254"/>
      <c r="S1370" s="254"/>
      <c r="T1370" s="254"/>
      <c r="U1370" s="254"/>
      <c r="V1370" s="254"/>
      <c r="W1370" s="254"/>
      <c r="Y1370" s="246" t="str">
        <f t="shared" si="127"/>
        <v/>
      </c>
      <c r="Z1370" s="247" t="str">
        <f t="shared" si="131"/>
        <v/>
      </c>
      <c r="AA1370" s="246" t="str">
        <f t="shared" si="128"/>
        <v/>
      </c>
    </row>
    <row r="1371" spans="1:27" x14ac:dyDescent="0.25">
      <c r="A1371" s="248" t="str">
        <f t="shared" si="129"/>
        <v/>
      </c>
      <c r="B1371" s="249" t="str">
        <f t="shared" si="130"/>
        <v/>
      </c>
      <c r="C1371" s="250"/>
      <c r="D1371" s="251"/>
      <c r="E1371" s="241"/>
      <c r="F1371" s="252"/>
      <c r="G1371" s="252"/>
      <c r="H1371" s="253"/>
      <c r="I1371" s="250"/>
      <c r="J1371" s="250"/>
      <c r="K1371" s="270"/>
      <c r="L1371" s="250"/>
      <c r="M1371" s="250"/>
      <c r="N1371" s="540" t="str">
        <f>CONCATENATE(IF(OR(M1371=phu!$I$1,M1371=phu!$I$2,M1371=phu!$I$3),"Cam Thành Nam",""),IF(OR(M1371=phu!$I$4,M1371=phu!$I$5,M1371=phu!$I$6,M1371=phu!$I$7,M1371=phu!$I$8,M1371=phu!$I$9,M1371=phu!$I$10,M1371=phu!$I$11,M1371=phu!$I$12,M1371=phu!$I$13,M1371=phu!$I$14),"Cam Nghĩa",""),IF(OR(M1371=phu!$I$15,M1371=phu!$I$16,M1371=phu!$I$17,M1371=phu!$I$18,M1371=phu!$I$19,M1371=phu!$I$20,M1371=phu!$I$21),"Cam Phúc Bắc",""),IF(OR(M1371=phu!$I$22,M1371=phu!$I$23,M1371=phu!$I$24,M1371=phu!$I$25),"Cam Phúc Nam",""),IF(OR(M1371=phu!$I$26,M1371=phu!$I$27,M1371=phu!$I$28,M1371=phu!$I$29,M1371=phu!$I$30,M1371=phu!$I$31),"Cam Phú",""),IF(OR(M1371=phu!$I$32,M1371=phu!$I$33,M1371=phu!$I$34,M1371=phu!$I$35,M1371=phu!$I$36,M1371=phu!$I$37),"Cam Lộc",""),IF(OR(M1371=phu!$I$38,M1371=phu!$I$39,M1371=phu!$I$40,M1371=phu!$I$41,M1371=phu!$I$42,M1371=phu!$I$43,M1371=phu!$I$44),"Cam Thuận",""),IF(OR(M1371=phu!$I$45,M1371=phu!$I$46,M1371=phu!$I$47,M1371=phu!$I$48,M1371=phu!$I$49,M1371=phu!$I$50,M1371=phu!$I$51,M1371=phu!$I$52,M1371=phu!$I$53),"Cam Linh",""),IF(OR(M1371=phu!$I$54,M1371=phu!$I$55,M1371=phu!$I$56,M1371=phu!$I$57,M1371=phu!$I$58,M1371=phu!$I$59,M1371=phu!$I$60,M1371=phu!$I$61,M1371=phu!$I$62),"Cam Lợi",""),IF(OR(M1371=phu!$I$63,M1371=phu!$I$64,M1371=phu!$I$65,M1371=phu!$I$66,M1371=phu!$I$67,M1371=phu!$I$68,M1371=phu!$I$69,M1371=phu!$I$70,M1371=phu!$I$71),"Ba Ngòi",""),IF(OR(M1371=phu!$I$72,M1371=phu!$I$73,M1371=phu!$I$74,M1371=phu!$I$75,M1371=phu!$I$76,M1371=phu!$I$77,M1371=phu!$I$78),"Cam Phước Đông",""),IF(OR(M1371=phu!$I$79,M1371=phu!$I$80,M1371=phu!$I$81,M1371=phu!$I$82,M1371=phu!$I$83,M1371=phu!$I$84),"Cam Thịnh Đông",""),IF(OR(M1371=phu!$I$85,M1371=phu!$I$86,M1371=phu!$I$87,M1371=phu!$I$88),"Cam Thịnh Tây",""),IF(OR(M1371=phu!$I$89,M1371=phu!$I$90),"Cam Lập",""),IF(OR(M1371=phu!$I$91,M1371=phu!$I$92,M1371=phu!$I$93),"Cam Bình",""),IF(OR(M1371=phu!$I$94,M1371=phu!$I$95,M1371=phu!$I$96,M1371=phu!$I$97,M1371=phu!$I$98,M1371=phu!$I$99,M1371=phu!$I$100),"Huyện khác",""),IF(OR(M1371=phu!$I$101,M1371=phu!$I$102),"Tỉnh khác",""))</f>
        <v/>
      </c>
      <c r="O1371" s="829" t="str">
        <f t="shared" si="126"/>
        <v/>
      </c>
      <c r="P1371" s="254"/>
      <c r="Q1371" s="254"/>
      <c r="R1371" s="254"/>
      <c r="S1371" s="254"/>
      <c r="T1371" s="254"/>
      <c r="U1371" s="254"/>
      <c r="V1371" s="254"/>
      <c r="W1371" s="254"/>
      <c r="Y1371" s="246" t="str">
        <f t="shared" si="127"/>
        <v/>
      </c>
      <c r="Z1371" s="247" t="str">
        <f t="shared" si="131"/>
        <v/>
      </c>
      <c r="AA1371" s="246" t="str">
        <f t="shared" si="128"/>
        <v/>
      </c>
    </row>
    <row r="1372" spans="1:27" x14ac:dyDescent="0.25">
      <c r="A1372" s="248" t="str">
        <f t="shared" si="129"/>
        <v/>
      </c>
      <c r="B1372" s="249" t="str">
        <f t="shared" si="130"/>
        <v/>
      </c>
      <c r="C1372" s="250"/>
      <c r="D1372" s="251"/>
      <c r="E1372" s="241"/>
      <c r="F1372" s="252"/>
      <c r="G1372" s="252"/>
      <c r="H1372" s="253"/>
      <c r="I1372" s="250"/>
      <c r="J1372" s="250"/>
      <c r="K1372" s="270"/>
      <c r="L1372" s="250"/>
      <c r="M1372" s="250"/>
      <c r="N1372" s="540" t="str">
        <f>CONCATENATE(IF(OR(M1372=phu!$I$1,M1372=phu!$I$2,M1372=phu!$I$3),"Cam Thành Nam",""),IF(OR(M1372=phu!$I$4,M1372=phu!$I$5,M1372=phu!$I$6,M1372=phu!$I$7,M1372=phu!$I$8,M1372=phu!$I$9,M1372=phu!$I$10,M1372=phu!$I$11,M1372=phu!$I$12,M1372=phu!$I$13,M1372=phu!$I$14),"Cam Nghĩa",""),IF(OR(M1372=phu!$I$15,M1372=phu!$I$16,M1372=phu!$I$17,M1372=phu!$I$18,M1372=phu!$I$19,M1372=phu!$I$20,M1372=phu!$I$21),"Cam Phúc Bắc",""),IF(OR(M1372=phu!$I$22,M1372=phu!$I$23,M1372=phu!$I$24,M1372=phu!$I$25),"Cam Phúc Nam",""),IF(OR(M1372=phu!$I$26,M1372=phu!$I$27,M1372=phu!$I$28,M1372=phu!$I$29,M1372=phu!$I$30,M1372=phu!$I$31),"Cam Phú",""),IF(OR(M1372=phu!$I$32,M1372=phu!$I$33,M1372=phu!$I$34,M1372=phu!$I$35,M1372=phu!$I$36,M1372=phu!$I$37),"Cam Lộc",""),IF(OR(M1372=phu!$I$38,M1372=phu!$I$39,M1372=phu!$I$40,M1372=phu!$I$41,M1372=phu!$I$42,M1372=phu!$I$43,M1372=phu!$I$44),"Cam Thuận",""),IF(OR(M1372=phu!$I$45,M1372=phu!$I$46,M1372=phu!$I$47,M1372=phu!$I$48,M1372=phu!$I$49,M1372=phu!$I$50,M1372=phu!$I$51,M1372=phu!$I$52,M1372=phu!$I$53),"Cam Linh",""),IF(OR(M1372=phu!$I$54,M1372=phu!$I$55,M1372=phu!$I$56,M1372=phu!$I$57,M1372=phu!$I$58,M1372=phu!$I$59,M1372=phu!$I$60,M1372=phu!$I$61,M1372=phu!$I$62),"Cam Lợi",""),IF(OR(M1372=phu!$I$63,M1372=phu!$I$64,M1372=phu!$I$65,M1372=phu!$I$66,M1372=phu!$I$67,M1372=phu!$I$68,M1372=phu!$I$69,M1372=phu!$I$70,M1372=phu!$I$71),"Ba Ngòi",""),IF(OR(M1372=phu!$I$72,M1372=phu!$I$73,M1372=phu!$I$74,M1372=phu!$I$75,M1372=phu!$I$76,M1372=phu!$I$77,M1372=phu!$I$78),"Cam Phước Đông",""),IF(OR(M1372=phu!$I$79,M1372=phu!$I$80,M1372=phu!$I$81,M1372=phu!$I$82,M1372=phu!$I$83,M1372=phu!$I$84),"Cam Thịnh Đông",""),IF(OR(M1372=phu!$I$85,M1372=phu!$I$86,M1372=phu!$I$87,M1372=phu!$I$88),"Cam Thịnh Tây",""),IF(OR(M1372=phu!$I$89,M1372=phu!$I$90),"Cam Lập",""),IF(OR(M1372=phu!$I$91,M1372=phu!$I$92,M1372=phu!$I$93),"Cam Bình",""),IF(OR(M1372=phu!$I$94,M1372=phu!$I$95,M1372=phu!$I$96,M1372=phu!$I$97,M1372=phu!$I$98,M1372=phu!$I$99,M1372=phu!$I$100),"Huyện khác",""),IF(OR(M1372=phu!$I$101,M1372=phu!$I$102),"Tỉnh khác",""))</f>
        <v/>
      </c>
      <c r="O1372" s="829" t="str">
        <f t="shared" si="126"/>
        <v/>
      </c>
      <c r="P1372" s="254"/>
      <c r="Q1372" s="254"/>
      <c r="R1372" s="254"/>
      <c r="S1372" s="254"/>
      <c r="T1372" s="254"/>
      <c r="U1372" s="254"/>
      <c r="V1372" s="254"/>
      <c r="W1372" s="254"/>
      <c r="Y1372" s="246" t="str">
        <f t="shared" si="127"/>
        <v/>
      </c>
      <c r="Z1372" s="247" t="str">
        <f t="shared" si="131"/>
        <v/>
      </c>
      <c r="AA1372" s="246" t="str">
        <f t="shared" si="128"/>
        <v/>
      </c>
    </row>
    <row r="1373" spans="1:27" x14ac:dyDescent="0.25">
      <c r="A1373" s="248" t="str">
        <f t="shared" si="129"/>
        <v/>
      </c>
      <c r="B1373" s="249" t="str">
        <f t="shared" si="130"/>
        <v/>
      </c>
      <c r="C1373" s="250"/>
      <c r="D1373" s="251"/>
      <c r="E1373" s="241"/>
      <c r="F1373" s="252"/>
      <c r="G1373" s="252"/>
      <c r="H1373" s="253"/>
      <c r="I1373" s="250"/>
      <c r="J1373" s="250"/>
      <c r="K1373" s="270"/>
      <c r="L1373" s="250"/>
      <c r="M1373" s="250"/>
      <c r="N1373" s="540" t="str">
        <f>CONCATENATE(IF(OR(M1373=phu!$I$1,M1373=phu!$I$2,M1373=phu!$I$3),"Cam Thành Nam",""),IF(OR(M1373=phu!$I$4,M1373=phu!$I$5,M1373=phu!$I$6,M1373=phu!$I$7,M1373=phu!$I$8,M1373=phu!$I$9,M1373=phu!$I$10,M1373=phu!$I$11,M1373=phu!$I$12,M1373=phu!$I$13,M1373=phu!$I$14),"Cam Nghĩa",""),IF(OR(M1373=phu!$I$15,M1373=phu!$I$16,M1373=phu!$I$17,M1373=phu!$I$18,M1373=phu!$I$19,M1373=phu!$I$20,M1373=phu!$I$21),"Cam Phúc Bắc",""),IF(OR(M1373=phu!$I$22,M1373=phu!$I$23,M1373=phu!$I$24,M1373=phu!$I$25),"Cam Phúc Nam",""),IF(OR(M1373=phu!$I$26,M1373=phu!$I$27,M1373=phu!$I$28,M1373=phu!$I$29,M1373=phu!$I$30,M1373=phu!$I$31),"Cam Phú",""),IF(OR(M1373=phu!$I$32,M1373=phu!$I$33,M1373=phu!$I$34,M1373=phu!$I$35,M1373=phu!$I$36,M1373=phu!$I$37),"Cam Lộc",""),IF(OR(M1373=phu!$I$38,M1373=phu!$I$39,M1373=phu!$I$40,M1373=phu!$I$41,M1373=phu!$I$42,M1373=phu!$I$43,M1373=phu!$I$44),"Cam Thuận",""),IF(OR(M1373=phu!$I$45,M1373=phu!$I$46,M1373=phu!$I$47,M1373=phu!$I$48,M1373=phu!$I$49,M1373=phu!$I$50,M1373=phu!$I$51,M1373=phu!$I$52,M1373=phu!$I$53),"Cam Linh",""),IF(OR(M1373=phu!$I$54,M1373=phu!$I$55,M1373=phu!$I$56,M1373=phu!$I$57,M1373=phu!$I$58,M1373=phu!$I$59,M1373=phu!$I$60,M1373=phu!$I$61,M1373=phu!$I$62),"Cam Lợi",""),IF(OR(M1373=phu!$I$63,M1373=phu!$I$64,M1373=phu!$I$65,M1373=phu!$I$66,M1373=phu!$I$67,M1373=phu!$I$68,M1373=phu!$I$69,M1373=phu!$I$70,M1373=phu!$I$71),"Ba Ngòi",""),IF(OR(M1373=phu!$I$72,M1373=phu!$I$73,M1373=phu!$I$74,M1373=phu!$I$75,M1373=phu!$I$76,M1373=phu!$I$77,M1373=phu!$I$78),"Cam Phước Đông",""),IF(OR(M1373=phu!$I$79,M1373=phu!$I$80,M1373=phu!$I$81,M1373=phu!$I$82,M1373=phu!$I$83,M1373=phu!$I$84),"Cam Thịnh Đông",""),IF(OR(M1373=phu!$I$85,M1373=phu!$I$86,M1373=phu!$I$87,M1373=phu!$I$88),"Cam Thịnh Tây",""),IF(OR(M1373=phu!$I$89,M1373=phu!$I$90),"Cam Lập",""),IF(OR(M1373=phu!$I$91,M1373=phu!$I$92,M1373=phu!$I$93),"Cam Bình",""),IF(OR(M1373=phu!$I$94,M1373=phu!$I$95,M1373=phu!$I$96,M1373=phu!$I$97,M1373=phu!$I$98,M1373=phu!$I$99,M1373=phu!$I$100),"Huyện khác",""),IF(OR(M1373=phu!$I$101,M1373=phu!$I$102),"Tỉnh khác",""))</f>
        <v/>
      </c>
      <c r="O1373" s="829" t="str">
        <f t="shared" si="126"/>
        <v/>
      </c>
      <c r="P1373" s="254"/>
      <c r="Q1373" s="254"/>
      <c r="R1373" s="254"/>
      <c r="S1373" s="254"/>
      <c r="T1373" s="254"/>
      <c r="U1373" s="254"/>
      <c r="V1373" s="254"/>
      <c r="W1373" s="254"/>
      <c r="Y1373" s="246" t="str">
        <f t="shared" si="127"/>
        <v/>
      </c>
      <c r="Z1373" s="247" t="str">
        <f t="shared" si="131"/>
        <v/>
      </c>
      <c r="AA1373" s="246" t="str">
        <f t="shared" si="128"/>
        <v/>
      </c>
    </row>
    <row r="1374" spans="1:27" x14ac:dyDescent="0.25">
      <c r="A1374" s="248" t="str">
        <f t="shared" si="129"/>
        <v/>
      </c>
      <c r="B1374" s="249" t="str">
        <f t="shared" si="130"/>
        <v/>
      </c>
      <c r="C1374" s="250"/>
      <c r="D1374" s="251"/>
      <c r="E1374" s="241"/>
      <c r="F1374" s="252"/>
      <c r="G1374" s="252"/>
      <c r="H1374" s="253"/>
      <c r="I1374" s="250"/>
      <c r="J1374" s="250"/>
      <c r="K1374" s="270"/>
      <c r="L1374" s="250"/>
      <c r="M1374" s="250"/>
      <c r="N1374" s="540" t="str">
        <f>CONCATENATE(IF(OR(M1374=phu!$I$1,M1374=phu!$I$2,M1374=phu!$I$3),"Cam Thành Nam",""),IF(OR(M1374=phu!$I$4,M1374=phu!$I$5,M1374=phu!$I$6,M1374=phu!$I$7,M1374=phu!$I$8,M1374=phu!$I$9,M1374=phu!$I$10,M1374=phu!$I$11,M1374=phu!$I$12,M1374=phu!$I$13,M1374=phu!$I$14),"Cam Nghĩa",""),IF(OR(M1374=phu!$I$15,M1374=phu!$I$16,M1374=phu!$I$17,M1374=phu!$I$18,M1374=phu!$I$19,M1374=phu!$I$20,M1374=phu!$I$21),"Cam Phúc Bắc",""),IF(OR(M1374=phu!$I$22,M1374=phu!$I$23,M1374=phu!$I$24,M1374=phu!$I$25),"Cam Phúc Nam",""),IF(OR(M1374=phu!$I$26,M1374=phu!$I$27,M1374=phu!$I$28,M1374=phu!$I$29,M1374=phu!$I$30,M1374=phu!$I$31),"Cam Phú",""),IF(OR(M1374=phu!$I$32,M1374=phu!$I$33,M1374=phu!$I$34,M1374=phu!$I$35,M1374=phu!$I$36,M1374=phu!$I$37),"Cam Lộc",""),IF(OR(M1374=phu!$I$38,M1374=phu!$I$39,M1374=phu!$I$40,M1374=phu!$I$41,M1374=phu!$I$42,M1374=phu!$I$43,M1374=phu!$I$44),"Cam Thuận",""),IF(OR(M1374=phu!$I$45,M1374=phu!$I$46,M1374=phu!$I$47,M1374=phu!$I$48,M1374=phu!$I$49,M1374=phu!$I$50,M1374=phu!$I$51,M1374=phu!$I$52,M1374=phu!$I$53),"Cam Linh",""),IF(OR(M1374=phu!$I$54,M1374=phu!$I$55,M1374=phu!$I$56,M1374=phu!$I$57,M1374=phu!$I$58,M1374=phu!$I$59,M1374=phu!$I$60,M1374=phu!$I$61,M1374=phu!$I$62),"Cam Lợi",""),IF(OR(M1374=phu!$I$63,M1374=phu!$I$64,M1374=phu!$I$65,M1374=phu!$I$66,M1374=phu!$I$67,M1374=phu!$I$68,M1374=phu!$I$69,M1374=phu!$I$70,M1374=phu!$I$71),"Ba Ngòi",""),IF(OR(M1374=phu!$I$72,M1374=phu!$I$73,M1374=phu!$I$74,M1374=phu!$I$75,M1374=phu!$I$76,M1374=phu!$I$77,M1374=phu!$I$78),"Cam Phước Đông",""),IF(OR(M1374=phu!$I$79,M1374=phu!$I$80,M1374=phu!$I$81,M1374=phu!$I$82,M1374=phu!$I$83,M1374=phu!$I$84),"Cam Thịnh Đông",""),IF(OR(M1374=phu!$I$85,M1374=phu!$I$86,M1374=phu!$I$87,M1374=phu!$I$88),"Cam Thịnh Tây",""),IF(OR(M1374=phu!$I$89,M1374=phu!$I$90),"Cam Lập",""),IF(OR(M1374=phu!$I$91,M1374=phu!$I$92,M1374=phu!$I$93),"Cam Bình",""),IF(OR(M1374=phu!$I$94,M1374=phu!$I$95,M1374=phu!$I$96,M1374=phu!$I$97,M1374=phu!$I$98,M1374=phu!$I$99,M1374=phu!$I$100),"Huyện khác",""),IF(OR(M1374=phu!$I$101,M1374=phu!$I$102),"Tỉnh khác",""))</f>
        <v/>
      </c>
      <c r="O1374" s="829" t="str">
        <f t="shared" si="126"/>
        <v/>
      </c>
      <c r="P1374" s="254"/>
      <c r="Q1374" s="254"/>
      <c r="R1374" s="254"/>
      <c r="S1374" s="254"/>
      <c r="T1374" s="254"/>
      <c r="U1374" s="254"/>
      <c r="V1374" s="254"/>
      <c r="W1374" s="254"/>
      <c r="Y1374" s="246" t="str">
        <f t="shared" si="127"/>
        <v/>
      </c>
      <c r="Z1374" s="247" t="str">
        <f t="shared" si="131"/>
        <v/>
      </c>
      <c r="AA1374" s="246" t="str">
        <f t="shared" si="128"/>
        <v/>
      </c>
    </row>
    <row r="1375" spans="1:27" x14ac:dyDescent="0.25">
      <c r="A1375" s="248" t="str">
        <f t="shared" si="129"/>
        <v/>
      </c>
      <c r="B1375" s="249" t="str">
        <f t="shared" si="130"/>
        <v/>
      </c>
      <c r="C1375" s="250"/>
      <c r="D1375" s="251"/>
      <c r="E1375" s="241"/>
      <c r="F1375" s="252"/>
      <c r="G1375" s="252"/>
      <c r="H1375" s="253"/>
      <c r="I1375" s="250"/>
      <c r="J1375" s="250"/>
      <c r="K1375" s="270"/>
      <c r="L1375" s="250"/>
      <c r="M1375" s="250"/>
      <c r="N1375" s="540" t="str">
        <f>CONCATENATE(IF(OR(M1375=phu!$I$1,M1375=phu!$I$2,M1375=phu!$I$3),"Cam Thành Nam",""),IF(OR(M1375=phu!$I$4,M1375=phu!$I$5,M1375=phu!$I$6,M1375=phu!$I$7,M1375=phu!$I$8,M1375=phu!$I$9,M1375=phu!$I$10,M1375=phu!$I$11,M1375=phu!$I$12,M1375=phu!$I$13,M1375=phu!$I$14),"Cam Nghĩa",""),IF(OR(M1375=phu!$I$15,M1375=phu!$I$16,M1375=phu!$I$17,M1375=phu!$I$18,M1375=phu!$I$19,M1375=phu!$I$20,M1375=phu!$I$21),"Cam Phúc Bắc",""),IF(OR(M1375=phu!$I$22,M1375=phu!$I$23,M1375=phu!$I$24,M1375=phu!$I$25),"Cam Phúc Nam",""),IF(OR(M1375=phu!$I$26,M1375=phu!$I$27,M1375=phu!$I$28,M1375=phu!$I$29,M1375=phu!$I$30,M1375=phu!$I$31),"Cam Phú",""),IF(OR(M1375=phu!$I$32,M1375=phu!$I$33,M1375=phu!$I$34,M1375=phu!$I$35,M1375=phu!$I$36,M1375=phu!$I$37),"Cam Lộc",""),IF(OR(M1375=phu!$I$38,M1375=phu!$I$39,M1375=phu!$I$40,M1375=phu!$I$41,M1375=phu!$I$42,M1375=phu!$I$43,M1375=phu!$I$44),"Cam Thuận",""),IF(OR(M1375=phu!$I$45,M1375=phu!$I$46,M1375=phu!$I$47,M1375=phu!$I$48,M1375=phu!$I$49,M1375=phu!$I$50,M1375=phu!$I$51,M1375=phu!$I$52,M1375=phu!$I$53),"Cam Linh",""),IF(OR(M1375=phu!$I$54,M1375=phu!$I$55,M1375=phu!$I$56,M1375=phu!$I$57,M1375=phu!$I$58,M1375=phu!$I$59,M1375=phu!$I$60,M1375=phu!$I$61,M1375=phu!$I$62),"Cam Lợi",""),IF(OR(M1375=phu!$I$63,M1375=phu!$I$64,M1375=phu!$I$65,M1375=phu!$I$66,M1375=phu!$I$67,M1375=phu!$I$68,M1375=phu!$I$69,M1375=phu!$I$70,M1375=phu!$I$71),"Ba Ngòi",""),IF(OR(M1375=phu!$I$72,M1375=phu!$I$73,M1375=phu!$I$74,M1375=phu!$I$75,M1375=phu!$I$76,M1375=phu!$I$77,M1375=phu!$I$78),"Cam Phước Đông",""),IF(OR(M1375=phu!$I$79,M1375=phu!$I$80,M1375=phu!$I$81,M1375=phu!$I$82,M1375=phu!$I$83,M1375=phu!$I$84),"Cam Thịnh Đông",""),IF(OR(M1375=phu!$I$85,M1375=phu!$I$86,M1375=phu!$I$87,M1375=phu!$I$88),"Cam Thịnh Tây",""),IF(OR(M1375=phu!$I$89,M1375=phu!$I$90),"Cam Lập",""),IF(OR(M1375=phu!$I$91,M1375=phu!$I$92,M1375=phu!$I$93),"Cam Bình",""),IF(OR(M1375=phu!$I$94,M1375=phu!$I$95,M1375=phu!$I$96,M1375=phu!$I$97,M1375=phu!$I$98,M1375=phu!$I$99,M1375=phu!$I$100),"Huyện khác",""),IF(OR(M1375=phu!$I$101,M1375=phu!$I$102),"Tỉnh khác",""))</f>
        <v/>
      </c>
      <c r="O1375" s="829" t="str">
        <f t="shared" si="126"/>
        <v/>
      </c>
      <c r="P1375" s="254"/>
      <c r="Q1375" s="254"/>
      <c r="R1375" s="254"/>
      <c r="S1375" s="254"/>
      <c r="T1375" s="254"/>
      <c r="U1375" s="254"/>
      <c r="V1375" s="254"/>
      <c r="W1375" s="254"/>
      <c r="Y1375" s="246" t="str">
        <f t="shared" si="127"/>
        <v/>
      </c>
      <c r="Z1375" s="247" t="str">
        <f t="shared" si="131"/>
        <v/>
      </c>
      <c r="AA1375" s="246" t="str">
        <f t="shared" si="128"/>
        <v/>
      </c>
    </row>
    <row r="1376" spans="1:27" x14ac:dyDescent="0.25">
      <c r="A1376" s="248" t="str">
        <f t="shared" si="129"/>
        <v/>
      </c>
      <c r="B1376" s="249" t="str">
        <f t="shared" si="130"/>
        <v/>
      </c>
      <c r="C1376" s="250"/>
      <c r="D1376" s="251"/>
      <c r="E1376" s="241"/>
      <c r="F1376" s="252"/>
      <c r="G1376" s="252"/>
      <c r="H1376" s="253"/>
      <c r="I1376" s="250"/>
      <c r="J1376" s="250"/>
      <c r="K1376" s="270"/>
      <c r="L1376" s="250"/>
      <c r="M1376" s="250"/>
      <c r="N1376" s="540" t="str">
        <f>CONCATENATE(IF(OR(M1376=phu!$I$1,M1376=phu!$I$2,M1376=phu!$I$3),"Cam Thành Nam",""),IF(OR(M1376=phu!$I$4,M1376=phu!$I$5,M1376=phu!$I$6,M1376=phu!$I$7,M1376=phu!$I$8,M1376=phu!$I$9,M1376=phu!$I$10,M1376=phu!$I$11,M1376=phu!$I$12,M1376=phu!$I$13,M1376=phu!$I$14),"Cam Nghĩa",""),IF(OR(M1376=phu!$I$15,M1376=phu!$I$16,M1376=phu!$I$17,M1376=phu!$I$18,M1376=phu!$I$19,M1376=phu!$I$20,M1376=phu!$I$21),"Cam Phúc Bắc",""),IF(OR(M1376=phu!$I$22,M1376=phu!$I$23,M1376=phu!$I$24,M1376=phu!$I$25),"Cam Phúc Nam",""),IF(OR(M1376=phu!$I$26,M1376=phu!$I$27,M1376=phu!$I$28,M1376=phu!$I$29,M1376=phu!$I$30,M1376=phu!$I$31),"Cam Phú",""),IF(OR(M1376=phu!$I$32,M1376=phu!$I$33,M1376=phu!$I$34,M1376=phu!$I$35,M1376=phu!$I$36,M1376=phu!$I$37),"Cam Lộc",""),IF(OR(M1376=phu!$I$38,M1376=phu!$I$39,M1376=phu!$I$40,M1376=phu!$I$41,M1376=phu!$I$42,M1376=phu!$I$43,M1376=phu!$I$44),"Cam Thuận",""),IF(OR(M1376=phu!$I$45,M1376=phu!$I$46,M1376=phu!$I$47,M1376=phu!$I$48,M1376=phu!$I$49,M1376=phu!$I$50,M1376=phu!$I$51,M1376=phu!$I$52,M1376=phu!$I$53),"Cam Linh",""),IF(OR(M1376=phu!$I$54,M1376=phu!$I$55,M1376=phu!$I$56,M1376=phu!$I$57,M1376=phu!$I$58,M1376=phu!$I$59,M1376=phu!$I$60,M1376=phu!$I$61,M1376=phu!$I$62),"Cam Lợi",""),IF(OR(M1376=phu!$I$63,M1376=phu!$I$64,M1376=phu!$I$65,M1376=phu!$I$66,M1376=phu!$I$67,M1376=phu!$I$68,M1376=phu!$I$69,M1376=phu!$I$70,M1376=phu!$I$71),"Ba Ngòi",""),IF(OR(M1376=phu!$I$72,M1376=phu!$I$73,M1376=phu!$I$74,M1376=phu!$I$75,M1376=phu!$I$76,M1376=phu!$I$77,M1376=phu!$I$78),"Cam Phước Đông",""),IF(OR(M1376=phu!$I$79,M1376=phu!$I$80,M1376=phu!$I$81,M1376=phu!$I$82,M1376=phu!$I$83,M1376=phu!$I$84),"Cam Thịnh Đông",""),IF(OR(M1376=phu!$I$85,M1376=phu!$I$86,M1376=phu!$I$87,M1376=phu!$I$88),"Cam Thịnh Tây",""),IF(OR(M1376=phu!$I$89,M1376=phu!$I$90),"Cam Lập",""),IF(OR(M1376=phu!$I$91,M1376=phu!$I$92,M1376=phu!$I$93),"Cam Bình",""),IF(OR(M1376=phu!$I$94,M1376=phu!$I$95,M1376=phu!$I$96,M1376=phu!$I$97,M1376=phu!$I$98,M1376=phu!$I$99,M1376=phu!$I$100),"Huyện khác",""),IF(OR(M1376=phu!$I$101,M1376=phu!$I$102),"Tỉnh khác",""))</f>
        <v/>
      </c>
      <c r="O1376" s="829" t="str">
        <f t="shared" si="126"/>
        <v/>
      </c>
      <c r="P1376" s="254"/>
      <c r="Q1376" s="254"/>
      <c r="R1376" s="254"/>
      <c r="S1376" s="254"/>
      <c r="T1376" s="254"/>
      <c r="U1376" s="254"/>
      <c r="V1376" s="254"/>
      <c r="W1376" s="254"/>
      <c r="Y1376" s="246" t="str">
        <f t="shared" si="127"/>
        <v/>
      </c>
      <c r="Z1376" s="247" t="str">
        <f t="shared" si="131"/>
        <v/>
      </c>
      <c r="AA1376" s="246" t="str">
        <f t="shared" si="128"/>
        <v/>
      </c>
    </row>
    <row r="1377" spans="1:27" x14ac:dyDescent="0.25">
      <c r="A1377" s="248" t="str">
        <f t="shared" si="129"/>
        <v/>
      </c>
      <c r="B1377" s="249" t="str">
        <f t="shared" si="130"/>
        <v/>
      </c>
      <c r="C1377" s="250"/>
      <c r="D1377" s="251"/>
      <c r="E1377" s="241"/>
      <c r="F1377" s="252"/>
      <c r="G1377" s="252"/>
      <c r="H1377" s="253"/>
      <c r="I1377" s="250"/>
      <c r="J1377" s="250"/>
      <c r="K1377" s="270"/>
      <c r="L1377" s="250"/>
      <c r="M1377" s="250"/>
      <c r="N1377" s="540" t="str">
        <f>CONCATENATE(IF(OR(M1377=phu!$I$1,M1377=phu!$I$2,M1377=phu!$I$3),"Cam Thành Nam",""),IF(OR(M1377=phu!$I$4,M1377=phu!$I$5,M1377=phu!$I$6,M1377=phu!$I$7,M1377=phu!$I$8,M1377=phu!$I$9,M1377=phu!$I$10,M1377=phu!$I$11,M1377=phu!$I$12,M1377=phu!$I$13,M1377=phu!$I$14),"Cam Nghĩa",""),IF(OR(M1377=phu!$I$15,M1377=phu!$I$16,M1377=phu!$I$17,M1377=phu!$I$18,M1377=phu!$I$19,M1377=phu!$I$20,M1377=phu!$I$21),"Cam Phúc Bắc",""),IF(OR(M1377=phu!$I$22,M1377=phu!$I$23,M1377=phu!$I$24,M1377=phu!$I$25),"Cam Phúc Nam",""),IF(OR(M1377=phu!$I$26,M1377=phu!$I$27,M1377=phu!$I$28,M1377=phu!$I$29,M1377=phu!$I$30,M1377=phu!$I$31),"Cam Phú",""),IF(OR(M1377=phu!$I$32,M1377=phu!$I$33,M1377=phu!$I$34,M1377=phu!$I$35,M1377=phu!$I$36,M1377=phu!$I$37),"Cam Lộc",""),IF(OR(M1377=phu!$I$38,M1377=phu!$I$39,M1377=phu!$I$40,M1377=phu!$I$41,M1377=phu!$I$42,M1377=phu!$I$43,M1377=phu!$I$44),"Cam Thuận",""),IF(OR(M1377=phu!$I$45,M1377=phu!$I$46,M1377=phu!$I$47,M1377=phu!$I$48,M1377=phu!$I$49,M1377=phu!$I$50,M1377=phu!$I$51,M1377=phu!$I$52,M1377=phu!$I$53),"Cam Linh",""),IF(OR(M1377=phu!$I$54,M1377=phu!$I$55,M1377=phu!$I$56,M1377=phu!$I$57,M1377=phu!$I$58,M1377=phu!$I$59,M1377=phu!$I$60,M1377=phu!$I$61,M1377=phu!$I$62),"Cam Lợi",""),IF(OR(M1377=phu!$I$63,M1377=phu!$I$64,M1377=phu!$I$65,M1377=phu!$I$66,M1377=phu!$I$67,M1377=phu!$I$68,M1377=phu!$I$69,M1377=phu!$I$70,M1377=phu!$I$71),"Ba Ngòi",""),IF(OR(M1377=phu!$I$72,M1377=phu!$I$73,M1377=phu!$I$74,M1377=phu!$I$75,M1377=phu!$I$76,M1377=phu!$I$77,M1377=phu!$I$78),"Cam Phước Đông",""),IF(OR(M1377=phu!$I$79,M1377=phu!$I$80,M1377=phu!$I$81,M1377=phu!$I$82,M1377=phu!$I$83,M1377=phu!$I$84),"Cam Thịnh Đông",""),IF(OR(M1377=phu!$I$85,M1377=phu!$I$86,M1377=phu!$I$87,M1377=phu!$I$88),"Cam Thịnh Tây",""),IF(OR(M1377=phu!$I$89,M1377=phu!$I$90),"Cam Lập",""),IF(OR(M1377=phu!$I$91,M1377=phu!$I$92,M1377=phu!$I$93),"Cam Bình",""),IF(OR(M1377=phu!$I$94,M1377=phu!$I$95,M1377=phu!$I$96,M1377=phu!$I$97,M1377=phu!$I$98,M1377=phu!$I$99,M1377=phu!$I$100),"Huyện khác",""),IF(OR(M1377=phu!$I$101,M1377=phu!$I$102),"Tỉnh khác",""))</f>
        <v/>
      </c>
      <c r="O1377" s="829" t="str">
        <f t="shared" si="126"/>
        <v/>
      </c>
      <c r="P1377" s="254"/>
      <c r="Q1377" s="254"/>
      <c r="R1377" s="254"/>
      <c r="S1377" s="254"/>
      <c r="T1377" s="254"/>
      <c r="U1377" s="254"/>
      <c r="V1377" s="254"/>
      <c r="W1377" s="254"/>
      <c r="Y1377" s="246" t="str">
        <f t="shared" si="127"/>
        <v/>
      </c>
      <c r="Z1377" s="247" t="str">
        <f t="shared" si="131"/>
        <v/>
      </c>
      <c r="AA1377" s="246" t="str">
        <f t="shared" si="128"/>
        <v/>
      </c>
    </row>
    <row r="1378" spans="1:27" x14ac:dyDescent="0.25">
      <c r="A1378" s="248" t="str">
        <f t="shared" si="129"/>
        <v/>
      </c>
      <c r="B1378" s="249" t="str">
        <f t="shared" si="130"/>
        <v/>
      </c>
      <c r="C1378" s="250"/>
      <c r="D1378" s="251"/>
      <c r="E1378" s="241"/>
      <c r="F1378" s="252"/>
      <c r="G1378" s="252"/>
      <c r="H1378" s="253"/>
      <c r="I1378" s="250"/>
      <c r="J1378" s="250"/>
      <c r="K1378" s="270"/>
      <c r="L1378" s="250"/>
      <c r="M1378" s="250"/>
      <c r="N1378" s="540" t="str">
        <f>CONCATENATE(IF(OR(M1378=phu!$I$1,M1378=phu!$I$2,M1378=phu!$I$3),"Cam Thành Nam",""),IF(OR(M1378=phu!$I$4,M1378=phu!$I$5,M1378=phu!$I$6,M1378=phu!$I$7,M1378=phu!$I$8,M1378=phu!$I$9,M1378=phu!$I$10,M1378=phu!$I$11,M1378=phu!$I$12,M1378=phu!$I$13,M1378=phu!$I$14),"Cam Nghĩa",""),IF(OR(M1378=phu!$I$15,M1378=phu!$I$16,M1378=phu!$I$17,M1378=phu!$I$18,M1378=phu!$I$19,M1378=phu!$I$20,M1378=phu!$I$21),"Cam Phúc Bắc",""),IF(OR(M1378=phu!$I$22,M1378=phu!$I$23,M1378=phu!$I$24,M1378=phu!$I$25),"Cam Phúc Nam",""),IF(OR(M1378=phu!$I$26,M1378=phu!$I$27,M1378=phu!$I$28,M1378=phu!$I$29,M1378=phu!$I$30,M1378=phu!$I$31),"Cam Phú",""),IF(OR(M1378=phu!$I$32,M1378=phu!$I$33,M1378=phu!$I$34,M1378=phu!$I$35,M1378=phu!$I$36,M1378=phu!$I$37),"Cam Lộc",""),IF(OR(M1378=phu!$I$38,M1378=phu!$I$39,M1378=phu!$I$40,M1378=phu!$I$41,M1378=phu!$I$42,M1378=phu!$I$43,M1378=phu!$I$44),"Cam Thuận",""),IF(OR(M1378=phu!$I$45,M1378=phu!$I$46,M1378=phu!$I$47,M1378=phu!$I$48,M1378=phu!$I$49,M1378=phu!$I$50,M1378=phu!$I$51,M1378=phu!$I$52,M1378=phu!$I$53),"Cam Linh",""),IF(OR(M1378=phu!$I$54,M1378=phu!$I$55,M1378=phu!$I$56,M1378=phu!$I$57,M1378=phu!$I$58,M1378=phu!$I$59,M1378=phu!$I$60,M1378=phu!$I$61,M1378=phu!$I$62),"Cam Lợi",""),IF(OR(M1378=phu!$I$63,M1378=phu!$I$64,M1378=phu!$I$65,M1378=phu!$I$66,M1378=phu!$I$67,M1378=phu!$I$68,M1378=phu!$I$69,M1378=phu!$I$70,M1378=phu!$I$71),"Ba Ngòi",""),IF(OR(M1378=phu!$I$72,M1378=phu!$I$73,M1378=phu!$I$74,M1378=phu!$I$75,M1378=phu!$I$76,M1378=phu!$I$77,M1378=phu!$I$78),"Cam Phước Đông",""),IF(OR(M1378=phu!$I$79,M1378=phu!$I$80,M1378=phu!$I$81,M1378=phu!$I$82,M1378=phu!$I$83,M1378=phu!$I$84),"Cam Thịnh Đông",""),IF(OR(M1378=phu!$I$85,M1378=phu!$I$86,M1378=phu!$I$87,M1378=phu!$I$88),"Cam Thịnh Tây",""),IF(OR(M1378=phu!$I$89,M1378=phu!$I$90),"Cam Lập",""),IF(OR(M1378=phu!$I$91,M1378=phu!$I$92,M1378=phu!$I$93),"Cam Bình",""),IF(OR(M1378=phu!$I$94,M1378=phu!$I$95,M1378=phu!$I$96,M1378=phu!$I$97,M1378=phu!$I$98,M1378=phu!$I$99,M1378=phu!$I$100),"Huyện khác",""),IF(OR(M1378=phu!$I$101,M1378=phu!$I$102),"Tỉnh khác",""))</f>
        <v/>
      </c>
      <c r="O1378" s="829" t="str">
        <f t="shared" si="126"/>
        <v/>
      </c>
      <c r="P1378" s="254"/>
      <c r="Q1378" s="254"/>
      <c r="R1378" s="254"/>
      <c r="S1378" s="254"/>
      <c r="T1378" s="254"/>
      <c r="U1378" s="254"/>
      <c r="V1378" s="254"/>
      <c r="W1378" s="254"/>
      <c r="Y1378" s="246" t="str">
        <f t="shared" si="127"/>
        <v/>
      </c>
      <c r="Z1378" s="247" t="str">
        <f t="shared" si="131"/>
        <v/>
      </c>
      <c r="AA1378" s="246" t="str">
        <f t="shared" si="128"/>
        <v/>
      </c>
    </row>
    <row r="1379" spans="1:27" x14ac:dyDescent="0.25">
      <c r="A1379" s="248" t="str">
        <f t="shared" si="129"/>
        <v/>
      </c>
      <c r="B1379" s="249" t="str">
        <f t="shared" si="130"/>
        <v/>
      </c>
      <c r="C1379" s="250"/>
      <c r="D1379" s="251"/>
      <c r="E1379" s="241"/>
      <c r="F1379" s="252"/>
      <c r="G1379" s="252"/>
      <c r="H1379" s="253"/>
      <c r="I1379" s="250"/>
      <c r="J1379" s="250"/>
      <c r="K1379" s="270"/>
      <c r="L1379" s="250"/>
      <c r="M1379" s="250"/>
      <c r="N1379" s="540" t="str">
        <f>CONCATENATE(IF(OR(M1379=phu!$I$1,M1379=phu!$I$2,M1379=phu!$I$3),"Cam Thành Nam",""),IF(OR(M1379=phu!$I$4,M1379=phu!$I$5,M1379=phu!$I$6,M1379=phu!$I$7,M1379=phu!$I$8,M1379=phu!$I$9,M1379=phu!$I$10,M1379=phu!$I$11,M1379=phu!$I$12,M1379=phu!$I$13,M1379=phu!$I$14),"Cam Nghĩa",""),IF(OR(M1379=phu!$I$15,M1379=phu!$I$16,M1379=phu!$I$17,M1379=phu!$I$18,M1379=phu!$I$19,M1379=phu!$I$20,M1379=phu!$I$21),"Cam Phúc Bắc",""),IF(OR(M1379=phu!$I$22,M1379=phu!$I$23,M1379=phu!$I$24,M1379=phu!$I$25),"Cam Phúc Nam",""),IF(OR(M1379=phu!$I$26,M1379=phu!$I$27,M1379=phu!$I$28,M1379=phu!$I$29,M1379=phu!$I$30,M1379=phu!$I$31),"Cam Phú",""),IF(OR(M1379=phu!$I$32,M1379=phu!$I$33,M1379=phu!$I$34,M1379=phu!$I$35,M1379=phu!$I$36,M1379=phu!$I$37),"Cam Lộc",""),IF(OR(M1379=phu!$I$38,M1379=phu!$I$39,M1379=phu!$I$40,M1379=phu!$I$41,M1379=phu!$I$42,M1379=phu!$I$43,M1379=phu!$I$44),"Cam Thuận",""),IF(OR(M1379=phu!$I$45,M1379=phu!$I$46,M1379=phu!$I$47,M1379=phu!$I$48,M1379=phu!$I$49,M1379=phu!$I$50,M1379=phu!$I$51,M1379=phu!$I$52,M1379=phu!$I$53),"Cam Linh",""),IF(OR(M1379=phu!$I$54,M1379=phu!$I$55,M1379=phu!$I$56,M1379=phu!$I$57,M1379=phu!$I$58,M1379=phu!$I$59,M1379=phu!$I$60,M1379=phu!$I$61,M1379=phu!$I$62),"Cam Lợi",""),IF(OR(M1379=phu!$I$63,M1379=phu!$I$64,M1379=phu!$I$65,M1379=phu!$I$66,M1379=phu!$I$67,M1379=phu!$I$68,M1379=phu!$I$69,M1379=phu!$I$70,M1379=phu!$I$71),"Ba Ngòi",""),IF(OR(M1379=phu!$I$72,M1379=phu!$I$73,M1379=phu!$I$74,M1379=phu!$I$75,M1379=phu!$I$76,M1379=phu!$I$77,M1379=phu!$I$78),"Cam Phước Đông",""),IF(OR(M1379=phu!$I$79,M1379=phu!$I$80,M1379=phu!$I$81,M1379=phu!$I$82,M1379=phu!$I$83,M1379=phu!$I$84),"Cam Thịnh Đông",""),IF(OR(M1379=phu!$I$85,M1379=phu!$I$86,M1379=phu!$I$87,M1379=phu!$I$88),"Cam Thịnh Tây",""),IF(OR(M1379=phu!$I$89,M1379=phu!$I$90),"Cam Lập",""),IF(OR(M1379=phu!$I$91,M1379=phu!$I$92,M1379=phu!$I$93),"Cam Bình",""),IF(OR(M1379=phu!$I$94,M1379=phu!$I$95,M1379=phu!$I$96,M1379=phu!$I$97,M1379=phu!$I$98,M1379=phu!$I$99,M1379=phu!$I$100),"Huyện khác",""),IF(OR(M1379=phu!$I$101,M1379=phu!$I$102),"Tỉnh khác",""))</f>
        <v/>
      </c>
      <c r="O1379" s="829" t="str">
        <f t="shared" si="126"/>
        <v/>
      </c>
      <c r="P1379" s="254"/>
      <c r="Q1379" s="254"/>
      <c r="R1379" s="254"/>
      <c r="S1379" s="254"/>
      <c r="T1379" s="254"/>
      <c r="U1379" s="254"/>
      <c r="V1379" s="254"/>
      <c r="W1379" s="254"/>
      <c r="Y1379" s="246" t="str">
        <f t="shared" si="127"/>
        <v/>
      </c>
      <c r="Z1379" s="247" t="str">
        <f t="shared" si="131"/>
        <v/>
      </c>
      <c r="AA1379" s="246" t="str">
        <f t="shared" si="128"/>
        <v/>
      </c>
    </row>
    <row r="1380" spans="1:27" x14ac:dyDescent="0.25">
      <c r="A1380" s="248" t="str">
        <f t="shared" si="129"/>
        <v/>
      </c>
      <c r="B1380" s="249" t="str">
        <f t="shared" si="130"/>
        <v/>
      </c>
      <c r="C1380" s="250"/>
      <c r="D1380" s="251"/>
      <c r="E1380" s="241"/>
      <c r="F1380" s="252"/>
      <c r="G1380" s="252"/>
      <c r="H1380" s="253"/>
      <c r="I1380" s="250"/>
      <c r="J1380" s="250"/>
      <c r="K1380" s="270"/>
      <c r="L1380" s="250"/>
      <c r="M1380" s="250"/>
      <c r="N1380" s="540" t="str">
        <f>CONCATENATE(IF(OR(M1380=phu!$I$1,M1380=phu!$I$2,M1380=phu!$I$3),"Cam Thành Nam",""),IF(OR(M1380=phu!$I$4,M1380=phu!$I$5,M1380=phu!$I$6,M1380=phu!$I$7,M1380=phu!$I$8,M1380=phu!$I$9,M1380=phu!$I$10,M1380=phu!$I$11,M1380=phu!$I$12,M1380=phu!$I$13,M1380=phu!$I$14),"Cam Nghĩa",""),IF(OR(M1380=phu!$I$15,M1380=phu!$I$16,M1380=phu!$I$17,M1380=phu!$I$18,M1380=phu!$I$19,M1380=phu!$I$20,M1380=phu!$I$21),"Cam Phúc Bắc",""),IF(OR(M1380=phu!$I$22,M1380=phu!$I$23,M1380=phu!$I$24,M1380=phu!$I$25),"Cam Phúc Nam",""),IF(OR(M1380=phu!$I$26,M1380=phu!$I$27,M1380=phu!$I$28,M1380=phu!$I$29,M1380=phu!$I$30,M1380=phu!$I$31),"Cam Phú",""),IF(OR(M1380=phu!$I$32,M1380=phu!$I$33,M1380=phu!$I$34,M1380=phu!$I$35,M1380=phu!$I$36,M1380=phu!$I$37),"Cam Lộc",""),IF(OR(M1380=phu!$I$38,M1380=phu!$I$39,M1380=phu!$I$40,M1380=phu!$I$41,M1380=phu!$I$42,M1380=phu!$I$43,M1380=phu!$I$44),"Cam Thuận",""),IF(OR(M1380=phu!$I$45,M1380=phu!$I$46,M1380=phu!$I$47,M1380=phu!$I$48,M1380=phu!$I$49,M1380=phu!$I$50,M1380=phu!$I$51,M1380=phu!$I$52,M1380=phu!$I$53),"Cam Linh",""),IF(OR(M1380=phu!$I$54,M1380=phu!$I$55,M1380=phu!$I$56,M1380=phu!$I$57,M1380=phu!$I$58,M1380=phu!$I$59,M1380=phu!$I$60,M1380=phu!$I$61,M1380=phu!$I$62),"Cam Lợi",""),IF(OR(M1380=phu!$I$63,M1380=phu!$I$64,M1380=phu!$I$65,M1380=phu!$I$66,M1380=phu!$I$67,M1380=phu!$I$68,M1380=phu!$I$69,M1380=phu!$I$70,M1380=phu!$I$71),"Ba Ngòi",""),IF(OR(M1380=phu!$I$72,M1380=phu!$I$73,M1380=phu!$I$74,M1380=phu!$I$75,M1380=phu!$I$76,M1380=phu!$I$77,M1380=phu!$I$78),"Cam Phước Đông",""),IF(OR(M1380=phu!$I$79,M1380=phu!$I$80,M1380=phu!$I$81,M1380=phu!$I$82,M1380=phu!$I$83,M1380=phu!$I$84),"Cam Thịnh Đông",""),IF(OR(M1380=phu!$I$85,M1380=phu!$I$86,M1380=phu!$I$87,M1380=phu!$I$88),"Cam Thịnh Tây",""),IF(OR(M1380=phu!$I$89,M1380=phu!$I$90),"Cam Lập",""),IF(OR(M1380=phu!$I$91,M1380=phu!$I$92,M1380=phu!$I$93),"Cam Bình",""),IF(OR(M1380=phu!$I$94,M1380=phu!$I$95,M1380=phu!$I$96,M1380=phu!$I$97,M1380=phu!$I$98,M1380=phu!$I$99,M1380=phu!$I$100),"Huyện khác",""),IF(OR(M1380=phu!$I$101,M1380=phu!$I$102),"Tỉnh khác",""))</f>
        <v/>
      </c>
      <c r="O1380" s="829" t="str">
        <f t="shared" si="126"/>
        <v/>
      </c>
      <c r="P1380" s="254"/>
      <c r="Q1380" s="254"/>
      <c r="R1380" s="254"/>
      <c r="S1380" s="254"/>
      <c r="T1380" s="254"/>
      <c r="U1380" s="254"/>
      <c r="V1380" s="254"/>
      <c r="W1380" s="254"/>
      <c r="Y1380" s="246" t="str">
        <f t="shared" si="127"/>
        <v/>
      </c>
      <c r="Z1380" s="247" t="str">
        <f t="shared" si="131"/>
        <v/>
      </c>
      <c r="AA1380" s="246" t="str">
        <f t="shared" si="128"/>
        <v/>
      </c>
    </row>
    <row r="1381" spans="1:27" x14ac:dyDescent="0.25">
      <c r="A1381" s="248" t="str">
        <f t="shared" si="129"/>
        <v/>
      </c>
      <c r="B1381" s="249" t="str">
        <f t="shared" si="130"/>
        <v/>
      </c>
      <c r="C1381" s="250"/>
      <c r="D1381" s="251"/>
      <c r="E1381" s="241"/>
      <c r="F1381" s="252"/>
      <c r="G1381" s="252"/>
      <c r="H1381" s="253"/>
      <c r="I1381" s="250"/>
      <c r="J1381" s="250"/>
      <c r="K1381" s="270"/>
      <c r="L1381" s="250"/>
      <c r="M1381" s="250"/>
      <c r="N1381" s="540" t="str">
        <f>CONCATENATE(IF(OR(M1381=phu!$I$1,M1381=phu!$I$2,M1381=phu!$I$3),"Cam Thành Nam",""),IF(OR(M1381=phu!$I$4,M1381=phu!$I$5,M1381=phu!$I$6,M1381=phu!$I$7,M1381=phu!$I$8,M1381=phu!$I$9,M1381=phu!$I$10,M1381=phu!$I$11,M1381=phu!$I$12,M1381=phu!$I$13,M1381=phu!$I$14),"Cam Nghĩa",""),IF(OR(M1381=phu!$I$15,M1381=phu!$I$16,M1381=phu!$I$17,M1381=phu!$I$18,M1381=phu!$I$19,M1381=phu!$I$20,M1381=phu!$I$21),"Cam Phúc Bắc",""),IF(OR(M1381=phu!$I$22,M1381=phu!$I$23,M1381=phu!$I$24,M1381=phu!$I$25),"Cam Phúc Nam",""),IF(OR(M1381=phu!$I$26,M1381=phu!$I$27,M1381=phu!$I$28,M1381=phu!$I$29,M1381=phu!$I$30,M1381=phu!$I$31),"Cam Phú",""),IF(OR(M1381=phu!$I$32,M1381=phu!$I$33,M1381=phu!$I$34,M1381=phu!$I$35,M1381=phu!$I$36,M1381=phu!$I$37),"Cam Lộc",""),IF(OR(M1381=phu!$I$38,M1381=phu!$I$39,M1381=phu!$I$40,M1381=phu!$I$41,M1381=phu!$I$42,M1381=phu!$I$43,M1381=phu!$I$44),"Cam Thuận",""),IF(OR(M1381=phu!$I$45,M1381=phu!$I$46,M1381=phu!$I$47,M1381=phu!$I$48,M1381=phu!$I$49,M1381=phu!$I$50,M1381=phu!$I$51,M1381=phu!$I$52,M1381=phu!$I$53),"Cam Linh",""),IF(OR(M1381=phu!$I$54,M1381=phu!$I$55,M1381=phu!$I$56,M1381=phu!$I$57,M1381=phu!$I$58,M1381=phu!$I$59,M1381=phu!$I$60,M1381=phu!$I$61,M1381=phu!$I$62),"Cam Lợi",""),IF(OR(M1381=phu!$I$63,M1381=phu!$I$64,M1381=phu!$I$65,M1381=phu!$I$66,M1381=phu!$I$67,M1381=phu!$I$68,M1381=phu!$I$69,M1381=phu!$I$70,M1381=phu!$I$71),"Ba Ngòi",""),IF(OR(M1381=phu!$I$72,M1381=phu!$I$73,M1381=phu!$I$74,M1381=phu!$I$75,M1381=phu!$I$76,M1381=phu!$I$77,M1381=phu!$I$78),"Cam Phước Đông",""),IF(OR(M1381=phu!$I$79,M1381=phu!$I$80,M1381=phu!$I$81,M1381=phu!$I$82,M1381=phu!$I$83,M1381=phu!$I$84),"Cam Thịnh Đông",""),IF(OR(M1381=phu!$I$85,M1381=phu!$I$86,M1381=phu!$I$87,M1381=phu!$I$88),"Cam Thịnh Tây",""),IF(OR(M1381=phu!$I$89,M1381=phu!$I$90),"Cam Lập",""),IF(OR(M1381=phu!$I$91,M1381=phu!$I$92,M1381=phu!$I$93),"Cam Bình",""),IF(OR(M1381=phu!$I$94,M1381=phu!$I$95,M1381=phu!$I$96,M1381=phu!$I$97,M1381=phu!$I$98,M1381=phu!$I$99,M1381=phu!$I$100),"Huyện khác",""),IF(OR(M1381=phu!$I$101,M1381=phu!$I$102),"Tỉnh khác",""))</f>
        <v/>
      </c>
      <c r="O1381" s="829" t="str">
        <f t="shared" si="126"/>
        <v/>
      </c>
      <c r="P1381" s="254"/>
      <c r="Q1381" s="254"/>
      <c r="R1381" s="254"/>
      <c r="S1381" s="254"/>
      <c r="T1381" s="254"/>
      <c r="U1381" s="254"/>
      <c r="V1381" s="254"/>
      <c r="W1381" s="254"/>
      <c r="Y1381" s="246" t="str">
        <f t="shared" si="127"/>
        <v/>
      </c>
      <c r="Z1381" s="247" t="str">
        <f t="shared" si="131"/>
        <v/>
      </c>
      <c r="AA1381" s="246" t="str">
        <f t="shared" si="128"/>
        <v/>
      </c>
    </row>
    <row r="1382" spans="1:27" x14ac:dyDescent="0.25">
      <c r="A1382" s="248" t="str">
        <f t="shared" si="129"/>
        <v/>
      </c>
      <c r="B1382" s="249" t="str">
        <f t="shared" si="130"/>
        <v/>
      </c>
      <c r="C1382" s="250"/>
      <c r="D1382" s="251"/>
      <c r="E1382" s="241"/>
      <c r="F1382" s="252"/>
      <c r="G1382" s="252"/>
      <c r="H1382" s="253"/>
      <c r="I1382" s="250"/>
      <c r="J1382" s="250"/>
      <c r="K1382" s="270"/>
      <c r="L1382" s="250"/>
      <c r="M1382" s="250"/>
      <c r="N1382" s="540" t="str">
        <f>CONCATENATE(IF(OR(M1382=phu!$I$1,M1382=phu!$I$2,M1382=phu!$I$3),"Cam Thành Nam",""),IF(OR(M1382=phu!$I$4,M1382=phu!$I$5,M1382=phu!$I$6,M1382=phu!$I$7,M1382=phu!$I$8,M1382=phu!$I$9,M1382=phu!$I$10,M1382=phu!$I$11,M1382=phu!$I$12,M1382=phu!$I$13,M1382=phu!$I$14),"Cam Nghĩa",""),IF(OR(M1382=phu!$I$15,M1382=phu!$I$16,M1382=phu!$I$17,M1382=phu!$I$18,M1382=phu!$I$19,M1382=phu!$I$20,M1382=phu!$I$21),"Cam Phúc Bắc",""),IF(OR(M1382=phu!$I$22,M1382=phu!$I$23,M1382=phu!$I$24,M1382=phu!$I$25),"Cam Phúc Nam",""),IF(OR(M1382=phu!$I$26,M1382=phu!$I$27,M1382=phu!$I$28,M1382=phu!$I$29,M1382=phu!$I$30,M1382=phu!$I$31),"Cam Phú",""),IF(OR(M1382=phu!$I$32,M1382=phu!$I$33,M1382=phu!$I$34,M1382=phu!$I$35,M1382=phu!$I$36,M1382=phu!$I$37),"Cam Lộc",""),IF(OR(M1382=phu!$I$38,M1382=phu!$I$39,M1382=phu!$I$40,M1382=phu!$I$41,M1382=phu!$I$42,M1382=phu!$I$43,M1382=phu!$I$44),"Cam Thuận",""),IF(OR(M1382=phu!$I$45,M1382=phu!$I$46,M1382=phu!$I$47,M1382=phu!$I$48,M1382=phu!$I$49,M1382=phu!$I$50,M1382=phu!$I$51,M1382=phu!$I$52,M1382=phu!$I$53),"Cam Linh",""),IF(OR(M1382=phu!$I$54,M1382=phu!$I$55,M1382=phu!$I$56,M1382=phu!$I$57,M1382=phu!$I$58,M1382=phu!$I$59,M1382=phu!$I$60,M1382=phu!$I$61,M1382=phu!$I$62),"Cam Lợi",""),IF(OR(M1382=phu!$I$63,M1382=phu!$I$64,M1382=phu!$I$65,M1382=phu!$I$66,M1382=phu!$I$67,M1382=phu!$I$68,M1382=phu!$I$69,M1382=phu!$I$70,M1382=phu!$I$71),"Ba Ngòi",""),IF(OR(M1382=phu!$I$72,M1382=phu!$I$73,M1382=phu!$I$74,M1382=phu!$I$75,M1382=phu!$I$76,M1382=phu!$I$77,M1382=phu!$I$78),"Cam Phước Đông",""),IF(OR(M1382=phu!$I$79,M1382=phu!$I$80,M1382=phu!$I$81,M1382=phu!$I$82,M1382=phu!$I$83,M1382=phu!$I$84),"Cam Thịnh Đông",""),IF(OR(M1382=phu!$I$85,M1382=phu!$I$86,M1382=phu!$I$87,M1382=phu!$I$88),"Cam Thịnh Tây",""),IF(OR(M1382=phu!$I$89,M1382=phu!$I$90),"Cam Lập",""),IF(OR(M1382=phu!$I$91,M1382=phu!$I$92,M1382=phu!$I$93),"Cam Bình",""),IF(OR(M1382=phu!$I$94,M1382=phu!$I$95,M1382=phu!$I$96,M1382=phu!$I$97,M1382=phu!$I$98,M1382=phu!$I$99,M1382=phu!$I$100),"Huyện khác",""),IF(OR(M1382=phu!$I$101,M1382=phu!$I$102),"Tỉnh khác",""))</f>
        <v/>
      </c>
      <c r="O1382" s="829" t="str">
        <f t="shared" si="126"/>
        <v/>
      </c>
      <c r="P1382" s="254"/>
      <c r="Q1382" s="254"/>
      <c r="R1382" s="254"/>
      <c r="S1382" s="254"/>
      <c r="T1382" s="254"/>
      <c r="U1382" s="254"/>
      <c r="V1382" s="254"/>
      <c r="W1382" s="254"/>
      <c r="Y1382" s="246" t="str">
        <f t="shared" si="127"/>
        <v/>
      </c>
      <c r="Z1382" s="247" t="str">
        <f t="shared" si="131"/>
        <v/>
      </c>
      <c r="AA1382" s="246" t="str">
        <f t="shared" si="128"/>
        <v/>
      </c>
    </row>
    <row r="1383" spans="1:27" x14ac:dyDescent="0.25">
      <c r="A1383" s="248" t="str">
        <f t="shared" si="129"/>
        <v/>
      </c>
      <c r="B1383" s="249" t="str">
        <f t="shared" si="130"/>
        <v/>
      </c>
      <c r="C1383" s="250"/>
      <c r="D1383" s="251"/>
      <c r="E1383" s="241"/>
      <c r="F1383" s="252"/>
      <c r="G1383" s="252"/>
      <c r="H1383" s="253"/>
      <c r="I1383" s="250"/>
      <c r="J1383" s="250"/>
      <c r="K1383" s="270"/>
      <c r="L1383" s="250"/>
      <c r="M1383" s="250"/>
      <c r="N1383" s="540" t="str">
        <f>CONCATENATE(IF(OR(M1383=phu!$I$1,M1383=phu!$I$2,M1383=phu!$I$3),"Cam Thành Nam",""),IF(OR(M1383=phu!$I$4,M1383=phu!$I$5,M1383=phu!$I$6,M1383=phu!$I$7,M1383=phu!$I$8,M1383=phu!$I$9,M1383=phu!$I$10,M1383=phu!$I$11,M1383=phu!$I$12,M1383=phu!$I$13,M1383=phu!$I$14),"Cam Nghĩa",""),IF(OR(M1383=phu!$I$15,M1383=phu!$I$16,M1383=phu!$I$17,M1383=phu!$I$18,M1383=phu!$I$19,M1383=phu!$I$20,M1383=phu!$I$21),"Cam Phúc Bắc",""),IF(OR(M1383=phu!$I$22,M1383=phu!$I$23,M1383=phu!$I$24,M1383=phu!$I$25),"Cam Phúc Nam",""),IF(OR(M1383=phu!$I$26,M1383=phu!$I$27,M1383=phu!$I$28,M1383=phu!$I$29,M1383=phu!$I$30,M1383=phu!$I$31),"Cam Phú",""),IF(OR(M1383=phu!$I$32,M1383=phu!$I$33,M1383=phu!$I$34,M1383=phu!$I$35,M1383=phu!$I$36,M1383=phu!$I$37),"Cam Lộc",""),IF(OR(M1383=phu!$I$38,M1383=phu!$I$39,M1383=phu!$I$40,M1383=phu!$I$41,M1383=phu!$I$42,M1383=phu!$I$43,M1383=phu!$I$44),"Cam Thuận",""),IF(OR(M1383=phu!$I$45,M1383=phu!$I$46,M1383=phu!$I$47,M1383=phu!$I$48,M1383=phu!$I$49,M1383=phu!$I$50,M1383=phu!$I$51,M1383=phu!$I$52,M1383=phu!$I$53),"Cam Linh",""),IF(OR(M1383=phu!$I$54,M1383=phu!$I$55,M1383=phu!$I$56,M1383=phu!$I$57,M1383=phu!$I$58,M1383=phu!$I$59,M1383=phu!$I$60,M1383=phu!$I$61,M1383=phu!$I$62),"Cam Lợi",""),IF(OR(M1383=phu!$I$63,M1383=phu!$I$64,M1383=phu!$I$65,M1383=phu!$I$66,M1383=phu!$I$67,M1383=phu!$I$68,M1383=phu!$I$69,M1383=phu!$I$70,M1383=phu!$I$71),"Ba Ngòi",""),IF(OR(M1383=phu!$I$72,M1383=phu!$I$73,M1383=phu!$I$74,M1383=phu!$I$75,M1383=phu!$I$76,M1383=phu!$I$77,M1383=phu!$I$78),"Cam Phước Đông",""),IF(OR(M1383=phu!$I$79,M1383=phu!$I$80,M1383=phu!$I$81,M1383=phu!$I$82,M1383=phu!$I$83,M1383=phu!$I$84),"Cam Thịnh Đông",""),IF(OR(M1383=phu!$I$85,M1383=phu!$I$86,M1383=phu!$I$87,M1383=phu!$I$88),"Cam Thịnh Tây",""),IF(OR(M1383=phu!$I$89,M1383=phu!$I$90),"Cam Lập",""),IF(OR(M1383=phu!$I$91,M1383=phu!$I$92,M1383=phu!$I$93),"Cam Bình",""),IF(OR(M1383=phu!$I$94,M1383=phu!$I$95,M1383=phu!$I$96,M1383=phu!$I$97,M1383=phu!$I$98,M1383=phu!$I$99,M1383=phu!$I$100),"Huyện khác",""),IF(OR(M1383=phu!$I$101,M1383=phu!$I$102),"Tỉnh khác",""))</f>
        <v/>
      </c>
      <c r="O1383" s="829" t="str">
        <f t="shared" si="126"/>
        <v/>
      </c>
      <c r="P1383" s="254"/>
      <c r="Q1383" s="254"/>
      <c r="R1383" s="254"/>
      <c r="S1383" s="254"/>
      <c r="T1383" s="254"/>
      <c r="U1383" s="254"/>
      <c r="V1383" s="254"/>
      <c r="W1383" s="254"/>
      <c r="Y1383" s="246" t="str">
        <f t="shared" si="127"/>
        <v/>
      </c>
      <c r="Z1383" s="247" t="str">
        <f t="shared" si="131"/>
        <v/>
      </c>
      <c r="AA1383" s="246" t="str">
        <f t="shared" si="128"/>
        <v/>
      </c>
    </row>
    <row r="1384" spans="1:27" x14ac:dyDescent="0.25">
      <c r="A1384" s="248" t="str">
        <f t="shared" si="129"/>
        <v/>
      </c>
      <c r="B1384" s="249" t="str">
        <f t="shared" si="130"/>
        <v/>
      </c>
      <c r="C1384" s="250"/>
      <c r="D1384" s="251"/>
      <c r="E1384" s="241"/>
      <c r="F1384" s="252"/>
      <c r="G1384" s="252"/>
      <c r="H1384" s="253"/>
      <c r="I1384" s="250"/>
      <c r="J1384" s="250"/>
      <c r="K1384" s="270"/>
      <c r="L1384" s="250"/>
      <c r="M1384" s="250"/>
      <c r="N1384" s="540" t="str">
        <f>CONCATENATE(IF(OR(M1384=phu!$I$1,M1384=phu!$I$2,M1384=phu!$I$3),"Cam Thành Nam",""),IF(OR(M1384=phu!$I$4,M1384=phu!$I$5,M1384=phu!$I$6,M1384=phu!$I$7,M1384=phu!$I$8,M1384=phu!$I$9,M1384=phu!$I$10,M1384=phu!$I$11,M1384=phu!$I$12,M1384=phu!$I$13,M1384=phu!$I$14),"Cam Nghĩa",""),IF(OR(M1384=phu!$I$15,M1384=phu!$I$16,M1384=phu!$I$17,M1384=phu!$I$18,M1384=phu!$I$19,M1384=phu!$I$20,M1384=phu!$I$21),"Cam Phúc Bắc",""),IF(OR(M1384=phu!$I$22,M1384=phu!$I$23,M1384=phu!$I$24,M1384=phu!$I$25),"Cam Phúc Nam",""),IF(OR(M1384=phu!$I$26,M1384=phu!$I$27,M1384=phu!$I$28,M1384=phu!$I$29,M1384=phu!$I$30,M1384=phu!$I$31),"Cam Phú",""),IF(OR(M1384=phu!$I$32,M1384=phu!$I$33,M1384=phu!$I$34,M1384=phu!$I$35,M1384=phu!$I$36,M1384=phu!$I$37),"Cam Lộc",""),IF(OR(M1384=phu!$I$38,M1384=phu!$I$39,M1384=phu!$I$40,M1384=phu!$I$41,M1384=phu!$I$42,M1384=phu!$I$43,M1384=phu!$I$44),"Cam Thuận",""),IF(OR(M1384=phu!$I$45,M1384=phu!$I$46,M1384=phu!$I$47,M1384=phu!$I$48,M1384=phu!$I$49,M1384=phu!$I$50,M1384=phu!$I$51,M1384=phu!$I$52,M1384=phu!$I$53),"Cam Linh",""),IF(OR(M1384=phu!$I$54,M1384=phu!$I$55,M1384=phu!$I$56,M1384=phu!$I$57,M1384=phu!$I$58,M1384=phu!$I$59,M1384=phu!$I$60,M1384=phu!$I$61,M1384=phu!$I$62),"Cam Lợi",""),IF(OR(M1384=phu!$I$63,M1384=phu!$I$64,M1384=phu!$I$65,M1384=phu!$I$66,M1384=phu!$I$67,M1384=phu!$I$68,M1384=phu!$I$69,M1384=phu!$I$70,M1384=phu!$I$71),"Ba Ngòi",""),IF(OR(M1384=phu!$I$72,M1384=phu!$I$73,M1384=phu!$I$74,M1384=phu!$I$75,M1384=phu!$I$76,M1384=phu!$I$77,M1384=phu!$I$78),"Cam Phước Đông",""),IF(OR(M1384=phu!$I$79,M1384=phu!$I$80,M1384=phu!$I$81,M1384=phu!$I$82,M1384=phu!$I$83,M1384=phu!$I$84),"Cam Thịnh Đông",""),IF(OR(M1384=phu!$I$85,M1384=phu!$I$86,M1384=phu!$I$87,M1384=phu!$I$88),"Cam Thịnh Tây",""),IF(OR(M1384=phu!$I$89,M1384=phu!$I$90),"Cam Lập",""),IF(OR(M1384=phu!$I$91,M1384=phu!$I$92,M1384=phu!$I$93),"Cam Bình",""),IF(OR(M1384=phu!$I$94,M1384=phu!$I$95,M1384=phu!$I$96,M1384=phu!$I$97,M1384=phu!$I$98,M1384=phu!$I$99,M1384=phu!$I$100),"Huyện khác",""),IF(OR(M1384=phu!$I$101,M1384=phu!$I$102),"Tỉnh khác",""))</f>
        <v/>
      </c>
      <c r="O1384" s="829" t="str">
        <f t="shared" si="126"/>
        <v/>
      </c>
      <c r="P1384" s="254"/>
      <c r="Q1384" s="254"/>
      <c r="R1384" s="254"/>
      <c r="S1384" s="254"/>
      <c r="T1384" s="254"/>
      <c r="U1384" s="254"/>
      <c r="V1384" s="254"/>
      <c r="W1384" s="254"/>
      <c r="Y1384" s="246" t="str">
        <f t="shared" si="127"/>
        <v/>
      </c>
      <c r="Z1384" s="247" t="str">
        <f t="shared" si="131"/>
        <v/>
      </c>
      <c r="AA1384" s="246" t="str">
        <f t="shared" si="128"/>
        <v/>
      </c>
    </row>
    <row r="1385" spans="1:27" x14ac:dyDescent="0.25">
      <c r="A1385" s="248" t="str">
        <f t="shared" si="129"/>
        <v/>
      </c>
      <c r="B1385" s="249" t="str">
        <f t="shared" si="130"/>
        <v/>
      </c>
      <c r="C1385" s="250"/>
      <c r="D1385" s="251"/>
      <c r="E1385" s="241"/>
      <c r="F1385" s="252"/>
      <c r="G1385" s="252"/>
      <c r="H1385" s="253"/>
      <c r="I1385" s="250"/>
      <c r="J1385" s="250"/>
      <c r="K1385" s="270"/>
      <c r="L1385" s="250"/>
      <c r="M1385" s="250"/>
      <c r="N1385" s="540" t="str">
        <f>CONCATENATE(IF(OR(M1385=phu!$I$1,M1385=phu!$I$2,M1385=phu!$I$3),"Cam Thành Nam",""),IF(OR(M1385=phu!$I$4,M1385=phu!$I$5,M1385=phu!$I$6,M1385=phu!$I$7,M1385=phu!$I$8,M1385=phu!$I$9,M1385=phu!$I$10,M1385=phu!$I$11,M1385=phu!$I$12,M1385=phu!$I$13,M1385=phu!$I$14),"Cam Nghĩa",""),IF(OR(M1385=phu!$I$15,M1385=phu!$I$16,M1385=phu!$I$17,M1385=phu!$I$18,M1385=phu!$I$19,M1385=phu!$I$20,M1385=phu!$I$21),"Cam Phúc Bắc",""),IF(OR(M1385=phu!$I$22,M1385=phu!$I$23,M1385=phu!$I$24,M1385=phu!$I$25),"Cam Phúc Nam",""),IF(OR(M1385=phu!$I$26,M1385=phu!$I$27,M1385=phu!$I$28,M1385=phu!$I$29,M1385=phu!$I$30,M1385=phu!$I$31),"Cam Phú",""),IF(OR(M1385=phu!$I$32,M1385=phu!$I$33,M1385=phu!$I$34,M1385=phu!$I$35,M1385=phu!$I$36,M1385=phu!$I$37),"Cam Lộc",""),IF(OR(M1385=phu!$I$38,M1385=phu!$I$39,M1385=phu!$I$40,M1385=phu!$I$41,M1385=phu!$I$42,M1385=phu!$I$43,M1385=phu!$I$44),"Cam Thuận",""),IF(OR(M1385=phu!$I$45,M1385=phu!$I$46,M1385=phu!$I$47,M1385=phu!$I$48,M1385=phu!$I$49,M1385=phu!$I$50,M1385=phu!$I$51,M1385=phu!$I$52,M1385=phu!$I$53),"Cam Linh",""),IF(OR(M1385=phu!$I$54,M1385=phu!$I$55,M1385=phu!$I$56,M1385=phu!$I$57,M1385=phu!$I$58,M1385=phu!$I$59,M1385=phu!$I$60,M1385=phu!$I$61,M1385=phu!$I$62),"Cam Lợi",""),IF(OR(M1385=phu!$I$63,M1385=phu!$I$64,M1385=phu!$I$65,M1385=phu!$I$66,M1385=phu!$I$67,M1385=phu!$I$68,M1385=phu!$I$69,M1385=phu!$I$70,M1385=phu!$I$71),"Ba Ngòi",""),IF(OR(M1385=phu!$I$72,M1385=phu!$I$73,M1385=phu!$I$74,M1385=phu!$I$75,M1385=phu!$I$76,M1385=phu!$I$77,M1385=phu!$I$78),"Cam Phước Đông",""),IF(OR(M1385=phu!$I$79,M1385=phu!$I$80,M1385=phu!$I$81,M1385=phu!$I$82,M1385=phu!$I$83,M1385=phu!$I$84),"Cam Thịnh Đông",""),IF(OR(M1385=phu!$I$85,M1385=phu!$I$86,M1385=phu!$I$87,M1385=phu!$I$88),"Cam Thịnh Tây",""),IF(OR(M1385=phu!$I$89,M1385=phu!$I$90),"Cam Lập",""),IF(OR(M1385=phu!$I$91,M1385=phu!$I$92,M1385=phu!$I$93),"Cam Bình",""),IF(OR(M1385=phu!$I$94,M1385=phu!$I$95,M1385=phu!$I$96,M1385=phu!$I$97,M1385=phu!$I$98,M1385=phu!$I$99,M1385=phu!$I$100),"Huyện khác",""),IF(OR(M1385=phu!$I$101,M1385=phu!$I$102),"Tỉnh khác",""))</f>
        <v/>
      </c>
      <c r="O1385" s="829" t="str">
        <f t="shared" si="126"/>
        <v/>
      </c>
      <c r="P1385" s="254"/>
      <c r="Q1385" s="254"/>
      <c r="R1385" s="254"/>
      <c r="S1385" s="254"/>
      <c r="T1385" s="254"/>
      <c r="U1385" s="254"/>
      <c r="V1385" s="254"/>
      <c r="W1385" s="254"/>
      <c r="Y1385" s="246" t="str">
        <f t="shared" si="127"/>
        <v/>
      </c>
      <c r="Z1385" s="247" t="str">
        <f t="shared" si="131"/>
        <v/>
      </c>
      <c r="AA1385" s="246" t="str">
        <f t="shared" si="128"/>
        <v/>
      </c>
    </row>
    <row r="1386" spans="1:27" x14ac:dyDescent="0.25">
      <c r="A1386" s="248" t="str">
        <f t="shared" si="129"/>
        <v/>
      </c>
      <c r="B1386" s="249" t="str">
        <f t="shared" si="130"/>
        <v/>
      </c>
      <c r="C1386" s="250"/>
      <c r="D1386" s="251"/>
      <c r="E1386" s="241"/>
      <c r="F1386" s="252"/>
      <c r="G1386" s="252"/>
      <c r="H1386" s="253"/>
      <c r="I1386" s="250"/>
      <c r="J1386" s="250"/>
      <c r="K1386" s="270"/>
      <c r="L1386" s="250"/>
      <c r="M1386" s="250"/>
      <c r="N1386" s="540" t="str">
        <f>CONCATENATE(IF(OR(M1386=phu!$I$1,M1386=phu!$I$2,M1386=phu!$I$3),"Cam Thành Nam",""),IF(OR(M1386=phu!$I$4,M1386=phu!$I$5,M1386=phu!$I$6,M1386=phu!$I$7,M1386=phu!$I$8,M1386=phu!$I$9,M1386=phu!$I$10,M1386=phu!$I$11,M1386=phu!$I$12,M1386=phu!$I$13,M1386=phu!$I$14),"Cam Nghĩa",""),IF(OR(M1386=phu!$I$15,M1386=phu!$I$16,M1386=phu!$I$17,M1386=phu!$I$18,M1386=phu!$I$19,M1386=phu!$I$20,M1386=phu!$I$21),"Cam Phúc Bắc",""),IF(OR(M1386=phu!$I$22,M1386=phu!$I$23,M1386=phu!$I$24,M1386=phu!$I$25),"Cam Phúc Nam",""),IF(OR(M1386=phu!$I$26,M1386=phu!$I$27,M1386=phu!$I$28,M1386=phu!$I$29,M1386=phu!$I$30,M1386=phu!$I$31),"Cam Phú",""),IF(OR(M1386=phu!$I$32,M1386=phu!$I$33,M1386=phu!$I$34,M1386=phu!$I$35,M1386=phu!$I$36,M1386=phu!$I$37),"Cam Lộc",""),IF(OR(M1386=phu!$I$38,M1386=phu!$I$39,M1386=phu!$I$40,M1386=phu!$I$41,M1386=phu!$I$42,M1386=phu!$I$43,M1386=phu!$I$44),"Cam Thuận",""),IF(OR(M1386=phu!$I$45,M1386=phu!$I$46,M1386=phu!$I$47,M1386=phu!$I$48,M1386=phu!$I$49,M1386=phu!$I$50,M1386=phu!$I$51,M1386=phu!$I$52,M1386=phu!$I$53),"Cam Linh",""),IF(OR(M1386=phu!$I$54,M1386=phu!$I$55,M1386=phu!$I$56,M1386=phu!$I$57,M1386=phu!$I$58,M1386=phu!$I$59,M1386=phu!$I$60,M1386=phu!$I$61,M1386=phu!$I$62),"Cam Lợi",""),IF(OR(M1386=phu!$I$63,M1386=phu!$I$64,M1386=phu!$I$65,M1386=phu!$I$66,M1386=phu!$I$67,M1386=phu!$I$68,M1386=phu!$I$69,M1386=phu!$I$70,M1386=phu!$I$71),"Ba Ngòi",""),IF(OR(M1386=phu!$I$72,M1386=phu!$I$73,M1386=phu!$I$74,M1386=phu!$I$75,M1386=phu!$I$76,M1386=phu!$I$77,M1386=phu!$I$78),"Cam Phước Đông",""),IF(OR(M1386=phu!$I$79,M1386=phu!$I$80,M1386=phu!$I$81,M1386=phu!$I$82,M1386=phu!$I$83,M1386=phu!$I$84),"Cam Thịnh Đông",""),IF(OR(M1386=phu!$I$85,M1386=phu!$I$86,M1386=phu!$I$87,M1386=phu!$I$88),"Cam Thịnh Tây",""),IF(OR(M1386=phu!$I$89,M1386=phu!$I$90),"Cam Lập",""),IF(OR(M1386=phu!$I$91,M1386=phu!$I$92,M1386=phu!$I$93),"Cam Bình",""),IF(OR(M1386=phu!$I$94,M1386=phu!$I$95,M1386=phu!$I$96,M1386=phu!$I$97,M1386=phu!$I$98,M1386=phu!$I$99,M1386=phu!$I$100),"Huyện khác",""),IF(OR(M1386=phu!$I$101,M1386=phu!$I$102),"Tỉnh khác",""))</f>
        <v/>
      </c>
      <c r="O1386" s="829" t="str">
        <f t="shared" si="126"/>
        <v/>
      </c>
      <c r="P1386" s="254"/>
      <c r="Q1386" s="254"/>
      <c r="R1386" s="254"/>
      <c r="S1386" s="254"/>
      <c r="T1386" s="254"/>
      <c r="U1386" s="254"/>
      <c r="V1386" s="254"/>
      <c r="W1386" s="254"/>
      <c r="Y1386" s="246" t="str">
        <f t="shared" si="127"/>
        <v/>
      </c>
      <c r="Z1386" s="247" t="str">
        <f t="shared" si="131"/>
        <v/>
      </c>
      <c r="AA1386" s="246" t="str">
        <f t="shared" si="128"/>
        <v/>
      </c>
    </row>
    <row r="1387" spans="1:27" x14ac:dyDescent="0.25">
      <c r="A1387" s="248" t="str">
        <f t="shared" si="129"/>
        <v/>
      </c>
      <c r="B1387" s="249" t="str">
        <f t="shared" si="130"/>
        <v/>
      </c>
      <c r="C1387" s="250"/>
      <c r="D1387" s="251"/>
      <c r="E1387" s="241"/>
      <c r="F1387" s="252"/>
      <c r="G1387" s="252"/>
      <c r="H1387" s="253"/>
      <c r="I1387" s="250"/>
      <c r="J1387" s="250"/>
      <c r="K1387" s="270"/>
      <c r="L1387" s="250"/>
      <c r="M1387" s="250"/>
      <c r="N1387" s="540" t="str">
        <f>CONCATENATE(IF(OR(M1387=phu!$I$1,M1387=phu!$I$2,M1387=phu!$I$3),"Cam Thành Nam",""),IF(OR(M1387=phu!$I$4,M1387=phu!$I$5,M1387=phu!$I$6,M1387=phu!$I$7,M1387=phu!$I$8,M1387=phu!$I$9,M1387=phu!$I$10,M1387=phu!$I$11,M1387=phu!$I$12,M1387=phu!$I$13,M1387=phu!$I$14),"Cam Nghĩa",""),IF(OR(M1387=phu!$I$15,M1387=phu!$I$16,M1387=phu!$I$17,M1387=phu!$I$18,M1387=phu!$I$19,M1387=phu!$I$20,M1387=phu!$I$21),"Cam Phúc Bắc",""),IF(OR(M1387=phu!$I$22,M1387=phu!$I$23,M1387=phu!$I$24,M1387=phu!$I$25),"Cam Phúc Nam",""),IF(OR(M1387=phu!$I$26,M1387=phu!$I$27,M1387=phu!$I$28,M1387=phu!$I$29,M1387=phu!$I$30,M1387=phu!$I$31),"Cam Phú",""),IF(OR(M1387=phu!$I$32,M1387=phu!$I$33,M1387=phu!$I$34,M1387=phu!$I$35,M1387=phu!$I$36,M1387=phu!$I$37),"Cam Lộc",""),IF(OR(M1387=phu!$I$38,M1387=phu!$I$39,M1387=phu!$I$40,M1387=phu!$I$41,M1387=phu!$I$42,M1387=phu!$I$43,M1387=phu!$I$44),"Cam Thuận",""),IF(OR(M1387=phu!$I$45,M1387=phu!$I$46,M1387=phu!$I$47,M1387=phu!$I$48,M1387=phu!$I$49,M1387=phu!$I$50,M1387=phu!$I$51,M1387=phu!$I$52,M1387=phu!$I$53),"Cam Linh",""),IF(OR(M1387=phu!$I$54,M1387=phu!$I$55,M1387=phu!$I$56,M1387=phu!$I$57,M1387=phu!$I$58,M1387=phu!$I$59,M1387=phu!$I$60,M1387=phu!$I$61,M1387=phu!$I$62),"Cam Lợi",""),IF(OR(M1387=phu!$I$63,M1387=phu!$I$64,M1387=phu!$I$65,M1387=phu!$I$66,M1387=phu!$I$67,M1387=phu!$I$68,M1387=phu!$I$69,M1387=phu!$I$70,M1387=phu!$I$71),"Ba Ngòi",""),IF(OR(M1387=phu!$I$72,M1387=phu!$I$73,M1387=phu!$I$74,M1387=phu!$I$75,M1387=phu!$I$76,M1387=phu!$I$77,M1387=phu!$I$78),"Cam Phước Đông",""),IF(OR(M1387=phu!$I$79,M1387=phu!$I$80,M1387=phu!$I$81,M1387=phu!$I$82,M1387=phu!$I$83,M1387=phu!$I$84),"Cam Thịnh Đông",""),IF(OR(M1387=phu!$I$85,M1387=phu!$I$86,M1387=phu!$I$87,M1387=phu!$I$88),"Cam Thịnh Tây",""),IF(OR(M1387=phu!$I$89,M1387=phu!$I$90),"Cam Lập",""),IF(OR(M1387=phu!$I$91,M1387=phu!$I$92,M1387=phu!$I$93),"Cam Bình",""),IF(OR(M1387=phu!$I$94,M1387=phu!$I$95,M1387=phu!$I$96,M1387=phu!$I$97,M1387=phu!$I$98,M1387=phu!$I$99,M1387=phu!$I$100),"Huyện khác",""),IF(OR(M1387=phu!$I$101,M1387=phu!$I$102),"Tỉnh khác",""))</f>
        <v/>
      </c>
      <c r="O1387" s="829" t="str">
        <f t="shared" si="126"/>
        <v/>
      </c>
      <c r="P1387" s="254"/>
      <c r="Q1387" s="254"/>
      <c r="R1387" s="254"/>
      <c r="S1387" s="254"/>
      <c r="T1387" s="254"/>
      <c r="U1387" s="254"/>
      <c r="V1387" s="254"/>
      <c r="W1387" s="254"/>
      <c r="Y1387" s="246" t="str">
        <f t="shared" si="127"/>
        <v/>
      </c>
      <c r="Z1387" s="247" t="str">
        <f t="shared" si="131"/>
        <v/>
      </c>
      <c r="AA1387" s="246" t="str">
        <f t="shared" si="128"/>
        <v/>
      </c>
    </row>
    <row r="1388" spans="1:27" x14ac:dyDescent="0.25">
      <c r="A1388" s="248" t="str">
        <f t="shared" si="129"/>
        <v/>
      </c>
      <c r="B1388" s="249" t="str">
        <f t="shared" si="130"/>
        <v/>
      </c>
      <c r="C1388" s="250"/>
      <c r="D1388" s="251"/>
      <c r="E1388" s="241"/>
      <c r="F1388" s="252"/>
      <c r="G1388" s="252"/>
      <c r="H1388" s="253"/>
      <c r="I1388" s="250"/>
      <c r="J1388" s="250"/>
      <c r="K1388" s="270"/>
      <c r="L1388" s="250"/>
      <c r="M1388" s="250"/>
      <c r="N1388" s="540" t="str">
        <f>CONCATENATE(IF(OR(M1388=phu!$I$1,M1388=phu!$I$2,M1388=phu!$I$3),"Cam Thành Nam",""),IF(OR(M1388=phu!$I$4,M1388=phu!$I$5,M1388=phu!$I$6,M1388=phu!$I$7,M1388=phu!$I$8,M1388=phu!$I$9,M1388=phu!$I$10,M1388=phu!$I$11,M1388=phu!$I$12,M1388=phu!$I$13,M1388=phu!$I$14),"Cam Nghĩa",""),IF(OR(M1388=phu!$I$15,M1388=phu!$I$16,M1388=phu!$I$17,M1388=phu!$I$18,M1388=phu!$I$19,M1388=phu!$I$20,M1388=phu!$I$21),"Cam Phúc Bắc",""),IF(OR(M1388=phu!$I$22,M1388=phu!$I$23,M1388=phu!$I$24,M1388=phu!$I$25),"Cam Phúc Nam",""),IF(OR(M1388=phu!$I$26,M1388=phu!$I$27,M1388=phu!$I$28,M1388=phu!$I$29,M1388=phu!$I$30,M1388=phu!$I$31),"Cam Phú",""),IF(OR(M1388=phu!$I$32,M1388=phu!$I$33,M1388=phu!$I$34,M1388=phu!$I$35,M1388=phu!$I$36,M1388=phu!$I$37),"Cam Lộc",""),IF(OR(M1388=phu!$I$38,M1388=phu!$I$39,M1388=phu!$I$40,M1388=phu!$I$41,M1388=phu!$I$42,M1388=phu!$I$43,M1388=phu!$I$44),"Cam Thuận",""),IF(OR(M1388=phu!$I$45,M1388=phu!$I$46,M1388=phu!$I$47,M1388=phu!$I$48,M1388=phu!$I$49,M1388=phu!$I$50,M1388=phu!$I$51,M1388=phu!$I$52,M1388=phu!$I$53),"Cam Linh",""),IF(OR(M1388=phu!$I$54,M1388=phu!$I$55,M1388=phu!$I$56,M1388=phu!$I$57,M1388=phu!$I$58,M1388=phu!$I$59,M1388=phu!$I$60,M1388=phu!$I$61,M1388=phu!$I$62),"Cam Lợi",""),IF(OR(M1388=phu!$I$63,M1388=phu!$I$64,M1388=phu!$I$65,M1388=phu!$I$66,M1388=phu!$I$67,M1388=phu!$I$68,M1388=phu!$I$69,M1388=phu!$I$70,M1388=phu!$I$71),"Ba Ngòi",""),IF(OR(M1388=phu!$I$72,M1388=phu!$I$73,M1388=phu!$I$74,M1388=phu!$I$75,M1388=phu!$I$76,M1388=phu!$I$77,M1388=phu!$I$78),"Cam Phước Đông",""),IF(OR(M1388=phu!$I$79,M1388=phu!$I$80,M1388=phu!$I$81,M1388=phu!$I$82,M1388=phu!$I$83,M1388=phu!$I$84),"Cam Thịnh Đông",""),IF(OR(M1388=phu!$I$85,M1388=phu!$I$86,M1388=phu!$I$87,M1388=phu!$I$88),"Cam Thịnh Tây",""),IF(OR(M1388=phu!$I$89,M1388=phu!$I$90),"Cam Lập",""),IF(OR(M1388=phu!$I$91,M1388=phu!$I$92,M1388=phu!$I$93),"Cam Bình",""),IF(OR(M1388=phu!$I$94,M1388=phu!$I$95,M1388=phu!$I$96,M1388=phu!$I$97,M1388=phu!$I$98,M1388=phu!$I$99,M1388=phu!$I$100),"Huyện khác",""),IF(OR(M1388=phu!$I$101,M1388=phu!$I$102),"Tỉnh khác",""))</f>
        <v/>
      </c>
      <c r="O1388" s="829" t="str">
        <f t="shared" si="126"/>
        <v/>
      </c>
      <c r="P1388" s="254"/>
      <c r="Q1388" s="254"/>
      <c r="R1388" s="254"/>
      <c r="S1388" s="254"/>
      <c r="T1388" s="254"/>
      <c r="U1388" s="254"/>
      <c r="V1388" s="254"/>
      <c r="W1388" s="254"/>
      <c r="Y1388" s="246" t="str">
        <f t="shared" si="127"/>
        <v/>
      </c>
      <c r="Z1388" s="247" t="str">
        <f t="shared" si="131"/>
        <v/>
      </c>
      <c r="AA1388" s="246" t="str">
        <f t="shared" si="128"/>
        <v/>
      </c>
    </row>
    <row r="1389" spans="1:27" x14ac:dyDescent="0.25">
      <c r="A1389" s="248" t="str">
        <f t="shared" si="129"/>
        <v/>
      </c>
      <c r="B1389" s="249" t="str">
        <f t="shared" si="130"/>
        <v/>
      </c>
      <c r="C1389" s="250"/>
      <c r="D1389" s="251"/>
      <c r="E1389" s="241"/>
      <c r="F1389" s="252"/>
      <c r="G1389" s="252"/>
      <c r="H1389" s="253"/>
      <c r="I1389" s="250"/>
      <c r="J1389" s="250"/>
      <c r="K1389" s="270"/>
      <c r="L1389" s="250"/>
      <c r="M1389" s="250"/>
      <c r="N1389" s="540" t="str">
        <f>CONCATENATE(IF(OR(M1389=phu!$I$1,M1389=phu!$I$2,M1389=phu!$I$3),"Cam Thành Nam",""),IF(OR(M1389=phu!$I$4,M1389=phu!$I$5,M1389=phu!$I$6,M1389=phu!$I$7,M1389=phu!$I$8,M1389=phu!$I$9,M1389=phu!$I$10,M1389=phu!$I$11,M1389=phu!$I$12,M1389=phu!$I$13,M1389=phu!$I$14),"Cam Nghĩa",""),IF(OR(M1389=phu!$I$15,M1389=phu!$I$16,M1389=phu!$I$17,M1389=phu!$I$18,M1389=phu!$I$19,M1389=phu!$I$20,M1389=phu!$I$21),"Cam Phúc Bắc",""),IF(OR(M1389=phu!$I$22,M1389=phu!$I$23,M1389=phu!$I$24,M1389=phu!$I$25),"Cam Phúc Nam",""),IF(OR(M1389=phu!$I$26,M1389=phu!$I$27,M1389=phu!$I$28,M1389=phu!$I$29,M1389=phu!$I$30,M1389=phu!$I$31),"Cam Phú",""),IF(OR(M1389=phu!$I$32,M1389=phu!$I$33,M1389=phu!$I$34,M1389=phu!$I$35,M1389=phu!$I$36,M1389=phu!$I$37),"Cam Lộc",""),IF(OR(M1389=phu!$I$38,M1389=phu!$I$39,M1389=phu!$I$40,M1389=phu!$I$41,M1389=phu!$I$42,M1389=phu!$I$43,M1389=phu!$I$44),"Cam Thuận",""),IF(OR(M1389=phu!$I$45,M1389=phu!$I$46,M1389=phu!$I$47,M1389=phu!$I$48,M1389=phu!$I$49,M1389=phu!$I$50,M1389=phu!$I$51,M1389=phu!$I$52,M1389=phu!$I$53),"Cam Linh",""),IF(OR(M1389=phu!$I$54,M1389=phu!$I$55,M1389=phu!$I$56,M1389=phu!$I$57,M1389=phu!$I$58,M1389=phu!$I$59,M1389=phu!$I$60,M1389=phu!$I$61,M1389=phu!$I$62),"Cam Lợi",""),IF(OR(M1389=phu!$I$63,M1389=phu!$I$64,M1389=phu!$I$65,M1389=phu!$I$66,M1389=phu!$I$67,M1389=phu!$I$68,M1389=phu!$I$69,M1389=phu!$I$70,M1389=phu!$I$71),"Ba Ngòi",""),IF(OR(M1389=phu!$I$72,M1389=phu!$I$73,M1389=phu!$I$74,M1389=phu!$I$75,M1389=phu!$I$76,M1389=phu!$I$77,M1389=phu!$I$78),"Cam Phước Đông",""),IF(OR(M1389=phu!$I$79,M1389=phu!$I$80,M1389=phu!$I$81,M1389=phu!$I$82,M1389=phu!$I$83,M1389=phu!$I$84),"Cam Thịnh Đông",""),IF(OR(M1389=phu!$I$85,M1389=phu!$I$86,M1389=phu!$I$87,M1389=phu!$I$88),"Cam Thịnh Tây",""),IF(OR(M1389=phu!$I$89,M1389=phu!$I$90),"Cam Lập",""),IF(OR(M1389=phu!$I$91,M1389=phu!$I$92,M1389=phu!$I$93),"Cam Bình",""),IF(OR(M1389=phu!$I$94,M1389=phu!$I$95,M1389=phu!$I$96,M1389=phu!$I$97,M1389=phu!$I$98,M1389=phu!$I$99,M1389=phu!$I$100),"Huyện khác",""),IF(OR(M1389=phu!$I$101,M1389=phu!$I$102),"Tỉnh khác",""))</f>
        <v/>
      </c>
      <c r="O1389" s="829" t="str">
        <f t="shared" si="126"/>
        <v/>
      </c>
      <c r="P1389" s="254"/>
      <c r="Q1389" s="254"/>
      <c r="R1389" s="254"/>
      <c r="S1389" s="254"/>
      <c r="T1389" s="254"/>
      <c r="U1389" s="254"/>
      <c r="V1389" s="254"/>
      <c r="W1389" s="254"/>
      <c r="Y1389" s="246" t="str">
        <f t="shared" si="127"/>
        <v/>
      </c>
      <c r="Z1389" s="247" t="str">
        <f t="shared" si="131"/>
        <v/>
      </c>
      <c r="AA1389" s="246" t="str">
        <f t="shared" si="128"/>
        <v/>
      </c>
    </row>
    <row r="1390" spans="1:27" x14ac:dyDescent="0.25">
      <c r="A1390" s="248" t="str">
        <f t="shared" si="129"/>
        <v/>
      </c>
      <c r="B1390" s="249" t="str">
        <f t="shared" si="130"/>
        <v/>
      </c>
      <c r="C1390" s="250"/>
      <c r="D1390" s="251"/>
      <c r="E1390" s="241"/>
      <c r="F1390" s="252"/>
      <c r="G1390" s="252"/>
      <c r="H1390" s="253"/>
      <c r="I1390" s="250"/>
      <c r="J1390" s="250"/>
      <c r="K1390" s="270"/>
      <c r="L1390" s="250"/>
      <c r="M1390" s="250"/>
      <c r="N1390" s="540" t="str">
        <f>CONCATENATE(IF(OR(M1390=phu!$I$1,M1390=phu!$I$2,M1390=phu!$I$3),"Cam Thành Nam",""),IF(OR(M1390=phu!$I$4,M1390=phu!$I$5,M1390=phu!$I$6,M1390=phu!$I$7,M1390=phu!$I$8,M1390=phu!$I$9,M1390=phu!$I$10,M1390=phu!$I$11,M1390=phu!$I$12,M1390=phu!$I$13,M1390=phu!$I$14),"Cam Nghĩa",""),IF(OR(M1390=phu!$I$15,M1390=phu!$I$16,M1390=phu!$I$17,M1390=phu!$I$18,M1390=phu!$I$19,M1390=phu!$I$20,M1390=phu!$I$21),"Cam Phúc Bắc",""),IF(OR(M1390=phu!$I$22,M1390=phu!$I$23,M1390=phu!$I$24,M1390=phu!$I$25),"Cam Phúc Nam",""),IF(OR(M1390=phu!$I$26,M1390=phu!$I$27,M1390=phu!$I$28,M1390=phu!$I$29,M1390=phu!$I$30,M1390=phu!$I$31),"Cam Phú",""),IF(OR(M1390=phu!$I$32,M1390=phu!$I$33,M1390=phu!$I$34,M1390=phu!$I$35,M1390=phu!$I$36,M1390=phu!$I$37),"Cam Lộc",""),IF(OR(M1390=phu!$I$38,M1390=phu!$I$39,M1390=phu!$I$40,M1390=phu!$I$41,M1390=phu!$I$42,M1390=phu!$I$43,M1390=phu!$I$44),"Cam Thuận",""),IF(OR(M1390=phu!$I$45,M1390=phu!$I$46,M1390=phu!$I$47,M1390=phu!$I$48,M1390=phu!$I$49,M1390=phu!$I$50,M1390=phu!$I$51,M1390=phu!$I$52,M1390=phu!$I$53),"Cam Linh",""),IF(OR(M1390=phu!$I$54,M1390=phu!$I$55,M1390=phu!$I$56,M1390=phu!$I$57,M1390=phu!$I$58,M1390=phu!$I$59,M1390=phu!$I$60,M1390=phu!$I$61,M1390=phu!$I$62),"Cam Lợi",""),IF(OR(M1390=phu!$I$63,M1390=phu!$I$64,M1390=phu!$I$65,M1390=phu!$I$66,M1390=phu!$I$67,M1390=phu!$I$68,M1390=phu!$I$69,M1390=phu!$I$70,M1390=phu!$I$71),"Ba Ngòi",""),IF(OR(M1390=phu!$I$72,M1390=phu!$I$73,M1390=phu!$I$74,M1390=phu!$I$75,M1390=phu!$I$76,M1390=phu!$I$77,M1390=phu!$I$78),"Cam Phước Đông",""),IF(OR(M1390=phu!$I$79,M1390=phu!$I$80,M1390=phu!$I$81,M1390=phu!$I$82,M1390=phu!$I$83,M1390=phu!$I$84),"Cam Thịnh Đông",""),IF(OR(M1390=phu!$I$85,M1390=phu!$I$86,M1390=phu!$I$87,M1390=phu!$I$88),"Cam Thịnh Tây",""),IF(OR(M1390=phu!$I$89,M1390=phu!$I$90),"Cam Lập",""),IF(OR(M1390=phu!$I$91,M1390=phu!$I$92,M1390=phu!$I$93),"Cam Bình",""),IF(OR(M1390=phu!$I$94,M1390=phu!$I$95,M1390=phu!$I$96,M1390=phu!$I$97,M1390=phu!$I$98,M1390=phu!$I$99,M1390=phu!$I$100),"Huyện khác",""),IF(OR(M1390=phu!$I$101,M1390=phu!$I$102),"Tỉnh khác",""))</f>
        <v/>
      </c>
      <c r="O1390" s="829" t="str">
        <f t="shared" si="126"/>
        <v/>
      </c>
      <c r="P1390" s="254"/>
      <c r="Q1390" s="254"/>
      <c r="R1390" s="254"/>
      <c r="S1390" s="254"/>
      <c r="T1390" s="254"/>
      <c r="U1390" s="254"/>
      <c r="V1390" s="254"/>
      <c r="W1390" s="254"/>
      <c r="Y1390" s="246" t="str">
        <f t="shared" si="127"/>
        <v/>
      </c>
      <c r="Z1390" s="247" t="str">
        <f t="shared" si="131"/>
        <v/>
      </c>
      <c r="AA1390" s="246" t="str">
        <f t="shared" si="128"/>
        <v/>
      </c>
    </row>
    <row r="1391" spans="1:27" x14ac:dyDescent="0.25">
      <c r="A1391" s="248" t="str">
        <f t="shared" si="129"/>
        <v/>
      </c>
      <c r="B1391" s="249" t="str">
        <f t="shared" si="130"/>
        <v/>
      </c>
      <c r="C1391" s="250"/>
      <c r="D1391" s="251"/>
      <c r="E1391" s="241"/>
      <c r="F1391" s="252"/>
      <c r="G1391" s="252"/>
      <c r="H1391" s="253"/>
      <c r="I1391" s="250"/>
      <c r="J1391" s="250"/>
      <c r="K1391" s="270"/>
      <c r="L1391" s="250"/>
      <c r="M1391" s="250"/>
      <c r="N1391" s="540" t="str">
        <f>CONCATENATE(IF(OR(M1391=phu!$I$1,M1391=phu!$I$2,M1391=phu!$I$3),"Cam Thành Nam",""),IF(OR(M1391=phu!$I$4,M1391=phu!$I$5,M1391=phu!$I$6,M1391=phu!$I$7,M1391=phu!$I$8,M1391=phu!$I$9,M1391=phu!$I$10,M1391=phu!$I$11,M1391=phu!$I$12,M1391=phu!$I$13,M1391=phu!$I$14),"Cam Nghĩa",""),IF(OR(M1391=phu!$I$15,M1391=phu!$I$16,M1391=phu!$I$17,M1391=phu!$I$18,M1391=phu!$I$19,M1391=phu!$I$20,M1391=phu!$I$21),"Cam Phúc Bắc",""),IF(OR(M1391=phu!$I$22,M1391=phu!$I$23,M1391=phu!$I$24,M1391=phu!$I$25),"Cam Phúc Nam",""),IF(OR(M1391=phu!$I$26,M1391=phu!$I$27,M1391=phu!$I$28,M1391=phu!$I$29,M1391=phu!$I$30,M1391=phu!$I$31),"Cam Phú",""),IF(OR(M1391=phu!$I$32,M1391=phu!$I$33,M1391=phu!$I$34,M1391=phu!$I$35,M1391=phu!$I$36,M1391=phu!$I$37),"Cam Lộc",""),IF(OR(M1391=phu!$I$38,M1391=phu!$I$39,M1391=phu!$I$40,M1391=phu!$I$41,M1391=phu!$I$42,M1391=phu!$I$43,M1391=phu!$I$44),"Cam Thuận",""),IF(OR(M1391=phu!$I$45,M1391=phu!$I$46,M1391=phu!$I$47,M1391=phu!$I$48,M1391=phu!$I$49,M1391=phu!$I$50,M1391=phu!$I$51,M1391=phu!$I$52,M1391=phu!$I$53),"Cam Linh",""),IF(OR(M1391=phu!$I$54,M1391=phu!$I$55,M1391=phu!$I$56,M1391=phu!$I$57,M1391=phu!$I$58,M1391=phu!$I$59,M1391=phu!$I$60,M1391=phu!$I$61,M1391=phu!$I$62),"Cam Lợi",""),IF(OR(M1391=phu!$I$63,M1391=phu!$I$64,M1391=phu!$I$65,M1391=phu!$I$66,M1391=phu!$I$67,M1391=phu!$I$68,M1391=phu!$I$69,M1391=phu!$I$70,M1391=phu!$I$71),"Ba Ngòi",""),IF(OR(M1391=phu!$I$72,M1391=phu!$I$73,M1391=phu!$I$74,M1391=phu!$I$75,M1391=phu!$I$76,M1391=phu!$I$77,M1391=phu!$I$78),"Cam Phước Đông",""),IF(OR(M1391=phu!$I$79,M1391=phu!$I$80,M1391=phu!$I$81,M1391=phu!$I$82,M1391=phu!$I$83,M1391=phu!$I$84),"Cam Thịnh Đông",""),IF(OR(M1391=phu!$I$85,M1391=phu!$I$86,M1391=phu!$I$87,M1391=phu!$I$88),"Cam Thịnh Tây",""),IF(OR(M1391=phu!$I$89,M1391=phu!$I$90),"Cam Lập",""),IF(OR(M1391=phu!$I$91,M1391=phu!$I$92,M1391=phu!$I$93),"Cam Bình",""),IF(OR(M1391=phu!$I$94,M1391=phu!$I$95,M1391=phu!$I$96,M1391=phu!$I$97,M1391=phu!$I$98,M1391=phu!$I$99,M1391=phu!$I$100),"Huyện khác",""),IF(OR(M1391=phu!$I$101,M1391=phu!$I$102),"Tỉnh khác",""))</f>
        <v/>
      </c>
      <c r="O1391" s="829" t="str">
        <f t="shared" si="126"/>
        <v/>
      </c>
      <c r="P1391" s="254"/>
      <c r="Q1391" s="254"/>
      <c r="R1391" s="254"/>
      <c r="S1391" s="254"/>
      <c r="T1391" s="254"/>
      <c r="U1391" s="254"/>
      <c r="V1391" s="254"/>
      <c r="W1391" s="254"/>
      <c r="Y1391" s="246" t="str">
        <f t="shared" si="127"/>
        <v/>
      </c>
      <c r="Z1391" s="247" t="str">
        <f t="shared" si="131"/>
        <v/>
      </c>
      <c r="AA1391" s="246" t="str">
        <f t="shared" si="128"/>
        <v/>
      </c>
    </row>
    <row r="1392" spans="1:27" x14ac:dyDescent="0.25">
      <c r="A1392" s="248" t="str">
        <f t="shared" si="129"/>
        <v/>
      </c>
      <c r="B1392" s="249" t="str">
        <f t="shared" si="130"/>
        <v/>
      </c>
      <c r="C1392" s="250"/>
      <c r="D1392" s="251"/>
      <c r="E1392" s="241"/>
      <c r="F1392" s="252"/>
      <c r="G1392" s="252"/>
      <c r="H1392" s="253"/>
      <c r="I1392" s="250"/>
      <c r="J1392" s="250"/>
      <c r="K1392" s="270"/>
      <c r="L1392" s="250"/>
      <c r="M1392" s="250"/>
      <c r="N1392" s="540" t="str">
        <f>CONCATENATE(IF(OR(M1392=phu!$I$1,M1392=phu!$I$2,M1392=phu!$I$3),"Cam Thành Nam",""),IF(OR(M1392=phu!$I$4,M1392=phu!$I$5,M1392=phu!$I$6,M1392=phu!$I$7,M1392=phu!$I$8,M1392=phu!$I$9,M1392=phu!$I$10,M1392=phu!$I$11,M1392=phu!$I$12,M1392=phu!$I$13,M1392=phu!$I$14),"Cam Nghĩa",""),IF(OR(M1392=phu!$I$15,M1392=phu!$I$16,M1392=phu!$I$17,M1392=phu!$I$18,M1392=phu!$I$19,M1392=phu!$I$20,M1392=phu!$I$21),"Cam Phúc Bắc",""),IF(OR(M1392=phu!$I$22,M1392=phu!$I$23,M1392=phu!$I$24,M1392=phu!$I$25),"Cam Phúc Nam",""),IF(OR(M1392=phu!$I$26,M1392=phu!$I$27,M1392=phu!$I$28,M1392=phu!$I$29,M1392=phu!$I$30,M1392=phu!$I$31),"Cam Phú",""),IF(OR(M1392=phu!$I$32,M1392=phu!$I$33,M1392=phu!$I$34,M1392=phu!$I$35,M1392=phu!$I$36,M1392=phu!$I$37),"Cam Lộc",""),IF(OR(M1392=phu!$I$38,M1392=phu!$I$39,M1392=phu!$I$40,M1392=phu!$I$41,M1392=phu!$I$42,M1392=phu!$I$43,M1392=phu!$I$44),"Cam Thuận",""),IF(OR(M1392=phu!$I$45,M1392=phu!$I$46,M1392=phu!$I$47,M1392=phu!$I$48,M1392=phu!$I$49,M1392=phu!$I$50,M1392=phu!$I$51,M1392=phu!$I$52,M1392=phu!$I$53),"Cam Linh",""),IF(OR(M1392=phu!$I$54,M1392=phu!$I$55,M1392=phu!$I$56,M1392=phu!$I$57,M1392=phu!$I$58,M1392=phu!$I$59,M1392=phu!$I$60,M1392=phu!$I$61,M1392=phu!$I$62),"Cam Lợi",""),IF(OR(M1392=phu!$I$63,M1392=phu!$I$64,M1392=phu!$I$65,M1392=phu!$I$66,M1392=phu!$I$67,M1392=phu!$I$68,M1392=phu!$I$69,M1392=phu!$I$70,M1392=phu!$I$71),"Ba Ngòi",""),IF(OR(M1392=phu!$I$72,M1392=phu!$I$73,M1392=phu!$I$74,M1392=phu!$I$75,M1392=phu!$I$76,M1392=phu!$I$77,M1392=phu!$I$78),"Cam Phước Đông",""),IF(OR(M1392=phu!$I$79,M1392=phu!$I$80,M1392=phu!$I$81,M1392=phu!$I$82,M1392=phu!$I$83,M1392=phu!$I$84),"Cam Thịnh Đông",""),IF(OR(M1392=phu!$I$85,M1392=phu!$I$86,M1392=phu!$I$87,M1392=phu!$I$88),"Cam Thịnh Tây",""),IF(OR(M1392=phu!$I$89,M1392=phu!$I$90),"Cam Lập",""),IF(OR(M1392=phu!$I$91,M1392=phu!$I$92,M1392=phu!$I$93),"Cam Bình",""),IF(OR(M1392=phu!$I$94,M1392=phu!$I$95,M1392=phu!$I$96,M1392=phu!$I$97,M1392=phu!$I$98,M1392=phu!$I$99,M1392=phu!$I$100),"Huyện khác",""),IF(OR(M1392=phu!$I$101,M1392=phu!$I$102),"Tỉnh khác",""))</f>
        <v/>
      </c>
      <c r="O1392" s="829" t="str">
        <f t="shared" si="126"/>
        <v/>
      </c>
      <c r="P1392" s="254"/>
      <c r="Q1392" s="254"/>
      <c r="R1392" s="254"/>
      <c r="S1392" s="254"/>
      <c r="T1392" s="254"/>
      <c r="U1392" s="254"/>
      <c r="V1392" s="254"/>
      <c r="W1392" s="254"/>
      <c r="Y1392" s="246" t="str">
        <f t="shared" si="127"/>
        <v/>
      </c>
      <c r="Z1392" s="247" t="str">
        <f t="shared" si="131"/>
        <v/>
      </c>
      <c r="AA1392" s="246" t="str">
        <f t="shared" si="128"/>
        <v/>
      </c>
    </row>
    <row r="1393" spans="1:27" x14ac:dyDescent="0.25">
      <c r="A1393" s="248" t="str">
        <f t="shared" si="129"/>
        <v/>
      </c>
      <c r="B1393" s="249" t="str">
        <f t="shared" si="130"/>
        <v/>
      </c>
      <c r="C1393" s="250"/>
      <c r="D1393" s="251"/>
      <c r="E1393" s="241"/>
      <c r="F1393" s="252"/>
      <c r="G1393" s="252"/>
      <c r="H1393" s="253"/>
      <c r="I1393" s="250"/>
      <c r="J1393" s="250"/>
      <c r="K1393" s="270"/>
      <c r="L1393" s="250"/>
      <c r="M1393" s="250"/>
      <c r="N1393" s="540" t="str">
        <f>CONCATENATE(IF(OR(M1393=phu!$I$1,M1393=phu!$I$2,M1393=phu!$I$3),"Cam Thành Nam",""),IF(OR(M1393=phu!$I$4,M1393=phu!$I$5,M1393=phu!$I$6,M1393=phu!$I$7,M1393=phu!$I$8,M1393=phu!$I$9,M1393=phu!$I$10,M1393=phu!$I$11,M1393=phu!$I$12,M1393=phu!$I$13,M1393=phu!$I$14),"Cam Nghĩa",""),IF(OR(M1393=phu!$I$15,M1393=phu!$I$16,M1393=phu!$I$17,M1393=phu!$I$18,M1393=phu!$I$19,M1393=phu!$I$20,M1393=phu!$I$21),"Cam Phúc Bắc",""),IF(OR(M1393=phu!$I$22,M1393=phu!$I$23,M1393=phu!$I$24,M1393=phu!$I$25),"Cam Phúc Nam",""),IF(OR(M1393=phu!$I$26,M1393=phu!$I$27,M1393=phu!$I$28,M1393=phu!$I$29,M1393=phu!$I$30,M1393=phu!$I$31),"Cam Phú",""),IF(OR(M1393=phu!$I$32,M1393=phu!$I$33,M1393=phu!$I$34,M1393=phu!$I$35,M1393=phu!$I$36,M1393=phu!$I$37),"Cam Lộc",""),IF(OR(M1393=phu!$I$38,M1393=phu!$I$39,M1393=phu!$I$40,M1393=phu!$I$41,M1393=phu!$I$42,M1393=phu!$I$43,M1393=phu!$I$44),"Cam Thuận",""),IF(OR(M1393=phu!$I$45,M1393=phu!$I$46,M1393=phu!$I$47,M1393=phu!$I$48,M1393=phu!$I$49,M1393=phu!$I$50,M1393=phu!$I$51,M1393=phu!$I$52,M1393=phu!$I$53),"Cam Linh",""),IF(OR(M1393=phu!$I$54,M1393=phu!$I$55,M1393=phu!$I$56,M1393=phu!$I$57,M1393=phu!$I$58,M1393=phu!$I$59,M1393=phu!$I$60,M1393=phu!$I$61,M1393=phu!$I$62),"Cam Lợi",""),IF(OR(M1393=phu!$I$63,M1393=phu!$I$64,M1393=phu!$I$65,M1393=phu!$I$66,M1393=phu!$I$67,M1393=phu!$I$68,M1393=phu!$I$69,M1393=phu!$I$70,M1393=phu!$I$71),"Ba Ngòi",""),IF(OR(M1393=phu!$I$72,M1393=phu!$I$73,M1393=phu!$I$74,M1393=phu!$I$75,M1393=phu!$I$76,M1393=phu!$I$77,M1393=phu!$I$78),"Cam Phước Đông",""),IF(OR(M1393=phu!$I$79,M1393=phu!$I$80,M1393=phu!$I$81,M1393=phu!$I$82,M1393=phu!$I$83,M1393=phu!$I$84),"Cam Thịnh Đông",""),IF(OR(M1393=phu!$I$85,M1393=phu!$I$86,M1393=phu!$I$87,M1393=phu!$I$88),"Cam Thịnh Tây",""),IF(OR(M1393=phu!$I$89,M1393=phu!$I$90),"Cam Lập",""),IF(OR(M1393=phu!$I$91,M1393=phu!$I$92,M1393=phu!$I$93),"Cam Bình",""),IF(OR(M1393=phu!$I$94,M1393=phu!$I$95,M1393=phu!$I$96,M1393=phu!$I$97,M1393=phu!$I$98,M1393=phu!$I$99,M1393=phu!$I$100),"Huyện khác",""),IF(OR(M1393=phu!$I$101,M1393=phu!$I$102),"Tỉnh khác",""))</f>
        <v/>
      </c>
      <c r="O1393" s="829" t="str">
        <f t="shared" si="126"/>
        <v/>
      </c>
      <c r="P1393" s="254"/>
      <c r="Q1393" s="254"/>
      <c r="R1393" s="254"/>
      <c r="S1393" s="254"/>
      <c r="T1393" s="254"/>
      <c r="U1393" s="254"/>
      <c r="V1393" s="254"/>
      <c r="W1393" s="254"/>
      <c r="Y1393" s="246" t="str">
        <f t="shared" si="127"/>
        <v/>
      </c>
      <c r="Z1393" s="247" t="str">
        <f t="shared" si="131"/>
        <v/>
      </c>
      <c r="AA1393" s="246" t="str">
        <f t="shared" si="128"/>
        <v/>
      </c>
    </row>
    <row r="1394" spans="1:27" x14ac:dyDescent="0.25">
      <c r="A1394" s="248" t="str">
        <f t="shared" si="129"/>
        <v/>
      </c>
      <c r="B1394" s="249" t="str">
        <f t="shared" si="130"/>
        <v/>
      </c>
      <c r="C1394" s="250"/>
      <c r="D1394" s="251"/>
      <c r="E1394" s="241"/>
      <c r="F1394" s="252"/>
      <c r="G1394" s="252"/>
      <c r="H1394" s="253"/>
      <c r="I1394" s="250"/>
      <c r="J1394" s="250"/>
      <c r="K1394" s="270"/>
      <c r="L1394" s="250"/>
      <c r="M1394" s="250"/>
      <c r="N1394" s="540" t="str">
        <f>CONCATENATE(IF(OR(M1394=phu!$I$1,M1394=phu!$I$2,M1394=phu!$I$3),"Cam Thành Nam",""),IF(OR(M1394=phu!$I$4,M1394=phu!$I$5,M1394=phu!$I$6,M1394=phu!$I$7,M1394=phu!$I$8,M1394=phu!$I$9,M1394=phu!$I$10,M1394=phu!$I$11,M1394=phu!$I$12,M1394=phu!$I$13,M1394=phu!$I$14),"Cam Nghĩa",""),IF(OR(M1394=phu!$I$15,M1394=phu!$I$16,M1394=phu!$I$17,M1394=phu!$I$18,M1394=phu!$I$19,M1394=phu!$I$20,M1394=phu!$I$21),"Cam Phúc Bắc",""),IF(OR(M1394=phu!$I$22,M1394=phu!$I$23,M1394=phu!$I$24,M1394=phu!$I$25),"Cam Phúc Nam",""),IF(OR(M1394=phu!$I$26,M1394=phu!$I$27,M1394=phu!$I$28,M1394=phu!$I$29,M1394=phu!$I$30,M1394=phu!$I$31),"Cam Phú",""),IF(OR(M1394=phu!$I$32,M1394=phu!$I$33,M1394=phu!$I$34,M1394=phu!$I$35,M1394=phu!$I$36,M1394=phu!$I$37),"Cam Lộc",""),IF(OR(M1394=phu!$I$38,M1394=phu!$I$39,M1394=phu!$I$40,M1394=phu!$I$41,M1394=phu!$I$42,M1394=phu!$I$43,M1394=phu!$I$44),"Cam Thuận",""),IF(OR(M1394=phu!$I$45,M1394=phu!$I$46,M1394=phu!$I$47,M1394=phu!$I$48,M1394=phu!$I$49,M1394=phu!$I$50,M1394=phu!$I$51,M1394=phu!$I$52,M1394=phu!$I$53),"Cam Linh",""),IF(OR(M1394=phu!$I$54,M1394=phu!$I$55,M1394=phu!$I$56,M1394=phu!$I$57,M1394=phu!$I$58,M1394=phu!$I$59,M1394=phu!$I$60,M1394=phu!$I$61,M1394=phu!$I$62),"Cam Lợi",""),IF(OR(M1394=phu!$I$63,M1394=phu!$I$64,M1394=phu!$I$65,M1394=phu!$I$66,M1394=phu!$I$67,M1394=phu!$I$68,M1394=phu!$I$69,M1394=phu!$I$70,M1394=phu!$I$71),"Ba Ngòi",""),IF(OR(M1394=phu!$I$72,M1394=phu!$I$73,M1394=phu!$I$74,M1394=phu!$I$75,M1394=phu!$I$76,M1394=phu!$I$77,M1394=phu!$I$78),"Cam Phước Đông",""),IF(OR(M1394=phu!$I$79,M1394=phu!$I$80,M1394=phu!$I$81,M1394=phu!$I$82,M1394=phu!$I$83,M1394=phu!$I$84),"Cam Thịnh Đông",""),IF(OR(M1394=phu!$I$85,M1394=phu!$I$86,M1394=phu!$I$87,M1394=phu!$I$88),"Cam Thịnh Tây",""),IF(OR(M1394=phu!$I$89,M1394=phu!$I$90),"Cam Lập",""),IF(OR(M1394=phu!$I$91,M1394=phu!$I$92,M1394=phu!$I$93),"Cam Bình",""),IF(OR(M1394=phu!$I$94,M1394=phu!$I$95,M1394=phu!$I$96,M1394=phu!$I$97,M1394=phu!$I$98,M1394=phu!$I$99,M1394=phu!$I$100),"Huyện khác",""),IF(OR(M1394=phu!$I$101,M1394=phu!$I$102),"Tỉnh khác",""))</f>
        <v/>
      </c>
      <c r="O1394" s="829" t="str">
        <f t="shared" si="126"/>
        <v/>
      </c>
      <c r="P1394" s="254"/>
      <c r="Q1394" s="254"/>
      <c r="R1394" s="254"/>
      <c r="S1394" s="254"/>
      <c r="T1394" s="254"/>
      <c r="U1394" s="254"/>
      <c r="V1394" s="254"/>
      <c r="W1394" s="254"/>
      <c r="Y1394" s="246" t="str">
        <f t="shared" si="127"/>
        <v/>
      </c>
      <c r="Z1394" s="247" t="str">
        <f t="shared" si="131"/>
        <v/>
      </c>
      <c r="AA1394" s="246" t="str">
        <f t="shared" si="128"/>
        <v/>
      </c>
    </row>
    <row r="1395" spans="1:27" x14ac:dyDescent="0.25">
      <c r="A1395" s="248" t="str">
        <f t="shared" si="129"/>
        <v/>
      </c>
      <c r="B1395" s="249" t="str">
        <f t="shared" si="130"/>
        <v/>
      </c>
      <c r="C1395" s="250"/>
      <c r="D1395" s="251"/>
      <c r="E1395" s="241"/>
      <c r="F1395" s="252"/>
      <c r="G1395" s="252"/>
      <c r="H1395" s="253"/>
      <c r="I1395" s="250"/>
      <c r="J1395" s="250"/>
      <c r="K1395" s="270"/>
      <c r="L1395" s="250"/>
      <c r="M1395" s="250"/>
      <c r="N1395" s="540" t="str">
        <f>CONCATENATE(IF(OR(M1395=phu!$I$1,M1395=phu!$I$2,M1395=phu!$I$3),"Cam Thành Nam",""),IF(OR(M1395=phu!$I$4,M1395=phu!$I$5,M1395=phu!$I$6,M1395=phu!$I$7,M1395=phu!$I$8,M1395=phu!$I$9,M1395=phu!$I$10,M1395=phu!$I$11,M1395=phu!$I$12,M1395=phu!$I$13,M1395=phu!$I$14),"Cam Nghĩa",""),IF(OR(M1395=phu!$I$15,M1395=phu!$I$16,M1395=phu!$I$17,M1395=phu!$I$18,M1395=phu!$I$19,M1395=phu!$I$20,M1395=phu!$I$21),"Cam Phúc Bắc",""),IF(OR(M1395=phu!$I$22,M1395=phu!$I$23,M1395=phu!$I$24,M1395=phu!$I$25),"Cam Phúc Nam",""),IF(OR(M1395=phu!$I$26,M1395=phu!$I$27,M1395=phu!$I$28,M1395=phu!$I$29,M1395=phu!$I$30,M1395=phu!$I$31),"Cam Phú",""),IF(OR(M1395=phu!$I$32,M1395=phu!$I$33,M1395=phu!$I$34,M1395=phu!$I$35,M1395=phu!$I$36,M1395=phu!$I$37),"Cam Lộc",""),IF(OR(M1395=phu!$I$38,M1395=phu!$I$39,M1395=phu!$I$40,M1395=phu!$I$41,M1395=phu!$I$42,M1395=phu!$I$43,M1395=phu!$I$44),"Cam Thuận",""),IF(OR(M1395=phu!$I$45,M1395=phu!$I$46,M1395=phu!$I$47,M1395=phu!$I$48,M1395=phu!$I$49,M1395=phu!$I$50,M1395=phu!$I$51,M1395=phu!$I$52,M1395=phu!$I$53),"Cam Linh",""),IF(OR(M1395=phu!$I$54,M1395=phu!$I$55,M1395=phu!$I$56,M1395=phu!$I$57,M1395=phu!$I$58,M1395=phu!$I$59,M1395=phu!$I$60,M1395=phu!$I$61,M1395=phu!$I$62),"Cam Lợi",""),IF(OR(M1395=phu!$I$63,M1395=phu!$I$64,M1395=phu!$I$65,M1395=phu!$I$66,M1395=phu!$I$67,M1395=phu!$I$68,M1395=phu!$I$69,M1395=phu!$I$70,M1395=phu!$I$71),"Ba Ngòi",""),IF(OR(M1395=phu!$I$72,M1395=phu!$I$73,M1395=phu!$I$74,M1395=phu!$I$75,M1395=phu!$I$76,M1395=phu!$I$77,M1395=phu!$I$78),"Cam Phước Đông",""),IF(OR(M1395=phu!$I$79,M1395=phu!$I$80,M1395=phu!$I$81,M1395=phu!$I$82,M1395=phu!$I$83,M1395=phu!$I$84),"Cam Thịnh Đông",""),IF(OR(M1395=phu!$I$85,M1395=phu!$I$86,M1395=phu!$I$87,M1395=phu!$I$88),"Cam Thịnh Tây",""),IF(OR(M1395=phu!$I$89,M1395=phu!$I$90),"Cam Lập",""),IF(OR(M1395=phu!$I$91,M1395=phu!$I$92,M1395=phu!$I$93),"Cam Bình",""),IF(OR(M1395=phu!$I$94,M1395=phu!$I$95,M1395=phu!$I$96,M1395=phu!$I$97,M1395=phu!$I$98,M1395=phu!$I$99,M1395=phu!$I$100),"Huyện khác",""),IF(OR(M1395=phu!$I$101,M1395=phu!$I$102),"Tỉnh khác",""))</f>
        <v/>
      </c>
      <c r="O1395" s="829" t="str">
        <f t="shared" si="126"/>
        <v/>
      </c>
      <c r="P1395" s="254"/>
      <c r="Q1395" s="254"/>
      <c r="R1395" s="254"/>
      <c r="S1395" s="254"/>
      <c r="T1395" s="254"/>
      <c r="U1395" s="254"/>
      <c r="V1395" s="254"/>
      <c r="W1395" s="254"/>
      <c r="Y1395" s="246" t="str">
        <f t="shared" si="127"/>
        <v/>
      </c>
      <c r="Z1395" s="247" t="str">
        <f t="shared" si="131"/>
        <v/>
      </c>
      <c r="AA1395" s="246" t="str">
        <f t="shared" si="128"/>
        <v/>
      </c>
    </row>
    <row r="1396" spans="1:27" x14ac:dyDescent="0.25">
      <c r="A1396" s="248" t="str">
        <f t="shared" si="129"/>
        <v/>
      </c>
      <c r="B1396" s="249" t="str">
        <f t="shared" si="130"/>
        <v/>
      </c>
      <c r="C1396" s="250"/>
      <c r="D1396" s="251"/>
      <c r="E1396" s="241"/>
      <c r="F1396" s="252"/>
      <c r="G1396" s="252"/>
      <c r="H1396" s="253"/>
      <c r="I1396" s="250"/>
      <c r="J1396" s="250"/>
      <c r="K1396" s="270"/>
      <c r="L1396" s="250"/>
      <c r="M1396" s="250"/>
      <c r="N1396" s="540" t="str">
        <f>CONCATENATE(IF(OR(M1396=phu!$I$1,M1396=phu!$I$2,M1396=phu!$I$3),"Cam Thành Nam",""),IF(OR(M1396=phu!$I$4,M1396=phu!$I$5,M1396=phu!$I$6,M1396=phu!$I$7,M1396=phu!$I$8,M1396=phu!$I$9,M1396=phu!$I$10,M1396=phu!$I$11,M1396=phu!$I$12,M1396=phu!$I$13,M1396=phu!$I$14),"Cam Nghĩa",""),IF(OR(M1396=phu!$I$15,M1396=phu!$I$16,M1396=phu!$I$17,M1396=phu!$I$18,M1396=phu!$I$19,M1396=phu!$I$20,M1396=phu!$I$21),"Cam Phúc Bắc",""),IF(OR(M1396=phu!$I$22,M1396=phu!$I$23,M1396=phu!$I$24,M1396=phu!$I$25),"Cam Phúc Nam",""),IF(OR(M1396=phu!$I$26,M1396=phu!$I$27,M1396=phu!$I$28,M1396=phu!$I$29,M1396=phu!$I$30,M1396=phu!$I$31),"Cam Phú",""),IF(OR(M1396=phu!$I$32,M1396=phu!$I$33,M1396=phu!$I$34,M1396=phu!$I$35,M1396=phu!$I$36,M1396=phu!$I$37),"Cam Lộc",""),IF(OR(M1396=phu!$I$38,M1396=phu!$I$39,M1396=phu!$I$40,M1396=phu!$I$41,M1396=phu!$I$42,M1396=phu!$I$43,M1396=phu!$I$44),"Cam Thuận",""),IF(OR(M1396=phu!$I$45,M1396=phu!$I$46,M1396=phu!$I$47,M1396=phu!$I$48,M1396=phu!$I$49,M1396=phu!$I$50,M1396=phu!$I$51,M1396=phu!$I$52,M1396=phu!$I$53),"Cam Linh",""),IF(OR(M1396=phu!$I$54,M1396=phu!$I$55,M1396=phu!$I$56,M1396=phu!$I$57,M1396=phu!$I$58,M1396=phu!$I$59,M1396=phu!$I$60,M1396=phu!$I$61,M1396=phu!$I$62),"Cam Lợi",""),IF(OR(M1396=phu!$I$63,M1396=phu!$I$64,M1396=phu!$I$65,M1396=phu!$I$66,M1396=phu!$I$67,M1396=phu!$I$68,M1396=phu!$I$69,M1396=phu!$I$70,M1396=phu!$I$71),"Ba Ngòi",""),IF(OR(M1396=phu!$I$72,M1396=phu!$I$73,M1396=phu!$I$74,M1396=phu!$I$75,M1396=phu!$I$76,M1396=phu!$I$77,M1396=phu!$I$78),"Cam Phước Đông",""),IF(OR(M1396=phu!$I$79,M1396=phu!$I$80,M1396=phu!$I$81,M1396=phu!$I$82,M1396=phu!$I$83,M1396=phu!$I$84),"Cam Thịnh Đông",""),IF(OR(M1396=phu!$I$85,M1396=phu!$I$86,M1396=phu!$I$87,M1396=phu!$I$88),"Cam Thịnh Tây",""),IF(OR(M1396=phu!$I$89,M1396=phu!$I$90),"Cam Lập",""),IF(OR(M1396=phu!$I$91,M1396=phu!$I$92,M1396=phu!$I$93),"Cam Bình",""),IF(OR(M1396=phu!$I$94,M1396=phu!$I$95,M1396=phu!$I$96,M1396=phu!$I$97,M1396=phu!$I$98,M1396=phu!$I$99,M1396=phu!$I$100),"Huyện khác",""),IF(OR(M1396=phu!$I$101,M1396=phu!$I$102),"Tỉnh khác",""))</f>
        <v/>
      </c>
      <c r="O1396" s="829" t="str">
        <f t="shared" si="126"/>
        <v/>
      </c>
      <c r="P1396" s="254"/>
      <c r="Q1396" s="254"/>
      <c r="R1396" s="254"/>
      <c r="S1396" s="254"/>
      <c r="T1396" s="254"/>
      <c r="U1396" s="254"/>
      <c r="V1396" s="254"/>
      <c r="W1396" s="254"/>
      <c r="Y1396" s="246" t="str">
        <f t="shared" si="127"/>
        <v/>
      </c>
      <c r="Z1396" s="247" t="str">
        <f t="shared" si="131"/>
        <v/>
      </c>
      <c r="AA1396" s="246" t="str">
        <f t="shared" si="128"/>
        <v/>
      </c>
    </row>
    <row r="1397" spans="1:27" x14ac:dyDescent="0.25">
      <c r="A1397" s="248" t="str">
        <f t="shared" si="129"/>
        <v/>
      </c>
      <c r="B1397" s="249" t="str">
        <f t="shared" si="130"/>
        <v/>
      </c>
      <c r="C1397" s="250"/>
      <c r="D1397" s="251"/>
      <c r="E1397" s="241"/>
      <c r="F1397" s="252"/>
      <c r="G1397" s="252"/>
      <c r="H1397" s="253"/>
      <c r="I1397" s="250"/>
      <c r="J1397" s="250"/>
      <c r="K1397" s="270"/>
      <c r="L1397" s="250"/>
      <c r="M1397" s="250"/>
      <c r="N1397" s="540" t="str">
        <f>CONCATENATE(IF(OR(M1397=phu!$I$1,M1397=phu!$I$2,M1397=phu!$I$3),"Cam Thành Nam",""),IF(OR(M1397=phu!$I$4,M1397=phu!$I$5,M1397=phu!$I$6,M1397=phu!$I$7,M1397=phu!$I$8,M1397=phu!$I$9,M1397=phu!$I$10,M1397=phu!$I$11,M1397=phu!$I$12,M1397=phu!$I$13,M1397=phu!$I$14),"Cam Nghĩa",""),IF(OR(M1397=phu!$I$15,M1397=phu!$I$16,M1397=phu!$I$17,M1397=phu!$I$18,M1397=phu!$I$19,M1397=phu!$I$20,M1397=phu!$I$21),"Cam Phúc Bắc",""),IF(OR(M1397=phu!$I$22,M1397=phu!$I$23,M1397=phu!$I$24,M1397=phu!$I$25),"Cam Phúc Nam",""),IF(OR(M1397=phu!$I$26,M1397=phu!$I$27,M1397=phu!$I$28,M1397=phu!$I$29,M1397=phu!$I$30,M1397=phu!$I$31),"Cam Phú",""),IF(OR(M1397=phu!$I$32,M1397=phu!$I$33,M1397=phu!$I$34,M1397=phu!$I$35,M1397=phu!$I$36,M1397=phu!$I$37),"Cam Lộc",""),IF(OR(M1397=phu!$I$38,M1397=phu!$I$39,M1397=phu!$I$40,M1397=phu!$I$41,M1397=phu!$I$42,M1397=phu!$I$43,M1397=phu!$I$44),"Cam Thuận",""),IF(OR(M1397=phu!$I$45,M1397=phu!$I$46,M1397=phu!$I$47,M1397=phu!$I$48,M1397=phu!$I$49,M1397=phu!$I$50,M1397=phu!$I$51,M1397=phu!$I$52,M1397=phu!$I$53),"Cam Linh",""),IF(OR(M1397=phu!$I$54,M1397=phu!$I$55,M1397=phu!$I$56,M1397=phu!$I$57,M1397=phu!$I$58,M1397=phu!$I$59,M1397=phu!$I$60,M1397=phu!$I$61,M1397=phu!$I$62),"Cam Lợi",""),IF(OR(M1397=phu!$I$63,M1397=phu!$I$64,M1397=phu!$I$65,M1397=phu!$I$66,M1397=phu!$I$67,M1397=phu!$I$68,M1397=phu!$I$69,M1397=phu!$I$70,M1397=phu!$I$71),"Ba Ngòi",""),IF(OR(M1397=phu!$I$72,M1397=phu!$I$73,M1397=phu!$I$74,M1397=phu!$I$75,M1397=phu!$I$76,M1397=phu!$I$77,M1397=phu!$I$78),"Cam Phước Đông",""),IF(OR(M1397=phu!$I$79,M1397=phu!$I$80,M1397=phu!$I$81,M1397=phu!$I$82,M1397=phu!$I$83,M1397=phu!$I$84),"Cam Thịnh Đông",""),IF(OR(M1397=phu!$I$85,M1397=phu!$I$86,M1397=phu!$I$87,M1397=phu!$I$88),"Cam Thịnh Tây",""),IF(OR(M1397=phu!$I$89,M1397=phu!$I$90),"Cam Lập",""),IF(OR(M1397=phu!$I$91,M1397=phu!$I$92,M1397=phu!$I$93),"Cam Bình",""),IF(OR(M1397=phu!$I$94,M1397=phu!$I$95,M1397=phu!$I$96,M1397=phu!$I$97,M1397=phu!$I$98,M1397=phu!$I$99,M1397=phu!$I$100),"Huyện khác",""),IF(OR(M1397=phu!$I$101,M1397=phu!$I$102),"Tỉnh khác",""))</f>
        <v/>
      </c>
      <c r="O1397" s="829" t="str">
        <f t="shared" si="126"/>
        <v/>
      </c>
      <c r="P1397" s="254"/>
      <c r="Q1397" s="254"/>
      <c r="R1397" s="254"/>
      <c r="S1397" s="254"/>
      <c r="T1397" s="254"/>
      <c r="U1397" s="254"/>
      <c r="V1397" s="254"/>
      <c r="W1397" s="254"/>
      <c r="Y1397" s="246" t="str">
        <f t="shared" si="127"/>
        <v/>
      </c>
      <c r="Z1397" s="247" t="str">
        <f t="shared" si="131"/>
        <v/>
      </c>
      <c r="AA1397" s="246" t="str">
        <f t="shared" si="128"/>
        <v/>
      </c>
    </row>
    <row r="1398" spans="1:27" x14ac:dyDescent="0.25">
      <c r="A1398" s="248" t="str">
        <f t="shared" si="129"/>
        <v/>
      </c>
      <c r="B1398" s="249" t="str">
        <f t="shared" si="130"/>
        <v/>
      </c>
      <c r="C1398" s="250"/>
      <c r="D1398" s="251"/>
      <c r="E1398" s="241"/>
      <c r="F1398" s="252"/>
      <c r="G1398" s="252"/>
      <c r="H1398" s="253"/>
      <c r="I1398" s="250"/>
      <c r="J1398" s="250"/>
      <c r="K1398" s="270"/>
      <c r="L1398" s="250"/>
      <c r="M1398" s="250"/>
      <c r="N1398" s="540" t="str">
        <f>CONCATENATE(IF(OR(M1398=phu!$I$1,M1398=phu!$I$2,M1398=phu!$I$3),"Cam Thành Nam",""),IF(OR(M1398=phu!$I$4,M1398=phu!$I$5,M1398=phu!$I$6,M1398=phu!$I$7,M1398=phu!$I$8,M1398=phu!$I$9,M1398=phu!$I$10,M1398=phu!$I$11,M1398=phu!$I$12,M1398=phu!$I$13,M1398=phu!$I$14),"Cam Nghĩa",""),IF(OR(M1398=phu!$I$15,M1398=phu!$I$16,M1398=phu!$I$17,M1398=phu!$I$18,M1398=phu!$I$19,M1398=phu!$I$20,M1398=phu!$I$21),"Cam Phúc Bắc",""),IF(OR(M1398=phu!$I$22,M1398=phu!$I$23,M1398=phu!$I$24,M1398=phu!$I$25),"Cam Phúc Nam",""),IF(OR(M1398=phu!$I$26,M1398=phu!$I$27,M1398=phu!$I$28,M1398=phu!$I$29,M1398=phu!$I$30,M1398=phu!$I$31),"Cam Phú",""),IF(OR(M1398=phu!$I$32,M1398=phu!$I$33,M1398=phu!$I$34,M1398=phu!$I$35,M1398=phu!$I$36,M1398=phu!$I$37),"Cam Lộc",""),IF(OR(M1398=phu!$I$38,M1398=phu!$I$39,M1398=phu!$I$40,M1398=phu!$I$41,M1398=phu!$I$42,M1398=phu!$I$43,M1398=phu!$I$44),"Cam Thuận",""),IF(OR(M1398=phu!$I$45,M1398=phu!$I$46,M1398=phu!$I$47,M1398=phu!$I$48,M1398=phu!$I$49,M1398=phu!$I$50,M1398=phu!$I$51,M1398=phu!$I$52,M1398=phu!$I$53),"Cam Linh",""),IF(OR(M1398=phu!$I$54,M1398=phu!$I$55,M1398=phu!$I$56,M1398=phu!$I$57,M1398=phu!$I$58,M1398=phu!$I$59,M1398=phu!$I$60,M1398=phu!$I$61,M1398=phu!$I$62),"Cam Lợi",""),IF(OR(M1398=phu!$I$63,M1398=phu!$I$64,M1398=phu!$I$65,M1398=phu!$I$66,M1398=phu!$I$67,M1398=phu!$I$68,M1398=phu!$I$69,M1398=phu!$I$70,M1398=phu!$I$71),"Ba Ngòi",""),IF(OR(M1398=phu!$I$72,M1398=phu!$I$73,M1398=phu!$I$74,M1398=phu!$I$75,M1398=phu!$I$76,M1398=phu!$I$77,M1398=phu!$I$78),"Cam Phước Đông",""),IF(OR(M1398=phu!$I$79,M1398=phu!$I$80,M1398=phu!$I$81,M1398=phu!$I$82,M1398=phu!$I$83,M1398=phu!$I$84),"Cam Thịnh Đông",""),IF(OR(M1398=phu!$I$85,M1398=phu!$I$86,M1398=phu!$I$87,M1398=phu!$I$88),"Cam Thịnh Tây",""),IF(OR(M1398=phu!$I$89,M1398=phu!$I$90),"Cam Lập",""),IF(OR(M1398=phu!$I$91,M1398=phu!$I$92,M1398=phu!$I$93),"Cam Bình",""),IF(OR(M1398=phu!$I$94,M1398=phu!$I$95,M1398=phu!$I$96,M1398=phu!$I$97,M1398=phu!$I$98,M1398=phu!$I$99,M1398=phu!$I$100),"Huyện khác",""),IF(OR(M1398=phu!$I$101,M1398=phu!$I$102),"Tỉnh khác",""))</f>
        <v/>
      </c>
      <c r="O1398" s="829" t="str">
        <f t="shared" si="126"/>
        <v/>
      </c>
      <c r="P1398" s="254"/>
      <c r="Q1398" s="254"/>
      <c r="R1398" s="254"/>
      <c r="S1398" s="254"/>
      <c r="T1398" s="254"/>
      <c r="U1398" s="254"/>
      <c r="V1398" s="254"/>
      <c r="W1398" s="254"/>
      <c r="Y1398" s="246" t="str">
        <f t="shared" si="127"/>
        <v/>
      </c>
      <c r="Z1398" s="247" t="str">
        <f t="shared" si="131"/>
        <v/>
      </c>
      <c r="AA1398" s="246" t="str">
        <f t="shared" si="128"/>
        <v/>
      </c>
    </row>
    <row r="1399" spans="1:27" x14ac:dyDescent="0.25">
      <c r="A1399" s="248" t="str">
        <f t="shared" si="129"/>
        <v/>
      </c>
      <c r="B1399" s="249" t="str">
        <f t="shared" si="130"/>
        <v/>
      </c>
      <c r="C1399" s="250"/>
      <c r="D1399" s="251"/>
      <c r="E1399" s="241"/>
      <c r="F1399" s="252"/>
      <c r="G1399" s="252"/>
      <c r="H1399" s="253"/>
      <c r="I1399" s="250"/>
      <c r="J1399" s="250"/>
      <c r="K1399" s="270"/>
      <c r="L1399" s="250"/>
      <c r="M1399" s="250"/>
      <c r="N1399" s="540" t="str">
        <f>CONCATENATE(IF(OR(M1399=phu!$I$1,M1399=phu!$I$2,M1399=phu!$I$3),"Cam Thành Nam",""),IF(OR(M1399=phu!$I$4,M1399=phu!$I$5,M1399=phu!$I$6,M1399=phu!$I$7,M1399=phu!$I$8,M1399=phu!$I$9,M1399=phu!$I$10,M1399=phu!$I$11,M1399=phu!$I$12,M1399=phu!$I$13,M1399=phu!$I$14),"Cam Nghĩa",""),IF(OR(M1399=phu!$I$15,M1399=phu!$I$16,M1399=phu!$I$17,M1399=phu!$I$18,M1399=phu!$I$19,M1399=phu!$I$20,M1399=phu!$I$21),"Cam Phúc Bắc",""),IF(OR(M1399=phu!$I$22,M1399=phu!$I$23,M1399=phu!$I$24,M1399=phu!$I$25),"Cam Phúc Nam",""),IF(OR(M1399=phu!$I$26,M1399=phu!$I$27,M1399=phu!$I$28,M1399=phu!$I$29,M1399=phu!$I$30,M1399=phu!$I$31),"Cam Phú",""),IF(OR(M1399=phu!$I$32,M1399=phu!$I$33,M1399=phu!$I$34,M1399=phu!$I$35,M1399=phu!$I$36,M1399=phu!$I$37),"Cam Lộc",""),IF(OR(M1399=phu!$I$38,M1399=phu!$I$39,M1399=phu!$I$40,M1399=phu!$I$41,M1399=phu!$I$42,M1399=phu!$I$43,M1399=phu!$I$44),"Cam Thuận",""),IF(OR(M1399=phu!$I$45,M1399=phu!$I$46,M1399=phu!$I$47,M1399=phu!$I$48,M1399=phu!$I$49,M1399=phu!$I$50,M1399=phu!$I$51,M1399=phu!$I$52,M1399=phu!$I$53),"Cam Linh",""),IF(OR(M1399=phu!$I$54,M1399=phu!$I$55,M1399=phu!$I$56,M1399=phu!$I$57,M1399=phu!$I$58,M1399=phu!$I$59,M1399=phu!$I$60,M1399=phu!$I$61,M1399=phu!$I$62),"Cam Lợi",""),IF(OR(M1399=phu!$I$63,M1399=phu!$I$64,M1399=phu!$I$65,M1399=phu!$I$66,M1399=phu!$I$67,M1399=phu!$I$68,M1399=phu!$I$69,M1399=phu!$I$70,M1399=phu!$I$71),"Ba Ngòi",""),IF(OR(M1399=phu!$I$72,M1399=phu!$I$73,M1399=phu!$I$74,M1399=phu!$I$75,M1399=phu!$I$76,M1399=phu!$I$77,M1399=phu!$I$78),"Cam Phước Đông",""),IF(OR(M1399=phu!$I$79,M1399=phu!$I$80,M1399=phu!$I$81,M1399=phu!$I$82,M1399=phu!$I$83,M1399=phu!$I$84),"Cam Thịnh Đông",""),IF(OR(M1399=phu!$I$85,M1399=phu!$I$86,M1399=phu!$I$87,M1399=phu!$I$88),"Cam Thịnh Tây",""),IF(OR(M1399=phu!$I$89,M1399=phu!$I$90),"Cam Lập",""),IF(OR(M1399=phu!$I$91,M1399=phu!$I$92,M1399=phu!$I$93),"Cam Bình",""),IF(OR(M1399=phu!$I$94,M1399=phu!$I$95,M1399=phu!$I$96,M1399=phu!$I$97,M1399=phu!$I$98,M1399=phu!$I$99,M1399=phu!$I$100),"Huyện khác",""),IF(OR(M1399=phu!$I$101,M1399=phu!$I$102),"Tỉnh khác",""))</f>
        <v/>
      </c>
      <c r="O1399" s="829" t="str">
        <f t="shared" si="126"/>
        <v/>
      </c>
      <c r="P1399" s="254"/>
      <c r="Q1399" s="254"/>
      <c r="R1399" s="254"/>
      <c r="S1399" s="254"/>
      <c r="T1399" s="254"/>
      <c r="U1399" s="254"/>
      <c r="V1399" s="254"/>
      <c r="W1399" s="254"/>
      <c r="Y1399" s="246" t="str">
        <f t="shared" si="127"/>
        <v/>
      </c>
      <c r="Z1399" s="247" t="str">
        <f t="shared" si="131"/>
        <v/>
      </c>
      <c r="AA1399" s="246" t="str">
        <f t="shared" si="128"/>
        <v/>
      </c>
    </row>
    <row r="1400" spans="1:27" x14ac:dyDescent="0.25">
      <c r="A1400" s="248" t="str">
        <f t="shared" si="129"/>
        <v/>
      </c>
      <c r="B1400" s="249" t="str">
        <f t="shared" si="130"/>
        <v/>
      </c>
      <c r="C1400" s="250"/>
      <c r="D1400" s="251"/>
      <c r="E1400" s="241"/>
      <c r="F1400" s="252"/>
      <c r="G1400" s="252"/>
      <c r="H1400" s="253"/>
      <c r="I1400" s="250"/>
      <c r="J1400" s="250"/>
      <c r="K1400" s="270"/>
      <c r="L1400" s="250"/>
      <c r="M1400" s="250"/>
      <c r="N1400" s="540" t="str">
        <f>CONCATENATE(IF(OR(M1400=phu!$I$1,M1400=phu!$I$2,M1400=phu!$I$3),"Cam Thành Nam",""),IF(OR(M1400=phu!$I$4,M1400=phu!$I$5,M1400=phu!$I$6,M1400=phu!$I$7,M1400=phu!$I$8,M1400=phu!$I$9,M1400=phu!$I$10,M1400=phu!$I$11,M1400=phu!$I$12,M1400=phu!$I$13,M1400=phu!$I$14),"Cam Nghĩa",""),IF(OR(M1400=phu!$I$15,M1400=phu!$I$16,M1400=phu!$I$17,M1400=phu!$I$18,M1400=phu!$I$19,M1400=phu!$I$20,M1400=phu!$I$21),"Cam Phúc Bắc",""),IF(OR(M1400=phu!$I$22,M1400=phu!$I$23,M1400=phu!$I$24,M1400=phu!$I$25),"Cam Phúc Nam",""),IF(OR(M1400=phu!$I$26,M1400=phu!$I$27,M1400=phu!$I$28,M1400=phu!$I$29,M1400=phu!$I$30,M1400=phu!$I$31),"Cam Phú",""),IF(OR(M1400=phu!$I$32,M1400=phu!$I$33,M1400=phu!$I$34,M1400=phu!$I$35,M1400=phu!$I$36,M1400=phu!$I$37),"Cam Lộc",""),IF(OR(M1400=phu!$I$38,M1400=phu!$I$39,M1400=phu!$I$40,M1400=phu!$I$41,M1400=phu!$I$42,M1400=phu!$I$43,M1400=phu!$I$44),"Cam Thuận",""),IF(OR(M1400=phu!$I$45,M1400=phu!$I$46,M1400=phu!$I$47,M1400=phu!$I$48,M1400=phu!$I$49,M1400=phu!$I$50,M1400=phu!$I$51,M1400=phu!$I$52,M1400=phu!$I$53),"Cam Linh",""),IF(OR(M1400=phu!$I$54,M1400=phu!$I$55,M1400=phu!$I$56,M1400=phu!$I$57,M1400=phu!$I$58,M1400=phu!$I$59,M1400=phu!$I$60,M1400=phu!$I$61,M1400=phu!$I$62),"Cam Lợi",""),IF(OR(M1400=phu!$I$63,M1400=phu!$I$64,M1400=phu!$I$65,M1400=phu!$I$66,M1400=phu!$I$67,M1400=phu!$I$68,M1400=phu!$I$69,M1400=phu!$I$70,M1400=phu!$I$71),"Ba Ngòi",""),IF(OR(M1400=phu!$I$72,M1400=phu!$I$73,M1400=phu!$I$74,M1400=phu!$I$75,M1400=phu!$I$76,M1400=phu!$I$77,M1400=phu!$I$78),"Cam Phước Đông",""),IF(OR(M1400=phu!$I$79,M1400=phu!$I$80,M1400=phu!$I$81,M1400=phu!$I$82,M1400=phu!$I$83,M1400=phu!$I$84),"Cam Thịnh Đông",""),IF(OR(M1400=phu!$I$85,M1400=phu!$I$86,M1400=phu!$I$87,M1400=phu!$I$88),"Cam Thịnh Tây",""),IF(OR(M1400=phu!$I$89,M1400=phu!$I$90),"Cam Lập",""),IF(OR(M1400=phu!$I$91,M1400=phu!$I$92,M1400=phu!$I$93),"Cam Bình",""),IF(OR(M1400=phu!$I$94,M1400=phu!$I$95,M1400=phu!$I$96,M1400=phu!$I$97,M1400=phu!$I$98,M1400=phu!$I$99,M1400=phu!$I$100),"Huyện khác",""),IF(OR(M1400=phu!$I$101,M1400=phu!$I$102),"Tỉnh khác",""))</f>
        <v/>
      </c>
      <c r="O1400" s="829" t="str">
        <f t="shared" si="126"/>
        <v/>
      </c>
      <c r="P1400" s="254"/>
      <c r="Q1400" s="254"/>
      <c r="R1400" s="254"/>
      <c r="S1400" s="254"/>
      <c r="T1400" s="254"/>
      <c r="U1400" s="254"/>
      <c r="V1400" s="254"/>
      <c r="W1400" s="254"/>
      <c r="Y1400" s="246" t="str">
        <f t="shared" si="127"/>
        <v/>
      </c>
      <c r="Z1400" s="247" t="str">
        <f t="shared" si="131"/>
        <v/>
      </c>
      <c r="AA1400" s="246" t="str">
        <f t="shared" si="128"/>
        <v/>
      </c>
    </row>
    <row r="1401" spans="1:27" x14ac:dyDescent="0.25">
      <c r="A1401" s="248" t="str">
        <f t="shared" si="129"/>
        <v/>
      </c>
      <c r="B1401" s="249" t="str">
        <f t="shared" si="130"/>
        <v/>
      </c>
      <c r="C1401" s="250"/>
      <c r="D1401" s="251"/>
      <c r="E1401" s="241"/>
      <c r="F1401" s="252"/>
      <c r="G1401" s="252"/>
      <c r="H1401" s="253"/>
      <c r="I1401" s="250"/>
      <c r="J1401" s="250"/>
      <c r="K1401" s="270"/>
      <c r="L1401" s="250"/>
      <c r="M1401" s="250"/>
      <c r="N1401" s="540" t="str">
        <f>CONCATENATE(IF(OR(M1401=phu!$I$1,M1401=phu!$I$2,M1401=phu!$I$3),"Cam Thành Nam",""),IF(OR(M1401=phu!$I$4,M1401=phu!$I$5,M1401=phu!$I$6,M1401=phu!$I$7,M1401=phu!$I$8,M1401=phu!$I$9,M1401=phu!$I$10,M1401=phu!$I$11,M1401=phu!$I$12,M1401=phu!$I$13,M1401=phu!$I$14),"Cam Nghĩa",""),IF(OR(M1401=phu!$I$15,M1401=phu!$I$16,M1401=phu!$I$17,M1401=phu!$I$18,M1401=phu!$I$19,M1401=phu!$I$20,M1401=phu!$I$21),"Cam Phúc Bắc",""),IF(OR(M1401=phu!$I$22,M1401=phu!$I$23,M1401=phu!$I$24,M1401=phu!$I$25),"Cam Phúc Nam",""),IF(OR(M1401=phu!$I$26,M1401=phu!$I$27,M1401=phu!$I$28,M1401=phu!$I$29,M1401=phu!$I$30,M1401=phu!$I$31),"Cam Phú",""),IF(OR(M1401=phu!$I$32,M1401=phu!$I$33,M1401=phu!$I$34,M1401=phu!$I$35,M1401=phu!$I$36,M1401=phu!$I$37),"Cam Lộc",""),IF(OR(M1401=phu!$I$38,M1401=phu!$I$39,M1401=phu!$I$40,M1401=phu!$I$41,M1401=phu!$I$42,M1401=phu!$I$43,M1401=phu!$I$44),"Cam Thuận",""),IF(OR(M1401=phu!$I$45,M1401=phu!$I$46,M1401=phu!$I$47,M1401=phu!$I$48,M1401=phu!$I$49,M1401=phu!$I$50,M1401=phu!$I$51,M1401=phu!$I$52,M1401=phu!$I$53),"Cam Linh",""),IF(OR(M1401=phu!$I$54,M1401=phu!$I$55,M1401=phu!$I$56,M1401=phu!$I$57,M1401=phu!$I$58,M1401=phu!$I$59,M1401=phu!$I$60,M1401=phu!$I$61,M1401=phu!$I$62),"Cam Lợi",""),IF(OR(M1401=phu!$I$63,M1401=phu!$I$64,M1401=phu!$I$65,M1401=phu!$I$66,M1401=phu!$I$67,M1401=phu!$I$68,M1401=phu!$I$69,M1401=phu!$I$70,M1401=phu!$I$71),"Ba Ngòi",""),IF(OR(M1401=phu!$I$72,M1401=phu!$I$73,M1401=phu!$I$74,M1401=phu!$I$75,M1401=phu!$I$76,M1401=phu!$I$77,M1401=phu!$I$78),"Cam Phước Đông",""),IF(OR(M1401=phu!$I$79,M1401=phu!$I$80,M1401=phu!$I$81,M1401=phu!$I$82,M1401=phu!$I$83,M1401=phu!$I$84),"Cam Thịnh Đông",""),IF(OR(M1401=phu!$I$85,M1401=phu!$I$86,M1401=phu!$I$87,M1401=phu!$I$88),"Cam Thịnh Tây",""),IF(OR(M1401=phu!$I$89,M1401=phu!$I$90),"Cam Lập",""),IF(OR(M1401=phu!$I$91,M1401=phu!$I$92,M1401=phu!$I$93),"Cam Bình",""),IF(OR(M1401=phu!$I$94,M1401=phu!$I$95,M1401=phu!$I$96,M1401=phu!$I$97,M1401=phu!$I$98,M1401=phu!$I$99,M1401=phu!$I$100),"Huyện khác",""),IF(OR(M1401=phu!$I$101,M1401=phu!$I$102),"Tỉnh khác",""))</f>
        <v/>
      </c>
      <c r="O1401" s="829" t="str">
        <f t="shared" si="126"/>
        <v/>
      </c>
      <c r="P1401" s="254"/>
      <c r="Q1401" s="254"/>
      <c r="R1401" s="254"/>
      <c r="S1401" s="254"/>
      <c r="T1401" s="254"/>
      <c r="U1401" s="254"/>
      <c r="V1401" s="254"/>
      <c r="W1401" s="254"/>
      <c r="Y1401" s="246" t="str">
        <f t="shared" si="127"/>
        <v/>
      </c>
      <c r="Z1401" s="247" t="str">
        <f t="shared" si="131"/>
        <v/>
      </c>
      <c r="AA1401" s="246" t="str">
        <f t="shared" si="128"/>
        <v/>
      </c>
    </row>
    <row r="1402" spans="1:27" x14ac:dyDescent="0.25">
      <c r="A1402" s="248" t="str">
        <f t="shared" si="129"/>
        <v/>
      </c>
      <c r="B1402" s="249" t="str">
        <f t="shared" si="130"/>
        <v/>
      </c>
      <c r="C1402" s="250"/>
      <c r="D1402" s="251"/>
      <c r="E1402" s="241"/>
      <c r="F1402" s="252"/>
      <c r="G1402" s="252"/>
      <c r="H1402" s="253"/>
      <c r="I1402" s="250"/>
      <c r="J1402" s="250"/>
      <c r="K1402" s="270"/>
      <c r="L1402" s="250"/>
      <c r="M1402" s="250"/>
      <c r="N1402" s="540" t="str">
        <f>CONCATENATE(IF(OR(M1402=phu!$I$1,M1402=phu!$I$2,M1402=phu!$I$3),"Cam Thành Nam",""),IF(OR(M1402=phu!$I$4,M1402=phu!$I$5,M1402=phu!$I$6,M1402=phu!$I$7,M1402=phu!$I$8,M1402=phu!$I$9,M1402=phu!$I$10,M1402=phu!$I$11,M1402=phu!$I$12,M1402=phu!$I$13,M1402=phu!$I$14),"Cam Nghĩa",""),IF(OR(M1402=phu!$I$15,M1402=phu!$I$16,M1402=phu!$I$17,M1402=phu!$I$18,M1402=phu!$I$19,M1402=phu!$I$20,M1402=phu!$I$21),"Cam Phúc Bắc",""),IF(OR(M1402=phu!$I$22,M1402=phu!$I$23,M1402=phu!$I$24,M1402=phu!$I$25),"Cam Phúc Nam",""),IF(OR(M1402=phu!$I$26,M1402=phu!$I$27,M1402=phu!$I$28,M1402=phu!$I$29,M1402=phu!$I$30,M1402=phu!$I$31),"Cam Phú",""),IF(OR(M1402=phu!$I$32,M1402=phu!$I$33,M1402=phu!$I$34,M1402=phu!$I$35,M1402=phu!$I$36,M1402=phu!$I$37),"Cam Lộc",""),IF(OR(M1402=phu!$I$38,M1402=phu!$I$39,M1402=phu!$I$40,M1402=phu!$I$41,M1402=phu!$I$42,M1402=phu!$I$43,M1402=phu!$I$44),"Cam Thuận",""),IF(OR(M1402=phu!$I$45,M1402=phu!$I$46,M1402=phu!$I$47,M1402=phu!$I$48,M1402=phu!$I$49,M1402=phu!$I$50,M1402=phu!$I$51,M1402=phu!$I$52,M1402=phu!$I$53),"Cam Linh",""),IF(OR(M1402=phu!$I$54,M1402=phu!$I$55,M1402=phu!$I$56,M1402=phu!$I$57,M1402=phu!$I$58,M1402=phu!$I$59,M1402=phu!$I$60,M1402=phu!$I$61,M1402=phu!$I$62),"Cam Lợi",""),IF(OR(M1402=phu!$I$63,M1402=phu!$I$64,M1402=phu!$I$65,M1402=phu!$I$66,M1402=phu!$I$67,M1402=phu!$I$68,M1402=phu!$I$69,M1402=phu!$I$70,M1402=phu!$I$71),"Ba Ngòi",""),IF(OR(M1402=phu!$I$72,M1402=phu!$I$73,M1402=phu!$I$74,M1402=phu!$I$75,M1402=phu!$I$76,M1402=phu!$I$77,M1402=phu!$I$78),"Cam Phước Đông",""),IF(OR(M1402=phu!$I$79,M1402=phu!$I$80,M1402=phu!$I$81,M1402=phu!$I$82,M1402=phu!$I$83,M1402=phu!$I$84),"Cam Thịnh Đông",""),IF(OR(M1402=phu!$I$85,M1402=phu!$I$86,M1402=phu!$I$87,M1402=phu!$I$88),"Cam Thịnh Tây",""),IF(OR(M1402=phu!$I$89,M1402=phu!$I$90),"Cam Lập",""),IF(OR(M1402=phu!$I$91,M1402=phu!$I$92,M1402=phu!$I$93),"Cam Bình",""),IF(OR(M1402=phu!$I$94,M1402=phu!$I$95,M1402=phu!$I$96,M1402=phu!$I$97,M1402=phu!$I$98,M1402=phu!$I$99,M1402=phu!$I$100),"Huyện khác",""),IF(OR(M1402=phu!$I$101,M1402=phu!$I$102),"Tỉnh khác",""))</f>
        <v/>
      </c>
      <c r="O1402" s="829" t="str">
        <f t="shared" si="126"/>
        <v/>
      </c>
      <c r="P1402" s="254"/>
      <c r="Q1402" s="254"/>
      <c r="R1402" s="254"/>
      <c r="S1402" s="254"/>
      <c r="T1402" s="254"/>
      <c r="U1402" s="254"/>
      <c r="V1402" s="254"/>
      <c r="W1402" s="254"/>
      <c r="Y1402" s="246" t="str">
        <f t="shared" si="127"/>
        <v/>
      </c>
      <c r="Z1402" s="247" t="str">
        <f t="shared" si="131"/>
        <v/>
      </c>
      <c r="AA1402" s="246" t="str">
        <f t="shared" si="128"/>
        <v/>
      </c>
    </row>
    <row r="1403" spans="1:27" x14ac:dyDescent="0.25">
      <c r="A1403" s="248" t="str">
        <f t="shared" si="129"/>
        <v/>
      </c>
      <c r="B1403" s="249" t="str">
        <f t="shared" si="130"/>
        <v/>
      </c>
      <c r="C1403" s="250"/>
      <c r="D1403" s="251"/>
      <c r="E1403" s="241"/>
      <c r="F1403" s="252"/>
      <c r="G1403" s="252"/>
      <c r="H1403" s="253"/>
      <c r="I1403" s="250"/>
      <c r="J1403" s="250"/>
      <c r="K1403" s="270"/>
      <c r="L1403" s="250"/>
      <c r="M1403" s="250"/>
      <c r="N1403" s="540" t="str">
        <f>CONCATENATE(IF(OR(M1403=phu!$I$1,M1403=phu!$I$2,M1403=phu!$I$3),"Cam Thành Nam",""),IF(OR(M1403=phu!$I$4,M1403=phu!$I$5,M1403=phu!$I$6,M1403=phu!$I$7,M1403=phu!$I$8,M1403=phu!$I$9,M1403=phu!$I$10,M1403=phu!$I$11,M1403=phu!$I$12,M1403=phu!$I$13,M1403=phu!$I$14),"Cam Nghĩa",""),IF(OR(M1403=phu!$I$15,M1403=phu!$I$16,M1403=phu!$I$17,M1403=phu!$I$18,M1403=phu!$I$19,M1403=phu!$I$20,M1403=phu!$I$21),"Cam Phúc Bắc",""),IF(OR(M1403=phu!$I$22,M1403=phu!$I$23,M1403=phu!$I$24,M1403=phu!$I$25),"Cam Phúc Nam",""),IF(OR(M1403=phu!$I$26,M1403=phu!$I$27,M1403=phu!$I$28,M1403=phu!$I$29,M1403=phu!$I$30,M1403=phu!$I$31),"Cam Phú",""),IF(OR(M1403=phu!$I$32,M1403=phu!$I$33,M1403=phu!$I$34,M1403=phu!$I$35,M1403=phu!$I$36,M1403=phu!$I$37),"Cam Lộc",""),IF(OR(M1403=phu!$I$38,M1403=phu!$I$39,M1403=phu!$I$40,M1403=phu!$I$41,M1403=phu!$I$42,M1403=phu!$I$43,M1403=phu!$I$44),"Cam Thuận",""),IF(OR(M1403=phu!$I$45,M1403=phu!$I$46,M1403=phu!$I$47,M1403=phu!$I$48,M1403=phu!$I$49,M1403=phu!$I$50,M1403=phu!$I$51,M1403=phu!$I$52,M1403=phu!$I$53),"Cam Linh",""),IF(OR(M1403=phu!$I$54,M1403=phu!$I$55,M1403=phu!$I$56,M1403=phu!$I$57,M1403=phu!$I$58,M1403=phu!$I$59,M1403=phu!$I$60,M1403=phu!$I$61,M1403=phu!$I$62),"Cam Lợi",""),IF(OR(M1403=phu!$I$63,M1403=phu!$I$64,M1403=phu!$I$65,M1403=phu!$I$66,M1403=phu!$I$67,M1403=phu!$I$68,M1403=phu!$I$69,M1403=phu!$I$70,M1403=phu!$I$71),"Ba Ngòi",""),IF(OR(M1403=phu!$I$72,M1403=phu!$I$73,M1403=phu!$I$74,M1403=phu!$I$75,M1403=phu!$I$76,M1403=phu!$I$77,M1403=phu!$I$78),"Cam Phước Đông",""),IF(OR(M1403=phu!$I$79,M1403=phu!$I$80,M1403=phu!$I$81,M1403=phu!$I$82,M1403=phu!$I$83,M1403=phu!$I$84),"Cam Thịnh Đông",""),IF(OR(M1403=phu!$I$85,M1403=phu!$I$86,M1403=phu!$I$87,M1403=phu!$I$88),"Cam Thịnh Tây",""),IF(OR(M1403=phu!$I$89,M1403=phu!$I$90),"Cam Lập",""),IF(OR(M1403=phu!$I$91,M1403=phu!$I$92,M1403=phu!$I$93),"Cam Bình",""),IF(OR(M1403=phu!$I$94,M1403=phu!$I$95,M1403=phu!$I$96,M1403=phu!$I$97,M1403=phu!$I$98,M1403=phu!$I$99,M1403=phu!$I$100),"Huyện khác",""),IF(OR(M1403=phu!$I$101,M1403=phu!$I$102),"Tỉnh khác",""))</f>
        <v/>
      </c>
      <c r="O1403" s="829" t="str">
        <f t="shared" si="126"/>
        <v/>
      </c>
      <c r="P1403" s="254"/>
      <c r="Q1403" s="254"/>
      <c r="R1403" s="254"/>
      <c r="S1403" s="254"/>
      <c r="T1403" s="254"/>
      <c r="U1403" s="254"/>
      <c r="V1403" s="254"/>
      <c r="W1403" s="254"/>
      <c r="Y1403" s="246" t="str">
        <f t="shared" si="127"/>
        <v/>
      </c>
      <c r="Z1403" s="247" t="str">
        <f t="shared" si="131"/>
        <v/>
      </c>
      <c r="AA1403" s="246" t="str">
        <f t="shared" si="128"/>
        <v/>
      </c>
    </row>
    <row r="1404" spans="1:27" x14ac:dyDescent="0.25">
      <c r="A1404" s="248" t="str">
        <f t="shared" si="129"/>
        <v/>
      </c>
      <c r="B1404" s="249" t="str">
        <f t="shared" si="130"/>
        <v/>
      </c>
      <c r="C1404" s="250"/>
      <c r="D1404" s="251"/>
      <c r="E1404" s="241"/>
      <c r="F1404" s="252"/>
      <c r="G1404" s="252"/>
      <c r="H1404" s="253"/>
      <c r="I1404" s="250"/>
      <c r="J1404" s="250"/>
      <c r="K1404" s="270"/>
      <c r="L1404" s="250"/>
      <c r="M1404" s="250"/>
      <c r="N1404" s="540" t="str">
        <f>CONCATENATE(IF(OR(M1404=phu!$I$1,M1404=phu!$I$2,M1404=phu!$I$3),"Cam Thành Nam",""),IF(OR(M1404=phu!$I$4,M1404=phu!$I$5,M1404=phu!$I$6,M1404=phu!$I$7,M1404=phu!$I$8,M1404=phu!$I$9,M1404=phu!$I$10,M1404=phu!$I$11,M1404=phu!$I$12,M1404=phu!$I$13,M1404=phu!$I$14),"Cam Nghĩa",""),IF(OR(M1404=phu!$I$15,M1404=phu!$I$16,M1404=phu!$I$17,M1404=phu!$I$18,M1404=phu!$I$19,M1404=phu!$I$20,M1404=phu!$I$21),"Cam Phúc Bắc",""),IF(OR(M1404=phu!$I$22,M1404=phu!$I$23,M1404=phu!$I$24,M1404=phu!$I$25),"Cam Phúc Nam",""),IF(OR(M1404=phu!$I$26,M1404=phu!$I$27,M1404=phu!$I$28,M1404=phu!$I$29,M1404=phu!$I$30,M1404=phu!$I$31),"Cam Phú",""),IF(OR(M1404=phu!$I$32,M1404=phu!$I$33,M1404=phu!$I$34,M1404=phu!$I$35,M1404=phu!$I$36,M1404=phu!$I$37),"Cam Lộc",""),IF(OR(M1404=phu!$I$38,M1404=phu!$I$39,M1404=phu!$I$40,M1404=phu!$I$41,M1404=phu!$I$42,M1404=phu!$I$43,M1404=phu!$I$44),"Cam Thuận",""),IF(OR(M1404=phu!$I$45,M1404=phu!$I$46,M1404=phu!$I$47,M1404=phu!$I$48,M1404=phu!$I$49,M1404=phu!$I$50,M1404=phu!$I$51,M1404=phu!$I$52,M1404=phu!$I$53),"Cam Linh",""),IF(OR(M1404=phu!$I$54,M1404=phu!$I$55,M1404=phu!$I$56,M1404=phu!$I$57,M1404=phu!$I$58,M1404=phu!$I$59,M1404=phu!$I$60,M1404=phu!$I$61,M1404=phu!$I$62),"Cam Lợi",""),IF(OR(M1404=phu!$I$63,M1404=phu!$I$64,M1404=phu!$I$65,M1404=phu!$I$66,M1404=phu!$I$67,M1404=phu!$I$68,M1404=phu!$I$69,M1404=phu!$I$70,M1404=phu!$I$71),"Ba Ngòi",""),IF(OR(M1404=phu!$I$72,M1404=phu!$I$73,M1404=phu!$I$74,M1404=phu!$I$75,M1404=phu!$I$76,M1404=phu!$I$77,M1404=phu!$I$78),"Cam Phước Đông",""),IF(OR(M1404=phu!$I$79,M1404=phu!$I$80,M1404=phu!$I$81,M1404=phu!$I$82,M1404=phu!$I$83,M1404=phu!$I$84),"Cam Thịnh Đông",""),IF(OR(M1404=phu!$I$85,M1404=phu!$I$86,M1404=phu!$I$87,M1404=phu!$I$88),"Cam Thịnh Tây",""),IF(OR(M1404=phu!$I$89,M1404=phu!$I$90),"Cam Lập",""),IF(OR(M1404=phu!$I$91,M1404=phu!$I$92,M1404=phu!$I$93),"Cam Bình",""),IF(OR(M1404=phu!$I$94,M1404=phu!$I$95,M1404=phu!$I$96,M1404=phu!$I$97,M1404=phu!$I$98,M1404=phu!$I$99,M1404=phu!$I$100),"Huyện khác",""),IF(OR(M1404=phu!$I$101,M1404=phu!$I$102),"Tỉnh khác",""))</f>
        <v/>
      </c>
      <c r="O1404" s="829" t="str">
        <f t="shared" si="126"/>
        <v/>
      </c>
      <c r="P1404" s="254"/>
      <c r="Q1404" s="254"/>
      <c r="R1404" s="254"/>
      <c r="S1404" s="254"/>
      <c r="T1404" s="254"/>
      <c r="U1404" s="254"/>
      <c r="V1404" s="254"/>
      <c r="W1404" s="254"/>
      <c r="Y1404" s="246" t="str">
        <f t="shared" si="127"/>
        <v/>
      </c>
      <c r="Z1404" s="247" t="str">
        <f t="shared" si="131"/>
        <v/>
      </c>
      <c r="AA1404" s="246" t="str">
        <f t="shared" si="128"/>
        <v/>
      </c>
    </row>
    <row r="1405" spans="1:27" x14ac:dyDescent="0.25">
      <c r="A1405" s="248" t="str">
        <f t="shared" si="129"/>
        <v/>
      </c>
      <c r="B1405" s="249" t="str">
        <f t="shared" si="130"/>
        <v/>
      </c>
      <c r="C1405" s="250"/>
      <c r="D1405" s="251"/>
      <c r="E1405" s="241"/>
      <c r="F1405" s="252"/>
      <c r="G1405" s="252"/>
      <c r="H1405" s="253"/>
      <c r="I1405" s="250"/>
      <c r="J1405" s="250"/>
      <c r="K1405" s="270"/>
      <c r="L1405" s="250"/>
      <c r="M1405" s="250"/>
      <c r="N1405" s="540" t="str">
        <f>CONCATENATE(IF(OR(M1405=phu!$I$1,M1405=phu!$I$2,M1405=phu!$I$3),"Cam Thành Nam",""),IF(OR(M1405=phu!$I$4,M1405=phu!$I$5,M1405=phu!$I$6,M1405=phu!$I$7,M1405=phu!$I$8,M1405=phu!$I$9,M1405=phu!$I$10,M1405=phu!$I$11,M1405=phu!$I$12,M1405=phu!$I$13,M1405=phu!$I$14),"Cam Nghĩa",""),IF(OR(M1405=phu!$I$15,M1405=phu!$I$16,M1405=phu!$I$17,M1405=phu!$I$18,M1405=phu!$I$19,M1405=phu!$I$20,M1405=phu!$I$21),"Cam Phúc Bắc",""),IF(OR(M1405=phu!$I$22,M1405=phu!$I$23,M1405=phu!$I$24,M1405=phu!$I$25),"Cam Phúc Nam",""),IF(OR(M1405=phu!$I$26,M1405=phu!$I$27,M1405=phu!$I$28,M1405=phu!$I$29,M1405=phu!$I$30,M1405=phu!$I$31),"Cam Phú",""),IF(OR(M1405=phu!$I$32,M1405=phu!$I$33,M1405=phu!$I$34,M1405=phu!$I$35,M1405=phu!$I$36,M1405=phu!$I$37),"Cam Lộc",""),IF(OR(M1405=phu!$I$38,M1405=phu!$I$39,M1405=phu!$I$40,M1405=phu!$I$41,M1405=phu!$I$42,M1405=phu!$I$43,M1405=phu!$I$44),"Cam Thuận",""),IF(OR(M1405=phu!$I$45,M1405=phu!$I$46,M1405=phu!$I$47,M1405=phu!$I$48,M1405=phu!$I$49,M1405=phu!$I$50,M1405=phu!$I$51,M1405=phu!$I$52,M1405=phu!$I$53),"Cam Linh",""),IF(OR(M1405=phu!$I$54,M1405=phu!$I$55,M1405=phu!$I$56,M1405=phu!$I$57,M1405=phu!$I$58,M1405=phu!$I$59,M1405=phu!$I$60,M1405=phu!$I$61,M1405=phu!$I$62),"Cam Lợi",""),IF(OR(M1405=phu!$I$63,M1405=phu!$I$64,M1405=phu!$I$65,M1405=phu!$I$66,M1405=phu!$I$67,M1405=phu!$I$68,M1405=phu!$I$69,M1405=phu!$I$70,M1405=phu!$I$71),"Ba Ngòi",""),IF(OR(M1405=phu!$I$72,M1405=phu!$I$73,M1405=phu!$I$74,M1405=phu!$I$75,M1405=phu!$I$76,M1405=phu!$I$77,M1405=phu!$I$78),"Cam Phước Đông",""),IF(OR(M1405=phu!$I$79,M1405=phu!$I$80,M1405=phu!$I$81,M1405=phu!$I$82,M1405=phu!$I$83,M1405=phu!$I$84),"Cam Thịnh Đông",""),IF(OR(M1405=phu!$I$85,M1405=phu!$I$86,M1405=phu!$I$87,M1405=phu!$I$88),"Cam Thịnh Tây",""),IF(OR(M1405=phu!$I$89,M1405=phu!$I$90),"Cam Lập",""),IF(OR(M1405=phu!$I$91,M1405=phu!$I$92,M1405=phu!$I$93),"Cam Bình",""),IF(OR(M1405=phu!$I$94,M1405=phu!$I$95,M1405=phu!$I$96,M1405=phu!$I$97,M1405=phu!$I$98,M1405=phu!$I$99,M1405=phu!$I$100),"Huyện khác",""),IF(OR(M1405=phu!$I$101,M1405=phu!$I$102),"Tỉnh khác",""))</f>
        <v/>
      </c>
      <c r="O1405" s="829" t="str">
        <f t="shared" si="126"/>
        <v/>
      </c>
      <c r="P1405" s="254"/>
      <c r="Q1405" s="254"/>
      <c r="R1405" s="254"/>
      <c r="S1405" s="254"/>
      <c r="T1405" s="254"/>
      <c r="U1405" s="254"/>
      <c r="V1405" s="254"/>
      <c r="W1405" s="254"/>
      <c r="Y1405" s="246" t="str">
        <f t="shared" si="127"/>
        <v/>
      </c>
      <c r="Z1405" s="247" t="str">
        <f t="shared" si="131"/>
        <v/>
      </c>
      <c r="AA1405" s="246" t="str">
        <f t="shared" si="128"/>
        <v/>
      </c>
    </row>
    <row r="1406" spans="1:27" x14ac:dyDescent="0.25">
      <c r="A1406" s="248" t="str">
        <f t="shared" si="129"/>
        <v/>
      </c>
      <c r="B1406" s="249" t="str">
        <f t="shared" si="130"/>
        <v/>
      </c>
      <c r="C1406" s="250"/>
      <c r="D1406" s="251"/>
      <c r="E1406" s="241"/>
      <c r="F1406" s="252"/>
      <c r="G1406" s="252"/>
      <c r="H1406" s="253"/>
      <c r="I1406" s="250"/>
      <c r="J1406" s="250"/>
      <c r="K1406" s="270"/>
      <c r="L1406" s="250"/>
      <c r="M1406" s="250"/>
      <c r="N1406" s="540" t="str">
        <f>CONCATENATE(IF(OR(M1406=phu!$I$1,M1406=phu!$I$2,M1406=phu!$I$3),"Cam Thành Nam",""),IF(OR(M1406=phu!$I$4,M1406=phu!$I$5,M1406=phu!$I$6,M1406=phu!$I$7,M1406=phu!$I$8,M1406=phu!$I$9,M1406=phu!$I$10,M1406=phu!$I$11,M1406=phu!$I$12,M1406=phu!$I$13,M1406=phu!$I$14),"Cam Nghĩa",""),IF(OR(M1406=phu!$I$15,M1406=phu!$I$16,M1406=phu!$I$17,M1406=phu!$I$18,M1406=phu!$I$19,M1406=phu!$I$20,M1406=phu!$I$21),"Cam Phúc Bắc",""),IF(OR(M1406=phu!$I$22,M1406=phu!$I$23,M1406=phu!$I$24,M1406=phu!$I$25),"Cam Phúc Nam",""),IF(OR(M1406=phu!$I$26,M1406=phu!$I$27,M1406=phu!$I$28,M1406=phu!$I$29,M1406=phu!$I$30,M1406=phu!$I$31),"Cam Phú",""),IF(OR(M1406=phu!$I$32,M1406=phu!$I$33,M1406=phu!$I$34,M1406=phu!$I$35,M1406=phu!$I$36,M1406=phu!$I$37),"Cam Lộc",""),IF(OR(M1406=phu!$I$38,M1406=phu!$I$39,M1406=phu!$I$40,M1406=phu!$I$41,M1406=phu!$I$42,M1406=phu!$I$43,M1406=phu!$I$44),"Cam Thuận",""),IF(OR(M1406=phu!$I$45,M1406=phu!$I$46,M1406=phu!$I$47,M1406=phu!$I$48,M1406=phu!$I$49,M1406=phu!$I$50,M1406=phu!$I$51,M1406=phu!$I$52,M1406=phu!$I$53),"Cam Linh",""),IF(OR(M1406=phu!$I$54,M1406=phu!$I$55,M1406=phu!$I$56,M1406=phu!$I$57,M1406=phu!$I$58,M1406=phu!$I$59,M1406=phu!$I$60,M1406=phu!$I$61,M1406=phu!$I$62),"Cam Lợi",""),IF(OR(M1406=phu!$I$63,M1406=phu!$I$64,M1406=phu!$I$65,M1406=phu!$I$66,M1406=phu!$I$67,M1406=phu!$I$68,M1406=phu!$I$69,M1406=phu!$I$70,M1406=phu!$I$71),"Ba Ngòi",""),IF(OR(M1406=phu!$I$72,M1406=phu!$I$73,M1406=phu!$I$74,M1406=phu!$I$75,M1406=phu!$I$76,M1406=phu!$I$77,M1406=phu!$I$78),"Cam Phước Đông",""),IF(OR(M1406=phu!$I$79,M1406=phu!$I$80,M1406=phu!$I$81,M1406=phu!$I$82,M1406=phu!$I$83,M1406=phu!$I$84),"Cam Thịnh Đông",""),IF(OR(M1406=phu!$I$85,M1406=phu!$I$86,M1406=phu!$I$87,M1406=phu!$I$88),"Cam Thịnh Tây",""),IF(OR(M1406=phu!$I$89,M1406=phu!$I$90),"Cam Lập",""),IF(OR(M1406=phu!$I$91,M1406=phu!$I$92,M1406=phu!$I$93),"Cam Bình",""),IF(OR(M1406=phu!$I$94,M1406=phu!$I$95,M1406=phu!$I$96,M1406=phu!$I$97,M1406=phu!$I$98,M1406=phu!$I$99,M1406=phu!$I$100),"Huyện khác",""),IF(OR(M1406=phu!$I$101,M1406=phu!$I$102),"Tỉnh khác",""))</f>
        <v/>
      </c>
      <c r="O1406" s="829" t="str">
        <f t="shared" si="126"/>
        <v/>
      </c>
      <c r="P1406" s="254"/>
      <c r="Q1406" s="254"/>
      <c r="R1406" s="254"/>
      <c r="S1406" s="254"/>
      <c r="T1406" s="254"/>
      <c r="U1406" s="254"/>
      <c r="V1406" s="254"/>
      <c r="W1406" s="254"/>
      <c r="Y1406" s="246" t="str">
        <f t="shared" si="127"/>
        <v/>
      </c>
      <c r="Z1406" s="247" t="str">
        <f t="shared" si="131"/>
        <v/>
      </c>
      <c r="AA1406" s="246" t="str">
        <f t="shared" si="128"/>
        <v/>
      </c>
    </row>
    <row r="1407" spans="1:27" x14ac:dyDescent="0.25">
      <c r="A1407" s="248" t="str">
        <f t="shared" si="129"/>
        <v/>
      </c>
      <c r="B1407" s="249" t="str">
        <f t="shared" si="130"/>
        <v/>
      </c>
      <c r="C1407" s="250"/>
      <c r="D1407" s="251"/>
      <c r="E1407" s="241"/>
      <c r="F1407" s="252"/>
      <c r="G1407" s="252"/>
      <c r="H1407" s="253"/>
      <c r="I1407" s="250"/>
      <c r="J1407" s="250"/>
      <c r="K1407" s="270"/>
      <c r="L1407" s="250"/>
      <c r="M1407" s="250"/>
      <c r="N1407" s="540" t="str">
        <f>CONCATENATE(IF(OR(M1407=phu!$I$1,M1407=phu!$I$2,M1407=phu!$I$3),"Cam Thành Nam",""),IF(OR(M1407=phu!$I$4,M1407=phu!$I$5,M1407=phu!$I$6,M1407=phu!$I$7,M1407=phu!$I$8,M1407=phu!$I$9,M1407=phu!$I$10,M1407=phu!$I$11,M1407=phu!$I$12,M1407=phu!$I$13,M1407=phu!$I$14),"Cam Nghĩa",""),IF(OR(M1407=phu!$I$15,M1407=phu!$I$16,M1407=phu!$I$17,M1407=phu!$I$18,M1407=phu!$I$19,M1407=phu!$I$20,M1407=phu!$I$21),"Cam Phúc Bắc",""),IF(OR(M1407=phu!$I$22,M1407=phu!$I$23,M1407=phu!$I$24,M1407=phu!$I$25),"Cam Phúc Nam",""),IF(OR(M1407=phu!$I$26,M1407=phu!$I$27,M1407=phu!$I$28,M1407=phu!$I$29,M1407=phu!$I$30,M1407=phu!$I$31),"Cam Phú",""),IF(OR(M1407=phu!$I$32,M1407=phu!$I$33,M1407=phu!$I$34,M1407=phu!$I$35,M1407=phu!$I$36,M1407=phu!$I$37),"Cam Lộc",""),IF(OR(M1407=phu!$I$38,M1407=phu!$I$39,M1407=phu!$I$40,M1407=phu!$I$41,M1407=phu!$I$42,M1407=phu!$I$43,M1407=phu!$I$44),"Cam Thuận",""),IF(OR(M1407=phu!$I$45,M1407=phu!$I$46,M1407=phu!$I$47,M1407=phu!$I$48,M1407=phu!$I$49,M1407=phu!$I$50,M1407=phu!$I$51,M1407=phu!$I$52,M1407=phu!$I$53),"Cam Linh",""),IF(OR(M1407=phu!$I$54,M1407=phu!$I$55,M1407=phu!$I$56,M1407=phu!$I$57,M1407=phu!$I$58,M1407=phu!$I$59,M1407=phu!$I$60,M1407=phu!$I$61,M1407=phu!$I$62),"Cam Lợi",""),IF(OR(M1407=phu!$I$63,M1407=phu!$I$64,M1407=phu!$I$65,M1407=phu!$I$66,M1407=phu!$I$67,M1407=phu!$I$68,M1407=phu!$I$69,M1407=phu!$I$70,M1407=phu!$I$71),"Ba Ngòi",""),IF(OR(M1407=phu!$I$72,M1407=phu!$I$73,M1407=phu!$I$74,M1407=phu!$I$75,M1407=phu!$I$76,M1407=phu!$I$77,M1407=phu!$I$78),"Cam Phước Đông",""),IF(OR(M1407=phu!$I$79,M1407=phu!$I$80,M1407=phu!$I$81,M1407=phu!$I$82,M1407=phu!$I$83,M1407=phu!$I$84),"Cam Thịnh Đông",""),IF(OR(M1407=phu!$I$85,M1407=phu!$I$86,M1407=phu!$I$87,M1407=phu!$I$88),"Cam Thịnh Tây",""),IF(OR(M1407=phu!$I$89,M1407=phu!$I$90),"Cam Lập",""),IF(OR(M1407=phu!$I$91,M1407=phu!$I$92,M1407=phu!$I$93),"Cam Bình",""),IF(OR(M1407=phu!$I$94,M1407=phu!$I$95,M1407=phu!$I$96,M1407=phu!$I$97,M1407=phu!$I$98,M1407=phu!$I$99,M1407=phu!$I$100),"Huyện khác",""),IF(OR(M1407=phu!$I$101,M1407=phu!$I$102),"Tỉnh khác",""))</f>
        <v/>
      </c>
      <c r="O1407" s="829" t="str">
        <f t="shared" si="126"/>
        <v/>
      </c>
      <c r="P1407" s="254"/>
      <c r="Q1407" s="254"/>
      <c r="R1407" s="254"/>
      <c r="S1407" s="254"/>
      <c r="T1407" s="254"/>
      <c r="U1407" s="254"/>
      <c r="V1407" s="254"/>
      <c r="W1407" s="254"/>
      <c r="Y1407" s="246" t="str">
        <f t="shared" si="127"/>
        <v/>
      </c>
      <c r="Z1407" s="247" t="str">
        <f t="shared" si="131"/>
        <v/>
      </c>
      <c r="AA1407" s="246" t="str">
        <f t="shared" si="128"/>
        <v/>
      </c>
    </row>
    <row r="1408" spans="1:27" x14ac:dyDescent="0.25">
      <c r="A1408" s="248" t="str">
        <f t="shared" si="129"/>
        <v/>
      </c>
      <c r="B1408" s="249" t="str">
        <f t="shared" si="130"/>
        <v/>
      </c>
      <c r="C1408" s="250"/>
      <c r="D1408" s="251"/>
      <c r="E1408" s="241"/>
      <c r="F1408" s="252"/>
      <c r="G1408" s="252"/>
      <c r="H1408" s="253"/>
      <c r="I1408" s="250"/>
      <c r="J1408" s="250"/>
      <c r="K1408" s="270"/>
      <c r="L1408" s="250"/>
      <c r="M1408" s="250"/>
      <c r="N1408" s="540" t="str">
        <f>CONCATENATE(IF(OR(M1408=phu!$I$1,M1408=phu!$I$2,M1408=phu!$I$3),"Cam Thành Nam",""),IF(OR(M1408=phu!$I$4,M1408=phu!$I$5,M1408=phu!$I$6,M1408=phu!$I$7,M1408=phu!$I$8,M1408=phu!$I$9,M1408=phu!$I$10,M1408=phu!$I$11,M1408=phu!$I$12,M1408=phu!$I$13,M1408=phu!$I$14),"Cam Nghĩa",""),IF(OR(M1408=phu!$I$15,M1408=phu!$I$16,M1408=phu!$I$17,M1408=phu!$I$18,M1408=phu!$I$19,M1408=phu!$I$20,M1408=phu!$I$21),"Cam Phúc Bắc",""),IF(OR(M1408=phu!$I$22,M1408=phu!$I$23,M1408=phu!$I$24,M1408=phu!$I$25),"Cam Phúc Nam",""),IF(OR(M1408=phu!$I$26,M1408=phu!$I$27,M1408=phu!$I$28,M1408=phu!$I$29,M1408=phu!$I$30,M1408=phu!$I$31),"Cam Phú",""),IF(OR(M1408=phu!$I$32,M1408=phu!$I$33,M1408=phu!$I$34,M1408=phu!$I$35,M1408=phu!$I$36,M1408=phu!$I$37),"Cam Lộc",""),IF(OR(M1408=phu!$I$38,M1408=phu!$I$39,M1408=phu!$I$40,M1408=phu!$I$41,M1408=phu!$I$42,M1408=phu!$I$43,M1408=phu!$I$44),"Cam Thuận",""),IF(OR(M1408=phu!$I$45,M1408=phu!$I$46,M1408=phu!$I$47,M1408=phu!$I$48,M1408=phu!$I$49,M1408=phu!$I$50,M1408=phu!$I$51,M1408=phu!$I$52,M1408=phu!$I$53),"Cam Linh",""),IF(OR(M1408=phu!$I$54,M1408=phu!$I$55,M1408=phu!$I$56,M1408=phu!$I$57,M1408=phu!$I$58,M1408=phu!$I$59,M1408=phu!$I$60,M1408=phu!$I$61,M1408=phu!$I$62),"Cam Lợi",""),IF(OR(M1408=phu!$I$63,M1408=phu!$I$64,M1408=phu!$I$65,M1408=phu!$I$66,M1408=phu!$I$67,M1408=phu!$I$68,M1408=phu!$I$69,M1408=phu!$I$70,M1408=phu!$I$71),"Ba Ngòi",""),IF(OR(M1408=phu!$I$72,M1408=phu!$I$73,M1408=phu!$I$74,M1408=phu!$I$75,M1408=phu!$I$76,M1408=phu!$I$77,M1408=phu!$I$78),"Cam Phước Đông",""),IF(OR(M1408=phu!$I$79,M1408=phu!$I$80,M1408=phu!$I$81,M1408=phu!$I$82,M1408=phu!$I$83,M1408=phu!$I$84),"Cam Thịnh Đông",""),IF(OR(M1408=phu!$I$85,M1408=phu!$I$86,M1408=phu!$I$87,M1408=phu!$I$88),"Cam Thịnh Tây",""),IF(OR(M1408=phu!$I$89,M1408=phu!$I$90),"Cam Lập",""),IF(OR(M1408=phu!$I$91,M1408=phu!$I$92,M1408=phu!$I$93),"Cam Bình",""),IF(OR(M1408=phu!$I$94,M1408=phu!$I$95,M1408=phu!$I$96,M1408=phu!$I$97,M1408=phu!$I$98,M1408=phu!$I$99,M1408=phu!$I$100),"Huyện khác",""),IF(OR(M1408=phu!$I$101,M1408=phu!$I$102),"Tỉnh khác",""))</f>
        <v/>
      </c>
      <c r="O1408" s="829" t="str">
        <f t="shared" si="126"/>
        <v/>
      </c>
      <c r="P1408" s="254"/>
      <c r="Q1408" s="254"/>
      <c r="R1408" s="254"/>
      <c r="S1408" s="254"/>
      <c r="T1408" s="254"/>
      <c r="U1408" s="254"/>
      <c r="V1408" s="254"/>
      <c r="W1408" s="254"/>
      <c r="Y1408" s="246" t="str">
        <f t="shared" si="127"/>
        <v/>
      </c>
      <c r="Z1408" s="247" t="str">
        <f t="shared" si="131"/>
        <v/>
      </c>
      <c r="AA1408" s="246" t="str">
        <f t="shared" si="128"/>
        <v/>
      </c>
    </row>
    <row r="1409" spans="1:27" x14ac:dyDescent="0.25">
      <c r="A1409" s="248" t="str">
        <f t="shared" si="129"/>
        <v/>
      </c>
      <c r="B1409" s="249" t="str">
        <f t="shared" si="130"/>
        <v/>
      </c>
      <c r="C1409" s="250"/>
      <c r="D1409" s="251"/>
      <c r="E1409" s="241"/>
      <c r="F1409" s="252"/>
      <c r="G1409" s="252"/>
      <c r="H1409" s="253"/>
      <c r="I1409" s="250"/>
      <c r="J1409" s="250"/>
      <c r="K1409" s="270"/>
      <c r="L1409" s="250"/>
      <c r="M1409" s="250"/>
      <c r="N1409" s="540" t="str">
        <f>CONCATENATE(IF(OR(M1409=phu!$I$1,M1409=phu!$I$2,M1409=phu!$I$3),"Cam Thành Nam",""),IF(OR(M1409=phu!$I$4,M1409=phu!$I$5,M1409=phu!$I$6,M1409=phu!$I$7,M1409=phu!$I$8,M1409=phu!$I$9,M1409=phu!$I$10,M1409=phu!$I$11,M1409=phu!$I$12,M1409=phu!$I$13,M1409=phu!$I$14),"Cam Nghĩa",""),IF(OR(M1409=phu!$I$15,M1409=phu!$I$16,M1409=phu!$I$17,M1409=phu!$I$18,M1409=phu!$I$19,M1409=phu!$I$20,M1409=phu!$I$21),"Cam Phúc Bắc",""),IF(OR(M1409=phu!$I$22,M1409=phu!$I$23,M1409=phu!$I$24,M1409=phu!$I$25),"Cam Phúc Nam",""),IF(OR(M1409=phu!$I$26,M1409=phu!$I$27,M1409=phu!$I$28,M1409=phu!$I$29,M1409=phu!$I$30,M1409=phu!$I$31),"Cam Phú",""),IF(OR(M1409=phu!$I$32,M1409=phu!$I$33,M1409=phu!$I$34,M1409=phu!$I$35,M1409=phu!$I$36,M1409=phu!$I$37),"Cam Lộc",""),IF(OR(M1409=phu!$I$38,M1409=phu!$I$39,M1409=phu!$I$40,M1409=phu!$I$41,M1409=phu!$I$42,M1409=phu!$I$43,M1409=phu!$I$44),"Cam Thuận",""),IF(OR(M1409=phu!$I$45,M1409=phu!$I$46,M1409=phu!$I$47,M1409=phu!$I$48,M1409=phu!$I$49,M1409=phu!$I$50,M1409=phu!$I$51,M1409=phu!$I$52,M1409=phu!$I$53),"Cam Linh",""),IF(OR(M1409=phu!$I$54,M1409=phu!$I$55,M1409=phu!$I$56,M1409=phu!$I$57,M1409=phu!$I$58,M1409=phu!$I$59,M1409=phu!$I$60,M1409=phu!$I$61,M1409=phu!$I$62),"Cam Lợi",""),IF(OR(M1409=phu!$I$63,M1409=phu!$I$64,M1409=phu!$I$65,M1409=phu!$I$66,M1409=phu!$I$67,M1409=phu!$I$68,M1409=phu!$I$69,M1409=phu!$I$70,M1409=phu!$I$71),"Ba Ngòi",""),IF(OR(M1409=phu!$I$72,M1409=phu!$I$73,M1409=phu!$I$74,M1409=phu!$I$75,M1409=phu!$I$76,M1409=phu!$I$77,M1409=phu!$I$78),"Cam Phước Đông",""),IF(OR(M1409=phu!$I$79,M1409=phu!$I$80,M1409=phu!$I$81,M1409=phu!$I$82,M1409=phu!$I$83,M1409=phu!$I$84),"Cam Thịnh Đông",""),IF(OR(M1409=phu!$I$85,M1409=phu!$I$86,M1409=phu!$I$87,M1409=phu!$I$88),"Cam Thịnh Tây",""),IF(OR(M1409=phu!$I$89,M1409=phu!$I$90),"Cam Lập",""),IF(OR(M1409=phu!$I$91,M1409=phu!$I$92,M1409=phu!$I$93),"Cam Bình",""),IF(OR(M1409=phu!$I$94,M1409=phu!$I$95,M1409=phu!$I$96,M1409=phu!$I$97,M1409=phu!$I$98,M1409=phu!$I$99,M1409=phu!$I$100),"Huyện khác",""),IF(OR(M1409=phu!$I$101,M1409=phu!$I$102),"Tỉnh khác",""))</f>
        <v/>
      </c>
      <c r="O1409" s="829" t="str">
        <f t="shared" si="126"/>
        <v/>
      </c>
      <c r="P1409" s="254"/>
      <c r="Q1409" s="254"/>
      <c r="R1409" s="254"/>
      <c r="S1409" s="254"/>
      <c r="T1409" s="254"/>
      <c r="U1409" s="254"/>
      <c r="V1409" s="254"/>
      <c r="W1409" s="254"/>
      <c r="Y1409" s="246" t="str">
        <f t="shared" si="127"/>
        <v/>
      </c>
      <c r="Z1409" s="247" t="str">
        <f t="shared" si="131"/>
        <v/>
      </c>
      <c r="AA1409" s="246" t="str">
        <f t="shared" si="128"/>
        <v/>
      </c>
    </row>
    <row r="1410" spans="1:27" x14ac:dyDescent="0.25">
      <c r="A1410" s="248" t="str">
        <f t="shared" si="129"/>
        <v/>
      </c>
      <c r="B1410" s="249" t="str">
        <f t="shared" si="130"/>
        <v/>
      </c>
      <c r="C1410" s="250"/>
      <c r="D1410" s="251"/>
      <c r="E1410" s="241"/>
      <c r="F1410" s="252"/>
      <c r="G1410" s="252"/>
      <c r="H1410" s="253"/>
      <c r="I1410" s="250"/>
      <c r="J1410" s="250"/>
      <c r="K1410" s="270"/>
      <c r="L1410" s="250"/>
      <c r="M1410" s="250"/>
      <c r="N1410" s="540" t="str">
        <f>CONCATENATE(IF(OR(M1410=phu!$I$1,M1410=phu!$I$2,M1410=phu!$I$3),"Cam Thành Nam",""),IF(OR(M1410=phu!$I$4,M1410=phu!$I$5,M1410=phu!$I$6,M1410=phu!$I$7,M1410=phu!$I$8,M1410=phu!$I$9,M1410=phu!$I$10,M1410=phu!$I$11,M1410=phu!$I$12,M1410=phu!$I$13,M1410=phu!$I$14),"Cam Nghĩa",""),IF(OR(M1410=phu!$I$15,M1410=phu!$I$16,M1410=phu!$I$17,M1410=phu!$I$18,M1410=phu!$I$19,M1410=phu!$I$20,M1410=phu!$I$21),"Cam Phúc Bắc",""),IF(OR(M1410=phu!$I$22,M1410=phu!$I$23,M1410=phu!$I$24,M1410=phu!$I$25),"Cam Phúc Nam",""),IF(OR(M1410=phu!$I$26,M1410=phu!$I$27,M1410=phu!$I$28,M1410=phu!$I$29,M1410=phu!$I$30,M1410=phu!$I$31),"Cam Phú",""),IF(OR(M1410=phu!$I$32,M1410=phu!$I$33,M1410=phu!$I$34,M1410=phu!$I$35,M1410=phu!$I$36,M1410=phu!$I$37),"Cam Lộc",""),IF(OR(M1410=phu!$I$38,M1410=phu!$I$39,M1410=phu!$I$40,M1410=phu!$I$41,M1410=phu!$I$42,M1410=phu!$I$43,M1410=phu!$I$44),"Cam Thuận",""),IF(OR(M1410=phu!$I$45,M1410=phu!$I$46,M1410=phu!$I$47,M1410=phu!$I$48,M1410=phu!$I$49,M1410=phu!$I$50,M1410=phu!$I$51,M1410=phu!$I$52,M1410=phu!$I$53),"Cam Linh",""),IF(OR(M1410=phu!$I$54,M1410=phu!$I$55,M1410=phu!$I$56,M1410=phu!$I$57,M1410=phu!$I$58,M1410=phu!$I$59,M1410=phu!$I$60,M1410=phu!$I$61,M1410=phu!$I$62),"Cam Lợi",""),IF(OR(M1410=phu!$I$63,M1410=phu!$I$64,M1410=phu!$I$65,M1410=phu!$I$66,M1410=phu!$I$67,M1410=phu!$I$68,M1410=phu!$I$69,M1410=phu!$I$70,M1410=phu!$I$71),"Ba Ngòi",""),IF(OR(M1410=phu!$I$72,M1410=phu!$I$73,M1410=phu!$I$74,M1410=phu!$I$75,M1410=phu!$I$76,M1410=phu!$I$77,M1410=phu!$I$78),"Cam Phước Đông",""),IF(OR(M1410=phu!$I$79,M1410=phu!$I$80,M1410=phu!$I$81,M1410=phu!$I$82,M1410=phu!$I$83,M1410=phu!$I$84),"Cam Thịnh Đông",""),IF(OR(M1410=phu!$I$85,M1410=phu!$I$86,M1410=phu!$I$87,M1410=phu!$I$88),"Cam Thịnh Tây",""),IF(OR(M1410=phu!$I$89,M1410=phu!$I$90),"Cam Lập",""),IF(OR(M1410=phu!$I$91,M1410=phu!$I$92,M1410=phu!$I$93),"Cam Bình",""),IF(OR(M1410=phu!$I$94,M1410=phu!$I$95,M1410=phu!$I$96,M1410=phu!$I$97,M1410=phu!$I$98,M1410=phu!$I$99,M1410=phu!$I$100),"Huyện khác",""),IF(OR(M1410=phu!$I$101,M1410=phu!$I$102),"Tỉnh khác",""))</f>
        <v/>
      </c>
      <c r="O1410" s="829" t="str">
        <f t="shared" si="126"/>
        <v/>
      </c>
      <c r="P1410" s="254"/>
      <c r="Q1410" s="254"/>
      <c r="R1410" s="254"/>
      <c r="S1410" s="254"/>
      <c r="T1410" s="254"/>
      <c r="U1410" s="254"/>
      <c r="V1410" s="254"/>
      <c r="W1410" s="254"/>
      <c r="Y1410" s="246" t="str">
        <f t="shared" si="127"/>
        <v/>
      </c>
      <c r="Z1410" s="247" t="str">
        <f t="shared" si="131"/>
        <v/>
      </c>
      <c r="AA1410" s="246" t="str">
        <f t="shared" si="128"/>
        <v/>
      </c>
    </row>
    <row r="1411" spans="1:27" x14ac:dyDescent="0.25">
      <c r="A1411" s="248" t="str">
        <f t="shared" si="129"/>
        <v/>
      </c>
      <c r="B1411" s="249" t="str">
        <f t="shared" si="130"/>
        <v/>
      </c>
      <c r="C1411" s="250"/>
      <c r="D1411" s="251"/>
      <c r="E1411" s="241"/>
      <c r="F1411" s="252"/>
      <c r="G1411" s="252"/>
      <c r="H1411" s="253"/>
      <c r="I1411" s="250"/>
      <c r="J1411" s="250"/>
      <c r="K1411" s="270"/>
      <c r="L1411" s="250"/>
      <c r="M1411" s="250"/>
      <c r="N1411" s="540" t="str">
        <f>CONCATENATE(IF(OR(M1411=phu!$I$1,M1411=phu!$I$2,M1411=phu!$I$3),"Cam Thành Nam",""),IF(OR(M1411=phu!$I$4,M1411=phu!$I$5,M1411=phu!$I$6,M1411=phu!$I$7,M1411=phu!$I$8,M1411=phu!$I$9,M1411=phu!$I$10,M1411=phu!$I$11,M1411=phu!$I$12,M1411=phu!$I$13,M1411=phu!$I$14),"Cam Nghĩa",""),IF(OR(M1411=phu!$I$15,M1411=phu!$I$16,M1411=phu!$I$17,M1411=phu!$I$18,M1411=phu!$I$19,M1411=phu!$I$20,M1411=phu!$I$21),"Cam Phúc Bắc",""),IF(OR(M1411=phu!$I$22,M1411=phu!$I$23,M1411=phu!$I$24,M1411=phu!$I$25),"Cam Phúc Nam",""),IF(OR(M1411=phu!$I$26,M1411=phu!$I$27,M1411=phu!$I$28,M1411=phu!$I$29,M1411=phu!$I$30,M1411=phu!$I$31),"Cam Phú",""),IF(OR(M1411=phu!$I$32,M1411=phu!$I$33,M1411=phu!$I$34,M1411=phu!$I$35,M1411=phu!$I$36,M1411=phu!$I$37),"Cam Lộc",""),IF(OR(M1411=phu!$I$38,M1411=phu!$I$39,M1411=phu!$I$40,M1411=phu!$I$41,M1411=phu!$I$42,M1411=phu!$I$43,M1411=phu!$I$44),"Cam Thuận",""),IF(OR(M1411=phu!$I$45,M1411=phu!$I$46,M1411=phu!$I$47,M1411=phu!$I$48,M1411=phu!$I$49,M1411=phu!$I$50,M1411=phu!$I$51,M1411=phu!$I$52,M1411=phu!$I$53),"Cam Linh",""),IF(OR(M1411=phu!$I$54,M1411=phu!$I$55,M1411=phu!$I$56,M1411=phu!$I$57,M1411=phu!$I$58,M1411=phu!$I$59,M1411=phu!$I$60,M1411=phu!$I$61,M1411=phu!$I$62),"Cam Lợi",""),IF(OR(M1411=phu!$I$63,M1411=phu!$I$64,M1411=phu!$I$65,M1411=phu!$I$66,M1411=phu!$I$67,M1411=phu!$I$68,M1411=phu!$I$69,M1411=phu!$I$70,M1411=phu!$I$71),"Ba Ngòi",""),IF(OR(M1411=phu!$I$72,M1411=phu!$I$73,M1411=phu!$I$74,M1411=phu!$I$75,M1411=phu!$I$76,M1411=phu!$I$77,M1411=phu!$I$78),"Cam Phước Đông",""),IF(OR(M1411=phu!$I$79,M1411=phu!$I$80,M1411=phu!$I$81,M1411=phu!$I$82,M1411=phu!$I$83,M1411=phu!$I$84),"Cam Thịnh Đông",""),IF(OR(M1411=phu!$I$85,M1411=phu!$I$86,M1411=phu!$I$87,M1411=phu!$I$88),"Cam Thịnh Tây",""),IF(OR(M1411=phu!$I$89,M1411=phu!$I$90),"Cam Lập",""),IF(OR(M1411=phu!$I$91,M1411=phu!$I$92,M1411=phu!$I$93),"Cam Bình",""),IF(OR(M1411=phu!$I$94,M1411=phu!$I$95,M1411=phu!$I$96,M1411=phu!$I$97,M1411=phu!$I$98,M1411=phu!$I$99,M1411=phu!$I$100),"Huyện khác",""),IF(OR(M1411=phu!$I$101,M1411=phu!$I$102),"Tỉnh khác",""))</f>
        <v/>
      </c>
      <c r="O1411" s="829" t="str">
        <f t="shared" si="126"/>
        <v/>
      </c>
      <c r="P1411" s="254"/>
      <c r="Q1411" s="254"/>
      <c r="R1411" s="254"/>
      <c r="S1411" s="254"/>
      <c r="T1411" s="254"/>
      <c r="U1411" s="254"/>
      <c r="V1411" s="254"/>
      <c r="W1411" s="254"/>
      <c r="Y1411" s="246" t="str">
        <f t="shared" si="127"/>
        <v/>
      </c>
      <c r="Z1411" s="247" t="str">
        <f t="shared" si="131"/>
        <v/>
      </c>
      <c r="AA1411" s="246" t="str">
        <f t="shared" si="128"/>
        <v/>
      </c>
    </row>
    <row r="1412" spans="1:27" x14ac:dyDescent="0.25">
      <c r="A1412" s="248" t="str">
        <f t="shared" si="129"/>
        <v/>
      </c>
      <c r="B1412" s="249" t="str">
        <f t="shared" si="130"/>
        <v/>
      </c>
      <c r="C1412" s="250"/>
      <c r="D1412" s="251"/>
      <c r="E1412" s="241"/>
      <c r="F1412" s="252"/>
      <c r="G1412" s="252"/>
      <c r="H1412" s="253"/>
      <c r="I1412" s="250"/>
      <c r="J1412" s="250"/>
      <c r="K1412" s="270"/>
      <c r="L1412" s="250"/>
      <c r="M1412" s="250"/>
      <c r="N1412" s="540" t="str">
        <f>CONCATENATE(IF(OR(M1412=phu!$I$1,M1412=phu!$I$2,M1412=phu!$I$3),"Cam Thành Nam",""),IF(OR(M1412=phu!$I$4,M1412=phu!$I$5,M1412=phu!$I$6,M1412=phu!$I$7,M1412=phu!$I$8,M1412=phu!$I$9,M1412=phu!$I$10,M1412=phu!$I$11,M1412=phu!$I$12,M1412=phu!$I$13,M1412=phu!$I$14),"Cam Nghĩa",""),IF(OR(M1412=phu!$I$15,M1412=phu!$I$16,M1412=phu!$I$17,M1412=phu!$I$18,M1412=phu!$I$19,M1412=phu!$I$20,M1412=phu!$I$21),"Cam Phúc Bắc",""),IF(OR(M1412=phu!$I$22,M1412=phu!$I$23,M1412=phu!$I$24,M1412=phu!$I$25),"Cam Phúc Nam",""),IF(OR(M1412=phu!$I$26,M1412=phu!$I$27,M1412=phu!$I$28,M1412=phu!$I$29,M1412=phu!$I$30,M1412=phu!$I$31),"Cam Phú",""),IF(OR(M1412=phu!$I$32,M1412=phu!$I$33,M1412=phu!$I$34,M1412=phu!$I$35,M1412=phu!$I$36,M1412=phu!$I$37),"Cam Lộc",""),IF(OR(M1412=phu!$I$38,M1412=phu!$I$39,M1412=phu!$I$40,M1412=phu!$I$41,M1412=phu!$I$42,M1412=phu!$I$43,M1412=phu!$I$44),"Cam Thuận",""),IF(OR(M1412=phu!$I$45,M1412=phu!$I$46,M1412=phu!$I$47,M1412=phu!$I$48,M1412=phu!$I$49,M1412=phu!$I$50,M1412=phu!$I$51,M1412=phu!$I$52,M1412=phu!$I$53),"Cam Linh",""),IF(OR(M1412=phu!$I$54,M1412=phu!$I$55,M1412=phu!$I$56,M1412=phu!$I$57,M1412=phu!$I$58,M1412=phu!$I$59,M1412=phu!$I$60,M1412=phu!$I$61,M1412=phu!$I$62),"Cam Lợi",""),IF(OR(M1412=phu!$I$63,M1412=phu!$I$64,M1412=phu!$I$65,M1412=phu!$I$66,M1412=phu!$I$67,M1412=phu!$I$68,M1412=phu!$I$69,M1412=phu!$I$70,M1412=phu!$I$71),"Ba Ngòi",""),IF(OR(M1412=phu!$I$72,M1412=phu!$I$73,M1412=phu!$I$74,M1412=phu!$I$75,M1412=phu!$I$76,M1412=phu!$I$77,M1412=phu!$I$78),"Cam Phước Đông",""),IF(OR(M1412=phu!$I$79,M1412=phu!$I$80,M1412=phu!$I$81,M1412=phu!$I$82,M1412=phu!$I$83,M1412=phu!$I$84),"Cam Thịnh Đông",""),IF(OR(M1412=phu!$I$85,M1412=phu!$I$86,M1412=phu!$I$87,M1412=phu!$I$88),"Cam Thịnh Tây",""),IF(OR(M1412=phu!$I$89,M1412=phu!$I$90),"Cam Lập",""),IF(OR(M1412=phu!$I$91,M1412=phu!$I$92,M1412=phu!$I$93),"Cam Bình",""),IF(OR(M1412=phu!$I$94,M1412=phu!$I$95,M1412=phu!$I$96,M1412=phu!$I$97,M1412=phu!$I$98,M1412=phu!$I$99,M1412=phu!$I$100),"Huyện khác",""),IF(OR(M1412=phu!$I$101,M1412=phu!$I$102),"Tỉnh khác",""))</f>
        <v/>
      </c>
      <c r="O1412" s="829" t="str">
        <f t="shared" si="126"/>
        <v/>
      </c>
      <c r="P1412" s="254"/>
      <c r="Q1412" s="254"/>
      <c r="R1412" s="254"/>
      <c r="S1412" s="254"/>
      <c r="T1412" s="254"/>
      <c r="U1412" s="254"/>
      <c r="V1412" s="254"/>
      <c r="W1412" s="254"/>
      <c r="Y1412" s="246" t="str">
        <f t="shared" si="127"/>
        <v/>
      </c>
      <c r="Z1412" s="247" t="str">
        <f t="shared" si="131"/>
        <v/>
      </c>
      <c r="AA1412" s="246" t="str">
        <f t="shared" si="128"/>
        <v/>
      </c>
    </row>
    <row r="1413" spans="1:27" x14ac:dyDescent="0.25">
      <c r="A1413" s="248" t="str">
        <f t="shared" si="129"/>
        <v/>
      </c>
      <c r="B1413" s="249" t="str">
        <f t="shared" si="130"/>
        <v/>
      </c>
      <c r="C1413" s="250"/>
      <c r="D1413" s="251"/>
      <c r="E1413" s="241"/>
      <c r="F1413" s="252"/>
      <c r="G1413" s="252"/>
      <c r="H1413" s="253"/>
      <c r="I1413" s="250"/>
      <c r="J1413" s="250"/>
      <c r="K1413" s="270"/>
      <c r="L1413" s="250"/>
      <c r="M1413" s="250"/>
      <c r="N1413" s="540" t="str">
        <f>CONCATENATE(IF(OR(M1413=phu!$I$1,M1413=phu!$I$2,M1413=phu!$I$3),"Cam Thành Nam",""),IF(OR(M1413=phu!$I$4,M1413=phu!$I$5,M1413=phu!$I$6,M1413=phu!$I$7,M1413=phu!$I$8,M1413=phu!$I$9,M1413=phu!$I$10,M1413=phu!$I$11,M1413=phu!$I$12,M1413=phu!$I$13,M1413=phu!$I$14),"Cam Nghĩa",""),IF(OR(M1413=phu!$I$15,M1413=phu!$I$16,M1413=phu!$I$17,M1413=phu!$I$18,M1413=phu!$I$19,M1413=phu!$I$20,M1413=phu!$I$21),"Cam Phúc Bắc",""),IF(OR(M1413=phu!$I$22,M1413=phu!$I$23,M1413=phu!$I$24,M1413=phu!$I$25),"Cam Phúc Nam",""),IF(OR(M1413=phu!$I$26,M1413=phu!$I$27,M1413=phu!$I$28,M1413=phu!$I$29,M1413=phu!$I$30,M1413=phu!$I$31),"Cam Phú",""),IF(OR(M1413=phu!$I$32,M1413=phu!$I$33,M1413=phu!$I$34,M1413=phu!$I$35,M1413=phu!$I$36,M1413=phu!$I$37),"Cam Lộc",""),IF(OR(M1413=phu!$I$38,M1413=phu!$I$39,M1413=phu!$I$40,M1413=phu!$I$41,M1413=phu!$I$42,M1413=phu!$I$43,M1413=phu!$I$44),"Cam Thuận",""),IF(OR(M1413=phu!$I$45,M1413=phu!$I$46,M1413=phu!$I$47,M1413=phu!$I$48,M1413=phu!$I$49,M1413=phu!$I$50,M1413=phu!$I$51,M1413=phu!$I$52,M1413=phu!$I$53),"Cam Linh",""),IF(OR(M1413=phu!$I$54,M1413=phu!$I$55,M1413=phu!$I$56,M1413=phu!$I$57,M1413=phu!$I$58,M1413=phu!$I$59,M1413=phu!$I$60,M1413=phu!$I$61,M1413=phu!$I$62),"Cam Lợi",""),IF(OR(M1413=phu!$I$63,M1413=phu!$I$64,M1413=phu!$I$65,M1413=phu!$I$66,M1413=phu!$I$67,M1413=phu!$I$68,M1413=phu!$I$69,M1413=phu!$I$70,M1413=phu!$I$71),"Ba Ngòi",""),IF(OR(M1413=phu!$I$72,M1413=phu!$I$73,M1413=phu!$I$74,M1413=phu!$I$75,M1413=phu!$I$76,M1413=phu!$I$77,M1413=phu!$I$78),"Cam Phước Đông",""),IF(OR(M1413=phu!$I$79,M1413=phu!$I$80,M1413=phu!$I$81,M1413=phu!$I$82,M1413=phu!$I$83,M1413=phu!$I$84),"Cam Thịnh Đông",""),IF(OR(M1413=phu!$I$85,M1413=phu!$I$86,M1413=phu!$I$87,M1413=phu!$I$88),"Cam Thịnh Tây",""),IF(OR(M1413=phu!$I$89,M1413=phu!$I$90),"Cam Lập",""),IF(OR(M1413=phu!$I$91,M1413=phu!$I$92,M1413=phu!$I$93),"Cam Bình",""),IF(OR(M1413=phu!$I$94,M1413=phu!$I$95,M1413=phu!$I$96,M1413=phu!$I$97,M1413=phu!$I$98,M1413=phu!$I$99,M1413=phu!$I$100),"Huyện khác",""),IF(OR(M1413=phu!$I$101,M1413=phu!$I$102),"Tỉnh khác",""))</f>
        <v/>
      </c>
      <c r="O1413" s="829" t="str">
        <f t="shared" si="126"/>
        <v/>
      </c>
      <c r="P1413" s="254"/>
      <c r="Q1413" s="254"/>
      <c r="R1413" s="254"/>
      <c r="S1413" s="254"/>
      <c r="T1413" s="254"/>
      <c r="U1413" s="254"/>
      <c r="V1413" s="254"/>
      <c r="W1413" s="254"/>
      <c r="Y1413" s="246" t="str">
        <f t="shared" si="127"/>
        <v/>
      </c>
      <c r="Z1413" s="247" t="str">
        <f t="shared" si="131"/>
        <v/>
      </c>
      <c r="AA1413" s="246" t="str">
        <f t="shared" si="128"/>
        <v/>
      </c>
    </row>
    <row r="1414" spans="1:27" x14ac:dyDescent="0.25">
      <c r="A1414" s="248" t="str">
        <f t="shared" si="129"/>
        <v/>
      </c>
      <c r="B1414" s="249" t="str">
        <f t="shared" si="130"/>
        <v/>
      </c>
      <c r="C1414" s="250"/>
      <c r="D1414" s="251"/>
      <c r="E1414" s="241"/>
      <c r="F1414" s="252"/>
      <c r="G1414" s="252"/>
      <c r="H1414" s="253"/>
      <c r="I1414" s="250"/>
      <c r="J1414" s="250"/>
      <c r="K1414" s="270"/>
      <c r="L1414" s="250"/>
      <c r="M1414" s="250"/>
      <c r="N1414" s="540" t="str">
        <f>CONCATENATE(IF(OR(M1414=phu!$I$1,M1414=phu!$I$2,M1414=phu!$I$3),"Cam Thành Nam",""),IF(OR(M1414=phu!$I$4,M1414=phu!$I$5,M1414=phu!$I$6,M1414=phu!$I$7,M1414=phu!$I$8,M1414=phu!$I$9,M1414=phu!$I$10,M1414=phu!$I$11,M1414=phu!$I$12,M1414=phu!$I$13,M1414=phu!$I$14),"Cam Nghĩa",""),IF(OR(M1414=phu!$I$15,M1414=phu!$I$16,M1414=phu!$I$17,M1414=phu!$I$18,M1414=phu!$I$19,M1414=phu!$I$20,M1414=phu!$I$21),"Cam Phúc Bắc",""),IF(OR(M1414=phu!$I$22,M1414=phu!$I$23,M1414=phu!$I$24,M1414=phu!$I$25),"Cam Phúc Nam",""),IF(OR(M1414=phu!$I$26,M1414=phu!$I$27,M1414=phu!$I$28,M1414=phu!$I$29,M1414=phu!$I$30,M1414=phu!$I$31),"Cam Phú",""),IF(OR(M1414=phu!$I$32,M1414=phu!$I$33,M1414=phu!$I$34,M1414=phu!$I$35,M1414=phu!$I$36,M1414=phu!$I$37),"Cam Lộc",""),IF(OR(M1414=phu!$I$38,M1414=phu!$I$39,M1414=phu!$I$40,M1414=phu!$I$41,M1414=phu!$I$42,M1414=phu!$I$43,M1414=phu!$I$44),"Cam Thuận",""),IF(OR(M1414=phu!$I$45,M1414=phu!$I$46,M1414=phu!$I$47,M1414=phu!$I$48,M1414=phu!$I$49,M1414=phu!$I$50,M1414=phu!$I$51,M1414=phu!$I$52,M1414=phu!$I$53),"Cam Linh",""),IF(OR(M1414=phu!$I$54,M1414=phu!$I$55,M1414=phu!$I$56,M1414=phu!$I$57,M1414=phu!$I$58,M1414=phu!$I$59,M1414=phu!$I$60,M1414=phu!$I$61,M1414=phu!$I$62),"Cam Lợi",""),IF(OR(M1414=phu!$I$63,M1414=phu!$I$64,M1414=phu!$I$65,M1414=phu!$I$66,M1414=phu!$I$67,M1414=phu!$I$68,M1414=phu!$I$69,M1414=phu!$I$70,M1414=phu!$I$71),"Ba Ngòi",""),IF(OR(M1414=phu!$I$72,M1414=phu!$I$73,M1414=phu!$I$74,M1414=phu!$I$75,M1414=phu!$I$76,M1414=phu!$I$77,M1414=phu!$I$78),"Cam Phước Đông",""),IF(OR(M1414=phu!$I$79,M1414=phu!$I$80,M1414=phu!$I$81,M1414=phu!$I$82,M1414=phu!$I$83,M1414=phu!$I$84),"Cam Thịnh Đông",""),IF(OR(M1414=phu!$I$85,M1414=phu!$I$86,M1414=phu!$I$87,M1414=phu!$I$88),"Cam Thịnh Tây",""),IF(OR(M1414=phu!$I$89,M1414=phu!$I$90),"Cam Lập",""),IF(OR(M1414=phu!$I$91,M1414=phu!$I$92,M1414=phu!$I$93),"Cam Bình",""),IF(OR(M1414=phu!$I$94,M1414=phu!$I$95,M1414=phu!$I$96,M1414=phu!$I$97,M1414=phu!$I$98,M1414=phu!$I$99,M1414=phu!$I$100),"Huyện khác",""),IF(OR(M1414=phu!$I$101,M1414=phu!$I$102),"Tỉnh khác",""))</f>
        <v/>
      </c>
      <c r="O1414" s="829" t="str">
        <f t="shared" si="126"/>
        <v/>
      </c>
      <c r="P1414" s="254"/>
      <c r="Q1414" s="254"/>
      <c r="R1414" s="254"/>
      <c r="S1414" s="254"/>
      <c r="T1414" s="254"/>
      <c r="U1414" s="254"/>
      <c r="V1414" s="254"/>
      <c r="W1414" s="254"/>
      <c r="Y1414" s="246" t="str">
        <f t="shared" si="127"/>
        <v/>
      </c>
      <c r="Z1414" s="247" t="str">
        <f t="shared" si="131"/>
        <v/>
      </c>
      <c r="AA1414" s="246" t="str">
        <f t="shared" si="128"/>
        <v/>
      </c>
    </row>
    <row r="1415" spans="1:27" x14ac:dyDescent="0.25">
      <c r="A1415" s="248" t="str">
        <f t="shared" si="129"/>
        <v/>
      </c>
      <c r="B1415" s="249" t="str">
        <f t="shared" si="130"/>
        <v/>
      </c>
      <c r="C1415" s="250"/>
      <c r="D1415" s="251"/>
      <c r="E1415" s="241"/>
      <c r="F1415" s="252"/>
      <c r="G1415" s="252"/>
      <c r="H1415" s="253"/>
      <c r="I1415" s="250"/>
      <c r="J1415" s="250"/>
      <c r="K1415" s="270"/>
      <c r="L1415" s="250"/>
      <c r="M1415" s="250"/>
      <c r="N1415" s="540" t="str">
        <f>CONCATENATE(IF(OR(M1415=phu!$I$1,M1415=phu!$I$2,M1415=phu!$I$3),"Cam Thành Nam",""),IF(OR(M1415=phu!$I$4,M1415=phu!$I$5,M1415=phu!$I$6,M1415=phu!$I$7,M1415=phu!$I$8,M1415=phu!$I$9,M1415=phu!$I$10,M1415=phu!$I$11,M1415=phu!$I$12,M1415=phu!$I$13,M1415=phu!$I$14),"Cam Nghĩa",""),IF(OR(M1415=phu!$I$15,M1415=phu!$I$16,M1415=phu!$I$17,M1415=phu!$I$18,M1415=phu!$I$19,M1415=phu!$I$20,M1415=phu!$I$21),"Cam Phúc Bắc",""),IF(OR(M1415=phu!$I$22,M1415=phu!$I$23,M1415=phu!$I$24,M1415=phu!$I$25),"Cam Phúc Nam",""),IF(OR(M1415=phu!$I$26,M1415=phu!$I$27,M1415=phu!$I$28,M1415=phu!$I$29,M1415=phu!$I$30,M1415=phu!$I$31),"Cam Phú",""),IF(OR(M1415=phu!$I$32,M1415=phu!$I$33,M1415=phu!$I$34,M1415=phu!$I$35,M1415=phu!$I$36,M1415=phu!$I$37),"Cam Lộc",""),IF(OR(M1415=phu!$I$38,M1415=phu!$I$39,M1415=phu!$I$40,M1415=phu!$I$41,M1415=phu!$I$42,M1415=phu!$I$43,M1415=phu!$I$44),"Cam Thuận",""),IF(OR(M1415=phu!$I$45,M1415=phu!$I$46,M1415=phu!$I$47,M1415=phu!$I$48,M1415=phu!$I$49,M1415=phu!$I$50,M1415=phu!$I$51,M1415=phu!$I$52,M1415=phu!$I$53),"Cam Linh",""),IF(OR(M1415=phu!$I$54,M1415=phu!$I$55,M1415=phu!$I$56,M1415=phu!$I$57,M1415=phu!$I$58,M1415=phu!$I$59,M1415=phu!$I$60,M1415=phu!$I$61,M1415=phu!$I$62),"Cam Lợi",""),IF(OR(M1415=phu!$I$63,M1415=phu!$I$64,M1415=phu!$I$65,M1415=phu!$I$66,M1415=phu!$I$67,M1415=phu!$I$68,M1415=phu!$I$69,M1415=phu!$I$70,M1415=phu!$I$71),"Ba Ngòi",""),IF(OR(M1415=phu!$I$72,M1415=phu!$I$73,M1415=phu!$I$74,M1415=phu!$I$75,M1415=phu!$I$76,M1415=phu!$I$77,M1415=phu!$I$78),"Cam Phước Đông",""),IF(OR(M1415=phu!$I$79,M1415=phu!$I$80,M1415=phu!$I$81,M1415=phu!$I$82,M1415=phu!$I$83,M1415=phu!$I$84),"Cam Thịnh Đông",""),IF(OR(M1415=phu!$I$85,M1415=phu!$I$86,M1415=phu!$I$87,M1415=phu!$I$88),"Cam Thịnh Tây",""),IF(OR(M1415=phu!$I$89,M1415=phu!$I$90),"Cam Lập",""),IF(OR(M1415=phu!$I$91,M1415=phu!$I$92,M1415=phu!$I$93),"Cam Bình",""),IF(OR(M1415=phu!$I$94,M1415=phu!$I$95,M1415=phu!$I$96,M1415=phu!$I$97,M1415=phu!$I$98,M1415=phu!$I$99,M1415=phu!$I$100),"Huyện khác",""),IF(OR(M1415=phu!$I$101,M1415=phu!$I$102),"Tỉnh khác",""))</f>
        <v/>
      </c>
      <c r="O1415" s="829" t="str">
        <f t="shared" ref="O1415:O1478" si="132">CONCATENATE(IF(OR(N1415="Cam Thành Nam",N1415="Cam Nghĩa",N1415="Cam Phúc Bắc"),"Bắc Cam Ranh",""),IF(OR(N1415="Cam Phúc Nam",N1415="Cam Phú",N1415="Cam Lộc"),"Cam Ranh",""),IF(OR(N1415="Cam Thuận",N1415="Cam Linh",N1415="Cam Lợi"),"Cam Linh",""),IF(OR(N1415="Ba Ngòi",N1415="Cam Phước Đông"),"Ba Ngòi",""),IF(OR(N1415="Cam Thịnh Đông",N1415="Cam Thịnh Tây",N1415="Cam Lập",N1415="Cam Bình"),"Nam Cam Ranh",""),IF(N1415="Huyện khác","Huyện khác",""),IF(N1415="Tỉnh khác","Tỉnh khác",""))</f>
        <v/>
      </c>
      <c r="P1415" s="254"/>
      <c r="Q1415" s="254"/>
      <c r="R1415" s="254"/>
      <c r="S1415" s="254"/>
      <c r="T1415" s="254"/>
      <c r="U1415" s="254"/>
      <c r="V1415" s="254"/>
      <c r="W1415" s="254"/>
      <c r="Y1415" s="246" t="str">
        <f t="shared" ref="Y1415:Y1478" si="133">IF(OR(AND(B1415="",C1415="",D1415="",E1415="",F1415="",G1415="",H1415="",I1415="",J1415="",L1415="",M1415="",N1415="",P1415="",Q1415="",R1415="",S1415=""),AND(B1415&lt;&gt;"",C1415&lt;&gt;"",D1415&lt;&gt;"",E1415&lt;&gt;"",F1415&lt;&gt;"",G1415&lt;&gt;"",H1415&lt;&gt;"",J1415&lt;&gt;"",M1415&lt;&gt;"",N1415&lt;&gt;"",P1415&lt;&gt;"",OR(AND(Q1415&lt;&gt;"",R1415=""),AND(Q1415="",R1415&lt;&gt;""),AND(Q1415&lt;&gt;"",R1415&lt;&gt;"")),OR(AND(K1415="X",T1415&lt;&gt;""),AND(K1415="",T1415="")))),"","er")</f>
        <v/>
      </c>
      <c r="Z1415" s="247" t="str">
        <f t="shared" si="131"/>
        <v/>
      </c>
      <c r="AA1415" s="246" t="str">
        <f t="shared" ref="AA1415:AA1478" si="134">IF(OR(AND(Z1415&lt;=10,B1415&gt;5),AND(Z1415&lt;=11,B1415&gt;6),AND(Z1415&lt;=12,B1415&gt;7),AND(Z1415&lt;=13,B1415&gt;8),AND(Z1415&lt;=14,B1415&gt;9),AND(Z1415=11,B1415=6,L1415="X"),AND(Z1415=12,B1415=7,L1415="X"),AND(Z1415=13,B1415=8,L1415="X"),AND(Z1415=14,B1415=9,L1415="X")),"er","")</f>
        <v/>
      </c>
    </row>
    <row r="1416" spans="1:27" x14ac:dyDescent="0.25">
      <c r="A1416" s="248" t="str">
        <f t="shared" ref="A1416:A1479" si="135">IF(OR(A1415="",B1416="",C1416="",D1416="",E1416=""),"",A1415+1)</f>
        <v/>
      </c>
      <c r="B1416" s="249" t="str">
        <f t="shared" ref="B1416:B1479" si="136">IF(C1416="","",VALUE(LEFT(C1416,1)))</f>
        <v/>
      </c>
      <c r="C1416" s="250"/>
      <c r="D1416" s="251"/>
      <c r="E1416" s="241"/>
      <c r="F1416" s="252"/>
      <c r="G1416" s="252"/>
      <c r="H1416" s="253"/>
      <c r="I1416" s="250"/>
      <c r="J1416" s="250"/>
      <c r="K1416" s="270"/>
      <c r="L1416" s="250"/>
      <c r="M1416" s="250"/>
      <c r="N1416" s="540" t="str">
        <f>CONCATENATE(IF(OR(M1416=phu!$I$1,M1416=phu!$I$2,M1416=phu!$I$3),"Cam Thành Nam",""),IF(OR(M1416=phu!$I$4,M1416=phu!$I$5,M1416=phu!$I$6,M1416=phu!$I$7,M1416=phu!$I$8,M1416=phu!$I$9,M1416=phu!$I$10,M1416=phu!$I$11,M1416=phu!$I$12,M1416=phu!$I$13,M1416=phu!$I$14),"Cam Nghĩa",""),IF(OR(M1416=phu!$I$15,M1416=phu!$I$16,M1416=phu!$I$17,M1416=phu!$I$18,M1416=phu!$I$19,M1416=phu!$I$20,M1416=phu!$I$21),"Cam Phúc Bắc",""),IF(OR(M1416=phu!$I$22,M1416=phu!$I$23,M1416=phu!$I$24,M1416=phu!$I$25),"Cam Phúc Nam",""),IF(OR(M1416=phu!$I$26,M1416=phu!$I$27,M1416=phu!$I$28,M1416=phu!$I$29,M1416=phu!$I$30,M1416=phu!$I$31),"Cam Phú",""),IF(OR(M1416=phu!$I$32,M1416=phu!$I$33,M1416=phu!$I$34,M1416=phu!$I$35,M1416=phu!$I$36,M1416=phu!$I$37),"Cam Lộc",""),IF(OR(M1416=phu!$I$38,M1416=phu!$I$39,M1416=phu!$I$40,M1416=phu!$I$41,M1416=phu!$I$42,M1416=phu!$I$43,M1416=phu!$I$44),"Cam Thuận",""),IF(OR(M1416=phu!$I$45,M1416=phu!$I$46,M1416=phu!$I$47,M1416=phu!$I$48,M1416=phu!$I$49,M1416=phu!$I$50,M1416=phu!$I$51,M1416=phu!$I$52,M1416=phu!$I$53),"Cam Linh",""),IF(OR(M1416=phu!$I$54,M1416=phu!$I$55,M1416=phu!$I$56,M1416=phu!$I$57,M1416=phu!$I$58,M1416=phu!$I$59,M1416=phu!$I$60,M1416=phu!$I$61,M1416=phu!$I$62),"Cam Lợi",""),IF(OR(M1416=phu!$I$63,M1416=phu!$I$64,M1416=phu!$I$65,M1416=phu!$I$66,M1416=phu!$I$67,M1416=phu!$I$68,M1416=phu!$I$69,M1416=phu!$I$70,M1416=phu!$I$71),"Ba Ngòi",""),IF(OR(M1416=phu!$I$72,M1416=phu!$I$73,M1416=phu!$I$74,M1416=phu!$I$75,M1416=phu!$I$76,M1416=phu!$I$77,M1416=phu!$I$78),"Cam Phước Đông",""),IF(OR(M1416=phu!$I$79,M1416=phu!$I$80,M1416=phu!$I$81,M1416=phu!$I$82,M1416=phu!$I$83,M1416=phu!$I$84),"Cam Thịnh Đông",""),IF(OR(M1416=phu!$I$85,M1416=phu!$I$86,M1416=phu!$I$87,M1416=phu!$I$88),"Cam Thịnh Tây",""),IF(OR(M1416=phu!$I$89,M1416=phu!$I$90),"Cam Lập",""),IF(OR(M1416=phu!$I$91,M1416=phu!$I$92,M1416=phu!$I$93),"Cam Bình",""),IF(OR(M1416=phu!$I$94,M1416=phu!$I$95,M1416=phu!$I$96,M1416=phu!$I$97,M1416=phu!$I$98,M1416=phu!$I$99,M1416=phu!$I$100),"Huyện khác",""),IF(OR(M1416=phu!$I$101,M1416=phu!$I$102),"Tỉnh khác",""))</f>
        <v/>
      </c>
      <c r="O1416" s="829" t="str">
        <f t="shared" si="132"/>
        <v/>
      </c>
      <c r="P1416" s="254"/>
      <c r="Q1416" s="254"/>
      <c r="R1416" s="254"/>
      <c r="S1416" s="254"/>
      <c r="T1416" s="254"/>
      <c r="U1416" s="254"/>
      <c r="V1416" s="254"/>
      <c r="W1416" s="254"/>
      <c r="Y1416" s="246" t="str">
        <f t="shared" si="133"/>
        <v/>
      </c>
      <c r="Z1416" s="247" t="str">
        <f t="shared" ref="Z1416:Z1479" si="137">IF(H1416="","",$Z$1-H1416)</f>
        <v/>
      </c>
      <c r="AA1416" s="246" t="str">
        <f t="shared" si="134"/>
        <v/>
      </c>
    </row>
    <row r="1417" spans="1:27" x14ac:dyDescent="0.25">
      <c r="A1417" s="248" t="str">
        <f t="shared" si="135"/>
        <v/>
      </c>
      <c r="B1417" s="249" t="str">
        <f t="shared" si="136"/>
        <v/>
      </c>
      <c r="C1417" s="250"/>
      <c r="D1417" s="251"/>
      <c r="E1417" s="241"/>
      <c r="F1417" s="252"/>
      <c r="G1417" s="252"/>
      <c r="H1417" s="253"/>
      <c r="I1417" s="250"/>
      <c r="J1417" s="250"/>
      <c r="K1417" s="270"/>
      <c r="L1417" s="250"/>
      <c r="M1417" s="250"/>
      <c r="N1417" s="540" t="str">
        <f>CONCATENATE(IF(OR(M1417=phu!$I$1,M1417=phu!$I$2,M1417=phu!$I$3),"Cam Thành Nam",""),IF(OR(M1417=phu!$I$4,M1417=phu!$I$5,M1417=phu!$I$6,M1417=phu!$I$7,M1417=phu!$I$8,M1417=phu!$I$9,M1417=phu!$I$10,M1417=phu!$I$11,M1417=phu!$I$12,M1417=phu!$I$13,M1417=phu!$I$14),"Cam Nghĩa",""),IF(OR(M1417=phu!$I$15,M1417=phu!$I$16,M1417=phu!$I$17,M1417=phu!$I$18,M1417=phu!$I$19,M1417=phu!$I$20,M1417=phu!$I$21),"Cam Phúc Bắc",""),IF(OR(M1417=phu!$I$22,M1417=phu!$I$23,M1417=phu!$I$24,M1417=phu!$I$25),"Cam Phúc Nam",""),IF(OR(M1417=phu!$I$26,M1417=phu!$I$27,M1417=phu!$I$28,M1417=phu!$I$29,M1417=phu!$I$30,M1417=phu!$I$31),"Cam Phú",""),IF(OR(M1417=phu!$I$32,M1417=phu!$I$33,M1417=phu!$I$34,M1417=phu!$I$35,M1417=phu!$I$36,M1417=phu!$I$37),"Cam Lộc",""),IF(OR(M1417=phu!$I$38,M1417=phu!$I$39,M1417=phu!$I$40,M1417=phu!$I$41,M1417=phu!$I$42,M1417=phu!$I$43,M1417=phu!$I$44),"Cam Thuận",""),IF(OR(M1417=phu!$I$45,M1417=phu!$I$46,M1417=phu!$I$47,M1417=phu!$I$48,M1417=phu!$I$49,M1417=phu!$I$50,M1417=phu!$I$51,M1417=phu!$I$52,M1417=phu!$I$53),"Cam Linh",""),IF(OR(M1417=phu!$I$54,M1417=phu!$I$55,M1417=phu!$I$56,M1417=phu!$I$57,M1417=phu!$I$58,M1417=phu!$I$59,M1417=phu!$I$60,M1417=phu!$I$61,M1417=phu!$I$62),"Cam Lợi",""),IF(OR(M1417=phu!$I$63,M1417=phu!$I$64,M1417=phu!$I$65,M1417=phu!$I$66,M1417=phu!$I$67,M1417=phu!$I$68,M1417=phu!$I$69,M1417=phu!$I$70,M1417=phu!$I$71),"Ba Ngòi",""),IF(OR(M1417=phu!$I$72,M1417=phu!$I$73,M1417=phu!$I$74,M1417=phu!$I$75,M1417=phu!$I$76,M1417=phu!$I$77,M1417=phu!$I$78),"Cam Phước Đông",""),IF(OR(M1417=phu!$I$79,M1417=phu!$I$80,M1417=phu!$I$81,M1417=phu!$I$82,M1417=phu!$I$83,M1417=phu!$I$84),"Cam Thịnh Đông",""),IF(OR(M1417=phu!$I$85,M1417=phu!$I$86,M1417=phu!$I$87,M1417=phu!$I$88),"Cam Thịnh Tây",""),IF(OR(M1417=phu!$I$89,M1417=phu!$I$90),"Cam Lập",""),IF(OR(M1417=phu!$I$91,M1417=phu!$I$92,M1417=phu!$I$93),"Cam Bình",""),IF(OR(M1417=phu!$I$94,M1417=phu!$I$95,M1417=phu!$I$96,M1417=phu!$I$97,M1417=phu!$I$98,M1417=phu!$I$99,M1417=phu!$I$100),"Huyện khác",""),IF(OR(M1417=phu!$I$101,M1417=phu!$I$102),"Tỉnh khác",""))</f>
        <v/>
      </c>
      <c r="O1417" s="829" t="str">
        <f t="shared" si="132"/>
        <v/>
      </c>
      <c r="P1417" s="254"/>
      <c r="Q1417" s="254"/>
      <c r="R1417" s="254"/>
      <c r="S1417" s="254"/>
      <c r="T1417" s="254"/>
      <c r="U1417" s="254"/>
      <c r="V1417" s="254"/>
      <c r="W1417" s="254"/>
      <c r="Y1417" s="246" t="str">
        <f t="shared" si="133"/>
        <v/>
      </c>
      <c r="Z1417" s="247" t="str">
        <f t="shared" si="137"/>
        <v/>
      </c>
      <c r="AA1417" s="246" t="str">
        <f t="shared" si="134"/>
        <v/>
      </c>
    </row>
    <row r="1418" spans="1:27" x14ac:dyDescent="0.25">
      <c r="A1418" s="248" t="str">
        <f t="shared" si="135"/>
        <v/>
      </c>
      <c r="B1418" s="249" t="str">
        <f t="shared" si="136"/>
        <v/>
      </c>
      <c r="C1418" s="250"/>
      <c r="D1418" s="251"/>
      <c r="E1418" s="241"/>
      <c r="F1418" s="252"/>
      <c r="G1418" s="252"/>
      <c r="H1418" s="253"/>
      <c r="I1418" s="250"/>
      <c r="J1418" s="250"/>
      <c r="K1418" s="270"/>
      <c r="L1418" s="250"/>
      <c r="M1418" s="250"/>
      <c r="N1418" s="540" t="str">
        <f>CONCATENATE(IF(OR(M1418=phu!$I$1,M1418=phu!$I$2,M1418=phu!$I$3),"Cam Thành Nam",""),IF(OR(M1418=phu!$I$4,M1418=phu!$I$5,M1418=phu!$I$6,M1418=phu!$I$7,M1418=phu!$I$8,M1418=phu!$I$9,M1418=phu!$I$10,M1418=phu!$I$11,M1418=phu!$I$12,M1418=phu!$I$13,M1418=phu!$I$14),"Cam Nghĩa",""),IF(OR(M1418=phu!$I$15,M1418=phu!$I$16,M1418=phu!$I$17,M1418=phu!$I$18,M1418=phu!$I$19,M1418=phu!$I$20,M1418=phu!$I$21),"Cam Phúc Bắc",""),IF(OR(M1418=phu!$I$22,M1418=phu!$I$23,M1418=phu!$I$24,M1418=phu!$I$25),"Cam Phúc Nam",""),IF(OR(M1418=phu!$I$26,M1418=phu!$I$27,M1418=phu!$I$28,M1418=phu!$I$29,M1418=phu!$I$30,M1418=phu!$I$31),"Cam Phú",""),IF(OR(M1418=phu!$I$32,M1418=phu!$I$33,M1418=phu!$I$34,M1418=phu!$I$35,M1418=phu!$I$36,M1418=phu!$I$37),"Cam Lộc",""),IF(OR(M1418=phu!$I$38,M1418=phu!$I$39,M1418=phu!$I$40,M1418=phu!$I$41,M1418=phu!$I$42,M1418=phu!$I$43,M1418=phu!$I$44),"Cam Thuận",""),IF(OR(M1418=phu!$I$45,M1418=phu!$I$46,M1418=phu!$I$47,M1418=phu!$I$48,M1418=phu!$I$49,M1418=phu!$I$50,M1418=phu!$I$51,M1418=phu!$I$52,M1418=phu!$I$53),"Cam Linh",""),IF(OR(M1418=phu!$I$54,M1418=phu!$I$55,M1418=phu!$I$56,M1418=phu!$I$57,M1418=phu!$I$58,M1418=phu!$I$59,M1418=phu!$I$60,M1418=phu!$I$61,M1418=phu!$I$62),"Cam Lợi",""),IF(OR(M1418=phu!$I$63,M1418=phu!$I$64,M1418=phu!$I$65,M1418=phu!$I$66,M1418=phu!$I$67,M1418=phu!$I$68,M1418=phu!$I$69,M1418=phu!$I$70,M1418=phu!$I$71),"Ba Ngòi",""),IF(OR(M1418=phu!$I$72,M1418=phu!$I$73,M1418=phu!$I$74,M1418=phu!$I$75,M1418=phu!$I$76,M1418=phu!$I$77,M1418=phu!$I$78),"Cam Phước Đông",""),IF(OR(M1418=phu!$I$79,M1418=phu!$I$80,M1418=phu!$I$81,M1418=phu!$I$82,M1418=phu!$I$83,M1418=phu!$I$84),"Cam Thịnh Đông",""),IF(OR(M1418=phu!$I$85,M1418=phu!$I$86,M1418=phu!$I$87,M1418=phu!$I$88),"Cam Thịnh Tây",""),IF(OR(M1418=phu!$I$89,M1418=phu!$I$90),"Cam Lập",""),IF(OR(M1418=phu!$I$91,M1418=phu!$I$92,M1418=phu!$I$93),"Cam Bình",""),IF(OR(M1418=phu!$I$94,M1418=phu!$I$95,M1418=phu!$I$96,M1418=phu!$I$97,M1418=phu!$I$98,M1418=phu!$I$99,M1418=phu!$I$100),"Huyện khác",""),IF(OR(M1418=phu!$I$101,M1418=phu!$I$102),"Tỉnh khác",""))</f>
        <v/>
      </c>
      <c r="O1418" s="829" t="str">
        <f t="shared" si="132"/>
        <v/>
      </c>
      <c r="P1418" s="254"/>
      <c r="Q1418" s="254"/>
      <c r="R1418" s="254"/>
      <c r="S1418" s="254"/>
      <c r="T1418" s="254"/>
      <c r="U1418" s="254"/>
      <c r="V1418" s="254"/>
      <c r="W1418" s="254"/>
      <c r="Y1418" s="246" t="str">
        <f t="shared" si="133"/>
        <v/>
      </c>
      <c r="Z1418" s="247" t="str">
        <f t="shared" si="137"/>
        <v/>
      </c>
      <c r="AA1418" s="246" t="str">
        <f t="shared" si="134"/>
        <v/>
      </c>
    </row>
    <row r="1419" spans="1:27" x14ac:dyDescent="0.25">
      <c r="A1419" s="248" t="str">
        <f t="shared" si="135"/>
        <v/>
      </c>
      <c r="B1419" s="249" t="str">
        <f t="shared" si="136"/>
        <v/>
      </c>
      <c r="C1419" s="250"/>
      <c r="D1419" s="251"/>
      <c r="E1419" s="241"/>
      <c r="F1419" s="252"/>
      <c r="G1419" s="252"/>
      <c r="H1419" s="253"/>
      <c r="I1419" s="250"/>
      <c r="J1419" s="250"/>
      <c r="K1419" s="270"/>
      <c r="L1419" s="250"/>
      <c r="M1419" s="250"/>
      <c r="N1419" s="540" t="str">
        <f>CONCATENATE(IF(OR(M1419=phu!$I$1,M1419=phu!$I$2,M1419=phu!$I$3),"Cam Thành Nam",""),IF(OR(M1419=phu!$I$4,M1419=phu!$I$5,M1419=phu!$I$6,M1419=phu!$I$7,M1419=phu!$I$8,M1419=phu!$I$9,M1419=phu!$I$10,M1419=phu!$I$11,M1419=phu!$I$12,M1419=phu!$I$13,M1419=phu!$I$14),"Cam Nghĩa",""),IF(OR(M1419=phu!$I$15,M1419=phu!$I$16,M1419=phu!$I$17,M1419=phu!$I$18,M1419=phu!$I$19,M1419=phu!$I$20,M1419=phu!$I$21),"Cam Phúc Bắc",""),IF(OR(M1419=phu!$I$22,M1419=phu!$I$23,M1419=phu!$I$24,M1419=phu!$I$25),"Cam Phúc Nam",""),IF(OR(M1419=phu!$I$26,M1419=phu!$I$27,M1419=phu!$I$28,M1419=phu!$I$29,M1419=phu!$I$30,M1419=phu!$I$31),"Cam Phú",""),IF(OR(M1419=phu!$I$32,M1419=phu!$I$33,M1419=phu!$I$34,M1419=phu!$I$35,M1419=phu!$I$36,M1419=phu!$I$37),"Cam Lộc",""),IF(OR(M1419=phu!$I$38,M1419=phu!$I$39,M1419=phu!$I$40,M1419=phu!$I$41,M1419=phu!$I$42,M1419=phu!$I$43,M1419=phu!$I$44),"Cam Thuận",""),IF(OR(M1419=phu!$I$45,M1419=phu!$I$46,M1419=phu!$I$47,M1419=phu!$I$48,M1419=phu!$I$49,M1419=phu!$I$50,M1419=phu!$I$51,M1419=phu!$I$52,M1419=phu!$I$53),"Cam Linh",""),IF(OR(M1419=phu!$I$54,M1419=phu!$I$55,M1419=phu!$I$56,M1419=phu!$I$57,M1419=phu!$I$58,M1419=phu!$I$59,M1419=phu!$I$60,M1419=phu!$I$61,M1419=phu!$I$62),"Cam Lợi",""),IF(OR(M1419=phu!$I$63,M1419=phu!$I$64,M1419=phu!$I$65,M1419=phu!$I$66,M1419=phu!$I$67,M1419=phu!$I$68,M1419=phu!$I$69,M1419=phu!$I$70,M1419=phu!$I$71),"Ba Ngòi",""),IF(OR(M1419=phu!$I$72,M1419=phu!$I$73,M1419=phu!$I$74,M1419=phu!$I$75,M1419=phu!$I$76,M1419=phu!$I$77,M1419=phu!$I$78),"Cam Phước Đông",""),IF(OR(M1419=phu!$I$79,M1419=phu!$I$80,M1419=phu!$I$81,M1419=phu!$I$82,M1419=phu!$I$83,M1419=phu!$I$84),"Cam Thịnh Đông",""),IF(OR(M1419=phu!$I$85,M1419=phu!$I$86,M1419=phu!$I$87,M1419=phu!$I$88),"Cam Thịnh Tây",""),IF(OR(M1419=phu!$I$89,M1419=phu!$I$90),"Cam Lập",""),IF(OR(M1419=phu!$I$91,M1419=phu!$I$92,M1419=phu!$I$93),"Cam Bình",""),IF(OR(M1419=phu!$I$94,M1419=phu!$I$95,M1419=phu!$I$96,M1419=phu!$I$97,M1419=phu!$I$98,M1419=phu!$I$99,M1419=phu!$I$100),"Huyện khác",""),IF(OR(M1419=phu!$I$101,M1419=phu!$I$102),"Tỉnh khác",""))</f>
        <v/>
      </c>
      <c r="O1419" s="829" t="str">
        <f t="shared" si="132"/>
        <v/>
      </c>
      <c r="P1419" s="254"/>
      <c r="Q1419" s="254"/>
      <c r="R1419" s="254"/>
      <c r="S1419" s="254"/>
      <c r="T1419" s="254"/>
      <c r="U1419" s="254"/>
      <c r="V1419" s="254"/>
      <c r="W1419" s="254"/>
      <c r="Y1419" s="246" t="str">
        <f t="shared" si="133"/>
        <v/>
      </c>
      <c r="Z1419" s="247" t="str">
        <f t="shared" si="137"/>
        <v/>
      </c>
      <c r="AA1419" s="246" t="str">
        <f t="shared" si="134"/>
        <v/>
      </c>
    </row>
    <row r="1420" spans="1:27" x14ac:dyDescent="0.25">
      <c r="A1420" s="248" t="str">
        <f t="shared" si="135"/>
        <v/>
      </c>
      <c r="B1420" s="249" t="str">
        <f t="shared" si="136"/>
        <v/>
      </c>
      <c r="C1420" s="250"/>
      <c r="D1420" s="251"/>
      <c r="E1420" s="241"/>
      <c r="F1420" s="252"/>
      <c r="G1420" s="252"/>
      <c r="H1420" s="253"/>
      <c r="I1420" s="250"/>
      <c r="J1420" s="250"/>
      <c r="K1420" s="270"/>
      <c r="L1420" s="250"/>
      <c r="M1420" s="250"/>
      <c r="N1420" s="540" t="str">
        <f>CONCATENATE(IF(OR(M1420=phu!$I$1,M1420=phu!$I$2,M1420=phu!$I$3),"Cam Thành Nam",""),IF(OR(M1420=phu!$I$4,M1420=phu!$I$5,M1420=phu!$I$6,M1420=phu!$I$7,M1420=phu!$I$8,M1420=phu!$I$9,M1420=phu!$I$10,M1420=phu!$I$11,M1420=phu!$I$12,M1420=phu!$I$13,M1420=phu!$I$14),"Cam Nghĩa",""),IF(OR(M1420=phu!$I$15,M1420=phu!$I$16,M1420=phu!$I$17,M1420=phu!$I$18,M1420=phu!$I$19,M1420=phu!$I$20,M1420=phu!$I$21),"Cam Phúc Bắc",""),IF(OR(M1420=phu!$I$22,M1420=phu!$I$23,M1420=phu!$I$24,M1420=phu!$I$25),"Cam Phúc Nam",""),IF(OR(M1420=phu!$I$26,M1420=phu!$I$27,M1420=phu!$I$28,M1420=phu!$I$29,M1420=phu!$I$30,M1420=phu!$I$31),"Cam Phú",""),IF(OR(M1420=phu!$I$32,M1420=phu!$I$33,M1420=phu!$I$34,M1420=phu!$I$35,M1420=phu!$I$36,M1420=phu!$I$37),"Cam Lộc",""),IF(OR(M1420=phu!$I$38,M1420=phu!$I$39,M1420=phu!$I$40,M1420=phu!$I$41,M1420=phu!$I$42,M1420=phu!$I$43,M1420=phu!$I$44),"Cam Thuận",""),IF(OR(M1420=phu!$I$45,M1420=phu!$I$46,M1420=phu!$I$47,M1420=phu!$I$48,M1420=phu!$I$49,M1420=phu!$I$50,M1420=phu!$I$51,M1420=phu!$I$52,M1420=phu!$I$53),"Cam Linh",""),IF(OR(M1420=phu!$I$54,M1420=phu!$I$55,M1420=phu!$I$56,M1420=phu!$I$57,M1420=phu!$I$58,M1420=phu!$I$59,M1420=phu!$I$60,M1420=phu!$I$61,M1420=phu!$I$62),"Cam Lợi",""),IF(OR(M1420=phu!$I$63,M1420=phu!$I$64,M1420=phu!$I$65,M1420=phu!$I$66,M1420=phu!$I$67,M1420=phu!$I$68,M1420=phu!$I$69,M1420=phu!$I$70,M1420=phu!$I$71),"Ba Ngòi",""),IF(OR(M1420=phu!$I$72,M1420=phu!$I$73,M1420=phu!$I$74,M1420=phu!$I$75,M1420=phu!$I$76,M1420=phu!$I$77,M1420=phu!$I$78),"Cam Phước Đông",""),IF(OR(M1420=phu!$I$79,M1420=phu!$I$80,M1420=phu!$I$81,M1420=phu!$I$82,M1420=phu!$I$83,M1420=phu!$I$84),"Cam Thịnh Đông",""),IF(OR(M1420=phu!$I$85,M1420=phu!$I$86,M1420=phu!$I$87,M1420=phu!$I$88),"Cam Thịnh Tây",""),IF(OR(M1420=phu!$I$89,M1420=phu!$I$90),"Cam Lập",""),IF(OR(M1420=phu!$I$91,M1420=phu!$I$92,M1420=phu!$I$93),"Cam Bình",""),IF(OR(M1420=phu!$I$94,M1420=phu!$I$95,M1420=phu!$I$96,M1420=phu!$I$97,M1420=phu!$I$98,M1420=phu!$I$99,M1420=phu!$I$100),"Huyện khác",""),IF(OR(M1420=phu!$I$101,M1420=phu!$I$102),"Tỉnh khác",""))</f>
        <v/>
      </c>
      <c r="O1420" s="829" t="str">
        <f t="shared" si="132"/>
        <v/>
      </c>
      <c r="P1420" s="254"/>
      <c r="Q1420" s="254"/>
      <c r="R1420" s="254"/>
      <c r="S1420" s="254"/>
      <c r="T1420" s="254"/>
      <c r="U1420" s="254"/>
      <c r="V1420" s="254"/>
      <c r="W1420" s="254"/>
      <c r="Y1420" s="246" t="str">
        <f t="shared" si="133"/>
        <v/>
      </c>
      <c r="Z1420" s="247" t="str">
        <f t="shared" si="137"/>
        <v/>
      </c>
      <c r="AA1420" s="246" t="str">
        <f t="shared" si="134"/>
        <v/>
      </c>
    </row>
    <row r="1421" spans="1:27" x14ac:dyDescent="0.25">
      <c r="A1421" s="248" t="str">
        <f t="shared" si="135"/>
        <v/>
      </c>
      <c r="B1421" s="249" t="str">
        <f t="shared" si="136"/>
        <v/>
      </c>
      <c r="C1421" s="250"/>
      <c r="D1421" s="251"/>
      <c r="E1421" s="241"/>
      <c r="F1421" s="252"/>
      <c r="G1421" s="252"/>
      <c r="H1421" s="253"/>
      <c r="I1421" s="250"/>
      <c r="J1421" s="250"/>
      <c r="K1421" s="270"/>
      <c r="L1421" s="250"/>
      <c r="M1421" s="250"/>
      <c r="N1421" s="540" t="str">
        <f>CONCATENATE(IF(OR(M1421=phu!$I$1,M1421=phu!$I$2,M1421=phu!$I$3),"Cam Thành Nam",""),IF(OR(M1421=phu!$I$4,M1421=phu!$I$5,M1421=phu!$I$6,M1421=phu!$I$7,M1421=phu!$I$8,M1421=phu!$I$9,M1421=phu!$I$10,M1421=phu!$I$11,M1421=phu!$I$12,M1421=phu!$I$13,M1421=phu!$I$14),"Cam Nghĩa",""),IF(OR(M1421=phu!$I$15,M1421=phu!$I$16,M1421=phu!$I$17,M1421=phu!$I$18,M1421=phu!$I$19,M1421=phu!$I$20,M1421=phu!$I$21),"Cam Phúc Bắc",""),IF(OR(M1421=phu!$I$22,M1421=phu!$I$23,M1421=phu!$I$24,M1421=phu!$I$25),"Cam Phúc Nam",""),IF(OR(M1421=phu!$I$26,M1421=phu!$I$27,M1421=phu!$I$28,M1421=phu!$I$29,M1421=phu!$I$30,M1421=phu!$I$31),"Cam Phú",""),IF(OR(M1421=phu!$I$32,M1421=phu!$I$33,M1421=phu!$I$34,M1421=phu!$I$35,M1421=phu!$I$36,M1421=phu!$I$37),"Cam Lộc",""),IF(OR(M1421=phu!$I$38,M1421=phu!$I$39,M1421=phu!$I$40,M1421=phu!$I$41,M1421=phu!$I$42,M1421=phu!$I$43,M1421=phu!$I$44),"Cam Thuận",""),IF(OR(M1421=phu!$I$45,M1421=phu!$I$46,M1421=phu!$I$47,M1421=phu!$I$48,M1421=phu!$I$49,M1421=phu!$I$50,M1421=phu!$I$51,M1421=phu!$I$52,M1421=phu!$I$53),"Cam Linh",""),IF(OR(M1421=phu!$I$54,M1421=phu!$I$55,M1421=phu!$I$56,M1421=phu!$I$57,M1421=phu!$I$58,M1421=phu!$I$59,M1421=phu!$I$60,M1421=phu!$I$61,M1421=phu!$I$62),"Cam Lợi",""),IF(OR(M1421=phu!$I$63,M1421=phu!$I$64,M1421=phu!$I$65,M1421=phu!$I$66,M1421=phu!$I$67,M1421=phu!$I$68,M1421=phu!$I$69,M1421=phu!$I$70,M1421=phu!$I$71),"Ba Ngòi",""),IF(OR(M1421=phu!$I$72,M1421=phu!$I$73,M1421=phu!$I$74,M1421=phu!$I$75,M1421=phu!$I$76,M1421=phu!$I$77,M1421=phu!$I$78),"Cam Phước Đông",""),IF(OR(M1421=phu!$I$79,M1421=phu!$I$80,M1421=phu!$I$81,M1421=phu!$I$82,M1421=phu!$I$83,M1421=phu!$I$84),"Cam Thịnh Đông",""),IF(OR(M1421=phu!$I$85,M1421=phu!$I$86,M1421=phu!$I$87,M1421=phu!$I$88),"Cam Thịnh Tây",""),IF(OR(M1421=phu!$I$89,M1421=phu!$I$90),"Cam Lập",""),IF(OR(M1421=phu!$I$91,M1421=phu!$I$92,M1421=phu!$I$93),"Cam Bình",""),IF(OR(M1421=phu!$I$94,M1421=phu!$I$95,M1421=phu!$I$96,M1421=phu!$I$97,M1421=phu!$I$98,M1421=phu!$I$99,M1421=phu!$I$100),"Huyện khác",""),IF(OR(M1421=phu!$I$101,M1421=phu!$I$102),"Tỉnh khác",""))</f>
        <v/>
      </c>
      <c r="O1421" s="829" t="str">
        <f t="shared" si="132"/>
        <v/>
      </c>
      <c r="P1421" s="254"/>
      <c r="Q1421" s="254"/>
      <c r="R1421" s="254"/>
      <c r="S1421" s="254"/>
      <c r="T1421" s="254"/>
      <c r="U1421" s="254"/>
      <c r="V1421" s="254"/>
      <c r="W1421" s="254"/>
      <c r="Y1421" s="246" t="str">
        <f t="shared" si="133"/>
        <v/>
      </c>
      <c r="Z1421" s="247" t="str">
        <f t="shared" si="137"/>
        <v/>
      </c>
      <c r="AA1421" s="246" t="str">
        <f t="shared" si="134"/>
        <v/>
      </c>
    </row>
    <row r="1422" spans="1:27" x14ac:dyDescent="0.25">
      <c r="A1422" s="248" t="str">
        <f t="shared" si="135"/>
        <v/>
      </c>
      <c r="B1422" s="249" t="str">
        <f t="shared" si="136"/>
        <v/>
      </c>
      <c r="C1422" s="250"/>
      <c r="D1422" s="251"/>
      <c r="E1422" s="241"/>
      <c r="F1422" s="252"/>
      <c r="G1422" s="252"/>
      <c r="H1422" s="253"/>
      <c r="I1422" s="250"/>
      <c r="J1422" s="250"/>
      <c r="K1422" s="270"/>
      <c r="L1422" s="250"/>
      <c r="M1422" s="250"/>
      <c r="N1422" s="540" t="str">
        <f>CONCATENATE(IF(OR(M1422=phu!$I$1,M1422=phu!$I$2,M1422=phu!$I$3),"Cam Thành Nam",""),IF(OR(M1422=phu!$I$4,M1422=phu!$I$5,M1422=phu!$I$6,M1422=phu!$I$7,M1422=phu!$I$8,M1422=phu!$I$9,M1422=phu!$I$10,M1422=phu!$I$11,M1422=phu!$I$12,M1422=phu!$I$13,M1422=phu!$I$14),"Cam Nghĩa",""),IF(OR(M1422=phu!$I$15,M1422=phu!$I$16,M1422=phu!$I$17,M1422=phu!$I$18,M1422=phu!$I$19,M1422=phu!$I$20,M1422=phu!$I$21),"Cam Phúc Bắc",""),IF(OR(M1422=phu!$I$22,M1422=phu!$I$23,M1422=phu!$I$24,M1422=phu!$I$25),"Cam Phúc Nam",""),IF(OR(M1422=phu!$I$26,M1422=phu!$I$27,M1422=phu!$I$28,M1422=phu!$I$29,M1422=phu!$I$30,M1422=phu!$I$31),"Cam Phú",""),IF(OR(M1422=phu!$I$32,M1422=phu!$I$33,M1422=phu!$I$34,M1422=phu!$I$35,M1422=phu!$I$36,M1422=phu!$I$37),"Cam Lộc",""),IF(OR(M1422=phu!$I$38,M1422=phu!$I$39,M1422=phu!$I$40,M1422=phu!$I$41,M1422=phu!$I$42,M1422=phu!$I$43,M1422=phu!$I$44),"Cam Thuận",""),IF(OR(M1422=phu!$I$45,M1422=phu!$I$46,M1422=phu!$I$47,M1422=phu!$I$48,M1422=phu!$I$49,M1422=phu!$I$50,M1422=phu!$I$51,M1422=phu!$I$52,M1422=phu!$I$53),"Cam Linh",""),IF(OR(M1422=phu!$I$54,M1422=phu!$I$55,M1422=phu!$I$56,M1422=phu!$I$57,M1422=phu!$I$58,M1422=phu!$I$59,M1422=phu!$I$60,M1422=phu!$I$61,M1422=phu!$I$62),"Cam Lợi",""),IF(OR(M1422=phu!$I$63,M1422=phu!$I$64,M1422=phu!$I$65,M1422=phu!$I$66,M1422=phu!$I$67,M1422=phu!$I$68,M1422=phu!$I$69,M1422=phu!$I$70,M1422=phu!$I$71),"Ba Ngòi",""),IF(OR(M1422=phu!$I$72,M1422=phu!$I$73,M1422=phu!$I$74,M1422=phu!$I$75,M1422=phu!$I$76,M1422=phu!$I$77,M1422=phu!$I$78),"Cam Phước Đông",""),IF(OR(M1422=phu!$I$79,M1422=phu!$I$80,M1422=phu!$I$81,M1422=phu!$I$82,M1422=phu!$I$83,M1422=phu!$I$84),"Cam Thịnh Đông",""),IF(OR(M1422=phu!$I$85,M1422=phu!$I$86,M1422=phu!$I$87,M1422=phu!$I$88),"Cam Thịnh Tây",""),IF(OR(M1422=phu!$I$89,M1422=phu!$I$90),"Cam Lập",""),IF(OR(M1422=phu!$I$91,M1422=phu!$I$92,M1422=phu!$I$93),"Cam Bình",""),IF(OR(M1422=phu!$I$94,M1422=phu!$I$95,M1422=phu!$I$96,M1422=phu!$I$97,M1422=phu!$I$98,M1422=phu!$I$99,M1422=phu!$I$100),"Huyện khác",""),IF(OR(M1422=phu!$I$101,M1422=phu!$I$102),"Tỉnh khác",""))</f>
        <v/>
      </c>
      <c r="O1422" s="829" t="str">
        <f t="shared" si="132"/>
        <v/>
      </c>
      <c r="P1422" s="254"/>
      <c r="Q1422" s="254"/>
      <c r="R1422" s="254"/>
      <c r="S1422" s="254"/>
      <c r="T1422" s="254"/>
      <c r="U1422" s="254"/>
      <c r="V1422" s="254"/>
      <c r="W1422" s="254"/>
      <c r="Y1422" s="246" t="str">
        <f t="shared" si="133"/>
        <v/>
      </c>
      <c r="Z1422" s="247" t="str">
        <f t="shared" si="137"/>
        <v/>
      </c>
      <c r="AA1422" s="246" t="str">
        <f t="shared" si="134"/>
        <v/>
      </c>
    </row>
    <row r="1423" spans="1:27" x14ac:dyDescent="0.25">
      <c r="A1423" s="248" t="str">
        <f t="shared" si="135"/>
        <v/>
      </c>
      <c r="B1423" s="249" t="str">
        <f t="shared" si="136"/>
        <v/>
      </c>
      <c r="C1423" s="250"/>
      <c r="D1423" s="251"/>
      <c r="E1423" s="241"/>
      <c r="F1423" s="252"/>
      <c r="G1423" s="252"/>
      <c r="H1423" s="253"/>
      <c r="I1423" s="250"/>
      <c r="J1423" s="250"/>
      <c r="K1423" s="270"/>
      <c r="L1423" s="250"/>
      <c r="M1423" s="250"/>
      <c r="N1423" s="540" t="str">
        <f>CONCATENATE(IF(OR(M1423=phu!$I$1,M1423=phu!$I$2,M1423=phu!$I$3),"Cam Thành Nam",""),IF(OR(M1423=phu!$I$4,M1423=phu!$I$5,M1423=phu!$I$6,M1423=phu!$I$7,M1423=phu!$I$8,M1423=phu!$I$9,M1423=phu!$I$10,M1423=phu!$I$11,M1423=phu!$I$12,M1423=phu!$I$13,M1423=phu!$I$14),"Cam Nghĩa",""),IF(OR(M1423=phu!$I$15,M1423=phu!$I$16,M1423=phu!$I$17,M1423=phu!$I$18,M1423=phu!$I$19,M1423=phu!$I$20,M1423=phu!$I$21),"Cam Phúc Bắc",""),IF(OR(M1423=phu!$I$22,M1423=phu!$I$23,M1423=phu!$I$24,M1423=phu!$I$25),"Cam Phúc Nam",""),IF(OR(M1423=phu!$I$26,M1423=phu!$I$27,M1423=phu!$I$28,M1423=phu!$I$29,M1423=phu!$I$30,M1423=phu!$I$31),"Cam Phú",""),IF(OR(M1423=phu!$I$32,M1423=phu!$I$33,M1423=phu!$I$34,M1423=phu!$I$35,M1423=phu!$I$36,M1423=phu!$I$37),"Cam Lộc",""),IF(OR(M1423=phu!$I$38,M1423=phu!$I$39,M1423=phu!$I$40,M1423=phu!$I$41,M1423=phu!$I$42,M1423=phu!$I$43,M1423=phu!$I$44),"Cam Thuận",""),IF(OR(M1423=phu!$I$45,M1423=phu!$I$46,M1423=phu!$I$47,M1423=phu!$I$48,M1423=phu!$I$49,M1423=phu!$I$50,M1423=phu!$I$51,M1423=phu!$I$52,M1423=phu!$I$53),"Cam Linh",""),IF(OR(M1423=phu!$I$54,M1423=phu!$I$55,M1423=phu!$I$56,M1423=phu!$I$57,M1423=phu!$I$58,M1423=phu!$I$59,M1423=phu!$I$60,M1423=phu!$I$61,M1423=phu!$I$62),"Cam Lợi",""),IF(OR(M1423=phu!$I$63,M1423=phu!$I$64,M1423=phu!$I$65,M1423=phu!$I$66,M1423=phu!$I$67,M1423=phu!$I$68,M1423=phu!$I$69,M1423=phu!$I$70,M1423=phu!$I$71),"Ba Ngòi",""),IF(OR(M1423=phu!$I$72,M1423=phu!$I$73,M1423=phu!$I$74,M1423=phu!$I$75,M1423=phu!$I$76,M1423=phu!$I$77,M1423=phu!$I$78),"Cam Phước Đông",""),IF(OR(M1423=phu!$I$79,M1423=phu!$I$80,M1423=phu!$I$81,M1423=phu!$I$82,M1423=phu!$I$83,M1423=phu!$I$84),"Cam Thịnh Đông",""),IF(OR(M1423=phu!$I$85,M1423=phu!$I$86,M1423=phu!$I$87,M1423=phu!$I$88),"Cam Thịnh Tây",""),IF(OR(M1423=phu!$I$89,M1423=phu!$I$90),"Cam Lập",""),IF(OR(M1423=phu!$I$91,M1423=phu!$I$92,M1423=phu!$I$93),"Cam Bình",""),IF(OR(M1423=phu!$I$94,M1423=phu!$I$95,M1423=phu!$I$96,M1423=phu!$I$97,M1423=phu!$I$98,M1423=phu!$I$99,M1423=phu!$I$100),"Huyện khác",""),IF(OR(M1423=phu!$I$101,M1423=phu!$I$102),"Tỉnh khác",""))</f>
        <v/>
      </c>
      <c r="O1423" s="829" t="str">
        <f t="shared" si="132"/>
        <v/>
      </c>
      <c r="P1423" s="254"/>
      <c r="Q1423" s="254"/>
      <c r="R1423" s="254"/>
      <c r="S1423" s="254"/>
      <c r="T1423" s="254"/>
      <c r="U1423" s="254"/>
      <c r="V1423" s="254"/>
      <c r="W1423" s="254"/>
      <c r="Y1423" s="246" t="str">
        <f t="shared" si="133"/>
        <v/>
      </c>
      <c r="Z1423" s="247" t="str">
        <f t="shared" si="137"/>
        <v/>
      </c>
      <c r="AA1423" s="246" t="str">
        <f t="shared" si="134"/>
        <v/>
      </c>
    </row>
    <row r="1424" spans="1:27" x14ac:dyDescent="0.25">
      <c r="A1424" s="248" t="str">
        <f t="shared" si="135"/>
        <v/>
      </c>
      <c r="B1424" s="249" t="str">
        <f t="shared" si="136"/>
        <v/>
      </c>
      <c r="C1424" s="250"/>
      <c r="D1424" s="251"/>
      <c r="E1424" s="241"/>
      <c r="F1424" s="252"/>
      <c r="G1424" s="252"/>
      <c r="H1424" s="253"/>
      <c r="I1424" s="250"/>
      <c r="J1424" s="250"/>
      <c r="K1424" s="270"/>
      <c r="L1424" s="250"/>
      <c r="M1424" s="250"/>
      <c r="N1424" s="540" t="str">
        <f>CONCATENATE(IF(OR(M1424=phu!$I$1,M1424=phu!$I$2,M1424=phu!$I$3),"Cam Thành Nam",""),IF(OR(M1424=phu!$I$4,M1424=phu!$I$5,M1424=phu!$I$6,M1424=phu!$I$7,M1424=phu!$I$8,M1424=phu!$I$9,M1424=phu!$I$10,M1424=phu!$I$11,M1424=phu!$I$12,M1424=phu!$I$13,M1424=phu!$I$14),"Cam Nghĩa",""),IF(OR(M1424=phu!$I$15,M1424=phu!$I$16,M1424=phu!$I$17,M1424=phu!$I$18,M1424=phu!$I$19,M1424=phu!$I$20,M1424=phu!$I$21),"Cam Phúc Bắc",""),IF(OR(M1424=phu!$I$22,M1424=phu!$I$23,M1424=phu!$I$24,M1424=phu!$I$25),"Cam Phúc Nam",""),IF(OR(M1424=phu!$I$26,M1424=phu!$I$27,M1424=phu!$I$28,M1424=phu!$I$29,M1424=phu!$I$30,M1424=phu!$I$31),"Cam Phú",""),IF(OR(M1424=phu!$I$32,M1424=phu!$I$33,M1424=phu!$I$34,M1424=phu!$I$35,M1424=phu!$I$36,M1424=phu!$I$37),"Cam Lộc",""),IF(OR(M1424=phu!$I$38,M1424=phu!$I$39,M1424=phu!$I$40,M1424=phu!$I$41,M1424=phu!$I$42,M1424=phu!$I$43,M1424=phu!$I$44),"Cam Thuận",""),IF(OR(M1424=phu!$I$45,M1424=phu!$I$46,M1424=phu!$I$47,M1424=phu!$I$48,M1424=phu!$I$49,M1424=phu!$I$50,M1424=phu!$I$51,M1424=phu!$I$52,M1424=phu!$I$53),"Cam Linh",""),IF(OR(M1424=phu!$I$54,M1424=phu!$I$55,M1424=phu!$I$56,M1424=phu!$I$57,M1424=phu!$I$58,M1424=phu!$I$59,M1424=phu!$I$60,M1424=phu!$I$61,M1424=phu!$I$62),"Cam Lợi",""),IF(OR(M1424=phu!$I$63,M1424=phu!$I$64,M1424=phu!$I$65,M1424=phu!$I$66,M1424=phu!$I$67,M1424=phu!$I$68,M1424=phu!$I$69,M1424=phu!$I$70,M1424=phu!$I$71),"Ba Ngòi",""),IF(OR(M1424=phu!$I$72,M1424=phu!$I$73,M1424=phu!$I$74,M1424=phu!$I$75,M1424=phu!$I$76,M1424=phu!$I$77,M1424=phu!$I$78),"Cam Phước Đông",""),IF(OR(M1424=phu!$I$79,M1424=phu!$I$80,M1424=phu!$I$81,M1424=phu!$I$82,M1424=phu!$I$83,M1424=phu!$I$84),"Cam Thịnh Đông",""),IF(OR(M1424=phu!$I$85,M1424=phu!$I$86,M1424=phu!$I$87,M1424=phu!$I$88),"Cam Thịnh Tây",""),IF(OR(M1424=phu!$I$89,M1424=phu!$I$90),"Cam Lập",""),IF(OR(M1424=phu!$I$91,M1424=phu!$I$92,M1424=phu!$I$93),"Cam Bình",""),IF(OR(M1424=phu!$I$94,M1424=phu!$I$95,M1424=phu!$I$96,M1424=phu!$I$97,M1424=phu!$I$98,M1424=phu!$I$99,M1424=phu!$I$100),"Huyện khác",""),IF(OR(M1424=phu!$I$101,M1424=phu!$I$102),"Tỉnh khác",""))</f>
        <v/>
      </c>
      <c r="O1424" s="829" t="str">
        <f t="shared" si="132"/>
        <v/>
      </c>
      <c r="P1424" s="254"/>
      <c r="Q1424" s="254"/>
      <c r="R1424" s="254"/>
      <c r="S1424" s="254"/>
      <c r="T1424" s="254"/>
      <c r="U1424" s="254"/>
      <c r="V1424" s="254"/>
      <c r="W1424" s="254"/>
      <c r="Y1424" s="246" t="str">
        <f t="shared" si="133"/>
        <v/>
      </c>
      <c r="Z1424" s="247" t="str">
        <f t="shared" si="137"/>
        <v/>
      </c>
      <c r="AA1424" s="246" t="str">
        <f t="shared" si="134"/>
        <v/>
      </c>
    </row>
    <row r="1425" spans="1:27" x14ac:dyDescent="0.25">
      <c r="A1425" s="248" t="str">
        <f t="shared" si="135"/>
        <v/>
      </c>
      <c r="B1425" s="249" t="str">
        <f t="shared" si="136"/>
        <v/>
      </c>
      <c r="C1425" s="250"/>
      <c r="D1425" s="251"/>
      <c r="E1425" s="241"/>
      <c r="F1425" s="252"/>
      <c r="G1425" s="252"/>
      <c r="H1425" s="253"/>
      <c r="I1425" s="250"/>
      <c r="J1425" s="250"/>
      <c r="K1425" s="270"/>
      <c r="L1425" s="250"/>
      <c r="M1425" s="250"/>
      <c r="N1425" s="540" t="str">
        <f>CONCATENATE(IF(OR(M1425=phu!$I$1,M1425=phu!$I$2,M1425=phu!$I$3),"Cam Thành Nam",""),IF(OR(M1425=phu!$I$4,M1425=phu!$I$5,M1425=phu!$I$6,M1425=phu!$I$7,M1425=phu!$I$8,M1425=phu!$I$9,M1425=phu!$I$10,M1425=phu!$I$11,M1425=phu!$I$12,M1425=phu!$I$13,M1425=phu!$I$14),"Cam Nghĩa",""),IF(OR(M1425=phu!$I$15,M1425=phu!$I$16,M1425=phu!$I$17,M1425=phu!$I$18,M1425=phu!$I$19,M1425=phu!$I$20,M1425=phu!$I$21),"Cam Phúc Bắc",""),IF(OR(M1425=phu!$I$22,M1425=phu!$I$23,M1425=phu!$I$24,M1425=phu!$I$25),"Cam Phúc Nam",""),IF(OR(M1425=phu!$I$26,M1425=phu!$I$27,M1425=phu!$I$28,M1425=phu!$I$29,M1425=phu!$I$30,M1425=phu!$I$31),"Cam Phú",""),IF(OR(M1425=phu!$I$32,M1425=phu!$I$33,M1425=phu!$I$34,M1425=phu!$I$35,M1425=phu!$I$36,M1425=phu!$I$37),"Cam Lộc",""),IF(OR(M1425=phu!$I$38,M1425=phu!$I$39,M1425=phu!$I$40,M1425=phu!$I$41,M1425=phu!$I$42,M1425=phu!$I$43,M1425=phu!$I$44),"Cam Thuận",""),IF(OR(M1425=phu!$I$45,M1425=phu!$I$46,M1425=phu!$I$47,M1425=phu!$I$48,M1425=phu!$I$49,M1425=phu!$I$50,M1425=phu!$I$51,M1425=phu!$I$52,M1425=phu!$I$53),"Cam Linh",""),IF(OR(M1425=phu!$I$54,M1425=phu!$I$55,M1425=phu!$I$56,M1425=phu!$I$57,M1425=phu!$I$58,M1425=phu!$I$59,M1425=phu!$I$60,M1425=phu!$I$61,M1425=phu!$I$62),"Cam Lợi",""),IF(OR(M1425=phu!$I$63,M1425=phu!$I$64,M1425=phu!$I$65,M1425=phu!$I$66,M1425=phu!$I$67,M1425=phu!$I$68,M1425=phu!$I$69,M1425=phu!$I$70,M1425=phu!$I$71),"Ba Ngòi",""),IF(OR(M1425=phu!$I$72,M1425=phu!$I$73,M1425=phu!$I$74,M1425=phu!$I$75,M1425=phu!$I$76,M1425=phu!$I$77,M1425=phu!$I$78),"Cam Phước Đông",""),IF(OR(M1425=phu!$I$79,M1425=phu!$I$80,M1425=phu!$I$81,M1425=phu!$I$82,M1425=phu!$I$83,M1425=phu!$I$84),"Cam Thịnh Đông",""),IF(OR(M1425=phu!$I$85,M1425=phu!$I$86,M1425=phu!$I$87,M1425=phu!$I$88),"Cam Thịnh Tây",""),IF(OR(M1425=phu!$I$89,M1425=phu!$I$90),"Cam Lập",""),IF(OR(M1425=phu!$I$91,M1425=phu!$I$92,M1425=phu!$I$93),"Cam Bình",""),IF(OR(M1425=phu!$I$94,M1425=phu!$I$95,M1425=phu!$I$96,M1425=phu!$I$97,M1425=phu!$I$98,M1425=phu!$I$99,M1425=phu!$I$100),"Huyện khác",""),IF(OR(M1425=phu!$I$101,M1425=phu!$I$102),"Tỉnh khác",""))</f>
        <v/>
      </c>
      <c r="O1425" s="829" t="str">
        <f t="shared" si="132"/>
        <v/>
      </c>
      <c r="P1425" s="254"/>
      <c r="Q1425" s="254"/>
      <c r="R1425" s="254"/>
      <c r="S1425" s="254"/>
      <c r="T1425" s="254"/>
      <c r="U1425" s="254"/>
      <c r="V1425" s="254"/>
      <c r="W1425" s="254"/>
      <c r="Y1425" s="246" t="str">
        <f t="shared" si="133"/>
        <v/>
      </c>
      <c r="Z1425" s="247" t="str">
        <f t="shared" si="137"/>
        <v/>
      </c>
      <c r="AA1425" s="246" t="str">
        <f t="shared" si="134"/>
        <v/>
      </c>
    </row>
    <row r="1426" spans="1:27" x14ac:dyDescent="0.25">
      <c r="A1426" s="248" t="str">
        <f t="shared" si="135"/>
        <v/>
      </c>
      <c r="B1426" s="249" t="str">
        <f t="shared" si="136"/>
        <v/>
      </c>
      <c r="C1426" s="250"/>
      <c r="D1426" s="251"/>
      <c r="E1426" s="241"/>
      <c r="F1426" s="252"/>
      <c r="G1426" s="252"/>
      <c r="H1426" s="253"/>
      <c r="I1426" s="250"/>
      <c r="J1426" s="250"/>
      <c r="K1426" s="270"/>
      <c r="L1426" s="250"/>
      <c r="M1426" s="250"/>
      <c r="N1426" s="540" t="str">
        <f>CONCATENATE(IF(OR(M1426=phu!$I$1,M1426=phu!$I$2,M1426=phu!$I$3),"Cam Thành Nam",""),IF(OR(M1426=phu!$I$4,M1426=phu!$I$5,M1426=phu!$I$6,M1426=phu!$I$7,M1426=phu!$I$8,M1426=phu!$I$9,M1426=phu!$I$10,M1426=phu!$I$11,M1426=phu!$I$12,M1426=phu!$I$13,M1426=phu!$I$14),"Cam Nghĩa",""),IF(OR(M1426=phu!$I$15,M1426=phu!$I$16,M1426=phu!$I$17,M1426=phu!$I$18,M1426=phu!$I$19,M1426=phu!$I$20,M1426=phu!$I$21),"Cam Phúc Bắc",""),IF(OR(M1426=phu!$I$22,M1426=phu!$I$23,M1426=phu!$I$24,M1426=phu!$I$25),"Cam Phúc Nam",""),IF(OR(M1426=phu!$I$26,M1426=phu!$I$27,M1426=phu!$I$28,M1426=phu!$I$29,M1426=phu!$I$30,M1426=phu!$I$31),"Cam Phú",""),IF(OR(M1426=phu!$I$32,M1426=phu!$I$33,M1426=phu!$I$34,M1426=phu!$I$35,M1426=phu!$I$36,M1426=phu!$I$37),"Cam Lộc",""),IF(OR(M1426=phu!$I$38,M1426=phu!$I$39,M1426=phu!$I$40,M1426=phu!$I$41,M1426=phu!$I$42,M1426=phu!$I$43,M1426=phu!$I$44),"Cam Thuận",""),IF(OR(M1426=phu!$I$45,M1426=phu!$I$46,M1426=phu!$I$47,M1426=phu!$I$48,M1426=phu!$I$49,M1426=phu!$I$50,M1426=phu!$I$51,M1426=phu!$I$52,M1426=phu!$I$53),"Cam Linh",""),IF(OR(M1426=phu!$I$54,M1426=phu!$I$55,M1426=phu!$I$56,M1426=phu!$I$57,M1426=phu!$I$58,M1426=phu!$I$59,M1426=phu!$I$60,M1426=phu!$I$61,M1426=phu!$I$62),"Cam Lợi",""),IF(OR(M1426=phu!$I$63,M1426=phu!$I$64,M1426=phu!$I$65,M1426=phu!$I$66,M1426=phu!$I$67,M1426=phu!$I$68,M1426=phu!$I$69,M1426=phu!$I$70,M1426=phu!$I$71),"Ba Ngòi",""),IF(OR(M1426=phu!$I$72,M1426=phu!$I$73,M1426=phu!$I$74,M1426=phu!$I$75,M1426=phu!$I$76,M1426=phu!$I$77,M1426=phu!$I$78),"Cam Phước Đông",""),IF(OR(M1426=phu!$I$79,M1426=phu!$I$80,M1426=phu!$I$81,M1426=phu!$I$82,M1426=phu!$I$83,M1426=phu!$I$84),"Cam Thịnh Đông",""),IF(OR(M1426=phu!$I$85,M1426=phu!$I$86,M1426=phu!$I$87,M1426=phu!$I$88),"Cam Thịnh Tây",""),IF(OR(M1426=phu!$I$89,M1426=phu!$I$90),"Cam Lập",""),IF(OR(M1426=phu!$I$91,M1426=phu!$I$92,M1426=phu!$I$93),"Cam Bình",""),IF(OR(M1426=phu!$I$94,M1426=phu!$I$95,M1426=phu!$I$96,M1426=phu!$I$97,M1426=phu!$I$98,M1426=phu!$I$99,M1426=phu!$I$100),"Huyện khác",""),IF(OR(M1426=phu!$I$101,M1426=phu!$I$102),"Tỉnh khác",""))</f>
        <v/>
      </c>
      <c r="O1426" s="829" t="str">
        <f t="shared" si="132"/>
        <v/>
      </c>
      <c r="P1426" s="254"/>
      <c r="Q1426" s="254"/>
      <c r="R1426" s="254"/>
      <c r="S1426" s="254"/>
      <c r="T1426" s="254"/>
      <c r="U1426" s="254"/>
      <c r="V1426" s="254"/>
      <c r="W1426" s="254"/>
      <c r="Y1426" s="246" t="str">
        <f t="shared" si="133"/>
        <v/>
      </c>
      <c r="Z1426" s="247" t="str">
        <f t="shared" si="137"/>
        <v/>
      </c>
      <c r="AA1426" s="246" t="str">
        <f t="shared" si="134"/>
        <v/>
      </c>
    </row>
    <row r="1427" spans="1:27" x14ac:dyDescent="0.25">
      <c r="A1427" s="248" t="str">
        <f t="shared" si="135"/>
        <v/>
      </c>
      <c r="B1427" s="249" t="str">
        <f t="shared" si="136"/>
        <v/>
      </c>
      <c r="C1427" s="250"/>
      <c r="D1427" s="251"/>
      <c r="E1427" s="241"/>
      <c r="F1427" s="252"/>
      <c r="G1427" s="252"/>
      <c r="H1427" s="253"/>
      <c r="I1427" s="250"/>
      <c r="J1427" s="250"/>
      <c r="K1427" s="270"/>
      <c r="L1427" s="250"/>
      <c r="M1427" s="250"/>
      <c r="N1427" s="540" t="str">
        <f>CONCATENATE(IF(OR(M1427=phu!$I$1,M1427=phu!$I$2,M1427=phu!$I$3),"Cam Thành Nam",""),IF(OR(M1427=phu!$I$4,M1427=phu!$I$5,M1427=phu!$I$6,M1427=phu!$I$7,M1427=phu!$I$8,M1427=phu!$I$9,M1427=phu!$I$10,M1427=phu!$I$11,M1427=phu!$I$12,M1427=phu!$I$13,M1427=phu!$I$14),"Cam Nghĩa",""),IF(OR(M1427=phu!$I$15,M1427=phu!$I$16,M1427=phu!$I$17,M1427=phu!$I$18,M1427=phu!$I$19,M1427=phu!$I$20,M1427=phu!$I$21),"Cam Phúc Bắc",""),IF(OR(M1427=phu!$I$22,M1427=phu!$I$23,M1427=phu!$I$24,M1427=phu!$I$25),"Cam Phúc Nam",""),IF(OR(M1427=phu!$I$26,M1427=phu!$I$27,M1427=phu!$I$28,M1427=phu!$I$29,M1427=phu!$I$30,M1427=phu!$I$31),"Cam Phú",""),IF(OR(M1427=phu!$I$32,M1427=phu!$I$33,M1427=phu!$I$34,M1427=phu!$I$35,M1427=phu!$I$36,M1427=phu!$I$37),"Cam Lộc",""),IF(OR(M1427=phu!$I$38,M1427=phu!$I$39,M1427=phu!$I$40,M1427=phu!$I$41,M1427=phu!$I$42,M1427=phu!$I$43,M1427=phu!$I$44),"Cam Thuận",""),IF(OR(M1427=phu!$I$45,M1427=phu!$I$46,M1427=phu!$I$47,M1427=phu!$I$48,M1427=phu!$I$49,M1427=phu!$I$50,M1427=phu!$I$51,M1427=phu!$I$52,M1427=phu!$I$53),"Cam Linh",""),IF(OR(M1427=phu!$I$54,M1427=phu!$I$55,M1427=phu!$I$56,M1427=phu!$I$57,M1427=phu!$I$58,M1427=phu!$I$59,M1427=phu!$I$60,M1427=phu!$I$61,M1427=phu!$I$62),"Cam Lợi",""),IF(OR(M1427=phu!$I$63,M1427=phu!$I$64,M1427=phu!$I$65,M1427=phu!$I$66,M1427=phu!$I$67,M1427=phu!$I$68,M1427=phu!$I$69,M1427=phu!$I$70,M1427=phu!$I$71),"Ba Ngòi",""),IF(OR(M1427=phu!$I$72,M1427=phu!$I$73,M1427=phu!$I$74,M1427=phu!$I$75,M1427=phu!$I$76,M1427=phu!$I$77,M1427=phu!$I$78),"Cam Phước Đông",""),IF(OR(M1427=phu!$I$79,M1427=phu!$I$80,M1427=phu!$I$81,M1427=phu!$I$82,M1427=phu!$I$83,M1427=phu!$I$84),"Cam Thịnh Đông",""),IF(OR(M1427=phu!$I$85,M1427=phu!$I$86,M1427=phu!$I$87,M1427=phu!$I$88),"Cam Thịnh Tây",""),IF(OR(M1427=phu!$I$89,M1427=phu!$I$90),"Cam Lập",""),IF(OR(M1427=phu!$I$91,M1427=phu!$I$92,M1427=phu!$I$93),"Cam Bình",""),IF(OR(M1427=phu!$I$94,M1427=phu!$I$95,M1427=phu!$I$96,M1427=phu!$I$97,M1427=phu!$I$98,M1427=phu!$I$99,M1427=phu!$I$100),"Huyện khác",""),IF(OR(M1427=phu!$I$101,M1427=phu!$I$102),"Tỉnh khác",""))</f>
        <v/>
      </c>
      <c r="O1427" s="829" t="str">
        <f t="shared" si="132"/>
        <v/>
      </c>
      <c r="P1427" s="254"/>
      <c r="Q1427" s="254"/>
      <c r="R1427" s="254"/>
      <c r="S1427" s="254"/>
      <c r="T1427" s="254"/>
      <c r="U1427" s="254"/>
      <c r="V1427" s="254"/>
      <c r="W1427" s="254"/>
      <c r="Y1427" s="246" t="str">
        <f t="shared" si="133"/>
        <v/>
      </c>
      <c r="Z1427" s="247" t="str">
        <f t="shared" si="137"/>
        <v/>
      </c>
      <c r="AA1427" s="246" t="str">
        <f t="shared" si="134"/>
        <v/>
      </c>
    </row>
    <row r="1428" spans="1:27" x14ac:dyDescent="0.25">
      <c r="A1428" s="248" t="str">
        <f t="shared" si="135"/>
        <v/>
      </c>
      <c r="B1428" s="249" t="str">
        <f t="shared" si="136"/>
        <v/>
      </c>
      <c r="C1428" s="250"/>
      <c r="D1428" s="251"/>
      <c r="E1428" s="241"/>
      <c r="F1428" s="252"/>
      <c r="G1428" s="252"/>
      <c r="H1428" s="253"/>
      <c r="I1428" s="250"/>
      <c r="J1428" s="250"/>
      <c r="K1428" s="270"/>
      <c r="L1428" s="250"/>
      <c r="M1428" s="250"/>
      <c r="N1428" s="540" t="str">
        <f>CONCATENATE(IF(OR(M1428=phu!$I$1,M1428=phu!$I$2,M1428=phu!$I$3),"Cam Thành Nam",""),IF(OR(M1428=phu!$I$4,M1428=phu!$I$5,M1428=phu!$I$6,M1428=phu!$I$7,M1428=phu!$I$8,M1428=phu!$I$9,M1428=phu!$I$10,M1428=phu!$I$11,M1428=phu!$I$12,M1428=phu!$I$13,M1428=phu!$I$14),"Cam Nghĩa",""),IF(OR(M1428=phu!$I$15,M1428=phu!$I$16,M1428=phu!$I$17,M1428=phu!$I$18,M1428=phu!$I$19,M1428=phu!$I$20,M1428=phu!$I$21),"Cam Phúc Bắc",""),IF(OR(M1428=phu!$I$22,M1428=phu!$I$23,M1428=phu!$I$24,M1428=phu!$I$25),"Cam Phúc Nam",""),IF(OR(M1428=phu!$I$26,M1428=phu!$I$27,M1428=phu!$I$28,M1428=phu!$I$29,M1428=phu!$I$30,M1428=phu!$I$31),"Cam Phú",""),IF(OR(M1428=phu!$I$32,M1428=phu!$I$33,M1428=phu!$I$34,M1428=phu!$I$35,M1428=phu!$I$36,M1428=phu!$I$37),"Cam Lộc",""),IF(OR(M1428=phu!$I$38,M1428=phu!$I$39,M1428=phu!$I$40,M1428=phu!$I$41,M1428=phu!$I$42,M1428=phu!$I$43,M1428=phu!$I$44),"Cam Thuận",""),IF(OR(M1428=phu!$I$45,M1428=phu!$I$46,M1428=phu!$I$47,M1428=phu!$I$48,M1428=phu!$I$49,M1428=phu!$I$50,M1428=phu!$I$51,M1428=phu!$I$52,M1428=phu!$I$53),"Cam Linh",""),IF(OR(M1428=phu!$I$54,M1428=phu!$I$55,M1428=phu!$I$56,M1428=phu!$I$57,M1428=phu!$I$58,M1428=phu!$I$59,M1428=phu!$I$60,M1428=phu!$I$61,M1428=phu!$I$62),"Cam Lợi",""),IF(OR(M1428=phu!$I$63,M1428=phu!$I$64,M1428=phu!$I$65,M1428=phu!$I$66,M1428=phu!$I$67,M1428=phu!$I$68,M1428=phu!$I$69,M1428=phu!$I$70,M1428=phu!$I$71),"Ba Ngòi",""),IF(OR(M1428=phu!$I$72,M1428=phu!$I$73,M1428=phu!$I$74,M1428=phu!$I$75,M1428=phu!$I$76,M1428=phu!$I$77,M1428=phu!$I$78),"Cam Phước Đông",""),IF(OR(M1428=phu!$I$79,M1428=phu!$I$80,M1428=phu!$I$81,M1428=phu!$I$82,M1428=phu!$I$83,M1428=phu!$I$84),"Cam Thịnh Đông",""),IF(OR(M1428=phu!$I$85,M1428=phu!$I$86,M1428=phu!$I$87,M1428=phu!$I$88),"Cam Thịnh Tây",""),IF(OR(M1428=phu!$I$89,M1428=phu!$I$90),"Cam Lập",""),IF(OR(M1428=phu!$I$91,M1428=phu!$I$92,M1428=phu!$I$93),"Cam Bình",""),IF(OR(M1428=phu!$I$94,M1428=phu!$I$95,M1428=phu!$I$96,M1428=phu!$I$97,M1428=phu!$I$98,M1428=phu!$I$99,M1428=phu!$I$100),"Huyện khác",""),IF(OR(M1428=phu!$I$101,M1428=phu!$I$102),"Tỉnh khác",""))</f>
        <v/>
      </c>
      <c r="O1428" s="829" t="str">
        <f t="shared" si="132"/>
        <v/>
      </c>
      <c r="P1428" s="254"/>
      <c r="Q1428" s="254"/>
      <c r="R1428" s="254"/>
      <c r="S1428" s="254"/>
      <c r="T1428" s="254"/>
      <c r="U1428" s="254"/>
      <c r="V1428" s="254"/>
      <c r="W1428" s="254"/>
      <c r="Y1428" s="246" t="str">
        <f t="shared" si="133"/>
        <v/>
      </c>
      <c r="Z1428" s="247" t="str">
        <f t="shared" si="137"/>
        <v/>
      </c>
      <c r="AA1428" s="246" t="str">
        <f t="shared" si="134"/>
        <v/>
      </c>
    </row>
    <row r="1429" spans="1:27" x14ac:dyDescent="0.25">
      <c r="A1429" s="248" t="str">
        <f t="shared" si="135"/>
        <v/>
      </c>
      <c r="B1429" s="249" t="str">
        <f t="shared" si="136"/>
        <v/>
      </c>
      <c r="C1429" s="250"/>
      <c r="D1429" s="251"/>
      <c r="E1429" s="241"/>
      <c r="F1429" s="252"/>
      <c r="G1429" s="252"/>
      <c r="H1429" s="253"/>
      <c r="I1429" s="250"/>
      <c r="J1429" s="250"/>
      <c r="K1429" s="270"/>
      <c r="L1429" s="250"/>
      <c r="M1429" s="250"/>
      <c r="N1429" s="540" t="str">
        <f>CONCATENATE(IF(OR(M1429=phu!$I$1,M1429=phu!$I$2,M1429=phu!$I$3),"Cam Thành Nam",""),IF(OR(M1429=phu!$I$4,M1429=phu!$I$5,M1429=phu!$I$6,M1429=phu!$I$7,M1429=phu!$I$8,M1429=phu!$I$9,M1429=phu!$I$10,M1429=phu!$I$11,M1429=phu!$I$12,M1429=phu!$I$13,M1429=phu!$I$14),"Cam Nghĩa",""),IF(OR(M1429=phu!$I$15,M1429=phu!$I$16,M1429=phu!$I$17,M1429=phu!$I$18,M1429=phu!$I$19,M1429=phu!$I$20,M1429=phu!$I$21),"Cam Phúc Bắc",""),IF(OR(M1429=phu!$I$22,M1429=phu!$I$23,M1429=phu!$I$24,M1429=phu!$I$25),"Cam Phúc Nam",""),IF(OR(M1429=phu!$I$26,M1429=phu!$I$27,M1429=phu!$I$28,M1429=phu!$I$29,M1429=phu!$I$30,M1429=phu!$I$31),"Cam Phú",""),IF(OR(M1429=phu!$I$32,M1429=phu!$I$33,M1429=phu!$I$34,M1429=phu!$I$35,M1429=phu!$I$36,M1429=phu!$I$37),"Cam Lộc",""),IF(OR(M1429=phu!$I$38,M1429=phu!$I$39,M1429=phu!$I$40,M1429=phu!$I$41,M1429=phu!$I$42,M1429=phu!$I$43,M1429=phu!$I$44),"Cam Thuận",""),IF(OR(M1429=phu!$I$45,M1429=phu!$I$46,M1429=phu!$I$47,M1429=phu!$I$48,M1429=phu!$I$49,M1429=phu!$I$50,M1429=phu!$I$51,M1429=phu!$I$52,M1429=phu!$I$53),"Cam Linh",""),IF(OR(M1429=phu!$I$54,M1429=phu!$I$55,M1429=phu!$I$56,M1429=phu!$I$57,M1429=phu!$I$58,M1429=phu!$I$59,M1429=phu!$I$60,M1429=phu!$I$61,M1429=phu!$I$62),"Cam Lợi",""),IF(OR(M1429=phu!$I$63,M1429=phu!$I$64,M1429=phu!$I$65,M1429=phu!$I$66,M1429=phu!$I$67,M1429=phu!$I$68,M1429=phu!$I$69,M1429=phu!$I$70,M1429=phu!$I$71),"Ba Ngòi",""),IF(OR(M1429=phu!$I$72,M1429=phu!$I$73,M1429=phu!$I$74,M1429=phu!$I$75,M1429=phu!$I$76,M1429=phu!$I$77,M1429=phu!$I$78),"Cam Phước Đông",""),IF(OR(M1429=phu!$I$79,M1429=phu!$I$80,M1429=phu!$I$81,M1429=phu!$I$82,M1429=phu!$I$83,M1429=phu!$I$84),"Cam Thịnh Đông",""),IF(OR(M1429=phu!$I$85,M1429=phu!$I$86,M1429=phu!$I$87,M1429=phu!$I$88),"Cam Thịnh Tây",""),IF(OR(M1429=phu!$I$89,M1429=phu!$I$90),"Cam Lập",""),IF(OR(M1429=phu!$I$91,M1429=phu!$I$92,M1429=phu!$I$93),"Cam Bình",""),IF(OR(M1429=phu!$I$94,M1429=phu!$I$95,M1429=phu!$I$96,M1429=phu!$I$97,M1429=phu!$I$98,M1429=phu!$I$99,M1429=phu!$I$100),"Huyện khác",""),IF(OR(M1429=phu!$I$101,M1429=phu!$I$102),"Tỉnh khác",""))</f>
        <v/>
      </c>
      <c r="O1429" s="829" t="str">
        <f t="shared" si="132"/>
        <v/>
      </c>
      <c r="P1429" s="254"/>
      <c r="Q1429" s="254"/>
      <c r="R1429" s="254"/>
      <c r="S1429" s="254"/>
      <c r="T1429" s="254"/>
      <c r="U1429" s="254"/>
      <c r="V1429" s="254"/>
      <c r="W1429" s="254"/>
      <c r="Y1429" s="246" t="str">
        <f t="shared" si="133"/>
        <v/>
      </c>
      <c r="Z1429" s="247" t="str">
        <f t="shared" si="137"/>
        <v/>
      </c>
      <c r="AA1429" s="246" t="str">
        <f t="shared" si="134"/>
        <v/>
      </c>
    </row>
    <row r="1430" spans="1:27" x14ac:dyDescent="0.25">
      <c r="A1430" s="248" t="str">
        <f t="shared" si="135"/>
        <v/>
      </c>
      <c r="B1430" s="249" t="str">
        <f t="shared" si="136"/>
        <v/>
      </c>
      <c r="C1430" s="250"/>
      <c r="D1430" s="251"/>
      <c r="E1430" s="241"/>
      <c r="F1430" s="252"/>
      <c r="G1430" s="252"/>
      <c r="H1430" s="253"/>
      <c r="I1430" s="250"/>
      <c r="J1430" s="250"/>
      <c r="K1430" s="270"/>
      <c r="L1430" s="250"/>
      <c r="M1430" s="250"/>
      <c r="N1430" s="540" t="str">
        <f>CONCATENATE(IF(OR(M1430=phu!$I$1,M1430=phu!$I$2,M1430=phu!$I$3),"Cam Thành Nam",""),IF(OR(M1430=phu!$I$4,M1430=phu!$I$5,M1430=phu!$I$6,M1430=phu!$I$7,M1430=phu!$I$8,M1430=phu!$I$9,M1430=phu!$I$10,M1430=phu!$I$11,M1430=phu!$I$12,M1430=phu!$I$13,M1430=phu!$I$14),"Cam Nghĩa",""),IF(OR(M1430=phu!$I$15,M1430=phu!$I$16,M1430=phu!$I$17,M1430=phu!$I$18,M1430=phu!$I$19,M1430=phu!$I$20,M1430=phu!$I$21),"Cam Phúc Bắc",""),IF(OR(M1430=phu!$I$22,M1430=phu!$I$23,M1430=phu!$I$24,M1430=phu!$I$25),"Cam Phúc Nam",""),IF(OR(M1430=phu!$I$26,M1430=phu!$I$27,M1430=phu!$I$28,M1430=phu!$I$29,M1430=phu!$I$30,M1430=phu!$I$31),"Cam Phú",""),IF(OR(M1430=phu!$I$32,M1430=phu!$I$33,M1430=phu!$I$34,M1430=phu!$I$35,M1430=phu!$I$36,M1430=phu!$I$37),"Cam Lộc",""),IF(OR(M1430=phu!$I$38,M1430=phu!$I$39,M1430=phu!$I$40,M1430=phu!$I$41,M1430=phu!$I$42,M1430=phu!$I$43,M1430=phu!$I$44),"Cam Thuận",""),IF(OR(M1430=phu!$I$45,M1430=phu!$I$46,M1430=phu!$I$47,M1430=phu!$I$48,M1430=phu!$I$49,M1430=phu!$I$50,M1430=phu!$I$51,M1430=phu!$I$52,M1430=phu!$I$53),"Cam Linh",""),IF(OR(M1430=phu!$I$54,M1430=phu!$I$55,M1430=phu!$I$56,M1430=phu!$I$57,M1430=phu!$I$58,M1430=phu!$I$59,M1430=phu!$I$60,M1430=phu!$I$61,M1430=phu!$I$62),"Cam Lợi",""),IF(OR(M1430=phu!$I$63,M1430=phu!$I$64,M1430=phu!$I$65,M1430=phu!$I$66,M1430=phu!$I$67,M1430=phu!$I$68,M1430=phu!$I$69,M1430=phu!$I$70,M1430=phu!$I$71),"Ba Ngòi",""),IF(OR(M1430=phu!$I$72,M1430=phu!$I$73,M1430=phu!$I$74,M1430=phu!$I$75,M1430=phu!$I$76,M1430=phu!$I$77,M1430=phu!$I$78),"Cam Phước Đông",""),IF(OR(M1430=phu!$I$79,M1430=phu!$I$80,M1430=phu!$I$81,M1430=phu!$I$82,M1430=phu!$I$83,M1430=phu!$I$84),"Cam Thịnh Đông",""),IF(OR(M1430=phu!$I$85,M1430=phu!$I$86,M1430=phu!$I$87,M1430=phu!$I$88),"Cam Thịnh Tây",""),IF(OR(M1430=phu!$I$89,M1430=phu!$I$90),"Cam Lập",""),IF(OR(M1430=phu!$I$91,M1430=phu!$I$92,M1430=phu!$I$93),"Cam Bình",""),IF(OR(M1430=phu!$I$94,M1430=phu!$I$95,M1430=phu!$I$96,M1430=phu!$I$97,M1430=phu!$I$98,M1430=phu!$I$99,M1430=phu!$I$100),"Huyện khác",""),IF(OR(M1430=phu!$I$101,M1430=phu!$I$102),"Tỉnh khác",""))</f>
        <v/>
      </c>
      <c r="O1430" s="829" t="str">
        <f t="shared" si="132"/>
        <v/>
      </c>
      <c r="P1430" s="254"/>
      <c r="Q1430" s="254"/>
      <c r="R1430" s="254"/>
      <c r="S1430" s="254"/>
      <c r="T1430" s="254"/>
      <c r="U1430" s="254"/>
      <c r="V1430" s="254"/>
      <c r="W1430" s="254"/>
      <c r="Y1430" s="246" t="str">
        <f t="shared" si="133"/>
        <v/>
      </c>
      <c r="Z1430" s="247" t="str">
        <f t="shared" si="137"/>
        <v/>
      </c>
      <c r="AA1430" s="246" t="str">
        <f t="shared" si="134"/>
        <v/>
      </c>
    </row>
    <row r="1431" spans="1:27" x14ac:dyDescent="0.25">
      <c r="A1431" s="248" t="str">
        <f t="shared" si="135"/>
        <v/>
      </c>
      <c r="B1431" s="249" t="str">
        <f t="shared" si="136"/>
        <v/>
      </c>
      <c r="C1431" s="250"/>
      <c r="D1431" s="251"/>
      <c r="E1431" s="241"/>
      <c r="F1431" s="252"/>
      <c r="G1431" s="252"/>
      <c r="H1431" s="253"/>
      <c r="I1431" s="250"/>
      <c r="J1431" s="250"/>
      <c r="K1431" s="270"/>
      <c r="L1431" s="250"/>
      <c r="M1431" s="250"/>
      <c r="N1431" s="540" t="str">
        <f>CONCATENATE(IF(OR(M1431=phu!$I$1,M1431=phu!$I$2,M1431=phu!$I$3),"Cam Thành Nam",""),IF(OR(M1431=phu!$I$4,M1431=phu!$I$5,M1431=phu!$I$6,M1431=phu!$I$7,M1431=phu!$I$8,M1431=phu!$I$9,M1431=phu!$I$10,M1431=phu!$I$11,M1431=phu!$I$12,M1431=phu!$I$13,M1431=phu!$I$14),"Cam Nghĩa",""),IF(OR(M1431=phu!$I$15,M1431=phu!$I$16,M1431=phu!$I$17,M1431=phu!$I$18,M1431=phu!$I$19,M1431=phu!$I$20,M1431=phu!$I$21),"Cam Phúc Bắc",""),IF(OR(M1431=phu!$I$22,M1431=phu!$I$23,M1431=phu!$I$24,M1431=phu!$I$25),"Cam Phúc Nam",""),IF(OR(M1431=phu!$I$26,M1431=phu!$I$27,M1431=phu!$I$28,M1431=phu!$I$29,M1431=phu!$I$30,M1431=phu!$I$31),"Cam Phú",""),IF(OR(M1431=phu!$I$32,M1431=phu!$I$33,M1431=phu!$I$34,M1431=phu!$I$35,M1431=phu!$I$36,M1431=phu!$I$37),"Cam Lộc",""),IF(OR(M1431=phu!$I$38,M1431=phu!$I$39,M1431=phu!$I$40,M1431=phu!$I$41,M1431=phu!$I$42,M1431=phu!$I$43,M1431=phu!$I$44),"Cam Thuận",""),IF(OR(M1431=phu!$I$45,M1431=phu!$I$46,M1431=phu!$I$47,M1431=phu!$I$48,M1431=phu!$I$49,M1431=phu!$I$50,M1431=phu!$I$51,M1431=phu!$I$52,M1431=phu!$I$53),"Cam Linh",""),IF(OR(M1431=phu!$I$54,M1431=phu!$I$55,M1431=phu!$I$56,M1431=phu!$I$57,M1431=phu!$I$58,M1431=phu!$I$59,M1431=phu!$I$60,M1431=phu!$I$61,M1431=phu!$I$62),"Cam Lợi",""),IF(OR(M1431=phu!$I$63,M1431=phu!$I$64,M1431=phu!$I$65,M1431=phu!$I$66,M1431=phu!$I$67,M1431=phu!$I$68,M1431=phu!$I$69,M1431=phu!$I$70,M1431=phu!$I$71),"Ba Ngòi",""),IF(OR(M1431=phu!$I$72,M1431=phu!$I$73,M1431=phu!$I$74,M1431=phu!$I$75,M1431=phu!$I$76,M1431=phu!$I$77,M1431=phu!$I$78),"Cam Phước Đông",""),IF(OR(M1431=phu!$I$79,M1431=phu!$I$80,M1431=phu!$I$81,M1431=phu!$I$82,M1431=phu!$I$83,M1431=phu!$I$84),"Cam Thịnh Đông",""),IF(OR(M1431=phu!$I$85,M1431=phu!$I$86,M1431=phu!$I$87,M1431=phu!$I$88),"Cam Thịnh Tây",""),IF(OR(M1431=phu!$I$89,M1431=phu!$I$90),"Cam Lập",""),IF(OR(M1431=phu!$I$91,M1431=phu!$I$92,M1431=phu!$I$93),"Cam Bình",""),IF(OR(M1431=phu!$I$94,M1431=phu!$I$95,M1431=phu!$I$96,M1431=phu!$I$97,M1431=phu!$I$98,M1431=phu!$I$99,M1431=phu!$I$100),"Huyện khác",""),IF(OR(M1431=phu!$I$101,M1431=phu!$I$102),"Tỉnh khác",""))</f>
        <v/>
      </c>
      <c r="O1431" s="829" t="str">
        <f t="shared" si="132"/>
        <v/>
      </c>
      <c r="P1431" s="254"/>
      <c r="Q1431" s="254"/>
      <c r="R1431" s="254"/>
      <c r="S1431" s="254"/>
      <c r="T1431" s="254"/>
      <c r="U1431" s="254"/>
      <c r="V1431" s="254"/>
      <c r="W1431" s="254"/>
      <c r="Y1431" s="246" t="str">
        <f t="shared" si="133"/>
        <v/>
      </c>
      <c r="Z1431" s="247" t="str">
        <f t="shared" si="137"/>
        <v/>
      </c>
      <c r="AA1431" s="246" t="str">
        <f t="shared" si="134"/>
        <v/>
      </c>
    </row>
    <row r="1432" spans="1:27" x14ac:dyDescent="0.25">
      <c r="A1432" s="248" t="str">
        <f t="shared" si="135"/>
        <v/>
      </c>
      <c r="B1432" s="249" t="str">
        <f t="shared" si="136"/>
        <v/>
      </c>
      <c r="C1432" s="250"/>
      <c r="D1432" s="251"/>
      <c r="E1432" s="241"/>
      <c r="F1432" s="252"/>
      <c r="G1432" s="252"/>
      <c r="H1432" s="253"/>
      <c r="I1432" s="250"/>
      <c r="J1432" s="250"/>
      <c r="K1432" s="270"/>
      <c r="L1432" s="250"/>
      <c r="M1432" s="250"/>
      <c r="N1432" s="540" t="str">
        <f>CONCATENATE(IF(OR(M1432=phu!$I$1,M1432=phu!$I$2,M1432=phu!$I$3),"Cam Thành Nam",""),IF(OR(M1432=phu!$I$4,M1432=phu!$I$5,M1432=phu!$I$6,M1432=phu!$I$7,M1432=phu!$I$8,M1432=phu!$I$9,M1432=phu!$I$10,M1432=phu!$I$11,M1432=phu!$I$12,M1432=phu!$I$13,M1432=phu!$I$14),"Cam Nghĩa",""),IF(OR(M1432=phu!$I$15,M1432=phu!$I$16,M1432=phu!$I$17,M1432=phu!$I$18,M1432=phu!$I$19,M1432=phu!$I$20,M1432=phu!$I$21),"Cam Phúc Bắc",""),IF(OR(M1432=phu!$I$22,M1432=phu!$I$23,M1432=phu!$I$24,M1432=phu!$I$25),"Cam Phúc Nam",""),IF(OR(M1432=phu!$I$26,M1432=phu!$I$27,M1432=phu!$I$28,M1432=phu!$I$29,M1432=phu!$I$30,M1432=phu!$I$31),"Cam Phú",""),IF(OR(M1432=phu!$I$32,M1432=phu!$I$33,M1432=phu!$I$34,M1432=phu!$I$35,M1432=phu!$I$36,M1432=phu!$I$37),"Cam Lộc",""),IF(OR(M1432=phu!$I$38,M1432=phu!$I$39,M1432=phu!$I$40,M1432=phu!$I$41,M1432=phu!$I$42,M1432=phu!$I$43,M1432=phu!$I$44),"Cam Thuận",""),IF(OR(M1432=phu!$I$45,M1432=phu!$I$46,M1432=phu!$I$47,M1432=phu!$I$48,M1432=phu!$I$49,M1432=phu!$I$50,M1432=phu!$I$51,M1432=phu!$I$52,M1432=phu!$I$53),"Cam Linh",""),IF(OR(M1432=phu!$I$54,M1432=phu!$I$55,M1432=phu!$I$56,M1432=phu!$I$57,M1432=phu!$I$58,M1432=phu!$I$59,M1432=phu!$I$60,M1432=phu!$I$61,M1432=phu!$I$62),"Cam Lợi",""),IF(OR(M1432=phu!$I$63,M1432=phu!$I$64,M1432=phu!$I$65,M1432=phu!$I$66,M1432=phu!$I$67,M1432=phu!$I$68,M1432=phu!$I$69,M1432=phu!$I$70,M1432=phu!$I$71),"Ba Ngòi",""),IF(OR(M1432=phu!$I$72,M1432=phu!$I$73,M1432=phu!$I$74,M1432=phu!$I$75,M1432=phu!$I$76,M1432=phu!$I$77,M1432=phu!$I$78),"Cam Phước Đông",""),IF(OR(M1432=phu!$I$79,M1432=phu!$I$80,M1432=phu!$I$81,M1432=phu!$I$82,M1432=phu!$I$83,M1432=phu!$I$84),"Cam Thịnh Đông",""),IF(OR(M1432=phu!$I$85,M1432=phu!$I$86,M1432=phu!$I$87,M1432=phu!$I$88),"Cam Thịnh Tây",""),IF(OR(M1432=phu!$I$89,M1432=phu!$I$90),"Cam Lập",""),IF(OR(M1432=phu!$I$91,M1432=phu!$I$92,M1432=phu!$I$93),"Cam Bình",""),IF(OR(M1432=phu!$I$94,M1432=phu!$I$95,M1432=phu!$I$96,M1432=phu!$I$97,M1432=phu!$I$98,M1432=phu!$I$99,M1432=phu!$I$100),"Huyện khác",""),IF(OR(M1432=phu!$I$101,M1432=phu!$I$102),"Tỉnh khác",""))</f>
        <v/>
      </c>
      <c r="O1432" s="829" t="str">
        <f t="shared" si="132"/>
        <v/>
      </c>
      <c r="P1432" s="254"/>
      <c r="Q1432" s="254"/>
      <c r="R1432" s="254"/>
      <c r="S1432" s="254"/>
      <c r="T1432" s="254"/>
      <c r="U1432" s="254"/>
      <c r="V1432" s="254"/>
      <c r="W1432" s="254"/>
      <c r="Y1432" s="246" t="str">
        <f t="shared" si="133"/>
        <v/>
      </c>
      <c r="Z1432" s="247" t="str">
        <f t="shared" si="137"/>
        <v/>
      </c>
      <c r="AA1432" s="246" t="str">
        <f t="shared" si="134"/>
        <v/>
      </c>
    </row>
    <row r="1433" spans="1:27" x14ac:dyDescent="0.25">
      <c r="A1433" s="248" t="str">
        <f t="shared" si="135"/>
        <v/>
      </c>
      <c r="B1433" s="249" t="str">
        <f t="shared" si="136"/>
        <v/>
      </c>
      <c r="C1433" s="250"/>
      <c r="D1433" s="251"/>
      <c r="E1433" s="241"/>
      <c r="F1433" s="252"/>
      <c r="G1433" s="252"/>
      <c r="H1433" s="253"/>
      <c r="I1433" s="250"/>
      <c r="J1433" s="250"/>
      <c r="K1433" s="270"/>
      <c r="L1433" s="250"/>
      <c r="M1433" s="250"/>
      <c r="N1433" s="540" t="str">
        <f>CONCATENATE(IF(OR(M1433=phu!$I$1,M1433=phu!$I$2,M1433=phu!$I$3),"Cam Thành Nam",""),IF(OR(M1433=phu!$I$4,M1433=phu!$I$5,M1433=phu!$I$6,M1433=phu!$I$7,M1433=phu!$I$8,M1433=phu!$I$9,M1433=phu!$I$10,M1433=phu!$I$11,M1433=phu!$I$12,M1433=phu!$I$13,M1433=phu!$I$14),"Cam Nghĩa",""),IF(OR(M1433=phu!$I$15,M1433=phu!$I$16,M1433=phu!$I$17,M1433=phu!$I$18,M1433=phu!$I$19,M1433=phu!$I$20,M1433=phu!$I$21),"Cam Phúc Bắc",""),IF(OR(M1433=phu!$I$22,M1433=phu!$I$23,M1433=phu!$I$24,M1433=phu!$I$25),"Cam Phúc Nam",""),IF(OR(M1433=phu!$I$26,M1433=phu!$I$27,M1433=phu!$I$28,M1433=phu!$I$29,M1433=phu!$I$30,M1433=phu!$I$31),"Cam Phú",""),IF(OR(M1433=phu!$I$32,M1433=phu!$I$33,M1433=phu!$I$34,M1433=phu!$I$35,M1433=phu!$I$36,M1433=phu!$I$37),"Cam Lộc",""),IF(OR(M1433=phu!$I$38,M1433=phu!$I$39,M1433=phu!$I$40,M1433=phu!$I$41,M1433=phu!$I$42,M1433=phu!$I$43,M1433=phu!$I$44),"Cam Thuận",""),IF(OR(M1433=phu!$I$45,M1433=phu!$I$46,M1433=phu!$I$47,M1433=phu!$I$48,M1433=phu!$I$49,M1433=phu!$I$50,M1433=phu!$I$51,M1433=phu!$I$52,M1433=phu!$I$53),"Cam Linh",""),IF(OR(M1433=phu!$I$54,M1433=phu!$I$55,M1433=phu!$I$56,M1433=phu!$I$57,M1433=phu!$I$58,M1433=phu!$I$59,M1433=phu!$I$60,M1433=phu!$I$61,M1433=phu!$I$62),"Cam Lợi",""),IF(OR(M1433=phu!$I$63,M1433=phu!$I$64,M1433=phu!$I$65,M1433=phu!$I$66,M1433=phu!$I$67,M1433=phu!$I$68,M1433=phu!$I$69,M1433=phu!$I$70,M1433=phu!$I$71),"Ba Ngòi",""),IF(OR(M1433=phu!$I$72,M1433=phu!$I$73,M1433=phu!$I$74,M1433=phu!$I$75,M1433=phu!$I$76,M1433=phu!$I$77,M1433=phu!$I$78),"Cam Phước Đông",""),IF(OR(M1433=phu!$I$79,M1433=phu!$I$80,M1433=phu!$I$81,M1433=phu!$I$82,M1433=phu!$I$83,M1433=phu!$I$84),"Cam Thịnh Đông",""),IF(OR(M1433=phu!$I$85,M1433=phu!$I$86,M1433=phu!$I$87,M1433=phu!$I$88),"Cam Thịnh Tây",""),IF(OR(M1433=phu!$I$89,M1433=phu!$I$90),"Cam Lập",""),IF(OR(M1433=phu!$I$91,M1433=phu!$I$92,M1433=phu!$I$93),"Cam Bình",""),IF(OR(M1433=phu!$I$94,M1433=phu!$I$95,M1433=phu!$I$96,M1433=phu!$I$97,M1433=phu!$I$98,M1433=phu!$I$99,M1433=phu!$I$100),"Huyện khác",""),IF(OR(M1433=phu!$I$101,M1433=phu!$I$102),"Tỉnh khác",""))</f>
        <v/>
      </c>
      <c r="O1433" s="829" t="str">
        <f t="shared" si="132"/>
        <v/>
      </c>
      <c r="P1433" s="254"/>
      <c r="Q1433" s="254"/>
      <c r="R1433" s="254"/>
      <c r="S1433" s="254"/>
      <c r="T1433" s="254"/>
      <c r="U1433" s="254"/>
      <c r="V1433" s="254"/>
      <c r="W1433" s="254"/>
      <c r="Y1433" s="246" t="str">
        <f t="shared" si="133"/>
        <v/>
      </c>
      <c r="Z1433" s="247" t="str">
        <f t="shared" si="137"/>
        <v/>
      </c>
      <c r="AA1433" s="246" t="str">
        <f t="shared" si="134"/>
        <v/>
      </c>
    </row>
    <row r="1434" spans="1:27" x14ac:dyDescent="0.25">
      <c r="A1434" s="248" t="str">
        <f t="shared" si="135"/>
        <v/>
      </c>
      <c r="B1434" s="249" t="str">
        <f t="shared" si="136"/>
        <v/>
      </c>
      <c r="C1434" s="250"/>
      <c r="D1434" s="251"/>
      <c r="E1434" s="241"/>
      <c r="F1434" s="252"/>
      <c r="G1434" s="252"/>
      <c r="H1434" s="253"/>
      <c r="I1434" s="250"/>
      <c r="J1434" s="250"/>
      <c r="K1434" s="270"/>
      <c r="L1434" s="250"/>
      <c r="M1434" s="250"/>
      <c r="N1434" s="540" t="str">
        <f>CONCATENATE(IF(OR(M1434=phu!$I$1,M1434=phu!$I$2,M1434=phu!$I$3),"Cam Thành Nam",""),IF(OR(M1434=phu!$I$4,M1434=phu!$I$5,M1434=phu!$I$6,M1434=phu!$I$7,M1434=phu!$I$8,M1434=phu!$I$9,M1434=phu!$I$10,M1434=phu!$I$11,M1434=phu!$I$12,M1434=phu!$I$13,M1434=phu!$I$14),"Cam Nghĩa",""),IF(OR(M1434=phu!$I$15,M1434=phu!$I$16,M1434=phu!$I$17,M1434=phu!$I$18,M1434=phu!$I$19,M1434=phu!$I$20,M1434=phu!$I$21),"Cam Phúc Bắc",""),IF(OR(M1434=phu!$I$22,M1434=phu!$I$23,M1434=phu!$I$24,M1434=phu!$I$25),"Cam Phúc Nam",""),IF(OR(M1434=phu!$I$26,M1434=phu!$I$27,M1434=phu!$I$28,M1434=phu!$I$29,M1434=phu!$I$30,M1434=phu!$I$31),"Cam Phú",""),IF(OR(M1434=phu!$I$32,M1434=phu!$I$33,M1434=phu!$I$34,M1434=phu!$I$35,M1434=phu!$I$36,M1434=phu!$I$37),"Cam Lộc",""),IF(OR(M1434=phu!$I$38,M1434=phu!$I$39,M1434=phu!$I$40,M1434=phu!$I$41,M1434=phu!$I$42,M1434=phu!$I$43,M1434=phu!$I$44),"Cam Thuận",""),IF(OR(M1434=phu!$I$45,M1434=phu!$I$46,M1434=phu!$I$47,M1434=phu!$I$48,M1434=phu!$I$49,M1434=phu!$I$50,M1434=phu!$I$51,M1434=phu!$I$52,M1434=phu!$I$53),"Cam Linh",""),IF(OR(M1434=phu!$I$54,M1434=phu!$I$55,M1434=phu!$I$56,M1434=phu!$I$57,M1434=phu!$I$58,M1434=phu!$I$59,M1434=phu!$I$60,M1434=phu!$I$61,M1434=phu!$I$62),"Cam Lợi",""),IF(OR(M1434=phu!$I$63,M1434=phu!$I$64,M1434=phu!$I$65,M1434=phu!$I$66,M1434=phu!$I$67,M1434=phu!$I$68,M1434=phu!$I$69,M1434=phu!$I$70,M1434=phu!$I$71),"Ba Ngòi",""),IF(OR(M1434=phu!$I$72,M1434=phu!$I$73,M1434=phu!$I$74,M1434=phu!$I$75,M1434=phu!$I$76,M1434=phu!$I$77,M1434=phu!$I$78),"Cam Phước Đông",""),IF(OR(M1434=phu!$I$79,M1434=phu!$I$80,M1434=phu!$I$81,M1434=phu!$I$82,M1434=phu!$I$83,M1434=phu!$I$84),"Cam Thịnh Đông",""),IF(OR(M1434=phu!$I$85,M1434=phu!$I$86,M1434=phu!$I$87,M1434=phu!$I$88),"Cam Thịnh Tây",""),IF(OR(M1434=phu!$I$89,M1434=phu!$I$90),"Cam Lập",""),IF(OR(M1434=phu!$I$91,M1434=phu!$I$92,M1434=phu!$I$93),"Cam Bình",""),IF(OR(M1434=phu!$I$94,M1434=phu!$I$95,M1434=phu!$I$96,M1434=phu!$I$97,M1434=phu!$I$98,M1434=phu!$I$99,M1434=phu!$I$100),"Huyện khác",""),IF(OR(M1434=phu!$I$101,M1434=phu!$I$102),"Tỉnh khác",""))</f>
        <v/>
      </c>
      <c r="O1434" s="829" t="str">
        <f t="shared" si="132"/>
        <v/>
      </c>
      <c r="P1434" s="254"/>
      <c r="Q1434" s="254"/>
      <c r="R1434" s="254"/>
      <c r="S1434" s="254"/>
      <c r="T1434" s="254"/>
      <c r="U1434" s="254"/>
      <c r="V1434" s="254"/>
      <c r="W1434" s="254"/>
      <c r="Y1434" s="246" t="str">
        <f t="shared" si="133"/>
        <v/>
      </c>
      <c r="Z1434" s="247" t="str">
        <f t="shared" si="137"/>
        <v/>
      </c>
      <c r="AA1434" s="246" t="str">
        <f t="shared" si="134"/>
        <v/>
      </c>
    </row>
    <row r="1435" spans="1:27" x14ac:dyDescent="0.25">
      <c r="A1435" s="248" t="str">
        <f t="shared" si="135"/>
        <v/>
      </c>
      <c r="B1435" s="249" t="str">
        <f t="shared" si="136"/>
        <v/>
      </c>
      <c r="C1435" s="250"/>
      <c r="D1435" s="251"/>
      <c r="E1435" s="241"/>
      <c r="F1435" s="252"/>
      <c r="G1435" s="252"/>
      <c r="H1435" s="253"/>
      <c r="I1435" s="250"/>
      <c r="J1435" s="250"/>
      <c r="K1435" s="270"/>
      <c r="L1435" s="250"/>
      <c r="M1435" s="250"/>
      <c r="N1435" s="540" t="str">
        <f>CONCATENATE(IF(OR(M1435=phu!$I$1,M1435=phu!$I$2,M1435=phu!$I$3),"Cam Thành Nam",""),IF(OR(M1435=phu!$I$4,M1435=phu!$I$5,M1435=phu!$I$6,M1435=phu!$I$7,M1435=phu!$I$8,M1435=phu!$I$9,M1435=phu!$I$10,M1435=phu!$I$11,M1435=phu!$I$12,M1435=phu!$I$13,M1435=phu!$I$14),"Cam Nghĩa",""),IF(OR(M1435=phu!$I$15,M1435=phu!$I$16,M1435=phu!$I$17,M1435=phu!$I$18,M1435=phu!$I$19,M1435=phu!$I$20,M1435=phu!$I$21),"Cam Phúc Bắc",""),IF(OR(M1435=phu!$I$22,M1435=phu!$I$23,M1435=phu!$I$24,M1435=phu!$I$25),"Cam Phúc Nam",""),IF(OR(M1435=phu!$I$26,M1435=phu!$I$27,M1435=phu!$I$28,M1435=phu!$I$29,M1435=phu!$I$30,M1435=phu!$I$31),"Cam Phú",""),IF(OR(M1435=phu!$I$32,M1435=phu!$I$33,M1435=phu!$I$34,M1435=phu!$I$35,M1435=phu!$I$36,M1435=phu!$I$37),"Cam Lộc",""),IF(OR(M1435=phu!$I$38,M1435=phu!$I$39,M1435=phu!$I$40,M1435=phu!$I$41,M1435=phu!$I$42,M1435=phu!$I$43,M1435=phu!$I$44),"Cam Thuận",""),IF(OR(M1435=phu!$I$45,M1435=phu!$I$46,M1435=phu!$I$47,M1435=phu!$I$48,M1435=phu!$I$49,M1435=phu!$I$50,M1435=phu!$I$51,M1435=phu!$I$52,M1435=phu!$I$53),"Cam Linh",""),IF(OR(M1435=phu!$I$54,M1435=phu!$I$55,M1435=phu!$I$56,M1435=phu!$I$57,M1435=phu!$I$58,M1435=phu!$I$59,M1435=phu!$I$60,M1435=phu!$I$61,M1435=phu!$I$62),"Cam Lợi",""),IF(OR(M1435=phu!$I$63,M1435=phu!$I$64,M1435=phu!$I$65,M1435=phu!$I$66,M1435=phu!$I$67,M1435=phu!$I$68,M1435=phu!$I$69,M1435=phu!$I$70,M1435=phu!$I$71),"Ba Ngòi",""),IF(OR(M1435=phu!$I$72,M1435=phu!$I$73,M1435=phu!$I$74,M1435=phu!$I$75,M1435=phu!$I$76,M1435=phu!$I$77,M1435=phu!$I$78),"Cam Phước Đông",""),IF(OR(M1435=phu!$I$79,M1435=phu!$I$80,M1435=phu!$I$81,M1435=phu!$I$82,M1435=phu!$I$83,M1435=phu!$I$84),"Cam Thịnh Đông",""),IF(OR(M1435=phu!$I$85,M1435=phu!$I$86,M1435=phu!$I$87,M1435=phu!$I$88),"Cam Thịnh Tây",""),IF(OR(M1435=phu!$I$89,M1435=phu!$I$90),"Cam Lập",""),IF(OR(M1435=phu!$I$91,M1435=phu!$I$92,M1435=phu!$I$93),"Cam Bình",""),IF(OR(M1435=phu!$I$94,M1435=phu!$I$95,M1435=phu!$I$96,M1435=phu!$I$97,M1435=phu!$I$98,M1435=phu!$I$99,M1435=phu!$I$100),"Huyện khác",""),IF(OR(M1435=phu!$I$101,M1435=phu!$I$102),"Tỉnh khác",""))</f>
        <v/>
      </c>
      <c r="O1435" s="829" t="str">
        <f t="shared" si="132"/>
        <v/>
      </c>
      <c r="P1435" s="254"/>
      <c r="Q1435" s="254"/>
      <c r="R1435" s="254"/>
      <c r="S1435" s="254"/>
      <c r="T1435" s="254"/>
      <c r="U1435" s="254"/>
      <c r="V1435" s="254"/>
      <c r="W1435" s="254"/>
      <c r="Y1435" s="246" t="str">
        <f t="shared" si="133"/>
        <v/>
      </c>
      <c r="Z1435" s="247" t="str">
        <f t="shared" si="137"/>
        <v/>
      </c>
      <c r="AA1435" s="246" t="str">
        <f t="shared" si="134"/>
        <v/>
      </c>
    </row>
    <row r="1436" spans="1:27" x14ac:dyDescent="0.25">
      <c r="A1436" s="248" t="str">
        <f t="shared" si="135"/>
        <v/>
      </c>
      <c r="B1436" s="249" t="str">
        <f t="shared" si="136"/>
        <v/>
      </c>
      <c r="C1436" s="250"/>
      <c r="D1436" s="251"/>
      <c r="E1436" s="241"/>
      <c r="F1436" s="252"/>
      <c r="G1436" s="252"/>
      <c r="H1436" s="253"/>
      <c r="I1436" s="250"/>
      <c r="J1436" s="250"/>
      <c r="K1436" s="270"/>
      <c r="L1436" s="250"/>
      <c r="M1436" s="250"/>
      <c r="N1436" s="540" t="str">
        <f>CONCATENATE(IF(OR(M1436=phu!$I$1,M1436=phu!$I$2,M1436=phu!$I$3),"Cam Thành Nam",""),IF(OR(M1436=phu!$I$4,M1436=phu!$I$5,M1436=phu!$I$6,M1436=phu!$I$7,M1436=phu!$I$8,M1436=phu!$I$9,M1436=phu!$I$10,M1436=phu!$I$11,M1436=phu!$I$12,M1436=phu!$I$13,M1436=phu!$I$14),"Cam Nghĩa",""),IF(OR(M1436=phu!$I$15,M1436=phu!$I$16,M1436=phu!$I$17,M1436=phu!$I$18,M1436=phu!$I$19,M1436=phu!$I$20,M1436=phu!$I$21),"Cam Phúc Bắc",""),IF(OR(M1436=phu!$I$22,M1436=phu!$I$23,M1436=phu!$I$24,M1436=phu!$I$25),"Cam Phúc Nam",""),IF(OR(M1436=phu!$I$26,M1436=phu!$I$27,M1436=phu!$I$28,M1436=phu!$I$29,M1436=phu!$I$30,M1436=phu!$I$31),"Cam Phú",""),IF(OR(M1436=phu!$I$32,M1436=phu!$I$33,M1436=phu!$I$34,M1436=phu!$I$35,M1436=phu!$I$36,M1436=phu!$I$37),"Cam Lộc",""),IF(OR(M1436=phu!$I$38,M1436=phu!$I$39,M1436=phu!$I$40,M1436=phu!$I$41,M1436=phu!$I$42,M1436=phu!$I$43,M1436=phu!$I$44),"Cam Thuận",""),IF(OR(M1436=phu!$I$45,M1436=phu!$I$46,M1436=phu!$I$47,M1436=phu!$I$48,M1436=phu!$I$49,M1436=phu!$I$50,M1436=phu!$I$51,M1436=phu!$I$52,M1436=phu!$I$53),"Cam Linh",""),IF(OR(M1436=phu!$I$54,M1436=phu!$I$55,M1436=phu!$I$56,M1436=phu!$I$57,M1436=phu!$I$58,M1436=phu!$I$59,M1436=phu!$I$60,M1436=phu!$I$61,M1436=phu!$I$62),"Cam Lợi",""),IF(OR(M1436=phu!$I$63,M1436=phu!$I$64,M1436=phu!$I$65,M1436=phu!$I$66,M1436=phu!$I$67,M1436=phu!$I$68,M1436=phu!$I$69,M1436=phu!$I$70,M1436=phu!$I$71),"Ba Ngòi",""),IF(OR(M1436=phu!$I$72,M1436=phu!$I$73,M1436=phu!$I$74,M1436=phu!$I$75,M1436=phu!$I$76,M1436=phu!$I$77,M1436=phu!$I$78),"Cam Phước Đông",""),IF(OR(M1436=phu!$I$79,M1436=phu!$I$80,M1436=phu!$I$81,M1436=phu!$I$82,M1436=phu!$I$83,M1436=phu!$I$84),"Cam Thịnh Đông",""),IF(OR(M1436=phu!$I$85,M1436=phu!$I$86,M1436=phu!$I$87,M1436=phu!$I$88),"Cam Thịnh Tây",""),IF(OR(M1436=phu!$I$89,M1436=phu!$I$90),"Cam Lập",""),IF(OR(M1436=phu!$I$91,M1436=phu!$I$92,M1436=phu!$I$93),"Cam Bình",""),IF(OR(M1436=phu!$I$94,M1436=phu!$I$95,M1436=phu!$I$96,M1436=phu!$I$97,M1436=phu!$I$98,M1436=phu!$I$99,M1436=phu!$I$100),"Huyện khác",""),IF(OR(M1436=phu!$I$101,M1436=phu!$I$102),"Tỉnh khác",""))</f>
        <v/>
      </c>
      <c r="O1436" s="829" t="str">
        <f t="shared" si="132"/>
        <v/>
      </c>
      <c r="P1436" s="254"/>
      <c r="Q1436" s="254"/>
      <c r="R1436" s="254"/>
      <c r="S1436" s="254"/>
      <c r="T1436" s="254"/>
      <c r="U1436" s="254"/>
      <c r="V1436" s="254"/>
      <c r="W1436" s="254"/>
      <c r="Y1436" s="246" t="str">
        <f t="shared" si="133"/>
        <v/>
      </c>
      <c r="Z1436" s="247" t="str">
        <f t="shared" si="137"/>
        <v/>
      </c>
      <c r="AA1436" s="246" t="str">
        <f t="shared" si="134"/>
        <v/>
      </c>
    </row>
    <row r="1437" spans="1:27" x14ac:dyDescent="0.25">
      <c r="A1437" s="248" t="str">
        <f t="shared" si="135"/>
        <v/>
      </c>
      <c r="B1437" s="249" t="str">
        <f t="shared" si="136"/>
        <v/>
      </c>
      <c r="C1437" s="250"/>
      <c r="D1437" s="251"/>
      <c r="E1437" s="241"/>
      <c r="F1437" s="252"/>
      <c r="G1437" s="252"/>
      <c r="H1437" s="253"/>
      <c r="I1437" s="250"/>
      <c r="J1437" s="250"/>
      <c r="K1437" s="270"/>
      <c r="L1437" s="250"/>
      <c r="M1437" s="250"/>
      <c r="N1437" s="540" t="str">
        <f>CONCATENATE(IF(OR(M1437=phu!$I$1,M1437=phu!$I$2,M1437=phu!$I$3),"Cam Thành Nam",""),IF(OR(M1437=phu!$I$4,M1437=phu!$I$5,M1437=phu!$I$6,M1437=phu!$I$7,M1437=phu!$I$8,M1437=phu!$I$9,M1437=phu!$I$10,M1437=phu!$I$11,M1437=phu!$I$12,M1437=phu!$I$13,M1437=phu!$I$14),"Cam Nghĩa",""),IF(OR(M1437=phu!$I$15,M1437=phu!$I$16,M1437=phu!$I$17,M1437=phu!$I$18,M1437=phu!$I$19,M1437=phu!$I$20,M1437=phu!$I$21),"Cam Phúc Bắc",""),IF(OR(M1437=phu!$I$22,M1437=phu!$I$23,M1437=phu!$I$24,M1437=phu!$I$25),"Cam Phúc Nam",""),IF(OR(M1437=phu!$I$26,M1437=phu!$I$27,M1437=phu!$I$28,M1437=phu!$I$29,M1437=phu!$I$30,M1437=phu!$I$31),"Cam Phú",""),IF(OR(M1437=phu!$I$32,M1437=phu!$I$33,M1437=phu!$I$34,M1437=phu!$I$35,M1437=phu!$I$36,M1437=phu!$I$37),"Cam Lộc",""),IF(OR(M1437=phu!$I$38,M1437=phu!$I$39,M1437=phu!$I$40,M1437=phu!$I$41,M1437=phu!$I$42,M1437=phu!$I$43,M1437=phu!$I$44),"Cam Thuận",""),IF(OR(M1437=phu!$I$45,M1437=phu!$I$46,M1437=phu!$I$47,M1437=phu!$I$48,M1437=phu!$I$49,M1437=phu!$I$50,M1437=phu!$I$51,M1437=phu!$I$52,M1437=phu!$I$53),"Cam Linh",""),IF(OR(M1437=phu!$I$54,M1437=phu!$I$55,M1437=phu!$I$56,M1437=phu!$I$57,M1437=phu!$I$58,M1437=phu!$I$59,M1437=phu!$I$60,M1437=phu!$I$61,M1437=phu!$I$62),"Cam Lợi",""),IF(OR(M1437=phu!$I$63,M1437=phu!$I$64,M1437=phu!$I$65,M1437=phu!$I$66,M1437=phu!$I$67,M1437=phu!$I$68,M1437=phu!$I$69,M1437=phu!$I$70,M1437=phu!$I$71),"Ba Ngòi",""),IF(OR(M1437=phu!$I$72,M1437=phu!$I$73,M1437=phu!$I$74,M1437=phu!$I$75,M1437=phu!$I$76,M1437=phu!$I$77,M1437=phu!$I$78),"Cam Phước Đông",""),IF(OR(M1437=phu!$I$79,M1437=phu!$I$80,M1437=phu!$I$81,M1437=phu!$I$82,M1437=phu!$I$83,M1437=phu!$I$84),"Cam Thịnh Đông",""),IF(OR(M1437=phu!$I$85,M1437=phu!$I$86,M1437=phu!$I$87,M1437=phu!$I$88),"Cam Thịnh Tây",""),IF(OR(M1437=phu!$I$89,M1437=phu!$I$90),"Cam Lập",""),IF(OR(M1437=phu!$I$91,M1437=phu!$I$92,M1437=phu!$I$93),"Cam Bình",""),IF(OR(M1437=phu!$I$94,M1437=phu!$I$95,M1437=phu!$I$96,M1437=phu!$I$97,M1437=phu!$I$98,M1437=phu!$I$99,M1437=phu!$I$100),"Huyện khác",""),IF(OR(M1437=phu!$I$101,M1437=phu!$I$102),"Tỉnh khác",""))</f>
        <v/>
      </c>
      <c r="O1437" s="829" t="str">
        <f t="shared" si="132"/>
        <v/>
      </c>
      <c r="P1437" s="254"/>
      <c r="Q1437" s="254"/>
      <c r="R1437" s="254"/>
      <c r="S1437" s="254"/>
      <c r="T1437" s="254"/>
      <c r="U1437" s="254"/>
      <c r="V1437" s="254"/>
      <c r="W1437" s="254"/>
      <c r="Y1437" s="246" t="str">
        <f t="shared" si="133"/>
        <v/>
      </c>
      <c r="Z1437" s="247" t="str">
        <f t="shared" si="137"/>
        <v/>
      </c>
      <c r="AA1437" s="246" t="str">
        <f t="shared" si="134"/>
        <v/>
      </c>
    </row>
    <row r="1438" spans="1:27" x14ac:dyDescent="0.25">
      <c r="A1438" s="248" t="str">
        <f t="shared" si="135"/>
        <v/>
      </c>
      <c r="B1438" s="249" t="str">
        <f t="shared" si="136"/>
        <v/>
      </c>
      <c r="C1438" s="250"/>
      <c r="D1438" s="251"/>
      <c r="E1438" s="241"/>
      <c r="F1438" s="252"/>
      <c r="G1438" s="252"/>
      <c r="H1438" s="253"/>
      <c r="I1438" s="250"/>
      <c r="J1438" s="250"/>
      <c r="K1438" s="270"/>
      <c r="L1438" s="250"/>
      <c r="M1438" s="250"/>
      <c r="N1438" s="540" t="str">
        <f>CONCATENATE(IF(OR(M1438=phu!$I$1,M1438=phu!$I$2,M1438=phu!$I$3),"Cam Thành Nam",""),IF(OR(M1438=phu!$I$4,M1438=phu!$I$5,M1438=phu!$I$6,M1438=phu!$I$7,M1438=phu!$I$8,M1438=phu!$I$9,M1438=phu!$I$10,M1438=phu!$I$11,M1438=phu!$I$12,M1438=phu!$I$13,M1438=phu!$I$14),"Cam Nghĩa",""),IF(OR(M1438=phu!$I$15,M1438=phu!$I$16,M1438=phu!$I$17,M1438=phu!$I$18,M1438=phu!$I$19,M1438=phu!$I$20,M1438=phu!$I$21),"Cam Phúc Bắc",""),IF(OR(M1438=phu!$I$22,M1438=phu!$I$23,M1438=phu!$I$24,M1438=phu!$I$25),"Cam Phúc Nam",""),IF(OR(M1438=phu!$I$26,M1438=phu!$I$27,M1438=phu!$I$28,M1438=phu!$I$29,M1438=phu!$I$30,M1438=phu!$I$31),"Cam Phú",""),IF(OR(M1438=phu!$I$32,M1438=phu!$I$33,M1438=phu!$I$34,M1438=phu!$I$35,M1438=phu!$I$36,M1438=phu!$I$37),"Cam Lộc",""),IF(OR(M1438=phu!$I$38,M1438=phu!$I$39,M1438=phu!$I$40,M1438=phu!$I$41,M1438=phu!$I$42,M1438=phu!$I$43,M1438=phu!$I$44),"Cam Thuận",""),IF(OR(M1438=phu!$I$45,M1438=phu!$I$46,M1438=phu!$I$47,M1438=phu!$I$48,M1438=phu!$I$49,M1438=phu!$I$50,M1438=phu!$I$51,M1438=phu!$I$52,M1438=phu!$I$53),"Cam Linh",""),IF(OR(M1438=phu!$I$54,M1438=phu!$I$55,M1438=phu!$I$56,M1438=phu!$I$57,M1438=phu!$I$58,M1438=phu!$I$59,M1438=phu!$I$60,M1438=phu!$I$61,M1438=phu!$I$62),"Cam Lợi",""),IF(OR(M1438=phu!$I$63,M1438=phu!$I$64,M1438=phu!$I$65,M1438=phu!$I$66,M1438=phu!$I$67,M1438=phu!$I$68,M1438=phu!$I$69,M1438=phu!$I$70,M1438=phu!$I$71),"Ba Ngòi",""),IF(OR(M1438=phu!$I$72,M1438=phu!$I$73,M1438=phu!$I$74,M1438=phu!$I$75,M1438=phu!$I$76,M1438=phu!$I$77,M1438=phu!$I$78),"Cam Phước Đông",""),IF(OR(M1438=phu!$I$79,M1438=phu!$I$80,M1438=phu!$I$81,M1438=phu!$I$82,M1438=phu!$I$83,M1438=phu!$I$84),"Cam Thịnh Đông",""),IF(OR(M1438=phu!$I$85,M1438=phu!$I$86,M1438=phu!$I$87,M1438=phu!$I$88),"Cam Thịnh Tây",""),IF(OR(M1438=phu!$I$89,M1438=phu!$I$90),"Cam Lập",""),IF(OR(M1438=phu!$I$91,M1438=phu!$I$92,M1438=phu!$I$93),"Cam Bình",""),IF(OR(M1438=phu!$I$94,M1438=phu!$I$95,M1438=phu!$I$96,M1438=phu!$I$97,M1438=phu!$I$98,M1438=phu!$I$99,M1438=phu!$I$100),"Huyện khác",""),IF(OR(M1438=phu!$I$101,M1438=phu!$I$102),"Tỉnh khác",""))</f>
        <v/>
      </c>
      <c r="O1438" s="829" t="str">
        <f t="shared" si="132"/>
        <v/>
      </c>
      <c r="P1438" s="254"/>
      <c r="Q1438" s="254"/>
      <c r="R1438" s="254"/>
      <c r="S1438" s="254"/>
      <c r="T1438" s="254"/>
      <c r="U1438" s="254"/>
      <c r="V1438" s="254"/>
      <c r="W1438" s="254"/>
      <c r="Y1438" s="246" t="str">
        <f t="shared" si="133"/>
        <v/>
      </c>
      <c r="Z1438" s="247" t="str">
        <f t="shared" si="137"/>
        <v/>
      </c>
      <c r="AA1438" s="246" t="str">
        <f t="shared" si="134"/>
        <v/>
      </c>
    </row>
    <row r="1439" spans="1:27" x14ac:dyDescent="0.25">
      <c r="A1439" s="248" t="str">
        <f t="shared" si="135"/>
        <v/>
      </c>
      <c r="B1439" s="249" t="str">
        <f t="shared" si="136"/>
        <v/>
      </c>
      <c r="C1439" s="250"/>
      <c r="D1439" s="251"/>
      <c r="E1439" s="241"/>
      <c r="F1439" s="252"/>
      <c r="G1439" s="252"/>
      <c r="H1439" s="253"/>
      <c r="I1439" s="250"/>
      <c r="J1439" s="250"/>
      <c r="K1439" s="270"/>
      <c r="L1439" s="250"/>
      <c r="M1439" s="250"/>
      <c r="N1439" s="540" t="str">
        <f>CONCATENATE(IF(OR(M1439=phu!$I$1,M1439=phu!$I$2,M1439=phu!$I$3),"Cam Thành Nam",""),IF(OR(M1439=phu!$I$4,M1439=phu!$I$5,M1439=phu!$I$6,M1439=phu!$I$7,M1439=phu!$I$8,M1439=phu!$I$9,M1439=phu!$I$10,M1439=phu!$I$11,M1439=phu!$I$12,M1439=phu!$I$13,M1439=phu!$I$14),"Cam Nghĩa",""),IF(OR(M1439=phu!$I$15,M1439=phu!$I$16,M1439=phu!$I$17,M1439=phu!$I$18,M1439=phu!$I$19,M1439=phu!$I$20,M1439=phu!$I$21),"Cam Phúc Bắc",""),IF(OR(M1439=phu!$I$22,M1439=phu!$I$23,M1439=phu!$I$24,M1439=phu!$I$25),"Cam Phúc Nam",""),IF(OR(M1439=phu!$I$26,M1439=phu!$I$27,M1439=phu!$I$28,M1439=phu!$I$29,M1439=phu!$I$30,M1439=phu!$I$31),"Cam Phú",""),IF(OR(M1439=phu!$I$32,M1439=phu!$I$33,M1439=phu!$I$34,M1439=phu!$I$35,M1439=phu!$I$36,M1439=phu!$I$37),"Cam Lộc",""),IF(OR(M1439=phu!$I$38,M1439=phu!$I$39,M1439=phu!$I$40,M1439=phu!$I$41,M1439=phu!$I$42,M1439=phu!$I$43,M1439=phu!$I$44),"Cam Thuận",""),IF(OR(M1439=phu!$I$45,M1439=phu!$I$46,M1439=phu!$I$47,M1439=phu!$I$48,M1439=phu!$I$49,M1439=phu!$I$50,M1439=phu!$I$51,M1439=phu!$I$52,M1439=phu!$I$53),"Cam Linh",""),IF(OR(M1439=phu!$I$54,M1439=phu!$I$55,M1439=phu!$I$56,M1439=phu!$I$57,M1439=phu!$I$58,M1439=phu!$I$59,M1439=phu!$I$60,M1439=phu!$I$61,M1439=phu!$I$62),"Cam Lợi",""),IF(OR(M1439=phu!$I$63,M1439=phu!$I$64,M1439=phu!$I$65,M1439=phu!$I$66,M1439=phu!$I$67,M1439=phu!$I$68,M1439=phu!$I$69,M1439=phu!$I$70,M1439=phu!$I$71),"Ba Ngòi",""),IF(OR(M1439=phu!$I$72,M1439=phu!$I$73,M1439=phu!$I$74,M1439=phu!$I$75,M1439=phu!$I$76,M1439=phu!$I$77,M1439=phu!$I$78),"Cam Phước Đông",""),IF(OR(M1439=phu!$I$79,M1439=phu!$I$80,M1439=phu!$I$81,M1439=phu!$I$82,M1439=phu!$I$83,M1439=phu!$I$84),"Cam Thịnh Đông",""),IF(OR(M1439=phu!$I$85,M1439=phu!$I$86,M1439=phu!$I$87,M1439=phu!$I$88),"Cam Thịnh Tây",""),IF(OR(M1439=phu!$I$89,M1439=phu!$I$90),"Cam Lập",""),IF(OR(M1439=phu!$I$91,M1439=phu!$I$92,M1439=phu!$I$93),"Cam Bình",""),IF(OR(M1439=phu!$I$94,M1439=phu!$I$95,M1439=phu!$I$96,M1439=phu!$I$97,M1439=phu!$I$98,M1439=phu!$I$99,M1439=phu!$I$100),"Huyện khác",""),IF(OR(M1439=phu!$I$101,M1439=phu!$I$102),"Tỉnh khác",""))</f>
        <v/>
      </c>
      <c r="O1439" s="829" t="str">
        <f t="shared" si="132"/>
        <v/>
      </c>
      <c r="P1439" s="254"/>
      <c r="Q1439" s="254"/>
      <c r="R1439" s="254"/>
      <c r="S1439" s="254"/>
      <c r="T1439" s="254"/>
      <c r="U1439" s="254"/>
      <c r="V1439" s="254"/>
      <c r="W1439" s="254"/>
      <c r="Y1439" s="246" t="str">
        <f t="shared" si="133"/>
        <v/>
      </c>
      <c r="Z1439" s="247" t="str">
        <f t="shared" si="137"/>
        <v/>
      </c>
      <c r="AA1439" s="246" t="str">
        <f t="shared" si="134"/>
        <v/>
      </c>
    </row>
    <row r="1440" spans="1:27" x14ac:dyDescent="0.25">
      <c r="A1440" s="248" t="str">
        <f t="shared" si="135"/>
        <v/>
      </c>
      <c r="B1440" s="249" t="str">
        <f t="shared" si="136"/>
        <v/>
      </c>
      <c r="C1440" s="250"/>
      <c r="D1440" s="251"/>
      <c r="E1440" s="241"/>
      <c r="F1440" s="252"/>
      <c r="G1440" s="252"/>
      <c r="H1440" s="253"/>
      <c r="I1440" s="250"/>
      <c r="J1440" s="250"/>
      <c r="K1440" s="270"/>
      <c r="L1440" s="250"/>
      <c r="M1440" s="250"/>
      <c r="N1440" s="540" t="str">
        <f>CONCATENATE(IF(OR(M1440=phu!$I$1,M1440=phu!$I$2,M1440=phu!$I$3),"Cam Thành Nam",""),IF(OR(M1440=phu!$I$4,M1440=phu!$I$5,M1440=phu!$I$6,M1440=phu!$I$7,M1440=phu!$I$8,M1440=phu!$I$9,M1440=phu!$I$10,M1440=phu!$I$11,M1440=phu!$I$12,M1440=phu!$I$13,M1440=phu!$I$14),"Cam Nghĩa",""),IF(OR(M1440=phu!$I$15,M1440=phu!$I$16,M1440=phu!$I$17,M1440=phu!$I$18,M1440=phu!$I$19,M1440=phu!$I$20,M1440=phu!$I$21),"Cam Phúc Bắc",""),IF(OR(M1440=phu!$I$22,M1440=phu!$I$23,M1440=phu!$I$24,M1440=phu!$I$25),"Cam Phúc Nam",""),IF(OR(M1440=phu!$I$26,M1440=phu!$I$27,M1440=phu!$I$28,M1440=phu!$I$29,M1440=phu!$I$30,M1440=phu!$I$31),"Cam Phú",""),IF(OR(M1440=phu!$I$32,M1440=phu!$I$33,M1440=phu!$I$34,M1440=phu!$I$35,M1440=phu!$I$36,M1440=phu!$I$37),"Cam Lộc",""),IF(OR(M1440=phu!$I$38,M1440=phu!$I$39,M1440=phu!$I$40,M1440=phu!$I$41,M1440=phu!$I$42,M1440=phu!$I$43,M1440=phu!$I$44),"Cam Thuận",""),IF(OR(M1440=phu!$I$45,M1440=phu!$I$46,M1440=phu!$I$47,M1440=phu!$I$48,M1440=phu!$I$49,M1440=phu!$I$50,M1440=phu!$I$51,M1440=phu!$I$52,M1440=phu!$I$53),"Cam Linh",""),IF(OR(M1440=phu!$I$54,M1440=phu!$I$55,M1440=phu!$I$56,M1440=phu!$I$57,M1440=phu!$I$58,M1440=phu!$I$59,M1440=phu!$I$60,M1440=phu!$I$61,M1440=phu!$I$62),"Cam Lợi",""),IF(OR(M1440=phu!$I$63,M1440=phu!$I$64,M1440=phu!$I$65,M1440=phu!$I$66,M1440=phu!$I$67,M1440=phu!$I$68,M1440=phu!$I$69,M1440=phu!$I$70,M1440=phu!$I$71),"Ba Ngòi",""),IF(OR(M1440=phu!$I$72,M1440=phu!$I$73,M1440=phu!$I$74,M1440=phu!$I$75,M1440=phu!$I$76,M1440=phu!$I$77,M1440=phu!$I$78),"Cam Phước Đông",""),IF(OR(M1440=phu!$I$79,M1440=phu!$I$80,M1440=phu!$I$81,M1440=phu!$I$82,M1440=phu!$I$83,M1440=phu!$I$84),"Cam Thịnh Đông",""),IF(OR(M1440=phu!$I$85,M1440=phu!$I$86,M1440=phu!$I$87,M1440=phu!$I$88),"Cam Thịnh Tây",""),IF(OR(M1440=phu!$I$89,M1440=phu!$I$90),"Cam Lập",""),IF(OR(M1440=phu!$I$91,M1440=phu!$I$92,M1440=phu!$I$93),"Cam Bình",""),IF(OR(M1440=phu!$I$94,M1440=phu!$I$95,M1440=phu!$I$96,M1440=phu!$I$97,M1440=phu!$I$98,M1440=phu!$I$99,M1440=phu!$I$100),"Huyện khác",""),IF(OR(M1440=phu!$I$101,M1440=phu!$I$102),"Tỉnh khác",""))</f>
        <v/>
      </c>
      <c r="O1440" s="829" t="str">
        <f t="shared" si="132"/>
        <v/>
      </c>
      <c r="P1440" s="254"/>
      <c r="Q1440" s="254"/>
      <c r="R1440" s="254"/>
      <c r="S1440" s="254"/>
      <c r="T1440" s="254"/>
      <c r="U1440" s="254"/>
      <c r="V1440" s="254"/>
      <c r="W1440" s="254"/>
      <c r="Y1440" s="246" t="str">
        <f t="shared" si="133"/>
        <v/>
      </c>
      <c r="Z1440" s="247" t="str">
        <f t="shared" si="137"/>
        <v/>
      </c>
      <c r="AA1440" s="246" t="str">
        <f t="shared" si="134"/>
        <v/>
      </c>
    </row>
    <row r="1441" spans="1:27" x14ac:dyDescent="0.25">
      <c r="A1441" s="248" t="str">
        <f t="shared" si="135"/>
        <v/>
      </c>
      <c r="B1441" s="249" t="str">
        <f t="shared" si="136"/>
        <v/>
      </c>
      <c r="C1441" s="250"/>
      <c r="D1441" s="251"/>
      <c r="E1441" s="241"/>
      <c r="F1441" s="252"/>
      <c r="G1441" s="252"/>
      <c r="H1441" s="253"/>
      <c r="I1441" s="250"/>
      <c r="J1441" s="250"/>
      <c r="K1441" s="270"/>
      <c r="L1441" s="250"/>
      <c r="M1441" s="250"/>
      <c r="N1441" s="540" t="str">
        <f>CONCATENATE(IF(OR(M1441=phu!$I$1,M1441=phu!$I$2,M1441=phu!$I$3),"Cam Thành Nam",""),IF(OR(M1441=phu!$I$4,M1441=phu!$I$5,M1441=phu!$I$6,M1441=phu!$I$7,M1441=phu!$I$8,M1441=phu!$I$9,M1441=phu!$I$10,M1441=phu!$I$11,M1441=phu!$I$12,M1441=phu!$I$13,M1441=phu!$I$14),"Cam Nghĩa",""),IF(OR(M1441=phu!$I$15,M1441=phu!$I$16,M1441=phu!$I$17,M1441=phu!$I$18,M1441=phu!$I$19,M1441=phu!$I$20,M1441=phu!$I$21),"Cam Phúc Bắc",""),IF(OR(M1441=phu!$I$22,M1441=phu!$I$23,M1441=phu!$I$24,M1441=phu!$I$25),"Cam Phúc Nam",""),IF(OR(M1441=phu!$I$26,M1441=phu!$I$27,M1441=phu!$I$28,M1441=phu!$I$29,M1441=phu!$I$30,M1441=phu!$I$31),"Cam Phú",""),IF(OR(M1441=phu!$I$32,M1441=phu!$I$33,M1441=phu!$I$34,M1441=phu!$I$35,M1441=phu!$I$36,M1441=phu!$I$37),"Cam Lộc",""),IF(OR(M1441=phu!$I$38,M1441=phu!$I$39,M1441=phu!$I$40,M1441=phu!$I$41,M1441=phu!$I$42,M1441=phu!$I$43,M1441=phu!$I$44),"Cam Thuận",""),IF(OR(M1441=phu!$I$45,M1441=phu!$I$46,M1441=phu!$I$47,M1441=phu!$I$48,M1441=phu!$I$49,M1441=phu!$I$50,M1441=phu!$I$51,M1441=phu!$I$52,M1441=phu!$I$53),"Cam Linh",""),IF(OR(M1441=phu!$I$54,M1441=phu!$I$55,M1441=phu!$I$56,M1441=phu!$I$57,M1441=phu!$I$58,M1441=phu!$I$59,M1441=phu!$I$60,M1441=phu!$I$61,M1441=phu!$I$62),"Cam Lợi",""),IF(OR(M1441=phu!$I$63,M1441=phu!$I$64,M1441=phu!$I$65,M1441=phu!$I$66,M1441=phu!$I$67,M1441=phu!$I$68,M1441=phu!$I$69,M1441=phu!$I$70,M1441=phu!$I$71),"Ba Ngòi",""),IF(OR(M1441=phu!$I$72,M1441=phu!$I$73,M1441=phu!$I$74,M1441=phu!$I$75,M1441=phu!$I$76,M1441=phu!$I$77,M1441=phu!$I$78),"Cam Phước Đông",""),IF(OR(M1441=phu!$I$79,M1441=phu!$I$80,M1441=phu!$I$81,M1441=phu!$I$82,M1441=phu!$I$83,M1441=phu!$I$84),"Cam Thịnh Đông",""),IF(OR(M1441=phu!$I$85,M1441=phu!$I$86,M1441=phu!$I$87,M1441=phu!$I$88),"Cam Thịnh Tây",""),IF(OR(M1441=phu!$I$89,M1441=phu!$I$90),"Cam Lập",""),IF(OR(M1441=phu!$I$91,M1441=phu!$I$92,M1441=phu!$I$93),"Cam Bình",""),IF(OR(M1441=phu!$I$94,M1441=phu!$I$95,M1441=phu!$I$96,M1441=phu!$I$97,M1441=phu!$I$98,M1441=phu!$I$99,M1441=phu!$I$100),"Huyện khác",""),IF(OR(M1441=phu!$I$101,M1441=phu!$I$102),"Tỉnh khác",""))</f>
        <v/>
      </c>
      <c r="O1441" s="829" t="str">
        <f t="shared" si="132"/>
        <v/>
      </c>
      <c r="P1441" s="254"/>
      <c r="Q1441" s="254"/>
      <c r="R1441" s="254"/>
      <c r="S1441" s="254"/>
      <c r="T1441" s="254"/>
      <c r="U1441" s="254"/>
      <c r="V1441" s="254"/>
      <c r="W1441" s="254"/>
      <c r="Y1441" s="246" t="str">
        <f t="shared" si="133"/>
        <v/>
      </c>
      <c r="Z1441" s="247" t="str">
        <f t="shared" si="137"/>
        <v/>
      </c>
      <c r="AA1441" s="246" t="str">
        <f t="shared" si="134"/>
        <v/>
      </c>
    </row>
    <row r="1442" spans="1:27" x14ac:dyDescent="0.25">
      <c r="A1442" s="248" t="str">
        <f t="shared" si="135"/>
        <v/>
      </c>
      <c r="B1442" s="249" t="str">
        <f t="shared" si="136"/>
        <v/>
      </c>
      <c r="C1442" s="250"/>
      <c r="D1442" s="251"/>
      <c r="E1442" s="241"/>
      <c r="F1442" s="252"/>
      <c r="G1442" s="252"/>
      <c r="H1442" s="253"/>
      <c r="I1442" s="250"/>
      <c r="J1442" s="250"/>
      <c r="K1442" s="270"/>
      <c r="L1442" s="250"/>
      <c r="M1442" s="250"/>
      <c r="N1442" s="540" t="str">
        <f>CONCATENATE(IF(OR(M1442=phu!$I$1,M1442=phu!$I$2,M1442=phu!$I$3),"Cam Thành Nam",""),IF(OR(M1442=phu!$I$4,M1442=phu!$I$5,M1442=phu!$I$6,M1442=phu!$I$7,M1442=phu!$I$8,M1442=phu!$I$9,M1442=phu!$I$10,M1442=phu!$I$11,M1442=phu!$I$12,M1442=phu!$I$13,M1442=phu!$I$14),"Cam Nghĩa",""),IF(OR(M1442=phu!$I$15,M1442=phu!$I$16,M1442=phu!$I$17,M1442=phu!$I$18,M1442=phu!$I$19,M1442=phu!$I$20,M1442=phu!$I$21),"Cam Phúc Bắc",""),IF(OR(M1442=phu!$I$22,M1442=phu!$I$23,M1442=phu!$I$24,M1442=phu!$I$25),"Cam Phúc Nam",""),IF(OR(M1442=phu!$I$26,M1442=phu!$I$27,M1442=phu!$I$28,M1442=phu!$I$29,M1442=phu!$I$30,M1442=phu!$I$31),"Cam Phú",""),IF(OR(M1442=phu!$I$32,M1442=phu!$I$33,M1442=phu!$I$34,M1442=phu!$I$35,M1442=phu!$I$36,M1442=phu!$I$37),"Cam Lộc",""),IF(OR(M1442=phu!$I$38,M1442=phu!$I$39,M1442=phu!$I$40,M1442=phu!$I$41,M1442=phu!$I$42,M1442=phu!$I$43,M1442=phu!$I$44),"Cam Thuận",""),IF(OR(M1442=phu!$I$45,M1442=phu!$I$46,M1442=phu!$I$47,M1442=phu!$I$48,M1442=phu!$I$49,M1442=phu!$I$50,M1442=phu!$I$51,M1442=phu!$I$52,M1442=phu!$I$53),"Cam Linh",""),IF(OR(M1442=phu!$I$54,M1442=phu!$I$55,M1442=phu!$I$56,M1442=phu!$I$57,M1442=phu!$I$58,M1442=phu!$I$59,M1442=phu!$I$60,M1442=phu!$I$61,M1442=phu!$I$62),"Cam Lợi",""),IF(OR(M1442=phu!$I$63,M1442=phu!$I$64,M1442=phu!$I$65,M1442=phu!$I$66,M1442=phu!$I$67,M1442=phu!$I$68,M1442=phu!$I$69,M1442=phu!$I$70,M1442=phu!$I$71),"Ba Ngòi",""),IF(OR(M1442=phu!$I$72,M1442=phu!$I$73,M1442=phu!$I$74,M1442=phu!$I$75,M1442=phu!$I$76,M1442=phu!$I$77,M1442=phu!$I$78),"Cam Phước Đông",""),IF(OR(M1442=phu!$I$79,M1442=phu!$I$80,M1442=phu!$I$81,M1442=phu!$I$82,M1442=phu!$I$83,M1442=phu!$I$84),"Cam Thịnh Đông",""),IF(OR(M1442=phu!$I$85,M1442=phu!$I$86,M1442=phu!$I$87,M1442=phu!$I$88),"Cam Thịnh Tây",""),IF(OR(M1442=phu!$I$89,M1442=phu!$I$90),"Cam Lập",""),IF(OR(M1442=phu!$I$91,M1442=phu!$I$92,M1442=phu!$I$93),"Cam Bình",""),IF(OR(M1442=phu!$I$94,M1442=phu!$I$95,M1442=phu!$I$96,M1442=phu!$I$97,M1442=phu!$I$98,M1442=phu!$I$99,M1442=phu!$I$100),"Huyện khác",""),IF(OR(M1442=phu!$I$101,M1442=phu!$I$102),"Tỉnh khác",""))</f>
        <v/>
      </c>
      <c r="O1442" s="829" t="str">
        <f t="shared" si="132"/>
        <v/>
      </c>
      <c r="P1442" s="254"/>
      <c r="Q1442" s="254"/>
      <c r="R1442" s="254"/>
      <c r="S1442" s="254"/>
      <c r="T1442" s="254"/>
      <c r="U1442" s="254"/>
      <c r="V1442" s="254"/>
      <c r="W1442" s="254"/>
      <c r="Y1442" s="246" t="str">
        <f t="shared" si="133"/>
        <v/>
      </c>
      <c r="Z1442" s="247" t="str">
        <f t="shared" si="137"/>
        <v/>
      </c>
      <c r="AA1442" s="246" t="str">
        <f t="shared" si="134"/>
        <v/>
      </c>
    </row>
    <row r="1443" spans="1:27" x14ac:dyDescent="0.25">
      <c r="A1443" s="248" t="str">
        <f t="shared" si="135"/>
        <v/>
      </c>
      <c r="B1443" s="249" t="str">
        <f t="shared" si="136"/>
        <v/>
      </c>
      <c r="C1443" s="250"/>
      <c r="D1443" s="251"/>
      <c r="E1443" s="241"/>
      <c r="F1443" s="252"/>
      <c r="G1443" s="252"/>
      <c r="H1443" s="253"/>
      <c r="I1443" s="250"/>
      <c r="J1443" s="250"/>
      <c r="K1443" s="270"/>
      <c r="L1443" s="250"/>
      <c r="M1443" s="250"/>
      <c r="N1443" s="540" t="str">
        <f>CONCATENATE(IF(OR(M1443=phu!$I$1,M1443=phu!$I$2,M1443=phu!$I$3),"Cam Thành Nam",""),IF(OR(M1443=phu!$I$4,M1443=phu!$I$5,M1443=phu!$I$6,M1443=phu!$I$7,M1443=phu!$I$8,M1443=phu!$I$9,M1443=phu!$I$10,M1443=phu!$I$11,M1443=phu!$I$12,M1443=phu!$I$13,M1443=phu!$I$14),"Cam Nghĩa",""),IF(OR(M1443=phu!$I$15,M1443=phu!$I$16,M1443=phu!$I$17,M1443=phu!$I$18,M1443=phu!$I$19,M1443=phu!$I$20,M1443=phu!$I$21),"Cam Phúc Bắc",""),IF(OR(M1443=phu!$I$22,M1443=phu!$I$23,M1443=phu!$I$24,M1443=phu!$I$25),"Cam Phúc Nam",""),IF(OR(M1443=phu!$I$26,M1443=phu!$I$27,M1443=phu!$I$28,M1443=phu!$I$29,M1443=phu!$I$30,M1443=phu!$I$31),"Cam Phú",""),IF(OR(M1443=phu!$I$32,M1443=phu!$I$33,M1443=phu!$I$34,M1443=phu!$I$35,M1443=phu!$I$36,M1443=phu!$I$37),"Cam Lộc",""),IF(OR(M1443=phu!$I$38,M1443=phu!$I$39,M1443=phu!$I$40,M1443=phu!$I$41,M1443=phu!$I$42,M1443=phu!$I$43,M1443=phu!$I$44),"Cam Thuận",""),IF(OR(M1443=phu!$I$45,M1443=phu!$I$46,M1443=phu!$I$47,M1443=phu!$I$48,M1443=phu!$I$49,M1443=phu!$I$50,M1443=phu!$I$51,M1443=phu!$I$52,M1443=phu!$I$53),"Cam Linh",""),IF(OR(M1443=phu!$I$54,M1443=phu!$I$55,M1443=phu!$I$56,M1443=phu!$I$57,M1443=phu!$I$58,M1443=phu!$I$59,M1443=phu!$I$60,M1443=phu!$I$61,M1443=phu!$I$62),"Cam Lợi",""),IF(OR(M1443=phu!$I$63,M1443=phu!$I$64,M1443=phu!$I$65,M1443=phu!$I$66,M1443=phu!$I$67,M1443=phu!$I$68,M1443=phu!$I$69,M1443=phu!$I$70,M1443=phu!$I$71),"Ba Ngòi",""),IF(OR(M1443=phu!$I$72,M1443=phu!$I$73,M1443=phu!$I$74,M1443=phu!$I$75,M1443=phu!$I$76,M1443=phu!$I$77,M1443=phu!$I$78),"Cam Phước Đông",""),IF(OR(M1443=phu!$I$79,M1443=phu!$I$80,M1443=phu!$I$81,M1443=phu!$I$82,M1443=phu!$I$83,M1443=phu!$I$84),"Cam Thịnh Đông",""),IF(OR(M1443=phu!$I$85,M1443=phu!$I$86,M1443=phu!$I$87,M1443=phu!$I$88),"Cam Thịnh Tây",""),IF(OR(M1443=phu!$I$89,M1443=phu!$I$90),"Cam Lập",""),IF(OR(M1443=phu!$I$91,M1443=phu!$I$92,M1443=phu!$I$93),"Cam Bình",""),IF(OR(M1443=phu!$I$94,M1443=phu!$I$95,M1443=phu!$I$96,M1443=phu!$I$97,M1443=phu!$I$98,M1443=phu!$I$99,M1443=phu!$I$100),"Huyện khác",""),IF(OR(M1443=phu!$I$101,M1443=phu!$I$102),"Tỉnh khác",""))</f>
        <v/>
      </c>
      <c r="O1443" s="829" t="str">
        <f t="shared" si="132"/>
        <v/>
      </c>
      <c r="P1443" s="254"/>
      <c r="Q1443" s="254"/>
      <c r="R1443" s="254"/>
      <c r="S1443" s="254"/>
      <c r="T1443" s="254"/>
      <c r="U1443" s="254"/>
      <c r="V1443" s="254"/>
      <c r="W1443" s="254"/>
      <c r="Y1443" s="246" t="str">
        <f t="shared" si="133"/>
        <v/>
      </c>
      <c r="Z1443" s="247" t="str">
        <f t="shared" si="137"/>
        <v/>
      </c>
      <c r="AA1443" s="246" t="str">
        <f t="shared" si="134"/>
        <v/>
      </c>
    </row>
    <row r="1444" spans="1:27" x14ac:dyDescent="0.25">
      <c r="A1444" s="248" t="str">
        <f t="shared" si="135"/>
        <v/>
      </c>
      <c r="B1444" s="249" t="str">
        <f t="shared" si="136"/>
        <v/>
      </c>
      <c r="C1444" s="250"/>
      <c r="D1444" s="251"/>
      <c r="E1444" s="241"/>
      <c r="F1444" s="252"/>
      <c r="G1444" s="252"/>
      <c r="H1444" s="253"/>
      <c r="I1444" s="250"/>
      <c r="J1444" s="250"/>
      <c r="K1444" s="270"/>
      <c r="L1444" s="250"/>
      <c r="M1444" s="250"/>
      <c r="N1444" s="540" t="str">
        <f>CONCATENATE(IF(OR(M1444=phu!$I$1,M1444=phu!$I$2,M1444=phu!$I$3),"Cam Thành Nam",""),IF(OR(M1444=phu!$I$4,M1444=phu!$I$5,M1444=phu!$I$6,M1444=phu!$I$7,M1444=phu!$I$8,M1444=phu!$I$9,M1444=phu!$I$10,M1444=phu!$I$11,M1444=phu!$I$12,M1444=phu!$I$13,M1444=phu!$I$14),"Cam Nghĩa",""),IF(OR(M1444=phu!$I$15,M1444=phu!$I$16,M1444=phu!$I$17,M1444=phu!$I$18,M1444=phu!$I$19,M1444=phu!$I$20,M1444=phu!$I$21),"Cam Phúc Bắc",""),IF(OR(M1444=phu!$I$22,M1444=phu!$I$23,M1444=phu!$I$24,M1444=phu!$I$25),"Cam Phúc Nam",""),IF(OR(M1444=phu!$I$26,M1444=phu!$I$27,M1444=phu!$I$28,M1444=phu!$I$29,M1444=phu!$I$30,M1444=phu!$I$31),"Cam Phú",""),IF(OR(M1444=phu!$I$32,M1444=phu!$I$33,M1444=phu!$I$34,M1444=phu!$I$35,M1444=phu!$I$36,M1444=phu!$I$37),"Cam Lộc",""),IF(OR(M1444=phu!$I$38,M1444=phu!$I$39,M1444=phu!$I$40,M1444=phu!$I$41,M1444=phu!$I$42,M1444=phu!$I$43,M1444=phu!$I$44),"Cam Thuận",""),IF(OR(M1444=phu!$I$45,M1444=phu!$I$46,M1444=phu!$I$47,M1444=phu!$I$48,M1444=phu!$I$49,M1444=phu!$I$50,M1444=phu!$I$51,M1444=phu!$I$52,M1444=phu!$I$53),"Cam Linh",""),IF(OR(M1444=phu!$I$54,M1444=phu!$I$55,M1444=phu!$I$56,M1444=phu!$I$57,M1444=phu!$I$58,M1444=phu!$I$59,M1444=phu!$I$60,M1444=phu!$I$61,M1444=phu!$I$62),"Cam Lợi",""),IF(OR(M1444=phu!$I$63,M1444=phu!$I$64,M1444=phu!$I$65,M1444=phu!$I$66,M1444=phu!$I$67,M1444=phu!$I$68,M1444=phu!$I$69,M1444=phu!$I$70,M1444=phu!$I$71),"Ba Ngòi",""),IF(OR(M1444=phu!$I$72,M1444=phu!$I$73,M1444=phu!$I$74,M1444=phu!$I$75,M1444=phu!$I$76,M1444=phu!$I$77,M1444=phu!$I$78),"Cam Phước Đông",""),IF(OR(M1444=phu!$I$79,M1444=phu!$I$80,M1444=phu!$I$81,M1444=phu!$I$82,M1444=phu!$I$83,M1444=phu!$I$84),"Cam Thịnh Đông",""),IF(OR(M1444=phu!$I$85,M1444=phu!$I$86,M1444=phu!$I$87,M1444=phu!$I$88),"Cam Thịnh Tây",""),IF(OR(M1444=phu!$I$89,M1444=phu!$I$90),"Cam Lập",""),IF(OR(M1444=phu!$I$91,M1444=phu!$I$92,M1444=phu!$I$93),"Cam Bình",""),IF(OR(M1444=phu!$I$94,M1444=phu!$I$95,M1444=phu!$I$96,M1444=phu!$I$97,M1444=phu!$I$98,M1444=phu!$I$99,M1444=phu!$I$100),"Huyện khác",""),IF(OR(M1444=phu!$I$101,M1444=phu!$I$102),"Tỉnh khác",""))</f>
        <v/>
      </c>
      <c r="O1444" s="829" t="str">
        <f t="shared" si="132"/>
        <v/>
      </c>
      <c r="P1444" s="254"/>
      <c r="Q1444" s="254"/>
      <c r="R1444" s="254"/>
      <c r="S1444" s="254"/>
      <c r="T1444" s="254"/>
      <c r="U1444" s="254"/>
      <c r="V1444" s="254"/>
      <c r="W1444" s="254"/>
      <c r="Y1444" s="246" t="str">
        <f t="shared" si="133"/>
        <v/>
      </c>
      <c r="Z1444" s="247" t="str">
        <f t="shared" si="137"/>
        <v/>
      </c>
      <c r="AA1444" s="246" t="str">
        <f t="shared" si="134"/>
        <v/>
      </c>
    </row>
    <row r="1445" spans="1:27" x14ac:dyDescent="0.25">
      <c r="A1445" s="248" t="str">
        <f t="shared" si="135"/>
        <v/>
      </c>
      <c r="B1445" s="249" t="str">
        <f t="shared" si="136"/>
        <v/>
      </c>
      <c r="C1445" s="250"/>
      <c r="D1445" s="251"/>
      <c r="E1445" s="241"/>
      <c r="F1445" s="252"/>
      <c r="G1445" s="252"/>
      <c r="H1445" s="253"/>
      <c r="I1445" s="250"/>
      <c r="J1445" s="250"/>
      <c r="K1445" s="270"/>
      <c r="L1445" s="250"/>
      <c r="M1445" s="250"/>
      <c r="N1445" s="540" t="str">
        <f>CONCATENATE(IF(OR(M1445=phu!$I$1,M1445=phu!$I$2,M1445=phu!$I$3),"Cam Thành Nam",""),IF(OR(M1445=phu!$I$4,M1445=phu!$I$5,M1445=phu!$I$6,M1445=phu!$I$7,M1445=phu!$I$8,M1445=phu!$I$9,M1445=phu!$I$10,M1445=phu!$I$11,M1445=phu!$I$12,M1445=phu!$I$13,M1445=phu!$I$14),"Cam Nghĩa",""),IF(OR(M1445=phu!$I$15,M1445=phu!$I$16,M1445=phu!$I$17,M1445=phu!$I$18,M1445=phu!$I$19,M1445=phu!$I$20,M1445=phu!$I$21),"Cam Phúc Bắc",""),IF(OR(M1445=phu!$I$22,M1445=phu!$I$23,M1445=phu!$I$24,M1445=phu!$I$25),"Cam Phúc Nam",""),IF(OR(M1445=phu!$I$26,M1445=phu!$I$27,M1445=phu!$I$28,M1445=phu!$I$29,M1445=phu!$I$30,M1445=phu!$I$31),"Cam Phú",""),IF(OR(M1445=phu!$I$32,M1445=phu!$I$33,M1445=phu!$I$34,M1445=phu!$I$35,M1445=phu!$I$36,M1445=phu!$I$37),"Cam Lộc",""),IF(OR(M1445=phu!$I$38,M1445=phu!$I$39,M1445=phu!$I$40,M1445=phu!$I$41,M1445=phu!$I$42,M1445=phu!$I$43,M1445=phu!$I$44),"Cam Thuận",""),IF(OR(M1445=phu!$I$45,M1445=phu!$I$46,M1445=phu!$I$47,M1445=phu!$I$48,M1445=phu!$I$49,M1445=phu!$I$50,M1445=phu!$I$51,M1445=phu!$I$52,M1445=phu!$I$53),"Cam Linh",""),IF(OR(M1445=phu!$I$54,M1445=phu!$I$55,M1445=phu!$I$56,M1445=phu!$I$57,M1445=phu!$I$58,M1445=phu!$I$59,M1445=phu!$I$60,M1445=phu!$I$61,M1445=phu!$I$62),"Cam Lợi",""),IF(OR(M1445=phu!$I$63,M1445=phu!$I$64,M1445=phu!$I$65,M1445=phu!$I$66,M1445=phu!$I$67,M1445=phu!$I$68,M1445=phu!$I$69,M1445=phu!$I$70,M1445=phu!$I$71),"Ba Ngòi",""),IF(OR(M1445=phu!$I$72,M1445=phu!$I$73,M1445=phu!$I$74,M1445=phu!$I$75,M1445=phu!$I$76,M1445=phu!$I$77,M1445=phu!$I$78),"Cam Phước Đông",""),IF(OR(M1445=phu!$I$79,M1445=phu!$I$80,M1445=phu!$I$81,M1445=phu!$I$82,M1445=phu!$I$83,M1445=phu!$I$84),"Cam Thịnh Đông",""),IF(OR(M1445=phu!$I$85,M1445=phu!$I$86,M1445=phu!$I$87,M1445=phu!$I$88),"Cam Thịnh Tây",""),IF(OR(M1445=phu!$I$89,M1445=phu!$I$90),"Cam Lập",""),IF(OR(M1445=phu!$I$91,M1445=phu!$I$92,M1445=phu!$I$93),"Cam Bình",""),IF(OR(M1445=phu!$I$94,M1445=phu!$I$95,M1445=phu!$I$96,M1445=phu!$I$97,M1445=phu!$I$98,M1445=phu!$I$99,M1445=phu!$I$100),"Huyện khác",""),IF(OR(M1445=phu!$I$101,M1445=phu!$I$102),"Tỉnh khác",""))</f>
        <v/>
      </c>
      <c r="O1445" s="829" t="str">
        <f t="shared" si="132"/>
        <v/>
      </c>
      <c r="P1445" s="254"/>
      <c r="Q1445" s="254"/>
      <c r="R1445" s="254"/>
      <c r="S1445" s="254"/>
      <c r="T1445" s="254"/>
      <c r="U1445" s="254"/>
      <c r="V1445" s="254"/>
      <c r="W1445" s="254"/>
      <c r="Y1445" s="246" t="str">
        <f t="shared" si="133"/>
        <v/>
      </c>
      <c r="Z1445" s="247" t="str">
        <f t="shared" si="137"/>
        <v/>
      </c>
      <c r="AA1445" s="246" t="str">
        <f t="shared" si="134"/>
        <v/>
      </c>
    </row>
    <row r="1446" spans="1:27" x14ac:dyDescent="0.25">
      <c r="A1446" s="248" t="str">
        <f t="shared" si="135"/>
        <v/>
      </c>
      <c r="B1446" s="249" t="str">
        <f t="shared" si="136"/>
        <v/>
      </c>
      <c r="C1446" s="250"/>
      <c r="D1446" s="251"/>
      <c r="E1446" s="241"/>
      <c r="F1446" s="252"/>
      <c r="G1446" s="252"/>
      <c r="H1446" s="253"/>
      <c r="I1446" s="250"/>
      <c r="J1446" s="250"/>
      <c r="K1446" s="270"/>
      <c r="L1446" s="250"/>
      <c r="M1446" s="250"/>
      <c r="N1446" s="540" t="str">
        <f>CONCATENATE(IF(OR(M1446=phu!$I$1,M1446=phu!$I$2,M1446=phu!$I$3),"Cam Thành Nam",""),IF(OR(M1446=phu!$I$4,M1446=phu!$I$5,M1446=phu!$I$6,M1446=phu!$I$7,M1446=phu!$I$8,M1446=phu!$I$9,M1446=phu!$I$10,M1446=phu!$I$11,M1446=phu!$I$12,M1446=phu!$I$13,M1446=phu!$I$14),"Cam Nghĩa",""),IF(OR(M1446=phu!$I$15,M1446=phu!$I$16,M1446=phu!$I$17,M1446=phu!$I$18,M1446=phu!$I$19,M1446=phu!$I$20,M1446=phu!$I$21),"Cam Phúc Bắc",""),IF(OR(M1446=phu!$I$22,M1446=phu!$I$23,M1446=phu!$I$24,M1446=phu!$I$25),"Cam Phúc Nam",""),IF(OR(M1446=phu!$I$26,M1446=phu!$I$27,M1446=phu!$I$28,M1446=phu!$I$29,M1446=phu!$I$30,M1446=phu!$I$31),"Cam Phú",""),IF(OR(M1446=phu!$I$32,M1446=phu!$I$33,M1446=phu!$I$34,M1446=phu!$I$35,M1446=phu!$I$36,M1446=phu!$I$37),"Cam Lộc",""),IF(OR(M1446=phu!$I$38,M1446=phu!$I$39,M1446=phu!$I$40,M1446=phu!$I$41,M1446=phu!$I$42,M1446=phu!$I$43,M1446=phu!$I$44),"Cam Thuận",""),IF(OR(M1446=phu!$I$45,M1446=phu!$I$46,M1446=phu!$I$47,M1446=phu!$I$48,M1446=phu!$I$49,M1446=phu!$I$50,M1446=phu!$I$51,M1446=phu!$I$52,M1446=phu!$I$53),"Cam Linh",""),IF(OR(M1446=phu!$I$54,M1446=phu!$I$55,M1446=phu!$I$56,M1446=phu!$I$57,M1446=phu!$I$58,M1446=phu!$I$59,M1446=phu!$I$60,M1446=phu!$I$61,M1446=phu!$I$62),"Cam Lợi",""),IF(OR(M1446=phu!$I$63,M1446=phu!$I$64,M1446=phu!$I$65,M1446=phu!$I$66,M1446=phu!$I$67,M1446=phu!$I$68,M1446=phu!$I$69,M1446=phu!$I$70,M1446=phu!$I$71),"Ba Ngòi",""),IF(OR(M1446=phu!$I$72,M1446=phu!$I$73,M1446=phu!$I$74,M1446=phu!$I$75,M1446=phu!$I$76,M1446=phu!$I$77,M1446=phu!$I$78),"Cam Phước Đông",""),IF(OR(M1446=phu!$I$79,M1446=phu!$I$80,M1446=phu!$I$81,M1446=phu!$I$82,M1446=phu!$I$83,M1446=phu!$I$84),"Cam Thịnh Đông",""),IF(OR(M1446=phu!$I$85,M1446=phu!$I$86,M1446=phu!$I$87,M1446=phu!$I$88),"Cam Thịnh Tây",""),IF(OR(M1446=phu!$I$89,M1446=phu!$I$90),"Cam Lập",""),IF(OR(M1446=phu!$I$91,M1446=phu!$I$92,M1446=phu!$I$93),"Cam Bình",""),IF(OR(M1446=phu!$I$94,M1446=phu!$I$95,M1446=phu!$I$96,M1446=phu!$I$97,M1446=phu!$I$98,M1446=phu!$I$99,M1446=phu!$I$100),"Huyện khác",""),IF(OR(M1446=phu!$I$101,M1446=phu!$I$102),"Tỉnh khác",""))</f>
        <v/>
      </c>
      <c r="O1446" s="829" t="str">
        <f t="shared" si="132"/>
        <v/>
      </c>
      <c r="P1446" s="254"/>
      <c r="Q1446" s="254"/>
      <c r="R1446" s="254"/>
      <c r="S1446" s="254"/>
      <c r="T1446" s="254"/>
      <c r="U1446" s="254"/>
      <c r="V1446" s="254"/>
      <c r="W1446" s="254"/>
      <c r="Y1446" s="246" t="str">
        <f t="shared" si="133"/>
        <v/>
      </c>
      <c r="Z1446" s="247" t="str">
        <f t="shared" si="137"/>
        <v/>
      </c>
      <c r="AA1446" s="246" t="str">
        <f t="shared" si="134"/>
        <v/>
      </c>
    </row>
    <row r="1447" spans="1:27" x14ac:dyDescent="0.25">
      <c r="A1447" s="248" t="str">
        <f t="shared" si="135"/>
        <v/>
      </c>
      <c r="B1447" s="249" t="str">
        <f t="shared" si="136"/>
        <v/>
      </c>
      <c r="C1447" s="250"/>
      <c r="D1447" s="251"/>
      <c r="E1447" s="241"/>
      <c r="F1447" s="252"/>
      <c r="G1447" s="252"/>
      <c r="H1447" s="253"/>
      <c r="I1447" s="250"/>
      <c r="J1447" s="250"/>
      <c r="K1447" s="270"/>
      <c r="L1447" s="250"/>
      <c r="M1447" s="250"/>
      <c r="N1447" s="540" t="str">
        <f>CONCATENATE(IF(OR(M1447=phu!$I$1,M1447=phu!$I$2,M1447=phu!$I$3),"Cam Thành Nam",""),IF(OR(M1447=phu!$I$4,M1447=phu!$I$5,M1447=phu!$I$6,M1447=phu!$I$7,M1447=phu!$I$8,M1447=phu!$I$9,M1447=phu!$I$10,M1447=phu!$I$11,M1447=phu!$I$12,M1447=phu!$I$13,M1447=phu!$I$14),"Cam Nghĩa",""),IF(OR(M1447=phu!$I$15,M1447=phu!$I$16,M1447=phu!$I$17,M1447=phu!$I$18,M1447=phu!$I$19,M1447=phu!$I$20,M1447=phu!$I$21),"Cam Phúc Bắc",""),IF(OR(M1447=phu!$I$22,M1447=phu!$I$23,M1447=phu!$I$24,M1447=phu!$I$25),"Cam Phúc Nam",""),IF(OR(M1447=phu!$I$26,M1447=phu!$I$27,M1447=phu!$I$28,M1447=phu!$I$29,M1447=phu!$I$30,M1447=phu!$I$31),"Cam Phú",""),IF(OR(M1447=phu!$I$32,M1447=phu!$I$33,M1447=phu!$I$34,M1447=phu!$I$35,M1447=phu!$I$36,M1447=phu!$I$37),"Cam Lộc",""),IF(OR(M1447=phu!$I$38,M1447=phu!$I$39,M1447=phu!$I$40,M1447=phu!$I$41,M1447=phu!$I$42,M1447=phu!$I$43,M1447=phu!$I$44),"Cam Thuận",""),IF(OR(M1447=phu!$I$45,M1447=phu!$I$46,M1447=phu!$I$47,M1447=phu!$I$48,M1447=phu!$I$49,M1447=phu!$I$50,M1447=phu!$I$51,M1447=phu!$I$52,M1447=phu!$I$53),"Cam Linh",""),IF(OR(M1447=phu!$I$54,M1447=phu!$I$55,M1447=phu!$I$56,M1447=phu!$I$57,M1447=phu!$I$58,M1447=phu!$I$59,M1447=phu!$I$60,M1447=phu!$I$61,M1447=phu!$I$62),"Cam Lợi",""),IF(OR(M1447=phu!$I$63,M1447=phu!$I$64,M1447=phu!$I$65,M1447=phu!$I$66,M1447=phu!$I$67,M1447=phu!$I$68,M1447=phu!$I$69,M1447=phu!$I$70,M1447=phu!$I$71),"Ba Ngòi",""),IF(OR(M1447=phu!$I$72,M1447=phu!$I$73,M1447=phu!$I$74,M1447=phu!$I$75,M1447=phu!$I$76,M1447=phu!$I$77,M1447=phu!$I$78),"Cam Phước Đông",""),IF(OR(M1447=phu!$I$79,M1447=phu!$I$80,M1447=phu!$I$81,M1447=phu!$I$82,M1447=phu!$I$83,M1447=phu!$I$84),"Cam Thịnh Đông",""),IF(OR(M1447=phu!$I$85,M1447=phu!$I$86,M1447=phu!$I$87,M1447=phu!$I$88),"Cam Thịnh Tây",""),IF(OR(M1447=phu!$I$89,M1447=phu!$I$90),"Cam Lập",""),IF(OR(M1447=phu!$I$91,M1447=phu!$I$92,M1447=phu!$I$93),"Cam Bình",""),IF(OR(M1447=phu!$I$94,M1447=phu!$I$95,M1447=phu!$I$96,M1447=phu!$I$97,M1447=phu!$I$98,M1447=phu!$I$99,M1447=phu!$I$100),"Huyện khác",""),IF(OR(M1447=phu!$I$101,M1447=phu!$I$102),"Tỉnh khác",""))</f>
        <v/>
      </c>
      <c r="O1447" s="829" t="str">
        <f t="shared" si="132"/>
        <v/>
      </c>
      <c r="P1447" s="254"/>
      <c r="Q1447" s="254"/>
      <c r="R1447" s="254"/>
      <c r="S1447" s="254"/>
      <c r="T1447" s="254"/>
      <c r="U1447" s="254"/>
      <c r="V1447" s="254"/>
      <c r="W1447" s="254"/>
      <c r="Y1447" s="246" t="str">
        <f t="shared" si="133"/>
        <v/>
      </c>
      <c r="Z1447" s="247" t="str">
        <f t="shared" si="137"/>
        <v/>
      </c>
      <c r="AA1447" s="246" t="str">
        <f t="shared" si="134"/>
        <v/>
      </c>
    </row>
    <row r="1448" spans="1:27" x14ac:dyDescent="0.25">
      <c r="A1448" s="248" t="str">
        <f t="shared" si="135"/>
        <v/>
      </c>
      <c r="B1448" s="249" t="str">
        <f t="shared" si="136"/>
        <v/>
      </c>
      <c r="C1448" s="250"/>
      <c r="D1448" s="251"/>
      <c r="E1448" s="241"/>
      <c r="F1448" s="252"/>
      <c r="G1448" s="252"/>
      <c r="H1448" s="253"/>
      <c r="I1448" s="250"/>
      <c r="J1448" s="250"/>
      <c r="K1448" s="270"/>
      <c r="L1448" s="250"/>
      <c r="M1448" s="250"/>
      <c r="N1448" s="540" t="str">
        <f>CONCATENATE(IF(OR(M1448=phu!$I$1,M1448=phu!$I$2,M1448=phu!$I$3),"Cam Thành Nam",""),IF(OR(M1448=phu!$I$4,M1448=phu!$I$5,M1448=phu!$I$6,M1448=phu!$I$7,M1448=phu!$I$8,M1448=phu!$I$9,M1448=phu!$I$10,M1448=phu!$I$11,M1448=phu!$I$12,M1448=phu!$I$13,M1448=phu!$I$14),"Cam Nghĩa",""),IF(OR(M1448=phu!$I$15,M1448=phu!$I$16,M1448=phu!$I$17,M1448=phu!$I$18,M1448=phu!$I$19,M1448=phu!$I$20,M1448=phu!$I$21),"Cam Phúc Bắc",""),IF(OR(M1448=phu!$I$22,M1448=phu!$I$23,M1448=phu!$I$24,M1448=phu!$I$25),"Cam Phúc Nam",""),IF(OR(M1448=phu!$I$26,M1448=phu!$I$27,M1448=phu!$I$28,M1448=phu!$I$29,M1448=phu!$I$30,M1448=phu!$I$31),"Cam Phú",""),IF(OR(M1448=phu!$I$32,M1448=phu!$I$33,M1448=phu!$I$34,M1448=phu!$I$35,M1448=phu!$I$36,M1448=phu!$I$37),"Cam Lộc",""),IF(OR(M1448=phu!$I$38,M1448=phu!$I$39,M1448=phu!$I$40,M1448=phu!$I$41,M1448=phu!$I$42,M1448=phu!$I$43,M1448=phu!$I$44),"Cam Thuận",""),IF(OR(M1448=phu!$I$45,M1448=phu!$I$46,M1448=phu!$I$47,M1448=phu!$I$48,M1448=phu!$I$49,M1448=phu!$I$50,M1448=phu!$I$51,M1448=phu!$I$52,M1448=phu!$I$53),"Cam Linh",""),IF(OR(M1448=phu!$I$54,M1448=phu!$I$55,M1448=phu!$I$56,M1448=phu!$I$57,M1448=phu!$I$58,M1448=phu!$I$59,M1448=phu!$I$60,M1448=phu!$I$61,M1448=phu!$I$62),"Cam Lợi",""),IF(OR(M1448=phu!$I$63,M1448=phu!$I$64,M1448=phu!$I$65,M1448=phu!$I$66,M1448=phu!$I$67,M1448=phu!$I$68,M1448=phu!$I$69,M1448=phu!$I$70,M1448=phu!$I$71),"Ba Ngòi",""),IF(OR(M1448=phu!$I$72,M1448=phu!$I$73,M1448=phu!$I$74,M1448=phu!$I$75,M1448=phu!$I$76,M1448=phu!$I$77,M1448=phu!$I$78),"Cam Phước Đông",""),IF(OR(M1448=phu!$I$79,M1448=phu!$I$80,M1448=phu!$I$81,M1448=phu!$I$82,M1448=phu!$I$83,M1448=phu!$I$84),"Cam Thịnh Đông",""),IF(OR(M1448=phu!$I$85,M1448=phu!$I$86,M1448=phu!$I$87,M1448=phu!$I$88),"Cam Thịnh Tây",""),IF(OR(M1448=phu!$I$89,M1448=phu!$I$90),"Cam Lập",""),IF(OR(M1448=phu!$I$91,M1448=phu!$I$92,M1448=phu!$I$93),"Cam Bình",""),IF(OR(M1448=phu!$I$94,M1448=phu!$I$95,M1448=phu!$I$96,M1448=phu!$I$97,M1448=phu!$I$98,M1448=phu!$I$99,M1448=phu!$I$100),"Huyện khác",""),IF(OR(M1448=phu!$I$101,M1448=phu!$I$102),"Tỉnh khác",""))</f>
        <v/>
      </c>
      <c r="O1448" s="829" t="str">
        <f t="shared" si="132"/>
        <v/>
      </c>
      <c r="P1448" s="254"/>
      <c r="Q1448" s="254"/>
      <c r="R1448" s="254"/>
      <c r="S1448" s="254"/>
      <c r="T1448" s="254"/>
      <c r="U1448" s="254"/>
      <c r="V1448" s="254"/>
      <c r="W1448" s="254"/>
      <c r="Y1448" s="246" t="str">
        <f t="shared" si="133"/>
        <v/>
      </c>
      <c r="Z1448" s="247" t="str">
        <f t="shared" si="137"/>
        <v/>
      </c>
      <c r="AA1448" s="246" t="str">
        <f t="shared" si="134"/>
        <v/>
      </c>
    </row>
    <row r="1449" spans="1:27" x14ac:dyDescent="0.25">
      <c r="A1449" s="248" t="str">
        <f t="shared" si="135"/>
        <v/>
      </c>
      <c r="B1449" s="249" t="str">
        <f t="shared" si="136"/>
        <v/>
      </c>
      <c r="C1449" s="250"/>
      <c r="D1449" s="251"/>
      <c r="E1449" s="241"/>
      <c r="F1449" s="252"/>
      <c r="G1449" s="252"/>
      <c r="H1449" s="253"/>
      <c r="I1449" s="250"/>
      <c r="J1449" s="250"/>
      <c r="K1449" s="270"/>
      <c r="L1449" s="250"/>
      <c r="M1449" s="250"/>
      <c r="N1449" s="540" t="str">
        <f>CONCATENATE(IF(OR(M1449=phu!$I$1,M1449=phu!$I$2,M1449=phu!$I$3),"Cam Thành Nam",""),IF(OR(M1449=phu!$I$4,M1449=phu!$I$5,M1449=phu!$I$6,M1449=phu!$I$7,M1449=phu!$I$8,M1449=phu!$I$9,M1449=phu!$I$10,M1449=phu!$I$11,M1449=phu!$I$12,M1449=phu!$I$13,M1449=phu!$I$14),"Cam Nghĩa",""),IF(OR(M1449=phu!$I$15,M1449=phu!$I$16,M1449=phu!$I$17,M1449=phu!$I$18,M1449=phu!$I$19,M1449=phu!$I$20,M1449=phu!$I$21),"Cam Phúc Bắc",""),IF(OR(M1449=phu!$I$22,M1449=phu!$I$23,M1449=phu!$I$24,M1449=phu!$I$25),"Cam Phúc Nam",""),IF(OR(M1449=phu!$I$26,M1449=phu!$I$27,M1449=phu!$I$28,M1449=phu!$I$29,M1449=phu!$I$30,M1449=phu!$I$31),"Cam Phú",""),IF(OR(M1449=phu!$I$32,M1449=phu!$I$33,M1449=phu!$I$34,M1449=phu!$I$35,M1449=phu!$I$36,M1449=phu!$I$37),"Cam Lộc",""),IF(OR(M1449=phu!$I$38,M1449=phu!$I$39,M1449=phu!$I$40,M1449=phu!$I$41,M1449=phu!$I$42,M1449=phu!$I$43,M1449=phu!$I$44),"Cam Thuận",""),IF(OR(M1449=phu!$I$45,M1449=phu!$I$46,M1449=phu!$I$47,M1449=phu!$I$48,M1449=phu!$I$49,M1449=phu!$I$50,M1449=phu!$I$51,M1449=phu!$I$52,M1449=phu!$I$53),"Cam Linh",""),IF(OR(M1449=phu!$I$54,M1449=phu!$I$55,M1449=phu!$I$56,M1449=phu!$I$57,M1449=phu!$I$58,M1449=phu!$I$59,M1449=phu!$I$60,M1449=phu!$I$61,M1449=phu!$I$62),"Cam Lợi",""),IF(OR(M1449=phu!$I$63,M1449=phu!$I$64,M1449=phu!$I$65,M1449=phu!$I$66,M1449=phu!$I$67,M1449=phu!$I$68,M1449=phu!$I$69,M1449=phu!$I$70,M1449=phu!$I$71),"Ba Ngòi",""),IF(OR(M1449=phu!$I$72,M1449=phu!$I$73,M1449=phu!$I$74,M1449=phu!$I$75,M1449=phu!$I$76,M1449=phu!$I$77,M1449=phu!$I$78),"Cam Phước Đông",""),IF(OR(M1449=phu!$I$79,M1449=phu!$I$80,M1449=phu!$I$81,M1449=phu!$I$82,M1449=phu!$I$83,M1449=phu!$I$84),"Cam Thịnh Đông",""),IF(OR(M1449=phu!$I$85,M1449=phu!$I$86,M1449=phu!$I$87,M1449=phu!$I$88),"Cam Thịnh Tây",""),IF(OR(M1449=phu!$I$89,M1449=phu!$I$90),"Cam Lập",""),IF(OR(M1449=phu!$I$91,M1449=phu!$I$92,M1449=phu!$I$93),"Cam Bình",""),IF(OR(M1449=phu!$I$94,M1449=phu!$I$95,M1449=phu!$I$96,M1449=phu!$I$97,M1449=phu!$I$98,M1449=phu!$I$99,M1449=phu!$I$100),"Huyện khác",""),IF(OR(M1449=phu!$I$101,M1449=phu!$I$102),"Tỉnh khác",""))</f>
        <v/>
      </c>
      <c r="O1449" s="829" t="str">
        <f t="shared" si="132"/>
        <v/>
      </c>
      <c r="P1449" s="254"/>
      <c r="Q1449" s="254"/>
      <c r="R1449" s="254"/>
      <c r="S1449" s="254"/>
      <c r="T1449" s="254"/>
      <c r="U1449" s="254"/>
      <c r="V1449" s="254"/>
      <c r="W1449" s="254"/>
      <c r="Y1449" s="246" t="str">
        <f t="shared" si="133"/>
        <v/>
      </c>
      <c r="Z1449" s="247" t="str">
        <f t="shared" si="137"/>
        <v/>
      </c>
      <c r="AA1449" s="246" t="str">
        <f t="shared" si="134"/>
        <v/>
      </c>
    </row>
    <row r="1450" spans="1:27" x14ac:dyDescent="0.25">
      <c r="A1450" s="248" t="str">
        <f t="shared" si="135"/>
        <v/>
      </c>
      <c r="B1450" s="249" t="str">
        <f t="shared" si="136"/>
        <v/>
      </c>
      <c r="C1450" s="250"/>
      <c r="D1450" s="251"/>
      <c r="E1450" s="241"/>
      <c r="F1450" s="252"/>
      <c r="G1450" s="252"/>
      <c r="H1450" s="253"/>
      <c r="I1450" s="250"/>
      <c r="J1450" s="250"/>
      <c r="K1450" s="270"/>
      <c r="L1450" s="250"/>
      <c r="M1450" s="250"/>
      <c r="N1450" s="540" t="str">
        <f>CONCATENATE(IF(OR(M1450=phu!$I$1,M1450=phu!$I$2,M1450=phu!$I$3),"Cam Thành Nam",""),IF(OR(M1450=phu!$I$4,M1450=phu!$I$5,M1450=phu!$I$6,M1450=phu!$I$7,M1450=phu!$I$8,M1450=phu!$I$9,M1450=phu!$I$10,M1450=phu!$I$11,M1450=phu!$I$12,M1450=phu!$I$13,M1450=phu!$I$14),"Cam Nghĩa",""),IF(OR(M1450=phu!$I$15,M1450=phu!$I$16,M1450=phu!$I$17,M1450=phu!$I$18,M1450=phu!$I$19,M1450=phu!$I$20,M1450=phu!$I$21),"Cam Phúc Bắc",""),IF(OR(M1450=phu!$I$22,M1450=phu!$I$23,M1450=phu!$I$24,M1450=phu!$I$25),"Cam Phúc Nam",""),IF(OR(M1450=phu!$I$26,M1450=phu!$I$27,M1450=phu!$I$28,M1450=phu!$I$29,M1450=phu!$I$30,M1450=phu!$I$31),"Cam Phú",""),IF(OR(M1450=phu!$I$32,M1450=phu!$I$33,M1450=phu!$I$34,M1450=phu!$I$35,M1450=phu!$I$36,M1450=phu!$I$37),"Cam Lộc",""),IF(OR(M1450=phu!$I$38,M1450=phu!$I$39,M1450=phu!$I$40,M1450=phu!$I$41,M1450=phu!$I$42,M1450=phu!$I$43,M1450=phu!$I$44),"Cam Thuận",""),IF(OR(M1450=phu!$I$45,M1450=phu!$I$46,M1450=phu!$I$47,M1450=phu!$I$48,M1450=phu!$I$49,M1450=phu!$I$50,M1450=phu!$I$51,M1450=phu!$I$52,M1450=phu!$I$53),"Cam Linh",""),IF(OR(M1450=phu!$I$54,M1450=phu!$I$55,M1450=phu!$I$56,M1450=phu!$I$57,M1450=phu!$I$58,M1450=phu!$I$59,M1450=phu!$I$60,M1450=phu!$I$61,M1450=phu!$I$62),"Cam Lợi",""),IF(OR(M1450=phu!$I$63,M1450=phu!$I$64,M1450=phu!$I$65,M1450=phu!$I$66,M1450=phu!$I$67,M1450=phu!$I$68,M1450=phu!$I$69,M1450=phu!$I$70,M1450=phu!$I$71),"Ba Ngòi",""),IF(OR(M1450=phu!$I$72,M1450=phu!$I$73,M1450=phu!$I$74,M1450=phu!$I$75,M1450=phu!$I$76,M1450=phu!$I$77,M1450=phu!$I$78),"Cam Phước Đông",""),IF(OR(M1450=phu!$I$79,M1450=phu!$I$80,M1450=phu!$I$81,M1450=phu!$I$82,M1450=phu!$I$83,M1450=phu!$I$84),"Cam Thịnh Đông",""),IF(OR(M1450=phu!$I$85,M1450=phu!$I$86,M1450=phu!$I$87,M1450=phu!$I$88),"Cam Thịnh Tây",""),IF(OR(M1450=phu!$I$89,M1450=phu!$I$90),"Cam Lập",""),IF(OR(M1450=phu!$I$91,M1450=phu!$I$92,M1450=phu!$I$93),"Cam Bình",""),IF(OR(M1450=phu!$I$94,M1450=phu!$I$95,M1450=phu!$I$96,M1450=phu!$I$97,M1450=phu!$I$98,M1450=phu!$I$99,M1450=phu!$I$100),"Huyện khác",""),IF(OR(M1450=phu!$I$101,M1450=phu!$I$102),"Tỉnh khác",""))</f>
        <v/>
      </c>
      <c r="O1450" s="829" t="str">
        <f t="shared" si="132"/>
        <v/>
      </c>
      <c r="P1450" s="254"/>
      <c r="Q1450" s="254"/>
      <c r="R1450" s="254"/>
      <c r="S1450" s="254"/>
      <c r="T1450" s="254"/>
      <c r="U1450" s="254"/>
      <c r="V1450" s="254"/>
      <c r="W1450" s="254"/>
      <c r="Y1450" s="246" t="str">
        <f t="shared" si="133"/>
        <v/>
      </c>
      <c r="Z1450" s="247" t="str">
        <f t="shared" si="137"/>
        <v/>
      </c>
      <c r="AA1450" s="246" t="str">
        <f t="shared" si="134"/>
        <v/>
      </c>
    </row>
    <row r="1451" spans="1:27" x14ac:dyDescent="0.25">
      <c r="A1451" s="248" t="str">
        <f t="shared" si="135"/>
        <v/>
      </c>
      <c r="B1451" s="249" t="str">
        <f t="shared" si="136"/>
        <v/>
      </c>
      <c r="C1451" s="250"/>
      <c r="D1451" s="251"/>
      <c r="E1451" s="241"/>
      <c r="F1451" s="252"/>
      <c r="G1451" s="252"/>
      <c r="H1451" s="253"/>
      <c r="I1451" s="250"/>
      <c r="J1451" s="250"/>
      <c r="K1451" s="270"/>
      <c r="L1451" s="250"/>
      <c r="M1451" s="250"/>
      <c r="N1451" s="540" t="str">
        <f>CONCATENATE(IF(OR(M1451=phu!$I$1,M1451=phu!$I$2,M1451=phu!$I$3),"Cam Thành Nam",""),IF(OR(M1451=phu!$I$4,M1451=phu!$I$5,M1451=phu!$I$6,M1451=phu!$I$7,M1451=phu!$I$8,M1451=phu!$I$9,M1451=phu!$I$10,M1451=phu!$I$11,M1451=phu!$I$12,M1451=phu!$I$13,M1451=phu!$I$14),"Cam Nghĩa",""),IF(OR(M1451=phu!$I$15,M1451=phu!$I$16,M1451=phu!$I$17,M1451=phu!$I$18,M1451=phu!$I$19,M1451=phu!$I$20,M1451=phu!$I$21),"Cam Phúc Bắc",""),IF(OR(M1451=phu!$I$22,M1451=phu!$I$23,M1451=phu!$I$24,M1451=phu!$I$25),"Cam Phúc Nam",""),IF(OR(M1451=phu!$I$26,M1451=phu!$I$27,M1451=phu!$I$28,M1451=phu!$I$29,M1451=phu!$I$30,M1451=phu!$I$31),"Cam Phú",""),IF(OR(M1451=phu!$I$32,M1451=phu!$I$33,M1451=phu!$I$34,M1451=phu!$I$35,M1451=phu!$I$36,M1451=phu!$I$37),"Cam Lộc",""),IF(OR(M1451=phu!$I$38,M1451=phu!$I$39,M1451=phu!$I$40,M1451=phu!$I$41,M1451=phu!$I$42,M1451=phu!$I$43,M1451=phu!$I$44),"Cam Thuận",""),IF(OR(M1451=phu!$I$45,M1451=phu!$I$46,M1451=phu!$I$47,M1451=phu!$I$48,M1451=phu!$I$49,M1451=phu!$I$50,M1451=phu!$I$51,M1451=phu!$I$52,M1451=phu!$I$53),"Cam Linh",""),IF(OR(M1451=phu!$I$54,M1451=phu!$I$55,M1451=phu!$I$56,M1451=phu!$I$57,M1451=phu!$I$58,M1451=phu!$I$59,M1451=phu!$I$60,M1451=phu!$I$61,M1451=phu!$I$62),"Cam Lợi",""),IF(OR(M1451=phu!$I$63,M1451=phu!$I$64,M1451=phu!$I$65,M1451=phu!$I$66,M1451=phu!$I$67,M1451=phu!$I$68,M1451=phu!$I$69,M1451=phu!$I$70,M1451=phu!$I$71),"Ba Ngòi",""),IF(OR(M1451=phu!$I$72,M1451=phu!$I$73,M1451=phu!$I$74,M1451=phu!$I$75,M1451=phu!$I$76,M1451=phu!$I$77,M1451=phu!$I$78),"Cam Phước Đông",""),IF(OR(M1451=phu!$I$79,M1451=phu!$I$80,M1451=phu!$I$81,M1451=phu!$I$82,M1451=phu!$I$83,M1451=phu!$I$84),"Cam Thịnh Đông",""),IF(OR(M1451=phu!$I$85,M1451=phu!$I$86,M1451=phu!$I$87,M1451=phu!$I$88),"Cam Thịnh Tây",""),IF(OR(M1451=phu!$I$89,M1451=phu!$I$90),"Cam Lập",""),IF(OR(M1451=phu!$I$91,M1451=phu!$I$92,M1451=phu!$I$93),"Cam Bình",""),IF(OR(M1451=phu!$I$94,M1451=phu!$I$95,M1451=phu!$I$96,M1451=phu!$I$97,M1451=phu!$I$98,M1451=phu!$I$99,M1451=phu!$I$100),"Huyện khác",""),IF(OR(M1451=phu!$I$101,M1451=phu!$I$102),"Tỉnh khác",""))</f>
        <v/>
      </c>
      <c r="O1451" s="829" t="str">
        <f t="shared" si="132"/>
        <v/>
      </c>
      <c r="P1451" s="254"/>
      <c r="Q1451" s="254"/>
      <c r="R1451" s="254"/>
      <c r="S1451" s="254"/>
      <c r="T1451" s="254"/>
      <c r="U1451" s="254"/>
      <c r="V1451" s="254"/>
      <c r="W1451" s="254"/>
      <c r="Y1451" s="246" t="str">
        <f t="shared" si="133"/>
        <v/>
      </c>
      <c r="Z1451" s="247" t="str">
        <f t="shared" si="137"/>
        <v/>
      </c>
      <c r="AA1451" s="246" t="str">
        <f t="shared" si="134"/>
        <v/>
      </c>
    </row>
    <row r="1452" spans="1:27" x14ac:dyDescent="0.25">
      <c r="A1452" s="248" t="str">
        <f t="shared" si="135"/>
        <v/>
      </c>
      <c r="B1452" s="249" t="str">
        <f t="shared" si="136"/>
        <v/>
      </c>
      <c r="C1452" s="250"/>
      <c r="D1452" s="251"/>
      <c r="E1452" s="241"/>
      <c r="F1452" s="252"/>
      <c r="G1452" s="252"/>
      <c r="H1452" s="253"/>
      <c r="I1452" s="250"/>
      <c r="J1452" s="250"/>
      <c r="K1452" s="270"/>
      <c r="L1452" s="250"/>
      <c r="M1452" s="250"/>
      <c r="N1452" s="540" t="str">
        <f>CONCATENATE(IF(OR(M1452=phu!$I$1,M1452=phu!$I$2,M1452=phu!$I$3),"Cam Thành Nam",""),IF(OR(M1452=phu!$I$4,M1452=phu!$I$5,M1452=phu!$I$6,M1452=phu!$I$7,M1452=phu!$I$8,M1452=phu!$I$9,M1452=phu!$I$10,M1452=phu!$I$11,M1452=phu!$I$12,M1452=phu!$I$13,M1452=phu!$I$14),"Cam Nghĩa",""),IF(OR(M1452=phu!$I$15,M1452=phu!$I$16,M1452=phu!$I$17,M1452=phu!$I$18,M1452=phu!$I$19,M1452=phu!$I$20,M1452=phu!$I$21),"Cam Phúc Bắc",""),IF(OR(M1452=phu!$I$22,M1452=phu!$I$23,M1452=phu!$I$24,M1452=phu!$I$25),"Cam Phúc Nam",""),IF(OR(M1452=phu!$I$26,M1452=phu!$I$27,M1452=phu!$I$28,M1452=phu!$I$29,M1452=phu!$I$30,M1452=phu!$I$31),"Cam Phú",""),IF(OR(M1452=phu!$I$32,M1452=phu!$I$33,M1452=phu!$I$34,M1452=phu!$I$35,M1452=phu!$I$36,M1452=phu!$I$37),"Cam Lộc",""),IF(OR(M1452=phu!$I$38,M1452=phu!$I$39,M1452=phu!$I$40,M1452=phu!$I$41,M1452=phu!$I$42,M1452=phu!$I$43,M1452=phu!$I$44),"Cam Thuận",""),IF(OR(M1452=phu!$I$45,M1452=phu!$I$46,M1452=phu!$I$47,M1452=phu!$I$48,M1452=phu!$I$49,M1452=phu!$I$50,M1452=phu!$I$51,M1452=phu!$I$52,M1452=phu!$I$53),"Cam Linh",""),IF(OR(M1452=phu!$I$54,M1452=phu!$I$55,M1452=phu!$I$56,M1452=phu!$I$57,M1452=phu!$I$58,M1452=phu!$I$59,M1452=phu!$I$60,M1452=phu!$I$61,M1452=phu!$I$62),"Cam Lợi",""),IF(OR(M1452=phu!$I$63,M1452=phu!$I$64,M1452=phu!$I$65,M1452=phu!$I$66,M1452=phu!$I$67,M1452=phu!$I$68,M1452=phu!$I$69,M1452=phu!$I$70,M1452=phu!$I$71),"Ba Ngòi",""),IF(OR(M1452=phu!$I$72,M1452=phu!$I$73,M1452=phu!$I$74,M1452=phu!$I$75,M1452=phu!$I$76,M1452=phu!$I$77,M1452=phu!$I$78),"Cam Phước Đông",""),IF(OR(M1452=phu!$I$79,M1452=phu!$I$80,M1452=phu!$I$81,M1452=phu!$I$82,M1452=phu!$I$83,M1452=phu!$I$84),"Cam Thịnh Đông",""),IF(OR(M1452=phu!$I$85,M1452=phu!$I$86,M1452=phu!$I$87,M1452=phu!$I$88),"Cam Thịnh Tây",""),IF(OR(M1452=phu!$I$89,M1452=phu!$I$90),"Cam Lập",""),IF(OR(M1452=phu!$I$91,M1452=phu!$I$92,M1452=phu!$I$93),"Cam Bình",""),IF(OR(M1452=phu!$I$94,M1452=phu!$I$95,M1452=phu!$I$96,M1452=phu!$I$97,M1452=phu!$I$98,M1452=phu!$I$99,M1452=phu!$I$100),"Huyện khác",""),IF(OR(M1452=phu!$I$101,M1452=phu!$I$102),"Tỉnh khác",""))</f>
        <v/>
      </c>
      <c r="O1452" s="829" t="str">
        <f t="shared" si="132"/>
        <v/>
      </c>
      <c r="P1452" s="254"/>
      <c r="Q1452" s="254"/>
      <c r="R1452" s="254"/>
      <c r="S1452" s="254"/>
      <c r="T1452" s="254"/>
      <c r="U1452" s="254"/>
      <c r="V1452" s="254"/>
      <c r="W1452" s="254"/>
      <c r="Y1452" s="246" t="str">
        <f t="shared" si="133"/>
        <v/>
      </c>
      <c r="Z1452" s="247" t="str">
        <f t="shared" si="137"/>
        <v/>
      </c>
      <c r="AA1452" s="246" t="str">
        <f t="shared" si="134"/>
        <v/>
      </c>
    </row>
    <row r="1453" spans="1:27" x14ac:dyDescent="0.25">
      <c r="A1453" s="248" t="str">
        <f t="shared" si="135"/>
        <v/>
      </c>
      <c r="B1453" s="249" t="str">
        <f t="shared" si="136"/>
        <v/>
      </c>
      <c r="C1453" s="250"/>
      <c r="D1453" s="251"/>
      <c r="E1453" s="241"/>
      <c r="F1453" s="252"/>
      <c r="G1453" s="252"/>
      <c r="H1453" s="253"/>
      <c r="I1453" s="250"/>
      <c r="J1453" s="250"/>
      <c r="K1453" s="270"/>
      <c r="L1453" s="250"/>
      <c r="M1453" s="250"/>
      <c r="N1453" s="540" t="str">
        <f>CONCATENATE(IF(OR(M1453=phu!$I$1,M1453=phu!$I$2,M1453=phu!$I$3),"Cam Thành Nam",""),IF(OR(M1453=phu!$I$4,M1453=phu!$I$5,M1453=phu!$I$6,M1453=phu!$I$7,M1453=phu!$I$8,M1453=phu!$I$9,M1453=phu!$I$10,M1453=phu!$I$11,M1453=phu!$I$12,M1453=phu!$I$13,M1453=phu!$I$14),"Cam Nghĩa",""),IF(OR(M1453=phu!$I$15,M1453=phu!$I$16,M1453=phu!$I$17,M1453=phu!$I$18,M1453=phu!$I$19,M1453=phu!$I$20,M1453=phu!$I$21),"Cam Phúc Bắc",""),IF(OR(M1453=phu!$I$22,M1453=phu!$I$23,M1453=phu!$I$24,M1453=phu!$I$25),"Cam Phúc Nam",""),IF(OR(M1453=phu!$I$26,M1453=phu!$I$27,M1453=phu!$I$28,M1453=phu!$I$29,M1453=phu!$I$30,M1453=phu!$I$31),"Cam Phú",""),IF(OR(M1453=phu!$I$32,M1453=phu!$I$33,M1453=phu!$I$34,M1453=phu!$I$35,M1453=phu!$I$36,M1453=phu!$I$37),"Cam Lộc",""),IF(OR(M1453=phu!$I$38,M1453=phu!$I$39,M1453=phu!$I$40,M1453=phu!$I$41,M1453=phu!$I$42,M1453=phu!$I$43,M1453=phu!$I$44),"Cam Thuận",""),IF(OR(M1453=phu!$I$45,M1453=phu!$I$46,M1453=phu!$I$47,M1453=phu!$I$48,M1453=phu!$I$49,M1453=phu!$I$50,M1453=phu!$I$51,M1453=phu!$I$52,M1453=phu!$I$53),"Cam Linh",""),IF(OR(M1453=phu!$I$54,M1453=phu!$I$55,M1453=phu!$I$56,M1453=phu!$I$57,M1453=phu!$I$58,M1453=phu!$I$59,M1453=phu!$I$60,M1453=phu!$I$61,M1453=phu!$I$62),"Cam Lợi",""),IF(OR(M1453=phu!$I$63,M1453=phu!$I$64,M1453=phu!$I$65,M1453=phu!$I$66,M1453=phu!$I$67,M1453=phu!$I$68,M1453=phu!$I$69,M1453=phu!$I$70,M1453=phu!$I$71),"Ba Ngòi",""),IF(OR(M1453=phu!$I$72,M1453=phu!$I$73,M1453=phu!$I$74,M1453=phu!$I$75,M1453=phu!$I$76,M1453=phu!$I$77,M1453=phu!$I$78),"Cam Phước Đông",""),IF(OR(M1453=phu!$I$79,M1453=phu!$I$80,M1453=phu!$I$81,M1453=phu!$I$82,M1453=phu!$I$83,M1453=phu!$I$84),"Cam Thịnh Đông",""),IF(OR(M1453=phu!$I$85,M1453=phu!$I$86,M1453=phu!$I$87,M1453=phu!$I$88),"Cam Thịnh Tây",""),IF(OR(M1453=phu!$I$89,M1453=phu!$I$90),"Cam Lập",""),IF(OR(M1453=phu!$I$91,M1453=phu!$I$92,M1453=phu!$I$93),"Cam Bình",""),IF(OR(M1453=phu!$I$94,M1453=phu!$I$95,M1453=phu!$I$96,M1453=phu!$I$97,M1453=phu!$I$98,M1453=phu!$I$99,M1453=phu!$I$100),"Huyện khác",""),IF(OR(M1453=phu!$I$101,M1453=phu!$I$102),"Tỉnh khác",""))</f>
        <v/>
      </c>
      <c r="O1453" s="829" t="str">
        <f t="shared" si="132"/>
        <v/>
      </c>
      <c r="P1453" s="254"/>
      <c r="Q1453" s="254"/>
      <c r="R1453" s="254"/>
      <c r="S1453" s="254"/>
      <c r="T1453" s="254"/>
      <c r="U1453" s="254"/>
      <c r="V1453" s="254"/>
      <c r="W1453" s="254"/>
      <c r="Y1453" s="246" t="str">
        <f t="shared" si="133"/>
        <v/>
      </c>
      <c r="Z1453" s="247" t="str">
        <f t="shared" si="137"/>
        <v/>
      </c>
      <c r="AA1453" s="246" t="str">
        <f t="shared" si="134"/>
        <v/>
      </c>
    </row>
    <row r="1454" spans="1:27" x14ac:dyDescent="0.25">
      <c r="A1454" s="248" t="str">
        <f t="shared" si="135"/>
        <v/>
      </c>
      <c r="B1454" s="249" t="str">
        <f t="shared" si="136"/>
        <v/>
      </c>
      <c r="C1454" s="250"/>
      <c r="D1454" s="251"/>
      <c r="E1454" s="241"/>
      <c r="F1454" s="252"/>
      <c r="G1454" s="252"/>
      <c r="H1454" s="253"/>
      <c r="I1454" s="250"/>
      <c r="J1454" s="250"/>
      <c r="K1454" s="270"/>
      <c r="L1454" s="250"/>
      <c r="M1454" s="250"/>
      <c r="N1454" s="540" t="str">
        <f>CONCATENATE(IF(OR(M1454=phu!$I$1,M1454=phu!$I$2,M1454=phu!$I$3),"Cam Thành Nam",""),IF(OR(M1454=phu!$I$4,M1454=phu!$I$5,M1454=phu!$I$6,M1454=phu!$I$7,M1454=phu!$I$8,M1454=phu!$I$9,M1454=phu!$I$10,M1454=phu!$I$11,M1454=phu!$I$12,M1454=phu!$I$13,M1454=phu!$I$14),"Cam Nghĩa",""),IF(OR(M1454=phu!$I$15,M1454=phu!$I$16,M1454=phu!$I$17,M1454=phu!$I$18,M1454=phu!$I$19,M1454=phu!$I$20,M1454=phu!$I$21),"Cam Phúc Bắc",""),IF(OR(M1454=phu!$I$22,M1454=phu!$I$23,M1454=phu!$I$24,M1454=phu!$I$25),"Cam Phúc Nam",""),IF(OR(M1454=phu!$I$26,M1454=phu!$I$27,M1454=phu!$I$28,M1454=phu!$I$29,M1454=phu!$I$30,M1454=phu!$I$31),"Cam Phú",""),IF(OR(M1454=phu!$I$32,M1454=phu!$I$33,M1454=phu!$I$34,M1454=phu!$I$35,M1454=phu!$I$36,M1454=phu!$I$37),"Cam Lộc",""),IF(OR(M1454=phu!$I$38,M1454=phu!$I$39,M1454=phu!$I$40,M1454=phu!$I$41,M1454=phu!$I$42,M1454=phu!$I$43,M1454=phu!$I$44),"Cam Thuận",""),IF(OR(M1454=phu!$I$45,M1454=phu!$I$46,M1454=phu!$I$47,M1454=phu!$I$48,M1454=phu!$I$49,M1454=phu!$I$50,M1454=phu!$I$51,M1454=phu!$I$52,M1454=phu!$I$53),"Cam Linh",""),IF(OR(M1454=phu!$I$54,M1454=phu!$I$55,M1454=phu!$I$56,M1454=phu!$I$57,M1454=phu!$I$58,M1454=phu!$I$59,M1454=phu!$I$60,M1454=phu!$I$61,M1454=phu!$I$62),"Cam Lợi",""),IF(OR(M1454=phu!$I$63,M1454=phu!$I$64,M1454=phu!$I$65,M1454=phu!$I$66,M1454=phu!$I$67,M1454=phu!$I$68,M1454=phu!$I$69,M1454=phu!$I$70,M1454=phu!$I$71),"Ba Ngòi",""),IF(OR(M1454=phu!$I$72,M1454=phu!$I$73,M1454=phu!$I$74,M1454=phu!$I$75,M1454=phu!$I$76,M1454=phu!$I$77,M1454=phu!$I$78),"Cam Phước Đông",""),IF(OR(M1454=phu!$I$79,M1454=phu!$I$80,M1454=phu!$I$81,M1454=phu!$I$82,M1454=phu!$I$83,M1454=phu!$I$84),"Cam Thịnh Đông",""),IF(OR(M1454=phu!$I$85,M1454=phu!$I$86,M1454=phu!$I$87,M1454=phu!$I$88),"Cam Thịnh Tây",""),IF(OR(M1454=phu!$I$89,M1454=phu!$I$90),"Cam Lập",""),IF(OR(M1454=phu!$I$91,M1454=phu!$I$92,M1454=phu!$I$93),"Cam Bình",""),IF(OR(M1454=phu!$I$94,M1454=phu!$I$95,M1454=phu!$I$96,M1454=phu!$I$97,M1454=phu!$I$98,M1454=phu!$I$99,M1454=phu!$I$100),"Huyện khác",""),IF(OR(M1454=phu!$I$101,M1454=phu!$I$102),"Tỉnh khác",""))</f>
        <v/>
      </c>
      <c r="O1454" s="829" t="str">
        <f t="shared" si="132"/>
        <v/>
      </c>
      <c r="P1454" s="254"/>
      <c r="Q1454" s="254"/>
      <c r="R1454" s="254"/>
      <c r="S1454" s="254"/>
      <c r="T1454" s="254"/>
      <c r="U1454" s="254"/>
      <c r="V1454" s="254"/>
      <c r="W1454" s="254"/>
      <c r="Y1454" s="246" t="str">
        <f t="shared" si="133"/>
        <v/>
      </c>
      <c r="Z1454" s="247" t="str">
        <f t="shared" si="137"/>
        <v/>
      </c>
      <c r="AA1454" s="246" t="str">
        <f t="shared" si="134"/>
        <v/>
      </c>
    </row>
    <row r="1455" spans="1:27" x14ac:dyDescent="0.25">
      <c r="A1455" s="248" t="str">
        <f t="shared" si="135"/>
        <v/>
      </c>
      <c r="B1455" s="249" t="str">
        <f t="shared" si="136"/>
        <v/>
      </c>
      <c r="C1455" s="250"/>
      <c r="D1455" s="251"/>
      <c r="E1455" s="241"/>
      <c r="F1455" s="252"/>
      <c r="G1455" s="252"/>
      <c r="H1455" s="253"/>
      <c r="I1455" s="250"/>
      <c r="J1455" s="250"/>
      <c r="K1455" s="270"/>
      <c r="L1455" s="250"/>
      <c r="M1455" s="250"/>
      <c r="N1455" s="540" t="str">
        <f>CONCATENATE(IF(OR(M1455=phu!$I$1,M1455=phu!$I$2,M1455=phu!$I$3),"Cam Thành Nam",""),IF(OR(M1455=phu!$I$4,M1455=phu!$I$5,M1455=phu!$I$6,M1455=phu!$I$7,M1455=phu!$I$8,M1455=phu!$I$9,M1455=phu!$I$10,M1455=phu!$I$11,M1455=phu!$I$12,M1455=phu!$I$13,M1455=phu!$I$14),"Cam Nghĩa",""),IF(OR(M1455=phu!$I$15,M1455=phu!$I$16,M1455=phu!$I$17,M1455=phu!$I$18,M1455=phu!$I$19,M1455=phu!$I$20,M1455=phu!$I$21),"Cam Phúc Bắc",""),IF(OR(M1455=phu!$I$22,M1455=phu!$I$23,M1455=phu!$I$24,M1455=phu!$I$25),"Cam Phúc Nam",""),IF(OR(M1455=phu!$I$26,M1455=phu!$I$27,M1455=phu!$I$28,M1455=phu!$I$29,M1455=phu!$I$30,M1455=phu!$I$31),"Cam Phú",""),IF(OR(M1455=phu!$I$32,M1455=phu!$I$33,M1455=phu!$I$34,M1455=phu!$I$35,M1455=phu!$I$36,M1455=phu!$I$37),"Cam Lộc",""),IF(OR(M1455=phu!$I$38,M1455=phu!$I$39,M1455=phu!$I$40,M1455=phu!$I$41,M1455=phu!$I$42,M1455=phu!$I$43,M1455=phu!$I$44),"Cam Thuận",""),IF(OR(M1455=phu!$I$45,M1455=phu!$I$46,M1455=phu!$I$47,M1455=phu!$I$48,M1455=phu!$I$49,M1455=phu!$I$50,M1455=phu!$I$51,M1455=phu!$I$52,M1455=phu!$I$53),"Cam Linh",""),IF(OR(M1455=phu!$I$54,M1455=phu!$I$55,M1455=phu!$I$56,M1455=phu!$I$57,M1455=phu!$I$58,M1455=phu!$I$59,M1455=phu!$I$60,M1455=phu!$I$61,M1455=phu!$I$62),"Cam Lợi",""),IF(OR(M1455=phu!$I$63,M1455=phu!$I$64,M1455=phu!$I$65,M1455=phu!$I$66,M1455=phu!$I$67,M1455=phu!$I$68,M1455=phu!$I$69,M1455=phu!$I$70,M1455=phu!$I$71),"Ba Ngòi",""),IF(OR(M1455=phu!$I$72,M1455=phu!$I$73,M1455=phu!$I$74,M1455=phu!$I$75,M1455=phu!$I$76,M1455=phu!$I$77,M1455=phu!$I$78),"Cam Phước Đông",""),IF(OR(M1455=phu!$I$79,M1455=phu!$I$80,M1455=phu!$I$81,M1455=phu!$I$82,M1455=phu!$I$83,M1455=phu!$I$84),"Cam Thịnh Đông",""),IF(OR(M1455=phu!$I$85,M1455=phu!$I$86,M1455=phu!$I$87,M1455=phu!$I$88),"Cam Thịnh Tây",""),IF(OR(M1455=phu!$I$89,M1455=phu!$I$90),"Cam Lập",""),IF(OR(M1455=phu!$I$91,M1455=phu!$I$92,M1455=phu!$I$93),"Cam Bình",""),IF(OR(M1455=phu!$I$94,M1455=phu!$I$95,M1455=phu!$I$96,M1455=phu!$I$97,M1455=phu!$I$98,M1455=phu!$I$99,M1455=phu!$I$100),"Huyện khác",""),IF(OR(M1455=phu!$I$101,M1455=phu!$I$102),"Tỉnh khác",""))</f>
        <v/>
      </c>
      <c r="O1455" s="829" t="str">
        <f t="shared" si="132"/>
        <v/>
      </c>
      <c r="P1455" s="254"/>
      <c r="Q1455" s="254"/>
      <c r="R1455" s="254"/>
      <c r="S1455" s="254"/>
      <c r="T1455" s="254"/>
      <c r="U1455" s="254"/>
      <c r="V1455" s="254"/>
      <c r="W1455" s="254"/>
      <c r="Y1455" s="246" t="str">
        <f t="shared" si="133"/>
        <v/>
      </c>
      <c r="Z1455" s="247" t="str">
        <f t="shared" si="137"/>
        <v/>
      </c>
      <c r="AA1455" s="246" t="str">
        <f t="shared" si="134"/>
        <v/>
      </c>
    </row>
    <row r="1456" spans="1:27" x14ac:dyDescent="0.25">
      <c r="A1456" s="248" t="str">
        <f t="shared" si="135"/>
        <v/>
      </c>
      <c r="B1456" s="249" t="str">
        <f t="shared" si="136"/>
        <v/>
      </c>
      <c r="C1456" s="250"/>
      <c r="D1456" s="251"/>
      <c r="E1456" s="241"/>
      <c r="F1456" s="252"/>
      <c r="G1456" s="252"/>
      <c r="H1456" s="253"/>
      <c r="I1456" s="250"/>
      <c r="J1456" s="250"/>
      <c r="K1456" s="270"/>
      <c r="L1456" s="250"/>
      <c r="M1456" s="250"/>
      <c r="N1456" s="540" t="str">
        <f>CONCATENATE(IF(OR(M1456=phu!$I$1,M1456=phu!$I$2,M1456=phu!$I$3),"Cam Thành Nam",""),IF(OR(M1456=phu!$I$4,M1456=phu!$I$5,M1456=phu!$I$6,M1456=phu!$I$7,M1456=phu!$I$8,M1456=phu!$I$9,M1456=phu!$I$10,M1456=phu!$I$11,M1456=phu!$I$12,M1456=phu!$I$13,M1456=phu!$I$14),"Cam Nghĩa",""),IF(OR(M1456=phu!$I$15,M1456=phu!$I$16,M1456=phu!$I$17,M1456=phu!$I$18,M1456=phu!$I$19,M1456=phu!$I$20,M1456=phu!$I$21),"Cam Phúc Bắc",""),IF(OR(M1456=phu!$I$22,M1456=phu!$I$23,M1456=phu!$I$24,M1456=phu!$I$25),"Cam Phúc Nam",""),IF(OR(M1456=phu!$I$26,M1456=phu!$I$27,M1456=phu!$I$28,M1456=phu!$I$29,M1456=phu!$I$30,M1456=phu!$I$31),"Cam Phú",""),IF(OR(M1456=phu!$I$32,M1456=phu!$I$33,M1456=phu!$I$34,M1456=phu!$I$35,M1456=phu!$I$36,M1456=phu!$I$37),"Cam Lộc",""),IF(OR(M1456=phu!$I$38,M1456=phu!$I$39,M1456=phu!$I$40,M1456=phu!$I$41,M1456=phu!$I$42,M1456=phu!$I$43,M1456=phu!$I$44),"Cam Thuận",""),IF(OR(M1456=phu!$I$45,M1456=phu!$I$46,M1456=phu!$I$47,M1456=phu!$I$48,M1456=phu!$I$49,M1456=phu!$I$50,M1456=phu!$I$51,M1456=phu!$I$52,M1456=phu!$I$53),"Cam Linh",""),IF(OR(M1456=phu!$I$54,M1456=phu!$I$55,M1456=phu!$I$56,M1456=phu!$I$57,M1456=phu!$I$58,M1456=phu!$I$59,M1456=phu!$I$60,M1456=phu!$I$61,M1456=phu!$I$62),"Cam Lợi",""),IF(OR(M1456=phu!$I$63,M1456=phu!$I$64,M1456=phu!$I$65,M1456=phu!$I$66,M1456=phu!$I$67,M1456=phu!$I$68,M1456=phu!$I$69,M1456=phu!$I$70,M1456=phu!$I$71),"Ba Ngòi",""),IF(OR(M1456=phu!$I$72,M1456=phu!$I$73,M1456=phu!$I$74,M1456=phu!$I$75,M1456=phu!$I$76,M1456=phu!$I$77,M1456=phu!$I$78),"Cam Phước Đông",""),IF(OR(M1456=phu!$I$79,M1456=phu!$I$80,M1456=phu!$I$81,M1456=phu!$I$82,M1456=phu!$I$83,M1456=phu!$I$84),"Cam Thịnh Đông",""),IF(OR(M1456=phu!$I$85,M1456=phu!$I$86,M1456=phu!$I$87,M1456=phu!$I$88),"Cam Thịnh Tây",""),IF(OR(M1456=phu!$I$89,M1456=phu!$I$90),"Cam Lập",""),IF(OR(M1456=phu!$I$91,M1456=phu!$I$92,M1456=phu!$I$93),"Cam Bình",""),IF(OR(M1456=phu!$I$94,M1456=phu!$I$95,M1456=phu!$I$96,M1456=phu!$I$97,M1456=phu!$I$98,M1456=phu!$I$99,M1456=phu!$I$100),"Huyện khác",""),IF(OR(M1456=phu!$I$101,M1456=phu!$I$102),"Tỉnh khác",""))</f>
        <v/>
      </c>
      <c r="O1456" s="829" t="str">
        <f t="shared" si="132"/>
        <v/>
      </c>
      <c r="P1456" s="254"/>
      <c r="Q1456" s="254"/>
      <c r="R1456" s="254"/>
      <c r="S1456" s="254"/>
      <c r="T1456" s="254"/>
      <c r="U1456" s="254"/>
      <c r="V1456" s="254"/>
      <c r="W1456" s="254"/>
      <c r="Y1456" s="246" t="str">
        <f t="shared" si="133"/>
        <v/>
      </c>
      <c r="Z1456" s="247" t="str">
        <f t="shared" si="137"/>
        <v/>
      </c>
      <c r="AA1456" s="246" t="str">
        <f t="shared" si="134"/>
        <v/>
      </c>
    </row>
    <row r="1457" spans="1:27" x14ac:dyDescent="0.25">
      <c r="A1457" s="248" t="str">
        <f t="shared" si="135"/>
        <v/>
      </c>
      <c r="B1457" s="249" t="str">
        <f t="shared" si="136"/>
        <v/>
      </c>
      <c r="C1457" s="250"/>
      <c r="D1457" s="251"/>
      <c r="E1457" s="241"/>
      <c r="F1457" s="252"/>
      <c r="G1457" s="252"/>
      <c r="H1457" s="253"/>
      <c r="I1457" s="250"/>
      <c r="J1457" s="250"/>
      <c r="K1457" s="270"/>
      <c r="L1457" s="250"/>
      <c r="M1457" s="250"/>
      <c r="N1457" s="540" t="str">
        <f>CONCATENATE(IF(OR(M1457=phu!$I$1,M1457=phu!$I$2,M1457=phu!$I$3),"Cam Thành Nam",""),IF(OR(M1457=phu!$I$4,M1457=phu!$I$5,M1457=phu!$I$6,M1457=phu!$I$7,M1457=phu!$I$8,M1457=phu!$I$9,M1457=phu!$I$10,M1457=phu!$I$11,M1457=phu!$I$12,M1457=phu!$I$13,M1457=phu!$I$14),"Cam Nghĩa",""),IF(OR(M1457=phu!$I$15,M1457=phu!$I$16,M1457=phu!$I$17,M1457=phu!$I$18,M1457=phu!$I$19,M1457=phu!$I$20,M1457=phu!$I$21),"Cam Phúc Bắc",""),IF(OR(M1457=phu!$I$22,M1457=phu!$I$23,M1457=phu!$I$24,M1457=phu!$I$25),"Cam Phúc Nam",""),IF(OR(M1457=phu!$I$26,M1457=phu!$I$27,M1457=phu!$I$28,M1457=phu!$I$29,M1457=phu!$I$30,M1457=phu!$I$31),"Cam Phú",""),IF(OR(M1457=phu!$I$32,M1457=phu!$I$33,M1457=phu!$I$34,M1457=phu!$I$35,M1457=phu!$I$36,M1457=phu!$I$37),"Cam Lộc",""),IF(OR(M1457=phu!$I$38,M1457=phu!$I$39,M1457=phu!$I$40,M1457=phu!$I$41,M1457=phu!$I$42,M1457=phu!$I$43,M1457=phu!$I$44),"Cam Thuận",""),IF(OR(M1457=phu!$I$45,M1457=phu!$I$46,M1457=phu!$I$47,M1457=phu!$I$48,M1457=phu!$I$49,M1457=phu!$I$50,M1457=phu!$I$51,M1457=phu!$I$52,M1457=phu!$I$53),"Cam Linh",""),IF(OR(M1457=phu!$I$54,M1457=phu!$I$55,M1457=phu!$I$56,M1457=phu!$I$57,M1457=phu!$I$58,M1457=phu!$I$59,M1457=phu!$I$60,M1457=phu!$I$61,M1457=phu!$I$62),"Cam Lợi",""),IF(OR(M1457=phu!$I$63,M1457=phu!$I$64,M1457=phu!$I$65,M1457=phu!$I$66,M1457=phu!$I$67,M1457=phu!$I$68,M1457=phu!$I$69,M1457=phu!$I$70,M1457=phu!$I$71),"Ba Ngòi",""),IF(OR(M1457=phu!$I$72,M1457=phu!$I$73,M1457=phu!$I$74,M1457=phu!$I$75,M1457=phu!$I$76,M1457=phu!$I$77,M1457=phu!$I$78),"Cam Phước Đông",""),IF(OR(M1457=phu!$I$79,M1457=phu!$I$80,M1457=phu!$I$81,M1457=phu!$I$82,M1457=phu!$I$83,M1457=phu!$I$84),"Cam Thịnh Đông",""),IF(OR(M1457=phu!$I$85,M1457=phu!$I$86,M1457=phu!$I$87,M1457=phu!$I$88),"Cam Thịnh Tây",""),IF(OR(M1457=phu!$I$89,M1457=phu!$I$90),"Cam Lập",""),IF(OR(M1457=phu!$I$91,M1457=phu!$I$92,M1457=phu!$I$93),"Cam Bình",""),IF(OR(M1457=phu!$I$94,M1457=phu!$I$95,M1457=phu!$I$96,M1457=phu!$I$97,M1457=phu!$I$98,M1457=phu!$I$99,M1457=phu!$I$100),"Huyện khác",""),IF(OR(M1457=phu!$I$101,M1457=phu!$I$102),"Tỉnh khác",""))</f>
        <v/>
      </c>
      <c r="O1457" s="829" t="str">
        <f t="shared" si="132"/>
        <v/>
      </c>
      <c r="P1457" s="254"/>
      <c r="Q1457" s="254"/>
      <c r="R1457" s="254"/>
      <c r="S1457" s="254"/>
      <c r="T1457" s="254"/>
      <c r="U1457" s="254"/>
      <c r="V1457" s="254"/>
      <c r="W1457" s="254"/>
      <c r="Y1457" s="246" t="str">
        <f t="shared" si="133"/>
        <v/>
      </c>
      <c r="Z1457" s="247" t="str">
        <f t="shared" si="137"/>
        <v/>
      </c>
      <c r="AA1457" s="246" t="str">
        <f t="shared" si="134"/>
        <v/>
      </c>
    </row>
    <row r="1458" spans="1:27" x14ac:dyDescent="0.25">
      <c r="A1458" s="248" t="str">
        <f t="shared" si="135"/>
        <v/>
      </c>
      <c r="B1458" s="249" t="str">
        <f t="shared" si="136"/>
        <v/>
      </c>
      <c r="C1458" s="250"/>
      <c r="D1458" s="251"/>
      <c r="E1458" s="241"/>
      <c r="F1458" s="252"/>
      <c r="G1458" s="252"/>
      <c r="H1458" s="253"/>
      <c r="I1458" s="250"/>
      <c r="J1458" s="250"/>
      <c r="K1458" s="270"/>
      <c r="L1458" s="250"/>
      <c r="M1458" s="250"/>
      <c r="N1458" s="540" t="str">
        <f>CONCATENATE(IF(OR(M1458=phu!$I$1,M1458=phu!$I$2,M1458=phu!$I$3),"Cam Thành Nam",""),IF(OR(M1458=phu!$I$4,M1458=phu!$I$5,M1458=phu!$I$6,M1458=phu!$I$7,M1458=phu!$I$8,M1458=phu!$I$9,M1458=phu!$I$10,M1458=phu!$I$11,M1458=phu!$I$12,M1458=phu!$I$13,M1458=phu!$I$14),"Cam Nghĩa",""),IF(OR(M1458=phu!$I$15,M1458=phu!$I$16,M1458=phu!$I$17,M1458=phu!$I$18,M1458=phu!$I$19,M1458=phu!$I$20,M1458=phu!$I$21),"Cam Phúc Bắc",""),IF(OR(M1458=phu!$I$22,M1458=phu!$I$23,M1458=phu!$I$24,M1458=phu!$I$25),"Cam Phúc Nam",""),IF(OR(M1458=phu!$I$26,M1458=phu!$I$27,M1458=phu!$I$28,M1458=phu!$I$29,M1458=phu!$I$30,M1458=phu!$I$31),"Cam Phú",""),IF(OR(M1458=phu!$I$32,M1458=phu!$I$33,M1458=phu!$I$34,M1458=phu!$I$35,M1458=phu!$I$36,M1458=phu!$I$37),"Cam Lộc",""),IF(OR(M1458=phu!$I$38,M1458=phu!$I$39,M1458=phu!$I$40,M1458=phu!$I$41,M1458=phu!$I$42,M1458=phu!$I$43,M1458=phu!$I$44),"Cam Thuận",""),IF(OR(M1458=phu!$I$45,M1458=phu!$I$46,M1458=phu!$I$47,M1458=phu!$I$48,M1458=phu!$I$49,M1458=phu!$I$50,M1458=phu!$I$51,M1458=phu!$I$52,M1458=phu!$I$53),"Cam Linh",""),IF(OR(M1458=phu!$I$54,M1458=phu!$I$55,M1458=phu!$I$56,M1458=phu!$I$57,M1458=phu!$I$58,M1458=phu!$I$59,M1458=phu!$I$60,M1458=phu!$I$61,M1458=phu!$I$62),"Cam Lợi",""),IF(OR(M1458=phu!$I$63,M1458=phu!$I$64,M1458=phu!$I$65,M1458=phu!$I$66,M1458=phu!$I$67,M1458=phu!$I$68,M1458=phu!$I$69,M1458=phu!$I$70,M1458=phu!$I$71),"Ba Ngòi",""),IF(OR(M1458=phu!$I$72,M1458=phu!$I$73,M1458=phu!$I$74,M1458=phu!$I$75,M1458=phu!$I$76,M1458=phu!$I$77,M1458=phu!$I$78),"Cam Phước Đông",""),IF(OR(M1458=phu!$I$79,M1458=phu!$I$80,M1458=phu!$I$81,M1458=phu!$I$82,M1458=phu!$I$83,M1458=phu!$I$84),"Cam Thịnh Đông",""),IF(OR(M1458=phu!$I$85,M1458=phu!$I$86,M1458=phu!$I$87,M1458=phu!$I$88),"Cam Thịnh Tây",""),IF(OR(M1458=phu!$I$89,M1458=phu!$I$90),"Cam Lập",""),IF(OR(M1458=phu!$I$91,M1458=phu!$I$92,M1458=phu!$I$93),"Cam Bình",""),IF(OR(M1458=phu!$I$94,M1458=phu!$I$95,M1458=phu!$I$96,M1458=phu!$I$97,M1458=phu!$I$98,M1458=phu!$I$99,M1458=phu!$I$100),"Huyện khác",""),IF(OR(M1458=phu!$I$101,M1458=phu!$I$102),"Tỉnh khác",""))</f>
        <v/>
      </c>
      <c r="O1458" s="829" t="str">
        <f t="shared" si="132"/>
        <v/>
      </c>
      <c r="P1458" s="254"/>
      <c r="Q1458" s="254"/>
      <c r="R1458" s="254"/>
      <c r="S1458" s="254"/>
      <c r="T1458" s="254"/>
      <c r="U1458" s="254"/>
      <c r="V1458" s="254"/>
      <c r="W1458" s="254"/>
      <c r="Y1458" s="246" t="str">
        <f t="shared" si="133"/>
        <v/>
      </c>
      <c r="Z1458" s="247" t="str">
        <f t="shared" si="137"/>
        <v/>
      </c>
      <c r="AA1458" s="246" t="str">
        <f t="shared" si="134"/>
        <v/>
      </c>
    </row>
    <row r="1459" spans="1:27" x14ac:dyDescent="0.25">
      <c r="A1459" s="248" t="str">
        <f t="shared" si="135"/>
        <v/>
      </c>
      <c r="B1459" s="249" t="str">
        <f t="shared" si="136"/>
        <v/>
      </c>
      <c r="C1459" s="250"/>
      <c r="D1459" s="251"/>
      <c r="E1459" s="241"/>
      <c r="F1459" s="252"/>
      <c r="G1459" s="252"/>
      <c r="H1459" s="253"/>
      <c r="I1459" s="250"/>
      <c r="J1459" s="250"/>
      <c r="K1459" s="270"/>
      <c r="L1459" s="250"/>
      <c r="M1459" s="250"/>
      <c r="N1459" s="540" t="str">
        <f>CONCATENATE(IF(OR(M1459=phu!$I$1,M1459=phu!$I$2,M1459=phu!$I$3),"Cam Thành Nam",""),IF(OR(M1459=phu!$I$4,M1459=phu!$I$5,M1459=phu!$I$6,M1459=phu!$I$7,M1459=phu!$I$8,M1459=phu!$I$9,M1459=phu!$I$10,M1459=phu!$I$11,M1459=phu!$I$12,M1459=phu!$I$13,M1459=phu!$I$14),"Cam Nghĩa",""),IF(OR(M1459=phu!$I$15,M1459=phu!$I$16,M1459=phu!$I$17,M1459=phu!$I$18,M1459=phu!$I$19,M1459=phu!$I$20,M1459=phu!$I$21),"Cam Phúc Bắc",""),IF(OR(M1459=phu!$I$22,M1459=phu!$I$23,M1459=phu!$I$24,M1459=phu!$I$25),"Cam Phúc Nam",""),IF(OR(M1459=phu!$I$26,M1459=phu!$I$27,M1459=phu!$I$28,M1459=phu!$I$29,M1459=phu!$I$30,M1459=phu!$I$31),"Cam Phú",""),IF(OR(M1459=phu!$I$32,M1459=phu!$I$33,M1459=phu!$I$34,M1459=phu!$I$35,M1459=phu!$I$36,M1459=phu!$I$37),"Cam Lộc",""),IF(OR(M1459=phu!$I$38,M1459=phu!$I$39,M1459=phu!$I$40,M1459=phu!$I$41,M1459=phu!$I$42,M1459=phu!$I$43,M1459=phu!$I$44),"Cam Thuận",""),IF(OR(M1459=phu!$I$45,M1459=phu!$I$46,M1459=phu!$I$47,M1459=phu!$I$48,M1459=phu!$I$49,M1459=phu!$I$50,M1459=phu!$I$51,M1459=phu!$I$52,M1459=phu!$I$53),"Cam Linh",""),IF(OR(M1459=phu!$I$54,M1459=phu!$I$55,M1459=phu!$I$56,M1459=phu!$I$57,M1459=phu!$I$58,M1459=phu!$I$59,M1459=phu!$I$60,M1459=phu!$I$61,M1459=phu!$I$62),"Cam Lợi",""),IF(OR(M1459=phu!$I$63,M1459=phu!$I$64,M1459=phu!$I$65,M1459=phu!$I$66,M1459=phu!$I$67,M1459=phu!$I$68,M1459=phu!$I$69,M1459=phu!$I$70,M1459=phu!$I$71),"Ba Ngòi",""),IF(OR(M1459=phu!$I$72,M1459=phu!$I$73,M1459=phu!$I$74,M1459=phu!$I$75,M1459=phu!$I$76,M1459=phu!$I$77,M1459=phu!$I$78),"Cam Phước Đông",""),IF(OR(M1459=phu!$I$79,M1459=phu!$I$80,M1459=phu!$I$81,M1459=phu!$I$82,M1459=phu!$I$83,M1459=phu!$I$84),"Cam Thịnh Đông",""),IF(OR(M1459=phu!$I$85,M1459=phu!$I$86,M1459=phu!$I$87,M1459=phu!$I$88),"Cam Thịnh Tây",""),IF(OR(M1459=phu!$I$89,M1459=phu!$I$90),"Cam Lập",""),IF(OR(M1459=phu!$I$91,M1459=phu!$I$92,M1459=phu!$I$93),"Cam Bình",""),IF(OR(M1459=phu!$I$94,M1459=phu!$I$95,M1459=phu!$I$96,M1459=phu!$I$97,M1459=phu!$I$98,M1459=phu!$I$99,M1459=phu!$I$100),"Huyện khác",""),IF(OR(M1459=phu!$I$101,M1459=phu!$I$102),"Tỉnh khác",""))</f>
        <v/>
      </c>
      <c r="O1459" s="829" t="str">
        <f t="shared" si="132"/>
        <v/>
      </c>
      <c r="P1459" s="254"/>
      <c r="Q1459" s="254"/>
      <c r="R1459" s="254"/>
      <c r="S1459" s="254"/>
      <c r="T1459" s="254"/>
      <c r="U1459" s="254"/>
      <c r="V1459" s="254"/>
      <c r="W1459" s="254"/>
      <c r="Y1459" s="246" t="str">
        <f t="shared" si="133"/>
        <v/>
      </c>
      <c r="Z1459" s="247" t="str">
        <f t="shared" si="137"/>
        <v/>
      </c>
      <c r="AA1459" s="246" t="str">
        <f t="shared" si="134"/>
        <v/>
      </c>
    </row>
    <row r="1460" spans="1:27" x14ac:dyDescent="0.25">
      <c r="A1460" s="248" t="str">
        <f t="shared" si="135"/>
        <v/>
      </c>
      <c r="B1460" s="249" t="str">
        <f t="shared" si="136"/>
        <v/>
      </c>
      <c r="C1460" s="250"/>
      <c r="D1460" s="251"/>
      <c r="E1460" s="241"/>
      <c r="F1460" s="252"/>
      <c r="G1460" s="252"/>
      <c r="H1460" s="253"/>
      <c r="I1460" s="250"/>
      <c r="J1460" s="250"/>
      <c r="K1460" s="270"/>
      <c r="L1460" s="250"/>
      <c r="M1460" s="250"/>
      <c r="N1460" s="540" t="str">
        <f>CONCATENATE(IF(OR(M1460=phu!$I$1,M1460=phu!$I$2,M1460=phu!$I$3),"Cam Thành Nam",""),IF(OR(M1460=phu!$I$4,M1460=phu!$I$5,M1460=phu!$I$6,M1460=phu!$I$7,M1460=phu!$I$8,M1460=phu!$I$9,M1460=phu!$I$10,M1460=phu!$I$11,M1460=phu!$I$12,M1460=phu!$I$13,M1460=phu!$I$14),"Cam Nghĩa",""),IF(OR(M1460=phu!$I$15,M1460=phu!$I$16,M1460=phu!$I$17,M1460=phu!$I$18,M1460=phu!$I$19,M1460=phu!$I$20,M1460=phu!$I$21),"Cam Phúc Bắc",""),IF(OR(M1460=phu!$I$22,M1460=phu!$I$23,M1460=phu!$I$24,M1460=phu!$I$25),"Cam Phúc Nam",""),IF(OR(M1460=phu!$I$26,M1460=phu!$I$27,M1460=phu!$I$28,M1460=phu!$I$29,M1460=phu!$I$30,M1460=phu!$I$31),"Cam Phú",""),IF(OR(M1460=phu!$I$32,M1460=phu!$I$33,M1460=phu!$I$34,M1460=phu!$I$35,M1460=phu!$I$36,M1460=phu!$I$37),"Cam Lộc",""),IF(OR(M1460=phu!$I$38,M1460=phu!$I$39,M1460=phu!$I$40,M1460=phu!$I$41,M1460=phu!$I$42,M1460=phu!$I$43,M1460=phu!$I$44),"Cam Thuận",""),IF(OR(M1460=phu!$I$45,M1460=phu!$I$46,M1460=phu!$I$47,M1460=phu!$I$48,M1460=phu!$I$49,M1460=phu!$I$50,M1460=phu!$I$51,M1460=phu!$I$52,M1460=phu!$I$53),"Cam Linh",""),IF(OR(M1460=phu!$I$54,M1460=phu!$I$55,M1460=phu!$I$56,M1460=phu!$I$57,M1460=phu!$I$58,M1460=phu!$I$59,M1460=phu!$I$60,M1460=phu!$I$61,M1460=phu!$I$62),"Cam Lợi",""),IF(OR(M1460=phu!$I$63,M1460=phu!$I$64,M1460=phu!$I$65,M1460=phu!$I$66,M1460=phu!$I$67,M1460=phu!$I$68,M1460=phu!$I$69,M1460=phu!$I$70,M1460=phu!$I$71),"Ba Ngòi",""),IF(OR(M1460=phu!$I$72,M1460=phu!$I$73,M1460=phu!$I$74,M1460=phu!$I$75,M1460=phu!$I$76,M1460=phu!$I$77,M1460=phu!$I$78),"Cam Phước Đông",""),IF(OR(M1460=phu!$I$79,M1460=phu!$I$80,M1460=phu!$I$81,M1460=phu!$I$82,M1460=phu!$I$83,M1460=phu!$I$84),"Cam Thịnh Đông",""),IF(OR(M1460=phu!$I$85,M1460=phu!$I$86,M1460=phu!$I$87,M1460=phu!$I$88),"Cam Thịnh Tây",""),IF(OR(M1460=phu!$I$89,M1460=phu!$I$90),"Cam Lập",""),IF(OR(M1460=phu!$I$91,M1460=phu!$I$92,M1460=phu!$I$93),"Cam Bình",""),IF(OR(M1460=phu!$I$94,M1460=phu!$I$95,M1460=phu!$I$96,M1460=phu!$I$97,M1460=phu!$I$98,M1460=phu!$I$99,M1460=phu!$I$100),"Huyện khác",""),IF(OR(M1460=phu!$I$101,M1460=phu!$I$102),"Tỉnh khác",""))</f>
        <v/>
      </c>
      <c r="O1460" s="829" t="str">
        <f t="shared" si="132"/>
        <v/>
      </c>
      <c r="P1460" s="254"/>
      <c r="Q1460" s="254"/>
      <c r="R1460" s="254"/>
      <c r="S1460" s="254"/>
      <c r="T1460" s="254"/>
      <c r="U1460" s="254"/>
      <c r="V1460" s="254"/>
      <c r="W1460" s="254"/>
      <c r="Y1460" s="246" t="str">
        <f t="shared" si="133"/>
        <v/>
      </c>
      <c r="Z1460" s="247" t="str">
        <f t="shared" si="137"/>
        <v/>
      </c>
      <c r="AA1460" s="246" t="str">
        <f t="shared" si="134"/>
        <v/>
      </c>
    </row>
    <row r="1461" spans="1:27" x14ac:dyDescent="0.25">
      <c r="A1461" s="248" t="str">
        <f t="shared" si="135"/>
        <v/>
      </c>
      <c r="B1461" s="249" t="str">
        <f t="shared" si="136"/>
        <v/>
      </c>
      <c r="C1461" s="250"/>
      <c r="D1461" s="251"/>
      <c r="E1461" s="241"/>
      <c r="F1461" s="252"/>
      <c r="G1461" s="252"/>
      <c r="H1461" s="253"/>
      <c r="I1461" s="250"/>
      <c r="J1461" s="250"/>
      <c r="K1461" s="270"/>
      <c r="L1461" s="250"/>
      <c r="M1461" s="250"/>
      <c r="N1461" s="540" t="str">
        <f>CONCATENATE(IF(OR(M1461=phu!$I$1,M1461=phu!$I$2,M1461=phu!$I$3),"Cam Thành Nam",""),IF(OR(M1461=phu!$I$4,M1461=phu!$I$5,M1461=phu!$I$6,M1461=phu!$I$7,M1461=phu!$I$8,M1461=phu!$I$9,M1461=phu!$I$10,M1461=phu!$I$11,M1461=phu!$I$12,M1461=phu!$I$13,M1461=phu!$I$14),"Cam Nghĩa",""),IF(OR(M1461=phu!$I$15,M1461=phu!$I$16,M1461=phu!$I$17,M1461=phu!$I$18,M1461=phu!$I$19,M1461=phu!$I$20,M1461=phu!$I$21),"Cam Phúc Bắc",""),IF(OR(M1461=phu!$I$22,M1461=phu!$I$23,M1461=phu!$I$24,M1461=phu!$I$25),"Cam Phúc Nam",""),IF(OR(M1461=phu!$I$26,M1461=phu!$I$27,M1461=phu!$I$28,M1461=phu!$I$29,M1461=phu!$I$30,M1461=phu!$I$31),"Cam Phú",""),IF(OR(M1461=phu!$I$32,M1461=phu!$I$33,M1461=phu!$I$34,M1461=phu!$I$35,M1461=phu!$I$36,M1461=phu!$I$37),"Cam Lộc",""),IF(OR(M1461=phu!$I$38,M1461=phu!$I$39,M1461=phu!$I$40,M1461=phu!$I$41,M1461=phu!$I$42,M1461=phu!$I$43,M1461=phu!$I$44),"Cam Thuận",""),IF(OR(M1461=phu!$I$45,M1461=phu!$I$46,M1461=phu!$I$47,M1461=phu!$I$48,M1461=phu!$I$49,M1461=phu!$I$50,M1461=phu!$I$51,M1461=phu!$I$52,M1461=phu!$I$53),"Cam Linh",""),IF(OR(M1461=phu!$I$54,M1461=phu!$I$55,M1461=phu!$I$56,M1461=phu!$I$57,M1461=phu!$I$58,M1461=phu!$I$59,M1461=phu!$I$60,M1461=phu!$I$61,M1461=phu!$I$62),"Cam Lợi",""),IF(OR(M1461=phu!$I$63,M1461=phu!$I$64,M1461=phu!$I$65,M1461=phu!$I$66,M1461=phu!$I$67,M1461=phu!$I$68,M1461=phu!$I$69,M1461=phu!$I$70,M1461=phu!$I$71),"Ba Ngòi",""),IF(OR(M1461=phu!$I$72,M1461=phu!$I$73,M1461=phu!$I$74,M1461=phu!$I$75,M1461=phu!$I$76,M1461=phu!$I$77,M1461=phu!$I$78),"Cam Phước Đông",""),IF(OR(M1461=phu!$I$79,M1461=phu!$I$80,M1461=phu!$I$81,M1461=phu!$I$82,M1461=phu!$I$83,M1461=phu!$I$84),"Cam Thịnh Đông",""),IF(OR(M1461=phu!$I$85,M1461=phu!$I$86,M1461=phu!$I$87,M1461=phu!$I$88),"Cam Thịnh Tây",""),IF(OR(M1461=phu!$I$89,M1461=phu!$I$90),"Cam Lập",""),IF(OR(M1461=phu!$I$91,M1461=phu!$I$92,M1461=phu!$I$93),"Cam Bình",""),IF(OR(M1461=phu!$I$94,M1461=phu!$I$95,M1461=phu!$I$96,M1461=phu!$I$97,M1461=phu!$I$98,M1461=phu!$I$99,M1461=phu!$I$100),"Huyện khác",""),IF(OR(M1461=phu!$I$101,M1461=phu!$I$102),"Tỉnh khác",""))</f>
        <v/>
      </c>
      <c r="O1461" s="829" t="str">
        <f t="shared" si="132"/>
        <v/>
      </c>
      <c r="P1461" s="254"/>
      <c r="Q1461" s="254"/>
      <c r="R1461" s="254"/>
      <c r="S1461" s="254"/>
      <c r="T1461" s="254"/>
      <c r="U1461" s="254"/>
      <c r="V1461" s="254"/>
      <c r="W1461" s="254"/>
      <c r="Y1461" s="246" t="str">
        <f t="shared" si="133"/>
        <v/>
      </c>
      <c r="Z1461" s="247" t="str">
        <f t="shared" si="137"/>
        <v/>
      </c>
      <c r="AA1461" s="246" t="str">
        <f t="shared" si="134"/>
        <v/>
      </c>
    </row>
    <row r="1462" spans="1:27" x14ac:dyDescent="0.25">
      <c r="A1462" s="248" t="str">
        <f t="shared" si="135"/>
        <v/>
      </c>
      <c r="B1462" s="249" t="str">
        <f t="shared" si="136"/>
        <v/>
      </c>
      <c r="C1462" s="250"/>
      <c r="D1462" s="251"/>
      <c r="E1462" s="241"/>
      <c r="F1462" s="252"/>
      <c r="G1462" s="252"/>
      <c r="H1462" s="253"/>
      <c r="I1462" s="250"/>
      <c r="J1462" s="250"/>
      <c r="K1462" s="270"/>
      <c r="L1462" s="250"/>
      <c r="M1462" s="250"/>
      <c r="N1462" s="540" t="str">
        <f>CONCATENATE(IF(OR(M1462=phu!$I$1,M1462=phu!$I$2,M1462=phu!$I$3),"Cam Thành Nam",""),IF(OR(M1462=phu!$I$4,M1462=phu!$I$5,M1462=phu!$I$6,M1462=phu!$I$7,M1462=phu!$I$8,M1462=phu!$I$9,M1462=phu!$I$10,M1462=phu!$I$11,M1462=phu!$I$12,M1462=phu!$I$13,M1462=phu!$I$14),"Cam Nghĩa",""),IF(OR(M1462=phu!$I$15,M1462=phu!$I$16,M1462=phu!$I$17,M1462=phu!$I$18,M1462=phu!$I$19,M1462=phu!$I$20,M1462=phu!$I$21),"Cam Phúc Bắc",""),IF(OR(M1462=phu!$I$22,M1462=phu!$I$23,M1462=phu!$I$24,M1462=phu!$I$25),"Cam Phúc Nam",""),IF(OR(M1462=phu!$I$26,M1462=phu!$I$27,M1462=phu!$I$28,M1462=phu!$I$29,M1462=phu!$I$30,M1462=phu!$I$31),"Cam Phú",""),IF(OR(M1462=phu!$I$32,M1462=phu!$I$33,M1462=phu!$I$34,M1462=phu!$I$35,M1462=phu!$I$36,M1462=phu!$I$37),"Cam Lộc",""),IF(OR(M1462=phu!$I$38,M1462=phu!$I$39,M1462=phu!$I$40,M1462=phu!$I$41,M1462=phu!$I$42,M1462=phu!$I$43,M1462=phu!$I$44),"Cam Thuận",""),IF(OR(M1462=phu!$I$45,M1462=phu!$I$46,M1462=phu!$I$47,M1462=phu!$I$48,M1462=phu!$I$49,M1462=phu!$I$50,M1462=phu!$I$51,M1462=phu!$I$52,M1462=phu!$I$53),"Cam Linh",""),IF(OR(M1462=phu!$I$54,M1462=phu!$I$55,M1462=phu!$I$56,M1462=phu!$I$57,M1462=phu!$I$58,M1462=phu!$I$59,M1462=phu!$I$60,M1462=phu!$I$61,M1462=phu!$I$62),"Cam Lợi",""),IF(OR(M1462=phu!$I$63,M1462=phu!$I$64,M1462=phu!$I$65,M1462=phu!$I$66,M1462=phu!$I$67,M1462=phu!$I$68,M1462=phu!$I$69,M1462=phu!$I$70,M1462=phu!$I$71),"Ba Ngòi",""),IF(OR(M1462=phu!$I$72,M1462=phu!$I$73,M1462=phu!$I$74,M1462=phu!$I$75,M1462=phu!$I$76,M1462=phu!$I$77,M1462=phu!$I$78),"Cam Phước Đông",""),IF(OR(M1462=phu!$I$79,M1462=phu!$I$80,M1462=phu!$I$81,M1462=phu!$I$82,M1462=phu!$I$83,M1462=phu!$I$84),"Cam Thịnh Đông",""),IF(OR(M1462=phu!$I$85,M1462=phu!$I$86,M1462=phu!$I$87,M1462=phu!$I$88),"Cam Thịnh Tây",""),IF(OR(M1462=phu!$I$89,M1462=phu!$I$90),"Cam Lập",""),IF(OR(M1462=phu!$I$91,M1462=phu!$I$92,M1462=phu!$I$93),"Cam Bình",""),IF(OR(M1462=phu!$I$94,M1462=phu!$I$95,M1462=phu!$I$96,M1462=phu!$I$97,M1462=phu!$I$98,M1462=phu!$I$99,M1462=phu!$I$100),"Huyện khác",""),IF(OR(M1462=phu!$I$101,M1462=phu!$I$102),"Tỉnh khác",""))</f>
        <v/>
      </c>
      <c r="O1462" s="829" t="str">
        <f t="shared" si="132"/>
        <v/>
      </c>
      <c r="P1462" s="254"/>
      <c r="Q1462" s="254"/>
      <c r="R1462" s="254"/>
      <c r="S1462" s="254"/>
      <c r="T1462" s="254"/>
      <c r="U1462" s="254"/>
      <c r="V1462" s="254"/>
      <c r="W1462" s="254"/>
      <c r="Y1462" s="246" t="str">
        <f t="shared" si="133"/>
        <v/>
      </c>
      <c r="Z1462" s="247" t="str">
        <f t="shared" si="137"/>
        <v/>
      </c>
      <c r="AA1462" s="246" t="str">
        <f t="shared" si="134"/>
        <v/>
      </c>
    </row>
    <row r="1463" spans="1:27" x14ac:dyDescent="0.25">
      <c r="A1463" s="248" t="str">
        <f t="shared" si="135"/>
        <v/>
      </c>
      <c r="B1463" s="249" t="str">
        <f t="shared" si="136"/>
        <v/>
      </c>
      <c r="C1463" s="250"/>
      <c r="D1463" s="251"/>
      <c r="E1463" s="241"/>
      <c r="F1463" s="252"/>
      <c r="G1463" s="252"/>
      <c r="H1463" s="253"/>
      <c r="I1463" s="250"/>
      <c r="J1463" s="250"/>
      <c r="K1463" s="270"/>
      <c r="L1463" s="250"/>
      <c r="M1463" s="250"/>
      <c r="N1463" s="540" t="str">
        <f>CONCATENATE(IF(OR(M1463=phu!$I$1,M1463=phu!$I$2,M1463=phu!$I$3),"Cam Thành Nam",""),IF(OR(M1463=phu!$I$4,M1463=phu!$I$5,M1463=phu!$I$6,M1463=phu!$I$7,M1463=phu!$I$8,M1463=phu!$I$9,M1463=phu!$I$10,M1463=phu!$I$11,M1463=phu!$I$12,M1463=phu!$I$13,M1463=phu!$I$14),"Cam Nghĩa",""),IF(OR(M1463=phu!$I$15,M1463=phu!$I$16,M1463=phu!$I$17,M1463=phu!$I$18,M1463=phu!$I$19,M1463=phu!$I$20,M1463=phu!$I$21),"Cam Phúc Bắc",""),IF(OR(M1463=phu!$I$22,M1463=phu!$I$23,M1463=phu!$I$24,M1463=phu!$I$25),"Cam Phúc Nam",""),IF(OR(M1463=phu!$I$26,M1463=phu!$I$27,M1463=phu!$I$28,M1463=phu!$I$29,M1463=phu!$I$30,M1463=phu!$I$31),"Cam Phú",""),IF(OR(M1463=phu!$I$32,M1463=phu!$I$33,M1463=phu!$I$34,M1463=phu!$I$35,M1463=phu!$I$36,M1463=phu!$I$37),"Cam Lộc",""),IF(OR(M1463=phu!$I$38,M1463=phu!$I$39,M1463=phu!$I$40,M1463=phu!$I$41,M1463=phu!$I$42,M1463=phu!$I$43,M1463=phu!$I$44),"Cam Thuận",""),IF(OR(M1463=phu!$I$45,M1463=phu!$I$46,M1463=phu!$I$47,M1463=phu!$I$48,M1463=phu!$I$49,M1463=phu!$I$50,M1463=phu!$I$51,M1463=phu!$I$52,M1463=phu!$I$53),"Cam Linh",""),IF(OR(M1463=phu!$I$54,M1463=phu!$I$55,M1463=phu!$I$56,M1463=phu!$I$57,M1463=phu!$I$58,M1463=phu!$I$59,M1463=phu!$I$60,M1463=phu!$I$61,M1463=phu!$I$62),"Cam Lợi",""),IF(OR(M1463=phu!$I$63,M1463=phu!$I$64,M1463=phu!$I$65,M1463=phu!$I$66,M1463=phu!$I$67,M1463=phu!$I$68,M1463=phu!$I$69,M1463=phu!$I$70,M1463=phu!$I$71),"Ba Ngòi",""),IF(OR(M1463=phu!$I$72,M1463=phu!$I$73,M1463=phu!$I$74,M1463=phu!$I$75,M1463=phu!$I$76,M1463=phu!$I$77,M1463=phu!$I$78),"Cam Phước Đông",""),IF(OR(M1463=phu!$I$79,M1463=phu!$I$80,M1463=phu!$I$81,M1463=phu!$I$82,M1463=phu!$I$83,M1463=phu!$I$84),"Cam Thịnh Đông",""),IF(OR(M1463=phu!$I$85,M1463=phu!$I$86,M1463=phu!$I$87,M1463=phu!$I$88),"Cam Thịnh Tây",""),IF(OR(M1463=phu!$I$89,M1463=phu!$I$90),"Cam Lập",""),IF(OR(M1463=phu!$I$91,M1463=phu!$I$92,M1463=phu!$I$93),"Cam Bình",""),IF(OR(M1463=phu!$I$94,M1463=phu!$I$95,M1463=phu!$I$96,M1463=phu!$I$97,M1463=phu!$I$98,M1463=phu!$I$99,M1463=phu!$I$100),"Huyện khác",""),IF(OR(M1463=phu!$I$101,M1463=phu!$I$102),"Tỉnh khác",""))</f>
        <v/>
      </c>
      <c r="O1463" s="829" t="str">
        <f t="shared" si="132"/>
        <v/>
      </c>
      <c r="P1463" s="254"/>
      <c r="Q1463" s="254"/>
      <c r="R1463" s="254"/>
      <c r="S1463" s="254"/>
      <c r="T1463" s="254"/>
      <c r="U1463" s="254"/>
      <c r="V1463" s="254"/>
      <c r="W1463" s="254"/>
      <c r="Y1463" s="246" t="str">
        <f t="shared" si="133"/>
        <v/>
      </c>
      <c r="Z1463" s="247" t="str">
        <f t="shared" si="137"/>
        <v/>
      </c>
      <c r="AA1463" s="246" t="str">
        <f t="shared" si="134"/>
        <v/>
      </c>
    </row>
    <row r="1464" spans="1:27" x14ac:dyDescent="0.25">
      <c r="A1464" s="248" t="str">
        <f t="shared" si="135"/>
        <v/>
      </c>
      <c r="B1464" s="249" t="str">
        <f t="shared" si="136"/>
        <v/>
      </c>
      <c r="C1464" s="250"/>
      <c r="D1464" s="251"/>
      <c r="E1464" s="241"/>
      <c r="F1464" s="252"/>
      <c r="G1464" s="252"/>
      <c r="H1464" s="253"/>
      <c r="I1464" s="250"/>
      <c r="J1464" s="250"/>
      <c r="K1464" s="270"/>
      <c r="L1464" s="250"/>
      <c r="M1464" s="250"/>
      <c r="N1464" s="540" t="str">
        <f>CONCATENATE(IF(OR(M1464=phu!$I$1,M1464=phu!$I$2,M1464=phu!$I$3),"Cam Thành Nam",""),IF(OR(M1464=phu!$I$4,M1464=phu!$I$5,M1464=phu!$I$6,M1464=phu!$I$7,M1464=phu!$I$8,M1464=phu!$I$9,M1464=phu!$I$10,M1464=phu!$I$11,M1464=phu!$I$12,M1464=phu!$I$13,M1464=phu!$I$14),"Cam Nghĩa",""),IF(OR(M1464=phu!$I$15,M1464=phu!$I$16,M1464=phu!$I$17,M1464=phu!$I$18,M1464=phu!$I$19,M1464=phu!$I$20,M1464=phu!$I$21),"Cam Phúc Bắc",""),IF(OR(M1464=phu!$I$22,M1464=phu!$I$23,M1464=phu!$I$24,M1464=phu!$I$25),"Cam Phúc Nam",""),IF(OR(M1464=phu!$I$26,M1464=phu!$I$27,M1464=phu!$I$28,M1464=phu!$I$29,M1464=phu!$I$30,M1464=phu!$I$31),"Cam Phú",""),IF(OR(M1464=phu!$I$32,M1464=phu!$I$33,M1464=phu!$I$34,M1464=phu!$I$35,M1464=phu!$I$36,M1464=phu!$I$37),"Cam Lộc",""),IF(OR(M1464=phu!$I$38,M1464=phu!$I$39,M1464=phu!$I$40,M1464=phu!$I$41,M1464=phu!$I$42,M1464=phu!$I$43,M1464=phu!$I$44),"Cam Thuận",""),IF(OR(M1464=phu!$I$45,M1464=phu!$I$46,M1464=phu!$I$47,M1464=phu!$I$48,M1464=phu!$I$49,M1464=phu!$I$50,M1464=phu!$I$51,M1464=phu!$I$52,M1464=phu!$I$53),"Cam Linh",""),IF(OR(M1464=phu!$I$54,M1464=phu!$I$55,M1464=phu!$I$56,M1464=phu!$I$57,M1464=phu!$I$58,M1464=phu!$I$59,M1464=phu!$I$60,M1464=phu!$I$61,M1464=phu!$I$62),"Cam Lợi",""),IF(OR(M1464=phu!$I$63,M1464=phu!$I$64,M1464=phu!$I$65,M1464=phu!$I$66,M1464=phu!$I$67,M1464=phu!$I$68,M1464=phu!$I$69,M1464=phu!$I$70,M1464=phu!$I$71),"Ba Ngòi",""),IF(OR(M1464=phu!$I$72,M1464=phu!$I$73,M1464=phu!$I$74,M1464=phu!$I$75,M1464=phu!$I$76,M1464=phu!$I$77,M1464=phu!$I$78),"Cam Phước Đông",""),IF(OR(M1464=phu!$I$79,M1464=phu!$I$80,M1464=phu!$I$81,M1464=phu!$I$82,M1464=phu!$I$83,M1464=phu!$I$84),"Cam Thịnh Đông",""),IF(OR(M1464=phu!$I$85,M1464=phu!$I$86,M1464=phu!$I$87,M1464=phu!$I$88),"Cam Thịnh Tây",""),IF(OR(M1464=phu!$I$89,M1464=phu!$I$90),"Cam Lập",""),IF(OR(M1464=phu!$I$91,M1464=phu!$I$92,M1464=phu!$I$93),"Cam Bình",""),IF(OR(M1464=phu!$I$94,M1464=phu!$I$95,M1464=phu!$I$96,M1464=phu!$I$97,M1464=phu!$I$98,M1464=phu!$I$99,M1464=phu!$I$100),"Huyện khác",""),IF(OR(M1464=phu!$I$101,M1464=phu!$I$102),"Tỉnh khác",""))</f>
        <v/>
      </c>
      <c r="O1464" s="829" t="str">
        <f t="shared" si="132"/>
        <v/>
      </c>
      <c r="P1464" s="254"/>
      <c r="Q1464" s="254"/>
      <c r="R1464" s="254"/>
      <c r="S1464" s="254"/>
      <c r="T1464" s="254"/>
      <c r="U1464" s="254"/>
      <c r="V1464" s="254"/>
      <c r="W1464" s="254"/>
      <c r="Y1464" s="246" t="str">
        <f t="shared" si="133"/>
        <v/>
      </c>
      <c r="Z1464" s="247" t="str">
        <f t="shared" si="137"/>
        <v/>
      </c>
      <c r="AA1464" s="246" t="str">
        <f t="shared" si="134"/>
        <v/>
      </c>
    </row>
    <row r="1465" spans="1:27" x14ac:dyDescent="0.25">
      <c r="A1465" s="248" t="str">
        <f t="shared" si="135"/>
        <v/>
      </c>
      <c r="B1465" s="249" t="str">
        <f t="shared" si="136"/>
        <v/>
      </c>
      <c r="C1465" s="250"/>
      <c r="D1465" s="251"/>
      <c r="E1465" s="241"/>
      <c r="F1465" s="252"/>
      <c r="G1465" s="252"/>
      <c r="H1465" s="253"/>
      <c r="I1465" s="250"/>
      <c r="J1465" s="250"/>
      <c r="K1465" s="270"/>
      <c r="L1465" s="250"/>
      <c r="M1465" s="250"/>
      <c r="N1465" s="540" t="str">
        <f>CONCATENATE(IF(OR(M1465=phu!$I$1,M1465=phu!$I$2,M1465=phu!$I$3),"Cam Thành Nam",""),IF(OR(M1465=phu!$I$4,M1465=phu!$I$5,M1465=phu!$I$6,M1465=phu!$I$7,M1465=phu!$I$8,M1465=phu!$I$9,M1465=phu!$I$10,M1465=phu!$I$11,M1465=phu!$I$12,M1465=phu!$I$13,M1465=phu!$I$14),"Cam Nghĩa",""),IF(OR(M1465=phu!$I$15,M1465=phu!$I$16,M1465=phu!$I$17,M1465=phu!$I$18,M1465=phu!$I$19,M1465=phu!$I$20,M1465=phu!$I$21),"Cam Phúc Bắc",""),IF(OR(M1465=phu!$I$22,M1465=phu!$I$23,M1465=phu!$I$24,M1465=phu!$I$25),"Cam Phúc Nam",""),IF(OR(M1465=phu!$I$26,M1465=phu!$I$27,M1465=phu!$I$28,M1465=phu!$I$29,M1465=phu!$I$30,M1465=phu!$I$31),"Cam Phú",""),IF(OR(M1465=phu!$I$32,M1465=phu!$I$33,M1465=phu!$I$34,M1465=phu!$I$35,M1465=phu!$I$36,M1465=phu!$I$37),"Cam Lộc",""),IF(OR(M1465=phu!$I$38,M1465=phu!$I$39,M1465=phu!$I$40,M1465=phu!$I$41,M1465=phu!$I$42,M1465=phu!$I$43,M1465=phu!$I$44),"Cam Thuận",""),IF(OR(M1465=phu!$I$45,M1465=phu!$I$46,M1465=phu!$I$47,M1465=phu!$I$48,M1465=phu!$I$49,M1465=phu!$I$50,M1465=phu!$I$51,M1465=phu!$I$52,M1465=phu!$I$53),"Cam Linh",""),IF(OR(M1465=phu!$I$54,M1465=phu!$I$55,M1465=phu!$I$56,M1465=phu!$I$57,M1465=phu!$I$58,M1465=phu!$I$59,M1465=phu!$I$60,M1465=phu!$I$61,M1465=phu!$I$62),"Cam Lợi",""),IF(OR(M1465=phu!$I$63,M1465=phu!$I$64,M1465=phu!$I$65,M1465=phu!$I$66,M1465=phu!$I$67,M1465=phu!$I$68,M1465=phu!$I$69,M1465=phu!$I$70,M1465=phu!$I$71),"Ba Ngòi",""),IF(OR(M1465=phu!$I$72,M1465=phu!$I$73,M1465=phu!$I$74,M1465=phu!$I$75,M1465=phu!$I$76,M1465=phu!$I$77,M1465=phu!$I$78),"Cam Phước Đông",""),IF(OR(M1465=phu!$I$79,M1465=phu!$I$80,M1465=phu!$I$81,M1465=phu!$I$82,M1465=phu!$I$83,M1465=phu!$I$84),"Cam Thịnh Đông",""),IF(OR(M1465=phu!$I$85,M1465=phu!$I$86,M1465=phu!$I$87,M1465=phu!$I$88),"Cam Thịnh Tây",""),IF(OR(M1465=phu!$I$89,M1465=phu!$I$90),"Cam Lập",""),IF(OR(M1465=phu!$I$91,M1465=phu!$I$92,M1465=phu!$I$93),"Cam Bình",""),IF(OR(M1465=phu!$I$94,M1465=phu!$I$95,M1465=phu!$I$96,M1465=phu!$I$97,M1465=phu!$I$98,M1465=phu!$I$99,M1465=phu!$I$100),"Huyện khác",""),IF(OR(M1465=phu!$I$101,M1465=phu!$I$102),"Tỉnh khác",""))</f>
        <v/>
      </c>
      <c r="O1465" s="829" t="str">
        <f t="shared" si="132"/>
        <v/>
      </c>
      <c r="P1465" s="254"/>
      <c r="Q1465" s="254"/>
      <c r="R1465" s="254"/>
      <c r="S1465" s="254"/>
      <c r="T1465" s="254"/>
      <c r="U1465" s="254"/>
      <c r="V1465" s="254"/>
      <c r="W1465" s="254"/>
      <c r="Y1465" s="246" t="str">
        <f t="shared" si="133"/>
        <v/>
      </c>
      <c r="Z1465" s="247" t="str">
        <f t="shared" si="137"/>
        <v/>
      </c>
      <c r="AA1465" s="246" t="str">
        <f t="shared" si="134"/>
        <v/>
      </c>
    </row>
    <row r="1466" spans="1:27" x14ac:dyDescent="0.25">
      <c r="A1466" s="248" t="str">
        <f t="shared" si="135"/>
        <v/>
      </c>
      <c r="B1466" s="249" t="str">
        <f t="shared" si="136"/>
        <v/>
      </c>
      <c r="C1466" s="250"/>
      <c r="D1466" s="251"/>
      <c r="E1466" s="241"/>
      <c r="F1466" s="252"/>
      <c r="G1466" s="252"/>
      <c r="H1466" s="253"/>
      <c r="I1466" s="250"/>
      <c r="J1466" s="250"/>
      <c r="K1466" s="270"/>
      <c r="L1466" s="250"/>
      <c r="M1466" s="250"/>
      <c r="N1466" s="540" t="str">
        <f>CONCATENATE(IF(OR(M1466=phu!$I$1,M1466=phu!$I$2,M1466=phu!$I$3),"Cam Thành Nam",""),IF(OR(M1466=phu!$I$4,M1466=phu!$I$5,M1466=phu!$I$6,M1466=phu!$I$7,M1466=phu!$I$8,M1466=phu!$I$9,M1466=phu!$I$10,M1466=phu!$I$11,M1466=phu!$I$12,M1466=phu!$I$13,M1466=phu!$I$14),"Cam Nghĩa",""),IF(OR(M1466=phu!$I$15,M1466=phu!$I$16,M1466=phu!$I$17,M1466=phu!$I$18,M1466=phu!$I$19,M1466=phu!$I$20,M1466=phu!$I$21),"Cam Phúc Bắc",""),IF(OR(M1466=phu!$I$22,M1466=phu!$I$23,M1466=phu!$I$24,M1466=phu!$I$25),"Cam Phúc Nam",""),IF(OR(M1466=phu!$I$26,M1466=phu!$I$27,M1466=phu!$I$28,M1466=phu!$I$29,M1466=phu!$I$30,M1466=phu!$I$31),"Cam Phú",""),IF(OR(M1466=phu!$I$32,M1466=phu!$I$33,M1466=phu!$I$34,M1466=phu!$I$35,M1466=phu!$I$36,M1466=phu!$I$37),"Cam Lộc",""),IF(OR(M1466=phu!$I$38,M1466=phu!$I$39,M1466=phu!$I$40,M1466=phu!$I$41,M1466=phu!$I$42,M1466=phu!$I$43,M1466=phu!$I$44),"Cam Thuận",""),IF(OR(M1466=phu!$I$45,M1466=phu!$I$46,M1466=phu!$I$47,M1466=phu!$I$48,M1466=phu!$I$49,M1466=phu!$I$50,M1466=phu!$I$51,M1466=phu!$I$52,M1466=phu!$I$53),"Cam Linh",""),IF(OR(M1466=phu!$I$54,M1466=phu!$I$55,M1466=phu!$I$56,M1466=phu!$I$57,M1466=phu!$I$58,M1466=phu!$I$59,M1466=phu!$I$60,M1466=phu!$I$61,M1466=phu!$I$62),"Cam Lợi",""),IF(OR(M1466=phu!$I$63,M1466=phu!$I$64,M1466=phu!$I$65,M1466=phu!$I$66,M1466=phu!$I$67,M1466=phu!$I$68,M1466=phu!$I$69,M1466=phu!$I$70,M1466=phu!$I$71),"Ba Ngòi",""),IF(OR(M1466=phu!$I$72,M1466=phu!$I$73,M1466=phu!$I$74,M1466=phu!$I$75,M1466=phu!$I$76,M1466=phu!$I$77,M1466=phu!$I$78),"Cam Phước Đông",""),IF(OR(M1466=phu!$I$79,M1466=phu!$I$80,M1466=phu!$I$81,M1466=phu!$I$82,M1466=phu!$I$83,M1466=phu!$I$84),"Cam Thịnh Đông",""),IF(OR(M1466=phu!$I$85,M1466=phu!$I$86,M1466=phu!$I$87,M1466=phu!$I$88),"Cam Thịnh Tây",""),IF(OR(M1466=phu!$I$89,M1466=phu!$I$90),"Cam Lập",""),IF(OR(M1466=phu!$I$91,M1466=phu!$I$92,M1466=phu!$I$93),"Cam Bình",""),IF(OR(M1466=phu!$I$94,M1466=phu!$I$95,M1466=phu!$I$96,M1466=phu!$I$97,M1466=phu!$I$98,M1466=phu!$I$99,M1466=phu!$I$100),"Huyện khác",""),IF(OR(M1466=phu!$I$101,M1466=phu!$I$102),"Tỉnh khác",""))</f>
        <v/>
      </c>
      <c r="O1466" s="829" t="str">
        <f t="shared" si="132"/>
        <v/>
      </c>
      <c r="P1466" s="254"/>
      <c r="Q1466" s="254"/>
      <c r="R1466" s="254"/>
      <c r="S1466" s="254"/>
      <c r="T1466" s="254"/>
      <c r="U1466" s="254"/>
      <c r="V1466" s="254"/>
      <c r="W1466" s="254"/>
      <c r="Y1466" s="246" t="str">
        <f t="shared" si="133"/>
        <v/>
      </c>
      <c r="Z1466" s="247" t="str">
        <f t="shared" si="137"/>
        <v/>
      </c>
      <c r="AA1466" s="246" t="str">
        <f t="shared" si="134"/>
        <v/>
      </c>
    </row>
    <row r="1467" spans="1:27" x14ac:dyDescent="0.25">
      <c r="A1467" s="248" t="str">
        <f t="shared" si="135"/>
        <v/>
      </c>
      <c r="B1467" s="249" t="str">
        <f t="shared" si="136"/>
        <v/>
      </c>
      <c r="C1467" s="250"/>
      <c r="D1467" s="251"/>
      <c r="E1467" s="241"/>
      <c r="F1467" s="252"/>
      <c r="G1467" s="252"/>
      <c r="H1467" s="253"/>
      <c r="I1467" s="250"/>
      <c r="J1467" s="250"/>
      <c r="K1467" s="270"/>
      <c r="L1467" s="250"/>
      <c r="M1467" s="250"/>
      <c r="N1467" s="540" t="str">
        <f>CONCATENATE(IF(OR(M1467=phu!$I$1,M1467=phu!$I$2,M1467=phu!$I$3),"Cam Thành Nam",""),IF(OR(M1467=phu!$I$4,M1467=phu!$I$5,M1467=phu!$I$6,M1467=phu!$I$7,M1467=phu!$I$8,M1467=phu!$I$9,M1467=phu!$I$10,M1467=phu!$I$11,M1467=phu!$I$12,M1467=phu!$I$13,M1467=phu!$I$14),"Cam Nghĩa",""),IF(OR(M1467=phu!$I$15,M1467=phu!$I$16,M1467=phu!$I$17,M1467=phu!$I$18,M1467=phu!$I$19,M1467=phu!$I$20,M1467=phu!$I$21),"Cam Phúc Bắc",""),IF(OR(M1467=phu!$I$22,M1467=phu!$I$23,M1467=phu!$I$24,M1467=phu!$I$25),"Cam Phúc Nam",""),IF(OR(M1467=phu!$I$26,M1467=phu!$I$27,M1467=phu!$I$28,M1467=phu!$I$29,M1467=phu!$I$30,M1467=phu!$I$31),"Cam Phú",""),IF(OR(M1467=phu!$I$32,M1467=phu!$I$33,M1467=phu!$I$34,M1467=phu!$I$35,M1467=phu!$I$36,M1467=phu!$I$37),"Cam Lộc",""),IF(OR(M1467=phu!$I$38,M1467=phu!$I$39,M1467=phu!$I$40,M1467=phu!$I$41,M1467=phu!$I$42,M1467=phu!$I$43,M1467=phu!$I$44),"Cam Thuận",""),IF(OR(M1467=phu!$I$45,M1467=phu!$I$46,M1467=phu!$I$47,M1467=phu!$I$48,M1467=phu!$I$49,M1467=phu!$I$50,M1467=phu!$I$51,M1467=phu!$I$52,M1467=phu!$I$53),"Cam Linh",""),IF(OR(M1467=phu!$I$54,M1467=phu!$I$55,M1467=phu!$I$56,M1467=phu!$I$57,M1467=phu!$I$58,M1467=phu!$I$59,M1467=phu!$I$60,M1467=phu!$I$61,M1467=phu!$I$62),"Cam Lợi",""),IF(OR(M1467=phu!$I$63,M1467=phu!$I$64,M1467=phu!$I$65,M1467=phu!$I$66,M1467=phu!$I$67,M1467=phu!$I$68,M1467=phu!$I$69,M1467=phu!$I$70,M1467=phu!$I$71),"Ba Ngòi",""),IF(OR(M1467=phu!$I$72,M1467=phu!$I$73,M1467=phu!$I$74,M1467=phu!$I$75,M1467=phu!$I$76,M1467=phu!$I$77,M1467=phu!$I$78),"Cam Phước Đông",""),IF(OR(M1467=phu!$I$79,M1467=phu!$I$80,M1467=phu!$I$81,M1467=phu!$I$82,M1467=phu!$I$83,M1467=phu!$I$84),"Cam Thịnh Đông",""),IF(OR(M1467=phu!$I$85,M1467=phu!$I$86,M1467=phu!$I$87,M1467=phu!$I$88),"Cam Thịnh Tây",""),IF(OR(M1467=phu!$I$89,M1467=phu!$I$90),"Cam Lập",""),IF(OR(M1467=phu!$I$91,M1467=phu!$I$92,M1467=phu!$I$93),"Cam Bình",""),IF(OR(M1467=phu!$I$94,M1467=phu!$I$95,M1467=phu!$I$96,M1467=phu!$I$97,M1467=phu!$I$98,M1467=phu!$I$99,M1467=phu!$I$100),"Huyện khác",""),IF(OR(M1467=phu!$I$101,M1467=phu!$I$102),"Tỉnh khác",""))</f>
        <v/>
      </c>
      <c r="O1467" s="829" t="str">
        <f t="shared" si="132"/>
        <v/>
      </c>
      <c r="P1467" s="254"/>
      <c r="Q1467" s="254"/>
      <c r="R1467" s="254"/>
      <c r="S1467" s="254"/>
      <c r="T1467" s="254"/>
      <c r="U1467" s="254"/>
      <c r="V1467" s="254"/>
      <c r="W1467" s="254"/>
      <c r="Y1467" s="246" t="str">
        <f t="shared" si="133"/>
        <v/>
      </c>
      <c r="Z1467" s="247" t="str">
        <f t="shared" si="137"/>
        <v/>
      </c>
      <c r="AA1467" s="246" t="str">
        <f t="shared" si="134"/>
        <v/>
      </c>
    </row>
    <row r="1468" spans="1:27" x14ac:dyDescent="0.25">
      <c r="A1468" s="248" t="str">
        <f t="shared" si="135"/>
        <v/>
      </c>
      <c r="B1468" s="249" t="str">
        <f t="shared" si="136"/>
        <v/>
      </c>
      <c r="C1468" s="250"/>
      <c r="D1468" s="251"/>
      <c r="E1468" s="241"/>
      <c r="F1468" s="252"/>
      <c r="G1468" s="252"/>
      <c r="H1468" s="253"/>
      <c r="I1468" s="250"/>
      <c r="J1468" s="250"/>
      <c r="K1468" s="270"/>
      <c r="L1468" s="250"/>
      <c r="M1468" s="250"/>
      <c r="N1468" s="540" t="str">
        <f>CONCATENATE(IF(OR(M1468=phu!$I$1,M1468=phu!$I$2,M1468=phu!$I$3),"Cam Thành Nam",""),IF(OR(M1468=phu!$I$4,M1468=phu!$I$5,M1468=phu!$I$6,M1468=phu!$I$7,M1468=phu!$I$8,M1468=phu!$I$9,M1468=phu!$I$10,M1468=phu!$I$11,M1468=phu!$I$12,M1468=phu!$I$13,M1468=phu!$I$14),"Cam Nghĩa",""),IF(OR(M1468=phu!$I$15,M1468=phu!$I$16,M1468=phu!$I$17,M1468=phu!$I$18,M1468=phu!$I$19,M1468=phu!$I$20,M1468=phu!$I$21),"Cam Phúc Bắc",""),IF(OR(M1468=phu!$I$22,M1468=phu!$I$23,M1468=phu!$I$24,M1468=phu!$I$25),"Cam Phúc Nam",""),IF(OR(M1468=phu!$I$26,M1468=phu!$I$27,M1468=phu!$I$28,M1468=phu!$I$29,M1468=phu!$I$30,M1468=phu!$I$31),"Cam Phú",""),IF(OR(M1468=phu!$I$32,M1468=phu!$I$33,M1468=phu!$I$34,M1468=phu!$I$35,M1468=phu!$I$36,M1468=phu!$I$37),"Cam Lộc",""),IF(OR(M1468=phu!$I$38,M1468=phu!$I$39,M1468=phu!$I$40,M1468=phu!$I$41,M1468=phu!$I$42,M1468=phu!$I$43,M1468=phu!$I$44),"Cam Thuận",""),IF(OR(M1468=phu!$I$45,M1468=phu!$I$46,M1468=phu!$I$47,M1468=phu!$I$48,M1468=phu!$I$49,M1468=phu!$I$50,M1468=phu!$I$51,M1468=phu!$I$52,M1468=phu!$I$53),"Cam Linh",""),IF(OR(M1468=phu!$I$54,M1468=phu!$I$55,M1468=phu!$I$56,M1468=phu!$I$57,M1468=phu!$I$58,M1468=phu!$I$59,M1468=phu!$I$60,M1468=phu!$I$61,M1468=phu!$I$62),"Cam Lợi",""),IF(OR(M1468=phu!$I$63,M1468=phu!$I$64,M1468=phu!$I$65,M1468=phu!$I$66,M1468=phu!$I$67,M1468=phu!$I$68,M1468=phu!$I$69,M1468=phu!$I$70,M1468=phu!$I$71),"Ba Ngòi",""),IF(OR(M1468=phu!$I$72,M1468=phu!$I$73,M1468=phu!$I$74,M1468=phu!$I$75,M1468=phu!$I$76,M1468=phu!$I$77,M1468=phu!$I$78),"Cam Phước Đông",""),IF(OR(M1468=phu!$I$79,M1468=phu!$I$80,M1468=phu!$I$81,M1468=phu!$I$82,M1468=phu!$I$83,M1468=phu!$I$84),"Cam Thịnh Đông",""),IF(OR(M1468=phu!$I$85,M1468=phu!$I$86,M1468=phu!$I$87,M1468=phu!$I$88),"Cam Thịnh Tây",""),IF(OR(M1468=phu!$I$89,M1468=phu!$I$90),"Cam Lập",""),IF(OR(M1468=phu!$I$91,M1468=phu!$I$92,M1468=phu!$I$93),"Cam Bình",""),IF(OR(M1468=phu!$I$94,M1468=phu!$I$95,M1468=phu!$I$96,M1468=phu!$I$97,M1468=phu!$I$98,M1468=phu!$I$99,M1468=phu!$I$100),"Huyện khác",""),IF(OR(M1468=phu!$I$101,M1468=phu!$I$102),"Tỉnh khác",""))</f>
        <v/>
      </c>
      <c r="O1468" s="829" t="str">
        <f t="shared" si="132"/>
        <v/>
      </c>
      <c r="P1468" s="254"/>
      <c r="Q1468" s="254"/>
      <c r="R1468" s="254"/>
      <c r="S1468" s="254"/>
      <c r="T1468" s="254"/>
      <c r="U1468" s="254"/>
      <c r="V1468" s="254"/>
      <c r="W1468" s="254"/>
      <c r="Y1468" s="246" t="str">
        <f t="shared" si="133"/>
        <v/>
      </c>
      <c r="Z1468" s="247" t="str">
        <f t="shared" si="137"/>
        <v/>
      </c>
      <c r="AA1468" s="246" t="str">
        <f t="shared" si="134"/>
        <v/>
      </c>
    </row>
    <row r="1469" spans="1:27" x14ac:dyDescent="0.25">
      <c r="A1469" s="248" t="str">
        <f t="shared" si="135"/>
        <v/>
      </c>
      <c r="B1469" s="249" t="str">
        <f t="shared" si="136"/>
        <v/>
      </c>
      <c r="C1469" s="250"/>
      <c r="D1469" s="251"/>
      <c r="E1469" s="241"/>
      <c r="F1469" s="252"/>
      <c r="G1469" s="252"/>
      <c r="H1469" s="253"/>
      <c r="I1469" s="250"/>
      <c r="J1469" s="250"/>
      <c r="K1469" s="270"/>
      <c r="L1469" s="250"/>
      <c r="M1469" s="250"/>
      <c r="N1469" s="540" t="str">
        <f>CONCATENATE(IF(OR(M1469=phu!$I$1,M1469=phu!$I$2,M1469=phu!$I$3),"Cam Thành Nam",""),IF(OR(M1469=phu!$I$4,M1469=phu!$I$5,M1469=phu!$I$6,M1469=phu!$I$7,M1469=phu!$I$8,M1469=phu!$I$9,M1469=phu!$I$10,M1469=phu!$I$11,M1469=phu!$I$12,M1469=phu!$I$13,M1469=phu!$I$14),"Cam Nghĩa",""),IF(OR(M1469=phu!$I$15,M1469=phu!$I$16,M1469=phu!$I$17,M1469=phu!$I$18,M1469=phu!$I$19,M1469=phu!$I$20,M1469=phu!$I$21),"Cam Phúc Bắc",""),IF(OR(M1469=phu!$I$22,M1469=phu!$I$23,M1469=phu!$I$24,M1469=phu!$I$25),"Cam Phúc Nam",""),IF(OR(M1469=phu!$I$26,M1469=phu!$I$27,M1469=phu!$I$28,M1469=phu!$I$29,M1469=phu!$I$30,M1469=phu!$I$31),"Cam Phú",""),IF(OR(M1469=phu!$I$32,M1469=phu!$I$33,M1469=phu!$I$34,M1469=phu!$I$35,M1469=phu!$I$36,M1469=phu!$I$37),"Cam Lộc",""),IF(OR(M1469=phu!$I$38,M1469=phu!$I$39,M1469=phu!$I$40,M1469=phu!$I$41,M1469=phu!$I$42,M1469=phu!$I$43,M1469=phu!$I$44),"Cam Thuận",""),IF(OR(M1469=phu!$I$45,M1469=phu!$I$46,M1469=phu!$I$47,M1469=phu!$I$48,M1469=phu!$I$49,M1469=phu!$I$50,M1469=phu!$I$51,M1469=phu!$I$52,M1469=phu!$I$53),"Cam Linh",""),IF(OR(M1469=phu!$I$54,M1469=phu!$I$55,M1469=phu!$I$56,M1469=phu!$I$57,M1469=phu!$I$58,M1469=phu!$I$59,M1469=phu!$I$60,M1469=phu!$I$61,M1469=phu!$I$62),"Cam Lợi",""),IF(OR(M1469=phu!$I$63,M1469=phu!$I$64,M1469=phu!$I$65,M1469=phu!$I$66,M1469=phu!$I$67,M1469=phu!$I$68,M1469=phu!$I$69,M1469=phu!$I$70,M1469=phu!$I$71),"Ba Ngòi",""),IF(OR(M1469=phu!$I$72,M1469=phu!$I$73,M1469=phu!$I$74,M1469=phu!$I$75,M1469=phu!$I$76,M1469=phu!$I$77,M1469=phu!$I$78),"Cam Phước Đông",""),IF(OR(M1469=phu!$I$79,M1469=phu!$I$80,M1469=phu!$I$81,M1469=phu!$I$82,M1469=phu!$I$83,M1469=phu!$I$84),"Cam Thịnh Đông",""),IF(OR(M1469=phu!$I$85,M1469=phu!$I$86,M1469=phu!$I$87,M1469=phu!$I$88),"Cam Thịnh Tây",""),IF(OR(M1469=phu!$I$89,M1469=phu!$I$90),"Cam Lập",""),IF(OR(M1469=phu!$I$91,M1469=phu!$I$92,M1469=phu!$I$93),"Cam Bình",""),IF(OR(M1469=phu!$I$94,M1469=phu!$I$95,M1469=phu!$I$96,M1469=phu!$I$97,M1469=phu!$I$98,M1469=phu!$I$99,M1469=phu!$I$100),"Huyện khác",""),IF(OR(M1469=phu!$I$101,M1469=phu!$I$102),"Tỉnh khác",""))</f>
        <v/>
      </c>
      <c r="O1469" s="829" t="str">
        <f t="shared" si="132"/>
        <v/>
      </c>
      <c r="P1469" s="254"/>
      <c r="Q1469" s="254"/>
      <c r="R1469" s="254"/>
      <c r="S1469" s="254"/>
      <c r="T1469" s="254"/>
      <c r="U1469" s="254"/>
      <c r="V1469" s="254"/>
      <c r="W1469" s="254"/>
      <c r="Y1469" s="246" t="str">
        <f t="shared" si="133"/>
        <v/>
      </c>
      <c r="Z1469" s="247" t="str">
        <f t="shared" si="137"/>
        <v/>
      </c>
      <c r="AA1469" s="246" t="str">
        <f t="shared" si="134"/>
        <v/>
      </c>
    </row>
    <row r="1470" spans="1:27" x14ac:dyDescent="0.25">
      <c r="A1470" s="248" t="str">
        <f t="shared" si="135"/>
        <v/>
      </c>
      <c r="B1470" s="249" t="str">
        <f t="shared" si="136"/>
        <v/>
      </c>
      <c r="C1470" s="250"/>
      <c r="D1470" s="251"/>
      <c r="E1470" s="241"/>
      <c r="F1470" s="252"/>
      <c r="G1470" s="252"/>
      <c r="H1470" s="253"/>
      <c r="I1470" s="250"/>
      <c r="J1470" s="250"/>
      <c r="K1470" s="270"/>
      <c r="L1470" s="250"/>
      <c r="M1470" s="250"/>
      <c r="N1470" s="540" t="str">
        <f>CONCATENATE(IF(OR(M1470=phu!$I$1,M1470=phu!$I$2,M1470=phu!$I$3),"Cam Thành Nam",""),IF(OR(M1470=phu!$I$4,M1470=phu!$I$5,M1470=phu!$I$6,M1470=phu!$I$7,M1470=phu!$I$8,M1470=phu!$I$9,M1470=phu!$I$10,M1470=phu!$I$11,M1470=phu!$I$12,M1470=phu!$I$13,M1470=phu!$I$14),"Cam Nghĩa",""),IF(OR(M1470=phu!$I$15,M1470=phu!$I$16,M1470=phu!$I$17,M1470=phu!$I$18,M1470=phu!$I$19,M1470=phu!$I$20,M1470=phu!$I$21),"Cam Phúc Bắc",""),IF(OR(M1470=phu!$I$22,M1470=phu!$I$23,M1470=phu!$I$24,M1470=phu!$I$25),"Cam Phúc Nam",""),IF(OR(M1470=phu!$I$26,M1470=phu!$I$27,M1470=phu!$I$28,M1470=phu!$I$29,M1470=phu!$I$30,M1470=phu!$I$31),"Cam Phú",""),IF(OR(M1470=phu!$I$32,M1470=phu!$I$33,M1470=phu!$I$34,M1470=phu!$I$35,M1470=phu!$I$36,M1470=phu!$I$37),"Cam Lộc",""),IF(OR(M1470=phu!$I$38,M1470=phu!$I$39,M1470=phu!$I$40,M1470=phu!$I$41,M1470=phu!$I$42,M1470=phu!$I$43,M1470=phu!$I$44),"Cam Thuận",""),IF(OR(M1470=phu!$I$45,M1470=phu!$I$46,M1470=phu!$I$47,M1470=phu!$I$48,M1470=phu!$I$49,M1470=phu!$I$50,M1470=phu!$I$51,M1470=phu!$I$52,M1470=phu!$I$53),"Cam Linh",""),IF(OR(M1470=phu!$I$54,M1470=phu!$I$55,M1470=phu!$I$56,M1470=phu!$I$57,M1470=phu!$I$58,M1470=phu!$I$59,M1470=phu!$I$60,M1470=phu!$I$61,M1470=phu!$I$62),"Cam Lợi",""),IF(OR(M1470=phu!$I$63,M1470=phu!$I$64,M1470=phu!$I$65,M1470=phu!$I$66,M1470=phu!$I$67,M1470=phu!$I$68,M1470=phu!$I$69,M1470=phu!$I$70,M1470=phu!$I$71),"Ba Ngòi",""),IF(OR(M1470=phu!$I$72,M1470=phu!$I$73,M1470=phu!$I$74,M1470=phu!$I$75,M1470=phu!$I$76,M1470=phu!$I$77,M1470=phu!$I$78),"Cam Phước Đông",""),IF(OR(M1470=phu!$I$79,M1470=phu!$I$80,M1470=phu!$I$81,M1470=phu!$I$82,M1470=phu!$I$83,M1470=phu!$I$84),"Cam Thịnh Đông",""),IF(OR(M1470=phu!$I$85,M1470=phu!$I$86,M1470=phu!$I$87,M1470=phu!$I$88),"Cam Thịnh Tây",""),IF(OR(M1470=phu!$I$89,M1470=phu!$I$90),"Cam Lập",""),IF(OR(M1470=phu!$I$91,M1470=phu!$I$92,M1470=phu!$I$93),"Cam Bình",""),IF(OR(M1470=phu!$I$94,M1470=phu!$I$95,M1470=phu!$I$96,M1470=phu!$I$97,M1470=phu!$I$98,M1470=phu!$I$99,M1470=phu!$I$100),"Huyện khác",""),IF(OR(M1470=phu!$I$101,M1470=phu!$I$102),"Tỉnh khác",""))</f>
        <v/>
      </c>
      <c r="O1470" s="829" t="str">
        <f t="shared" si="132"/>
        <v/>
      </c>
      <c r="P1470" s="254"/>
      <c r="Q1470" s="254"/>
      <c r="R1470" s="254"/>
      <c r="S1470" s="254"/>
      <c r="T1470" s="254"/>
      <c r="U1470" s="254"/>
      <c r="V1470" s="254"/>
      <c r="W1470" s="254"/>
      <c r="Y1470" s="246" t="str">
        <f t="shared" si="133"/>
        <v/>
      </c>
      <c r="Z1470" s="247" t="str">
        <f t="shared" si="137"/>
        <v/>
      </c>
      <c r="AA1470" s="246" t="str">
        <f t="shared" si="134"/>
        <v/>
      </c>
    </row>
    <row r="1471" spans="1:27" x14ac:dyDescent="0.25">
      <c r="A1471" s="248" t="str">
        <f t="shared" si="135"/>
        <v/>
      </c>
      <c r="B1471" s="249" t="str">
        <f t="shared" si="136"/>
        <v/>
      </c>
      <c r="C1471" s="250"/>
      <c r="D1471" s="251"/>
      <c r="E1471" s="241"/>
      <c r="F1471" s="252"/>
      <c r="G1471" s="252"/>
      <c r="H1471" s="253"/>
      <c r="I1471" s="250"/>
      <c r="J1471" s="250"/>
      <c r="K1471" s="270"/>
      <c r="L1471" s="250"/>
      <c r="M1471" s="250"/>
      <c r="N1471" s="540" t="str">
        <f>CONCATENATE(IF(OR(M1471=phu!$I$1,M1471=phu!$I$2,M1471=phu!$I$3),"Cam Thành Nam",""),IF(OR(M1471=phu!$I$4,M1471=phu!$I$5,M1471=phu!$I$6,M1471=phu!$I$7,M1471=phu!$I$8,M1471=phu!$I$9,M1471=phu!$I$10,M1471=phu!$I$11,M1471=phu!$I$12,M1471=phu!$I$13,M1471=phu!$I$14),"Cam Nghĩa",""),IF(OR(M1471=phu!$I$15,M1471=phu!$I$16,M1471=phu!$I$17,M1471=phu!$I$18,M1471=phu!$I$19,M1471=phu!$I$20,M1471=phu!$I$21),"Cam Phúc Bắc",""),IF(OR(M1471=phu!$I$22,M1471=phu!$I$23,M1471=phu!$I$24,M1471=phu!$I$25),"Cam Phúc Nam",""),IF(OR(M1471=phu!$I$26,M1471=phu!$I$27,M1471=phu!$I$28,M1471=phu!$I$29,M1471=phu!$I$30,M1471=phu!$I$31),"Cam Phú",""),IF(OR(M1471=phu!$I$32,M1471=phu!$I$33,M1471=phu!$I$34,M1471=phu!$I$35,M1471=phu!$I$36,M1471=phu!$I$37),"Cam Lộc",""),IF(OR(M1471=phu!$I$38,M1471=phu!$I$39,M1471=phu!$I$40,M1471=phu!$I$41,M1471=phu!$I$42,M1471=phu!$I$43,M1471=phu!$I$44),"Cam Thuận",""),IF(OR(M1471=phu!$I$45,M1471=phu!$I$46,M1471=phu!$I$47,M1471=phu!$I$48,M1471=phu!$I$49,M1471=phu!$I$50,M1471=phu!$I$51,M1471=phu!$I$52,M1471=phu!$I$53),"Cam Linh",""),IF(OR(M1471=phu!$I$54,M1471=phu!$I$55,M1471=phu!$I$56,M1471=phu!$I$57,M1471=phu!$I$58,M1471=phu!$I$59,M1471=phu!$I$60,M1471=phu!$I$61,M1471=phu!$I$62),"Cam Lợi",""),IF(OR(M1471=phu!$I$63,M1471=phu!$I$64,M1471=phu!$I$65,M1471=phu!$I$66,M1471=phu!$I$67,M1471=phu!$I$68,M1471=phu!$I$69,M1471=phu!$I$70,M1471=phu!$I$71),"Ba Ngòi",""),IF(OR(M1471=phu!$I$72,M1471=phu!$I$73,M1471=phu!$I$74,M1471=phu!$I$75,M1471=phu!$I$76,M1471=phu!$I$77,M1471=phu!$I$78),"Cam Phước Đông",""),IF(OR(M1471=phu!$I$79,M1471=phu!$I$80,M1471=phu!$I$81,M1471=phu!$I$82,M1471=phu!$I$83,M1471=phu!$I$84),"Cam Thịnh Đông",""),IF(OR(M1471=phu!$I$85,M1471=phu!$I$86,M1471=phu!$I$87,M1471=phu!$I$88),"Cam Thịnh Tây",""),IF(OR(M1471=phu!$I$89,M1471=phu!$I$90),"Cam Lập",""),IF(OR(M1471=phu!$I$91,M1471=phu!$I$92,M1471=phu!$I$93),"Cam Bình",""),IF(OR(M1471=phu!$I$94,M1471=phu!$I$95,M1471=phu!$I$96,M1471=phu!$I$97,M1471=phu!$I$98,M1471=phu!$I$99,M1471=phu!$I$100),"Huyện khác",""),IF(OR(M1471=phu!$I$101,M1471=phu!$I$102),"Tỉnh khác",""))</f>
        <v/>
      </c>
      <c r="O1471" s="829" t="str">
        <f t="shared" si="132"/>
        <v/>
      </c>
      <c r="P1471" s="254"/>
      <c r="Q1471" s="254"/>
      <c r="R1471" s="254"/>
      <c r="S1471" s="254"/>
      <c r="T1471" s="254"/>
      <c r="U1471" s="254"/>
      <c r="V1471" s="254"/>
      <c r="W1471" s="254"/>
      <c r="Y1471" s="246" t="str">
        <f t="shared" si="133"/>
        <v/>
      </c>
      <c r="Z1471" s="247" t="str">
        <f t="shared" si="137"/>
        <v/>
      </c>
      <c r="AA1471" s="246" t="str">
        <f t="shared" si="134"/>
        <v/>
      </c>
    </row>
    <row r="1472" spans="1:27" x14ac:dyDescent="0.25">
      <c r="A1472" s="248" t="str">
        <f t="shared" si="135"/>
        <v/>
      </c>
      <c r="B1472" s="249" t="str">
        <f t="shared" si="136"/>
        <v/>
      </c>
      <c r="C1472" s="250"/>
      <c r="D1472" s="251"/>
      <c r="E1472" s="241"/>
      <c r="F1472" s="252"/>
      <c r="G1472" s="252"/>
      <c r="H1472" s="253"/>
      <c r="I1472" s="250"/>
      <c r="J1472" s="250"/>
      <c r="K1472" s="270"/>
      <c r="L1472" s="250"/>
      <c r="M1472" s="250"/>
      <c r="N1472" s="540" t="str">
        <f>CONCATENATE(IF(OR(M1472=phu!$I$1,M1472=phu!$I$2,M1472=phu!$I$3),"Cam Thành Nam",""),IF(OR(M1472=phu!$I$4,M1472=phu!$I$5,M1472=phu!$I$6,M1472=phu!$I$7,M1472=phu!$I$8,M1472=phu!$I$9,M1472=phu!$I$10,M1472=phu!$I$11,M1472=phu!$I$12,M1472=phu!$I$13,M1472=phu!$I$14),"Cam Nghĩa",""),IF(OR(M1472=phu!$I$15,M1472=phu!$I$16,M1472=phu!$I$17,M1472=phu!$I$18,M1472=phu!$I$19,M1472=phu!$I$20,M1472=phu!$I$21),"Cam Phúc Bắc",""),IF(OR(M1472=phu!$I$22,M1472=phu!$I$23,M1472=phu!$I$24,M1472=phu!$I$25),"Cam Phúc Nam",""),IF(OR(M1472=phu!$I$26,M1472=phu!$I$27,M1472=phu!$I$28,M1472=phu!$I$29,M1472=phu!$I$30,M1472=phu!$I$31),"Cam Phú",""),IF(OR(M1472=phu!$I$32,M1472=phu!$I$33,M1472=phu!$I$34,M1472=phu!$I$35,M1472=phu!$I$36,M1472=phu!$I$37),"Cam Lộc",""),IF(OR(M1472=phu!$I$38,M1472=phu!$I$39,M1472=phu!$I$40,M1472=phu!$I$41,M1472=phu!$I$42,M1472=phu!$I$43,M1472=phu!$I$44),"Cam Thuận",""),IF(OR(M1472=phu!$I$45,M1472=phu!$I$46,M1472=phu!$I$47,M1472=phu!$I$48,M1472=phu!$I$49,M1472=phu!$I$50,M1472=phu!$I$51,M1472=phu!$I$52,M1472=phu!$I$53),"Cam Linh",""),IF(OR(M1472=phu!$I$54,M1472=phu!$I$55,M1472=phu!$I$56,M1472=phu!$I$57,M1472=phu!$I$58,M1472=phu!$I$59,M1472=phu!$I$60,M1472=phu!$I$61,M1472=phu!$I$62),"Cam Lợi",""),IF(OR(M1472=phu!$I$63,M1472=phu!$I$64,M1472=phu!$I$65,M1472=phu!$I$66,M1472=phu!$I$67,M1472=phu!$I$68,M1472=phu!$I$69,M1472=phu!$I$70,M1472=phu!$I$71),"Ba Ngòi",""),IF(OR(M1472=phu!$I$72,M1472=phu!$I$73,M1472=phu!$I$74,M1472=phu!$I$75,M1472=phu!$I$76,M1472=phu!$I$77,M1472=phu!$I$78),"Cam Phước Đông",""),IF(OR(M1472=phu!$I$79,M1472=phu!$I$80,M1472=phu!$I$81,M1472=phu!$I$82,M1472=phu!$I$83,M1472=phu!$I$84),"Cam Thịnh Đông",""),IF(OR(M1472=phu!$I$85,M1472=phu!$I$86,M1472=phu!$I$87,M1472=phu!$I$88),"Cam Thịnh Tây",""),IF(OR(M1472=phu!$I$89,M1472=phu!$I$90),"Cam Lập",""),IF(OR(M1472=phu!$I$91,M1472=phu!$I$92,M1472=phu!$I$93),"Cam Bình",""),IF(OR(M1472=phu!$I$94,M1472=phu!$I$95,M1472=phu!$I$96,M1472=phu!$I$97,M1472=phu!$I$98,M1472=phu!$I$99,M1472=phu!$I$100),"Huyện khác",""),IF(OR(M1472=phu!$I$101,M1472=phu!$I$102),"Tỉnh khác",""))</f>
        <v/>
      </c>
      <c r="O1472" s="829" t="str">
        <f t="shared" si="132"/>
        <v/>
      </c>
      <c r="P1472" s="254"/>
      <c r="Q1472" s="254"/>
      <c r="R1472" s="254"/>
      <c r="S1472" s="254"/>
      <c r="T1472" s="254"/>
      <c r="U1472" s="254"/>
      <c r="V1472" s="254"/>
      <c r="W1472" s="254"/>
      <c r="Y1472" s="246" t="str">
        <f t="shared" si="133"/>
        <v/>
      </c>
      <c r="Z1472" s="247" t="str">
        <f t="shared" si="137"/>
        <v/>
      </c>
      <c r="AA1472" s="246" t="str">
        <f t="shared" si="134"/>
        <v/>
      </c>
    </row>
    <row r="1473" spans="1:27" x14ac:dyDescent="0.25">
      <c r="A1473" s="248" t="str">
        <f t="shared" si="135"/>
        <v/>
      </c>
      <c r="B1473" s="249" t="str">
        <f t="shared" si="136"/>
        <v/>
      </c>
      <c r="C1473" s="250"/>
      <c r="D1473" s="251"/>
      <c r="E1473" s="241"/>
      <c r="F1473" s="252"/>
      <c r="G1473" s="252"/>
      <c r="H1473" s="253"/>
      <c r="I1473" s="250"/>
      <c r="J1473" s="250"/>
      <c r="K1473" s="270"/>
      <c r="L1473" s="250"/>
      <c r="M1473" s="250"/>
      <c r="N1473" s="540" t="str">
        <f>CONCATENATE(IF(OR(M1473=phu!$I$1,M1473=phu!$I$2,M1473=phu!$I$3),"Cam Thành Nam",""),IF(OR(M1473=phu!$I$4,M1473=phu!$I$5,M1473=phu!$I$6,M1473=phu!$I$7,M1473=phu!$I$8,M1473=phu!$I$9,M1473=phu!$I$10,M1473=phu!$I$11,M1473=phu!$I$12,M1473=phu!$I$13,M1473=phu!$I$14),"Cam Nghĩa",""),IF(OR(M1473=phu!$I$15,M1473=phu!$I$16,M1473=phu!$I$17,M1473=phu!$I$18,M1473=phu!$I$19,M1473=phu!$I$20,M1473=phu!$I$21),"Cam Phúc Bắc",""),IF(OR(M1473=phu!$I$22,M1473=phu!$I$23,M1473=phu!$I$24,M1473=phu!$I$25),"Cam Phúc Nam",""),IF(OR(M1473=phu!$I$26,M1473=phu!$I$27,M1473=phu!$I$28,M1473=phu!$I$29,M1473=phu!$I$30,M1473=phu!$I$31),"Cam Phú",""),IF(OR(M1473=phu!$I$32,M1473=phu!$I$33,M1473=phu!$I$34,M1473=phu!$I$35,M1473=phu!$I$36,M1473=phu!$I$37),"Cam Lộc",""),IF(OR(M1473=phu!$I$38,M1473=phu!$I$39,M1473=phu!$I$40,M1473=phu!$I$41,M1473=phu!$I$42,M1473=phu!$I$43,M1473=phu!$I$44),"Cam Thuận",""),IF(OR(M1473=phu!$I$45,M1473=phu!$I$46,M1473=phu!$I$47,M1473=phu!$I$48,M1473=phu!$I$49,M1473=phu!$I$50,M1473=phu!$I$51,M1473=phu!$I$52,M1473=phu!$I$53),"Cam Linh",""),IF(OR(M1473=phu!$I$54,M1473=phu!$I$55,M1473=phu!$I$56,M1473=phu!$I$57,M1473=phu!$I$58,M1473=phu!$I$59,M1473=phu!$I$60,M1473=phu!$I$61,M1473=phu!$I$62),"Cam Lợi",""),IF(OR(M1473=phu!$I$63,M1473=phu!$I$64,M1473=phu!$I$65,M1473=phu!$I$66,M1473=phu!$I$67,M1473=phu!$I$68,M1473=phu!$I$69,M1473=phu!$I$70,M1473=phu!$I$71),"Ba Ngòi",""),IF(OR(M1473=phu!$I$72,M1473=phu!$I$73,M1473=phu!$I$74,M1473=phu!$I$75,M1473=phu!$I$76,M1473=phu!$I$77,M1473=phu!$I$78),"Cam Phước Đông",""),IF(OR(M1473=phu!$I$79,M1473=phu!$I$80,M1473=phu!$I$81,M1473=phu!$I$82,M1473=phu!$I$83,M1473=phu!$I$84),"Cam Thịnh Đông",""),IF(OR(M1473=phu!$I$85,M1473=phu!$I$86,M1473=phu!$I$87,M1473=phu!$I$88),"Cam Thịnh Tây",""),IF(OR(M1473=phu!$I$89,M1473=phu!$I$90),"Cam Lập",""),IF(OR(M1473=phu!$I$91,M1473=phu!$I$92,M1473=phu!$I$93),"Cam Bình",""),IF(OR(M1473=phu!$I$94,M1473=phu!$I$95,M1473=phu!$I$96,M1473=phu!$I$97,M1473=phu!$I$98,M1473=phu!$I$99,M1473=phu!$I$100),"Huyện khác",""),IF(OR(M1473=phu!$I$101,M1473=phu!$I$102),"Tỉnh khác",""))</f>
        <v/>
      </c>
      <c r="O1473" s="829" t="str">
        <f t="shared" si="132"/>
        <v/>
      </c>
      <c r="P1473" s="254"/>
      <c r="Q1473" s="254"/>
      <c r="R1473" s="254"/>
      <c r="S1473" s="254"/>
      <c r="T1473" s="254"/>
      <c r="U1473" s="254"/>
      <c r="V1473" s="254"/>
      <c r="W1473" s="254"/>
      <c r="Y1473" s="246" t="str">
        <f t="shared" si="133"/>
        <v/>
      </c>
      <c r="Z1473" s="247" t="str">
        <f t="shared" si="137"/>
        <v/>
      </c>
      <c r="AA1473" s="246" t="str">
        <f t="shared" si="134"/>
        <v/>
      </c>
    </row>
    <row r="1474" spans="1:27" x14ac:dyDescent="0.25">
      <c r="A1474" s="248" t="str">
        <f t="shared" si="135"/>
        <v/>
      </c>
      <c r="B1474" s="249" t="str">
        <f t="shared" si="136"/>
        <v/>
      </c>
      <c r="C1474" s="250"/>
      <c r="D1474" s="251"/>
      <c r="E1474" s="241"/>
      <c r="F1474" s="252"/>
      <c r="G1474" s="252"/>
      <c r="H1474" s="253"/>
      <c r="I1474" s="250"/>
      <c r="J1474" s="250"/>
      <c r="K1474" s="270"/>
      <c r="L1474" s="250"/>
      <c r="M1474" s="250"/>
      <c r="N1474" s="540" t="str">
        <f>CONCATENATE(IF(OR(M1474=phu!$I$1,M1474=phu!$I$2,M1474=phu!$I$3),"Cam Thành Nam",""),IF(OR(M1474=phu!$I$4,M1474=phu!$I$5,M1474=phu!$I$6,M1474=phu!$I$7,M1474=phu!$I$8,M1474=phu!$I$9,M1474=phu!$I$10,M1474=phu!$I$11,M1474=phu!$I$12,M1474=phu!$I$13,M1474=phu!$I$14),"Cam Nghĩa",""),IF(OR(M1474=phu!$I$15,M1474=phu!$I$16,M1474=phu!$I$17,M1474=phu!$I$18,M1474=phu!$I$19,M1474=phu!$I$20,M1474=phu!$I$21),"Cam Phúc Bắc",""),IF(OR(M1474=phu!$I$22,M1474=phu!$I$23,M1474=phu!$I$24,M1474=phu!$I$25),"Cam Phúc Nam",""),IF(OR(M1474=phu!$I$26,M1474=phu!$I$27,M1474=phu!$I$28,M1474=phu!$I$29,M1474=phu!$I$30,M1474=phu!$I$31),"Cam Phú",""),IF(OR(M1474=phu!$I$32,M1474=phu!$I$33,M1474=phu!$I$34,M1474=phu!$I$35,M1474=phu!$I$36,M1474=phu!$I$37),"Cam Lộc",""),IF(OR(M1474=phu!$I$38,M1474=phu!$I$39,M1474=phu!$I$40,M1474=phu!$I$41,M1474=phu!$I$42,M1474=phu!$I$43,M1474=phu!$I$44),"Cam Thuận",""),IF(OR(M1474=phu!$I$45,M1474=phu!$I$46,M1474=phu!$I$47,M1474=phu!$I$48,M1474=phu!$I$49,M1474=phu!$I$50,M1474=phu!$I$51,M1474=phu!$I$52,M1474=phu!$I$53),"Cam Linh",""),IF(OR(M1474=phu!$I$54,M1474=phu!$I$55,M1474=phu!$I$56,M1474=phu!$I$57,M1474=phu!$I$58,M1474=phu!$I$59,M1474=phu!$I$60,M1474=phu!$I$61,M1474=phu!$I$62),"Cam Lợi",""),IF(OR(M1474=phu!$I$63,M1474=phu!$I$64,M1474=phu!$I$65,M1474=phu!$I$66,M1474=phu!$I$67,M1474=phu!$I$68,M1474=phu!$I$69,M1474=phu!$I$70,M1474=phu!$I$71),"Ba Ngòi",""),IF(OR(M1474=phu!$I$72,M1474=phu!$I$73,M1474=phu!$I$74,M1474=phu!$I$75,M1474=phu!$I$76,M1474=phu!$I$77,M1474=phu!$I$78),"Cam Phước Đông",""),IF(OR(M1474=phu!$I$79,M1474=phu!$I$80,M1474=phu!$I$81,M1474=phu!$I$82,M1474=phu!$I$83,M1474=phu!$I$84),"Cam Thịnh Đông",""),IF(OR(M1474=phu!$I$85,M1474=phu!$I$86,M1474=phu!$I$87,M1474=phu!$I$88),"Cam Thịnh Tây",""),IF(OR(M1474=phu!$I$89,M1474=phu!$I$90),"Cam Lập",""),IF(OR(M1474=phu!$I$91,M1474=phu!$I$92,M1474=phu!$I$93),"Cam Bình",""),IF(OR(M1474=phu!$I$94,M1474=phu!$I$95,M1474=phu!$I$96,M1474=phu!$I$97,M1474=phu!$I$98,M1474=phu!$I$99,M1474=phu!$I$100),"Huyện khác",""),IF(OR(M1474=phu!$I$101,M1474=phu!$I$102),"Tỉnh khác",""))</f>
        <v/>
      </c>
      <c r="O1474" s="829" t="str">
        <f t="shared" si="132"/>
        <v/>
      </c>
      <c r="P1474" s="254"/>
      <c r="Q1474" s="254"/>
      <c r="R1474" s="254"/>
      <c r="S1474" s="254"/>
      <c r="T1474" s="254"/>
      <c r="U1474" s="254"/>
      <c r="V1474" s="254"/>
      <c r="W1474" s="254"/>
      <c r="Y1474" s="246" t="str">
        <f t="shared" si="133"/>
        <v/>
      </c>
      <c r="Z1474" s="247" t="str">
        <f t="shared" si="137"/>
        <v/>
      </c>
      <c r="AA1474" s="246" t="str">
        <f t="shared" si="134"/>
        <v/>
      </c>
    </row>
    <row r="1475" spans="1:27" x14ac:dyDescent="0.25">
      <c r="A1475" s="248" t="str">
        <f t="shared" si="135"/>
        <v/>
      </c>
      <c r="B1475" s="249" t="str">
        <f t="shared" si="136"/>
        <v/>
      </c>
      <c r="C1475" s="250"/>
      <c r="D1475" s="251"/>
      <c r="E1475" s="241"/>
      <c r="F1475" s="252"/>
      <c r="G1475" s="252"/>
      <c r="H1475" s="253"/>
      <c r="I1475" s="250"/>
      <c r="J1475" s="250"/>
      <c r="K1475" s="270"/>
      <c r="L1475" s="250"/>
      <c r="M1475" s="250"/>
      <c r="N1475" s="540" t="str">
        <f>CONCATENATE(IF(OR(M1475=phu!$I$1,M1475=phu!$I$2,M1475=phu!$I$3),"Cam Thành Nam",""),IF(OR(M1475=phu!$I$4,M1475=phu!$I$5,M1475=phu!$I$6,M1475=phu!$I$7,M1475=phu!$I$8,M1475=phu!$I$9,M1475=phu!$I$10,M1475=phu!$I$11,M1475=phu!$I$12,M1475=phu!$I$13,M1475=phu!$I$14),"Cam Nghĩa",""),IF(OR(M1475=phu!$I$15,M1475=phu!$I$16,M1475=phu!$I$17,M1475=phu!$I$18,M1475=phu!$I$19,M1475=phu!$I$20,M1475=phu!$I$21),"Cam Phúc Bắc",""),IF(OR(M1475=phu!$I$22,M1475=phu!$I$23,M1475=phu!$I$24,M1475=phu!$I$25),"Cam Phúc Nam",""),IF(OR(M1475=phu!$I$26,M1475=phu!$I$27,M1475=phu!$I$28,M1475=phu!$I$29,M1475=phu!$I$30,M1475=phu!$I$31),"Cam Phú",""),IF(OR(M1475=phu!$I$32,M1475=phu!$I$33,M1475=phu!$I$34,M1475=phu!$I$35,M1475=phu!$I$36,M1475=phu!$I$37),"Cam Lộc",""),IF(OR(M1475=phu!$I$38,M1475=phu!$I$39,M1475=phu!$I$40,M1475=phu!$I$41,M1475=phu!$I$42,M1475=phu!$I$43,M1475=phu!$I$44),"Cam Thuận",""),IF(OR(M1475=phu!$I$45,M1475=phu!$I$46,M1475=phu!$I$47,M1475=phu!$I$48,M1475=phu!$I$49,M1475=phu!$I$50,M1475=phu!$I$51,M1475=phu!$I$52,M1475=phu!$I$53),"Cam Linh",""),IF(OR(M1475=phu!$I$54,M1475=phu!$I$55,M1475=phu!$I$56,M1475=phu!$I$57,M1475=phu!$I$58,M1475=phu!$I$59,M1475=phu!$I$60,M1475=phu!$I$61,M1475=phu!$I$62),"Cam Lợi",""),IF(OR(M1475=phu!$I$63,M1475=phu!$I$64,M1475=phu!$I$65,M1475=phu!$I$66,M1475=phu!$I$67,M1475=phu!$I$68,M1475=phu!$I$69,M1475=phu!$I$70,M1475=phu!$I$71),"Ba Ngòi",""),IF(OR(M1475=phu!$I$72,M1475=phu!$I$73,M1475=phu!$I$74,M1475=phu!$I$75,M1475=phu!$I$76,M1475=phu!$I$77,M1475=phu!$I$78),"Cam Phước Đông",""),IF(OR(M1475=phu!$I$79,M1475=phu!$I$80,M1475=phu!$I$81,M1475=phu!$I$82,M1475=phu!$I$83,M1475=phu!$I$84),"Cam Thịnh Đông",""),IF(OR(M1475=phu!$I$85,M1475=phu!$I$86,M1475=phu!$I$87,M1475=phu!$I$88),"Cam Thịnh Tây",""),IF(OR(M1475=phu!$I$89,M1475=phu!$I$90),"Cam Lập",""),IF(OR(M1475=phu!$I$91,M1475=phu!$I$92,M1475=phu!$I$93),"Cam Bình",""),IF(OR(M1475=phu!$I$94,M1475=phu!$I$95,M1475=phu!$I$96,M1475=phu!$I$97,M1475=phu!$I$98,M1475=phu!$I$99,M1475=phu!$I$100),"Huyện khác",""),IF(OR(M1475=phu!$I$101,M1475=phu!$I$102),"Tỉnh khác",""))</f>
        <v/>
      </c>
      <c r="O1475" s="829" t="str">
        <f t="shared" si="132"/>
        <v/>
      </c>
      <c r="P1475" s="254"/>
      <c r="Q1475" s="254"/>
      <c r="R1475" s="254"/>
      <c r="S1475" s="254"/>
      <c r="T1475" s="254"/>
      <c r="U1475" s="254"/>
      <c r="V1475" s="254"/>
      <c r="W1475" s="254"/>
      <c r="Y1475" s="246" t="str">
        <f t="shared" si="133"/>
        <v/>
      </c>
      <c r="Z1475" s="247" t="str">
        <f t="shared" si="137"/>
        <v/>
      </c>
      <c r="AA1475" s="246" t="str">
        <f t="shared" si="134"/>
        <v/>
      </c>
    </row>
    <row r="1476" spans="1:27" x14ac:dyDescent="0.25">
      <c r="A1476" s="248" t="str">
        <f t="shared" si="135"/>
        <v/>
      </c>
      <c r="B1476" s="249" t="str">
        <f t="shared" si="136"/>
        <v/>
      </c>
      <c r="C1476" s="250"/>
      <c r="D1476" s="251"/>
      <c r="E1476" s="241"/>
      <c r="F1476" s="252"/>
      <c r="G1476" s="252"/>
      <c r="H1476" s="253"/>
      <c r="I1476" s="250"/>
      <c r="J1476" s="250"/>
      <c r="K1476" s="270"/>
      <c r="L1476" s="250"/>
      <c r="M1476" s="250"/>
      <c r="N1476" s="540" t="str">
        <f>CONCATENATE(IF(OR(M1476=phu!$I$1,M1476=phu!$I$2,M1476=phu!$I$3),"Cam Thành Nam",""),IF(OR(M1476=phu!$I$4,M1476=phu!$I$5,M1476=phu!$I$6,M1476=phu!$I$7,M1476=phu!$I$8,M1476=phu!$I$9,M1476=phu!$I$10,M1476=phu!$I$11,M1476=phu!$I$12,M1476=phu!$I$13,M1476=phu!$I$14),"Cam Nghĩa",""),IF(OR(M1476=phu!$I$15,M1476=phu!$I$16,M1476=phu!$I$17,M1476=phu!$I$18,M1476=phu!$I$19,M1476=phu!$I$20,M1476=phu!$I$21),"Cam Phúc Bắc",""),IF(OR(M1476=phu!$I$22,M1476=phu!$I$23,M1476=phu!$I$24,M1476=phu!$I$25),"Cam Phúc Nam",""),IF(OR(M1476=phu!$I$26,M1476=phu!$I$27,M1476=phu!$I$28,M1476=phu!$I$29,M1476=phu!$I$30,M1476=phu!$I$31),"Cam Phú",""),IF(OR(M1476=phu!$I$32,M1476=phu!$I$33,M1476=phu!$I$34,M1476=phu!$I$35,M1476=phu!$I$36,M1476=phu!$I$37),"Cam Lộc",""),IF(OR(M1476=phu!$I$38,M1476=phu!$I$39,M1476=phu!$I$40,M1476=phu!$I$41,M1476=phu!$I$42,M1476=phu!$I$43,M1476=phu!$I$44),"Cam Thuận",""),IF(OR(M1476=phu!$I$45,M1476=phu!$I$46,M1476=phu!$I$47,M1476=phu!$I$48,M1476=phu!$I$49,M1476=phu!$I$50,M1476=phu!$I$51,M1476=phu!$I$52,M1476=phu!$I$53),"Cam Linh",""),IF(OR(M1476=phu!$I$54,M1476=phu!$I$55,M1476=phu!$I$56,M1476=phu!$I$57,M1476=phu!$I$58,M1476=phu!$I$59,M1476=phu!$I$60,M1476=phu!$I$61,M1476=phu!$I$62),"Cam Lợi",""),IF(OR(M1476=phu!$I$63,M1476=phu!$I$64,M1476=phu!$I$65,M1476=phu!$I$66,M1476=phu!$I$67,M1476=phu!$I$68,M1476=phu!$I$69,M1476=phu!$I$70,M1476=phu!$I$71),"Ba Ngòi",""),IF(OR(M1476=phu!$I$72,M1476=phu!$I$73,M1476=phu!$I$74,M1476=phu!$I$75,M1476=phu!$I$76,M1476=phu!$I$77,M1476=phu!$I$78),"Cam Phước Đông",""),IF(OR(M1476=phu!$I$79,M1476=phu!$I$80,M1476=phu!$I$81,M1476=phu!$I$82,M1476=phu!$I$83,M1476=phu!$I$84),"Cam Thịnh Đông",""),IF(OR(M1476=phu!$I$85,M1476=phu!$I$86,M1476=phu!$I$87,M1476=phu!$I$88),"Cam Thịnh Tây",""),IF(OR(M1476=phu!$I$89,M1476=phu!$I$90),"Cam Lập",""),IF(OR(M1476=phu!$I$91,M1476=phu!$I$92,M1476=phu!$I$93),"Cam Bình",""),IF(OR(M1476=phu!$I$94,M1476=phu!$I$95,M1476=phu!$I$96,M1476=phu!$I$97,M1476=phu!$I$98,M1476=phu!$I$99,M1476=phu!$I$100),"Huyện khác",""),IF(OR(M1476=phu!$I$101,M1476=phu!$I$102),"Tỉnh khác",""))</f>
        <v/>
      </c>
      <c r="O1476" s="829" t="str">
        <f t="shared" si="132"/>
        <v/>
      </c>
      <c r="P1476" s="254"/>
      <c r="Q1476" s="254"/>
      <c r="R1476" s="254"/>
      <c r="S1476" s="254"/>
      <c r="T1476" s="254"/>
      <c r="U1476" s="254"/>
      <c r="V1476" s="254"/>
      <c r="W1476" s="254"/>
      <c r="Y1476" s="246" t="str">
        <f t="shared" si="133"/>
        <v/>
      </c>
      <c r="Z1476" s="247" t="str">
        <f t="shared" si="137"/>
        <v/>
      </c>
      <c r="AA1476" s="246" t="str">
        <f t="shared" si="134"/>
        <v/>
      </c>
    </row>
    <row r="1477" spans="1:27" x14ac:dyDescent="0.25">
      <c r="A1477" s="248" t="str">
        <f t="shared" si="135"/>
        <v/>
      </c>
      <c r="B1477" s="249" t="str">
        <f t="shared" si="136"/>
        <v/>
      </c>
      <c r="C1477" s="250"/>
      <c r="D1477" s="251"/>
      <c r="E1477" s="241"/>
      <c r="F1477" s="252"/>
      <c r="G1477" s="252"/>
      <c r="H1477" s="253"/>
      <c r="I1477" s="250"/>
      <c r="J1477" s="250"/>
      <c r="K1477" s="270"/>
      <c r="L1477" s="250"/>
      <c r="M1477" s="250"/>
      <c r="N1477" s="540" t="str">
        <f>CONCATENATE(IF(OR(M1477=phu!$I$1,M1477=phu!$I$2,M1477=phu!$I$3),"Cam Thành Nam",""),IF(OR(M1477=phu!$I$4,M1477=phu!$I$5,M1477=phu!$I$6,M1477=phu!$I$7,M1477=phu!$I$8,M1477=phu!$I$9,M1477=phu!$I$10,M1477=phu!$I$11,M1477=phu!$I$12,M1477=phu!$I$13,M1477=phu!$I$14),"Cam Nghĩa",""),IF(OR(M1477=phu!$I$15,M1477=phu!$I$16,M1477=phu!$I$17,M1477=phu!$I$18,M1477=phu!$I$19,M1477=phu!$I$20,M1477=phu!$I$21),"Cam Phúc Bắc",""),IF(OR(M1477=phu!$I$22,M1477=phu!$I$23,M1477=phu!$I$24,M1477=phu!$I$25),"Cam Phúc Nam",""),IF(OR(M1477=phu!$I$26,M1477=phu!$I$27,M1477=phu!$I$28,M1477=phu!$I$29,M1477=phu!$I$30,M1477=phu!$I$31),"Cam Phú",""),IF(OR(M1477=phu!$I$32,M1477=phu!$I$33,M1477=phu!$I$34,M1477=phu!$I$35,M1477=phu!$I$36,M1477=phu!$I$37),"Cam Lộc",""),IF(OR(M1477=phu!$I$38,M1477=phu!$I$39,M1477=phu!$I$40,M1477=phu!$I$41,M1477=phu!$I$42,M1477=phu!$I$43,M1477=phu!$I$44),"Cam Thuận",""),IF(OR(M1477=phu!$I$45,M1477=phu!$I$46,M1477=phu!$I$47,M1477=phu!$I$48,M1477=phu!$I$49,M1477=phu!$I$50,M1477=phu!$I$51,M1477=phu!$I$52,M1477=phu!$I$53),"Cam Linh",""),IF(OR(M1477=phu!$I$54,M1477=phu!$I$55,M1477=phu!$I$56,M1477=phu!$I$57,M1477=phu!$I$58,M1477=phu!$I$59,M1477=phu!$I$60,M1477=phu!$I$61,M1477=phu!$I$62),"Cam Lợi",""),IF(OR(M1477=phu!$I$63,M1477=phu!$I$64,M1477=phu!$I$65,M1477=phu!$I$66,M1477=phu!$I$67,M1477=phu!$I$68,M1477=phu!$I$69,M1477=phu!$I$70,M1477=phu!$I$71),"Ba Ngòi",""),IF(OR(M1477=phu!$I$72,M1477=phu!$I$73,M1477=phu!$I$74,M1477=phu!$I$75,M1477=phu!$I$76,M1477=phu!$I$77,M1477=phu!$I$78),"Cam Phước Đông",""),IF(OR(M1477=phu!$I$79,M1477=phu!$I$80,M1477=phu!$I$81,M1477=phu!$I$82,M1477=phu!$I$83,M1477=phu!$I$84),"Cam Thịnh Đông",""),IF(OR(M1477=phu!$I$85,M1477=phu!$I$86,M1477=phu!$I$87,M1477=phu!$I$88),"Cam Thịnh Tây",""),IF(OR(M1477=phu!$I$89,M1477=phu!$I$90),"Cam Lập",""),IF(OR(M1477=phu!$I$91,M1477=phu!$I$92,M1477=phu!$I$93),"Cam Bình",""),IF(OR(M1477=phu!$I$94,M1477=phu!$I$95,M1477=phu!$I$96,M1477=phu!$I$97,M1477=phu!$I$98,M1477=phu!$I$99,M1477=phu!$I$100),"Huyện khác",""),IF(OR(M1477=phu!$I$101,M1477=phu!$I$102),"Tỉnh khác",""))</f>
        <v/>
      </c>
      <c r="O1477" s="829" t="str">
        <f t="shared" si="132"/>
        <v/>
      </c>
      <c r="P1477" s="254"/>
      <c r="Q1477" s="254"/>
      <c r="R1477" s="254"/>
      <c r="S1477" s="254"/>
      <c r="T1477" s="254"/>
      <c r="U1477" s="254"/>
      <c r="V1477" s="254"/>
      <c r="W1477" s="254"/>
      <c r="Y1477" s="246" t="str">
        <f t="shared" si="133"/>
        <v/>
      </c>
      <c r="Z1477" s="247" t="str">
        <f t="shared" si="137"/>
        <v/>
      </c>
      <c r="AA1477" s="246" t="str">
        <f t="shared" si="134"/>
        <v/>
      </c>
    </row>
    <row r="1478" spans="1:27" x14ac:dyDescent="0.25">
      <c r="A1478" s="248" t="str">
        <f t="shared" si="135"/>
        <v/>
      </c>
      <c r="B1478" s="249" t="str">
        <f t="shared" si="136"/>
        <v/>
      </c>
      <c r="C1478" s="250"/>
      <c r="D1478" s="251"/>
      <c r="E1478" s="241"/>
      <c r="F1478" s="252"/>
      <c r="G1478" s="252"/>
      <c r="H1478" s="253"/>
      <c r="I1478" s="250"/>
      <c r="J1478" s="250"/>
      <c r="K1478" s="270"/>
      <c r="L1478" s="250"/>
      <c r="M1478" s="250"/>
      <c r="N1478" s="540" t="str">
        <f>CONCATENATE(IF(OR(M1478=phu!$I$1,M1478=phu!$I$2,M1478=phu!$I$3),"Cam Thành Nam",""),IF(OR(M1478=phu!$I$4,M1478=phu!$I$5,M1478=phu!$I$6,M1478=phu!$I$7,M1478=phu!$I$8,M1478=phu!$I$9,M1478=phu!$I$10,M1478=phu!$I$11,M1478=phu!$I$12,M1478=phu!$I$13,M1478=phu!$I$14),"Cam Nghĩa",""),IF(OR(M1478=phu!$I$15,M1478=phu!$I$16,M1478=phu!$I$17,M1478=phu!$I$18,M1478=phu!$I$19,M1478=phu!$I$20,M1478=phu!$I$21),"Cam Phúc Bắc",""),IF(OR(M1478=phu!$I$22,M1478=phu!$I$23,M1478=phu!$I$24,M1478=phu!$I$25),"Cam Phúc Nam",""),IF(OR(M1478=phu!$I$26,M1478=phu!$I$27,M1478=phu!$I$28,M1478=phu!$I$29,M1478=phu!$I$30,M1478=phu!$I$31),"Cam Phú",""),IF(OR(M1478=phu!$I$32,M1478=phu!$I$33,M1478=phu!$I$34,M1478=phu!$I$35,M1478=phu!$I$36,M1478=phu!$I$37),"Cam Lộc",""),IF(OR(M1478=phu!$I$38,M1478=phu!$I$39,M1478=phu!$I$40,M1478=phu!$I$41,M1478=phu!$I$42,M1478=phu!$I$43,M1478=phu!$I$44),"Cam Thuận",""),IF(OR(M1478=phu!$I$45,M1478=phu!$I$46,M1478=phu!$I$47,M1478=phu!$I$48,M1478=phu!$I$49,M1478=phu!$I$50,M1478=phu!$I$51,M1478=phu!$I$52,M1478=phu!$I$53),"Cam Linh",""),IF(OR(M1478=phu!$I$54,M1478=phu!$I$55,M1478=phu!$I$56,M1478=phu!$I$57,M1478=phu!$I$58,M1478=phu!$I$59,M1478=phu!$I$60,M1478=phu!$I$61,M1478=phu!$I$62),"Cam Lợi",""),IF(OR(M1478=phu!$I$63,M1478=phu!$I$64,M1478=phu!$I$65,M1478=phu!$I$66,M1478=phu!$I$67,M1478=phu!$I$68,M1478=phu!$I$69,M1478=phu!$I$70,M1478=phu!$I$71),"Ba Ngòi",""),IF(OR(M1478=phu!$I$72,M1478=phu!$I$73,M1478=phu!$I$74,M1478=phu!$I$75,M1478=phu!$I$76,M1478=phu!$I$77,M1478=phu!$I$78),"Cam Phước Đông",""),IF(OR(M1478=phu!$I$79,M1478=phu!$I$80,M1478=phu!$I$81,M1478=phu!$I$82,M1478=phu!$I$83,M1478=phu!$I$84),"Cam Thịnh Đông",""),IF(OR(M1478=phu!$I$85,M1478=phu!$I$86,M1478=phu!$I$87,M1478=phu!$I$88),"Cam Thịnh Tây",""),IF(OR(M1478=phu!$I$89,M1478=phu!$I$90),"Cam Lập",""),IF(OR(M1478=phu!$I$91,M1478=phu!$I$92,M1478=phu!$I$93),"Cam Bình",""),IF(OR(M1478=phu!$I$94,M1478=phu!$I$95,M1478=phu!$I$96,M1478=phu!$I$97,M1478=phu!$I$98,M1478=phu!$I$99,M1478=phu!$I$100),"Huyện khác",""),IF(OR(M1478=phu!$I$101,M1478=phu!$I$102),"Tỉnh khác",""))</f>
        <v/>
      </c>
      <c r="O1478" s="829" t="str">
        <f t="shared" si="132"/>
        <v/>
      </c>
      <c r="P1478" s="254"/>
      <c r="Q1478" s="254"/>
      <c r="R1478" s="254"/>
      <c r="S1478" s="254"/>
      <c r="T1478" s="254"/>
      <c r="U1478" s="254"/>
      <c r="V1478" s="254"/>
      <c r="W1478" s="254"/>
      <c r="Y1478" s="246" t="str">
        <f t="shared" si="133"/>
        <v/>
      </c>
      <c r="Z1478" s="247" t="str">
        <f t="shared" si="137"/>
        <v/>
      </c>
      <c r="AA1478" s="246" t="str">
        <f t="shared" si="134"/>
        <v/>
      </c>
    </row>
    <row r="1479" spans="1:27" x14ac:dyDescent="0.25">
      <c r="A1479" s="248" t="str">
        <f t="shared" si="135"/>
        <v/>
      </c>
      <c r="B1479" s="249" t="str">
        <f t="shared" si="136"/>
        <v/>
      </c>
      <c r="C1479" s="250"/>
      <c r="D1479" s="251"/>
      <c r="E1479" s="241"/>
      <c r="F1479" s="252"/>
      <c r="G1479" s="252"/>
      <c r="H1479" s="253"/>
      <c r="I1479" s="250"/>
      <c r="J1479" s="250"/>
      <c r="K1479" s="270"/>
      <c r="L1479" s="250"/>
      <c r="M1479" s="250"/>
      <c r="N1479" s="540" t="str">
        <f>CONCATENATE(IF(OR(M1479=phu!$I$1,M1479=phu!$I$2,M1479=phu!$I$3),"Cam Thành Nam",""),IF(OR(M1479=phu!$I$4,M1479=phu!$I$5,M1479=phu!$I$6,M1479=phu!$I$7,M1479=phu!$I$8,M1479=phu!$I$9,M1479=phu!$I$10,M1479=phu!$I$11,M1479=phu!$I$12,M1479=phu!$I$13,M1479=phu!$I$14),"Cam Nghĩa",""),IF(OR(M1479=phu!$I$15,M1479=phu!$I$16,M1479=phu!$I$17,M1479=phu!$I$18,M1479=phu!$I$19,M1479=phu!$I$20,M1479=phu!$I$21),"Cam Phúc Bắc",""),IF(OR(M1479=phu!$I$22,M1479=phu!$I$23,M1479=phu!$I$24,M1479=phu!$I$25),"Cam Phúc Nam",""),IF(OR(M1479=phu!$I$26,M1479=phu!$I$27,M1479=phu!$I$28,M1479=phu!$I$29,M1479=phu!$I$30,M1479=phu!$I$31),"Cam Phú",""),IF(OR(M1479=phu!$I$32,M1479=phu!$I$33,M1479=phu!$I$34,M1479=phu!$I$35,M1479=phu!$I$36,M1479=phu!$I$37),"Cam Lộc",""),IF(OR(M1479=phu!$I$38,M1479=phu!$I$39,M1479=phu!$I$40,M1479=phu!$I$41,M1479=phu!$I$42,M1479=phu!$I$43,M1479=phu!$I$44),"Cam Thuận",""),IF(OR(M1479=phu!$I$45,M1479=phu!$I$46,M1479=phu!$I$47,M1479=phu!$I$48,M1479=phu!$I$49,M1479=phu!$I$50,M1479=phu!$I$51,M1479=phu!$I$52,M1479=phu!$I$53),"Cam Linh",""),IF(OR(M1479=phu!$I$54,M1479=phu!$I$55,M1479=phu!$I$56,M1479=phu!$I$57,M1479=phu!$I$58,M1479=phu!$I$59,M1479=phu!$I$60,M1479=phu!$I$61,M1479=phu!$I$62),"Cam Lợi",""),IF(OR(M1479=phu!$I$63,M1479=phu!$I$64,M1479=phu!$I$65,M1479=phu!$I$66,M1479=phu!$I$67,M1479=phu!$I$68,M1479=phu!$I$69,M1479=phu!$I$70,M1479=phu!$I$71),"Ba Ngòi",""),IF(OR(M1479=phu!$I$72,M1479=phu!$I$73,M1479=phu!$I$74,M1479=phu!$I$75,M1479=phu!$I$76,M1479=phu!$I$77,M1479=phu!$I$78),"Cam Phước Đông",""),IF(OR(M1479=phu!$I$79,M1479=phu!$I$80,M1479=phu!$I$81,M1479=phu!$I$82,M1479=phu!$I$83,M1479=phu!$I$84),"Cam Thịnh Đông",""),IF(OR(M1479=phu!$I$85,M1479=phu!$I$86,M1479=phu!$I$87,M1479=phu!$I$88),"Cam Thịnh Tây",""),IF(OR(M1479=phu!$I$89,M1479=phu!$I$90),"Cam Lập",""),IF(OR(M1479=phu!$I$91,M1479=phu!$I$92,M1479=phu!$I$93),"Cam Bình",""),IF(OR(M1479=phu!$I$94,M1479=phu!$I$95,M1479=phu!$I$96,M1479=phu!$I$97,M1479=phu!$I$98,M1479=phu!$I$99,M1479=phu!$I$100),"Huyện khác",""),IF(OR(M1479=phu!$I$101,M1479=phu!$I$102),"Tỉnh khác",""))</f>
        <v/>
      </c>
      <c r="O1479" s="829" t="str">
        <f t="shared" ref="O1479:O1542" si="138">CONCATENATE(IF(OR(N1479="Cam Thành Nam",N1479="Cam Nghĩa",N1479="Cam Phúc Bắc"),"Bắc Cam Ranh",""),IF(OR(N1479="Cam Phúc Nam",N1479="Cam Phú",N1479="Cam Lộc"),"Cam Ranh",""),IF(OR(N1479="Cam Thuận",N1479="Cam Linh",N1479="Cam Lợi"),"Cam Linh",""),IF(OR(N1479="Ba Ngòi",N1479="Cam Phước Đông"),"Ba Ngòi",""),IF(OR(N1479="Cam Thịnh Đông",N1479="Cam Thịnh Tây",N1479="Cam Lập",N1479="Cam Bình"),"Nam Cam Ranh",""),IF(N1479="Huyện khác","Huyện khác",""),IF(N1479="Tỉnh khác","Tỉnh khác",""))</f>
        <v/>
      </c>
      <c r="P1479" s="254"/>
      <c r="Q1479" s="254"/>
      <c r="R1479" s="254"/>
      <c r="S1479" s="254"/>
      <c r="T1479" s="254"/>
      <c r="U1479" s="254"/>
      <c r="V1479" s="254"/>
      <c r="W1479" s="254"/>
      <c r="Y1479" s="246" t="str">
        <f t="shared" ref="Y1479:Y1542" si="139">IF(OR(AND(B1479="",C1479="",D1479="",E1479="",F1479="",G1479="",H1479="",I1479="",J1479="",L1479="",M1479="",N1479="",P1479="",Q1479="",R1479="",S1479=""),AND(B1479&lt;&gt;"",C1479&lt;&gt;"",D1479&lt;&gt;"",E1479&lt;&gt;"",F1479&lt;&gt;"",G1479&lt;&gt;"",H1479&lt;&gt;"",J1479&lt;&gt;"",M1479&lt;&gt;"",N1479&lt;&gt;"",P1479&lt;&gt;"",OR(AND(Q1479&lt;&gt;"",R1479=""),AND(Q1479="",R1479&lt;&gt;""),AND(Q1479&lt;&gt;"",R1479&lt;&gt;"")),OR(AND(K1479="X",T1479&lt;&gt;""),AND(K1479="",T1479="")))),"","er")</f>
        <v/>
      </c>
      <c r="Z1479" s="247" t="str">
        <f t="shared" si="137"/>
        <v/>
      </c>
      <c r="AA1479" s="246" t="str">
        <f t="shared" ref="AA1479:AA1542" si="140">IF(OR(AND(Z1479&lt;=10,B1479&gt;5),AND(Z1479&lt;=11,B1479&gt;6),AND(Z1479&lt;=12,B1479&gt;7),AND(Z1479&lt;=13,B1479&gt;8),AND(Z1479&lt;=14,B1479&gt;9),AND(Z1479=11,B1479=6,L1479="X"),AND(Z1479=12,B1479=7,L1479="X"),AND(Z1479=13,B1479=8,L1479="X"),AND(Z1479=14,B1479=9,L1479="X")),"er","")</f>
        <v/>
      </c>
    </row>
    <row r="1480" spans="1:27" x14ac:dyDescent="0.25">
      <c r="A1480" s="248" t="str">
        <f t="shared" ref="A1480:A1543" si="141">IF(OR(A1479="",B1480="",C1480="",D1480="",E1480=""),"",A1479+1)</f>
        <v/>
      </c>
      <c r="B1480" s="249" t="str">
        <f t="shared" ref="B1480:B1543" si="142">IF(C1480="","",VALUE(LEFT(C1480,1)))</f>
        <v/>
      </c>
      <c r="C1480" s="250"/>
      <c r="D1480" s="251"/>
      <c r="E1480" s="241"/>
      <c r="F1480" s="252"/>
      <c r="G1480" s="252"/>
      <c r="H1480" s="253"/>
      <c r="I1480" s="250"/>
      <c r="J1480" s="250"/>
      <c r="K1480" s="270"/>
      <c r="L1480" s="250"/>
      <c r="M1480" s="250"/>
      <c r="N1480" s="540" t="str">
        <f>CONCATENATE(IF(OR(M1480=phu!$I$1,M1480=phu!$I$2,M1480=phu!$I$3),"Cam Thành Nam",""),IF(OR(M1480=phu!$I$4,M1480=phu!$I$5,M1480=phu!$I$6,M1480=phu!$I$7,M1480=phu!$I$8,M1480=phu!$I$9,M1480=phu!$I$10,M1480=phu!$I$11,M1480=phu!$I$12,M1480=phu!$I$13,M1480=phu!$I$14),"Cam Nghĩa",""),IF(OR(M1480=phu!$I$15,M1480=phu!$I$16,M1480=phu!$I$17,M1480=phu!$I$18,M1480=phu!$I$19,M1480=phu!$I$20,M1480=phu!$I$21),"Cam Phúc Bắc",""),IF(OR(M1480=phu!$I$22,M1480=phu!$I$23,M1480=phu!$I$24,M1480=phu!$I$25),"Cam Phúc Nam",""),IF(OR(M1480=phu!$I$26,M1480=phu!$I$27,M1480=phu!$I$28,M1480=phu!$I$29,M1480=phu!$I$30,M1480=phu!$I$31),"Cam Phú",""),IF(OR(M1480=phu!$I$32,M1480=phu!$I$33,M1480=phu!$I$34,M1480=phu!$I$35,M1480=phu!$I$36,M1480=phu!$I$37),"Cam Lộc",""),IF(OR(M1480=phu!$I$38,M1480=phu!$I$39,M1480=phu!$I$40,M1480=phu!$I$41,M1480=phu!$I$42,M1480=phu!$I$43,M1480=phu!$I$44),"Cam Thuận",""),IF(OR(M1480=phu!$I$45,M1480=phu!$I$46,M1480=phu!$I$47,M1480=phu!$I$48,M1480=phu!$I$49,M1480=phu!$I$50,M1480=phu!$I$51,M1480=phu!$I$52,M1480=phu!$I$53),"Cam Linh",""),IF(OR(M1480=phu!$I$54,M1480=phu!$I$55,M1480=phu!$I$56,M1480=phu!$I$57,M1480=phu!$I$58,M1480=phu!$I$59,M1480=phu!$I$60,M1480=phu!$I$61,M1480=phu!$I$62),"Cam Lợi",""),IF(OR(M1480=phu!$I$63,M1480=phu!$I$64,M1480=phu!$I$65,M1480=phu!$I$66,M1480=phu!$I$67,M1480=phu!$I$68,M1480=phu!$I$69,M1480=phu!$I$70,M1480=phu!$I$71),"Ba Ngòi",""),IF(OR(M1480=phu!$I$72,M1480=phu!$I$73,M1480=phu!$I$74,M1480=phu!$I$75,M1480=phu!$I$76,M1480=phu!$I$77,M1480=phu!$I$78),"Cam Phước Đông",""),IF(OR(M1480=phu!$I$79,M1480=phu!$I$80,M1480=phu!$I$81,M1480=phu!$I$82,M1480=phu!$I$83,M1480=phu!$I$84),"Cam Thịnh Đông",""),IF(OR(M1480=phu!$I$85,M1480=phu!$I$86,M1480=phu!$I$87,M1480=phu!$I$88),"Cam Thịnh Tây",""),IF(OR(M1480=phu!$I$89,M1480=phu!$I$90),"Cam Lập",""),IF(OR(M1480=phu!$I$91,M1480=phu!$I$92,M1480=phu!$I$93),"Cam Bình",""),IF(OR(M1480=phu!$I$94,M1480=phu!$I$95,M1480=phu!$I$96,M1480=phu!$I$97,M1480=phu!$I$98,M1480=phu!$I$99,M1480=phu!$I$100),"Huyện khác",""),IF(OR(M1480=phu!$I$101,M1480=phu!$I$102),"Tỉnh khác",""))</f>
        <v/>
      </c>
      <c r="O1480" s="829" t="str">
        <f t="shared" si="138"/>
        <v/>
      </c>
      <c r="P1480" s="254"/>
      <c r="Q1480" s="254"/>
      <c r="R1480" s="254"/>
      <c r="S1480" s="254"/>
      <c r="T1480" s="254"/>
      <c r="U1480" s="254"/>
      <c r="V1480" s="254"/>
      <c r="W1480" s="254"/>
      <c r="Y1480" s="246" t="str">
        <f t="shared" si="139"/>
        <v/>
      </c>
      <c r="Z1480" s="247" t="str">
        <f t="shared" ref="Z1480:Z1543" si="143">IF(H1480="","",$Z$1-H1480)</f>
        <v/>
      </c>
      <c r="AA1480" s="246" t="str">
        <f t="shared" si="140"/>
        <v/>
      </c>
    </row>
    <row r="1481" spans="1:27" x14ac:dyDescent="0.25">
      <c r="A1481" s="248" t="str">
        <f t="shared" si="141"/>
        <v/>
      </c>
      <c r="B1481" s="249" t="str">
        <f t="shared" si="142"/>
        <v/>
      </c>
      <c r="C1481" s="250"/>
      <c r="D1481" s="251"/>
      <c r="E1481" s="241"/>
      <c r="F1481" s="252"/>
      <c r="G1481" s="252"/>
      <c r="H1481" s="253"/>
      <c r="I1481" s="250"/>
      <c r="J1481" s="250"/>
      <c r="K1481" s="270"/>
      <c r="L1481" s="250"/>
      <c r="M1481" s="250"/>
      <c r="N1481" s="540" t="str">
        <f>CONCATENATE(IF(OR(M1481=phu!$I$1,M1481=phu!$I$2,M1481=phu!$I$3),"Cam Thành Nam",""),IF(OR(M1481=phu!$I$4,M1481=phu!$I$5,M1481=phu!$I$6,M1481=phu!$I$7,M1481=phu!$I$8,M1481=phu!$I$9,M1481=phu!$I$10,M1481=phu!$I$11,M1481=phu!$I$12,M1481=phu!$I$13,M1481=phu!$I$14),"Cam Nghĩa",""),IF(OR(M1481=phu!$I$15,M1481=phu!$I$16,M1481=phu!$I$17,M1481=phu!$I$18,M1481=phu!$I$19,M1481=phu!$I$20,M1481=phu!$I$21),"Cam Phúc Bắc",""),IF(OR(M1481=phu!$I$22,M1481=phu!$I$23,M1481=phu!$I$24,M1481=phu!$I$25),"Cam Phúc Nam",""),IF(OR(M1481=phu!$I$26,M1481=phu!$I$27,M1481=phu!$I$28,M1481=phu!$I$29,M1481=phu!$I$30,M1481=phu!$I$31),"Cam Phú",""),IF(OR(M1481=phu!$I$32,M1481=phu!$I$33,M1481=phu!$I$34,M1481=phu!$I$35,M1481=phu!$I$36,M1481=phu!$I$37),"Cam Lộc",""),IF(OR(M1481=phu!$I$38,M1481=phu!$I$39,M1481=phu!$I$40,M1481=phu!$I$41,M1481=phu!$I$42,M1481=phu!$I$43,M1481=phu!$I$44),"Cam Thuận",""),IF(OR(M1481=phu!$I$45,M1481=phu!$I$46,M1481=phu!$I$47,M1481=phu!$I$48,M1481=phu!$I$49,M1481=phu!$I$50,M1481=phu!$I$51,M1481=phu!$I$52,M1481=phu!$I$53),"Cam Linh",""),IF(OR(M1481=phu!$I$54,M1481=phu!$I$55,M1481=phu!$I$56,M1481=phu!$I$57,M1481=phu!$I$58,M1481=phu!$I$59,M1481=phu!$I$60,M1481=phu!$I$61,M1481=phu!$I$62),"Cam Lợi",""),IF(OR(M1481=phu!$I$63,M1481=phu!$I$64,M1481=phu!$I$65,M1481=phu!$I$66,M1481=phu!$I$67,M1481=phu!$I$68,M1481=phu!$I$69,M1481=phu!$I$70,M1481=phu!$I$71),"Ba Ngòi",""),IF(OR(M1481=phu!$I$72,M1481=phu!$I$73,M1481=phu!$I$74,M1481=phu!$I$75,M1481=phu!$I$76,M1481=phu!$I$77,M1481=phu!$I$78),"Cam Phước Đông",""),IF(OR(M1481=phu!$I$79,M1481=phu!$I$80,M1481=phu!$I$81,M1481=phu!$I$82,M1481=phu!$I$83,M1481=phu!$I$84),"Cam Thịnh Đông",""),IF(OR(M1481=phu!$I$85,M1481=phu!$I$86,M1481=phu!$I$87,M1481=phu!$I$88),"Cam Thịnh Tây",""),IF(OR(M1481=phu!$I$89,M1481=phu!$I$90),"Cam Lập",""),IF(OR(M1481=phu!$I$91,M1481=phu!$I$92,M1481=phu!$I$93),"Cam Bình",""),IF(OR(M1481=phu!$I$94,M1481=phu!$I$95,M1481=phu!$I$96,M1481=phu!$I$97,M1481=phu!$I$98,M1481=phu!$I$99,M1481=phu!$I$100),"Huyện khác",""),IF(OR(M1481=phu!$I$101,M1481=phu!$I$102),"Tỉnh khác",""))</f>
        <v/>
      </c>
      <c r="O1481" s="829" t="str">
        <f t="shared" si="138"/>
        <v/>
      </c>
      <c r="P1481" s="254"/>
      <c r="Q1481" s="254"/>
      <c r="R1481" s="254"/>
      <c r="S1481" s="254"/>
      <c r="T1481" s="254"/>
      <c r="U1481" s="254"/>
      <c r="V1481" s="254"/>
      <c r="W1481" s="254"/>
      <c r="Y1481" s="246" t="str">
        <f t="shared" si="139"/>
        <v/>
      </c>
      <c r="Z1481" s="247" t="str">
        <f t="shared" si="143"/>
        <v/>
      </c>
      <c r="AA1481" s="246" t="str">
        <f t="shared" si="140"/>
        <v/>
      </c>
    </row>
    <row r="1482" spans="1:27" x14ac:dyDescent="0.25">
      <c r="A1482" s="248" t="str">
        <f t="shared" si="141"/>
        <v/>
      </c>
      <c r="B1482" s="249" t="str">
        <f t="shared" si="142"/>
        <v/>
      </c>
      <c r="C1482" s="250"/>
      <c r="D1482" s="251"/>
      <c r="E1482" s="241"/>
      <c r="F1482" s="252"/>
      <c r="G1482" s="252"/>
      <c r="H1482" s="253"/>
      <c r="I1482" s="250"/>
      <c r="J1482" s="250"/>
      <c r="K1482" s="270"/>
      <c r="L1482" s="250"/>
      <c r="M1482" s="250"/>
      <c r="N1482" s="540" t="str">
        <f>CONCATENATE(IF(OR(M1482=phu!$I$1,M1482=phu!$I$2,M1482=phu!$I$3),"Cam Thành Nam",""),IF(OR(M1482=phu!$I$4,M1482=phu!$I$5,M1482=phu!$I$6,M1482=phu!$I$7,M1482=phu!$I$8,M1482=phu!$I$9,M1482=phu!$I$10,M1482=phu!$I$11,M1482=phu!$I$12,M1482=phu!$I$13,M1482=phu!$I$14),"Cam Nghĩa",""),IF(OR(M1482=phu!$I$15,M1482=phu!$I$16,M1482=phu!$I$17,M1482=phu!$I$18,M1482=phu!$I$19,M1482=phu!$I$20,M1482=phu!$I$21),"Cam Phúc Bắc",""),IF(OR(M1482=phu!$I$22,M1482=phu!$I$23,M1482=phu!$I$24,M1482=phu!$I$25),"Cam Phúc Nam",""),IF(OR(M1482=phu!$I$26,M1482=phu!$I$27,M1482=phu!$I$28,M1482=phu!$I$29,M1482=phu!$I$30,M1482=phu!$I$31),"Cam Phú",""),IF(OR(M1482=phu!$I$32,M1482=phu!$I$33,M1482=phu!$I$34,M1482=phu!$I$35,M1482=phu!$I$36,M1482=phu!$I$37),"Cam Lộc",""),IF(OR(M1482=phu!$I$38,M1482=phu!$I$39,M1482=phu!$I$40,M1482=phu!$I$41,M1482=phu!$I$42,M1482=phu!$I$43,M1482=phu!$I$44),"Cam Thuận",""),IF(OR(M1482=phu!$I$45,M1482=phu!$I$46,M1482=phu!$I$47,M1482=phu!$I$48,M1482=phu!$I$49,M1482=phu!$I$50,M1482=phu!$I$51,M1482=phu!$I$52,M1482=phu!$I$53),"Cam Linh",""),IF(OR(M1482=phu!$I$54,M1482=phu!$I$55,M1482=phu!$I$56,M1482=phu!$I$57,M1482=phu!$I$58,M1482=phu!$I$59,M1482=phu!$I$60,M1482=phu!$I$61,M1482=phu!$I$62),"Cam Lợi",""),IF(OR(M1482=phu!$I$63,M1482=phu!$I$64,M1482=phu!$I$65,M1482=phu!$I$66,M1482=phu!$I$67,M1482=phu!$I$68,M1482=phu!$I$69,M1482=phu!$I$70,M1482=phu!$I$71),"Ba Ngòi",""),IF(OR(M1482=phu!$I$72,M1482=phu!$I$73,M1482=phu!$I$74,M1482=phu!$I$75,M1482=phu!$I$76,M1482=phu!$I$77,M1482=phu!$I$78),"Cam Phước Đông",""),IF(OR(M1482=phu!$I$79,M1482=phu!$I$80,M1482=phu!$I$81,M1482=phu!$I$82,M1482=phu!$I$83,M1482=phu!$I$84),"Cam Thịnh Đông",""),IF(OR(M1482=phu!$I$85,M1482=phu!$I$86,M1482=phu!$I$87,M1482=phu!$I$88),"Cam Thịnh Tây",""),IF(OR(M1482=phu!$I$89,M1482=phu!$I$90),"Cam Lập",""),IF(OR(M1482=phu!$I$91,M1482=phu!$I$92,M1482=phu!$I$93),"Cam Bình",""),IF(OR(M1482=phu!$I$94,M1482=phu!$I$95,M1482=phu!$I$96,M1482=phu!$I$97,M1482=phu!$I$98,M1482=phu!$I$99,M1482=phu!$I$100),"Huyện khác",""),IF(OR(M1482=phu!$I$101,M1482=phu!$I$102),"Tỉnh khác",""))</f>
        <v/>
      </c>
      <c r="O1482" s="829" t="str">
        <f t="shared" si="138"/>
        <v/>
      </c>
      <c r="P1482" s="254"/>
      <c r="Q1482" s="254"/>
      <c r="R1482" s="254"/>
      <c r="S1482" s="254"/>
      <c r="T1482" s="254"/>
      <c r="U1482" s="254"/>
      <c r="V1482" s="254"/>
      <c r="W1482" s="254"/>
      <c r="Y1482" s="246" t="str">
        <f t="shared" si="139"/>
        <v/>
      </c>
      <c r="Z1482" s="247" t="str">
        <f t="shared" si="143"/>
        <v/>
      </c>
      <c r="AA1482" s="246" t="str">
        <f t="shared" si="140"/>
        <v/>
      </c>
    </row>
    <row r="1483" spans="1:27" x14ac:dyDescent="0.25">
      <c r="A1483" s="248" t="str">
        <f t="shared" si="141"/>
        <v/>
      </c>
      <c r="B1483" s="249" t="str">
        <f t="shared" si="142"/>
        <v/>
      </c>
      <c r="C1483" s="250"/>
      <c r="D1483" s="251"/>
      <c r="E1483" s="241"/>
      <c r="F1483" s="252"/>
      <c r="G1483" s="252"/>
      <c r="H1483" s="253"/>
      <c r="I1483" s="250"/>
      <c r="J1483" s="250"/>
      <c r="K1483" s="270"/>
      <c r="L1483" s="250"/>
      <c r="M1483" s="250"/>
      <c r="N1483" s="540" t="str">
        <f>CONCATENATE(IF(OR(M1483=phu!$I$1,M1483=phu!$I$2,M1483=phu!$I$3),"Cam Thành Nam",""),IF(OR(M1483=phu!$I$4,M1483=phu!$I$5,M1483=phu!$I$6,M1483=phu!$I$7,M1483=phu!$I$8,M1483=phu!$I$9,M1483=phu!$I$10,M1483=phu!$I$11,M1483=phu!$I$12,M1483=phu!$I$13,M1483=phu!$I$14),"Cam Nghĩa",""),IF(OR(M1483=phu!$I$15,M1483=phu!$I$16,M1483=phu!$I$17,M1483=phu!$I$18,M1483=phu!$I$19,M1483=phu!$I$20,M1483=phu!$I$21),"Cam Phúc Bắc",""),IF(OR(M1483=phu!$I$22,M1483=phu!$I$23,M1483=phu!$I$24,M1483=phu!$I$25),"Cam Phúc Nam",""),IF(OR(M1483=phu!$I$26,M1483=phu!$I$27,M1483=phu!$I$28,M1483=phu!$I$29,M1483=phu!$I$30,M1483=phu!$I$31),"Cam Phú",""),IF(OR(M1483=phu!$I$32,M1483=phu!$I$33,M1483=phu!$I$34,M1483=phu!$I$35,M1483=phu!$I$36,M1483=phu!$I$37),"Cam Lộc",""),IF(OR(M1483=phu!$I$38,M1483=phu!$I$39,M1483=phu!$I$40,M1483=phu!$I$41,M1483=phu!$I$42,M1483=phu!$I$43,M1483=phu!$I$44),"Cam Thuận",""),IF(OR(M1483=phu!$I$45,M1483=phu!$I$46,M1483=phu!$I$47,M1483=phu!$I$48,M1483=phu!$I$49,M1483=phu!$I$50,M1483=phu!$I$51,M1483=phu!$I$52,M1483=phu!$I$53),"Cam Linh",""),IF(OR(M1483=phu!$I$54,M1483=phu!$I$55,M1483=phu!$I$56,M1483=phu!$I$57,M1483=phu!$I$58,M1483=phu!$I$59,M1483=phu!$I$60,M1483=phu!$I$61,M1483=phu!$I$62),"Cam Lợi",""),IF(OR(M1483=phu!$I$63,M1483=phu!$I$64,M1483=phu!$I$65,M1483=phu!$I$66,M1483=phu!$I$67,M1483=phu!$I$68,M1483=phu!$I$69,M1483=phu!$I$70,M1483=phu!$I$71),"Ba Ngòi",""),IF(OR(M1483=phu!$I$72,M1483=phu!$I$73,M1483=phu!$I$74,M1483=phu!$I$75,M1483=phu!$I$76,M1483=phu!$I$77,M1483=phu!$I$78),"Cam Phước Đông",""),IF(OR(M1483=phu!$I$79,M1483=phu!$I$80,M1483=phu!$I$81,M1483=phu!$I$82,M1483=phu!$I$83,M1483=phu!$I$84),"Cam Thịnh Đông",""),IF(OR(M1483=phu!$I$85,M1483=phu!$I$86,M1483=phu!$I$87,M1483=phu!$I$88),"Cam Thịnh Tây",""),IF(OR(M1483=phu!$I$89,M1483=phu!$I$90),"Cam Lập",""),IF(OR(M1483=phu!$I$91,M1483=phu!$I$92,M1483=phu!$I$93),"Cam Bình",""),IF(OR(M1483=phu!$I$94,M1483=phu!$I$95,M1483=phu!$I$96,M1483=phu!$I$97,M1483=phu!$I$98,M1483=phu!$I$99,M1483=phu!$I$100),"Huyện khác",""),IF(OR(M1483=phu!$I$101,M1483=phu!$I$102),"Tỉnh khác",""))</f>
        <v/>
      </c>
      <c r="O1483" s="829" t="str">
        <f t="shared" si="138"/>
        <v/>
      </c>
      <c r="P1483" s="254"/>
      <c r="Q1483" s="254"/>
      <c r="R1483" s="254"/>
      <c r="S1483" s="254"/>
      <c r="T1483" s="254"/>
      <c r="U1483" s="254"/>
      <c r="V1483" s="254"/>
      <c r="W1483" s="254"/>
      <c r="Y1483" s="246" t="str">
        <f t="shared" si="139"/>
        <v/>
      </c>
      <c r="Z1483" s="247" t="str">
        <f t="shared" si="143"/>
        <v/>
      </c>
      <c r="AA1483" s="246" t="str">
        <f t="shared" si="140"/>
        <v/>
      </c>
    </row>
    <row r="1484" spans="1:27" x14ac:dyDescent="0.25">
      <c r="A1484" s="248" t="str">
        <f t="shared" si="141"/>
        <v/>
      </c>
      <c r="B1484" s="249" t="str">
        <f t="shared" si="142"/>
        <v/>
      </c>
      <c r="C1484" s="250"/>
      <c r="D1484" s="251"/>
      <c r="E1484" s="241"/>
      <c r="F1484" s="252"/>
      <c r="G1484" s="252"/>
      <c r="H1484" s="253"/>
      <c r="I1484" s="250"/>
      <c r="J1484" s="250"/>
      <c r="K1484" s="270"/>
      <c r="L1484" s="250"/>
      <c r="M1484" s="250"/>
      <c r="N1484" s="540" t="str">
        <f>CONCATENATE(IF(OR(M1484=phu!$I$1,M1484=phu!$I$2,M1484=phu!$I$3),"Cam Thành Nam",""),IF(OR(M1484=phu!$I$4,M1484=phu!$I$5,M1484=phu!$I$6,M1484=phu!$I$7,M1484=phu!$I$8,M1484=phu!$I$9,M1484=phu!$I$10,M1484=phu!$I$11,M1484=phu!$I$12,M1484=phu!$I$13,M1484=phu!$I$14),"Cam Nghĩa",""),IF(OR(M1484=phu!$I$15,M1484=phu!$I$16,M1484=phu!$I$17,M1484=phu!$I$18,M1484=phu!$I$19,M1484=phu!$I$20,M1484=phu!$I$21),"Cam Phúc Bắc",""),IF(OR(M1484=phu!$I$22,M1484=phu!$I$23,M1484=phu!$I$24,M1484=phu!$I$25),"Cam Phúc Nam",""),IF(OR(M1484=phu!$I$26,M1484=phu!$I$27,M1484=phu!$I$28,M1484=phu!$I$29,M1484=phu!$I$30,M1484=phu!$I$31),"Cam Phú",""),IF(OR(M1484=phu!$I$32,M1484=phu!$I$33,M1484=phu!$I$34,M1484=phu!$I$35,M1484=phu!$I$36,M1484=phu!$I$37),"Cam Lộc",""),IF(OR(M1484=phu!$I$38,M1484=phu!$I$39,M1484=phu!$I$40,M1484=phu!$I$41,M1484=phu!$I$42,M1484=phu!$I$43,M1484=phu!$I$44),"Cam Thuận",""),IF(OR(M1484=phu!$I$45,M1484=phu!$I$46,M1484=phu!$I$47,M1484=phu!$I$48,M1484=phu!$I$49,M1484=phu!$I$50,M1484=phu!$I$51,M1484=phu!$I$52,M1484=phu!$I$53),"Cam Linh",""),IF(OR(M1484=phu!$I$54,M1484=phu!$I$55,M1484=phu!$I$56,M1484=phu!$I$57,M1484=phu!$I$58,M1484=phu!$I$59,M1484=phu!$I$60,M1484=phu!$I$61,M1484=phu!$I$62),"Cam Lợi",""),IF(OR(M1484=phu!$I$63,M1484=phu!$I$64,M1484=phu!$I$65,M1484=phu!$I$66,M1484=phu!$I$67,M1484=phu!$I$68,M1484=phu!$I$69,M1484=phu!$I$70,M1484=phu!$I$71),"Ba Ngòi",""),IF(OR(M1484=phu!$I$72,M1484=phu!$I$73,M1484=phu!$I$74,M1484=phu!$I$75,M1484=phu!$I$76,M1484=phu!$I$77,M1484=phu!$I$78),"Cam Phước Đông",""),IF(OR(M1484=phu!$I$79,M1484=phu!$I$80,M1484=phu!$I$81,M1484=phu!$I$82,M1484=phu!$I$83,M1484=phu!$I$84),"Cam Thịnh Đông",""),IF(OR(M1484=phu!$I$85,M1484=phu!$I$86,M1484=phu!$I$87,M1484=phu!$I$88),"Cam Thịnh Tây",""),IF(OR(M1484=phu!$I$89,M1484=phu!$I$90),"Cam Lập",""),IF(OR(M1484=phu!$I$91,M1484=phu!$I$92,M1484=phu!$I$93),"Cam Bình",""),IF(OR(M1484=phu!$I$94,M1484=phu!$I$95,M1484=phu!$I$96,M1484=phu!$I$97,M1484=phu!$I$98,M1484=phu!$I$99,M1484=phu!$I$100),"Huyện khác",""),IF(OR(M1484=phu!$I$101,M1484=phu!$I$102),"Tỉnh khác",""))</f>
        <v/>
      </c>
      <c r="O1484" s="829" t="str">
        <f t="shared" si="138"/>
        <v/>
      </c>
      <c r="P1484" s="254"/>
      <c r="Q1484" s="254"/>
      <c r="R1484" s="254"/>
      <c r="S1484" s="254"/>
      <c r="T1484" s="254"/>
      <c r="U1484" s="254"/>
      <c r="V1484" s="254"/>
      <c r="W1484" s="254"/>
      <c r="Y1484" s="246" t="str">
        <f t="shared" si="139"/>
        <v/>
      </c>
      <c r="Z1484" s="247" t="str">
        <f t="shared" si="143"/>
        <v/>
      </c>
      <c r="AA1484" s="246" t="str">
        <f t="shared" si="140"/>
        <v/>
      </c>
    </row>
    <row r="1485" spans="1:27" x14ac:dyDescent="0.25">
      <c r="A1485" s="248" t="str">
        <f t="shared" si="141"/>
        <v/>
      </c>
      <c r="B1485" s="249" t="str">
        <f t="shared" si="142"/>
        <v/>
      </c>
      <c r="C1485" s="250"/>
      <c r="D1485" s="251"/>
      <c r="E1485" s="241"/>
      <c r="F1485" s="252"/>
      <c r="G1485" s="252"/>
      <c r="H1485" s="253"/>
      <c r="I1485" s="250"/>
      <c r="J1485" s="250"/>
      <c r="K1485" s="270"/>
      <c r="L1485" s="250"/>
      <c r="M1485" s="250"/>
      <c r="N1485" s="540" t="str">
        <f>CONCATENATE(IF(OR(M1485=phu!$I$1,M1485=phu!$I$2,M1485=phu!$I$3),"Cam Thành Nam",""),IF(OR(M1485=phu!$I$4,M1485=phu!$I$5,M1485=phu!$I$6,M1485=phu!$I$7,M1485=phu!$I$8,M1485=phu!$I$9,M1485=phu!$I$10,M1485=phu!$I$11,M1485=phu!$I$12,M1485=phu!$I$13,M1485=phu!$I$14),"Cam Nghĩa",""),IF(OR(M1485=phu!$I$15,M1485=phu!$I$16,M1485=phu!$I$17,M1485=phu!$I$18,M1485=phu!$I$19,M1485=phu!$I$20,M1485=phu!$I$21),"Cam Phúc Bắc",""),IF(OR(M1485=phu!$I$22,M1485=phu!$I$23,M1485=phu!$I$24,M1485=phu!$I$25),"Cam Phúc Nam",""),IF(OR(M1485=phu!$I$26,M1485=phu!$I$27,M1485=phu!$I$28,M1485=phu!$I$29,M1485=phu!$I$30,M1485=phu!$I$31),"Cam Phú",""),IF(OR(M1485=phu!$I$32,M1485=phu!$I$33,M1485=phu!$I$34,M1485=phu!$I$35,M1485=phu!$I$36,M1485=phu!$I$37),"Cam Lộc",""),IF(OR(M1485=phu!$I$38,M1485=phu!$I$39,M1485=phu!$I$40,M1485=phu!$I$41,M1485=phu!$I$42,M1485=phu!$I$43,M1485=phu!$I$44),"Cam Thuận",""),IF(OR(M1485=phu!$I$45,M1485=phu!$I$46,M1485=phu!$I$47,M1485=phu!$I$48,M1485=phu!$I$49,M1485=phu!$I$50,M1485=phu!$I$51,M1485=phu!$I$52,M1485=phu!$I$53),"Cam Linh",""),IF(OR(M1485=phu!$I$54,M1485=phu!$I$55,M1485=phu!$I$56,M1485=phu!$I$57,M1485=phu!$I$58,M1485=phu!$I$59,M1485=phu!$I$60,M1485=phu!$I$61,M1485=phu!$I$62),"Cam Lợi",""),IF(OR(M1485=phu!$I$63,M1485=phu!$I$64,M1485=phu!$I$65,M1485=phu!$I$66,M1485=phu!$I$67,M1485=phu!$I$68,M1485=phu!$I$69,M1485=phu!$I$70,M1485=phu!$I$71),"Ba Ngòi",""),IF(OR(M1485=phu!$I$72,M1485=phu!$I$73,M1485=phu!$I$74,M1485=phu!$I$75,M1485=phu!$I$76,M1485=phu!$I$77,M1485=phu!$I$78),"Cam Phước Đông",""),IF(OR(M1485=phu!$I$79,M1485=phu!$I$80,M1485=phu!$I$81,M1485=phu!$I$82,M1485=phu!$I$83,M1485=phu!$I$84),"Cam Thịnh Đông",""),IF(OR(M1485=phu!$I$85,M1485=phu!$I$86,M1485=phu!$I$87,M1485=phu!$I$88),"Cam Thịnh Tây",""),IF(OR(M1485=phu!$I$89,M1485=phu!$I$90),"Cam Lập",""),IF(OR(M1485=phu!$I$91,M1485=phu!$I$92,M1485=phu!$I$93),"Cam Bình",""),IF(OR(M1485=phu!$I$94,M1485=phu!$I$95,M1485=phu!$I$96,M1485=phu!$I$97,M1485=phu!$I$98,M1485=phu!$I$99,M1485=phu!$I$100),"Huyện khác",""),IF(OR(M1485=phu!$I$101,M1485=phu!$I$102),"Tỉnh khác",""))</f>
        <v/>
      </c>
      <c r="O1485" s="829" t="str">
        <f t="shared" si="138"/>
        <v/>
      </c>
      <c r="P1485" s="254"/>
      <c r="Q1485" s="254"/>
      <c r="R1485" s="254"/>
      <c r="S1485" s="254"/>
      <c r="T1485" s="254"/>
      <c r="U1485" s="254"/>
      <c r="V1485" s="254"/>
      <c r="W1485" s="254"/>
      <c r="Y1485" s="246" t="str">
        <f t="shared" si="139"/>
        <v/>
      </c>
      <c r="Z1485" s="247" t="str">
        <f t="shared" si="143"/>
        <v/>
      </c>
      <c r="AA1485" s="246" t="str">
        <f t="shared" si="140"/>
        <v/>
      </c>
    </row>
    <row r="1486" spans="1:27" x14ac:dyDescent="0.25">
      <c r="A1486" s="248" t="str">
        <f t="shared" si="141"/>
        <v/>
      </c>
      <c r="B1486" s="249" t="str">
        <f t="shared" si="142"/>
        <v/>
      </c>
      <c r="C1486" s="250"/>
      <c r="D1486" s="251"/>
      <c r="E1486" s="241"/>
      <c r="F1486" s="252"/>
      <c r="G1486" s="252"/>
      <c r="H1486" s="253"/>
      <c r="I1486" s="250"/>
      <c r="J1486" s="250"/>
      <c r="K1486" s="270"/>
      <c r="L1486" s="250"/>
      <c r="M1486" s="250"/>
      <c r="N1486" s="540" t="str">
        <f>CONCATENATE(IF(OR(M1486=phu!$I$1,M1486=phu!$I$2,M1486=phu!$I$3),"Cam Thành Nam",""),IF(OR(M1486=phu!$I$4,M1486=phu!$I$5,M1486=phu!$I$6,M1486=phu!$I$7,M1486=phu!$I$8,M1486=phu!$I$9,M1486=phu!$I$10,M1486=phu!$I$11,M1486=phu!$I$12,M1486=phu!$I$13,M1486=phu!$I$14),"Cam Nghĩa",""),IF(OR(M1486=phu!$I$15,M1486=phu!$I$16,M1486=phu!$I$17,M1486=phu!$I$18,M1486=phu!$I$19,M1486=phu!$I$20,M1486=phu!$I$21),"Cam Phúc Bắc",""),IF(OR(M1486=phu!$I$22,M1486=phu!$I$23,M1486=phu!$I$24,M1486=phu!$I$25),"Cam Phúc Nam",""),IF(OR(M1486=phu!$I$26,M1486=phu!$I$27,M1486=phu!$I$28,M1486=phu!$I$29,M1486=phu!$I$30,M1486=phu!$I$31),"Cam Phú",""),IF(OR(M1486=phu!$I$32,M1486=phu!$I$33,M1486=phu!$I$34,M1486=phu!$I$35,M1486=phu!$I$36,M1486=phu!$I$37),"Cam Lộc",""),IF(OR(M1486=phu!$I$38,M1486=phu!$I$39,M1486=phu!$I$40,M1486=phu!$I$41,M1486=phu!$I$42,M1486=phu!$I$43,M1486=phu!$I$44),"Cam Thuận",""),IF(OR(M1486=phu!$I$45,M1486=phu!$I$46,M1486=phu!$I$47,M1486=phu!$I$48,M1486=phu!$I$49,M1486=phu!$I$50,M1486=phu!$I$51,M1486=phu!$I$52,M1486=phu!$I$53),"Cam Linh",""),IF(OR(M1486=phu!$I$54,M1486=phu!$I$55,M1486=phu!$I$56,M1486=phu!$I$57,M1486=phu!$I$58,M1486=phu!$I$59,M1486=phu!$I$60,M1486=phu!$I$61,M1486=phu!$I$62),"Cam Lợi",""),IF(OR(M1486=phu!$I$63,M1486=phu!$I$64,M1486=phu!$I$65,M1486=phu!$I$66,M1486=phu!$I$67,M1486=phu!$I$68,M1486=phu!$I$69,M1486=phu!$I$70,M1486=phu!$I$71),"Ba Ngòi",""),IF(OR(M1486=phu!$I$72,M1486=phu!$I$73,M1486=phu!$I$74,M1486=phu!$I$75,M1486=phu!$I$76,M1486=phu!$I$77,M1486=phu!$I$78),"Cam Phước Đông",""),IF(OR(M1486=phu!$I$79,M1486=phu!$I$80,M1486=phu!$I$81,M1486=phu!$I$82,M1486=phu!$I$83,M1486=phu!$I$84),"Cam Thịnh Đông",""),IF(OR(M1486=phu!$I$85,M1486=phu!$I$86,M1486=phu!$I$87,M1486=phu!$I$88),"Cam Thịnh Tây",""),IF(OR(M1486=phu!$I$89,M1486=phu!$I$90),"Cam Lập",""),IF(OR(M1486=phu!$I$91,M1486=phu!$I$92,M1486=phu!$I$93),"Cam Bình",""),IF(OR(M1486=phu!$I$94,M1486=phu!$I$95,M1486=phu!$I$96,M1486=phu!$I$97,M1486=phu!$I$98,M1486=phu!$I$99,M1486=phu!$I$100),"Huyện khác",""),IF(OR(M1486=phu!$I$101,M1486=phu!$I$102),"Tỉnh khác",""))</f>
        <v/>
      </c>
      <c r="O1486" s="829" t="str">
        <f t="shared" si="138"/>
        <v/>
      </c>
      <c r="P1486" s="254"/>
      <c r="Q1486" s="254"/>
      <c r="R1486" s="254"/>
      <c r="S1486" s="254"/>
      <c r="T1486" s="254"/>
      <c r="U1486" s="254"/>
      <c r="V1486" s="254"/>
      <c r="W1486" s="254"/>
      <c r="Y1486" s="246" t="str">
        <f t="shared" si="139"/>
        <v/>
      </c>
      <c r="Z1486" s="247" t="str">
        <f t="shared" si="143"/>
        <v/>
      </c>
      <c r="AA1486" s="246" t="str">
        <f t="shared" si="140"/>
        <v/>
      </c>
    </row>
    <row r="1487" spans="1:27" x14ac:dyDescent="0.25">
      <c r="A1487" s="248" t="str">
        <f t="shared" si="141"/>
        <v/>
      </c>
      <c r="B1487" s="249" t="str">
        <f t="shared" si="142"/>
        <v/>
      </c>
      <c r="C1487" s="250"/>
      <c r="D1487" s="251"/>
      <c r="E1487" s="241"/>
      <c r="F1487" s="252"/>
      <c r="G1487" s="252"/>
      <c r="H1487" s="253"/>
      <c r="I1487" s="250"/>
      <c r="J1487" s="250"/>
      <c r="K1487" s="270"/>
      <c r="L1487" s="250"/>
      <c r="M1487" s="250"/>
      <c r="N1487" s="540" t="str">
        <f>CONCATENATE(IF(OR(M1487=phu!$I$1,M1487=phu!$I$2,M1487=phu!$I$3),"Cam Thành Nam",""),IF(OR(M1487=phu!$I$4,M1487=phu!$I$5,M1487=phu!$I$6,M1487=phu!$I$7,M1487=phu!$I$8,M1487=phu!$I$9,M1487=phu!$I$10,M1487=phu!$I$11,M1487=phu!$I$12,M1487=phu!$I$13,M1487=phu!$I$14),"Cam Nghĩa",""),IF(OR(M1487=phu!$I$15,M1487=phu!$I$16,M1487=phu!$I$17,M1487=phu!$I$18,M1487=phu!$I$19,M1487=phu!$I$20,M1487=phu!$I$21),"Cam Phúc Bắc",""),IF(OR(M1487=phu!$I$22,M1487=phu!$I$23,M1487=phu!$I$24,M1487=phu!$I$25),"Cam Phúc Nam",""),IF(OR(M1487=phu!$I$26,M1487=phu!$I$27,M1487=phu!$I$28,M1487=phu!$I$29,M1487=phu!$I$30,M1487=phu!$I$31),"Cam Phú",""),IF(OR(M1487=phu!$I$32,M1487=phu!$I$33,M1487=phu!$I$34,M1487=phu!$I$35,M1487=phu!$I$36,M1487=phu!$I$37),"Cam Lộc",""),IF(OR(M1487=phu!$I$38,M1487=phu!$I$39,M1487=phu!$I$40,M1487=phu!$I$41,M1487=phu!$I$42,M1487=phu!$I$43,M1487=phu!$I$44),"Cam Thuận",""),IF(OR(M1487=phu!$I$45,M1487=phu!$I$46,M1487=phu!$I$47,M1487=phu!$I$48,M1487=phu!$I$49,M1487=phu!$I$50,M1487=phu!$I$51,M1487=phu!$I$52,M1487=phu!$I$53),"Cam Linh",""),IF(OR(M1487=phu!$I$54,M1487=phu!$I$55,M1487=phu!$I$56,M1487=phu!$I$57,M1487=phu!$I$58,M1487=phu!$I$59,M1487=phu!$I$60,M1487=phu!$I$61,M1487=phu!$I$62),"Cam Lợi",""),IF(OR(M1487=phu!$I$63,M1487=phu!$I$64,M1487=phu!$I$65,M1487=phu!$I$66,M1487=phu!$I$67,M1487=phu!$I$68,M1487=phu!$I$69,M1487=phu!$I$70,M1487=phu!$I$71),"Ba Ngòi",""),IF(OR(M1487=phu!$I$72,M1487=phu!$I$73,M1487=phu!$I$74,M1487=phu!$I$75,M1487=phu!$I$76,M1487=phu!$I$77,M1487=phu!$I$78),"Cam Phước Đông",""),IF(OR(M1487=phu!$I$79,M1487=phu!$I$80,M1487=phu!$I$81,M1487=phu!$I$82,M1487=phu!$I$83,M1487=phu!$I$84),"Cam Thịnh Đông",""),IF(OR(M1487=phu!$I$85,M1487=phu!$I$86,M1487=phu!$I$87,M1487=phu!$I$88),"Cam Thịnh Tây",""),IF(OR(M1487=phu!$I$89,M1487=phu!$I$90),"Cam Lập",""),IF(OR(M1487=phu!$I$91,M1487=phu!$I$92,M1487=phu!$I$93),"Cam Bình",""),IF(OR(M1487=phu!$I$94,M1487=phu!$I$95,M1487=phu!$I$96,M1487=phu!$I$97,M1487=phu!$I$98,M1487=phu!$I$99,M1487=phu!$I$100),"Huyện khác",""),IF(OR(M1487=phu!$I$101,M1487=phu!$I$102),"Tỉnh khác",""))</f>
        <v/>
      </c>
      <c r="O1487" s="829" t="str">
        <f t="shared" si="138"/>
        <v/>
      </c>
      <c r="P1487" s="254"/>
      <c r="Q1487" s="254"/>
      <c r="R1487" s="254"/>
      <c r="S1487" s="254"/>
      <c r="T1487" s="254"/>
      <c r="U1487" s="254"/>
      <c r="V1487" s="254"/>
      <c r="W1487" s="254"/>
      <c r="Y1487" s="246" t="str">
        <f t="shared" si="139"/>
        <v/>
      </c>
      <c r="Z1487" s="247" t="str">
        <f t="shared" si="143"/>
        <v/>
      </c>
      <c r="AA1487" s="246" t="str">
        <f t="shared" si="140"/>
        <v/>
      </c>
    </row>
    <row r="1488" spans="1:27" x14ac:dyDescent="0.25">
      <c r="A1488" s="248" t="str">
        <f t="shared" si="141"/>
        <v/>
      </c>
      <c r="B1488" s="249" t="str">
        <f t="shared" si="142"/>
        <v/>
      </c>
      <c r="C1488" s="250"/>
      <c r="D1488" s="251"/>
      <c r="E1488" s="241"/>
      <c r="F1488" s="252"/>
      <c r="G1488" s="252"/>
      <c r="H1488" s="253"/>
      <c r="I1488" s="250"/>
      <c r="J1488" s="250"/>
      <c r="K1488" s="270"/>
      <c r="L1488" s="250"/>
      <c r="M1488" s="250"/>
      <c r="N1488" s="540" t="str">
        <f>CONCATENATE(IF(OR(M1488=phu!$I$1,M1488=phu!$I$2,M1488=phu!$I$3),"Cam Thành Nam",""),IF(OR(M1488=phu!$I$4,M1488=phu!$I$5,M1488=phu!$I$6,M1488=phu!$I$7,M1488=phu!$I$8,M1488=phu!$I$9,M1488=phu!$I$10,M1488=phu!$I$11,M1488=phu!$I$12,M1488=phu!$I$13,M1488=phu!$I$14),"Cam Nghĩa",""),IF(OR(M1488=phu!$I$15,M1488=phu!$I$16,M1488=phu!$I$17,M1488=phu!$I$18,M1488=phu!$I$19,M1488=phu!$I$20,M1488=phu!$I$21),"Cam Phúc Bắc",""),IF(OR(M1488=phu!$I$22,M1488=phu!$I$23,M1488=phu!$I$24,M1488=phu!$I$25),"Cam Phúc Nam",""),IF(OR(M1488=phu!$I$26,M1488=phu!$I$27,M1488=phu!$I$28,M1488=phu!$I$29,M1488=phu!$I$30,M1488=phu!$I$31),"Cam Phú",""),IF(OR(M1488=phu!$I$32,M1488=phu!$I$33,M1488=phu!$I$34,M1488=phu!$I$35,M1488=phu!$I$36,M1488=phu!$I$37),"Cam Lộc",""),IF(OR(M1488=phu!$I$38,M1488=phu!$I$39,M1488=phu!$I$40,M1488=phu!$I$41,M1488=phu!$I$42,M1488=phu!$I$43,M1488=phu!$I$44),"Cam Thuận",""),IF(OR(M1488=phu!$I$45,M1488=phu!$I$46,M1488=phu!$I$47,M1488=phu!$I$48,M1488=phu!$I$49,M1488=phu!$I$50,M1488=phu!$I$51,M1488=phu!$I$52,M1488=phu!$I$53),"Cam Linh",""),IF(OR(M1488=phu!$I$54,M1488=phu!$I$55,M1488=phu!$I$56,M1488=phu!$I$57,M1488=phu!$I$58,M1488=phu!$I$59,M1488=phu!$I$60,M1488=phu!$I$61,M1488=phu!$I$62),"Cam Lợi",""),IF(OR(M1488=phu!$I$63,M1488=phu!$I$64,M1488=phu!$I$65,M1488=phu!$I$66,M1488=phu!$I$67,M1488=phu!$I$68,M1488=phu!$I$69,M1488=phu!$I$70,M1488=phu!$I$71),"Ba Ngòi",""),IF(OR(M1488=phu!$I$72,M1488=phu!$I$73,M1488=phu!$I$74,M1488=phu!$I$75,M1488=phu!$I$76,M1488=phu!$I$77,M1488=phu!$I$78),"Cam Phước Đông",""),IF(OR(M1488=phu!$I$79,M1488=phu!$I$80,M1488=phu!$I$81,M1488=phu!$I$82,M1488=phu!$I$83,M1488=phu!$I$84),"Cam Thịnh Đông",""),IF(OR(M1488=phu!$I$85,M1488=phu!$I$86,M1488=phu!$I$87,M1488=phu!$I$88),"Cam Thịnh Tây",""),IF(OR(M1488=phu!$I$89,M1488=phu!$I$90),"Cam Lập",""),IF(OR(M1488=phu!$I$91,M1488=phu!$I$92,M1488=phu!$I$93),"Cam Bình",""),IF(OR(M1488=phu!$I$94,M1488=phu!$I$95,M1488=phu!$I$96,M1488=phu!$I$97,M1488=phu!$I$98,M1488=phu!$I$99,M1488=phu!$I$100),"Huyện khác",""),IF(OR(M1488=phu!$I$101,M1488=phu!$I$102),"Tỉnh khác",""))</f>
        <v/>
      </c>
      <c r="O1488" s="829" t="str">
        <f t="shared" si="138"/>
        <v/>
      </c>
      <c r="P1488" s="254"/>
      <c r="Q1488" s="254"/>
      <c r="R1488" s="254"/>
      <c r="S1488" s="254"/>
      <c r="T1488" s="254"/>
      <c r="U1488" s="254"/>
      <c r="V1488" s="254"/>
      <c r="W1488" s="254"/>
      <c r="Y1488" s="246" t="str">
        <f t="shared" si="139"/>
        <v/>
      </c>
      <c r="Z1488" s="247" t="str">
        <f t="shared" si="143"/>
        <v/>
      </c>
      <c r="AA1488" s="246" t="str">
        <f t="shared" si="140"/>
        <v/>
      </c>
    </row>
    <row r="1489" spans="1:27" x14ac:dyDescent="0.25">
      <c r="A1489" s="248" t="str">
        <f t="shared" si="141"/>
        <v/>
      </c>
      <c r="B1489" s="249" t="str">
        <f t="shared" si="142"/>
        <v/>
      </c>
      <c r="C1489" s="250"/>
      <c r="D1489" s="251"/>
      <c r="E1489" s="241"/>
      <c r="F1489" s="252"/>
      <c r="G1489" s="252"/>
      <c r="H1489" s="253"/>
      <c r="I1489" s="250"/>
      <c r="J1489" s="250"/>
      <c r="K1489" s="270"/>
      <c r="L1489" s="250"/>
      <c r="M1489" s="250"/>
      <c r="N1489" s="540" t="str">
        <f>CONCATENATE(IF(OR(M1489=phu!$I$1,M1489=phu!$I$2,M1489=phu!$I$3),"Cam Thành Nam",""),IF(OR(M1489=phu!$I$4,M1489=phu!$I$5,M1489=phu!$I$6,M1489=phu!$I$7,M1489=phu!$I$8,M1489=phu!$I$9,M1489=phu!$I$10,M1489=phu!$I$11,M1489=phu!$I$12,M1489=phu!$I$13,M1489=phu!$I$14),"Cam Nghĩa",""),IF(OR(M1489=phu!$I$15,M1489=phu!$I$16,M1489=phu!$I$17,M1489=phu!$I$18,M1489=phu!$I$19,M1489=phu!$I$20,M1489=phu!$I$21),"Cam Phúc Bắc",""),IF(OR(M1489=phu!$I$22,M1489=phu!$I$23,M1489=phu!$I$24,M1489=phu!$I$25),"Cam Phúc Nam",""),IF(OR(M1489=phu!$I$26,M1489=phu!$I$27,M1489=phu!$I$28,M1489=phu!$I$29,M1489=phu!$I$30,M1489=phu!$I$31),"Cam Phú",""),IF(OR(M1489=phu!$I$32,M1489=phu!$I$33,M1489=phu!$I$34,M1489=phu!$I$35,M1489=phu!$I$36,M1489=phu!$I$37),"Cam Lộc",""),IF(OR(M1489=phu!$I$38,M1489=phu!$I$39,M1489=phu!$I$40,M1489=phu!$I$41,M1489=phu!$I$42,M1489=phu!$I$43,M1489=phu!$I$44),"Cam Thuận",""),IF(OR(M1489=phu!$I$45,M1489=phu!$I$46,M1489=phu!$I$47,M1489=phu!$I$48,M1489=phu!$I$49,M1489=phu!$I$50,M1489=phu!$I$51,M1489=phu!$I$52,M1489=phu!$I$53),"Cam Linh",""),IF(OR(M1489=phu!$I$54,M1489=phu!$I$55,M1489=phu!$I$56,M1489=phu!$I$57,M1489=phu!$I$58,M1489=phu!$I$59,M1489=phu!$I$60,M1489=phu!$I$61,M1489=phu!$I$62),"Cam Lợi",""),IF(OR(M1489=phu!$I$63,M1489=phu!$I$64,M1489=phu!$I$65,M1489=phu!$I$66,M1489=phu!$I$67,M1489=phu!$I$68,M1489=phu!$I$69,M1489=phu!$I$70,M1489=phu!$I$71),"Ba Ngòi",""),IF(OR(M1489=phu!$I$72,M1489=phu!$I$73,M1489=phu!$I$74,M1489=phu!$I$75,M1489=phu!$I$76,M1489=phu!$I$77,M1489=phu!$I$78),"Cam Phước Đông",""),IF(OR(M1489=phu!$I$79,M1489=phu!$I$80,M1489=phu!$I$81,M1489=phu!$I$82,M1489=phu!$I$83,M1489=phu!$I$84),"Cam Thịnh Đông",""),IF(OR(M1489=phu!$I$85,M1489=phu!$I$86,M1489=phu!$I$87,M1489=phu!$I$88),"Cam Thịnh Tây",""),IF(OR(M1489=phu!$I$89,M1489=phu!$I$90),"Cam Lập",""),IF(OR(M1489=phu!$I$91,M1489=phu!$I$92,M1489=phu!$I$93),"Cam Bình",""),IF(OR(M1489=phu!$I$94,M1489=phu!$I$95,M1489=phu!$I$96,M1489=phu!$I$97,M1489=phu!$I$98,M1489=phu!$I$99,M1489=phu!$I$100),"Huyện khác",""),IF(OR(M1489=phu!$I$101,M1489=phu!$I$102),"Tỉnh khác",""))</f>
        <v/>
      </c>
      <c r="O1489" s="829" t="str">
        <f t="shared" si="138"/>
        <v/>
      </c>
      <c r="P1489" s="254"/>
      <c r="Q1489" s="254"/>
      <c r="R1489" s="254"/>
      <c r="S1489" s="254"/>
      <c r="T1489" s="254"/>
      <c r="U1489" s="254"/>
      <c r="V1489" s="254"/>
      <c r="W1489" s="254"/>
      <c r="Y1489" s="246" t="str">
        <f t="shared" si="139"/>
        <v/>
      </c>
      <c r="Z1489" s="247" t="str">
        <f t="shared" si="143"/>
        <v/>
      </c>
      <c r="AA1489" s="246" t="str">
        <f t="shared" si="140"/>
        <v/>
      </c>
    </row>
    <row r="1490" spans="1:27" x14ac:dyDescent="0.25">
      <c r="A1490" s="248" t="str">
        <f t="shared" si="141"/>
        <v/>
      </c>
      <c r="B1490" s="249" t="str">
        <f t="shared" si="142"/>
        <v/>
      </c>
      <c r="C1490" s="250"/>
      <c r="D1490" s="251"/>
      <c r="E1490" s="241"/>
      <c r="F1490" s="252"/>
      <c r="G1490" s="252"/>
      <c r="H1490" s="253"/>
      <c r="I1490" s="250"/>
      <c r="J1490" s="250"/>
      <c r="K1490" s="270"/>
      <c r="L1490" s="250"/>
      <c r="M1490" s="250"/>
      <c r="N1490" s="540" t="str">
        <f>CONCATENATE(IF(OR(M1490=phu!$I$1,M1490=phu!$I$2,M1490=phu!$I$3),"Cam Thành Nam",""),IF(OR(M1490=phu!$I$4,M1490=phu!$I$5,M1490=phu!$I$6,M1490=phu!$I$7,M1490=phu!$I$8,M1490=phu!$I$9,M1490=phu!$I$10,M1490=phu!$I$11,M1490=phu!$I$12,M1490=phu!$I$13,M1490=phu!$I$14),"Cam Nghĩa",""),IF(OR(M1490=phu!$I$15,M1490=phu!$I$16,M1490=phu!$I$17,M1490=phu!$I$18,M1490=phu!$I$19,M1490=phu!$I$20,M1490=phu!$I$21),"Cam Phúc Bắc",""),IF(OR(M1490=phu!$I$22,M1490=phu!$I$23,M1490=phu!$I$24,M1490=phu!$I$25),"Cam Phúc Nam",""),IF(OR(M1490=phu!$I$26,M1490=phu!$I$27,M1490=phu!$I$28,M1490=phu!$I$29,M1490=phu!$I$30,M1490=phu!$I$31),"Cam Phú",""),IF(OR(M1490=phu!$I$32,M1490=phu!$I$33,M1490=phu!$I$34,M1490=phu!$I$35,M1490=phu!$I$36,M1490=phu!$I$37),"Cam Lộc",""),IF(OR(M1490=phu!$I$38,M1490=phu!$I$39,M1490=phu!$I$40,M1490=phu!$I$41,M1490=phu!$I$42,M1490=phu!$I$43,M1490=phu!$I$44),"Cam Thuận",""),IF(OR(M1490=phu!$I$45,M1490=phu!$I$46,M1490=phu!$I$47,M1490=phu!$I$48,M1490=phu!$I$49,M1490=phu!$I$50,M1490=phu!$I$51,M1490=phu!$I$52,M1490=phu!$I$53),"Cam Linh",""),IF(OR(M1490=phu!$I$54,M1490=phu!$I$55,M1490=phu!$I$56,M1490=phu!$I$57,M1490=phu!$I$58,M1490=phu!$I$59,M1490=phu!$I$60,M1490=phu!$I$61,M1490=phu!$I$62),"Cam Lợi",""),IF(OR(M1490=phu!$I$63,M1490=phu!$I$64,M1490=phu!$I$65,M1490=phu!$I$66,M1490=phu!$I$67,M1490=phu!$I$68,M1490=phu!$I$69,M1490=phu!$I$70,M1490=phu!$I$71),"Ba Ngòi",""),IF(OR(M1490=phu!$I$72,M1490=phu!$I$73,M1490=phu!$I$74,M1490=phu!$I$75,M1490=phu!$I$76,M1490=phu!$I$77,M1490=phu!$I$78),"Cam Phước Đông",""),IF(OR(M1490=phu!$I$79,M1490=phu!$I$80,M1490=phu!$I$81,M1490=phu!$I$82,M1490=phu!$I$83,M1490=phu!$I$84),"Cam Thịnh Đông",""),IF(OR(M1490=phu!$I$85,M1490=phu!$I$86,M1490=phu!$I$87,M1490=phu!$I$88),"Cam Thịnh Tây",""),IF(OR(M1490=phu!$I$89,M1490=phu!$I$90),"Cam Lập",""),IF(OR(M1490=phu!$I$91,M1490=phu!$I$92,M1490=phu!$I$93),"Cam Bình",""),IF(OR(M1490=phu!$I$94,M1490=phu!$I$95,M1490=phu!$I$96,M1490=phu!$I$97,M1490=phu!$I$98,M1490=phu!$I$99,M1490=phu!$I$100),"Huyện khác",""),IF(OR(M1490=phu!$I$101,M1490=phu!$I$102),"Tỉnh khác",""))</f>
        <v/>
      </c>
      <c r="O1490" s="829" t="str">
        <f t="shared" si="138"/>
        <v/>
      </c>
      <c r="P1490" s="254"/>
      <c r="Q1490" s="254"/>
      <c r="R1490" s="254"/>
      <c r="S1490" s="254"/>
      <c r="T1490" s="254"/>
      <c r="U1490" s="254"/>
      <c r="V1490" s="254"/>
      <c r="W1490" s="254"/>
      <c r="Y1490" s="246" t="str">
        <f t="shared" si="139"/>
        <v/>
      </c>
      <c r="Z1490" s="247" t="str">
        <f t="shared" si="143"/>
        <v/>
      </c>
      <c r="AA1490" s="246" t="str">
        <f t="shared" si="140"/>
        <v/>
      </c>
    </row>
    <row r="1491" spans="1:27" x14ac:dyDescent="0.25">
      <c r="A1491" s="248" t="str">
        <f t="shared" si="141"/>
        <v/>
      </c>
      <c r="B1491" s="249" t="str">
        <f t="shared" si="142"/>
        <v/>
      </c>
      <c r="C1491" s="250"/>
      <c r="D1491" s="251"/>
      <c r="E1491" s="241"/>
      <c r="F1491" s="252"/>
      <c r="G1491" s="252"/>
      <c r="H1491" s="253"/>
      <c r="I1491" s="250"/>
      <c r="J1491" s="250"/>
      <c r="K1491" s="270"/>
      <c r="L1491" s="250"/>
      <c r="M1491" s="250"/>
      <c r="N1491" s="540" t="str">
        <f>CONCATENATE(IF(OR(M1491=phu!$I$1,M1491=phu!$I$2,M1491=phu!$I$3),"Cam Thành Nam",""),IF(OR(M1491=phu!$I$4,M1491=phu!$I$5,M1491=phu!$I$6,M1491=phu!$I$7,M1491=phu!$I$8,M1491=phu!$I$9,M1491=phu!$I$10,M1491=phu!$I$11,M1491=phu!$I$12,M1491=phu!$I$13,M1491=phu!$I$14),"Cam Nghĩa",""),IF(OR(M1491=phu!$I$15,M1491=phu!$I$16,M1491=phu!$I$17,M1491=phu!$I$18,M1491=phu!$I$19,M1491=phu!$I$20,M1491=phu!$I$21),"Cam Phúc Bắc",""),IF(OR(M1491=phu!$I$22,M1491=phu!$I$23,M1491=phu!$I$24,M1491=phu!$I$25),"Cam Phúc Nam",""),IF(OR(M1491=phu!$I$26,M1491=phu!$I$27,M1491=phu!$I$28,M1491=phu!$I$29,M1491=phu!$I$30,M1491=phu!$I$31),"Cam Phú",""),IF(OR(M1491=phu!$I$32,M1491=phu!$I$33,M1491=phu!$I$34,M1491=phu!$I$35,M1491=phu!$I$36,M1491=phu!$I$37),"Cam Lộc",""),IF(OR(M1491=phu!$I$38,M1491=phu!$I$39,M1491=phu!$I$40,M1491=phu!$I$41,M1491=phu!$I$42,M1491=phu!$I$43,M1491=phu!$I$44),"Cam Thuận",""),IF(OR(M1491=phu!$I$45,M1491=phu!$I$46,M1491=phu!$I$47,M1491=phu!$I$48,M1491=phu!$I$49,M1491=phu!$I$50,M1491=phu!$I$51,M1491=phu!$I$52,M1491=phu!$I$53),"Cam Linh",""),IF(OR(M1491=phu!$I$54,M1491=phu!$I$55,M1491=phu!$I$56,M1491=phu!$I$57,M1491=phu!$I$58,M1491=phu!$I$59,M1491=phu!$I$60,M1491=phu!$I$61,M1491=phu!$I$62),"Cam Lợi",""),IF(OR(M1491=phu!$I$63,M1491=phu!$I$64,M1491=phu!$I$65,M1491=phu!$I$66,M1491=phu!$I$67,M1491=phu!$I$68,M1491=phu!$I$69,M1491=phu!$I$70,M1491=phu!$I$71),"Ba Ngòi",""),IF(OR(M1491=phu!$I$72,M1491=phu!$I$73,M1491=phu!$I$74,M1491=phu!$I$75,M1491=phu!$I$76,M1491=phu!$I$77,M1491=phu!$I$78),"Cam Phước Đông",""),IF(OR(M1491=phu!$I$79,M1491=phu!$I$80,M1491=phu!$I$81,M1491=phu!$I$82,M1491=phu!$I$83,M1491=phu!$I$84),"Cam Thịnh Đông",""),IF(OR(M1491=phu!$I$85,M1491=phu!$I$86,M1491=phu!$I$87,M1491=phu!$I$88),"Cam Thịnh Tây",""),IF(OR(M1491=phu!$I$89,M1491=phu!$I$90),"Cam Lập",""),IF(OR(M1491=phu!$I$91,M1491=phu!$I$92,M1491=phu!$I$93),"Cam Bình",""),IF(OR(M1491=phu!$I$94,M1491=phu!$I$95,M1491=phu!$I$96,M1491=phu!$I$97,M1491=phu!$I$98,M1491=phu!$I$99,M1491=phu!$I$100),"Huyện khác",""),IF(OR(M1491=phu!$I$101,M1491=phu!$I$102),"Tỉnh khác",""))</f>
        <v/>
      </c>
      <c r="O1491" s="829" t="str">
        <f t="shared" si="138"/>
        <v/>
      </c>
      <c r="P1491" s="254"/>
      <c r="Q1491" s="254"/>
      <c r="R1491" s="254"/>
      <c r="S1491" s="254"/>
      <c r="T1491" s="254"/>
      <c r="U1491" s="254"/>
      <c r="V1491" s="254"/>
      <c r="W1491" s="254"/>
      <c r="Y1491" s="246" t="str">
        <f t="shared" si="139"/>
        <v/>
      </c>
      <c r="Z1491" s="247" t="str">
        <f t="shared" si="143"/>
        <v/>
      </c>
      <c r="AA1491" s="246" t="str">
        <f t="shared" si="140"/>
        <v/>
      </c>
    </row>
    <row r="1492" spans="1:27" x14ac:dyDescent="0.25">
      <c r="A1492" s="248" t="str">
        <f t="shared" si="141"/>
        <v/>
      </c>
      <c r="B1492" s="249" t="str">
        <f t="shared" si="142"/>
        <v/>
      </c>
      <c r="C1492" s="250"/>
      <c r="D1492" s="251"/>
      <c r="E1492" s="241"/>
      <c r="F1492" s="252"/>
      <c r="G1492" s="252"/>
      <c r="H1492" s="253"/>
      <c r="I1492" s="250"/>
      <c r="J1492" s="250"/>
      <c r="K1492" s="270"/>
      <c r="L1492" s="250"/>
      <c r="M1492" s="250"/>
      <c r="N1492" s="540" t="str">
        <f>CONCATENATE(IF(OR(M1492=phu!$I$1,M1492=phu!$I$2,M1492=phu!$I$3),"Cam Thành Nam",""),IF(OR(M1492=phu!$I$4,M1492=phu!$I$5,M1492=phu!$I$6,M1492=phu!$I$7,M1492=phu!$I$8,M1492=phu!$I$9,M1492=phu!$I$10,M1492=phu!$I$11,M1492=phu!$I$12,M1492=phu!$I$13,M1492=phu!$I$14),"Cam Nghĩa",""),IF(OR(M1492=phu!$I$15,M1492=phu!$I$16,M1492=phu!$I$17,M1492=phu!$I$18,M1492=phu!$I$19,M1492=phu!$I$20,M1492=phu!$I$21),"Cam Phúc Bắc",""),IF(OR(M1492=phu!$I$22,M1492=phu!$I$23,M1492=phu!$I$24,M1492=phu!$I$25),"Cam Phúc Nam",""),IF(OR(M1492=phu!$I$26,M1492=phu!$I$27,M1492=phu!$I$28,M1492=phu!$I$29,M1492=phu!$I$30,M1492=phu!$I$31),"Cam Phú",""),IF(OR(M1492=phu!$I$32,M1492=phu!$I$33,M1492=phu!$I$34,M1492=phu!$I$35,M1492=phu!$I$36,M1492=phu!$I$37),"Cam Lộc",""),IF(OR(M1492=phu!$I$38,M1492=phu!$I$39,M1492=phu!$I$40,M1492=phu!$I$41,M1492=phu!$I$42,M1492=phu!$I$43,M1492=phu!$I$44),"Cam Thuận",""),IF(OR(M1492=phu!$I$45,M1492=phu!$I$46,M1492=phu!$I$47,M1492=phu!$I$48,M1492=phu!$I$49,M1492=phu!$I$50,M1492=phu!$I$51,M1492=phu!$I$52,M1492=phu!$I$53),"Cam Linh",""),IF(OR(M1492=phu!$I$54,M1492=phu!$I$55,M1492=phu!$I$56,M1492=phu!$I$57,M1492=phu!$I$58,M1492=phu!$I$59,M1492=phu!$I$60,M1492=phu!$I$61,M1492=phu!$I$62),"Cam Lợi",""),IF(OR(M1492=phu!$I$63,M1492=phu!$I$64,M1492=phu!$I$65,M1492=phu!$I$66,M1492=phu!$I$67,M1492=phu!$I$68,M1492=phu!$I$69,M1492=phu!$I$70,M1492=phu!$I$71),"Ba Ngòi",""),IF(OR(M1492=phu!$I$72,M1492=phu!$I$73,M1492=phu!$I$74,M1492=phu!$I$75,M1492=phu!$I$76,M1492=phu!$I$77,M1492=phu!$I$78),"Cam Phước Đông",""),IF(OR(M1492=phu!$I$79,M1492=phu!$I$80,M1492=phu!$I$81,M1492=phu!$I$82,M1492=phu!$I$83,M1492=phu!$I$84),"Cam Thịnh Đông",""),IF(OR(M1492=phu!$I$85,M1492=phu!$I$86,M1492=phu!$I$87,M1492=phu!$I$88),"Cam Thịnh Tây",""),IF(OR(M1492=phu!$I$89,M1492=phu!$I$90),"Cam Lập",""),IF(OR(M1492=phu!$I$91,M1492=phu!$I$92,M1492=phu!$I$93),"Cam Bình",""),IF(OR(M1492=phu!$I$94,M1492=phu!$I$95,M1492=phu!$I$96,M1492=phu!$I$97,M1492=phu!$I$98,M1492=phu!$I$99,M1492=phu!$I$100),"Huyện khác",""),IF(OR(M1492=phu!$I$101,M1492=phu!$I$102),"Tỉnh khác",""))</f>
        <v/>
      </c>
      <c r="O1492" s="829" t="str">
        <f t="shared" si="138"/>
        <v/>
      </c>
      <c r="P1492" s="254"/>
      <c r="Q1492" s="254"/>
      <c r="R1492" s="254"/>
      <c r="S1492" s="254"/>
      <c r="T1492" s="254"/>
      <c r="U1492" s="254"/>
      <c r="V1492" s="254"/>
      <c r="W1492" s="254"/>
      <c r="Y1492" s="246" t="str">
        <f t="shared" si="139"/>
        <v/>
      </c>
      <c r="Z1492" s="247" t="str">
        <f t="shared" si="143"/>
        <v/>
      </c>
      <c r="AA1492" s="246" t="str">
        <f t="shared" si="140"/>
        <v/>
      </c>
    </row>
    <row r="1493" spans="1:27" x14ac:dyDescent="0.25">
      <c r="A1493" s="248" t="str">
        <f t="shared" si="141"/>
        <v/>
      </c>
      <c r="B1493" s="249" t="str">
        <f t="shared" si="142"/>
        <v/>
      </c>
      <c r="C1493" s="250"/>
      <c r="D1493" s="251"/>
      <c r="E1493" s="241"/>
      <c r="F1493" s="252"/>
      <c r="G1493" s="252"/>
      <c r="H1493" s="253"/>
      <c r="I1493" s="250"/>
      <c r="J1493" s="250"/>
      <c r="K1493" s="270"/>
      <c r="L1493" s="250"/>
      <c r="M1493" s="250"/>
      <c r="N1493" s="540" t="str">
        <f>CONCATENATE(IF(OR(M1493=phu!$I$1,M1493=phu!$I$2,M1493=phu!$I$3),"Cam Thành Nam",""),IF(OR(M1493=phu!$I$4,M1493=phu!$I$5,M1493=phu!$I$6,M1493=phu!$I$7,M1493=phu!$I$8,M1493=phu!$I$9,M1493=phu!$I$10,M1493=phu!$I$11,M1493=phu!$I$12,M1493=phu!$I$13,M1493=phu!$I$14),"Cam Nghĩa",""),IF(OR(M1493=phu!$I$15,M1493=phu!$I$16,M1493=phu!$I$17,M1493=phu!$I$18,M1493=phu!$I$19,M1493=phu!$I$20,M1493=phu!$I$21),"Cam Phúc Bắc",""),IF(OR(M1493=phu!$I$22,M1493=phu!$I$23,M1493=phu!$I$24,M1493=phu!$I$25),"Cam Phúc Nam",""),IF(OR(M1493=phu!$I$26,M1493=phu!$I$27,M1493=phu!$I$28,M1493=phu!$I$29,M1493=phu!$I$30,M1493=phu!$I$31),"Cam Phú",""),IF(OR(M1493=phu!$I$32,M1493=phu!$I$33,M1493=phu!$I$34,M1493=phu!$I$35,M1493=phu!$I$36,M1493=phu!$I$37),"Cam Lộc",""),IF(OR(M1493=phu!$I$38,M1493=phu!$I$39,M1493=phu!$I$40,M1493=phu!$I$41,M1493=phu!$I$42,M1493=phu!$I$43,M1493=phu!$I$44),"Cam Thuận",""),IF(OR(M1493=phu!$I$45,M1493=phu!$I$46,M1493=phu!$I$47,M1493=phu!$I$48,M1493=phu!$I$49,M1493=phu!$I$50,M1493=phu!$I$51,M1493=phu!$I$52,M1493=phu!$I$53),"Cam Linh",""),IF(OR(M1493=phu!$I$54,M1493=phu!$I$55,M1493=phu!$I$56,M1493=phu!$I$57,M1493=phu!$I$58,M1493=phu!$I$59,M1493=phu!$I$60,M1493=phu!$I$61,M1493=phu!$I$62),"Cam Lợi",""),IF(OR(M1493=phu!$I$63,M1493=phu!$I$64,M1493=phu!$I$65,M1493=phu!$I$66,M1493=phu!$I$67,M1493=phu!$I$68,M1493=phu!$I$69,M1493=phu!$I$70,M1493=phu!$I$71),"Ba Ngòi",""),IF(OR(M1493=phu!$I$72,M1493=phu!$I$73,M1493=phu!$I$74,M1493=phu!$I$75,M1493=phu!$I$76,M1493=phu!$I$77,M1493=phu!$I$78),"Cam Phước Đông",""),IF(OR(M1493=phu!$I$79,M1493=phu!$I$80,M1493=phu!$I$81,M1493=phu!$I$82,M1493=phu!$I$83,M1493=phu!$I$84),"Cam Thịnh Đông",""),IF(OR(M1493=phu!$I$85,M1493=phu!$I$86,M1493=phu!$I$87,M1493=phu!$I$88),"Cam Thịnh Tây",""),IF(OR(M1493=phu!$I$89,M1493=phu!$I$90),"Cam Lập",""),IF(OR(M1493=phu!$I$91,M1493=phu!$I$92,M1493=phu!$I$93),"Cam Bình",""),IF(OR(M1493=phu!$I$94,M1493=phu!$I$95,M1493=phu!$I$96,M1493=phu!$I$97,M1493=phu!$I$98,M1493=phu!$I$99,M1493=phu!$I$100),"Huyện khác",""),IF(OR(M1493=phu!$I$101,M1493=phu!$I$102),"Tỉnh khác",""))</f>
        <v/>
      </c>
      <c r="O1493" s="829" t="str">
        <f t="shared" si="138"/>
        <v/>
      </c>
      <c r="P1493" s="254"/>
      <c r="Q1493" s="254"/>
      <c r="R1493" s="254"/>
      <c r="S1493" s="254"/>
      <c r="T1493" s="254"/>
      <c r="U1493" s="254"/>
      <c r="V1493" s="254"/>
      <c r="W1493" s="254"/>
      <c r="Y1493" s="246" t="str">
        <f t="shared" si="139"/>
        <v/>
      </c>
      <c r="Z1493" s="247" t="str">
        <f t="shared" si="143"/>
        <v/>
      </c>
      <c r="AA1493" s="246" t="str">
        <f t="shared" si="140"/>
        <v/>
      </c>
    </row>
    <row r="1494" spans="1:27" x14ac:dyDescent="0.25">
      <c r="A1494" s="248" t="str">
        <f t="shared" si="141"/>
        <v/>
      </c>
      <c r="B1494" s="249" t="str">
        <f t="shared" si="142"/>
        <v/>
      </c>
      <c r="C1494" s="250"/>
      <c r="D1494" s="251"/>
      <c r="E1494" s="241"/>
      <c r="F1494" s="252"/>
      <c r="G1494" s="252"/>
      <c r="H1494" s="253"/>
      <c r="I1494" s="250"/>
      <c r="J1494" s="250"/>
      <c r="K1494" s="270"/>
      <c r="L1494" s="250"/>
      <c r="M1494" s="250"/>
      <c r="N1494" s="540" t="str">
        <f>CONCATENATE(IF(OR(M1494=phu!$I$1,M1494=phu!$I$2,M1494=phu!$I$3),"Cam Thành Nam",""),IF(OR(M1494=phu!$I$4,M1494=phu!$I$5,M1494=phu!$I$6,M1494=phu!$I$7,M1494=phu!$I$8,M1494=phu!$I$9,M1494=phu!$I$10,M1494=phu!$I$11,M1494=phu!$I$12,M1494=phu!$I$13,M1494=phu!$I$14),"Cam Nghĩa",""),IF(OR(M1494=phu!$I$15,M1494=phu!$I$16,M1494=phu!$I$17,M1494=phu!$I$18,M1494=phu!$I$19,M1494=phu!$I$20,M1494=phu!$I$21),"Cam Phúc Bắc",""),IF(OR(M1494=phu!$I$22,M1494=phu!$I$23,M1494=phu!$I$24,M1494=phu!$I$25),"Cam Phúc Nam",""),IF(OR(M1494=phu!$I$26,M1494=phu!$I$27,M1494=phu!$I$28,M1494=phu!$I$29,M1494=phu!$I$30,M1494=phu!$I$31),"Cam Phú",""),IF(OR(M1494=phu!$I$32,M1494=phu!$I$33,M1494=phu!$I$34,M1494=phu!$I$35,M1494=phu!$I$36,M1494=phu!$I$37),"Cam Lộc",""),IF(OR(M1494=phu!$I$38,M1494=phu!$I$39,M1494=phu!$I$40,M1494=phu!$I$41,M1494=phu!$I$42,M1494=phu!$I$43,M1494=phu!$I$44),"Cam Thuận",""),IF(OR(M1494=phu!$I$45,M1494=phu!$I$46,M1494=phu!$I$47,M1494=phu!$I$48,M1494=phu!$I$49,M1494=phu!$I$50,M1494=phu!$I$51,M1494=phu!$I$52,M1494=phu!$I$53),"Cam Linh",""),IF(OR(M1494=phu!$I$54,M1494=phu!$I$55,M1494=phu!$I$56,M1494=phu!$I$57,M1494=phu!$I$58,M1494=phu!$I$59,M1494=phu!$I$60,M1494=phu!$I$61,M1494=phu!$I$62),"Cam Lợi",""),IF(OR(M1494=phu!$I$63,M1494=phu!$I$64,M1494=phu!$I$65,M1494=phu!$I$66,M1494=phu!$I$67,M1494=phu!$I$68,M1494=phu!$I$69,M1494=phu!$I$70,M1494=phu!$I$71),"Ba Ngòi",""),IF(OR(M1494=phu!$I$72,M1494=phu!$I$73,M1494=phu!$I$74,M1494=phu!$I$75,M1494=phu!$I$76,M1494=phu!$I$77,M1494=phu!$I$78),"Cam Phước Đông",""),IF(OR(M1494=phu!$I$79,M1494=phu!$I$80,M1494=phu!$I$81,M1494=phu!$I$82,M1494=phu!$I$83,M1494=phu!$I$84),"Cam Thịnh Đông",""),IF(OR(M1494=phu!$I$85,M1494=phu!$I$86,M1494=phu!$I$87,M1494=phu!$I$88),"Cam Thịnh Tây",""),IF(OR(M1494=phu!$I$89,M1494=phu!$I$90),"Cam Lập",""),IF(OR(M1494=phu!$I$91,M1494=phu!$I$92,M1494=phu!$I$93),"Cam Bình",""),IF(OR(M1494=phu!$I$94,M1494=phu!$I$95,M1494=phu!$I$96,M1494=phu!$I$97,M1494=phu!$I$98,M1494=phu!$I$99,M1494=phu!$I$100),"Huyện khác",""),IF(OR(M1494=phu!$I$101,M1494=phu!$I$102),"Tỉnh khác",""))</f>
        <v/>
      </c>
      <c r="O1494" s="829" t="str">
        <f t="shared" si="138"/>
        <v/>
      </c>
      <c r="P1494" s="254"/>
      <c r="Q1494" s="254"/>
      <c r="R1494" s="254"/>
      <c r="S1494" s="254"/>
      <c r="T1494" s="254"/>
      <c r="U1494" s="254"/>
      <c r="V1494" s="254"/>
      <c r="W1494" s="254"/>
      <c r="Y1494" s="246" t="str">
        <f t="shared" si="139"/>
        <v/>
      </c>
      <c r="Z1494" s="247" t="str">
        <f t="shared" si="143"/>
        <v/>
      </c>
      <c r="AA1494" s="246" t="str">
        <f t="shared" si="140"/>
        <v/>
      </c>
    </row>
    <row r="1495" spans="1:27" x14ac:dyDescent="0.25">
      <c r="A1495" s="248" t="str">
        <f t="shared" si="141"/>
        <v/>
      </c>
      <c r="B1495" s="249" t="str">
        <f t="shared" si="142"/>
        <v/>
      </c>
      <c r="C1495" s="250"/>
      <c r="D1495" s="251"/>
      <c r="E1495" s="241"/>
      <c r="F1495" s="252"/>
      <c r="G1495" s="252"/>
      <c r="H1495" s="253"/>
      <c r="I1495" s="250"/>
      <c r="J1495" s="250"/>
      <c r="K1495" s="270"/>
      <c r="L1495" s="250"/>
      <c r="M1495" s="250"/>
      <c r="N1495" s="540" t="str">
        <f>CONCATENATE(IF(OR(M1495=phu!$I$1,M1495=phu!$I$2,M1495=phu!$I$3),"Cam Thành Nam",""),IF(OR(M1495=phu!$I$4,M1495=phu!$I$5,M1495=phu!$I$6,M1495=phu!$I$7,M1495=phu!$I$8,M1495=phu!$I$9,M1495=phu!$I$10,M1495=phu!$I$11,M1495=phu!$I$12,M1495=phu!$I$13,M1495=phu!$I$14),"Cam Nghĩa",""),IF(OR(M1495=phu!$I$15,M1495=phu!$I$16,M1495=phu!$I$17,M1495=phu!$I$18,M1495=phu!$I$19,M1495=phu!$I$20,M1495=phu!$I$21),"Cam Phúc Bắc",""),IF(OR(M1495=phu!$I$22,M1495=phu!$I$23,M1495=phu!$I$24,M1495=phu!$I$25),"Cam Phúc Nam",""),IF(OR(M1495=phu!$I$26,M1495=phu!$I$27,M1495=phu!$I$28,M1495=phu!$I$29,M1495=phu!$I$30,M1495=phu!$I$31),"Cam Phú",""),IF(OR(M1495=phu!$I$32,M1495=phu!$I$33,M1495=phu!$I$34,M1495=phu!$I$35,M1495=phu!$I$36,M1495=phu!$I$37),"Cam Lộc",""),IF(OR(M1495=phu!$I$38,M1495=phu!$I$39,M1495=phu!$I$40,M1495=phu!$I$41,M1495=phu!$I$42,M1495=phu!$I$43,M1495=phu!$I$44),"Cam Thuận",""),IF(OR(M1495=phu!$I$45,M1495=phu!$I$46,M1495=phu!$I$47,M1495=phu!$I$48,M1495=phu!$I$49,M1495=phu!$I$50,M1495=phu!$I$51,M1495=phu!$I$52,M1495=phu!$I$53),"Cam Linh",""),IF(OR(M1495=phu!$I$54,M1495=phu!$I$55,M1495=phu!$I$56,M1495=phu!$I$57,M1495=phu!$I$58,M1495=phu!$I$59,M1495=phu!$I$60,M1495=phu!$I$61,M1495=phu!$I$62),"Cam Lợi",""),IF(OR(M1495=phu!$I$63,M1495=phu!$I$64,M1495=phu!$I$65,M1495=phu!$I$66,M1495=phu!$I$67,M1495=phu!$I$68,M1495=phu!$I$69,M1495=phu!$I$70,M1495=phu!$I$71),"Ba Ngòi",""),IF(OR(M1495=phu!$I$72,M1495=phu!$I$73,M1495=phu!$I$74,M1495=phu!$I$75,M1495=phu!$I$76,M1495=phu!$I$77,M1495=phu!$I$78),"Cam Phước Đông",""),IF(OR(M1495=phu!$I$79,M1495=phu!$I$80,M1495=phu!$I$81,M1495=phu!$I$82,M1495=phu!$I$83,M1495=phu!$I$84),"Cam Thịnh Đông",""),IF(OR(M1495=phu!$I$85,M1495=phu!$I$86,M1495=phu!$I$87,M1495=phu!$I$88),"Cam Thịnh Tây",""),IF(OR(M1495=phu!$I$89,M1495=phu!$I$90),"Cam Lập",""),IF(OR(M1495=phu!$I$91,M1495=phu!$I$92,M1495=phu!$I$93),"Cam Bình",""),IF(OR(M1495=phu!$I$94,M1495=phu!$I$95,M1495=phu!$I$96,M1495=phu!$I$97,M1495=phu!$I$98,M1495=phu!$I$99,M1495=phu!$I$100),"Huyện khác",""),IF(OR(M1495=phu!$I$101,M1495=phu!$I$102),"Tỉnh khác",""))</f>
        <v/>
      </c>
      <c r="O1495" s="829" t="str">
        <f t="shared" si="138"/>
        <v/>
      </c>
      <c r="P1495" s="254"/>
      <c r="Q1495" s="254"/>
      <c r="R1495" s="254"/>
      <c r="S1495" s="254"/>
      <c r="T1495" s="254"/>
      <c r="U1495" s="254"/>
      <c r="V1495" s="254"/>
      <c r="W1495" s="254"/>
      <c r="Y1495" s="246" t="str">
        <f t="shared" si="139"/>
        <v/>
      </c>
      <c r="Z1495" s="247" t="str">
        <f t="shared" si="143"/>
        <v/>
      </c>
      <c r="AA1495" s="246" t="str">
        <f t="shared" si="140"/>
        <v/>
      </c>
    </row>
    <row r="1496" spans="1:27" x14ac:dyDescent="0.25">
      <c r="A1496" s="248" t="str">
        <f t="shared" si="141"/>
        <v/>
      </c>
      <c r="B1496" s="249" t="str">
        <f t="shared" si="142"/>
        <v/>
      </c>
      <c r="C1496" s="250"/>
      <c r="D1496" s="251"/>
      <c r="E1496" s="241"/>
      <c r="F1496" s="252"/>
      <c r="G1496" s="252"/>
      <c r="H1496" s="253"/>
      <c r="I1496" s="250"/>
      <c r="J1496" s="250"/>
      <c r="K1496" s="270"/>
      <c r="L1496" s="250"/>
      <c r="M1496" s="250"/>
      <c r="N1496" s="540" t="str">
        <f>CONCATENATE(IF(OR(M1496=phu!$I$1,M1496=phu!$I$2,M1496=phu!$I$3),"Cam Thành Nam",""),IF(OR(M1496=phu!$I$4,M1496=phu!$I$5,M1496=phu!$I$6,M1496=phu!$I$7,M1496=phu!$I$8,M1496=phu!$I$9,M1496=phu!$I$10,M1496=phu!$I$11,M1496=phu!$I$12,M1496=phu!$I$13,M1496=phu!$I$14),"Cam Nghĩa",""),IF(OR(M1496=phu!$I$15,M1496=phu!$I$16,M1496=phu!$I$17,M1496=phu!$I$18,M1496=phu!$I$19,M1496=phu!$I$20,M1496=phu!$I$21),"Cam Phúc Bắc",""),IF(OR(M1496=phu!$I$22,M1496=phu!$I$23,M1496=phu!$I$24,M1496=phu!$I$25),"Cam Phúc Nam",""),IF(OR(M1496=phu!$I$26,M1496=phu!$I$27,M1496=phu!$I$28,M1496=phu!$I$29,M1496=phu!$I$30,M1496=phu!$I$31),"Cam Phú",""),IF(OR(M1496=phu!$I$32,M1496=phu!$I$33,M1496=phu!$I$34,M1496=phu!$I$35,M1496=phu!$I$36,M1496=phu!$I$37),"Cam Lộc",""),IF(OR(M1496=phu!$I$38,M1496=phu!$I$39,M1496=phu!$I$40,M1496=phu!$I$41,M1496=phu!$I$42,M1496=phu!$I$43,M1496=phu!$I$44),"Cam Thuận",""),IF(OR(M1496=phu!$I$45,M1496=phu!$I$46,M1496=phu!$I$47,M1496=phu!$I$48,M1496=phu!$I$49,M1496=phu!$I$50,M1496=phu!$I$51,M1496=phu!$I$52,M1496=phu!$I$53),"Cam Linh",""),IF(OR(M1496=phu!$I$54,M1496=phu!$I$55,M1496=phu!$I$56,M1496=phu!$I$57,M1496=phu!$I$58,M1496=phu!$I$59,M1496=phu!$I$60,M1496=phu!$I$61,M1496=phu!$I$62),"Cam Lợi",""),IF(OR(M1496=phu!$I$63,M1496=phu!$I$64,M1496=phu!$I$65,M1496=phu!$I$66,M1496=phu!$I$67,M1496=phu!$I$68,M1496=phu!$I$69,M1496=phu!$I$70,M1496=phu!$I$71),"Ba Ngòi",""),IF(OR(M1496=phu!$I$72,M1496=phu!$I$73,M1496=phu!$I$74,M1496=phu!$I$75,M1496=phu!$I$76,M1496=phu!$I$77,M1496=phu!$I$78),"Cam Phước Đông",""),IF(OR(M1496=phu!$I$79,M1496=phu!$I$80,M1496=phu!$I$81,M1496=phu!$I$82,M1496=phu!$I$83,M1496=phu!$I$84),"Cam Thịnh Đông",""),IF(OR(M1496=phu!$I$85,M1496=phu!$I$86,M1496=phu!$I$87,M1496=phu!$I$88),"Cam Thịnh Tây",""),IF(OR(M1496=phu!$I$89,M1496=phu!$I$90),"Cam Lập",""),IF(OR(M1496=phu!$I$91,M1496=phu!$I$92,M1496=phu!$I$93),"Cam Bình",""),IF(OR(M1496=phu!$I$94,M1496=phu!$I$95,M1496=phu!$I$96,M1496=phu!$I$97,M1496=phu!$I$98,M1496=phu!$I$99,M1496=phu!$I$100),"Huyện khác",""),IF(OR(M1496=phu!$I$101,M1496=phu!$I$102),"Tỉnh khác",""))</f>
        <v/>
      </c>
      <c r="O1496" s="829" t="str">
        <f t="shared" si="138"/>
        <v/>
      </c>
      <c r="P1496" s="254"/>
      <c r="Q1496" s="254"/>
      <c r="R1496" s="254"/>
      <c r="S1496" s="254"/>
      <c r="T1496" s="254"/>
      <c r="U1496" s="254"/>
      <c r="V1496" s="254"/>
      <c r="W1496" s="254"/>
      <c r="Y1496" s="246" t="str">
        <f t="shared" si="139"/>
        <v/>
      </c>
      <c r="Z1496" s="247" t="str">
        <f t="shared" si="143"/>
        <v/>
      </c>
      <c r="AA1496" s="246" t="str">
        <f t="shared" si="140"/>
        <v/>
      </c>
    </row>
    <row r="1497" spans="1:27" x14ac:dyDescent="0.25">
      <c r="A1497" s="248" t="str">
        <f t="shared" si="141"/>
        <v/>
      </c>
      <c r="B1497" s="249" t="str">
        <f t="shared" si="142"/>
        <v/>
      </c>
      <c r="C1497" s="250"/>
      <c r="D1497" s="251"/>
      <c r="E1497" s="241"/>
      <c r="F1497" s="252"/>
      <c r="G1497" s="252"/>
      <c r="H1497" s="253"/>
      <c r="I1497" s="250"/>
      <c r="J1497" s="250"/>
      <c r="K1497" s="270"/>
      <c r="L1497" s="250"/>
      <c r="M1497" s="250"/>
      <c r="N1497" s="540" t="str">
        <f>CONCATENATE(IF(OR(M1497=phu!$I$1,M1497=phu!$I$2,M1497=phu!$I$3),"Cam Thành Nam",""),IF(OR(M1497=phu!$I$4,M1497=phu!$I$5,M1497=phu!$I$6,M1497=phu!$I$7,M1497=phu!$I$8,M1497=phu!$I$9,M1497=phu!$I$10,M1497=phu!$I$11,M1497=phu!$I$12,M1497=phu!$I$13,M1497=phu!$I$14),"Cam Nghĩa",""),IF(OR(M1497=phu!$I$15,M1497=phu!$I$16,M1497=phu!$I$17,M1497=phu!$I$18,M1497=phu!$I$19,M1497=phu!$I$20,M1497=phu!$I$21),"Cam Phúc Bắc",""),IF(OR(M1497=phu!$I$22,M1497=phu!$I$23,M1497=phu!$I$24,M1497=phu!$I$25),"Cam Phúc Nam",""),IF(OR(M1497=phu!$I$26,M1497=phu!$I$27,M1497=phu!$I$28,M1497=phu!$I$29,M1497=phu!$I$30,M1497=phu!$I$31),"Cam Phú",""),IF(OR(M1497=phu!$I$32,M1497=phu!$I$33,M1497=phu!$I$34,M1497=phu!$I$35,M1497=phu!$I$36,M1497=phu!$I$37),"Cam Lộc",""),IF(OR(M1497=phu!$I$38,M1497=phu!$I$39,M1497=phu!$I$40,M1497=phu!$I$41,M1497=phu!$I$42,M1497=phu!$I$43,M1497=phu!$I$44),"Cam Thuận",""),IF(OR(M1497=phu!$I$45,M1497=phu!$I$46,M1497=phu!$I$47,M1497=phu!$I$48,M1497=phu!$I$49,M1497=phu!$I$50,M1497=phu!$I$51,M1497=phu!$I$52,M1497=phu!$I$53),"Cam Linh",""),IF(OR(M1497=phu!$I$54,M1497=phu!$I$55,M1497=phu!$I$56,M1497=phu!$I$57,M1497=phu!$I$58,M1497=phu!$I$59,M1497=phu!$I$60,M1497=phu!$I$61,M1497=phu!$I$62),"Cam Lợi",""),IF(OR(M1497=phu!$I$63,M1497=phu!$I$64,M1497=phu!$I$65,M1497=phu!$I$66,M1497=phu!$I$67,M1497=phu!$I$68,M1497=phu!$I$69,M1497=phu!$I$70,M1497=phu!$I$71),"Ba Ngòi",""),IF(OR(M1497=phu!$I$72,M1497=phu!$I$73,M1497=phu!$I$74,M1497=phu!$I$75,M1497=phu!$I$76,M1497=phu!$I$77,M1497=phu!$I$78),"Cam Phước Đông",""),IF(OR(M1497=phu!$I$79,M1497=phu!$I$80,M1497=phu!$I$81,M1497=phu!$I$82,M1497=phu!$I$83,M1497=phu!$I$84),"Cam Thịnh Đông",""),IF(OR(M1497=phu!$I$85,M1497=phu!$I$86,M1497=phu!$I$87,M1497=phu!$I$88),"Cam Thịnh Tây",""),IF(OR(M1497=phu!$I$89,M1497=phu!$I$90),"Cam Lập",""),IF(OR(M1497=phu!$I$91,M1497=phu!$I$92,M1497=phu!$I$93),"Cam Bình",""),IF(OR(M1497=phu!$I$94,M1497=phu!$I$95,M1497=phu!$I$96,M1497=phu!$I$97,M1497=phu!$I$98,M1497=phu!$I$99,M1497=phu!$I$100),"Huyện khác",""),IF(OR(M1497=phu!$I$101,M1497=phu!$I$102),"Tỉnh khác",""))</f>
        <v/>
      </c>
      <c r="O1497" s="829" t="str">
        <f t="shared" si="138"/>
        <v/>
      </c>
      <c r="P1497" s="254"/>
      <c r="Q1497" s="254"/>
      <c r="R1497" s="254"/>
      <c r="S1497" s="254"/>
      <c r="T1497" s="254"/>
      <c r="U1497" s="254"/>
      <c r="V1497" s="254"/>
      <c r="W1497" s="254"/>
      <c r="Y1497" s="246" t="str">
        <f t="shared" si="139"/>
        <v/>
      </c>
      <c r="Z1497" s="247" t="str">
        <f t="shared" si="143"/>
        <v/>
      </c>
      <c r="AA1497" s="246" t="str">
        <f t="shared" si="140"/>
        <v/>
      </c>
    </row>
    <row r="1498" spans="1:27" x14ac:dyDescent="0.25">
      <c r="A1498" s="248" t="str">
        <f t="shared" si="141"/>
        <v/>
      </c>
      <c r="B1498" s="249" t="str">
        <f t="shared" si="142"/>
        <v/>
      </c>
      <c r="C1498" s="250"/>
      <c r="D1498" s="251"/>
      <c r="E1498" s="241"/>
      <c r="F1498" s="252"/>
      <c r="G1498" s="252"/>
      <c r="H1498" s="253"/>
      <c r="I1498" s="250"/>
      <c r="J1498" s="250"/>
      <c r="K1498" s="270"/>
      <c r="L1498" s="250"/>
      <c r="M1498" s="250"/>
      <c r="N1498" s="540" t="str">
        <f>CONCATENATE(IF(OR(M1498=phu!$I$1,M1498=phu!$I$2,M1498=phu!$I$3),"Cam Thành Nam",""),IF(OR(M1498=phu!$I$4,M1498=phu!$I$5,M1498=phu!$I$6,M1498=phu!$I$7,M1498=phu!$I$8,M1498=phu!$I$9,M1498=phu!$I$10,M1498=phu!$I$11,M1498=phu!$I$12,M1498=phu!$I$13,M1498=phu!$I$14),"Cam Nghĩa",""),IF(OR(M1498=phu!$I$15,M1498=phu!$I$16,M1498=phu!$I$17,M1498=phu!$I$18,M1498=phu!$I$19,M1498=phu!$I$20,M1498=phu!$I$21),"Cam Phúc Bắc",""),IF(OR(M1498=phu!$I$22,M1498=phu!$I$23,M1498=phu!$I$24,M1498=phu!$I$25),"Cam Phúc Nam",""),IF(OR(M1498=phu!$I$26,M1498=phu!$I$27,M1498=phu!$I$28,M1498=phu!$I$29,M1498=phu!$I$30,M1498=phu!$I$31),"Cam Phú",""),IF(OR(M1498=phu!$I$32,M1498=phu!$I$33,M1498=phu!$I$34,M1498=phu!$I$35,M1498=phu!$I$36,M1498=phu!$I$37),"Cam Lộc",""),IF(OR(M1498=phu!$I$38,M1498=phu!$I$39,M1498=phu!$I$40,M1498=phu!$I$41,M1498=phu!$I$42,M1498=phu!$I$43,M1498=phu!$I$44),"Cam Thuận",""),IF(OR(M1498=phu!$I$45,M1498=phu!$I$46,M1498=phu!$I$47,M1498=phu!$I$48,M1498=phu!$I$49,M1498=phu!$I$50,M1498=phu!$I$51,M1498=phu!$I$52,M1498=phu!$I$53),"Cam Linh",""),IF(OR(M1498=phu!$I$54,M1498=phu!$I$55,M1498=phu!$I$56,M1498=phu!$I$57,M1498=phu!$I$58,M1498=phu!$I$59,M1498=phu!$I$60,M1498=phu!$I$61,M1498=phu!$I$62),"Cam Lợi",""),IF(OR(M1498=phu!$I$63,M1498=phu!$I$64,M1498=phu!$I$65,M1498=phu!$I$66,M1498=phu!$I$67,M1498=phu!$I$68,M1498=phu!$I$69,M1498=phu!$I$70,M1498=phu!$I$71),"Ba Ngòi",""),IF(OR(M1498=phu!$I$72,M1498=phu!$I$73,M1498=phu!$I$74,M1498=phu!$I$75,M1498=phu!$I$76,M1498=phu!$I$77,M1498=phu!$I$78),"Cam Phước Đông",""),IF(OR(M1498=phu!$I$79,M1498=phu!$I$80,M1498=phu!$I$81,M1498=phu!$I$82,M1498=phu!$I$83,M1498=phu!$I$84),"Cam Thịnh Đông",""),IF(OR(M1498=phu!$I$85,M1498=phu!$I$86,M1498=phu!$I$87,M1498=phu!$I$88),"Cam Thịnh Tây",""),IF(OR(M1498=phu!$I$89,M1498=phu!$I$90),"Cam Lập",""),IF(OR(M1498=phu!$I$91,M1498=phu!$I$92,M1498=phu!$I$93),"Cam Bình",""),IF(OR(M1498=phu!$I$94,M1498=phu!$I$95,M1498=phu!$I$96,M1498=phu!$I$97,M1498=phu!$I$98,M1498=phu!$I$99,M1498=phu!$I$100),"Huyện khác",""),IF(OR(M1498=phu!$I$101,M1498=phu!$I$102),"Tỉnh khác",""))</f>
        <v/>
      </c>
      <c r="O1498" s="829" t="str">
        <f t="shared" si="138"/>
        <v/>
      </c>
      <c r="P1498" s="254"/>
      <c r="Q1498" s="254"/>
      <c r="R1498" s="254"/>
      <c r="S1498" s="254"/>
      <c r="T1498" s="254"/>
      <c r="U1498" s="254"/>
      <c r="V1498" s="254"/>
      <c r="W1498" s="254"/>
      <c r="Y1498" s="246" t="str">
        <f t="shared" si="139"/>
        <v/>
      </c>
      <c r="Z1498" s="247" t="str">
        <f t="shared" si="143"/>
        <v/>
      </c>
      <c r="AA1498" s="246" t="str">
        <f t="shared" si="140"/>
        <v/>
      </c>
    </row>
    <row r="1499" spans="1:27" x14ac:dyDescent="0.25">
      <c r="A1499" s="248" t="str">
        <f t="shared" si="141"/>
        <v/>
      </c>
      <c r="B1499" s="249" t="str">
        <f t="shared" si="142"/>
        <v/>
      </c>
      <c r="C1499" s="250"/>
      <c r="D1499" s="251"/>
      <c r="E1499" s="241"/>
      <c r="F1499" s="252"/>
      <c r="G1499" s="252"/>
      <c r="H1499" s="253"/>
      <c r="I1499" s="250"/>
      <c r="J1499" s="250"/>
      <c r="K1499" s="270"/>
      <c r="L1499" s="250"/>
      <c r="M1499" s="250"/>
      <c r="N1499" s="540" t="str">
        <f>CONCATENATE(IF(OR(M1499=phu!$I$1,M1499=phu!$I$2,M1499=phu!$I$3),"Cam Thành Nam",""),IF(OR(M1499=phu!$I$4,M1499=phu!$I$5,M1499=phu!$I$6,M1499=phu!$I$7,M1499=phu!$I$8,M1499=phu!$I$9,M1499=phu!$I$10,M1499=phu!$I$11,M1499=phu!$I$12,M1499=phu!$I$13,M1499=phu!$I$14),"Cam Nghĩa",""),IF(OR(M1499=phu!$I$15,M1499=phu!$I$16,M1499=phu!$I$17,M1499=phu!$I$18,M1499=phu!$I$19,M1499=phu!$I$20,M1499=phu!$I$21),"Cam Phúc Bắc",""),IF(OR(M1499=phu!$I$22,M1499=phu!$I$23,M1499=phu!$I$24,M1499=phu!$I$25),"Cam Phúc Nam",""),IF(OR(M1499=phu!$I$26,M1499=phu!$I$27,M1499=phu!$I$28,M1499=phu!$I$29,M1499=phu!$I$30,M1499=phu!$I$31),"Cam Phú",""),IF(OR(M1499=phu!$I$32,M1499=phu!$I$33,M1499=phu!$I$34,M1499=phu!$I$35,M1499=phu!$I$36,M1499=phu!$I$37),"Cam Lộc",""),IF(OR(M1499=phu!$I$38,M1499=phu!$I$39,M1499=phu!$I$40,M1499=phu!$I$41,M1499=phu!$I$42,M1499=phu!$I$43,M1499=phu!$I$44),"Cam Thuận",""),IF(OR(M1499=phu!$I$45,M1499=phu!$I$46,M1499=phu!$I$47,M1499=phu!$I$48,M1499=phu!$I$49,M1499=phu!$I$50,M1499=phu!$I$51,M1499=phu!$I$52,M1499=phu!$I$53),"Cam Linh",""),IF(OR(M1499=phu!$I$54,M1499=phu!$I$55,M1499=phu!$I$56,M1499=phu!$I$57,M1499=phu!$I$58,M1499=phu!$I$59,M1499=phu!$I$60,M1499=phu!$I$61,M1499=phu!$I$62),"Cam Lợi",""),IF(OR(M1499=phu!$I$63,M1499=phu!$I$64,M1499=phu!$I$65,M1499=phu!$I$66,M1499=phu!$I$67,M1499=phu!$I$68,M1499=phu!$I$69,M1499=phu!$I$70,M1499=phu!$I$71),"Ba Ngòi",""),IF(OR(M1499=phu!$I$72,M1499=phu!$I$73,M1499=phu!$I$74,M1499=phu!$I$75,M1499=phu!$I$76,M1499=phu!$I$77,M1499=phu!$I$78),"Cam Phước Đông",""),IF(OR(M1499=phu!$I$79,M1499=phu!$I$80,M1499=phu!$I$81,M1499=phu!$I$82,M1499=phu!$I$83,M1499=phu!$I$84),"Cam Thịnh Đông",""),IF(OR(M1499=phu!$I$85,M1499=phu!$I$86,M1499=phu!$I$87,M1499=phu!$I$88),"Cam Thịnh Tây",""),IF(OR(M1499=phu!$I$89,M1499=phu!$I$90),"Cam Lập",""),IF(OR(M1499=phu!$I$91,M1499=phu!$I$92,M1499=phu!$I$93),"Cam Bình",""),IF(OR(M1499=phu!$I$94,M1499=phu!$I$95,M1499=phu!$I$96,M1499=phu!$I$97,M1499=phu!$I$98,M1499=phu!$I$99,M1499=phu!$I$100),"Huyện khác",""),IF(OR(M1499=phu!$I$101,M1499=phu!$I$102),"Tỉnh khác",""))</f>
        <v/>
      </c>
      <c r="O1499" s="829" t="str">
        <f t="shared" si="138"/>
        <v/>
      </c>
      <c r="P1499" s="254"/>
      <c r="Q1499" s="254"/>
      <c r="R1499" s="254"/>
      <c r="S1499" s="254"/>
      <c r="T1499" s="254"/>
      <c r="U1499" s="254"/>
      <c r="V1499" s="254"/>
      <c r="W1499" s="254"/>
      <c r="Y1499" s="246" t="str">
        <f t="shared" si="139"/>
        <v/>
      </c>
      <c r="Z1499" s="247" t="str">
        <f t="shared" si="143"/>
        <v/>
      </c>
      <c r="AA1499" s="246" t="str">
        <f t="shared" si="140"/>
        <v/>
      </c>
    </row>
    <row r="1500" spans="1:27" x14ac:dyDescent="0.25">
      <c r="A1500" s="248" t="str">
        <f t="shared" si="141"/>
        <v/>
      </c>
      <c r="B1500" s="249" t="str">
        <f t="shared" si="142"/>
        <v/>
      </c>
      <c r="C1500" s="250"/>
      <c r="D1500" s="251"/>
      <c r="E1500" s="241"/>
      <c r="F1500" s="252"/>
      <c r="G1500" s="252"/>
      <c r="H1500" s="253"/>
      <c r="I1500" s="250"/>
      <c r="J1500" s="250"/>
      <c r="K1500" s="270"/>
      <c r="L1500" s="250"/>
      <c r="M1500" s="250"/>
      <c r="N1500" s="540" t="str">
        <f>CONCATENATE(IF(OR(M1500=phu!$I$1,M1500=phu!$I$2,M1500=phu!$I$3),"Cam Thành Nam",""),IF(OR(M1500=phu!$I$4,M1500=phu!$I$5,M1500=phu!$I$6,M1500=phu!$I$7,M1500=phu!$I$8,M1500=phu!$I$9,M1500=phu!$I$10,M1500=phu!$I$11,M1500=phu!$I$12,M1500=phu!$I$13,M1500=phu!$I$14),"Cam Nghĩa",""),IF(OR(M1500=phu!$I$15,M1500=phu!$I$16,M1500=phu!$I$17,M1500=phu!$I$18,M1500=phu!$I$19,M1500=phu!$I$20,M1500=phu!$I$21),"Cam Phúc Bắc",""),IF(OR(M1500=phu!$I$22,M1500=phu!$I$23,M1500=phu!$I$24,M1500=phu!$I$25),"Cam Phúc Nam",""),IF(OR(M1500=phu!$I$26,M1500=phu!$I$27,M1500=phu!$I$28,M1500=phu!$I$29,M1500=phu!$I$30,M1500=phu!$I$31),"Cam Phú",""),IF(OR(M1500=phu!$I$32,M1500=phu!$I$33,M1500=phu!$I$34,M1500=phu!$I$35,M1500=phu!$I$36,M1500=phu!$I$37),"Cam Lộc",""),IF(OR(M1500=phu!$I$38,M1500=phu!$I$39,M1500=phu!$I$40,M1500=phu!$I$41,M1500=phu!$I$42,M1500=phu!$I$43,M1500=phu!$I$44),"Cam Thuận",""),IF(OR(M1500=phu!$I$45,M1500=phu!$I$46,M1500=phu!$I$47,M1500=phu!$I$48,M1500=phu!$I$49,M1500=phu!$I$50,M1500=phu!$I$51,M1500=phu!$I$52,M1500=phu!$I$53),"Cam Linh",""),IF(OR(M1500=phu!$I$54,M1500=phu!$I$55,M1500=phu!$I$56,M1500=phu!$I$57,M1500=phu!$I$58,M1500=phu!$I$59,M1500=phu!$I$60,M1500=phu!$I$61,M1500=phu!$I$62),"Cam Lợi",""),IF(OR(M1500=phu!$I$63,M1500=phu!$I$64,M1500=phu!$I$65,M1500=phu!$I$66,M1500=phu!$I$67,M1500=phu!$I$68,M1500=phu!$I$69,M1500=phu!$I$70,M1500=phu!$I$71),"Ba Ngòi",""),IF(OR(M1500=phu!$I$72,M1500=phu!$I$73,M1500=phu!$I$74,M1500=phu!$I$75,M1500=phu!$I$76,M1500=phu!$I$77,M1500=phu!$I$78),"Cam Phước Đông",""),IF(OR(M1500=phu!$I$79,M1500=phu!$I$80,M1500=phu!$I$81,M1500=phu!$I$82,M1500=phu!$I$83,M1500=phu!$I$84),"Cam Thịnh Đông",""),IF(OR(M1500=phu!$I$85,M1500=phu!$I$86,M1500=phu!$I$87,M1500=phu!$I$88),"Cam Thịnh Tây",""),IF(OR(M1500=phu!$I$89,M1500=phu!$I$90),"Cam Lập",""),IF(OR(M1500=phu!$I$91,M1500=phu!$I$92,M1500=phu!$I$93),"Cam Bình",""),IF(OR(M1500=phu!$I$94,M1500=phu!$I$95,M1500=phu!$I$96,M1500=phu!$I$97,M1500=phu!$I$98,M1500=phu!$I$99,M1500=phu!$I$100),"Huyện khác",""),IF(OR(M1500=phu!$I$101,M1500=phu!$I$102),"Tỉnh khác",""))</f>
        <v/>
      </c>
      <c r="O1500" s="829" t="str">
        <f t="shared" si="138"/>
        <v/>
      </c>
      <c r="P1500" s="254"/>
      <c r="Q1500" s="254"/>
      <c r="R1500" s="254"/>
      <c r="S1500" s="254"/>
      <c r="T1500" s="254"/>
      <c r="U1500" s="254"/>
      <c r="V1500" s="254"/>
      <c r="W1500" s="254"/>
      <c r="Y1500" s="246" t="str">
        <f t="shared" si="139"/>
        <v/>
      </c>
      <c r="Z1500" s="247" t="str">
        <f t="shared" si="143"/>
        <v/>
      </c>
      <c r="AA1500" s="246" t="str">
        <f t="shared" si="140"/>
        <v/>
      </c>
    </row>
    <row r="1501" spans="1:27" x14ac:dyDescent="0.25">
      <c r="A1501" s="248" t="str">
        <f t="shared" si="141"/>
        <v/>
      </c>
      <c r="B1501" s="249" t="str">
        <f t="shared" si="142"/>
        <v/>
      </c>
      <c r="C1501" s="250"/>
      <c r="D1501" s="251"/>
      <c r="E1501" s="241"/>
      <c r="F1501" s="252"/>
      <c r="G1501" s="252"/>
      <c r="H1501" s="253"/>
      <c r="I1501" s="250"/>
      <c r="J1501" s="250"/>
      <c r="K1501" s="270"/>
      <c r="L1501" s="250"/>
      <c r="M1501" s="250"/>
      <c r="N1501" s="540" t="str">
        <f>CONCATENATE(IF(OR(M1501=phu!$I$1,M1501=phu!$I$2,M1501=phu!$I$3),"Cam Thành Nam",""),IF(OR(M1501=phu!$I$4,M1501=phu!$I$5,M1501=phu!$I$6,M1501=phu!$I$7,M1501=phu!$I$8,M1501=phu!$I$9,M1501=phu!$I$10,M1501=phu!$I$11,M1501=phu!$I$12,M1501=phu!$I$13,M1501=phu!$I$14),"Cam Nghĩa",""),IF(OR(M1501=phu!$I$15,M1501=phu!$I$16,M1501=phu!$I$17,M1501=phu!$I$18,M1501=phu!$I$19,M1501=phu!$I$20,M1501=phu!$I$21),"Cam Phúc Bắc",""),IF(OR(M1501=phu!$I$22,M1501=phu!$I$23,M1501=phu!$I$24,M1501=phu!$I$25),"Cam Phúc Nam",""),IF(OR(M1501=phu!$I$26,M1501=phu!$I$27,M1501=phu!$I$28,M1501=phu!$I$29,M1501=phu!$I$30,M1501=phu!$I$31),"Cam Phú",""),IF(OR(M1501=phu!$I$32,M1501=phu!$I$33,M1501=phu!$I$34,M1501=phu!$I$35,M1501=phu!$I$36,M1501=phu!$I$37),"Cam Lộc",""),IF(OR(M1501=phu!$I$38,M1501=phu!$I$39,M1501=phu!$I$40,M1501=phu!$I$41,M1501=phu!$I$42,M1501=phu!$I$43,M1501=phu!$I$44),"Cam Thuận",""),IF(OR(M1501=phu!$I$45,M1501=phu!$I$46,M1501=phu!$I$47,M1501=phu!$I$48,M1501=phu!$I$49,M1501=phu!$I$50,M1501=phu!$I$51,M1501=phu!$I$52,M1501=phu!$I$53),"Cam Linh",""),IF(OR(M1501=phu!$I$54,M1501=phu!$I$55,M1501=phu!$I$56,M1501=phu!$I$57,M1501=phu!$I$58,M1501=phu!$I$59,M1501=phu!$I$60,M1501=phu!$I$61,M1501=phu!$I$62),"Cam Lợi",""),IF(OR(M1501=phu!$I$63,M1501=phu!$I$64,M1501=phu!$I$65,M1501=phu!$I$66,M1501=phu!$I$67,M1501=phu!$I$68,M1501=phu!$I$69,M1501=phu!$I$70,M1501=phu!$I$71),"Ba Ngòi",""),IF(OR(M1501=phu!$I$72,M1501=phu!$I$73,M1501=phu!$I$74,M1501=phu!$I$75,M1501=phu!$I$76,M1501=phu!$I$77,M1501=phu!$I$78),"Cam Phước Đông",""),IF(OR(M1501=phu!$I$79,M1501=phu!$I$80,M1501=phu!$I$81,M1501=phu!$I$82,M1501=phu!$I$83,M1501=phu!$I$84),"Cam Thịnh Đông",""),IF(OR(M1501=phu!$I$85,M1501=phu!$I$86,M1501=phu!$I$87,M1501=phu!$I$88),"Cam Thịnh Tây",""),IF(OR(M1501=phu!$I$89,M1501=phu!$I$90),"Cam Lập",""),IF(OR(M1501=phu!$I$91,M1501=phu!$I$92,M1501=phu!$I$93),"Cam Bình",""),IF(OR(M1501=phu!$I$94,M1501=phu!$I$95,M1501=phu!$I$96,M1501=phu!$I$97,M1501=phu!$I$98,M1501=phu!$I$99,M1501=phu!$I$100),"Huyện khác",""),IF(OR(M1501=phu!$I$101,M1501=phu!$I$102),"Tỉnh khác",""))</f>
        <v/>
      </c>
      <c r="O1501" s="829" t="str">
        <f t="shared" si="138"/>
        <v/>
      </c>
      <c r="P1501" s="254"/>
      <c r="Q1501" s="254"/>
      <c r="R1501" s="254"/>
      <c r="S1501" s="254"/>
      <c r="T1501" s="254"/>
      <c r="U1501" s="254"/>
      <c r="V1501" s="254"/>
      <c r="W1501" s="254"/>
      <c r="Y1501" s="246" t="str">
        <f t="shared" si="139"/>
        <v/>
      </c>
      <c r="Z1501" s="247" t="str">
        <f t="shared" si="143"/>
        <v/>
      </c>
      <c r="AA1501" s="246" t="str">
        <f t="shared" si="140"/>
        <v/>
      </c>
    </row>
    <row r="1502" spans="1:27" x14ac:dyDescent="0.25">
      <c r="A1502" s="248" t="str">
        <f t="shared" si="141"/>
        <v/>
      </c>
      <c r="B1502" s="249" t="str">
        <f t="shared" si="142"/>
        <v/>
      </c>
      <c r="C1502" s="250"/>
      <c r="D1502" s="251"/>
      <c r="E1502" s="241"/>
      <c r="F1502" s="252"/>
      <c r="G1502" s="252"/>
      <c r="H1502" s="253"/>
      <c r="I1502" s="250"/>
      <c r="J1502" s="250"/>
      <c r="K1502" s="270"/>
      <c r="L1502" s="250"/>
      <c r="M1502" s="250"/>
      <c r="N1502" s="540" t="str">
        <f>CONCATENATE(IF(OR(M1502=phu!$I$1,M1502=phu!$I$2,M1502=phu!$I$3),"Cam Thành Nam",""),IF(OR(M1502=phu!$I$4,M1502=phu!$I$5,M1502=phu!$I$6,M1502=phu!$I$7,M1502=phu!$I$8,M1502=phu!$I$9,M1502=phu!$I$10,M1502=phu!$I$11,M1502=phu!$I$12,M1502=phu!$I$13,M1502=phu!$I$14),"Cam Nghĩa",""),IF(OR(M1502=phu!$I$15,M1502=phu!$I$16,M1502=phu!$I$17,M1502=phu!$I$18,M1502=phu!$I$19,M1502=phu!$I$20,M1502=phu!$I$21),"Cam Phúc Bắc",""),IF(OR(M1502=phu!$I$22,M1502=phu!$I$23,M1502=phu!$I$24,M1502=phu!$I$25),"Cam Phúc Nam",""),IF(OR(M1502=phu!$I$26,M1502=phu!$I$27,M1502=phu!$I$28,M1502=phu!$I$29,M1502=phu!$I$30,M1502=phu!$I$31),"Cam Phú",""),IF(OR(M1502=phu!$I$32,M1502=phu!$I$33,M1502=phu!$I$34,M1502=phu!$I$35,M1502=phu!$I$36,M1502=phu!$I$37),"Cam Lộc",""),IF(OR(M1502=phu!$I$38,M1502=phu!$I$39,M1502=phu!$I$40,M1502=phu!$I$41,M1502=phu!$I$42,M1502=phu!$I$43,M1502=phu!$I$44),"Cam Thuận",""),IF(OR(M1502=phu!$I$45,M1502=phu!$I$46,M1502=phu!$I$47,M1502=phu!$I$48,M1502=phu!$I$49,M1502=phu!$I$50,M1502=phu!$I$51,M1502=phu!$I$52,M1502=phu!$I$53),"Cam Linh",""),IF(OR(M1502=phu!$I$54,M1502=phu!$I$55,M1502=phu!$I$56,M1502=phu!$I$57,M1502=phu!$I$58,M1502=phu!$I$59,M1502=phu!$I$60,M1502=phu!$I$61,M1502=phu!$I$62),"Cam Lợi",""),IF(OR(M1502=phu!$I$63,M1502=phu!$I$64,M1502=phu!$I$65,M1502=phu!$I$66,M1502=phu!$I$67,M1502=phu!$I$68,M1502=phu!$I$69,M1502=phu!$I$70,M1502=phu!$I$71),"Ba Ngòi",""),IF(OR(M1502=phu!$I$72,M1502=phu!$I$73,M1502=phu!$I$74,M1502=phu!$I$75,M1502=phu!$I$76,M1502=phu!$I$77,M1502=phu!$I$78),"Cam Phước Đông",""),IF(OR(M1502=phu!$I$79,M1502=phu!$I$80,M1502=phu!$I$81,M1502=phu!$I$82,M1502=phu!$I$83,M1502=phu!$I$84),"Cam Thịnh Đông",""),IF(OR(M1502=phu!$I$85,M1502=phu!$I$86,M1502=phu!$I$87,M1502=phu!$I$88),"Cam Thịnh Tây",""),IF(OR(M1502=phu!$I$89,M1502=phu!$I$90),"Cam Lập",""),IF(OR(M1502=phu!$I$91,M1502=phu!$I$92,M1502=phu!$I$93),"Cam Bình",""),IF(OR(M1502=phu!$I$94,M1502=phu!$I$95,M1502=phu!$I$96,M1502=phu!$I$97,M1502=phu!$I$98,M1502=phu!$I$99,M1502=phu!$I$100),"Huyện khác",""),IF(OR(M1502=phu!$I$101,M1502=phu!$I$102),"Tỉnh khác",""))</f>
        <v/>
      </c>
      <c r="O1502" s="829" t="str">
        <f t="shared" si="138"/>
        <v/>
      </c>
      <c r="P1502" s="254"/>
      <c r="Q1502" s="254"/>
      <c r="R1502" s="254"/>
      <c r="S1502" s="254"/>
      <c r="T1502" s="254"/>
      <c r="U1502" s="254"/>
      <c r="V1502" s="254"/>
      <c r="W1502" s="254"/>
      <c r="Y1502" s="246" t="str">
        <f t="shared" si="139"/>
        <v/>
      </c>
      <c r="Z1502" s="247" t="str">
        <f t="shared" si="143"/>
        <v/>
      </c>
      <c r="AA1502" s="246" t="str">
        <f t="shared" si="140"/>
        <v/>
      </c>
    </row>
    <row r="1503" spans="1:27" x14ac:dyDescent="0.25">
      <c r="A1503" s="248" t="str">
        <f t="shared" si="141"/>
        <v/>
      </c>
      <c r="B1503" s="249" t="str">
        <f t="shared" si="142"/>
        <v/>
      </c>
      <c r="C1503" s="250"/>
      <c r="D1503" s="251"/>
      <c r="E1503" s="241"/>
      <c r="F1503" s="252"/>
      <c r="G1503" s="252"/>
      <c r="H1503" s="253"/>
      <c r="I1503" s="250"/>
      <c r="J1503" s="250"/>
      <c r="K1503" s="270"/>
      <c r="L1503" s="250"/>
      <c r="M1503" s="250"/>
      <c r="N1503" s="540" t="str">
        <f>CONCATENATE(IF(OR(M1503=phu!$I$1,M1503=phu!$I$2,M1503=phu!$I$3),"Cam Thành Nam",""),IF(OR(M1503=phu!$I$4,M1503=phu!$I$5,M1503=phu!$I$6,M1503=phu!$I$7,M1503=phu!$I$8,M1503=phu!$I$9,M1503=phu!$I$10,M1503=phu!$I$11,M1503=phu!$I$12,M1503=phu!$I$13,M1503=phu!$I$14),"Cam Nghĩa",""),IF(OR(M1503=phu!$I$15,M1503=phu!$I$16,M1503=phu!$I$17,M1503=phu!$I$18,M1503=phu!$I$19,M1503=phu!$I$20,M1503=phu!$I$21),"Cam Phúc Bắc",""),IF(OR(M1503=phu!$I$22,M1503=phu!$I$23,M1503=phu!$I$24,M1503=phu!$I$25),"Cam Phúc Nam",""),IF(OR(M1503=phu!$I$26,M1503=phu!$I$27,M1503=phu!$I$28,M1503=phu!$I$29,M1503=phu!$I$30,M1503=phu!$I$31),"Cam Phú",""),IF(OR(M1503=phu!$I$32,M1503=phu!$I$33,M1503=phu!$I$34,M1503=phu!$I$35,M1503=phu!$I$36,M1503=phu!$I$37),"Cam Lộc",""),IF(OR(M1503=phu!$I$38,M1503=phu!$I$39,M1503=phu!$I$40,M1503=phu!$I$41,M1503=phu!$I$42,M1503=phu!$I$43,M1503=phu!$I$44),"Cam Thuận",""),IF(OR(M1503=phu!$I$45,M1503=phu!$I$46,M1503=phu!$I$47,M1503=phu!$I$48,M1503=phu!$I$49,M1503=phu!$I$50,M1503=phu!$I$51,M1503=phu!$I$52,M1503=phu!$I$53),"Cam Linh",""),IF(OR(M1503=phu!$I$54,M1503=phu!$I$55,M1503=phu!$I$56,M1503=phu!$I$57,M1503=phu!$I$58,M1503=phu!$I$59,M1503=phu!$I$60,M1503=phu!$I$61,M1503=phu!$I$62),"Cam Lợi",""),IF(OR(M1503=phu!$I$63,M1503=phu!$I$64,M1503=phu!$I$65,M1503=phu!$I$66,M1503=phu!$I$67,M1503=phu!$I$68,M1503=phu!$I$69,M1503=phu!$I$70,M1503=phu!$I$71),"Ba Ngòi",""),IF(OR(M1503=phu!$I$72,M1503=phu!$I$73,M1503=phu!$I$74,M1503=phu!$I$75,M1503=phu!$I$76,M1503=phu!$I$77,M1503=phu!$I$78),"Cam Phước Đông",""),IF(OR(M1503=phu!$I$79,M1503=phu!$I$80,M1503=phu!$I$81,M1503=phu!$I$82,M1503=phu!$I$83,M1503=phu!$I$84),"Cam Thịnh Đông",""),IF(OR(M1503=phu!$I$85,M1503=phu!$I$86,M1503=phu!$I$87,M1503=phu!$I$88),"Cam Thịnh Tây",""),IF(OR(M1503=phu!$I$89,M1503=phu!$I$90),"Cam Lập",""),IF(OR(M1503=phu!$I$91,M1503=phu!$I$92,M1503=phu!$I$93),"Cam Bình",""),IF(OR(M1503=phu!$I$94,M1503=phu!$I$95,M1503=phu!$I$96,M1503=phu!$I$97,M1503=phu!$I$98,M1503=phu!$I$99,M1503=phu!$I$100),"Huyện khác",""),IF(OR(M1503=phu!$I$101,M1503=phu!$I$102),"Tỉnh khác",""))</f>
        <v/>
      </c>
      <c r="O1503" s="829" t="str">
        <f t="shared" si="138"/>
        <v/>
      </c>
      <c r="P1503" s="254"/>
      <c r="Q1503" s="254"/>
      <c r="R1503" s="254"/>
      <c r="S1503" s="254"/>
      <c r="T1503" s="254"/>
      <c r="U1503" s="254"/>
      <c r="V1503" s="254"/>
      <c r="W1503" s="254"/>
      <c r="Y1503" s="246" t="str">
        <f t="shared" si="139"/>
        <v/>
      </c>
      <c r="Z1503" s="247" t="str">
        <f t="shared" si="143"/>
        <v/>
      </c>
      <c r="AA1503" s="246" t="str">
        <f t="shared" si="140"/>
        <v/>
      </c>
    </row>
    <row r="1504" spans="1:27" x14ac:dyDescent="0.25">
      <c r="A1504" s="248" t="str">
        <f t="shared" si="141"/>
        <v/>
      </c>
      <c r="B1504" s="249" t="str">
        <f t="shared" si="142"/>
        <v/>
      </c>
      <c r="C1504" s="250"/>
      <c r="D1504" s="251"/>
      <c r="E1504" s="241"/>
      <c r="F1504" s="252"/>
      <c r="G1504" s="252"/>
      <c r="H1504" s="253"/>
      <c r="I1504" s="250"/>
      <c r="J1504" s="250"/>
      <c r="K1504" s="270"/>
      <c r="L1504" s="250"/>
      <c r="M1504" s="250"/>
      <c r="N1504" s="540" t="str">
        <f>CONCATENATE(IF(OR(M1504=phu!$I$1,M1504=phu!$I$2,M1504=phu!$I$3),"Cam Thành Nam",""),IF(OR(M1504=phu!$I$4,M1504=phu!$I$5,M1504=phu!$I$6,M1504=phu!$I$7,M1504=phu!$I$8,M1504=phu!$I$9,M1504=phu!$I$10,M1504=phu!$I$11,M1504=phu!$I$12,M1504=phu!$I$13,M1504=phu!$I$14),"Cam Nghĩa",""),IF(OR(M1504=phu!$I$15,M1504=phu!$I$16,M1504=phu!$I$17,M1504=phu!$I$18,M1504=phu!$I$19,M1504=phu!$I$20,M1504=phu!$I$21),"Cam Phúc Bắc",""),IF(OR(M1504=phu!$I$22,M1504=phu!$I$23,M1504=phu!$I$24,M1504=phu!$I$25),"Cam Phúc Nam",""),IF(OR(M1504=phu!$I$26,M1504=phu!$I$27,M1504=phu!$I$28,M1504=phu!$I$29,M1504=phu!$I$30,M1504=phu!$I$31),"Cam Phú",""),IF(OR(M1504=phu!$I$32,M1504=phu!$I$33,M1504=phu!$I$34,M1504=phu!$I$35,M1504=phu!$I$36,M1504=phu!$I$37),"Cam Lộc",""),IF(OR(M1504=phu!$I$38,M1504=phu!$I$39,M1504=phu!$I$40,M1504=phu!$I$41,M1504=phu!$I$42,M1504=phu!$I$43,M1504=phu!$I$44),"Cam Thuận",""),IF(OR(M1504=phu!$I$45,M1504=phu!$I$46,M1504=phu!$I$47,M1504=phu!$I$48,M1504=phu!$I$49,M1504=phu!$I$50,M1504=phu!$I$51,M1504=phu!$I$52,M1504=phu!$I$53),"Cam Linh",""),IF(OR(M1504=phu!$I$54,M1504=phu!$I$55,M1504=phu!$I$56,M1504=phu!$I$57,M1504=phu!$I$58,M1504=phu!$I$59,M1504=phu!$I$60,M1504=phu!$I$61,M1504=phu!$I$62),"Cam Lợi",""),IF(OR(M1504=phu!$I$63,M1504=phu!$I$64,M1504=phu!$I$65,M1504=phu!$I$66,M1504=phu!$I$67,M1504=phu!$I$68,M1504=phu!$I$69,M1504=phu!$I$70,M1504=phu!$I$71),"Ba Ngòi",""),IF(OR(M1504=phu!$I$72,M1504=phu!$I$73,M1504=phu!$I$74,M1504=phu!$I$75,M1504=phu!$I$76,M1504=phu!$I$77,M1504=phu!$I$78),"Cam Phước Đông",""),IF(OR(M1504=phu!$I$79,M1504=phu!$I$80,M1504=phu!$I$81,M1504=phu!$I$82,M1504=phu!$I$83,M1504=phu!$I$84),"Cam Thịnh Đông",""),IF(OR(M1504=phu!$I$85,M1504=phu!$I$86,M1504=phu!$I$87,M1504=phu!$I$88),"Cam Thịnh Tây",""),IF(OR(M1504=phu!$I$89,M1504=phu!$I$90),"Cam Lập",""),IF(OR(M1504=phu!$I$91,M1504=phu!$I$92,M1504=phu!$I$93),"Cam Bình",""),IF(OR(M1504=phu!$I$94,M1504=phu!$I$95,M1504=phu!$I$96,M1504=phu!$I$97,M1504=phu!$I$98,M1504=phu!$I$99,M1504=phu!$I$100),"Huyện khác",""),IF(OR(M1504=phu!$I$101,M1504=phu!$I$102),"Tỉnh khác",""))</f>
        <v/>
      </c>
      <c r="O1504" s="829" t="str">
        <f t="shared" si="138"/>
        <v/>
      </c>
      <c r="P1504" s="254"/>
      <c r="Q1504" s="254"/>
      <c r="R1504" s="254"/>
      <c r="S1504" s="254"/>
      <c r="T1504" s="254"/>
      <c r="U1504" s="254"/>
      <c r="V1504" s="254"/>
      <c r="W1504" s="254"/>
      <c r="Y1504" s="246" t="str">
        <f t="shared" si="139"/>
        <v/>
      </c>
      <c r="Z1504" s="247" t="str">
        <f t="shared" si="143"/>
        <v/>
      </c>
      <c r="AA1504" s="246" t="str">
        <f t="shared" si="140"/>
        <v/>
      </c>
    </row>
    <row r="1505" spans="1:27" x14ac:dyDescent="0.25">
      <c r="A1505" s="248" t="str">
        <f t="shared" si="141"/>
        <v/>
      </c>
      <c r="B1505" s="249" t="str">
        <f t="shared" si="142"/>
        <v/>
      </c>
      <c r="C1505" s="250"/>
      <c r="D1505" s="251"/>
      <c r="E1505" s="241"/>
      <c r="F1505" s="252"/>
      <c r="G1505" s="252"/>
      <c r="H1505" s="253"/>
      <c r="I1505" s="250"/>
      <c r="J1505" s="250"/>
      <c r="K1505" s="270"/>
      <c r="L1505" s="250"/>
      <c r="M1505" s="250"/>
      <c r="N1505" s="540" t="str">
        <f>CONCATENATE(IF(OR(M1505=phu!$I$1,M1505=phu!$I$2,M1505=phu!$I$3),"Cam Thành Nam",""),IF(OR(M1505=phu!$I$4,M1505=phu!$I$5,M1505=phu!$I$6,M1505=phu!$I$7,M1505=phu!$I$8,M1505=phu!$I$9,M1505=phu!$I$10,M1505=phu!$I$11,M1505=phu!$I$12,M1505=phu!$I$13,M1505=phu!$I$14),"Cam Nghĩa",""),IF(OR(M1505=phu!$I$15,M1505=phu!$I$16,M1505=phu!$I$17,M1505=phu!$I$18,M1505=phu!$I$19,M1505=phu!$I$20,M1505=phu!$I$21),"Cam Phúc Bắc",""),IF(OR(M1505=phu!$I$22,M1505=phu!$I$23,M1505=phu!$I$24,M1505=phu!$I$25),"Cam Phúc Nam",""),IF(OR(M1505=phu!$I$26,M1505=phu!$I$27,M1505=phu!$I$28,M1505=phu!$I$29,M1505=phu!$I$30,M1505=phu!$I$31),"Cam Phú",""),IF(OR(M1505=phu!$I$32,M1505=phu!$I$33,M1505=phu!$I$34,M1505=phu!$I$35,M1505=phu!$I$36,M1505=phu!$I$37),"Cam Lộc",""),IF(OR(M1505=phu!$I$38,M1505=phu!$I$39,M1505=phu!$I$40,M1505=phu!$I$41,M1505=phu!$I$42,M1505=phu!$I$43,M1505=phu!$I$44),"Cam Thuận",""),IF(OR(M1505=phu!$I$45,M1505=phu!$I$46,M1505=phu!$I$47,M1505=phu!$I$48,M1505=phu!$I$49,M1505=phu!$I$50,M1505=phu!$I$51,M1505=phu!$I$52,M1505=phu!$I$53),"Cam Linh",""),IF(OR(M1505=phu!$I$54,M1505=phu!$I$55,M1505=phu!$I$56,M1505=phu!$I$57,M1505=phu!$I$58,M1505=phu!$I$59,M1505=phu!$I$60,M1505=phu!$I$61,M1505=phu!$I$62),"Cam Lợi",""),IF(OR(M1505=phu!$I$63,M1505=phu!$I$64,M1505=phu!$I$65,M1505=phu!$I$66,M1505=phu!$I$67,M1505=phu!$I$68,M1505=phu!$I$69,M1505=phu!$I$70,M1505=phu!$I$71),"Ba Ngòi",""),IF(OR(M1505=phu!$I$72,M1505=phu!$I$73,M1505=phu!$I$74,M1505=phu!$I$75,M1505=phu!$I$76,M1505=phu!$I$77,M1505=phu!$I$78),"Cam Phước Đông",""),IF(OR(M1505=phu!$I$79,M1505=phu!$I$80,M1505=phu!$I$81,M1505=phu!$I$82,M1505=phu!$I$83,M1505=phu!$I$84),"Cam Thịnh Đông",""),IF(OR(M1505=phu!$I$85,M1505=phu!$I$86,M1505=phu!$I$87,M1505=phu!$I$88),"Cam Thịnh Tây",""),IF(OR(M1505=phu!$I$89,M1505=phu!$I$90),"Cam Lập",""),IF(OR(M1505=phu!$I$91,M1505=phu!$I$92,M1505=phu!$I$93),"Cam Bình",""),IF(OR(M1505=phu!$I$94,M1505=phu!$I$95,M1505=phu!$I$96,M1505=phu!$I$97,M1505=phu!$I$98,M1505=phu!$I$99,M1505=phu!$I$100),"Huyện khác",""),IF(OR(M1505=phu!$I$101,M1505=phu!$I$102),"Tỉnh khác",""))</f>
        <v/>
      </c>
      <c r="O1505" s="829" t="str">
        <f t="shared" si="138"/>
        <v/>
      </c>
      <c r="P1505" s="254"/>
      <c r="Q1505" s="254"/>
      <c r="R1505" s="254"/>
      <c r="S1505" s="254"/>
      <c r="T1505" s="254"/>
      <c r="U1505" s="254"/>
      <c r="V1505" s="254"/>
      <c r="W1505" s="254"/>
      <c r="Y1505" s="246" t="str">
        <f t="shared" si="139"/>
        <v/>
      </c>
      <c r="Z1505" s="247" t="str">
        <f t="shared" si="143"/>
        <v/>
      </c>
      <c r="AA1505" s="246" t="str">
        <f t="shared" si="140"/>
        <v/>
      </c>
    </row>
    <row r="1506" spans="1:27" x14ac:dyDescent="0.25">
      <c r="A1506" s="248" t="str">
        <f t="shared" si="141"/>
        <v/>
      </c>
      <c r="B1506" s="249" t="str">
        <f t="shared" si="142"/>
        <v/>
      </c>
      <c r="C1506" s="250"/>
      <c r="D1506" s="251"/>
      <c r="E1506" s="241"/>
      <c r="F1506" s="252"/>
      <c r="G1506" s="252"/>
      <c r="H1506" s="253"/>
      <c r="I1506" s="250"/>
      <c r="J1506" s="250"/>
      <c r="K1506" s="270"/>
      <c r="L1506" s="250"/>
      <c r="M1506" s="250"/>
      <c r="N1506" s="540" t="str">
        <f>CONCATENATE(IF(OR(M1506=phu!$I$1,M1506=phu!$I$2,M1506=phu!$I$3),"Cam Thành Nam",""),IF(OR(M1506=phu!$I$4,M1506=phu!$I$5,M1506=phu!$I$6,M1506=phu!$I$7,M1506=phu!$I$8,M1506=phu!$I$9,M1506=phu!$I$10,M1506=phu!$I$11,M1506=phu!$I$12,M1506=phu!$I$13,M1506=phu!$I$14),"Cam Nghĩa",""),IF(OR(M1506=phu!$I$15,M1506=phu!$I$16,M1506=phu!$I$17,M1506=phu!$I$18,M1506=phu!$I$19,M1506=phu!$I$20,M1506=phu!$I$21),"Cam Phúc Bắc",""),IF(OR(M1506=phu!$I$22,M1506=phu!$I$23,M1506=phu!$I$24,M1506=phu!$I$25),"Cam Phúc Nam",""),IF(OR(M1506=phu!$I$26,M1506=phu!$I$27,M1506=phu!$I$28,M1506=phu!$I$29,M1506=phu!$I$30,M1506=phu!$I$31),"Cam Phú",""),IF(OR(M1506=phu!$I$32,M1506=phu!$I$33,M1506=phu!$I$34,M1506=phu!$I$35,M1506=phu!$I$36,M1506=phu!$I$37),"Cam Lộc",""),IF(OR(M1506=phu!$I$38,M1506=phu!$I$39,M1506=phu!$I$40,M1506=phu!$I$41,M1506=phu!$I$42,M1506=phu!$I$43,M1506=phu!$I$44),"Cam Thuận",""),IF(OR(M1506=phu!$I$45,M1506=phu!$I$46,M1506=phu!$I$47,M1506=phu!$I$48,M1506=phu!$I$49,M1506=phu!$I$50,M1506=phu!$I$51,M1506=phu!$I$52,M1506=phu!$I$53),"Cam Linh",""),IF(OR(M1506=phu!$I$54,M1506=phu!$I$55,M1506=phu!$I$56,M1506=phu!$I$57,M1506=phu!$I$58,M1506=phu!$I$59,M1506=phu!$I$60,M1506=phu!$I$61,M1506=phu!$I$62),"Cam Lợi",""),IF(OR(M1506=phu!$I$63,M1506=phu!$I$64,M1506=phu!$I$65,M1506=phu!$I$66,M1506=phu!$I$67,M1506=phu!$I$68,M1506=phu!$I$69,M1506=phu!$I$70,M1506=phu!$I$71),"Ba Ngòi",""),IF(OR(M1506=phu!$I$72,M1506=phu!$I$73,M1506=phu!$I$74,M1506=phu!$I$75,M1506=phu!$I$76,M1506=phu!$I$77,M1506=phu!$I$78),"Cam Phước Đông",""),IF(OR(M1506=phu!$I$79,M1506=phu!$I$80,M1506=phu!$I$81,M1506=phu!$I$82,M1506=phu!$I$83,M1506=phu!$I$84),"Cam Thịnh Đông",""),IF(OR(M1506=phu!$I$85,M1506=phu!$I$86,M1506=phu!$I$87,M1506=phu!$I$88),"Cam Thịnh Tây",""),IF(OR(M1506=phu!$I$89,M1506=phu!$I$90),"Cam Lập",""),IF(OR(M1506=phu!$I$91,M1506=phu!$I$92,M1506=phu!$I$93),"Cam Bình",""),IF(OR(M1506=phu!$I$94,M1506=phu!$I$95,M1506=phu!$I$96,M1506=phu!$I$97,M1506=phu!$I$98,M1506=phu!$I$99,M1506=phu!$I$100),"Huyện khác",""),IF(OR(M1506=phu!$I$101,M1506=phu!$I$102),"Tỉnh khác",""))</f>
        <v/>
      </c>
      <c r="O1506" s="829" t="str">
        <f t="shared" si="138"/>
        <v/>
      </c>
      <c r="P1506" s="254"/>
      <c r="Q1506" s="254"/>
      <c r="R1506" s="254"/>
      <c r="S1506" s="254"/>
      <c r="T1506" s="254"/>
      <c r="U1506" s="254"/>
      <c r="V1506" s="254"/>
      <c r="W1506" s="254"/>
      <c r="Y1506" s="246" t="str">
        <f t="shared" si="139"/>
        <v/>
      </c>
      <c r="Z1506" s="247" t="str">
        <f t="shared" si="143"/>
        <v/>
      </c>
      <c r="AA1506" s="246" t="str">
        <f t="shared" si="140"/>
        <v/>
      </c>
    </row>
    <row r="1507" spans="1:27" x14ac:dyDescent="0.25">
      <c r="A1507" s="248" t="str">
        <f t="shared" si="141"/>
        <v/>
      </c>
      <c r="B1507" s="249" t="str">
        <f t="shared" si="142"/>
        <v/>
      </c>
      <c r="C1507" s="250"/>
      <c r="D1507" s="251"/>
      <c r="E1507" s="241"/>
      <c r="F1507" s="252"/>
      <c r="G1507" s="252"/>
      <c r="H1507" s="253"/>
      <c r="I1507" s="250"/>
      <c r="J1507" s="250"/>
      <c r="K1507" s="270"/>
      <c r="L1507" s="250"/>
      <c r="M1507" s="250"/>
      <c r="N1507" s="540" t="str">
        <f>CONCATENATE(IF(OR(M1507=phu!$I$1,M1507=phu!$I$2,M1507=phu!$I$3),"Cam Thành Nam",""),IF(OR(M1507=phu!$I$4,M1507=phu!$I$5,M1507=phu!$I$6,M1507=phu!$I$7,M1507=phu!$I$8,M1507=phu!$I$9,M1507=phu!$I$10,M1507=phu!$I$11,M1507=phu!$I$12,M1507=phu!$I$13,M1507=phu!$I$14),"Cam Nghĩa",""),IF(OR(M1507=phu!$I$15,M1507=phu!$I$16,M1507=phu!$I$17,M1507=phu!$I$18,M1507=phu!$I$19,M1507=phu!$I$20,M1507=phu!$I$21),"Cam Phúc Bắc",""),IF(OR(M1507=phu!$I$22,M1507=phu!$I$23,M1507=phu!$I$24,M1507=phu!$I$25),"Cam Phúc Nam",""),IF(OR(M1507=phu!$I$26,M1507=phu!$I$27,M1507=phu!$I$28,M1507=phu!$I$29,M1507=phu!$I$30,M1507=phu!$I$31),"Cam Phú",""),IF(OR(M1507=phu!$I$32,M1507=phu!$I$33,M1507=phu!$I$34,M1507=phu!$I$35,M1507=phu!$I$36,M1507=phu!$I$37),"Cam Lộc",""),IF(OR(M1507=phu!$I$38,M1507=phu!$I$39,M1507=phu!$I$40,M1507=phu!$I$41,M1507=phu!$I$42,M1507=phu!$I$43,M1507=phu!$I$44),"Cam Thuận",""),IF(OR(M1507=phu!$I$45,M1507=phu!$I$46,M1507=phu!$I$47,M1507=phu!$I$48,M1507=phu!$I$49,M1507=phu!$I$50,M1507=phu!$I$51,M1507=phu!$I$52,M1507=phu!$I$53),"Cam Linh",""),IF(OR(M1507=phu!$I$54,M1507=phu!$I$55,M1507=phu!$I$56,M1507=phu!$I$57,M1507=phu!$I$58,M1507=phu!$I$59,M1507=phu!$I$60,M1507=phu!$I$61,M1507=phu!$I$62),"Cam Lợi",""),IF(OR(M1507=phu!$I$63,M1507=phu!$I$64,M1507=phu!$I$65,M1507=phu!$I$66,M1507=phu!$I$67,M1507=phu!$I$68,M1507=phu!$I$69,M1507=phu!$I$70,M1507=phu!$I$71),"Ba Ngòi",""),IF(OR(M1507=phu!$I$72,M1507=phu!$I$73,M1507=phu!$I$74,M1507=phu!$I$75,M1507=phu!$I$76,M1507=phu!$I$77,M1507=phu!$I$78),"Cam Phước Đông",""),IF(OR(M1507=phu!$I$79,M1507=phu!$I$80,M1507=phu!$I$81,M1507=phu!$I$82,M1507=phu!$I$83,M1507=phu!$I$84),"Cam Thịnh Đông",""),IF(OR(M1507=phu!$I$85,M1507=phu!$I$86,M1507=phu!$I$87,M1507=phu!$I$88),"Cam Thịnh Tây",""),IF(OR(M1507=phu!$I$89,M1507=phu!$I$90),"Cam Lập",""),IF(OR(M1507=phu!$I$91,M1507=phu!$I$92,M1507=phu!$I$93),"Cam Bình",""),IF(OR(M1507=phu!$I$94,M1507=phu!$I$95,M1507=phu!$I$96,M1507=phu!$I$97,M1507=phu!$I$98,M1507=phu!$I$99,M1507=phu!$I$100),"Huyện khác",""),IF(OR(M1507=phu!$I$101,M1507=phu!$I$102),"Tỉnh khác",""))</f>
        <v/>
      </c>
      <c r="O1507" s="829" t="str">
        <f t="shared" si="138"/>
        <v/>
      </c>
      <c r="P1507" s="254"/>
      <c r="Q1507" s="254"/>
      <c r="R1507" s="254"/>
      <c r="S1507" s="254"/>
      <c r="T1507" s="254"/>
      <c r="U1507" s="254"/>
      <c r="V1507" s="254"/>
      <c r="W1507" s="254"/>
      <c r="Y1507" s="246" t="str">
        <f t="shared" si="139"/>
        <v/>
      </c>
      <c r="Z1507" s="247" t="str">
        <f t="shared" si="143"/>
        <v/>
      </c>
      <c r="AA1507" s="246" t="str">
        <f t="shared" si="140"/>
        <v/>
      </c>
    </row>
    <row r="1508" spans="1:27" x14ac:dyDescent="0.25">
      <c r="A1508" s="248" t="str">
        <f t="shared" si="141"/>
        <v/>
      </c>
      <c r="B1508" s="249" t="str">
        <f t="shared" si="142"/>
        <v/>
      </c>
      <c r="C1508" s="250"/>
      <c r="D1508" s="251"/>
      <c r="E1508" s="241"/>
      <c r="F1508" s="252"/>
      <c r="G1508" s="252"/>
      <c r="H1508" s="253"/>
      <c r="I1508" s="250"/>
      <c r="J1508" s="250"/>
      <c r="K1508" s="270"/>
      <c r="L1508" s="250"/>
      <c r="M1508" s="250"/>
      <c r="N1508" s="540" t="str">
        <f>CONCATENATE(IF(OR(M1508=phu!$I$1,M1508=phu!$I$2,M1508=phu!$I$3),"Cam Thành Nam",""),IF(OR(M1508=phu!$I$4,M1508=phu!$I$5,M1508=phu!$I$6,M1508=phu!$I$7,M1508=phu!$I$8,M1508=phu!$I$9,M1508=phu!$I$10,M1508=phu!$I$11,M1508=phu!$I$12,M1508=phu!$I$13,M1508=phu!$I$14),"Cam Nghĩa",""),IF(OR(M1508=phu!$I$15,M1508=phu!$I$16,M1508=phu!$I$17,M1508=phu!$I$18,M1508=phu!$I$19,M1508=phu!$I$20,M1508=phu!$I$21),"Cam Phúc Bắc",""),IF(OR(M1508=phu!$I$22,M1508=phu!$I$23,M1508=phu!$I$24,M1508=phu!$I$25),"Cam Phúc Nam",""),IF(OR(M1508=phu!$I$26,M1508=phu!$I$27,M1508=phu!$I$28,M1508=phu!$I$29,M1508=phu!$I$30,M1508=phu!$I$31),"Cam Phú",""),IF(OR(M1508=phu!$I$32,M1508=phu!$I$33,M1508=phu!$I$34,M1508=phu!$I$35,M1508=phu!$I$36,M1508=phu!$I$37),"Cam Lộc",""),IF(OR(M1508=phu!$I$38,M1508=phu!$I$39,M1508=phu!$I$40,M1508=phu!$I$41,M1508=phu!$I$42,M1508=phu!$I$43,M1508=phu!$I$44),"Cam Thuận",""),IF(OR(M1508=phu!$I$45,M1508=phu!$I$46,M1508=phu!$I$47,M1508=phu!$I$48,M1508=phu!$I$49,M1508=phu!$I$50,M1508=phu!$I$51,M1508=phu!$I$52,M1508=phu!$I$53),"Cam Linh",""),IF(OR(M1508=phu!$I$54,M1508=phu!$I$55,M1508=phu!$I$56,M1508=phu!$I$57,M1508=phu!$I$58,M1508=phu!$I$59,M1508=phu!$I$60,M1508=phu!$I$61,M1508=phu!$I$62),"Cam Lợi",""),IF(OR(M1508=phu!$I$63,M1508=phu!$I$64,M1508=phu!$I$65,M1508=phu!$I$66,M1508=phu!$I$67,M1508=phu!$I$68,M1508=phu!$I$69,M1508=phu!$I$70,M1508=phu!$I$71),"Ba Ngòi",""),IF(OR(M1508=phu!$I$72,M1508=phu!$I$73,M1508=phu!$I$74,M1508=phu!$I$75,M1508=phu!$I$76,M1508=phu!$I$77,M1508=phu!$I$78),"Cam Phước Đông",""),IF(OR(M1508=phu!$I$79,M1508=phu!$I$80,M1508=phu!$I$81,M1508=phu!$I$82,M1508=phu!$I$83,M1508=phu!$I$84),"Cam Thịnh Đông",""),IF(OR(M1508=phu!$I$85,M1508=phu!$I$86,M1508=phu!$I$87,M1508=phu!$I$88),"Cam Thịnh Tây",""),IF(OR(M1508=phu!$I$89,M1508=phu!$I$90),"Cam Lập",""),IF(OR(M1508=phu!$I$91,M1508=phu!$I$92,M1508=phu!$I$93),"Cam Bình",""),IF(OR(M1508=phu!$I$94,M1508=phu!$I$95,M1508=phu!$I$96,M1508=phu!$I$97,M1508=phu!$I$98,M1508=phu!$I$99,M1508=phu!$I$100),"Huyện khác",""),IF(OR(M1508=phu!$I$101,M1508=phu!$I$102),"Tỉnh khác",""))</f>
        <v/>
      </c>
      <c r="O1508" s="829" t="str">
        <f t="shared" si="138"/>
        <v/>
      </c>
      <c r="P1508" s="254"/>
      <c r="Q1508" s="254"/>
      <c r="R1508" s="254"/>
      <c r="S1508" s="254"/>
      <c r="T1508" s="254"/>
      <c r="U1508" s="254"/>
      <c r="V1508" s="254"/>
      <c r="W1508" s="254"/>
      <c r="Y1508" s="246" t="str">
        <f t="shared" si="139"/>
        <v/>
      </c>
      <c r="Z1508" s="247" t="str">
        <f t="shared" si="143"/>
        <v/>
      </c>
      <c r="AA1508" s="246" t="str">
        <f t="shared" si="140"/>
        <v/>
      </c>
    </row>
    <row r="1509" spans="1:27" x14ac:dyDescent="0.25">
      <c r="A1509" s="248" t="str">
        <f t="shared" si="141"/>
        <v/>
      </c>
      <c r="B1509" s="249" t="str">
        <f t="shared" si="142"/>
        <v/>
      </c>
      <c r="C1509" s="250"/>
      <c r="D1509" s="251"/>
      <c r="E1509" s="241"/>
      <c r="F1509" s="252"/>
      <c r="G1509" s="252"/>
      <c r="H1509" s="253"/>
      <c r="I1509" s="250"/>
      <c r="J1509" s="250"/>
      <c r="K1509" s="270"/>
      <c r="L1509" s="250"/>
      <c r="M1509" s="250"/>
      <c r="N1509" s="540" t="str">
        <f>CONCATENATE(IF(OR(M1509=phu!$I$1,M1509=phu!$I$2,M1509=phu!$I$3),"Cam Thành Nam",""),IF(OR(M1509=phu!$I$4,M1509=phu!$I$5,M1509=phu!$I$6,M1509=phu!$I$7,M1509=phu!$I$8,M1509=phu!$I$9,M1509=phu!$I$10,M1509=phu!$I$11,M1509=phu!$I$12,M1509=phu!$I$13,M1509=phu!$I$14),"Cam Nghĩa",""),IF(OR(M1509=phu!$I$15,M1509=phu!$I$16,M1509=phu!$I$17,M1509=phu!$I$18,M1509=phu!$I$19,M1509=phu!$I$20,M1509=phu!$I$21),"Cam Phúc Bắc",""),IF(OR(M1509=phu!$I$22,M1509=phu!$I$23,M1509=phu!$I$24,M1509=phu!$I$25),"Cam Phúc Nam",""),IF(OR(M1509=phu!$I$26,M1509=phu!$I$27,M1509=phu!$I$28,M1509=phu!$I$29,M1509=phu!$I$30,M1509=phu!$I$31),"Cam Phú",""),IF(OR(M1509=phu!$I$32,M1509=phu!$I$33,M1509=phu!$I$34,M1509=phu!$I$35,M1509=phu!$I$36,M1509=phu!$I$37),"Cam Lộc",""),IF(OR(M1509=phu!$I$38,M1509=phu!$I$39,M1509=phu!$I$40,M1509=phu!$I$41,M1509=phu!$I$42,M1509=phu!$I$43,M1509=phu!$I$44),"Cam Thuận",""),IF(OR(M1509=phu!$I$45,M1509=phu!$I$46,M1509=phu!$I$47,M1509=phu!$I$48,M1509=phu!$I$49,M1509=phu!$I$50,M1509=phu!$I$51,M1509=phu!$I$52,M1509=phu!$I$53),"Cam Linh",""),IF(OR(M1509=phu!$I$54,M1509=phu!$I$55,M1509=phu!$I$56,M1509=phu!$I$57,M1509=phu!$I$58,M1509=phu!$I$59,M1509=phu!$I$60,M1509=phu!$I$61,M1509=phu!$I$62),"Cam Lợi",""),IF(OR(M1509=phu!$I$63,M1509=phu!$I$64,M1509=phu!$I$65,M1509=phu!$I$66,M1509=phu!$I$67,M1509=phu!$I$68,M1509=phu!$I$69,M1509=phu!$I$70,M1509=phu!$I$71),"Ba Ngòi",""),IF(OR(M1509=phu!$I$72,M1509=phu!$I$73,M1509=phu!$I$74,M1509=phu!$I$75,M1509=phu!$I$76,M1509=phu!$I$77,M1509=phu!$I$78),"Cam Phước Đông",""),IF(OR(M1509=phu!$I$79,M1509=phu!$I$80,M1509=phu!$I$81,M1509=phu!$I$82,M1509=phu!$I$83,M1509=phu!$I$84),"Cam Thịnh Đông",""),IF(OR(M1509=phu!$I$85,M1509=phu!$I$86,M1509=phu!$I$87,M1509=phu!$I$88),"Cam Thịnh Tây",""),IF(OR(M1509=phu!$I$89,M1509=phu!$I$90),"Cam Lập",""),IF(OR(M1509=phu!$I$91,M1509=phu!$I$92,M1509=phu!$I$93),"Cam Bình",""),IF(OR(M1509=phu!$I$94,M1509=phu!$I$95,M1509=phu!$I$96,M1509=phu!$I$97,M1509=phu!$I$98,M1509=phu!$I$99,M1509=phu!$I$100),"Huyện khác",""),IF(OR(M1509=phu!$I$101,M1509=phu!$I$102),"Tỉnh khác",""))</f>
        <v/>
      </c>
      <c r="O1509" s="829" t="str">
        <f t="shared" si="138"/>
        <v/>
      </c>
      <c r="P1509" s="254"/>
      <c r="Q1509" s="254"/>
      <c r="R1509" s="254"/>
      <c r="S1509" s="254"/>
      <c r="T1509" s="254"/>
      <c r="U1509" s="254"/>
      <c r="V1509" s="254"/>
      <c r="W1509" s="254"/>
      <c r="Y1509" s="246" t="str">
        <f t="shared" si="139"/>
        <v/>
      </c>
      <c r="Z1509" s="247" t="str">
        <f t="shared" si="143"/>
        <v/>
      </c>
      <c r="AA1509" s="246" t="str">
        <f t="shared" si="140"/>
        <v/>
      </c>
    </row>
    <row r="1510" spans="1:27" x14ac:dyDescent="0.25">
      <c r="A1510" s="248" t="str">
        <f t="shared" si="141"/>
        <v/>
      </c>
      <c r="B1510" s="249" t="str">
        <f t="shared" si="142"/>
        <v/>
      </c>
      <c r="C1510" s="250"/>
      <c r="D1510" s="251"/>
      <c r="E1510" s="241"/>
      <c r="F1510" s="252"/>
      <c r="G1510" s="252"/>
      <c r="H1510" s="253"/>
      <c r="I1510" s="250"/>
      <c r="J1510" s="250"/>
      <c r="K1510" s="270"/>
      <c r="L1510" s="250"/>
      <c r="M1510" s="250"/>
      <c r="N1510" s="540" t="str">
        <f>CONCATENATE(IF(OR(M1510=phu!$I$1,M1510=phu!$I$2,M1510=phu!$I$3),"Cam Thành Nam",""),IF(OR(M1510=phu!$I$4,M1510=phu!$I$5,M1510=phu!$I$6,M1510=phu!$I$7,M1510=phu!$I$8,M1510=phu!$I$9,M1510=phu!$I$10,M1510=phu!$I$11,M1510=phu!$I$12,M1510=phu!$I$13,M1510=phu!$I$14),"Cam Nghĩa",""),IF(OR(M1510=phu!$I$15,M1510=phu!$I$16,M1510=phu!$I$17,M1510=phu!$I$18,M1510=phu!$I$19,M1510=phu!$I$20,M1510=phu!$I$21),"Cam Phúc Bắc",""),IF(OR(M1510=phu!$I$22,M1510=phu!$I$23,M1510=phu!$I$24,M1510=phu!$I$25),"Cam Phúc Nam",""),IF(OR(M1510=phu!$I$26,M1510=phu!$I$27,M1510=phu!$I$28,M1510=phu!$I$29,M1510=phu!$I$30,M1510=phu!$I$31),"Cam Phú",""),IF(OR(M1510=phu!$I$32,M1510=phu!$I$33,M1510=phu!$I$34,M1510=phu!$I$35,M1510=phu!$I$36,M1510=phu!$I$37),"Cam Lộc",""),IF(OR(M1510=phu!$I$38,M1510=phu!$I$39,M1510=phu!$I$40,M1510=phu!$I$41,M1510=phu!$I$42,M1510=phu!$I$43,M1510=phu!$I$44),"Cam Thuận",""),IF(OR(M1510=phu!$I$45,M1510=phu!$I$46,M1510=phu!$I$47,M1510=phu!$I$48,M1510=phu!$I$49,M1510=phu!$I$50,M1510=phu!$I$51,M1510=phu!$I$52,M1510=phu!$I$53),"Cam Linh",""),IF(OR(M1510=phu!$I$54,M1510=phu!$I$55,M1510=phu!$I$56,M1510=phu!$I$57,M1510=phu!$I$58,M1510=phu!$I$59,M1510=phu!$I$60,M1510=phu!$I$61,M1510=phu!$I$62),"Cam Lợi",""),IF(OR(M1510=phu!$I$63,M1510=phu!$I$64,M1510=phu!$I$65,M1510=phu!$I$66,M1510=phu!$I$67,M1510=phu!$I$68,M1510=phu!$I$69,M1510=phu!$I$70,M1510=phu!$I$71),"Ba Ngòi",""),IF(OR(M1510=phu!$I$72,M1510=phu!$I$73,M1510=phu!$I$74,M1510=phu!$I$75,M1510=phu!$I$76,M1510=phu!$I$77,M1510=phu!$I$78),"Cam Phước Đông",""),IF(OR(M1510=phu!$I$79,M1510=phu!$I$80,M1510=phu!$I$81,M1510=phu!$I$82,M1510=phu!$I$83,M1510=phu!$I$84),"Cam Thịnh Đông",""),IF(OR(M1510=phu!$I$85,M1510=phu!$I$86,M1510=phu!$I$87,M1510=phu!$I$88),"Cam Thịnh Tây",""),IF(OR(M1510=phu!$I$89,M1510=phu!$I$90),"Cam Lập",""),IF(OR(M1510=phu!$I$91,M1510=phu!$I$92,M1510=phu!$I$93),"Cam Bình",""),IF(OR(M1510=phu!$I$94,M1510=phu!$I$95,M1510=phu!$I$96,M1510=phu!$I$97,M1510=phu!$I$98,M1510=phu!$I$99,M1510=phu!$I$100),"Huyện khác",""),IF(OR(M1510=phu!$I$101,M1510=phu!$I$102),"Tỉnh khác",""))</f>
        <v/>
      </c>
      <c r="O1510" s="829" t="str">
        <f t="shared" si="138"/>
        <v/>
      </c>
      <c r="P1510" s="254"/>
      <c r="Q1510" s="254"/>
      <c r="R1510" s="254"/>
      <c r="S1510" s="254"/>
      <c r="T1510" s="254"/>
      <c r="U1510" s="254"/>
      <c r="V1510" s="254"/>
      <c r="W1510" s="254"/>
      <c r="Y1510" s="246" t="str">
        <f t="shared" si="139"/>
        <v/>
      </c>
      <c r="Z1510" s="247" t="str">
        <f t="shared" si="143"/>
        <v/>
      </c>
      <c r="AA1510" s="246" t="str">
        <f t="shared" si="140"/>
        <v/>
      </c>
    </row>
    <row r="1511" spans="1:27" x14ac:dyDescent="0.25">
      <c r="A1511" s="248" t="str">
        <f t="shared" si="141"/>
        <v/>
      </c>
      <c r="B1511" s="249" t="str">
        <f t="shared" si="142"/>
        <v/>
      </c>
      <c r="C1511" s="250"/>
      <c r="D1511" s="251"/>
      <c r="E1511" s="241"/>
      <c r="F1511" s="252"/>
      <c r="G1511" s="252"/>
      <c r="H1511" s="253"/>
      <c r="I1511" s="250"/>
      <c r="J1511" s="250"/>
      <c r="K1511" s="270"/>
      <c r="L1511" s="250"/>
      <c r="M1511" s="250"/>
      <c r="N1511" s="540" t="str">
        <f>CONCATENATE(IF(OR(M1511=phu!$I$1,M1511=phu!$I$2,M1511=phu!$I$3),"Cam Thành Nam",""),IF(OR(M1511=phu!$I$4,M1511=phu!$I$5,M1511=phu!$I$6,M1511=phu!$I$7,M1511=phu!$I$8,M1511=phu!$I$9,M1511=phu!$I$10,M1511=phu!$I$11,M1511=phu!$I$12,M1511=phu!$I$13,M1511=phu!$I$14),"Cam Nghĩa",""),IF(OR(M1511=phu!$I$15,M1511=phu!$I$16,M1511=phu!$I$17,M1511=phu!$I$18,M1511=phu!$I$19,M1511=phu!$I$20,M1511=phu!$I$21),"Cam Phúc Bắc",""),IF(OR(M1511=phu!$I$22,M1511=phu!$I$23,M1511=phu!$I$24,M1511=phu!$I$25),"Cam Phúc Nam",""),IF(OR(M1511=phu!$I$26,M1511=phu!$I$27,M1511=phu!$I$28,M1511=phu!$I$29,M1511=phu!$I$30,M1511=phu!$I$31),"Cam Phú",""),IF(OR(M1511=phu!$I$32,M1511=phu!$I$33,M1511=phu!$I$34,M1511=phu!$I$35,M1511=phu!$I$36,M1511=phu!$I$37),"Cam Lộc",""),IF(OR(M1511=phu!$I$38,M1511=phu!$I$39,M1511=phu!$I$40,M1511=phu!$I$41,M1511=phu!$I$42,M1511=phu!$I$43,M1511=phu!$I$44),"Cam Thuận",""),IF(OR(M1511=phu!$I$45,M1511=phu!$I$46,M1511=phu!$I$47,M1511=phu!$I$48,M1511=phu!$I$49,M1511=phu!$I$50,M1511=phu!$I$51,M1511=phu!$I$52,M1511=phu!$I$53),"Cam Linh",""),IF(OR(M1511=phu!$I$54,M1511=phu!$I$55,M1511=phu!$I$56,M1511=phu!$I$57,M1511=phu!$I$58,M1511=phu!$I$59,M1511=phu!$I$60,M1511=phu!$I$61,M1511=phu!$I$62),"Cam Lợi",""),IF(OR(M1511=phu!$I$63,M1511=phu!$I$64,M1511=phu!$I$65,M1511=phu!$I$66,M1511=phu!$I$67,M1511=phu!$I$68,M1511=phu!$I$69,M1511=phu!$I$70,M1511=phu!$I$71),"Ba Ngòi",""),IF(OR(M1511=phu!$I$72,M1511=phu!$I$73,M1511=phu!$I$74,M1511=phu!$I$75,M1511=phu!$I$76,M1511=phu!$I$77,M1511=phu!$I$78),"Cam Phước Đông",""),IF(OR(M1511=phu!$I$79,M1511=phu!$I$80,M1511=phu!$I$81,M1511=phu!$I$82,M1511=phu!$I$83,M1511=phu!$I$84),"Cam Thịnh Đông",""),IF(OR(M1511=phu!$I$85,M1511=phu!$I$86,M1511=phu!$I$87,M1511=phu!$I$88),"Cam Thịnh Tây",""),IF(OR(M1511=phu!$I$89,M1511=phu!$I$90),"Cam Lập",""),IF(OR(M1511=phu!$I$91,M1511=phu!$I$92,M1511=phu!$I$93),"Cam Bình",""),IF(OR(M1511=phu!$I$94,M1511=phu!$I$95,M1511=phu!$I$96,M1511=phu!$I$97,M1511=phu!$I$98,M1511=phu!$I$99,M1511=phu!$I$100),"Huyện khác",""),IF(OR(M1511=phu!$I$101,M1511=phu!$I$102),"Tỉnh khác",""))</f>
        <v/>
      </c>
      <c r="O1511" s="829" t="str">
        <f t="shared" si="138"/>
        <v/>
      </c>
      <c r="P1511" s="254"/>
      <c r="Q1511" s="254"/>
      <c r="R1511" s="254"/>
      <c r="S1511" s="254"/>
      <c r="T1511" s="254"/>
      <c r="U1511" s="254"/>
      <c r="V1511" s="254"/>
      <c r="W1511" s="254"/>
      <c r="Y1511" s="246" t="str">
        <f t="shared" si="139"/>
        <v/>
      </c>
      <c r="Z1511" s="247" t="str">
        <f t="shared" si="143"/>
        <v/>
      </c>
      <c r="AA1511" s="246" t="str">
        <f t="shared" si="140"/>
        <v/>
      </c>
    </row>
    <row r="1512" spans="1:27" x14ac:dyDescent="0.25">
      <c r="A1512" s="248" t="str">
        <f t="shared" si="141"/>
        <v/>
      </c>
      <c r="B1512" s="249" t="str">
        <f t="shared" si="142"/>
        <v/>
      </c>
      <c r="C1512" s="250"/>
      <c r="D1512" s="251"/>
      <c r="E1512" s="241"/>
      <c r="F1512" s="252"/>
      <c r="G1512" s="252"/>
      <c r="H1512" s="253"/>
      <c r="I1512" s="250"/>
      <c r="J1512" s="250"/>
      <c r="K1512" s="270"/>
      <c r="L1512" s="250"/>
      <c r="M1512" s="250"/>
      <c r="N1512" s="540" t="str">
        <f>CONCATENATE(IF(OR(M1512=phu!$I$1,M1512=phu!$I$2,M1512=phu!$I$3),"Cam Thành Nam",""),IF(OR(M1512=phu!$I$4,M1512=phu!$I$5,M1512=phu!$I$6,M1512=phu!$I$7,M1512=phu!$I$8,M1512=phu!$I$9,M1512=phu!$I$10,M1512=phu!$I$11,M1512=phu!$I$12,M1512=phu!$I$13,M1512=phu!$I$14),"Cam Nghĩa",""),IF(OR(M1512=phu!$I$15,M1512=phu!$I$16,M1512=phu!$I$17,M1512=phu!$I$18,M1512=phu!$I$19,M1512=phu!$I$20,M1512=phu!$I$21),"Cam Phúc Bắc",""),IF(OR(M1512=phu!$I$22,M1512=phu!$I$23,M1512=phu!$I$24,M1512=phu!$I$25),"Cam Phúc Nam",""),IF(OR(M1512=phu!$I$26,M1512=phu!$I$27,M1512=phu!$I$28,M1512=phu!$I$29,M1512=phu!$I$30,M1512=phu!$I$31),"Cam Phú",""),IF(OR(M1512=phu!$I$32,M1512=phu!$I$33,M1512=phu!$I$34,M1512=phu!$I$35,M1512=phu!$I$36,M1512=phu!$I$37),"Cam Lộc",""),IF(OR(M1512=phu!$I$38,M1512=phu!$I$39,M1512=phu!$I$40,M1512=phu!$I$41,M1512=phu!$I$42,M1512=phu!$I$43,M1512=phu!$I$44),"Cam Thuận",""),IF(OR(M1512=phu!$I$45,M1512=phu!$I$46,M1512=phu!$I$47,M1512=phu!$I$48,M1512=phu!$I$49,M1512=phu!$I$50,M1512=phu!$I$51,M1512=phu!$I$52,M1512=phu!$I$53),"Cam Linh",""),IF(OR(M1512=phu!$I$54,M1512=phu!$I$55,M1512=phu!$I$56,M1512=phu!$I$57,M1512=phu!$I$58,M1512=phu!$I$59,M1512=phu!$I$60,M1512=phu!$I$61,M1512=phu!$I$62),"Cam Lợi",""),IF(OR(M1512=phu!$I$63,M1512=phu!$I$64,M1512=phu!$I$65,M1512=phu!$I$66,M1512=phu!$I$67,M1512=phu!$I$68,M1512=phu!$I$69,M1512=phu!$I$70,M1512=phu!$I$71),"Ba Ngòi",""),IF(OR(M1512=phu!$I$72,M1512=phu!$I$73,M1512=phu!$I$74,M1512=phu!$I$75,M1512=phu!$I$76,M1512=phu!$I$77,M1512=phu!$I$78),"Cam Phước Đông",""),IF(OR(M1512=phu!$I$79,M1512=phu!$I$80,M1512=phu!$I$81,M1512=phu!$I$82,M1512=phu!$I$83,M1512=phu!$I$84),"Cam Thịnh Đông",""),IF(OR(M1512=phu!$I$85,M1512=phu!$I$86,M1512=phu!$I$87,M1512=phu!$I$88),"Cam Thịnh Tây",""),IF(OR(M1512=phu!$I$89,M1512=phu!$I$90),"Cam Lập",""),IF(OR(M1512=phu!$I$91,M1512=phu!$I$92,M1512=phu!$I$93),"Cam Bình",""),IF(OR(M1512=phu!$I$94,M1512=phu!$I$95,M1512=phu!$I$96,M1512=phu!$I$97,M1512=phu!$I$98,M1512=phu!$I$99,M1512=phu!$I$100),"Huyện khác",""),IF(OR(M1512=phu!$I$101,M1512=phu!$I$102),"Tỉnh khác",""))</f>
        <v/>
      </c>
      <c r="O1512" s="829" t="str">
        <f t="shared" si="138"/>
        <v/>
      </c>
      <c r="P1512" s="254"/>
      <c r="Q1512" s="254"/>
      <c r="R1512" s="254"/>
      <c r="S1512" s="254"/>
      <c r="T1512" s="254"/>
      <c r="U1512" s="254"/>
      <c r="V1512" s="254"/>
      <c r="W1512" s="254"/>
      <c r="Y1512" s="246" t="str">
        <f t="shared" si="139"/>
        <v/>
      </c>
      <c r="Z1512" s="247" t="str">
        <f t="shared" si="143"/>
        <v/>
      </c>
      <c r="AA1512" s="246" t="str">
        <f t="shared" si="140"/>
        <v/>
      </c>
    </row>
    <row r="1513" spans="1:27" x14ac:dyDescent="0.25">
      <c r="A1513" s="248" t="str">
        <f t="shared" si="141"/>
        <v/>
      </c>
      <c r="B1513" s="249" t="str">
        <f t="shared" si="142"/>
        <v/>
      </c>
      <c r="C1513" s="250"/>
      <c r="D1513" s="251"/>
      <c r="E1513" s="241"/>
      <c r="F1513" s="252"/>
      <c r="G1513" s="252"/>
      <c r="H1513" s="253"/>
      <c r="I1513" s="250"/>
      <c r="J1513" s="250"/>
      <c r="K1513" s="270"/>
      <c r="L1513" s="250"/>
      <c r="M1513" s="250"/>
      <c r="N1513" s="540" t="str">
        <f>CONCATENATE(IF(OR(M1513=phu!$I$1,M1513=phu!$I$2,M1513=phu!$I$3),"Cam Thành Nam",""),IF(OR(M1513=phu!$I$4,M1513=phu!$I$5,M1513=phu!$I$6,M1513=phu!$I$7,M1513=phu!$I$8,M1513=phu!$I$9,M1513=phu!$I$10,M1513=phu!$I$11,M1513=phu!$I$12,M1513=phu!$I$13,M1513=phu!$I$14),"Cam Nghĩa",""),IF(OR(M1513=phu!$I$15,M1513=phu!$I$16,M1513=phu!$I$17,M1513=phu!$I$18,M1513=phu!$I$19,M1513=phu!$I$20,M1513=phu!$I$21),"Cam Phúc Bắc",""),IF(OR(M1513=phu!$I$22,M1513=phu!$I$23,M1513=phu!$I$24,M1513=phu!$I$25),"Cam Phúc Nam",""),IF(OR(M1513=phu!$I$26,M1513=phu!$I$27,M1513=phu!$I$28,M1513=phu!$I$29,M1513=phu!$I$30,M1513=phu!$I$31),"Cam Phú",""),IF(OR(M1513=phu!$I$32,M1513=phu!$I$33,M1513=phu!$I$34,M1513=phu!$I$35,M1513=phu!$I$36,M1513=phu!$I$37),"Cam Lộc",""),IF(OR(M1513=phu!$I$38,M1513=phu!$I$39,M1513=phu!$I$40,M1513=phu!$I$41,M1513=phu!$I$42,M1513=phu!$I$43,M1513=phu!$I$44),"Cam Thuận",""),IF(OR(M1513=phu!$I$45,M1513=phu!$I$46,M1513=phu!$I$47,M1513=phu!$I$48,M1513=phu!$I$49,M1513=phu!$I$50,M1513=phu!$I$51,M1513=phu!$I$52,M1513=phu!$I$53),"Cam Linh",""),IF(OR(M1513=phu!$I$54,M1513=phu!$I$55,M1513=phu!$I$56,M1513=phu!$I$57,M1513=phu!$I$58,M1513=phu!$I$59,M1513=phu!$I$60,M1513=phu!$I$61,M1513=phu!$I$62),"Cam Lợi",""),IF(OR(M1513=phu!$I$63,M1513=phu!$I$64,M1513=phu!$I$65,M1513=phu!$I$66,M1513=phu!$I$67,M1513=phu!$I$68,M1513=phu!$I$69,M1513=phu!$I$70,M1513=phu!$I$71),"Ba Ngòi",""),IF(OR(M1513=phu!$I$72,M1513=phu!$I$73,M1513=phu!$I$74,M1513=phu!$I$75,M1513=phu!$I$76,M1513=phu!$I$77,M1513=phu!$I$78),"Cam Phước Đông",""),IF(OR(M1513=phu!$I$79,M1513=phu!$I$80,M1513=phu!$I$81,M1513=phu!$I$82,M1513=phu!$I$83,M1513=phu!$I$84),"Cam Thịnh Đông",""),IF(OR(M1513=phu!$I$85,M1513=phu!$I$86,M1513=phu!$I$87,M1513=phu!$I$88),"Cam Thịnh Tây",""),IF(OR(M1513=phu!$I$89,M1513=phu!$I$90),"Cam Lập",""),IF(OR(M1513=phu!$I$91,M1513=phu!$I$92,M1513=phu!$I$93),"Cam Bình",""),IF(OR(M1513=phu!$I$94,M1513=phu!$I$95,M1513=phu!$I$96,M1513=phu!$I$97,M1513=phu!$I$98,M1513=phu!$I$99,M1513=phu!$I$100),"Huyện khác",""),IF(OR(M1513=phu!$I$101,M1513=phu!$I$102),"Tỉnh khác",""))</f>
        <v/>
      </c>
      <c r="O1513" s="829" t="str">
        <f t="shared" si="138"/>
        <v/>
      </c>
      <c r="P1513" s="254"/>
      <c r="Q1513" s="254"/>
      <c r="R1513" s="254"/>
      <c r="S1513" s="254"/>
      <c r="T1513" s="254"/>
      <c r="U1513" s="254"/>
      <c r="V1513" s="254"/>
      <c r="W1513" s="254"/>
      <c r="Y1513" s="246" t="str">
        <f t="shared" si="139"/>
        <v/>
      </c>
      <c r="Z1513" s="247" t="str">
        <f t="shared" si="143"/>
        <v/>
      </c>
      <c r="AA1513" s="246" t="str">
        <f t="shared" si="140"/>
        <v/>
      </c>
    </row>
    <row r="1514" spans="1:27" x14ac:dyDescent="0.25">
      <c r="A1514" s="248" t="str">
        <f t="shared" si="141"/>
        <v/>
      </c>
      <c r="B1514" s="249" t="str">
        <f t="shared" si="142"/>
        <v/>
      </c>
      <c r="C1514" s="250"/>
      <c r="D1514" s="251"/>
      <c r="E1514" s="241"/>
      <c r="F1514" s="252"/>
      <c r="G1514" s="252"/>
      <c r="H1514" s="253"/>
      <c r="I1514" s="250"/>
      <c r="J1514" s="250"/>
      <c r="K1514" s="270"/>
      <c r="L1514" s="250"/>
      <c r="M1514" s="250"/>
      <c r="N1514" s="540" t="str">
        <f>CONCATENATE(IF(OR(M1514=phu!$I$1,M1514=phu!$I$2,M1514=phu!$I$3),"Cam Thành Nam",""),IF(OR(M1514=phu!$I$4,M1514=phu!$I$5,M1514=phu!$I$6,M1514=phu!$I$7,M1514=phu!$I$8,M1514=phu!$I$9,M1514=phu!$I$10,M1514=phu!$I$11,M1514=phu!$I$12,M1514=phu!$I$13,M1514=phu!$I$14),"Cam Nghĩa",""),IF(OR(M1514=phu!$I$15,M1514=phu!$I$16,M1514=phu!$I$17,M1514=phu!$I$18,M1514=phu!$I$19,M1514=phu!$I$20,M1514=phu!$I$21),"Cam Phúc Bắc",""),IF(OR(M1514=phu!$I$22,M1514=phu!$I$23,M1514=phu!$I$24,M1514=phu!$I$25),"Cam Phúc Nam",""),IF(OR(M1514=phu!$I$26,M1514=phu!$I$27,M1514=phu!$I$28,M1514=phu!$I$29,M1514=phu!$I$30,M1514=phu!$I$31),"Cam Phú",""),IF(OR(M1514=phu!$I$32,M1514=phu!$I$33,M1514=phu!$I$34,M1514=phu!$I$35,M1514=phu!$I$36,M1514=phu!$I$37),"Cam Lộc",""),IF(OR(M1514=phu!$I$38,M1514=phu!$I$39,M1514=phu!$I$40,M1514=phu!$I$41,M1514=phu!$I$42,M1514=phu!$I$43,M1514=phu!$I$44),"Cam Thuận",""),IF(OR(M1514=phu!$I$45,M1514=phu!$I$46,M1514=phu!$I$47,M1514=phu!$I$48,M1514=phu!$I$49,M1514=phu!$I$50,M1514=phu!$I$51,M1514=phu!$I$52,M1514=phu!$I$53),"Cam Linh",""),IF(OR(M1514=phu!$I$54,M1514=phu!$I$55,M1514=phu!$I$56,M1514=phu!$I$57,M1514=phu!$I$58,M1514=phu!$I$59,M1514=phu!$I$60,M1514=phu!$I$61,M1514=phu!$I$62),"Cam Lợi",""),IF(OR(M1514=phu!$I$63,M1514=phu!$I$64,M1514=phu!$I$65,M1514=phu!$I$66,M1514=phu!$I$67,M1514=phu!$I$68,M1514=phu!$I$69,M1514=phu!$I$70,M1514=phu!$I$71),"Ba Ngòi",""),IF(OR(M1514=phu!$I$72,M1514=phu!$I$73,M1514=phu!$I$74,M1514=phu!$I$75,M1514=phu!$I$76,M1514=phu!$I$77,M1514=phu!$I$78),"Cam Phước Đông",""),IF(OR(M1514=phu!$I$79,M1514=phu!$I$80,M1514=phu!$I$81,M1514=phu!$I$82,M1514=phu!$I$83,M1514=phu!$I$84),"Cam Thịnh Đông",""),IF(OR(M1514=phu!$I$85,M1514=phu!$I$86,M1514=phu!$I$87,M1514=phu!$I$88),"Cam Thịnh Tây",""),IF(OR(M1514=phu!$I$89,M1514=phu!$I$90),"Cam Lập",""),IF(OR(M1514=phu!$I$91,M1514=phu!$I$92,M1514=phu!$I$93),"Cam Bình",""),IF(OR(M1514=phu!$I$94,M1514=phu!$I$95,M1514=phu!$I$96,M1514=phu!$I$97,M1514=phu!$I$98,M1514=phu!$I$99,M1514=phu!$I$100),"Huyện khác",""),IF(OR(M1514=phu!$I$101,M1514=phu!$I$102),"Tỉnh khác",""))</f>
        <v/>
      </c>
      <c r="O1514" s="829" t="str">
        <f t="shared" si="138"/>
        <v/>
      </c>
      <c r="P1514" s="254"/>
      <c r="Q1514" s="254"/>
      <c r="R1514" s="254"/>
      <c r="S1514" s="254"/>
      <c r="T1514" s="254"/>
      <c r="U1514" s="254"/>
      <c r="V1514" s="254"/>
      <c r="W1514" s="254"/>
      <c r="Y1514" s="246" t="str">
        <f t="shared" si="139"/>
        <v/>
      </c>
      <c r="Z1514" s="247" t="str">
        <f t="shared" si="143"/>
        <v/>
      </c>
      <c r="AA1514" s="246" t="str">
        <f t="shared" si="140"/>
        <v/>
      </c>
    </row>
    <row r="1515" spans="1:27" x14ac:dyDescent="0.25">
      <c r="A1515" s="248" t="str">
        <f t="shared" si="141"/>
        <v/>
      </c>
      <c r="B1515" s="249" t="str">
        <f t="shared" si="142"/>
        <v/>
      </c>
      <c r="C1515" s="250"/>
      <c r="D1515" s="251"/>
      <c r="E1515" s="241"/>
      <c r="F1515" s="252"/>
      <c r="G1515" s="252"/>
      <c r="H1515" s="253"/>
      <c r="I1515" s="250"/>
      <c r="J1515" s="250"/>
      <c r="K1515" s="270"/>
      <c r="L1515" s="250"/>
      <c r="M1515" s="250"/>
      <c r="N1515" s="540" t="str">
        <f>CONCATENATE(IF(OR(M1515=phu!$I$1,M1515=phu!$I$2,M1515=phu!$I$3),"Cam Thành Nam",""),IF(OR(M1515=phu!$I$4,M1515=phu!$I$5,M1515=phu!$I$6,M1515=phu!$I$7,M1515=phu!$I$8,M1515=phu!$I$9,M1515=phu!$I$10,M1515=phu!$I$11,M1515=phu!$I$12,M1515=phu!$I$13,M1515=phu!$I$14),"Cam Nghĩa",""),IF(OR(M1515=phu!$I$15,M1515=phu!$I$16,M1515=phu!$I$17,M1515=phu!$I$18,M1515=phu!$I$19,M1515=phu!$I$20,M1515=phu!$I$21),"Cam Phúc Bắc",""),IF(OR(M1515=phu!$I$22,M1515=phu!$I$23,M1515=phu!$I$24,M1515=phu!$I$25),"Cam Phúc Nam",""),IF(OR(M1515=phu!$I$26,M1515=phu!$I$27,M1515=phu!$I$28,M1515=phu!$I$29,M1515=phu!$I$30,M1515=phu!$I$31),"Cam Phú",""),IF(OR(M1515=phu!$I$32,M1515=phu!$I$33,M1515=phu!$I$34,M1515=phu!$I$35,M1515=phu!$I$36,M1515=phu!$I$37),"Cam Lộc",""),IF(OR(M1515=phu!$I$38,M1515=phu!$I$39,M1515=phu!$I$40,M1515=phu!$I$41,M1515=phu!$I$42,M1515=phu!$I$43,M1515=phu!$I$44),"Cam Thuận",""),IF(OR(M1515=phu!$I$45,M1515=phu!$I$46,M1515=phu!$I$47,M1515=phu!$I$48,M1515=phu!$I$49,M1515=phu!$I$50,M1515=phu!$I$51,M1515=phu!$I$52,M1515=phu!$I$53),"Cam Linh",""),IF(OR(M1515=phu!$I$54,M1515=phu!$I$55,M1515=phu!$I$56,M1515=phu!$I$57,M1515=phu!$I$58,M1515=phu!$I$59,M1515=phu!$I$60,M1515=phu!$I$61,M1515=phu!$I$62),"Cam Lợi",""),IF(OR(M1515=phu!$I$63,M1515=phu!$I$64,M1515=phu!$I$65,M1515=phu!$I$66,M1515=phu!$I$67,M1515=phu!$I$68,M1515=phu!$I$69,M1515=phu!$I$70,M1515=phu!$I$71),"Ba Ngòi",""),IF(OR(M1515=phu!$I$72,M1515=phu!$I$73,M1515=phu!$I$74,M1515=phu!$I$75,M1515=phu!$I$76,M1515=phu!$I$77,M1515=phu!$I$78),"Cam Phước Đông",""),IF(OR(M1515=phu!$I$79,M1515=phu!$I$80,M1515=phu!$I$81,M1515=phu!$I$82,M1515=phu!$I$83,M1515=phu!$I$84),"Cam Thịnh Đông",""),IF(OR(M1515=phu!$I$85,M1515=phu!$I$86,M1515=phu!$I$87,M1515=phu!$I$88),"Cam Thịnh Tây",""),IF(OR(M1515=phu!$I$89,M1515=phu!$I$90),"Cam Lập",""),IF(OR(M1515=phu!$I$91,M1515=phu!$I$92,M1515=phu!$I$93),"Cam Bình",""),IF(OR(M1515=phu!$I$94,M1515=phu!$I$95,M1515=phu!$I$96,M1515=phu!$I$97,M1515=phu!$I$98,M1515=phu!$I$99,M1515=phu!$I$100),"Huyện khác",""),IF(OR(M1515=phu!$I$101,M1515=phu!$I$102),"Tỉnh khác",""))</f>
        <v/>
      </c>
      <c r="O1515" s="829" t="str">
        <f t="shared" si="138"/>
        <v/>
      </c>
      <c r="P1515" s="254"/>
      <c r="Q1515" s="254"/>
      <c r="R1515" s="254"/>
      <c r="S1515" s="254"/>
      <c r="T1515" s="254"/>
      <c r="U1515" s="254"/>
      <c r="V1515" s="254"/>
      <c r="W1515" s="254"/>
      <c r="Y1515" s="246" t="str">
        <f t="shared" si="139"/>
        <v/>
      </c>
      <c r="Z1515" s="247" t="str">
        <f t="shared" si="143"/>
        <v/>
      </c>
      <c r="AA1515" s="246" t="str">
        <f t="shared" si="140"/>
        <v/>
      </c>
    </row>
    <row r="1516" spans="1:27" x14ac:dyDescent="0.25">
      <c r="A1516" s="248" t="str">
        <f t="shared" si="141"/>
        <v/>
      </c>
      <c r="B1516" s="249" t="str">
        <f t="shared" si="142"/>
        <v/>
      </c>
      <c r="C1516" s="250"/>
      <c r="D1516" s="251"/>
      <c r="E1516" s="241"/>
      <c r="F1516" s="252"/>
      <c r="G1516" s="252"/>
      <c r="H1516" s="253"/>
      <c r="I1516" s="250"/>
      <c r="J1516" s="250"/>
      <c r="K1516" s="270"/>
      <c r="L1516" s="250"/>
      <c r="M1516" s="250"/>
      <c r="N1516" s="540" t="str">
        <f>CONCATENATE(IF(OR(M1516=phu!$I$1,M1516=phu!$I$2,M1516=phu!$I$3),"Cam Thành Nam",""),IF(OR(M1516=phu!$I$4,M1516=phu!$I$5,M1516=phu!$I$6,M1516=phu!$I$7,M1516=phu!$I$8,M1516=phu!$I$9,M1516=phu!$I$10,M1516=phu!$I$11,M1516=phu!$I$12,M1516=phu!$I$13,M1516=phu!$I$14),"Cam Nghĩa",""),IF(OR(M1516=phu!$I$15,M1516=phu!$I$16,M1516=phu!$I$17,M1516=phu!$I$18,M1516=phu!$I$19,M1516=phu!$I$20,M1516=phu!$I$21),"Cam Phúc Bắc",""),IF(OR(M1516=phu!$I$22,M1516=phu!$I$23,M1516=phu!$I$24,M1516=phu!$I$25),"Cam Phúc Nam",""),IF(OR(M1516=phu!$I$26,M1516=phu!$I$27,M1516=phu!$I$28,M1516=phu!$I$29,M1516=phu!$I$30,M1516=phu!$I$31),"Cam Phú",""),IF(OR(M1516=phu!$I$32,M1516=phu!$I$33,M1516=phu!$I$34,M1516=phu!$I$35,M1516=phu!$I$36,M1516=phu!$I$37),"Cam Lộc",""),IF(OR(M1516=phu!$I$38,M1516=phu!$I$39,M1516=phu!$I$40,M1516=phu!$I$41,M1516=phu!$I$42,M1516=phu!$I$43,M1516=phu!$I$44),"Cam Thuận",""),IF(OR(M1516=phu!$I$45,M1516=phu!$I$46,M1516=phu!$I$47,M1516=phu!$I$48,M1516=phu!$I$49,M1516=phu!$I$50,M1516=phu!$I$51,M1516=phu!$I$52,M1516=phu!$I$53),"Cam Linh",""),IF(OR(M1516=phu!$I$54,M1516=phu!$I$55,M1516=phu!$I$56,M1516=phu!$I$57,M1516=phu!$I$58,M1516=phu!$I$59,M1516=phu!$I$60,M1516=phu!$I$61,M1516=phu!$I$62),"Cam Lợi",""),IF(OR(M1516=phu!$I$63,M1516=phu!$I$64,M1516=phu!$I$65,M1516=phu!$I$66,M1516=phu!$I$67,M1516=phu!$I$68,M1516=phu!$I$69,M1516=phu!$I$70,M1516=phu!$I$71),"Ba Ngòi",""),IF(OR(M1516=phu!$I$72,M1516=phu!$I$73,M1516=phu!$I$74,M1516=phu!$I$75,M1516=phu!$I$76,M1516=phu!$I$77,M1516=phu!$I$78),"Cam Phước Đông",""),IF(OR(M1516=phu!$I$79,M1516=phu!$I$80,M1516=phu!$I$81,M1516=phu!$I$82,M1516=phu!$I$83,M1516=phu!$I$84),"Cam Thịnh Đông",""),IF(OR(M1516=phu!$I$85,M1516=phu!$I$86,M1516=phu!$I$87,M1516=phu!$I$88),"Cam Thịnh Tây",""),IF(OR(M1516=phu!$I$89,M1516=phu!$I$90),"Cam Lập",""),IF(OR(M1516=phu!$I$91,M1516=phu!$I$92,M1516=phu!$I$93),"Cam Bình",""),IF(OR(M1516=phu!$I$94,M1516=phu!$I$95,M1516=phu!$I$96,M1516=phu!$I$97,M1516=phu!$I$98,M1516=phu!$I$99,M1516=phu!$I$100),"Huyện khác",""),IF(OR(M1516=phu!$I$101,M1516=phu!$I$102),"Tỉnh khác",""))</f>
        <v/>
      </c>
      <c r="O1516" s="829" t="str">
        <f t="shared" si="138"/>
        <v/>
      </c>
      <c r="P1516" s="254"/>
      <c r="Q1516" s="254"/>
      <c r="R1516" s="254"/>
      <c r="S1516" s="254"/>
      <c r="T1516" s="254"/>
      <c r="U1516" s="254"/>
      <c r="V1516" s="254"/>
      <c r="W1516" s="254"/>
      <c r="Y1516" s="246" t="str">
        <f t="shared" si="139"/>
        <v/>
      </c>
      <c r="Z1516" s="247" t="str">
        <f t="shared" si="143"/>
        <v/>
      </c>
      <c r="AA1516" s="246" t="str">
        <f t="shared" si="140"/>
        <v/>
      </c>
    </row>
    <row r="1517" spans="1:27" x14ac:dyDescent="0.25">
      <c r="A1517" s="248" t="str">
        <f t="shared" si="141"/>
        <v/>
      </c>
      <c r="B1517" s="249" t="str">
        <f t="shared" si="142"/>
        <v/>
      </c>
      <c r="C1517" s="250"/>
      <c r="D1517" s="251"/>
      <c r="E1517" s="241"/>
      <c r="F1517" s="252"/>
      <c r="G1517" s="252"/>
      <c r="H1517" s="253"/>
      <c r="I1517" s="250"/>
      <c r="J1517" s="250"/>
      <c r="K1517" s="270"/>
      <c r="L1517" s="250"/>
      <c r="M1517" s="250"/>
      <c r="N1517" s="540" t="str">
        <f>CONCATENATE(IF(OR(M1517=phu!$I$1,M1517=phu!$I$2,M1517=phu!$I$3),"Cam Thành Nam",""),IF(OR(M1517=phu!$I$4,M1517=phu!$I$5,M1517=phu!$I$6,M1517=phu!$I$7,M1517=phu!$I$8,M1517=phu!$I$9,M1517=phu!$I$10,M1517=phu!$I$11,M1517=phu!$I$12,M1517=phu!$I$13,M1517=phu!$I$14),"Cam Nghĩa",""),IF(OR(M1517=phu!$I$15,M1517=phu!$I$16,M1517=phu!$I$17,M1517=phu!$I$18,M1517=phu!$I$19,M1517=phu!$I$20,M1517=phu!$I$21),"Cam Phúc Bắc",""),IF(OR(M1517=phu!$I$22,M1517=phu!$I$23,M1517=phu!$I$24,M1517=phu!$I$25),"Cam Phúc Nam",""),IF(OR(M1517=phu!$I$26,M1517=phu!$I$27,M1517=phu!$I$28,M1517=phu!$I$29,M1517=phu!$I$30,M1517=phu!$I$31),"Cam Phú",""),IF(OR(M1517=phu!$I$32,M1517=phu!$I$33,M1517=phu!$I$34,M1517=phu!$I$35,M1517=phu!$I$36,M1517=phu!$I$37),"Cam Lộc",""),IF(OR(M1517=phu!$I$38,M1517=phu!$I$39,M1517=phu!$I$40,M1517=phu!$I$41,M1517=phu!$I$42,M1517=phu!$I$43,M1517=phu!$I$44),"Cam Thuận",""),IF(OR(M1517=phu!$I$45,M1517=phu!$I$46,M1517=phu!$I$47,M1517=phu!$I$48,M1517=phu!$I$49,M1517=phu!$I$50,M1517=phu!$I$51,M1517=phu!$I$52,M1517=phu!$I$53),"Cam Linh",""),IF(OR(M1517=phu!$I$54,M1517=phu!$I$55,M1517=phu!$I$56,M1517=phu!$I$57,M1517=phu!$I$58,M1517=phu!$I$59,M1517=phu!$I$60,M1517=phu!$I$61,M1517=phu!$I$62),"Cam Lợi",""),IF(OR(M1517=phu!$I$63,M1517=phu!$I$64,M1517=phu!$I$65,M1517=phu!$I$66,M1517=phu!$I$67,M1517=phu!$I$68,M1517=phu!$I$69,M1517=phu!$I$70,M1517=phu!$I$71),"Ba Ngòi",""),IF(OR(M1517=phu!$I$72,M1517=phu!$I$73,M1517=phu!$I$74,M1517=phu!$I$75,M1517=phu!$I$76,M1517=phu!$I$77,M1517=phu!$I$78),"Cam Phước Đông",""),IF(OR(M1517=phu!$I$79,M1517=phu!$I$80,M1517=phu!$I$81,M1517=phu!$I$82,M1517=phu!$I$83,M1517=phu!$I$84),"Cam Thịnh Đông",""),IF(OR(M1517=phu!$I$85,M1517=phu!$I$86,M1517=phu!$I$87,M1517=phu!$I$88),"Cam Thịnh Tây",""),IF(OR(M1517=phu!$I$89,M1517=phu!$I$90),"Cam Lập",""),IF(OR(M1517=phu!$I$91,M1517=phu!$I$92,M1517=phu!$I$93),"Cam Bình",""),IF(OR(M1517=phu!$I$94,M1517=phu!$I$95,M1517=phu!$I$96,M1517=phu!$I$97,M1517=phu!$I$98,M1517=phu!$I$99,M1517=phu!$I$100),"Huyện khác",""),IF(OR(M1517=phu!$I$101,M1517=phu!$I$102),"Tỉnh khác",""))</f>
        <v/>
      </c>
      <c r="O1517" s="829" t="str">
        <f t="shared" si="138"/>
        <v/>
      </c>
      <c r="P1517" s="254"/>
      <c r="Q1517" s="254"/>
      <c r="R1517" s="254"/>
      <c r="S1517" s="254"/>
      <c r="T1517" s="254"/>
      <c r="U1517" s="254"/>
      <c r="V1517" s="254"/>
      <c r="W1517" s="254"/>
      <c r="Y1517" s="246" t="str">
        <f t="shared" si="139"/>
        <v/>
      </c>
      <c r="Z1517" s="247" t="str">
        <f t="shared" si="143"/>
        <v/>
      </c>
      <c r="AA1517" s="246" t="str">
        <f t="shared" si="140"/>
        <v/>
      </c>
    </row>
    <row r="1518" spans="1:27" x14ac:dyDescent="0.25">
      <c r="A1518" s="248" t="str">
        <f t="shared" si="141"/>
        <v/>
      </c>
      <c r="B1518" s="249" t="str">
        <f t="shared" si="142"/>
        <v/>
      </c>
      <c r="C1518" s="250"/>
      <c r="D1518" s="251"/>
      <c r="E1518" s="241"/>
      <c r="F1518" s="252"/>
      <c r="G1518" s="252"/>
      <c r="H1518" s="253"/>
      <c r="I1518" s="250"/>
      <c r="J1518" s="250"/>
      <c r="K1518" s="270"/>
      <c r="L1518" s="250"/>
      <c r="M1518" s="250"/>
      <c r="N1518" s="540" t="str">
        <f>CONCATENATE(IF(OR(M1518=phu!$I$1,M1518=phu!$I$2,M1518=phu!$I$3),"Cam Thành Nam",""),IF(OR(M1518=phu!$I$4,M1518=phu!$I$5,M1518=phu!$I$6,M1518=phu!$I$7,M1518=phu!$I$8,M1518=phu!$I$9,M1518=phu!$I$10,M1518=phu!$I$11,M1518=phu!$I$12,M1518=phu!$I$13,M1518=phu!$I$14),"Cam Nghĩa",""),IF(OR(M1518=phu!$I$15,M1518=phu!$I$16,M1518=phu!$I$17,M1518=phu!$I$18,M1518=phu!$I$19,M1518=phu!$I$20,M1518=phu!$I$21),"Cam Phúc Bắc",""),IF(OR(M1518=phu!$I$22,M1518=phu!$I$23,M1518=phu!$I$24,M1518=phu!$I$25),"Cam Phúc Nam",""),IF(OR(M1518=phu!$I$26,M1518=phu!$I$27,M1518=phu!$I$28,M1518=phu!$I$29,M1518=phu!$I$30,M1518=phu!$I$31),"Cam Phú",""),IF(OR(M1518=phu!$I$32,M1518=phu!$I$33,M1518=phu!$I$34,M1518=phu!$I$35,M1518=phu!$I$36,M1518=phu!$I$37),"Cam Lộc",""),IF(OR(M1518=phu!$I$38,M1518=phu!$I$39,M1518=phu!$I$40,M1518=phu!$I$41,M1518=phu!$I$42,M1518=phu!$I$43,M1518=phu!$I$44),"Cam Thuận",""),IF(OR(M1518=phu!$I$45,M1518=phu!$I$46,M1518=phu!$I$47,M1518=phu!$I$48,M1518=phu!$I$49,M1518=phu!$I$50,M1518=phu!$I$51,M1518=phu!$I$52,M1518=phu!$I$53),"Cam Linh",""),IF(OR(M1518=phu!$I$54,M1518=phu!$I$55,M1518=phu!$I$56,M1518=phu!$I$57,M1518=phu!$I$58,M1518=phu!$I$59,M1518=phu!$I$60,M1518=phu!$I$61,M1518=phu!$I$62),"Cam Lợi",""),IF(OR(M1518=phu!$I$63,M1518=phu!$I$64,M1518=phu!$I$65,M1518=phu!$I$66,M1518=phu!$I$67,M1518=phu!$I$68,M1518=phu!$I$69,M1518=phu!$I$70,M1518=phu!$I$71),"Ba Ngòi",""),IF(OR(M1518=phu!$I$72,M1518=phu!$I$73,M1518=phu!$I$74,M1518=phu!$I$75,M1518=phu!$I$76,M1518=phu!$I$77,M1518=phu!$I$78),"Cam Phước Đông",""),IF(OR(M1518=phu!$I$79,M1518=phu!$I$80,M1518=phu!$I$81,M1518=phu!$I$82,M1518=phu!$I$83,M1518=phu!$I$84),"Cam Thịnh Đông",""),IF(OR(M1518=phu!$I$85,M1518=phu!$I$86,M1518=phu!$I$87,M1518=phu!$I$88),"Cam Thịnh Tây",""),IF(OR(M1518=phu!$I$89,M1518=phu!$I$90),"Cam Lập",""),IF(OR(M1518=phu!$I$91,M1518=phu!$I$92,M1518=phu!$I$93),"Cam Bình",""),IF(OR(M1518=phu!$I$94,M1518=phu!$I$95,M1518=phu!$I$96,M1518=phu!$I$97,M1518=phu!$I$98,M1518=phu!$I$99,M1518=phu!$I$100),"Huyện khác",""),IF(OR(M1518=phu!$I$101,M1518=phu!$I$102),"Tỉnh khác",""))</f>
        <v/>
      </c>
      <c r="O1518" s="829" t="str">
        <f t="shared" si="138"/>
        <v/>
      </c>
      <c r="P1518" s="254"/>
      <c r="Q1518" s="254"/>
      <c r="R1518" s="254"/>
      <c r="S1518" s="254"/>
      <c r="T1518" s="254"/>
      <c r="U1518" s="254"/>
      <c r="V1518" s="254"/>
      <c r="W1518" s="254"/>
      <c r="Y1518" s="246" t="str">
        <f t="shared" si="139"/>
        <v/>
      </c>
      <c r="Z1518" s="247" t="str">
        <f t="shared" si="143"/>
        <v/>
      </c>
      <c r="AA1518" s="246" t="str">
        <f t="shared" si="140"/>
        <v/>
      </c>
    </row>
    <row r="1519" spans="1:27" x14ac:dyDescent="0.25">
      <c r="A1519" s="248" t="str">
        <f t="shared" si="141"/>
        <v/>
      </c>
      <c r="B1519" s="249" t="str">
        <f t="shared" si="142"/>
        <v/>
      </c>
      <c r="C1519" s="250"/>
      <c r="D1519" s="251"/>
      <c r="E1519" s="241"/>
      <c r="F1519" s="252"/>
      <c r="G1519" s="252"/>
      <c r="H1519" s="253"/>
      <c r="I1519" s="250"/>
      <c r="J1519" s="250"/>
      <c r="K1519" s="270"/>
      <c r="L1519" s="250"/>
      <c r="M1519" s="250"/>
      <c r="N1519" s="540" t="str">
        <f>CONCATENATE(IF(OR(M1519=phu!$I$1,M1519=phu!$I$2,M1519=phu!$I$3),"Cam Thành Nam",""),IF(OR(M1519=phu!$I$4,M1519=phu!$I$5,M1519=phu!$I$6,M1519=phu!$I$7,M1519=phu!$I$8,M1519=phu!$I$9,M1519=phu!$I$10,M1519=phu!$I$11,M1519=phu!$I$12,M1519=phu!$I$13,M1519=phu!$I$14),"Cam Nghĩa",""),IF(OR(M1519=phu!$I$15,M1519=phu!$I$16,M1519=phu!$I$17,M1519=phu!$I$18,M1519=phu!$I$19,M1519=phu!$I$20,M1519=phu!$I$21),"Cam Phúc Bắc",""),IF(OR(M1519=phu!$I$22,M1519=phu!$I$23,M1519=phu!$I$24,M1519=phu!$I$25),"Cam Phúc Nam",""),IF(OR(M1519=phu!$I$26,M1519=phu!$I$27,M1519=phu!$I$28,M1519=phu!$I$29,M1519=phu!$I$30,M1519=phu!$I$31),"Cam Phú",""),IF(OR(M1519=phu!$I$32,M1519=phu!$I$33,M1519=phu!$I$34,M1519=phu!$I$35,M1519=phu!$I$36,M1519=phu!$I$37),"Cam Lộc",""),IF(OR(M1519=phu!$I$38,M1519=phu!$I$39,M1519=phu!$I$40,M1519=phu!$I$41,M1519=phu!$I$42,M1519=phu!$I$43,M1519=phu!$I$44),"Cam Thuận",""),IF(OR(M1519=phu!$I$45,M1519=phu!$I$46,M1519=phu!$I$47,M1519=phu!$I$48,M1519=phu!$I$49,M1519=phu!$I$50,M1519=phu!$I$51,M1519=phu!$I$52,M1519=phu!$I$53),"Cam Linh",""),IF(OR(M1519=phu!$I$54,M1519=phu!$I$55,M1519=phu!$I$56,M1519=phu!$I$57,M1519=phu!$I$58,M1519=phu!$I$59,M1519=phu!$I$60,M1519=phu!$I$61,M1519=phu!$I$62),"Cam Lợi",""),IF(OR(M1519=phu!$I$63,M1519=phu!$I$64,M1519=phu!$I$65,M1519=phu!$I$66,M1519=phu!$I$67,M1519=phu!$I$68,M1519=phu!$I$69,M1519=phu!$I$70,M1519=phu!$I$71),"Ba Ngòi",""),IF(OR(M1519=phu!$I$72,M1519=phu!$I$73,M1519=phu!$I$74,M1519=phu!$I$75,M1519=phu!$I$76,M1519=phu!$I$77,M1519=phu!$I$78),"Cam Phước Đông",""),IF(OR(M1519=phu!$I$79,M1519=phu!$I$80,M1519=phu!$I$81,M1519=phu!$I$82,M1519=phu!$I$83,M1519=phu!$I$84),"Cam Thịnh Đông",""),IF(OR(M1519=phu!$I$85,M1519=phu!$I$86,M1519=phu!$I$87,M1519=phu!$I$88),"Cam Thịnh Tây",""),IF(OR(M1519=phu!$I$89,M1519=phu!$I$90),"Cam Lập",""),IF(OR(M1519=phu!$I$91,M1519=phu!$I$92,M1519=phu!$I$93),"Cam Bình",""),IF(OR(M1519=phu!$I$94,M1519=phu!$I$95,M1519=phu!$I$96,M1519=phu!$I$97,M1519=phu!$I$98,M1519=phu!$I$99,M1519=phu!$I$100),"Huyện khác",""),IF(OR(M1519=phu!$I$101,M1519=phu!$I$102),"Tỉnh khác",""))</f>
        <v/>
      </c>
      <c r="O1519" s="829" t="str">
        <f t="shared" si="138"/>
        <v/>
      </c>
      <c r="P1519" s="254"/>
      <c r="Q1519" s="254"/>
      <c r="R1519" s="254"/>
      <c r="S1519" s="254"/>
      <c r="T1519" s="254"/>
      <c r="U1519" s="254"/>
      <c r="V1519" s="254"/>
      <c r="W1519" s="254"/>
      <c r="Y1519" s="246" t="str">
        <f t="shared" si="139"/>
        <v/>
      </c>
      <c r="Z1519" s="247" t="str">
        <f t="shared" si="143"/>
        <v/>
      </c>
      <c r="AA1519" s="246" t="str">
        <f t="shared" si="140"/>
        <v/>
      </c>
    </row>
    <row r="1520" spans="1:27" x14ac:dyDescent="0.25">
      <c r="A1520" s="248" t="str">
        <f t="shared" si="141"/>
        <v/>
      </c>
      <c r="B1520" s="249" t="str">
        <f t="shared" si="142"/>
        <v/>
      </c>
      <c r="C1520" s="250"/>
      <c r="D1520" s="251"/>
      <c r="E1520" s="241"/>
      <c r="F1520" s="252"/>
      <c r="G1520" s="252"/>
      <c r="H1520" s="253"/>
      <c r="I1520" s="250"/>
      <c r="J1520" s="250"/>
      <c r="K1520" s="270"/>
      <c r="L1520" s="250"/>
      <c r="M1520" s="250"/>
      <c r="N1520" s="540" t="str">
        <f>CONCATENATE(IF(OR(M1520=phu!$I$1,M1520=phu!$I$2,M1520=phu!$I$3),"Cam Thành Nam",""),IF(OR(M1520=phu!$I$4,M1520=phu!$I$5,M1520=phu!$I$6,M1520=phu!$I$7,M1520=phu!$I$8,M1520=phu!$I$9,M1520=phu!$I$10,M1520=phu!$I$11,M1520=phu!$I$12,M1520=phu!$I$13,M1520=phu!$I$14),"Cam Nghĩa",""),IF(OR(M1520=phu!$I$15,M1520=phu!$I$16,M1520=phu!$I$17,M1520=phu!$I$18,M1520=phu!$I$19,M1520=phu!$I$20,M1520=phu!$I$21),"Cam Phúc Bắc",""),IF(OR(M1520=phu!$I$22,M1520=phu!$I$23,M1520=phu!$I$24,M1520=phu!$I$25),"Cam Phúc Nam",""),IF(OR(M1520=phu!$I$26,M1520=phu!$I$27,M1520=phu!$I$28,M1520=phu!$I$29,M1520=phu!$I$30,M1520=phu!$I$31),"Cam Phú",""),IF(OR(M1520=phu!$I$32,M1520=phu!$I$33,M1520=phu!$I$34,M1520=phu!$I$35,M1520=phu!$I$36,M1520=phu!$I$37),"Cam Lộc",""),IF(OR(M1520=phu!$I$38,M1520=phu!$I$39,M1520=phu!$I$40,M1520=phu!$I$41,M1520=phu!$I$42,M1520=phu!$I$43,M1520=phu!$I$44),"Cam Thuận",""),IF(OR(M1520=phu!$I$45,M1520=phu!$I$46,M1520=phu!$I$47,M1520=phu!$I$48,M1520=phu!$I$49,M1520=phu!$I$50,M1520=phu!$I$51,M1520=phu!$I$52,M1520=phu!$I$53),"Cam Linh",""),IF(OR(M1520=phu!$I$54,M1520=phu!$I$55,M1520=phu!$I$56,M1520=phu!$I$57,M1520=phu!$I$58,M1520=phu!$I$59,M1520=phu!$I$60,M1520=phu!$I$61,M1520=phu!$I$62),"Cam Lợi",""),IF(OR(M1520=phu!$I$63,M1520=phu!$I$64,M1520=phu!$I$65,M1520=phu!$I$66,M1520=phu!$I$67,M1520=phu!$I$68,M1520=phu!$I$69,M1520=phu!$I$70,M1520=phu!$I$71),"Ba Ngòi",""),IF(OR(M1520=phu!$I$72,M1520=phu!$I$73,M1520=phu!$I$74,M1520=phu!$I$75,M1520=phu!$I$76,M1520=phu!$I$77,M1520=phu!$I$78),"Cam Phước Đông",""),IF(OR(M1520=phu!$I$79,M1520=phu!$I$80,M1520=phu!$I$81,M1520=phu!$I$82,M1520=phu!$I$83,M1520=phu!$I$84),"Cam Thịnh Đông",""),IF(OR(M1520=phu!$I$85,M1520=phu!$I$86,M1520=phu!$I$87,M1520=phu!$I$88),"Cam Thịnh Tây",""),IF(OR(M1520=phu!$I$89,M1520=phu!$I$90),"Cam Lập",""),IF(OR(M1520=phu!$I$91,M1520=phu!$I$92,M1520=phu!$I$93),"Cam Bình",""),IF(OR(M1520=phu!$I$94,M1520=phu!$I$95,M1520=phu!$I$96,M1520=phu!$I$97,M1520=phu!$I$98,M1520=phu!$I$99,M1520=phu!$I$100),"Huyện khác",""),IF(OR(M1520=phu!$I$101,M1520=phu!$I$102),"Tỉnh khác",""))</f>
        <v/>
      </c>
      <c r="O1520" s="829" t="str">
        <f t="shared" si="138"/>
        <v/>
      </c>
      <c r="P1520" s="254"/>
      <c r="Q1520" s="254"/>
      <c r="R1520" s="254"/>
      <c r="S1520" s="254"/>
      <c r="T1520" s="254"/>
      <c r="U1520" s="254"/>
      <c r="V1520" s="254"/>
      <c r="W1520" s="254"/>
      <c r="Y1520" s="246" t="str">
        <f t="shared" si="139"/>
        <v/>
      </c>
      <c r="Z1520" s="247" t="str">
        <f t="shared" si="143"/>
        <v/>
      </c>
      <c r="AA1520" s="246" t="str">
        <f t="shared" si="140"/>
        <v/>
      </c>
    </row>
    <row r="1521" spans="1:27" x14ac:dyDescent="0.25">
      <c r="A1521" s="248" t="str">
        <f t="shared" si="141"/>
        <v/>
      </c>
      <c r="B1521" s="249" t="str">
        <f t="shared" si="142"/>
        <v/>
      </c>
      <c r="C1521" s="250"/>
      <c r="D1521" s="251"/>
      <c r="E1521" s="241"/>
      <c r="F1521" s="252"/>
      <c r="G1521" s="252"/>
      <c r="H1521" s="253"/>
      <c r="I1521" s="250"/>
      <c r="J1521" s="250"/>
      <c r="K1521" s="270"/>
      <c r="L1521" s="250"/>
      <c r="M1521" s="250"/>
      <c r="N1521" s="540" t="str">
        <f>CONCATENATE(IF(OR(M1521=phu!$I$1,M1521=phu!$I$2,M1521=phu!$I$3),"Cam Thành Nam",""),IF(OR(M1521=phu!$I$4,M1521=phu!$I$5,M1521=phu!$I$6,M1521=phu!$I$7,M1521=phu!$I$8,M1521=phu!$I$9,M1521=phu!$I$10,M1521=phu!$I$11,M1521=phu!$I$12,M1521=phu!$I$13,M1521=phu!$I$14),"Cam Nghĩa",""),IF(OR(M1521=phu!$I$15,M1521=phu!$I$16,M1521=phu!$I$17,M1521=phu!$I$18,M1521=phu!$I$19,M1521=phu!$I$20,M1521=phu!$I$21),"Cam Phúc Bắc",""),IF(OR(M1521=phu!$I$22,M1521=phu!$I$23,M1521=phu!$I$24,M1521=phu!$I$25),"Cam Phúc Nam",""),IF(OR(M1521=phu!$I$26,M1521=phu!$I$27,M1521=phu!$I$28,M1521=phu!$I$29,M1521=phu!$I$30,M1521=phu!$I$31),"Cam Phú",""),IF(OR(M1521=phu!$I$32,M1521=phu!$I$33,M1521=phu!$I$34,M1521=phu!$I$35,M1521=phu!$I$36,M1521=phu!$I$37),"Cam Lộc",""),IF(OR(M1521=phu!$I$38,M1521=phu!$I$39,M1521=phu!$I$40,M1521=phu!$I$41,M1521=phu!$I$42,M1521=phu!$I$43,M1521=phu!$I$44),"Cam Thuận",""),IF(OR(M1521=phu!$I$45,M1521=phu!$I$46,M1521=phu!$I$47,M1521=phu!$I$48,M1521=phu!$I$49,M1521=phu!$I$50,M1521=phu!$I$51,M1521=phu!$I$52,M1521=phu!$I$53),"Cam Linh",""),IF(OR(M1521=phu!$I$54,M1521=phu!$I$55,M1521=phu!$I$56,M1521=phu!$I$57,M1521=phu!$I$58,M1521=phu!$I$59,M1521=phu!$I$60,M1521=phu!$I$61,M1521=phu!$I$62),"Cam Lợi",""),IF(OR(M1521=phu!$I$63,M1521=phu!$I$64,M1521=phu!$I$65,M1521=phu!$I$66,M1521=phu!$I$67,M1521=phu!$I$68,M1521=phu!$I$69,M1521=phu!$I$70,M1521=phu!$I$71),"Ba Ngòi",""),IF(OR(M1521=phu!$I$72,M1521=phu!$I$73,M1521=phu!$I$74,M1521=phu!$I$75,M1521=phu!$I$76,M1521=phu!$I$77,M1521=phu!$I$78),"Cam Phước Đông",""),IF(OR(M1521=phu!$I$79,M1521=phu!$I$80,M1521=phu!$I$81,M1521=phu!$I$82,M1521=phu!$I$83,M1521=phu!$I$84),"Cam Thịnh Đông",""),IF(OR(M1521=phu!$I$85,M1521=phu!$I$86,M1521=phu!$I$87,M1521=phu!$I$88),"Cam Thịnh Tây",""),IF(OR(M1521=phu!$I$89,M1521=phu!$I$90),"Cam Lập",""),IF(OR(M1521=phu!$I$91,M1521=phu!$I$92,M1521=phu!$I$93),"Cam Bình",""),IF(OR(M1521=phu!$I$94,M1521=phu!$I$95,M1521=phu!$I$96,M1521=phu!$I$97,M1521=phu!$I$98,M1521=phu!$I$99,M1521=phu!$I$100),"Huyện khác",""),IF(OR(M1521=phu!$I$101,M1521=phu!$I$102),"Tỉnh khác",""))</f>
        <v/>
      </c>
      <c r="O1521" s="829" t="str">
        <f t="shared" si="138"/>
        <v/>
      </c>
      <c r="P1521" s="254"/>
      <c r="Q1521" s="254"/>
      <c r="R1521" s="254"/>
      <c r="S1521" s="254"/>
      <c r="T1521" s="254"/>
      <c r="U1521" s="254"/>
      <c r="V1521" s="254"/>
      <c r="W1521" s="254"/>
      <c r="Y1521" s="246" t="str">
        <f t="shared" si="139"/>
        <v/>
      </c>
      <c r="Z1521" s="247" t="str">
        <f t="shared" si="143"/>
        <v/>
      </c>
      <c r="AA1521" s="246" t="str">
        <f t="shared" si="140"/>
        <v/>
      </c>
    </row>
    <row r="1522" spans="1:27" x14ac:dyDescent="0.25">
      <c r="A1522" s="248" t="str">
        <f t="shared" si="141"/>
        <v/>
      </c>
      <c r="B1522" s="249" t="str">
        <f t="shared" si="142"/>
        <v/>
      </c>
      <c r="C1522" s="250"/>
      <c r="D1522" s="251"/>
      <c r="E1522" s="241"/>
      <c r="F1522" s="252"/>
      <c r="G1522" s="252"/>
      <c r="H1522" s="253"/>
      <c r="I1522" s="250"/>
      <c r="J1522" s="250"/>
      <c r="K1522" s="270"/>
      <c r="L1522" s="250"/>
      <c r="M1522" s="250"/>
      <c r="N1522" s="540" t="str">
        <f>CONCATENATE(IF(OR(M1522=phu!$I$1,M1522=phu!$I$2,M1522=phu!$I$3),"Cam Thành Nam",""),IF(OR(M1522=phu!$I$4,M1522=phu!$I$5,M1522=phu!$I$6,M1522=phu!$I$7,M1522=phu!$I$8,M1522=phu!$I$9,M1522=phu!$I$10,M1522=phu!$I$11,M1522=phu!$I$12,M1522=phu!$I$13,M1522=phu!$I$14),"Cam Nghĩa",""),IF(OR(M1522=phu!$I$15,M1522=phu!$I$16,M1522=phu!$I$17,M1522=phu!$I$18,M1522=phu!$I$19,M1522=phu!$I$20,M1522=phu!$I$21),"Cam Phúc Bắc",""),IF(OR(M1522=phu!$I$22,M1522=phu!$I$23,M1522=phu!$I$24,M1522=phu!$I$25),"Cam Phúc Nam",""),IF(OR(M1522=phu!$I$26,M1522=phu!$I$27,M1522=phu!$I$28,M1522=phu!$I$29,M1522=phu!$I$30,M1522=phu!$I$31),"Cam Phú",""),IF(OR(M1522=phu!$I$32,M1522=phu!$I$33,M1522=phu!$I$34,M1522=phu!$I$35,M1522=phu!$I$36,M1522=phu!$I$37),"Cam Lộc",""),IF(OR(M1522=phu!$I$38,M1522=phu!$I$39,M1522=phu!$I$40,M1522=phu!$I$41,M1522=phu!$I$42,M1522=phu!$I$43,M1522=phu!$I$44),"Cam Thuận",""),IF(OR(M1522=phu!$I$45,M1522=phu!$I$46,M1522=phu!$I$47,M1522=phu!$I$48,M1522=phu!$I$49,M1522=phu!$I$50,M1522=phu!$I$51,M1522=phu!$I$52,M1522=phu!$I$53),"Cam Linh",""),IF(OR(M1522=phu!$I$54,M1522=phu!$I$55,M1522=phu!$I$56,M1522=phu!$I$57,M1522=phu!$I$58,M1522=phu!$I$59,M1522=phu!$I$60,M1522=phu!$I$61,M1522=phu!$I$62),"Cam Lợi",""),IF(OR(M1522=phu!$I$63,M1522=phu!$I$64,M1522=phu!$I$65,M1522=phu!$I$66,M1522=phu!$I$67,M1522=phu!$I$68,M1522=phu!$I$69,M1522=phu!$I$70,M1522=phu!$I$71),"Ba Ngòi",""),IF(OR(M1522=phu!$I$72,M1522=phu!$I$73,M1522=phu!$I$74,M1522=phu!$I$75,M1522=phu!$I$76,M1522=phu!$I$77,M1522=phu!$I$78),"Cam Phước Đông",""),IF(OR(M1522=phu!$I$79,M1522=phu!$I$80,M1522=phu!$I$81,M1522=phu!$I$82,M1522=phu!$I$83,M1522=phu!$I$84),"Cam Thịnh Đông",""),IF(OR(M1522=phu!$I$85,M1522=phu!$I$86,M1522=phu!$I$87,M1522=phu!$I$88),"Cam Thịnh Tây",""),IF(OR(M1522=phu!$I$89,M1522=phu!$I$90),"Cam Lập",""),IF(OR(M1522=phu!$I$91,M1522=phu!$I$92,M1522=phu!$I$93),"Cam Bình",""),IF(OR(M1522=phu!$I$94,M1522=phu!$I$95,M1522=phu!$I$96,M1522=phu!$I$97,M1522=phu!$I$98,M1522=phu!$I$99,M1522=phu!$I$100),"Huyện khác",""),IF(OR(M1522=phu!$I$101,M1522=phu!$I$102),"Tỉnh khác",""))</f>
        <v/>
      </c>
      <c r="O1522" s="829" t="str">
        <f t="shared" si="138"/>
        <v/>
      </c>
      <c r="P1522" s="254"/>
      <c r="Q1522" s="254"/>
      <c r="R1522" s="254"/>
      <c r="S1522" s="254"/>
      <c r="T1522" s="254"/>
      <c r="U1522" s="254"/>
      <c r="V1522" s="254"/>
      <c r="W1522" s="254"/>
      <c r="Y1522" s="246" t="str">
        <f t="shared" si="139"/>
        <v/>
      </c>
      <c r="Z1522" s="247" t="str">
        <f t="shared" si="143"/>
        <v/>
      </c>
      <c r="AA1522" s="246" t="str">
        <f t="shared" si="140"/>
        <v/>
      </c>
    </row>
    <row r="1523" spans="1:27" x14ac:dyDescent="0.25">
      <c r="A1523" s="248" t="str">
        <f t="shared" si="141"/>
        <v/>
      </c>
      <c r="B1523" s="249" t="str">
        <f t="shared" si="142"/>
        <v/>
      </c>
      <c r="C1523" s="250"/>
      <c r="D1523" s="251"/>
      <c r="E1523" s="241"/>
      <c r="F1523" s="252"/>
      <c r="G1523" s="252"/>
      <c r="H1523" s="253"/>
      <c r="I1523" s="250"/>
      <c r="J1523" s="250"/>
      <c r="K1523" s="270"/>
      <c r="L1523" s="250"/>
      <c r="M1523" s="250"/>
      <c r="N1523" s="540" t="str">
        <f>CONCATENATE(IF(OR(M1523=phu!$I$1,M1523=phu!$I$2,M1523=phu!$I$3),"Cam Thành Nam",""),IF(OR(M1523=phu!$I$4,M1523=phu!$I$5,M1523=phu!$I$6,M1523=phu!$I$7,M1523=phu!$I$8,M1523=phu!$I$9,M1523=phu!$I$10,M1523=phu!$I$11,M1523=phu!$I$12,M1523=phu!$I$13,M1523=phu!$I$14),"Cam Nghĩa",""),IF(OR(M1523=phu!$I$15,M1523=phu!$I$16,M1523=phu!$I$17,M1523=phu!$I$18,M1523=phu!$I$19,M1523=phu!$I$20,M1523=phu!$I$21),"Cam Phúc Bắc",""),IF(OR(M1523=phu!$I$22,M1523=phu!$I$23,M1523=phu!$I$24,M1523=phu!$I$25),"Cam Phúc Nam",""),IF(OR(M1523=phu!$I$26,M1523=phu!$I$27,M1523=phu!$I$28,M1523=phu!$I$29,M1523=phu!$I$30,M1523=phu!$I$31),"Cam Phú",""),IF(OR(M1523=phu!$I$32,M1523=phu!$I$33,M1523=phu!$I$34,M1523=phu!$I$35,M1523=phu!$I$36,M1523=phu!$I$37),"Cam Lộc",""),IF(OR(M1523=phu!$I$38,M1523=phu!$I$39,M1523=phu!$I$40,M1523=phu!$I$41,M1523=phu!$I$42,M1523=phu!$I$43,M1523=phu!$I$44),"Cam Thuận",""),IF(OR(M1523=phu!$I$45,M1523=phu!$I$46,M1523=phu!$I$47,M1523=phu!$I$48,M1523=phu!$I$49,M1523=phu!$I$50,M1523=phu!$I$51,M1523=phu!$I$52,M1523=phu!$I$53),"Cam Linh",""),IF(OR(M1523=phu!$I$54,M1523=phu!$I$55,M1523=phu!$I$56,M1523=phu!$I$57,M1523=phu!$I$58,M1523=phu!$I$59,M1523=phu!$I$60,M1523=phu!$I$61,M1523=phu!$I$62),"Cam Lợi",""),IF(OR(M1523=phu!$I$63,M1523=phu!$I$64,M1523=phu!$I$65,M1523=phu!$I$66,M1523=phu!$I$67,M1523=phu!$I$68,M1523=phu!$I$69,M1523=phu!$I$70,M1523=phu!$I$71),"Ba Ngòi",""),IF(OR(M1523=phu!$I$72,M1523=phu!$I$73,M1523=phu!$I$74,M1523=phu!$I$75,M1523=phu!$I$76,M1523=phu!$I$77,M1523=phu!$I$78),"Cam Phước Đông",""),IF(OR(M1523=phu!$I$79,M1523=phu!$I$80,M1523=phu!$I$81,M1523=phu!$I$82,M1523=phu!$I$83,M1523=phu!$I$84),"Cam Thịnh Đông",""),IF(OR(M1523=phu!$I$85,M1523=phu!$I$86,M1523=phu!$I$87,M1523=phu!$I$88),"Cam Thịnh Tây",""),IF(OR(M1523=phu!$I$89,M1523=phu!$I$90),"Cam Lập",""),IF(OR(M1523=phu!$I$91,M1523=phu!$I$92,M1523=phu!$I$93),"Cam Bình",""),IF(OR(M1523=phu!$I$94,M1523=phu!$I$95,M1523=phu!$I$96,M1523=phu!$I$97,M1523=phu!$I$98,M1523=phu!$I$99,M1523=phu!$I$100),"Huyện khác",""),IF(OR(M1523=phu!$I$101,M1523=phu!$I$102),"Tỉnh khác",""))</f>
        <v/>
      </c>
      <c r="O1523" s="829" t="str">
        <f t="shared" si="138"/>
        <v/>
      </c>
      <c r="P1523" s="254"/>
      <c r="Q1523" s="254"/>
      <c r="R1523" s="254"/>
      <c r="S1523" s="254"/>
      <c r="T1523" s="254"/>
      <c r="U1523" s="254"/>
      <c r="V1523" s="254"/>
      <c r="W1523" s="254"/>
      <c r="Y1523" s="246" t="str">
        <f t="shared" si="139"/>
        <v/>
      </c>
      <c r="Z1523" s="247" t="str">
        <f t="shared" si="143"/>
        <v/>
      </c>
      <c r="AA1523" s="246" t="str">
        <f t="shared" si="140"/>
        <v/>
      </c>
    </row>
    <row r="1524" spans="1:27" x14ac:dyDescent="0.25">
      <c r="A1524" s="248" t="str">
        <f t="shared" si="141"/>
        <v/>
      </c>
      <c r="B1524" s="249" t="str">
        <f t="shared" si="142"/>
        <v/>
      </c>
      <c r="C1524" s="250"/>
      <c r="D1524" s="251"/>
      <c r="E1524" s="241"/>
      <c r="F1524" s="252"/>
      <c r="G1524" s="252"/>
      <c r="H1524" s="253"/>
      <c r="I1524" s="250"/>
      <c r="J1524" s="250"/>
      <c r="K1524" s="270"/>
      <c r="L1524" s="250"/>
      <c r="M1524" s="250"/>
      <c r="N1524" s="540" t="str">
        <f>CONCATENATE(IF(OR(M1524=phu!$I$1,M1524=phu!$I$2,M1524=phu!$I$3),"Cam Thành Nam",""),IF(OR(M1524=phu!$I$4,M1524=phu!$I$5,M1524=phu!$I$6,M1524=phu!$I$7,M1524=phu!$I$8,M1524=phu!$I$9,M1524=phu!$I$10,M1524=phu!$I$11,M1524=phu!$I$12,M1524=phu!$I$13,M1524=phu!$I$14),"Cam Nghĩa",""),IF(OR(M1524=phu!$I$15,M1524=phu!$I$16,M1524=phu!$I$17,M1524=phu!$I$18,M1524=phu!$I$19,M1524=phu!$I$20,M1524=phu!$I$21),"Cam Phúc Bắc",""),IF(OR(M1524=phu!$I$22,M1524=phu!$I$23,M1524=phu!$I$24,M1524=phu!$I$25),"Cam Phúc Nam",""),IF(OR(M1524=phu!$I$26,M1524=phu!$I$27,M1524=phu!$I$28,M1524=phu!$I$29,M1524=phu!$I$30,M1524=phu!$I$31),"Cam Phú",""),IF(OR(M1524=phu!$I$32,M1524=phu!$I$33,M1524=phu!$I$34,M1524=phu!$I$35,M1524=phu!$I$36,M1524=phu!$I$37),"Cam Lộc",""),IF(OR(M1524=phu!$I$38,M1524=phu!$I$39,M1524=phu!$I$40,M1524=phu!$I$41,M1524=phu!$I$42,M1524=phu!$I$43,M1524=phu!$I$44),"Cam Thuận",""),IF(OR(M1524=phu!$I$45,M1524=phu!$I$46,M1524=phu!$I$47,M1524=phu!$I$48,M1524=phu!$I$49,M1524=phu!$I$50,M1524=phu!$I$51,M1524=phu!$I$52,M1524=phu!$I$53),"Cam Linh",""),IF(OR(M1524=phu!$I$54,M1524=phu!$I$55,M1524=phu!$I$56,M1524=phu!$I$57,M1524=phu!$I$58,M1524=phu!$I$59,M1524=phu!$I$60,M1524=phu!$I$61,M1524=phu!$I$62),"Cam Lợi",""),IF(OR(M1524=phu!$I$63,M1524=phu!$I$64,M1524=phu!$I$65,M1524=phu!$I$66,M1524=phu!$I$67,M1524=phu!$I$68,M1524=phu!$I$69,M1524=phu!$I$70,M1524=phu!$I$71),"Ba Ngòi",""),IF(OR(M1524=phu!$I$72,M1524=phu!$I$73,M1524=phu!$I$74,M1524=phu!$I$75,M1524=phu!$I$76,M1524=phu!$I$77,M1524=phu!$I$78),"Cam Phước Đông",""),IF(OR(M1524=phu!$I$79,M1524=phu!$I$80,M1524=phu!$I$81,M1524=phu!$I$82,M1524=phu!$I$83,M1524=phu!$I$84),"Cam Thịnh Đông",""),IF(OR(M1524=phu!$I$85,M1524=phu!$I$86,M1524=phu!$I$87,M1524=phu!$I$88),"Cam Thịnh Tây",""),IF(OR(M1524=phu!$I$89,M1524=phu!$I$90),"Cam Lập",""),IF(OR(M1524=phu!$I$91,M1524=phu!$I$92,M1524=phu!$I$93),"Cam Bình",""),IF(OR(M1524=phu!$I$94,M1524=phu!$I$95,M1524=phu!$I$96,M1524=phu!$I$97,M1524=phu!$I$98,M1524=phu!$I$99,M1524=phu!$I$100),"Huyện khác",""),IF(OR(M1524=phu!$I$101,M1524=phu!$I$102),"Tỉnh khác",""))</f>
        <v/>
      </c>
      <c r="O1524" s="829" t="str">
        <f t="shared" si="138"/>
        <v/>
      </c>
      <c r="P1524" s="254"/>
      <c r="Q1524" s="254"/>
      <c r="R1524" s="254"/>
      <c r="S1524" s="254"/>
      <c r="T1524" s="254"/>
      <c r="U1524" s="254"/>
      <c r="V1524" s="254"/>
      <c r="W1524" s="254"/>
      <c r="Y1524" s="246" t="str">
        <f t="shared" si="139"/>
        <v/>
      </c>
      <c r="Z1524" s="247" t="str">
        <f t="shared" si="143"/>
        <v/>
      </c>
      <c r="AA1524" s="246" t="str">
        <f t="shared" si="140"/>
        <v/>
      </c>
    </row>
    <row r="1525" spans="1:27" x14ac:dyDescent="0.25">
      <c r="A1525" s="248" t="str">
        <f t="shared" si="141"/>
        <v/>
      </c>
      <c r="B1525" s="249" t="str">
        <f t="shared" si="142"/>
        <v/>
      </c>
      <c r="C1525" s="250"/>
      <c r="D1525" s="251"/>
      <c r="E1525" s="241"/>
      <c r="F1525" s="252"/>
      <c r="G1525" s="252"/>
      <c r="H1525" s="253"/>
      <c r="I1525" s="250"/>
      <c r="J1525" s="250"/>
      <c r="K1525" s="270"/>
      <c r="L1525" s="250"/>
      <c r="M1525" s="250"/>
      <c r="N1525" s="540" t="str">
        <f>CONCATENATE(IF(OR(M1525=phu!$I$1,M1525=phu!$I$2,M1525=phu!$I$3),"Cam Thành Nam",""),IF(OR(M1525=phu!$I$4,M1525=phu!$I$5,M1525=phu!$I$6,M1525=phu!$I$7,M1525=phu!$I$8,M1525=phu!$I$9,M1525=phu!$I$10,M1525=phu!$I$11,M1525=phu!$I$12,M1525=phu!$I$13,M1525=phu!$I$14),"Cam Nghĩa",""),IF(OR(M1525=phu!$I$15,M1525=phu!$I$16,M1525=phu!$I$17,M1525=phu!$I$18,M1525=phu!$I$19,M1525=phu!$I$20,M1525=phu!$I$21),"Cam Phúc Bắc",""),IF(OR(M1525=phu!$I$22,M1525=phu!$I$23,M1525=phu!$I$24,M1525=phu!$I$25),"Cam Phúc Nam",""),IF(OR(M1525=phu!$I$26,M1525=phu!$I$27,M1525=phu!$I$28,M1525=phu!$I$29,M1525=phu!$I$30,M1525=phu!$I$31),"Cam Phú",""),IF(OR(M1525=phu!$I$32,M1525=phu!$I$33,M1525=phu!$I$34,M1525=phu!$I$35,M1525=phu!$I$36,M1525=phu!$I$37),"Cam Lộc",""),IF(OR(M1525=phu!$I$38,M1525=phu!$I$39,M1525=phu!$I$40,M1525=phu!$I$41,M1525=phu!$I$42,M1525=phu!$I$43,M1525=phu!$I$44),"Cam Thuận",""),IF(OR(M1525=phu!$I$45,M1525=phu!$I$46,M1525=phu!$I$47,M1525=phu!$I$48,M1525=phu!$I$49,M1525=phu!$I$50,M1525=phu!$I$51,M1525=phu!$I$52,M1525=phu!$I$53),"Cam Linh",""),IF(OR(M1525=phu!$I$54,M1525=phu!$I$55,M1525=phu!$I$56,M1525=phu!$I$57,M1525=phu!$I$58,M1525=phu!$I$59,M1525=phu!$I$60,M1525=phu!$I$61,M1525=phu!$I$62),"Cam Lợi",""),IF(OR(M1525=phu!$I$63,M1525=phu!$I$64,M1525=phu!$I$65,M1525=phu!$I$66,M1525=phu!$I$67,M1525=phu!$I$68,M1525=phu!$I$69,M1525=phu!$I$70,M1525=phu!$I$71),"Ba Ngòi",""),IF(OR(M1525=phu!$I$72,M1525=phu!$I$73,M1525=phu!$I$74,M1525=phu!$I$75,M1525=phu!$I$76,M1525=phu!$I$77,M1525=phu!$I$78),"Cam Phước Đông",""),IF(OR(M1525=phu!$I$79,M1525=phu!$I$80,M1525=phu!$I$81,M1525=phu!$I$82,M1525=phu!$I$83,M1525=phu!$I$84),"Cam Thịnh Đông",""),IF(OR(M1525=phu!$I$85,M1525=phu!$I$86,M1525=phu!$I$87,M1525=phu!$I$88),"Cam Thịnh Tây",""),IF(OR(M1525=phu!$I$89,M1525=phu!$I$90),"Cam Lập",""),IF(OR(M1525=phu!$I$91,M1525=phu!$I$92,M1525=phu!$I$93),"Cam Bình",""),IF(OR(M1525=phu!$I$94,M1525=phu!$I$95,M1525=phu!$I$96,M1525=phu!$I$97,M1525=phu!$I$98,M1525=phu!$I$99,M1525=phu!$I$100),"Huyện khác",""),IF(OR(M1525=phu!$I$101,M1525=phu!$I$102),"Tỉnh khác",""))</f>
        <v/>
      </c>
      <c r="O1525" s="829" t="str">
        <f t="shared" si="138"/>
        <v/>
      </c>
      <c r="P1525" s="254"/>
      <c r="Q1525" s="254"/>
      <c r="R1525" s="254"/>
      <c r="S1525" s="254"/>
      <c r="T1525" s="254"/>
      <c r="U1525" s="254"/>
      <c r="V1525" s="254"/>
      <c r="W1525" s="254"/>
      <c r="Y1525" s="246" t="str">
        <f t="shared" si="139"/>
        <v/>
      </c>
      <c r="Z1525" s="247" t="str">
        <f t="shared" si="143"/>
        <v/>
      </c>
      <c r="AA1525" s="246" t="str">
        <f t="shared" si="140"/>
        <v/>
      </c>
    </row>
    <row r="1526" spans="1:27" x14ac:dyDescent="0.25">
      <c r="A1526" s="248" t="str">
        <f t="shared" si="141"/>
        <v/>
      </c>
      <c r="B1526" s="249" t="str">
        <f t="shared" si="142"/>
        <v/>
      </c>
      <c r="C1526" s="250"/>
      <c r="D1526" s="251"/>
      <c r="E1526" s="241"/>
      <c r="F1526" s="252"/>
      <c r="G1526" s="252"/>
      <c r="H1526" s="253"/>
      <c r="I1526" s="250"/>
      <c r="J1526" s="250"/>
      <c r="K1526" s="270"/>
      <c r="L1526" s="250"/>
      <c r="M1526" s="250"/>
      <c r="N1526" s="540" t="str">
        <f>CONCATENATE(IF(OR(M1526=phu!$I$1,M1526=phu!$I$2,M1526=phu!$I$3),"Cam Thành Nam",""),IF(OR(M1526=phu!$I$4,M1526=phu!$I$5,M1526=phu!$I$6,M1526=phu!$I$7,M1526=phu!$I$8,M1526=phu!$I$9,M1526=phu!$I$10,M1526=phu!$I$11,M1526=phu!$I$12,M1526=phu!$I$13,M1526=phu!$I$14),"Cam Nghĩa",""),IF(OR(M1526=phu!$I$15,M1526=phu!$I$16,M1526=phu!$I$17,M1526=phu!$I$18,M1526=phu!$I$19,M1526=phu!$I$20,M1526=phu!$I$21),"Cam Phúc Bắc",""),IF(OR(M1526=phu!$I$22,M1526=phu!$I$23,M1526=phu!$I$24,M1526=phu!$I$25),"Cam Phúc Nam",""),IF(OR(M1526=phu!$I$26,M1526=phu!$I$27,M1526=phu!$I$28,M1526=phu!$I$29,M1526=phu!$I$30,M1526=phu!$I$31),"Cam Phú",""),IF(OR(M1526=phu!$I$32,M1526=phu!$I$33,M1526=phu!$I$34,M1526=phu!$I$35,M1526=phu!$I$36,M1526=phu!$I$37),"Cam Lộc",""),IF(OR(M1526=phu!$I$38,M1526=phu!$I$39,M1526=phu!$I$40,M1526=phu!$I$41,M1526=phu!$I$42,M1526=phu!$I$43,M1526=phu!$I$44),"Cam Thuận",""),IF(OR(M1526=phu!$I$45,M1526=phu!$I$46,M1526=phu!$I$47,M1526=phu!$I$48,M1526=phu!$I$49,M1526=phu!$I$50,M1526=phu!$I$51,M1526=phu!$I$52,M1526=phu!$I$53),"Cam Linh",""),IF(OR(M1526=phu!$I$54,M1526=phu!$I$55,M1526=phu!$I$56,M1526=phu!$I$57,M1526=phu!$I$58,M1526=phu!$I$59,M1526=phu!$I$60,M1526=phu!$I$61,M1526=phu!$I$62),"Cam Lợi",""),IF(OR(M1526=phu!$I$63,M1526=phu!$I$64,M1526=phu!$I$65,M1526=phu!$I$66,M1526=phu!$I$67,M1526=phu!$I$68,M1526=phu!$I$69,M1526=phu!$I$70,M1526=phu!$I$71),"Ba Ngòi",""),IF(OR(M1526=phu!$I$72,M1526=phu!$I$73,M1526=phu!$I$74,M1526=phu!$I$75,M1526=phu!$I$76,M1526=phu!$I$77,M1526=phu!$I$78),"Cam Phước Đông",""),IF(OR(M1526=phu!$I$79,M1526=phu!$I$80,M1526=phu!$I$81,M1526=phu!$I$82,M1526=phu!$I$83,M1526=phu!$I$84),"Cam Thịnh Đông",""),IF(OR(M1526=phu!$I$85,M1526=phu!$I$86,M1526=phu!$I$87,M1526=phu!$I$88),"Cam Thịnh Tây",""),IF(OR(M1526=phu!$I$89,M1526=phu!$I$90),"Cam Lập",""),IF(OR(M1526=phu!$I$91,M1526=phu!$I$92,M1526=phu!$I$93),"Cam Bình",""),IF(OR(M1526=phu!$I$94,M1526=phu!$I$95,M1526=phu!$I$96,M1526=phu!$I$97,M1526=phu!$I$98,M1526=phu!$I$99,M1526=phu!$I$100),"Huyện khác",""),IF(OR(M1526=phu!$I$101,M1526=phu!$I$102),"Tỉnh khác",""))</f>
        <v/>
      </c>
      <c r="O1526" s="829" t="str">
        <f t="shared" si="138"/>
        <v/>
      </c>
      <c r="P1526" s="254"/>
      <c r="Q1526" s="254"/>
      <c r="R1526" s="254"/>
      <c r="S1526" s="254"/>
      <c r="T1526" s="254"/>
      <c r="U1526" s="254"/>
      <c r="V1526" s="254"/>
      <c r="W1526" s="254"/>
      <c r="Y1526" s="246" t="str">
        <f t="shared" si="139"/>
        <v/>
      </c>
      <c r="Z1526" s="247" t="str">
        <f t="shared" si="143"/>
        <v/>
      </c>
      <c r="AA1526" s="246" t="str">
        <f t="shared" si="140"/>
        <v/>
      </c>
    </row>
    <row r="1527" spans="1:27" x14ac:dyDescent="0.25">
      <c r="A1527" s="248" t="str">
        <f t="shared" si="141"/>
        <v/>
      </c>
      <c r="B1527" s="249" t="str">
        <f t="shared" si="142"/>
        <v/>
      </c>
      <c r="C1527" s="250"/>
      <c r="D1527" s="251"/>
      <c r="E1527" s="241"/>
      <c r="F1527" s="252"/>
      <c r="G1527" s="252"/>
      <c r="H1527" s="253"/>
      <c r="I1527" s="250"/>
      <c r="J1527" s="250"/>
      <c r="K1527" s="270"/>
      <c r="L1527" s="250"/>
      <c r="M1527" s="250"/>
      <c r="N1527" s="540" t="str">
        <f>CONCATENATE(IF(OR(M1527=phu!$I$1,M1527=phu!$I$2,M1527=phu!$I$3),"Cam Thành Nam",""),IF(OR(M1527=phu!$I$4,M1527=phu!$I$5,M1527=phu!$I$6,M1527=phu!$I$7,M1527=phu!$I$8,M1527=phu!$I$9,M1527=phu!$I$10,M1527=phu!$I$11,M1527=phu!$I$12,M1527=phu!$I$13,M1527=phu!$I$14),"Cam Nghĩa",""),IF(OR(M1527=phu!$I$15,M1527=phu!$I$16,M1527=phu!$I$17,M1527=phu!$I$18,M1527=phu!$I$19,M1527=phu!$I$20,M1527=phu!$I$21),"Cam Phúc Bắc",""),IF(OR(M1527=phu!$I$22,M1527=phu!$I$23,M1527=phu!$I$24,M1527=phu!$I$25),"Cam Phúc Nam",""),IF(OR(M1527=phu!$I$26,M1527=phu!$I$27,M1527=phu!$I$28,M1527=phu!$I$29,M1527=phu!$I$30,M1527=phu!$I$31),"Cam Phú",""),IF(OR(M1527=phu!$I$32,M1527=phu!$I$33,M1527=phu!$I$34,M1527=phu!$I$35,M1527=phu!$I$36,M1527=phu!$I$37),"Cam Lộc",""),IF(OR(M1527=phu!$I$38,M1527=phu!$I$39,M1527=phu!$I$40,M1527=phu!$I$41,M1527=phu!$I$42,M1527=phu!$I$43,M1527=phu!$I$44),"Cam Thuận",""),IF(OR(M1527=phu!$I$45,M1527=phu!$I$46,M1527=phu!$I$47,M1527=phu!$I$48,M1527=phu!$I$49,M1527=phu!$I$50,M1527=phu!$I$51,M1527=phu!$I$52,M1527=phu!$I$53),"Cam Linh",""),IF(OR(M1527=phu!$I$54,M1527=phu!$I$55,M1527=phu!$I$56,M1527=phu!$I$57,M1527=phu!$I$58,M1527=phu!$I$59,M1527=phu!$I$60,M1527=phu!$I$61,M1527=phu!$I$62),"Cam Lợi",""),IF(OR(M1527=phu!$I$63,M1527=phu!$I$64,M1527=phu!$I$65,M1527=phu!$I$66,M1527=phu!$I$67,M1527=phu!$I$68,M1527=phu!$I$69,M1527=phu!$I$70,M1527=phu!$I$71),"Ba Ngòi",""),IF(OR(M1527=phu!$I$72,M1527=phu!$I$73,M1527=phu!$I$74,M1527=phu!$I$75,M1527=phu!$I$76,M1527=phu!$I$77,M1527=phu!$I$78),"Cam Phước Đông",""),IF(OR(M1527=phu!$I$79,M1527=phu!$I$80,M1527=phu!$I$81,M1527=phu!$I$82,M1527=phu!$I$83,M1527=phu!$I$84),"Cam Thịnh Đông",""),IF(OR(M1527=phu!$I$85,M1527=phu!$I$86,M1527=phu!$I$87,M1527=phu!$I$88),"Cam Thịnh Tây",""),IF(OR(M1527=phu!$I$89,M1527=phu!$I$90),"Cam Lập",""),IF(OR(M1527=phu!$I$91,M1527=phu!$I$92,M1527=phu!$I$93),"Cam Bình",""),IF(OR(M1527=phu!$I$94,M1527=phu!$I$95,M1527=phu!$I$96,M1527=phu!$I$97,M1527=phu!$I$98,M1527=phu!$I$99,M1527=phu!$I$100),"Huyện khác",""),IF(OR(M1527=phu!$I$101,M1527=phu!$I$102),"Tỉnh khác",""))</f>
        <v/>
      </c>
      <c r="O1527" s="829" t="str">
        <f t="shared" si="138"/>
        <v/>
      </c>
      <c r="P1527" s="254"/>
      <c r="Q1527" s="254"/>
      <c r="R1527" s="254"/>
      <c r="S1527" s="254"/>
      <c r="T1527" s="254"/>
      <c r="U1527" s="254"/>
      <c r="V1527" s="254"/>
      <c r="W1527" s="254"/>
      <c r="Y1527" s="246" t="str">
        <f t="shared" si="139"/>
        <v/>
      </c>
      <c r="Z1527" s="247" t="str">
        <f t="shared" si="143"/>
        <v/>
      </c>
      <c r="AA1527" s="246" t="str">
        <f t="shared" si="140"/>
        <v/>
      </c>
    </row>
    <row r="1528" spans="1:27" x14ac:dyDescent="0.25">
      <c r="A1528" s="248" t="str">
        <f t="shared" si="141"/>
        <v/>
      </c>
      <c r="B1528" s="249" t="str">
        <f t="shared" si="142"/>
        <v/>
      </c>
      <c r="C1528" s="250"/>
      <c r="D1528" s="251"/>
      <c r="E1528" s="241"/>
      <c r="F1528" s="252"/>
      <c r="G1528" s="252"/>
      <c r="H1528" s="253"/>
      <c r="I1528" s="250"/>
      <c r="J1528" s="250"/>
      <c r="K1528" s="270"/>
      <c r="L1528" s="250"/>
      <c r="M1528" s="250"/>
      <c r="N1528" s="540" t="str">
        <f>CONCATENATE(IF(OR(M1528=phu!$I$1,M1528=phu!$I$2,M1528=phu!$I$3),"Cam Thành Nam",""),IF(OR(M1528=phu!$I$4,M1528=phu!$I$5,M1528=phu!$I$6,M1528=phu!$I$7,M1528=phu!$I$8,M1528=phu!$I$9,M1528=phu!$I$10,M1528=phu!$I$11,M1528=phu!$I$12,M1528=phu!$I$13,M1528=phu!$I$14),"Cam Nghĩa",""),IF(OR(M1528=phu!$I$15,M1528=phu!$I$16,M1528=phu!$I$17,M1528=phu!$I$18,M1528=phu!$I$19,M1528=phu!$I$20,M1528=phu!$I$21),"Cam Phúc Bắc",""),IF(OR(M1528=phu!$I$22,M1528=phu!$I$23,M1528=phu!$I$24,M1528=phu!$I$25),"Cam Phúc Nam",""),IF(OR(M1528=phu!$I$26,M1528=phu!$I$27,M1528=phu!$I$28,M1528=phu!$I$29,M1528=phu!$I$30,M1528=phu!$I$31),"Cam Phú",""),IF(OR(M1528=phu!$I$32,M1528=phu!$I$33,M1528=phu!$I$34,M1528=phu!$I$35,M1528=phu!$I$36,M1528=phu!$I$37),"Cam Lộc",""),IF(OR(M1528=phu!$I$38,M1528=phu!$I$39,M1528=phu!$I$40,M1528=phu!$I$41,M1528=phu!$I$42,M1528=phu!$I$43,M1528=phu!$I$44),"Cam Thuận",""),IF(OR(M1528=phu!$I$45,M1528=phu!$I$46,M1528=phu!$I$47,M1528=phu!$I$48,M1528=phu!$I$49,M1528=phu!$I$50,M1528=phu!$I$51,M1528=phu!$I$52,M1528=phu!$I$53),"Cam Linh",""),IF(OR(M1528=phu!$I$54,M1528=phu!$I$55,M1528=phu!$I$56,M1528=phu!$I$57,M1528=phu!$I$58,M1528=phu!$I$59,M1528=phu!$I$60,M1528=phu!$I$61,M1528=phu!$I$62),"Cam Lợi",""),IF(OR(M1528=phu!$I$63,M1528=phu!$I$64,M1528=phu!$I$65,M1528=phu!$I$66,M1528=phu!$I$67,M1528=phu!$I$68,M1528=phu!$I$69,M1528=phu!$I$70,M1528=phu!$I$71),"Ba Ngòi",""),IF(OR(M1528=phu!$I$72,M1528=phu!$I$73,M1528=phu!$I$74,M1528=phu!$I$75,M1528=phu!$I$76,M1528=phu!$I$77,M1528=phu!$I$78),"Cam Phước Đông",""),IF(OR(M1528=phu!$I$79,M1528=phu!$I$80,M1528=phu!$I$81,M1528=phu!$I$82,M1528=phu!$I$83,M1528=phu!$I$84),"Cam Thịnh Đông",""),IF(OR(M1528=phu!$I$85,M1528=phu!$I$86,M1528=phu!$I$87,M1528=phu!$I$88),"Cam Thịnh Tây",""),IF(OR(M1528=phu!$I$89,M1528=phu!$I$90),"Cam Lập",""),IF(OR(M1528=phu!$I$91,M1528=phu!$I$92,M1528=phu!$I$93),"Cam Bình",""),IF(OR(M1528=phu!$I$94,M1528=phu!$I$95,M1528=phu!$I$96,M1528=phu!$I$97,M1528=phu!$I$98,M1528=phu!$I$99,M1528=phu!$I$100),"Huyện khác",""),IF(OR(M1528=phu!$I$101,M1528=phu!$I$102),"Tỉnh khác",""))</f>
        <v/>
      </c>
      <c r="O1528" s="829" t="str">
        <f t="shared" si="138"/>
        <v/>
      </c>
      <c r="P1528" s="254"/>
      <c r="Q1528" s="254"/>
      <c r="R1528" s="254"/>
      <c r="S1528" s="254"/>
      <c r="T1528" s="254"/>
      <c r="U1528" s="254"/>
      <c r="V1528" s="254"/>
      <c r="W1528" s="254"/>
      <c r="Y1528" s="246" t="str">
        <f t="shared" si="139"/>
        <v/>
      </c>
      <c r="Z1528" s="247" t="str">
        <f t="shared" si="143"/>
        <v/>
      </c>
      <c r="AA1528" s="246" t="str">
        <f t="shared" si="140"/>
        <v/>
      </c>
    </row>
    <row r="1529" spans="1:27" x14ac:dyDescent="0.25">
      <c r="A1529" s="248" t="str">
        <f t="shared" si="141"/>
        <v/>
      </c>
      <c r="B1529" s="249" t="str">
        <f t="shared" si="142"/>
        <v/>
      </c>
      <c r="C1529" s="250"/>
      <c r="D1529" s="251"/>
      <c r="E1529" s="241"/>
      <c r="F1529" s="252"/>
      <c r="G1529" s="252"/>
      <c r="H1529" s="253"/>
      <c r="I1529" s="250"/>
      <c r="J1529" s="250"/>
      <c r="K1529" s="270"/>
      <c r="L1529" s="250"/>
      <c r="M1529" s="250"/>
      <c r="N1529" s="540" t="str">
        <f>CONCATENATE(IF(OR(M1529=phu!$I$1,M1529=phu!$I$2,M1529=phu!$I$3),"Cam Thành Nam",""),IF(OR(M1529=phu!$I$4,M1529=phu!$I$5,M1529=phu!$I$6,M1529=phu!$I$7,M1529=phu!$I$8,M1529=phu!$I$9,M1529=phu!$I$10,M1529=phu!$I$11,M1529=phu!$I$12,M1529=phu!$I$13,M1529=phu!$I$14),"Cam Nghĩa",""),IF(OR(M1529=phu!$I$15,M1529=phu!$I$16,M1529=phu!$I$17,M1529=phu!$I$18,M1529=phu!$I$19,M1529=phu!$I$20,M1529=phu!$I$21),"Cam Phúc Bắc",""),IF(OR(M1529=phu!$I$22,M1529=phu!$I$23,M1529=phu!$I$24,M1529=phu!$I$25),"Cam Phúc Nam",""),IF(OR(M1529=phu!$I$26,M1529=phu!$I$27,M1529=phu!$I$28,M1529=phu!$I$29,M1529=phu!$I$30,M1529=phu!$I$31),"Cam Phú",""),IF(OR(M1529=phu!$I$32,M1529=phu!$I$33,M1529=phu!$I$34,M1529=phu!$I$35,M1529=phu!$I$36,M1529=phu!$I$37),"Cam Lộc",""),IF(OR(M1529=phu!$I$38,M1529=phu!$I$39,M1529=phu!$I$40,M1529=phu!$I$41,M1529=phu!$I$42,M1529=phu!$I$43,M1529=phu!$I$44),"Cam Thuận",""),IF(OR(M1529=phu!$I$45,M1529=phu!$I$46,M1529=phu!$I$47,M1529=phu!$I$48,M1529=phu!$I$49,M1529=phu!$I$50,M1529=phu!$I$51,M1529=phu!$I$52,M1529=phu!$I$53),"Cam Linh",""),IF(OR(M1529=phu!$I$54,M1529=phu!$I$55,M1529=phu!$I$56,M1529=phu!$I$57,M1529=phu!$I$58,M1529=phu!$I$59,M1529=phu!$I$60,M1529=phu!$I$61,M1529=phu!$I$62),"Cam Lợi",""),IF(OR(M1529=phu!$I$63,M1529=phu!$I$64,M1529=phu!$I$65,M1529=phu!$I$66,M1529=phu!$I$67,M1529=phu!$I$68,M1529=phu!$I$69,M1529=phu!$I$70,M1529=phu!$I$71),"Ba Ngòi",""),IF(OR(M1529=phu!$I$72,M1529=phu!$I$73,M1529=phu!$I$74,M1529=phu!$I$75,M1529=phu!$I$76,M1529=phu!$I$77,M1529=phu!$I$78),"Cam Phước Đông",""),IF(OR(M1529=phu!$I$79,M1529=phu!$I$80,M1529=phu!$I$81,M1529=phu!$I$82,M1529=phu!$I$83,M1529=phu!$I$84),"Cam Thịnh Đông",""),IF(OR(M1529=phu!$I$85,M1529=phu!$I$86,M1529=phu!$I$87,M1529=phu!$I$88),"Cam Thịnh Tây",""),IF(OR(M1529=phu!$I$89,M1529=phu!$I$90),"Cam Lập",""),IF(OR(M1529=phu!$I$91,M1529=phu!$I$92,M1529=phu!$I$93),"Cam Bình",""),IF(OR(M1529=phu!$I$94,M1529=phu!$I$95,M1529=phu!$I$96,M1529=phu!$I$97,M1529=phu!$I$98,M1529=phu!$I$99,M1529=phu!$I$100),"Huyện khác",""),IF(OR(M1529=phu!$I$101,M1529=phu!$I$102),"Tỉnh khác",""))</f>
        <v/>
      </c>
      <c r="O1529" s="829" t="str">
        <f t="shared" si="138"/>
        <v/>
      </c>
      <c r="P1529" s="254"/>
      <c r="Q1529" s="254"/>
      <c r="R1529" s="254"/>
      <c r="S1529" s="254"/>
      <c r="T1529" s="254"/>
      <c r="U1529" s="254"/>
      <c r="V1529" s="254"/>
      <c r="W1529" s="254"/>
      <c r="Y1529" s="246" t="str">
        <f t="shared" si="139"/>
        <v/>
      </c>
      <c r="Z1529" s="247" t="str">
        <f t="shared" si="143"/>
        <v/>
      </c>
      <c r="AA1529" s="246" t="str">
        <f t="shared" si="140"/>
        <v/>
      </c>
    </row>
    <row r="1530" spans="1:27" x14ac:dyDescent="0.25">
      <c r="A1530" s="248" t="str">
        <f t="shared" si="141"/>
        <v/>
      </c>
      <c r="B1530" s="249" t="str">
        <f t="shared" si="142"/>
        <v/>
      </c>
      <c r="C1530" s="250"/>
      <c r="D1530" s="251"/>
      <c r="E1530" s="241"/>
      <c r="F1530" s="252"/>
      <c r="G1530" s="252"/>
      <c r="H1530" s="253"/>
      <c r="I1530" s="250"/>
      <c r="J1530" s="250"/>
      <c r="K1530" s="270"/>
      <c r="L1530" s="250"/>
      <c r="M1530" s="250"/>
      <c r="N1530" s="540" t="str">
        <f>CONCATENATE(IF(OR(M1530=phu!$I$1,M1530=phu!$I$2,M1530=phu!$I$3),"Cam Thành Nam",""),IF(OR(M1530=phu!$I$4,M1530=phu!$I$5,M1530=phu!$I$6,M1530=phu!$I$7,M1530=phu!$I$8,M1530=phu!$I$9,M1530=phu!$I$10,M1530=phu!$I$11,M1530=phu!$I$12,M1530=phu!$I$13,M1530=phu!$I$14),"Cam Nghĩa",""),IF(OR(M1530=phu!$I$15,M1530=phu!$I$16,M1530=phu!$I$17,M1530=phu!$I$18,M1530=phu!$I$19,M1530=phu!$I$20,M1530=phu!$I$21),"Cam Phúc Bắc",""),IF(OR(M1530=phu!$I$22,M1530=phu!$I$23,M1530=phu!$I$24,M1530=phu!$I$25),"Cam Phúc Nam",""),IF(OR(M1530=phu!$I$26,M1530=phu!$I$27,M1530=phu!$I$28,M1530=phu!$I$29,M1530=phu!$I$30,M1530=phu!$I$31),"Cam Phú",""),IF(OR(M1530=phu!$I$32,M1530=phu!$I$33,M1530=phu!$I$34,M1530=phu!$I$35,M1530=phu!$I$36,M1530=phu!$I$37),"Cam Lộc",""),IF(OR(M1530=phu!$I$38,M1530=phu!$I$39,M1530=phu!$I$40,M1530=phu!$I$41,M1530=phu!$I$42,M1530=phu!$I$43,M1530=phu!$I$44),"Cam Thuận",""),IF(OR(M1530=phu!$I$45,M1530=phu!$I$46,M1530=phu!$I$47,M1530=phu!$I$48,M1530=phu!$I$49,M1530=phu!$I$50,M1530=phu!$I$51,M1530=phu!$I$52,M1530=phu!$I$53),"Cam Linh",""),IF(OR(M1530=phu!$I$54,M1530=phu!$I$55,M1530=phu!$I$56,M1530=phu!$I$57,M1530=phu!$I$58,M1530=phu!$I$59,M1530=phu!$I$60,M1530=phu!$I$61,M1530=phu!$I$62),"Cam Lợi",""),IF(OR(M1530=phu!$I$63,M1530=phu!$I$64,M1530=phu!$I$65,M1530=phu!$I$66,M1530=phu!$I$67,M1530=phu!$I$68,M1530=phu!$I$69,M1530=phu!$I$70,M1530=phu!$I$71),"Ba Ngòi",""),IF(OR(M1530=phu!$I$72,M1530=phu!$I$73,M1530=phu!$I$74,M1530=phu!$I$75,M1530=phu!$I$76,M1530=phu!$I$77,M1530=phu!$I$78),"Cam Phước Đông",""),IF(OR(M1530=phu!$I$79,M1530=phu!$I$80,M1530=phu!$I$81,M1530=phu!$I$82,M1530=phu!$I$83,M1530=phu!$I$84),"Cam Thịnh Đông",""),IF(OR(M1530=phu!$I$85,M1530=phu!$I$86,M1530=phu!$I$87,M1530=phu!$I$88),"Cam Thịnh Tây",""),IF(OR(M1530=phu!$I$89,M1530=phu!$I$90),"Cam Lập",""),IF(OR(M1530=phu!$I$91,M1530=phu!$I$92,M1530=phu!$I$93),"Cam Bình",""),IF(OR(M1530=phu!$I$94,M1530=phu!$I$95,M1530=phu!$I$96,M1530=phu!$I$97,M1530=phu!$I$98,M1530=phu!$I$99,M1530=phu!$I$100),"Huyện khác",""),IF(OR(M1530=phu!$I$101,M1530=phu!$I$102),"Tỉnh khác",""))</f>
        <v/>
      </c>
      <c r="O1530" s="829" t="str">
        <f t="shared" si="138"/>
        <v/>
      </c>
      <c r="P1530" s="254"/>
      <c r="Q1530" s="254"/>
      <c r="R1530" s="254"/>
      <c r="S1530" s="254"/>
      <c r="T1530" s="254"/>
      <c r="U1530" s="254"/>
      <c r="V1530" s="254"/>
      <c r="W1530" s="254"/>
      <c r="Y1530" s="246" t="str">
        <f t="shared" si="139"/>
        <v/>
      </c>
      <c r="Z1530" s="247" t="str">
        <f t="shared" si="143"/>
        <v/>
      </c>
      <c r="AA1530" s="246" t="str">
        <f t="shared" si="140"/>
        <v/>
      </c>
    </row>
    <row r="1531" spans="1:27" x14ac:dyDescent="0.25">
      <c r="A1531" s="248" t="str">
        <f t="shared" si="141"/>
        <v/>
      </c>
      <c r="B1531" s="249" t="str">
        <f t="shared" si="142"/>
        <v/>
      </c>
      <c r="C1531" s="250"/>
      <c r="D1531" s="251"/>
      <c r="E1531" s="241"/>
      <c r="F1531" s="252"/>
      <c r="G1531" s="252"/>
      <c r="H1531" s="253"/>
      <c r="I1531" s="250"/>
      <c r="J1531" s="250"/>
      <c r="K1531" s="270"/>
      <c r="L1531" s="250"/>
      <c r="M1531" s="250"/>
      <c r="N1531" s="540" t="str">
        <f>CONCATENATE(IF(OR(M1531=phu!$I$1,M1531=phu!$I$2,M1531=phu!$I$3),"Cam Thành Nam",""),IF(OR(M1531=phu!$I$4,M1531=phu!$I$5,M1531=phu!$I$6,M1531=phu!$I$7,M1531=phu!$I$8,M1531=phu!$I$9,M1531=phu!$I$10,M1531=phu!$I$11,M1531=phu!$I$12,M1531=phu!$I$13,M1531=phu!$I$14),"Cam Nghĩa",""),IF(OR(M1531=phu!$I$15,M1531=phu!$I$16,M1531=phu!$I$17,M1531=phu!$I$18,M1531=phu!$I$19,M1531=phu!$I$20,M1531=phu!$I$21),"Cam Phúc Bắc",""),IF(OR(M1531=phu!$I$22,M1531=phu!$I$23,M1531=phu!$I$24,M1531=phu!$I$25),"Cam Phúc Nam",""),IF(OR(M1531=phu!$I$26,M1531=phu!$I$27,M1531=phu!$I$28,M1531=phu!$I$29,M1531=phu!$I$30,M1531=phu!$I$31),"Cam Phú",""),IF(OR(M1531=phu!$I$32,M1531=phu!$I$33,M1531=phu!$I$34,M1531=phu!$I$35,M1531=phu!$I$36,M1531=phu!$I$37),"Cam Lộc",""),IF(OR(M1531=phu!$I$38,M1531=phu!$I$39,M1531=phu!$I$40,M1531=phu!$I$41,M1531=phu!$I$42,M1531=phu!$I$43,M1531=phu!$I$44),"Cam Thuận",""),IF(OR(M1531=phu!$I$45,M1531=phu!$I$46,M1531=phu!$I$47,M1531=phu!$I$48,M1531=phu!$I$49,M1531=phu!$I$50,M1531=phu!$I$51,M1531=phu!$I$52,M1531=phu!$I$53),"Cam Linh",""),IF(OR(M1531=phu!$I$54,M1531=phu!$I$55,M1531=phu!$I$56,M1531=phu!$I$57,M1531=phu!$I$58,M1531=phu!$I$59,M1531=phu!$I$60,M1531=phu!$I$61,M1531=phu!$I$62),"Cam Lợi",""),IF(OR(M1531=phu!$I$63,M1531=phu!$I$64,M1531=phu!$I$65,M1531=phu!$I$66,M1531=phu!$I$67,M1531=phu!$I$68,M1531=phu!$I$69,M1531=phu!$I$70,M1531=phu!$I$71),"Ba Ngòi",""),IF(OR(M1531=phu!$I$72,M1531=phu!$I$73,M1531=phu!$I$74,M1531=phu!$I$75,M1531=phu!$I$76,M1531=phu!$I$77,M1531=phu!$I$78),"Cam Phước Đông",""),IF(OR(M1531=phu!$I$79,M1531=phu!$I$80,M1531=phu!$I$81,M1531=phu!$I$82,M1531=phu!$I$83,M1531=phu!$I$84),"Cam Thịnh Đông",""),IF(OR(M1531=phu!$I$85,M1531=phu!$I$86,M1531=phu!$I$87,M1531=phu!$I$88),"Cam Thịnh Tây",""),IF(OR(M1531=phu!$I$89,M1531=phu!$I$90),"Cam Lập",""),IF(OR(M1531=phu!$I$91,M1531=phu!$I$92,M1531=phu!$I$93),"Cam Bình",""),IF(OR(M1531=phu!$I$94,M1531=phu!$I$95,M1531=phu!$I$96,M1531=phu!$I$97,M1531=phu!$I$98,M1531=phu!$I$99,M1531=phu!$I$100),"Huyện khác",""),IF(OR(M1531=phu!$I$101,M1531=phu!$I$102),"Tỉnh khác",""))</f>
        <v/>
      </c>
      <c r="O1531" s="829" t="str">
        <f t="shared" si="138"/>
        <v/>
      </c>
      <c r="P1531" s="254"/>
      <c r="Q1531" s="254"/>
      <c r="R1531" s="254"/>
      <c r="S1531" s="254"/>
      <c r="T1531" s="254"/>
      <c r="U1531" s="254"/>
      <c r="V1531" s="254"/>
      <c r="W1531" s="254"/>
      <c r="Y1531" s="246" t="str">
        <f t="shared" si="139"/>
        <v/>
      </c>
      <c r="Z1531" s="247" t="str">
        <f t="shared" si="143"/>
        <v/>
      </c>
      <c r="AA1531" s="246" t="str">
        <f t="shared" si="140"/>
        <v/>
      </c>
    </row>
    <row r="1532" spans="1:27" x14ac:dyDescent="0.25">
      <c r="A1532" s="248" t="str">
        <f t="shared" si="141"/>
        <v/>
      </c>
      <c r="B1532" s="249" t="str">
        <f t="shared" si="142"/>
        <v/>
      </c>
      <c r="C1532" s="250"/>
      <c r="D1532" s="251"/>
      <c r="E1532" s="241"/>
      <c r="F1532" s="252"/>
      <c r="G1532" s="252"/>
      <c r="H1532" s="253"/>
      <c r="I1532" s="250"/>
      <c r="J1532" s="250"/>
      <c r="K1532" s="270"/>
      <c r="L1532" s="250"/>
      <c r="M1532" s="250"/>
      <c r="N1532" s="540" t="str">
        <f>CONCATENATE(IF(OR(M1532=phu!$I$1,M1532=phu!$I$2,M1532=phu!$I$3),"Cam Thành Nam",""),IF(OR(M1532=phu!$I$4,M1532=phu!$I$5,M1532=phu!$I$6,M1532=phu!$I$7,M1532=phu!$I$8,M1532=phu!$I$9,M1532=phu!$I$10,M1532=phu!$I$11,M1532=phu!$I$12,M1532=phu!$I$13,M1532=phu!$I$14),"Cam Nghĩa",""),IF(OR(M1532=phu!$I$15,M1532=phu!$I$16,M1532=phu!$I$17,M1532=phu!$I$18,M1532=phu!$I$19,M1532=phu!$I$20,M1532=phu!$I$21),"Cam Phúc Bắc",""),IF(OR(M1532=phu!$I$22,M1532=phu!$I$23,M1532=phu!$I$24,M1532=phu!$I$25),"Cam Phúc Nam",""),IF(OR(M1532=phu!$I$26,M1532=phu!$I$27,M1532=phu!$I$28,M1532=phu!$I$29,M1532=phu!$I$30,M1532=phu!$I$31),"Cam Phú",""),IF(OR(M1532=phu!$I$32,M1532=phu!$I$33,M1532=phu!$I$34,M1532=phu!$I$35,M1532=phu!$I$36,M1532=phu!$I$37),"Cam Lộc",""),IF(OR(M1532=phu!$I$38,M1532=phu!$I$39,M1532=phu!$I$40,M1532=phu!$I$41,M1532=phu!$I$42,M1532=phu!$I$43,M1532=phu!$I$44),"Cam Thuận",""),IF(OR(M1532=phu!$I$45,M1532=phu!$I$46,M1532=phu!$I$47,M1532=phu!$I$48,M1532=phu!$I$49,M1532=phu!$I$50,M1532=phu!$I$51,M1532=phu!$I$52,M1532=phu!$I$53),"Cam Linh",""),IF(OR(M1532=phu!$I$54,M1532=phu!$I$55,M1532=phu!$I$56,M1532=phu!$I$57,M1532=phu!$I$58,M1532=phu!$I$59,M1532=phu!$I$60,M1532=phu!$I$61,M1532=phu!$I$62),"Cam Lợi",""),IF(OR(M1532=phu!$I$63,M1532=phu!$I$64,M1532=phu!$I$65,M1532=phu!$I$66,M1532=phu!$I$67,M1532=phu!$I$68,M1532=phu!$I$69,M1532=phu!$I$70,M1532=phu!$I$71),"Ba Ngòi",""),IF(OR(M1532=phu!$I$72,M1532=phu!$I$73,M1532=phu!$I$74,M1532=phu!$I$75,M1532=phu!$I$76,M1532=phu!$I$77,M1532=phu!$I$78),"Cam Phước Đông",""),IF(OR(M1532=phu!$I$79,M1532=phu!$I$80,M1532=phu!$I$81,M1532=phu!$I$82,M1532=phu!$I$83,M1532=phu!$I$84),"Cam Thịnh Đông",""),IF(OR(M1532=phu!$I$85,M1532=phu!$I$86,M1532=phu!$I$87,M1532=phu!$I$88),"Cam Thịnh Tây",""),IF(OR(M1532=phu!$I$89,M1532=phu!$I$90),"Cam Lập",""),IF(OR(M1532=phu!$I$91,M1532=phu!$I$92,M1532=phu!$I$93),"Cam Bình",""),IF(OR(M1532=phu!$I$94,M1532=phu!$I$95,M1532=phu!$I$96,M1532=phu!$I$97,M1532=phu!$I$98,M1532=phu!$I$99,M1532=phu!$I$100),"Huyện khác",""),IF(OR(M1532=phu!$I$101,M1532=phu!$I$102),"Tỉnh khác",""))</f>
        <v/>
      </c>
      <c r="O1532" s="829" t="str">
        <f t="shared" si="138"/>
        <v/>
      </c>
      <c r="P1532" s="254"/>
      <c r="Q1532" s="254"/>
      <c r="R1532" s="254"/>
      <c r="S1532" s="254"/>
      <c r="T1532" s="254"/>
      <c r="U1532" s="254"/>
      <c r="V1532" s="254"/>
      <c r="W1532" s="254"/>
      <c r="Y1532" s="246" t="str">
        <f t="shared" si="139"/>
        <v/>
      </c>
      <c r="Z1532" s="247" t="str">
        <f t="shared" si="143"/>
        <v/>
      </c>
      <c r="AA1532" s="246" t="str">
        <f t="shared" si="140"/>
        <v/>
      </c>
    </row>
    <row r="1533" spans="1:27" x14ac:dyDescent="0.25">
      <c r="A1533" s="248" t="str">
        <f t="shared" si="141"/>
        <v/>
      </c>
      <c r="B1533" s="249" t="str">
        <f t="shared" si="142"/>
        <v/>
      </c>
      <c r="C1533" s="250"/>
      <c r="D1533" s="251"/>
      <c r="E1533" s="241"/>
      <c r="F1533" s="252"/>
      <c r="G1533" s="252"/>
      <c r="H1533" s="253"/>
      <c r="I1533" s="250"/>
      <c r="J1533" s="250"/>
      <c r="K1533" s="270"/>
      <c r="L1533" s="250"/>
      <c r="M1533" s="250"/>
      <c r="N1533" s="540" t="str">
        <f>CONCATENATE(IF(OR(M1533=phu!$I$1,M1533=phu!$I$2,M1533=phu!$I$3),"Cam Thành Nam",""),IF(OR(M1533=phu!$I$4,M1533=phu!$I$5,M1533=phu!$I$6,M1533=phu!$I$7,M1533=phu!$I$8,M1533=phu!$I$9,M1533=phu!$I$10,M1533=phu!$I$11,M1533=phu!$I$12,M1533=phu!$I$13,M1533=phu!$I$14),"Cam Nghĩa",""),IF(OR(M1533=phu!$I$15,M1533=phu!$I$16,M1533=phu!$I$17,M1533=phu!$I$18,M1533=phu!$I$19,M1533=phu!$I$20,M1533=phu!$I$21),"Cam Phúc Bắc",""),IF(OR(M1533=phu!$I$22,M1533=phu!$I$23,M1533=phu!$I$24,M1533=phu!$I$25),"Cam Phúc Nam",""),IF(OR(M1533=phu!$I$26,M1533=phu!$I$27,M1533=phu!$I$28,M1533=phu!$I$29,M1533=phu!$I$30,M1533=phu!$I$31),"Cam Phú",""),IF(OR(M1533=phu!$I$32,M1533=phu!$I$33,M1533=phu!$I$34,M1533=phu!$I$35,M1533=phu!$I$36,M1533=phu!$I$37),"Cam Lộc",""),IF(OR(M1533=phu!$I$38,M1533=phu!$I$39,M1533=phu!$I$40,M1533=phu!$I$41,M1533=phu!$I$42,M1533=phu!$I$43,M1533=phu!$I$44),"Cam Thuận",""),IF(OR(M1533=phu!$I$45,M1533=phu!$I$46,M1533=phu!$I$47,M1533=phu!$I$48,M1533=phu!$I$49,M1533=phu!$I$50,M1533=phu!$I$51,M1533=phu!$I$52,M1533=phu!$I$53),"Cam Linh",""),IF(OR(M1533=phu!$I$54,M1533=phu!$I$55,M1533=phu!$I$56,M1533=phu!$I$57,M1533=phu!$I$58,M1533=phu!$I$59,M1533=phu!$I$60,M1533=phu!$I$61,M1533=phu!$I$62),"Cam Lợi",""),IF(OR(M1533=phu!$I$63,M1533=phu!$I$64,M1533=phu!$I$65,M1533=phu!$I$66,M1533=phu!$I$67,M1533=phu!$I$68,M1533=phu!$I$69,M1533=phu!$I$70,M1533=phu!$I$71),"Ba Ngòi",""),IF(OR(M1533=phu!$I$72,M1533=phu!$I$73,M1533=phu!$I$74,M1533=phu!$I$75,M1533=phu!$I$76,M1533=phu!$I$77,M1533=phu!$I$78),"Cam Phước Đông",""),IF(OR(M1533=phu!$I$79,M1533=phu!$I$80,M1533=phu!$I$81,M1533=phu!$I$82,M1533=phu!$I$83,M1533=phu!$I$84),"Cam Thịnh Đông",""),IF(OR(M1533=phu!$I$85,M1533=phu!$I$86,M1533=phu!$I$87,M1533=phu!$I$88),"Cam Thịnh Tây",""),IF(OR(M1533=phu!$I$89,M1533=phu!$I$90),"Cam Lập",""),IF(OR(M1533=phu!$I$91,M1533=phu!$I$92,M1533=phu!$I$93),"Cam Bình",""),IF(OR(M1533=phu!$I$94,M1533=phu!$I$95,M1533=phu!$I$96,M1533=phu!$I$97,M1533=phu!$I$98,M1533=phu!$I$99,M1533=phu!$I$100),"Huyện khác",""),IF(OR(M1533=phu!$I$101,M1533=phu!$I$102),"Tỉnh khác",""))</f>
        <v/>
      </c>
      <c r="O1533" s="829" t="str">
        <f t="shared" si="138"/>
        <v/>
      </c>
      <c r="P1533" s="254"/>
      <c r="Q1533" s="254"/>
      <c r="R1533" s="254"/>
      <c r="S1533" s="254"/>
      <c r="T1533" s="254"/>
      <c r="U1533" s="254"/>
      <c r="V1533" s="254"/>
      <c r="W1533" s="254"/>
      <c r="Y1533" s="246" t="str">
        <f t="shared" si="139"/>
        <v/>
      </c>
      <c r="Z1533" s="247" t="str">
        <f t="shared" si="143"/>
        <v/>
      </c>
      <c r="AA1533" s="246" t="str">
        <f t="shared" si="140"/>
        <v/>
      </c>
    </row>
    <row r="1534" spans="1:27" x14ac:dyDescent="0.25">
      <c r="A1534" s="248" t="str">
        <f t="shared" si="141"/>
        <v/>
      </c>
      <c r="B1534" s="249" t="str">
        <f t="shared" si="142"/>
        <v/>
      </c>
      <c r="C1534" s="250"/>
      <c r="D1534" s="251"/>
      <c r="E1534" s="241"/>
      <c r="F1534" s="252"/>
      <c r="G1534" s="252"/>
      <c r="H1534" s="253"/>
      <c r="I1534" s="250"/>
      <c r="J1534" s="250"/>
      <c r="K1534" s="270"/>
      <c r="L1534" s="250"/>
      <c r="M1534" s="250"/>
      <c r="N1534" s="540" t="str">
        <f>CONCATENATE(IF(OR(M1534=phu!$I$1,M1534=phu!$I$2,M1534=phu!$I$3),"Cam Thành Nam",""),IF(OR(M1534=phu!$I$4,M1534=phu!$I$5,M1534=phu!$I$6,M1534=phu!$I$7,M1534=phu!$I$8,M1534=phu!$I$9,M1534=phu!$I$10,M1534=phu!$I$11,M1534=phu!$I$12,M1534=phu!$I$13,M1534=phu!$I$14),"Cam Nghĩa",""),IF(OR(M1534=phu!$I$15,M1534=phu!$I$16,M1534=phu!$I$17,M1534=phu!$I$18,M1534=phu!$I$19,M1534=phu!$I$20,M1534=phu!$I$21),"Cam Phúc Bắc",""),IF(OR(M1534=phu!$I$22,M1534=phu!$I$23,M1534=phu!$I$24,M1534=phu!$I$25),"Cam Phúc Nam",""),IF(OR(M1534=phu!$I$26,M1534=phu!$I$27,M1534=phu!$I$28,M1534=phu!$I$29,M1534=phu!$I$30,M1534=phu!$I$31),"Cam Phú",""),IF(OR(M1534=phu!$I$32,M1534=phu!$I$33,M1534=phu!$I$34,M1534=phu!$I$35,M1534=phu!$I$36,M1534=phu!$I$37),"Cam Lộc",""),IF(OR(M1534=phu!$I$38,M1534=phu!$I$39,M1534=phu!$I$40,M1534=phu!$I$41,M1534=phu!$I$42,M1534=phu!$I$43,M1534=phu!$I$44),"Cam Thuận",""),IF(OR(M1534=phu!$I$45,M1534=phu!$I$46,M1534=phu!$I$47,M1534=phu!$I$48,M1534=phu!$I$49,M1534=phu!$I$50,M1534=phu!$I$51,M1534=phu!$I$52,M1534=phu!$I$53),"Cam Linh",""),IF(OR(M1534=phu!$I$54,M1534=phu!$I$55,M1534=phu!$I$56,M1534=phu!$I$57,M1534=phu!$I$58,M1534=phu!$I$59,M1534=phu!$I$60,M1534=phu!$I$61,M1534=phu!$I$62),"Cam Lợi",""),IF(OR(M1534=phu!$I$63,M1534=phu!$I$64,M1534=phu!$I$65,M1534=phu!$I$66,M1534=phu!$I$67,M1534=phu!$I$68,M1534=phu!$I$69,M1534=phu!$I$70,M1534=phu!$I$71),"Ba Ngòi",""),IF(OR(M1534=phu!$I$72,M1534=phu!$I$73,M1534=phu!$I$74,M1534=phu!$I$75,M1534=phu!$I$76,M1534=phu!$I$77,M1534=phu!$I$78),"Cam Phước Đông",""),IF(OR(M1534=phu!$I$79,M1534=phu!$I$80,M1534=phu!$I$81,M1534=phu!$I$82,M1534=phu!$I$83,M1534=phu!$I$84),"Cam Thịnh Đông",""),IF(OR(M1534=phu!$I$85,M1534=phu!$I$86,M1534=phu!$I$87,M1534=phu!$I$88),"Cam Thịnh Tây",""),IF(OR(M1534=phu!$I$89,M1534=phu!$I$90),"Cam Lập",""),IF(OR(M1534=phu!$I$91,M1534=phu!$I$92,M1534=phu!$I$93),"Cam Bình",""),IF(OR(M1534=phu!$I$94,M1534=phu!$I$95,M1534=phu!$I$96,M1534=phu!$I$97,M1534=phu!$I$98,M1534=phu!$I$99,M1534=phu!$I$100),"Huyện khác",""),IF(OR(M1534=phu!$I$101,M1534=phu!$I$102),"Tỉnh khác",""))</f>
        <v/>
      </c>
      <c r="O1534" s="829" t="str">
        <f t="shared" si="138"/>
        <v/>
      </c>
      <c r="P1534" s="254"/>
      <c r="Q1534" s="254"/>
      <c r="R1534" s="254"/>
      <c r="S1534" s="254"/>
      <c r="T1534" s="254"/>
      <c r="U1534" s="254"/>
      <c r="V1534" s="254"/>
      <c r="W1534" s="254"/>
      <c r="Y1534" s="246" t="str">
        <f t="shared" si="139"/>
        <v/>
      </c>
      <c r="Z1534" s="247" t="str">
        <f t="shared" si="143"/>
        <v/>
      </c>
      <c r="AA1534" s="246" t="str">
        <f t="shared" si="140"/>
        <v/>
      </c>
    </row>
    <row r="1535" spans="1:27" x14ac:dyDescent="0.25">
      <c r="A1535" s="248" t="str">
        <f t="shared" si="141"/>
        <v/>
      </c>
      <c r="B1535" s="249" t="str">
        <f t="shared" si="142"/>
        <v/>
      </c>
      <c r="C1535" s="250"/>
      <c r="D1535" s="251"/>
      <c r="E1535" s="241"/>
      <c r="F1535" s="252"/>
      <c r="G1535" s="252"/>
      <c r="H1535" s="253"/>
      <c r="I1535" s="250"/>
      <c r="J1535" s="250"/>
      <c r="K1535" s="270"/>
      <c r="L1535" s="250"/>
      <c r="M1535" s="250"/>
      <c r="N1535" s="540" t="str">
        <f>CONCATENATE(IF(OR(M1535=phu!$I$1,M1535=phu!$I$2,M1535=phu!$I$3),"Cam Thành Nam",""),IF(OR(M1535=phu!$I$4,M1535=phu!$I$5,M1535=phu!$I$6,M1535=phu!$I$7,M1535=phu!$I$8,M1535=phu!$I$9,M1535=phu!$I$10,M1535=phu!$I$11,M1535=phu!$I$12,M1535=phu!$I$13,M1535=phu!$I$14),"Cam Nghĩa",""),IF(OR(M1535=phu!$I$15,M1535=phu!$I$16,M1535=phu!$I$17,M1535=phu!$I$18,M1535=phu!$I$19,M1535=phu!$I$20,M1535=phu!$I$21),"Cam Phúc Bắc",""),IF(OR(M1535=phu!$I$22,M1535=phu!$I$23,M1535=phu!$I$24,M1535=phu!$I$25),"Cam Phúc Nam",""),IF(OR(M1535=phu!$I$26,M1535=phu!$I$27,M1535=phu!$I$28,M1535=phu!$I$29,M1535=phu!$I$30,M1535=phu!$I$31),"Cam Phú",""),IF(OR(M1535=phu!$I$32,M1535=phu!$I$33,M1535=phu!$I$34,M1535=phu!$I$35,M1535=phu!$I$36,M1535=phu!$I$37),"Cam Lộc",""),IF(OR(M1535=phu!$I$38,M1535=phu!$I$39,M1535=phu!$I$40,M1535=phu!$I$41,M1535=phu!$I$42,M1535=phu!$I$43,M1535=phu!$I$44),"Cam Thuận",""),IF(OR(M1535=phu!$I$45,M1535=phu!$I$46,M1535=phu!$I$47,M1535=phu!$I$48,M1535=phu!$I$49,M1535=phu!$I$50,M1535=phu!$I$51,M1535=phu!$I$52,M1535=phu!$I$53),"Cam Linh",""),IF(OR(M1535=phu!$I$54,M1535=phu!$I$55,M1535=phu!$I$56,M1535=phu!$I$57,M1535=phu!$I$58,M1535=phu!$I$59,M1535=phu!$I$60,M1535=phu!$I$61,M1535=phu!$I$62),"Cam Lợi",""),IF(OR(M1535=phu!$I$63,M1535=phu!$I$64,M1535=phu!$I$65,M1535=phu!$I$66,M1535=phu!$I$67,M1535=phu!$I$68,M1535=phu!$I$69,M1535=phu!$I$70,M1535=phu!$I$71),"Ba Ngòi",""),IF(OR(M1535=phu!$I$72,M1535=phu!$I$73,M1535=phu!$I$74,M1535=phu!$I$75,M1535=phu!$I$76,M1535=phu!$I$77,M1535=phu!$I$78),"Cam Phước Đông",""),IF(OR(M1535=phu!$I$79,M1535=phu!$I$80,M1535=phu!$I$81,M1535=phu!$I$82,M1535=phu!$I$83,M1535=phu!$I$84),"Cam Thịnh Đông",""),IF(OR(M1535=phu!$I$85,M1535=phu!$I$86,M1535=phu!$I$87,M1535=phu!$I$88),"Cam Thịnh Tây",""),IF(OR(M1535=phu!$I$89,M1535=phu!$I$90),"Cam Lập",""),IF(OR(M1535=phu!$I$91,M1535=phu!$I$92,M1535=phu!$I$93),"Cam Bình",""),IF(OR(M1535=phu!$I$94,M1535=phu!$I$95,M1535=phu!$I$96,M1535=phu!$I$97,M1535=phu!$I$98,M1535=phu!$I$99,M1535=phu!$I$100),"Huyện khác",""),IF(OR(M1535=phu!$I$101,M1535=phu!$I$102),"Tỉnh khác",""))</f>
        <v/>
      </c>
      <c r="O1535" s="829" t="str">
        <f t="shared" si="138"/>
        <v/>
      </c>
      <c r="P1535" s="254"/>
      <c r="Q1535" s="254"/>
      <c r="R1535" s="254"/>
      <c r="S1535" s="254"/>
      <c r="T1535" s="254"/>
      <c r="U1535" s="254"/>
      <c r="V1535" s="254"/>
      <c r="W1535" s="254"/>
      <c r="Y1535" s="246" t="str">
        <f t="shared" si="139"/>
        <v/>
      </c>
      <c r="Z1535" s="247" t="str">
        <f t="shared" si="143"/>
        <v/>
      </c>
      <c r="AA1535" s="246" t="str">
        <f t="shared" si="140"/>
        <v/>
      </c>
    </row>
    <row r="1536" spans="1:27" x14ac:dyDescent="0.25">
      <c r="A1536" s="248" t="str">
        <f t="shared" si="141"/>
        <v/>
      </c>
      <c r="B1536" s="249" t="str">
        <f t="shared" si="142"/>
        <v/>
      </c>
      <c r="C1536" s="250"/>
      <c r="D1536" s="251"/>
      <c r="E1536" s="241"/>
      <c r="F1536" s="252"/>
      <c r="G1536" s="252"/>
      <c r="H1536" s="253"/>
      <c r="I1536" s="250"/>
      <c r="J1536" s="250"/>
      <c r="K1536" s="270"/>
      <c r="L1536" s="250"/>
      <c r="M1536" s="250"/>
      <c r="N1536" s="540" t="str">
        <f>CONCATENATE(IF(OR(M1536=phu!$I$1,M1536=phu!$I$2,M1536=phu!$I$3),"Cam Thành Nam",""),IF(OR(M1536=phu!$I$4,M1536=phu!$I$5,M1536=phu!$I$6,M1536=phu!$I$7,M1536=phu!$I$8,M1536=phu!$I$9,M1536=phu!$I$10,M1536=phu!$I$11,M1536=phu!$I$12,M1536=phu!$I$13,M1536=phu!$I$14),"Cam Nghĩa",""),IF(OR(M1536=phu!$I$15,M1536=phu!$I$16,M1536=phu!$I$17,M1536=phu!$I$18,M1536=phu!$I$19,M1536=phu!$I$20,M1536=phu!$I$21),"Cam Phúc Bắc",""),IF(OR(M1536=phu!$I$22,M1536=phu!$I$23,M1536=phu!$I$24,M1536=phu!$I$25),"Cam Phúc Nam",""),IF(OR(M1536=phu!$I$26,M1536=phu!$I$27,M1536=phu!$I$28,M1536=phu!$I$29,M1536=phu!$I$30,M1536=phu!$I$31),"Cam Phú",""),IF(OR(M1536=phu!$I$32,M1536=phu!$I$33,M1536=phu!$I$34,M1536=phu!$I$35,M1536=phu!$I$36,M1536=phu!$I$37),"Cam Lộc",""),IF(OR(M1536=phu!$I$38,M1536=phu!$I$39,M1536=phu!$I$40,M1536=phu!$I$41,M1536=phu!$I$42,M1536=phu!$I$43,M1536=phu!$I$44),"Cam Thuận",""),IF(OR(M1536=phu!$I$45,M1536=phu!$I$46,M1536=phu!$I$47,M1536=phu!$I$48,M1536=phu!$I$49,M1536=phu!$I$50,M1536=phu!$I$51,M1536=phu!$I$52,M1536=phu!$I$53),"Cam Linh",""),IF(OR(M1536=phu!$I$54,M1536=phu!$I$55,M1536=phu!$I$56,M1536=phu!$I$57,M1536=phu!$I$58,M1536=phu!$I$59,M1536=phu!$I$60,M1536=phu!$I$61,M1536=phu!$I$62),"Cam Lợi",""),IF(OR(M1536=phu!$I$63,M1536=phu!$I$64,M1536=phu!$I$65,M1536=phu!$I$66,M1536=phu!$I$67,M1536=phu!$I$68,M1536=phu!$I$69,M1536=phu!$I$70,M1536=phu!$I$71),"Ba Ngòi",""),IF(OR(M1536=phu!$I$72,M1536=phu!$I$73,M1536=phu!$I$74,M1536=phu!$I$75,M1536=phu!$I$76,M1536=phu!$I$77,M1536=phu!$I$78),"Cam Phước Đông",""),IF(OR(M1536=phu!$I$79,M1536=phu!$I$80,M1536=phu!$I$81,M1536=phu!$I$82,M1536=phu!$I$83,M1536=phu!$I$84),"Cam Thịnh Đông",""),IF(OR(M1536=phu!$I$85,M1536=phu!$I$86,M1536=phu!$I$87,M1536=phu!$I$88),"Cam Thịnh Tây",""),IF(OR(M1536=phu!$I$89,M1536=phu!$I$90),"Cam Lập",""),IF(OR(M1536=phu!$I$91,M1536=phu!$I$92,M1536=phu!$I$93),"Cam Bình",""),IF(OR(M1536=phu!$I$94,M1536=phu!$I$95,M1536=phu!$I$96,M1536=phu!$I$97,M1536=phu!$I$98,M1536=phu!$I$99,M1536=phu!$I$100),"Huyện khác",""),IF(OR(M1536=phu!$I$101,M1536=phu!$I$102),"Tỉnh khác",""))</f>
        <v/>
      </c>
      <c r="O1536" s="829" t="str">
        <f t="shared" si="138"/>
        <v/>
      </c>
      <c r="P1536" s="254"/>
      <c r="Q1536" s="254"/>
      <c r="R1536" s="254"/>
      <c r="S1536" s="254"/>
      <c r="T1536" s="254"/>
      <c r="U1536" s="254"/>
      <c r="V1536" s="254"/>
      <c r="W1536" s="254"/>
      <c r="Y1536" s="246" t="str">
        <f t="shared" si="139"/>
        <v/>
      </c>
      <c r="Z1536" s="247" t="str">
        <f t="shared" si="143"/>
        <v/>
      </c>
      <c r="AA1536" s="246" t="str">
        <f t="shared" si="140"/>
        <v/>
      </c>
    </row>
    <row r="1537" spans="1:27" x14ac:dyDescent="0.25">
      <c r="A1537" s="248" t="str">
        <f t="shared" si="141"/>
        <v/>
      </c>
      <c r="B1537" s="249" t="str">
        <f t="shared" si="142"/>
        <v/>
      </c>
      <c r="C1537" s="250"/>
      <c r="D1537" s="251"/>
      <c r="E1537" s="241"/>
      <c r="F1537" s="252"/>
      <c r="G1537" s="252"/>
      <c r="H1537" s="253"/>
      <c r="I1537" s="250"/>
      <c r="J1537" s="250"/>
      <c r="K1537" s="270"/>
      <c r="L1537" s="250"/>
      <c r="M1537" s="250"/>
      <c r="N1537" s="540" t="str">
        <f>CONCATENATE(IF(OR(M1537=phu!$I$1,M1537=phu!$I$2,M1537=phu!$I$3),"Cam Thành Nam",""),IF(OR(M1537=phu!$I$4,M1537=phu!$I$5,M1537=phu!$I$6,M1537=phu!$I$7,M1537=phu!$I$8,M1537=phu!$I$9,M1537=phu!$I$10,M1537=phu!$I$11,M1537=phu!$I$12,M1537=phu!$I$13,M1537=phu!$I$14),"Cam Nghĩa",""),IF(OR(M1537=phu!$I$15,M1537=phu!$I$16,M1537=phu!$I$17,M1537=phu!$I$18,M1537=phu!$I$19,M1537=phu!$I$20,M1537=phu!$I$21),"Cam Phúc Bắc",""),IF(OR(M1537=phu!$I$22,M1537=phu!$I$23,M1537=phu!$I$24,M1537=phu!$I$25),"Cam Phúc Nam",""),IF(OR(M1537=phu!$I$26,M1537=phu!$I$27,M1537=phu!$I$28,M1537=phu!$I$29,M1537=phu!$I$30,M1537=phu!$I$31),"Cam Phú",""),IF(OR(M1537=phu!$I$32,M1537=phu!$I$33,M1537=phu!$I$34,M1537=phu!$I$35,M1537=phu!$I$36,M1537=phu!$I$37),"Cam Lộc",""),IF(OR(M1537=phu!$I$38,M1537=phu!$I$39,M1537=phu!$I$40,M1537=phu!$I$41,M1537=phu!$I$42,M1537=phu!$I$43,M1537=phu!$I$44),"Cam Thuận",""),IF(OR(M1537=phu!$I$45,M1537=phu!$I$46,M1537=phu!$I$47,M1537=phu!$I$48,M1537=phu!$I$49,M1537=phu!$I$50,M1537=phu!$I$51,M1537=phu!$I$52,M1537=phu!$I$53),"Cam Linh",""),IF(OR(M1537=phu!$I$54,M1537=phu!$I$55,M1537=phu!$I$56,M1537=phu!$I$57,M1537=phu!$I$58,M1537=phu!$I$59,M1537=phu!$I$60,M1537=phu!$I$61,M1537=phu!$I$62),"Cam Lợi",""),IF(OR(M1537=phu!$I$63,M1537=phu!$I$64,M1537=phu!$I$65,M1537=phu!$I$66,M1537=phu!$I$67,M1537=phu!$I$68,M1537=phu!$I$69,M1537=phu!$I$70,M1537=phu!$I$71),"Ba Ngòi",""),IF(OR(M1537=phu!$I$72,M1537=phu!$I$73,M1537=phu!$I$74,M1537=phu!$I$75,M1537=phu!$I$76,M1537=phu!$I$77,M1537=phu!$I$78),"Cam Phước Đông",""),IF(OR(M1537=phu!$I$79,M1537=phu!$I$80,M1537=phu!$I$81,M1537=phu!$I$82,M1537=phu!$I$83,M1537=phu!$I$84),"Cam Thịnh Đông",""),IF(OR(M1537=phu!$I$85,M1537=phu!$I$86,M1537=phu!$I$87,M1537=phu!$I$88),"Cam Thịnh Tây",""),IF(OR(M1537=phu!$I$89,M1537=phu!$I$90),"Cam Lập",""),IF(OR(M1537=phu!$I$91,M1537=phu!$I$92,M1537=phu!$I$93),"Cam Bình",""),IF(OR(M1537=phu!$I$94,M1537=phu!$I$95,M1537=phu!$I$96,M1537=phu!$I$97,M1537=phu!$I$98,M1537=phu!$I$99,M1537=phu!$I$100),"Huyện khác",""),IF(OR(M1537=phu!$I$101,M1537=phu!$I$102),"Tỉnh khác",""))</f>
        <v/>
      </c>
      <c r="O1537" s="829" t="str">
        <f t="shared" si="138"/>
        <v/>
      </c>
      <c r="P1537" s="254"/>
      <c r="Q1537" s="254"/>
      <c r="R1537" s="254"/>
      <c r="S1537" s="254"/>
      <c r="T1537" s="254"/>
      <c r="U1537" s="254"/>
      <c r="V1537" s="254"/>
      <c r="W1537" s="254"/>
      <c r="Y1537" s="246" t="str">
        <f t="shared" si="139"/>
        <v/>
      </c>
      <c r="Z1537" s="247" t="str">
        <f t="shared" si="143"/>
        <v/>
      </c>
      <c r="AA1537" s="246" t="str">
        <f t="shared" si="140"/>
        <v/>
      </c>
    </row>
    <row r="1538" spans="1:27" x14ac:dyDescent="0.25">
      <c r="A1538" s="248" t="str">
        <f t="shared" si="141"/>
        <v/>
      </c>
      <c r="B1538" s="249" t="str">
        <f t="shared" si="142"/>
        <v/>
      </c>
      <c r="C1538" s="250"/>
      <c r="D1538" s="251"/>
      <c r="E1538" s="241"/>
      <c r="F1538" s="252"/>
      <c r="G1538" s="252"/>
      <c r="H1538" s="253"/>
      <c r="I1538" s="250"/>
      <c r="J1538" s="250"/>
      <c r="K1538" s="270"/>
      <c r="L1538" s="250"/>
      <c r="M1538" s="250"/>
      <c r="N1538" s="540" t="str">
        <f>CONCATENATE(IF(OR(M1538=phu!$I$1,M1538=phu!$I$2,M1538=phu!$I$3),"Cam Thành Nam",""),IF(OR(M1538=phu!$I$4,M1538=phu!$I$5,M1538=phu!$I$6,M1538=phu!$I$7,M1538=phu!$I$8,M1538=phu!$I$9,M1538=phu!$I$10,M1538=phu!$I$11,M1538=phu!$I$12,M1538=phu!$I$13,M1538=phu!$I$14),"Cam Nghĩa",""),IF(OR(M1538=phu!$I$15,M1538=phu!$I$16,M1538=phu!$I$17,M1538=phu!$I$18,M1538=phu!$I$19,M1538=phu!$I$20,M1538=phu!$I$21),"Cam Phúc Bắc",""),IF(OR(M1538=phu!$I$22,M1538=phu!$I$23,M1538=phu!$I$24,M1538=phu!$I$25),"Cam Phúc Nam",""),IF(OR(M1538=phu!$I$26,M1538=phu!$I$27,M1538=phu!$I$28,M1538=phu!$I$29,M1538=phu!$I$30,M1538=phu!$I$31),"Cam Phú",""),IF(OR(M1538=phu!$I$32,M1538=phu!$I$33,M1538=phu!$I$34,M1538=phu!$I$35,M1538=phu!$I$36,M1538=phu!$I$37),"Cam Lộc",""),IF(OR(M1538=phu!$I$38,M1538=phu!$I$39,M1538=phu!$I$40,M1538=phu!$I$41,M1538=phu!$I$42,M1538=phu!$I$43,M1538=phu!$I$44),"Cam Thuận",""),IF(OR(M1538=phu!$I$45,M1538=phu!$I$46,M1538=phu!$I$47,M1538=phu!$I$48,M1538=phu!$I$49,M1538=phu!$I$50,M1538=phu!$I$51,M1538=phu!$I$52,M1538=phu!$I$53),"Cam Linh",""),IF(OR(M1538=phu!$I$54,M1538=phu!$I$55,M1538=phu!$I$56,M1538=phu!$I$57,M1538=phu!$I$58,M1538=phu!$I$59,M1538=phu!$I$60,M1538=phu!$I$61,M1538=phu!$I$62),"Cam Lợi",""),IF(OR(M1538=phu!$I$63,M1538=phu!$I$64,M1538=phu!$I$65,M1538=phu!$I$66,M1538=phu!$I$67,M1538=phu!$I$68,M1538=phu!$I$69,M1538=phu!$I$70,M1538=phu!$I$71),"Ba Ngòi",""),IF(OR(M1538=phu!$I$72,M1538=phu!$I$73,M1538=phu!$I$74,M1538=phu!$I$75,M1538=phu!$I$76,M1538=phu!$I$77,M1538=phu!$I$78),"Cam Phước Đông",""),IF(OR(M1538=phu!$I$79,M1538=phu!$I$80,M1538=phu!$I$81,M1538=phu!$I$82,M1538=phu!$I$83,M1538=phu!$I$84),"Cam Thịnh Đông",""),IF(OR(M1538=phu!$I$85,M1538=phu!$I$86,M1538=phu!$I$87,M1538=phu!$I$88),"Cam Thịnh Tây",""),IF(OR(M1538=phu!$I$89,M1538=phu!$I$90),"Cam Lập",""),IF(OR(M1538=phu!$I$91,M1538=phu!$I$92,M1538=phu!$I$93),"Cam Bình",""),IF(OR(M1538=phu!$I$94,M1538=phu!$I$95,M1538=phu!$I$96,M1538=phu!$I$97,M1538=phu!$I$98,M1538=phu!$I$99,M1538=phu!$I$100),"Huyện khác",""),IF(OR(M1538=phu!$I$101,M1538=phu!$I$102),"Tỉnh khác",""))</f>
        <v/>
      </c>
      <c r="O1538" s="829" t="str">
        <f t="shared" si="138"/>
        <v/>
      </c>
      <c r="P1538" s="254"/>
      <c r="Q1538" s="254"/>
      <c r="R1538" s="254"/>
      <c r="S1538" s="254"/>
      <c r="T1538" s="254"/>
      <c r="U1538" s="254"/>
      <c r="V1538" s="254"/>
      <c r="W1538" s="254"/>
      <c r="Y1538" s="246" t="str">
        <f t="shared" si="139"/>
        <v/>
      </c>
      <c r="Z1538" s="247" t="str">
        <f t="shared" si="143"/>
        <v/>
      </c>
      <c r="AA1538" s="246" t="str">
        <f t="shared" si="140"/>
        <v/>
      </c>
    </row>
    <row r="1539" spans="1:27" x14ac:dyDescent="0.25">
      <c r="A1539" s="248" t="str">
        <f t="shared" si="141"/>
        <v/>
      </c>
      <c r="B1539" s="249" t="str">
        <f t="shared" si="142"/>
        <v/>
      </c>
      <c r="C1539" s="250"/>
      <c r="D1539" s="251"/>
      <c r="E1539" s="241"/>
      <c r="F1539" s="252"/>
      <c r="G1539" s="252"/>
      <c r="H1539" s="253"/>
      <c r="I1539" s="250"/>
      <c r="J1539" s="250"/>
      <c r="K1539" s="270"/>
      <c r="L1539" s="250"/>
      <c r="M1539" s="250"/>
      <c r="N1539" s="540" t="str">
        <f>CONCATENATE(IF(OR(M1539=phu!$I$1,M1539=phu!$I$2,M1539=phu!$I$3),"Cam Thành Nam",""),IF(OR(M1539=phu!$I$4,M1539=phu!$I$5,M1539=phu!$I$6,M1539=phu!$I$7,M1539=phu!$I$8,M1539=phu!$I$9,M1539=phu!$I$10,M1539=phu!$I$11,M1539=phu!$I$12,M1539=phu!$I$13,M1539=phu!$I$14),"Cam Nghĩa",""),IF(OR(M1539=phu!$I$15,M1539=phu!$I$16,M1539=phu!$I$17,M1539=phu!$I$18,M1539=phu!$I$19,M1539=phu!$I$20,M1539=phu!$I$21),"Cam Phúc Bắc",""),IF(OR(M1539=phu!$I$22,M1539=phu!$I$23,M1539=phu!$I$24,M1539=phu!$I$25),"Cam Phúc Nam",""),IF(OR(M1539=phu!$I$26,M1539=phu!$I$27,M1539=phu!$I$28,M1539=phu!$I$29,M1539=phu!$I$30,M1539=phu!$I$31),"Cam Phú",""),IF(OR(M1539=phu!$I$32,M1539=phu!$I$33,M1539=phu!$I$34,M1539=phu!$I$35,M1539=phu!$I$36,M1539=phu!$I$37),"Cam Lộc",""),IF(OR(M1539=phu!$I$38,M1539=phu!$I$39,M1539=phu!$I$40,M1539=phu!$I$41,M1539=phu!$I$42,M1539=phu!$I$43,M1539=phu!$I$44),"Cam Thuận",""),IF(OR(M1539=phu!$I$45,M1539=phu!$I$46,M1539=phu!$I$47,M1539=phu!$I$48,M1539=phu!$I$49,M1539=phu!$I$50,M1539=phu!$I$51,M1539=phu!$I$52,M1539=phu!$I$53),"Cam Linh",""),IF(OR(M1539=phu!$I$54,M1539=phu!$I$55,M1539=phu!$I$56,M1539=phu!$I$57,M1539=phu!$I$58,M1539=phu!$I$59,M1539=phu!$I$60,M1539=phu!$I$61,M1539=phu!$I$62),"Cam Lợi",""),IF(OR(M1539=phu!$I$63,M1539=phu!$I$64,M1539=phu!$I$65,M1539=phu!$I$66,M1539=phu!$I$67,M1539=phu!$I$68,M1539=phu!$I$69,M1539=phu!$I$70,M1539=phu!$I$71),"Ba Ngòi",""),IF(OR(M1539=phu!$I$72,M1539=phu!$I$73,M1539=phu!$I$74,M1539=phu!$I$75,M1539=phu!$I$76,M1539=phu!$I$77,M1539=phu!$I$78),"Cam Phước Đông",""),IF(OR(M1539=phu!$I$79,M1539=phu!$I$80,M1539=phu!$I$81,M1539=phu!$I$82,M1539=phu!$I$83,M1539=phu!$I$84),"Cam Thịnh Đông",""),IF(OR(M1539=phu!$I$85,M1539=phu!$I$86,M1539=phu!$I$87,M1539=phu!$I$88),"Cam Thịnh Tây",""),IF(OR(M1539=phu!$I$89,M1539=phu!$I$90),"Cam Lập",""),IF(OR(M1539=phu!$I$91,M1539=phu!$I$92,M1539=phu!$I$93),"Cam Bình",""),IF(OR(M1539=phu!$I$94,M1539=phu!$I$95,M1539=phu!$I$96,M1539=phu!$I$97,M1539=phu!$I$98,M1539=phu!$I$99,M1539=phu!$I$100),"Huyện khác",""),IF(OR(M1539=phu!$I$101,M1539=phu!$I$102),"Tỉnh khác",""))</f>
        <v/>
      </c>
      <c r="O1539" s="829" t="str">
        <f t="shared" si="138"/>
        <v/>
      </c>
      <c r="P1539" s="254"/>
      <c r="Q1539" s="254"/>
      <c r="R1539" s="254"/>
      <c r="S1539" s="254"/>
      <c r="T1539" s="254"/>
      <c r="U1539" s="254"/>
      <c r="V1539" s="254"/>
      <c r="W1539" s="254"/>
      <c r="Y1539" s="246" t="str">
        <f t="shared" si="139"/>
        <v/>
      </c>
      <c r="Z1539" s="247" t="str">
        <f t="shared" si="143"/>
        <v/>
      </c>
      <c r="AA1539" s="246" t="str">
        <f t="shared" si="140"/>
        <v/>
      </c>
    </row>
    <row r="1540" spans="1:27" x14ac:dyDescent="0.25">
      <c r="A1540" s="248" t="str">
        <f t="shared" si="141"/>
        <v/>
      </c>
      <c r="B1540" s="249" t="str">
        <f t="shared" si="142"/>
        <v/>
      </c>
      <c r="C1540" s="250"/>
      <c r="D1540" s="251"/>
      <c r="E1540" s="241"/>
      <c r="F1540" s="252"/>
      <c r="G1540" s="252"/>
      <c r="H1540" s="253"/>
      <c r="I1540" s="250"/>
      <c r="J1540" s="250"/>
      <c r="K1540" s="270"/>
      <c r="L1540" s="250"/>
      <c r="M1540" s="250"/>
      <c r="N1540" s="540" t="str">
        <f>CONCATENATE(IF(OR(M1540=phu!$I$1,M1540=phu!$I$2,M1540=phu!$I$3),"Cam Thành Nam",""),IF(OR(M1540=phu!$I$4,M1540=phu!$I$5,M1540=phu!$I$6,M1540=phu!$I$7,M1540=phu!$I$8,M1540=phu!$I$9,M1540=phu!$I$10,M1540=phu!$I$11,M1540=phu!$I$12,M1540=phu!$I$13,M1540=phu!$I$14),"Cam Nghĩa",""),IF(OR(M1540=phu!$I$15,M1540=phu!$I$16,M1540=phu!$I$17,M1540=phu!$I$18,M1540=phu!$I$19,M1540=phu!$I$20,M1540=phu!$I$21),"Cam Phúc Bắc",""),IF(OR(M1540=phu!$I$22,M1540=phu!$I$23,M1540=phu!$I$24,M1540=phu!$I$25),"Cam Phúc Nam",""),IF(OR(M1540=phu!$I$26,M1540=phu!$I$27,M1540=phu!$I$28,M1540=phu!$I$29,M1540=phu!$I$30,M1540=phu!$I$31),"Cam Phú",""),IF(OR(M1540=phu!$I$32,M1540=phu!$I$33,M1540=phu!$I$34,M1540=phu!$I$35,M1540=phu!$I$36,M1540=phu!$I$37),"Cam Lộc",""),IF(OR(M1540=phu!$I$38,M1540=phu!$I$39,M1540=phu!$I$40,M1540=phu!$I$41,M1540=phu!$I$42,M1540=phu!$I$43,M1540=phu!$I$44),"Cam Thuận",""),IF(OR(M1540=phu!$I$45,M1540=phu!$I$46,M1540=phu!$I$47,M1540=phu!$I$48,M1540=phu!$I$49,M1540=phu!$I$50,M1540=phu!$I$51,M1540=phu!$I$52,M1540=phu!$I$53),"Cam Linh",""),IF(OR(M1540=phu!$I$54,M1540=phu!$I$55,M1540=phu!$I$56,M1540=phu!$I$57,M1540=phu!$I$58,M1540=phu!$I$59,M1540=phu!$I$60,M1540=phu!$I$61,M1540=phu!$I$62),"Cam Lợi",""),IF(OR(M1540=phu!$I$63,M1540=phu!$I$64,M1540=phu!$I$65,M1540=phu!$I$66,M1540=phu!$I$67,M1540=phu!$I$68,M1540=phu!$I$69,M1540=phu!$I$70,M1540=phu!$I$71),"Ba Ngòi",""),IF(OR(M1540=phu!$I$72,M1540=phu!$I$73,M1540=phu!$I$74,M1540=phu!$I$75,M1540=phu!$I$76,M1540=phu!$I$77,M1540=phu!$I$78),"Cam Phước Đông",""),IF(OR(M1540=phu!$I$79,M1540=phu!$I$80,M1540=phu!$I$81,M1540=phu!$I$82,M1540=phu!$I$83,M1540=phu!$I$84),"Cam Thịnh Đông",""),IF(OR(M1540=phu!$I$85,M1540=phu!$I$86,M1540=phu!$I$87,M1540=phu!$I$88),"Cam Thịnh Tây",""),IF(OR(M1540=phu!$I$89,M1540=phu!$I$90),"Cam Lập",""),IF(OR(M1540=phu!$I$91,M1540=phu!$I$92,M1540=phu!$I$93),"Cam Bình",""),IF(OR(M1540=phu!$I$94,M1540=phu!$I$95,M1540=phu!$I$96,M1540=phu!$I$97,M1540=phu!$I$98,M1540=phu!$I$99,M1540=phu!$I$100),"Huyện khác",""),IF(OR(M1540=phu!$I$101,M1540=phu!$I$102),"Tỉnh khác",""))</f>
        <v/>
      </c>
      <c r="O1540" s="829" t="str">
        <f t="shared" si="138"/>
        <v/>
      </c>
      <c r="P1540" s="254"/>
      <c r="Q1540" s="254"/>
      <c r="R1540" s="254"/>
      <c r="S1540" s="254"/>
      <c r="T1540" s="254"/>
      <c r="U1540" s="254"/>
      <c r="V1540" s="254"/>
      <c r="W1540" s="254"/>
      <c r="Y1540" s="246" t="str">
        <f t="shared" si="139"/>
        <v/>
      </c>
      <c r="Z1540" s="247" t="str">
        <f t="shared" si="143"/>
        <v/>
      </c>
      <c r="AA1540" s="246" t="str">
        <f t="shared" si="140"/>
        <v/>
      </c>
    </row>
    <row r="1541" spans="1:27" x14ac:dyDescent="0.25">
      <c r="A1541" s="248" t="str">
        <f t="shared" si="141"/>
        <v/>
      </c>
      <c r="B1541" s="249" t="str">
        <f t="shared" si="142"/>
        <v/>
      </c>
      <c r="C1541" s="250"/>
      <c r="D1541" s="251"/>
      <c r="E1541" s="241"/>
      <c r="F1541" s="252"/>
      <c r="G1541" s="252"/>
      <c r="H1541" s="253"/>
      <c r="I1541" s="250"/>
      <c r="J1541" s="250"/>
      <c r="K1541" s="270"/>
      <c r="L1541" s="250"/>
      <c r="M1541" s="250"/>
      <c r="N1541" s="540" t="str">
        <f>CONCATENATE(IF(OR(M1541=phu!$I$1,M1541=phu!$I$2,M1541=phu!$I$3),"Cam Thành Nam",""),IF(OR(M1541=phu!$I$4,M1541=phu!$I$5,M1541=phu!$I$6,M1541=phu!$I$7,M1541=phu!$I$8,M1541=phu!$I$9,M1541=phu!$I$10,M1541=phu!$I$11,M1541=phu!$I$12,M1541=phu!$I$13,M1541=phu!$I$14),"Cam Nghĩa",""),IF(OR(M1541=phu!$I$15,M1541=phu!$I$16,M1541=phu!$I$17,M1541=phu!$I$18,M1541=phu!$I$19,M1541=phu!$I$20,M1541=phu!$I$21),"Cam Phúc Bắc",""),IF(OR(M1541=phu!$I$22,M1541=phu!$I$23,M1541=phu!$I$24,M1541=phu!$I$25),"Cam Phúc Nam",""),IF(OR(M1541=phu!$I$26,M1541=phu!$I$27,M1541=phu!$I$28,M1541=phu!$I$29,M1541=phu!$I$30,M1541=phu!$I$31),"Cam Phú",""),IF(OR(M1541=phu!$I$32,M1541=phu!$I$33,M1541=phu!$I$34,M1541=phu!$I$35,M1541=phu!$I$36,M1541=phu!$I$37),"Cam Lộc",""),IF(OR(M1541=phu!$I$38,M1541=phu!$I$39,M1541=phu!$I$40,M1541=phu!$I$41,M1541=phu!$I$42,M1541=phu!$I$43,M1541=phu!$I$44),"Cam Thuận",""),IF(OR(M1541=phu!$I$45,M1541=phu!$I$46,M1541=phu!$I$47,M1541=phu!$I$48,M1541=phu!$I$49,M1541=phu!$I$50,M1541=phu!$I$51,M1541=phu!$I$52,M1541=phu!$I$53),"Cam Linh",""),IF(OR(M1541=phu!$I$54,M1541=phu!$I$55,M1541=phu!$I$56,M1541=phu!$I$57,M1541=phu!$I$58,M1541=phu!$I$59,M1541=phu!$I$60,M1541=phu!$I$61,M1541=phu!$I$62),"Cam Lợi",""),IF(OR(M1541=phu!$I$63,M1541=phu!$I$64,M1541=phu!$I$65,M1541=phu!$I$66,M1541=phu!$I$67,M1541=phu!$I$68,M1541=phu!$I$69,M1541=phu!$I$70,M1541=phu!$I$71),"Ba Ngòi",""),IF(OR(M1541=phu!$I$72,M1541=phu!$I$73,M1541=phu!$I$74,M1541=phu!$I$75,M1541=phu!$I$76,M1541=phu!$I$77,M1541=phu!$I$78),"Cam Phước Đông",""),IF(OR(M1541=phu!$I$79,M1541=phu!$I$80,M1541=phu!$I$81,M1541=phu!$I$82,M1541=phu!$I$83,M1541=phu!$I$84),"Cam Thịnh Đông",""),IF(OR(M1541=phu!$I$85,M1541=phu!$I$86,M1541=phu!$I$87,M1541=phu!$I$88),"Cam Thịnh Tây",""),IF(OR(M1541=phu!$I$89,M1541=phu!$I$90),"Cam Lập",""),IF(OR(M1541=phu!$I$91,M1541=phu!$I$92,M1541=phu!$I$93),"Cam Bình",""),IF(OR(M1541=phu!$I$94,M1541=phu!$I$95,M1541=phu!$I$96,M1541=phu!$I$97,M1541=phu!$I$98,M1541=phu!$I$99,M1541=phu!$I$100),"Huyện khác",""),IF(OR(M1541=phu!$I$101,M1541=phu!$I$102),"Tỉnh khác",""))</f>
        <v/>
      </c>
      <c r="O1541" s="829" t="str">
        <f t="shared" si="138"/>
        <v/>
      </c>
      <c r="P1541" s="254"/>
      <c r="Q1541" s="254"/>
      <c r="R1541" s="254"/>
      <c r="S1541" s="254"/>
      <c r="T1541" s="254"/>
      <c r="U1541" s="254"/>
      <c r="V1541" s="254"/>
      <c r="W1541" s="254"/>
      <c r="Y1541" s="246" t="str">
        <f t="shared" si="139"/>
        <v/>
      </c>
      <c r="Z1541" s="247" t="str">
        <f t="shared" si="143"/>
        <v/>
      </c>
      <c r="AA1541" s="246" t="str">
        <f t="shared" si="140"/>
        <v/>
      </c>
    </row>
    <row r="1542" spans="1:27" x14ac:dyDescent="0.25">
      <c r="A1542" s="248" t="str">
        <f t="shared" si="141"/>
        <v/>
      </c>
      <c r="B1542" s="249" t="str">
        <f t="shared" si="142"/>
        <v/>
      </c>
      <c r="C1542" s="250"/>
      <c r="D1542" s="251"/>
      <c r="E1542" s="241"/>
      <c r="F1542" s="252"/>
      <c r="G1542" s="252"/>
      <c r="H1542" s="253"/>
      <c r="I1542" s="250"/>
      <c r="J1542" s="250"/>
      <c r="K1542" s="270"/>
      <c r="L1542" s="250"/>
      <c r="M1542" s="250"/>
      <c r="N1542" s="540" t="str">
        <f>CONCATENATE(IF(OR(M1542=phu!$I$1,M1542=phu!$I$2,M1542=phu!$I$3),"Cam Thành Nam",""),IF(OR(M1542=phu!$I$4,M1542=phu!$I$5,M1542=phu!$I$6,M1542=phu!$I$7,M1542=phu!$I$8,M1542=phu!$I$9,M1542=phu!$I$10,M1542=phu!$I$11,M1542=phu!$I$12,M1542=phu!$I$13,M1542=phu!$I$14),"Cam Nghĩa",""),IF(OR(M1542=phu!$I$15,M1542=phu!$I$16,M1542=phu!$I$17,M1542=phu!$I$18,M1542=phu!$I$19,M1542=phu!$I$20,M1542=phu!$I$21),"Cam Phúc Bắc",""),IF(OR(M1542=phu!$I$22,M1542=phu!$I$23,M1542=phu!$I$24,M1542=phu!$I$25),"Cam Phúc Nam",""),IF(OR(M1542=phu!$I$26,M1542=phu!$I$27,M1542=phu!$I$28,M1542=phu!$I$29,M1542=phu!$I$30,M1542=phu!$I$31),"Cam Phú",""),IF(OR(M1542=phu!$I$32,M1542=phu!$I$33,M1542=phu!$I$34,M1542=phu!$I$35,M1542=phu!$I$36,M1542=phu!$I$37),"Cam Lộc",""),IF(OR(M1542=phu!$I$38,M1542=phu!$I$39,M1542=phu!$I$40,M1542=phu!$I$41,M1542=phu!$I$42,M1542=phu!$I$43,M1542=phu!$I$44),"Cam Thuận",""),IF(OR(M1542=phu!$I$45,M1542=phu!$I$46,M1542=phu!$I$47,M1542=phu!$I$48,M1542=phu!$I$49,M1542=phu!$I$50,M1542=phu!$I$51,M1542=phu!$I$52,M1542=phu!$I$53),"Cam Linh",""),IF(OR(M1542=phu!$I$54,M1542=phu!$I$55,M1542=phu!$I$56,M1542=phu!$I$57,M1542=phu!$I$58,M1542=phu!$I$59,M1542=phu!$I$60,M1542=phu!$I$61,M1542=phu!$I$62),"Cam Lợi",""),IF(OR(M1542=phu!$I$63,M1542=phu!$I$64,M1542=phu!$I$65,M1542=phu!$I$66,M1542=phu!$I$67,M1542=phu!$I$68,M1542=phu!$I$69,M1542=phu!$I$70,M1542=phu!$I$71),"Ba Ngòi",""),IF(OR(M1542=phu!$I$72,M1542=phu!$I$73,M1542=phu!$I$74,M1542=phu!$I$75,M1542=phu!$I$76,M1542=phu!$I$77,M1542=phu!$I$78),"Cam Phước Đông",""),IF(OR(M1542=phu!$I$79,M1542=phu!$I$80,M1542=phu!$I$81,M1542=phu!$I$82,M1542=phu!$I$83,M1542=phu!$I$84),"Cam Thịnh Đông",""),IF(OR(M1542=phu!$I$85,M1542=phu!$I$86,M1542=phu!$I$87,M1542=phu!$I$88),"Cam Thịnh Tây",""),IF(OR(M1542=phu!$I$89,M1542=phu!$I$90),"Cam Lập",""),IF(OR(M1542=phu!$I$91,M1542=phu!$I$92,M1542=phu!$I$93),"Cam Bình",""),IF(OR(M1542=phu!$I$94,M1542=phu!$I$95,M1542=phu!$I$96,M1542=phu!$I$97,M1542=phu!$I$98,M1542=phu!$I$99,M1542=phu!$I$100),"Huyện khác",""),IF(OR(M1542=phu!$I$101,M1542=phu!$I$102),"Tỉnh khác",""))</f>
        <v/>
      </c>
      <c r="O1542" s="829" t="str">
        <f t="shared" si="138"/>
        <v/>
      </c>
      <c r="P1542" s="254"/>
      <c r="Q1542" s="254"/>
      <c r="R1542" s="254"/>
      <c r="S1542" s="254"/>
      <c r="T1542" s="254"/>
      <c r="U1542" s="254"/>
      <c r="V1542" s="254"/>
      <c r="W1542" s="254"/>
      <c r="Y1542" s="246" t="str">
        <f t="shared" si="139"/>
        <v/>
      </c>
      <c r="Z1542" s="247" t="str">
        <f t="shared" si="143"/>
        <v/>
      </c>
      <c r="AA1542" s="246" t="str">
        <f t="shared" si="140"/>
        <v/>
      </c>
    </row>
    <row r="1543" spans="1:27" x14ac:dyDescent="0.25">
      <c r="A1543" s="248" t="str">
        <f t="shared" si="141"/>
        <v/>
      </c>
      <c r="B1543" s="249" t="str">
        <f t="shared" si="142"/>
        <v/>
      </c>
      <c r="C1543" s="250"/>
      <c r="D1543" s="251"/>
      <c r="E1543" s="241"/>
      <c r="F1543" s="252"/>
      <c r="G1543" s="252"/>
      <c r="H1543" s="253"/>
      <c r="I1543" s="250"/>
      <c r="J1543" s="250"/>
      <c r="K1543" s="270"/>
      <c r="L1543" s="250"/>
      <c r="M1543" s="250"/>
      <c r="N1543" s="540" t="str">
        <f>CONCATENATE(IF(OR(M1543=phu!$I$1,M1543=phu!$I$2,M1543=phu!$I$3),"Cam Thành Nam",""),IF(OR(M1543=phu!$I$4,M1543=phu!$I$5,M1543=phu!$I$6,M1543=phu!$I$7,M1543=phu!$I$8,M1543=phu!$I$9,M1543=phu!$I$10,M1543=phu!$I$11,M1543=phu!$I$12,M1543=phu!$I$13,M1543=phu!$I$14),"Cam Nghĩa",""),IF(OR(M1543=phu!$I$15,M1543=phu!$I$16,M1543=phu!$I$17,M1543=phu!$I$18,M1543=phu!$I$19,M1543=phu!$I$20,M1543=phu!$I$21),"Cam Phúc Bắc",""),IF(OR(M1543=phu!$I$22,M1543=phu!$I$23,M1543=phu!$I$24,M1543=phu!$I$25),"Cam Phúc Nam",""),IF(OR(M1543=phu!$I$26,M1543=phu!$I$27,M1543=phu!$I$28,M1543=phu!$I$29,M1543=phu!$I$30,M1543=phu!$I$31),"Cam Phú",""),IF(OR(M1543=phu!$I$32,M1543=phu!$I$33,M1543=phu!$I$34,M1543=phu!$I$35,M1543=phu!$I$36,M1543=phu!$I$37),"Cam Lộc",""),IF(OR(M1543=phu!$I$38,M1543=phu!$I$39,M1543=phu!$I$40,M1543=phu!$I$41,M1543=phu!$I$42,M1543=phu!$I$43,M1543=phu!$I$44),"Cam Thuận",""),IF(OR(M1543=phu!$I$45,M1543=phu!$I$46,M1543=phu!$I$47,M1543=phu!$I$48,M1543=phu!$I$49,M1543=phu!$I$50,M1543=phu!$I$51,M1543=phu!$I$52,M1543=phu!$I$53),"Cam Linh",""),IF(OR(M1543=phu!$I$54,M1543=phu!$I$55,M1543=phu!$I$56,M1543=phu!$I$57,M1543=phu!$I$58,M1543=phu!$I$59,M1543=phu!$I$60,M1543=phu!$I$61,M1543=phu!$I$62),"Cam Lợi",""),IF(OR(M1543=phu!$I$63,M1543=phu!$I$64,M1543=phu!$I$65,M1543=phu!$I$66,M1543=phu!$I$67,M1543=phu!$I$68,M1543=phu!$I$69,M1543=phu!$I$70,M1543=phu!$I$71),"Ba Ngòi",""),IF(OR(M1543=phu!$I$72,M1543=phu!$I$73,M1543=phu!$I$74,M1543=phu!$I$75,M1543=phu!$I$76,M1543=phu!$I$77,M1543=phu!$I$78),"Cam Phước Đông",""),IF(OR(M1543=phu!$I$79,M1543=phu!$I$80,M1543=phu!$I$81,M1543=phu!$I$82,M1543=phu!$I$83,M1543=phu!$I$84),"Cam Thịnh Đông",""),IF(OR(M1543=phu!$I$85,M1543=phu!$I$86,M1543=phu!$I$87,M1543=phu!$I$88),"Cam Thịnh Tây",""),IF(OR(M1543=phu!$I$89,M1543=phu!$I$90),"Cam Lập",""),IF(OR(M1543=phu!$I$91,M1543=phu!$I$92,M1543=phu!$I$93),"Cam Bình",""),IF(OR(M1543=phu!$I$94,M1543=phu!$I$95,M1543=phu!$I$96,M1543=phu!$I$97,M1543=phu!$I$98,M1543=phu!$I$99,M1543=phu!$I$100),"Huyện khác",""),IF(OR(M1543=phu!$I$101,M1543=phu!$I$102),"Tỉnh khác",""))</f>
        <v/>
      </c>
      <c r="O1543" s="829" t="str">
        <f t="shared" ref="O1543:O1605" si="144">CONCATENATE(IF(OR(N1543="Cam Thành Nam",N1543="Cam Nghĩa",N1543="Cam Phúc Bắc"),"Bắc Cam Ranh",""),IF(OR(N1543="Cam Phúc Nam",N1543="Cam Phú",N1543="Cam Lộc"),"Cam Ranh",""),IF(OR(N1543="Cam Thuận",N1543="Cam Linh",N1543="Cam Lợi"),"Cam Linh",""),IF(OR(N1543="Ba Ngòi",N1543="Cam Phước Đông"),"Ba Ngòi",""),IF(OR(N1543="Cam Thịnh Đông",N1543="Cam Thịnh Tây",N1543="Cam Lập",N1543="Cam Bình"),"Nam Cam Ranh",""),IF(N1543="Huyện khác","Huyện khác",""),IF(N1543="Tỉnh khác","Tỉnh khác",""))</f>
        <v/>
      </c>
      <c r="P1543" s="254"/>
      <c r="Q1543" s="254"/>
      <c r="R1543" s="254"/>
      <c r="S1543" s="254"/>
      <c r="T1543" s="254"/>
      <c r="U1543" s="254"/>
      <c r="V1543" s="254"/>
      <c r="W1543" s="254"/>
      <c r="Y1543" s="246" t="str">
        <f t="shared" ref="Y1543:Y1605" si="145">IF(OR(AND(B1543="",C1543="",D1543="",E1543="",F1543="",G1543="",H1543="",I1543="",J1543="",L1543="",M1543="",N1543="",P1543="",Q1543="",R1543="",S1543=""),AND(B1543&lt;&gt;"",C1543&lt;&gt;"",D1543&lt;&gt;"",E1543&lt;&gt;"",F1543&lt;&gt;"",G1543&lt;&gt;"",H1543&lt;&gt;"",J1543&lt;&gt;"",M1543&lt;&gt;"",N1543&lt;&gt;"",P1543&lt;&gt;"",OR(AND(Q1543&lt;&gt;"",R1543=""),AND(Q1543="",R1543&lt;&gt;""),AND(Q1543&lt;&gt;"",R1543&lt;&gt;"")),OR(AND(K1543="X",T1543&lt;&gt;""),AND(K1543="",T1543="")))),"","er")</f>
        <v/>
      </c>
      <c r="Z1543" s="247" t="str">
        <f t="shared" si="143"/>
        <v/>
      </c>
      <c r="AA1543" s="246" t="str">
        <f t="shared" ref="AA1543:AA1605" si="146">IF(OR(AND(Z1543&lt;=10,B1543&gt;5),AND(Z1543&lt;=11,B1543&gt;6),AND(Z1543&lt;=12,B1543&gt;7),AND(Z1543&lt;=13,B1543&gt;8),AND(Z1543&lt;=14,B1543&gt;9),AND(Z1543=11,B1543=6,L1543="X"),AND(Z1543=12,B1543=7,L1543="X"),AND(Z1543=13,B1543=8,L1543="X"),AND(Z1543=14,B1543=9,L1543="X")),"er","")</f>
        <v/>
      </c>
    </row>
    <row r="1544" spans="1:27" x14ac:dyDescent="0.25">
      <c r="A1544" s="248" t="str">
        <f t="shared" ref="A1544:A1604" si="147">IF(OR(A1543="",B1544="",C1544="",D1544="",E1544=""),"",A1543+1)</f>
        <v/>
      </c>
      <c r="B1544" s="249" t="str">
        <f t="shared" ref="B1544:B1605" si="148">IF(C1544="","",VALUE(LEFT(C1544,1)))</f>
        <v/>
      </c>
      <c r="C1544" s="250"/>
      <c r="D1544" s="251"/>
      <c r="E1544" s="241"/>
      <c r="F1544" s="252"/>
      <c r="G1544" s="252"/>
      <c r="H1544" s="253"/>
      <c r="I1544" s="250"/>
      <c r="J1544" s="250"/>
      <c r="K1544" s="270"/>
      <c r="L1544" s="250"/>
      <c r="M1544" s="250"/>
      <c r="N1544" s="540" t="str">
        <f>CONCATENATE(IF(OR(M1544=phu!$I$1,M1544=phu!$I$2,M1544=phu!$I$3),"Cam Thành Nam",""),IF(OR(M1544=phu!$I$4,M1544=phu!$I$5,M1544=phu!$I$6,M1544=phu!$I$7,M1544=phu!$I$8,M1544=phu!$I$9,M1544=phu!$I$10,M1544=phu!$I$11,M1544=phu!$I$12,M1544=phu!$I$13,M1544=phu!$I$14),"Cam Nghĩa",""),IF(OR(M1544=phu!$I$15,M1544=phu!$I$16,M1544=phu!$I$17,M1544=phu!$I$18,M1544=phu!$I$19,M1544=phu!$I$20,M1544=phu!$I$21),"Cam Phúc Bắc",""),IF(OR(M1544=phu!$I$22,M1544=phu!$I$23,M1544=phu!$I$24,M1544=phu!$I$25),"Cam Phúc Nam",""),IF(OR(M1544=phu!$I$26,M1544=phu!$I$27,M1544=phu!$I$28,M1544=phu!$I$29,M1544=phu!$I$30,M1544=phu!$I$31),"Cam Phú",""),IF(OR(M1544=phu!$I$32,M1544=phu!$I$33,M1544=phu!$I$34,M1544=phu!$I$35,M1544=phu!$I$36,M1544=phu!$I$37),"Cam Lộc",""),IF(OR(M1544=phu!$I$38,M1544=phu!$I$39,M1544=phu!$I$40,M1544=phu!$I$41,M1544=phu!$I$42,M1544=phu!$I$43,M1544=phu!$I$44),"Cam Thuận",""),IF(OR(M1544=phu!$I$45,M1544=phu!$I$46,M1544=phu!$I$47,M1544=phu!$I$48,M1544=phu!$I$49,M1544=phu!$I$50,M1544=phu!$I$51,M1544=phu!$I$52,M1544=phu!$I$53),"Cam Linh",""),IF(OR(M1544=phu!$I$54,M1544=phu!$I$55,M1544=phu!$I$56,M1544=phu!$I$57,M1544=phu!$I$58,M1544=phu!$I$59,M1544=phu!$I$60,M1544=phu!$I$61,M1544=phu!$I$62),"Cam Lợi",""),IF(OR(M1544=phu!$I$63,M1544=phu!$I$64,M1544=phu!$I$65,M1544=phu!$I$66,M1544=phu!$I$67,M1544=phu!$I$68,M1544=phu!$I$69,M1544=phu!$I$70,M1544=phu!$I$71),"Ba Ngòi",""),IF(OR(M1544=phu!$I$72,M1544=phu!$I$73,M1544=phu!$I$74,M1544=phu!$I$75,M1544=phu!$I$76,M1544=phu!$I$77,M1544=phu!$I$78),"Cam Phước Đông",""),IF(OR(M1544=phu!$I$79,M1544=phu!$I$80,M1544=phu!$I$81,M1544=phu!$I$82,M1544=phu!$I$83,M1544=phu!$I$84),"Cam Thịnh Đông",""),IF(OR(M1544=phu!$I$85,M1544=phu!$I$86,M1544=phu!$I$87,M1544=phu!$I$88),"Cam Thịnh Tây",""),IF(OR(M1544=phu!$I$89,M1544=phu!$I$90),"Cam Lập",""),IF(OR(M1544=phu!$I$91,M1544=phu!$I$92,M1544=phu!$I$93),"Cam Bình",""),IF(OR(M1544=phu!$I$94,M1544=phu!$I$95,M1544=phu!$I$96,M1544=phu!$I$97,M1544=phu!$I$98,M1544=phu!$I$99,M1544=phu!$I$100),"Huyện khác",""),IF(OR(M1544=phu!$I$101,M1544=phu!$I$102),"Tỉnh khác",""))</f>
        <v/>
      </c>
      <c r="O1544" s="829" t="str">
        <f t="shared" si="144"/>
        <v/>
      </c>
      <c r="P1544" s="254"/>
      <c r="Q1544" s="254"/>
      <c r="R1544" s="254"/>
      <c r="S1544" s="254"/>
      <c r="T1544" s="254"/>
      <c r="U1544" s="254"/>
      <c r="V1544" s="254"/>
      <c r="W1544" s="254"/>
      <c r="Y1544" s="246" t="str">
        <f t="shared" si="145"/>
        <v/>
      </c>
      <c r="Z1544" s="247" t="str">
        <f t="shared" ref="Z1544:Z1605" si="149">IF(H1544="","",$Z$1-H1544)</f>
        <v/>
      </c>
      <c r="AA1544" s="246" t="str">
        <f t="shared" si="146"/>
        <v/>
      </c>
    </row>
    <row r="1545" spans="1:27" x14ac:dyDescent="0.25">
      <c r="A1545" s="248" t="str">
        <f t="shared" si="147"/>
        <v/>
      </c>
      <c r="B1545" s="249" t="str">
        <f t="shared" si="148"/>
        <v/>
      </c>
      <c r="C1545" s="250"/>
      <c r="D1545" s="251"/>
      <c r="E1545" s="241"/>
      <c r="F1545" s="252"/>
      <c r="G1545" s="252"/>
      <c r="H1545" s="253"/>
      <c r="I1545" s="250"/>
      <c r="J1545" s="250"/>
      <c r="K1545" s="270"/>
      <c r="L1545" s="250"/>
      <c r="M1545" s="250"/>
      <c r="N1545" s="540" t="str">
        <f>CONCATENATE(IF(OR(M1545=phu!$I$1,M1545=phu!$I$2,M1545=phu!$I$3),"Cam Thành Nam",""),IF(OR(M1545=phu!$I$4,M1545=phu!$I$5,M1545=phu!$I$6,M1545=phu!$I$7,M1545=phu!$I$8,M1545=phu!$I$9,M1545=phu!$I$10,M1545=phu!$I$11,M1545=phu!$I$12,M1545=phu!$I$13,M1545=phu!$I$14),"Cam Nghĩa",""),IF(OR(M1545=phu!$I$15,M1545=phu!$I$16,M1545=phu!$I$17,M1545=phu!$I$18,M1545=phu!$I$19,M1545=phu!$I$20,M1545=phu!$I$21),"Cam Phúc Bắc",""),IF(OR(M1545=phu!$I$22,M1545=phu!$I$23,M1545=phu!$I$24,M1545=phu!$I$25),"Cam Phúc Nam",""),IF(OR(M1545=phu!$I$26,M1545=phu!$I$27,M1545=phu!$I$28,M1545=phu!$I$29,M1545=phu!$I$30,M1545=phu!$I$31),"Cam Phú",""),IF(OR(M1545=phu!$I$32,M1545=phu!$I$33,M1545=phu!$I$34,M1545=phu!$I$35,M1545=phu!$I$36,M1545=phu!$I$37),"Cam Lộc",""),IF(OR(M1545=phu!$I$38,M1545=phu!$I$39,M1545=phu!$I$40,M1545=phu!$I$41,M1545=phu!$I$42,M1545=phu!$I$43,M1545=phu!$I$44),"Cam Thuận",""),IF(OR(M1545=phu!$I$45,M1545=phu!$I$46,M1545=phu!$I$47,M1545=phu!$I$48,M1545=phu!$I$49,M1545=phu!$I$50,M1545=phu!$I$51,M1545=phu!$I$52,M1545=phu!$I$53),"Cam Linh",""),IF(OR(M1545=phu!$I$54,M1545=phu!$I$55,M1545=phu!$I$56,M1545=phu!$I$57,M1545=phu!$I$58,M1545=phu!$I$59,M1545=phu!$I$60,M1545=phu!$I$61,M1545=phu!$I$62),"Cam Lợi",""),IF(OR(M1545=phu!$I$63,M1545=phu!$I$64,M1545=phu!$I$65,M1545=phu!$I$66,M1545=phu!$I$67,M1545=phu!$I$68,M1545=phu!$I$69,M1545=phu!$I$70,M1545=phu!$I$71),"Ba Ngòi",""),IF(OR(M1545=phu!$I$72,M1545=phu!$I$73,M1545=phu!$I$74,M1545=phu!$I$75,M1545=phu!$I$76,M1545=phu!$I$77,M1545=phu!$I$78),"Cam Phước Đông",""),IF(OR(M1545=phu!$I$79,M1545=phu!$I$80,M1545=phu!$I$81,M1545=phu!$I$82,M1545=phu!$I$83,M1545=phu!$I$84),"Cam Thịnh Đông",""),IF(OR(M1545=phu!$I$85,M1545=phu!$I$86,M1545=phu!$I$87,M1545=phu!$I$88),"Cam Thịnh Tây",""),IF(OR(M1545=phu!$I$89,M1545=phu!$I$90),"Cam Lập",""),IF(OR(M1545=phu!$I$91,M1545=phu!$I$92,M1545=phu!$I$93),"Cam Bình",""),IF(OR(M1545=phu!$I$94,M1545=phu!$I$95,M1545=phu!$I$96,M1545=phu!$I$97,M1545=phu!$I$98,M1545=phu!$I$99,M1545=phu!$I$100),"Huyện khác",""),IF(OR(M1545=phu!$I$101,M1545=phu!$I$102),"Tỉnh khác",""))</f>
        <v/>
      </c>
      <c r="O1545" s="829" t="str">
        <f t="shared" si="144"/>
        <v/>
      </c>
      <c r="P1545" s="254"/>
      <c r="Q1545" s="254"/>
      <c r="R1545" s="254"/>
      <c r="S1545" s="254"/>
      <c r="T1545" s="254"/>
      <c r="U1545" s="254"/>
      <c r="V1545" s="254"/>
      <c r="W1545" s="254"/>
      <c r="Y1545" s="246" t="str">
        <f t="shared" si="145"/>
        <v/>
      </c>
      <c r="Z1545" s="247" t="str">
        <f t="shared" si="149"/>
        <v/>
      </c>
      <c r="AA1545" s="246" t="str">
        <f t="shared" si="146"/>
        <v/>
      </c>
    </row>
    <row r="1546" spans="1:27" x14ac:dyDescent="0.25">
      <c r="A1546" s="248" t="str">
        <f t="shared" si="147"/>
        <v/>
      </c>
      <c r="B1546" s="249" t="str">
        <f t="shared" si="148"/>
        <v/>
      </c>
      <c r="C1546" s="250"/>
      <c r="D1546" s="251"/>
      <c r="E1546" s="241"/>
      <c r="F1546" s="252"/>
      <c r="G1546" s="252"/>
      <c r="H1546" s="253"/>
      <c r="I1546" s="250"/>
      <c r="J1546" s="250"/>
      <c r="K1546" s="270"/>
      <c r="L1546" s="250"/>
      <c r="M1546" s="250"/>
      <c r="N1546" s="540" t="str">
        <f>CONCATENATE(IF(OR(M1546=phu!$I$1,M1546=phu!$I$2,M1546=phu!$I$3),"Cam Thành Nam",""),IF(OR(M1546=phu!$I$4,M1546=phu!$I$5,M1546=phu!$I$6,M1546=phu!$I$7,M1546=phu!$I$8,M1546=phu!$I$9,M1546=phu!$I$10,M1546=phu!$I$11,M1546=phu!$I$12,M1546=phu!$I$13,M1546=phu!$I$14),"Cam Nghĩa",""),IF(OR(M1546=phu!$I$15,M1546=phu!$I$16,M1546=phu!$I$17,M1546=phu!$I$18,M1546=phu!$I$19,M1546=phu!$I$20,M1546=phu!$I$21),"Cam Phúc Bắc",""),IF(OR(M1546=phu!$I$22,M1546=phu!$I$23,M1546=phu!$I$24,M1546=phu!$I$25),"Cam Phúc Nam",""),IF(OR(M1546=phu!$I$26,M1546=phu!$I$27,M1546=phu!$I$28,M1546=phu!$I$29,M1546=phu!$I$30,M1546=phu!$I$31),"Cam Phú",""),IF(OR(M1546=phu!$I$32,M1546=phu!$I$33,M1546=phu!$I$34,M1546=phu!$I$35,M1546=phu!$I$36,M1546=phu!$I$37),"Cam Lộc",""),IF(OR(M1546=phu!$I$38,M1546=phu!$I$39,M1546=phu!$I$40,M1546=phu!$I$41,M1546=phu!$I$42,M1546=phu!$I$43,M1546=phu!$I$44),"Cam Thuận",""),IF(OR(M1546=phu!$I$45,M1546=phu!$I$46,M1546=phu!$I$47,M1546=phu!$I$48,M1546=phu!$I$49,M1546=phu!$I$50,M1546=phu!$I$51,M1546=phu!$I$52,M1546=phu!$I$53),"Cam Linh",""),IF(OR(M1546=phu!$I$54,M1546=phu!$I$55,M1546=phu!$I$56,M1546=phu!$I$57,M1546=phu!$I$58,M1546=phu!$I$59,M1546=phu!$I$60,M1546=phu!$I$61,M1546=phu!$I$62),"Cam Lợi",""),IF(OR(M1546=phu!$I$63,M1546=phu!$I$64,M1546=phu!$I$65,M1546=phu!$I$66,M1546=phu!$I$67,M1546=phu!$I$68,M1546=phu!$I$69,M1546=phu!$I$70,M1546=phu!$I$71),"Ba Ngòi",""),IF(OR(M1546=phu!$I$72,M1546=phu!$I$73,M1546=phu!$I$74,M1546=phu!$I$75,M1546=phu!$I$76,M1546=phu!$I$77,M1546=phu!$I$78),"Cam Phước Đông",""),IF(OR(M1546=phu!$I$79,M1546=phu!$I$80,M1546=phu!$I$81,M1546=phu!$I$82,M1546=phu!$I$83,M1546=phu!$I$84),"Cam Thịnh Đông",""),IF(OR(M1546=phu!$I$85,M1546=phu!$I$86,M1546=phu!$I$87,M1546=phu!$I$88),"Cam Thịnh Tây",""),IF(OR(M1546=phu!$I$89,M1546=phu!$I$90),"Cam Lập",""),IF(OR(M1546=phu!$I$91,M1546=phu!$I$92,M1546=phu!$I$93),"Cam Bình",""),IF(OR(M1546=phu!$I$94,M1546=phu!$I$95,M1546=phu!$I$96,M1546=phu!$I$97,M1546=phu!$I$98,M1546=phu!$I$99,M1546=phu!$I$100),"Huyện khác",""),IF(OR(M1546=phu!$I$101,M1546=phu!$I$102),"Tỉnh khác",""))</f>
        <v/>
      </c>
      <c r="O1546" s="829" t="str">
        <f t="shared" si="144"/>
        <v/>
      </c>
      <c r="P1546" s="254"/>
      <c r="Q1546" s="254"/>
      <c r="R1546" s="254"/>
      <c r="S1546" s="254"/>
      <c r="T1546" s="254"/>
      <c r="U1546" s="254"/>
      <c r="V1546" s="254"/>
      <c r="W1546" s="254"/>
      <c r="Y1546" s="246" t="str">
        <f t="shared" si="145"/>
        <v/>
      </c>
      <c r="Z1546" s="247" t="str">
        <f t="shared" si="149"/>
        <v/>
      </c>
      <c r="AA1546" s="246" t="str">
        <f t="shared" si="146"/>
        <v/>
      </c>
    </row>
    <row r="1547" spans="1:27" x14ac:dyDescent="0.25">
      <c r="A1547" s="248" t="str">
        <f t="shared" si="147"/>
        <v/>
      </c>
      <c r="B1547" s="249" t="str">
        <f t="shared" si="148"/>
        <v/>
      </c>
      <c r="C1547" s="250"/>
      <c r="D1547" s="251"/>
      <c r="E1547" s="241"/>
      <c r="F1547" s="252"/>
      <c r="G1547" s="252"/>
      <c r="H1547" s="253"/>
      <c r="I1547" s="250"/>
      <c r="J1547" s="250"/>
      <c r="K1547" s="270"/>
      <c r="L1547" s="250"/>
      <c r="M1547" s="250"/>
      <c r="N1547" s="540" t="str">
        <f>CONCATENATE(IF(OR(M1547=phu!$I$1,M1547=phu!$I$2,M1547=phu!$I$3),"Cam Thành Nam",""),IF(OR(M1547=phu!$I$4,M1547=phu!$I$5,M1547=phu!$I$6,M1547=phu!$I$7,M1547=phu!$I$8,M1547=phu!$I$9,M1547=phu!$I$10,M1547=phu!$I$11,M1547=phu!$I$12,M1547=phu!$I$13,M1547=phu!$I$14),"Cam Nghĩa",""),IF(OR(M1547=phu!$I$15,M1547=phu!$I$16,M1547=phu!$I$17,M1547=phu!$I$18,M1547=phu!$I$19,M1547=phu!$I$20,M1547=phu!$I$21),"Cam Phúc Bắc",""),IF(OR(M1547=phu!$I$22,M1547=phu!$I$23,M1547=phu!$I$24,M1547=phu!$I$25),"Cam Phúc Nam",""),IF(OR(M1547=phu!$I$26,M1547=phu!$I$27,M1547=phu!$I$28,M1547=phu!$I$29,M1547=phu!$I$30,M1547=phu!$I$31),"Cam Phú",""),IF(OR(M1547=phu!$I$32,M1547=phu!$I$33,M1547=phu!$I$34,M1547=phu!$I$35,M1547=phu!$I$36,M1547=phu!$I$37),"Cam Lộc",""),IF(OR(M1547=phu!$I$38,M1547=phu!$I$39,M1547=phu!$I$40,M1547=phu!$I$41,M1547=phu!$I$42,M1547=phu!$I$43,M1547=phu!$I$44),"Cam Thuận",""),IF(OR(M1547=phu!$I$45,M1547=phu!$I$46,M1547=phu!$I$47,M1547=phu!$I$48,M1547=phu!$I$49,M1547=phu!$I$50,M1547=phu!$I$51,M1547=phu!$I$52,M1547=phu!$I$53),"Cam Linh",""),IF(OR(M1547=phu!$I$54,M1547=phu!$I$55,M1547=phu!$I$56,M1547=phu!$I$57,M1547=phu!$I$58,M1547=phu!$I$59,M1547=phu!$I$60,M1547=phu!$I$61,M1547=phu!$I$62),"Cam Lợi",""),IF(OR(M1547=phu!$I$63,M1547=phu!$I$64,M1547=phu!$I$65,M1547=phu!$I$66,M1547=phu!$I$67,M1547=phu!$I$68,M1547=phu!$I$69,M1547=phu!$I$70,M1547=phu!$I$71),"Ba Ngòi",""),IF(OR(M1547=phu!$I$72,M1547=phu!$I$73,M1547=phu!$I$74,M1547=phu!$I$75,M1547=phu!$I$76,M1547=phu!$I$77,M1547=phu!$I$78),"Cam Phước Đông",""),IF(OR(M1547=phu!$I$79,M1547=phu!$I$80,M1547=phu!$I$81,M1547=phu!$I$82,M1547=phu!$I$83,M1547=phu!$I$84),"Cam Thịnh Đông",""),IF(OR(M1547=phu!$I$85,M1547=phu!$I$86,M1547=phu!$I$87,M1547=phu!$I$88),"Cam Thịnh Tây",""),IF(OR(M1547=phu!$I$89,M1547=phu!$I$90),"Cam Lập",""),IF(OR(M1547=phu!$I$91,M1547=phu!$I$92,M1547=phu!$I$93),"Cam Bình",""),IF(OR(M1547=phu!$I$94,M1547=phu!$I$95,M1547=phu!$I$96,M1547=phu!$I$97,M1547=phu!$I$98,M1547=phu!$I$99,M1547=phu!$I$100),"Huyện khác",""),IF(OR(M1547=phu!$I$101,M1547=phu!$I$102),"Tỉnh khác",""))</f>
        <v/>
      </c>
      <c r="O1547" s="829" t="str">
        <f t="shared" si="144"/>
        <v/>
      </c>
      <c r="P1547" s="254"/>
      <c r="Q1547" s="254"/>
      <c r="R1547" s="254"/>
      <c r="S1547" s="254"/>
      <c r="T1547" s="254"/>
      <c r="U1547" s="254"/>
      <c r="V1547" s="254"/>
      <c r="W1547" s="254"/>
      <c r="Y1547" s="246" t="str">
        <f t="shared" si="145"/>
        <v/>
      </c>
      <c r="Z1547" s="247" t="str">
        <f t="shared" si="149"/>
        <v/>
      </c>
      <c r="AA1547" s="246" t="str">
        <f t="shared" si="146"/>
        <v/>
      </c>
    </row>
    <row r="1548" spans="1:27" x14ac:dyDescent="0.25">
      <c r="A1548" s="248" t="str">
        <f t="shared" si="147"/>
        <v/>
      </c>
      <c r="B1548" s="249" t="str">
        <f t="shared" si="148"/>
        <v/>
      </c>
      <c r="C1548" s="250"/>
      <c r="D1548" s="251"/>
      <c r="E1548" s="241"/>
      <c r="F1548" s="252"/>
      <c r="G1548" s="252"/>
      <c r="H1548" s="253"/>
      <c r="I1548" s="250"/>
      <c r="J1548" s="250"/>
      <c r="K1548" s="270"/>
      <c r="L1548" s="250"/>
      <c r="M1548" s="250"/>
      <c r="N1548" s="540" t="str">
        <f>CONCATENATE(IF(OR(M1548=phu!$I$1,M1548=phu!$I$2,M1548=phu!$I$3),"Cam Thành Nam",""),IF(OR(M1548=phu!$I$4,M1548=phu!$I$5,M1548=phu!$I$6,M1548=phu!$I$7,M1548=phu!$I$8,M1548=phu!$I$9,M1548=phu!$I$10,M1548=phu!$I$11,M1548=phu!$I$12,M1548=phu!$I$13,M1548=phu!$I$14),"Cam Nghĩa",""),IF(OR(M1548=phu!$I$15,M1548=phu!$I$16,M1548=phu!$I$17,M1548=phu!$I$18,M1548=phu!$I$19,M1548=phu!$I$20,M1548=phu!$I$21),"Cam Phúc Bắc",""),IF(OR(M1548=phu!$I$22,M1548=phu!$I$23,M1548=phu!$I$24,M1548=phu!$I$25),"Cam Phúc Nam",""),IF(OR(M1548=phu!$I$26,M1548=phu!$I$27,M1548=phu!$I$28,M1548=phu!$I$29,M1548=phu!$I$30,M1548=phu!$I$31),"Cam Phú",""),IF(OR(M1548=phu!$I$32,M1548=phu!$I$33,M1548=phu!$I$34,M1548=phu!$I$35,M1548=phu!$I$36,M1548=phu!$I$37),"Cam Lộc",""),IF(OR(M1548=phu!$I$38,M1548=phu!$I$39,M1548=phu!$I$40,M1548=phu!$I$41,M1548=phu!$I$42,M1548=phu!$I$43,M1548=phu!$I$44),"Cam Thuận",""),IF(OR(M1548=phu!$I$45,M1548=phu!$I$46,M1548=phu!$I$47,M1548=phu!$I$48,M1548=phu!$I$49,M1548=phu!$I$50,M1548=phu!$I$51,M1548=phu!$I$52,M1548=phu!$I$53),"Cam Linh",""),IF(OR(M1548=phu!$I$54,M1548=phu!$I$55,M1548=phu!$I$56,M1548=phu!$I$57,M1548=phu!$I$58,M1548=phu!$I$59,M1548=phu!$I$60,M1548=phu!$I$61,M1548=phu!$I$62),"Cam Lợi",""),IF(OR(M1548=phu!$I$63,M1548=phu!$I$64,M1548=phu!$I$65,M1548=phu!$I$66,M1548=phu!$I$67,M1548=phu!$I$68,M1548=phu!$I$69,M1548=phu!$I$70,M1548=phu!$I$71),"Ba Ngòi",""),IF(OR(M1548=phu!$I$72,M1548=phu!$I$73,M1548=phu!$I$74,M1548=phu!$I$75,M1548=phu!$I$76,M1548=phu!$I$77,M1548=phu!$I$78),"Cam Phước Đông",""),IF(OR(M1548=phu!$I$79,M1548=phu!$I$80,M1548=phu!$I$81,M1548=phu!$I$82,M1548=phu!$I$83,M1548=phu!$I$84),"Cam Thịnh Đông",""),IF(OR(M1548=phu!$I$85,M1548=phu!$I$86,M1548=phu!$I$87,M1548=phu!$I$88),"Cam Thịnh Tây",""),IF(OR(M1548=phu!$I$89,M1548=phu!$I$90),"Cam Lập",""),IF(OR(M1548=phu!$I$91,M1548=phu!$I$92,M1548=phu!$I$93),"Cam Bình",""),IF(OR(M1548=phu!$I$94,M1548=phu!$I$95,M1548=phu!$I$96,M1548=phu!$I$97,M1548=phu!$I$98,M1548=phu!$I$99,M1548=phu!$I$100),"Huyện khác",""),IF(OR(M1548=phu!$I$101,M1548=phu!$I$102),"Tỉnh khác",""))</f>
        <v/>
      </c>
      <c r="O1548" s="829" t="str">
        <f t="shared" si="144"/>
        <v/>
      </c>
      <c r="P1548" s="254"/>
      <c r="Q1548" s="254"/>
      <c r="R1548" s="254"/>
      <c r="S1548" s="254"/>
      <c r="T1548" s="254"/>
      <c r="U1548" s="254"/>
      <c r="V1548" s="254"/>
      <c r="W1548" s="254"/>
      <c r="Y1548" s="246" t="str">
        <f t="shared" si="145"/>
        <v/>
      </c>
      <c r="Z1548" s="247" t="str">
        <f t="shared" si="149"/>
        <v/>
      </c>
      <c r="AA1548" s="246" t="str">
        <f t="shared" si="146"/>
        <v/>
      </c>
    </row>
    <row r="1549" spans="1:27" x14ac:dyDescent="0.25">
      <c r="A1549" s="248" t="str">
        <f t="shared" si="147"/>
        <v/>
      </c>
      <c r="B1549" s="249" t="str">
        <f t="shared" si="148"/>
        <v/>
      </c>
      <c r="C1549" s="250"/>
      <c r="D1549" s="251"/>
      <c r="E1549" s="241"/>
      <c r="F1549" s="252"/>
      <c r="G1549" s="252"/>
      <c r="H1549" s="253"/>
      <c r="I1549" s="250"/>
      <c r="J1549" s="250"/>
      <c r="K1549" s="270"/>
      <c r="L1549" s="250"/>
      <c r="M1549" s="250"/>
      <c r="N1549" s="540" t="str">
        <f>CONCATENATE(IF(OR(M1549=phu!$I$1,M1549=phu!$I$2,M1549=phu!$I$3),"Cam Thành Nam",""),IF(OR(M1549=phu!$I$4,M1549=phu!$I$5,M1549=phu!$I$6,M1549=phu!$I$7,M1549=phu!$I$8,M1549=phu!$I$9,M1549=phu!$I$10,M1549=phu!$I$11,M1549=phu!$I$12,M1549=phu!$I$13,M1549=phu!$I$14),"Cam Nghĩa",""),IF(OR(M1549=phu!$I$15,M1549=phu!$I$16,M1549=phu!$I$17,M1549=phu!$I$18,M1549=phu!$I$19,M1549=phu!$I$20,M1549=phu!$I$21),"Cam Phúc Bắc",""),IF(OR(M1549=phu!$I$22,M1549=phu!$I$23,M1549=phu!$I$24,M1549=phu!$I$25),"Cam Phúc Nam",""),IF(OR(M1549=phu!$I$26,M1549=phu!$I$27,M1549=phu!$I$28,M1549=phu!$I$29,M1549=phu!$I$30,M1549=phu!$I$31),"Cam Phú",""),IF(OR(M1549=phu!$I$32,M1549=phu!$I$33,M1549=phu!$I$34,M1549=phu!$I$35,M1549=phu!$I$36,M1549=phu!$I$37),"Cam Lộc",""),IF(OR(M1549=phu!$I$38,M1549=phu!$I$39,M1549=phu!$I$40,M1549=phu!$I$41,M1549=phu!$I$42,M1549=phu!$I$43,M1549=phu!$I$44),"Cam Thuận",""),IF(OR(M1549=phu!$I$45,M1549=phu!$I$46,M1549=phu!$I$47,M1549=phu!$I$48,M1549=phu!$I$49,M1549=phu!$I$50,M1549=phu!$I$51,M1549=phu!$I$52,M1549=phu!$I$53),"Cam Linh",""),IF(OR(M1549=phu!$I$54,M1549=phu!$I$55,M1549=phu!$I$56,M1549=phu!$I$57,M1549=phu!$I$58,M1549=phu!$I$59,M1549=phu!$I$60,M1549=phu!$I$61,M1549=phu!$I$62),"Cam Lợi",""),IF(OR(M1549=phu!$I$63,M1549=phu!$I$64,M1549=phu!$I$65,M1549=phu!$I$66,M1549=phu!$I$67,M1549=phu!$I$68,M1549=phu!$I$69,M1549=phu!$I$70,M1549=phu!$I$71),"Ba Ngòi",""),IF(OR(M1549=phu!$I$72,M1549=phu!$I$73,M1549=phu!$I$74,M1549=phu!$I$75,M1549=phu!$I$76,M1549=phu!$I$77,M1549=phu!$I$78),"Cam Phước Đông",""),IF(OR(M1549=phu!$I$79,M1549=phu!$I$80,M1549=phu!$I$81,M1549=phu!$I$82,M1549=phu!$I$83,M1549=phu!$I$84),"Cam Thịnh Đông",""),IF(OR(M1549=phu!$I$85,M1549=phu!$I$86,M1549=phu!$I$87,M1549=phu!$I$88),"Cam Thịnh Tây",""),IF(OR(M1549=phu!$I$89,M1549=phu!$I$90),"Cam Lập",""),IF(OR(M1549=phu!$I$91,M1549=phu!$I$92,M1549=phu!$I$93),"Cam Bình",""),IF(OR(M1549=phu!$I$94,M1549=phu!$I$95,M1549=phu!$I$96,M1549=phu!$I$97,M1549=phu!$I$98,M1549=phu!$I$99,M1549=phu!$I$100),"Huyện khác",""),IF(OR(M1549=phu!$I$101,M1549=phu!$I$102),"Tỉnh khác",""))</f>
        <v/>
      </c>
      <c r="O1549" s="829" t="str">
        <f t="shared" si="144"/>
        <v/>
      </c>
      <c r="P1549" s="254"/>
      <c r="Q1549" s="254"/>
      <c r="R1549" s="254"/>
      <c r="S1549" s="254"/>
      <c r="T1549" s="254"/>
      <c r="U1549" s="254"/>
      <c r="V1549" s="254"/>
      <c r="W1549" s="254"/>
      <c r="Y1549" s="246" t="str">
        <f t="shared" si="145"/>
        <v/>
      </c>
      <c r="Z1549" s="247" t="str">
        <f t="shared" si="149"/>
        <v/>
      </c>
      <c r="AA1549" s="246" t="str">
        <f t="shared" si="146"/>
        <v/>
      </c>
    </row>
    <row r="1550" spans="1:27" x14ac:dyDescent="0.25">
      <c r="A1550" s="248" t="str">
        <f t="shared" si="147"/>
        <v/>
      </c>
      <c r="B1550" s="249" t="str">
        <f t="shared" si="148"/>
        <v/>
      </c>
      <c r="C1550" s="250"/>
      <c r="D1550" s="251"/>
      <c r="E1550" s="241"/>
      <c r="F1550" s="252"/>
      <c r="G1550" s="252"/>
      <c r="H1550" s="253"/>
      <c r="I1550" s="250"/>
      <c r="J1550" s="250"/>
      <c r="K1550" s="270"/>
      <c r="L1550" s="250"/>
      <c r="M1550" s="250"/>
      <c r="N1550" s="540" t="str">
        <f>CONCATENATE(IF(OR(M1550=phu!$I$1,M1550=phu!$I$2,M1550=phu!$I$3),"Cam Thành Nam",""),IF(OR(M1550=phu!$I$4,M1550=phu!$I$5,M1550=phu!$I$6,M1550=phu!$I$7,M1550=phu!$I$8,M1550=phu!$I$9,M1550=phu!$I$10,M1550=phu!$I$11,M1550=phu!$I$12,M1550=phu!$I$13,M1550=phu!$I$14),"Cam Nghĩa",""),IF(OR(M1550=phu!$I$15,M1550=phu!$I$16,M1550=phu!$I$17,M1550=phu!$I$18,M1550=phu!$I$19,M1550=phu!$I$20,M1550=phu!$I$21),"Cam Phúc Bắc",""),IF(OR(M1550=phu!$I$22,M1550=phu!$I$23,M1550=phu!$I$24,M1550=phu!$I$25),"Cam Phúc Nam",""),IF(OR(M1550=phu!$I$26,M1550=phu!$I$27,M1550=phu!$I$28,M1550=phu!$I$29,M1550=phu!$I$30,M1550=phu!$I$31),"Cam Phú",""),IF(OR(M1550=phu!$I$32,M1550=phu!$I$33,M1550=phu!$I$34,M1550=phu!$I$35,M1550=phu!$I$36,M1550=phu!$I$37),"Cam Lộc",""),IF(OR(M1550=phu!$I$38,M1550=phu!$I$39,M1550=phu!$I$40,M1550=phu!$I$41,M1550=phu!$I$42,M1550=phu!$I$43,M1550=phu!$I$44),"Cam Thuận",""),IF(OR(M1550=phu!$I$45,M1550=phu!$I$46,M1550=phu!$I$47,M1550=phu!$I$48,M1550=phu!$I$49,M1550=phu!$I$50,M1550=phu!$I$51,M1550=phu!$I$52,M1550=phu!$I$53),"Cam Linh",""),IF(OR(M1550=phu!$I$54,M1550=phu!$I$55,M1550=phu!$I$56,M1550=phu!$I$57,M1550=phu!$I$58,M1550=phu!$I$59,M1550=phu!$I$60,M1550=phu!$I$61,M1550=phu!$I$62),"Cam Lợi",""),IF(OR(M1550=phu!$I$63,M1550=phu!$I$64,M1550=phu!$I$65,M1550=phu!$I$66,M1550=phu!$I$67,M1550=phu!$I$68,M1550=phu!$I$69,M1550=phu!$I$70,M1550=phu!$I$71),"Ba Ngòi",""),IF(OR(M1550=phu!$I$72,M1550=phu!$I$73,M1550=phu!$I$74,M1550=phu!$I$75,M1550=phu!$I$76,M1550=phu!$I$77,M1550=phu!$I$78),"Cam Phước Đông",""),IF(OR(M1550=phu!$I$79,M1550=phu!$I$80,M1550=phu!$I$81,M1550=phu!$I$82,M1550=phu!$I$83,M1550=phu!$I$84),"Cam Thịnh Đông",""),IF(OR(M1550=phu!$I$85,M1550=phu!$I$86,M1550=phu!$I$87,M1550=phu!$I$88),"Cam Thịnh Tây",""),IF(OR(M1550=phu!$I$89,M1550=phu!$I$90),"Cam Lập",""),IF(OR(M1550=phu!$I$91,M1550=phu!$I$92,M1550=phu!$I$93),"Cam Bình",""),IF(OR(M1550=phu!$I$94,M1550=phu!$I$95,M1550=phu!$I$96,M1550=phu!$I$97,M1550=phu!$I$98,M1550=phu!$I$99,M1550=phu!$I$100),"Huyện khác",""),IF(OR(M1550=phu!$I$101,M1550=phu!$I$102),"Tỉnh khác",""))</f>
        <v/>
      </c>
      <c r="O1550" s="829" t="str">
        <f t="shared" si="144"/>
        <v/>
      </c>
      <c r="P1550" s="254"/>
      <c r="Q1550" s="254"/>
      <c r="R1550" s="254"/>
      <c r="S1550" s="254"/>
      <c r="T1550" s="254"/>
      <c r="U1550" s="254"/>
      <c r="V1550" s="254"/>
      <c r="W1550" s="254"/>
      <c r="Y1550" s="246" t="str">
        <f t="shared" si="145"/>
        <v/>
      </c>
      <c r="Z1550" s="247" t="str">
        <f t="shared" si="149"/>
        <v/>
      </c>
      <c r="AA1550" s="246" t="str">
        <f t="shared" si="146"/>
        <v/>
      </c>
    </row>
    <row r="1551" spans="1:27" x14ac:dyDescent="0.25">
      <c r="A1551" s="248" t="str">
        <f t="shared" si="147"/>
        <v/>
      </c>
      <c r="B1551" s="249" t="str">
        <f t="shared" si="148"/>
        <v/>
      </c>
      <c r="C1551" s="250"/>
      <c r="D1551" s="251"/>
      <c r="E1551" s="241"/>
      <c r="F1551" s="252"/>
      <c r="G1551" s="252"/>
      <c r="H1551" s="253"/>
      <c r="I1551" s="250"/>
      <c r="J1551" s="250"/>
      <c r="K1551" s="270"/>
      <c r="L1551" s="250"/>
      <c r="M1551" s="250"/>
      <c r="N1551" s="540" t="str">
        <f>CONCATENATE(IF(OR(M1551=phu!$I$1,M1551=phu!$I$2,M1551=phu!$I$3),"Cam Thành Nam",""),IF(OR(M1551=phu!$I$4,M1551=phu!$I$5,M1551=phu!$I$6,M1551=phu!$I$7,M1551=phu!$I$8,M1551=phu!$I$9,M1551=phu!$I$10,M1551=phu!$I$11,M1551=phu!$I$12,M1551=phu!$I$13,M1551=phu!$I$14),"Cam Nghĩa",""),IF(OR(M1551=phu!$I$15,M1551=phu!$I$16,M1551=phu!$I$17,M1551=phu!$I$18,M1551=phu!$I$19,M1551=phu!$I$20,M1551=phu!$I$21),"Cam Phúc Bắc",""),IF(OR(M1551=phu!$I$22,M1551=phu!$I$23,M1551=phu!$I$24,M1551=phu!$I$25),"Cam Phúc Nam",""),IF(OR(M1551=phu!$I$26,M1551=phu!$I$27,M1551=phu!$I$28,M1551=phu!$I$29,M1551=phu!$I$30,M1551=phu!$I$31),"Cam Phú",""),IF(OR(M1551=phu!$I$32,M1551=phu!$I$33,M1551=phu!$I$34,M1551=phu!$I$35,M1551=phu!$I$36,M1551=phu!$I$37),"Cam Lộc",""),IF(OR(M1551=phu!$I$38,M1551=phu!$I$39,M1551=phu!$I$40,M1551=phu!$I$41,M1551=phu!$I$42,M1551=phu!$I$43,M1551=phu!$I$44),"Cam Thuận",""),IF(OR(M1551=phu!$I$45,M1551=phu!$I$46,M1551=phu!$I$47,M1551=phu!$I$48,M1551=phu!$I$49,M1551=phu!$I$50,M1551=phu!$I$51,M1551=phu!$I$52,M1551=phu!$I$53),"Cam Linh",""),IF(OR(M1551=phu!$I$54,M1551=phu!$I$55,M1551=phu!$I$56,M1551=phu!$I$57,M1551=phu!$I$58,M1551=phu!$I$59,M1551=phu!$I$60,M1551=phu!$I$61,M1551=phu!$I$62),"Cam Lợi",""),IF(OR(M1551=phu!$I$63,M1551=phu!$I$64,M1551=phu!$I$65,M1551=phu!$I$66,M1551=phu!$I$67,M1551=phu!$I$68,M1551=phu!$I$69,M1551=phu!$I$70,M1551=phu!$I$71),"Ba Ngòi",""),IF(OR(M1551=phu!$I$72,M1551=phu!$I$73,M1551=phu!$I$74,M1551=phu!$I$75,M1551=phu!$I$76,M1551=phu!$I$77,M1551=phu!$I$78),"Cam Phước Đông",""),IF(OR(M1551=phu!$I$79,M1551=phu!$I$80,M1551=phu!$I$81,M1551=phu!$I$82,M1551=phu!$I$83,M1551=phu!$I$84),"Cam Thịnh Đông",""),IF(OR(M1551=phu!$I$85,M1551=phu!$I$86,M1551=phu!$I$87,M1551=phu!$I$88),"Cam Thịnh Tây",""),IF(OR(M1551=phu!$I$89,M1551=phu!$I$90),"Cam Lập",""),IF(OR(M1551=phu!$I$91,M1551=phu!$I$92,M1551=phu!$I$93),"Cam Bình",""),IF(OR(M1551=phu!$I$94,M1551=phu!$I$95,M1551=phu!$I$96,M1551=phu!$I$97,M1551=phu!$I$98,M1551=phu!$I$99,M1551=phu!$I$100),"Huyện khác",""),IF(OR(M1551=phu!$I$101,M1551=phu!$I$102),"Tỉnh khác",""))</f>
        <v/>
      </c>
      <c r="O1551" s="829" t="str">
        <f t="shared" si="144"/>
        <v/>
      </c>
      <c r="P1551" s="254"/>
      <c r="Q1551" s="254"/>
      <c r="R1551" s="254"/>
      <c r="S1551" s="254"/>
      <c r="T1551" s="254"/>
      <c r="U1551" s="254"/>
      <c r="V1551" s="254"/>
      <c r="W1551" s="254"/>
      <c r="Y1551" s="246" t="str">
        <f t="shared" si="145"/>
        <v/>
      </c>
      <c r="Z1551" s="247" t="str">
        <f t="shared" si="149"/>
        <v/>
      </c>
      <c r="AA1551" s="246" t="str">
        <f t="shared" si="146"/>
        <v/>
      </c>
    </row>
    <row r="1552" spans="1:27" x14ac:dyDescent="0.25">
      <c r="A1552" s="248" t="str">
        <f t="shared" si="147"/>
        <v/>
      </c>
      <c r="B1552" s="249" t="str">
        <f t="shared" si="148"/>
        <v/>
      </c>
      <c r="C1552" s="250"/>
      <c r="D1552" s="251"/>
      <c r="E1552" s="241"/>
      <c r="F1552" s="252"/>
      <c r="G1552" s="252"/>
      <c r="H1552" s="253"/>
      <c r="I1552" s="250"/>
      <c r="J1552" s="250"/>
      <c r="K1552" s="270"/>
      <c r="L1552" s="250"/>
      <c r="M1552" s="250"/>
      <c r="N1552" s="540" t="str">
        <f>CONCATENATE(IF(OR(M1552=phu!$I$1,M1552=phu!$I$2,M1552=phu!$I$3),"Cam Thành Nam",""),IF(OR(M1552=phu!$I$4,M1552=phu!$I$5,M1552=phu!$I$6,M1552=phu!$I$7,M1552=phu!$I$8,M1552=phu!$I$9,M1552=phu!$I$10,M1552=phu!$I$11,M1552=phu!$I$12,M1552=phu!$I$13,M1552=phu!$I$14),"Cam Nghĩa",""),IF(OR(M1552=phu!$I$15,M1552=phu!$I$16,M1552=phu!$I$17,M1552=phu!$I$18,M1552=phu!$I$19,M1552=phu!$I$20,M1552=phu!$I$21),"Cam Phúc Bắc",""),IF(OR(M1552=phu!$I$22,M1552=phu!$I$23,M1552=phu!$I$24,M1552=phu!$I$25),"Cam Phúc Nam",""),IF(OR(M1552=phu!$I$26,M1552=phu!$I$27,M1552=phu!$I$28,M1552=phu!$I$29,M1552=phu!$I$30,M1552=phu!$I$31),"Cam Phú",""),IF(OR(M1552=phu!$I$32,M1552=phu!$I$33,M1552=phu!$I$34,M1552=phu!$I$35,M1552=phu!$I$36,M1552=phu!$I$37),"Cam Lộc",""),IF(OR(M1552=phu!$I$38,M1552=phu!$I$39,M1552=phu!$I$40,M1552=phu!$I$41,M1552=phu!$I$42,M1552=phu!$I$43,M1552=phu!$I$44),"Cam Thuận",""),IF(OR(M1552=phu!$I$45,M1552=phu!$I$46,M1552=phu!$I$47,M1552=phu!$I$48,M1552=phu!$I$49,M1552=phu!$I$50,M1552=phu!$I$51,M1552=phu!$I$52,M1552=phu!$I$53),"Cam Linh",""),IF(OR(M1552=phu!$I$54,M1552=phu!$I$55,M1552=phu!$I$56,M1552=phu!$I$57,M1552=phu!$I$58,M1552=phu!$I$59,M1552=phu!$I$60,M1552=phu!$I$61,M1552=phu!$I$62),"Cam Lợi",""),IF(OR(M1552=phu!$I$63,M1552=phu!$I$64,M1552=phu!$I$65,M1552=phu!$I$66,M1552=phu!$I$67,M1552=phu!$I$68,M1552=phu!$I$69,M1552=phu!$I$70,M1552=phu!$I$71),"Ba Ngòi",""),IF(OR(M1552=phu!$I$72,M1552=phu!$I$73,M1552=phu!$I$74,M1552=phu!$I$75,M1552=phu!$I$76,M1552=phu!$I$77,M1552=phu!$I$78),"Cam Phước Đông",""),IF(OR(M1552=phu!$I$79,M1552=phu!$I$80,M1552=phu!$I$81,M1552=phu!$I$82,M1552=phu!$I$83,M1552=phu!$I$84),"Cam Thịnh Đông",""),IF(OR(M1552=phu!$I$85,M1552=phu!$I$86,M1552=phu!$I$87,M1552=phu!$I$88),"Cam Thịnh Tây",""),IF(OR(M1552=phu!$I$89,M1552=phu!$I$90),"Cam Lập",""),IF(OR(M1552=phu!$I$91,M1552=phu!$I$92,M1552=phu!$I$93),"Cam Bình",""),IF(OR(M1552=phu!$I$94,M1552=phu!$I$95,M1552=phu!$I$96,M1552=phu!$I$97,M1552=phu!$I$98,M1552=phu!$I$99,M1552=phu!$I$100),"Huyện khác",""),IF(OR(M1552=phu!$I$101,M1552=phu!$I$102),"Tỉnh khác",""))</f>
        <v/>
      </c>
      <c r="O1552" s="829" t="str">
        <f t="shared" si="144"/>
        <v/>
      </c>
      <c r="P1552" s="254"/>
      <c r="Q1552" s="254"/>
      <c r="R1552" s="254"/>
      <c r="S1552" s="254"/>
      <c r="T1552" s="254"/>
      <c r="U1552" s="254"/>
      <c r="V1552" s="254"/>
      <c r="W1552" s="254"/>
      <c r="Y1552" s="246" t="str">
        <f t="shared" si="145"/>
        <v/>
      </c>
      <c r="Z1552" s="247" t="str">
        <f t="shared" si="149"/>
        <v/>
      </c>
      <c r="AA1552" s="246" t="str">
        <f t="shared" si="146"/>
        <v/>
      </c>
    </row>
    <row r="1553" spans="1:27" x14ac:dyDescent="0.25">
      <c r="A1553" s="248" t="str">
        <f t="shared" si="147"/>
        <v/>
      </c>
      <c r="B1553" s="249" t="str">
        <f t="shared" si="148"/>
        <v/>
      </c>
      <c r="C1553" s="250"/>
      <c r="D1553" s="251"/>
      <c r="E1553" s="241"/>
      <c r="F1553" s="252"/>
      <c r="G1553" s="252"/>
      <c r="H1553" s="253"/>
      <c r="I1553" s="250"/>
      <c r="J1553" s="250"/>
      <c r="K1553" s="270"/>
      <c r="L1553" s="250"/>
      <c r="M1553" s="250"/>
      <c r="N1553" s="540" t="str">
        <f>CONCATENATE(IF(OR(M1553=phu!$I$1,M1553=phu!$I$2,M1553=phu!$I$3),"Cam Thành Nam",""),IF(OR(M1553=phu!$I$4,M1553=phu!$I$5,M1553=phu!$I$6,M1553=phu!$I$7,M1553=phu!$I$8,M1553=phu!$I$9,M1553=phu!$I$10,M1553=phu!$I$11,M1553=phu!$I$12,M1553=phu!$I$13,M1553=phu!$I$14),"Cam Nghĩa",""),IF(OR(M1553=phu!$I$15,M1553=phu!$I$16,M1553=phu!$I$17,M1553=phu!$I$18,M1553=phu!$I$19,M1553=phu!$I$20,M1553=phu!$I$21),"Cam Phúc Bắc",""),IF(OR(M1553=phu!$I$22,M1553=phu!$I$23,M1553=phu!$I$24,M1553=phu!$I$25),"Cam Phúc Nam",""),IF(OR(M1553=phu!$I$26,M1553=phu!$I$27,M1553=phu!$I$28,M1553=phu!$I$29,M1553=phu!$I$30,M1553=phu!$I$31),"Cam Phú",""),IF(OR(M1553=phu!$I$32,M1553=phu!$I$33,M1553=phu!$I$34,M1553=phu!$I$35,M1553=phu!$I$36,M1553=phu!$I$37),"Cam Lộc",""),IF(OR(M1553=phu!$I$38,M1553=phu!$I$39,M1553=phu!$I$40,M1553=phu!$I$41,M1553=phu!$I$42,M1553=phu!$I$43,M1553=phu!$I$44),"Cam Thuận",""),IF(OR(M1553=phu!$I$45,M1553=phu!$I$46,M1553=phu!$I$47,M1553=phu!$I$48,M1553=phu!$I$49,M1553=phu!$I$50,M1553=phu!$I$51,M1553=phu!$I$52,M1553=phu!$I$53),"Cam Linh",""),IF(OR(M1553=phu!$I$54,M1553=phu!$I$55,M1553=phu!$I$56,M1553=phu!$I$57,M1553=phu!$I$58,M1553=phu!$I$59,M1553=phu!$I$60,M1553=phu!$I$61,M1553=phu!$I$62),"Cam Lợi",""),IF(OR(M1553=phu!$I$63,M1553=phu!$I$64,M1553=phu!$I$65,M1553=phu!$I$66,M1553=phu!$I$67,M1553=phu!$I$68,M1553=phu!$I$69,M1553=phu!$I$70,M1553=phu!$I$71),"Ba Ngòi",""),IF(OR(M1553=phu!$I$72,M1553=phu!$I$73,M1553=phu!$I$74,M1553=phu!$I$75,M1553=phu!$I$76,M1553=phu!$I$77,M1553=phu!$I$78),"Cam Phước Đông",""),IF(OR(M1553=phu!$I$79,M1553=phu!$I$80,M1553=phu!$I$81,M1553=phu!$I$82,M1553=phu!$I$83,M1553=phu!$I$84),"Cam Thịnh Đông",""),IF(OR(M1553=phu!$I$85,M1553=phu!$I$86,M1553=phu!$I$87,M1553=phu!$I$88),"Cam Thịnh Tây",""),IF(OR(M1553=phu!$I$89,M1553=phu!$I$90),"Cam Lập",""),IF(OR(M1553=phu!$I$91,M1553=phu!$I$92,M1553=phu!$I$93),"Cam Bình",""),IF(OR(M1553=phu!$I$94,M1553=phu!$I$95,M1553=phu!$I$96,M1553=phu!$I$97,M1553=phu!$I$98,M1553=phu!$I$99,M1553=phu!$I$100),"Huyện khác",""),IF(OR(M1553=phu!$I$101,M1553=phu!$I$102),"Tỉnh khác",""))</f>
        <v/>
      </c>
      <c r="O1553" s="829" t="str">
        <f t="shared" si="144"/>
        <v/>
      </c>
      <c r="P1553" s="254"/>
      <c r="Q1553" s="254"/>
      <c r="R1553" s="254"/>
      <c r="S1553" s="254"/>
      <c r="T1553" s="254"/>
      <c r="U1553" s="254"/>
      <c r="V1553" s="254"/>
      <c r="W1553" s="254"/>
      <c r="Y1553" s="246" t="str">
        <f t="shared" si="145"/>
        <v/>
      </c>
      <c r="Z1553" s="247" t="str">
        <f t="shared" si="149"/>
        <v/>
      </c>
      <c r="AA1553" s="246" t="str">
        <f t="shared" si="146"/>
        <v/>
      </c>
    </row>
    <row r="1554" spans="1:27" x14ac:dyDescent="0.25">
      <c r="A1554" s="248" t="str">
        <f t="shared" si="147"/>
        <v/>
      </c>
      <c r="B1554" s="249" t="str">
        <f t="shared" si="148"/>
        <v/>
      </c>
      <c r="C1554" s="250"/>
      <c r="D1554" s="251"/>
      <c r="E1554" s="241"/>
      <c r="F1554" s="252"/>
      <c r="G1554" s="252"/>
      <c r="H1554" s="253"/>
      <c r="I1554" s="250"/>
      <c r="J1554" s="250"/>
      <c r="K1554" s="270"/>
      <c r="L1554" s="250"/>
      <c r="M1554" s="250"/>
      <c r="N1554" s="540" t="str">
        <f>CONCATENATE(IF(OR(M1554=phu!$I$1,M1554=phu!$I$2,M1554=phu!$I$3),"Cam Thành Nam",""),IF(OR(M1554=phu!$I$4,M1554=phu!$I$5,M1554=phu!$I$6,M1554=phu!$I$7,M1554=phu!$I$8,M1554=phu!$I$9,M1554=phu!$I$10,M1554=phu!$I$11,M1554=phu!$I$12,M1554=phu!$I$13,M1554=phu!$I$14),"Cam Nghĩa",""),IF(OR(M1554=phu!$I$15,M1554=phu!$I$16,M1554=phu!$I$17,M1554=phu!$I$18,M1554=phu!$I$19,M1554=phu!$I$20,M1554=phu!$I$21),"Cam Phúc Bắc",""),IF(OR(M1554=phu!$I$22,M1554=phu!$I$23,M1554=phu!$I$24,M1554=phu!$I$25),"Cam Phúc Nam",""),IF(OR(M1554=phu!$I$26,M1554=phu!$I$27,M1554=phu!$I$28,M1554=phu!$I$29,M1554=phu!$I$30,M1554=phu!$I$31),"Cam Phú",""),IF(OR(M1554=phu!$I$32,M1554=phu!$I$33,M1554=phu!$I$34,M1554=phu!$I$35,M1554=phu!$I$36,M1554=phu!$I$37),"Cam Lộc",""),IF(OR(M1554=phu!$I$38,M1554=phu!$I$39,M1554=phu!$I$40,M1554=phu!$I$41,M1554=phu!$I$42,M1554=phu!$I$43,M1554=phu!$I$44),"Cam Thuận",""),IF(OR(M1554=phu!$I$45,M1554=phu!$I$46,M1554=phu!$I$47,M1554=phu!$I$48,M1554=phu!$I$49,M1554=phu!$I$50,M1554=phu!$I$51,M1554=phu!$I$52,M1554=phu!$I$53),"Cam Linh",""),IF(OR(M1554=phu!$I$54,M1554=phu!$I$55,M1554=phu!$I$56,M1554=phu!$I$57,M1554=phu!$I$58,M1554=phu!$I$59,M1554=phu!$I$60,M1554=phu!$I$61,M1554=phu!$I$62),"Cam Lợi",""),IF(OR(M1554=phu!$I$63,M1554=phu!$I$64,M1554=phu!$I$65,M1554=phu!$I$66,M1554=phu!$I$67,M1554=phu!$I$68,M1554=phu!$I$69,M1554=phu!$I$70,M1554=phu!$I$71),"Ba Ngòi",""),IF(OR(M1554=phu!$I$72,M1554=phu!$I$73,M1554=phu!$I$74,M1554=phu!$I$75,M1554=phu!$I$76,M1554=phu!$I$77,M1554=phu!$I$78),"Cam Phước Đông",""),IF(OR(M1554=phu!$I$79,M1554=phu!$I$80,M1554=phu!$I$81,M1554=phu!$I$82,M1554=phu!$I$83,M1554=phu!$I$84),"Cam Thịnh Đông",""),IF(OR(M1554=phu!$I$85,M1554=phu!$I$86,M1554=phu!$I$87,M1554=phu!$I$88),"Cam Thịnh Tây",""),IF(OR(M1554=phu!$I$89,M1554=phu!$I$90),"Cam Lập",""),IF(OR(M1554=phu!$I$91,M1554=phu!$I$92,M1554=phu!$I$93),"Cam Bình",""),IF(OR(M1554=phu!$I$94,M1554=phu!$I$95,M1554=phu!$I$96,M1554=phu!$I$97,M1554=phu!$I$98,M1554=phu!$I$99,M1554=phu!$I$100),"Huyện khác",""),IF(OR(M1554=phu!$I$101,M1554=phu!$I$102),"Tỉnh khác",""))</f>
        <v/>
      </c>
      <c r="O1554" s="829" t="str">
        <f t="shared" si="144"/>
        <v/>
      </c>
      <c r="P1554" s="254"/>
      <c r="Q1554" s="254"/>
      <c r="R1554" s="254"/>
      <c r="S1554" s="254"/>
      <c r="T1554" s="254"/>
      <c r="U1554" s="254"/>
      <c r="V1554" s="254"/>
      <c r="W1554" s="254"/>
      <c r="Y1554" s="246" t="str">
        <f t="shared" si="145"/>
        <v/>
      </c>
      <c r="Z1554" s="247" t="str">
        <f t="shared" si="149"/>
        <v/>
      </c>
      <c r="AA1554" s="246" t="str">
        <f t="shared" si="146"/>
        <v/>
      </c>
    </row>
    <row r="1555" spans="1:27" x14ac:dyDescent="0.25">
      <c r="A1555" s="248" t="str">
        <f t="shared" si="147"/>
        <v/>
      </c>
      <c r="B1555" s="249" t="str">
        <f t="shared" si="148"/>
        <v/>
      </c>
      <c r="C1555" s="250"/>
      <c r="D1555" s="251"/>
      <c r="E1555" s="241"/>
      <c r="F1555" s="252"/>
      <c r="G1555" s="252"/>
      <c r="H1555" s="253"/>
      <c r="I1555" s="250"/>
      <c r="J1555" s="250"/>
      <c r="K1555" s="270"/>
      <c r="L1555" s="250"/>
      <c r="M1555" s="250"/>
      <c r="N1555" s="540" t="str">
        <f>CONCATENATE(IF(OR(M1555=phu!$I$1,M1555=phu!$I$2,M1555=phu!$I$3),"Cam Thành Nam",""),IF(OR(M1555=phu!$I$4,M1555=phu!$I$5,M1555=phu!$I$6,M1555=phu!$I$7,M1555=phu!$I$8,M1555=phu!$I$9,M1555=phu!$I$10,M1555=phu!$I$11,M1555=phu!$I$12,M1555=phu!$I$13,M1555=phu!$I$14),"Cam Nghĩa",""),IF(OR(M1555=phu!$I$15,M1555=phu!$I$16,M1555=phu!$I$17,M1555=phu!$I$18,M1555=phu!$I$19,M1555=phu!$I$20,M1555=phu!$I$21),"Cam Phúc Bắc",""),IF(OR(M1555=phu!$I$22,M1555=phu!$I$23,M1555=phu!$I$24,M1555=phu!$I$25),"Cam Phúc Nam",""),IF(OR(M1555=phu!$I$26,M1555=phu!$I$27,M1555=phu!$I$28,M1555=phu!$I$29,M1555=phu!$I$30,M1555=phu!$I$31),"Cam Phú",""),IF(OR(M1555=phu!$I$32,M1555=phu!$I$33,M1555=phu!$I$34,M1555=phu!$I$35,M1555=phu!$I$36,M1555=phu!$I$37),"Cam Lộc",""),IF(OR(M1555=phu!$I$38,M1555=phu!$I$39,M1555=phu!$I$40,M1555=phu!$I$41,M1555=phu!$I$42,M1555=phu!$I$43,M1555=phu!$I$44),"Cam Thuận",""),IF(OR(M1555=phu!$I$45,M1555=phu!$I$46,M1555=phu!$I$47,M1555=phu!$I$48,M1555=phu!$I$49,M1555=phu!$I$50,M1555=phu!$I$51,M1555=phu!$I$52,M1555=phu!$I$53),"Cam Linh",""),IF(OR(M1555=phu!$I$54,M1555=phu!$I$55,M1555=phu!$I$56,M1555=phu!$I$57,M1555=phu!$I$58,M1555=phu!$I$59,M1555=phu!$I$60,M1555=phu!$I$61,M1555=phu!$I$62),"Cam Lợi",""),IF(OR(M1555=phu!$I$63,M1555=phu!$I$64,M1555=phu!$I$65,M1555=phu!$I$66,M1555=phu!$I$67,M1555=phu!$I$68,M1555=phu!$I$69,M1555=phu!$I$70,M1555=phu!$I$71),"Ba Ngòi",""),IF(OR(M1555=phu!$I$72,M1555=phu!$I$73,M1555=phu!$I$74,M1555=phu!$I$75,M1555=phu!$I$76,M1555=phu!$I$77,M1555=phu!$I$78),"Cam Phước Đông",""),IF(OR(M1555=phu!$I$79,M1555=phu!$I$80,M1555=phu!$I$81,M1555=phu!$I$82,M1555=phu!$I$83,M1555=phu!$I$84),"Cam Thịnh Đông",""),IF(OR(M1555=phu!$I$85,M1555=phu!$I$86,M1555=phu!$I$87,M1555=phu!$I$88),"Cam Thịnh Tây",""),IF(OR(M1555=phu!$I$89,M1555=phu!$I$90),"Cam Lập",""),IF(OR(M1555=phu!$I$91,M1555=phu!$I$92,M1555=phu!$I$93),"Cam Bình",""),IF(OR(M1555=phu!$I$94,M1555=phu!$I$95,M1555=phu!$I$96,M1555=phu!$I$97,M1555=phu!$I$98,M1555=phu!$I$99,M1555=phu!$I$100),"Huyện khác",""),IF(OR(M1555=phu!$I$101,M1555=phu!$I$102),"Tỉnh khác",""))</f>
        <v/>
      </c>
      <c r="O1555" s="829" t="str">
        <f t="shared" si="144"/>
        <v/>
      </c>
      <c r="P1555" s="254"/>
      <c r="Q1555" s="254"/>
      <c r="R1555" s="254"/>
      <c r="S1555" s="254"/>
      <c r="T1555" s="254"/>
      <c r="U1555" s="254"/>
      <c r="V1555" s="254"/>
      <c r="W1555" s="254"/>
      <c r="Y1555" s="246" t="str">
        <f t="shared" si="145"/>
        <v/>
      </c>
      <c r="Z1555" s="247" t="str">
        <f t="shared" si="149"/>
        <v/>
      </c>
      <c r="AA1555" s="246" t="str">
        <f t="shared" si="146"/>
        <v/>
      </c>
    </row>
    <row r="1556" spans="1:27" x14ac:dyDescent="0.25">
      <c r="A1556" s="248" t="str">
        <f t="shared" si="147"/>
        <v/>
      </c>
      <c r="B1556" s="249" t="str">
        <f t="shared" si="148"/>
        <v/>
      </c>
      <c r="C1556" s="250"/>
      <c r="D1556" s="251"/>
      <c r="E1556" s="241"/>
      <c r="F1556" s="252"/>
      <c r="G1556" s="252"/>
      <c r="H1556" s="253"/>
      <c r="I1556" s="250"/>
      <c r="J1556" s="250"/>
      <c r="K1556" s="270"/>
      <c r="L1556" s="250"/>
      <c r="M1556" s="250"/>
      <c r="N1556" s="540" t="str">
        <f>CONCATENATE(IF(OR(M1556=phu!$I$1,M1556=phu!$I$2,M1556=phu!$I$3),"Cam Thành Nam",""),IF(OR(M1556=phu!$I$4,M1556=phu!$I$5,M1556=phu!$I$6,M1556=phu!$I$7,M1556=phu!$I$8,M1556=phu!$I$9,M1556=phu!$I$10,M1556=phu!$I$11,M1556=phu!$I$12,M1556=phu!$I$13,M1556=phu!$I$14),"Cam Nghĩa",""),IF(OR(M1556=phu!$I$15,M1556=phu!$I$16,M1556=phu!$I$17,M1556=phu!$I$18,M1556=phu!$I$19,M1556=phu!$I$20,M1556=phu!$I$21),"Cam Phúc Bắc",""),IF(OR(M1556=phu!$I$22,M1556=phu!$I$23,M1556=phu!$I$24,M1556=phu!$I$25),"Cam Phúc Nam",""),IF(OR(M1556=phu!$I$26,M1556=phu!$I$27,M1556=phu!$I$28,M1556=phu!$I$29,M1556=phu!$I$30,M1556=phu!$I$31),"Cam Phú",""),IF(OR(M1556=phu!$I$32,M1556=phu!$I$33,M1556=phu!$I$34,M1556=phu!$I$35,M1556=phu!$I$36,M1556=phu!$I$37),"Cam Lộc",""),IF(OR(M1556=phu!$I$38,M1556=phu!$I$39,M1556=phu!$I$40,M1556=phu!$I$41,M1556=phu!$I$42,M1556=phu!$I$43,M1556=phu!$I$44),"Cam Thuận",""),IF(OR(M1556=phu!$I$45,M1556=phu!$I$46,M1556=phu!$I$47,M1556=phu!$I$48,M1556=phu!$I$49,M1556=phu!$I$50,M1556=phu!$I$51,M1556=phu!$I$52,M1556=phu!$I$53),"Cam Linh",""),IF(OR(M1556=phu!$I$54,M1556=phu!$I$55,M1556=phu!$I$56,M1556=phu!$I$57,M1556=phu!$I$58,M1556=phu!$I$59,M1556=phu!$I$60,M1556=phu!$I$61,M1556=phu!$I$62),"Cam Lợi",""),IF(OR(M1556=phu!$I$63,M1556=phu!$I$64,M1556=phu!$I$65,M1556=phu!$I$66,M1556=phu!$I$67,M1556=phu!$I$68,M1556=phu!$I$69,M1556=phu!$I$70,M1556=phu!$I$71),"Ba Ngòi",""),IF(OR(M1556=phu!$I$72,M1556=phu!$I$73,M1556=phu!$I$74,M1556=phu!$I$75,M1556=phu!$I$76,M1556=phu!$I$77,M1556=phu!$I$78),"Cam Phước Đông",""),IF(OR(M1556=phu!$I$79,M1556=phu!$I$80,M1556=phu!$I$81,M1556=phu!$I$82,M1556=phu!$I$83,M1556=phu!$I$84),"Cam Thịnh Đông",""),IF(OR(M1556=phu!$I$85,M1556=phu!$I$86,M1556=phu!$I$87,M1556=phu!$I$88),"Cam Thịnh Tây",""),IF(OR(M1556=phu!$I$89,M1556=phu!$I$90),"Cam Lập",""),IF(OR(M1556=phu!$I$91,M1556=phu!$I$92,M1556=phu!$I$93),"Cam Bình",""),IF(OR(M1556=phu!$I$94,M1556=phu!$I$95,M1556=phu!$I$96,M1556=phu!$I$97,M1556=phu!$I$98,M1556=phu!$I$99,M1556=phu!$I$100),"Huyện khác",""),IF(OR(M1556=phu!$I$101,M1556=phu!$I$102),"Tỉnh khác",""))</f>
        <v/>
      </c>
      <c r="O1556" s="829" t="str">
        <f t="shared" si="144"/>
        <v/>
      </c>
      <c r="P1556" s="254"/>
      <c r="Q1556" s="254"/>
      <c r="R1556" s="254"/>
      <c r="S1556" s="254"/>
      <c r="T1556" s="254"/>
      <c r="U1556" s="254"/>
      <c r="V1556" s="254"/>
      <c r="W1556" s="254"/>
      <c r="Y1556" s="246" t="str">
        <f t="shared" si="145"/>
        <v/>
      </c>
      <c r="Z1556" s="247" t="str">
        <f t="shared" si="149"/>
        <v/>
      </c>
      <c r="AA1556" s="246" t="str">
        <f t="shared" si="146"/>
        <v/>
      </c>
    </row>
    <row r="1557" spans="1:27" x14ac:dyDescent="0.25">
      <c r="A1557" s="248" t="str">
        <f t="shared" si="147"/>
        <v/>
      </c>
      <c r="B1557" s="249" t="str">
        <f t="shared" si="148"/>
        <v/>
      </c>
      <c r="C1557" s="250"/>
      <c r="D1557" s="251"/>
      <c r="E1557" s="241"/>
      <c r="F1557" s="252"/>
      <c r="G1557" s="252"/>
      <c r="H1557" s="253"/>
      <c r="I1557" s="250"/>
      <c r="J1557" s="250"/>
      <c r="K1557" s="270"/>
      <c r="L1557" s="250"/>
      <c r="M1557" s="250"/>
      <c r="N1557" s="540" t="str">
        <f>CONCATENATE(IF(OR(M1557=phu!$I$1,M1557=phu!$I$2,M1557=phu!$I$3),"Cam Thành Nam",""),IF(OR(M1557=phu!$I$4,M1557=phu!$I$5,M1557=phu!$I$6,M1557=phu!$I$7,M1557=phu!$I$8,M1557=phu!$I$9,M1557=phu!$I$10,M1557=phu!$I$11,M1557=phu!$I$12,M1557=phu!$I$13,M1557=phu!$I$14),"Cam Nghĩa",""),IF(OR(M1557=phu!$I$15,M1557=phu!$I$16,M1557=phu!$I$17,M1557=phu!$I$18,M1557=phu!$I$19,M1557=phu!$I$20,M1557=phu!$I$21),"Cam Phúc Bắc",""),IF(OR(M1557=phu!$I$22,M1557=phu!$I$23,M1557=phu!$I$24,M1557=phu!$I$25),"Cam Phúc Nam",""),IF(OR(M1557=phu!$I$26,M1557=phu!$I$27,M1557=phu!$I$28,M1557=phu!$I$29,M1557=phu!$I$30,M1557=phu!$I$31),"Cam Phú",""),IF(OR(M1557=phu!$I$32,M1557=phu!$I$33,M1557=phu!$I$34,M1557=phu!$I$35,M1557=phu!$I$36,M1557=phu!$I$37),"Cam Lộc",""),IF(OR(M1557=phu!$I$38,M1557=phu!$I$39,M1557=phu!$I$40,M1557=phu!$I$41,M1557=phu!$I$42,M1557=phu!$I$43,M1557=phu!$I$44),"Cam Thuận",""),IF(OR(M1557=phu!$I$45,M1557=phu!$I$46,M1557=phu!$I$47,M1557=phu!$I$48,M1557=phu!$I$49,M1557=phu!$I$50,M1557=phu!$I$51,M1557=phu!$I$52,M1557=phu!$I$53),"Cam Linh",""),IF(OR(M1557=phu!$I$54,M1557=phu!$I$55,M1557=phu!$I$56,M1557=phu!$I$57,M1557=phu!$I$58,M1557=phu!$I$59,M1557=phu!$I$60,M1557=phu!$I$61,M1557=phu!$I$62),"Cam Lợi",""),IF(OR(M1557=phu!$I$63,M1557=phu!$I$64,M1557=phu!$I$65,M1557=phu!$I$66,M1557=phu!$I$67,M1557=phu!$I$68,M1557=phu!$I$69,M1557=phu!$I$70,M1557=phu!$I$71),"Ba Ngòi",""),IF(OR(M1557=phu!$I$72,M1557=phu!$I$73,M1557=phu!$I$74,M1557=phu!$I$75,M1557=phu!$I$76,M1557=phu!$I$77,M1557=phu!$I$78),"Cam Phước Đông",""),IF(OR(M1557=phu!$I$79,M1557=phu!$I$80,M1557=phu!$I$81,M1557=phu!$I$82,M1557=phu!$I$83,M1557=phu!$I$84),"Cam Thịnh Đông",""),IF(OR(M1557=phu!$I$85,M1557=phu!$I$86,M1557=phu!$I$87,M1557=phu!$I$88),"Cam Thịnh Tây",""),IF(OR(M1557=phu!$I$89,M1557=phu!$I$90),"Cam Lập",""),IF(OR(M1557=phu!$I$91,M1557=phu!$I$92,M1557=phu!$I$93),"Cam Bình",""),IF(OR(M1557=phu!$I$94,M1557=phu!$I$95,M1557=phu!$I$96,M1557=phu!$I$97,M1557=phu!$I$98,M1557=phu!$I$99,M1557=phu!$I$100),"Huyện khác",""),IF(OR(M1557=phu!$I$101,M1557=phu!$I$102),"Tỉnh khác",""))</f>
        <v/>
      </c>
      <c r="O1557" s="829" t="str">
        <f t="shared" si="144"/>
        <v/>
      </c>
      <c r="P1557" s="254"/>
      <c r="Q1557" s="254"/>
      <c r="R1557" s="254"/>
      <c r="S1557" s="254"/>
      <c r="T1557" s="254"/>
      <c r="U1557" s="254"/>
      <c r="V1557" s="254"/>
      <c r="W1557" s="254"/>
      <c r="Y1557" s="246" t="str">
        <f t="shared" si="145"/>
        <v/>
      </c>
      <c r="Z1557" s="247" t="str">
        <f t="shared" si="149"/>
        <v/>
      </c>
      <c r="AA1557" s="246" t="str">
        <f t="shared" si="146"/>
        <v/>
      </c>
    </row>
    <row r="1558" spans="1:27" x14ac:dyDescent="0.25">
      <c r="A1558" s="248" t="str">
        <f t="shared" si="147"/>
        <v/>
      </c>
      <c r="B1558" s="249" t="str">
        <f t="shared" si="148"/>
        <v/>
      </c>
      <c r="C1558" s="250"/>
      <c r="D1558" s="251"/>
      <c r="E1558" s="241"/>
      <c r="F1558" s="252"/>
      <c r="G1558" s="252"/>
      <c r="H1558" s="253"/>
      <c r="I1558" s="250"/>
      <c r="J1558" s="250"/>
      <c r="K1558" s="270"/>
      <c r="L1558" s="250"/>
      <c r="M1558" s="250"/>
      <c r="N1558" s="540" t="str">
        <f>CONCATENATE(IF(OR(M1558=phu!$I$1,M1558=phu!$I$2,M1558=phu!$I$3),"Cam Thành Nam",""),IF(OR(M1558=phu!$I$4,M1558=phu!$I$5,M1558=phu!$I$6,M1558=phu!$I$7,M1558=phu!$I$8,M1558=phu!$I$9,M1558=phu!$I$10,M1558=phu!$I$11,M1558=phu!$I$12,M1558=phu!$I$13,M1558=phu!$I$14),"Cam Nghĩa",""),IF(OR(M1558=phu!$I$15,M1558=phu!$I$16,M1558=phu!$I$17,M1558=phu!$I$18,M1558=phu!$I$19,M1558=phu!$I$20,M1558=phu!$I$21),"Cam Phúc Bắc",""),IF(OR(M1558=phu!$I$22,M1558=phu!$I$23,M1558=phu!$I$24,M1558=phu!$I$25),"Cam Phúc Nam",""),IF(OR(M1558=phu!$I$26,M1558=phu!$I$27,M1558=phu!$I$28,M1558=phu!$I$29,M1558=phu!$I$30,M1558=phu!$I$31),"Cam Phú",""),IF(OR(M1558=phu!$I$32,M1558=phu!$I$33,M1558=phu!$I$34,M1558=phu!$I$35,M1558=phu!$I$36,M1558=phu!$I$37),"Cam Lộc",""),IF(OR(M1558=phu!$I$38,M1558=phu!$I$39,M1558=phu!$I$40,M1558=phu!$I$41,M1558=phu!$I$42,M1558=phu!$I$43,M1558=phu!$I$44),"Cam Thuận",""),IF(OR(M1558=phu!$I$45,M1558=phu!$I$46,M1558=phu!$I$47,M1558=phu!$I$48,M1558=phu!$I$49,M1558=phu!$I$50,M1558=phu!$I$51,M1558=phu!$I$52,M1558=phu!$I$53),"Cam Linh",""),IF(OR(M1558=phu!$I$54,M1558=phu!$I$55,M1558=phu!$I$56,M1558=phu!$I$57,M1558=phu!$I$58,M1558=phu!$I$59,M1558=phu!$I$60,M1558=phu!$I$61,M1558=phu!$I$62),"Cam Lợi",""),IF(OR(M1558=phu!$I$63,M1558=phu!$I$64,M1558=phu!$I$65,M1558=phu!$I$66,M1558=phu!$I$67,M1558=phu!$I$68,M1558=phu!$I$69,M1558=phu!$I$70,M1558=phu!$I$71),"Ba Ngòi",""),IF(OR(M1558=phu!$I$72,M1558=phu!$I$73,M1558=phu!$I$74,M1558=phu!$I$75,M1558=phu!$I$76,M1558=phu!$I$77,M1558=phu!$I$78),"Cam Phước Đông",""),IF(OR(M1558=phu!$I$79,M1558=phu!$I$80,M1558=phu!$I$81,M1558=phu!$I$82,M1558=phu!$I$83,M1558=phu!$I$84),"Cam Thịnh Đông",""),IF(OR(M1558=phu!$I$85,M1558=phu!$I$86,M1558=phu!$I$87,M1558=phu!$I$88),"Cam Thịnh Tây",""),IF(OR(M1558=phu!$I$89,M1558=phu!$I$90),"Cam Lập",""),IF(OR(M1558=phu!$I$91,M1558=phu!$I$92,M1558=phu!$I$93),"Cam Bình",""),IF(OR(M1558=phu!$I$94,M1558=phu!$I$95,M1558=phu!$I$96,M1558=phu!$I$97,M1558=phu!$I$98,M1558=phu!$I$99,M1558=phu!$I$100),"Huyện khác",""),IF(OR(M1558=phu!$I$101,M1558=phu!$I$102),"Tỉnh khác",""))</f>
        <v/>
      </c>
      <c r="O1558" s="829" t="str">
        <f t="shared" si="144"/>
        <v/>
      </c>
      <c r="P1558" s="254"/>
      <c r="Q1558" s="254"/>
      <c r="R1558" s="254"/>
      <c r="S1558" s="254"/>
      <c r="T1558" s="254"/>
      <c r="U1558" s="254"/>
      <c r="V1558" s="254"/>
      <c r="W1558" s="254"/>
      <c r="Y1558" s="246" t="str">
        <f t="shared" si="145"/>
        <v/>
      </c>
      <c r="Z1558" s="247" t="str">
        <f t="shared" si="149"/>
        <v/>
      </c>
      <c r="AA1558" s="246" t="str">
        <f t="shared" si="146"/>
        <v/>
      </c>
    </row>
    <row r="1559" spans="1:27" x14ac:dyDescent="0.25">
      <c r="A1559" s="248" t="str">
        <f t="shared" si="147"/>
        <v/>
      </c>
      <c r="B1559" s="249" t="str">
        <f t="shared" si="148"/>
        <v/>
      </c>
      <c r="C1559" s="250"/>
      <c r="D1559" s="251"/>
      <c r="E1559" s="241"/>
      <c r="F1559" s="252"/>
      <c r="G1559" s="252"/>
      <c r="H1559" s="253"/>
      <c r="I1559" s="250"/>
      <c r="J1559" s="250"/>
      <c r="K1559" s="270"/>
      <c r="L1559" s="250"/>
      <c r="M1559" s="250"/>
      <c r="N1559" s="540" t="str">
        <f>CONCATENATE(IF(OR(M1559=phu!$I$1,M1559=phu!$I$2,M1559=phu!$I$3),"Cam Thành Nam",""),IF(OR(M1559=phu!$I$4,M1559=phu!$I$5,M1559=phu!$I$6,M1559=phu!$I$7,M1559=phu!$I$8,M1559=phu!$I$9,M1559=phu!$I$10,M1559=phu!$I$11,M1559=phu!$I$12,M1559=phu!$I$13,M1559=phu!$I$14),"Cam Nghĩa",""),IF(OR(M1559=phu!$I$15,M1559=phu!$I$16,M1559=phu!$I$17,M1559=phu!$I$18,M1559=phu!$I$19,M1559=phu!$I$20,M1559=phu!$I$21),"Cam Phúc Bắc",""),IF(OR(M1559=phu!$I$22,M1559=phu!$I$23,M1559=phu!$I$24,M1559=phu!$I$25),"Cam Phúc Nam",""),IF(OR(M1559=phu!$I$26,M1559=phu!$I$27,M1559=phu!$I$28,M1559=phu!$I$29,M1559=phu!$I$30,M1559=phu!$I$31),"Cam Phú",""),IF(OR(M1559=phu!$I$32,M1559=phu!$I$33,M1559=phu!$I$34,M1559=phu!$I$35,M1559=phu!$I$36,M1559=phu!$I$37),"Cam Lộc",""),IF(OR(M1559=phu!$I$38,M1559=phu!$I$39,M1559=phu!$I$40,M1559=phu!$I$41,M1559=phu!$I$42,M1559=phu!$I$43,M1559=phu!$I$44),"Cam Thuận",""),IF(OR(M1559=phu!$I$45,M1559=phu!$I$46,M1559=phu!$I$47,M1559=phu!$I$48,M1559=phu!$I$49,M1559=phu!$I$50,M1559=phu!$I$51,M1559=phu!$I$52,M1559=phu!$I$53),"Cam Linh",""),IF(OR(M1559=phu!$I$54,M1559=phu!$I$55,M1559=phu!$I$56,M1559=phu!$I$57,M1559=phu!$I$58,M1559=phu!$I$59,M1559=phu!$I$60,M1559=phu!$I$61,M1559=phu!$I$62),"Cam Lợi",""),IF(OR(M1559=phu!$I$63,M1559=phu!$I$64,M1559=phu!$I$65,M1559=phu!$I$66,M1559=phu!$I$67,M1559=phu!$I$68,M1559=phu!$I$69,M1559=phu!$I$70,M1559=phu!$I$71),"Ba Ngòi",""),IF(OR(M1559=phu!$I$72,M1559=phu!$I$73,M1559=phu!$I$74,M1559=phu!$I$75,M1559=phu!$I$76,M1559=phu!$I$77,M1559=phu!$I$78),"Cam Phước Đông",""),IF(OR(M1559=phu!$I$79,M1559=phu!$I$80,M1559=phu!$I$81,M1559=phu!$I$82,M1559=phu!$I$83,M1559=phu!$I$84),"Cam Thịnh Đông",""),IF(OR(M1559=phu!$I$85,M1559=phu!$I$86,M1559=phu!$I$87,M1559=phu!$I$88),"Cam Thịnh Tây",""),IF(OR(M1559=phu!$I$89,M1559=phu!$I$90),"Cam Lập",""),IF(OR(M1559=phu!$I$91,M1559=phu!$I$92,M1559=phu!$I$93),"Cam Bình",""),IF(OR(M1559=phu!$I$94,M1559=phu!$I$95,M1559=phu!$I$96,M1559=phu!$I$97,M1559=phu!$I$98,M1559=phu!$I$99,M1559=phu!$I$100),"Huyện khác",""),IF(OR(M1559=phu!$I$101,M1559=phu!$I$102),"Tỉnh khác",""))</f>
        <v/>
      </c>
      <c r="O1559" s="829" t="str">
        <f t="shared" si="144"/>
        <v/>
      </c>
      <c r="P1559" s="254"/>
      <c r="Q1559" s="254"/>
      <c r="R1559" s="254"/>
      <c r="S1559" s="254"/>
      <c r="T1559" s="254"/>
      <c r="U1559" s="254"/>
      <c r="V1559" s="254"/>
      <c r="W1559" s="254"/>
      <c r="Y1559" s="246" t="str">
        <f t="shared" si="145"/>
        <v/>
      </c>
      <c r="Z1559" s="247" t="str">
        <f t="shared" si="149"/>
        <v/>
      </c>
      <c r="AA1559" s="246" t="str">
        <f t="shared" si="146"/>
        <v/>
      </c>
    </row>
    <row r="1560" spans="1:27" x14ac:dyDescent="0.25">
      <c r="A1560" s="248" t="str">
        <f t="shared" si="147"/>
        <v/>
      </c>
      <c r="B1560" s="249" t="str">
        <f t="shared" si="148"/>
        <v/>
      </c>
      <c r="C1560" s="250"/>
      <c r="D1560" s="251"/>
      <c r="E1560" s="241"/>
      <c r="F1560" s="252"/>
      <c r="G1560" s="252"/>
      <c r="H1560" s="253"/>
      <c r="I1560" s="250"/>
      <c r="J1560" s="250"/>
      <c r="K1560" s="270"/>
      <c r="L1560" s="250"/>
      <c r="M1560" s="250"/>
      <c r="N1560" s="540" t="str">
        <f>CONCATENATE(IF(OR(M1560=phu!$I$1,M1560=phu!$I$2,M1560=phu!$I$3),"Cam Thành Nam",""),IF(OR(M1560=phu!$I$4,M1560=phu!$I$5,M1560=phu!$I$6,M1560=phu!$I$7,M1560=phu!$I$8,M1560=phu!$I$9,M1560=phu!$I$10,M1560=phu!$I$11,M1560=phu!$I$12,M1560=phu!$I$13,M1560=phu!$I$14),"Cam Nghĩa",""),IF(OR(M1560=phu!$I$15,M1560=phu!$I$16,M1560=phu!$I$17,M1560=phu!$I$18,M1560=phu!$I$19,M1560=phu!$I$20,M1560=phu!$I$21),"Cam Phúc Bắc",""),IF(OR(M1560=phu!$I$22,M1560=phu!$I$23,M1560=phu!$I$24,M1560=phu!$I$25),"Cam Phúc Nam",""),IF(OR(M1560=phu!$I$26,M1560=phu!$I$27,M1560=phu!$I$28,M1560=phu!$I$29,M1560=phu!$I$30,M1560=phu!$I$31),"Cam Phú",""),IF(OR(M1560=phu!$I$32,M1560=phu!$I$33,M1560=phu!$I$34,M1560=phu!$I$35,M1560=phu!$I$36,M1560=phu!$I$37),"Cam Lộc",""),IF(OR(M1560=phu!$I$38,M1560=phu!$I$39,M1560=phu!$I$40,M1560=phu!$I$41,M1560=phu!$I$42,M1560=phu!$I$43,M1560=phu!$I$44),"Cam Thuận",""),IF(OR(M1560=phu!$I$45,M1560=phu!$I$46,M1560=phu!$I$47,M1560=phu!$I$48,M1560=phu!$I$49,M1560=phu!$I$50,M1560=phu!$I$51,M1560=phu!$I$52,M1560=phu!$I$53),"Cam Linh",""),IF(OR(M1560=phu!$I$54,M1560=phu!$I$55,M1560=phu!$I$56,M1560=phu!$I$57,M1560=phu!$I$58,M1560=phu!$I$59,M1560=phu!$I$60,M1560=phu!$I$61,M1560=phu!$I$62),"Cam Lợi",""),IF(OR(M1560=phu!$I$63,M1560=phu!$I$64,M1560=phu!$I$65,M1560=phu!$I$66,M1560=phu!$I$67,M1560=phu!$I$68,M1560=phu!$I$69,M1560=phu!$I$70,M1560=phu!$I$71),"Ba Ngòi",""),IF(OR(M1560=phu!$I$72,M1560=phu!$I$73,M1560=phu!$I$74,M1560=phu!$I$75,M1560=phu!$I$76,M1560=phu!$I$77,M1560=phu!$I$78),"Cam Phước Đông",""),IF(OR(M1560=phu!$I$79,M1560=phu!$I$80,M1560=phu!$I$81,M1560=phu!$I$82,M1560=phu!$I$83,M1560=phu!$I$84),"Cam Thịnh Đông",""),IF(OR(M1560=phu!$I$85,M1560=phu!$I$86,M1560=phu!$I$87,M1560=phu!$I$88),"Cam Thịnh Tây",""),IF(OR(M1560=phu!$I$89,M1560=phu!$I$90),"Cam Lập",""),IF(OR(M1560=phu!$I$91,M1560=phu!$I$92,M1560=phu!$I$93),"Cam Bình",""),IF(OR(M1560=phu!$I$94,M1560=phu!$I$95,M1560=phu!$I$96,M1560=phu!$I$97,M1560=phu!$I$98,M1560=phu!$I$99,M1560=phu!$I$100),"Huyện khác",""),IF(OR(M1560=phu!$I$101,M1560=phu!$I$102),"Tỉnh khác",""))</f>
        <v/>
      </c>
      <c r="O1560" s="829" t="str">
        <f t="shared" si="144"/>
        <v/>
      </c>
      <c r="P1560" s="254"/>
      <c r="Q1560" s="254"/>
      <c r="R1560" s="254"/>
      <c r="S1560" s="254"/>
      <c r="T1560" s="254"/>
      <c r="U1560" s="254"/>
      <c r="V1560" s="254"/>
      <c r="W1560" s="254"/>
      <c r="Y1560" s="246" t="str">
        <f t="shared" si="145"/>
        <v/>
      </c>
      <c r="Z1560" s="247" t="str">
        <f t="shared" si="149"/>
        <v/>
      </c>
      <c r="AA1560" s="246" t="str">
        <f t="shared" si="146"/>
        <v/>
      </c>
    </row>
    <row r="1561" spans="1:27" x14ac:dyDescent="0.25">
      <c r="A1561" s="248" t="str">
        <f t="shared" si="147"/>
        <v/>
      </c>
      <c r="B1561" s="249" t="str">
        <f t="shared" si="148"/>
        <v/>
      </c>
      <c r="C1561" s="250"/>
      <c r="D1561" s="251"/>
      <c r="E1561" s="241"/>
      <c r="F1561" s="252"/>
      <c r="G1561" s="252"/>
      <c r="H1561" s="253"/>
      <c r="I1561" s="250"/>
      <c r="J1561" s="250"/>
      <c r="K1561" s="270"/>
      <c r="L1561" s="250"/>
      <c r="M1561" s="250"/>
      <c r="N1561" s="540" t="str">
        <f>CONCATENATE(IF(OR(M1561=phu!$I$1,M1561=phu!$I$2,M1561=phu!$I$3),"Cam Thành Nam",""),IF(OR(M1561=phu!$I$4,M1561=phu!$I$5,M1561=phu!$I$6,M1561=phu!$I$7,M1561=phu!$I$8,M1561=phu!$I$9,M1561=phu!$I$10,M1561=phu!$I$11,M1561=phu!$I$12,M1561=phu!$I$13,M1561=phu!$I$14),"Cam Nghĩa",""),IF(OR(M1561=phu!$I$15,M1561=phu!$I$16,M1561=phu!$I$17,M1561=phu!$I$18,M1561=phu!$I$19,M1561=phu!$I$20,M1561=phu!$I$21),"Cam Phúc Bắc",""),IF(OR(M1561=phu!$I$22,M1561=phu!$I$23,M1561=phu!$I$24,M1561=phu!$I$25),"Cam Phúc Nam",""),IF(OR(M1561=phu!$I$26,M1561=phu!$I$27,M1561=phu!$I$28,M1561=phu!$I$29,M1561=phu!$I$30,M1561=phu!$I$31),"Cam Phú",""),IF(OR(M1561=phu!$I$32,M1561=phu!$I$33,M1561=phu!$I$34,M1561=phu!$I$35,M1561=phu!$I$36,M1561=phu!$I$37),"Cam Lộc",""),IF(OR(M1561=phu!$I$38,M1561=phu!$I$39,M1561=phu!$I$40,M1561=phu!$I$41,M1561=phu!$I$42,M1561=phu!$I$43,M1561=phu!$I$44),"Cam Thuận",""),IF(OR(M1561=phu!$I$45,M1561=phu!$I$46,M1561=phu!$I$47,M1561=phu!$I$48,M1561=phu!$I$49,M1561=phu!$I$50,M1561=phu!$I$51,M1561=phu!$I$52,M1561=phu!$I$53),"Cam Linh",""),IF(OR(M1561=phu!$I$54,M1561=phu!$I$55,M1561=phu!$I$56,M1561=phu!$I$57,M1561=phu!$I$58,M1561=phu!$I$59,M1561=phu!$I$60,M1561=phu!$I$61,M1561=phu!$I$62),"Cam Lợi",""),IF(OR(M1561=phu!$I$63,M1561=phu!$I$64,M1561=phu!$I$65,M1561=phu!$I$66,M1561=phu!$I$67,M1561=phu!$I$68,M1561=phu!$I$69,M1561=phu!$I$70,M1561=phu!$I$71),"Ba Ngòi",""),IF(OR(M1561=phu!$I$72,M1561=phu!$I$73,M1561=phu!$I$74,M1561=phu!$I$75,M1561=phu!$I$76,M1561=phu!$I$77,M1561=phu!$I$78),"Cam Phước Đông",""),IF(OR(M1561=phu!$I$79,M1561=phu!$I$80,M1561=phu!$I$81,M1561=phu!$I$82,M1561=phu!$I$83,M1561=phu!$I$84),"Cam Thịnh Đông",""),IF(OR(M1561=phu!$I$85,M1561=phu!$I$86,M1561=phu!$I$87,M1561=phu!$I$88),"Cam Thịnh Tây",""),IF(OR(M1561=phu!$I$89,M1561=phu!$I$90),"Cam Lập",""),IF(OR(M1561=phu!$I$91,M1561=phu!$I$92,M1561=phu!$I$93),"Cam Bình",""),IF(OR(M1561=phu!$I$94,M1561=phu!$I$95,M1561=phu!$I$96,M1561=phu!$I$97,M1561=phu!$I$98,M1561=phu!$I$99,M1561=phu!$I$100),"Huyện khác",""),IF(OR(M1561=phu!$I$101,M1561=phu!$I$102),"Tỉnh khác",""))</f>
        <v/>
      </c>
      <c r="O1561" s="829" t="str">
        <f t="shared" si="144"/>
        <v/>
      </c>
      <c r="P1561" s="254"/>
      <c r="Q1561" s="254"/>
      <c r="R1561" s="254"/>
      <c r="S1561" s="254"/>
      <c r="T1561" s="254"/>
      <c r="U1561" s="254"/>
      <c r="V1561" s="254"/>
      <c r="W1561" s="254"/>
      <c r="Y1561" s="246" t="str">
        <f t="shared" si="145"/>
        <v/>
      </c>
      <c r="Z1561" s="247" t="str">
        <f t="shared" si="149"/>
        <v/>
      </c>
      <c r="AA1561" s="246" t="str">
        <f t="shared" si="146"/>
        <v/>
      </c>
    </row>
    <row r="1562" spans="1:27" x14ac:dyDescent="0.25">
      <c r="A1562" s="248" t="str">
        <f t="shared" si="147"/>
        <v/>
      </c>
      <c r="B1562" s="249" t="str">
        <f t="shared" si="148"/>
        <v/>
      </c>
      <c r="C1562" s="250"/>
      <c r="D1562" s="251"/>
      <c r="E1562" s="241"/>
      <c r="F1562" s="252"/>
      <c r="G1562" s="252"/>
      <c r="H1562" s="253"/>
      <c r="I1562" s="250"/>
      <c r="J1562" s="250"/>
      <c r="K1562" s="270"/>
      <c r="L1562" s="250"/>
      <c r="M1562" s="250"/>
      <c r="N1562" s="540" t="str">
        <f>CONCATENATE(IF(OR(M1562=phu!$I$1,M1562=phu!$I$2,M1562=phu!$I$3),"Cam Thành Nam",""),IF(OR(M1562=phu!$I$4,M1562=phu!$I$5,M1562=phu!$I$6,M1562=phu!$I$7,M1562=phu!$I$8,M1562=phu!$I$9,M1562=phu!$I$10,M1562=phu!$I$11,M1562=phu!$I$12,M1562=phu!$I$13,M1562=phu!$I$14),"Cam Nghĩa",""),IF(OR(M1562=phu!$I$15,M1562=phu!$I$16,M1562=phu!$I$17,M1562=phu!$I$18,M1562=phu!$I$19,M1562=phu!$I$20,M1562=phu!$I$21),"Cam Phúc Bắc",""),IF(OR(M1562=phu!$I$22,M1562=phu!$I$23,M1562=phu!$I$24,M1562=phu!$I$25),"Cam Phúc Nam",""),IF(OR(M1562=phu!$I$26,M1562=phu!$I$27,M1562=phu!$I$28,M1562=phu!$I$29,M1562=phu!$I$30,M1562=phu!$I$31),"Cam Phú",""),IF(OR(M1562=phu!$I$32,M1562=phu!$I$33,M1562=phu!$I$34,M1562=phu!$I$35,M1562=phu!$I$36,M1562=phu!$I$37),"Cam Lộc",""),IF(OR(M1562=phu!$I$38,M1562=phu!$I$39,M1562=phu!$I$40,M1562=phu!$I$41,M1562=phu!$I$42,M1562=phu!$I$43,M1562=phu!$I$44),"Cam Thuận",""),IF(OR(M1562=phu!$I$45,M1562=phu!$I$46,M1562=phu!$I$47,M1562=phu!$I$48,M1562=phu!$I$49,M1562=phu!$I$50,M1562=phu!$I$51,M1562=phu!$I$52,M1562=phu!$I$53),"Cam Linh",""),IF(OR(M1562=phu!$I$54,M1562=phu!$I$55,M1562=phu!$I$56,M1562=phu!$I$57,M1562=phu!$I$58,M1562=phu!$I$59,M1562=phu!$I$60,M1562=phu!$I$61,M1562=phu!$I$62),"Cam Lợi",""),IF(OR(M1562=phu!$I$63,M1562=phu!$I$64,M1562=phu!$I$65,M1562=phu!$I$66,M1562=phu!$I$67,M1562=phu!$I$68,M1562=phu!$I$69,M1562=phu!$I$70,M1562=phu!$I$71),"Ba Ngòi",""),IF(OR(M1562=phu!$I$72,M1562=phu!$I$73,M1562=phu!$I$74,M1562=phu!$I$75,M1562=phu!$I$76,M1562=phu!$I$77,M1562=phu!$I$78),"Cam Phước Đông",""),IF(OR(M1562=phu!$I$79,M1562=phu!$I$80,M1562=phu!$I$81,M1562=phu!$I$82,M1562=phu!$I$83,M1562=phu!$I$84),"Cam Thịnh Đông",""),IF(OR(M1562=phu!$I$85,M1562=phu!$I$86,M1562=phu!$I$87,M1562=phu!$I$88),"Cam Thịnh Tây",""),IF(OR(M1562=phu!$I$89,M1562=phu!$I$90),"Cam Lập",""),IF(OR(M1562=phu!$I$91,M1562=phu!$I$92,M1562=phu!$I$93),"Cam Bình",""),IF(OR(M1562=phu!$I$94,M1562=phu!$I$95,M1562=phu!$I$96,M1562=phu!$I$97,M1562=phu!$I$98,M1562=phu!$I$99,M1562=phu!$I$100),"Huyện khác",""),IF(OR(M1562=phu!$I$101,M1562=phu!$I$102),"Tỉnh khác",""))</f>
        <v/>
      </c>
      <c r="O1562" s="829" t="str">
        <f t="shared" si="144"/>
        <v/>
      </c>
      <c r="P1562" s="254"/>
      <c r="Q1562" s="254"/>
      <c r="R1562" s="254"/>
      <c r="S1562" s="254"/>
      <c r="T1562" s="254"/>
      <c r="U1562" s="254"/>
      <c r="V1562" s="254"/>
      <c r="W1562" s="254"/>
      <c r="Y1562" s="246" t="str">
        <f t="shared" si="145"/>
        <v/>
      </c>
      <c r="Z1562" s="247" t="str">
        <f t="shared" si="149"/>
        <v/>
      </c>
      <c r="AA1562" s="246" t="str">
        <f t="shared" si="146"/>
        <v/>
      </c>
    </row>
    <row r="1563" spans="1:27" x14ac:dyDescent="0.25">
      <c r="A1563" s="248" t="str">
        <f t="shared" si="147"/>
        <v/>
      </c>
      <c r="B1563" s="249" t="str">
        <f t="shared" si="148"/>
        <v/>
      </c>
      <c r="C1563" s="250"/>
      <c r="D1563" s="251"/>
      <c r="E1563" s="241"/>
      <c r="F1563" s="252"/>
      <c r="G1563" s="252"/>
      <c r="H1563" s="253"/>
      <c r="I1563" s="250"/>
      <c r="J1563" s="250"/>
      <c r="K1563" s="270"/>
      <c r="L1563" s="250"/>
      <c r="M1563" s="250"/>
      <c r="N1563" s="540" t="str">
        <f>CONCATENATE(IF(OR(M1563=phu!$I$1,M1563=phu!$I$2,M1563=phu!$I$3),"Cam Thành Nam",""),IF(OR(M1563=phu!$I$4,M1563=phu!$I$5,M1563=phu!$I$6,M1563=phu!$I$7,M1563=phu!$I$8,M1563=phu!$I$9,M1563=phu!$I$10,M1563=phu!$I$11,M1563=phu!$I$12,M1563=phu!$I$13,M1563=phu!$I$14),"Cam Nghĩa",""),IF(OR(M1563=phu!$I$15,M1563=phu!$I$16,M1563=phu!$I$17,M1563=phu!$I$18,M1563=phu!$I$19,M1563=phu!$I$20,M1563=phu!$I$21),"Cam Phúc Bắc",""),IF(OR(M1563=phu!$I$22,M1563=phu!$I$23,M1563=phu!$I$24,M1563=phu!$I$25),"Cam Phúc Nam",""),IF(OR(M1563=phu!$I$26,M1563=phu!$I$27,M1563=phu!$I$28,M1563=phu!$I$29,M1563=phu!$I$30,M1563=phu!$I$31),"Cam Phú",""),IF(OR(M1563=phu!$I$32,M1563=phu!$I$33,M1563=phu!$I$34,M1563=phu!$I$35,M1563=phu!$I$36,M1563=phu!$I$37),"Cam Lộc",""),IF(OR(M1563=phu!$I$38,M1563=phu!$I$39,M1563=phu!$I$40,M1563=phu!$I$41,M1563=phu!$I$42,M1563=phu!$I$43,M1563=phu!$I$44),"Cam Thuận",""),IF(OR(M1563=phu!$I$45,M1563=phu!$I$46,M1563=phu!$I$47,M1563=phu!$I$48,M1563=phu!$I$49,M1563=phu!$I$50,M1563=phu!$I$51,M1563=phu!$I$52,M1563=phu!$I$53),"Cam Linh",""),IF(OR(M1563=phu!$I$54,M1563=phu!$I$55,M1563=phu!$I$56,M1563=phu!$I$57,M1563=phu!$I$58,M1563=phu!$I$59,M1563=phu!$I$60,M1563=phu!$I$61,M1563=phu!$I$62),"Cam Lợi",""),IF(OR(M1563=phu!$I$63,M1563=phu!$I$64,M1563=phu!$I$65,M1563=phu!$I$66,M1563=phu!$I$67,M1563=phu!$I$68,M1563=phu!$I$69,M1563=phu!$I$70,M1563=phu!$I$71),"Ba Ngòi",""),IF(OR(M1563=phu!$I$72,M1563=phu!$I$73,M1563=phu!$I$74,M1563=phu!$I$75,M1563=phu!$I$76,M1563=phu!$I$77,M1563=phu!$I$78),"Cam Phước Đông",""),IF(OR(M1563=phu!$I$79,M1563=phu!$I$80,M1563=phu!$I$81,M1563=phu!$I$82,M1563=phu!$I$83,M1563=phu!$I$84),"Cam Thịnh Đông",""),IF(OR(M1563=phu!$I$85,M1563=phu!$I$86,M1563=phu!$I$87,M1563=phu!$I$88),"Cam Thịnh Tây",""),IF(OR(M1563=phu!$I$89,M1563=phu!$I$90),"Cam Lập",""),IF(OR(M1563=phu!$I$91,M1563=phu!$I$92,M1563=phu!$I$93),"Cam Bình",""),IF(OR(M1563=phu!$I$94,M1563=phu!$I$95,M1563=phu!$I$96,M1563=phu!$I$97,M1563=phu!$I$98,M1563=phu!$I$99,M1563=phu!$I$100),"Huyện khác",""),IF(OR(M1563=phu!$I$101,M1563=phu!$I$102),"Tỉnh khác",""))</f>
        <v/>
      </c>
      <c r="O1563" s="829" t="str">
        <f t="shared" si="144"/>
        <v/>
      </c>
      <c r="P1563" s="254"/>
      <c r="Q1563" s="254"/>
      <c r="R1563" s="254"/>
      <c r="S1563" s="254"/>
      <c r="T1563" s="254"/>
      <c r="U1563" s="254"/>
      <c r="V1563" s="254"/>
      <c r="W1563" s="254"/>
      <c r="Y1563" s="246" t="str">
        <f t="shared" si="145"/>
        <v/>
      </c>
      <c r="Z1563" s="247" t="str">
        <f t="shared" si="149"/>
        <v/>
      </c>
      <c r="AA1563" s="246" t="str">
        <f t="shared" si="146"/>
        <v/>
      </c>
    </row>
    <row r="1564" spans="1:27" x14ac:dyDescent="0.25">
      <c r="A1564" s="248" t="str">
        <f t="shared" si="147"/>
        <v/>
      </c>
      <c r="B1564" s="249" t="str">
        <f t="shared" si="148"/>
        <v/>
      </c>
      <c r="C1564" s="250"/>
      <c r="D1564" s="251"/>
      <c r="E1564" s="241"/>
      <c r="F1564" s="252"/>
      <c r="G1564" s="252"/>
      <c r="H1564" s="253"/>
      <c r="I1564" s="250"/>
      <c r="J1564" s="250"/>
      <c r="K1564" s="270"/>
      <c r="L1564" s="250"/>
      <c r="M1564" s="250"/>
      <c r="N1564" s="540" t="str">
        <f>CONCATENATE(IF(OR(M1564=phu!$I$1,M1564=phu!$I$2,M1564=phu!$I$3),"Cam Thành Nam",""),IF(OR(M1564=phu!$I$4,M1564=phu!$I$5,M1564=phu!$I$6,M1564=phu!$I$7,M1564=phu!$I$8,M1564=phu!$I$9,M1564=phu!$I$10,M1564=phu!$I$11,M1564=phu!$I$12,M1564=phu!$I$13,M1564=phu!$I$14),"Cam Nghĩa",""),IF(OR(M1564=phu!$I$15,M1564=phu!$I$16,M1564=phu!$I$17,M1564=phu!$I$18,M1564=phu!$I$19,M1564=phu!$I$20,M1564=phu!$I$21),"Cam Phúc Bắc",""),IF(OR(M1564=phu!$I$22,M1564=phu!$I$23,M1564=phu!$I$24,M1564=phu!$I$25),"Cam Phúc Nam",""),IF(OR(M1564=phu!$I$26,M1564=phu!$I$27,M1564=phu!$I$28,M1564=phu!$I$29,M1564=phu!$I$30,M1564=phu!$I$31),"Cam Phú",""),IF(OR(M1564=phu!$I$32,M1564=phu!$I$33,M1564=phu!$I$34,M1564=phu!$I$35,M1564=phu!$I$36,M1564=phu!$I$37),"Cam Lộc",""),IF(OR(M1564=phu!$I$38,M1564=phu!$I$39,M1564=phu!$I$40,M1564=phu!$I$41,M1564=phu!$I$42,M1564=phu!$I$43,M1564=phu!$I$44),"Cam Thuận",""),IF(OR(M1564=phu!$I$45,M1564=phu!$I$46,M1564=phu!$I$47,M1564=phu!$I$48,M1564=phu!$I$49,M1564=phu!$I$50,M1564=phu!$I$51,M1564=phu!$I$52,M1564=phu!$I$53),"Cam Linh",""),IF(OR(M1564=phu!$I$54,M1564=phu!$I$55,M1564=phu!$I$56,M1564=phu!$I$57,M1564=phu!$I$58,M1564=phu!$I$59,M1564=phu!$I$60,M1564=phu!$I$61,M1564=phu!$I$62),"Cam Lợi",""),IF(OR(M1564=phu!$I$63,M1564=phu!$I$64,M1564=phu!$I$65,M1564=phu!$I$66,M1564=phu!$I$67,M1564=phu!$I$68,M1564=phu!$I$69,M1564=phu!$I$70,M1564=phu!$I$71),"Ba Ngòi",""),IF(OR(M1564=phu!$I$72,M1564=phu!$I$73,M1564=phu!$I$74,M1564=phu!$I$75,M1564=phu!$I$76,M1564=phu!$I$77,M1564=phu!$I$78),"Cam Phước Đông",""),IF(OR(M1564=phu!$I$79,M1564=phu!$I$80,M1564=phu!$I$81,M1564=phu!$I$82,M1564=phu!$I$83,M1564=phu!$I$84),"Cam Thịnh Đông",""),IF(OR(M1564=phu!$I$85,M1564=phu!$I$86,M1564=phu!$I$87,M1564=phu!$I$88),"Cam Thịnh Tây",""),IF(OR(M1564=phu!$I$89,M1564=phu!$I$90),"Cam Lập",""),IF(OR(M1564=phu!$I$91,M1564=phu!$I$92,M1564=phu!$I$93),"Cam Bình",""),IF(OR(M1564=phu!$I$94,M1564=phu!$I$95,M1564=phu!$I$96,M1564=phu!$I$97,M1564=phu!$I$98,M1564=phu!$I$99,M1564=phu!$I$100),"Huyện khác",""),IF(OR(M1564=phu!$I$101,M1564=phu!$I$102),"Tỉnh khác",""))</f>
        <v/>
      </c>
      <c r="O1564" s="829" t="str">
        <f t="shared" si="144"/>
        <v/>
      </c>
      <c r="P1564" s="254"/>
      <c r="Q1564" s="254"/>
      <c r="R1564" s="254"/>
      <c r="S1564" s="254"/>
      <c r="T1564" s="254"/>
      <c r="U1564" s="254"/>
      <c r="V1564" s="254"/>
      <c r="W1564" s="254"/>
      <c r="Y1564" s="246" t="str">
        <f t="shared" si="145"/>
        <v/>
      </c>
      <c r="Z1564" s="247" t="str">
        <f t="shared" si="149"/>
        <v/>
      </c>
      <c r="AA1564" s="246" t="str">
        <f t="shared" si="146"/>
        <v/>
      </c>
    </row>
    <row r="1565" spans="1:27" x14ac:dyDescent="0.25">
      <c r="A1565" s="248" t="str">
        <f t="shared" si="147"/>
        <v/>
      </c>
      <c r="B1565" s="249" t="str">
        <f t="shared" si="148"/>
        <v/>
      </c>
      <c r="C1565" s="250"/>
      <c r="D1565" s="251"/>
      <c r="E1565" s="241"/>
      <c r="F1565" s="252"/>
      <c r="G1565" s="252"/>
      <c r="H1565" s="253"/>
      <c r="I1565" s="250"/>
      <c r="J1565" s="250"/>
      <c r="K1565" s="270"/>
      <c r="L1565" s="250"/>
      <c r="M1565" s="250"/>
      <c r="N1565" s="540" t="str">
        <f>CONCATENATE(IF(OR(M1565=phu!$I$1,M1565=phu!$I$2,M1565=phu!$I$3),"Cam Thành Nam",""),IF(OR(M1565=phu!$I$4,M1565=phu!$I$5,M1565=phu!$I$6,M1565=phu!$I$7,M1565=phu!$I$8,M1565=phu!$I$9,M1565=phu!$I$10,M1565=phu!$I$11,M1565=phu!$I$12,M1565=phu!$I$13,M1565=phu!$I$14),"Cam Nghĩa",""),IF(OR(M1565=phu!$I$15,M1565=phu!$I$16,M1565=phu!$I$17,M1565=phu!$I$18,M1565=phu!$I$19,M1565=phu!$I$20,M1565=phu!$I$21),"Cam Phúc Bắc",""),IF(OR(M1565=phu!$I$22,M1565=phu!$I$23,M1565=phu!$I$24,M1565=phu!$I$25),"Cam Phúc Nam",""),IF(OR(M1565=phu!$I$26,M1565=phu!$I$27,M1565=phu!$I$28,M1565=phu!$I$29,M1565=phu!$I$30,M1565=phu!$I$31),"Cam Phú",""),IF(OR(M1565=phu!$I$32,M1565=phu!$I$33,M1565=phu!$I$34,M1565=phu!$I$35,M1565=phu!$I$36,M1565=phu!$I$37),"Cam Lộc",""),IF(OR(M1565=phu!$I$38,M1565=phu!$I$39,M1565=phu!$I$40,M1565=phu!$I$41,M1565=phu!$I$42,M1565=phu!$I$43,M1565=phu!$I$44),"Cam Thuận",""),IF(OR(M1565=phu!$I$45,M1565=phu!$I$46,M1565=phu!$I$47,M1565=phu!$I$48,M1565=phu!$I$49,M1565=phu!$I$50,M1565=phu!$I$51,M1565=phu!$I$52,M1565=phu!$I$53),"Cam Linh",""),IF(OR(M1565=phu!$I$54,M1565=phu!$I$55,M1565=phu!$I$56,M1565=phu!$I$57,M1565=phu!$I$58,M1565=phu!$I$59,M1565=phu!$I$60,M1565=phu!$I$61,M1565=phu!$I$62),"Cam Lợi",""),IF(OR(M1565=phu!$I$63,M1565=phu!$I$64,M1565=phu!$I$65,M1565=phu!$I$66,M1565=phu!$I$67,M1565=phu!$I$68,M1565=phu!$I$69,M1565=phu!$I$70,M1565=phu!$I$71),"Ba Ngòi",""),IF(OR(M1565=phu!$I$72,M1565=phu!$I$73,M1565=phu!$I$74,M1565=phu!$I$75,M1565=phu!$I$76,M1565=phu!$I$77,M1565=phu!$I$78),"Cam Phước Đông",""),IF(OR(M1565=phu!$I$79,M1565=phu!$I$80,M1565=phu!$I$81,M1565=phu!$I$82,M1565=phu!$I$83,M1565=phu!$I$84),"Cam Thịnh Đông",""),IF(OR(M1565=phu!$I$85,M1565=phu!$I$86,M1565=phu!$I$87,M1565=phu!$I$88),"Cam Thịnh Tây",""),IF(OR(M1565=phu!$I$89,M1565=phu!$I$90),"Cam Lập",""),IF(OR(M1565=phu!$I$91,M1565=phu!$I$92,M1565=phu!$I$93),"Cam Bình",""),IF(OR(M1565=phu!$I$94,M1565=phu!$I$95,M1565=phu!$I$96,M1565=phu!$I$97,M1565=phu!$I$98,M1565=phu!$I$99,M1565=phu!$I$100),"Huyện khác",""),IF(OR(M1565=phu!$I$101,M1565=phu!$I$102),"Tỉnh khác",""))</f>
        <v/>
      </c>
      <c r="O1565" s="829" t="str">
        <f t="shared" si="144"/>
        <v/>
      </c>
      <c r="P1565" s="254"/>
      <c r="Q1565" s="254"/>
      <c r="R1565" s="254"/>
      <c r="S1565" s="254"/>
      <c r="T1565" s="254"/>
      <c r="U1565" s="254"/>
      <c r="V1565" s="254"/>
      <c r="W1565" s="254"/>
      <c r="Y1565" s="246" t="str">
        <f t="shared" si="145"/>
        <v/>
      </c>
      <c r="Z1565" s="247" t="str">
        <f t="shared" si="149"/>
        <v/>
      </c>
      <c r="AA1565" s="246" t="str">
        <f t="shared" si="146"/>
        <v/>
      </c>
    </row>
    <row r="1566" spans="1:27" x14ac:dyDescent="0.25">
      <c r="A1566" s="248" t="str">
        <f t="shared" si="147"/>
        <v/>
      </c>
      <c r="B1566" s="249" t="str">
        <f t="shared" si="148"/>
        <v/>
      </c>
      <c r="C1566" s="250"/>
      <c r="D1566" s="251"/>
      <c r="E1566" s="241"/>
      <c r="F1566" s="252"/>
      <c r="G1566" s="252"/>
      <c r="H1566" s="253"/>
      <c r="I1566" s="250"/>
      <c r="J1566" s="250"/>
      <c r="K1566" s="270"/>
      <c r="L1566" s="250"/>
      <c r="M1566" s="250"/>
      <c r="N1566" s="540" t="str">
        <f>CONCATENATE(IF(OR(M1566=phu!$I$1,M1566=phu!$I$2,M1566=phu!$I$3),"Cam Thành Nam",""),IF(OR(M1566=phu!$I$4,M1566=phu!$I$5,M1566=phu!$I$6,M1566=phu!$I$7,M1566=phu!$I$8,M1566=phu!$I$9,M1566=phu!$I$10,M1566=phu!$I$11,M1566=phu!$I$12,M1566=phu!$I$13,M1566=phu!$I$14),"Cam Nghĩa",""),IF(OR(M1566=phu!$I$15,M1566=phu!$I$16,M1566=phu!$I$17,M1566=phu!$I$18,M1566=phu!$I$19,M1566=phu!$I$20,M1566=phu!$I$21),"Cam Phúc Bắc",""),IF(OR(M1566=phu!$I$22,M1566=phu!$I$23,M1566=phu!$I$24,M1566=phu!$I$25),"Cam Phúc Nam",""),IF(OR(M1566=phu!$I$26,M1566=phu!$I$27,M1566=phu!$I$28,M1566=phu!$I$29,M1566=phu!$I$30,M1566=phu!$I$31),"Cam Phú",""),IF(OR(M1566=phu!$I$32,M1566=phu!$I$33,M1566=phu!$I$34,M1566=phu!$I$35,M1566=phu!$I$36,M1566=phu!$I$37),"Cam Lộc",""),IF(OR(M1566=phu!$I$38,M1566=phu!$I$39,M1566=phu!$I$40,M1566=phu!$I$41,M1566=phu!$I$42,M1566=phu!$I$43,M1566=phu!$I$44),"Cam Thuận",""),IF(OR(M1566=phu!$I$45,M1566=phu!$I$46,M1566=phu!$I$47,M1566=phu!$I$48,M1566=phu!$I$49,M1566=phu!$I$50,M1566=phu!$I$51,M1566=phu!$I$52,M1566=phu!$I$53),"Cam Linh",""),IF(OR(M1566=phu!$I$54,M1566=phu!$I$55,M1566=phu!$I$56,M1566=phu!$I$57,M1566=phu!$I$58,M1566=phu!$I$59,M1566=phu!$I$60,M1566=phu!$I$61,M1566=phu!$I$62),"Cam Lợi",""),IF(OR(M1566=phu!$I$63,M1566=phu!$I$64,M1566=phu!$I$65,M1566=phu!$I$66,M1566=phu!$I$67,M1566=phu!$I$68,M1566=phu!$I$69,M1566=phu!$I$70,M1566=phu!$I$71),"Ba Ngòi",""),IF(OR(M1566=phu!$I$72,M1566=phu!$I$73,M1566=phu!$I$74,M1566=phu!$I$75,M1566=phu!$I$76,M1566=phu!$I$77,M1566=phu!$I$78),"Cam Phước Đông",""),IF(OR(M1566=phu!$I$79,M1566=phu!$I$80,M1566=phu!$I$81,M1566=phu!$I$82,M1566=phu!$I$83,M1566=phu!$I$84),"Cam Thịnh Đông",""),IF(OR(M1566=phu!$I$85,M1566=phu!$I$86,M1566=phu!$I$87,M1566=phu!$I$88),"Cam Thịnh Tây",""),IF(OR(M1566=phu!$I$89,M1566=phu!$I$90),"Cam Lập",""),IF(OR(M1566=phu!$I$91,M1566=phu!$I$92,M1566=phu!$I$93),"Cam Bình",""),IF(OR(M1566=phu!$I$94,M1566=phu!$I$95,M1566=phu!$I$96,M1566=phu!$I$97,M1566=phu!$I$98,M1566=phu!$I$99,M1566=phu!$I$100),"Huyện khác",""),IF(OR(M1566=phu!$I$101,M1566=phu!$I$102),"Tỉnh khác",""))</f>
        <v/>
      </c>
      <c r="O1566" s="829" t="str">
        <f t="shared" si="144"/>
        <v/>
      </c>
      <c r="P1566" s="254"/>
      <c r="Q1566" s="254"/>
      <c r="R1566" s="254"/>
      <c r="S1566" s="254"/>
      <c r="T1566" s="254"/>
      <c r="U1566" s="254"/>
      <c r="V1566" s="254"/>
      <c r="W1566" s="254"/>
      <c r="Y1566" s="246" t="str">
        <f t="shared" si="145"/>
        <v/>
      </c>
      <c r="Z1566" s="247" t="str">
        <f t="shared" si="149"/>
        <v/>
      </c>
      <c r="AA1566" s="246" t="str">
        <f t="shared" si="146"/>
        <v/>
      </c>
    </row>
    <row r="1567" spans="1:27" x14ac:dyDescent="0.25">
      <c r="A1567" s="248" t="str">
        <f t="shared" si="147"/>
        <v/>
      </c>
      <c r="B1567" s="249" t="str">
        <f t="shared" si="148"/>
        <v/>
      </c>
      <c r="C1567" s="250"/>
      <c r="D1567" s="251"/>
      <c r="E1567" s="241"/>
      <c r="F1567" s="252"/>
      <c r="G1567" s="252"/>
      <c r="H1567" s="253"/>
      <c r="I1567" s="250"/>
      <c r="J1567" s="250"/>
      <c r="K1567" s="270"/>
      <c r="L1567" s="250"/>
      <c r="M1567" s="250"/>
      <c r="N1567" s="540" t="str">
        <f>CONCATENATE(IF(OR(M1567=phu!$I$1,M1567=phu!$I$2,M1567=phu!$I$3),"Cam Thành Nam",""),IF(OR(M1567=phu!$I$4,M1567=phu!$I$5,M1567=phu!$I$6,M1567=phu!$I$7,M1567=phu!$I$8,M1567=phu!$I$9,M1567=phu!$I$10,M1567=phu!$I$11,M1567=phu!$I$12,M1567=phu!$I$13,M1567=phu!$I$14),"Cam Nghĩa",""),IF(OR(M1567=phu!$I$15,M1567=phu!$I$16,M1567=phu!$I$17,M1567=phu!$I$18,M1567=phu!$I$19,M1567=phu!$I$20,M1567=phu!$I$21),"Cam Phúc Bắc",""),IF(OR(M1567=phu!$I$22,M1567=phu!$I$23,M1567=phu!$I$24,M1567=phu!$I$25),"Cam Phúc Nam",""),IF(OR(M1567=phu!$I$26,M1567=phu!$I$27,M1567=phu!$I$28,M1567=phu!$I$29,M1567=phu!$I$30,M1567=phu!$I$31),"Cam Phú",""),IF(OR(M1567=phu!$I$32,M1567=phu!$I$33,M1567=phu!$I$34,M1567=phu!$I$35,M1567=phu!$I$36,M1567=phu!$I$37),"Cam Lộc",""),IF(OR(M1567=phu!$I$38,M1567=phu!$I$39,M1567=phu!$I$40,M1567=phu!$I$41,M1567=phu!$I$42,M1567=phu!$I$43,M1567=phu!$I$44),"Cam Thuận",""),IF(OR(M1567=phu!$I$45,M1567=phu!$I$46,M1567=phu!$I$47,M1567=phu!$I$48,M1567=phu!$I$49,M1567=phu!$I$50,M1567=phu!$I$51,M1567=phu!$I$52,M1567=phu!$I$53),"Cam Linh",""),IF(OR(M1567=phu!$I$54,M1567=phu!$I$55,M1567=phu!$I$56,M1567=phu!$I$57,M1567=phu!$I$58,M1567=phu!$I$59,M1567=phu!$I$60,M1567=phu!$I$61,M1567=phu!$I$62),"Cam Lợi",""),IF(OR(M1567=phu!$I$63,M1567=phu!$I$64,M1567=phu!$I$65,M1567=phu!$I$66,M1567=phu!$I$67,M1567=phu!$I$68,M1567=phu!$I$69,M1567=phu!$I$70,M1567=phu!$I$71),"Ba Ngòi",""),IF(OR(M1567=phu!$I$72,M1567=phu!$I$73,M1567=phu!$I$74,M1567=phu!$I$75,M1567=phu!$I$76,M1567=phu!$I$77,M1567=phu!$I$78),"Cam Phước Đông",""),IF(OR(M1567=phu!$I$79,M1567=phu!$I$80,M1567=phu!$I$81,M1567=phu!$I$82,M1567=phu!$I$83,M1567=phu!$I$84),"Cam Thịnh Đông",""),IF(OR(M1567=phu!$I$85,M1567=phu!$I$86,M1567=phu!$I$87,M1567=phu!$I$88),"Cam Thịnh Tây",""),IF(OR(M1567=phu!$I$89,M1567=phu!$I$90),"Cam Lập",""),IF(OR(M1567=phu!$I$91,M1567=phu!$I$92,M1567=phu!$I$93),"Cam Bình",""),IF(OR(M1567=phu!$I$94,M1567=phu!$I$95,M1567=phu!$I$96,M1567=phu!$I$97,M1567=phu!$I$98,M1567=phu!$I$99,M1567=phu!$I$100),"Huyện khác",""),IF(OR(M1567=phu!$I$101,M1567=phu!$I$102),"Tỉnh khác",""))</f>
        <v/>
      </c>
      <c r="O1567" s="829" t="str">
        <f t="shared" si="144"/>
        <v/>
      </c>
      <c r="P1567" s="254"/>
      <c r="Q1567" s="254"/>
      <c r="R1567" s="254"/>
      <c r="S1567" s="254"/>
      <c r="T1567" s="254"/>
      <c r="U1567" s="254"/>
      <c r="V1567" s="254"/>
      <c r="W1567" s="254"/>
      <c r="Y1567" s="246" t="str">
        <f t="shared" si="145"/>
        <v/>
      </c>
      <c r="Z1567" s="247" t="str">
        <f t="shared" si="149"/>
        <v/>
      </c>
      <c r="AA1567" s="246" t="str">
        <f t="shared" si="146"/>
        <v/>
      </c>
    </row>
    <row r="1568" spans="1:27" x14ac:dyDescent="0.25">
      <c r="A1568" s="248" t="str">
        <f t="shared" si="147"/>
        <v/>
      </c>
      <c r="B1568" s="249" t="str">
        <f t="shared" si="148"/>
        <v/>
      </c>
      <c r="C1568" s="250"/>
      <c r="D1568" s="251"/>
      <c r="E1568" s="241"/>
      <c r="F1568" s="252"/>
      <c r="G1568" s="252"/>
      <c r="H1568" s="253"/>
      <c r="I1568" s="250"/>
      <c r="J1568" s="250"/>
      <c r="K1568" s="270"/>
      <c r="L1568" s="250"/>
      <c r="M1568" s="250"/>
      <c r="N1568" s="540" t="str">
        <f>CONCATENATE(IF(OR(M1568=phu!$I$1,M1568=phu!$I$2,M1568=phu!$I$3),"Cam Thành Nam",""),IF(OR(M1568=phu!$I$4,M1568=phu!$I$5,M1568=phu!$I$6,M1568=phu!$I$7,M1568=phu!$I$8,M1568=phu!$I$9,M1568=phu!$I$10,M1568=phu!$I$11,M1568=phu!$I$12,M1568=phu!$I$13,M1568=phu!$I$14),"Cam Nghĩa",""),IF(OR(M1568=phu!$I$15,M1568=phu!$I$16,M1568=phu!$I$17,M1568=phu!$I$18,M1568=phu!$I$19,M1568=phu!$I$20,M1568=phu!$I$21),"Cam Phúc Bắc",""),IF(OR(M1568=phu!$I$22,M1568=phu!$I$23,M1568=phu!$I$24,M1568=phu!$I$25),"Cam Phúc Nam",""),IF(OR(M1568=phu!$I$26,M1568=phu!$I$27,M1568=phu!$I$28,M1568=phu!$I$29,M1568=phu!$I$30,M1568=phu!$I$31),"Cam Phú",""),IF(OR(M1568=phu!$I$32,M1568=phu!$I$33,M1568=phu!$I$34,M1568=phu!$I$35,M1568=phu!$I$36,M1568=phu!$I$37),"Cam Lộc",""),IF(OR(M1568=phu!$I$38,M1568=phu!$I$39,M1568=phu!$I$40,M1568=phu!$I$41,M1568=phu!$I$42,M1568=phu!$I$43,M1568=phu!$I$44),"Cam Thuận",""),IF(OR(M1568=phu!$I$45,M1568=phu!$I$46,M1568=phu!$I$47,M1568=phu!$I$48,M1568=phu!$I$49,M1568=phu!$I$50,M1568=phu!$I$51,M1568=phu!$I$52,M1568=phu!$I$53),"Cam Linh",""),IF(OR(M1568=phu!$I$54,M1568=phu!$I$55,M1568=phu!$I$56,M1568=phu!$I$57,M1568=phu!$I$58,M1568=phu!$I$59,M1568=phu!$I$60,M1568=phu!$I$61,M1568=phu!$I$62),"Cam Lợi",""),IF(OR(M1568=phu!$I$63,M1568=phu!$I$64,M1568=phu!$I$65,M1568=phu!$I$66,M1568=phu!$I$67,M1568=phu!$I$68,M1568=phu!$I$69,M1568=phu!$I$70,M1568=phu!$I$71),"Ba Ngòi",""),IF(OR(M1568=phu!$I$72,M1568=phu!$I$73,M1568=phu!$I$74,M1568=phu!$I$75,M1568=phu!$I$76,M1568=phu!$I$77,M1568=phu!$I$78),"Cam Phước Đông",""),IF(OR(M1568=phu!$I$79,M1568=phu!$I$80,M1568=phu!$I$81,M1568=phu!$I$82,M1568=phu!$I$83,M1568=phu!$I$84),"Cam Thịnh Đông",""),IF(OR(M1568=phu!$I$85,M1568=phu!$I$86,M1568=phu!$I$87,M1568=phu!$I$88),"Cam Thịnh Tây",""),IF(OR(M1568=phu!$I$89,M1568=phu!$I$90),"Cam Lập",""),IF(OR(M1568=phu!$I$91,M1568=phu!$I$92,M1568=phu!$I$93),"Cam Bình",""),IF(OR(M1568=phu!$I$94,M1568=phu!$I$95,M1568=phu!$I$96,M1568=phu!$I$97,M1568=phu!$I$98,M1568=phu!$I$99,M1568=phu!$I$100),"Huyện khác",""),IF(OR(M1568=phu!$I$101,M1568=phu!$I$102),"Tỉnh khác",""))</f>
        <v/>
      </c>
      <c r="O1568" s="829" t="str">
        <f t="shared" si="144"/>
        <v/>
      </c>
      <c r="P1568" s="254"/>
      <c r="Q1568" s="254"/>
      <c r="R1568" s="254"/>
      <c r="S1568" s="254"/>
      <c r="T1568" s="254"/>
      <c r="U1568" s="254"/>
      <c r="V1568" s="254"/>
      <c r="W1568" s="254"/>
      <c r="Y1568" s="246" t="str">
        <f t="shared" si="145"/>
        <v/>
      </c>
      <c r="Z1568" s="247" t="str">
        <f t="shared" si="149"/>
        <v/>
      </c>
      <c r="AA1568" s="246" t="str">
        <f t="shared" si="146"/>
        <v/>
      </c>
    </row>
    <row r="1569" spans="1:27" x14ac:dyDescent="0.25">
      <c r="A1569" s="248" t="str">
        <f t="shared" si="147"/>
        <v/>
      </c>
      <c r="B1569" s="249" t="str">
        <f t="shared" si="148"/>
        <v/>
      </c>
      <c r="C1569" s="250"/>
      <c r="D1569" s="251"/>
      <c r="E1569" s="241"/>
      <c r="F1569" s="252"/>
      <c r="G1569" s="252"/>
      <c r="H1569" s="253"/>
      <c r="I1569" s="250"/>
      <c r="J1569" s="250"/>
      <c r="K1569" s="270"/>
      <c r="L1569" s="250"/>
      <c r="M1569" s="250"/>
      <c r="N1569" s="540" t="str">
        <f>CONCATENATE(IF(OR(M1569=phu!$I$1,M1569=phu!$I$2,M1569=phu!$I$3),"Cam Thành Nam",""),IF(OR(M1569=phu!$I$4,M1569=phu!$I$5,M1569=phu!$I$6,M1569=phu!$I$7,M1569=phu!$I$8,M1569=phu!$I$9,M1569=phu!$I$10,M1569=phu!$I$11,M1569=phu!$I$12,M1569=phu!$I$13,M1569=phu!$I$14),"Cam Nghĩa",""),IF(OR(M1569=phu!$I$15,M1569=phu!$I$16,M1569=phu!$I$17,M1569=phu!$I$18,M1569=phu!$I$19,M1569=phu!$I$20,M1569=phu!$I$21),"Cam Phúc Bắc",""),IF(OR(M1569=phu!$I$22,M1569=phu!$I$23,M1569=phu!$I$24,M1569=phu!$I$25),"Cam Phúc Nam",""),IF(OR(M1569=phu!$I$26,M1569=phu!$I$27,M1569=phu!$I$28,M1569=phu!$I$29,M1569=phu!$I$30,M1569=phu!$I$31),"Cam Phú",""),IF(OR(M1569=phu!$I$32,M1569=phu!$I$33,M1569=phu!$I$34,M1569=phu!$I$35,M1569=phu!$I$36,M1569=phu!$I$37),"Cam Lộc",""),IF(OR(M1569=phu!$I$38,M1569=phu!$I$39,M1569=phu!$I$40,M1569=phu!$I$41,M1569=phu!$I$42,M1569=phu!$I$43,M1569=phu!$I$44),"Cam Thuận",""),IF(OR(M1569=phu!$I$45,M1569=phu!$I$46,M1569=phu!$I$47,M1569=phu!$I$48,M1569=phu!$I$49,M1569=phu!$I$50,M1569=phu!$I$51,M1569=phu!$I$52,M1569=phu!$I$53),"Cam Linh",""),IF(OR(M1569=phu!$I$54,M1569=phu!$I$55,M1569=phu!$I$56,M1569=phu!$I$57,M1569=phu!$I$58,M1569=phu!$I$59,M1569=phu!$I$60,M1569=phu!$I$61,M1569=phu!$I$62),"Cam Lợi",""),IF(OR(M1569=phu!$I$63,M1569=phu!$I$64,M1569=phu!$I$65,M1569=phu!$I$66,M1569=phu!$I$67,M1569=phu!$I$68,M1569=phu!$I$69,M1569=phu!$I$70,M1569=phu!$I$71),"Ba Ngòi",""),IF(OR(M1569=phu!$I$72,M1569=phu!$I$73,M1569=phu!$I$74,M1569=phu!$I$75,M1569=phu!$I$76,M1569=phu!$I$77,M1569=phu!$I$78),"Cam Phước Đông",""),IF(OR(M1569=phu!$I$79,M1569=phu!$I$80,M1569=phu!$I$81,M1569=phu!$I$82,M1569=phu!$I$83,M1569=phu!$I$84),"Cam Thịnh Đông",""),IF(OR(M1569=phu!$I$85,M1569=phu!$I$86,M1569=phu!$I$87,M1569=phu!$I$88),"Cam Thịnh Tây",""),IF(OR(M1569=phu!$I$89,M1569=phu!$I$90),"Cam Lập",""),IF(OR(M1569=phu!$I$91,M1569=phu!$I$92,M1569=phu!$I$93),"Cam Bình",""),IF(OR(M1569=phu!$I$94,M1569=phu!$I$95,M1569=phu!$I$96,M1569=phu!$I$97,M1569=phu!$I$98,M1569=phu!$I$99,M1569=phu!$I$100),"Huyện khác",""),IF(OR(M1569=phu!$I$101,M1569=phu!$I$102),"Tỉnh khác",""))</f>
        <v/>
      </c>
      <c r="O1569" s="829" t="str">
        <f t="shared" si="144"/>
        <v/>
      </c>
      <c r="P1569" s="254"/>
      <c r="Q1569" s="254"/>
      <c r="R1569" s="254"/>
      <c r="S1569" s="254"/>
      <c r="T1569" s="254"/>
      <c r="U1569" s="254"/>
      <c r="V1569" s="254"/>
      <c r="W1569" s="254"/>
      <c r="Y1569" s="246" t="str">
        <f t="shared" si="145"/>
        <v/>
      </c>
      <c r="Z1569" s="247" t="str">
        <f t="shared" si="149"/>
        <v/>
      </c>
      <c r="AA1569" s="246" t="str">
        <f t="shared" si="146"/>
        <v/>
      </c>
    </row>
    <row r="1570" spans="1:27" x14ac:dyDescent="0.25">
      <c r="A1570" s="248" t="str">
        <f t="shared" si="147"/>
        <v/>
      </c>
      <c r="B1570" s="249" t="str">
        <f t="shared" si="148"/>
        <v/>
      </c>
      <c r="C1570" s="250"/>
      <c r="D1570" s="251"/>
      <c r="E1570" s="241"/>
      <c r="F1570" s="252"/>
      <c r="G1570" s="252"/>
      <c r="H1570" s="253"/>
      <c r="I1570" s="250"/>
      <c r="J1570" s="250"/>
      <c r="K1570" s="270"/>
      <c r="L1570" s="250"/>
      <c r="M1570" s="250"/>
      <c r="N1570" s="540" t="str">
        <f>CONCATENATE(IF(OR(M1570=phu!$I$1,M1570=phu!$I$2,M1570=phu!$I$3),"Cam Thành Nam",""),IF(OR(M1570=phu!$I$4,M1570=phu!$I$5,M1570=phu!$I$6,M1570=phu!$I$7,M1570=phu!$I$8,M1570=phu!$I$9,M1570=phu!$I$10,M1570=phu!$I$11,M1570=phu!$I$12,M1570=phu!$I$13,M1570=phu!$I$14),"Cam Nghĩa",""),IF(OR(M1570=phu!$I$15,M1570=phu!$I$16,M1570=phu!$I$17,M1570=phu!$I$18,M1570=phu!$I$19,M1570=phu!$I$20,M1570=phu!$I$21),"Cam Phúc Bắc",""),IF(OR(M1570=phu!$I$22,M1570=phu!$I$23,M1570=phu!$I$24,M1570=phu!$I$25),"Cam Phúc Nam",""),IF(OR(M1570=phu!$I$26,M1570=phu!$I$27,M1570=phu!$I$28,M1570=phu!$I$29,M1570=phu!$I$30,M1570=phu!$I$31),"Cam Phú",""),IF(OR(M1570=phu!$I$32,M1570=phu!$I$33,M1570=phu!$I$34,M1570=phu!$I$35,M1570=phu!$I$36,M1570=phu!$I$37),"Cam Lộc",""),IF(OR(M1570=phu!$I$38,M1570=phu!$I$39,M1570=phu!$I$40,M1570=phu!$I$41,M1570=phu!$I$42,M1570=phu!$I$43,M1570=phu!$I$44),"Cam Thuận",""),IF(OR(M1570=phu!$I$45,M1570=phu!$I$46,M1570=phu!$I$47,M1570=phu!$I$48,M1570=phu!$I$49,M1570=phu!$I$50,M1570=phu!$I$51,M1570=phu!$I$52,M1570=phu!$I$53),"Cam Linh",""),IF(OR(M1570=phu!$I$54,M1570=phu!$I$55,M1570=phu!$I$56,M1570=phu!$I$57,M1570=phu!$I$58,M1570=phu!$I$59,M1570=phu!$I$60,M1570=phu!$I$61,M1570=phu!$I$62),"Cam Lợi",""),IF(OR(M1570=phu!$I$63,M1570=phu!$I$64,M1570=phu!$I$65,M1570=phu!$I$66,M1570=phu!$I$67,M1570=phu!$I$68,M1570=phu!$I$69,M1570=phu!$I$70,M1570=phu!$I$71),"Ba Ngòi",""),IF(OR(M1570=phu!$I$72,M1570=phu!$I$73,M1570=phu!$I$74,M1570=phu!$I$75,M1570=phu!$I$76,M1570=phu!$I$77,M1570=phu!$I$78),"Cam Phước Đông",""),IF(OR(M1570=phu!$I$79,M1570=phu!$I$80,M1570=phu!$I$81,M1570=phu!$I$82,M1570=phu!$I$83,M1570=phu!$I$84),"Cam Thịnh Đông",""),IF(OR(M1570=phu!$I$85,M1570=phu!$I$86,M1570=phu!$I$87,M1570=phu!$I$88),"Cam Thịnh Tây",""),IF(OR(M1570=phu!$I$89,M1570=phu!$I$90),"Cam Lập",""),IF(OR(M1570=phu!$I$91,M1570=phu!$I$92,M1570=phu!$I$93),"Cam Bình",""),IF(OR(M1570=phu!$I$94,M1570=phu!$I$95,M1570=phu!$I$96,M1570=phu!$I$97,M1570=phu!$I$98,M1570=phu!$I$99,M1570=phu!$I$100),"Huyện khác",""),IF(OR(M1570=phu!$I$101,M1570=phu!$I$102),"Tỉnh khác",""))</f>
        <v/>
      </c>
      <c r="O1570" s="829" t="str">
        <f t="shared" si="144"/>
        <v/>
      </c>
      <c r="P1570" s="254"/>
      <c r="Q1570" s="254"/>
      <c r="R1570" s="254"/>
      <c r="S1570" s="254"/>
      <c r="T1570" s="254"/>
      <c r="U1570" s="254"/>
      <c r="V1570" s="254"/>
      <c r="W1570" s="254"/>
      <c r="Y1570" s="246" t="str">
        <f t="shared" si="145"/>
        <v/>
      </c>
      <c r="Z1570" s="247" t="str">
        <f t="shared" si="149"/>
        <v/>
      </c>
      <c r="AA1570" s="246" t="str">
        <f t="shared" si="146"/>
        <v/>
      </c>
    </row>
    <row r="1571" spans="1:27" x14ac:dyDescent="0.25">
      <c r="A1571" s="248" t="str">
        <f t="shared" si="147"/>
        <v/>
      </c>
      <c r="B1571" s="249" t="str">
        <f t="shared" si="148"/>
        <v/>
      </c>
      <c r="C1571" s="250"/>
      <c r="D1571" s="251"/>
      <c r="E1571" s="241"/>
      <c r="F1571" s="252"/>
      <c r="G1571" s="252"/>
      <c r="H1571" s="253"/>
      <c r="I1571" s="250"/>
      <c r="J1571" s="250"/>
      <c r="K1571" s="270"/>
      <c r="L1571" s="250"/>
      <c r="M1571" s="250"/>
      <c r="N1571" s="540" t="str">
        <f>CONCATENATE(IF(OR(M1571=phu!$I$1,M1571=phu!$I$2,M1571=phu!$I$3),"Cam Thành Nam",""),IF(OR(M1571=phu!$I$4,M1571=phu!$I$5,M1571=phu!$I$6,M1571=phu!$I$7,M1571=phu!$I$8,M1571=phu!$I$9,M1571=phu!$I$10,M1571=phu!$I$11,M1571=phu!$I$12,M1571=phu!$I$13,M1571=phu!$I$14),"Cam Nghĩa",""),IF(OR(M1571=phu!$I$15,M1571=phu!$I$16,M1571=phu!$I$17,M1571=phu!$I$18,M1571=phu!$I$19,M1571=phu!$I$20,M1571=phu!$I$21),"Cam Phúc Bắc",""),IF(OR(M1571=phu!$I$22,M1571=phu!$I$23,M1571=phu!$I$24,M1571=phu!$I$25),"Cam Phúc Nam",""),IF(OR(M1571=phu!$I$26,M1571=phu!$I$27,M1571=phu!$I$28,M1571=phu!$I$29,M1571=phu!$I$30,M1571=phu!$I$31),"Cam Phú",""),IF(OR(M1571=phu!$I$32,M1571=phu!$I$33,M1571=phu!$I$34,M1571=phu!$I$35,M1571=phu!$I$36,M1571=phu!$I$37),"Cam Lộc",""),IF(OR(M1571=phu!$I$38,M1571=phu!$I$39,M1571=phu!$I$40,M1571=phu!$I$41,M1571=phu!$I$42,M1571=phu!$I$43,M1571=phu!$I$44),"Cam Thuận",""),IF(OR(M1571=phu!$I$45,M1571=phu!$I$46,M1571=phu!$I$47,M1571=phu!$I$48,M1571=phu!$I$49,M1571=phu!$I$50,M1571=phu!$I$51,M1571=phu!$I$52,M1571=phu!$I$53),"Cam Linh",""),IF(OR(M1571=phu!$I$54,M1571=phu!$I$55,M1571=phu!$I$56,M1571=phu!$I$57,M1571=phu!$I$58,M1571=phu!$I$59,M1571=phu!$I$60,M1571=phu!$I$61,M1571=phu!$I$62),"Cam Lợi",""),IF(OR(M1571=phu!$I$63,M1571=phu!$I$64,M1571=phu!$I$65,M1571=phu!$I$66,M1571=phu!$I$67,M1571=phu!$I$68,M1571=phu!$I$69,M1571=phu!$I$70,M1571=phu!$I$71),"Ba Ngòi",""),IF(OR(M1571=phu!$I$72,M1571=phu!$I$73,M1571=phu!$I$74,M1571=phu!$I$75,M1571=phu!$I$76,M1571=phu!$I$77,M1571=phu!$I$78),"Cam Phước Đông",""),IF(OR(M1571=phu!$I$79,M1571=phu!$I$80,M1571=phu!$I$81,M1571=phu!$I$82,M1571=phu!$I$83,M1571=phu!$I$84),"Cam Thịnh Đông",""),IF(OR(M1571=phu!$I$85,M1571=phu!$I$86,M1571=phu!$I$87,M1571=phu!$I$88),"Cam Thịnh Tây",""),IF(OR(M1571=phu!$I$89,M1571=phu!$I$90),"Cam Lập",""),IF(OR(M1571=phu!$I$91,M1571=phu!$I$92,M1571=phu!$I$93),"Cam Bình",""),IF(OR(M1571=phu!$I$94,M1571=phu!$I$95,M1571=phu!$I$96,M1571=phu!$I$97,M1571=phu!$I$98,M1571=phu!$I$99,M1571=phu!$I$100),"Huyện khác",""),IF(OR(M1571=phu!$I$101,M1571=phu!$I$102),"Tỉnh khác",""))</f>
        <v/>
      </c>
      <c r="O1571" s="829" t="str">
        <f t="shared" si="144"/>
        <v/>
      </c>
      <c r="P1571" s="254"/>
      <c r="Q1571" s="254"/>
      <c r="R1571" s="254"/>
      <c r="S1571" s="254"/>
      <c r="T1571" s="254"/>
      <c r="U1571" s="254"/>
      <c r="V1571" s="254"/>
      <c r="W1571" s="254"/>
      <c r="Y1571" s="246" t="str">
        <f t="shared" si="145"/>
        <v/>
      </c>
      <c r="Z1571" s="247" t="str">
        <f t="shared" si="149"/>
        <v/>
      </c>
      <c r="AA1571" s="246" t="str">
        <f t="shared" si="146"/>
        <v/>
      </c>
    </row>
    <row r="1572" spans="1:27" x14ac:dyDescent="0.25">
      <c r="A1572" s="248" t="str">
        <f t="shared" si="147"/>
        <v/>
      </c>
      <c r="B1572" s="249" t="str">
        <f t="shared" si="148"/>
        <v/>
      </c>
      <c r="C1572" s="250"/>
      <c r="D1572" s="251"/>
      <c r="E1572" s="241"/>
      <c r="F1572" s="252"/>
      <c r="G1572" s="252"/>
      <c r="H1572" s="253"/>
      <c r="I1572" s="250"/>
      <c r="J1572" s="250"/>
      <c r="K1572" s="270"/>
      <c r="L1572" s="250"/>
      <c r="M1572" s="250"/>
      <c r="N1572" s="540" t="str">
        <f>CONCATENATE(IF(OR(M1572=phu!$I$1,M1572=phu!$I$2,M1572=phu!$I$3),"Cam Thành Nam",""),IF(OR(M1572=phu!$I$4,M1572=phu!$I$5,M1572=phu!$I$6,M1572=phu!$I$7,M1572=phu!$I$8,M1572=phu!$I$9,M1572=phu!$I$10,M1572=phu!$I$11,M1572=phu!$I$12,M1572=phu!$I$13,M1572=phu!$I$14),"Cam Nghĩa",""),IF(OR(M1572=phu!$I$15,M1572=phu!$I$16,M1572=phu!$I$17,M1572=phu!$I$18,M1572=phu!$I$19,M1572=phu!$I$20,M1572=phu!$I$21),"Cam Phúc Bắc",""),IF(OR(M1572=phu!$I$22,M1572=phu!$I$23,M1572=phu!$I$24,M1572=phu!$I$25),"Cam Phúc Nam",""),IF(OR(M1572=phu!$I$26,M1572=phu!$I$27,M1572=phu!$I$28,M1572=phu!$I$29,M1572=phu!$I$30,M1572=phu!$I$31),"Cam Phú",""),IF(OR(M1572=phu!$I$32,M1572=phu!$I$33,M1572=phu!$I$34,M1572=phu!$I$35,M1572=phu!$I$36,M1572=phu!$I$37),"Cam Lộc",""),IF(OR(M1572=phu!$I$38,M1572=phu!$I$39,M1572=phu!$I$40,M1572=phu!$I$41,M1572=phu!$I$42,M1572=phu!$I$43,M1572=phu!$I$44),"Cam Thuận",""),IF(OR(M1572=phu!$I$45,M1572=phu!$I$46,M1572=phu!$I$47,M1572=phu!$I$48,M1572=phu!$I$49,M1572=phu!$I$50,M1572=phu!$I$51,M1572=phu!$I$52,M1572=phu!$I$53),"Cam Linh",""),IF(OR(M1572=phu!$I$54,M1572=phu!$I$55,M1572=phu!$I$56,M1572=phu!$I$57,M1572=phu!$I$58,M1572=phu!$I$59,M1572=phu!$I$60,M1572=phu!$I$61,M1572=phu!$I$62),"Cam Lợi",""),IF(OR(M1572=phu!$I$63,M1572=phu!$I$64,M1572=phu!$I$65,M1572=phu!$I$66,M1572=phu!$I$67,M1572=phu!$I$68,M1572=phu!$I$69,M1572=phu!$I$70,M1572=phu!$I$71),"Ba Ngòi",""),IF(OR(M1572=phu!$I$72,M1572=phu!$I$73,M1572=phu!$I$74,M1572=phu!$I$75,M1572=phu!$I$76,M1572=phu!$I$77,M1572=phu!$I$78),"Cam Phước Đông",""),IF(OR(M1572=phu!$I$79,M1572=phu!$I$80,M1572=phu!$I$81,M1572=phu!$I$82,M1572=phu!$I$83,M1572=phu!$I$84),"Cam Thịnh Đông",""),IF(OR(M1572=phu!$I$85,M1572=phu!$I$86,M1572=phu!$I$87,M1572=phu!$I$88),"Cam Thịnh Tây",""),IF(OR(M1572=phu!$I$89,M1572=phu!$I$90),"Cam Lập",""),IF(OR(M1572=phu!$I$91,M1572=phu!$I$92,M1572=phu!$I$93),"Cam Bình",""),IF(OR(M1572=phu!$I$94,M1572=phu!$I$95,M1572=phu!$I$96,M1572=phu!$I$97,M1572=phu!$I$98,M1572=phu!$I$99,M1572=phu!$I$100),"Huyện khác",""),IF(OR(M1572=phu!$I$101,M1572=phu!$I$102),"Tỉnh khác",""))</f>
        <v/>
      </c>
      <c r="O1572" s="829" t="str">
        <f t="shared" si="144"/>
        <v/>
      </c>
      <c r="P1572" s="254"/>
      <c r="Q1572" s="254"/>
      <c r="R1572" s="254"/>
      <c r="S1572" s="254"/>
      <c r="T1572" s="254"/>
      <c r="U1572" s="254"/>
      <c r="V1572" s="254"/>
      <c r="W1572" s="254"/>
      <c r="Y1572" s="246" t="str">
        <f t="shared" si="145"/>
        <v/>
      </c>
      <c r="Z1572" s="247" t="str">
        <f t="shared" si="149"/>
        <v/>
      </c>
      <c r="AA1572" s="246" t="str">
        <f t="shared" si="146"/>
        <v/>
      </c>
    </row>
    <row r="1573" spans="1:27" x14ac:dyDescent="0.25">
      <c r="A1573" s="248" t="str">
        <f t="shared" si="147"/>
        <v/>
      </c>
      <c r="B1573" s="249" t="str">
        <f t="shared" si="148"/>
        <v/>
      </c>
      <c r="C1573" s="250"/>
      <c r="D1573" s="251"/>
      <c r="E1573" s="241"/>
      <c r="F1573" s="252"/>
      <c r="G1573" s="252"/>
      <c r="H1573" s="253"/>
      <c r="I1573" s="250"/>
      <c r="J1573" s="250"/>
      <c r="K1573" s="270"/>
      <c r="L1573" s="250"/>
      <c r="M1573" s="250"/>
      <c r="N1573" s="540" t="str">
        <f>CONCATENATE(IF(OR(M1573=phu!$I$1,M1573=phu!$I$2,M1573=phu!$I$3),"Cam Thành Nam",""),IF(OR(M1573=phu!$I$4,M1573=phu!$I$5,M1573=phu!$I$6,M1573=phu!$I$7,M1573=phu!$I$8,M1573=phu!$I$9,M1573=phu!$I$10,M1573=phu!$I$11,M1573=phu!$I$12,M1573=phu!$I$13,M1573=phu!$I$14),"Cam Nghĩa",""),IF(OR(M1573=phu!$I$15,M1573=phu!$I$16,M1573=phu!$I$17,M1573=phu!$I$18,M1573=phu!$I$19,M1573=phu!$I$20,M1573=phu!$I$21),"Cam Phúc Bắc",""),IF(OR(M1573=phu!$I$22,M1573=phu!$I$23,M1573=phu!$I$24,M1573=phu!$I$25),"Cam Phúc Nam",""),IF(OR(M1573=phu!$I$26,M1573=phu!$I$27,M1573=phu!$I$28,M1573=phu!$I$29,M1573=phu!$I$30,M1573=phu!$I$31),"Cam Phú",""),IF(OR(M1573=phu!$I$32,M1573=phu!$I$33,M1573=phu!$I$34,M1573=phu!$I$35,M1573=phu!$I$36,M1573=phu!$I$37),"Cam Lộc",""),IF(OR(M1573=phu!$I$38,M1573=phu!$I$39,M1573=phu!$I$40,M1573=phu!$I$41,M1573=phu!$I$42,M1573=phu!$I$43,M1573=phu!$I$44),"Cam Thuận",""),IF(OR(M1573=phu!$I$45,M1573=phu!$I$46,M1573=phu!$I$47,M1573=phu!$I$48,M1573=phu!$I$49,M1573=phu!$I$50,M1573=phu!$I$51,M1573=phu!$I$52,M1573=phu!$I$53),"Cam Linh",""),IF(OR(M1573=phu!$I$54,M1573=phu!$I$55,M1573=phu!$I$56,M1573=phu!$I$57,M1573=phu!$I$58,M1573=phu!$I$59,M1573=phu!$I$60,M1573=phu!$I$61,M1573=phu!$I$62),"Cam Lợi",""),IF(OR(M1573=phu!$I$63,M1573=phu!$I$64,M1573=phu!$I$65,M1573=phu!$I$66,M1573=phu!$I$67,M1573=phu!$I$68,M1573=phu!$I$69,M1573=phu!$I$70,M1573=phu!$I$71),"Ba Ngòi",""),IF(OR(M1573=phu!$I$72,M1573=phu!$I$73,M1573=phu!$I$74,M1573=phu!$I$75,M1573=phu!$I$76,M1573=phu!$I$77,M1573=phu!$I$78),"Cam Phước Đông",""),IF(OR(M1573=phu!$I$79,M1573=phu!$I$80,M1573=phu!$I$81,M1573=phu!$I$82,M1573=phu!$I$83,M1573=phu!$I$84),"Cam Thịnh Đông",""),IF(OR(M1573=phu!$I$85,M1573=phu!$I$86,M1573=phu!$I$87,M1573=phu!$I$88),"Cam Thịnh Tây",""),IF(OR(M1573=phu!$I$89,M1573=phu!$I$90),"Cam Lập",""),IF(OR(M1573=phu!$I$91,M1573=phu!$I$92,M1573=phu!$I$93),"Cam Bình",""),IF(OR(M1573=phu!$I$94,M1573=phu!$I$95,M1573=phu!$I$96,M1573=phu!$I$97,M1573=phu!$I$98,M1573=phu!$I$99,M1573=phu!$I$100),"Huyện khác",""),IF(OR(M1573=phu!$I$101,M1573=phu!$I$102),"Tỉnh khác",""))</f>
        <v/>
      </c>
      <c r="O1573" s="829" t="str">
        <f t="shared" si="144"/>
        <v/>
      </c>
      <c r="P1573" s="254"/>
      <c r="Q1573" s="254"/>
      <c r="R1573" s="254"/>
      <c r="S1573" s="254"/>
      <c r="T1573" s="254"/>
      <c r="U1573" s="254"/>
      <c r="V1573" s="254"/>
      <c r="W1573" s="254"/>
      <c r="Y1573" s="246" t="str">
        <f t="shared" si="145"/>
        <v/>
      </c>
      <c r="Z1573" s="247" t="str">
        <f t="shared" si="149"/>
        <v/>
      </c>
      <c r="AA1573" s="246" t="str">
        <f t="shared" si="146"/>
        <v/>
      </c>
    </row>
    <row r="1574" spans="1:27" x14ac:dyDescent="0.25">
      <c r="A1574" s="248" t="str">
        <f t="shared" si="147"/>
        <v/>
      </c>
      <c r="B1574" s="249" t="str">
        <f t="shared" si="148"/>
        <v/>
      </c>
      <c r="C1574" s="250"/>
      <c r="D1574" s="251"/>
      <c r="E1574" s="241"/>
      <c r="F1574" s="252"/>
      <c r="G1574" s="252"/>
      <c r="H1574" s="253"/>
      <c r="I1574" s="250"/>
      <c r="J1574" s="250"/>
      <c r="K1574" s="270"/>
      <c r="L1574" s="250"/>
      <c r="M1574" s="250"/>
      <c r="N1574" s="540" t="str">
        <f>CONCATENATE(IF(OR(M1574=phu!$I$1,M1574=phu!$I$2,M1574=phu!$I$3),"Cam Thành Nam",""),IF(OR(M1574=phu!$I$4,M1574=phu!$I$5,M1574=phu!$I$6,M1574=phu!$I$7,M1574=phu!$I$8,M1574=phu!$I$9,M1574=phu!$I$10,M1574=phu!$I$11,M1574=phu!$I$12,M1574=phu!$I$13,M1574=phu!$I$14),"Cam Nghĩa",""),IF(OR(M1574=phu!$I$15,M1574=phu!$I$16,M1574=phu!$I$17,M1574=phu!$I$18,M1574=phu!$I$19,M1574=phu!$I$20,M1574=phu!$I$21),"Cam Phúc Bắc",""),IF(OR(M1574=phu!$I$22,M1574=phu!$I$23,M1574=phu!$I$24,M1574=phu!$I$25),"Cam Phúc Nam",""),IF(OR(M1574=phu!$I$26,M1574=phu!$I$27,M1574=phu!$I$28,M1574=phu!$I$29,M1574=phu!$I$30,M1574=phu!$I$31),"Cam Phú",""),IF(OR(M1574=phu!$I$32,M1574=phu!$I$33,M1574=phu!$I$34,M1574=phu!$I$35,M1574=phu!$I$36,M1574=phu!$I$37),"Cam Lộc",""),IF(OR(M1574=phu!$I$38,M1574=phu!$I$39,M1574=phu!$I$40,M1574=phu!$I$41,M1574=phu!$I$42,M1574=phu!$I$43,M1574=phu!$I$44),"Cam Thuận",""),IF(OR(M1574=phu!$I$45,M1574=phu!$I$46,M1574=phu!$I$47,M1574=phu!$I$48,M1574=phu!$I$49,M1574=phu!$I$50,M1574=phu!$I$51,M1574=phu!$I$52,M1574=phu!$I$53),"Cam Linh",""),IF(OR(M1574=phu!$I$54,M1574=phu!$I$55,M1574=phu!$I$56,M1574=phu!$I$57,M1574=phu!$I$58,M1574=phu!$I$59,M1574=phu!$I$60,M1574=phu!$I$61,M1574=phu!$I$62),"Cam Lợi",""),IF(OR(M1574=phu!$I$63,M1574=phu!$I$64,M1574=phu!$I$65,M1574=phu!$I$66,M1574=phu!$I$67,M1574=phu!$I$68,M1574=phu!$I$69,M1574=phu!$I$70,M1574=phu!$I$71),"Ba Ngòi",""),IF(OR(M1574=phu!$I$72,M1574=phu!$I$73,M1574=phu!$I$74,M1574=phu!$I$75,M1574=phu!$I$76,M1574=phu!$I$77,M1574=phu!$I$78),"Cam Phước Đông",""),IF(OR(M1574=phu!$I$79,M1574=phu!$I$80,M1574=phu!$I$81,M1574=phu!$I$82,M1574=phu!$I$83,M1574=phu!$I$84),"Cam Thịnh Đông",""),IF(OR(M1574=phu!$I$85,M1574=phu!$I$86,M1574=phu!$I$87,M1574=phu!$I$88),"Cam Thịnh Tây",""),IF(OR(M1574=phu!$I$89,M1574=phu!$I$90),"Cam Lập",""),IF(OR(M1574=phu!$I$91,M1574=phu!$I$92,M1574=phu!$I$93),"Cam Bình",""),IF(OR(M1574=phu!$I$94,M1574=phu!$I$95,M1574=phu!$I$96,M1574=phu!$I$97,M1574=phu!$I$98,M1574=phu!$I$99,M1574=phu!$I$100),"Huyện khác",""),IF(OR(M1574=phu!$I$101,M1574=phu!$I$102),"Tỉnh khác",""))</f>
        <v/>
      </c>
      <c r="O1574" s="829" t="str">
        <f t="shared" si="144"/>
        <v/>
      </c>
      <c r="P1574" s="254"/>
      <c r="Q1574" s="254"/>
      <c r="R1574" s="254"/>
      <c r="S1574" s="254"/>
      <c r="T1574" s="254"/>
      <c r="U1574" s="254"/>
      <c r="V1574" s="254"/>
      <c r="W1574" s="254"/>
      <c r="Y1574" s="246" t="str">
        <f t="shared" si="145"/>
        <v/>
      </c>
      <c r="Z1574" s="247" t="str">
        <f t="shared" si="149"/>
        <v/>
      </c>
      <c r="AA1574" s="246" t="str">
        <f t="shared" si="146"/>
        <v/>
      </c>
    </row>
    <row r="1575" spans="1:27" x14ac:dyDescent="0.25">
      <c r="A1575" s="248" t="str">
        <f t="shared" si="147"/>
        <v/>
      </c>
      <c r="B1575" s="249" t="str">
        <f t="shared" si="148"/>
        <v/>
      </c>
      <c r="C1575" s="250"/>
      <c r="D1575" s="251"/>
      <c r="E1575" s="241"/>
      <c r="F1575" s="252"/>
      <c r="G1575" s="252"/>
      <c r="H1575" s="253"/>
      <c r="I1575" s="250"/>
      <c r="J1575" s="250"/>
      <c r="K1575" s="270"/>
      <c r="L1575" s="250"/>
      <c r="M1575" s="250"/>
      <c r="N1575" s="540" t="str">
        <f>CONCATENATE(IF(OR(M1575=phu!$I$1,M1575=phu!$I$2,M1575=phu!$I$3),"Cam Thành Nam",""),IF(OR(M1575=phu!$I$4,M1575=phu!$I$5,M1575=phu!$I$6,M1575=phu!$I$7,M1575=phu!$I$8,M1575=phu!$I$9,M1575=phu!$I$10,M1575=phu!$I$11,M1575=phu!$I$12,M1575=phu!$I$13,M1575=phu!$I$14),"Cam Nghĩa",""),IF(OR(M1575=phu!$I$15,M1575=phu!$I$16,M1575=phu!$I$17,M1575=phu!$I$18,M1575=phu!$I$19,M1575=phu!$I$20,M1575=phu!$I$21),"Cam Phúc Bắc",""),IF(OR(M1575=phu!$I$22,M1575=phu!$I$23,M1575=phu!$I$24,M1575=phu!$I$25),"Cam Phúc Nam",""),IF(OR(M1575=phu!$I$26,M1575=phu!$I$27,M1575=phu!$I$28,M1575=phu!$I$29,M1575=phu!$I$30,M1575=phu!$I$31),"Cam Phú",""),IF(OR(M1575=phu!$I$32,M1575=phu!$I$33,M1575=phu!$I$34,M1575=phu!$I$35,M1575=phu!$I$36,M1575=phu!$I$37),"Cam Lộc",""),IF(OR(M1575=phu!$I$38,M1575=phu!$I$39,M1575=phu!$I$40,M1575=phu!$I$41,M1575=phu!$I$42,M1575=phu!$I$43,M1575=phu!$I$44),"Cam Thuận",""),IF(OR(M1575=phu!$I$45,M1575=phu!$I$46,M1575=phu!$I$47,M1575=phu!$I$48,M1575=phu!$I$49,M1575=phu!$I$50,M1575=phu!$I$51,M1575=phu!$I$52,M1575=phu!$I$53),"Cam Linh",""),IF(OR(M1575=phu!$I$54,M1575=phu!$I$55,M1575=phu!$I$56,M1575=phu!$I$57,M1575=phu!$I$58,M1575=phu!$I$59,M1575=phu!$I$60,M1575=phu!$I$61,M1575=phu!$I$62),"Cam Lợi",""),IF(OR(M1575=phu!$I$63,M1575=phu!$I$64,M1575=phu!$I$65,M1575=phu!$I$66,M1575=phu!$I$67,M1575=phu!$I$68,M1575=phu!$I$69,M1575=phu!$I$70,M1575=phu!$I$71),"Ba Ngòi",""),IF(OR(M1575=phu!$I$72,M1575=phu!$I$73,M1575=phu!$I$74,M1575=phu!$I$75,M1575=phu!$I$76,M1575=phu!$I$77,M1575=phu!$I$78),"Cam Phước Đông",""),IF(OR(M1575=phu!$I$79,M1575=phu!$I$80,M1575=phu!$I$81,M1575=phu!$I$82,M1575=phu!$I$83,M1575=phu!$I$84),"Cam Thịnh Đông",""),IF(OR(M1575=phu!$I$85,M1575=phu!$I$86,M1575=phu!$I$87,M1575=phu!$I$88),"Cam Thịnh Tây",""),IF(OR(M1575=phu!$I$89,M1575=phu!$I$90),"Cam Lập",""),IF(OR(M1575=phu!$I$91,M1575=phu!$I$92,M1575=phu!$I$93),"Cam Bình",""),IF(OR(M1575=phu!$I$94,M1575=phu!$I$95,M1575=phu!$I$96,M1575=phu!$I$97,M1575=phu!$I$98,M1575=phu!$I$99,M1575=phu!$I$100),"Huyện khác",""),IF(OR(M1575=phu!$I$101,M1575=phu!$I$102),"Tỉnh khác",""))</f>
        <v/>
      </c>
      <c r="O1575" s="829" t="str">
        <f t="shared" si="144"/>
        <v/>
      </c>
      <c r="P1575" s="254"/>
      <c r="Q1575" s="254"/>
      <c r="R1575" s="254"/>
      <c r="S1575" s="254"/>
      <c r="T1575" s="254"/>
      <c r="U1575" s="254"/>
      <c r="V1575" s="254"/>
      <c r="W1575" s="254"/>
      <c r="Y1575" s="246" t="str">
        <f t="shared" si="145"/>
        <v/>
      </c>
      <c r="Z1575" s="247" t="str">
        <f t="shared" si="149"/>
        <v/>
      </c>
      <c r="AA1575" s="246" t="str">
        <f t="shared" si="146"/>
        <v/>
      </c>
    </row>
    <row r="1576" spans="1:27" x14ac:dyDescent="0.25">
      <c r="A1576" s="248" t="str">
        <f t="shared" si="147"/>
        <v/>
      </c>
      <c r="B1576" s="249" t="str">
        <f t="shared" si="148"/>
        <v/>
      </c>
      <c r="C1576" s="250"/>
      <c r="D1576" s="251"/>
      <c r="E1576" s="241"/>
      <c r="F1576" s="252"/>
      <c r="G1576" s="252"/>
      <c r="H1576" s="253"/>
      <c r="I1576" s="250"/>
      <c r="J1576" s="250"/>
      <c r="K1576" s="270"/>
      <c r="L1576" s="250"/>
      <c r="M1576" s="250"/>
      <c r="N1576" s="540" t="str">
        <f>CONCATENATE(IF(OR(M1576=phu!$I$1,M1576=phu!$I$2,M1576=phu!$I$3),"Cam Thành Nam",""),IF(OR(M1576=phu!$I$4,M1576=phu!$I$5,M1576=phu!$I$6,M1576=phu!$I$7,M1576=phu!$I$8,M1576=phu!$I$9,M1576=phu!$I$10,M1576=phu!$I$11,M1576=phu!$I$12,M1576=phu!$I$13,M1576=phu!$I$14),"Cam Nghĩa",""),IF(OR(M1576=phu!$I$15,M1576=phu!$I$16,M1576=phu!$I$17,M1576=phu!$I$18,M1576=phu!$I$19,M1576=phu!$I$20,M1576=phu!$I$21),"Cam Phúc Bắc",""),IF(OR(M1576=phu!$I$22,M1576=phu!$I$23,M1576=phu!$I$24,M1576=phu!$I$25),"Cam Phúc Nam",""),IF(OR(M1576=phu!$I$26,M1576=phu!$I$27,M1576=phu!$I$28,M1576=phu!$I$29,M1576=phu!$I$30,M1576=phu!$I$31),"Cam Phú",""),IF(OR(M1576=phu!$I$32,M1576=phu!$I$33,M1576=phu!$I$34,M1576=phu!$I$35,M1576=phu!$I$36,M1576=phu!$I$37),"Cam Lộc",""),IF(OR(M1576=phu!$I$38,M1576=phu!$I$39,M1576=phu!$I$40,M1576=phu!$I$41,M1576=phu!$I$42,M1576=phu!$I$43,M1576=phu!$I$44),"Cam Thuận",""),IF(OR(M1576=phu!$I$45,M1576=phu!$I$46,M1576=phu!$I$47,M1576=phu!$I$48,M1576=phu!$I$49,M1576=phu!$I$50,M1576=phu!$I$51,M1576=phu!$I$52,M1576=phu!$I$53),"Cam Linh",""),IF(OR(M1576=phu!$I$54,M1576=phu!$I$55,M1576=phu!$I$56,M1576=phu!$I$57,M1576=phu!$I$58,M1576=phu!$I$59,M1576=phu!$I$60,M1576=phu!$I$61,M1576=phu!$I$62),"Cam Lợi",""),IF(OR(M1576=phu!$I$63,M1576=phu!$I$64,M1576=phu!$I$65,M1576=phu!$I$66,M1576=phu!$I$67,M1576=phu!$I$68,M1576=phu!$I$69,M1576=phu!$I$70,M1576=phu!$I$71),"Ba Ngòi",""),IF(OR(M1576=phu!$I$72,M1576=phu!$I$73,M1576=phu!$I$74,M1576=phu!$I$75,M1576=phu!$I$76,M1576=phu!$I$77,M1576=phu!$I$78),"Cam Phước Đông",""),IF(OR(M1576=phu!$I$79,M1576=phu!$I$80,M1576=phu!$I$81,M1576=phu!$I$82,M1576=phu!$I$83,M1576=phu!$I$84),"Cam Thịnh Đông",""),IF(OR(M1576=phu!$I$85,M1576=phu!$I$86,M1576=phu!$I$87,M1576=phu!$I$88),"Cam Thịnh Tây",""),IF(OR(M1576=phu!$I$89,M1576=phu!$I$90),"Cam Lập",""),IF(OR(M1576=phu!$I$91,M1576=phu!$I$92,M1576=phu!$I$93),"Cam Bình",""),IF(OR(M1576=phu!$I$94,M1576=phu!$I$95,M1576=phu!$I$96,M1576=phu!$I$97,M1576=phu!$I$98,M1576=phu!$I$99,M1576=phu!$I$100),"Huyện khác",""),IF(OR(M1576=phu!$I$101,M1576=phu!$I$102),"Tỉnh khác",""))</f>
        <v/>
      </c>
      <c r="O1576" s="829" t="str">
        <f t="shared" si="144"/>
        <v/>
      </c>
      <c r="P1576" s="254"/>
      <c r="Q1576" s="254"/>
      <c r="R1576" s="254"/>
      <c r="S1576" s="254"/>
      <c r="T1576" s="254"/>
      <c r="U1576" s="254"/>
      <c r="V1576" s="254"/>
      <c r="W1576" s="254"/>
      <c r="Y1576" s="246" t="str">
        <f t="shared" si="145"/>
        <v/>
      </c>
      <c r="Z1576" s="247" t="str">
        <f t="shared" si="149"/>
        <v/>
      </c>
      <c r="AA1576" s="246" t="str">
        <f t="shared" si="146"/>
        <v/>
      </c>
    </row>
    <row r="1577" spans="1:27" x14ac:dyDescent="0.25">
      <c r="A1577" s="248" t="str">
        <f t="shared" si="147"/>
        <v/>
      </c>
      <c r="B1577" s="249" t="str">
        <f t="shared" si="148"/>
        <v/>
      </c>
      <c r="C1577" s="250"/>
      <c r="D1577" s="251"/>
      <c r="E1577" s="241"/>
      <c r="F1577" s="252"/>
      <c r="G1577" s="252"/>
      <c r="H1577" s="253"/>
      <c r="I1577" s="250"/>
      <c r="J1577" s="250"/>
      <c r="K1577" s="270"/>
      <c r="L1577" s="250"/>
      <c r="M1577" s="250"/>
      <c r="N1577" s="540" t="str">
        <f>CONCATENATE(IF(OR(M1577=phu!$I$1,M1577=phu!$I$2,M1577=phu!$I$3),"Cam Thành Nam",""),IF(OR(M1577=phu!$I$4,M1577=phu!$I$5,M1577=phu!$I$6,M1577=phu!$I$7,M1577=phu!$I$8,M1577=phu!$I$9,M1577=phu!$I$10,M1577=phu!$I$11,M1577=phu!$I$12,M1577=phu!$I$13,M1577=phu!$I$14),"Cam Nghĩa",""),IF(OR(M1577=phu!$I$15,M1577=phu!$I$16,M1577=phu!$I$17,M1577=phu!$I$18,M1577=phu!$I$19,M1577=phu!$I$20,M1577=phu!$I$21),"Cam Phúc Bắc",""),IF(OR(M1577=phu!$I$22,M1577=phu!$I$23,M1577=phu!$I$24,M1577=phu!$I$25),"Cam Phúc Nam",""),IF(OR(M1577=phu!$I$26,M1577=phu!$I$27,M1577=phu!$I$28,M1577=phu!$I$29,M1577=phu!$I$30,M1577=phu!$I$31),"Cam Phú",""),IF(OR(M1577=phu!$I$32,M1577=phu!$I$33,M1577=phu!$I$34,M1577=phu!$I$35,M1577=phu!$I$36,M1577=phu!$I$37),"Cam Lộc",""),IF(OR(M1577=phu!$I$38,M1577=phu!$I$39,M1577=phu!$I$40,M1577=phu!$I$41,M1577=phu!$I$42,M1577=phu!$I$43,M1577=phu!$I$44),"Cam Thuận",""),IF(OR(M1577=phu!$I$45,M1577=phu!$I$46,M1577=phu!$I$47,M1577=phu!$I$48,M1577=phu!$I$49,M1577=phu!$I$50,M1577=phu!$I$51,M1577=phu!$I$52,M1577=phu!$I$53),"Cam Linh",""),IF(OR(M1577=phu!$I$54,M1577=phu!$I$55,M1577=phu!$I$56,M1577=phu!$I$57,M1577=phu!$I$58,M1577=phu!$I$59,M1577=phu!$I$60,M1577=phu!$I$61,M1577=phu!$I$62),"Cam Lợi",""),IF(OR(M1577=phu!$I$63,M1577=phu!$I$64,M1577=phu!$I$65,M1577=phu!$I$66,M1577=phu!$I$67,M1577=phu!$I$68,M1577=phu!$I$69,M1577=phu!$I$70,M1577=phu!$I$71),"Ba Ngòi",""),IF(OR(M1577=phu!$I$72,M1577=phu!$I$73,M1577=phu!$I$74,M1577=phu!$I$75,M1577=phu!$I$76,M1577=phu!$I$77,M1577=phu!$I$78),"Cam Phước Đông",""),IF(OR(M1577=phu!$I$79,M1577=phu!$I$80,M1577=phu!$I$81,M1577=phu!$I$82,M1577=phu!$I$83,M1577=phu!$I$84),"Cam Thịnh Đông",""),IF(OR(M1577=phu!$I$85,M1577=phu!$I$86,M1577=phu!$I$87,M1577=phu!$I$88),"Cam Thịnh Tây",""),IF(OR(M1577=phu!$I$89,M1577=phu!$I$90),"Cam Lập",""),IF(OR(M1577=phu!$I$91,M1577=phu!$I$92,M1577=phu!$I$93),"Cam Bình",""),IF(OR(M1577=phu!$I$94,M1577=phu!$I$95,M1577=phu!$I$96,M1577=phu!$I$97,M1577=phu!$I$98,M1577=phu!$I$99,M1577=phu!$I$100),"Huyện khác",""),IF(OR(M1577=phu!$I$101,M1577=phu!$I$102),"Tỉnh khác",""))</f>
        <v/>
      </c>
      <c r="O1577" s="829" t="str">
        <f t="shared" si="144"/>
        <v/>
      </c>
      <c r="P1577" s="254"/>
      <c r="Q1577" s="254"/>
      <c r="R1577" s="254"/>
      <c r="S1577" s="254"/>
      <c r="T1577" s="254"/>
      <c r="U1577" s="254"/>
      <c r="V1577" s="254"/>
      <c r="W1577" s="254"/>
      <c r="Y1577" s="246" t="str">
        <f t="shared" si="145"/>
        <v/>
      </c>
      <c r="Z1577" s="247" t="str">
        <f t="shared" si="149"/>
        <v/>
      </c>
      <c r="AA1577" s="246" t="str">
        <f t="shared" si="146"/>
        <v/>
      </c>
    </row>
    <row r="1578" spans="1:27" x14ac:dyDescent="0.25">
      <c r="A1578" s="248" t="str">
        <f t="shared" si="147"/>
        <v/>
      </c>
      <c r="B1578" s="249" t="str">
        <f t="shared" si="148"/>
        <v/>
      </c>
      <c r="C1578" s="250"/>
      <c r="D1578" s="251"/>
      <c r="E1578" s="241"/>
      <c r="F1578" s="252"/>
      <c r="G1578" s="252"/>
      <c r="H1578" s="253"/>
      <c r="I1578" s="250"/>
      <c r="J1578" s="250"/>
      <c r="K1578" s="270"/>
      <c r="L1578" s="250"/>
      <c r="M1578" s="250"/>
      <c r="N1578" s="540" t="str">
        <f>CONCATENATE(IF(OR(M1578=phu!$I$1,M1578=phu!$I$2,M1578=phu!$I$3),"Cam Thành Nam",""),IF(OR(M1578=phu!$I$4,M1578=phu!$I$5,M1578=phu!$I$6,M1578=phu!$I$7,M1578=phu!$I$8,M1578=phu!$I$9,M1578=phu!$I$10,M1578=phu!$I$11,M1578=phu!$I$12,M1578=phu!$I$13,M1578=phu!$I$14),"Cam Nghĩa",""),IF(OR(M1578=phu!$I$15,M1578=phu!$I$16,M1578=phu!$I$17,M1578=phu!$I$18,M1578=phu!$I$19,M1578=phu!$I$20,M1578=phu!$I$21),"Cam Phúc Bắc",""),IF(OR(M1578=phu!$I$22,M1578=phu!$I$23,M1578=phu!$I$24,M1578=phu!$I$25),"Cam Phúc Nam",""),IF(OR(M1578=phu!$I$26,M1578=phu!$I$27,M1578=phu!$I$28,M1578=phu!$I$29,M1578=phu!$I$30,M1578=phu!$I$31),"Cam Phú",""),IF(OR(M1578=phu!$I$32,M1578=phu!$I$33,M1578=phu!$I$34,M1578=phu!$I$35,M1578=phu!$I$36,M1578=phu!$I$37),"Cam Lộc",""),IF(OR(M1578=phu!$I$38,M1578=phu!$I$39,M1578=phu!$I$40,M1578=phu!$I$41,M1578=phu!$I$42,M1578=phu!$I$43,M1578=phu!$I$44),"Cam Thuận",""),IF(OR(M1578=phu!$I$45,M1578=phu!$I$46,M1578=phu!$I$47,M1578=phu!$I$48,M1578=phu!$I$49,M1578=phu!$I$50,M1578=phu!$I$51,M1578=phu!$I$52,M1578=phu!$I$53),"Cam Linh",""),IF(OR(M1578=phu!$I$54,M1578=phu!$I$55,M1578=phu!$I$56,M1578=phu!$I$57,M1578=phu!$I$58,M1578=phu!$I$59,M1578=phu!$I$60,M1578=phu!$I$61,M1578=phu!$I$62),"Cam Lợi",""),IF(OR(M1578=phu!$I$63,M1578=phu!$I$64,M1578=phu!$I$65,M1578=phu!$I$66,M1578=phu!$I$67,M1578=phu!$I$68,M1578=phu!$I$69,M1578=phu!$I$70,M1578=phu!$I$71),"Ba Ngòi",""),IF(OR(M1578=phu!$I$72,M1578=phu!$I$73,M1578=phu!$I$74,M1578=phu!$I$75,M1578=phu!$I$76,M1578=phu!$I$77,M1578=phu!$I$78),"Cam Phước Đông",""),IF(OR(M1578=phu!$I$79,M1578=phu!$I$80,M1578=phu!$I$81,M1578=phu!$I$82,M1578=phu!$I$83,M1578=phu!$I$84),"Cam Thịnh Đông",""),IF(OR(M1578=phu!$I$85,M1578=phu!$I$86,M1578=phu!$I$87,M1578=phu!$I$88),"Cam Thịnh Tây",""),IF(OR(M1578=phu!$I$89,M1578=phu!$I$90),"Cam Lập",""),IF(OR(M1578=phu!$I$91,M1578=phu!$I$92,M1578=phu!$I$93),"Cam Bình",""),IF(OR(M1578=phu!$I$94,M1578=phu!$I$95,M1578=phu!$I$96,M1578=phu!$I$97,M1578=phu!$I$98,M1578=phu!$I$99,M1578=phu!$I$100),"Huyện khác",""),IF(OR(M1578=phu!$I$101,M1578=phu!$I$102),"Tỉnh khác",""))</f>
        <v/>
      </c>
      <c r="O1578" s="829" t="str">
        <f t="shared" si="144"/>
        <v/>
      </c>
      <c r="P1578" s="254"/>
      <c r="Q1578" s="254"/>
      <c r="R1578" s="254"/>
      <c r="S1578" s="254"/>
      <c r="T1578" s="254"/>
      <c r="U1578" s="254"/>
      <c r="V1578" s="254"/>
      <c r="W1578" s="254"/>
      <c r="Y1578" s="246" t="str">
        <f t="shared" si="145"/>
        <v/>
      </c>
      <c r="Z1578" s="247" t="str">
        <f t="shared" si="149"/>
        <v/>
      </c>
      <c r="AA1578" s="246" t="str">
        <f t="shared" si="146"/>
        <v/>
      </c>
    </row>
    <row r="1579" spans="1:27" x14ac:dyDescent="0.25">
      <c r="A1579" s="248" t="str">
        <f t="shared" si="147"/>
        <v/>
      </c>
      <c r="B1579" s="249" t="str">
        <f t="shared" si="148"/>
        <v/>
      </c>
      <c r="C1579" s="250"/>
      <c r="D1579" s="251"/>
      <c r="E1579" s="241"/>
      <c r="F1579" s="252"/>
      <c r="G1579" s="252"/>
      <c r="H1579" s="253"/>
      <c r="I1579" s="250"/>
      <c r="J1579" s="250"/>
      <c r="K1579" s="270"/>
      <c r="L1579" s="250"/>
      <c r="M1579" s="250"/>
      <c r="N1579" s="540" t="str">
        <f>CONCATENATE(IF(OR(M1579=phu!$I$1,M1579=phu!$I$2,M1579=phu!$I$3),"Cam Thành Nam",""),IF(OR(M1579=phu!$I$4,M1579=phu!$I$5,M1579=phu!$I$6,M1579=phu!$I$7,M1579=phu!$I$8,M1579=phu!$I$9,M1579=phu!$I$10,M1579=phu!$I$11,M1579=phu!$I$12,M1579=phu!$I$13,M1579=phu!$I$14),"Cam Nghĩa",""),IF(OR(M1579=phu!$I$15,M1579=phu!$I$16,M1579=phu!$I$17,M1579=phu!$I$18,M1579=phu!$I$19,M1579=phu!$I$20,M1579=phu!$I$21),"Cam Phúc Bắc",""),IF(OR(M1579=phu!$I$22,M1579=phu!$I$23,M1579=phu!$I$24,M1579=phu!$I$25),"Cam Phúc Nam",""),IF(OR(M1579=phu!$I$26,M1579=phu!$I$27,M1579=phu!$I$28,M1579=phu!$I$29,M1579=phu!$I$30,M1579=phu!$I$31),"Cam Phú",""),IF(OR(M1579=phu!$I$32,M1579=phu!$I$33,M1579=phu!$I$34,M1579=phu!$I$35,M1579=phu!$I$36,M1579=phu!$I$37),"Cam Lộc",""),IF(OR(M1579=phu!$I$38,M1579=phu!$I$39,M1579=phu!$I$40,M1579=phu!$I$41,M1579=phu!$I$42,M1579=phu!$I$43,M1579=phu!$I$44),"Cam Thuận",""),IF(OR(M1579=phu!$I$45,M1579=phu!$I$46,M1579=phu!$I$47,M1579=phu!$I$48,M1579=phu!$I$49,M1579=phu!$I$50,M1579=phu!$I$51,M1579=phu!$I$52,M1579=phu!$I$53),"Cam Linh",""),IF(OR(M1579=phu!$I$54,M1579=phu!$I$55,M1579=phu!$I$56,M1579=phu!$I$57,M1579=phu!$I$58,M1579=phu!$I$59,M1579=phu!$I$60,M1579=phu!$I$61,M1579=phu!$I$62),"Cam Lợi",""),IF(OR(M1579=phu!$I$63,M1579=phu!$I$64,M1579=phu!$I$65,M1579=phu!$I$66,M1579=phu!$I$67,M1579=phu!$I$68,M1579=phu!$I$69,M1579=phu!$I$70,M1579=phu!$I$71),"Ba Ngòi",""),IF(OR(M1579=phu!$I$72,M1579=phu!$I$73,M1579=phu!$I$74,M1579=phu!$I$75,M1579=phu!$I$76,M1579=phu!$I$77,M1579=phu!$I$78),"Cam Phước Đông",""),IF(OR(M1579=phu!$I$79,M1579=phu!$I$80,M1579=phu!$I$81,M1579=phu!$I$82,M1579=phu!$I$83,M1579=phu!$I$84),"Cam Thịnh Đông",""),IF(OR(M1579=phu!$I$85,M1579=phu!$I$86,M1579=phu!$I$87,M1579=phu!$I$88),"Cam Thịnh Tây",""),IF(OR(M1579=phu!$I$89,M1579=phu!$I$90),"Cam Lập",""),IF(OR(M1579=phu!$I$91,M1579=phu!$I$92,M1579=phu!$I$93),"Cam Bình",""),IF(OR(M1579=phu!$I$94,M1579=phu!$I$95,M1579=phu!$I$96,M1579=phu!$I$97,M1579=phu!$I$98,M1579=phu!$I$99,M1579=phu!$I$100),"Huyện khác",""),IF(OR(M1579=phu!$I$101,M1579=phu!$I$102),"Tỉnh khác",""))</f>
        <v/>
      </c>
      <c r="O1579" s="829" t="str">
        <f t="shared" si="144"/>
        <v/>
      </c>
      <c r="P1579" s="254"/>
      <c r="Q1579" s="254"/>
      <c r="R1579" s="254"/>
      <c r="S1579" s="254"/>
      <c r="T1579" s="254"/>
      <c r="U1579" s="254"/>
      <c r="V1579" s="254"/>
      <c r="W1579" s="254"/>
      <c r="Y1579" s="246" t="str">
        <f t="shared" si="145"/>
        <v/>
      </c>
      <c r="Z1579" s="247" t="str">
        <f t="shared" si="149"/>
        <v/>
      </c>
      <c r="AA1579" s="246" t="str">
        <f t="shared" si="146"/>
        <v/>
      </c>
    </row>
    <row r="1580" spans="1:27" x14ac:dyDescent="0.25">
      <c r="A1580" s="248" t="str">
        <f t="shared" si="147"/>
        <v/>
      </c>
      <c r="B1580" s="249" t="str">
        <f t="shared" si="148"/>
        <v/>
      </c>
      <c r="C1580" s="250"/>
      <c r="D1580" s="251"/>
      <c r="E1580" s="241"/>
      <c r="F1580" s="252"/>
      <c r="G1580" s="252"/>
      <c r="H1580" s="253"/>
      <c r="I1580" s="250"/>
      <c r="J1580" s="250"/>
      <c r="K1580" s="270"/>
      <c r="L1580" s="250"/>
      <c r="M1580" s="250"/>
      <c r="N1580" s="540" t="str">
        <f>CONCATENATE(IF(OR(M1580=phu!$I$1,M1580=phu!$I$2,M1580=phu!$I$3),"Cam Thành Nam",""),IF(OR(M1580=phu!$I$4,M1580=phu!$I$5,M1580=phu!$I$6,M1580=phu!$I$7,M1580=phu!$I$8,M1580=phu!$I$9,M1580=phu!$I$10,M1580=phu!$I$11,M1580=phu!$I$12,M1580=phu!$I$13,M1580=phu!$I$14),"Cam Nghĩa",""),IF(OR(M1580=phu!$I$15,M1580=phu!$I$16,M1580=phu!$I$17,M1580=phu!$I$18,M1580=phu!$I$19,M1580=phu!$I$20,M1580=phu!$I$21),"Cam Phúc Bắc",""),IF(OR(M1580=phu!$I$22,M1580=phu!$I$23,M1580=phu!$I$24,M1580=phu!$I$25),"Cam Phúc Nam",""),IF(OR(M1580=phu!$I$26,M1580=phu!$I$27,M1580=phu!$I$28,M1580=phu!$I$29,M1580=phu!$I$30,M1580=phu!$I$31),"Cam Phú",""),IF(OR(M1580=phu!$I$32,M1580=phu!$I$33,M1580=phu!$I$34,M1580=phu!$I$35,M1580=phu!$I$36,M1580=phu!$I$37),"Cam Lộc",""),IF(OR(M1580=phu!$I$38,M1580=phu!$I$39,M1580=phu!$I$40,M1580=phu!$I$41,M1580=phu!$I$42,M1580=phu!$I$43,M1580=phu!$I$44),"Cam Thuận",""),IF(OR(M1580=phu!$I$45,M1580=phu!$I$46,M1580=phu!$I$47,M1580=phu!$I$48,M1580=phu!$I$49,M1580=phu!$I$50,M1580=phu!$I$51,M1580=phu!$I$52,M1580=phu!$I$53),"Cam Linh",""),IF(OR(M1580=phu!$I$54,M1580=phu!$I$55,M1580=phu!$I$56,M1580=phu!$I$57,M1580=phu!$I$58,M1580=phu!$I$59,M1580=phu!$I$60,M1580=phu!$I$61,M1580=phu!$I$62),"Cam Lợi",""),IF(OR(M1580=phu!$I$63,M1580=phu!$I$64,M1580=phu!$I$65,M1580=phu!$I$66,M1580=phu!$I$67,M1580=phu!$I$68,M1580=phu!$I$69,M1580=phu!$I$70,M1580=phu!$I$71),"Ba Ngòi",""),IF(OR(M1580=phu!$I$72,M1580=phu!$I$73,M1580=phu!$I$74,M1580=phu!$I$75,M1580=phu!$I$76,M1580=phu!$I$77,M1580=phu!$I$78),"Cam Phước Đông",""),IF(OR(M1580=phu!$I$79,M1580=phu!$I$80,M1580=phu!$I$81,M1580=phu!$I$82,M1580=phu!$I$83,M1580=phu!$I$84),"Cam Thịnh Đông",""),IF(OR(M1580=phu!$I$85,M1580=phu!$I$86,M1580=phu!$I$87,M1580=phu!$I$88),"Cam Thịnh Tây",""),IF(OR(M1580=phu!$I$89,M1580=phu!$I$90),"Cam Lập",""),IF(OR(M1580=phu!$I$91,M1580=phu!$I$92,M1580=phu!$I$93),"Cam Bình",""),IF(OR(M1580=phu!$I$94,M1580=phu!$I$95,M1580=phu!$I$96,M1580=phu!$I$97,M1580=phu!$I$98,M1580=phu!$I$99,M1580=phu!$I$100),"Huyện khác",""),IF(OR(M1580=phu!$I$101,M1580=phu!$I$102),"Tỉnh khác",""))</f>
        <v/>
      </c>
      <c r="O1580" s="829" t="str">
        <f t="shared" si="144"/>
        <v/>
      </c>
      <c r="P1580" s="254"/>
      <c r="Q1580" s="254"/>
      <c r="R1580" s="254"/>
      <c r="S1580" s="254"/>
      <c r="T1580" s="254"/>
      <c r="U1580" s="254"/>
      <c r="V1580" s="254"/>
      <c r="W1580" s="254"/>
      <c r="Y1580" s="246" t="str">
        <f t="shared" si="145"/>
        <v/>
      </c>
      <c r="Z1580" s="247" t="str">
        <f t="shared" si="149"/>
        <v/>
      </c>
      <c r="AA1580" s="246" t="str">
        <f t="shared" si="146"/>
        <v/>
      </c>
    </row>
    <row r="1581" spans="1:27" x14ac:dyDescent="0.25">
      <c r="A1581" s="248" t="str">
        <f t="shared" si="147"/>
        <v/>
      </c>
      <c r="B1581" s="249" t="str">
        <f t="shared" si="148"/>
        <v/>
      </c>
      <c r="C1581" s="250"/>
      <c r="D1581" s="251"/>
      <c r="E1581" s="241"/>
      <c r="F1581" s="252"/>
      <c r="G1581" s="252"/>
      <c r="H1581" s="253"/>
      <c r="I1581" s="250"/>
      <c r="J1581" s="250"/>
      <c r="K1581" s="270"/>
      <c r="L1581" s="250"/>
      <c r="M1581" s="250"/>
      <c r="N1581" s="540" t="str">
        <f>CONCATENATE(IF(OR(M1581=phu!$I$1,M1581=phu!$I$2,M1581=phu!$I$3),"Cam Thành Nam",""),IF(OR(M1581=phu!$I$4,M1581=phu!$I$5,M1581=phu!$I$6,M1581=phu!$I$7,M1581=phu!$I$8,M1581=phu!$I$9,M1581=phu!$I$10,M1581=phu!$I$11,M1581=phu!$I$12,M1581=phu!$I$13,M1581=phu!$I$14),"Cam Nghĩa",""),IF(OR(M1581=phu!$I$15,M1581=phu!$I$16,M1581=phu!$I$17,M1581=phu!$I$18,M1581=phu!$I$19,M1581=phu!$I$20,M1581=phu!$I$21),"Cam Phúc Bắc",""),IF(OR(M1581=phu!$I$22,M1581=phu!$I$23,M1581=phu!$I$24,M1581=phu!$I$25),"Cam Phúc Nam",""),IF(OR(M1581=phu!$I$26,M1581=phu!$I$27,M1581=phu!$I$28,M1581=phu!$I$29,M1581=phu!$I$30,M1581=phu!$I$31),"Cam Phú",""),IF(OR(M1581=phu!$I$32,M1581=phu!$I$33,M1581=phu!$I$34,M1581=phu!$I$35,M1581=phu!$I$36,M1581=phu!$I$37),"Cam Lộc",""),IF(OR(M1581=phu!$I$38,M1581=phu!$I$39,M1581=phu!$I$40,M1581=phu!$I$41,M1581=phu!$I$42,M1581=phu!$I$43,M1581=phu!$I$44),"Cam Thuận",""),IF(OR(M1581=phu!$I$45,M1581=phu!$I$46,M1581=phu!$I$47,M1581=phu!$I$48,M1581=phu!$I$49,M1581=phu!$I$50,M1581=phu!$I$51,M1581=phu!$I$52,M1581=phu!$I$53),"Cam Linh",""),IF(OR(M1581=phu!$I$54,M1581=phu!$I$55,M1581=phu!$I$56,M1581=phu!$I$57,M1581=phu!$I$58,M1581=phu!$I$59,M1581=phu!$I$60,M1581=phu!$I$61,M1581=phu!$I$62),"Cam Lợi",""),IF(OR(M1581=phu!$I$63,M1581=phu!$I$64,M1581=phu!$I$65,M1581=phu!$I$66,M1581=phu!$I$67,M1581=phu!$I$68,M1581=phu!$I$69,M1581=phu!$I$70,M1581=phu!$I$71),"Ba Ngòi",""),IF(OR(M1581=phu!$I$72,M1581=phu!$I$73,M1581=phu!$I$74,M1581=phu!$I$75,M1581=phu!$I$76,M1581=phu!$I$77,M1581=phu!$I$78),"Cam Phước Đông",""),IF(OR(M1581=phu!$I$79,M1581=phu!$I$80,M1581=phu!$I$81,M1581=phu!$I$82,M1581=phu!$I$83,M1581=phu!$I$84),"Cam Thịnh Đông",""),IF(OR(M1581=phu!$I$85,M1581=phu!$I$86,M1581=phu!$I$87,M1581=phu!$I$88),"Cam Thịnh Tây",""),IF(OR(M1581=phu!$I$89,M1581=phu!$I$90),"Cam Lập",""),IF(OR(M1581=phu!$I$91,M1581=phu!$I$92,M1581=phu!$I$93),"Cam Bình",""),IF(OR(M1581=phu!$I$94,M1581=phu!$I$95,M1581=phu!$I$96,M1581=phu!$I$97,M1581=phu!$I$98,M1581=phu!$I$99,M1581=phu!$I$100),"Huyện khác",""),IF(OR(M1581=phu!$I$101,M1581=phu!$I$102),"Tỉnh khác",""))</f>
        <v/>
      </c>
      <c r="O1581" s="829" t="str">
        <f t="shared" si="144"/>
        <v/>
      </c>
      <c r="P1581" s="254"/>
      <c r="Q1581" s="254"/>
      <c r="R1581" s="254"/>
      <c r="S1581" s="254"/>
      <c r="T1581" s="254"/>
      <c r="U1581" s="254"/>
      <c r="V1581" s="254"/>
      <c r="W1581" s="254"/>
      <c r="Y1581" s="246" t="str">
        <f t="shared" si="145"/>
        <v/>
      </c>
      <c r="Z1581" s="247" t="str">
        <f t="shared" si="149"/>
        <v/>
      </c>
      <c r="AA1581" s="246" t="str">
        <f t="shared" si="146"/>
        <v/>
      </c>
    </row>
    <row r="1582" spans="1:27" x14ac:dyDescent="0.25">
      <c r="A1582" s="248" t="str">
        <f t="shared" si="147"/>
        <v/>
      </c>
      <c r="B1582" s="249" t="str">
        <f t="shared" si="148"/>
        <v/>
      </c>
      <c r="C1582" s="250"/>
      <c r="D1582" s="251"/>
      <c r="E1582" s="241"/>
      <c r="F1582" s="252"/>
      <c r="G1582" s="252"/>
      <c r="H1582" s="253"/>
      <c r="I1582" s="250"/>
      <c r="J1582" s="250"/>
      <c r="K1582" s="270"/>
      <c r="L1582" s="250"/>
      <c r="M1582" s="250"/>
      <c r="N1582" s="540" t="str">
        <f>CONCATENATE(IF(OR(M1582=phu!$I$1,M1582=phu!$I$2,M1582=phu!$I$3),"Cam Thành Nam",""),IF(OR(M1582=phu!$I$4,M1582=phu!$I$5,M1582=phu!$I$6,M1582=phu!$I$7,M1582=phu!$I$8,M1582=phu!$I$9,M1582=phu!$I$10,M1582=phu!$I$11,M1582=phu!$I$12,M1582=phu!$I$13,M1582=phu!$I$14),"Cam Nghĩa",""),IF(OR(M1582=phu!$I$15,M1582=phu!$I$16,M1582=phu!$I$17,M1582=phu!$I$18,M1582=phu!$I$19,M1582=phu!$I$20,M1582=phu!$I$21),"Cam Phúc Bắc",""),IF(OR(M1582=phu!$I$22,M1582=phu!$I$23,M1582=phu!$I$24,M1582=phu!$I$25),"Cam Phúc Nam",""),IF(OR(M1582=phu!$I$26,M1582=phu!$I$27,M1582=phu!$I$28,M1582=phu!$I$29,M1582=phu!$I$30,M1582=phu!$I$31),"Cam Phú",""),IF(OR(M1582=phu!$I$32,M1582=phu!$I$33,M1582=phu!$I$34,M1582=phu!$I$35,M1582=phu!$I$36,M1582=phu!$I$37),"Cam Lộc",""),IF(OR(M1582=phu!$I$38,M1582=phu!$I$39,M1582=phu!$I$40,M1582=phu!$I$41,M1582=phu!$I$42,M1582=phu!$I$43,M1582=phu!$I$44),"Cam Thuận",""),IF(OR(M1582=phu!$I$45,M1582=phu!$I$46,M1582=phu!$I$47,M1582=phu!$I$48,M1582=phu!$I$49,M1582=phu!$I$50,M1582=phu!$I$51,M1582=phu!$I$52,M1582=phu!$I$53),"Cam Linh",""),IF(OR(M1582=phu!$I$54,M1582=phu!$I$55,M1582=phu!$I$56,M1582=phu!$I$57,M1582=phu!$I$58,M1582=phu!$I$59,M1582=phu!$I$60,M1582=phu!$I$61,M1582=phu!$I$62),"Cam Lợi",""),IF(OR(M1582=phu!$I$63,M1582=phu!$I$64,M1582=phu!$I$65,M1582=phu!$I$66,M1582=phu!$I$67,M1582=phu!$I$68,M1582=phu!$I$69,M1582=phu!$I$70,M1582=phu!$I$71),"Ba Ngòi",""),IF(OR(M1582=phu!$I$72,M1582=phu!$I$73,M1582=phu!$I$74,M1582=phu!$I$75,M1582=phu!$I$76,M1582=phu!$I$77,M1582=phu!$I$78),"Cam Phước Đông",""),IF(OR(M1582=phu!$I$79,M1582=phu!$I$80,M1582=phu!$I$81,M1582=phu!$I$82,M1582=phu!$I$83,M1582=phu!$I$84),"Cam Thịnh Đông",""),IF(OR(M1582=phu!$I$85,M1582=phu!$I$86,M1582=phu!$I$87,M1582=phu!$I$88),"Cam Thịnh Tây",""),IF(OR(M1582=phu!$I$89,M1582=phu!$I$90),"Cam Lập",""),IF(OR(M1582=phu!$I$91,M1582=phu!$I$92,M1582=phu!$I$93),"Cam Bình",""),IF(OR(M1582=phu!$I$94,M1582=phu!$I$95,M1582=phu!$I$96,M1582=phu!$I$97,M1582=phu!$I$98,M1582=phu!$I$99,M1582=phu!$I$100),"Huyện khác",""),IF(OR(M1582=phu!$I$101,M1582=phu!$I$102),"Tỉnh khác",""))</f>
        <v/>
      </c>
      <c r="O1582" s="829" t="str">
        <f t="shared" si="144"/>
        <v/>
      </c>
      <c r="P1582" s="254"/>
      <c r="Q1582" s="254"/>
      <c r="R1582" s="254"/>
      <c r="S1582" s="254"/>
      <c r="T1582" s="254"/>
      <c r="U1582" s="254"/>
      <c r="V1582" s="254"/>
      <c r="W1582" s="254"/>
      <c r="Y1582" s="246" t="str">
        <f t="shared" si="145"/>
        <v/>
      </c>
      <c r="Z1582" s="247" t="str">
        <f t="shared" si="149"/>
        <v/>
      </c>
      <c r="AA1582" s="246" t="str">
        <f t="shared" si="146"/>
        <v/>
      </c>
    </row>
    <row r="1583" spans="1:27" x14ac:dyDescent="0.25">
      <c r="A1583" s="248" t="str">
        <f t="shared" si="147"/>
        <v/>
      </c>
      <c r="B1583" s="249" t="str">
        <f t="shared" si="148"/>
        <v/>
      </c>
      <c r="C1583" s="250"/>
      <c r="D1583" s="251"/>
      <c r="E1583" s="241"/>
      <c r="F1583" s="252"/>
      <c r="G1583" s="252"/>
      <c r="H1583" s="253"/>
      <c r="I1583" s="250"/>
      <c r="J1583" s="250"/>
      <c r="K1583" s="270"/>
      <c r="L1583" s="250"/>
      <c r="M1583" s="250"/>
      <c r="N1583" s="540" t="str">
        <f>CONCATENATE(IF(OR(M1583=phu!$I$1,M1583=phu!$I$2,M1583=phu!$I$3),"Cam Thành Nam",""),IF(OR(M1583=phu!$I$4,M1583=phu!$I$5,M1583=phu!$I$6,M1583=phu!$I$7,M1583=phu!$I$8,M1583=phu!$I$9,M1583=phu!$I$10,M1583=phu!$I$11,M1583=phu!$I$12,M1583=phu!$I$13,M1583=phu!$I$14),"Cam Nghĩa",""),IF(OR(M1583=phu!$I$15,M1583=phu!$I$16,M1583=phu!$I$17,M1583=phu!$I$18,M1583=phu!$I$19,M1583=phu!$I$20,M1583=phu!$I$21),"Cam Phúc Bắc",""),IF(OR(M1583=phu!$I$22,M1583=phu!$I$23,M1583=phu!$I$24,M1583=phu!$I$25),"Cam Phúc Nam",""),IF(OR(M1583=phu!$I$26,M1583=phu!$I$27,M1583=phu!$I$28,M1583=phu!$I$29,M1583=phu!$I$30,M1583=phu!$I$31),"Cam Phú",""),IF(OR(M1583=phu!$I$32,M1583=phu!$I$33,M1583=phu!$I$34,M1583=phu!$I$35,M1583=phu!$I$36,M1583=phu!$I$37),"Cam Lộc",""),IF(OR(M1583=phu!$I$38,M1583=phu!$I$39,M1583=phu!$I$40,M1583=phu!$I$41,M1583=phu!$I$42,M1583=phu!$I$43,M1583=phu!$I$44),"Cam Thuận",""),IF(OR(M1583=phu!$I$45,M1583=phu!$I$46,M1583=phu!$I$47,M1583=phu!$I$48,M1583=phu!$I$49,M1583=phu!$I$50,M1583=phu!$I$51,M1583=phu!$I$52,M1583=phu!$I$53),"Cam Linh",""),IF(OR(M1583=phu!$I$54,M1583=phu!$I$55,M1583=phu!$I$56,M1583=phu!$I$57,M1583=phu!$I$58,M1583=phu!$I$59,M1583=phu!$I$60,M1583=phu!$I$61,M1583=phu!$I$62),"Cam Lợi",""),IF(OR(M1583=phu!$I$63,M1583=phu!$I$64,M1583=phu!$I$65,M1583=phu!$I$66,M1583=phu!$I$67,M1583=phu!$I$68,M1583=phu!$I$69,M1583=phu!$I$70,M1583=phu!$I$71),"Ba Ngòi",""),IF(OR(M1583=phu!$I$72,M1583=phu!$I$73,M1583=phu!$I$74,M1583=phu!$I$75,M1583=phu!$I$76,M1583=phu!$I$77,M1583=phu!$I$78),"Cam Phước Đông",""),IF(OR(M1583=phu!$I$79,M1583=phu!$I$80,M1583=phu!$I$81,M1583=phu!$I$82,M1583=phu!$I$83,M1583=phu!$I$84),"Cam Thịnh Đông",""),IF(OR(M1583=phu!$I$85,M1583=phu!$I$86,M1583=phu!$I$87,M1583=phu!$I$88),"Cam Thịnh Tây",""),IF(OR(M1583=phu!$I$89,M1583=phu!$I$90),"Cam Lập",""),IF(OR(M1583=phu!$I$91,M1583=phu!$I$92,M1583=phu!$I$93),"Cam Bình",""),IF(OR(M1583=phu!$I$94,M1583=phu!$I$95,M1583=phu!$I$96,M1583=phu!$I$97,M1583=phu!$I$98,M1583=phu!$I$99,M1583=phu!$I$100),"Huyện khác",""),IF(OR(M1583=phu!$I$101,M1583=phu!$I$102),"Tỉnh khác",""))</f>
        <v/>
      </c>
      <c r="O1583" s="829" t="str">
        <f t="shared" si="144"/>
        <v/>
      </c>
      <c r="P1583" s="254"/>
      <c r="Q1583" s="254"/>
      <c r="R1583" s="254"/>
      <c r="S1583" s="254"/>
      <c r="T1583" s="254"/>
      <c r="U1583" s="254"/>
      <c r="V1583" s="254"/>
      <c r="W1583" s="254"/>
      <c r="Y1583" s="246" t="str">
        <f t="shared" si="145"/>
        <v/>
      </c>
      <c r="Z1583" s="247" t="str">
        <f t="shared" si="149"/>
        <v/>
      </c>
      <c r="AA1583" s="246" t="str">
        <f t="shared" si="146"/>
        <v/>
      </c>
    </row>
    <row r="1584" spans="1:27" x14ac:dyDescent="0.25">
      <c r="A1584" s="248" t="str">
        <f t="shared" si="147"/>
        <v/>
      </c>
      <c r="B1584" s="249" t="str">
        <f t="shared" si="148"/>
        <v/>
      </c>
      <c r="C1584" s="250"/>
      <c r="D1584" s="251"/>
      <c r="E1584" s="241"/>
      <c r="F1584" s="252"/>
      <c r="G1584" s="252"/>
      <c r="H1584" s="253"/>
      <c r="I1584" s="250"/>
      <c r="J1584" s="250"/>
      <c r="K1584" s="270"/>
      <c r="L1584" s="250"/>
      <c r="M1584" s="250"/>
      <c r="N1584" s="540" t="str">
        <f>CONCATENATE(IF(OR(M1584=phu!$I$1,M1584=phu!$I$2,M1584=phu!$I$3),"Cam Thành Nam",""),IF(OR(M1584=phu!$I$4,M1584=phu!$I$5,M1584=phu!$I$6,M1584=phu!$I$7,M1584=phu!$I$8,M1584=phu!$I$9,M1584=phu!$I$10,M1584=phu!$I$11,M1584=phu!$I$12,M1584=phu!$I$13,M1584=phu!$I$14),"Cam Nghĩa",""),IF(OR(M1584=phu!$I$15,M1584=phu!$I$16,M1584=phu!$I$17,M1584=phu!$I$18,M1584=phu!$I$19,M1584=phu!$I$20,M1584=phu!$I$21),"Cam Phúc Bắc",""),IF(OR(M1584=phu!$I$22,M1584=phu!$I$23,M1584=phu!$I$24,M1584=phu!$I$25),"Cam Phúc Nam",""),IF(OR(M1584=phu!$I$26,M1584=phu!$I$27,M1584=phu!$I$28,M1584=phu!$I$29,M1584=phu!$I$30,M1584=phu!$I$31),"Cam Phú",""),IF(OR(M1584=phu!$I$32,M1584=phu!$I$33,M1584=phu!$I$34,M1584=phu!$I$35,M1584=phu!$I$36,M1584=phu!$I$37),"Cam Lộc",""),IF(OR(M1584=phu!$I$38,M1584=phu!$I$39,M1584=phu!$I$40,M1584=phu!$I$41,M1584=phu!$I$42,M1584=phu!$I$43,M1584=phu!$I$44),"Cam Thuận",""),IF(OR(M1584=phu!$I$45,M1584=phu!$I$46,M1584=phu!$I$47,M1584=phu!$I$48,M1584=phu!$I$49,M1584=phu!$I$50,M1584=phu!$I$51,M1584=phu!$I$52,M1584=phu!$I$53),"Cam Linh",""),IF(OR(M1584=phu!$I$54,M1584=phu!$I$55,M1584=phu!$I$56,M1584=phu!$I$57,M1584=phu!$I$58,M1584=phu!$I$59,M1584=phu!$I$60,M1584=phu!$I$61,M1584=phu!$I$62),"Cam Lợi",""),IF(OR(M1584=phu!$I$63,M1584=phu!$I$64,M1584=phu!$I$65,M1584=phu!$I$66,M1584=phu!$I$67,M1584=phu!$I$68,M1584=phu!$I$69,M1584=phu!$I$70,M1584=phu!$I$71),"Ba Ngòi",""),IF(OR(M1584=phu!$I$72,M1584=phu!$I$73,M1584=phu!$I$74,M1584=phu!$I$75,M1584=phu!$I$76,M1584=phu!$I$77,M1584=phu!$I$78),"Cam Phước Đông",""),IF(OR(M1584=phu!$I$79,M1584=phu!$I$80,M1584=phu!$I$81,M1584=phu!$I$82,M1584=phu!$I$83,M1584=phu!$I$84),"Cam Thịnh Đông",""),IF(OR(M1584=phu!$I$85,M1584=phu!$I$86,M1584=phu!$I$87,M1584=phu!$I$88),"Cam Thịnh Tây",""),IF(OR(M1584=phu!$I$89,M1584=phu!$I$90),"Cam Lập",""),IF(OR(M1584=phu!$I$91,M1584=phu!$I$92,M1584=phu!$I$93),"Cam Bình",""),IF(OR(M1584=phu!$I$94,M1584=phu!$I$95,M1584=phu!$I$96,M1584=phu!$I$97,M1584=phu!$I$98,M1584=phu!$I$99,M1584=phu!$I$100),"Huyện khác",""),IF(OR(M1584=phu!$I$101,M1584=phu!$I$102),"Tỉnh khác",""))</f>
        <v/>
      </c>
      <c r="O1584" s="829" t="str">
        <f t="shared" si="144"/>
        <v/>
      </c>
      <c r="P1584" s="254"/>
      <c r="Q1584" s="254"/>
      <c r="R1584" s="254"/>
      <c r="S1584" s="254"/>
      <c r="T1584" s="254"/>
      <c r="U1584" s="254"/>
      <c r="V1584" s="254"/>
      <c r="W1584" s="254"/>
      <c r="Y1584" s="246" t="str">
        <f t="shared" si="145"/>
        <v/>
      </c>
      <c r="Z1584" s="247" t="str">
        <f t="shared" si="149"/>
        <v/>
      </c>
      <c r="AA1584" s="246" t="str">
        <f t="shared" si="146"/>
        <v/>
      </c>
    </row>
    <row r="1585" spans="1:27" x14ac:dyDescent="0.25">
      <c r="A1585" s="248" t="str">
        <f t="shared" si="147"/>
        <v/>
      </c>
      <c r="B1585" s="249" t="str">
        <f t="shared" si="148"/>
        <v/>
      </c>
      <c r="C1585" s="250"/>
      <c r="D1585" s="251"/>
      <c r="E1585" s="241"/>
      <c r="F1585" s="252"/>
      <c r="G1585" s="252"/>
      <c r="H1585" s="253"/>
      <c r="I1585" s="250"/>
      <c r="J1585" s="250"/>
      <c r="K1585" s="270"/>
      <c r="L1585" s="250"/>
      <c r="M1585" s="250"/>
      <c r="N1585" s="540" t="str">
        <f>CONCATENATE(IF(OR(M1585=phu!$I$1,M1585=phu!$I$2,M1585=phu!$I$3),"Cam Thành Nam",""),IF(OR(M1585=phu!$I$4,M1585=phu!$I$5,M1585=phu!$I$6,M1585=phu!$I$7,M1585=phu!$I$8,M1585=phu!$I$9,M1585=phu!$I$10,M1585=phu!$I$11,M1585=phu!$I$12,M1585=phu!$I$13,M1585=phu!$I$14),"Cam Nghĩa",""),IF(OR(M1585=phu!$I$15,M1585=phu!$I$16,M1585=phu!$I$17,M1585=phu!$I$18,M1585=phu!$I$19,M1585=phu!$I$20,M1585=phu!$I$21),"Cam Phúc Bắc",""),IF(OR(M1585=phu!$I$22,M1585=phu!$I$23,M1585=phu!$I$24,M1585=phu!$I$25),"Cam Phúc Nam",""),IF(OR(M1585=phu!$I$26,M1585=phu!$I$27,M1585=phu!$I$28,M1585=phu!$I$29,M1585=phu!$I$30,M1585=phu!$I$31),"Cam Phú",""),IF(OR(M1585=phu!$I$32,M1585=phu!$I$33,M1585=phu!$I$34,M1585=phu!$I$35,M1585=phu!$I$36,M1585=phu!$I$37),"Cam Lộc",""),IF(OR(M1585=phu!$I$38,M1585=phu!$I$39,M1585=phu!$I$40,M1585=phu!$I$41,M1585=phu!$I$42,M1585=phu!$I$43,M1585=phu!$I$44),"Cam Thuận",""),IF(OR(M1585=phu!$I$45,M1585=phu!$I$46,M1585=phu!$I$47,M1585=phu!$I$48,M1585=phu!$I$49,M1585=phu!$I$50,M1585=phu!$I$51,M1585=phu!$I$52,M1585=phu!$I$53),"Cam Linh",""),IF(OR(M1585=phu!$I$54,M1585=phu!$I$55,M1585=phu!$I$56,M1585=phu!$I$57,M1585=phu!$I$58,M1585=phu!$I$59,M1585=phu!$I$60,M1585=phu!$I$61,M1585=phu!$I$62),"Cam Lợi",""),IF(OR(M1585=phu!$I$63,M1585=phu!$I$64,M1585=phu!$I$65,M1585=phu!$I$66,M1585=phu!$I$67,M1585=phu!$I$68,M1585=phu!$I$69,M1585=phu!$I$70,M1585=phu!$I$71),"Ba Ngòi",""),IF(OR(M1585=phu!$I$72,M1585=phu!$I$73,M1585=phu!$I$74,M1585=phu!$I$75,M1585=phu!$I$76,M1585=phu!$I$77,M1585=phu!$I$78),"Cam Phước Đông",""),IF(OR(M1585=phu!$I$79,M1585=phu!$I$80,M1585=phu!$I$81,M1585=phu!$I$82,M1585=phu!$I$83,M1585=phu!$I$84),"Cam Thịnh Đông",""),IF(OR(M1585=phu!$I$85,M1585=phu!$I$86,M1585=phu!$I$87,M1585=phu!$I$88),"Cam Thịnh Tây",""),IF(OR(M1585=phu!$I$89,M1585=phu!$I$90),"Cam Lập",""),IF(OR(M1585=phu!$I$91,M1585=phu!$I$92,M1585=phu!$I$93),"Cam Bình",""),IF(OR(M1585=phu!$I$94,M1585=phu!$I$95,M1585=phu!$I$96,M1585=phu!$I$97,M1585=phu!$I$98,M1585=phu!$I$99,M1585=phu!$I$100),"Huyện khác",""),IF(OR(M1585=phu!$I$101,M1585=phu!$I$102),"Tỉnh khác",""))</f>
        <v/>
      </c>
      <c r="O1585" s="829" t="str">
        <f t="shared" si="144"/>
        <v/>
      </c>
      <c r="P1585" s="254"/>
      <c r="Q1585" s="254"/>
      <c r="R1585" s="254"/>
      <c r="S1585" s="254"/>
      <c r="T1585" s="254"/>
      <c r="U1585" s="254"/>
      <c r="V1585" s="254"/>
      <c r="W1585" s="254"/>
      <c r="Y1585" s="246" t="str">
        <f t="shared" si="145"/>
        <v/>
      </c>
      <c r="Z1585" s="247" t="str">
        <f t="shared" si="149"/>
        <v/>
      </c>
      <c r="AA1585" s="246" t="str">
        <f t="shared" si="146"/>
        <v/>
      </c>
    </row>
    <row r="1586" spans="1:27" x14ac:dyDescent="0.25">
      <c r="A1586" s="248" t="str">
        <f t="shared" si="147"/>
        <v/>
      </c>
      <c r="B1586" s="249" t="str">
        <f t="shared" si="148"/>
        <v/>
      </c>
      <c r="C1586" s="250"/>
      <c r="D1586" s="251"/>
      <c r="E1586" s="241"/>
      <c r="F1586" s="252"/>
      <c r="G1586" s="252"/>
      <c r="H1586" s="253"/>
      <c r="I1586" s="250"/>
      <c r="J1586" s="250"/>
      <c r="K1586" s="270"/>
      <c r="L1586" s="250"/>
      <c r="M1586" s="250"/>
      <c r="N1586" s="540" t="str">
        <f>CONCATENATE(IF(OR(M1586=phu!$I$1,M1586=phu!$I$2,M1586=phu!$I$3),"Cam Thành Nam",""),IF(OR(M1586=phu!$I$4,M1586=phu!$I$5,M1586=phu!$I$6,M1586=phu!$I$7,M1586=phu!$I$8,M1586=phu!$I$9,M1586=phu!$I$10,M1586=phu!$I$11,M1586=phu!$I$12,M1586=phu!$I$13,M1586=phu!$I$14),"Cam Nghĩa",""),IF(OR(M1586=phu!$I$15,M1586=phu!$I$16,M1586=phu!$I$17,M1586=phu!$I$18,M1586=phu!$I$19,M1586=phu!$I$20,M1586=phu!$I$21),"Cam Phúc Bắc",""),IF(OR(M1586=phu!$I$22,M1586=phu!$I$23,M1586=phu!$I$24,M1586=phu!$I$25),"Cam Phúc Nam",""),IF(OR(M1586=phu!$I$26,M1586=phu!$I$27,M1586=phu!$I$28,M1586=phu!$I$29,M1586=phu!$I$30,M1586=phu!$I$31),"Cam Phú",""),IF(OR(M1586=phu!$I$32,M1586=phu!$I$33,M1586=phu!$I$34,M1586=phu!$I$35,M1586=phu!$I$36,M1586=phu!$I$37),"Cam Lộc",""),IF(OR(M1586=phu!$I$38,M1586=phu!$I$39,M1586=phu!$I$40,M1586=phu!$I$41,M1586=phu!$I$42,M1586=phu!$I$43,M1586=phu!$I$44),"Cam Thuận",""),IF(OR(M1586=phu!$I$45,M1586=phu!$I$46,M1586=phu!$I$47,M1586=phu!$I$48,M1586=phu!$I$49,M1586=phu!$I$50,M1586=phu!$I$51,M1586=phu!$I$52,M1586=phu!$I$53),"Cam Linh",""),IF(OR(M1586=phu!$I$54,M1586=phu!$I$55,M1586=phu!$I$56,M1586=phu!$I$57,M1586=phu!$I$58,M1586=phu!$I$59,M1586=phu!$I$60,M1586=phu!$I$61,M1586=phu!$I$62),"Cam Lợi",""),IF(OR(M1586=phu!$I$63,M1586=phu!$I$64,M1586=phu!$I$65,M1586=phu!$I$66,M1586=phu!$I$67,M1586=phu!$I$68,M1586=phu!$I$69,M1586=phu!$I$70,M1586=phu!$I$71),"Ba Ngòi",""),IF(OR(M1586=phu!$I$72,M1586=phu!$I$73,M1586=phu!$I$74,M1586=phu!$I$75,M1586=phu!$I$76,M1586=phu!$I$77,M1586=phu!$I$78),"Cam Phước Đông",""),IF(OR(M1586=phu!$I$79,M1586=phu!$I$80,M1586=phu!$I$81,M1586=phu!$I$82,M1586=phu!$I$83,M1586=phu!$I$84),"Cam Thịnh Đông",""),IF(OR(M1586=phu!$I$85,M1586=phu!$I$86,M1586=phu!$I$87,M1586=phu!$I$88),"Cam Thịnh Tây",""),IF(OR(M1586=phu!$I$89,M1586=phu!$I$90),"Cam Lập",""),IF(OR(M1586=phu!$I$91,M1586=phu!$I$92,M1586=phu!$I$93),"Cam Bình",""),IF(OR(M1586=phu!$I$94,M1586=phu!$I$95,M1586=phu!$I$96,M1586=phu!$I$97,M1586=phu!$I$98,M1586=phu!$I$99,M1586=phu!$I$100),"Huyện khác",""),IF(OR(M1586=phu!$I$101,M1586=phu!$I$102),"Tỉnh khác",""))</f>
        <v/>
      </c>
      <c r="O1586" s="829" t="str">
        <f t="shared" si="144"/>
        <v/>
      </c>
      <c r="P1586" s="254"/>
      <c r="Q1586" s="254"/>
      <c r="R1586" s="254"/>
      <c r="S1586" s="254"/>
      <c r="T1586" s="254"/>
      <c r="U1586" s="254"/>
      <c r="V1586" s="254"/>
      <c r="W1586" s="254"/>
      <c r="Y1586" s="246" t="str">
        <f t="shared" si="145"/>
        <v/>
      </c>
      <c r="Z1586" s="247" t="str">
        <f t="shared" si="149"/>
        <v/>
      </c>
      <c r="AA1586" s="246" t="str">
        <f t="shared" si="146"/>
        <v/>
      </c>
    </row>
    <row r="1587" spans="1:27" x14ac:dyDescent="0.25">
      <c r="A1587" s="248" t="str">
        <f t="shared" si="147"/>
        <v/>
      </c>
      <c r="B1587" s="249" t="str">
        <f t="shared" si="148"/>
        <v/>
      </c>
      <c r="C1587" s="250"/>
      <c r="D1587" s="251"/>
      <c r="E1587" s="241"/>
      <c r="F1587" s="252"/>
      <c r="G1587" s="252"/>
      <c r="H1587" s="253"/>
      <c r="I1587" s="250"/>
      <c r="J1587" s="250"/>
      <c r="K1587" s="270"/>
      <c r="L1587" s="250"/>
      <c r="M1587" s="250"/>
      <c r="N1587" s="540" t="str">
        <f>CONCATENATE(IF(OR(M1587=phu!$I$1,M1587=phu!$I$2,M1587=phu!$I$3),"Cam Thành Nam",""),IF(OR(M1587=phu!$I$4,M1587=phu!$I$5,M1587=phu!$I$6,M1587=phu!$I$7,M1587=phu!$I$8,M1587=phu!$I$9,M1587=phu!$I$10,M1587=phu!$I$11,M1587=phu!$I$12,M1587=phu!$I$13,M1587=phu!$I$14),"Cam Nghĩa",""),IF(OR(M1587=phu!$I$15,M1587=phu!$I$16,M1587=phu!$I$17,M1587=phu!$I$18,M1587=phu!$I$19,M1587=phu!$I$20,M1587=phu!$I$21),"Cam Phúc Bắc",""),IF(OR(M1587=phu!$I$22,M1587=phu!$I$23,M1587=phu!$I$24,M1587=phu!$I$25),"Cam Phúc Nam",""),IF(OR(M1587=phu!$I$26,M1587=phu!$I$27,M1587=phu!$I$28,M1587=phu!$I$29,M1587=phu!$I$30,M1587=phu!$I$31),"Cam Phú",""),IF(OR(M1587=phu!$I$32,M1587=phu!$I$33,M1587=phu!$I$34,M1587=phu!$I$35,M1587=phu!$I$36,M1587=phu!$I$37),"Cam Lộc",""),IF(OR(M1587=phu!$I$38,M1587=phu!$I$39,M1587=phu!$I$40,M1587=phu!$I$41,M1587=phu!$I$42,M1587=phu!$I$43,M1587=phu!$I$44),"Cam Thuận",""),IF(OR(M1587=phu!$I$45,M1587=phu!$I$46,M1587=phu!$I$47,M1587=phu!$I$48,M1587=phu!$I$49,M1587=phu!$I$50,M1587=phu!$I$51,M1587=phu!$I$52,M1587=phu!$I$53),"Cam Linh",""),IF(OR(M1587=phu!$I$54,M1587=phu!$I$55,M1587=phu!$I$56,M1587=phu!$I$57,M1587=phu!$I$58,M1587=phu!$I$59,M1587=phu!$I$60,M1587=phu!$I$61,M1587=phu!$I$62),"Cam Lợi",""),IF(OR(M1587=phu!$I$63,M1587=phu!$I$64,M1587=phu!$I$65,M1587=phu!$I$66,M1587=phu!$I$67,M1587=phu!$I$68,M1587=phu!$I$69,M1587=phu!$I$70,M1587=phu!$I$71),"Ba Ngòi",""),IF(OR(M1587=phu!$I$72,M1587=phu!$I$73,M1587=phu!$I$74,M1587=phu!$I$75,M1587=phu!$I$76,M1587=phu!$I$77,M1587=phu!$I$78),"Cam Phước Đông",""),IF(OR(M1587=phu!$I$79,M1587=phu!$I$80,M1587=phu!$I$81,M1587=phu!$I$82,M1587=phu!$I$83,M1587=phu!$I$84),"Cam Thịnh Đông",""),IF(OR(M1587=phu!$I$85,M1587=phu!$I$86,M1587=phu!$I$87,M1587=phu!$I$88),"Cam Thịnh Tây",""),IF(OR(M1587=phu!$I$89,M1587=phu!$I$90),"Cam Lập",""),IF(OR(M1587=phu!$I$91,M1587=phu!$I$92,M1587=phu!$I$93),"Cam Bình",""),IF(OR(M1587=phu!$I$94,M1587=phu!$I$95,M1587=phu!$I$96,M1587=phu!$I$97,M1587=phu!$I$98,M1587=phu!$I$99,M1587=phu!$I$100),"Huyện khác",""),IF(OR(M1587=phu!$I$101,M1587=phu!$I$102),"Tỉnh khác",""))</f>
        <v/>
      </c>
      <c r="O1587" s="829" t="str">
        <f t="shared" si="144"/>
        <v/>
      </c>
      <c r="P1587" s="254"/>
      <c r="Q1587" s="254"/>
      <c r="R1587" s="254"/>
      <c r="S1587" s="254"/>
      <c r="T1587" s="254"/>
      <c r="U1587" s="254"/>
      <c r="V1587" s="254"/>
      <c r="W1587" s="254"/>
      <c r="Y1587" s="246" t="str">
        <f t="shared" si="145"/>
        <v/>
      </c>
      <c r="Z1587" s="247" t="str">
        <f t="shared" si="149"/>
        <v/>
      </c>
      <c r="AA1587" s="246" t="str">
        <f t="shared" si="146"/>
        <v/>
      </c>
    </row>
    <row r="1588" spans="1:27" x14ac:dyDescent="0.25">
      <c r="A1588" s="248" t="str">
        <f t="shared" si="147"/>
        <v/>
      </c>
      <c r="B1588" s="249" t="str">
        <f t="shared" si="148"/>
        <v/>
      </c>
      <c r="C1588" s="250"/>
      <c r="D1588" s="251"/>
      <c r="E1588" s="241"/>
      <c r="F1588" s="252"/>
      <c r="G1588" s="252"/>
      <c r="H1588" s="253"/>
      <c r="I1588" s="250"/>
      <c r="J1588" s="250"/>
      <c r="K1588" s="270"/>
      <c r="L1588" s="250"/>
      <c r="M1588" s="250"/>
      <c r="N1588" s="540" t="str">
        <f>CONCATENATE(IF(OR(M1588=phu!$I$1,M1588=phu!$I$2,M1588=phu!$I$3),"Cam Thành Nam",""),IF(OR(M1588=phu!$I$4,M1588=phu!$I$5,M1588=phu!$I$6,M1588=phu!$I$7,M1588=phu!$I$8,M1588=phu!$I$9,M1588=phu!$I$10,M1588=phu!$I$11,M1588=phu!$I$12,M1588=phu!$I$13,M1588=phu!$I$14),"Cam Nghĩa",""),IF(OR(M1588=phu!$I$15,M1588=phu!$I$16,M1588=phu!$I$17,M1588=phu!$I$18,M1588=phu!$I$19,M1588=phu!$I$20,M1588=phu!$I$21),"Cam Phúc Bắc",""),IF(OR(M1588=phu!$I$22,M1588=phu!$I$23,M1588=phu!$I$24,M1588=phu!$I$25),"Cam Phúc Nam",""),IF(OR(M1588=phu!$I$26,M1588=phu!$I$27,M1588=phu!$I$28,M1588=phu!$I$29,M1588=phu!$I$30,M1588=phu!$I$31),"Cam Phú",""),IF(OR(M1588=phu!$I$32,M1588=phu!$I$33,M1588=phu!$I$34,M1588=phu!$I$35,M1588=phu!$I$36,M1588=phu!$I$37),"Cam Lộc",""),IF(OR(M1588=phu!$I$38,M1588=phu!$I$39,M1588=phu!$I$40,M1588=phu!$I$41,M1588=phu!$I$42,M1588=phu!$I$43,M1588=phu!$I$44),"Cam Thuận",""),IF(OR(M1588=phu!$I$45,M1588=phu!$I$46,M1588=phu!$I$47,M1588=phu!$I$48,M1588=phu!$I$49,M1588=phu!$I$50,M1588=phu!$I$51,M1588=phu!$I$52,M1588=phu!$I$53),"Cam Linh",""),IF(OR(M1588=phu!$I$54,M1588=phu!$I$55,M1588=phu!$I$56,M1588=phu!$I$57,M1588=phu!$I$58,M1588=phu!$I$59,M1588=phu!$I$60,M1588=phu!$I$61,M1588=phu!$I$62),"Cam Lợi",""),IF(OR(M1588=phu!$I$63,M1588=phu!$I$64,M1588=phu!$I$65,M1588=phu!$I$66,M1588=phu!$I$67,M1588=phu!$I$68,M1588=phu!$I$69,M1588=phu!$I$70,M1588=phu!$I$71),"Ba Ngòi",""),IF(OR(M1588=phu!$I$72,M1588=phu!$I$73,M1588=phu!$I$74,M1588=phu!$I$75,M1588=phu!$I$76,M1588=phu!$I$77,M1588=phu!$I$78),"Cam Phước Đông",""),IF(OR(M1588=phu!$I$79,M1588=phu!$I$80,M1588=phu!$I$81,M1588=phu!$I$82,M1588=phu!$I$83,M1588=phu!$I$84),"Cam Thịnh Đông",""),IF(OR(M1588=phu!$I$85,M1588=phu!$I$86,M1588=phu!$I$87,M1588=phu!$I$88),"Cam Thịnh Tây",""),IF(OR(M1588=phu!$I$89,M1588=phu!$I$90),"Cam Lập",""),IF(OR(M1588=phu!$I$91,M1588=phu!$I$92,M1588=phu!$I$93),"Cam Bình",""),IF(OR(M1588=phu!$I$94,M1588=phu!$I$95,M1588=phu!$I$96,M1588=phu!$I$97,M1588=phu!$I$98,M1588=phu!$I$99,M1588=phu!$I$100),"Huyện khác",""),IF(OR(M1588=phu!$I$101,M1588=phu!$I$102),"Tỉnh khác",""))</f>
        <v/>
      </c>
      <c r="O1588" s="829" t="str">
        <f t="shared" si="144"/>
        <v/>
      </c>
      <c r="P1588" s="254"/>
      <c r="Q1588" s="254"/>
      <c r="R1588" s="254"/>
      <c r="S1588" s="254"/>
      <c r="T1588" s="254"/>
      <c r="U1588" s="254"/>
      <c r="V1588" s="254"/>
      <c r="W1588" s="254"/>
      <c r="Y1588" s="246" t="str">
        <f t="shared" si="145"/>
        <v/>
      </c>
      <c r="Z1588" s="247" t="str">
        <f t="shared" si="149"/>
        <v/>
      </c>
      <c r="AA1588" s="246" t="str">
        <f t="shared" si="146"/>
        <v/>
      </c>
    </row>
    <row r="1589" spans="1:27" x14ac:dyDescent="0.25">
      <c r="A1589" s="248" t="str">
        <f t="shared" si="147"/>
        <v/>
      </c>
      <c r="B1589" s="249" t="str">
        <f t="shared" si="148"/>
        <v/>
      </c>
      <c r="C1589" s="250"/>
      <c r="D1589" s="251"/>
      <c r="E1589" s="241"/>
      <c r="F1589" s="252"/>
      <c r="G1589" s="252"/>
      <c r="H1589" s="253"/>
      <c r="I1589" s="250"/>
      <c r="J1589" s="250"/>
      <c r="K1589" s="270"/>
      <c r="L1589" s="250"/>
      <c r="M1589" s="250"/>
      <c r="N1589" s="540" t="str">
        <f>CONCATENATE(IF(OR(M1589=phu!$I$1,M1589=phu!$I$2,M1589=phu!$I$3),"Cam Thành Nam",""),IF(OR(M1589=phu!$I$4,M1589=phu!$I$5,M1589=phu!$I$6,M1589=phu!$I$7,M1589=phu!$I$8,M1589=phu!$I$9,M1589=phu!$I$10,M1589=phu!$I$11,M1589=phu!$I$12,M1589=phu!$I$13,M1589=phu!$I$14),"Cam Nghĩa",""),IF(OR(M1589=phu!$I$15,M1589=phu!$I$16,M1589=phu!$I$17,M1589=phu!$I$18,M1589=phu!$I$19,M1589=phu!$I$20,M1589=phu!$I$21),"Cam Phúc Bắc",""),IF(OR(M1589=phu!$I$22,M1589=phu!$I$23,M1589=phu!$I$24,M1589=phu!$I$25),"Cam Phúc Nam",""),IF(OR(M1589=phu!$I$26,M1589=phu!$I$27,M1589=phu!$I$28,M1589=phu!$I$29,M1589=phu!$I$30,M1589=phu!$I$31),"Cam Phú",""),IF(OR(M1589=phu!$I$32,M1589=phu!$I$33,M1589=phu!$I$34,M1589=phu!$I$35,M1589=phu!$I$36,M1589=phu!$I$37),"Cam Lộc",""),IF(OR(M1589=phu!$I$38,M1589=phu!$I$39,M1589=phu!$I$40,M1589=phu!$I$41,M1589=phu!$I$42,M1589=phu!$I$43,M1589=phu!$I$44),"Cam Thuận",""),IF(OR(M1589=phu!$I$45,M1589=phu!$I$46,M1589=phu!$I$47,M1589=phu!$I$48,M1589=phu!$I$49,M1589=phu!$I$50,M1589=phu!$I$51,M1589=phu!$I$52,M1589=phu!$I$53),"Cam Linh",""),IF(OR(M1589=phu!$I$54,M1589=phu!$I$55,M1589=phu!$I$56,M1589=phu!$I$57,M1589=phu!$I$58,M1589=phu!$I$59,M1589=phu!$I$60,M1589=phu!$I$61,M1589=phu!$I$62),"Cam Lợi",""),IF(OR(M1589=phu!$I$63,M1589=phu!$I$64,M1589=phu!$I$65,M1589=phu!$I$66,M1589=phu!$I$67,M1589=phu!$I$68,M1589=phu!$I$69,M1589=phu!$I$70,M1589=phu!$I$71),"Ba Ngòi",""),IF(OR(M1589=phu!$I$72,M1589=phu!$I$73,M1589=phu!$I$74,M1589=phu!$I$75,M1589=phu!$I$76,M1589=phu!$I$77,M1589=phu!$I$78),"Cam Phước Đông",""),IF(OR(M1589=phu!$I$79,M1589=phu!$I$80,M1589=phu!$I$81,M1589=phu!$I$82,M1589=phu!$I$83,M1589=phu!$I$84),"Cam Thịnh Đông",""),IF(OR(M1589=phu!$I$85,M1589=phu!$I$86,M1589=phu!$I$87,M1589=phu!$I$88),"Cam Thịnh Tây",""),IF(OR(M1589=phu!$I$89,M1589=phu!$I$90),"Cam Lập",""),IF(OR(M1589=phu!$I$91,M1589=phu!$I$92,M1589=phu!$I$93),"Cam Bình",""),IF(OR(M1589=phu!$I$94,M1589=phu!$I$95,M1589=phu!$I$96,M1589=phu!$I$97,M1589=phu!$I$98,M1589=phu!$I$99,M1589=phu!$I$100),"Huyện khác",""),IF(OR(M1589=phu!$I$101,M1589=phu!$I$102),"Tỉnh khác",""))</f>
        <v/>
      </c>
      <c r="O1589" s="829" t="str">
        <f t="shared" si="144"/>
        <v/>
      </c>
      <c r="P1589" s="254"/>
      <c r="Q1589" s="254"/>
      <c r="R1589" s="254"/>
      <c r="S1589" s="254"/>
      <c r="T1589" s="254"/>
      <c r="U1589" s="254"/>
      <c r="V1589" s="254"/>
      <c r="W1589" s="254"/>
      <c r="Y1589" s="246" t="str">
        <f t="shared" si="145"/>
        <v/>
      </c>
      <c r="Z1589" s="247" t="str">
        <f t="shared" si="149"/>
        <v/>
      </c>
      <c r="AA1589" s="246" t="str">
        <f t="shared" si="146"/>
        <v/>
      </c>
    </row>
    <row r="1590" spans="1:27" x14ac:dyDescent="0.25">
      <c r="A1590" s="248" t="str">
        <f t="shared" si="147"/>
        <v/>
      </c>
      <c r="B1590" s="249" t="str">
        <f t="shared" si="148"/>
        <v/>
      </c>
      <c r="C1590" s="250"/>
      <c r="D1590" s="251"/>
      <c r="E1590" s="241"/>
      <c r="F1590" s="252"/>
      <c r="G1590" s="252"/>
      <c r="H1590" s="253"/>
      <c r="I1590" s="250"/>
      <c r="J1590" s="250"/>
      <c r="K1590" s="270"/>
      <c r="L1590" s="250"/>
      <c r="M1590" s="250"/>
      <c r="N1590" s="540" t="str">
        <f>CONCATENATE(IF(OR(M1590=phu!$I$1,M1590=phu!$I$2,M1590=phu!$I$3),"Cam Thành Nam",""),IF(OR(M1590=phu!$I$4,M1590=phu!$I$5,M1590=phu!$I$6,M1590=phu!$I$7,M1590=phu!$I$8,M1590=phu!$I$9,M1590=phu!$I$10,M1590=phu!$I$11,M1590=phu!$I$12,M1590=phu!$I$13,M1590=phu!$I$14),"Cam Nghĩa",""),IF(OR(M1590=phu!$I$15,M1590=phu!$I$16,M1590=phu!$I$17,M1590=phu!$I$18,M1590=phu!$I$19,M1590=phu!$I$20,M1590=phu!$I$21),"Cam Phúc Bắc",""),IF(OR(M1590=phu!$I$22,M1590=phu!$I$23,M1590=phu!$I$24,M1590=phu!$I$25),"Cam Phúc Nam",""),IF(OR(M1590=phu!$I$26,M1590=phu!$I$27,M1590=phu!$I$28,M1590=phu!$I$29,M1590=phu!$I$30,M1590=phu!$I$31),"Cam Phú",""),IF(OR(M1590=phu!$I$32,M1590=phu!$I$33,M1590=phu!$I$34,M1590=phu!$I$35,M1590=phu!$I$36,M1590=phu!$I$37),"Cam Lộc",""),IF(OR(M1590=phu!$I$38,M1590=phu!$I$39,M1590=phu!$I$40,M1590=phu!$I$41,M1590=phu!$I$42,M1590=phu!$I$43,M1590=phu!$I$44),"Cam Thuận",""),IF(OR(M1590=phu!$I$45,M1590=phu!$I$46,M1590=phu!$I$47,M1590=phu!$I$48,M1590=phu!$I$49,M1590=phu!$I$50,M1590=phu!$I$51,M1590=phu!$I$52,M1590=phu!$I$53),"Cam Linh",""),IF(OR(M1590=phu!$I$54,M1590=phu!$I$55,M1590=phu!$I$56,M1590=phu!$I$57,M1590=phu!$I$58,M1590=phu!$I$59,M1590=phu!$I$60,M1590=phu!$I$61,M1590=phu!$I$62),"Cam Lợi",""),IF(OR(M1590=phu!$I$63,M1590=phu!$I$64,M1590=phu!$I$65,M1590=phu!$I$66,M1590=phu!$I$67,M1590=phu!$I$68,M1590=phu!$I$69,M1590=phu!$I$70,M1590=phu!$I$71),"Ba Ngòi",""),IF(OR(M1590=phu!$I$72,M1590=phu!$I$73,M1590=phu!$I$74,M1590=phu!$I$75,M1590=phu!$I$76,M1590=phu!$I$77,M1590=phu!$I$78),"Cam Phước Đông",""),IF(OR(M1590=phu!$I$79,M1590=phu!$I$80,M1590=phu!$I$81,M1590=phu!$I$82,M1590=phu!$I$83,M1590=phu!$I$84),"Cam Thịnh Đông",""),IF(OR(M1590=phu!$I$85,M1590=phu!$I$86,M1590=phu!$I$87,M1590=phu!$I$88),"Cam Thịnh Tây",""),IF(OR(M1590=phu!$I$89,M1590=phu!$I$90),"Cam Lập",""),IF(OR(M1590=phu!$I$91,M1590=phu!$I$92,M1590=phu!$I$93),"Cam Bình",""),IF(OR(M1590=phu!$I$94,M1590=phu!$I$95,M1590=phu!$I$96,M1590=phu!$I$97,M1590=phu!$I$98,M1590=phu!$I$99,M1590=phu!$I$100),"Huyện khác",""),IF(OR(M1590=phu!$I$101,M1590=phu!$I$102),"Tỉnh khác",""))</f>
        <v/>
      </c>
      <c r="O1590" s="829" t="str">
        <f t="shared" si="144"/>
        <v/>
      </c>
      <c r="P1590" s="254"/>
      <c r="Q1590" s="254"/>
      <c r="R1590" s="254"/>
      <c r="S1590" s="254"/>
      <c r="T1590" s="254"/>
      <c r="U1590" s="254"/>
      <c r="V1590" s="254"/>
      <c r="W1590" s="254"/>
      <c r="Y1590" s="246" t="str">
        <f t="shared" si="145"/>
        <v/>
      </c>
      <c r="Z1590" s="247" t="str">
        <f t="shared" si="149"/>
        <v/>
      </c>
      <c r="AA1590" s="246" t="str">
        <f t="shared" si="146"/>
        <v/>
      </c>
    </row>
    <row r="1591" spans="1:27" x14ac:dyDescent="0.25">
      <c r="A1591" s="248" t="str">
        <f t="shared" si="147"/>
        <v/>
      </c>
      <c r="B1591" s="249" t="str">
        <f t="shared" si="148"/>
        <v/>
      </c>
      <c r="C1591" s="250"/>
      <c r="D1591" s="251"/>
      <c r="E1591" s="241"/>
      <c r="F1591" s="252"/>
      <c r="G1591" s="252"/>
      <c r="H1591" s="253"/>
      <c r="I1591" s="250"/>
      <c r="J1591" s="250"/>
      <c r="K1591" s="270"/>
      <c r="L1591" s="250"/>
      <c r="M1591" s="250"/>
      <c r="N1591" s="540" t="str">
        <f>CONCATENATE(IF(OR(M1591=phu!$I$1,M1591=phu!$I$2,M1591=phu!$I$3),"Cam Thành Nam",""),IF(OR(M1591=phu!$I$4,M1591=phu!$I$5,M1591=phu!$I$6,M1591=phu!$I$7,M1591=phu!$I$8,M1591=phu!$I$9,M1591=phu!$I$10,M1591=phu!$I$11,M1591=phu!$I$12,M1591=phu!$I$13,M1591=phu!$I$14),"Cam Nghĩa",""),IF(OR(M1591=phu!$I$15,M1591=phu!$I$16,M1591=phu!$I$17,M1591=phu!$I$18,M1591=phu!$I$19,M1591=phu!$I$20,M1591=phu!$I$21),"Cam Phúc Bắc",""),IF(OR(M1591=phu!$I$22,M1591=phu!$I$23,M1591=phu!$I$24,M1591=phu!$I$25),"Cam Phúc Nam",""),IF(OR(M1591=phu!$I$26,M1591=phu!$I$27,M1591=phu!$I$28,M1591=phu!$I$29,M1591=phu!$I$30,M1591=phu!$I$31),"Cam Phú",""),IF(OR(M1591=phu!$I$32,M1591=phu!$I$33,M1591=phu!$I$34,M1591=phu!$I$35,M1591=phu!$I$36,M1591=phu!$I$37),"Cam Lộc",""),IF(OR(M1591=phu!$I$38,M1591=phu!$I$39,M1591=phu!$I$40,M1591=phu!$I$41,M1591=phu!$I$42,M1591=phu!$I$43,M1591=phu!$I$44),"Cam Thuận",""),IF(OR(M1591=phu!$I$45,M1591=phu!$I$46,M1591=phu!$I$47,M1591=phu!$I$48,M1591=phu!$I$49,M1591=phu!$I$50,M1591=phu!$I$51,M1591=phu!$I$52,M1591=phu!$I$53),"Cam Linh",""),IF(OR(M1591=phu!$I$54,M1591=phu!$I$55,M1591=phu!$I$56,M1591=phu!$I$57,M1591=phu!$I$58,M1591=phu!$I$59,M1591=phu!$I$60,M1591=phu!$I$61,M1591=phu!$I$62),"Cam Lợi",""),IF(OR(M1591=phu!$I$63,M1591=phu!$I$64,M1591=phu!$I$65,M1591=phu!$I$66,M1591=phu!$I$67,M1591=phu!$I$68,M1591=phu!$I$69,M1591=phu!$I$70,M1591=phu!$I$71),"Ba Ngòi",""),IF(OR(M1591=phu!$I$72,M1591=phu!$I$73,M1591=phu!$I$74,M1591=phu!$I$75,M1591=phu!$I$76,M1591=phu!$I$77,M1591=phu!$I$78),"Cam Phước Đông",""),IF(OR(M1591=phu!$I$79,M1591=phu!$I$80,M1591=phu!$I$81,M1591=phu!$I$82,M1591=phu!$I$83,M1591=phu!$I$84),"Cam Thịnh Đông",""),IF(OR(M1591=phu!$I$85,M1591=phu!$I$86,M1591=phu!$I$87,M1591=phu!$I$88),"Cam Thịnh Tây",""),IF(OR(M1591=phu!$I$89,M1591=phu!$I$90),"Cam Lập",""),IF(OR(M1591=phu!$I$91,M1591=phu!$I$92,M1591=phu!$I$93),"Cam Bình",""),IF(OR(M1591=phu!$I$94,M1591=phu!$I$95,M1591=phu!$I$96,M1591=phu!$I$97,M1591=phu!$I$98,M1591=phu!$I$99,M1591=phu!$I$100),"Huyện khác",""),IF(OR(M1591=phu!$I$101,M1591=phu!$I$102),"Tỉnh khác",""))</f>
        <v/>
      </c>
      <c r="O1591" s="829" t="str">
        <f t="shared" si="144"/>
        <v/>
      </c>
      <c r="P1591" s="254"/>
      <c r="Q1591" s="254"/>
      <c r="R1591" s="254"/>
      <c r="S1591" s="254"/>
      <c r="T1591" s="254"/>
      <c r="U1591" s="254"/>
      <c r="V1591" s="254"/>
      <c r="W1591" s="254"/>
      <c r="Y1591" s="246" t="str">
        <f t="shared" si="145"/>
        <v/>
      </c>
      <c r="Z1591" s="247" t="str">
        <f t="shared" si="149"/>
        <v/>
      </c>
      <c r="AA1591" s="246" t="str">
        <f t="shared" si="146"/>
        <v/>
      </c>
    </row>
    <row r="1592" spans="1:27" x14ac:dyDescent="0.25">
      <c r="A1592" s="248" t="str">
        <f t="shared" si="147"/>
        <v/>
      </c>
      <c r="B1592" s="249" t="str">
        <f t="shared" si="148"/>
        <v/>
      </c>
      <c r="C1592" s="250"/>
      <c r="D1592" s="251"/>
      <c r="E1592" s="241"/>
      <c r="F1592" s="252"/>
      <c r="G1592" s="252"/>
      <c r="H1592" s="253"/>
      <c r="I1592" s="250"/>
      <c r="J1592" s="250"/>
      <c r="K1592" s="270"/>
      <c r="L1592" s="250"/>
      <c r="M1592" s="250"/>
      <c r="N1592" s="540" t="str">
        <f>CONCATENATE(IF(OR(M1592=phu!$I$1,M1592=phu!$I$2,M1592=phu!$I$3),"Cam Thành Nam",""),IF(OR(M1592=phu!$I$4,M1592=phu!$I$5,M1592=phu!$I$6,M1592=phu!$I$7,M1592=phu!$I$8,M1592=phu!$I$9,M1592=phu!$I$10,M1592=phu!$I$11,M1592=phu!$I$12,M1592=phu!$I$13,M1592=phu!$I$14),"Cam Nghĩa",""),IF(OR(M1592=phu!$I$15,M1592=phu!$I$16,M1592=phu!$I$17,M1592=phu!$I$18,M1592=phu!$I$19,M1592=phu!$I$20,M1592=phu!$I$21),"Cam Phúc Bắc",""),IF(OR(M1592=phu!$I$22,M1592=phu!$I$23,M1592=phu!$I$24,M1592=phu!$I$25),"Cam Phúc Nam",""),IF(OR(M1592=phu!$I$26,M1592=phu!$I$27,M1592=phu!$I$28,M1592=phu!$I$29,M1592=phu!$I$30,M1592=phu!$I$31),"Cam Phú",""),IF(OR(M1592=phu!$I$32,M1592=phu!$I$33,M1592=phu!$I$34,M1592=phu!$I$35,M1592=phu!$I$36,M1592=phu!$I$37),"Cam Lộc",""),IF(OR(M1592=phu!$I$38,M1592=phu!$I$39,M1592=phu!$I$40,M1592=phu!$I$41,M1592=phu!$I$42,M1592=phu!$I$43,M1592=phu!$I$44),"Cam Thuận",""),IF(OR(M1592=phu!$I$45,M1592=phu!$I$46,M1592=phu!$I$47,M1592=phu!$I$48,M1592=phu!$I$49,M1592=phu!$I$50,M1592=phu!$I$51,M1592=phu!$I$52,M1592=phu!$I$53),"Cam Linh",""),IF(OR(M1592=phu!$I$54,M1592=phu!$I$55,M1592=phu!$I$56,M1592=phu!$I$57,M1592=phu!$I$58,M1592=phu!$I$59,M1592=phu!$I$60,M1592=phu!$I$61,M1592=phu!$I$62),"Cam Lợi",""),IF(OR(M1592=phu!$I$63,M1592=phu!$I$64,M1592=phu!$I$65,M1592=phu!$I$66,M1592=phu!$I$67,M1592=phu!$I$68,M1592=phu!$I$69,M1592=phu!$I$70,M1592=phu!$I$71),"Ba Ngòi",""),IF(OR(M1592=phu!$I$72,M1592=phu!$I$73,M1592=phu!$I$74,M1592=phu!$I$75,M1592=phu!$I$76,M1592=phu!$I$77,M1592=phu!$I$78),"Cam Phước Đông",""),IF(OR(M1592=phu!$I$79,M1592=phu!$I$80,M1592=phu!$I$81,M1592=phu!$I$82,M1592=phu!$I$83,M1592=phu!$I$84),"Cam Thịnh Đông",""),IF(OR(M1592=phu!$I$85,M1592=phu!$I$86,M1592=phu!$I$87,M1592=phu!$I$88),"Cam Thịnh Tây",""),IF(OR(M1592=phu!$I$89,M1592=phu!$I$90),"Cam Lập",""),IF(OR(M1592=phu!$I$91,M1592=phu!$I$92,M1592=phu!$I$93),"Cam Bình",""),IF(OR(M1592=phu!$I$94,M1592=phu!$I$95,M1592=phu!$I$96,M1592=phu!$I$97,M1592=phu!$I$98,M1592=phu!$I$99,M1592=phu!$I$100),"Huyện khác",""),IF(OR(M1592=phu!$I$101,M1592=phu!$I$102),"Tỉnh khác",""))</f>
        <v/>
      </c>
      <c r="O1592" s="829" t="str">
        <f t="shared" si="144"/>
        <v/>
      </c>
      <c r="P1592" s="254"/>
      <c r="Q1592" s="254"/>
      <c r="R1592" s="254"/>
      <c r="S1592" s="254"/>
      <c r="T1592" s="254"/>
      <c r="U1592" s="254"/>
      <c r="V1592" s="254"/>
      <c r="W1592" s="254"/>
      <c r="Y1592" s="246" t="str">
        <f t="shared" si="145"/>
        <v/>
      </c>
      <c r="Z1592" s="247" t="str">
        <f t="shared" si="149"/>
        <v/>
      </c>
      <c r="AA1592" s="246" t="str">
        <f t="shared" si="146"/>
        <v/>
      </c>
    </row>
    <row r="1593" spans="1:27" x14ac:dyDescent="0.25">
      <c r="A1593" s="248" t="str">
        <f t="shared" si="147"/>
        <v/>
      </c>
      <c r="B1593" s="249" t="str">
        <f t="shared" si="148"/>
        <v/>
      </c>
      <c r="C1593" s="250"/>
      <c r="D1593" s="251"/>
      <c r="E1593" s="241"/>
      <c r="F1593" s="252"/>
      <c r="G1593" s="252"/>
      <c r="H1593" s="253"/>
      <c r="I1593" s="250"/>
      <c r="J1593" s="250"/>
      <c r="K1593" s="270"/>
      <c r="L1593" s="250"/>
      <c r="M1593" s="250"/>
      <c r="N1593" s="540" t="str">
        <f>CONCATENATE(IF(OR(M1593=phu!$I$1,M1593=phu!$I$2,M1593=phu!$I$3),"Cam Thành Nam",""),IF(OR(M1593=phu!$I$4,M1593=phu!$I$5,M1593=phu!$I$6,M1593=phu!$I$7,M1593=phu!$I$8,M1593=phu!$I$9,M1593=phu!$I$10,M1593=phu!$I$11,M1593=phu!$I$12,M1593=phu!$I$13,M1593=phu!$I$14),"Cam Nghĩa",""),IF(OR(M1593=phu!$I$15,M1593=phu!$I$16,M1593=phu!$I$17,M1593=phu!$I$18,M1593=phu!$I$19,M1593=phu!$I$20,M1593=phu!$I$21),"Cam Phúc Bắc",""),IF(OR(M1593=phu!$I$22,M1593=phu!$I$23,M1593=phu!$I$24,M1593=phu!$I$25),"Cam Phúc Nam",""),IF(OR(M1593=phu!$I$26,M1593=phu!$I$27,M1593=phu!$I$28,M1593=phu!$I$29,M1593=phu!$I$30,M1593=phu!$I$31),"Cam Phú",""),IF(OR(M1593=phu!$I$32,M1593=phu!$I$33,M1593=phu!$I$34,M1593=phu!$I$35,M1593=phu!$I$36,M1593=phu!$I$37),"Cam Lộc",""),IF(OR(M1593=phu!$I$38,M1593=phu!$I$39,M1593=phu!$I$40,M1593=phu!$I$41,M1593=phu!$I$42,M1593=phu!$I$43,M1593=phu!$I$44),"Cam Thuận",""),IF(OR(M1593=phu!$I$45,M1593=phu!$I$46,M1593=phu!$I$47,M1593=phu!$I$48,M1593=phu!$I$49,M1593=phu!$I$50,M1593=phu!$I$51,M1593=phu!$I$52,M1593=phu!$I$53),"Cam Linh",""),IF(OR(M1593=phu!$I$54,M1593=phu!$I$55,M1593=phu!$I$56,M1593=phu!$I$57,M1593=phu!$I$58,M1593=phu!$I$59,M1593=phu!$I$60,M1593=phu!$I$61,M1593=phu!$I$62),"Cam Lợi",""),IF(OR(M1593=phu!$I$63,M1593=phu!$I$64,M1593=phu!$I$65,M1593=phu!$I$66,M1593=phu!$I$67,M1593=phu!$I$68,M1593=phu!$I$69,M1593=phu!$I$70,M1593=phu!$I$71),"Ba Ngòi",""),IF(OR(M1593=phu!$I$72,M1593=phu!$I$73,M1593=phu!$I$74,M1593=phu!$I$75,M1593=phu!$I$76,M1593=phu!$I$77,M1593=phu!$I$78),"Cam Phước Đông",""),IF(OR(M1593=phu!$I$79,M1593=phu!$I$80,M1593=phu!$I$81,M1593=phu!$I$82,M1593=phu!$I$83,M1593=phu!$I$84),"Cam Thịnh Đông",""),IF(OR(M1593=phu!$I$85,M1593=phu!$I$86,M1593=phu!$I$87,M1593=phu!$I$88),"Cam Thịnh Tây",""),IF(OR(M1593=phu!$I$89,M1593=phu!$I$90),"Cam Lập",""),IF(OR(M1593=phu!$I$91,M1593=phu!$I$92,M1593=phu!$I$93),"Cam Bình",""),IF(OR(M1593=phu!$I$94,M1593=phu!$I$95,M1593=phu!$I$96,M1593=phu!$I$97,M1593=phu!$I$98,M1593=phu!$I$99,M1593=phu!$I$100),"Huyện khác",""),IF(OR(M1593=phu!$I$101,M1593=phu!$I$102),"Tỉnh khác",""))</f>
        <v/>
      </c>
      <c r="O1593" s="829" t="str">
        <f t="shared" si="144"/>
        <v/>
      </c>
      <c r="P1593" s="254"/>
      <c r="Q1593" s="254"/>
      <c r="R1593" s="254"/>
      <c r="S1593" s="254"/>
      <c r="T1593" s="254"/>
      <c r="U1593" s="254"/>
      <c r="V1593" s="254"/>
      <c r="W1593" s="254"/>
      <c r="Y1593" s="246" t="str">
        <f t="shared" si="145"/>
        <v/>
      </c>
      <c r="Z1593" s="247" t="str">
        <f t="shared" si="149"/>
        <v/>
      </c>
      <c r="AA1593" s="246" t="str">
        <f t="shared" si="146"/>
        <v/>
      </c>
    </row>
    <row r="1594" spans="1:27" x14ac:dyDescent="0.25">
      <c r="A1594" s="248" t="str">
        <f t="shared" si="147"/>
        <v/>
      </c>
      <c r="B1594" s="249" t="str">
        <f t="shared" si="148"/>
        <v/>
      </c>
      <c r="C1594" s="250"/>
      <c r="D1594" s="251"/>
      <c r="E1594" s="241"/>
      <c r="F1594" s="252"/>
      <c r="G1594" s="252"/>
      <c r="H1594" s="253"/>
      <c r="I1594" s="250"/>
      <c r="J1594" s="250"/>
      <c r="K1594" s="270"/>
      <c r="L1594" s="250"/>
      <c r="M1594" s="250"/>
      <c r="N1594" s="540" t="str">
        <f>CONCATENATE(IF(OR(M1594=phu!$I$1,M1594=phu!$I$2,M1594=phu!$I$3),"Cam Thành Nam",""),IF(OR(M1594=phu!$I$4,M1594=phu!$I$5,M1594=phu!$I$6,M1594=phu!$I$7,M1594=phu!$I$8,M1594=phu!$I$9,M1594=phu!$I$10,M1594=phu!$I$11,M1594=phu!$I$12,M1594=phu!$I$13,M1594=phu!$I$14),"Cam Nghĩa",""),IF(OR(M1594=phu!$I$15,M1594=phu!$I$16,M1594=phu!$I$17,M1594=phu!$I$18,M1594=phu!$I$19,M1594=phu!$I$20,M1594=phu!$I$21),"Cam Phúc Bắc",""),IF(OR(M1594=phu!$I$22,M1594=phu!$I$23,M1594=phu!$I$24,M1594=phu!$I$25),"Cam Phúc Nam",""),IF(OR(M1594=phu!$I$26,M1594=phu!$I$27,M1594=phu!$I$28,M1594=phu!$I$29,M1594=phu!$I$30,M1594=phu!$I$31),"Cam Phú",""),IF(OR(M1594=phu!$I$32,M1594=phu!$I$33,M1594=phu!$I$34,M1594=phu!$I$35,M1594=phu!$I$36,M1594=phu!$I$37),"Cam Lộc",""),IF(OR(M1594=phu!$I$38,M1594=phu!$I$39,M1594=phu!$I$40,M1594=phu!$I$41,M1594=phu!$I$42,M1594=phu!$I$43,M1594=phu!$I$44),"Cam Thuận",""),IF(OR(M1594=phu!$I$45,M1594=phu!$I$46,M1594=phu!$I$47,M1594=phu!$I$48,M1594=phu!$I$49,M1594=phu!$I$50,M1594=phu!$I$51,M1594=phu!$I$52,M1594=phu!$I$53),"Cam Linh",""),IF(OR(M1594=phu!$I$54,M1594=phu!$I$55,M1594=phu!$I$56,M1594=phu!$I$57,M1594=phu!$I$58,M1594=phu!$I$59,M1594=phu!$I$60,M1594=phu!$I$61,M1594=phu!$I$62),"Cam Lợi",""),IF(OR(M1594=phu!$I$63,M1594=phu!$I$64,M1594=phu!$I$65,M1594=phu!$I$66,M1594=phu!$I$67,M1594=phu!$I$68,M1594=phu!$I$69,M1594=phu!$I$70,M1594=phu!$I$71),"Ba Ngòi",""),IF(OR(M1594=phu!$I$72,M1594=phu!$I$73,M1594=phu!$I$74,M1594=phu!$I$75,M1594=phu!$I$76,M1594=phu!$I$77,M1594=phu!$I$78),"Cam Phước Đông",""),IF(OR(M1594=phu!$I$79,M1594=phu!$I$80,M1594=phu!$I$81,M1594=phu!$I$82,M1594=phu!$I$83,M1594=phu!$I$84),"Cam Thịnh Đông",""),IF(OR(M1594=phu!$I$85,M1594=phu!$I$86,M1594=phu!$I$87,M1594=phu!$I$88),"Cam Thịnh Tây",""),IF(OR(M1594=phu!$I$89,M1594=phu!$I$90),"Cam Lập",""),IF(OR(M1594=phu!$I$91,M1594=phu!$I$92,M1594=phu!$I$93),"Cam Bình",""),IF(OR(M1594=phu!$I$94,M1594=phu!$I$95,M1594=phu!$I$96,M1594=phu!$I$97,M1594=phu!$I$98,M1594=phu!$I$99,M1594=phu!$I$100),"Huyện khác",""),IF(OR(M1594=phu!$I$101,M1594=phu!$I$102),"Tỉnh khác",""))</f>
        <v/>
      </c>
      <c r="O1594" s="829" t="str">
        <f t="shared" si="144"/>
        <v/>
      </c>
      <c r="P1594" s="254"/>
      <c r="Q1594" s="254"/>
      <c r="R1594" s="254"/>
      <c r="S1594" s="254"/>
      <c r="T1594" s="254"/>
      <c r="U1594" s="254"/>
      <c r="V1594" s="254"/>
      <c r="W1594" s="254"/>
      <c r="Y1594" s="246" t="str">
        <f t="shared" si="145"/>
        <v/>
      </c>
      <c r="Z1594" s="247" t="str">
        <f t="shared" si="149"/>
        <v/>
      </c>
      <c r="AA1594" s="246" t="str">
        <f t="shared" si="146"/>
        <v/>
      </c>
    </row>
    <row r="1595" spans="1:27" x14ac:dyDescent="0.25">
      <c r="A1595" s="248" t="str">
        <f t="shared" si="147"/>
        <v/>
      </c>
      <c r="B1595" s="249" t="str">
        <f t="shared" si="148"/>
        <v/>
      </c>
      <c r="C1595" s="250"/>
      <c r="D1595" s="251"/>
      <c r="E1595" s="241"/>
      <c r="F1595" s="252"/>
      <c r="G1595" s="252"/>
      <c r="H1595" s="253"/>
      <c r="I1595" s="250"/>
      <c r="J1595" s="250"/>
      <c r="K1595" s="270"/>
      <c r="L1595" s="250"/>
      <c r="M1595" s="250"/>
      <c r="N1595" s="540" t="str">
        <f>CONCATENATE(IF(OR(M1595=phu!$I$1,M1595=phu!$I$2,M1595=phu!$I$3),"Cam Thành Nam",""),IF(OR(M1595=phu!$I$4,M1595=phu!$I$5,M1595=phu!$I$6,M1595=phu!$I$7,M1595=phu!$I$8,M1595=phu!$I$9,M1595=phu!$I$10,M1595=phu!$I$11,M1595=phu!$I$12,M1595=phu!$I$13,M1595=phu!$I$14),"Cam Nghĩa",""),IF(OR(M1595=phu!$I$15,M1595=phu!$I$16,M1595=phu!$I$17,M1595=phu!$I$18,M1595=phu!$I$19,M1595=phu!$I$20,M1595=phu!$I$21),"Cam Phúc Bắc",""),IF(OR(M1595=phu!$I$22,M1595=phu!$I$23,M1595=phu!$I$24,M1595=phu!$I$25),"Cam Phúc Nam",""),IF(OR(M1595=phu!$I$26,M1595=phu!$I$27,M1595=phu!$I$28,M1595=phu!$I$29,M1595=phu!$I$30,M1595=phu!$I$31),"Cam Phú",""),IF(OR(M1595=phu!$I$32,M1595=phu!$I$33,M1595=phu!$I$34,M1595=phu!$I$35,M1595=phu!$I$36,M1595=phu!$I$37),"Cam Lộc",""),IF(OR(M1595=phu!$I$38,M1595=phu!$I$39,M1595=phu!$I$40,M1595=phu!$I$41,M1595=phu!$I$42,M1595=phu!$I$43,M1595=phu!$I$44),"Cam Thuận",""),IF(OR(M1595=phu!$I$45,M1595=phu!$I$46,M1595=phu!$I$47,M1595=phu!$I$48,M1595=phu!$I$49,M1595=phu!$I$50,M1595=phu!$I$51,M1595=phu!$I$52,M1595=phu!$I$53),"Cam Linh",""),IF(OR(M1595=phu!$I$54,M1595=phu!$I$55,M1595=phu!$I$56,M1595=phu!$I$57,M1595=phu!$I$58,M1595=phu!$I$59,M1595=phu!$I$60,M1595=phu!$I$61,M1595=phu!$I$62),"Cam Lợi",""),IF(OR(M1595=phu!$I$63,M1595=phu!$I$64,M1595=phu!$I$65,M1595=phu!$I$66,M1595=phu!$I$67,M1595=phu!$I$68,M1595=phu!$I$69,M1595=phu!$I$70,M1595=phu!$I$71),"Ba Ngòi",""),IF(OR(M1595=phu!$I$72,M1595=phu!$I$73,M1595=phu!$I$74,M1595=phu!$I$75,M1595=phu!$I$76,M1595=phu!$I$77,M1595=phu!$I$78),"Cam Phước Đông",""),IF(OR(M1595=phu!$I$79,M1595=phu!$I$80,M1595=phu!$I$81,M1595=phu!$I$82,M1595=phu!$I$83,M1595=phu!$I$84),"Cam Thịnh Đông",""),IF(OR(M1595=phu!$I$85,M1595=phu!$I$86,M1595=phu!$I$87,M1595=phu!$I$88),"Cam Thịnh Tây",""),IF(OR(M1595=phu!$I$89,M1595=phu!$I$90),"Cam Lập",""),IF(OR(M1595=phu!$I$91,M1595=phu!$I$92,M1595=phu!$I$93),"Cam Bình",""),IF(OR(M1595=phu!$I$94,M1595=phu!$I$95,M1595=phu!$I$96,M1595=phu!$I$97,M1595=phu!$I$98,M1595=phu!$I$99,M1595=phu!$I$100),"Huyện khác",""),IF(OR(M1595=phu!$I$101,M1595=phu!$I$102),"Tỉnh khác",""))</f>
        <v/>
      </c>
      <c r="O1595" s="829" t="str">
        <f t="shared" si="144"/>
        <v/>
      </c>
      <c r="P1595" s="254"/>
      <c r="Q1595" s="254"/>
      <c r="R1595" s="254"/>
      <c r="S1595" s="254"/>
      <c r="T1595" s="254"/>
      <c r="U1595" s="254"/>
      <c r="V1595" s="254"/>
      <c r="W1595" s="254"/>
      <c r="Y1595" s="246" t="str">
        <f t="shared" si="145"/>
        <v/>
      </c>
      <c r="Z1595" s="247" t="str">
        <f t="shared" si="149"/>
        <v/>
      </c>
      <c r="AA1595" s="246" t="str">
        <f t="shared" si="146"/>
        <v/>
      </c>
    </row>
    <row r="1596" spans="1:27" x14ac:dyDescent="0.25">
      <c r="A1596" s="248" t="str">
        <f t="shared" si="147"/>
        <v/>
      </c>
      <c r="B1596" s="249" t="str">
        <f t="shared" si="148"/>
        <v/>
      </c>
      <c r="C1596" s="250"/>
      <c r="D1596" s="251"/>
      <c r="E1596" s="241"/>
      <c r="F1596" s="252"/>
      <c r="G1596" s="252"/>
      <c r="H1596" s="253"/>
      <c r="I1596" s="250"/>
      <c r="J1596" s="250"/>
      <c r="K1596" s="270"/>
      <c r="L1596" s="250"/>
      <c r="M1596" s="250"/>
      <c r="N1596" s="540" t="str">
        <f>CONCATENATE(IF(OR(M1596=phu!$I$1,M1596=phu!$I$2,M1596=phu!$I$3),"Cam Thành Nam",""),IF(OR(M1596=phu!$I$4,M1596=phu!$I$5,M1596=phu!$I$6,M1596=phu!$I$7,M1596=phu!$I$8,M1596=phu!$I$9,M1596=phu!$I$10,M1596=phu!$I$11,M1596=phu!$I$12,M1596=phu!$I$13,M1596=phu!$I$14),"Cam Nghĩa",""),IF(OR(M1596=phu!$I$15,M1596=phu!$I$16,M1596=phu!$I$17,M1596=phu!$I$18,M1596=phu!$I$19,M1596=phu!$I$20,M1596=phu!$I$21),"Cam Phúc Bắc",""),IF(OR(M1596=phu!$I$22,M1596=phu!$I$23,M1596=phu!$I$24,M1596=phu!$I$25),"Cam Phúc Nam",""),IF(OR(M1596=phu!$I$26,M1596=phu!$I$27,M1596=phu!$I$28,M1596=phu!$I$29,M1596=phu!$I$30,M1596=phu!$I$31),"Cam Phú",""),IF(OR(M1596=phu!$I$32,M1596=phu!$I$33,M1596=phu!$I$34,M1596=phu!$I$35,M1596=phu!$I$36,M1596=phu!$I$37),"Cam Lộc",""),IF(OR(M1596=phu!$I$38,M1596=phu!$I$39,M1596=phu!$I$40,M1596=phu!$I$41,M1596=phu!$I$42,M1596=phu!$I$43,M1596=phu!$I$44),"Cam Thuận",""),IF(OR(M1596=phu!$I$45,M1596=phu!$I$46,M1596=phu!$I$47,M1596=phu!$I$48,M1596=phu!$I$49,M1596=phu!$I$50,M1596=phu!$I$51,M1596=phu!$I$52,M1596=phu!$I$53),"Cam Linh",""),IF(OR(M1596=phu!$I$54,M1596=phu!$I$55,M1596=phu!$I$56,M1596=phu!$I$57,M1596=phu!$I$58,M1596=phu!$I$59,M1596=phu!$I$60,M1596=phu!$I$61,M1596=phu!$I$62),"Cam Lợi",""),IF(OR(M1596=phu!$I$63,M1596=phu!$I$64,M1596=phu!$I$65,M1596=phu!$I$66,M1596=phu!$I$67,M1596=phu!$I$68,M1596=phu!$I$69,M1596=phu!$I$70,M1596=phu!$I$71),"Ba Ngòi",""),IF(OR(M1596=phu!$I$72,M1596=phu!$I$73,M1596=phu!$I$74,M1596=phu!$I$75,M1596=phu!$I$76,M1596=phu!$I$77,M1596=phu!$I$78),"Cam Phước Đông",""),IF(OR(M1596=phu!$I$79,M1596=phu!$I$80,M1596=phu!$I$81,M1596=phu!$I$82,M1596=phu!$I$83,M1596=phu!$I$84),"Cam Thịnh Đông",""),IF(OR(M1596=phu!$I$85,M1596=phu!$I$86,M1596=phu!$I$87,M1596=phu!$I$88),"Cam Thịnh Tây",""),IF(OR(M1596=phu!$I$89,M1596=phu!$I$90),"Cam Lập",""),IF(OR(M1596=phu!$I$91,M1596=phu!$I$92,M1596=phu!$I$93),"Cam Bình",""),IF(OR(M1596=phu!$I$94,M1596=phu!$I$95,M1596=phu!$I$96,M1596=phu!$I$97,M1596=phu!$I$98,M1596=phu!$I$99,M1596=phu!$I$100),"Huyện khác",""),IF(OR(M1596=phu!$I$101,M1596=phu!$I$102),"Tỉnh khác",""))</f>
        <v/>
      </c>
      <c r="O1596" s="829" t="str">
        <f t="shared" si="144"/>
        <v/>
      </c>
      <c r="P1596" s="254"/>
      <c r="Q1596" s="254"/>
      <c r="R1596" s="254"/>
      <c r="S1596" s="254"/>
      <c r="T1596" s="254"/>
      <c r="U1596" s="254"/>
      <c r="V1596" s="254"/>
      <c r="W1596" s="254"/>
      <c r="Y1596" s="246" t="str">
        <f t="shared" si="145"/>
        <v/>
      </c>
      <c r="Z1596" s="247" t="str">
        <f t="shared" si="149"/>
        <v/>
      </c>
      <c r="AA1596" s="246" t="str">
        <f t="shared" si="146"/>
        <v/>
      </c>
    </row>
    <row r="1597" spans="1:27" x14ac:dyDescent="0.25">
      <c r="A1597" s="248" t="str">
        <f t="shared" si="147"/>
        <v/>
      </c>
      <c r="B1597" s="249" t="str">
        <f t="shared" si="148"/>
        <v/>
      </c>
      <c r="C1597" s="250"/>
      <c r="D1597" s="251"/>
      <c r="E1597" s="241"/>
      <c r="F1597" s="252"/>
      <c r="G1597" s="252"/>
      <c r="H1597" s="253"/>
      <c r="I1597" s="250"/>
      <c r="J1597" s="250"/>
      <c r="K1597" s="270"/>
      <c r="L1597" s="250"/>
      <c r="M1597" s="250"/>
      <c r="N1597" s="540" t="str">
        <f>CONCATENATE(IF(OR(M1597=phu!$I$1,M1597=phu!$I$2,M1597=phu!$I$3),"Cam Thành Nam",""),IF(OR(M1597=phu!$I$4,M1597=phu!$I$5,M1597=phu!$I$6,M1597=phu!$I$7,M1597=phu!$I$8,M1597=phu!$I$9,M1597=phu!$I$10,M1597=phu!$I$11,M1597=phu!$I$12,M1597=phu!$I$13,M1597=phu!$I$14),"Cam Nghĩa",""),IF(OR(M1597=phu!$I$15,M1597=phu!$I$16,M1597=phu!$I$17,M1597=phu!$I$18,M1597=phu!$I$19,M1597=phu!$I$20,M1597=phu!$I$21),"Cam Phúc Bắc",""),IF(OR(M1597=phu!$I$22,M1597=phu!$I$23,M1597=phu!$I$24,M1597=phu!$I$25),"Cam Phúc Nam",""),IF(OR(M1597=phu!$I$26,M1597=phu!$I$27,M1597=phu!$I$28,M1597=phu!$I$29,M1597=phu!$I$30,M1597=phu!$I$31),"Cam Phú",""),IF(OR(M1597=phu!$I$32,M1597=phu!$I$33,M1597=phu!$I$34,M1597=phu!$I$35,M1597=phu!$I$36,M1597=phu!$I$37),"Cam Lộc",""),IF(OR(M1597=phu!$I$38,M1597=phu!$I$39,M1597=phu!$I$40,M1597=phu!$I$41,M1597=phu!$I$42,M1597=phu!$I$43,M1597=phu!$I$44),"Cam Thuận",""),IF(OR(M1597=phu!$I$45,M1597=phu!$I$46,M1597=phu!$I$47,M1597=phu!$I$48,M1597=phu!$I$49,M1597=phu!$I$50,M1597=phu!$I$51,M1597=phu!$I$52,M1597=phu!$I$53),"Cam Linh",""),IF(OR(M1597=phu!$I$54,M1597=phu!$I$55,M1597=phu!$I$56,M1597=phu!$I$57,M1597=phu!$I$58,M1597=phu!$I$59,M1597=phu!$I$60,M1597=phu!$I$61,M1597=phu!$I$62),"Cam Lợi",""),IF(OR(M1597=phu!$I$63,M1597=phu!$I$64,M1597=phu!$I$65,M1597=phu!$I$66,M1597=phu!$I$67,M1597=phu!$I$68,M1597=phu!$I$69,M1597=phu!$I$70,M1597=phu!$I$71),"Ba Ngòi",""),IF(OR(M1597=phu!$I$72,M1597=phu!$I$73,M1597=phu!$I$74,M1597=phu!$I$75,M1597=phu!$I$76,M1597=phu!$I$77,M1597=phu!$I$78),"Cam Phước Đông",""),IF(OR(M1597=phu!$I$79,M1597=phu!$I$80,M1597=phu!$I$81,M1597=phu!$I$82,M1597=phu!$I$83,M1597=phu!$I$84),"Cam Thịnh Đông",""),IF(OR(M1597=phu!$I$85,M1597=phu!$I$86,M1597=phu!$I$87,M1597=phu!$I$88),"Cam Thịnh Tây",""),IF(OR(M1597=phu!$I$89,M1597=phu!$I$90),"Cam Lập",""),IF(OR(M1597=phu!$I$91,M1597=phu!$I$92,M1597=phu!$I$93),"Cam Bình",""),IF(OR(M1597=phu!$I$94,M1597=phu!$I$95,M1597=phu!$I$96,M1597=phu!$I$97,M1597=phu!$I$98,M1597=phu!$I$99,M1597=phu!$I$100),"Huyện khác",""),IF(OR(M1597=phu!$I$101,M1597=phu!$I$102),"Tỉnh khác",""))</f>
        <v/>
      </c>
      <c r="O1597" s="829" t="str">
        <f t="shared" si="144"/>
        <v/>
      </c>
      <c r="P1597" s="254"/>
      <c r="Q1597" s="254"/>
      <c r="R1597" s="254"/>
      <c r="S1597" s="254"/>
      <c r="T1597" s="254"/>
      <c r="U1597" s="254"/>
      <c r="V1597" s="254"/>
      <c r="W1597" s="254"/>
      <c r="Y1597" s="246" t="str">
        <f t="shared" si="145"/>
        <v/>
      </c>
      <c r="Z1597" s="247" t="str">
        <f t="shared" si="149"/>
        <v/>
      </c>
      <c r="AA1597" s="246" t="str">
        <f t="shared" si="146"/>
        <v/>
      </c>
    </row>
    <row r="1598" spans="1:27" x14ac:dyDescent="0.25">
      <c r="A1598" s="248" t="str">
        <f t="shared" si="147"/>
        <v/>
      </c>
      <c r="B1598" s="249" t="str">
        <f t="shared" si="148"/>
        <v/>
      </c>
      <c r="C1598" s="250"/>
      <c r="D1598" s="251"/>
      <c r="E1598" s="241"/>
      <c r="F1598" s="252"/>
      <c r="G1598" s="252"/>
      <c r="H1598" s="253"/>
      <c r="I1598" s="250"/>
      <c r="J1598" s="250"/>
      <c r="K1598" s="270"/>
      <c r="L1598" s="250"/>
      <c r="M1598" s="250"/>
      <c r="N1598" s="540" t="str">
        <f>CONCATENATE(IF(OR(M1598=phu!$I$1,M1598=phu!$I$2,M1598=phu!$I$3),"Cam Thành Nam",""),IF(OR(M1598=phu!$I$4,M1598=phu!$I$5,M1598=phu!$I$6,M1598=phu!$I$7,M1598=phu!$I$8,M1598=phu!$I$9,M1598=phu!$I$10,M1598=phu!$I$11,M1598=phu!$I$12,M1598=phu!$I$13,M1598=phu!$I$14),"Cam Nghĩa",""),IF(OR(M1598=phu!$I$15,M1598=phu!$I$16,M1598=phu!$I$17,M1598=phu!$I$18,M1598=phu!$I$19,M1598=phu!$I$20,M1598=phu!$I$21),"Cam Phúc Bắc",""),IF(OR(M1598=phu!$I$22,M1598=phu!$I$23,M1598=phu!$I$24,M1598=phu!$I$25),"Cam Phúc Nam",""),IF(OR(M1598=phu!$I$26,M1598=phu!$I$27,M1598=phu!$I$28,M1598=phu!$I$29,M1598=phu!$I$30,M1598=phu!$I$31),"Cam Phú",""),IF(OR(M1598=phu!$I$32,M1598=phu!$I$33,M1598=phu!$I$34,M1598=phu!$I$35,M1598=phu!$I$36,M1598=phu!$I$37),"Cam Lộc",""),IF(OR(M1598=phu!$I$38,M1598=phu!$I$39,M1598=phu!$I$40,M1598=phu!$I$41,M1598=phu!$I$42,M1598=phu!$I$43,M1598=phu!$I$44),"Cam Thuận",""),IF(OR(M1598=phu!$I$45,M1598=phu!$I$46,M1598=phu!$I$47,M1598=phu!$I$48,M1598=phu!$I$49,M1598=phu!$I$50,M1598=phu!$I$51,M1598=phu!$I$52,M1598=phu!$I$53),"Cam Linh",""),IF(OR(M1598=phu!$I$54,M1598=phu!$I$55,M1598=phu!$I$56,M1598=phu!$I$57,M1598=phu!$I$58,M1598=phu!$I$59,M1598=phu!$I$60,M1598=phu!$I$61,M1598=phu!$I$62),"Cam Lợi",""),IF(OR(M1598=phu!$I$63,M1598=phu!$I$64,M1598=phu!$I$65,M1598=phu!$I$66,M1598=phu!$I$67,M1598=phu!$I$68,M1598=phu!$I$69,M1598=phu!$I$70,M1598=phu!$I$71),"Ba Ngòi",""),IF(OR(M1598=phu!$I$72,M1598=phu!$I$73,M1598=phu!$I$74,M1598=phu!$I$75,M1598=phu!$I$76,M1598=phu!$I$77,M1598=phu!$I$78),"Cam Phước Đông",""),IF(OR(M1598=phu!$I$79,M1598=phu!$I$80,M1598=phu!$I$81,M1598=phu!$I$82,M1598=phu!$I$83,M1598=phu!$I$84),"Cam Thịnh Đông",""),IF(OR(M1598=phu!$I$85,M1598=phu!$I$86,M1598=phu!$I$87,M1598=phu!$I$88),"Cam Thịnh Tây",""),IF(OR(M1598=phu!$I$89,M1598=phu!$I$90),"Cam Lập",""),IF(OR(M1598=phu!$I$91,M1598=phu!$I$92,M1598=phu!$I$93),"Cam Bình",""),IF(OR(M1598=phu!$I$94,M1598=phu!$I$95,M1598=phu!$I$96,M1598=phu!$I$97,M1598=phu!$I$98,M1598=phu!$I$99,M1598=phu!$I$100),"Huyện khác",""),IF(OR(M1598=phu!$I$101,M1598=phu!$I$102),"Tỉnh khác",""))</f>
        <v/>
      </c>
      <c r="O1598" s="829" t="str">
        <f t="shared" si="144"/>
        <v/>
      </c>
      <c r="P1598" s="254"/>
      <c r="Q1598" s="254"/>
      <c r="R1598" s="254"/>
      <c r="S1598" s="254"/>
      <c r="T1598" s="254"/>
      <c r="U1598" s="254"/>
      <c r="V1598" s="254"/>
      <c r="W1598" s="254"/>
      <c r="Y1598" s="246" t="str">
        <f t="shared" si="145"/>
        <v/>
      </c>
      <c r="Z1598" s="247" t="str">
        <f t="shared" si="149"/>
        <v/>
      </c>
      <c r="AA1598" s="246" t="str">
        <f t="shared" si="146"/>
        <v/>
      </c>
    </row>
    <row r="1599" spans="1:27" x14ac:dyDescent="0.25">
      <c r="A1599" s="248" t="str">
        <f t="shared" si="147"/>
        <v/>
      </c>
      <c r="B1599" s="249" t="str">
        <f t="shared" si="148"/>
        <v/>
      </c>
      <c r="C1599" s="250"/>
      <c r="D1599" s="251"/>
      <c r="E1599" s="241"/>
      <c r="F1599" s="252"/>
      <c r="G1599" s="252"/>
      <c r="H1599" s="253"/>
      <c r="I1599" s="250"/>
      <c r="J1599" s="250"/>
      <c r="K1599" s="270"/>
      <c r="L1599" s="250"/>
      <c r="M1599" s="250"/>
      <c r="N1599" s="540" t="str">
        <f>CONCATENATE(IF(OR(M1599=phu!$I$1,M1599=phu!$I$2,M1599=phu!$I$3),"Cam Thành Nam",""),IF(OR(M1599=phu!$I$4,M1599=phu!$I$5,M1599=phu!$I$6,M1599=phu!$I$7,M1599=phu!$I$8,M1599=phu!$I$9,M1599=phu!$I$10,M1599=phu!$I$11,M1599=phu!$I$12,M1599=phu!$I$13,M1599=phu!$I$14),"Cam Nghĩa",""),IF(OR(M1599=phu!$I$15,M1599=phu!$I$16,M1599=phu!$I$17,M1599=phu!$I$18,M1599=phu!$I$19,M1599=phu!$I$20,M1599=phu!$I$21),"Cam Phúc Bắc",""),IF(OR(M1599=phu!$I$22,M1599=phu!$I$23,M1599=phu!$I$24,M1599=phu!$I$25),"Cam Phúc Nam",""),IF(OR(M1599=phu!$I$26,M1599=phu!$I$27,M1599=phu!$I$28,M1599=phu!$I$29,M1599=phu!$I$30,M1599=phu!$I$31),"Cam Phú",""),IF(OR(M1599=phu!$I$32,M1599=phu!$I$33,M1599=phu!$I$34,M1599=phu!$I$35,M1599=phu!$I$36,M1599=phu!$I$37),"Cam Lộc",""),IF(OR(M1599=phu!$I$38,M1599=phu!$I$39,M1599=phu!$I$40,M1599=phu!$I$41,M1599=phu!$I$42,M1599=phu!$I$43,M1599=phu!$I$44),"Cam Thuận",""),IF(OR(M1599=phu!$I$45,M1599=phu!$I$46,M1599=phu!$I$47,M1599=phu!$I$48,M1599=phu!$I$49,M1599=phu!$I$50,M1599=phu!$I$51,M1599=phu!$I$52,M1599=phu!$I$53),"Cam Linh",""),IF(OR(M1599=phu!$I$54,M1599=phu!$I$55,M1599=phu!$I$56,M1599=phu!$I$57,M1599=phu!$I$58,M1599=phu!$I$59,M1599=phu!$I$60,M1599=phu!$I$61,M1599=phu!$I$62),"Cam Lợi",""),IF(OR(M1599=phu!$I$63,M1599=phu!$I$64,M1599=phu!$I$65,M1599=phu!$I$66,M1599=phu!$I$67,M1599=phu!$I$68,M1599=phu!$I$69,M1599=phu!$I$70,M1599=phu!$I$71),"Ba Ngòi",""),IF(OR(M1599=phu!$I$72,M1599=phu!$I$73,M1599=phu!$I$74,M1599=phu!$I$75,M1599=phu!$I$76,M1599=phu!$I$77,M1599=phu!$I$78),"Cam Phước Đông",""),IF(OR(M1599=phu!$I$79,M1599=phu!$I$80,M1599=phu!$I$81,M1599=phu!$I$82,M1599=phu!$I$83,M1599=phu!$I$84),"Cam Thịnh Đông",""),IF(OR(M1599=phu!$I$85,M1599=phu!$I$86,M1599=phu!$I$87,M1599=phu!$I$88),"Cam Thịnh Tây",""),IF(OR(M1599=phu!$I$89,M1599=phu!$I$90),"Cam Lập",""),IF(OR(M1599=phu!$I$91,M1599=phu!$I$92,M1599=phu!$I$93),"Cam Bình",""),IF(OR(M1599=phu!$I$94,M1599=phu!$I$95,M1599=phu!$I$96,M1599=phu!$I$97,M1599=phu!$I$98,M1599=phu!$I$99,M1599=phu!$I$100),"Huyện khác",""),IF(OR(M1599=phu!$I$101,M1599=phu!$I$102),"Tỉnh khác",""))</f>
        <v/>
      </c>
      <c r="O1599" s="829" t="str">
        <f t="shared" si="144"/>
        <v/>
      </c>
      <c r="P1599" s="254"/>
      <c r="Q1599" s="254"/>
      <c r="R1599" s="254"/>
      <c r="S1599" s="254"/>
      <c r="T1599" s="254"/>
      <c r="U1599" s="254"/>
      <c r="V1599" s="254"/>
      <c r="W1599" s="254"/>
      <c r="Y1599" s="246" t="str">
        <f t="shared" si="145"/>
        <v/>
      </c>
      <c r="Z1599" s="247" t="str">
        <f t="shared" si="149"/>
        <v/>
      </c>
      <c r="AA1599" s="246" t="str">
        <f t="shared" si="146"/>
        <v/>
      </c>
    </row>
    <row r="1600" spans="1:27" x14ac:dyDescent="0.25">
      <c r="A1600" s="248" t="str">
        <f t="shared" si="147"/>
        <v/>
      </c>
      <c r="B1600" s="249" t="str">
        <f t="shared" si="148"/>
        <v/>
      </c>
      <c r="C1600" s="250"/>
      <c r="D1600" s="251"/>
      <c r="E1600" s="241"/>
      <c r="F1600" s="252"/>
      <c r="G1600" s="252"/>
      <c r="H1600" s="253"/>
      <c r="I1600" s="250"/>
      <c r="J1600" s="250"/>
      <c r="K1600" s="270"/>
      <c r="L1600" s="250"/>
      <c r="M1600" s="250"/>
      <c r="N1600" s="540" t="str">
        <f>CONCATENATE(IF(OR(M1600=phu!$I$1,M1600=phu!$I$2,M1600=phu!$I$3),"Cam Thành Nam",""),IF(OR(M1600=phu!$I$4,M1600=phu!$I$5,M1600=phu!$I$6,M1600=phu!$I$7,M1600=phu!$I$8,M1600=phu!$I$9,M1600=phu!$I$10,M1600=phu!$I$11,M1600=phu!$I$12,M1600=phu!$I$13,M1600=phu!$I$14),"Cam Nghĩa",""),IF(OR(M1600=phu!$I$15,M1600=phu!$I$16,M1600=phu!$I$17,M1600=phu!$I$18,M1600=phu!$I$19,M1600=phu!$I$20,M1600=phu!$I$21),"Cam Phúc Bắc",""),IF(OR(M1600=phu!$I$22,M1600=phu!$I$23,M1600=phu!$I$24,M1600=phu!$I$25),"Cam Phúc Nam",""),IF(OR(M1600=phu!$I$26,M1600=phu!$I$27,M1600=phu!$I$28,M1600=phu!$I$29,M1600=phu!$I$30,M1600=phu!$I$31),"Cam Phú",""),IF(OR(M1600=phu!$I$32,M1600=phu!$I$33,M1600=phu!$I$34,M1600=phu!$I$35,M1600=phu!$I$36,M1600=phu!$I$37),"Cam Lộc",""),IF(OR(M1600=phu!$I$38,M1600=phu!$I$39,M1600=phu!$I$40,M1600=phu!$I$41,M1600=phu!$I$42,M1600=phu!$I$43,M1600=phu!$I$44),"Cam Thuận",""),IF(OR(M1600=phu!$I$45,M1600=phu!$I$46,M1600=phu!$I$47,M1600=phu!$I$48,M1600=phu!$I$49,M1600=phu!$I$50,M1600=phu!$I$51,M1600=phu!$I$52,M1600=phu!$I$53),"Cam Linh",""),IF(OR(M1600=phu!$I$54,M1600=phu!$I$55,M1600=phu!$I$56,M1600=phu!$I$57,M1600=phu!$I$58,M1600=phu!$I$59,M1600=phu!$I$60,M1600=phu!$I$61,M1600=phu!$I$62),"Cam Lợi",""),IF(OR(M1600=phu!$I$63,M1600=phu!$I$64,M1600=phu!$I$65,M1600=phu!$I$66,M1600=phu!$I$67,M1600=phu!$I$68,M1600=phu!$I$69,M1600=phu!$I$70,M1600=phu!$I$71),"Ba Ngòi",""),IF(OR(M1600=phu!$I$72,M1600=phu!$I$73,M1600=phu!$I$74,M1600=phu!$I$75,M1600=phu!$I$76,M1600=phu!$I$77,M1600=phu!$I$78),"Cam Phước Đông",""),IF(OR(M1600=phu!$I$79,M1600=phu!$I$80,M1600=phu!$I$81,M1600=phu!$I$82,M1600=phu!$I$83,M1600=phu!$I$84),"Cam Thịnh Đông",""),IF(OR(M1600=phu!$I$85,M1600=phu!$I$86,M1600=phu!$I$87,M1600=phu!$I$88),"Cam Thịnh Tây",""),IF(OR(M1600=phu!$I$89,M1600=phu!$I$90),"Cam Lập",""),IF(OR(M1600=phu!$I$91,M1600=phu!$I$92,M1600=phu!$I$93),"Cam Bình",""),IF(OR(M1600=phu!$I$94,M1600=phu!$I$95,M1600=phu!$I$96,M1600=phu!$I$97,M1600=phu!$I$98,M1600=phu!$I$99,M1600=phu!$I$100),"Huyện khác",""),IF(OR(M1600=phu!$I$101,M1600=phu!$I$102),"Tỉnh khác",""))</f>
        <v/>
      </c>
      <c r="O1600" s="829" t="str">
        <f t="shared" si="144"/>
        <v/>
      </c>
      <c r="P1600" s="254"/>
      <c r="Q1600" s="254"/>
      <c r="R1600" s="254"/>
      <c r="S1600" s="254"/>
      <c r="T1600" s="254"/>
      <c r="U1600" s="254"/>
      <c r="V1600" s="254"/>
      <c r="W1600" s="254"/>
      <c r="Y1600" s="246" t="str">
        <f t="shared" si="145"/>
        <v/>
      </c>
      <c r="Z1600" s="247" t="str">
        <f t="shared" si="149"/>
        <v/>
      </c>
      <c r="AA1600" s="246" t="str">
        <f t="shared" si="146"/>
        <v/>
      </c>
    </row>
    <row r="1601" spans="1:27" x14ac:dyDescent="0.25">
      <c r="A1601" s="248" t="str">
        <f t="shared" si="147"/>
        <v/>
      </c>
      <c r="B1601" s="249" t="str">
        <f t="shared" si="148"/>
        <v/>
      </c>
      <c r="C1601" s="250"/>
      <c r="D1601" s="251"/>
      <c r="E1601" s="241"/>
      <c r="F1601" s="252"/>
      <c r="G1601" s="252"/>
      <c r="H1601" s="253"/>
      <c r="I1601" s="250"/>
      <c r="J1601" s="250"/>
      <c r="K1601" s="270"/>
      <c r="L1601" s="250"/>
      <c r="M1601" s="250"/>
      <c r="N1601" s="540" t="str">
        <f>CONCATENATE(IF(OR(M1601=phu!$I$1,M1601=phu!$I$2,M1601=phu!$I$3),"Cam Thành Nam",""),IF(OR(M1601=phu!$I$4,M1601=phu!$I$5,M1601=phu!$I$6,M1601=phu!$I$7,M1601=phu!$I$8,M1601=phu!$I$9,M1601=phu!$I$10,M1601=phu!$I$11,M1601=phu!$I$12,M1601=phu!$I$13,M1601=phu!$I$14),"Cam Nghĩa",""),IF(OR(M1601=phu!$I$15,M1601=phu!$I$16,M1601=phu!$I$17,M1601=phu!$I$18,M1601=phu!$I$19,M1601=phu!$I$20,M1601=phu!$I$21),"Cam Phúc Bắc",""),IF(OR(M1601=phu!$I$22,M1601=phu!$I$23,M1601=phu!$I$24,M1601=phu!$I$25),"Cam Phúc Nam",""),IF(OR(M1601=phu!$I$26,M1601=phu!$I$27,M1601=phu!$I$28,M1601=phu!$I$29,M1601=phu!$I$30,M1601=phu!$I$31),"Cam Phú",""),IF(OR(M1601=phu!$I$32,M1601=phu!$I$33,M1601=phu!$I$34,M1601=phu!$I$35,M1601=phu!$I$36,M1601=phu!$I$37),"Cam Lộc",""),IF(OR(M1601=phu!$I$38,M1601=phu!$I$39,M1601=phu!$I$40,M1601=phu!$I$41,M1601=phu!$I$42,M1601=phu!$I$43,M1601=phu!$I$44),"Cam Thuận",""),IF(OR(M1601=phu!$I$45,M1601=phu!$I$46,M1601=phu!$I$47,M1601=phu!$I$48,M1601=phu!$I$49,M1601=phu!$I$50,M1601=phu!$I$51,M1601=phu!$I$52,M1601=phu!$I$53),"Cam Linh",""),IF(OR(M1601=phu!$I$54,M1601=phu!$I$55,M1601=phu!$I$56,M1601=phu!$I$57,M1601=phu!$I$58,M1601=phu!$I$59,M1601=phu!$I$60,M1601=phu!$I$61,M1601=phu!$I$62),"Cam Lợi",""),IF(OR(M1601=phu!$I$63,M1601=phu!$I$64,M1601=phu!$I$65,M1601=phu!$I$66,M1601=phu!$I$67,M1601=phu!$I$68,M1601=phu!$I$69,M1601=phu!$I$70,M1601=phu!$I$71),"Ba Ngòi",""),IF(OR(M1601=phu!$I$72,M1601=phu!$I$73,M1601=phu!$I$74,M1601=phu!$I$75,M1601=phu!$I$76,M1601=phu!$I$77,M1601=phu!$I$78),"Cam Phước Đông",""),IF(OR(M1601=phu!$I$79,M1601=phu!$I$80,M1601=phu!$I$81,M1601=phu!$I$82,M1601=phu!$I$83,M1601=phu!$I$84),"Cam Thịnh Đông",""),IF(OR(M1601=phu!$I$85,M1601=phu!$I$86,M1601=phu!$I$87,M1601=phu!$I$88),"Cam Thịnh Tây",""),IF(OR(M1601=phu!$I$89,M1601=phu!$I$90),"Cam Lập",""),IF(OR(M1601=phu!$I$91,M1601=phu!$I$92,M1601=phu!$I$93),"Cam Bình",""),IF(OR(M1601=phu!$I$94,M1601=phu!$I$95,M1601=phu!$I$96,M1601=phu!$I$97,M1601=phu!$I$98,M1601=phu!$I$99,M1601=phu!$I$100),"Huyện khác",""),IF(OR(M1601=phu!$I$101,M1601=phu!$I$102),"Tỉnh khác",""))</f>
        <v/>
      </c>
      <c r="O1601" s="829" t="str">
        <f t="shared" si="144"/>
        <v/>
      </c>
      <c r="P1601" s="254"/>
      <c r="Q1601" s="254"/>
      <c r="R1601" s="254"/>
      <c r="S1601" s="254"/>
      <c r="T1601" s="254"/>
      <c r="U1601" s="254"/>
      <c r="V1601" s="254"/>
      <c r="W1601" s="254"/>
      <c r="Y1601" s="246" t="str">
        <f t="shared" si="145"/>
        <v/>
      </c>
      <c r="Z1601" s="247" t="str">
        <f t="shared" si="149"/>
        <v/>
      </c>
      <c r="AA1601" s="246" t="str">
        <f t="shared" si="146"/>
        <v/>
      </c>
    </row>
    <row r="1602" spans="1:27" x14ac:dyDescent="0.25">
      <c r="A1602" s="248" t="str">
        <f t="shared" si="147"/>
        <v/>
      </c>
      <c r="B1602" s="249" t="str">
        <f t="shared" si="148"/>
        <v/>
      </c>
      <c r="C1602" s="250"/>
      <c r="D1602" s="251"/>
      <c r="E1602" s="241"/>
      <c r="F1602" s="252"/>
      <c r="G1602" s="252"/>
      <c r="H1602" s="253"/>
      <c r="I1602" s="250"/>
      <c r="J1602" s="250"/>
      <c r="K1602" s="270"/>
      <c r="L1602" s="250"/>
      <c r="M1602" s="250"/>
      <c r="N1602" s="540" t="str">
        <f>CONCATENATE(IF(OR(M1602=phu!$I$1,M1602=phu!$I$2,M1602=phu!$I$3),"Cam Thành Nam",""),IF(OR(M1602=phu!$I$4,M1602=phu!$I$5,M1602=phu!$I$6,M1602=phu!$I$7,M1602=phu!$I$8,M1602=phu!$I$9,M1602=phu!$I$10,M1602=phu!$I$11,M1602=phu!$I$12,M1602=phu!$I$13,M1602=phu!$I$14),"Cam Nghĩa",""),IF(OR(M1602=phu!$I$15,M1602=phu!$I$16,M1602=phu!$I$17,M1602=phu!$I$18,M1602=phu!$I$19,M1602=phu!$I$20,M1602=phu!$I$21),"Cam Phúc Bắc",""),IF(OR(M1602=phu!$I$22,M1602=phu!$I$23,M1602=phu!$I$24,M1602=phu!$I$25),"Cam Phúc Nam",""),IF(OR(M1602=phu!$I$26,M1602=phu!$I$27,M1602=phu!$I$28,M1602=phu!$I$29,M1602=phu!$I$30,M1602=phu!$I$31),"Cam Phú",""),IF(OR(M1602=phu!$I$32,M1602=phu!$I$33,M1602=phu!$I$34,M1602=phu!$I$35,M1602=phu!$I$36,M1602=phu!$I$37),"Cam Lộc",""),IF(OR(M1602=phu!$I$38,M1602=phu!$I$39,M1602=phu!$I$40,M1602=phu!$I$41,M1602=phu!$I$42,M1602=phu!$I$43,M1602=phu!$I$44),"Cam Thuận",""),IF(OR(M1602=phu!$I$45,M1602=phu!$I$46,M1602=phu!$I$47,M1602=phu!$I$48,M1602=phu!$I$49,M1602=phu!$I$50,M1602=phu!$I$51,M1602=phu!$I$52,M1602=phu!$I$53),"Cam Linh",""),IF(OR(M1602=phu!$I$54,M1602=phu!$I$55,M1602=phu!$I$56,M1602=phu!$I$57,M1602=phu!$I$58,M1602=phu!$I$59,M1602=phu!$I$60,M1602=phu!$I$61,M1602=phu!$I$62),"Cam Lợi",""),IF(OR(M1602=phu!$I$63,M1602=phu!$I$64,M1602=phu!$I$65,M1602=phu!$I$66,M1602=phu!$I$67,M1602=phu!$I$68,M1602=phu!$I$69,M1602=phu!$I$70,M1602=phu!$I$71),"Ba Ngòi",""),IF(OR(M1602=phu!$I$72,M1602=phu!$I$73,M1602=phu!$I$74,M1602=phu!$I$75,M1602=phu!$I$76,M1602=phu!$I$77,M1602=phu!$I$78),"Cam Phước Đông",""),IF(OR(M1602=phu!$I$79,M1602=phu!$I$80,M1602=phu!$I$81,M1602=phu!$I$82,M1602=phu!$I$83,M1602=phu!$I$84),"Cam Thịnh Đông",""),IF(OR(M1602=phu!$I$85,M1602=phu!$I$86,M1602=phu!$I$87,M1602=phu!$I$88),"Cam Thịnh Tây",""),IF(OR(M1602=phu!$I$89,M1602=phu!$I$90),"Cam Lập",""),IF(OR(M1602=phu!$I$91,M1602=phu!$I$92,M1602=phu!$I$93),"Cam Bình",""),IF(OR(M1602=phu!$I$94,M1602=phu!$I$95,M1602=phu!$I$96,M1602=phu!$I$97,M1602=phu!$I$98,M1602=phu!$I$99,M1602=phu!$I$100),"Huyện khác",""),IF(OR(M1602=phu!$I$101,M1602=phu!$I$102),"Tỉnh khác",""))</f>
        <v/>
      </c>
      <c r="O1602" s="829" t="str">
        <f t="shared" si="144"/>
        <v/>
      </c>
      <c r="P1602" s="254"/>
      <c r="Q1602" s="254"/>
      <c r="R1602" s="254"/>
      <c r="S1602" s="254"/>
      <c r="T1602" s="254"/>
      <c r="U1602" s="254"/>
      <c r="V1602" s="254"/>
      <c r="W1602" s="254"/>
      <c r="Y1602" s="246" t="str">
        <f t="shared" si="145"/>
        <v/>
      </c>
      <c r="Z1602" s="247" t="str">
        <f t="shared" si="149"/>
        <v/>
      </c>
      <c r="AA1602" s="246" t="str">
        <f t="shared" si="146"/>
        <v/>
      </c>
    </row>
    <row r="1603" spans="1:27" x14ac:dyDescent="0.25">
      <c r="A1603" s="248" t="str">
        <f t="shared" si="147"/>
        <v/>
      </c>
      <c r="B1603" s="249" t="str">
        <f t="shared" si="148"/>
        <v/>
      </c>
      <c r="C1603" s="250"/>
      <c r="D1603" s="251"/>
      <c r="E1603" s="241"/>
      <c r="F1603" s="252"/>
      <c r="G1603" s="252"/>
      <c r="H1603" s="253"/>
      <c r="I1603" s="250"/>
      <c r="J1603" s="250"/>
      <c r="K1603" s="270"/>
      <c r="L1603" s="250"/>
      <c r="M1603" s="250"/>
      <c r="N1603" s="540" t="str">
        <f>CONCATENATE(IF(OR(M1603=phu!$I$1,M1603=phu!$I$2,M1603=phu!$I$3),"Cam Thành Nam",""),IF(OR(M1603=phu!$I$4,M1603=phu!$I$5,M1603=phu!$I$6,M1603=phu!$I$7,M1603=phu!$I$8,M1603=phu!$I$9,M1603=phu!$I$10,M1603=phu!$I$11,M1603=phu!$I$12,M1603=phu!$I$13,M1603=phu!$I$14),"Cam Nghĩa",""),IF(OR(M1603=phu!$I$15,M1603=phu!$I$16,M1603=phu!$I$17,M1603=phu!$I$18,M1603=phu!$I$19,M1603=phu!$I$20,M1603=phu!$I$21),"Cam Phúc Bắc",""),IF(OR(M1603=phu!$I$22,M1603=phu!$I$23,M1603=phu!$I$24,M1603=phu!$I$25),"Cam Phúc Nam",""),IF(OR(M1603=phu!$I$26,M1603=phu!$I$27,M1603=phu!$I$28,M1603=phu!$I$29,M1603=phu!$I$30,M1603=phu!$I$31),"Cam Phú",""),IF(OR(M1603=phu!$I$32,M1603=phu!$I$33,M1603=phu!$I$34,M1603=phu!$I$35,M1603=phu!$I$36,M1603=phu!$I$37),"Cam Lộc",""),IF(OR(M1603=phu!$I$38,M1603=phu!$I$39,M1603=phu!$I$40,M1603=phu!$I$41,M1603=phu!$I$42,M1603=phu!$I$43,M1603=phu!$I$44),"Cam Thuận",""),IF(OR(M1603=phu!$I$45,M1603=phu!$I$46,M1603=phu!$I$47,M1603=phu!$I$48,M1603=phu!$I$49,M1603=phu!$I$50,M1603=phu!$I$51,M1603=phu!$I$52,M1603=phu!$I$53),"Cam Linh",""),IF(OR(M1603=phu!$I$54,M1603=phu!$I$55,M1603=phu!$I$56,M1603=phu!$I$57,M1603=phu!$I$58,M1603=phu!$I$59,M1603=phu!$I$60,M1603=phu!$I$61,M1603=phu!$I$62),"Cam Lợi",""),IF(OR(M1603=phu!$I$63,M1603=phu!$I$64,M1603=phu!$I$65,M1603=phu!$I$66,M1603=phu!$I$67,M1603=phu!$I$68,M1603=phu!$I$69,M1603=phu!$I$70,M1603=phu!$I$71),"Ba Ngòi",""),IF(OR(M1603=phu!$I$72,M1603=phu!$I$73,M1603=phu!$I$74,M1603=phu!$I$75,M1603=phu!$I$76,M1603=phu!$I$77,M1603=phu!$I$78),"Cam Phước Đông",""),IF(OR(M1603=phu!$I$79,M1603=phu!$I$80,M1603=phu!$I$81,M1603=phu!$I$82,M1603=phu!$I$83,M1603=phu!$I$84),"Cam Thịnh Đông",""),IF(OR(M1603=phu!$I$85,M1603=phu!$I$86,M1603=phu!$I$87,M1603=phu!$I$88),"Cam Thịnh Tây",""),IF(OR(M1603=phu!$I$89,M1603=phu!$I$90),"Cam Lập",""),IF(OR(M1603=phu!$I$91,M1603=phu!$I$92,M1603=phu!$I$93),"Cam Bình",""),IF(OR(M1603=phu!$I$94,M1603=phu!$I$95,M1603=phu!$I$96,M1603=phu!$I$97,M1603=phu!$I$98,M1603=phu!$I$99,M1603=phu!$I$100),"Huyện khác",""),IF(OR(M1603=phu!$I$101,M1603=phu!$I$102),"Tỉnh khác",""))</f>
        <v/>
      </c>
      <c r="O1603" s="829" t="str">
        <f t="shared" si="144"/>
        <v/>
      </c>
      <c r="P1603" s="254"/>
      <c r="Q1603" s="254"/>
      <c r="R1603" s="254"/>
      <c r="S1603" s="254"/>
      <c r="T1603" s="254"/>
      <c r="U1603" s="254"/>
      <c r="V1603" s="254"/>
      <c r="W1603" s="254"/>
      <c r="Y1603" s="246" t="str">
        <f t="shared" si="145"/>
        <v/>
      </c>
      <c r="Z1603" s="247" t="str">
        <f t="shared" si="149"/>
        <v/>
      </c>
      <c r="AA1603" s="246" t="str">
        <f t="shared" si="146"/>
        <v/>
      </c>
    </row>
    <row r="1604" spans="1:27" x14ac:dyDescent="0.25">
      <c r="A1604" s="248" t="str">
        <f t="shared" si="147"/>
        <v/>
      </c>
      <c r="B1604" s="249" t="str">
        <f t="shared" si="148"/>
        <v/>
      </c>
      <c r="C1604" s="250"/>
      <c r="D1604" s="251"/>
      <c r="E1604" s="241"/>
      <c r="F1604" s="252"/>
      <c r="G1604" s="252"/>
      <c r="H1604" s="253"/>
      <c r="I1604" s="250"/>
      <c r="J1604" s="250"/>
      <c r="K1604" s="270"/>
      <c r="L1604" s="250"/>
      <c r="M1604" s="250"/>
      <c r="N1604" s="540" t="str">
        <f>CONCATENATE(IF(OR(M1604=phu!$I$1,M1604=phu!$I$2,M1604=phu!$I$3),"Cam Thành Nam",""),IF(OR(M1604=phu!$I$4,M1604=phu!$I$5,M1604=phu!$I$6,M1604=phu!$I$7,M1604=phu!$I$8,M1604=phu!$I$9,M1604=phu!$I$10,M1604=phu!$I$11,M1604=phu!$I$12,M1604=phu!$I$13,M1604=phu!$I$14),"Cam Nghĩa",""),IF(OR(M1604=phu!$I$15,M1604=phu!$I$16,M1604=phu!$I$17,M1604=phu!$I$18,M1604=phu!$I$19,M1604=phu!$I$20,M1604=phu!$I$21),"Cam Phúc Bắc",""),IF(OR(M1604=phu!$I$22,M1604=phu!$I$23,M1604=phu!$I$24,M1604=phu!$I$25),"Cam Phúc Nam",""),IF(OR(M1604=phu!$I$26,M1604=phu!$I$27,M1604=phu!$I$28,M1604=phu!$I$29,M1604=phu!$I$30,M1604=phu!$I$31),"Cam Phú",""),IF(OR(M1604=phu!$I$32,M1604=phu!$I$33,M1604=phu!$I$34,M1604=phu!$I$35,M1604=phu!$I$36,M1604=phu!$I$37),"Cam Lộc",""),IF(OR(M1604=phu!$I$38,M1604=phu!$I$39,M1604=phu!$I$40,M1604=phu!$I$41,M1604=phu!$I$42,M1604=phu!$I$43,M1604=phu!$I$44),"Cam Thuận",""),IF(OR(M1604=phu!$I$45,M1604=phu!$I$46,M1604=phu!$I$47,M1604=phu!$I$48,M1604=phu!$I$49,M1604=phu!$I$50,M1604=phu!$I$51,M1604=phu!$I$52,M1604=phu!$I$53),"Cam Linh",""),IF(OR(M1604=phu!$I$54,M1604=phu!$I$55,M1604=phu!$I$56,M1604=phu!$I$57,M1604=phu!$I$58,M1604=phu!$I$59,M1604=phu!$I$60,M1604=phu!$I$61,M1604=phu!$I$62),"Cam Lợi",""),IF(OR(M1604=phu!$I$63,M1604=phu!$I$64,M1604=phu!$I$65,M1604=phu!$I$66,M1604=phu!$I$67,M1604=phu!$I$68,M1604=phu!$I$69,M1604=phu!$I$70,M1604=phu!$I$71),"Ba Ngòi",""),IF(OR(M1604=phu!$I$72,M1604=phu!$I$73,M1604=phu!$I$74,M1604=phu!$I$75,M1604=phu!$I$76,M1604=phu!$I$77,M1604=phu!$I$78),"Cam Phước Đông",""),IF(OR(M1604=phu!$I$79,M1604=phu!$I$80,M1604=phu!$I$81,M1604=phu!$I$82,M1604=phu!$I$83,M1604=phu!$I$84),"Cam Thịnh Đông",""),IF(OR(M1604=phu!$I$85,M1604=phu!$I$86,M1604=phu!$I$87,M1604=phu!$I$88),"Cam Thịnh Tây",""),IF(OR(M1604=phu!$I$89,M1604=phu!$I$90),"Cam Lập",""),IF(OR(M1604=phu!$I$91,M1604=phu!$I$92,M1604=phu!$I$93),"Cam Bình",""),IF(OR(M1604=phu!$I$94,M1604=phu!$I$95,M1604=phu!$I$96,M1604=phu!$I$97,M1604=phu!$I$98,M1604=phu!$I$99,M1604=phu!$I$100),"Huyện khác",""),IF(OR(M1604=phu!$I$101,M1604=phu!$I$102),"Tỉnh khác",""))</f>
        <v/>
      </c>
      <c r="O1604" s="829" t="str">
        <f t="shared" si="144"/>
        <v/>
      </c>
      <c r="P1604" s="254"/>
      <c r="Q1604" s="254"/>
      <c r="R1604" s="254"/>
      <c r="S1604" s="254"/>
      <c r="T1604" s="254"/>
      <c r="U1604" s="254"/>
      <c r="V1604" s="254"/>
      <c r="W1604" s="254"/>
      <c r="Y1604" s="246" t="str">
        <f t="shared" si="145"/>
        <v/>
      </c>
      <c r="Z1604" s="247" t="str">
        <f t="shared" si="149"/>
        <v/>
      </c>
      <c r="AA1604" s="246" t="str">
        <f t="shared" si="146"/>
        <v/>
      </c>
    </row>
    <row r="1605" spans="1:27" x14ac:dyDescent="0.25">
      <c r="A1605" s="257" t="str">
        <f>IF(OR(A1604="",B1605="",C1605="",D1605="",E1605=""),"",A1604+1)</f>
        <v/>
      </c>
      <c r="B1605" s="258" t="str">
        <f t="shared" si="148"/>
        <v/>
      </c>
      <c r="C1605" s="259"/>
      <c r="D1605" s="260"/>
      <c r="E1605" s="261"/>
      <c r="F1605" s="262"/>
      <c r="G1605" s="262"/>
      <c r="H1605" s="263"/>
      <c r="I1605" s="259"/>
      <c r="J1605" s="259"/>
      <c r="K1605" s="271"/>
      <c r="L1605" s="259"/>
      <c r="M1605" s="259"/>
      <c r="N1605" s="541" t="str">
        <f>CONCATENATE(IF(OR(M1605=phu!$I$1,M1605=phu!$I$2,M1605=phu!$I$3),"Cam Thành Nam",""),IF(OR(M1605=phu!$I$4,M1605=phu!$I$5,M1605=phu!$I$6,M1605=phu!$I$7,M1605=phu!$I$8,M1605=phu!$I$9,M1605=phu!$I$10,M1605=phu!$I$11,M1605=phu!$I$12,M1605=phu!$I$13,M1605=phu!$I$14),"Cam Nghĩa",""),IF(OR(M1605=phu!$I$15,M1605=phu!$I$16,M1605=phu!$I$17,M1605=phu!$I$18,M1605=phu!$I$19,M1605=phu!$I$20,M1605=phu!$I$21),"Cam Phúc Bắc",""),IF(OR(M1605=phu!$I$22,M1605=phu!$I$23,M1605=phu!$I$24,M1605=phu!$I$25),"Cam Phúc Nam",""),IF(OR(M1605=phu!$I$26,M1605=phu!$I$27,M1605=phu!$I$28,M1605=phu!$I$29,M1605=phu!$I$30,M1605=phu!$I$31),"Cam Phú",""),IF(OR(M1605=phu!$I$32,M1605=phu!$I$33,M1605=phu!$I$34,M1605=phu!$I$35,M1605=phu!$I$36,M1605=phu!$I$37),"Cam Lộc",""),IF(OR(M1605=phu!$I$38,M1605=phu!$I$39,M1605=phu!$I$40,M1605=phu!$I$41,M1605=phu!$I$42,M1605=phu!$I$43,M1605=phu!$I$44),"Cam Thuận",""),IF(OR(M1605=phu!$I$45,M1605=phu!$I$46,M1605=phu!$I$47,M1605=phu!$I$48,M1605=phu!$I$49,M1605=phu!$I$50,M1605=phu!$I$51,M1605=phu!$I$52,M1605=phu!$I$53),"Cam Linh",""),IF(OR(M1605=phu!$I$54,M1605=phu!$I$55,M1605=phu!$I$56,M1605=phu!$I$57,M1605=phu!$I$58,M1605=phu!$I$59,M1605=phu!$I$60,M1605=phu!$I$61,M1605=phu!$I$62),"Cam Lợi",""),IF(OR(M1605=phu!$I$63,M1605=phu!$I$64,M1605=phu!$I$65,M1605=phu!$I$66,M1605=phu!$I$67,M1605=phu!$I$68,M1605=phu!$I$69,M1605=phu!$I$70,M1605=phu!$I$71),"Ba Ngòi",""),IF(OR(M1605=phu!$I$72,M1605=phu!$I$73,M1605=phu!$I$74,M1605=phu!$I$75,M1605=phu!$I$76,M1605=phu!$I$77,M1605=phu!$I$78),"Cam Phước Đông",""),IF(OR(M1605=phu!$I$79,M1605=phu!$I$80,M1605=phu!$I$81,M1605=phu!$I$82,M1605=phu!$I$83,M1605=phu!$I$84),"Cam Thịnh Đông",""),IF(OR(M1605=phu!$I$85,M1605=phu!$I$86,M1605=phu!$I$87,M1605=phu!$I$88),"Cam Thịnh Tây",""),IF(OR(M1605=phu!$I$89,M1605=phu!$I$90),"Cam Lập",""),IF(OR(M1605=phu!$I$91,M1605=phu!$I$92,M1605=phu!$I$93),"Cam Bình",""),IF(OR(M1605=phu!$I$94,M1605=phu!$I$95,M1605=phu!$I$96,M1605=phu!$I$97,M1605=phu!$I$98,M1605=phu!$I$99,M1605=phu!$I$100),"Huyện khác",""),IF(OR(M1605=phu!$I$101,M1605=phu!$I$102),"Tỉnh khác",""))</f>
        <v/>
      </c>
      <c r="O1605" s="830" t="str">
        <f t="shared" si="144"/>
        <v/>
      </c>
      <c r="P1605" s="264"/>
      <c r="Q1605" s="264"/>
      <c r="R1605" s="264"/>
      <c r="S1605" s="264"/>
      <c r="T1605" s="264"/>
      <c r="U1605" s="264"/>
      <c r="V1605" s="264"/>
      <c r="W1605" s="264"/>
      <c r="Y1605" s="246" t="str">
        <f t="shared" si="145"/>
        <v/>
      </c>
      <c r="Z1605" s="247" t="str">
        <f t="shared" si="149"/>
        <v/>
      </c>
      <c r="AA1605" s="246" t="str">
        <f t="shared" si="146"/>
        <v/>
      </c>
    </row>
    <row r="1606" spans="1:27" x14ac:dyDescent="0.25">
      <c r="M1606" s="544"/>
      <c r="N1606" s="268"/>
      <c r="O1606" s="268"/>
      <c r="P1606" s="268"/>
      <c r="Q1606" s="268"/>
      <c r="R1606" s="268"/>
      <c r="S1606" s="268"/>
      <c r="T1606" s="268"/>
    </row>
    <row r="1607" spans="1:27" x14ac:dyDescent="0.25">
      <c r="M1607" s="544"/>
      <c r="N1607" s="268"/>
      <c r="O1607" s="268"/>
      <c r="P1607" s="268"/>
      <c r="Q1607" s="268"/>
      <c r="R1607" s="268"/>
      <c r="S1607" s="268"/>
      <c r="T1607" s="268"/>
    </row>
    <row r="1608" spans="1:27" x14ac:dyDescent="0.25">
      <c r="M1608" s="544"/>
      <c r="N1608" s="268"/>
      <c r="O1608" s="268"/>
      <c r="P1608" s="268"/>
      <c r="Q1608" s="268"/>
      <c r="R1608" s="268"/>
      <c r="S1608" s="268"/>
      <c r="T1608" s="268"/>
    </row>
    <row r="1609" spans="1:27" x14ac:dyDescent="0.25">
      <c r="M1609" s="544"/>
      <c r="N1609" s="268"/>
      <c r="O1609" s="268"/>
      <c r="P1609" s="268"/>
      <c r="Q1609" s="268"/>
      <c r="R1609" s="268"/>
      <c r="S1609" s="268"/>
      <c r="T1609" s="268"/>
    </row>
    <row r="1610" spans="1:27" x14ac:dyDescent="0.25">
      <c r="M1610" s="544"/>
      <c r="N1610" s="268"/>
      <c r="O1610" s="268"/>
      <c r="P1610" s="268"/>
      <c r="Q1610" s="268"/>
      <c r="R1610" s="268"/>
      <c r="S1610" s="268"/>
      <c r="T1610" s="268"/>
    </row>
    <row r="1611" spans="1:27" x14ac:dyDescent="0.25">
      <c r="M1611" s="544"/>
      <c r="N1611" s="268"/>
      <c r="O1611" s="268"/>
      <c r="P1611" s="268"/>
      <c r="Q1611" s="268"/>
      <c r="R1611" s="268"/>
      <c r="S1611" s="268"/>
      <c r="T1611" s="268"/>
    </row>
    <row r="1612" spans="1:27" x14ac:dyDescent="0.25">
      <c r="M1612" s="544"/>
      <c r="N1612" s="268"/>
      <c r="O1612" s="268"/>
      <c r="P1612" s="268"/>
      <c r="Q1612" s="268"/>
      <c r="R1612" s="268"/>
      <c r="S1612" s="268"/>
      <c r="T1612" s="268"/>
    </row>
    <row r="1613" spans="1:27" x14ac:dyDescent="0.25">
      <c r="M1613" s="544"/>
      <c r="N1613" s="268"/>
      <c r="O1613" s="268"/>
      <c r="P1613" s="268"/>
      <c r="Q1613" s="268"/>
      <c r="R1613" s="268"/>
      <c r="S1613" s="268"/>
      <c r="T1613" s="268"/>
    </row>
    <row r="1614" spans="1:27" x14ac:dyDescent="0.25">
      <c r="M1614" s="544"/>
      <c r="N1614" s="268"/>
      <c r="O1614" s="268"/>
      <c r="P1614" s="268"/>
      <c r="Q1614" s="268"/>
      <c r="R1614" s="268"/>
      <c r="S1614" s="268"/>
      <c r="T1614" s="268"/>
    </row>
    <row r="1615" spans="1:27" x14ac:dyDescent="0.25">
      <c r="M1615" s="544"/>
      <c r="N1615" s="268"/>
      <c r="O1615" s="268"/>
      <c r="P1615" s="268"/>
      <c r="Q1615" s="268"/>
      <c r="R1615" s="268"/>
      <c r="S1615" s="268"/>
      <c r="T1615" s="268"/>
    </row>
    <row r="1616" spans="1:27" x14ac:dyDescent="0.25">
      <c r="M1616" s="544"/>
      <c r="N1616" s="268"/>
      <c r="O1616" s="268"/>
      <c r="P1616" s="268"/>
      <c r="Q1616" s="268"/>
      <c r="R1616" s="268"/>
      <c r="S1616" s="268"/>
      <c r="T1616" s="268"/>
    </row>
    <row r="1617" spans="13:20" x14ac:dyDescent="0.25">
      <c r="M1617" s="544"/>
      <c r="N1617" s="268"/>
      <c r="O1617" s="268"/>
      <c r="P1617" s="268"/>
      <c r="Q1617" s="268"/>
      <c r="R1617" s="268"/>
      <c r="S1617" s="268"/>
      <c r="T1617" s="268"/>
    </row>
    <row r="1618" spans="13:20" x14ac:dyDescent="0.25">
      <c r="M1618" s="544"/>
      <c r="N1618" s="268"/>
      <c r="O1618" s="268"/>
      <c r="P1618" s="268"/>
      <c r="Q1618" s="268"/>
      <c r="R1618" s="268"/>
      <c r="S1618" s="268"/>
      <c r="T1618" s="268"/>
    </row>
    <row r="1619" spans="13:20" x14ac:dyDescent="0.25">
      <c r="M1619" s="544"/>
      <c r="N1619" s="268"/>
      <c r="O1619" s="268"/>
      <c r="P1619" s="268"/>
      <c r="Q1619" s="268"/>
      <c r="R1619" s="268"/>
      <c r="S1619" s="268"/>
      <c r="T1619" s="268"/>
    </row>
    <row r="1620" spans="13:20" x14ac:dyDescent="0.25">
      <c r="M1620" s="544"/>
      <c r="N1620" s="268"/>
      <c r="O1620" s="268"/>
      <c r="P1620" s="268"/>
      <c r="Q1620" s="268"/>
      <c r="R1620" s="268"/>
      <c r="S1620" s="268"/>
      <c r="T1620" s="268"/>
    </row>
    <row r="1621" spans="13:20" x14ac:dyDescent="0.25">
      <c r="M1621" s="544"/>
      <c r="N1621" s="268"/>
      <c r="O1621" s="268"/>
      <c r="P1621" s="268"/>
      <c r="Q1621" s="268"/>
      <c r="R1621" s="268"/>
      <c r="S1621" s="268"/>
      <c r="T1621" s="268"/>
    </row>
    <row r="1622" spans="13:20" x14ac:dyDescent="0.25">
      <c r="M1622" s="544"/>
      <c r="N1622" s="268"/>
      <c r="O1622" s="268"/>
      <c r="P1622" s="268"/>
      <c r="Q1622" s="268"/>
      <c r="R1622" s="268"/>
      <c r="S1622" s="268"/>
      <c r="T1622" s="268"/>
    </row>
    <row r="1623" spans="13:20" x14ac:dyDescent="0.25">
      <c r="M1623" s="544"/>
      <c r="N1623" s="268"/>
      <c r="O1623" s="268"/>
      <c r="P1623" s="268"/>
      <c r="Q1623" s="268"/>
      <c r="R1623" s="268"/>
      <c r="S1623" s="268"/>
      <c r="T1623" s="268"/>
    </row>
    <row r="1624" spans="13:20" x14ac:dyDescent="0.25">
      <c r="M1624" s="544"/>
      <c r="N1624" s="268"/>
      <c r="O1624" s="268"/>
      <c r="P1624" s="268"/>
      <c r="Q1624" s="268"/>
      <c r="R1624" s="268"/>
      <c r="S1624" s="268"/>
      <c r="T1624" s="268"/>
    </row>
    <row r="1625" spans="13:20" x14ac:dyDescent="0.25">
      <c r="M1625" s="544"/>
      <c r="N1625" s="268"/>
      <c r="O1625" s="268"/>
      <c r="P1625" s="268"/>
      <c r="Q1625" s="268"/>
      <c r="R1625" s="268"/>
      <c r="S1625" s="268"/>
      <c r="T1625" s="268"/>
    </row>
    <row r="1626" spans="13:20" x14ac:dyDescent="0.25">
      <c r="M1626" s="544"/>
      <c r="N1626" s="268"/>
      <c r="O1626" s="268"/>
      <c r="P1626" s="268"/>
      <c r="Q1626" s="268"/>
      <c r="R1626" s="268"/>
      <c r="S1626" s="268"/>
      <c r="T1626" s="268"/>
    </row>
    <row r="1627" spans="13:20" x14ac:dyDescent="0.25">
      <c r="M1627" s="544"/>
      <c r="N1627" s="268"/>
      <c r="O1627" s="268"/>
      <c r="P1627" s="268"/>
      <c r="Q1627" s="268"/>
      <c r="R1627" s="268"/>
      <c r="S1627" s="268"/>
      <c r="T1627" s="268"/>
    </row>
    <row r="1628" spans="13:20" x14ac:dyDescent="0.25">
      <c r="M1628" s="544"/>
      <c r="N1628" s="268"/>
      <c r="O1628" s="268"/>
      <c r="P1628" s="268"/>
      <c r="Q1628" s="268"/>
      <c r="R1628" s="268"/>
      <c r="S1628" s="268"/>
      <c r="T1628" s="268"/>
    </row>
    <row r="1629" spans="13:20" x14ac:dyDescent="0.25">
      <c r="M1629" s="544"/>
      <c r="N1629" s="268"/>
      <c r="O1629" s="268"/>
      <c r="P1629" s="268"/>
      <c r="Q1629" s="268"/>
      <c r="R1629" s="268"/>
      <c r="S1629" s="268"/>
      <c r="T1629" s="268"/>
    </row>
    <row r="1630" spans="13:20" x14ac:dyDescent="0.25">
      <c r="M1630" s="544"/>
      <c r="N1630" s="268"/>
      <c r="O1630" s="268"/>
      <c r="P1630" s="268"/>
      <c r="Q1630" s="268"/>
      <c r="R1630" s="268"/>
      <c r="S1630" s="268"/>
      <c r="T1630" s="268"/>
    </row>
    <row r="1631" spans="13:20" x14ac:dyDescent="0.25">
      <c r="M1631" s="544"/>
      <c r="N1631" s="268"/>
      <c r="O1631" s="268"/>
      <c r="P1631" s="268"/>
      <c r="Q1631" s="268"/>
      <c r="R1631" s="268"/>
      <c r="S1631" s="268"/>
      <c r="T1631" s="268"/>
    </row>
    <row r="1632" spans="13:20" x14ac:dyDescent="0.25">
      <c r="M1632" s="544"/>
      <c r="N1632" s="268"/>
      <c r="O1632" s="268"/>
      <c r="P1632" s="268"/>
      <c r="Q1632" s="268"/>
      <c r="R1632" s="268"/>
      <c r="S1632" s="268"/>
      <c r="T1632" s="268"/>
    </row>
    <row r="1633" spans="13:20" x14ac:dyDescent="0.25">
      <c r="M1633" s="544"/>
      <c r="N1633" s="268"/>
      <c r="O1633" s="268"/>
      <c r="P1633" s="268"/>
      <c r="Q1633" s="268"/>
      <c r="R1633" s="268"/>
      <c r="S1633" s="268"/>
      <c r="T1633" s="268"/>
    </row>
    <row r="1634" spans="13:20" x14ac:dyDescent="0.25">
      <c r="M1634" s="544"/>
      <c r="N1634" s="268"/>
      <c r="O1634" s="268"/>
      <c r="P1634" s="268"/>
      <c r="Q1634" s="268"/>
      <c r="R1634" s="268"/>
      <c r="S1634" s="268"/>
      <c r="T1634" s="268"/>
    </row>
    <row r="1635" spans="13:20" x14ac:dyDescent="0.25">
      <c r="M1635" s="544"/>
      <c r="N1635" s="268"/>
      <c r="O1635" s="268"/>
      <c r="P1635" s="268"/>
      <c r="Q1635" s="268"/>
      <c r="R1635" s="268"/>
      <c r="S1635" s="268"/>
      <c r="T1635" s="268"/>
    </row>
    <row r="1636" spans="13:20" x14ac:dyDescent="0.25">
      <c r="M1636" s="544"/>
      <c r="N1636" s="268"/>
      <c r="O1636" s="268"/>
      <c r="P1636" s="268"/>
      <c r="Q1636" s="268"/>
      <c r="R1636" s="268"/>
      <c r="S1636" s="268"/>
      <c r="T1636" s="268"/>
    </row>
    <row r="1637" spans="13:20" x14ac:dyDescent="0.25">
      <c r="M1637" s="544"/>
      <c r="N1637" s="268"/>
      <c r="O1637" s="268"/>
      <c r="P1637" s="268"/>
      <c r="Q1637" s="268"/>
      <c r="R1637" s="268"/>
      <c r="S1637" s="268"/>
      <c r="T1637" s="268"/>
    </row>
    <row r="1638" spans="13:20" x14ac:dyDescent="0.25">
      <c r="M1638" s="544"/>
      <c r="N1638" s="268"/>
      <c r="O1638" s="268"/>
      <c r="P1638" s="268"/>
      <c r="Q1638" s="268"/>
      <c r="R1638" s="268"/>
      <c r="S1638" s="268"/>
      <c r="T1638" s="268"/>
    </row>
    <row r="1639" spans="13:20" x14ac:dyDescent="0.25">
      <c r="M1639" s="544"/>
      <c r="N1639" s="268"/>
      <c r="O1639" s="268"/>
      <c r="P1639" s="268"/>
      <c r="Q1639" s="268"/>
      <c r="R1639" s="268"/>
      <c r="S1639" s="268"/>
      <c r="T1639" s="268"/>
    </row>
    <row r="1640" spans="13:20" x14ac:dyDescent="0.25">
      <c r="M1640" s="544"/>
      <c r="N1640" s="268"/>
      <c r="O1640" s="268"/>
      <c r="P1640" s="268"/>
      <c r="Q1640" s="268"/>
      <c r="R1640" s="268"/>
      <c r="S1640" s="268"/>
      <c r="T1640" s="268"/>
    </row>
    <row r="1641" spans="13:20" x14ac:dyDescent="0.25">
      <c r="M1641" s="544"/>
      <c r="N1641" s="268"/>
      <c r="O1641" s="268"/>
      <c r="P1641" s="268"/>
      <c r="Q1641" s="268"/>
      <c r="R1641" s="268"/>
      <c r="S1641" s="268"/>
      <c r="T1641" s="268"/>
    </row>
    <row r="1642" spans="13:20" x14ac:dyDescent="0.25">
      <c r="M1642" s="544"/>
      <c r="N1642" s="268"/>
      <c r="O1642" s="268"/>
      <c r="P1642" s="268"/>
      <c r="Q1642" s="268"/>
      <c r="R1642" s="268"/>
      <c r="S1642" s="268"/>
      <c r="T1642" s="268"/>
    </row>
    <row r="1643" spans="13:20" x14ac:dyDescent="0.25">
      <c r="M1643" s="544"/>
      <c r="N1643" s="268"/>
      <c r="O1643" s="268"/>
      <c r="P1643" s="268"/>
      <c r="Q1643" s="268"/>
      <c r="R1643" s="268"/>
      <c r="S1643" s="268"/>
      <c r="T1643" s="268"/>
    </row>
    <row r="1644" spans="13:20" x14ac:dyDescent="0.25">
      <c r="M1644" s="544"/>
      <c r="N1644" s="268"/>
      <c r="O1644" s="268"/>
      <c r="P1644" s="268"/>
      <c r="Q1644" s="268"/>
      <c r="R1644" s="268"/>
      <c r="S1644" s="268"/>
      <c r="T1644" s="268"/>
    </row>
    <row r="1645" spans="13:20" x14ac:dyDescent="0.25">
      <c r="M1645" s="544"/>
      <c r="N1645" s="268"/>
      <c r="O1645" s="268"/>
      <c r="P1645" s="268"/>
      <c r="Q1645" s="268"/>
      <c r="R1645" s="268"/>
      <c r="S1645" s="268"/>
      <c r="T1645" s="268"/>
    </row>
    <row r="1646" spans="13:20" x14ac:dyDescent="0.25">
      <c r="M1646" s="544"/>
      <c r="N1646" s="268"/>
      <c r="O1646" s="268"/>
      <c r="P1646" s="268"/>
      <c r="Q1646" s="268"/>
      <c r="R1646" s="268"/>
      <c r="S1646" s="268"/>
      <c r="T1646" s="268"/>
    </row>
    <row r="1647" spans="13:20" x14ac:dyDescent="0.25">
      <c r="M1647" s="544"/>
      <c r="N1647" s="268"/>
      <c r="O1647" s="268"/>
      <c r="P1647" s="268"/>
      <c r="Q1647" s="268"/>
      <c r="R1647" s="268"/>
      <c r="S1647" s="268"/>
      <c r="T1647" s="268"/>
    </row>
    <row r="1648" spans="13:20" x14ac:dyDescent="0.25">
      <c r="M1648" s="544"/>
      <c r="N1648" s="268"/>
      <c r="O1648" s="268"/>
      <c r="P1648" s="268"/>
      <c r="Q1648" s="268"/>
      <c r="R1648" s="268"/>
      <c r="S1648" s="268"/>
      <c r="T1648" s="268"/>
    </row>
    <row r="1649" spans="13:20" x14ac:dyDescent="0.25">
      <c r="M1649" s="544"/>
      <c r="N1649" s="268"/>
      <c r="O1649" s="268"/>
      <c r="P1649" s="268"/>
      <c r="Q1649" s="268"/>
      <c r="R1649" s="268"/>
      <c r="S1649" s="268"/>
      <c r="T1649" s="268"/>
    </row>
    <row r="1650" spans="13:20" x14ac:dyDescent="0.25">
      <c r="M1650" s="544"/>
      <c r="N1650" s="268"/>
      <c r="O1650" s="268"/>
      <c r="P1650" s="268"/>
      <c r="Q1650" s="268"/>
      <c r="R1650" s="268"/>
      <c r="S1650" s="268"/>
      <c r="T1650" s="268"/>
    </row>
    <row r="1651" spans="13:20" x14ac:dyDescent="0.25">
      <c r="M1651" s="544"/>
      <c r="N1651" s="268"/>
      <c r="O1651" s="268"/>
      <c r="P1651" s="268"/>
      <c r="Q1651" s="268"/>
      <c r="R1651" s="268"/>
      <c r="S1651" s="268"/>
      <c r="T1651" s="268"/>
    </row>
    <row r="1652" spans="13:20" x14ac:dyDescent="0.25">
      <c r="M1652" s="544"/>
      <c r="N1652" s="268"/>
      <c r="O1652" s="268"/>
      <c r="P1652" s="268"/>
      <c r="Q1652" s="268"/>
      <c r="R1652" s="268"/>
      <c r="S1652" s="268"/>
      <c r="T1652" s="268"/>
    </row>
    <row r="1653" spans="13:20" x14ac:dyDescent="0.25">
      <c r="M1653" s="544"/>
      <c r="N1653" s="268"/>
      <c r="O1653" s="268"/>
      <c r="P1653" s="268"/>
      <c r="Q1653" s="268"/>
      <c r="R1653" s="268"/>
      <c r="S1653" s="268"/>
      <c r="T1653" s="268"/>
    </row>
    <row r="1654" spans="13:20" x14ac:dyDescent="0.25">
      <c r="M1654" s="544"/>
      <c r="N1654" s="268"/>
      <c r="O1654" s="268"/>
      <c r="P1654" s="268"/>
      <c r="Q1654" s="268"/>
      <c r="R1654" s="268"/>
      <c r="S1654" s="268"/>
      <c r="T1654" s="268"/>
    </row>
    <row r="1655" spans="13:20" x14ac:dyDescent="0.25">
      <c r="M1655" s="544"/>
      <c r="N1655" s="268"/>
      <c r="O1655" s="268"/>
      <c r="P1655" s="268"/>
      <c r="Q1655" s="268"/>
      <c r="R1655" s="268"/>
      <c r="S1655" s="268"/>
      <c r="T1655" s="268"/>
    </row>
    <row r="1656" spans="13:20" x14ac:dyDescent="0.25">
      <c r="M1656" s="544"/>
      <c r="N1656" s="268"/>
      <c r="O1656" s="268"/>
      <c r="P1656" s="268"/>
      <c r="Q1656" s="268"/>
      <c r="R1656" s="268"/>
      <c r="S1656" s="268"/>
      <c r="T1656" s="268"/>
    </row>
    <row r="1657" spans="13:20" x14ac:dyDescent="0.25">
      <c r="M1657" s="544"/>
      <c r="N1657" s="268"/>
      <c r="O1657" s="268"/>
      <c r="P1657" s="268"/>
      <c r="Q1657" s="268"/>
      <c r="R1657" s="268"/>
      <c r="S1657" s="268"/>
      <c r="T1657" s="268"/>
    </row>
    <row r="1658" spans="13:20" x14ac:dyDescent="0.25">
      <c r="M1658" s="544"/>
      <c r="N1658" s="268"/>
      <c r="O1658" s="268"/>
      <c r="P1658" s="268"/>
      <c r="Q1658" s="268"/>
      <c r="R1658" s="268"/>
      <c r="S1658" s="268"/>
      <c r="T1658" s="268"/>
    </row>
    <row r="1659" spans="13:20" x14ac:dyDescent="0.25">
      <c r="M1659" s="544"/>
      <c r="N1659" s="268"/>
      <c r="O1659" s="268"/>
      <c r="P1659" s="268"/>
      <c r="Q1659" s="268"/>
      <c r="R1659" s="268"/>
      <c r="S1659" s="268"/>
      <c r="T1659" s="268"/>
    </row>
    <row r="1660" spans="13:20" x14ac:dyDescent="0.25">
      <c r="M1660" s="544"/>
      <c r="N1660" s="268"/>
      <c r="O1660" s="268"/>
      <c r="P1660" s="268"/>
      <c r="Q1660" s="268"/>
      <c r="R1660" s="268"/>
      <c r="S1660" s="268"/>
      <c r="T1660" s="268"/>
    </row>
    <row r="1661" spans="13:20" x14ac:dyDescent="0.25">
      <c r="M1661" s="544"/>
      <c r="N1661" s="268"/>
      <c r="O1661" s="268"/>
      <c r="P1661" s="268"/>
      <c r="Q1661" s="268"/>
      <c r="R1661" s="268"/>
      <c r="S1661" s="268"/>
      <c r="T1661" s="268"/>
    </row>
    <row r="1662" spans="13:20" x14ac:dyDescent="0.25">
      <c r="M1662" s="544"/>
      <c r="N1662" s="268"/>
      <c r="O1662" s="268"/>
      <c r="P1662" s="268"/>
      <c r="Q1662" s="268"/>
      <c r="R1662" s="268"/>
      <c r="S1662" s="268"/>
      <c r="T1662" s="268"/>
    </row>
    <row r="1663" spans="13:20" x14ac:dyDescent="0.25">
      <c r="M1663" s="544"/>
      <c r="N1663" s="268"/>
      <c r="O1663" s="268"/>
      <c r="P1663" s="268"/>
      <c r="Q1663" s="268"/>
      <c r="R1663" s="268"/>
      <c r="S1663" s="268"/>
      <c r="T1663" s="268"/>
    </row>
    <row r="1664" spans="13:20" x14ac:dyDescent="0.25">
      <c r="M1664" s="544"/>
      <c r="N1664" s="268"/>
      <c r="O1664" s="268"/>
      <c r="P1664" s="268"/>
      <c r="Q1664" s="268"/>
      <c r="R1664" s="268"/>
      <c r="S1664" s="268"/>
      <c r="T1664" s="268"/>
    </row>
    <row r="1665" spans="13:20" x14ac:dyDescent="0.25">
      <c r="M1665" s="544"/>
      <c r="N1665" s="268"/>
      <c r="O1665" s="268"/>
      <c r="P1665" s="268"/>
      <c r="Q1665" s="268"/>
      <c r="R1665" s="268"/>
      <c r="S1665" s="268"/>
      <c r="T1665" s="268"/>
    </row>
    <row r="1666" spans="13:20" x14ac:dyDescent="0.25">
      <c r="M1666" s="544"/>
      <c r="N1666" s="268"/>
      <c r="O1666" s="268"/>
      <c r="P1666" s="268"/>
      <c r="Q1666" s="268"/>
      <c r="R1666" s="268"/>
      <c r="S1666" s="268"/>
      <c r="T1666" s="268"/>
    </row>
    <row r="1667" spans="13:20" x14ac:dyDescent="0.25">
      <c r="M1667" s="544"/>
      <c r="N1667" s="268"/>
      <c r="O1667" s="268"/>
      <c r="P1667" s="268"/>
      <c r="Q1667" s="268"/>
      <c r="R1667" s="268"/>
      <c r="S1667" s="268"/>
      <c r="T1667" s="268"/>
    </row>
    <row r="1668" spans="13:20" x14ac:dyDescent="0.25">
      <c r="M1668" s="544"/>
      <c r="N1668" s="268"/>
      <c r="O1668" s="268"/>
      <c r="P1668" s="268"/>
      <c r="Q1668" s="268"/>
      <c r="R1668" s="268"/>
      <c r="S1668" s="268"/>
      <c r="T1668" s="268"/>
    </row>
    <row r="1669" spans="13:20" x14ac:dyDescent="0.25">
      <c r="M1669" s="544"/>
      <c r="N1669" s="268"/>
      <c r="O1669" s="268"/>
      <c r="P1669" s="268"/>
      <c r="Q1669" s="268"/>
      <c r="R1669" s="268"/>
      <c r="S1669" s="268"/>
      <c r="T1669" s="268"/>
    </row>
    <row r="1670" spans="13:20" x14ac:dyDescent="0.25">
      <c r="M1670" s="544"/>
      <c r="N1670" s="268"/>
      <c r="O1670" s="268"/>
      <c r="P1670" s="268"/>
      <c r="Q1670" s="268"/>
      <c r="R1670" s="268"/>
      <c r="S1670" s="268"/>
      <c r="T1670" s="268"/>
    </row>
    <row r="1671" spans="13:20" x14ac:dyDescent="0.25">
      <c r="M1671" s="544"/>
      <c r="N1671" s="268"/>
      <c r="O1671" s="268"/>
      <c r="P1671" s="268"/>
      <c r="Q1671" s="268"/>
      <c r="R1671" s="268"/>
      <c r="S1671" s="268"/>
      <c r="T1671" s="268"/>
    </row>
    <row r="1672" spans="13:20" x14ac:dyDescent="0.25">
      <c r="M1672" s="544"/>
      <c r="N1672" s="268"/>
      <c r="O1672" s="268"/>
      <c r="P1672" s="268"/>
      <c r="Q1672" s="268"/>
      <c r="R1672" s="268"/>
      <c r="S1672" s="268"/>
      <c r="T1672" s="268"/>
    </row>
    <row r="1673" spans="13:20" x14ac:dyDescent="0.25">
      <c r="M1673" s="544"/>
      <c r="N1673" s="268"/>
      <c r="O1673" s="268"/>
      <c r="P1673" s="268"/>
      <c r="Q1673" s="268"/>
      <c r="R1673" s="268"/>
      <c r="S1673" s="268"/>
      <c r="T1673" s="268"/>
    </row>
    <row r="1674" spans="13:20" x14ac:dyDescent="0.25">
      <c r="M1674" s="544"/>
      <c r="N1674" s="268"/>
      <c r="O1674" s="268"/>
      <c r="P1674" s="268"/>
      <c r="Q1674" s="268"/>
      <c r="R1674" s="268"/>
      <c r="S1674" s="268"/>
      <c r="T1674" s="268"/>
    </row>
    <row r="1675" spans="13:20" x14ac:dyDescent="0.25">
      <c r="M1675" s="544"/>
      <c r="N1675" s="268"/>
      <c r="O1675" s="268"/>
      <c r="P1675" s="268"/>
      <c r="Q1675" s="268"/>
      <c r="R1675" s="268"/>
      <c r="S1675" s="268"/>
      <c r="T1675" s="268"/>
    </row>
    <row r="1676" spans="13:20" x14ac:dyDescent="0.25">
      <c r="M1676" s="544"/>
      <c r="N1676" s="268"/>
      <c r="O1676" s="268"/>
      <c r="P1676" s="268"/>
      <c r="Q1676" s="268"/>
      <c r="R1676" s="268"/>
      <c r="S1676" s="268"/>
      <c r="T1676" s="268"/>
    </row>
    <row r="1677" spans="13:20" x14ac:dyDescent="0.25">
      <c r="M1677" s="544"/>
      <c r="N1677" s="268"/>
      <c r="O1677" s="268"/>
      <c r="P1677" s="268"/>
      <c r="Q1677" s="268"/>
      <c r="R1677" s="268"/>
      <c r="S1677" s="268"/>
      <c r="T1677" s="268"/>
    </row>
    <row r="1678" spans="13:20" x14ac:dyDescent="0.25">
      <c r="M1678" s="544"/>
      <c r="N1678" s="268"/>
      <c r="O1678" s="268"/>
      <c r="P1678" s="268"/>
      <c r="Q1678" s="268"/>
      <c r="R1678" s="268"/>
      <c r="S1678" s="268"/>
      <c r="T1678" s="268"/>
    </row>
    <row r="1679" spans="13:20" x14ac:dyDescent="0.25">
      <c r="M1679" s="544"/>
      <c r="N1679" s="268"/>
      <c r="O1679" s="268"/>
      <c r="P1679" s="268"/>
      <c r="Q1679" s="268"/>
      <c r="R1679" s="268"/>
      <c r="S1679" s="268"/>
      <c r="T1679" s="268"/>
    </row>
    <row r="1680" spans="13:20" x14ac:dyDescent="0.25">
      <c r="M1680" s="544"/>
      <c r="N1680" s="268"/>
      <c r="O1680" s="268"/>
      <c r="P1680" s="268"/>
      <c r="Q1680" s="268"/>
      <c r="R1680" s="268"/>
      <c r="S1680" s="268"/>
      <c r="T1680" s="268"/>
    </row>
    <row r="1681" spans="13:20" x14ac:dyDescent="0.25">
      <c r="M1681" s="544"/>
      <c r="N1681" s="268"/>
      <c r="O1681" s="268"/>
      <c r="P1681" s="268"/>
      <c r="Q1681" s="268"/>
      <c r="R1681" s="268"/>
      <c r="S1681" s="268"/>
      <c r="T1681" s="268"/>
    </row>
    <row r="1682" spans="13:20" x14ac:dyDescent="0.25">
      <c r="M1682" s="544"/>
      <c r="N1682" s="268"/>
      <c r="O1682" s="268"/>
      <c r="P1682" s="268"/>
      <c r="Q1682" s="268"/>
      <c r="R1682" s="268"/>
      <c r="S1682" s="268"/>
      <c r="T1682" s="268"/>
    </row>
    <row r="1683" spans="13:20" x14ac:dyDescent="0.25">
      <c r="M1683" s="544"/>
      <c r="N1683" s="268"/>
      <c r="O1683" s="268"/>
      <c r="P1683" s="268"/>
      <c r="Q1683" s="268"/>
      <c r="R1683" s="268"/>
      <c r="S1683" s="268"/>
      <c r="T1683" s="268"/>
    </row>
    <row r="1684" spans="13:20" x14ac:dyDescent="0.25">
      <c r="M1684" s="544"/>
      <c r="N1684" s="268"/>
      <c r="O1684" s="268"/>
      <c r="P1684" s="268"/>
      <c r="Q1684" s="268"/>
      <c r="R1684" s="268"/>
      <c r="S1684" s="268"/>
      <c r="T1684" s="268"/>
    </row>
    <row r="1685" spans="13:20" x14ac:dyDescent="0.25">
      <c r="M1685" s="544"/>
      <c r="N1685" s="268"/>
      <c r="O1685" s="268"/>
      <c r="P1685" s="268"/>
      <c r="Q1685" s="268"/>
      <c r="R1685" s="268"/>
      <c r="S1685" s="268"/>
      <c r="T1685" s="268"/>
    </row>
    <row r="1686" spans="13:20" x14ac:dyDescent="0.25">
      <c r="M1686" s="544"/>
      <c r="N1686" s="268"/>
      <c r="O1686" s="268"/>
      <c r="P1686" s="268"/>
      <c r="Q1686" s="268"/>
      <c r="R1686" s="268"/>
      <c r="S1686" s="268"/>
      <c r="T1686" s="268"/>
    </row>
    <row r="1687" spans="13:20" x14ac:dyDescent="0.25">
      <c r="M1687" s="544"/>
      <c r="N1687" s="268"/>
      <c r="O1687" s="268"/>
      <c r="P1687" s="268"/>
      <c r="Q1687" s="268"/>
      <c r="R1687" s="268"/>
      <c r="S1687" s="268"/>
      <c r="T1687" s="268"/>
    </row>
    <row r="1688" spans="13:20" x14ac:dyDescent="0.25">
      <c r="M1688" s="544"/>
      <c r="N1688" s="268"/>
      <c r="O1688" s="268"/>
      <c r="P1688" s="268"/>
      <c r="Q1688" s="268"/>
      <c r="R1688" s="268"/>
      <c r="S1688" s="268"/>
      <c r="T1688" s="268"/>
    </row>
    <row r="1689" spans="13:20" x14ac:dyDescent="0.25">
      <c r="M1689" s="544"/>
      <c r="N1689" s="268"/>
      <c r="O1689" s="268"/>
      <c r="P1689" s="268"/>
      <c r="Q1689" s="268"/>
      <c r="R1689" s="268"/>
      <c r="S1689" s="268"/>
      <c r="T1689" s="268"/>
    </row>
    <row r="1690" spans="13:20" x14ac:dyDescent="0.25">
      <c r="M1690" s="544"/>
      <c r="N1690" s="268"/>
      <c r="O1690" s="268"/>
      <c r="P1690" s="268"/>
      <c r="Q1690" s="268"/>
      <c r="R1690" s="268"/>
      <c r="S1690" s="268"/>
      <c r="T1690" s="268"/>
    </row>
    <row r="1691" spans="13:20" x14ac:dyDescent="0.25">
      <c r="M1691" s="544"/>
      <c r="N1691" s="268"/>
      <c r="O1691" s="268"/>
      <c r="P1691" s="268"/>
      <c r="Q1691" s="268"/>
      <c r="R1691" s="268"/>
      <c r="S1691" s="268"/>
      <c r="T1691" s="268"/>
    </row>
    <row r="1692" spans="13:20" x14ac:dyDescent="0.25">
      <c r="M1692" s="544"/>
      <c r="N1692" s="268"/>
      <c r="O1692" s="268"/>
      <c r="P1692" s="268"/>
      <c r="Q1692" s="268"/>
      <c r="R1692" s="268"/>
      <c r="S1692" s="268"/>
      <c r="T1692" s="268"/>
    </row>
    <row r="1693" spans="13:20" x14ac:dyDescent="0.25">
      <c r="M1693" s="544"/>
      <c r="N1693" s="268"/>
      <c r="O1693" s="268"/>
      <c r="P1693" s="268"/>
      <c r="Q1693" s="268"/>
      <c r="R1693" s="268"/>
      <c r="S1693" s="268"/>
      <c r="T1693" s="268"/>
    </row>
    <row r="1694" spans="13:20" x14ac:dyDescent="0.25">
      <c r="M1694" s="544"/>
      <c r="N1694" s="268"/>
      <c r="O1694" s="268"/>
      <c r="P1694" s="268"/>
      <c r="Q1694" s="268"/>
      <c r="R1694" s="268"/>
      <c r="S1694" s="268"/>
      <c r="T1694" s="268"/>
    </row>
    <row r="1695" spans="13:20" x14ac:dyDescent="0.25">
      <c r="M1695" s="544"/>
      <c r="N1695" s="268"/>
      <c r="O1695" s="268"/>
      <c r="P1695" s="268"/>
      <c r="Q1695" s="268"/>
      <c r="R1695" s="268"/>
      <c r="S1695" s="268"/>
      <c r="T1695" s="268"/>
    </row>
    <row r="1696" spans="13:20" x14ac:dyDescent="0.25">
      <c r="M1696" s="544"/>
      <c r="N1696" s="268"/>
      <c r="O1696" s="268"/>
      <c r="P1696" s="268"/>
      <c r="Q1696" s="268"/>
      <c r="R1696" s="268"/>
      <c r="S1696" s="268"/>
      <c r="T1696" s="268"/>
    </row>
    <row r="1697" spans="13:20" x14ac:dyDescent="0.25">
      <c r="M1697" s="544"/>
      <c r="N1697" s="268"/>
      <c r="O1697" s="268"/>
      <c r="P1697" s="268"/>
      <c r="Q1697" s="268"/>
      <c r="R1697" s="268"/>
      <c r="S1697" s="268"/>
      <c r="T1697" s="268"/>
    </row>
    <row r="1698" spans="13:20" x14ac:dyDescent="0.25">
      <c r="M1698" s="544"/>
      <c r="N1698" s="268"/>
      <c r="O1698" s="268"/>
      <c r="P1698" s="268"/>
      <c r="Q1698" s="268"/>
      <c r="R1698" s="268"/>
      <c r="S1698" s="268"/>
      <c r="T1698" s="268"/>
    </row>
    <row r="1699" spans="13:20" x14ac:dyDescent="0.25">
      <c r="M1699" s="544"/>
      <c r="N1699" s="268"/>
      <c r="O1699" s="268"/>
      <c r="P1699" s="268"/>
      <c r="Q1699" s="268"/>
      <c r="R1699" s="268"/>
      <c r="S1699" s="268"/>
      <c r="T1699" s="268"/>
    </row>
    <row r="1700" spans="13:20" x14ac:dyDescent="0.25">
      <c r="M1700" s="544"/>
      <c r="N1700" s="268"/>
      <c r="O1700" s="268"/>
      <c r="P1700" s="268"/>
      <c r="Q1700" s="268"/>
      <c r="R1700" s="268"/>
      <c r="S1700" s="268"/>
      <c r="T1700" s="268"/>
    </row>
    <row r="1701" spans="13:20" x14ac:dyDescent="0.25">
      <c r="M1701" s="544"/>
      <c r="N1701" s="268"/>
      <c r="O1701" s="268"/>
      <c r="P1701" s="268"/>
      <c r="Q1701" s="268"/>
      <c r="R1701" s="268"/>
      <c r="S1701" s="268"/>
      <c r="T1701" s="268"/>
    </row>
    <row r="1702" spans="13:20" x14ac:dyDescent="0.25">
      <c r="M1702" s="544"/>
      <c r="N1702" s="268"/>
      <c r="O1702" s="268"/>
      <c r="P1702" s="268"/>
      <c r="Q1702" s="268"/>
      <c r="R1702" s="268"/>
      <c r="S1702" s="268"/>
      <c r="T1702" s="268"/>
    </row>
    <row r="1703" spans="13:20" x14ac:dyDescent="0.25">
      <c r="M1703" s="544"/>
      <c r="N1703" s="268"/>
      <c r="O1703" s="268"/>
      <c r="P1703" s="268"/>
      <c r="Q1703" s="268"/>
      <c r="R1703" s="268"/>
      <c r="S1703" s="268"/>
      <c r="T1703" s="268"/>
    </row>
    <row r="1704" spans="13:20" x14ac:dyDescent="0.25">
      <c r="M1704" s="544"/>
      <c r="N1704" s="268"/>
      <c r="O1704" s="268"/>
      <c r="P1704" s="268"/>
      <c r="Q1704" s="268"/>
      <c r="R1704" s="268"/>
      <c r="S1704" s="268"/>
      <c r="T1704" s="268"/>
    </row>
    <row r="1705" spans="13:20" x14ac:dyDescent="0.25">
      <c r="M1705" s="544"/>
      <c r="N1705" s="268"/>
      <c r="O1705" s="268"/>
      <c r="P1705" s="268"/>
      <c r="Q1705" s="268"/>
      <c r="R1705" s="268"/>
      <c r="S1705" s="268"/>
      <c r="T1705" s="268"/>
    </row>
    <row r="1706" spans="13:20" x14ac:dyDescent="0.25">
      <c r="M1706" s="544"/>
      <c r="N1706" s="268"/>
      <c r="O1706" s="268"/>
      <c r="P1706" s="268"/>
      <c r="Q1706" s="268"/>
      <c r="R1706" s="268"/>
      <c r="S1706" s="268"/>
      <c r="T1706" s="268"/>
    </row>
    <row r="1707" spans="13:20" x14ac:dyDescent="0.25">
      <c r="M1707" s="544"/>
      <c r="N1707" s="268"/>
      <c r="O1707" s="268"/>
      <c r="P1707" s="268"/>
      <c r="Q1707" s="268"/>
      <c r="R1707" s="268"/>
      <c r="S1707" s="268"/>
      <c r="T1707" s="268"/>
    </row>
    <row r="1708" spans="13:20" x14ac:dyDescent="0.25">
      <c r="M1708" s="544"/>
      <c r="N1708" s="268"/>
      <c r="O1708" s="268"/>
      <c r="P1708" s="268"/>
      <c r="Q1708" s="268"/>
      <c r="R1708" s="268"/>
      <c r="S1708" s="268"/>
      <c r="T1708" s="268"/>
    </row>
    <row r="1709" spans="13:20" x14ac:dyDescent="0.25">
      <c r="M1709" s="544"/>
      <c r="N1709" s="268"/>
      <c r="O1709" s="268"/>
      <c r="P1709" s="268"/>
      <c r="Q1709" s="268"/>
      <c r="R1709" s="268"/>
      <c r="S1709" s="268"/>
      <c r="T1709" s="268"/>
    </row>
    <row r="1710" spans="13:20" x14ac:dyDescent="0.25">
      <c r="M1710" s="544"/>
      <c r="N1710" s="268"/>
      <c r="O1710" s="268"/>
      <c r="P1710" s="268"/>
      <c r="Q1710" s="268"/>
      <c r="R1710" s="268"/>
      <c r="S1710" s="268"/>
      <c r="T1710" s="268"/>
    </row>
    <row r="1711" spans="13:20" x14ac:dyDescent="0.25">
      <c r="M1711" s="544"/>
      <c r="N1711" s="268"/>
      <c r="O1711" s="268"/>
      <c r="P1711" s="268"/>
      <c r="Q1711" s="268"/>
      <c r="R1711" s="268"/>
      <c r="S1711" s="268"/>
      <c r="T1711" s="268"/>
    </row>
    <row r="1712" spans="13:20" x14ac:dyDescent="0.25">
      <c r="M1712" s="544"/>
      <c r="N1712" s="268"/>
      <c r="O1712" s="268"/>
      <c r="P1712" s="268"/>
      <c r="Q1712" s="268"/>
      <c r="R1712" s="268"/>
      <c r="S1712" s="268"/>
      <c r="T1712" s="268"/>
    </row>
    <row r="1713" spans="13:20" x14ac:dyDescent="0.25">
      <c r="M1713" s="544"/>
      <c r="N1713" s="268"/>
      <c r="O1713" s="268"/>
      <c r="P1713" s="268"/>
      <c r="Q1713" s="268"/>
      <c r="R1713" s="268"/>
      <c r="S1713" s="268"/>
      <c r="T1713" s="268"/>
    </row>
    <row r="1714" spans="13:20" x14ac:dyDescent="0.25">
      <c r="M1714" s="544"/>
      <c r="N1714" s="268"/>
      <c r="O1714" s="268"/>
      <c r="P1714" s="268"/>
      <c r="Q1714" s="268"/>
      <c r="R1714" s="268"/>
      <c r="S1714" s="268"/>
      <c r="T1714" s="268"/>
    </row>
    <row r="1715" spans="13:20" x14ac:dyDescent="0.25">
      <c r="M1715" s="544"/>
      <c r="N1715" s="268"/>
      <c r="O1715" s="268"/>
      <c r="P1715" s="268"/>
      <c r="Q1715" s="268"/>
      <c r="R1715" s="268"/>
      <c r="S1715" s="268"/>
      <c r="T1715" s="268"/>
    </row>
    <row r="1716" spans="13:20" x14ac:dyDescent="0.25">
      <c r="M1716" s="544"/>
      <c r="N1716" s="268"/>
      <c r="O1716" s="268"/>
      <c r="P1716" s="268"/>
      <c r="Q1716" s="268"/>
      <c r="R1716" s="268"/>
      <c r="S1716" s="268"/>
      <c r="T1716" s="268"/>
    </row>
    <row r="1717" spans="13:20" x14ac:dyDescent="0.25">
      <c r="M1717" s="544"/>
      <c r="N1717" s="268"/>
      <c r="O1717" s="268"/>
      <c r="P1717" s="268"/>
      <c r="Q1717" s="268"/>
      <c r="R1717" s="268"/>
      <c r="S1717" s="268"/>
      <c r="T1717" s="268"/>
    </row>
    <row r="1718" spans="13:20" x14ac:dyDescent="0.25">
      <c r="M1718" s="544"/>
      <c r="N1718" s="268"/>
      <c r="O1718" s="268"/>
      <c r="P1718" s="268"/>
      <c r="Q1718" s="268"/>
      <c r="R1718" s="268"/>
      <c r="S1718" s="268"/>
      <c r="T1718" s="268"/>
    </row>
    <row r="1719" spans="13:20" x14ac:dyDescent="0.25">
      <c r="M1719" s="544"/>
      <c r="N1719" s="268"/>
      <c r="O1719" s="268"/>
      <c r="P1719" s="268"/>
      <c r="Q1719" s="268"/>
      <c r="R1719" s="268"/>
      <c r="S1719" s="268"/>
      <c r="T1719" s="268"/>
    </row>
    <row r="1720" spans="13:20" x14ac:dyDescent="0.25">
      <c r="M1720" s="544"/>
      <c r="N1720" s="268"/>
      <c r="O1720" s="268"/>
      <c r="P1720" s="268"/>
      <c r="Q1720" s="268"/>
      <c r="R1720" s="268"/>
      <c r="S1720" s="268"/>
      <c r="T1720" s="268"/>
    </row>
    <row r="1721" spans="13:20" x14ac:dyDescent="0.25">
      <c r="M1721" s="544"/>
      <c r="N1721" s="268"/>
      <c r="O1721" s="268"/>
      <c r="P1721" s="268"/>
      <c r="Q1721" s="268"/>
      <c r="R1721" s="268"/>
      <c r="S1721" s="268"/>
      <c r="T1721" s="268"/>
    </row>
    <row r="1722" spans="13:20" x14ac:dyDescent="0.25">
      <c r="M1722" s="544"/>
      <c r="N1722" s="268"/>
      <c r="O1722" s="268"/>
      <c r="P1722" s="268"/>
      <c r="Q1722" s="268"/>
      <c r="R1722" s="268"/>
      <c r="S1722" s="268"/>
      <c r="T1722" s="268"/>
    </row>
    <row r="1723" spans="13:20" x14ac:dyDescent="0.25">
      <c r="M1723" s="544"/>
      <c r="N1723" s="268"/>
      <c r="O1723" s="268"/>
      <c r="P1723" s="268"/>
      <c r="Q1723" s="268"/>
      <c r="R1723" s="268"/>
      <c r="S1723" s="268"/>
      <c r="T1723" s="268"/>
    </row>
    <row r="1724" spans="13:20" x14ac:dyDescent="0.25">
      <c r="M1724" s="544"/>
      <c r="N1724" s="268"/>
      <c r="O1724" s="268"/>
      <c r="P1724" s="268"/>
      <c r="Q1724" s="268"/>
      <c r="R1724" s="268"/>
      <c r="S1724" s="268"/>
      <c r="T1724" s="268"/>
    </row>
    <row r="1725" spans="13:20" x14ac:dyDescent="0.25">
      <c r="M1725" s="544"/>
      <c r="N1725" s="268"/>
      <c r="O1725" s="268"/>
      <c r="P1725" s="268"/>
      <c r="Q1725" s="268"/>
      <c r="R1725" s="268"/>
      <c r="S1725" s="268"/>
      <c r="T1725" s="268"/>
    </row>
    <row r="1726" spans="13:20" x14ac:dyDescent="0.25">
      <c r="M1726" s="544"/>
      <c r="N1726" s="268"/>
      <c r="O1726" s="268"/>
      <c r="P1726" s="268"/>
      <c r="Q1726" s="268"/>
      <c r="R1726" s="268"/>
      <c r="S1726" s="268"/>
      <c r="T1726" s="268"/>
    </row>
    <row r="1727" spans="13:20" x14ac:dyDescent="0.25">
      <c r="M1727" s="544"/>
      <c r="N1727" s="268"/>
      <c r="O1727" s="268"/>
      <c r="P1727" s="268"/>
      <c r="Q1727" s="268"/>
      <c r="R1727" s="268"/>
      <c r="S1727" s="268"/>
      <c r="T1727" s="268"/>
    </row>
    <row r="1728" spans="13:20" x14ac:dyDescent="0.25">
      <c r="M1728" s="544"/>
      <c r="N1728" s="268"/>
      <c r="O1728" s="268"/>
      <c r="P1728" s="268"/>
      <c r="Q1728" s="268"/>
      <c r="R1728" s="268"/>
      <c r="S1728" s="268"/>
      <c r="T1728" s="268"/>
    </row>
    <row r="1729" spans="13:20" x14ac:dyDescent="0.25">
      <c r="M1729" s="544"/>
      <c r="N1729" s="268"/>
      <c r="O1729" s="268"/>
      <c r="P1729" s="268"/>
      <c r="Q1729" s="268"/>
      <c r="R1729" s="268"/>
      <c r="S1729" s="268"/>
      <c r="T1729" s="268"/>
    </row>
    <row r="1730" spans="13:20" x14ac:dyDescent="0.25">
      <c r="M1730" s="544"/>
      <c r="N1730" s="268"/>
      <c r="O1730" s="268"/>
      <c r="P1730" s="268"/>
      <c r="Q1730" s="268"/>
      <c r="R1730" s="268"/>
      <c r="S1730" s="268"/>
      <c r="T1730" s="268"/>
    </row>
    <row r="1731" spans="13:20" x14ac:dyDescent="0.25">
      <c r="M1731" s="544"/>
      <c r="N1731" s="268"/>
      <c r="O1731" s="268"/>
      <c r="P1731" s="268"/>
      <c r="Q1731" s="268"/>
      <c r="R1731" s="268"/>
      <c r="S1731" s="268"/>
      <c r="T1731" s="268"/>
    </row>
    <row r="1732" spans="13:20" x14ac:dyDescent="0.25">
      <c r="M1732" s="544"/>
      <c r="N1732" s="268"/>
      <c r="O1732" s="268"/>
      <c r="P1732" s="268"/>
      <c r="Q1732" s="268"/>
      <c r="R1732" s="268"/>
      <c r="S1732" s="268"/>
      <c r="T1732" s="268"/>
    </row>
    <row r="1733" spans="13:20" x14ac:dyDescent="0.25">
      <c r="M1733" s="544"/>
      <c r="N1733" s="268"/>
      <c r="O1733" s="268"/>
      <c r="P1733" s="268"/>
      <c r="Q1733" s="268"/>
      <c r="R1733" s="268"/>
      <c r="S1733" s="268"/>
      <c r="T1733" s="268"/>
    </row>
    <row r="1734" spans="13:20" x14ac:dyDescent="0.25">
      <c r="M1734" s="544"/>
      <c r="N1734" s="268"/>
      <c r="O1734" s="268"/>
      <c r="P1734" s="268"/>
      <c r="Q1734" s="268"/>
      <c r="R1734" s="268"/>
      <c r="S1734" s="268"/>
      <c r="T1734" s="268"/>
    </row>
    <row r="1735" spans="13:20" x14ac:dyDescent="0.25">
      <c r="M1735" s="544"/>
      <c r="N1735" s="268"/>
      <c r="O1735" s="268"/>
      <c r="P1735" s="268"/>
      <c r="Q1735" s="268"/>
      <c r="R1735" s="268"/>
      <c r="S1735" s="268"/>
      <c r="T1735" s="268"/>
    </row>
    <row r="1736" spans="13:20" x14ac:dyDescent="0.25">
      <c r="M1736" s="544"/>
      <c r="N1736" s="268"/>
      <c r="O1736" s="268"/>
      <c r="P1736" s="268"/>
      <c r="Q1736" s="268"/>
      <c r="R1736" s="268"/>
      <c r="S1736" s="268"/>
      <c r="T1736" s="268"/>
    </row>
    <row r="1737" spans="13:20" x14ac:dyDescent="0.25">
      <c r="M1737" s="544"/>
      <c r="N1737" s="268"/>
      <c r="O1737" s="268"/>
      <c r="P1737" s="268"/>
      <c r="Q1737" s="268"/>
      <c r="R1737" s="268"/>
      <c r="S1737" s="268"/>
      <c r="T1737" s="268"/>
    </row>
    <row r="1738" spans="13:20" x14ac:dyDescent="0.25">
      <c r="M1738" s="544"/>
      <c r="N1738" s="268"/>
      <c r="O1738" s="268"/>
      <c r="P1738" s="268"/>
      <c r="Q1738" s="268"/>
      <c r="R1738" s="268"/>
      <c r="S1738" s="268"/>
      <c r="T1738" s="268"/>
    </row>
    <row r="1739" spans="13:20" x14ac:dyDescent="0.25">
      <c r="M1739" s="544"/>
      <c r="N1739" s="268"/>
      <c r="O1739" s="268"/>
      <c r="P1739" s="268"/>
      <c r="Q1739" s="268"/>
      <c r="R1739" s="268"/>
      <c r="S1739" s="268"/>
      <c r="T1739" s="268"/>
    </row>
    <row r="1740" spans="13:20" x14ac:dyDescent="0.25">
      <c r="M1740" s="544"/>
      <c r="N1740" s="268"/>
      <c r="O1740" s="268"/>
      <c r="P1740" s="268"/>
      <c r="Q1740" s="268"/>
      <c r="R1740" s="268"/>
      <c r="S1740" s="268"/>
      <c r="T1740" s="268"/>
    </row>
    <row r="1741" spans="13:20" x14ac:dyDescent="0.25">
      <c r="M1741" s="544"/>
      <c r="N1741" s="268"/>
      <c r="O1741" s="268"/>
      <c r="P1741" s="268"/>
      <c r="Q1741" s="268"/>
      <c r="R1741" s="268"/>
      <c r="S1741" s="268"/>
      <c r="T1741" s="268"/>
    </row>
    <row r="1742" spans="13:20" x14ac:dyDescent="0.25">
      <c r="M1742" s="544"/>
      <c r="N1742" s="268"/>
      <c r="O1742" s="268"/>
      <c r="P1742" s="268"/>
      <c r="Q1742" s="268"/>
      <c r="R1742" s="268"/>
      <c r="S1742" s="268"/>
      <c r="T1742" s="268"/>
    </row>
    <row r="1743" spans="13:20" x14ac:dyDescent="0.25">
      <c r="M1743" s="544"/>
      <c r="N1743" s="268"/>
      <c r="O1743" s="268"/>
      <c r="P1743" s="268"/>
      <c r="Q1743" s="268"/>
      <c r="R1743" s="268"/>
      <c r="S1743" s="268"/>
      <c r="T1743" s="268"/>
    </row>
    <row r="1744" spans="13:20" x14ac:dyDescent="0.25">
      <c r="M1744" s="544"/>
      <c r="N1744" s="268"/>
      <c r="O1744" s="268"/>
      <c r="P1744" s="268"/>
      <c r="Q1744" s="268"/>
      <c r="R1744" s="268"/>
      <c r="S1744" s="268"/>
      <c r="T1744" s="268"/>
    </row>
    <row r="1745" spans="13:20" x14ac:dyDescent="0.25">
      <c r="M1745" s="544"/>
      <c r="N1745" s="268"/>
      <c r="O1745" s="268"/>
      <c r="P1745" s="268"/>
      <c r="Q1745" s="268"/>
      <c r="R1745" s="268"/>
      <c r="S1745" s="268"/>
      <c r="T1745" s="268"/>
    </row>
    <row r="1746" spans="13:20" x14ac:dyDescent="0.25">
      <c r="M1746" s="544"/>
      <c r="N1746" s="268"/>
      <c r="O1746" s="268"/>
      <c r="P1746" s="268"/>
      <c r="Q1746" s="268"/>
      <c r="R1746" s="268"/>
      <c r="S1746" s="268"/>
      <c r="T1746" s="268"/>
    </row>
    <row r="1747" spans="13:20" x14ac:dyDescent="0.25">
      <c r="M1747" s="544"/>
      <c r="N1747" s="268"/>
      <c r="O1747" s="268"/>
      <c r="P1747" s="268"/>
      <c r="Q1747" s="268"/>
      <c r="R1747" s="268"/>
      <c r="S1747" s="268"/>
      <c r="T1747" s="268"/>
    </row>
    <row r="1748" spans="13:20" x14ac:dyDescent="0.25">
      <c r="M1748" s="544"/>
      <c r="N1748" s="268"/>
      <c r="O1748" s="268"/>
      <c r="P1748" s="268"/>
      <c r="Q1748" s="268"/>
      <c r="R1748" s="268"/>
      <c r="S1748" s="268"/>
      <c r="T1748" s="268"/>
    </row>
    <row r="1749" spans="13:20" x14ac:dyDescent="0.25">
      <c r="M1749" s="544"/>
      <c r="N1749" s="268"/>
      <c r="O1749" s="268"/>
      <c r="P1749" s="268"/>
      <c r="Q1749" s="268"/>
      <c r="R1749" s="268"/>
      <c r="S1749" s="268"/>
      <c r="T1749" s="268"/>
    </row>
    <row r="1750" spans="13:20" x14ac:dyDescent="0.25">
      <c r="M1750" s="544"/>
      <c r="N1750" s="268"/>
      <c r="O1750" s="268"/>
      <c r="P1750" s="268"/>
      <c r="Q1750" s="268"/>
      <c r="R1750" s="268"/>
      <c r="S1750" s="268"/>
      <c r="T1750" s="268"/>
    </row>
    <row r="1751" spans="13:20" x14ac:dyDescent="0.25">
      <c r="M1751" s="544"/>
      <c r="N1751" s="268"/>
      <c r="O1751" s="268"/>
      <c r="P1751" s="268"/>
      <c r="Q1751" s="268"/>
      <c r="R1751" s="268"/>
      <c r="S1751" s="268"/>
      <c r="T1751" s="268"/>
    </row>
    <row r="1752" spans="13:20" x14ac:dyDescent="0.25">
      <c r="M1752" s="544"/>
      <c r="N1752" s="268"/>
      <c r="O1752" s="268"/>
      <c r="P1752" s="268"/>
      <c r="Q1752" s="268"/>
      <c r="R1752" s="268"/>
      <c r="S1752" s="268"/>
      <c r="T1752" s="268"/>
    </row>
    <row r="1753" spans="13:20" x14ac:dyDescent="0.25">
      <c r="M1753" s="544"/>
      <c r="N1753" s="268"/>
      <c r="O1753" s="268"/>
      <c r="P1753" s="268"/>
      <c r="Q1753" s="268"/>
      <c r="R1753" s="268"/>
      <c r="S1753" s="268"/>
      <c r="T1753" s="268"/>
    </row>
    <row r="1754" spans="13:20" x14ac:dyDescent="0.25">
      <c r="M1754" s="544"/>
      <c r="N1754" s="268"/>
      <c r="O1754" s="268"/>
      <c r="P1754" s="268"/>
      <c r="Q1754" s="268"/>
      <c r="R1754" s="268"/>
      <c r="S1754" s="268"/>
      <c r="T1754" s="268"/>
    </row>
    <row r="1755" spans="13:20" x14ac:dyDescent="0.25">
      <c r="M1755" s="544"/>
      <c r="N1755" s="268"/>
      <c r="O1755" s="268"/>
      <c r="P1755" s="268"/>
      <c r="Q1755" s="268"/>
      <c r="R1755" s="268"/>
      <c r="S1755" s="268"/>
      <c r="T1755" s="268"/>
    </row>
    <row r="1756" spans="13:20" x14ac:dyDescent="0.25">
      <c r="M1756" s="544"/>
      <c r="N1756" s="268"/>
      <c r="O1756" s="268"/>
      <c r="P1756" s="268"/>
      <c r="Q1756" s="268"/>
      <c r="R1756" s="268"/>
      <c r="S1756" s="268"/>
      <c r="T1756" s="268"/>
    </row>
    <row r="1757" spans="13:20" x14ac:dyDescent="0.25">
      <c r="M1757" s="544"/>
      <c r="N1757" s="268"/>
      <c r="O1757" s="268"/>
      <c r="P1757" s="268"/>
      <c r="Q1757" s="268"/>
      <c r="R1757" s="268"/>
      <c r="S1757" s="268"/>
      <c r="T1757" s="268"/>
    </row>
    <row r="1758" spans="13:20" x14ac:dyDescent="0.25">
      <c r="M1758" s="544"/>
      <c r="N1758" s="268"/>
      <c r="O1758" s="268"/>
      <c r="P1758" s="268"/>
      <c r="Q1758" s="268"/>
      <c r="R1758" s="268"/>
      <c r="S1758" s="268"/>
      <c r="T1758" s="268"/>
    </row>
  </sheetData>
  <sheetProtection algorithmName="SHA-512" hashValue="XxGe8rtSuzQpG5GZqr9NlARbdzNNGiNOEoj+K/b+lJpOr94zL2XfmqzbTjBgJnBg3EKJywdqeVUJabAYc3aamw==" saltValue="E1+5xN2tqPJJITKgUjx0cA==" spinCount="100000" sheet="1" formatCells="0" formatColumns="0" formatRows="0" sort="0" autoFilter="0" pivotTables="0"/>
  <mergeCells count="21">
    <mergeCell ref="A1:E1"/>
    <mergeCell ref="A2:E2"/>
    <mergeCell ref="P2:Q2"/>
    <mergeCell ref="A4:A5"/>
    <mergeCell ref="B4:B5"/>
    <mergeCell ref="C4:C5"/>
    <mergeCell ref="D4:D5"/>
    <mergeCell ref="E4:E5"/>
    <mergeCell ref="F4:H4"/>
    <mergeCell ref="I4:I5"/>
    <mergeCell ref="S4:S5"/>
    <mergeCell ref="U4:U5"/>
    <mergeCell ref="W4:W5"/>
    <mergeCell ref="J4:J5"/>
    <mergeCell ref="K4:K5"/>
    <mergeCell ref="L4:L5"/>
    <mergeCell ref="M4:P4"/>
    <mergeCell ref="Q4:Q5"/>
    <mergeCell ref="R4:R5"/>
    <mergeCell ref="V4:V5"/>
    <mergeCell ref="T4:T5"/>
  </mergeCells>
  <conditionalFormatting sqref="A2:E2">
    <cfRule type="cellIs" dxfId="42" priority="8" stopIfTrue="1" operator="between">
      <formula>0</formula>
      <formula>0</formula>
    </cfRule>
  </conditionalFormatting>
  <conditionalFormatting sqref="E6:E1605">
    <cfRule type="cellIs" dxfId="41" priority="7" stopIfTrue="1" operator="between">
      <formula>""</formula>
      <formula>""</formula>
    </cfRule>
  </conditionalFormatting>
  <conditionalFormatting sqref="P2">
    <cfRule type="cellIs" dxfId="40" priority="4" stopIfTrue="1" operator="between">
      <formula>"Còn lỗi!"</formula>
      <formula>"Còn lỗi!"</formula>
    </cfRule>
    <cfRule type="cellIs" dxfId="39" priority="5" stopIfTrue="1" operator="between">
      <formula>"Hoàn thành!"</formula>
      <formula>"Hoàn thành!"</formula>
    </cfRule>
    <cfRule type="cellIs" dxfId="38" priority="6" stopIfTrue="1" operator="between">
      <formula>"Nhập danh sách học sinh!"</formula>
      <formula>"Nhập danh sách học sinh!"</formula>
    </cfRule>
  </conditionalFormatting>
  <conditionalFormatting sqref="P2:Q2">
    <cfRule type="cellIs" dxfId="37" priority="3" stopIfTrue="1" operator="between">
      <formula>"Có HS học trước tuổi!"</formula>
      <formula>"Có HS học trước tuổi!"</formula>
    </cfRule>
  </conditionalFormatting>
  <conditionalFormatting sqref="N6:O1605">
    <cfRule type="cellIs" dxfId="36" priority="1" operator="between">
      <formula>"Tỉnh khác"</formula>
      <formula>"Tỉnh khác"</formula>
    </cfRule>
    <cfRule type="cellIs" dxfId="35" priority="2" operator="between">
      <formula>"Huyện khác"</formula>
      <formula>"Huyện khác"</formula>
    </cfRule>
  </conditionalFormatting>
  <dataValidations count="3">
    <dataValidation type="list" allowBlank="1" showInputMessage="1" showErrorMessage="1" sqref="L6:L1605">
      <formula1>"x"</formula1>
    </dataValidation>
    <dataValidation type="list" allowBlank="1" showInputMessage="1" showErrorMessage="1" sqref="JM6:JM1605 TI6:TI1605 ADE6:ADE1605 ANA6:ANA1605 AWW6:AWW1605 BGS6:BGS1605 BQO6:BQO1605 CAK6:CAK1605 CKG6:CKG1605 CUC6:CUC1605 DDY6:DDY1605 DNU6:DNU1605 DXQ6:DXQ1605 EHM6:EHM1605 ERI6:ERI1605 FBE6:FBE1605 FLA6:FLA1605 FUW6:FUW1605 GES6:GES1605 GOO6:GOO1605 GYK6:GYK1605 HIG6:HIG1605 HSC6:HSC1605 IBY6:IBY1605 ILU6:ILU1605 IVQ6:IVQ1605 JFM6:JFM1605 JPI6:JPI1605 JZE6:JZE1605 KJA6:KJA1605 KSW6:KSW1605 LCS6:LCS1605 LMO6:LMO1605 LWK6:LWK1605 MGG6:MGG1605 MQC6:MQC1605 MZY6:MZY1605 NJU6:NJU1605 NTQ6:NTQ1605 ODM6:ODM1605 ONI6:ONI1605 OXE6:OXE1605 PHA6:PHA1605 PQW6:PQW1605 QAS6:QAS1605 QKO6:QKO1605 QUK6:QUK1605 REG6:REG1605 ROC6:ROC1605 RXY6:RXY1605 SHU6:SHU1605 SRQ6:SRQ1605 TBM6:TBM1605 TLI6:TLI1605 TVE6:TVE1605 UFA6:UFA1605 UOW6:UOW1605 UYS6:UYS1605 VIO6:VIO1605 VSK6:VSK1605 WCG6:WCG1605 WMC6:WMC1605 WVY6:WVY1605 JM65542:JM67141 TI65542:TI67141 ADE65542:ADE67141 ANA65542:ANA67141 AWW65542:AWW67141 BGS65542:BGS67141 BQO65542:BQO67141 CAK65542:CAK67141 CKG65542:CKG67141 CUC65542:CUC67141 DDY65542:DDY67141 DNU65542:DNU67141 DXQ65542:DXQ67141 EHM65542:EHM67141 ERI65542:ERI67141 FBE65542:FBE67141 FLA65542:FLA67141 FUW65542:FUW67141 GES65542:GES67141 GOO65542:GOO67141 GYK65542:GYK67141 HIG65542:HIG67141 HSC65542:HSC67141 IBY65542:IBY67141 ILU65542:ILU67141 IVQ65542:IVQ67141 JFM65542:JFM67141 JPI65542:JPI67141 JZE65542:JZE67141 KJA65542:KJA67141 KSW65542:KSW67141 LCS65542:LCS67141 LMO65542:LMO67141 LWK65542:LWK67141 MGG65542:MGG67141 MQC65542:MQC67141 MZY65542:MZY67141 NJU65542:NJU67141 NTQ65542:NTQ67141 ODM65542:ODM67141 ONI65542:ONI67141 OXE65542:OXE67141 PHA65542:PHA67141 PQW65542:PQW67141 QAS65542:QAS67141 QKO65542:QKO67141 QUK65542:QUK67141 REG65542:REG67141 ROC65542:ROC67141 RXY65542:RXY67141 SHU65542:SHU67141 SRQ65542:SRQ67141 TBM65542:TBM67141 TLI65542:TLI67141 TVE65542:TVE67141 UFA65542:UFA67141 UOW65542:UOW67141 UYS65542:UYS67141 VIO65542:VIO67141 VSK65542:VSK67141 WCG65542:WCG67141 WMC65542:WMC67141 WVY65542:WVY67141 JM131078:JM132677 TI131078:TI132677 ADE131078:ADE132677 ANA131078:ANA132677 AWW131078:AWW132677 BGS131078:BGS132677 BQO131078:BQO132677 CAK131078:CAK132677 CKG131078:CKG132677 CUC131078:CUC132677 DDY131078:DDY132677 DNU131078:DNU132677 DXQ131078:DXQ132677 EHM131078:EHM132677 ERI131078:ERI132677 FBE131078:FBE132677 FLA131078:FLA132677 FUW131078:FUW132677 GES131078:GES132677 GOO131078:GOO132677 GYK131078:GYK132677 HIG131078:HIG132677 HSC131078:HSC132677 IBY131078:IBY132677 ILU131078:ILU132677 IVQ131078:IVQ132677 JFM131078:JFM132677 JPI131078:JPI132677 JZE131078:JZE132677 KJA131078:KJA132677 KSW131078:KSW132677 LCS131078:LCS132677 LMO131078:LMO132677 LWK131078:LWK132677 MGG131078:MGG132677 MQC131078:MQC132677 MZY131078:MZY132677 NJU131078:NJU132677 NTQ131078:NTQ132677 ODM131078:ODM132677 ONI131078:ONI132677 OXE131078:OXE132677 PHA131078:PHA132677 PQW131078:PQW132677 QAS131078:QAS132677 QKO131078:QKO132677 QUK131078:QUK132677 REG131078:REG132677 ROC131078:ROC132677 RXY131078:RXY132677 SHU131078:SHU132677 SRQ131078:SRQ132677 TBM131078:TBM132677 TLI131078:TLI132677 TVE131078:TVE132677 UFA131078:UFA132677 UOW131078:UOW132677 UYS131078:UYS132677 VIO131078:VIO132677 VSK131078:VSK132677 WCG131078:WCG132677 WMC131078:WMC132677 WVY131078:WVY132677 JM196614:JM198213 TI196614:TI198213 ADE196614:ADE198213 ANA196614:ANA198213 AWW196614:AWW198213 BGS196614:BGS198213 BQO196614:BQO198213 CAK196614:CAK198213 CKG196614:CKG198213 CUC196614:CUC198213 DDY196614:DDY198213 DNU196614:DNU198213 DXQ196614:DXQ198213 EHM196614:EHM198213 ERI196614:ERI198213 FBE196614:FBE198213 FLA196614:FLA198213 FUW196614:FUW198213 GES196614:GES198213 GOO196614:GOO198213 GYK196614:GYK198213 HIG196614:HIG198213 HSC196614:HSC198213 IBY196614:IBY198213 ILU196614:ILU198213 IVQ196614:IVQ198213 JFM196614:JFM198213 JPI196614:JPI198213 JZE196614:JZE198213 KJA196614:KJA198213 KSW196614:KSW198213 LCS196614:LCS198213 LMO196614:LMO198213 LWK196614:LWK198213 MGG196614:MGG198213 MQC196614:MQC198213 MZY196614:MZY198213 NJU196614:NJU198213 NTQ196614:NTQ198213 ODM196614:ODM198213 ONI196614:ONI198213 OXE196614:OXE198213 PHA196614:PHA198213 PQW196614:PQW198213 QAS196614:QAS198213 QKO196614:QKO198213 QUK196614:QUK198213 REG196614:REG198213 ROC196614:ROC198213 RXY196614:RXY198213 SHU196614:SHU198213 SRQ196614:SRQ198213 TBM196614:TBM198213 TLI196614:TLI198213 TVE196614:TVE198213 UFA196614:UFA198213 UOW196614:UOW198213 UYS196614:UYS198213 VIO196614:VIO198213 VSK196614:VSK198213 WCG196614:WCG198213 WMC196614:WMC198213 WVY196614:WVY198213 JM262150:JM263749 TI262150:TI263749 ADE262150:ADE263749 ANA262150:ANA263749 AWW262150:AWW263749 BGS262150:BGS263749 BQO262150:BQO263749 CAK262150:CAK263749 CKG262150:CKG263749 CUC262150:CUC263749 DDY262150:DDY263749 DNU262150:DNU263749 DXQ262150:DXQ263749 EHM262150:EHM263749 ERI262150:ERI263749 FBE262150:FBE263749 FLA262150:FLA263749 FUW262150:FUW263749 GES262150:GES263749 GOO262150:GOO263749 GYK262150:GYK263749 HIG262150:HIG263749 HSC262150:HSC263749 IBY262150:IBY263749 ILU262150:ILU263749 IVQ262150:IVQ263749 JFM262150:JFM263749 JPI262150:JPI263749 JZE262150:JZE263749 KJA262150:KJA263749 KSW262150:KSW263749 LCS262150:LCS263749 LMO262150:LMO263749 LWK262150:LWK263749 MGG262150:MGG263749 MQC262150:MQC263749 MZY262150:MZY263749 NJU262150:NJU263749 NTQ262150:NTQ263749 ODM262150:ODM263749 ONI262150:ONI263749 OXE262150:OXE263749 PHA262150:PHA263749 PQW262150:PQW263749 QAS262150:QAS263749 QKO262150:QKO263749 QUK262150:QUK263749 REG262150:REG263749 ROC262150:ROC263749 RXY262150:RXY263749 SHU262150:SHU263749 SRQ262150:SRQ263749 TBM262150:TBM263749 TLI262150:TLI263749 TVE262150:TVE263749 UFA262150:UFA263749 UOW262150:UOW263749 UYS262150:UYS263749 VIO262150:VIO263749 VSK262150:VSK263749 WCG262150:WCG263749 WMC262150:WMC263749 WVY262150:WVY263749 JM327686:JM329285 TI327686:TI329285 ADE327686:ADE329285 ANA327686:ANA329285 AWW327686:AWW329285 BGS327686:BGS329285 BQO327686:BQO329285 CAK327686:CAK329285 CKG327686:CKG329285 CUC327686:CUC329285 DDY327686:DDY329285 DNU327686:DNU329285 DXQ327686:DXQ329285 EHM327686:EHM329285 ERI327686:ERI329285 FBE327686:FBE329285 FLA327686:FLA329285 FUW327686:FUW329285 GES327686:GES329285 GOO327686:GOO329285 GYK327686:GYK329285 HIG327686:HIG329285 HSC327686:HSC329285 IBY327686:IBY329285 ILU327686:ILU329285 IVQ327686:IVQ329285 JFM327686:JFM329285 JPI327686:JPI329285 JZE327686:JZE329285 KJA327686:KJA329285 KSW327686:KSW329285 LCS327686:LCS329285 LMO327686:LMO329285 LWK327686:LWK329285 MGG327686:MGG329285 MQC327686:MQC329285 MZY327686:MZY329285 NJU327686:NJU329285 NTQ327686:NTQ329285 ODM327686:ODM329285 ONI327686:ONI329285 OXE327686:OXE329285 PHA327686:PHA329285 PQW327686:PQW329285 QAS327686:QAS329285 QKO327686:QKO329285 QUK327686:QUK329285 REG327686:REG329285 ROC327686:ROC329285 RXY327686:RXY329285 SHU327686:SHU329285 SRQ327686:SRQ329285 TBM327686:TBM329285 TLI327686:TLI329285 TVE327686:TVE329285 UFA327686:UFA329285 UOW327686:UOW329285 UYS327686:UYS329285 VIO327686:VIO329285 VSK327686:VSK329285 WCG327686:WCG329285 WMC327686:WMC329285 WVY327686:WVY329285 JM393222:JM394821 TI393222:TI394821 ADE393222:ADE394821 ANA393222:ANA394821 AWW393222:AWW394821 BGS393222:BGS394821 BQO393222:BQO394821 CAK393222:CAK394821 CKG393222:CKG394821 CUC393222:CUC394821 DDY393222:DDY394821 DNU393222:DNU394821 DXQ393222:DXQ394821 EHM393222:EHM394821 ERI393222:ERI394821 FBE393222:FBE394821 FLA393222:FLA394821 FUW393222:FUW394821 GES393222:GES394821 GOO393222:GOO394821 GYK393222:GYK394821 HIG393222:HIG394821 HSC393222:HSC394821 IBY393222:IBY394821 ILU393222:ILU394821 IVQ393222:IVQ394821 JFM393222:JFM394821 JPI393222:JPI394821 JZE393222:JZE394821 KJA393222:KJA394821 KSW393222:KSW394821 LCS393222:LCS394821 LMO393222:LMO394821 LWK393222:LWK394821 MGG393222:MGG394821 MQC393222:MQC394821 MZY393222:MZY394821 NJU393222:NJU394821 NTQ393222:NTQ394821 ODM393222:ODM394821 ONI393222:ONI394821 OXE393222:OXE394821 PHA393222:PHA394821 PQW393222:PQW394821 QAS393222:QAS394821 QKO393222:QKO394821 QUK393222:QUK394821 REG393222:REG394821 ROC393222:ROC394821 RXY393222:RXY394821 SHU393222:SHU394821 SRQ393222:SRQ394821 TBM393222:TBM394821 TLI393222:TLI394821 TVE393222:TVE394821 UFA393222:UFA394821 UOW393222:UOW394821 UYS393222:UYS394821 VIO393222:VIO394821 VSK393222:VSK394821 WCG393222:WCG394821 WMC393222:WMC394821 WVY393222:WVY394821 JM458758:JM460357 TI458758:TI460357 ADE458758:ADE460357 ANA458758:ANA460357 AWW458758:AWW460357 BGS458758:BGS460357 BQO458758:BQO460357 CAK458758:CAK460357 CKG458758:CKG460357 CUC458758:CUC460357 DDY458758:DDY460357 DNU458758:DNU460357 DXQ458758:DXQ460357 EHM458758:EHM460357 ERI458758:ERI460357 FBE458758:FBE460357 FLA458758:FLA460357 FUW458758:FUW460357 GES458758:GES460357 GOO458758:GOO460357 GYK458758:GYK460357 HIG458758:HIG460357 HSC458758:HSC460357 IBY458758:IBY460357 ILU458758:ILU460357 IVQ458758:IVQ460357 JFM458758:JFM460357 JPI458758:JPI460357 JZE458758:JZE460357 KJA458758:KJA460357 KSW458758:KSW460357 LCS458758:LCS460357 LMO458758:LMO460357 LWK458758:LWK460357 MGG458758:MGG460357 MQC458758:MQC460357 MZY458758:MZY460357 NJU458758:NJU460357 NTQ458758:NTQ460357 ODM458758:ODM460357 ONI458758:ONI460357 OXE458758:OXE460357 PHA458758:PHA460357 PQW458758:PQW460357 QAS458758:QAS460357 QKO458758:QKO460357 QUK458758:QUK460357 REG458758:REG460357 ROC458758:ROC460357 RXY458758:RXY460357 SHU458758:SHU460357 SRQ458758:SRQ460357 TBM458758:TBM460357 TLI458758:TLI460357 TVE458758:TVE460357 UFA458758:UFA460357 UOW458758:UOW460357 UYS458758:UYS460357 VIO458758:VIO460357 VSK458758:VSK460357 WCG458758:WCG460357 WMC458758:WMC460357 WVY458758:WVY460357 JM524294:JM525893 TI524294:TI525893 ADE524294:ADE525893 ANA524294:ANA525893 AWW524294:AWW525893 BGS524294:BGS525893 BQO524294:BQO525893 CAK524294:CAK525893 CKG524294:CKG525893 CUC524294:CUC525893 DDY524294:DDY525893 DNU524294:DNU525893 DXQ524294:DXQ525893 EHM524294:EHM525893 ERI524294:ERI525893 FBE524294:FBE525893 FLA524294:FLA525893 FUW524294:FUW525893 GES524294:GES525893 GOO524294:GOO525893 GYK524294:GYK525893 HIG524294:HIG525893 HSC524294:HSC525893 IBY524294:IBY525893 ILU524294:ILU525893 IVQ524294:IVQ525893 JFM524294:JFM525893 JPI524294:JPI525893 JZE524294:JZE525893 KJA524294:KJA525893 KSW524294:KSW525893 LCS524294:LCS525893 LMO524294:LMO525893 LWK524294:LWK525893 MGG524294:MGG525893 MQC524294:MQC525893 MZY524294:MZY525893 NJU524294:NJU525893 NTQ524294:NTQ525893 ODM524294:ODM525893 ONI524294:ONI525893 OXE524294:OXE525893 PHA524294:PHA525893 PQW524294:PQW525893 QAS524294:QAS525893 QKO524294:QKO525893 QUK524294:QUK525893 REG524294:REG525893 ROC524294:ROC525893 RXY524294:RXY525893 SHU524294:SHU525893 SRQ524294:SRQ525893 TBM524294:TBM525893 TLI524294:TLI525893 TVE524294:TVE525893 UFA524294:UFA525893 UOW524294:UOW525893 UYS524294:UYS525893 VIO524294:VIO525893 VSK524294:VSK525893 WCG524294:WCG525893 WMC524294:WMC525893 WVY524294:WVY525893 JM589830:JM591429 TI589830:TI591429 ADE589830:ADE591429 ANA589830:ANA591429 AWW589830:AWW591429 BGS589830:BGS591429 BQO589830:BQO591429 CAK589830:CAK591429 CKG589830:CKG591429 CUC589830:CUC591429 DDY589830:DDY591429 DNU589830:DNU591429 DXQ589830:DXQ591429 EHM589830:EHM591429 ERI589830:ERI591429 FBE589830:FBE591429 FLA589830:FLA591429 FUW589830:FUW591429 GES589830:GES591429 GOO589830:GOO591429 GYK589830:GYK591429 HIG589830:HIG591429 HSC589830:HSC591429 IBY589830:IBY591429 ILU589830:ILU591429 IVQ589830:IVQ591429 JFM589830:JFM591429 JPI589830:JPI591429 JZE589830:JZE591429 KJA589830:KJA591429 KSW589830:KSW591429 LCS589830:LCS591429 LMO589830:LMO591429 LWK589830:LWK591429 MGG589830:MGG591429 MQC589830:MQC591429 MZY589830:MZY591429 NJU589830:NJU591429 NTQ589830:NTQ591429 ODM589830:ODM591429 ONI589830:ONI591429 OXE589830:OXE591429 PHA589830:PHA591429 PQW589830:PQW591429 QAS589830:QAS591429 QKO589830:QKO591429 QUK589830:QUK591429 REG589830:REG591429 ROC589830:ROC591429 RXY589830:RXY591429 SHU589830:SHU591429 SRQ589830:SRQ591429 TBM589830:TBM591429 TLI589830:TLI591429 TVE589830:TVE591429 UFA589830:UFA591429 UOW589830:UOW591429 UYS589830:UYS591429 VIO589830:VIO591429 VSK589830:VSK591429 WCG589830:WCG591429 WMC589830:WMC591429 WVY589830:WVY591429 JM655366:JM656965 TI655366:TI656965 ADE655366:ADE656965 ANA655366:ANA656965 AWW655366:AWW656965 BGS655366:BGS656965 BQO655366:BQO656965 CAK655366:CAK656965 CKG655366:CKG656965 CUC655366:CUC656965 DDY655366:DDY656965 DNU655366:DNU656965 DXQ655366:DXQ656965 EHM655366:EHM656965 ERI655366:ERI656965 FBE655366:FBE656965 FLA655366:FLA656965 FUW655366:FUW656965 GES655366:GES656965 GOO655366:GOO656965 GYK655366:GYK656965 HIG655366:HIG656965 HSC655366:HSC656965 IBY655366:IBY656965 ILU655366:ILU656965 IVQ655366:IVQ656965 JFM655366:JFM656965 JPI655366:JPI656965 JZE655366:JZE656965 KJA655366:KJA656965 KSW655366:KSW656965 LCS655366:LCS656965 LMO655366:LMO656965 LWK655366:LWK656965 MGG655366:MGG656965 MQC655366:MQC656965 MZY655366:MZY656965 NJU655366:NJU656965 NTQ655366:NTQ656965 ODM655366:ODM656965 ONI655366:ONI656965 OXE655366:OXE656965 PHA655366:PHA656965 PQW655366:PQW656965 QAS655366:QAS656965 QKO655366:QKO656965 QUK655366:QUK656965 REG655366:REG656965 ROC655366:ROC656965 RXY655366:RXY656965 SHU655366:SHU656965 SRQ655366:SRQ656965 TBM655366:TBM656965 TLI655366:TLI656965 TVE655366:TVE656965 UFA655366:UFA656965 UOW655366:UOW656965 UYS655366:UYS656965 VIO655366:VIO656965 VSK655366:VSK656965 WCG655366:WCG656965 WMC655366:WMC656965 WVY655366:WVY656965 JM720902:JM722501 TI720902:TI722501 ADE720902:ADE722501 ANA720902:ANA722501 AWW720902:AWW722501 BGS720902:BGS722501 BQO720902:BQO722501 CAK720902:CAK722501 CKG720902:CKG722501 CUC720902:CUC722501 DDY720902:DDY722501 DNU720902:DNU722501 DXQ720902:DXQ722501 EHM720902:EHM722501 ERI720902:ERI722501 FBE720902:FBE722501 FLA720902:FLA722501 FUW720902:FUW722501 GES720902:GES722501 GOO720902:GOO722501 GYK720902:GYK722501 HIG720902:HIG722501 HSC720902:HSC722501 IBY720902:IBY722501 ILU720902:ILU722501 IVQ720902:IVQ722501 JFM720902:JFM722501 JPI720902:JPI722501 JZE720902:JZE722501 KJA720902:KJA722501 KSW720902:KSW722501 LCS720902:LCS722501 LMO720902:LMO722501 LWK720902:LWK722501 MGG720902:MGG722501 MQC720902:MQC722501 MZY720902:MZY722501 NJU720902:NJU722501 NTQ720902:NTQ722501 ODM720902:ODM722501 ONI720902:ONI722501 OXE720902:OXE722501 PHA720902:PHA722501 PQW720902:PQW722501 QAS720902:QAS722501 QKO720902:QKO722501 QUK720902:QUK722501 REG720902:REG722501 ROC720902:ROC722501 RXY720902:RXY722501 SHU720902:SHU722501 SRQ720902:SRQ722501 TBM720902:TBM722501 TLI720902:TLI722501 TVE720902:TVE722501 UFA720902:UFA722501 UOW720902:UOW722501 UYS720902:UYS722501 VIO720902:VIO722501 VSK720902:VSK722501 WCG720902:WCG722501 WMC720902:WMC722501 WVY720902:WVY722501 JM786438:JM788037 TI786438:TI788037 ADE786438:ADE788037 ANA786438:ANA788037 AWW786438:AWW788037 BGS786438:BGS788037 BQO786438:BQO788037 CAK786438:CAK788037 CKG786438:CKG788037 CUC786438:CUC788037 DDY786438:DDY788037 DNU786438:DNU788037 DXQ786438:DXQ788037 EHM786438:EHM788037 ERI786438:ERI788037 FBE786438:FBE788037 FLA786438:FLA788037 FUW786438:FUW788037 GES786438:GES788037 GOO786438:GOO788037 GYK786438:GYK788037 HIG786438:HIG788037 HSC786438:HSC788037 IBY786438:IBY788037 ILU786438:ILU788037 IVQ786438:IVQ788037 JFM786438:JFM788037 JPI786438:JPI788037 JZE786438:JZE788037 KJA786438:KJA788037 KSW786438:KSW788037 LCS786438:LCS788037 LMO786438:LMO788037 LWK786438:LWK788037 MGG786438:MGG788037 MQC786438:MQC788037 MZY786438:MZY788037 NJU786438:NJU788037 NTQ786438:NTQ788037 ODM786438:ODM788037 ONI786438:ONI788037 OXE786438:OXE788037 PHA786438:PHA788037 PQW786438:PQW788037 QAS786438:QAS788037 QKO786438:QKO788037 QUK786438:QUK788037 REG786438:REG788037 ROC786438:ROC788037 RXY786438:RXY788037 SHU786438:SHU788037 SRQ786438:SRQ788037 TBM786438:TBM788037 TLI786438:TLI788037 TVE786438:TVE788037 UFA786438:UFA788037 UOW786438:UOW788037 UYS786438:UYS788037 VIO786438:VIO788037 VSK786438:VSK788037 WCG786438:WCG788037 WMC786438:WMC788037 WVY786438:WVY788037 JM851974:JM853573 TI851974:TI853573 ADE851974:ADE853573 ANA851974:ANA853573 AWW851974:AWW853573 BGS851974:BGS853573 BQO851974:BQO853573 CAK851974:CAK853573 CKG851974:CKG853573 CUC851974:CUC853573 DDY851974:DDY853573 DNU851974:DNU853573 DXQ851974:DXQ853573 EHM851974:EHM853573 ERI851974:ERI853573 FBE851974:FBE853573 FLA851974:FLA853573 FUW851974:FUW853573 GES851974:GES853573 GOO851974:GOO853573 GYK851974:GYK853573 HIG851974:HIG853573 HSC851974:HSC853573 IBY851974:IBY853573 ILU851974:ILU853573 IVQ851974:IVQ853573 JFM851974:JFM853573 JPI851974:JPI853573 JZE851974:JZE853573 KJA851974:KJA853573 KSW851974:KSW853573 LCS851974:LCS853573 LMO851974:LMO853573 LWK851974:LWK853573 MGG851974:MGG853573 MQC851974:MQC853573 MZY851974:MZY853573 NJU851974:NJU853573 NTQ851974:NTQ853573 ODM851974:ODM853573 ONI851974:ONI853573 OXE851974:OXE853573 PHA851974:PHA853573 PQW851974:PQW853573 QAS851974:QAS853573 QKO851974:QKO853573 QUK851974:QUK853573 REG851974:REG853573 ROC851974:ROC853573 RXY851974:RXY853573 SHU851974:SHU853573 SRQ851974:SRQ853573 TBM851974:TBM853573 TLI851974:TLI853573 TVE851974:TVE853573 UFA851974:UFA853573 UOW851974:UOW853573 UYS851974:UYS853573 VIO851974:VIO853573 VSK851974:VSK853573 WCG851974:WCG853573 WMC851974:WMC853573 WVY851974:WVY853573 JM917510:JM919109 TI917510:TI919109 ADE917510:ADE919109 ANA917510:ANA919109 AWW917510:AWW919109 BGS917510:BGS919109 BQO917510:BQO919109 CAK917510:CAK919109 CKG917510:CKG919109 CUC917510:CUC919109 DDY917510:DDY919109 DNU917510:DNU919109 DXQ917510:DXQ919109 EHM917510:EHM919109 ERI917510:ERI919109 FBE917510:FBE919109 FLA917510:FLA919109 FUW917510:FUW919109 GES917510:GES919109 GOO917510:GOO919109 GYK917510:GYK919109 HIG917510:HIG919109 HSC917510:HSC919109 IBY917510:IBY919109 ILU917510:ILU919109 IVQ917510:IVQ919109 JFM917510:JFM919109 JPI917510:JPI919109 JZE917510:JZE919109 KJA917510:KJA919109 KSW917510:KSW919109 LCS917510:LCS919109 LMO917510:LMO919109 LWK917510:LWK919109 MGG917510:MGG919109 MQC917510:MQC919109 MZY917510:MZY919109 NJU917510:NJU919109 NTQ917510:NTQ919109 ODM917510:ODM919109 ONI917510:ONI919109 OXE917510:OXE919109 PHA917510:PHA919109 PQW917510:PQW919109 QAS917510:QAS919109 QKO917510:QKO919109 QUK917510:QUK919109 REG917510:REG919109 ROC917510:ROC919109 RXY917510:RXY919109 SHU917510:SHU919109 SRQ917510:SRQ919109 TBM917510:TBM919109 TLI917510:TLI919109 TVE917510:TVE919109 UFA917510:UFA919109 UOW917510:UOW919109 UYS917510:UYS919109 VIO917510:VIO919109 VSK917510:VSK919109 WCG917510:WCG919109 WMC917510:WMC919109 WVY917510:WVY919109 JM983046:JM984645 TI983046:TI984645 ADE983046:ADE984645 ANA983046:ANA984645 AWW983046:AWW984645 BGS983046:BGS984645 BQO983046:BQO984645 CAK983046:CAK984645 CKG983046:CKG984645 CUC983046:CUC984645 DDY983046:DDY984645 DNU983046:DNU984645 DXQ983046:DXQ984645 EHM983046:EHM984645 ERI983046:ERI984645 FBE983046:FBE984645 FLA983046:FLA984645 FUW983046:FUW984645 GES983046:GES984645 GOO983046:GOO984645 GYK983046:GYK984645 HIG983046:HIG984645 HSC983046:HSC984645 IBY983046:IBY984645 ILU983046:ILU984645 IVQ983046:IVQ984645 JFM983046:JFM984645 JPI983046:JPI984645 JZE983046:JZE984645 KJA983046:KJA984645 KSW983046:KSW984645 LCS983046:LCS984645 LMO983046:LMO984645 LWK983046:LWK984645 MGG983046:MGG984645 MQC983046:MQC984645 MZY983046:MZY984645 NJU983046:NJU984645 NTQ983046:NTQ984645 ODM983046:ODM984645 ONI983046:ONI984645 OXE983046:OXE984645 PHA983046:PHA984645 PQW983046:PQW984645 QAS983046:QAS984645 QKO983046:QKO984645 QUK983046:QUK984645 REG983046:REG984645 ROC983046:ROC984645 RXY983046:RXY984645 SHU983046:SHU984645 SRQ983046:SRQ984645 TBM983046:TBM984645 TLI983046:TLI984645 TVE983046:TVE984645 UFA983046:UFA984645 UOW983046:UOW984645 UYS983046:UYS984645 VIO983046:VIO984645 VSK983046:VSK984645 WCG983046:WCG984645 WMC983046:WMC984645 WVY983046:WVY984645 N983046:O984645 N917510:O919109 N851974:O853573 N786438:O788037 N720902:O722501 N655366:O656965 N589830:O591429 N524294:O525893 N458758:O460357 N393222:O394821 N327686:O329285 N262150:O263749 N196614:O198213 N131078:O132677 N65542:O67141">
      <formula1>xa.phuong</formula1>
    </dataValidation>
    <dataValidation type="list" allowBlank="1" showInputMessage="1" showErrorMessage="1" sqref="JI6:JI1605 TE6:TE1605 ADA6:ADA1605 AMW6:AMW1605 AWS6:AWS1605 BGO6:BGO1605 BQK6:BQK1605 CAG6:CAG1605 CKC6:CKC1605 CTY6:CTY1605 DDU6:DDU1605 DNQ6:DNQ1605 DXM6:DXM1605 EHI6:EHI1605 ERE6:ERE1605 FBA6:FBA1605 FKW6:FKW1605 FUS6:FUS1605 GEO6:GEO1605 GOK6:GOK1605 GYG6:GYG1605 HIC6:HIC1605 HRY6:HRY1605 IBU6:IBU1605 ILQ6:ILQ1605 IVM6:IVM1605 JFI6:JFI1605 JPE6:JPE1605 JZA6:JZA1605 KIW6:KIW1605 KSS6:KSS1605 LCO6:LCO1605 LMK6:LMK1605 LWG6:LWG1605 MGC6:MGC1605 MPY6:MPY1605 MZU6:MZU1605 NJQ6:NJQ1605 NTM6:NTM1605 ODI6:ODI1605 ONE6:ONE1605 OXA6:OXA1605 PGW6:PGW1605 PQS6:PQS1605 QAO6:QAO1605 QKK6:QKK1605 QUG6:QUG1605 REC6:REC1605 RNY6:RNY1605 RXU6:RXU1605 SHQ6:SHQ1605 SRM6:SRM1605 TBI6:TBI1605 TLE6:TLE1605 TVA6:TVA1605 UEW6:UEW1605 UOS6:UOS1605 UYO6:UYO1605 VIK6:VIK1605 VSG6:VSG1605 WCC6:WCC1605 WLY6:WLY1605 WVU6:WVU1605 JI65542:JI67141 TE65542:TE67141 ADA65542:ADA67141 AMW65542:AMW67141 AWS65542:AWS67141 BGO65542:BGO67141 BQK65542:BQK67141 CAG65542:CAG67141 CKC65542:CKC67141 CTY65542:CTY67141 DDU65542:DDU67141 DNQ65542:DNQ67141 DXM65542:DXM67141 EHI65542:EHI67141 ERE65542:ERE67141 FBA65542:FBA67141 FKW65542:FKW67141 FUS65542:FUS67141 GEO65542:GEO67141 GOK65542:GOK67141 GYG65542:GYG67141 HIC65542:HIC67141 HRY65542:HRY67141 IBU65542:IBU67141 ILQ65542:ILQ67141 IVM65542:IVM67141 JFI65542:JFI67141 JPE65542:JPE67141 JZA65542:JZA67141 KIW65542:KIW67141 KSS65542:KSS67141 LCO65542:LCO67141 LMK65542:LMK67141 LWG65542:LWG67141 MGC65542:MGC67141 MPY65542:MPY67141 MZU65542:MZU67141 NJQ65542:NJQ67141 NTM65542:NTM67141 ODI65542:ODI67141 ONE65542:ONE67141 OXA65542:OXA67141 PGW65542:PGW67141 PQS65542:PQS67141 QAO65542:QAO67141 QKK65542:QKK67141 QUG65542:QUG67141 REC65542:REC67141 RNY65542:RNY67141 RXU65542:RXU67141 SHQ65542:SHQ67141 SRM65542:SRM67141 TBI65542:TBI67141 TLE65542:TLE67141 TVA65542:TVA67141 UEW65542:UEW67141 UOS65542:UOS67141 UYO65542:UYO67141 VIK65542:VIK67141 VSG65542:VSG67141 WCC65542:WCC67141 WLY65542:WLY67141 WVU65542:WVU67141 JI131078:JI132677 TE131078:TE132677 ADA131078:ADA132677 AMW131078:AMW132677 AWS131078:AWS132677 BGO131078:BGO132677 BQK131078:BQK132677 CAG131078:CAG132677 CKC131078:CKC132677 CTY131078:CTY132677 DDU131078:DDU132677 DNQ131078:DNQ132677 DXM131078:DXM132677 EHI131078:EHI132677 ERE131078:ERE132677 FBA131078:FBA132677 FKW131078:FKW132677 FUS131078:FUS132677 GEO131078:GEO132677 GOK131078:GOK132677 GYG131078:GYG132677 HIC131078:HIC132677 HRY131078:HRY132677 IBU131078:IBU132677 ILQ131078:ILQ132677 IVM131078:IVM132677 JFI131078:JFI132677 JPE131078:JPE132677 JZA131078:JZA132677 KIW131078:KIW132677 KSS131078:KSS132677 LCO131078:LCO132677 LMK131078:LMK132677 LWG131078:LWG132677 MGC131078:MGC132677 MPY131078:MPY132677 MZU131078:MZU132677 NJQ131078:NJQ132677 NTM131078:NTM132677 ODI131078:ODI132677 ONE131078:ONE132677 OXA131078:OXA132677 PGW131078:PGW132677 PQS131078:PQS132677 QAO131078:QAO132677 QKK131078:QKK132677 QUG131078:QUG132677 REC131078:REC132677 RNY131078:RNY132677 RXU131078:RXU132677 SHQ131078:SHQ132677 SRM131078:SRM132677 TBI131078:TBI132677 TLE131078:TLE132677 TVA131078:TVA132677 UEW131078:UEW132677 UOS131078:UOS132677 UYO131078:UYO132677 VIK131078:VIK132677 VSG131078:VSG132677 WCC131078:WCC132677 WLY131078:WLY132677 WVU131078:WVU132677 JI196614:JI198213 TE196614:TE198213 ADA196614:ADA198213 AMW196614:AMW198213 AWS196614:AWS198213 BGO196614:BGO198213 BQK196614:BQK198213 CAG196614:CAG198213 CKC196614:CKC198213 CTY196614:CTY198213 DDU196614:DDU198213 DNQ196614:DNQ198213 DXM196614:DXM198213 EHI196614:EHI198213 ERE196614:ERE198213 FBA196614:FBA198213 FKW196614:FKW198213 FUS196614:FUS198213 GEO196614:GEO198213 GOK196614:GOK198213 GYG196614:GYG198213 HIC196614:HIC198213 HRY196614:HRY198213 IBU196614:IBU198213 ILQ196614:ILQ198213 IVM196614:IVM198213 JFI196614:JFI198213 JPE196614:JPE198213 JZA196614:JZA198213 KIW196614:KIW198213 KSS196614:KSS198213 LCO196614:LCO198213 LMK196614:LMK198213 LWG196614:LWG198213 MGC196614:MGC198213 MPY196614:MPY198213 MZU196614:MZU198213 NJQ196614:NJQ198213 NTM196614:NTM198213 ODI196614:ODI198213 ONE196614:ONE198213 OXA196614:OXA198213 PGW196614:PGW198213 PQS196614:PQS198213 QAO196614:QAO198213 QKK196614:QKK198213 QUG196614:QUG198213 REC196614:REC198213 RNY196614:RNY198213 RXU196614:RXU198213 SHQ196614:SHQ198213 SRM196614:SRM198213 TBI196614:TBI198213 TLE196614:TLE198213 TVA196614:TVA198213 UEW196614:UEW198213 UOS196614:UOS198213 UYO196614:UYO198213 VIK196614:VIK198213 VSG196614:VSG198213 WCC196614:WCC198213 WLY196614:WLY198213 WVU196614:WVU198213 JI262150:JI263749 TE262150:TE263749 ADA262150:ADA263749 AMW262150:AMW263749 AWS262150:AWS263749 BGO262150:BGO263749 BQK262150:BQK263749 CAG262150:CAG263749 CKC262150:CKC263749 CTY262150:CTY263749 DDU262150:DDU263749 DNQ262150:DNQ263749 DXM262150:DXM263749 EHI262150:EHI263749 ERE262150:ERE263749 FBA262150:FBA263749 FKW262150:FKW263749 FUS262150:FUS263749 GEO262150:GEO263749 GOK262150:GOK263749 GYG262150:GYG263749 HIC262150:HIC263749 HRY262150:HRY263749 IBU262150:IBU263749 ILQ262150:ILQ263749 IVM262150:IVM263749 JFI262150:JFI263749 JPE262150:JPE263749 JZA262150:JZA263749 KIW262150:KIW263749 KSS262150:KSS263749 LCO262150:LCO263749 LMK262150:LMK263749 LWG262150:LWG263749 MGC262150:MGC263749 MPY262150:MPY263749 MZU262150:MZU263749 NJQ262150:NJQ263749 NTM262150:NTM263749 ODI262150:ODI263749 ONE262150:ONE263749 OXA262150:OXA263749 PGW262150:PGW263749 PQS262150:PQS263749 QAO262150:QAO263749 QKK262150:QKK263749 QUG262150:QUG263749 REC262150:REC263749 RNY262150:RNY263749 RXU262150:RXU263749 SHQ262150:SHQ263749 SRM262150:SRM263749 TBI262150:TBI263749 TLE262150:TLE263749 TVA262150:TVA263749 UEW262150:UEW263749 UOS262150:UOS263749 UYO262150:UYO263749 VIK262150:VIK263749 VSG262150:VSG263749 WCC262150:WCC263749 WLY262150:WLY263749 WVU262150:WVU263749 JI327686:JI329285 TE327686:TE329285 ADA327686:ADA329285 AMW327686:AMW329285 AWS327686:AWS329285 BGO327686:BGO329285 BQK327686:BQK329285 CAG327686:CAG329285 CKC327686:CKC329285 CTY327686:CTY329285 DDU327686:DDU329285 DNQ327686:DNQ329285 DXM327686:DXM329285 EHI327686:EHI329285 ERE327686:ERE329285 FBA327686:FBA329285 FKW327686:FKW329285 FUS327686:FUS329285 GEO327686:GEO329285 GOK327686:GOK329285 GYG327686:GYG329285 HIC327686:HIC329285 HRY327686:HRY329285 IBU327686:IBU329285 ILQ327686:ILQ329285 IVM327686:IVM329285 JFI327686:JFI329285 JPE327686:JPE329285 JZA327686:JZA329285 KIW327686:KIW329285 KSS327686:KSS329285 LCO327686:LCO329285 LMK327686:LMK329285 LWG327686:LWG329285 MGC327686:MGC329285 MPY327686:MPY329285 MZU327686:MZU329285 NJQ327686:NJQ329285 NTM327686:NTM329285 ODI327686:ODI329285 ONE327686:ONE329285 OXA327686:OXA329285 PGW327686:PGW329285 PQS327686:PQS329285 QAO327686:QAO329285 QKK327686:QKK329285 QUG327686:QUG329285 REC327686:REC329285 RNY327686:RNY329285 RXU327686:RXU329285 SHQ327686:SHQ329285 SRM327686:SRM329285 TBI327686:TBI329285 TLE327686:TLE329285 TVA327686:TVA329285 UEW327686:UEW329285 UOS327686:UOS329285 UYO327686:UYO329285 VIK327686:VIK329285 VSG327686:VSG329285 WCC327686:WCC329285 WLY327686:WLY329285 WVU327686:WVU329285 JI393222:JI394821 TE393222:TE394821 ADA393222:ADA394821 AMW393222:AMW394821 AWS393222:AWS394821 BGO393222:BGO394821 BQK393222:BQK394821 CAG393222:CAG394821 CKC393222:CKC394821 CTY393222:CTY394821 DDU393222:DDU394821 DNQ393222:DNQ394821 DXM393222:DXM394821 EHI393222:EHI394821 ERE393222:ERE394821 FBA393222:FBA394821 FKW393222:FKW394821 FUS393222:FUS394821 GEO393222:GEO394821 GOK393222:GOK394821 GYG393222:GYG394821 HIC393222:HIC394821 HRY393222:HRY394821 IBU393222:IBU394821 ILQ393222:ILQ394821 IVM393222:IVM394821 JFI393222:JFI394821 JPE393222:JPE394821 JZA393222:JZA394821 KIW393222:KIW394821 KSS393222:KSS394821 LCO393222:LCO394821 LMK393222:LMK394821 LWG393222:LWG394821 MGC393222:MGC394821 MPY393222:MPY394821 MZU393222:MZU394821 NJQ393222:NJQ394821 NTM393222:NTM394821 ODI393222:ODI394821 ONE393222:ONE394821 OXA393222:OXA394821 PGW393222:PGW394821 PQS393222:PQS394821 QAO393222:QAO394821 QKK393222:QKK394821 QUG393222:QUG394821 REC393222:REC394821 RNY393222:RNY394821 RXU393222:RXU394821 SHQ393222:SHQ394821 SRM393222:SRM394821 TBI393222:TBI394821 TLE393222:TLE394821 TVA393222:TVA394821 UEW393222:UEW394821 UOS393222:UOS394821 UYO393222:UYO394821 VIK393222:VIK394821 VSG393222:VSG394821 WCC393222:WCC394821 WLY393222:WLY394821 WVU393222:WVU394821 JI458758:JI460357 TE458758:TE460357 ADA458758:ADA460357 AMW458758:AMW460357 AWS458758:AWS460357 BGO458758:BGO460357 BQK458758:BQK460357 CAG458758:CAG460357 CKC458758:CKC460357 CTY458758:CTY460357 DDU458758:DDU460357 DNQ458758:DNQ460357 DXM458758:DXM460357 EHI458758:EHI460357 ERE458758:ERE460357 FBA458758:FBA460357 FKW458758:FKW460357 FUS458758:FUS460357 GEO458758:GEO460357 GOK458758:GOK460357 GYG458758:GYG460357 HIC458758:HIC460357 HRY458758:HRY460357 IBU458758:IBU460357 ILQ458758:ILQ460357 IVM458758:IVM460357 JFI458758:JFI460357 JPE458758:JPE460357 JZA458758:JZA460357 KIW458758:KIW460357 KSS458758:KSS460357 LCO458758:LCO460357 LMK458758:LMK460357 LWG458758:LWG460357 MGC458758:MGC460357 MPY458758:MPY460357 MZU458758:MZU460357 NJQ458758:NJQ460357 NTM458758:NTM460357 ODI458758:ODI460357 ONE458758:ONE460357 OXA458758:OXA460357 PGW458758:PGW460357 PQS458758:PQS460357 QAO458758:QAO460357 QKK458758:QKK460357 QUG458758:QUG460357 REC458758:REC460357 RNY458758:RNY460357 RXU458758:RXU460357 SHQ458758:SHQ460357 SRM458758:SRM460357 TBI458758:TBI460357 TLE458758:TLE460357 TVA458758:TVA460357 UEW458758:UEW460357 UOS458758:UOS460357 UYO458758:UYO460357 VIK458758:VIK460357 VSG458758:VSG460357 WCC458758:WCC460357 WLY458758:WLY460357 WVU458758:WVU460357 JI524294:JI525893 TE524294:TE525893 ADA524294:ADA525893 AMW524294:AMW525893 AWS524294:AWS525893 BGO524294:BGO525893 BQK524294:BQK525893 CAG524294:CAG525893 CKC524294:CKC525893 CTY524294:CTY525893 DDU524294:DDU525893 DNQ524294:DNQ525893 DXM524294:DXM525893 EHI524294:EHI525893 ERE524294:ERE525893 FBA524294:FBA525893 FKW524294:FKW525893 FUS524294:FUS525893 GEO524294:GEO525893 GOK524294:GOK525893 GYG524294:GYG525893 HIC524294:HIC525893 HRY524294:HRY525893 IBU524294:IBU525893 ILQ524294:ILQ525893 IVM524294:IVM525893 JFI524294:JFI525893 JPE524294:JPE525893 JZA524294:JZA525893 KIW524294:KIW525893 KSS524294:KSS525893 LCO524294:LCO525893 LMK524294:LMK525893 LWG524294:LWG525893 MGC524294:MGC525893 MPY524294:MPY525893 MZU524294:MZU525893 NJQ524294:NJQ525893 NTM524294:NTM525893 ODI524294:ODI525893 ONE524294:ONE525893 OXA524294:OXA525893 PGW524294:PGW525893 PQS524294:PQS525893 QAO524294:QAO525893 QKK524294:QKK525893 QUG524294:QUG525893 REC524294:REC525893 RNY524294:RNY525893 RXU524294:RXU525893 SHQ524294:SHQ525893 SRM524294:SRM525893 TBI524294:TBI525893 TLE524294:TLE525893 TVA524294:TVA525893 UEW524294:UEW525893 UOS524294:UOS525893 UYO524294:UYO525893 VIK524294:VIK525893 VSG524294:VSG525893 WCC524294:WCC525893 WLY524294:WLY525893 WVU524294:WVU525893 JI589830:JI591429 TE589830:TE591429 ADA589830:ADA591429 AMW589830:AMW591429 AWS589830:AWS591429 BGO589830:BGO591429 BQK589830:BQK591429 CAG589830:CAG591429 CKC589830:CKC591429 CTY589830:CTY591429 DDU589830:DDU591429 DNQ589830:DNQ591429 DXM589830:DXM591429 EHI589830:EHI591429 ERE589830:ERE591429 FBA589830:FBA591429 FKW589830:FKW591429 FUS589830:FUS591429 GEO589830:GEO591429 GOK589830:GOK591429 GYG589830:GYG591429 HIC589830:HIC591429 HRY589830:HRY591429 IBU589830:IBU591429 ILQ589830:ILQ591429 IVM589830:IVM591429 JFI589830:JFI591429 JPE589830:JPE591429 JZA589830:JZA591429 KIW589830:KIW591429 KSS589830:KSS591429 LCO589830:LCO591429 LMK589830:LMK591429 LWG589830:LWG591429 MGC589830:MGC591429 MPY589830:MPY591429 MZU589830:MZU591429 NJQ589830:NJQ591429 NTM589830:NTM591429 ODI589830:ODI591429 ONE589830:ONE591429 OXA589830:OXA591429 PGW589830:PGW591429 PQS589830:PQS591429 QAO589830:QAO591429 QKK589830:QKK591429 QUG589830:QUG591429 REC589830:REC591429 RNY589830:RNY591429 RXU589830:RXU591429 SHQ589830:SHQ591429 SRM589830:SRM591429 TBI589830:TBI591429 TLE589830:TLE591429 TVA589830:TVA591429 UEW589830:UEW591429 UOS589830:UOS591429 UYO589830:UYO591429 VIK589830:VIK591429 VSG589830:VSG591429 WCC589830:WCC591429 WLY589830:WLY591429 WVU589830:WVU591429 JI655366:JI656965 TE655366:TE656965 ADA655366:ADA656965 AMW655366:AMW656965 AWS655366:AWS656965 BGO655366:BGO656965 BQK655366:BQK656965 CAG655366:CAG656965 CKC655366:CKC656965 CTY655366:CTY656965 DDU655366:DDU656965 DNQ655366:DNQ656965 DXM655366:DXM656965 EHI655366:EHI656965 ERE655366:ERE656965 FBA655366:FBA656965 FKW655366:FKW656965 FUS655366:FUS656965 GEO655366:GEO656965 GOK655366:GOK656965 GYG655366:GYG656965 HIC655366:HIC656965 HRY655366:HRY656965 IBU655366:IBU656965 ILQ655366:ILQ656965 IVM655366:IVM656965 JFI655366:JFI656965 JPE655366:JPE656965 JZA655366:JZA656965 KIW655366:KIW656965 KSS655366:KSS656965 LCO655366:LCO656965 LMK655366:LMK656965 LWG655366:LWG656965 MGC655366:MGC656965 MPY655366:MPY656965 MZU655366:MZU656965 NJQ655366:NJQ656965 NTM655366:NTM656965 ODI655366:ODI656965 ONE655366:ONE656965 OXA655366:OXA656965 PGW655366:PGW656965 PQS655366:PQS656965 QAO655366:QAO656965 QKK655366:QKK656965 QUG655366:QUG656965 REC655366:REC656965 RNY655366:RNY656965 RXU655366:RXU656965 SHQ655366:SHQ656965 SRM655366:SRM656965 TBI655366:TBI656965 TLE655366:TLE656965 TVA655366:TVA656965 UEW655366:UEW656965 UOS655366:UOS656965 UYO655366:UYO656965 VIK655366:VIK656965 VSG655366:VSG656965 WCC655366:WCC656965 WLY655366:WLY656965 WVU655366:WVU656965 JI720902:JI722501 TE720902:TE722501 ADA720902:ADA722501 AMW720902:AMW722501 AWS720902:AWS722501 BGO720902:BGO722501 BQK720902:BQK722501 CAG720902:CAG722501 CKC720902:CKC722501 CTY720902:CTY722501 DDU720902:DDU722501 DNQ720902:DNQ722501 DXM720902:DXM722501 EHI720902:EHI722501 ERE720902:ERE722501 FBA720902:FBA722501 FKW720902:FKW722501 FUS720902:FUS722501 GEO720902:GEO722501 GOK720902:GOK722501 GYG720902:GYG722501 HIC720902:HIC722501 HRY720902:HRY722501 IBU720902:IBU722501 ILQ720902:ILQ722501 IVM720902:IVM722501 JFI720902:JFI722501 JPE720902:JPE722501 JZA720902:JZA722501 KIW720902:KIW722501 KSS720902:KSS722501 LCO720902:LCO722501 LMK720902:LMK722501 LWG720902:LWG722501 MGC720902:MGC722501 MPY720902:MPY722501 MZU720902:MZU722501 NJQ720902:NJQ722501 NTM720902:NTM722501 ODI720902:ODI722501 ONE720902:ONE722501 OXA720902:OXA722501 PGW720902:PGW722501 PQS720902:PQS722501 QAO720902:QAO722501 QKK720902:QKK722501 QUG720902:QUG722501 REC720902:REC722501 RNY720902:RNY722501 RXU720902:RXU722501 SHQ720902:SHQ722501 SRM720902:SRM722501 TBI720902:TBI722501 TLE720902:TLE722501 TVA720902:TVA722501 UEW720902:UEW722501 UOS720902:UOS722501 UYO720902:UYO722501 VIK720902:VIK722501 VSG720902:VSG722501 WCC720902:WCC722501 WLY720902:WLY722501 WVU720902:WVU722501 JI786438:JI788037 TE786438:TE788037 ADA786438:ADA788037 AMW786438:AMW788037 AWS786438:AWS788037 BGO786438:BGO788037 BQK786438:BQK788037 CAG786438:CAG788037 CKC786438:CKC788037 CTY786438:CTY788037 DDU786438:DDU788037 DNQ786438:DNQ788037 DXM786438:DXM788037 EHI786438:EHI788037 ERE786438:ERE788037 FBA786438:FBA788037 FKW786438:FKW788037 FUS786438:FUS788037 GEO786438:GEO788037 GOK786438:GOK788037 GYG786438:GYG788037 HIC786438:HIC788037 HRY786438:HRY788037 IBU786438:IBU788037 ILQ786438:ILQ788037 IVM786438:IVM788037 JFI786438:JFI788037 JPE786438:JPE788037 JZA786438:JZA788037 KIW786438:KIW788037 KSS786438:KSS788037 LCO786438:LCO788037 LMK786438:LMK788037 LWG786438:LWG788037 MGC786438:MGC788037 MPY786438:MPY788037 MZU786438:MZU788037 NJQ786438:NJQ788037 NTM786438:NTM788037 ODI786438:ODI788037 ONE786438:ONE788037 OXA786438:OXA788037 PGW786438:PGW788037 PQS786438:PQS788037 QAO786438:QAO788037 QKK786438:QKK788037 QUG786438:QUG788037 REC786438:REC788037 RNY786438:RNY788037 RXU786438:RXU788037 SHQ786438:SHQ788037 SRM786438:SRM788037 TBI786438:TBI788037 TLE786438:TLE788037 TVA786438:TVA788037 UEW786438:UEW788037 UOS786438:UOS788037 UYO786438:UYO788037 VIK786438:VIK788037 VSG786438:VSG788037 WCC786438:WCC788037 WLY786438:WLY788037 WVU786438:WVU788037 JI851974:JI853573 TE851974:TE853573 ADA851974:ADA853573 AMW851974:AMW853573 AWS851974:AWS853573 BGO851974:BGO853573 BQK851974:BQK853573 CAG851974:CAG853573 CKC851974:CKC853573 CTY851974:CTY853573 DDU851974:DDU853573 DNQ851974:DNQ853573 DXM851974:DXM853573 EHI851974:EHI853573 ERE851974:ERE853573 FBA851974:FBA853573 FKW851974:FKW853573 FUS851974:FUS853573 GEO851974:GEO853573 GOK851974:GOK853573 GYG851974:GYG853573 HIC851974:HIC853573 HRY851974:HRY853573 IBU851974:IBU853573 ILQ851974:ILQ853573 IVM851974:IVM853573 JFI851974:JFI853573 JPE851974:JPE853573 JZA851974:JZA853573 KIW851974:KIW853573 KSS851974:KSS853573 LCO851974:LCO853573 LMK851974:LMK853573 LWG851974:LWG853573 MGC851974:MGC853573 MPY851974:MPY853573 MZU851974:MZU853573 NJQ851974:NJQ853573 NTM851974:NTM853573 ODI851974:ODI853573 ONE851974:ONE853573 OXA851974:OXA853573 PGW851974:PGW853573 PQS851974:PQS853573 QAO851974:QAO853573 QKK851974:QKK853573 QUG851974:QUG853573 REC851974:REC853573 RNY851974:RNY853573 RXU851974:RXU853573 SHQ851974:SHQ853573 SRM851974:SRM853573 TBI851974:TBI853573 TLE851974:TLE853573 TVA851974:TVA853573 UEW851974:UEW853573 UOS851974:UOS853573 UYO851974:UYO853573 VIK851974:VIK853573 VSG851974:VSG853573 WCC851974:WCC853573 WLY851974:WLY853573 WVU851974:WVU853573 JI917510:JI919109 TE917510:TE919109 ADA917510:ADA919109 AMW917510:AMW919109 AWS917510:AWS919109 BGO917510:BGO919109 BQK917510:BQK919109 CAG917510:CAG919109 CKC917510:CKC919109 CTY917510:CTY919109 DDU917510:DDU919109 DNQ917510:DNQ919109 DXM917510:DXM919109 EHI917510:EHI919109 ERE917510:ERE919109 FBA917510:FBA919109 FKW917510:FKW919109 FUS917510:FUS919109 GEO917510:GEO919109 GOK917510:GOK919109 GYG917510:GYG919109 HIC917510:HIC919109 HRY917510:HRY919109 IBU917510:IBU919109 ILQ917510:ILQ919109 IVM917510:IVM919109 JFI917510:JFI919109 JPE917510:JPE919109 JZA917510:JZA919109 KIW917510:KIW919109 KSS917510:KSS919109 LCO917510:LCO919109 LMK917510:LMK919109 LWG917510:LWG919109 MGC917510:MGC919109 MPY917510:MPY919109 MZU917510:MZU919109 NJQ917510:NJQ919109 NTM917510:NTM919109 ODI917510:ODI919109 ONE917510:ONE919109 OXA917510:OXA919109 PGW917510:PGW919109 PQS917510:PQS919109 QAO917510:QAO919109 QKK917510:QKK919109 QUG917510:QUG919109 REC917510:REC919109 RNY917510:RNY919109 RXU917510:RXU919109 SHQ917510:SHQ919109 SRM917510:SRM919109 TBI917510:TBI919109 TLE917510:TLE919109 TVA917510:TVA919109 UEW917510:UEW919109 UOS917510:UOS919109 UYO917510:UYO919109 VIK917510:VIK919109 VSG917510:VSG919109 WCC917510:WCC919109 WLY917510:WLY919109 WVU917510:WVU919109 JI983046:JI984645 TE983046:TE984645 ADA983046:ADA984645 AMW983046:AMW984645 AWS983046:AWS984645 BGO983046:BGO984645 BQK983046:BQK984645 CAG983046:CAG984645 CKC983046:CKC984645 CTY983046:CTY984645 DDU983046:DDU984645 DNQ983046:DNQ984645 DXM983046:DXM984645 EHI983046:EHI984645 ERE983046:ERE984645 FBA983046:FBA984645 FKW983046:FKW984645 FUS983046:FUS984645 GEO983046:GEO984645 GOK983046:GOK984645 GYG983046:GYG984645 HIC983046:HIC984645 HRY983046:HRY984645 IBU983046:IBU984645 ILQ983046:ILQ984645 IVM983046:IVM984645 JFI983046:JFI984645 JPE983046:JPE984645 JZA983046:JZA984645 KIW983046:KIW984645 KSS983046:KSS984645 LCO983046:LCO984645 LMK983046:LMK984645 LWG983046:LWG984645 MGC983046:MGC984645 MPY983046:MPY984645 MZU983046:MZU984645 NJQ983046:NJQ984645 NTM983046:NTM984645 ODI983046:ODI984645 ONE983046:ONE984645 OXA983046:OXA984645 PGW983046:PGW984645 PQS983046:PQS984645 QAO983046:QAO984645 QKK983046:QKK984645 QUG983046:QUG984645 REC983046:REC984645 RNY983046:RNY984645 RXU983046:RXU984645 SHQ983046:SHQ984645 SRM983046:SRM984645 TBI983046:TBI984645 TLE983046:TLE984645 TVA983046:TVA984645 UEW983046:UEW984645 UOS983046:UOS984645 UYO983046:UYO984645 VIK983046:VIK984645 VSG983046:VSG984645 WCC983046:WCC984645 WLY983046:WLY984645 WVU983046:WVU984645 JK6:JK1605 TG6:TG1605 ADC6:ADC1605 AMY6:AMY1605 AWU6:AWU1605 BGQ6:BGQ1605 BQM6:BQM1605 CAI6:CAI1605 CKE6:CKE1605 CUA6:CUA1605 DDW6:DDW1605 DNS6:DNS1605 DXO6:DXO1605 EHK6:EHK1605 ERG6:ERG1605 FBC6:FBC1605 FKY6:FKY1605 FUU6:FUU1605 GEQ6:GEQ1605 GOM6:GOM1605 GYI6:GYI1605 HIE6:HIE1605 HSA6:HSA1605 IBW6:IBW1605 ILS6:ILS1605 IVO6:IVO1605 JFK6:JFK1605 JPG6:JPG1605 JZC6:JZC1605 KIY6:KIY1605 KSU6:KSU1605 LCQ6:LCQ1605 LMM6:LMM1605 LWI6:LWI1605 MGE6:MGE1605 MQA6:MQA1605 MZW6:MZW1605 NJS6:NJS1605 NTO6:NTO1605 ODK6:ODK1605 ONG6:ONG1605 OXC6:OXC1605 PGY6:PGY1605 PQU6:PQU1605 QAQ6:QAQ1605 QKM6:QKM1605 QUI6:QUI1605 REE6:REE1605 ROA6:ROA1605 RXW6:RXW1605 SHS6:SHS1605 SRO6:SRO1605 TBK6:TBK1605 TLG6:TLG1605 TVC6:TVC1605 UEY6:UEY1605 UOU6:UOU1605 UYQ6:UYQ1605 VIM6:VIM1605 VSI6:VSI1605 WCE6:WCE1605 WMA6:WMA1605 WVW6:WVW1605 JK65542:JK67141 TG65542:TG67141 ADC65542:ADC67141 AMY65542:AMY67141 AWU65542:AWU67141 BGQ65542:BGQ67141 BQM65542:BQM67141 CAI65542:CAI67141 CKE65542:CKE67141 CUA65542:CUA67141 DDW65542:DDW67141 DNS65542:DNS67141 DXO65542:DXO67141 EHK65542:EHK67141 ERG65542:ERG67141 FBC65542:FBC67141 FKY65542:FKY67141 FUU65542:FUU67141 GEQ65542:GEQ67141 GOM65542:GOM67141 GYI65542:GYI67141 HIE65542:HIE67141 HSA65542:HSA67141 IBW65542:IBW67141 ILS65542:ILS67141 IVO65542:IVO67141 JFK65542:JFK67141 JPG65542:JPG67141 JZC65542:JZC67141 KIY65542:KIY67141 KSU65542:KSU67141 LCQ65542:LCQ67141 LMM65542:LMM67141 LWI65542:LWI67141 MGE65542:MGE67141 MQA65542:MQA67141 MZW65542:MZW67141 NJS65542:NJS67141 NTO65542:NTO67141 ODK65542:ODK67141 ONG65542:ONG67141 OXC65542:OXC67141 PGY65542:PGY67141 PQU65542:PQU67141 QAQ65542:QAQ67141 QKM65542:QKM67141 QUI65542:QUI67141 REE65542:REE67141 ROA65542:ROA67141 RXW65542:RXW67141 SHS65542:SHS67141 SRO65542:SRO67141 TBK65542:TBK67141 TLG65542:TLG67141 TVC65542:TVC67141 UEY65542:UEY67141 UOU65542:UOU67141 UYQ65542:UYQ67141 VIM65542:VIM67141 VSI65542:VSI67141 WCE65542:WCE67141 WMA65542:WMA67141 WVW65542:WVW67141 JK131078:JK132677 TG131078:TG132677 ADC131078:ADC132677 AMY131078:AMY132677 AWU131078:AWU132677 BGQ131078:BGQ132677 BQM131078:BQM132677 CAI131078:CAI132677 CKE131078:CKE132677 CUA131078:CUA132677 DDW131078:DDW132677 DNS131078:DNS132677 DXO131078:DXO132677 EHK131078:EHK132677 ERG131078:ERG132677 FBC131078:FBC132677 FKY131078:FKY132677 FUU131078:FUU132677 GEQ131078:GEQ132677 GOM131078:GOM132677 GYI131078:GYI132677 HIE131078:HIE132677 HSA131078:HSA132677 IBW131078:IBW132677 ILS131078:ILS132677 IVO131078:IVO132677 JFK131078:JFK132677 JPG131078:JPG132677 JZC131078:JZC132677 KIY131078:KIY132677 KSU131078:KSU132677 LCQ131078:LCQ132677 LMM131078:LMM132677 LWI131078:LWI132677 MGE131078:MGE132677 MQA131078:MQA132677 MZW131078:MZW132677 NJS131078:NJS132677 NTO131078:NTO132677 ODK131078:ODK132677 ONG131078:ONG132677 OXC131078:OXC132677 PGY131078:PGY132677 PQU131078:PQU132677 QAQ131078:QAQ132677 QKM131078:QKM132677 QUI131078:QUI132677 REE131078:REE132677 ROA131078:ROA132677 RXW131078:RXW132677 SHS131078:SHS132677 SRO131078:SRO132677 TBK131078:TBK132677 TLG131078:TLG132677 TVC131078:TVC132677 UEY131078:UEY132677 UOU131078:UOU132677 UYQ131078:UYQ132677 VIM131078:VIM132677 VSI131078:VSI132677 WCE131078:WCE132677 WMA131078:WMA132677 WVW131078:WVW132677 JK196614:JK198213 TG196614:TG198213 ADC196614:ADC198213 AMY196614:AMY198213 AWU196614:AWU198213 BGQ196614:BGQ198213 BQM196614:BQM198213 CAI196614:CAI198213 CKE196614:CKE198213 CUA196614:CUA198213 DDW196614:DDW198213 DNS196614:DNS198213 DXO196614:DXO198213 EHK196614:EHK198213 ERG196614:ERG198213 FBC196614:FBC198213 FKY196614:FKY198213 FUU196614:FUU198213 GEQ196614:GEQ198213 GOM196614:GOM198213 GYI196614:GYI198213 HIE196614:HIE198213 HSA196614:HSA198213 IBW196614:IBW198213 ILS196614:ILS198213 IVO196614:IVO198213 JFK196614:JFK198213 JPG196614:JPG198213 JZC196614:JZC198213 KIY196614:KIY198213 KSU196614:KSU198213 LCQ196614:LCQ198213 LMM196614:LMM198213 LWI196614:LWI198213 MGE196614:MGE198213 MQA196614:MQA198213 MZW196614:MZW198213 NJS196614:NJS198213 NTO196614:NTO198213 ODK196614:ODK198213 ONG196614:ONG198213 OXC196614:OXC198213 PGY196614:PGY198213 PQU196614:PQU198213 QAQ196614:QAQ198213 QKM196614:QKM198213 QUI196614:QUI198213 REE196614:REE198213 ROA196614:ROA198213 RXW196614:RXW198213 SHS196614:SHS198213 SRO196614:SRO198213 TBK196614:TBK198213 TLG196614:TLG198213 TVC196614:TVC198213 UEY196614:UEY198213 UOU196614:UOU198213 UYQ196614:UYQ198213 VIM196614:VIM198213 VSI196614:VSI198213 WCE196614:WCE198213 WMA196614:WMA198213 WVW196614:WVW198213 JK262150:JK263749 TG262150:TG263749 ADC262150:ADC263749 AMY262150:AMY263749 AWU262150:AWU263749 BGQ262150:BGQ263749 BQM262150:BQM263749 CAI262150:CAI263749 CKE262150:CKE263749 CUA262150:CUA263749 DDW262150:DDW263749 DNS262150:DNS263749 DXO262150:DXO263749 EHK262150:EHK263749 ERG262150:ERG263749 FBC262150:FBC263749 FKY262150:FKY263749 FUU262150:FUU263749 GEQ262150:GEQ263749 GOM262150:GOM263749 GYI262150:GYI263749 HIE262150:HIE263749 HSA262150:HSA263749 IBW262150:IBW263749 ILS262150:ILS263749 IVO262150:IVO263749 JFK262150:JFK263749 JPG262150:JPG263749 JZC262150:JZC263749 KIY262150:KIY263749 KSU262150:KSU263749 LCQ262150:LCQ263749 LMM262150:LMM263749 LWI262150:LWI263749 MGE262150:MGE263749 MQA262150:MQA263749 MZW262150:MZW263749 NJS262150:NJS263749 NTO262150:NTO263749 ODK262150:ODK263749 ONG262150:ONG263749 OXC262150:OXC263749 PGY262150:PGY263749 PQU262150:PQU263749 QAQ262150:QAQ263749 QKM262150:QKM263749 QUI262150:QUI263749 REE262150:REE263749 ROA262150:ROA263749 RXW262150:RXW263749 SHS262150:SHS263749 SRO262150:SRO263749 TBK262150:TBK263749 TLG262150:TLG263749 TVC262150:TVC263749 UEY262150:UEY263749 UOU262150:UOU263749 UYQ262150:UYQ263749 VIM262150:VIM263749 VSI262150:VSI263749 WCE262150:WCE263749 WMA262150:WMA263749 WVW262150:WVW263749 JK327686:JK329285 TG327686:TG329285 ADC327686:ADC329285 AMY327686:AMY329285 AWU327686:AWU329285 BGQ327686:BGQ329285 BQM327686:BQM329285 CAI327686:CAI329285 CKE327686:CKE329285 CUA327686:CUA329285 DDW327686:DDW329285 DNS327686:DNS329285 DXO327686:DXO329285 EHK327686:EHK329285 ERG327686:ERG329285 FBC327686:FBC329285 FKY327686:FKY329285 FUU327686:FUU329285 GEQ327686:GEQ329285 GOM327686:GOM329285 GYI327686:GYI329285 HIE327686:HIE329285 HSA327686:HSA329285 IBW327686:IBW329285 ILS327686:ILS329285 IVO327686:IVO329285 JFK327686:JFK329285 JPG327686:JPG329285 JZC327686:JZC329285 KIY327686:KIY329285 KSU327686:KSU329285 LCQ327686:LCQ329285 LMM327686:LMM329285 LWI327686:LWI329285 MGE327686:MGE329285 MQA327686:MQA329285 MZW327686:MZW329285 NJS327686:NJS329285 NTO327686:NTO329285 ODK327686:ODK329285 ONG327686:ONG329285 OXC327686:OXC329285 PGY327686:PGY329285 PQU327686:PQU329285 QAQ327686:QAQ329285 QKM327686:QKM329285 QUI327686:QUI329285 REE327686:REE329285 ROA327686:ROA329285 RXW327686:RXW329285 SHS327686:SHS329285 SRO327686:SRO329285 TBK327686:TBK329285 TLG327686:TLG329285 TVC327686:TVC329285 UEY327686:UEY329285 UOU327686:UOU329285 UYQ327686:UYQ329285 VIM327686:VIM329285 VSI327686:VSI329285 WCE327686:WCE329285 WMA327686:WMA329285 WVW327686:WVW329285 JK393222:JK394821 TG393222:TG394821 ADC393222:ADC394821 AMY393222:AMY394821 AWU393222:AWU394821 BGQ393222:BGQ394821 BQM393222:BQM394821 CAI393222:CAI394821 CKE393222:CKE394821 CUA393222:CUA394821 DDW393222:DDW394821 DNS393222:DNS394821 DXO393222:DXO394821 EHK393222:EHK394821 ERG393222:ERG394821 FBC393222:FBC394821 FKY393222:FKY394821 FUU393222:FUU394821 GEQ393222:GEQ394821 GOM393222:GOM394821 GYI393222:GYI394821 HIE393222:HIE394821 HSA393222:HSA394821 IBW393222:IBW394821 ILS393222:ILS394821 IVO393222:IVO394821 JFK393222:JFK394821 JPG393222:JPG394821 JZC393222:JZC394821 KIY393222:KIY394821 KSU393222:KSU394821 LCQ393222:LCQ394821 LMM393222:LMM394821 LWI393222:LWI394821 MGE393222:MGE394821 MQA393222:MQA394821 MZW393222:MZW394821 NJS393222:NJS394821 NTO393222:NTO394821 ODK393222:ODK394821 ONG393222:ONG394821 OXC393222:OXC394821 PGY393222:PGY394821 PQU393222:PQU394821 QAQ393222:QAQ394821 QKM393222:QKM394821 QUI393222:QUI394821 REE393222:REE394821 ROA393222:ROA394821 RXW393222:RXW394821 SHS393222:SHS394821 SRO393222:SRO394821 TBK393222:TBK394821 TLG393222:TLG394821 TVC393222:TVC394821 UEY393222:UEY394821 UOU393222:UOU394821 UYQ393222:UYQ394821 VIM393222:VIM394821 VSI393222:VSI394821 WCE393222:WCE394821 WMA393222:WMA394821 WVW393222:WVW394821 JK458758:JK460357 TG458758:TG460357 ADC458758:ADC460357 AMY458758:AMY460357 AWU458758:AWU460357 BGQ458758:BGQ460357 BQM458758:BQM460357 CAI458758:CAI460357 CKE458758:CKE460357 CUA458758:CUA460357 DDW458758:DDW460357 DNS458758:DNS460357 DXO458758:DXO460357 EHK458758:EHK460357 ERG458758:ERG460357 FBC458758:FBC460357 FKY458758:FKY460357 FUU458758:FUU460357 GEQ458758:GEQ460357 GOM458758:GOM460357 GYI458758:GYI460357 HIE458758:HIE460357 HSA458758:HSA460357 IBW458758:IBW460357 ILS458758:ILS460357 IVO458758:IVO460357 JFK458758:JFK460357 JPG458758:JPG460357 JZC458758:JZC460357 KIY458758:KIY460357 KSU458758:KSU460357 LCQ458758:LCQ460357 LMM458758:LMM460357 LWI458758:LWI460357 MGE458758:MGE460357 MQA458758:MQA460357 MZW458758:MZW460357 NJS458758:NJS460357 NTO458758:NTO460357 ODK458758:ODK460357 ONG458758:ONG460357 OXC458758:OXC460357 PGY458758:PGY460357 PQU458758:PQU460357 QAQ458758:QAQ460357 QKM458758:QKM460357 QUI458758:QUI460357 REE458758:REE460357 ROA458758:ROA460357 RXW458758:RXW460357 SHS458758:SHS460357 SRO458758:SRO460357 TBK458758:TBK460357 TLG458758:TLG460357 TVC458758:TVC460357 UEY458758:UEY460357 UOU458758:UOU460357 UYQ458758:UYQ460357 VIM458758:VIM460357 VSI458758:VSI460357 WCE458758:WCE460357 WMA458758:WMA460357 WVW458758:WVW460357 JK524294:JK525893 TG524294:TG525893 ADC524294:ADC525893 AMY524294:AMY525893 AWU524294:AWU525893 BGQ524294:BGQ525893 BQM524294:BQM525893 CAI524294:CAI525893 CKE524294:CKE525893 CUA524294:CUA525893 DDW524294:DDW525893 DNS524294:DNS525893 DXO524294:DXO525893 EHK524294:EHK525893 ERG524294:ERG525893 FBC524294:FBC525893 FKY524294:FKY525893 FUU524294:FUU525893 GEQ524294:GEQ525893 GOM524294:GOM525893 GYI524294:GYI525893 HIE524294:HIE525893 HSA524294:HSA525893 IBW524294:IBW525893 ILS524294:ILS525893 IVO524294:IVO525893 JFK524294:JFK525893 JPG524294:JPG525893 JZC524294:JZC525893 KIY524294:KIY525893 KSU524294:KSU525893 LCQ524294:LCQ525893 LMM524294:LMM525893 LWI524294:LWI525893 MGE524294:MGE525893 MQA524294:MQA525893 MZW524294:MZW525893 NJS524294:NJS525893 NTO524294:NTO525893 ODK524294:ODK525893 ONG524294:ONG525893 OXC524294:OXC525893 PGY524294:PGY525893 PQU524294:PQU525893 QAQ524294:QAQ525893 QKM524294:QKM525893 QUI524294:QUI525893 REE524294:REE525893 ROA524294:ROA525893 RXW524294:RXW525893 SHS524294:SHS525893 SRO524294:SRO525893 TBK524294:TBK525893 TLG524294:TLG525893 TVC524294:TVC525893 UEY524294:UEY525893 UOU524294:UOU525893 UYQ524294:UYQ525893 VIM524294:VIM525893 VSI524294:VSI525893 WCE524294:WCE525893 WMA524294:WMA525893 WVW524294:WVW525893 JK589830:JK591429 TG589830:TG591429 ADC589830:ADC591429 AMY589830:AMY591429 AWU589830:AWU591429 BGQ589830:BGQ591429 BQM589830:BQM591429 CAI589830:CAI591429 CKE589830:CKE591429 CUA589830:CUA591429 DDW589830:DDW591429 DNS589830:DNS591429 DXO589830:DXO591429 EHK589830:EHK591429 ERG589830:ERG591429 FBC589830:FBC591429 FKY589830:FKY591429 FUU589830:FUU591429 GEQ589830:GEQ591429 GOM589830:GOM591429 GYI589830:GYI591429 HIE589830:HIE591429 HSA589830:HSA591429 IBW589830:IBW591429 ILS589830:ILS591429 IVO589830:IVO591429 JFK589830:JFK591429 JPG589830:JPG591429 JZC589830:JZC591429 KIY589830:KIY591429 KSU589830:KSU591429 LCQ589830:LCQ591429 LMM589830:LMM591429 LWI589830:LWI591429 MGE589830:MGE591429 MQA589830:MQA591429 MZW589830:MZW591429 NJS589830:NJS591429 NTO589830:NTO591429 ODK589830:ODK591429 ONG589830:ONG591429 OXC589830:OXC591429 PGY589830:PGY591429 PQU589830:PQU591429 QAQ589830:QAQ591429 QKM589830:QKM591429 QUI589830:QUI591429 REE589830:REE591429 ROA589830:ROA591429 RXW589830:RXW591429 SHS589830:SHS591429 SRO589830:SRO591429 TBK589830:TBK591429 TLG589830:TLG591429 TVC589830:TVC591429 UEY589830:UEY591429 UOU589830:UOU591429 UYQ589830:UYQ591429 VIM589830:VIM591429 VSI589830:VSI591429 WCE589830:WCE591429 WMA589830:WMA591429 WVW589830:WVW591429 JK655366:JK656965 TG655366:TG656965 ADC655366:ADC656965 AMY655366:AMY656965 AWU655366:AWU656965 BGQ655366:BGQ656965 BQM655366:BQM656965 CAI655366:CAI656965 CKE655366:CKE656965 CUA655366:CUA656965 DDW655366:DDW656965 DNS655366:DNS656965 DXO655366:DXO656965 EHK655366:EHK656965 ERG655366:ERG656965 FBC655366:FBC656965 FKY655366:FKY656965 FUU655366:FUU656965 GEQ655366:GEQ656965 GOM655366:GOM656965 GYI655366:GYI656965 HIE655366:HIE656965 HSA655366:HSA656965 IBW655366:IBW656965 ILS655366:ILS656965 IVO655366:IVO656965 JFK655366:JFK656965 JPG655366:JPG656965 JZC655366:JZC656965 KIY655366:KIY656965 KSU655366:KSU656965 LCQ655366:LCQ656965 LMM655366:LMM656965 LWI655366:LWI656965 MGE655366:MGE656965 MQA655366:MQA656965 MZW655366:MZW656965 NJS655366:NJS656965 NTO655366:NTO656965 ODK655366:ODK656965 ONG655366:ONG656965 OXC655366:OXC656965 PGY655366:PGY656965 PQU655366:PQU656965 QAQ655366:QAQ656965 QKM655366:QKM656965 QUI655366:QUI656965 REE655366:REE656965 ROA655366:ROA656965 RXW655366:RXW656965 SHS655366:SHS656965 SRO655366:SRO656965 TBK655366:TBK656965 TLG655366:TLG656965 TVC655366:TVC656965 UEY655366:UEY656965 UOU655366:UOU656965 UYQ655366:UYQ656965 VIM655366:VIM656965 VSI655366:VSI656965 WCE655366:WCE656965 WMA655366:WMA656965 WVW655366:WVW656965 JK720902:JK722501 TG720902:TG722501 ADC720902:ADC722501 AMY720902:AMY722501 AWU720902:AWU722501 BGQ720902:BGQ722501 BQM720902:BQM722501 CAI720902:CAI722501 CKE720902:CKE722501 CUA720902:CUA722501 DDW720902:DDW722501 DNS720902:DNS722501 DXO720902:DXO722501 EHK720902:EHK722501 ERG720902:ERG722501 FBC720902:FBC722501 FKY720902:FKY722501 FUU720902:FUU722501 GEQ720902:GEQ722501 GOM720902:GOM722501 GYI720902:GYI722501 HIE720902:HIE722501 HSA720902:HSA722501 IBW720902:IBW722501 ILS720902:ILS722501 IVO720902:IVO722501 JFK720902:JFK722501 JPG720902:JPG722501 JZC720902:JZC722501 KIY720902:KIY722501 KSU720902:KSU722501 LCQ720902:LCQ722501 LMM720902:LMM722501 LWI720902:LWI722501 MGE720902:MGE722501 MQA720902:MQA722501 MZW720902:MZW722501 NJS720902:NJS722501 NTO720902:NTO722501 ODK720902:ODK722501 ONG720902:ONG722501 OXC720902:OXC722501 PGY720902:PGY722501 PQU720902:PQU722501 QAQ720902:QAQ722501 QKM720902:QKM722501 QUI720902:QUI722501 REE720902:REE722501 ROA720902:ROA722501 RXW720902:RXW722501 SHS720902:SHS722501 SRO720902:SRO722501 TBK720902:TBK722501 TLG720902:TLG722501 TVC720902:TVC722501 UEY720902:UEY722501 UOU720902:UOU722501 UYQ720902:UYQ722501 VIM720902:VIM722501 VSI720902:VSI722501 WCE720902:WCE722501 WMA720902:WMA722501 WVW720902:WVW722501 JK786438:JK788037 TG786438:TG788037 ADC786438:ADC788037 AMY786438:AMY788037 AWU786438:AWU788037 BGQ786438:BGQ788037 BQM786438:BQM788037 CAI786438:CAI788037 CKE786438:CKE788037 CUA786438:CUA788037 DDW786438:DDW788037 DNS786438:DNS788037 DXO786438:DXO788037 EHK786438:EHK788037 ERG786438:ERG788037 FBC786438:FBC788037 FKY786438:FKY788037 FUU786438:FUU788037 GEQ786438:GEQ788037 GOM786438:GOM788037 GYI786438:GYI788037 HIE786438:HIE788037 HSA786438:HSA788037 IBW786438:IBW788037 ILS786438:ILS788037 IVO786438:IVO788037 JFK786438:JFK788037 JPG786438:JPG788037 JZC786438:JZC788037 KIY786438:KIY788037 KSU786438:KSU788037 LCQ786438:LCQ788037 LMM786438:LMM788037 LWI786438:LWI788037 MGE786438:MGE788037 MQA786438:MQA788037 MZW786438:MZW788037 NJS786438:NJS788037 NTO786438:NTO788037 ODK786438:ODK788037 ONG786438:ONG788037 OXC786438:OXC788037 PGY786438:PGY788037 PQU786438:PQU788037 QAQ786438:QAQ788037 QKM786438:QKM788037 QUI786438:QUI788037 REE786438:REE788037 ROA786438:ROA788037 RXW786438:RXW788037 SHS786438:SHS788037 SRO786438:SRO788037 TBK786438:TBK788037 TLG786438:TLG788037 TVC786438:TVC788037 UEY786438:UEY788037 UOU786438:UOU788037 UYQ786438:UYQ788037 VIM786438:VIM788037 VSI786438:VSI788037 WCE786438:WCE788037 WMA786438:WMA788037 WVW786438:WVW788037 JK851974:JK853573 TG851974:TG853573 ADC851974:ADC853573 AMY851974:AMY853573 AWU851974:AWU853573 BGQ851974:BGQ853573 BQM851974:BQM853573 CAI851974:CAI853573 CKE851974:CKE853573 CUA851974:CUA853573 DDW851974:DDW853573 DNS851974:DNS853573 DXO851974:DXO853573 EHK851974:EHK853573 ERG851974:ERG853573 FBC851974:FBC853573 FKY851974:FKY853573 FUU851974:FUU853573 GEQ851974:GEQ853573 GOM851974:GOM853573 GYI851974:GYI853573 HIE851974:HIE853573 HSA851974:HSA853573 IBW851974:IBW853573 ILS851974:ILS853573 IVO851974:IVO853573 JFK851974:JFK853573 JPG851974:JPG853573 JZC851974:JZC853573 KIY851974:KIY853573 KSU851974:KSU853573 LCQ851974:LCQ853573 LMM851974:LMM853573 LWI851974:LWI853573 MGE851974:MGE853573 MQA851974:MQA853573 MZW851974:MZW853573 NJS851974:NJS853573 NTO851974:NTO853573 ODK851974:ODK853573 ONG851974:ONG853573 OXC851974:OXC853573 PGY851974:PGY853573 PQU851974:PQU853573 QAQ851974:QAQ853573 QKM851974:QKM853573 QUI851974:QUI853573 REE851974:REE853573 ROA851974:ROA853573 RXW851974:RXW853573 SHS851974:SHS853573 SRO851974:SRO853573 TBK851974:TBK853573 TLG851974:TLG853573 TVC851974:TVC853573 UEY851974:UEY853573 UOU851974:UOU853573 UYQ851974:UYQ853573 VIM851974:VIM853573 VSI851974:VSI853573 WCE851974:WCE853573 WMA851974:WMA853573 WVW851974:WVW853573 JK917510:JK919109 TG917510:TG919109 ADC917510:ADC919109 AMY917510:AMY919109 AWU917510:AWU919109 BGQ917510:BGQ919109 BQM917510:BQM919109 CAI917510:CAI919109 CKE917510:CKE919109 CUA917510:CUA919109 DDW917510:DDW919109 DNS917510:DNS919109 DXO917510:DXO919109 EHK917510:EHK919109 ERG917510:ERG919109 FBC917510:FBC919109 FKY917510:FKY919109 FUU917510:FUU919109 GEQ917510:GEQ919109 GOM917510:GOM919109 GYI917510:GYI919109 HIE917510:HIE919109 HSA917510:HSA919109 IBW917510:IBW919109 ILS917510:ILS919109 IVO917510:IVO919109 JFK917510:JFK919109 JPG917510:JPG919109 JZC917510:JZC919109 KIY917510:KIY919109 KSU917510:KSU919109 LCQ917510:LCQ919109 LMM917510:LMM919109 LWI917510:LWI919109 MGE917510:MGE919109 MQA917510:MQA919109 MZW917510:MZW919109 NJS917510:NJS919109 NTO917510:NTO919109 ODK917510:ODK919109 ONG917510:ONG919109 OXC917510:OXC919109 PGY917510:PGY919109 PQU917510:PQU919109 QAQ917510:QAQ919109 QKM917510:QKM919109 QUI917510:QUI919109 REE917510:REE919109 ROA917510:ROA919109 RXW917510:RXW919109 SHS917510:SHS919109 SRO917510:SRO919109 TBK917510:TBK919109 TLG917510:TLG919109 TVC917510:TVC919109 UEY917510:UEY919109 UOU917510:UOU919109 UYQ917510:UYQ919109 VIM917510:VIM919109 VSI917510:VSI919109 WCE917510:WCE919109 WMA917510:WMA919109 WVW917510:WVW919109 JK983046:JK984645 TG983046:TG984645 ADC983046:ADC984645 AMY983046:AMY984645 AWU983046:AWU984645 BGQ983046:BGQ984645 BQM983046:BQM984645 CAI983046:CAI984645 CKE983046:CKE984645 CUA983046:CUA984645 DDW983046:DDW984645 DNS983046:DNS984645 DXO983046:DXO984645 EHK983046:EHK984645 ERG983046:ERG984645 FBC983046:FBC984645 FKY983046:FKY984645 FUU983046:FUU984645 GEQ983046:GEQ984645 GOM983046:GOM984645 GYI983046:GYI984645 HIE983046:HIE984645 HSA983046:HSA984645 IBW983046:IBW984645 ILS983046:ILS984645 IVO983046:IVO984645 JFK983046:JFK984645 JPG983046:JPG984645 JZC983046:JZC984645 KIY983046:KIY984645 KSU983046:KSU984645 LCQ983046:LCQ984645 LMM983046:LMM984645 LWI983046:LWI984645 MGE983046:MGE984645 MQA983046:MQA984645 MZW983046:MZW984645 NJS983046:NJS984645 NTO983046:NTO984645 ODK983046:ODK984645 ONG983046:ONG984645 OXC983046:OXC984645 PGY983046:PGY984645 PQU983046:PQU984645 QAQ983046:QAQ984645 QKM983046:QKM984645 QUI983046:QUI984645 REE983046:REE984645 ROA983046:ROA984645 RXW983046:RXW984645 SHS983046:SHS984645 SRO983046:SRO984645 TBK983046:TBK984645 TLG983046:TLG984645 TVC983046:TVC984645 UEY983046:UEY984645 UOU983046:UOU984645 UYQ983046:UYQ984645 VIM983046:VIM984645 VSI983046:VSI984645 WCE983046:WCE984645 WMA983046:WMA984645 WVW983046:WVW984645 I6:I1605 L983046:L984645 L917510:L919109 L851974:L853573 L786438:L788037 L720902:L722501 L655366:L656965 L589830:L591429 L524294:L525893 L458758:L460357 L393222:L394821 L327686:L329285 L262150:L263749 L196614:L198213 L131078:L132677 L65542:L67141 I983046:I984645 I917510:I919109 I851974:I853573 I786438:I788037 I720902:I722501 I655366:I656965 I589830:I591429 I524294:I525893 I458758:I460357 I393222:I394821 I327686:I329285 I262150:I263749 I196614:I198213 I131078:I132677 I65542:I67141 K6:K1605">
      <formula1>"X"</formula1>
    </dataValidation>
  </dataValidations>
  <pageMargins left="3.937007874015748E-2" right="0" top="0" bottom="0" header="0" footer="0"/>
  <pageSetup paperSize="9"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indexed="10"/>
  </sheetPr>
  <dimension ref="A1:R36"/>
  <sheetViews>
    <sheetView showGridLines="0" showZeros="0" topLeftCell="A4" workbookViewId="0">
      <selection activeCell="G17" sqref="G17"/>
    </sheetView>
  </sheetViews>
  <sheetFormatPr defaultRowHeight="15.75" x14ac:dyDescent="0.25"/>
  <cols>
    <col min="1" max="1" width="17" style="387" customWidth="1"/>
    <col min="2" max="9" width="7.5" style="387" customWidth="1"/>
    <col min="10" max="10" width="9.125" style="387" customWidth="1"/>
    <col min="11" max="11" width="3.5" style="387" customWidth="1"/>
    <col min="12" max="12" width="22.375" style="387" customWidth="1"/>
    <col min="13" max="14" width="10.125" style="388" customWidth="1"/>
    <col min="15" max="15" width="11.25" style="388" customWidth="1"/>
    <col min="16" max="16" width="10.125" style="388" customWidth="1"/>
    <col min="17" max="17" width="8.875" style="387" customWidth="1"/>
    <col min="18" max="18" width="2.625" style="387" hidden="1" customWidth="1"/>
    <col min="19" max="256" width="9" style="387"/>
    <col min="257" max="257" width="15.5" style="387" customWidth="1"/>
    <col min="258" max="265" width="7.5" style="387" customWidth="1"/>
    <col min="266" max="266" width="9.125" style="387" customWidth="1"/>
    <col min="267" max="267" width="4.125" style="387" customWidth="1"/>
    <col min="268" max="268" width="20.25" style="387" customWidth="1"/>
    <col min="269" max="270" width="10.125" style="387" customWidth="1"/>
    <col min="271" max="271" width="11.25" style="387" customWidth="1"/>
    <col min="272" max="272" width="10.125" style="387" customWidth="1"/>
    <col min="273" max="273" width="8.875" style="387" customWidth="1"/>
    <col min="274" max="274" width="0" style="387" hidden="1" customWidth="1"/>
    <col min="275" max="512" width="9" style="387"/>
    <col min="513" max="513" width="15.5" style="387" customWidth="1"/>
    <col min="514" max="521" width="7.5" style="387" customWidth="1"/>
    <col min="522" max="522" width="9.125" style="387" customWidth="1"/>
    <col min="523" max="523" width="4.125" style="387" customWidth="1"/>
    <col min="524" max="524" width="20.25" style="387" customWidth="1"/>
    <col min="525" max="526" width="10.125" style="387" customWidth="1"/>
    <col min="527" max="527" width="11.25" style="387" customWidth="1"/>
    <col min="528" max="528" width="10.125" style="387" customWidth="1"/>
    <col min="529" max="529" width="8.875" style="387" customWidth="1"/>
    <col min="530" max="530" width="0" style="387" hidden="1" customWidth="1"/>
    <col min="531" max="768" width="9" style="387"/>
    <col min="769" max="769" width="15.5" style="387" customWidth="1"/>
    <col min="770" max="777" width="7.5" style="387" customWidth="1"/>
    <col min="778" max="778" width="9.125" style="387" customWidth="1"/>
    <col min="779" max="779" width="4.125" style="387" customWidth="1"/>
    <col min="780" max="780" width="20.25" style="387" customWidth="1"/>
    <col min="781" max="782" width="10.125" style="387" customWidth="1"/>
    <col min="783" max="783" width="11.25" style="387" customWidth="1"/>
    <col min="784" max="784" width="10.125" style="387" customWidth="1"/>
    <col min="785" max="785" width="8.875" style="387" customWidth="1"/>
    <col min="786" max="786" width="0" style="387" hidden="1" customWidth="1"/>
    <col min="787" max="1024" width="9" style="387"/>
    <col min="1025" max="1025" width="15.5" style="387" customWidth="1"/>
    <col min="1026" max="1033" width="7.5" style="387" customWidth="1"/>
    <col min="1034" max="1034" width="9.125" style="387" customWidth="1"/>
    <col min="1035" max="1035" width="4.125" style="387" customWidth="1"/>
    <col min="1036" max="1036" width="20.25" style="387" customWidth="1"/>
    <col min="1037" max="1038" width="10.125" style="387" customWidth="1"/>
    <col min="1039" max="1039" width="11.25" style="387" customWidth="1"/>
    <col min="1040" max="1040" width="10.125" style="387" customWidth="1"/>
    <col min="1041" max="1041" width="8.875" style="387" customWidth="1"/>
    <col min="1042" max="1042" width="0" style="387" hidden="1" customWidth="1"/>
    <col min="1043" max="1280" width="9" style="387"/>
    <col min="1281" max="1281" width="15.5" style="387" customWidth="1"/>
    <col min="1282" max="1289" width="7.5" style="387" customWidth="1"/>
    <col min="1290" max="1290" width="9.125" style="387" customWidth="1"/>
    <col min="1291" max="1291" width="4.125" style="387" customWidth="1"/>
    <col min="1292" max="1292" width="20.25" style="387" customWidth="1"/>
    <col min="1293" max="1294" width="10.125" style="387" customWidth="1"/>
    <col min="1295" max="1295" width="11.25" style="387" customWidth="1"/>
    <col min="1296" max="1296" width="10.125" style="387" customWidth="1"/>
    <col min="1297" max="1297" width="8.875" style="387" customWidth="1"/>
    <col min="1298" max="1298" width="0" style="387" hidden="1" customWidth="1"/>
    <col min="1299" max="1536" width="9" style="387"/>
    <col min="1537" max="1537" width="15.5" style="387" customWidth="1"/>
    <col min="1538" max="1545" width="7.5" style="387" customWidth="1"/>
    <col min="1546" max="1546" width="9.125" style="387" customWidth="1"/>
    <col min="1547" max="1547" width="4.125" style="387" customWidth="1"/>
    <col min="1548" max="1548" width="20.25" style="387" customWidth="1"/>
    <col min="1549" max="1550" width="10.125" style="387" customWidth="1"/>
    <col min="1551" max="1551" width="11.25" style="387" customWidth="1"/>
    <col min="1552" max="1552" width="10.125" style="387" customWidth="1"/>
    <col min="1553" max="1553" width="8.875" style="387" customWidth="1"/>
    <col min="1554" max="1554" width="0" style="387" hidden="1" customWidth="1"/>
    <col min="1555" max="1792" width="9" style="387"/>
    <col min="1793" max="1793" width="15.5" style="387" customWidth="1"/>
    <col min="1794" max="1801" width="7.5" style="387" customWidth="1"/>
    <col min="1802" max="1802" width="9.125" style="387" customWidth="1"/>
    <col min="1803" max="1803" width="4.125" style="387" customWidth="1"/>
    <col min="1804" max="1804" width="20.25" style="387" customWidth="1"/>
    <col min="1805" max="1806" width="10.125" style="387" customWidth="1"/>
    <col min="1807" max="1807" width="11.25" style="387" customWidth="1"/>
    <col min="1808" max="1808" width="10.125" style="387" customWidth="1"/>
    <col min="1809" max="1809" width="8.875" style="387" customWidth="1"/>
    <col min="1810" max="1810" width="0" style="387" hidden="1" customWidth="1"/>
    <col min="1811" max="2048" width="9" style="387"/>
    <col min="2049" max="2049" width="15.5" style="387" customWidth="1"/>
    <col min="2050" max="2057" width="7.5" style="387" customWidth="1"/>
    <col min="2058" max="2058" width="9.125" style="387" customWidth="1"/>
    <col min="2059" max="2059" width="4.125" style="387" customWidth="1"/>
    <col min="2060" max="2060" width="20.25" style="387" customWidth="1"/>
    <col min="2061" max="2062" width="10.125" style="387" customWidth="1"/>
    <col min="2063" max="2063" width="11.25" style="387" customWidth="1"/>
    <col min="2064" max="2064" width="10.125" style="387" customWidth="1"/>
    <col min="2065" max="2065" width="8.875" style="387" customWidth="1"/>
    <col min="2066" max="2066" width="0" style="387" hidden="1" customWidth="1"/>
    <col min="2067" max="2304" width="9" style="387"/>
    <col min="2305" max="2305" width="15.5" style="387" customWidth="1"/>
    <col min="2306" max="2313" width="7.5" style="387" customWidth="1"/>
    <col min="2314" max="2314" width="9.125" style="387" customWidth="1"/>
    <col min="2315" max="2315" width="4.125" style="387" customWidth="1"/>
    <col min="2316" max="2316" width="20.25" style="387" customWidth="1"/>
    <col min="2317" max="2318" width="10.125" style="387" customWidth="1"/>
    <col min="2319" max="2319" width="11.25" style="387" customWidth="1"/>
    <col min="2320" max="2320" width="10.125" style="387" customWidth="1"/>
    <col min="2321" max="2321" width="8.875" style="387" customWidth="1"/>
    <col min="2322" max="2322" width="0" style="387" hidden="1" customWidth="1"/>
    <col min="2323" max="2560" width="9" style="387"/>
    <col min="2561" max="2561" width="15.5" style="387" customWidth="1"/>
    <col min="2562" max="2569" width="7.5" style="387" customWidth="1"/>
    <col min="2570" max="2570" width="9.125" style="387" customWidth="1"/>
    <col min="2571" max="2571" width="4.125" style="387" customWidth="1"/>
    <col min="2572" max="2572" width="20.25" style="387" customWidth="1"/>
    <col min="2573" max="2574" width="10.125" style="387" customWidth="1"/>
    <col min="2575" max="2575" width="11.25" style="387" customWidth="1"/>
    <col min="2576" max="2576" width="10.125" style="387" customWidth="1"/>
    <col min="2577" max="2577" width="8.875" style="387" customWidth="1"/>
    <col min="2578" max="2578" width="0" style="387" hidden="1" customWidth="1"/>
    <col min="2579" max="2816" width="9" style="387"/>
    <col min="2817" max="2817" width="15.5" style="387" customWidth="1"/>
    <col min="2818" max="2825" width="7.5" style="387" customWidth="1"/>
    <col min="2826" max="2826" width="9.125" style="387" customWidth="1"/>
    <col min="2827" max="2827" width="4.125" style="387" customWidth="1"/>
    <col min="2828" max="2828" width="20.25" style="387" customWidth="1"/>
    <col min="2829" max="2830" width="10.125" style="387" customWidth="1"/>
    <col min="2831" max="2831" width="11.25" style="387" customWidth="1"/>
    <col min="2832" max="2832" width="10.125" style="387" customWidth="1"/>
    <col min="2833" max="2833" width="8.875" style="387" customWidth="1"/>
    <col min="2834" max="2834" width="0" style="387" hidden="1" customWidth="1"/>
    <col min="2835" max="3072" width="9" style="387"/>
    <col min="3073" max="3073" width="15.5" style="387" customWidth="1"/>
    <col min="3074" max="3081" width="7.5" style="387" customWidth="1"/>
    <col min="3082" max="3082" width="9.125" style="387" customWidth="1"/>
    <col min="3083" max="3083" width="4.125" style="387" customWidth="1"/>
    <col min="3084" max="3084" width="20.25" style="387" customWidth="1"/>
    <col min="3085" max="3086" width="10.125" style="387" customWidth="1"/>
    <col min="3087" max="3087" width="11.25" style="387" customWidth="1"/>
    <col min="3088" max="3088" width="10.125" style="387" customWidth="1"/>
    <col min="3089" max="3089" width="8.875" style="387" customWidth="1"/>
    <col min="3090" max="3090" width="0" style="387" hidden="1" customWidth="1"/>
    <col min="3091" max="3328" width="9" style="387"/>
    <col min="3329" max="3329" width="15.5" style="387" customWidth="1"/>
    <col min="3330" max="3337" width="7.5" style="387" customWidth="1"/>
    <col min="3338" max="3338" width="9.125" style="387" customWidth="1"/>
    <col min="3339" max="3339" width="4.125" style="387" customWidth="1"/>
    <col min="3340" max="3340" width="20.25" style="387" customWidth="1"/>
    <col min="3341" max="3342" width="10.125" style="387" customWidth="1"/>
    <col min="3343" max="3343" width="11.25" style="387" customWidth="1"/>
    <col min="3344" max="3344" width="10.125" style="387" customWidth="1"/>
    <col min="3345" max="3345" width="8.875" style="387" customWidth="1"/>
    <col min="3346" max="3346" width="0" style="387" hidden="1" customWidth="1"/>
    <col min="3347" max="3584" width="9" style="387"/>
    <col min="3585" max="3585" width="15.5" style="387" customWidth="1"/>
    <col min="3586" max="3593" width="7.5" style="387" customWidth="1"/>
    <col min="3594" max="3594" width="9.125" style="387" customWidth="1"/>
    <col min="3595" max="3595" width="4.125" style="387" customWidth="1"/>
    <col min="3596" max="3596" width="20.25" style="387" customWidth="1"/>
    <col min="3597" max="3598" width="10.125" style="387" customWidth="1"/>
    <col min="3599" max="3599" width="11.25" style="387" customWidth="1"/>
    <col min="3600" max="3600" width="10.125" style="387" customWidth="1"/>
    <col min="3601" max="3601" width="8.875" style="387" customWidth="1"/>
    <col min="3602" max="3602" width="0" style="387" hidden="1" customWidth="1"/>
    <col min="3603" max="3840" width="9" style="387"/>
    <col min="3841" max="3841" width="15.5" style="387" customWidth="1"/>
    <col min="3842" max="3849" width="7.5" style="387" customWidth="1"/>
    <col min="3850" max="3850" width="9.125" style="387" customWidth="1"/>
    <col min="3851" max="3851" width="4.125" style="387" customWidth="1"/>
    <col min="3852" max="3852" width="20.25" style="387" customWidth="1"/>
    <col min="3853" max="3854" width="10.125" style="387" customWidth="1"/>
    <col min="3855" max="3855" width="11.25" style="387" customWidth="1"/>
    <col min="3856" max="3856" width="10.125" style="387" customWidth="1"/>
    <col min="3857" max="3857" width="8.875" style="387" customWidth="1"/>
    <col min="3858" max="3858" width="0" style="387" hidden="1" customWidth="1"/>
    <col min="3859" max="4096" width="9" style="387"/>
    <col min="4097" max="4097" width="15.5" style="387" customWidth="1"/>
    <col min="4098" max="4105" width="7.5" style="387" customWidth="1"/>
    <col min="4106" max="4106" width="9.125" style="387" customWidth="1"/>
    <col min="4107" max="4107" width="4.125" style="387" customWidth="1"/>
    <col min="4108" max="4108" width="20.25" style="387" customWidth="1"/>
    <col min="4109" max="4110" width="10.125" style="387" customWidth="1"/>
    <col min="4111" max="4111" width="11.25" style="387" customWidth="1"/>
    <col min="4112" max="4112" width="10.125" style="387" customWidth="1"/>
    <col min="4113" max="4113" width="8.875" style="387" customWidth="1"/>
    <col min="4114" max="4114" width="0" style="387" hidden="1" customWidth="1"/>
    <col min="4115" max="4352" width="9" style="387"/>
    <col min="4353" max="4353" width="15.5" style="387" customWidth="1"/>
    <col min="4354" max="4361" width="7.5" style="387" customWidth="1"/>
    <col min="4362" max="4362" width="9.125" style="387" customWidth="1"/>
    <col min="4363" max="4363" width="4.125" style="387" customWidth="1"/>
    <col min="4364" max="4364" width="20.25" style="387" customWidth="1"/>
    <col min="4365" max="4366" width="10.125" style="387" customWidth="1"/>
    <col min="4367" max="4367" width="11.25" style="387" customWidth="1"/>
    <col min="4368" max="4368" width="10.125" style="387" customWidth="1"/>
    <col min="4369" max="4369" width="8.875" style="387" customWidth="1"/>
    <col min="4370" max="4370" width="0" style="387" hidden="1" customWidth="1"/>
    <col min="4371" max="4608" width="9" style="387"/>
    <col min="4609" max="4609" width="15.5" style="387" customWidth="1"/>
    <col min="4610" max="4617" width="7.5" style="387" customWidth="1"/>
    <col min="4618" max="4618" width="9.125" style="387" customWidth="1"/>
    <col min="4619" max="4619" width="4.125" style="387" customWidth="1"/>
    <col min="4620" max="4620" width="20.25" style="387" customWidth="1"/>
    <col min="4621" max="4622" width="10.125" style="387" customWidth="1"/>
    <col min="4623" max="4623" width="11.25" style="387" customWidth="1"/>
    <col min="4624" max="4624" width="10.125" style="387" customWidth="1"/>
    <col min="4625" max="4625" width="8.875" style="387" customWidth="1"/>
    <col min="4626" max="4626" width="0" style="387" hidden="1" customWidth="1"/>
    <col min="4627" max="4864" width="9" style="387"/>
    <col min="4865" max="4865" width="15.5" style="387" customWidth="1"/>
    <col min="4866" max="4873" width="7.5" style="387" customWidth="1"/>
    <col min="4874" max="4874" width="9.125" style="387" customWidth="1"/>
    <col min="4875" max="4875" width="4.125" style="387" customWidth="1"/>
    <col min="4876" max="4876" width="20.25" style="387" customWidth="1"/>
    <col min="4877" max="4878" width="10.125" style="387" customWidth="1"/>
    <col min="4879" max="4879" width="11.25" style="387" customWidth="1"/>
    <col min="4880" max="4880" width="10.125" style="387" customWidth="1"/>
    <col min="4881" max="4881" width="8.875" style="387" customWidth="1"/>
    <col min="4882" max="4882" width="0" style="387" hidden="1" customWidth="1"/>
    <col min="4883" max="5120" width="9" style="387"/>
    <col min="5121" max="5121" width="15.5" style="387" customWidth="1"/>
    <col min="5122" max="5129" width="7.5" style="387" customWidth="1"/>
    <col min="5130" max="5130" width="9.125" style="387" customWidth="1"/>
    <col min="5131" max="5131" width="4.125" style="387" customWidth="1"/>
    <col min="5132" max="5132" width="20.25" style="387" customWidth="1"/>
    <col min="5133" max="5134" width="10.125" style="387" customWidth="1"/>
    <col min="5135" max="5135" width="11.25" style="387" customWidth="1"/>
    <col min="5136" max="5136" width="10.125" style="387" customWidth="1"/>
    <col min="5137" max="5137" width="8.875" style="387" customWidth="1"/>
    <col min="5138" max="5138" width="0" style="387" hidden="1" customWidth="1"/>
    <col min="5139" max="5376" width="9" style="387"/>
    <col min="5377" max="5377" width="15.5" style="387" customWidth="1"/>
    <col min="5378" max="5385" width="7.5" style="387" customWidth="1"/>
    <col min="5386" max="5386" width="9.125" style="387" customWidth="1"/>
    <col min="5387" max="5387" width="4.125" style="387" customWidth="1"/>
    <col min="5388" max="5388" width="20.25" style="387" customWidth="1"/>
    <col min="5389" max="5390" width="10.125" style="387" customWidth="1"/>
    <col min="5391" max="5391" width="11.25" style="387" customWidth="1"/>
    <col min="5392" max="5392" width="10.125" style="387" customWidth="1"/>
    <col min="5393" max="5393" width="8.875" style="387" customWidth="1"/>
    <col min="5394" max="5394" width="0" style="387" hidden="1" customWidth="1"/>
    <col min="5395" max="5632" width="9" style="387"/>
    <col min="5633" max="5633" width="15.5" style="387" customWidth="1"/>
    <col min="5634" max="5641" width="7.5" style="387" customWidth="1"/>
    <col min="5642" max="5642" width="9.125" style="387" customWidth="1"/>
    <col min="5643" max="5643" width="4.125" style="387" customWidth="1"/>
    <col min="5644" max="5644" width="20.25" style="387" customWidth="1"/>
    <col min="5645" max="5646" width="10.125" style="387" customWidth="1"/>
    <col min="5647" max="5647" width="11.25" style="387" customWidth="1"/>
    <col min="5648" max="5648" width="10.125" style="387" customWidth="1"/>
    <col min="5649" max="5649" width="8.875" style="387" customWidth="1"/>
    <col min="5650" max="5650" width="0" style="387" hidden="1" customWidth="1"/>
    <col min="5651" max="5888" width="9" style="387"/>
    <col min="5889" max="5889" width="15.5" style="387" customWidth="1"/>
    <col min="5890" max="5897" width="7.5" style="387" customWidth="1"/>
    <col min="5898" max="5898" width="9.125" style="387" customWidth="1"/>
    <col min="5899" max="5899" width="4.125" style="387" customWidth="1"/>
    <col min="5900" max="5900" width="20.25" style="387" customWidth="1"/>
    <col min="5901" max="5902" width="10.125" style="387" customWidth="1"/>
    <col min="5903" max="5903" width="11.25" style="387" customWidth="1"/>
    <col min="5904" max="5904" width="10.125" style="387" customWidth="1"/>
    <col min="5905" max="5905" width="8.875" style="387" customWidth="1"/>
    <col min="5906" max="5906" width="0" style="387" hidden="1" customWidth="1"/>
    <col min="5907" max="6144" width="9" style="387"/>
    <col min="6145" max="6145" width="15.5" style="387" customWidth="1"/>
    <col min="6146" max="6153" width="7.5" style="387" customWidth="1"/>
    <col min="6154" max="6154" width="9.125" style="387" customWidth="1"/>
    <col min="6155" max="6155" width="4.125" style="387" customWidth="1"/>
    <col min="6156" max="6156" width="20.25" style="387" customWidth="1"/>
    <col min="6157" max="6158" width="10.125" style="387" customWidth="1"/>
    <col min="6159" max="6159" width="11.25" style="387" customWidth="1"/>
    <col min="6160" max="6160" width="10.125" style="387" customWidth="1"/>
    <col min="6161" max="6161" width="8.875" style="387" customWidth="1"/>
    <col min="6162" max="6162" width="0" style="387" hidden="1" customWidth="1"/>
    <col min="6163" max="6400" width="9" style="387"/>
    <col min="6401" max="6401" width="15.5" style="387" customWidth="1"/>
    <col min="6402" max="6409" width="7.5" style="387" customWidth="1"/>
    <col min="6410" max="6410" width="9.125" style="387" customWidth="1"/>
    <col min="6411" max="6411" width="4.125" style="387" customWidth="1"/>
    <col min="6412" max="6412" width="20.25" style="387" customWidth="1"/>
    <col min="6413" max="6414" width="10.125" style="387" customWidth="1"/>
    <col min="6415" max="6415" width="11.25" style="387" customWidth="1"/>
    <col min="6416" max="6416" width="10.125" style="387" customWidth="1"/>
    <col min="6417" max="6417" width="8.875" style="387" customWidth="1"/>
    <col min="6418" max="6418" width="0" style="387" hidden="1" customWidth="1"/>
    <col min="6419" max="6656" width="9" style="387"/>
    <col min="6657" max="6657" width="15.5" style="387" customWidth="1"/>
    <col min="6658" max="6665" width="7.5" style="387" customWidth="1"/>
    <col min="6666" max="6666" width="9.125" style="387" customWidth="1"/>
    <col min="6667" max="6667" width="4.125" style="387" customWidth="1"/>
    <col min="6668" max="6668" width="20.25" style="387" customWidth="1"/>
    <col min="6669" max="6670" width="10.125" style="387" customWidth="1"/>
    <col min="6671" max="6671" width="11.25" style="387" customWidth="1"/>
    <col min="6672" max="6672" width="10.125" style="387" customWidth="1"/>
    <col min="6673" max="6673" width="8.875" style="387" customWidth="1"/>
    <col min="6674" max="6674" width="0" style="387" hidden="1" customWidth="1"/>
    <col min="6675" max="6912" width="9" style="387"/>
    <col min="6913" max="6913" width="15.5" style="387" customWidth="1"/>
    <col min="6914" max="6921" width="7.5" style="387" customWidth="1"/>
    <col min="6922" max="6922" width="9.125" style="387" customWidth="1"/>
    <col min="6923" max="6923" width="4.125" style="387" customWidth="1"/>
    <col min="6924" max="6924" width="20.25" style="387" customWidth="1"/>
    <col min="6925" max="6926" width="10.125" style="387" customWidth="1"/>
    <col min="6927" max="6927" width="11.25" style="387" customWidth="1"/>
    <col min="6928" max="6928" width="10.125" style="387" customWidth="1"/>
    <col min="6929" max="6929" width="8.875" style="387" customWidth="1"/>
    <col min="6930" max="6930" width="0" style="387" hidden="1" customWidth="1"/>
    <col min="6931" max="7168" width="9" style="387"/>
    <col min="7169" max="7169" width="15.5" style="387" customWidth="1"/>
    <col min="7170" max="7177" width="7.5" style="387" customWidth="1"/>
    <col min="7178" max="7178" width="9.125" style="387" customWidth="1"/>
    <col min="7179" max="7179" width="4.125" style="387" customWidth="1"/>
    <col min="7180" max="7180" width="20.25" style="387" customWidth="1"/>
    <col min="7181" max="7182" width="10.125" style="387" customWidth="1"/>
    <col min="7183" max="7183" width="11.25" style="387" customWidth="1"/>
    <col min="7184" max="7184" width="10.125" style="387" customWidth="1"/>
    <col min="7185" max="7185" width="8.875" style="387" customWidth="1"/>
    <col min="7186" max="7186" width="0" style="387" hidden="1" customWidth="1"/>
    <col min="7187" max="7424" width="9" style="387"/>
    <col min="7425" max="7425" width="15.5" style="387" customWidth="1"/>
    <col min="7426" max="7433" width="7.5" style="387" customWidth="1"/>
    <col min="7434" max="7434" width="9.125" style="387" customWidth="1"/>
    <col min="7435" max="7435" width="4.125" style="387" customWidth="1"/>
    <col min="7436" max="7436" width="20.25" style="387" customWidth="1"/>
    <col min="7437" max="7438" width="10.125" style="387" customWidth="1"/>
    <col min="7439" max="7439" width="11.25" style="387" customWidth="1"/>
    <col min="7440" max="7440" width="10.125" style="387" customWidth="1"/>
    <col min="7441" max="7441" width="8.875" style="387" customWidth="1"/>
    <col min="7442" max="7442" width="0" style="387" hidden="1" customWidth="1"/>
    <col min="7443" max="7680" width="9" style="387"/>
    <col min="7681" max="7681" width="15.5" style="387" customWidth="1"/>
    <col min="7682" max="7689" width="7.5" style="387" customWidth="1"/>
    <col min="7690" max="7690" width="9.125" style="387" customWidth="1"/>
    <col min="7691" max="7691" width="4.125" style="387" customWidth="1"/>
    <col min="7692" max="7692" width="20.25" style="387" customWidth="1"/>
    <col min="7693" max="7694" width="10.125" style="387" customWidth="1"/>
    <col min="7695" max="7695" width="11.25" style="387" customWidth="1"/>
    <col min="7696" max="7696" width="10.125" style="387" customWidth="1"/>
    <col min="7697" max="7697" width="8.875" style="387" customWidth="1"/>
    <col min="7698" max="7698" width="0" style="387" hidden="1" customWidth="1"/>
    <col min="7699" max="7936" width="9" style="387"/>
    <col min="7937" max="7937" width="15.5" style="387" customWidth="1"/>
    <col min="7938" max="7945" width="7.5" style="387" customWidth="1"/>
    <col min="7946" max="7946" width="9.125" style="387" customWidth="1"/>
    <col min="7947" max="7947" width="4.125" style="387" customWidth="1"/>
    <col min="7948" max="7948" width="20.25" style="387" customWidth="1"/>
    <col min="7949" max="7950" width="10.125" style="387" customWidth="1"/>
    <col min="7951" max="7951" width="11.25" style="387" customWidth="1"/>
    <col min="7952" max="7952" width="10.125" style="387" customWidth="1"/>
    <col min="7953" max="7953" width="8.875" style="387" customWidth="1"/>
    <col min="7954" max="7954" width="0" style="387" hidden="1" customWidth="1"/>
    <col min="7955" max="8192" width="9" style="387"/>
    <col min="8193" max="8193" width="15.5" style="387" customWidth="1"/>
    <col min="8194" max="8201" width="7.5" style="387" customWidth="1"/>
    <col min="8202" max="8202" width="9.125" style="387" customWidth="1"/>
    <col min="8203" max="8203" width="4.125" style="387" customWidth="1"/>
    <col min="8204" max="8204" width="20.25" style="387" customWidth="1"/>
    <col min="8205" max="8206" width="10.125" style="387" customWidth="1"/>
    <col min="8207" max="8207" width="11.25" style="387" customWidth="1"/>
    <col min="8208" max="8208" width="10.125" style="387" customWidth="1"/>
    <col min="8209" max="8209" width="8.875" style="387" customWidth="1"/>
    <col min="8210" max="8210" width="0" style="387" hidden="1" customWidth="1"/>
    <col min="8211" max="8448" width="9" style="387"/>
    <col min="8449" max="8449" width="15.5" style="387" customWidth="1"/>
    <col min="8450" max="8457" width="7.5" style="387" customWidth="1"/>
    <col min="8458" max="8458" width="9.125" style="387" customWidth="1"/>
    <col min="8459" max="8459" width="4.125" style="387" customWidth="1"/>
    <col min="8460" max="8460" width="20.25" style="387" customWidth="1"/>
    <col min="8461" max="8462" width="10.125" style="387" customWidth="1"/>
    <col min="8463" max="8463" width="11.25" style="387" customWidth="1"/>
    <col min="8464" max="8464" width="10.125" style="387" customWidth="1"/>
    <col min="8465" max="8465" width="8.875" style="387" customWidth="1"/>
    <col min="8466" max="8466" width="0" style="387" hidden="1" customWidth="1"/>
    <col min="8467" max="8704" width="9" style="387"/>
    <col min="8705" max="8705" width="15.5" style="387" customWidth="1"/>
    <col min="8706" max="8713" width="7.5" style="387" customWidth="1"/>
    <col min="8714" max="8714" width="9.125" style="387" customWidth="1"/>
    <col min="8715" max="8715" width="4.125" style="387" customWidth="1"/>
    <col min="8716" max="8716" width="20.25" style="387" customWidth="1"/>
    <col min="8717" max="8718" width="10.125" style="387" customWidth="1"/>
    <col min="8719" max="8719" width="11.25" style="387" customWidth="1"/>
    <col min="8720" max="8720" width="10.125" style="387" customWidth="1"/>
    <col min="8721" max="8721" width="8.875" style="387" customWidth="1"/>
    <col min="8722" max="8722" width="0" style="387" hidden="1" customWidth="1"/>
    <col min="8723" max="8960" width="9" style="387"/>
    <col min="8961" max="8961" width="15.5" style="387" customWidth="1"/>
    <col min="8962" max="8969" width="7.5" style="387" customWidth="1"/>
    <col min="8970" max="8970" width="9.125" style="387" customWidth="1"/>
    <col min="8971" max="8971" width="4.125" style="387" customWidth="1"/>
    <col min="8972" max="8972" width="20.25" style="387" customWidth="1"/>
    <col min="8973" max="8974" width="10.125" style="387" customWidth="1"/>
    <col min="8975" max="8975" width="11.25" style="387" customWidth="1"/>
    <col min="8976" max="8976" width="10.125" style="387" customWidth="1"/>
    <col min="8977" max="8977" width="8.875" style="387" customWidth="1"/>
    <col min="8978" max="8978" width="0" style="387" hidden="1" customWidth="1"/>
    <col min="8979" max="9216" width="9" style="387"/>
    <col min="9217" max="9217" width="15.5" style="387" customWidth="1"/>
    <col min="9218" max="9225" width="7.5" style="387" customWidth="1"/>
    <col min="9226" max="9226" width="9.125" style="387" customWidth="1"/>
    <col min="9227" max="9227" width="4.125" style="387" customWidth="1"/>
    <col min="9228" max="9228" width="20.25" style="387" customWidth="1"/>
    <col min="9229" max="9230" width="10.125" style="387" customWidth="1"/>
    <col min="9231" max="9231" width="11.25" style="387" customWidth="1"/>
    <col min="9232" max="9232" width="10.125" style="387" customWidth="1"/>
    <col min="9233" max="9233" width="8.875" style="387" customWidth="1"/>
    <col min="9234" max="9234" width="0" style="387" hidden="1" customWidth="1"/>
    <col min="9235" max="9472" width="9" style="387"/>
    <col min="9473" max="9473" width="15.5" style="387" customWidth="1"/>
    <col min="9474" max="9481" width="7.5" style="387" customWidth="1"/>
    <col min="9482" max="9482" width="9.125" style="387" customWidth="1"/>
    <col min="9483" max="9483" width="4.125" style="387" customWidth="1"/>
    <col min="9484" max="9484" width="20.25" style="387" customWidth="1"/>
    <col min="9485" max="9486" width="10.125" style="387" customWidth="1"/>
    <col min="9487" max="9487" width="11.25" style="387" customWidth="1"/>
    <col min="9488" max="9488" width="10.125" style="387" customWidth="1"/>
    <col min="9489" max="9489" width="8.875" style="387" customWidth="1"/>
    <col min="9490" max="9490" width="0" style="387" hidden="1" customWidth="1"/>
    <col min="9491" max="9728" width="9" style="387"/>
    <col min="9729" max="9729" width="15.5" style="387" customWidth="1"/>
    <col min="9730" max="9737" width="7.5" style="387" customWidth="1"/>
    <col min="9738" max="9738" width="9.125" style="387" customWidth="1"/>
    <col min="9739" max="9739" width="4.125" style="387" customWidth="1"/>
    <col min="9740" max="9740" width="20.25" style="387" customWidth="1"/>
    <col min="9741" max="9742" width="10.125" style="387" customWidth="1"/>
    <col min="9743" max="9743" width="11.25" style="387" customWidth="1"/>
    <col min="9744" max="9744" width="10.125" style="387" customWidth="1"/>
    <col min="9745" max="9745" width="8.875" style="387" customWidth="1"/>
    <col min="9746" max="9746" width="0" style="387" hidden="1" customWidth="1"/>
    <col min="9747" max="9984" width="9" style="387"/>
    <col min="9985" max="9985" width="15.5" style="387" customWidth="1"/>
    <col min="9986" max="9993" width="7.5" style="387" customWidth="1"/>
    <col min="9994" max="9994" width="9.125" style="387" customWidth="1"/>
    <col min="9995" max="9995" width="4.125" style="387" customWidth="1"/>
    <col min="9996" max="9996" width="20.25" style="387" customWidth="1"/>
    <col min="9997" max="9998" width="10.125" style="387" customWidth="1"/>
    <col min="9999" max="9999" width="11.25" style="387" customWidth="1"/>
    <col min="10000" max="10000" width="10.125" style="387" customWidth="1"/>
    <col min="10001" max="10001" width="8.875" style="387" customWidth="1"/>
    <col min="10002" max="10002" width="0" style="387" hidden="1" customWidth="1"/>
    <col min="10003" max="10240" width="9" style="387"/>
    <col min="10241" max="10241" width="15.5" style="387" customWidth="1"/>
    <col min="10242" max="10249" width="7.5" style="387" customWidth="1"/>
    <col min="10250" max="10250" width="9.125" style="387" customWidth="1"/>
    <col min="10251" max="10251" width="4.125" style="387" customWidth="1"/>
    <col min="10252" max="10252" width="20.25" style="387" customWidth="1"/>
    <col min="10253" max="10254" width="10.125" style="387" customWidth="1"/>
    <col min="10255" max="10255" width="11.25" style="387" customWidth="1"/>
    <col min="10256" max="10256" width="10.125" style="387" customWidth="1"/>
    <col min="10257" max="10257" width="8.875" style="387" customWidth="1"/>
    <col min="10258" max="10258" width="0" style="387" hidden="1" customWidth="1"/>
    <col min="10259" max="10496" width="9" style="387"/>
    <col min="10497" max="10497" width="15.5" style="387" customWidth="1"/>
    <col min="10498" max="10505" width="7.5" style="387" customWidth="1"/>
    <col min="10506" max="10506" width="9.125" style="387" customWidth="1"/>
    <col min="10507" max="10507" width="4.125" style="387" customWidth="1"/>
    <col min="10508" max="10508" width="20.25" style="387" customWidth="1"/>
    <col min="10509" max="10510" width="10.125" style="387" customWidth="1"/>
    <col min="10511" max="10511" width="11.25" style="387" customWidth="1"/>
    <col min="10512" max="10512" width="10.125" style="387" customWidth="1"/>
    <col min="10513" max="10513" width="8.875" style="387" customWidth="1"/>
    <col min="10514" max="10514" width="0" style="387" hidden="1" customWidth="1"/>
    <col min="10515" max="10752" width="9" style="387"/>
    <col min="10753" max="10753" width="15.5" style="387" customWidth="1"/>
    <col min="10754" max="10761" width="7.5" style="387" customWidth="1"/>
    <col min="10762" max="10762" width="9.125" style="387" customWidth="1"/>
    <col min="10763" max="10763" width="4.125" style="387" customWidth="1"/>
    <col min="10764" max="10764" width="20.25" style="387" customWidth="1"/>
    <col min="10765" max="10766" width="10.125" style="387" customWidth="1"/>
    <col min="10767" max="10767" width="11.25" style="387" customWidth="1"/>
    <col min="10768" max="10768" width="10.125" style="387" customWidth="1"/>
    <col min="10769" max="10769" width="8.875" style="387" customWidth="1"/>
    <col min="10770" max="10770" width="0" style="387" hidden="1" customWidth="1"/>
    <col min="10771" max="11008" width="9" style="387"/>
    <col min="11009" max="11009" width="15.5" style="387" customWidth="1"/>
    <col min="11010" max="11017" width="7.5" style="387" customWidth="1"/>
    <col min="11018" max="11018" width="9.125" style="387" customWidth="1"/>
    <col min="11019" max="11019" width="4.125" style="387" customWidth="1"/>
    <col min="11020" max="11020" width="20.25" style="387" customWidth="1"/>
    <col min="11021" max="11022" width="10.125" style="387" customWidth="1"/>
    <col min="11023" max="11023" width="11.25" style="387" customWidth="1"/>
    <col min="11024" max="11024" width="10.125" style="387" customWidth="1"/>
    <col min="11025" max="11025" width="8.875" style="387" customWidth="1"/>
    <col min="11026" max="11026" width="0" style="387" hidden="1" customWidth="1"/>
    <col min="11027" max="11264" width="9" style="387"/>
    <col min="11265" max="11265" width="15.5" style="387" customWidth="1"/>
    <col min="11266" max="11273" width="7.5" style="387" customWidth="1"/>
    <col min="11274" max="11274" width="9.125" style="387" customWidth="1"/>
    <col min="11275" max="11275" width="4.125" style="387" customWidth="1"/>
    <col min="11276" max="11276" width="20.25" style="387" customWidth="1"/>
    <col min="11277" max="11278" width="10.125" style="387" customWidth="1"/>
    <col min="11279" max="11279" width="11.25" style="387" customWidth="1"/>
    <col min="11280" max="11280" width="10.125" style="387" customWidth="1"/>
    <col min="11281" max="11281" width="8.875" style="387" customWidth="1"/>
    <col min="11282" max="11282" width="0" style="387" hidden="1" customWidth="1"/>
    <col min="11283" max="11520" width="9" style="387"/>
    <col min="11521" max="11521" width="15.5" style="387" customWidth="1"/>
    <col min="11522" max="11529" width="7.5" style="387" customWidth="1"/>
    <col min="11530" max="11530" width="9.125" style="387" customWidth="1"/>
    <col min="11531" max="11531" width="4.125" style="387" customWidth="1"/>
    <col min="11532" max="11532" width="20.25" style="387" customWidth="1"/>
    <col min="11533" max="11534" width="10.125" style="387" customWidth="1"/>
    <col min="11535" max="11535" width="11.25" style="387" customWidth="1"/>
    <col min="11536" max="11536" width="10.125" style="387" customWidth="1"/>
    <col min="11537" max="11537" width="8.875" style="387" customWidth="1"/>
    <col min="11538" max="11538" width="0" style="387" hidden="1" customWidth="1"/>
    <col min="11539" max="11776" width="9" style="387"/>
    <col min="11777" max="11777" width="15.5" style="387" customWidth="1"/>
    <col min="11778" max="11785" width="7.5" style="387" customWidth="1"/>
    <col min="11786" max="11786" width="9.125" style="387" customWidth="1"/>
    <col min="11787" max="11787" width="4.125" style="387" customWidth="1"/>
    <col min="11788" max="11788" width="20.25" style="387" customWidth="1"/>
    <col min="11789" max="11790" width="10.125" style="387" customWidth="1"/>
    <col min="11791" max="11791" width="11.25" style="387" customWidth="1"/>
    <col min="11792" max="11792" width="10.125" style="387" customWidth="1"/>
    <col min="11793" max="11793" width="8.875" style="387" customWidth="1"/>
    <col min="11794" max="11794" width="0" style="387" hidden="1" customWidth="1"/>
    <col min="11795" max="12032" width="9" style="387"/>
    <col min="12033" max="12033" width="15.5" style="387" customWidth="1"/>
    <col min="12034" max="12041" width="7.5" style="387" customWidth="1"/>
    <col min="12042" max="12042" width="9.125" style="387" customWidth="1"/>
    <col min="12043" max="12043" width="4.125" style="387" customWidth="1"/>
    <col min="12044" max="12044" width="20.25" style="387" customWidth="1"/>
    <col min="12045" max="12046" width="10.125" style="387" customWidth="1"/>
    <col min="12047" max="12047" width="11.25" style="387" customWidth="1"/>
    <col min="12048" max="12048" width="10.125" style="387" customWidth="1"/>
    <col min="12049" max="12049" width="8.875" style="387" customWidth="1"/>
    <col min="12050" max="12050" width="0" style="387" hidden="1" customWidth="1"/>
    <col min="12051" max="12288" width="9" style="387"/>
    <col min="12289" max="12289" width="15.5" style="387" customWidth="1"/>
    <col min="12290" max="12297" width="7.5" style="387" customWidth="1"/>
    <col min="12298" max="12298" width="9.125" style="387" customWidth="1"/>
    <col min="12299" max="12299" width="4.125" style="387" customWidth="1"/>
    <col min="12300" max="12300" width="20.25" style="387" customWidth="1"/>
    <col min="12301" max="12302" width="10.125" style="387" customWidth="1"/>
    <col min="12303" max="12303" width="11.25" style="387" customWidth="1"/>
    <col min="12304" max="12304" width="10.125" style="387" customWidth="1"/>
    <col min="12305" max="12305" width="8.875" style="387" customWidth="1"/>
    <col min="12306" max="12306" width="0" style="387" hidden="1" customWidth="1"/>
    <col min="12307" max="12544" width="9" style="387"/>
    <col min="12545" max="12545" width="15.5" style="387" customWidth="1"/>
    <col min="12546" max="12553" width="7.5" style="387" customWidth="1"/>
    <col min="12554" max="12554" width="9.125" style="387" customWidth="1"/>
    <col min="12555" max="12555" width="4.125" style="387" customWidth="1"/>
    <col min="12556" max="12556" width="20.25" style="387" customWidth="1"/>
    <col min="12557" max="12558" width="10.125" style="387" customWidth="1"/>
    <col min="12559" max="12559" width="11.25" style="387" customWidth="1"/>
    <col min="12560" max="12560" width="10.125" style="387" customWidth="1"/>
    <col min="12561" max="12561" width="8.875" style="387" customWidth="1"/>
    <col min="12562" max="12562" width="0" style="387" hidden="1" customWidth="1"/>
    <col min="12563" max="12800" width="9" style="387"/>
    <col min="12801" max="12801" width="15.5" style="387" customWidth="1"/>
    <col min="12802" max="12809" width="7.5" style="387" customWidth="1"/>
    <col min="12810" max="12810" width="9.125" style="387" customWidth="1"/>
    <col min="12811" max="12811" width="4.125" style="387" customWidth="1"/>
    <col min="12812" max="12812" width="20.25" style="387" customWidth="1"/>
    <col min="12813" max="12814" width="10.125" style="387" customWidth="1"/>
    <col min="12815" max="12815" width="11.25" style="387" customWidth="1"/>
    <col min="12816" max="12816" width="10.125" style="387" customWidth="1"/>
    <col min="12817" max="12817" width="8.875" style="387" customWidth="1"/>
    <col min="12818" max="12818" width="0" style="387" hidden="1" customWidth="1"/>
    <col min="12819" max="13056" width="9" style="387"/>
    <col min="13057" max="13057" width="15.5" style="387" customWidth="1"/>
    <col min="13058" max="13065" width="7.5" style="387" customWidth="1"/>
    <col min="13066" max="13066" width="9.125" style="387" customWidth="1"/>
    <col min="13067" max="13067" width="4.125" style="387" customWidth="1"/>
    <col min="13068" max="13068" width="20.25" style="387" customWidth="1"/>
    <col min="13069" max="13070" width="10.125" style="387" customWidth="1"/>
    <col min="13071" max="13071" width="11.25" style="387" customWidth="1"/>
    <col min="13072" max="13072" width="10.125" style="387" customWidth="1"/>
    <col min="13073" max="13073" width="8.875" style="387" customWidth="1"/>
    <col min="13074" max="13074" width="0" style="387" hidden="1" customWidth="1"/>
    <col min="13075" max="13312" width="9" style="387"/>
    <col min="13313" max="13313" width="15.5" style="387" customWidth="1"/>
    <col min="13314" max="13321" width="7.5" style="387" customWidth="1"/>
    <col min="13322" max="13322" width="9.125" style="387" customWidth="1"/>
    <col min="13323" max="13323" width="4.125" style="387" customWidth="1"/>
    <col min="13324" max="13324" width="20.25" style="387" customWidth="1"/>
    <col min="13325" max="13326" width="10.125" style="387" customWidth="1"/>
    <col min="13327" max="13327" width="11.25" style="387" customWidth="1"/>
    <col min="13328" max="13328" width="10.125" style="387" customWidth="1"/>
    <col min="13329" max="13329" width="8.875" style="387" customWidth="1"/>
    <col min="13330" max="13330" width="0" style="387" hidden="1" customWidth="1"/>
    <col min="13331" max="13568" width="9" style="387"/>
    <col min="13569" max="13569" width="15.5" style="387" customWidth="1"/>
    <col min="13570" max="13577" width="7.5" style="387" customWidth="1"/>
    <col min="13578" max="13578" width="9.125" style="387" customWidth="1"/>
    <col min="13579" max="13579" width="4.125" style="387" customWidth="1"/>
    <col min="13580" max="13580" width="20.25" style="387" customWidth="1"/>
    <col min="13581" max="13582" width="10.125" style="387" customWidth="1"/>
    <col min="13583" max="13583" width="11.25" style="387" customWidth="1"/>
    <col min="13584" max="13584" width="10.125" style="387" customWidth="1"/>
    <col min="13585" max="13585" width="8.875" style="387" customWidth="1"/>
    <col min="13586" max="13586" width="0" style="387" hidden="1" customWidth="1"/>
    <col min="13587" max="13824" width="9" style="387"/>
    <col min="13825" max="13825" width="15.5" style="387" customWidth="1"/>
    <col min="13826" max="13833" width="7.5" style="387" customWidth="1"/>
    <col min="13834" max="13834" width="9.125" style="387" customWidth="1"/>
    <col min="13835" max="13835" width="4.125" style="387" customWidth="1"/>
    <col min="13836" max="13836" width="20.25" style="387" customWidth="1"/>
    <col min="13837" max="13838" width="10.125" style="387" customWidth="1"/>
    <col min="13839" max="13839" width="11.25" style="387" customWidth="1"/>
    <col min="13840" max="13840" width="10.125" style="387" customWidth="1"/>
    <col min="13841" max="13841" width="8.875" style="387" customWidth="1"/>
    <col min="13842" max="13842" width="0" style="387" hidden="1" customWidth="1"/>
    <col min="13843" max="14080" width="9" style="387"/>
    <col min="14081" max="14081" width="15.5" style="387" customWidth="1"/>
    <col min="14082" max="14089" width="7.5" style="387" customWidth="1"/>
    <col min="14090" max="14090" width="9.125" style="387" customWidth="1"/>
    <col min="14091" max="14091" width="4.125" style="387" customWidth="1"/>
    <col min="14092" max="14092" width="20.25" style="387" customWidth="1"/>
    <col min="14093" max="14094" width="10.125" style="387" customWidth="1"/>
    <col min="14095" max="14095" width="11.25" style="387" customWidth="1"/>
    <col min="14096" max="14096" width="10.125" style="387" customWidth="1"/>
    <col min="14097" max="14097" width="8.875" style="387" customWidth="1"/>
    <col min="14098" max="14098" width="0" style="387" hidden="1" customWidth="1"/>
    <col min="14099" max="14336" width="9" style="387"/>
    <col min="14337" max="14337" width="15.5" style="387" customWidth="1"/>
    <col min="14338" max="14345" width="7.5" style="387" customWidth="1"/>
    <col min="14346" max="14346" width="9.125" style="387" customWidth="1"/>
    <col min="14347" max="14347" width="4.125" style="387" customWidth="1"/>
    <col min="14348" max="14348" width="20.25" style="387" customWidth="1"/>
    <col min="14349" max="14350" width="10.125" style="387" customWidth="1"/>
    <col min="14351" max="14351" width="11.25" style="387" customWidth="1"/>
    <col min="14352" max="14352" width="10.125" style="387" customWidth="1"/>
    <col min="14353" max="14353" width="8.875" style="387" customWidth="1"/>
    <col min="14354" max="14354" width="0" style="387" hidden="1" customWidth="1"/>
    <col min="14355" max="14592" width="9" style="387"/>
    <col min="14593" max="14593" width="15.5" style="387" customWidth="1"/>
    <col min="14594" max="14601" width="7.5" style="387" customWidth="1"/>
    <col min="14602" max="14602" width="9.125" style="387" customWidth="1"/>
    <col min="14603" max="14603" width="4.125" style="387" customWidth="1"/>
    <col min="14604" max="14604" width="20.25" style="387" customWidth="1"/>
    <col min="14605" max="14606" width="10.125" style="387" customWidth="1"/>
    <col min="14607" max="14607" width="11.25" style="387" customWidth="1"/>
    <col min="14608" max="14608" width="10.125" style="387" customWidth="1"/>
    <col min="14609" max="14609" width="8.875" style="387" customWidth="1"/>
    <col min="14610" max="14610" width="0" style="387" hidden="1" customWidth="1"/>
    <col min="14611" max="14848" width="9" style="387"/>
    <col min="14849" max="14849" width="15.5" style="387" customWidth="1"/>
    <col min="14850" max="14857" width="7.5" style="387" customWidth="1"/>
    <col min="14858" max="14858" width="9.125" style="387" customWidth="1"/>
    <col min="14859" max="14859" width="4.125" style="387" customWidth="1"/>
    <col min="14860" max="14860" width="20.25" style="387" customWidth="1"/>
    <col min="14861" max="14862" width="10.125" style="387" customWidth="1"/>
    <col min="14863" max="14863" width="11.25" style="387" customWidth="1"/>
    <col min="14864" max="14864" width="10.125" style="387" customWidth="1"/>
    <col min="14865" max="14865" width="8.875" style="387" customWidth="1"/>
    <col min="14866" max="14866" width="0" style="387" hidden="1" customWidth="1"/>
    <col min="14867" max="15104" width="9" style="387"/>
    <col min="15105" max="15105" width="15.5" style="387" customWidth="1"/>
    <col min="15106" max="15113" width="7.5" style="387" customWidth="1"/>
    <col min="15114" max="15114" width="9.125" style="387" customWidth="1"/>
    <col min="15115" max="15115" width="4.125" style="387" customWidth="1"/>
    <col min="15116" max="15116" width="20.25" style="387" customWidth="1"/>
    <col min="15117" max="15118" width="10.125" style="387" customWidth="1"/>
    <col min="15119" max="15119" width="11.25" style="387" customWidth="1"/>
    <col min="15120" max="15120" width="10.125" style="387" customWidth="1"/>
    <col min="15121" max="15121" width="8.875" style="387" customWidth="1"/>
    <col min="15122" max="15122" width="0" style="387" hidden="1" customWidth="1"/>
    <col min="15123" max="15360" width="9" style="387"/>
    <col min="15361" max="15361" width="15.5" style="387" customWidth="1"/>
    <col min="15362" max="15369" width="7.5" style="387" customWidth="1"/>
    <col min="15370" max="15370" width="9.125" style="387" customWidth="1"/>
    <col min="15371" max="15371" width="4.125" style="387" customWidth="1"/>
    <col min="15372" max="15372" width="20.25" style="387" customWidth="1"/>
    <col min="15373" max="15374" width="10.125" style="387" customWidth="1"/>
    <col min="15375" max="15375" width="11.25" style="387" customWidth="1"/>
    <col min="15376" max="15376" width="10.125" style="387" customWidth="1"/>
    <col min="15377" max="15377" width="8.875" style="387" customWidth="1"/>
    <col min="15378" max="15378" width="0" style="387" hidden="1" customWidth="1"/>
    <col min="15379" max="15616" width="9" style="387"/>
    <col min="15617" max="15617" width="15.5" style="387" customWidth="1"/>
    <col min="15618" max="15625" width="7.5" style="387" customWidth="1"/>
    <col min="15626" max="15626" width="9.125" style="387" customWidth="1"/>
    <col min="15627" max="15627" width="4.125" style="387" customWidth="1"/>
    <col min="15628" max="15628" width="20.25" style="387" customWidth="1"/>
    <col min="15629" max="15630" width="10.125" style="387" customWidth="1"/>
    <col min="15631" max="15631" width="11.25" style="387" customWidth="1"/>
    <col min="15632" max="15632" width="10.125" style="387" customWidth="1"/>
    <col min="15633" max="15633" width="8.875" style="387" customWidth="1"/>
    <col min="15634" max="15634" width="0" style="387" hidden="1" customWidth="1"/>
    <col min="15635" max="15872" width="9" style="387"/>
    <col min="15873" max="15873" width="15.5" style="387" customWidth="1"/>
    <col min="15874" max="15881" width="7.5" style="387" customWidth="1"/>
    <col min="15882" max="15882" width="9.125" style="387" customWidth="1"/>
    <col min="15883" max="15883" width="4.125" style="387" customWidth="1"/>
    <col min="15884" max="15884" width="20.25" style="387" customWidth="1"/>
    <col min="15885" max="15886" width="10.125" style="387" customWidth="1"/>
    <col min="15887" max="15887" width="11.25" style="387" customWidth="1"/>
    <col min="15888" max="15888" width="10.125" style="387" customWidth="1"/>
    <col min="15889" max="15889" width="8.875" style="387" customWidth="1"/>
    <col min="15890" max="15890" width="0" style="387" hidden="1" customWidth="1"/>
    <col min="15891" max="16128" width="9" style="387"/>
    <col min="16129" max="16129" width="15.5" style="387" customWidth="1"/>
    <col min="16130" max="16137" width="7.5" style="387" customWidth="1"/>
    <col min="16138" max="16138" width="9.125" style="387" customWidth="1"/>
    <col min="16139" max="16139" width="4.125" style="387" customWidth="1"/>
    <col min="16140" max="16140" width="20.25" style="387" customWidth="1"/>
    <col min="16141" max="16142" width="10.125" style="387" customWidth="1"/>
    <col min="16143" max="16143" width="11.25" style="387" customWidth="1"/>
    <col min="16144" max="16144" width="10.125" style="387" customWidth="1"/>
    <col min="16145" max="16145" width="8.875" style="387" customWidth="1"/>
    <col min="16146" max="16146" width="0" style="387" hidden="1" customWidth="1"/>
    <col min="16147" max="16384" width="9" style="387"/>
  </cols>
  <sheetData>
    <row r="1" spans="1:17" x14ac:dyDescent="0.25">
      <c r="A1" s="812" t="str">
        <f>Chinh!$A$1</f>
        <v>UBND PHƯỜNG CAM LINH</v>
      </c>
    </row>
    <row r="2" spans="1:17" x14ac:dyDescent="0.25">
      <c r="A2" s="389" t="str">
        <f>IF(Chinh!$N$9&lt;&gt;"",Chinh!$A$2,"")</f>
        <v>TRƯỜNG THCS NGUYỄN TRỌNG KỶ</v>
      </c>
      <c r="L2" s="721" t="str">
        <f>IF(R19="Nhập liệu!","Nhập số Tổng HS lớp 9, Tốt nghiệp THCS năm qua và tiếp tục vào trường THPT!",IF(R19="er","Còn lỗi!","Hoàn thành!"))</f>
        <v>Hoàn thành!</v>
      </c>
      <c r="M2" s="721"/>
      <c r="N2" s="721"/>
      <c r="O2" s="721"/>
      <c r="P2" s="721"/>
      <c r="Q2" s="721"/>
    </row>
    <row r="3" spans="1:17" ht="22.5" customHeight="1" x14ac:dyDescent="0.25">
      <c r="A3" s="389" t="str">
        <f>"THỐNG KÊ ĐỘ TUỔI HỌC SINH TOÀN TRƯỜNG THEO XÃ,PHƯỜNG "&amp;"NĂM HỌC "&amp;Chinh!H5</f>
        <v>THỐNG KÊ ĐỘ TUỔI HỌC SINH TOÀN TRƯỜNG THEO XÃ,PHƯỜNG NĂM HỌC 2025-2026</v>
      </c>
      <c r="L3" s="390" t="s">
        <v>234</v>
      </c>
    </row>
    <row r="5" spans="1:17" x14ac:dyDescent="0.25">
      <c r="A5" s="391" t="s">
        <v>235</v>
      </c>
      <c r="B5" s="414">
        <f>IF(Chinh!$H$5="","",Chinh!$Q$4-TuoiTHCS!B6)</f>
        <v>2014</v>
      </c>
      <c r="C5" s="414">
        <f>IF(Chinh!$H$5="","",Chinh!$Q$4-TuoiTHCS!C6)</f>
        <v>2013</v>
      </c>
      <c r="D5" s="414">
        <f>IF(Chinh!$H$5="","",Chinh!$Q$4-TuoiTHCS!D6)</f>
        <v>2012</v>
      </c>
      <c r="E5" s="414">
        <f>IF(Chinh!$H$5="","",Chinh!$Q$4-TuoiTHCS!E6)</f>
        <v>2011</v>
      </c>
      <c r="F5" s="414">
        <f>IF(Chinh!$H$5="","",Chinh!$Q$4-TuoiTHCS!F6)</f>
        <v>2010</v>
      </c>
      <c r="G5" s="414">
        <f>IF(Chinh!$H$5="","",Chinh!$Q$4-TuoiTHCS!G6)</f>
        <v>2009</v>
      </c>
      <c r="H5" s="414">
        <f>IF(Chinh!$H$5="","",Chinh!$Q$4-TuoiTHCS!H6)</f>
        <v>2008</v>
      </c>
      <c r="I5" s="414">
        <f>IF(Chinh!$H$5="","",Chinh!$Q$4-TuoiTHCS!I6)</f>
        <v>2007</v>
      </c>
      <c r="J5" s="722" t="s">
        <v>236</v>
      </c>
      <c r="L5" s="392"/>
      <c r="M5" s="393" t="s">
        <v>474</v>
      </c>
      <c r="N5" s="393" t="s">
        <v>475</v>
      </c>
      <c r="O5" s="393" t="s">
        <v>476</v>
      </c>
      <c r="P5" s="393" t="s">
        <v>477</v>
      </c>
    </row>
    <row r="6" spans="1:17" x14ac:dyDescent="0.25">
      <c r="A6" s="391" t="s">
        <v>237</v>
      </c>
      <c r="B6" s="394">
        <v>11</v>
      </c>
      <c r="C6" s="394">
        <v>12</v>
      </c>
      <c r="D6" s="394">
        <v>13</v>
      </c>
      <c r="E6" s="394">
        <v>14</v>
      </c>
      <c r="F6" s="394">
        <v>15</v>
      </c>
      <c r="G6" s="394">
        <v>16</v>
      </c>
      <c r="H6" s="394">
        <v>17</v>
      </c>
      <c r="I6" s="394">
        <v>18</v>
      </c>
      <c r="J6" s="722"/>
      <c r="L6" s="417" t="str">
        <f>"Tổng số HS trường: "&amp; SUM(M6:P6)</f>
        <v>Tổng số HS trường: 6</v>
      </c>
      <c r="M6" s="396">
        <f>SUM(M7:M15)</f>
        <v>1</v>
      </c>
      <c r="N6" s="396">
        <f t="shared" ref="N6:P6" si="0">SUM(N7:N15)</f>
        <v>1</v>
      </c>
      <c r="O6" s="396">
        <f t="shared" si="0"/>
        <v>2</v>
      </c>
      <c r="P6" s="396">
        <f t="shared" si="0"/>
        <v>2</v>
      </c>
    </row>
    <row r="7" spans="1:17" x14ac:dyDescent="0.25">
      <c r="A7" s="391" t="s">
        <v>238</v>
      </c>
      <c r="B7" s="397">
        <f>B14+B18+B22+B25+B30+B31+B32</f>
        <v>0</v>
      </c>
      <c r="C7" s="397">
        <f t="shared" ref="C7:I7" si="1">C14+C18+C22+C25+C30+C31+C32</f>
        <v>1</v>
      </c>
      <c r="D7" s="397">
        <f t="shared" si="1"/>
        <v>1</v>
      </c>
      <c r="E7" s="397">
        <f t="shared" si="1"/>
        <v>1</v>
      </c>
      <c r="F7" s="397">
        <f t="shared" si="1"/>
        <v>3</v>
      </c>
      <c r="G7" s="397">
        <f t="shared" si="1"/>
        <v>0</v>
      </c>
      <c r="H7" s="397">
        <f t="shared" si="1"/>
        <v>0</v>
      </c>
      <c r="I7" s="397">
        <f t="shared" si="1"/>
        <v>0</v>
      </c>
      <c r="J7" s="822">
        <f>IF(SUM(B7:I7)=J14+J18+J22+J25+J30+J31+J32,SUM(B7:I7),"er")</f>
        <v>6</v>
      </c>
      <c r="L7" s="415" t="s">
        <v>478</v>
      </c>
      <c r="M7" s="398">
        <f>SUMPRODUCT(--(THCS!$Z$6:$Z$15000=11),--(THCS!$B$6:$B$15000=6))</f>
        <v>0</v>
      </c>
      <c r="N7" s="398">
        <f>SUMPRODUCT(--(THCS!$Z$6:$Z$15000=11),--(THCS!$B$6:$B$15000=7))</f>
        <v>0</v>
      </c>
      <c r="O7" s="398">
        <f>SUMPRODUCT(--(THCS!$Z$6:$Z$15000=11),--(THCS!$B$6:$B$15000=8))</f>
        <v>0</v>
      </c>
      <c r="P7" s="398">
        <f>SUMPRODUCT(--(THCS!$Z$6:$Z$15000=11),--(THCS!$B$6:$B$15000=9))</f>
        <v>0</v>
      </c>
    </row>
    <row r="8" spans="1:17" x14ac:dyDescent="0.25">
      <c r="A8" s="391" t="s">
        <v>239</v>
      </c>
      <c r="B8" s="399">
        <f>SUMPRODUCT(--(THCS!$Z$6:$Z$15000=11),--(THCS!$I$6:$I$15000="x"))</f>
        <v>0</v>
      </c>
      <c r="C8" s="399">
        <f>SUMPRODUCT(--(THCS!$Z$6:$Z$15000=12),--(THCS!$I$6:$I$15000="x"))</f>
        <v>0</v>
      </c>
      <c r="D8" s="399">
        <f>SUMPRODUCT(--(THCS!$Z$6:$Z$15000=13),--(THCS!$I$6:$I$15000="x"))</f>
        <v>1</v>
      </c>
      <c r="E8" s="399">
        <f>SUMPRODUCT(--(THCS!$Z$6:$Z$15000=14),--(THCS!$I$6:$I$15000="x"))</f>
        <v>0</v>
      </c>
      <c r="F8" s="399">
        <f>SUMPRODUCT(--(THCS!$Z$6:$Z$15000=15),--(THCS!$I$6:$I$15000="x"))</f>
        <v>0</v>
      </c>
      <c r="G8" s="399">
        <f>SUMPRODUCT(--(THCS!$Z$6:$Z$15000=16),--(THCS!$I$6:$I$15000="x"))</f>
        <v>0</v>
      </c>
      <c r="H8" s="399">
        <f>SUMPRODUCT(--(THCS!$Z$6:$Z$15000=17),--(THCS!$I$6:$I$15000="x"))</f>
        <v>0</v>
      </c>
      <c r="I8" s="399">
        <f>SUMPRODUCT(--(THCS!$Z$6:$Z$15000=18),--(THCS!$I$6:$I$15000="x"))</f>
        <v>0</v>
      </c>
      <c r="J8" s="397">
        <f>SUM(B8:I8)</f>
        <v>1</v>
      </c>
      <c r="L8" s="415" t="s">
        <v>479</v>
      </c>
      <c r="M8" s="398">
        <f>SUMPRODUCT(--(THCS!$Z$6:$Z$15000=12),--(THCS!$B$6:$B$15000=6))</f>
        <v>1</v>
      </c>
      <c r="N8" s="398">
        <f>SUMPRODUCT(--(THCS!$Z$6:$Z$15000=12),--(THCS!$B$6:$B$15000=7))</f>
        <v>0</v>
      </c>
      <c r="O8" s="398">
        <f>SUMPRODUCT(--(THCS!$Z$6:$Z$15000=12),--(THCS!$B$6:$B$15000=8))</f>
        <v>0</v>
      </c>
      <c r="P8" s="398">
        <f>SUMPRODUCT(--(THCS!$Z$6:$Z$15000=12),--(THCS!$B$6:$B$15000=9))</f>
        <v>0</v>
      </c>
    </row>
    <row r="9" spans="1:17" x14ac:dyDescent="0.25">
      <c r="A9" s="391" t="s">
        <v>220</v>
      </c>
      <c r="B9" s="399">
        <f>SUMPRODUCT(--(THCS!$Z$6:$Z$15000=11),--(THCS!$J$6:$J$15000&lt;&gt;"Kinh"))</f>
        <v>0</v>
      </c>
      <c r="C9" s="399">
        <f>SUMPRODUCT(--(THCS!$Z$6:$Z$15000=12),--(THCS!$J$6:$J$15000&lt;&gt;"Kinh"))</f>
        <v>0</v>
      </c>
      <c r="D9" s="399">
        <f>SUMPRODUCT(--(THCS!$Z$6:$Z$15000=13),--(THCS!$J$6:$J$15000&lt;&gt;"Kinh"))</f>
        <v>0</v>
      </c>
      <c r="E9" s="399">
        <f>SUMPRODUCT(--(THCS!$Z$6:$Z$15000=14),--(THCS!$J$6:$J$15000&lt;&gt;"Kinh"))</f>
        <v>1</v>
      </c>
      <c r="F9" s="399">
        <f>SUMPRODUCT(--(THCS!$Z$6:$Z$15000=15),--(THCS!$J$6:$J$15000&lt;&gt;"Kinh"))</f>
        <v>0</v>
      </c>
      <c r="G9" s="399">
        <f>SUMPRODUCT(--(THCS!$Z$6:$Z$15000=16),--(THCS!$J$6:$J$15000&lt;&gt;"Kinh"))</f>
        <v>0</v>
      </c>
      <c r="H9" s="399">
        <f>SUMPRODUCT(--(THCS!$Z$6:$Z$15000=17),--(THCS!$J$6:$J$15000&lt;&gt;"Kinh"))</f>
        <v>0</v>
      </c>
      <c r="I9" s="399">
        <f>SUMPRODUCT(--(THCS!$Z$6:$Z$15000=18),--(THCS!$J$6:$J$15000&lt;&gt;"Kinh"))</f>
        <v>0</v>
      </c>
      <c r="J9" s="397">
        <f t="shared" ref="J8:J32" si="2">SUM(B9:I9)</f>
        <v>1</v>
      </c>
      <c r="L9" s="415" t="s">
        <v>480</v>
      </c>
      <c r="M9" s="398">
        <f>SUMPRODUCT(--(THCS!$Z$6:$Z$15000=13),--(THCS!$B$6:$B$15000=6))</f>
        <v>0</v>
      </c>
      <c r="N9" s="398">
        <f>SUMPRODUCT(--(THCS!$Z$6:$Z$15000=13),--(THCS!$B$6:$B$15000=7))</f>
        <v>1</v>
      </c>
      <c r="O9" s="398">
        <f>SUMPRODUCT(--(THCS!$Z$6:$Z$15000=13),--(THCS!$B$6:$B$15000=8))</f>
        <v>0</v>
      </c>
      <c r="P9" s="398">
        <f>SUMPRODUCT(--(THCS!$Z$6:$Z$15000=13),--(THCS!$B$6:$B$15000=9))</f>
        <v>0</v>
      </c>
    </row>
    <row r="10" spans="1:17" x14ac:dyDescent="0.25">
      <c r="A10" s="391" t="s">
        <v>240</v>
      </c>
      <c r="B10" s="399">
        <f>SUMPRODUCT(--(THCS!$Z$6:$Z$15000=11),--(THCS!$K$6:$K$15000="x"))</f>
        <v>0</v>
      </c>
      <c r="C10" s="399">
        <f>SUMPRODUCT(--(THCS!$Z$6:$Z$15000=12),--(THCS!$K$6:$K$15000="x"))</f>
        <v>0</v>
      </c>
      <c r="D10" s="399">
        <f>SUMPRODUCT(--(THCS!$Z$6:$Z$15000=13),--(THCS!$K$6:$K$15000="x"))</f>
        <v>0</v>
      </c>
      <c r="E10" s="399">
        <f>SUMPRODUCT(--(THCS!$Z$6:$Z$15000=14),--(THCS!$K$6:$K$15000="x"))</f>
        <v>1</v>
      </c>
      <c r="F10" s="399">
        <f>SUMPRODUCT(--(THCS!$Z$6:$Z$15000=15),--(THCS!$K$6:$K$15000="x"))</f>
        <v>1</v>
      </c>
      <c r="G10" s="399">
        <f>SUMPRODUCT(--(THCS!$Z$6:$Z$15000=16),--(THCS!$K$6:$K$15000="x"))</f>
        <v>0</v>
      </c>
      <c r="H10" s="399">
        <f>SUMPRODUCT(--(THCS!$Z$6:$Z$15000=17),--(THCS!$K$6:$K$15000="x"))</f>
        <v>0</v>
      </c>
      <c r="I10" s="399">
        <f>SUMPRODUCT(--(THCS!$Z$6:$Z$15000=18),--(THCS!$K$6:$K$15000="x"))</f>
        <v>0</v>
      </c>
      <c r="J10" s="397">
        <f t="shared" si="2"/>
        <v>2</v>
      </c>
      <c r="L10" s="415" t="s">
        <v>481</v>
      </c>
      <c r="M10" s="398">
        <f>SUMPRODUCT(--(THCS!$Z$6:$Z$15000=14),--(THCS!$B$6:$B$15000=6))</f>
        <v>0</v>
      </c>
      <c r="N10" s="398">
        <f>SUMPRODUCT(--(THCS!$Z$6:$Z$15000=14),--(THCS!$B$6:$B$15000=7))</f>
        <v>0</v>
      </c>
      <c r="O10" s="398">
        <f>SUMPRODUCT(--(THCS!$Z$6:$Z$15000=14),--(THCS!$B$6:$B$15000=8))</f>
        <v>1</v>
      </c>
      <c r="P10" s="398">
        <f>SUMPRODUCT(--(THCS!$Z$6:$Z$15000=14),--(THCS!$B$6:$B$15000=9))</f>
        <v>0</v>
      </c>
    </row>
    <row r="11" spans="1:17" x14ac:dyDescent="0.25">
      <c r="A11" s="817" t="s">
        <v>1</v>
      </c>
      <c r="B11" s="818">
        <f>SUMPRODUCT(--(THCS!$Z$6:$Z$15000=11),--(THCS!$N$6:$N$15000="Cam Thành Nam"))</f>
        <v>0</v>
      </c>
      <c r="C11" s="818">
        <f>SUMPRODUCT(--(THCS!$Z$6:$Z$15000=12),--(THCS!$N$6:$N$15000="Cam Thành Nam"))</f>
        <v>0</v>
      </c>
      <c r="D11" s="818">
        <f>SUMPRODUCT(--(THCS!$Z$6:$Z$15000=13),--(THCS!$N$6:$N$15000="Cam Thành Nam"))</f>
        <v>0</v>
      </c>
      <c r="E11" s="818">
        <f>SUMPRODUCT(--(THCS!$Z$6:$Z$15000=14),--(THCS!$N$6:$N$15000="Cam Thành Nam"))</f>
        <v>0</v>
      </c>
      <c r="F11" s="818">
        <f>SUMPRODUCT(--(THCS!$Z$6:$Z$15000=15),--(THCS!$N$6:$N$15000="Cam Thành Nam"))</f>
        <v>0</v>
      </c>
      <c r="G11" s="818">
        <f>SUMPRODUCT(--(THCS!$Z$6:$Z$15000=16),--(THCS!$N$6:$N$15000="Cam Thành Nam"))</f>
        <v>0</v>
      </c>
      <c r="H11" s="818">
        <f>SUMPRODUCT(--(THCS!$Z$6:$Z$15000=17),--(THCS!$N$6:$N$15000="Cam Thành Nam"))</f>
        <v>0</v>
      </c>
      <c r="I11" s="818">
        <f>SUMPRODUCT(--(THCS!$Z$6:$Z$15000=18),--(THCS!$N$6:$N$15000="Cam Thành Nam"))</f>
        <v>0</v>
      </c>
      <c r="J11" s="819">
        <f t="shared" si="2"/>
        <v>0</v>
      </c>
      <c r="L11" s="415" t="s">
        <v>482</v>
      </c>
      <c r="M11" s="398">
        <f>SUMPRODUCT(--(THCS!$Z$6:$Z$15000=15),--(THCS!$B$6:$B$15000=6))</f>
        <v>0</v>
      </c>
      <c r="N11" s="398">
        <f>SUMPRODUCT(--(THCS!$Z$6:$Z$15000=15),--(THCS!$B$6:$B$15000=7))</f>
        <v>0</v>
      </c>
      <c r="O11" s="398">
        <f>SUMPRODUCT(--(THCS!$Z$6:$Z$15000=15),--(THCS!$B$6:$B$15000=8))</f>
        <v>1</v>
      </c>
      <c r="P11" s="398">
        <f>SUMPRODUCT(--(THCS!$Z$6:$Z$15000=15),--(THCS!$B$6:$B$15000=9))</f>
        <v>2</v>
      </c>
    </row>
    <row r="12" spans="1:17" x14ac:dyDescent="0.25">
      <c r="A12" s="817" t="s">
        <v>5</v>
      </c>
      <c r="B12" s="818">
        <f>SUMPRODUCT(--(THCS!$Z$6:$Z$15000=11),--(THCS!$N$6:$N$15000="Cam Nghĩa"))</f>
        <v>0</v>
      </c>
      <c r="C12" s="818">
        <f>SUMPRODUCT(--(THCS!$Z$6:$Z$15000=12),--(THCS!$N$6:$N$15000="Cam Nghĩa"))</f>
        <v>1</v>
      </c>
      <c r="D12" s="818">
        <f>SUMPRODUCT(--(THCS!$Z$6:$Z$15000=13),--(THCS!$N$6:$N$15000="Cam Nghĩa"))</f>
        <v>0</v>
      </c>
      <c r="E12" s="818">
        <f>SUMPRODUCT(--(THCS!$Z$6:$Z$15000=14),--(THCS!$N$6:$N$15000="Cam Nghĩa"))</f>
        <v>0</v>
      </c>
      <c r="F12" s="818">
        <f>SUMPRODUCT(--(THCS!$Z$6:$Z$15000=15),--(THCS!$N$6:$N$15000="Cam Nghĩa"))</f>
        <v>0</v>
      </c>
      <c r="G12" s="818">
        <f>SUMPRODUCT(--(THCS!$Z$6:$Z$15000=16),--(THCS!$N$6:$N$15000="Cam Nghĩa"))</f>
        <v>0</v>
      </c>
      <c r="H12" s="818">
        <f>SUMPRODUCT(--(THCS!$Z$6:$Z$15000=17),--(THCS!$N$6:$N$15000="Cam Nghĩa"))</f>
        <v>0</v>
      </c>
      <c r="I12" s="818">
        <f>SUMPRODUCT(--(THCS!$Z$6:$Z$15000=18),--(THCS!$N$6:$N$15000="Cam Nghĩa"))</f>
        <v>0</v>
      </c>
      <c r="J12" s="819">
        <f t="shared" si="2"/>
        <v>1</v>
      </c>
      <c r="L12" s="415" t="s">
        <v>483</v>
      </c>
      <c r="M12" s="398">
        <f>SUMPRODUCT(--(THCS!$Z$6:$Z$15000=16),--(THCS!$B$6:$B$15000=6))</f>
        <v>0</v>
      </c>
      <c r="N12" s="398">
        <f>SUMPRODUCT(--(THCS!$Z$6:$Z$15000=16),--(THCS!$B$6:$B$15000=7))</f>
        <v>0</v>
      </c>
      <c r="O12" s="398">
        <f>SUMPRODUCT(--(THCS!$Z$6:$Z$15000=16),--(THCS!$B$6:$B$15000=8))</f>
        <v>0</v>
      </c>
      <c r="P12" s="398">
        <f>SUMPRODUCT(--(THCS!$Z$6:$Z$15000=16),--(THCS!$B$6:$B$15000=9))</f>
        <v>0</v>
      </c>
    </row>
    <row r="13" spans="1:17" x14ac:dyDescent="0.25">
      <c r="A13" s="817" t="s">
        <v>8</v>
      </c>
      <c r="B13" s="818">
        <f>SUMPRODUCT(--(THCS!$Z$6:$Z$15000=11),--(THCS!$N$6:$N$15000="Cam Phúc Bắc"))</f>
        <v>0</v>
      </c>
      <c r="C13" s="818">
        <f>SUMPRODUCT(--(THCS!$Z$6:$Z$15000=12),--(THCS!$N$6:$N$15000="Cam Phúc Bắc"))</f>
        <v>0</v>
      </c>
      <c r="D13" s="818">
        <f>SUMPRODUCT(--(THCS!$Z$6:$Z$15000=13),--(THCS!$N$6:$N$15000="Cam Phúc Bắc"))</f>
        <v>0</v>
      </c>
      <c r="E13" s="818">
        <f>SUMPRODUCT(--(THCS!$Z$6:$Z$15000=14),--(THCS!$N$6:$N$15000="Cam Phúc Bắc"))</f>
        <v>0</v>
      </c>
      <c r="F13" s="818">
        <f>SUMPRODUCT(--(THCS!$Z$6:$Z$15000=15),--(THCS!$N$6:$N$15000="Cam Phúc Bắc"))</f>
        <v>0</v>
      </c>
      <c r="G13" s="818">
        <f>SUMPRODUCT(--(THCS!$Z$6:$Z$15000=16),--(THCS!$N$6:$N$15000="Cam Phúc Bắc"))</f>
        <v>0</v>
      </c>
      <c r="H13" s="818">
        <f>SUMPRODUCT(--(THCS!$Z$6:$Z$15000=17),--(THCS!$N$6:$N$15000="Cam Phúc Bắc"))</f>
        <v>0</v>
      </c>
      <c r="I13" s="818">
        <f>SUMPRODUCT(--(THCS!$Z$6:$Z$15000=18),--(THCS!$N$6:$N$15000="Cam Phúc Bắc"))</f>
        <v>0</v>
      </c>
      <c r="J13" s="819">
        <f t="shared" si="2"/>
        <v>0</v>
      </c>
      <c r="L13" s="415" t="s">
        <v>484</v>
      </c>
      <c r="M13" s="398">
        <f>SUMPRODUCT(--(THCS!$Z$6:$Z$15000=17),--(THCS!$B$6:$B$15000=6))</f>
        <v>0</v>
      </c>
      <c r="N13" s="398">
        <f>SUMPRODUCT(--(THCS!$Z$6:$Z$15000=17),--(THCS!$B$6:$B$15000=7))</f>
        <v>0</v>
      </c>
      <c r="O13" s="398">
        <f>SUMPRODUCT(--(THCS!$Z$6:$Z$15000=17),--(THCS!$B$6:$B$15000=8))</f>
        <v>0</v>
      </c>
      <c r="P13" s="398">
        <f>SUMPRODUCT(--(THCS!$Z$6:$Z$15000=17),--(THCS!$B$6:$B$15000=9))</f>
        <v>0</v>
      </c>
    </row>
    <row r="14" spans="1:17" x14ac:dyDescent="0.25">
      <c r="A14" s="820" t="s">
        <v>874</v>
      </c>
      <c r="B14" s="799">
        <f>SUM(B11:B13)</f>
        <v>0</v>
      </c>
      <c r="C14" s="799">
        <f t="shared" ref="C14:J14" si="3">SUM(C11:C13)</f>
        <v>1</v>
      </c>
      <c r="D14" s="799">
        <f t="shared" si="3"/>
        <v>0</v>
      </c>
      <c r="E14" s="799">
        <f t="shared" si="3"/>
        <v>0</v>
      </c>
      <c r="F14" s="799">
        <f t="shared" si="3"/>
        <v>0</v>
      </c>
      <c r="G14" s="799">
        <f t="shared" si="3"/>
        <v>0</v>
      </c>
      <c r="H14" s="799">
        <f t="shared" si="3"/>
        <v>0</v>
      </c>
      <c r="I14" s="799">
        <f t="shared" si="3"/>
        <v>0</v>
      </c>
      <c r="J14" s="799">
        <f t="shared" si="3"/>
        <v>1</v>
      </c>
      <c r="L14" s="415" t="s">
        <v>485</v>
      </c>
      <c r="M14" s="398">
        <f>SUMPRODUCT(--(THCS!$Z$6:$Z$15000=18),--(THCS!$B$6:$B$15000=6))</f>
        <v>0</v>
      </c>
      <c r="N14" s="398">
        <f>SUMPRODUCT(--(THCS!$Z$6:$Z$15000=18),--(THCS!$B$6:$B$15000=7))</f>
        <v>0</v>
      </c>
      <c r="O14" s="398">
        <f>SUMPRODUCT(--(THCS!$Z$6:$Z$15000=18),--(THCS!$B$6:$B$15000=8))</f>
        <v>0</v>
      </c>
      <c r="P14" s="398">
        <f>SUMPRODUCT(--(THCS!$Z$6:$Z$15000=18),--(THCS!$B$6:$B$15000=9))</f>
        <v>0</v>
      </c>
    </row>
    <row r="15" spans="1:17" x14ac:dyDescent="0.25">
      <c r="A15" s="823" t="s">
        <v>13</v>
      </c>
      <c r="B15" s="399">
        <f>SUMPRODUCT(--(THCS!$Z$6:$Z$15000=11),--(THCS!$N$6:$N$15000="Cam Phúc Nam"))</f>
        <v>0</v>
      </c>
      <c r="C15" s="399">
        <f>SUMPRODUCT(--(THCS!$Z$6:$Z$15000=12),--(THCS!$N$6:$N$15000="Cam Phúc Nam"))</f>
        <v>0</v>
      </c>
      <c r="D15" s="399">
        <f>SUMPRODUCT(--(THCS!$Z$6:$Z$15000=13),--(THCS!$N$6:$N$15000="Cam Phúc Nam"))</f>
        <v>0</v>
      </c>
      <c r="E15" s="399">
        <f>SUMPRODUCT(--(THCS!$Z$6:$Z$15000=14),--(THCS!$N$6:$N$15000="Cam Phúc Nam"))</f>
        <v>0</v>
      </c>
      <c r="F15" s="399">
        <f>SUMPRODUCT(--(THCS!$Z$6:$Z$15000=15),--(THCS!$N$6:$N$15000="Cam Phúc Nam"))</f>
        <v>1</v>
      </c>
      <c r="G15" s="399">
        <f>SUMPRODUCT(--(THCS!$Z$6:$Z$15000=16),--(THCS!$N$6:$N$15000="Cam Phúc Nam"))</f>
        <v>0</v>
      </c>
      <c r="H15" s="399">
        <f>SUMPRODUCT(--(THCS!$Z$6:$Z$15000=17),--(THCS!$N$6:$N$15000="Cam Phúc Nam"))</f>
        <v>0</v>
      </c>
      <c r="I15" s="399">
        <f>SUMPRODUCT(--(THCS!$Z$6:$Z$15000=18),--(THCS!$N$6:$N$15000="Cam Phúc Nam"))</f>
        <v>0</v>
      </c>
      <c r="J15" s="397">
        <f t="shared" si="2"/>
        <v>1</v>
      </c>
    </row>
    <row r="16" spans="1:17" x14ac:dyDescent="0.25">
      <c r="A16" s="823" t="s">
        <v>18</v>
      </c>
      <c r="B16" s="399">
        <f>SUMPRODUCT(--(THCS!$Z$6:$Z$15000=11),--(THCS!$N$6:$N$15000="Cam Lộc"))</f>
        <v>0</v>
      </c>
      <c r="C16" s="399">
        <f>SUMPRODUCT(--(THCS!$Z$6:$Z$15000=12),--(THCS!$N$6:$N$15000="Cam Lộc"))</f>
        <v>0</v>
      </c>
      <c r="D16" s="399">
        <f>SUMPRODUCT(--(THCS!$Z$6:$Z$15000=13),--(THCS!$N$6:$N$15000="Cam Lộc"))</f>
        <v>0</v>
      </c>
      <c r="E16" s="399">
        <f>SUMPRODUCT(--(THCS!$Z$6:$Z$15000=14),--(THCS!$N$6:$N$15000="Cam Lộc"))</f>
        <v>0</v>
      </c>
      <c r="F16" s="399">
        <f>SUMPRODUCT(--(THCS!$Z$6:$Z$15000=15),--(THCS!$N$6:$N$15000="Cam Lộc"))</f>
        <v>1</v>
      </c>
      <c r="G16" s="399">
        <f>SUMPRODUCT(--(THCS!$Z$6:$Z$15000=16),--(THCS!$N$6:$N$15000="Cam Lộc"))</f>
        <v>0</v>
      </c>
      <c r="H16" s="399">
        <f>SUMPRODUCT(--(THCS!$Z$6:$Z$15000=17),--(THCS!$N$6:$N$15000="Cam Lộc"))</f>
        <v>0</v>
      </c>
      <c r="I16" s="399">
        <f>SUMPRODUCT(--(THCS!$Z$6:$Z$15000=18),--(THCS!$N$6:$N$15000="Cam Lộc"))</f>
        <v>0</v>
      </c>
      <c r="J16" s="397">
        <f t="shared" si="2"/>
        <v>1</v>
      </c>
    </row>
    <row r="17" spans="1:18" x14ac:dyDescent="0.25">
      <c r="A17" s="823" t="s">
        <v>23</v>
      </c>
      <c r="B17" s="399">
        <f>SUMPRODUCT(--(THCS!$Z$6:$Z$15000=11),--(THCS!$N$6:$N$15000="Cam Phú"))</f>
        <v>0</v>
      </c>
      <c r="C17" s="399">
        <f>SUMPRODUCT(--(THCS!$Z$6:$Z$15000=12),--(THCS!$N$6:$N$15000="Cam Phú"))</f>
        <v>0</v>
      </c>
      <c r="D17" s="399">
        <f>SUMPRODUCT(--(THCS!$Z$6:$Z$15000=13),--(THCS!$N$6:$N$15000="Cam Phú"))</f>
        <v>0</v>
      </c>
      <c r="E17" s="399">
        <f>SUMPRODUCT(--(THCS!$Z$6:$Z$15000=14),--(THCS!$N$6:$N$15000="Cam Phú"))</f>
        <v>0</v>
      </c>
      <c r="F17" s="399">
        <f>SUMPRODUCT(--(THCS!$Z$6:$Z$15000=15),--(THCS!$N$6:$N$15000="Cam Phú"))</f>
        <v>0</v>
      </c>
      <c r="G17" s="399">
        <f>SUMPRODUCT(--(THCS!$Z$6:$Z$15000=16),--(THCS!$N$6:$N$15000="Cam Phú"))</f>
        <v>0</v>
      </c>
      <c r="H17" s="399">
        <f>SUMPRODUCT(--(THCS!$Z$6:$Z$15000=17),--(THCS!$N$6:$N$15000="Cam Phú"))</f>
        <v>0</v>
      </c>
      <c r="I17" s="399">
        <f>SUMPRODUCT(--(THCS!$Z$6:$Z$15000=18),--(THCS!$N$6:$N$15000="Cam Phú"))</f>
        <v>0</v>
      </c>
      <c r="J17" s="397">
        <f t="shared" si="2"/>
        <v>0</v>
      </c>
      <c r="L17" s="825" t="s">
        <v>486</v>
      </c>
      <c r="M17" s="825"/>
      <c r="N17" s="825"/>
      <c r="O17" s="825"/>
      <c r="P17" s="825"/>
      <c r="Q17" s="825"/>
    </row>
    <row r="18" spans="1:18" x14ac:dyDescent="0.25">
      <c r="A18" s="824" t="s">
        <v>876</v>
      </c>
      <c r="B18" s="806">
        <f>SUM(B15:B17)</f>
        <v>0</v>
      </c>
      <c r="C18" s="806">
        <f t="shared" ref="C18:J18" si="4">SUM(C15:C17)</f>
        <v>0</v>
      </c>
      <c r="D18" s="806">
        <f t="shared" si="4"/>
        <v>0</v>
      </c>
      <c r="E18" s="806">
        <f t="shared" si="4"/>
        <v>0</v>
      </c>
      <c r="F18" s="806">
        <f t="shared" si="4"/>
        <v>2</v>
      </c>
      <c r="G18" s="806">
        <f t="shared" si="4"/>
        <v>0</v>
      </c>
      <c r="H18" s="806">
        <f t="shared" si="4"/>
        <v>0</v>
      </c>
      <c r="I18" s="806">
        <f t="shared" si="4"/>
        <v>0</v>
      </c>
      <c r="J18" s="806">
        <f t="shared" si="4"/>
        <v>2</v>
      </c>
      <c r="L18" s="571"/>
      <c r="M18" s="571"/>
      <c r="N18" s="571"/>
      <c r="O18" s="821"/>
      <c r="P18" s="571"/>
      <c r="Q18" s="571"/>
    </row>
    <row r="19" spans="1:18" x14ac:dyDescent="0.25">
      <c r="A19" s="817" t="s">
        <v>28</v>
      </c>
      <c r="B19" s="818">
        <f>SUMPRODUCT(--(THCS!$Z$6:$Z$15000=11),--(THCS!$N$6:$N$15000="Cam Linh"))</f>
        <v>0</v>
      </c>
      <c r="C19" s="818">
        <f>SUMPRODUCT(--(THCS!$Z$6:$Z$15000=12),--(THCS!$N$6:$N$15000="Cam Linh"))</f>
        <v>0</v>
      </c>
      <c r="D19" s="818">
        <f>SUMPRODUCT(--(THCS!$Z$6:$Z$15000=13),--(THCS!$N$6:$N$15000="Cam Linh"))</f>
        <v>0</v>
      </c>
      <c r="E19" s="818">
        <f>SUMPRODUCT(--(THCS!$Z$6:$Z$15000=14),--(THCS!$N$6:$N$15000="Cam Linh"))</f>
        <v>0</v>
      </c>
      <c r="F19" s="818">
        <f>SUMPRODUCT(--(THCS!$Z$6:$Z$15000=15),--(THCS!$N$6:$N$15000="Cam Linh"))</f>
        <v>0</v>
      </c>
      <c r="G19" s="818">
        <f>SUMPRODUCT(--(THCS!$Z$6:$Z$15000=16),--(THCS!$N$6:$N$15000="Cam Linh"))</f>
        <v>0</v>
      </c>
      <c r="H19" s="818">
        <f>SUMPRODUCT(--(THCS!$Z$6:$Z$15000=17),--(THCS!$N$6:$N$15000="Cam Linh"))</f>
        <v>0</v>
      </c>
      <c r="I19" s="818">
        <f>SUMPRODUCT(--(THCS!$Z$6:$Z$15000=18),--(THCS!$N$6:$N$15000="Cam Linh"))</f>
        <v>0</v>
      </c>
      <c r="J19" s="819">
        <f t="shared" si="2"/>
        <v>0</v>
      </c>
      <c r="L19" s="392"/>
      <c r="M19" s="393" t="s">
        <v>242</v>
      </c>
      <c r="N19" s="393" t="s">
        <v>243</v>
      </c>
      <c r="O19" s="723" t="s">
        <v>487</v>
      </c>
      <c r="P19" s="402" t="s">
        <v>242</v>
      </c>
      <c r="Q19" s="402" t="s">
        <v>243</v>
      </c>
      <c r="R19" s="386" t="str">
        <f>IF(OR(Chinh!$N$9="",M27=0,P20=0,M20=""),"Nhập liệu!",IF(OR(SUM(P21:P27)&gt;M27,N27=0,M20&lt;M27),"er",""))</f>
        <v/>
      </c>
    </row>
    <row r="20" spans="1:18" x14ac:dyDescent="0.25">
      <c r="A20" s="817" t="s">
        <v>33</v>
      </c>
      <c r="B20" s="818">
        <f>SUMPRODUCT(--(THCS!$Z$6:$Z$15000=11),--(THCS!$N$6:$N$15000="Cam Thuận"))</f>
        <v>0</v>
      </c>
      <c r="C20" s="818">
        <f>SUMPRODUCT(--(THCS!$Z$6:$Z$15000=12),--(THCS!$N$6:$N$15000="Cam Thuận"))</f>
        <v>0</v>
      </c>
      <c r="D20" s="818">
        <f>SUMPRODUCT(--(THCS!$Z$6:$Z$15000=13),--(THCS!$N$6:$N$15000="Cam Thuận"))</f>
        <v>0</v>
      </c>
      <c r="E20" s="818">
        <f>SUMPRODUCT(--(THCS!$Z$6:$Z$15000=14),--(THCS!$N$6:$N$15000="Cam Thuận"))</f>
        <v>0</v>
      </c>
      <c r="F20" s="818">
        <f>SUMPRODUCT(--(THCS!$Z$6:$Z$15000=15),--(THCS!$N$6:$N$15000="Cam Thuận"))</f>
        <v>0</v>
      </c>
      <c r="G20" s="818">
        <f>SUMPRODUCT(--(THCS!$Z$6:$Z$15000=16),--(THCS!$N$6:$N$15000="Cam Thuận"))</f>
        <v>0</v>
      </c>
      <c r="H20" s="818">
        <f>SUMPRODUCT(--(THCS!$Z$6:$Z$15000=17),--(THCS!$N$6:$N$15000="Cam Thuận"))</f>
        <v>0</v>
      </c>
      <c r="I20" s="818">
        <f>SUMPRODUCT(--(THCS!$Z$6:$Z$15000=18),--(THCS!$N$6:$N$15000="Cam Thuận"))</f>
        <v>0</v>
      </c>
      <c r="J20" s="819">
        <f t="shared" si="2"/>
        <v>0</v>
      </c>
      <c r="L20" s="395" t="s">
        <v>488</v>
      </c>
      <c r="M20" s="616">
        <v>20</v>
      </c>
      <c r="N20" s="617"/>
      <c r="O20" s="724"/>
      <c r="P20" s="403">
        <f>SUM(P21:P27)</f>
        <v>20</v>
      </c>
      <c r="Q20" s="404">
        <f>IF(OR(P20=0,$M$27=0),0,P20/$M$27)</f>
        <v>1</v>
      </c>
    </row>
    <row r="21" spans="1:18" x14ac:dyDescent="0.25">
      <c r="A21" s="817" t="s">
        <v>38</v>
      </c>
      <c r="B21" s="818">
        <f>SUMPRODUCT(--(THCS!$Z$6:$Z$15000=11),--(THCS!$N$6:$N$15000="Cam Lợi"))</f>
        <v>0</v>
      </c>
      <c r="C21" s="818">
        <f>SUMPRODUCT(--(THCS!$Z$6:$Z$15000=12),--(THCS!$N$6:$N$15000="Cam Lợi"))</f>
        <v>0</v>
      </c>
      <c r="D21" s="818">
        <f>SUMPRODUCT(--(THCS!$Z$6:$Z$15000=13),--(THCS!$N$6:$N$15000="Cam Lợi"))</f>
        <v>0</v>
      </c>
      <c r="E21" s="818">
        <f>SUMPRODUCT(--(THCS!$Z$6:$Z$15000=14),--(THCS!$N$6:$N$15000="Cam Lợi"))</f>
        <v>0</v>
      </c>
      <c r="F21" s="818">
        <f>SUMPRODUCT(--(THCS!$Z$6:$Z$15000=15),--(THCS!$N$6:$N$15000="Cam Lợi"))</f>
        <v>0</v>
      </c>
      <c r="G21" s="818">
        <f>SUMPRODUCT(--(THCS!$Z$6:$Z$15000=16),--(THCS!$N$6:$N$15000="Cam Lợi"))</f>
        <v>0</v>
      </c>
      <c r="H21" s="818">
        <f>SUMPRODUCT(--(THCS!$Z$6:$Z$15000=17),--(THCS!$N$6:$N$15000="Cam Lợi"))</f>
        <v>0</v>
      </c>
      <c r="I21" s="818">
        <f>SUMPRODUCT(--(THCS!$Z$6:$Z$15000=18),--(THCS!$N$6:$N$15000="Cam Lợi"))</f>
        <v>0</v>
      </c>
      <c r="J21" s="819">
        <f t="shared" si="2"/>
        <v>0</v>
      </c>
      <c r="L21" s="405" t="s">
        <v>489</v>
      </c>
      <c r="M21" s="50">
        <v>20</v>
      </c>
      <c r="N21" s="407">
        <f>IF($M$20="","",M21/$M$20)</f>
        <v>1</v>
      </c>
      <c r="O21" s="408" t="s">
        <v>490</v>
      </c>
      <c r="P21" s="50">
        <v>20</v>
      </c>
      <c r="Q21" s="409">
        <f>IF(OR(P21=0,$M$27=0),0,P21/$M$27)</f>
        <v>1</v>
      </c>
    </row>
    <row r="22" spans="1:18" x14ac:dyDescent="0.25">
      <c r="A22" s="820" t="s">
        <v>875</v>
      </c>
      <c r="B22" s="799">
        <f>SUM(B19:B21)</f>
        <v>0</v>
      </c>
      <c r="C22" s="799">
        <f t="shared" ref="C22" si="5">SUM(C19:C21)</f>
        <v>0</v>
      </c>
      <c r="D22" s="799">
        <f t="shared" ref="D22" si="6">SUM(D19:D21)</f>
        <v>0</v>
      </c>
      <c r="E22" s="799">
        <f t="shared" ref="E22" si="7">SUM(E19:E21)</f>
        <v>0</v>
      </c>
      <c r="F22" s="799">
        <f t="shared" ref="F22" si="8">SUM(F19:F21)</f>
        <v>0</v>
      </c>
      <c r="G22" s="799">
        <f t="shared" ref="G22" si="9">SUM(G19:G21)</f>
        <v>0</v>
      </c>
      <c r="H22" s="799">
        <f t="shared" ref="H22" si="10">SUM(H19:H21)</f>
        <v>0</v>
      </c>
      <c r="I22" s="799">
        <f t="shared" ref="I22" si="11">SUM(I19:I21)</f>
        <v>0</v>
      </c>
      <c r="J22" s="799">
        <f t="shared" ref="J22" si="12">SUM(J19:J21)</f>
        <v>0</v>
      </c>
      <c r="L22" s="405" t="s">
        <v>491</v>
      </c>
      <c r="M22" s="50"/>
      <c r="N22" s="407">
        <f>IF($M$20="","",M22/$M$20)</f>
        <v>0</v>
      </c>
      <c r="O22" s="408" t="s">
        <v>384</v>
      </c>
      <c r="P22" s="50"/>
      <c r="Q22" s="409">
        <f>IF(OR(P22=0,$M$27=0),0,P22/$M$27)</f>
        <v>0</v>
      </c>
    </row>
    <row r="23" spans="1:18" x14ac:dyDescent="0.25">
      <c r="A23" s="823" t="s">
        <v>42</v>
      </c>
      <c r="B23" s="399">
        <f>SUMPRODUCT(--(THCS!$Z$6:$Z$15000=11),--(THCS!$N$6:$N$15000="Ba Ngòi"))</f>
        <v>0</v>
      </c>
      <c r="C23" s="399">
        <f>SUMPRODUCT(--(THCS!$Z$6:$Z$15000=12),--(THCS!$N$6:$N$15000="Ba Ngòi"))</f>
        <v>0</v>
      </c>
      <c r="D23" s="399">
        <f>SUMPRODUCT(--(THCS!$Z$6:$Z$15000=13),--(THCS!$N$6:$N$15000="Ba Ngòi"))</f>
        <v>0</v>
      </c>
      <c r="E23" s="399">
        <f>SUMPRODUCT(--(THCS!$Z$6:$Z$15000=14),--(THCS!$N$6:$N$15000="Ba Ngòi"))</f>
        <v>0</v>
      </c>
      <c r="F23" s="399">
        <f>SUMPRODUCT(--(THCS!$Z$6:$Z$15000=15),--(THCS!$N$6:$N$15000="Ba Ngòi"))</f>
        <v>0</v>
      </c>
      <c r="G23" s="399">
        <f>SUMPRODUCT(--(THCS!$Z$6:$Z$15000=16),--(THCS!$N$6:$N$15000="Ba Ngòi"))</f>
        <v>0</v>
      </c>
      <c r="H23" s="399">
        <f>SUMPRODUCT(--(THCS!$Z$6:$Z$15000=17),--(THCS!$N$6:$N$15000="Ba Ngòi"))</f>
        <v>0</v>
      </c>
      <c r="I23" s="399">
        <f>SUMPRODUCT(--(THCS!$Z$6:$Z$15000=18),--(THCS!$N$6:$N$15000="Ba Ngòi"))</f>
        <v>0</v>
      </c>
      <c r="J23" s="397">
        <f t="shared" si="2"/>
        <v>0</v>
      </c>
      <c r="L23" s="405"/>
      <c r="M23" s="406"/>
      <c r="N23" s="826"/>
      <c r="O23" s="408" t="s">
        <v>524</v>
      </c>
      <c r="P23" s="50"/>
      <c r="Q23" s="409">
        <f>IF(OR(P23=0,$M$27=0),0,P23/$M$27)</f>
        <v>0</v>
      </c>
    </row>
    <row r="24" spans="1:18" x14ac:dyDescent="0.25">
      <c r="A24" s="823" t="s">
        <v>47</v>
      </c>
      <c r="B24" s="399">
        <f>SUMPRODUCT(--(THCS!$Z$6:$Z$15000=11),--(THCS!$N$6:$N$15000="Cam Phước Đông"))</f>
        <v>0</v>
      </c>
      <c r="C24" s="399">
        <f>SUMPRODUCT(--(THCS!$Z$6:$Z$15000=12),--(THCS!$N$6:$N$15000="Cam Phước Đông"))</f>
        <v>0</v>
      </c>
      <c r="D24" s="399">
        <f>SUMPRODUCT(--(THCS!$Z$6:$Z$15000=13),--(THCS!$N$6:$N$15000="Cam Phước Đông"))</f>
        <v>1</v>
      </c>
      <c r="E24" s="399">
        <f>SUMPRODUCT(--(THCS!$Z$6:$Z$15000=14),--(THCS!$N$6:$N$15000="Cam Phước Đông"))</f>
        <v>0</v>
      </c>
      <c r="F24" s="399">
        <f>SUMPRODUCT(--(THCS!$Z$6:$Z$15000=15),--(THCS!$N$6:$N$15000="Cam Phước Đông"))</f>
        <v>0</v>
      </c>
      <c r="G24" s="399">
        <f>SUMPRODUCT(--(THCS!$Z$6:$Z$15000=16),--(THCS!$N$6:$N$15000="Cam Phước Đông"))</f>
        <v>0</v>
      </c>
      <c r="H24" s="399">
        <f>SUMPRODUCT(--(THCS!$Z$6:$Z$15000=17),--(THCS!$N$6:$N$15000="Cam Phước Đông"))</f>
        <v>0</v>
      </c>
      <c r="I24" s="399">
        <f>SUMPRODUCT(--(THCS!$Z$6:$Z$15000=18),--(THCS!$N$6:$N$15000="Cam Phước Đông"))</f>
        <v>0</v>
      </c>
      <c r="J24" s="397">
        <f t="shared" si="2"/>
        <v>1</v>
      </c>
      <c r="L24" s="392"/>
      <c r="M24" s="406"/>
      <c r="N24" s="407">
        <f>IF($M$20="","",M24/$M$20)</f>
        <v>0</v>
      </c>
      <c r="O24" s="408" t="s">
        <v>492</v>
      </c>
      <c r="P24" s="50"/>
      <c r="Q24" s="409">
        <f>IF(OR(P24=0,$M$27=0),0,P24/$M$27)</f>
        <v>0</v>
      </c>
    </row>
    <row r="25" spans="1:18" x14ac:dyDescent="0.25">
      <c r="A25" s="824" t="s">
        <v>877</v>
      </c>
      <c r="B25" s="806">
        <f>SUM(B23:B24)</f>
        <v>0</v>
      </c>
      <c r="C25" s="806">
        <f t="shared" ref="C25:J25" si="13">SUM(C23:C24)</f>
        <v>0</v>
      </c>
      <c r="D25" s="806">
        <f t="shared" si="13"/>
        <v>1</v>
      </c>
      <c r="E25" s="806">
        <f t="shared" si="13"/>
        <v>0</v>
      </c>
      <c r="F25" s="806">
        <f t="shared" si="13"/>
        <v>0</v>
      </c>
      <c r="G25" s="806">
        <f t="shared" si="13"/>
        <v>0</v>
      </c>
      <c r="H25" s="806">
        <f t="shared" si="13"/>
        <v>0</v>
      </c>
      <c r="I25" s="806">
        <f t="shared" si="13"/>
        <v>0</v>
      </c>
      <c r="J25" s="806">
        <f t="shared" si="13"/>
        <v>1</v>
      </c>
      <c r="L25" s="392"/>
      <c r="M25" s="406"/>
      <c r="N25" s="826"/>
      <c r="O25" s="408" t="s">
        <v>523</v>
      </c>
      <c r="P25" s="50"/>
      <c r="Q25" s="409">
        <f>IF(OR(P25=0,$M$27=0),0,P25/$M$27)</f>
        <v>0</v>
      </c>
    </row>
    <row r="26" spans="1:18" x14ac:dyDescent="0.25">
      <c r="A26" s="817" t="s">
        <v>51</v>
      </c>
      <c r="B26" s="818">
        <f>SUMPRODUCT(--(THCS!$Z$6:$Z$15000=11),--(THCS!$N$6:$N$15000="Cam Thịnh Đông"))</f>
        <v>0</v>
      </c>
      <c r="C26" s="818">
        <f>SUMPRODUCT(--(THCS!$Z$6:$Z$15000=12),--(THCS!$N$6:$N$15000="Cam Thịnh Đông"))</f>
        <v>0</v>
      </c>
      <c r="D26" s="818">
        <f>SUMPRODUCT(--(THCS!$Z$6:$Z$15000=13),--(THCS!$N$6:$N$15000="Cam Thịnh Đông"))</f>
        <v>0</v>
      </c>
      <c r="E26" s="818">
        <f>SUMPRODUCT(--(THCS!$Z$6:$Z$15000=14),--(THCS!$N$6:$N$15000="Cam Thịnh Đông"))</f>
        <v>0</v>
      </c>
      <c r="F26" s="818">
        <f>SUMPRODUCT(--(THCS!$Z$6:$Z$15000=15),--(THCS!$N$6:$N$15000="Cam Thịnh Đông"))</f>
        <v>0</v>
      </c>
      <c r="G26" s="818">
        <f>SUMPRODUCT(--(THCS!$Z$6:$Z$15000=16),--(THCS!$N$6:$N$15000="Cam Thịnh Đông"))</f>
        <v>0</v>
      </c>
      <c r="H26" s="818">
        <f>SUMPRODUCT(--(THCS!$Z$6:$Z$15000=17),--(THCS!$N$6:$N$15000="Cam Thịnh Đông"))</f>
        <v>0</v>
      </c>
      <c r="I26" s="818">
        <f>SUMPRODUCT(--(THCS!$Z$6:$Z$15000=18),--(THCS!$N$6:$N$15000="Cam Thịnh Đông"))</f>
        <v>0</v>
      </c>
      <c r="J26" s="819">
        <f t="shared" si="2"/>
        <v>0</v>
      </c>
      <c r="L26" s="392"/>
      <c r="M26" s="406"/>
      <c r="N26" s="407">
        <f>IF($M$20="","",M26/$M$20)</f>
        <v>0</v>
      </c>
      <c r="O26" s="408"/>
      <c r="P26" s="50"/>
      <c r="Q26" s="827"/>
    </row>
    <row r="27" spans="1:18" x14ac:dyDescent="0.25">
      <c r="A27" s="817" t="s">
        <v>55</v>
      </c>
      <c r="B27" s="818">
        <f>SUMPRODUCT(--(THCS!$Z$6:$Z$15000=11),--(THCS!$N$6:$N$15000="Cam Thịnh Tây"))</f>
        <v>0</v>
      </c>
      <c r="C27" s="818">
        <f>SUMPRODUCT(--(THCS!$Z$6:$Z$15000=12),--(THCS!$N$6:$N$15000="Cam Thịnh Tây"))</f>
        <v>0</v>
      </c>
      <c r="D27" s="818">
        <f>SUMPRODUCT(--(THCS!$Z$6:$Z$15000=13),--(THCS!$N$6:$N$15000="Cam Thịnh Tây"))</f>
        <v>0</v>
      </c>
      <c r="E27" s="818">
        <f>SUMPRODUCT(--(THCS!$Z$6:$Z$15000=14),--(THCS!$N$6:$N$15000="Cam Thịnh Tây"))</f>
        <v>0</v>
      </c>
      <c r="F27" s="818">
        <f>SUMPRODUCT(--(THCS!$Z$6:$Z$15000=15),--(THCS!$N$6:$N$15000="Cam Thịnh Tây"))</f>
        <v>0</v>
      </c>
      <c r="G27" s="818">
        <f>SUMPRODUCT(--(THCS!$Z$6:$Z$15000=16),--(THCS!$N$6:$N$15000="Cam Thịnh Tây"))</f>
        <v>0</v>
      </c>
      <c r="H27" s="818">
        <f>SUMPRODUCT(--(THCS!$Z$6:$Z$15000=17),--(THCS!$N$6:$N$15000="Cam Thịnh Tây"))</f>
        <v>0</v>
      </c>
      <c r="I27" s="818">
        <f>SUMPRODUCT(--(THCS!$Z$6:$Z$15000=18),--(THCS!$N$6:$N$15000="Cam Thịnh Tây"))</f>
        <v>0</v>
      </c>
      <c r="J27" s="819">
        <f t="shared" si="2"/>
        <v>0</v>
      </c>
      <c r="L27" s="395" t="s">
        <v>249</v>
      </c>
      <c r="M27" s="396">
        <f>SUM(M21:M26)</f>
        <v>20</v>
      </c>
      <c r="N27" s="407">
        <f>IF($M$20="","",M27/$M$20)</f>
        <v>1</v>
      </c>
      <c r="O27" s="408"/>
      <c r="P27" s="50"/>
      <c r="Q27" s="827"/>
    </row>
    <row r="28" spans="1:18" x14ac:dyDescent="0.25">
      <c r="A28" s="817" t="s">
        <v>59</v>
      </c>
      <c r="B28" s="818">
        <f>SUMPRODUCT(--(THCS!$Z$6:$Z$15000=11),--(THCS!$N$6:$N$15000="Cam Lập"))</f>
        <v>0</v>
      </c>
      <c r="C28" s="818">
        <f>SUMPRODUCT(--(THCS!$Z$6:$Z$15000=12),--(THCS!$N$6:$N$15000="Cam Lập"))</f>
        <v>0</v>
      </c>
      <c r="D28" s="818">
        <f>SUMPRODUCT(--(THCS!$Z$6:$Z$15000=13),--(THCS!$N$6:$N$15000="Cam Lập"))</f>
        <v>0</v>
      </c>
      <c r="E28" s="818">
        <f>SUMPRODUCT(--(THCS!$Z$6:$Z$15000=14),--(THCS!$N$6:$N$15000="Cam Lập"))</f>
        <v>0</v>
      </c>
      <c r="F28" s="818">
        <f>SUMPRODUCT(--(THCS!$Z$6:$Z$15000=15),--(THCS!$N$6:$N$15000="Cam Lập"))</f>
        <v>0</v>
      </c>
      <c r="G28" s="818">
        <f>SUMPRODUCT(--(THCS!$Z$6:$Z$15000=16),--(THCS!$N$6:$N$15000="Cam Lập"))</f>
        <v>0</v>
      </c>
      <c r="H28" s="818">
        <f>SUMPRODUCT(--(THCS!$Z$6:$Z$15000=17),--(THCS!$N$6:$N$15000="Cam Lập"))</f>
        <v>0</v>
      </c>
      <c r="I28" s="818">
        <f>SUMPRODUCT(--(THCS!$Z$6:$Z$15000=18),--(THCS!$N$6:$N$15000="Cam Lập"))</f>
        <v>0</v>
      </c>
      <c r="J28" s="819">
        <f t="shared" si="2"/>
        <v>0</v>
      </c>
    </row>
    <row r="29" spans="1:18" ht="16.5" x14ac:dyDescent="0.25">
      <c r="A29" s="817" t="s">
        <v>64</v>
      </c>
      <c r="B29" s="818">
        <f>SUMPRODUCT(--(THCS!$Z$6:$Z$15000=11),--(THCS!$N$6:$N$15000="Cam Bình"))</f>
        <v>0</v>
      </c>
      <c r="C29" s="818">
        <f>SUMPRODUCT(--(THCS!$Z$6:$Z$15000=12),--(THCS!$N$6:$N$15000="Cam Bình"))</f>
        <v>0</v>
      </c>
      <c r="D29" s="818">
        <f>SUMPRODUCT(--(THCS!$Z$6:$Z$15000=13),--(THCS!$N$6:$N$15000="Cam Bình"))</f>
        <v>0</v>
      </c>
      <c r="E29" s="818">
        <f>SUMPRODUCT(--(THCS!$Z$6:$Z$15000=14),--(THCS!$N$6:$N$15000="Cam Bình"))</f>
        <v>0</v>
      </c>
      <c r="F29" s="818">
        <f>SUMPRODUCT(--(THCS!$Z$6:$Z$15000=15),--(THCS!$N$6:$N$15000="Cam Bình"))</f>
        <v>0</v>
      </c>
      <c r="G29" s="818">
        <f>SUMPRODUCT(--(THCS!$Z$6:$Z$15000=16),--(THCS!$N$6:$N$15000="Cam Bình"))</f>
        <v>0</v>
      </c>
      <c r="H29" s="818">
        <f>SUMPRODUCT(--(THCS!$Z$6:$Z$15000=17),--(THCS!$N$6:$N$15000="Cam Bình"))</f>
        <v>0</v>
      </c>
      <c r="I29" s="818">
        <f>SUMPRODUCT(--(THCS!$Z$6:$Z$15000=18),--(THCS!$N$6:$N$15000="Cam Bình"))</f>
        <v>0</v>
      </c>
      <c r="J29" s="819">
        <f t="shared" si="2"/>
        <v>0</v>
      </c>
      <c r="O29" s="410" t="str">
        <f>Chinh!$L$34</f>
        <v>Cam ….., ngày ... tháng ... năm 202…</v>
      </c>
    </row>
    <row r="30" spans="1:18" x14ac:dyDescent="0.25">
      <c r="A30" s="820" t="s">
        <v>880</v>
      </c>
      <c r="B30" s="799">
        <f>SUM(B26:B29)</f>
        <v>0</v>
      </c>
      <c r="C30" s="799">
        <f t="shared" ref="C30:J30" si="14">SUM(C26:C29)</f>
        <v>0</v>
      </c>
      <c r="D30" s="799">
        <f t="shared" si="14"/>
        <v>0</v>
      </c>
      <c r="E30" s="799">
        <f t="shared" si="14"/>
        <v>0</v>
      </c>
      <c r="F30" s="799">
        <f t="shared" si="14"/>
        <v>0</v>
      </c>
      <c r="G30" s="799">
        <f t="shared" si="14"/>
        <v>0</v>
      </c>
      <c r="H30" s="799">
        <f t="shared" si="14"/>
        <v>0</v>
      </c>
      <c r="I30" s="799">
        <f t="shared" si="14"/>
        <v>0</v>
      </c>
      <c r="J30" s="799">
        <f t="shared" si="14"/>
        <v>0</v>
      </c>
      <c r="O30" s="412" t="str">
        <f>[3]Chinh!$L$31</f>
        <v>HIỆU TRƯỞNG</v>
      </c>
    </row>
    <row r="31" spans="1:18" x14ac:dyDescent="0.25">
      <c r="A31" s="411" t="s">
        <v>882</v>
      </c>
      <c r="B31" s="400">
        <f>SUMPRODUCT(--(THCS!$Z$6:$Z$15000=11),--(THCS!$N$6:$N$15000="Huyện khác"))</f>
        <v>0</v>
      </c>
      <c r="C31" s="400">
        <f>SUMPRODUCT(--(THCS!$Z$6:$Z$15000=12),--(THCS!$N$6:$N$15000="Huyện khác"))</f>
        <v>0</v>
      </c>
      <c r="D31" s="400">
        <f>SUMPRODUCT(--(THCS!$Z$6:$Z$15000=13),--(THCS!$N$6:$N$15000="Huyện khác"))</f>
        <v>0</v>
      </c>
      <c r="E31" s="400">
        <f>SUMPRODUCT(--(THCS!$Z$6:$Z$15000=14),--(THCS!$N$6:$N$15000="Huyện khác"))</f>
        <v>1</v>
      </c>
      <c r="F31" s="400">
        <f>SUMPRODUCT(--(THCS!$Z$6:$Z$15000=15),--(THCS!$N$6:$N$15000="Huyện khác"))</f>
        <v>0</v>
      </c>
      <c r="G31" s="400">
        <f>SUMPRODUCT(--(THCS!$Z$6:$Z$15000=16),--(THCS!$N$6:$N$15000="Huyện khác"))</f>
        <v>0</v>
      </c>
      <c r="H31" s="400">
        <f>SUMPRODUCT(--(THCS!$Z$6:$Z$15000=17),--(THCS!$N$6:$N$15000="Huyện khác"))</f>
        <v>0</v>
      </c>
      <c r="I31" s="400">
        <f>SUMPRODUCT(--(THCS!$Z$6:$Z$15000=18),--(THCS!$N$6:$N$15000="Huyện khác"))</f>
        <v>0</v>
      </c>
      <c r="J31" s="401">
        <f t="shared" si="2"/>
        <v>1</v>
      </c>
      <c r="O31" s="387"/>
    </row>
    <row r="32" spans="1:18" x14ac:dyDescent="0.25">
      <c r="A32" s="411" t="s">
        <v>74</v>
      </c>
      <c r="B32" s="400">
        <f>SUMPRODUCT(--(THCS!$Z$6:$Z$15000=11),--(THCS!$N$6:$N$15000="Tỉnh khác"))</f>
        <v>0</v>
      </c>
      <c r="C32" s="400">
        <f>SUMPRODUCT(--(THCS!$Z$6:$Z$15000=12),--(THCS!$N$6:$N$15000="Tỉnh khác"))</f>
        <v>0</v>
      </c>
      <c r="D32" s="400">
        <f>SUMPRODUCT(--(THCS!$Z$6:$Z$15000=13),--(THCS!$N$6:$N$15000="Tỉnh khác"))</f>
        <v>0</v>
      </c>
      <c r="E32" s="400">
        <f>SUMPRODUCT(--(THCS!$Z$6:$Z$15000=14),--(THCS!$N$6:$N$15000="Tỉnh khác"))</f>
        <v>0</v>
      </c>
      <c r="F32" s="400">
        <f>SUMPRODUCT(--(THCS!$Z$6:$Z$15000=15),--(THCS!$N$6:$N$15000="Tỉnh khác"))</f>
        <v>1</v>
      </c>
      <c r="G32" s="400">
        <f>SUMPRODUCT(--(THCS!$Z$6:$Z$15000=16),--(THCS!$N$6:$N$15000="Tỉnh khác"))</f>
        <v>0</v>
      </c>
      <c r="H32" s="400">
        <f>SUMPRODUCT(--(THCS!$Z$6:$Z$15000=17),--(THCS!$N$6:$N$15000="Tỉnh khác"))</f>
        <v>0</v>
      </c>
      <c r="I32" s="400">
        <f>SUMPRODUCT(--(THCS!$Z$6:$Z$15000=18),--(THCS!$N$6:$N$15000="Tỉnh khác"))</f>
        <v>0</v>
      </c>
      <c r="J32" s="401">
        <f t="shared" si="2"/>
        <v>1</v>
      </c>
    </row>
    <row r="36" spans="15:15" x14ac:dyDescent="0.25">
      <c r="O36" s="413" t="str">
        <f>IF(Chinh!$N$9&lt;&gt;"",Chinh!$L$37,"")</f>
        <v>………………..</v>
      </c>
    </row>
  </sheetData>
  <sheetProtection algorithmName="SHA-512" hashValue="f40Lr/eavwPY5wjjceujrDfxqo5PUk6Hc0j1NaQtAJtZMygA8AlNxsuA8srieVgkcaG0AeMsc0UHaDnGOcXvVg==" saltValue="YHg4My1mGFbKUak+lPa1cQ==" spinCount="100000" sheet="1" formatCells="0" formatColumns="0" formatRows="0"/>
  <mergeCells count="5">
    <mergeCell ref="L2:Q2"/>
    <mergeCell ref="J5:J6"/>
    <mergeCell ref="L17:Q17"/>
    <mergeCell ref="O19:O20"/>
    <mergeCell ref="M20:N20"/>
  </mergeCells>
  <conditionalFormatting sqref="M6:P14 M16:P16 B31:I32">
    <cfRule type="cellIs" dxfId="34" priority="13" stopIfTrue="1" operator="between">
      <formula>0</formula>
      <formula>0</formula>
    </cfRule>
  </conditionalFormatting>
  <conditionalFormatting sqref="J7:J10">
    <cfRule type="cellIs" dxfId="33" priority="12" stopIfTrue="1" operator="between">
      <formula>0</formula>
      <formula>0</formula>
    </cfRule>
  </conditionalFormatting>
  <conditionalFormatting sqref="M23:N27 N21:N22">
    <cfRule type="cellIs" dxfId="32" priority="11" stopIfTrue="1" operator="between">
      <formula>""</formula>
      <formula>""</formula>
    </cfRule>
  </conditionalFormatting>
  <conditionalFormatting sqref="L2">
    <cfRule type="cellIs" dxfId="31" priority="10" stopIfTrue="1" operator="between">
      <formula>"Nhập số Tổng HS lớp 9, Tốt nghiệp THCS năm qua và tiếp tục vào trường THPT!"</formula>
      <formula>"Nhập số Tổng HS lớp 9, Tốt nghiệp THCS năm qua và tiếp tục vào trường THPT!"</formula>
    </cfRule>
  </conditionalFormatting>
  <conditionalFormatting sqref="L2:Q2">
    <cfRule type="cellIs" dxfId="30" priority="8" stopIfTrue="1" operator="between">
      <formula>"Hoàn thành!"</formula>
      <formula>"Hoàn thành!"</formula>
    </cfRule>
    <cfRule type="cellIs" dxfId="29" priority="9" stopIfTrue="1" operator="between">
      <formula>"Còn lỗi!"</formula>
      <formula>"Còn lỗi!"</formula>
    </cfRule>
  </conditionalFormatting>
  <conditionalFormatting sqref="P24:P27">
    <cfRule type="cellIs" dxfId="28" priority="3" stopIfTrue="1" operator="between">
      <formula>""</formula>
      <formula>""</formula>
    </cfRule>
  </conditionalFormatting>
  <conditionalFormatting sqref="M21:M22">
    <cfRule type="cellIs" dxfId="27" priority="6" stopIfTrue="1" operator="between">
      <formula>""</formula>
      <formula>""</formula>
    </cfRule>
  </conditionalFormatting>
  <conditionalFormatting sqref="P21">
    <cfRule type="cellIs" dxfId="26" priority="5" stopIfTrue="1" operator="between">
      <formula>""</formula>
      <formula>""</formula>
    </cfRule>
  </conditionalFormatting>
  <conditionalFormatting sqref="P23">
    <cfRule type="cellIs" dxfId="25" priority="4" stopIfTrue="1" operator="between">
      <formula>""</formula>
      <formula>""</formula>
    </cfRule>
  </conditionalFormatting>
  <conditionalFormatting sqref="M15:P15">
    <cfRule type="cellIs" dxfId="24" priority="2" stopIfTrue="1" operator="between">
      <formula>0</formula>
      <formula>0</formula>
    </cfRule>
  </conditionalFormatting>
  <conditionalFormatting sqref="P22">
    <cfRule type="cellIs" dxfId="23" priority="1" stopIfTrue="1" operator="between">
      <formula>""</formula>
      <formula>""</formula>
    </cfRule>
  </conditionalFormatting>
  <pageMargins left="0.2" right="0.2"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10"/>
  </sheetPr>
  <dimension ref="A1:Z18"/>
  <sheetViews>
    <sheetView showGridLines="0" showZeros="0" workbookViewId="0">
      <selection activeCell="H9" sqref="H9"/>
    </sheetView>
  </sheetViews>
  <sheetFormatPr defaultRowHeight="15" x14ac:dyDescent="0.25"/>
  <cols>
    <col min="1" max="1" width="7.375" style="68" customWidth="1"/>
    <col min="2" max="2" width="8.25" style="68" customWidth="1"/>
    <col min="3" max="3" width="4.75" style="68" customWidth="1"/>
    <col min="4" max="4" width="5.125" style="68" customWidth="1"/>
    <col min="5" max="25" width="4.75" style="68" customWidth="1"/>
    <col min="26" max="256" width="9" style="68"/>
    <col min="257" max="257" width="7.375" style="68" customWidth="1"/>
    <col min="258" max="258" width="8.25" style="68" customWidth="1"/>
    <col min="259" max="259" width="4.75" style="68" customWidth="1"/>
    <col min="260" max="260" width="5.125" style="68" customWidth="1"/>
    <col min="261" max="281" width="4.75" style="68" customWidth="1"/>
    <col min="282" max="512" width="9" style="68"/>
    <col min="513" max="513" width="7.375" style="68" customWidth="1"/>
    <col min="514" max="514" width="8.25" style="68" customWidth="1"/>
    <col min="515" max="515" width="4.75" style="68" customWidth="1"/>
    <col min="516" max="516" width="5.125" style="68" customWidth="1"/>
    <col min="517" max="537" width="4.75" style="68" customWidth="1"/>
    <col min="538" max="768" width="9" style="68"/>
    <col min="769" max="769" width="7.375" style="68" customWidth="1"/>
    <col min="770" max="770" width="8.25" style="68" customWidth="1"/>
    <col min="771" max="771" width="4.75" style="68" customWidth="1"/>
    <col min="772" max="772" width="5.125" style="68" customWidth="1"/>
    <col min="773" max="793" width="4.75" style="68" customWidth="1"/>
    <col min="794" max="1024" width="9" style="68"/>
    <col min="1025" max="1025" width="7.375" style="68" customWidth="1"/>
    <col min="1026" max="1026" width="8.25" style="68" customWidth="1"/>
    <col min="1027" max="1027" width="4.75" style="68" customWidth="1"/>
    <col min="1028" max="1028" width="5.125" style="68" customWidth="1"/>
    <col min="1029" max="1049" width="4.75" style="68" customWidth="1"/>
    <col min="1050" max="1280" width="9" style="68"/>
    <col min="1281" max="1281" width="7.375" style="68" customWidth="1"/>
    <col min="1282" max="1282" width="8.25" style="68" customWidth="1"/>
    <col min="1283" max="1283" width="4.75" style="68" customWidth="1"/>
    <col min="1284" max="1284" width="5.125" style="68" customWidth="1"/>
    <col min="1285" max="1305" width="4.75" style="68" customWidth="1"/>
    <col min="1306" max="1536" width="9" style="68"/>
    <col min="1537" max="1537" width="7.375" style="68" customWidth="1"/>
    <col min="1538" max="1538" width="8.25" style="68" customWidth="1"/>
    <col min="1539" max="1539" width="4.75" style="68" customWidth="1"/>
    <col min="1540" max="1540" width="5.125" style="68" customWidth="1"/>
    <col min="1541" max="1561" width="4.75" style="68" customWidth="1"/>
    <col min="1562" max="1792" width="9" style="68"/>
    <col min="1793" max="1793" width="7.375" style="68" customWidth="1"/>
    <col min="1794" max="1794" width="8.25" style="68" customWidth="1"/>
    <col min="1795" max="1795" width="4.75" style="68" customWidth="1"/>
    <col min="1796" max="1796" width="5.125" style="68" customWidth="1"/>
    <col min="1797" max="1817" width="4.75" style="68" customWidth="1"/>
    <col min="1818" max="2048" width="9" style="68"/>
    <col min="2049" max="2049" width="7.375" style="68" customWidth="1"/>
    <col min="2050" max="2050" width="8.25" style="68" customWidth="1"/>
    <col min="2051" max="2051" width="4.75" style="68" customWidth="1"/>
    <col min="2052" max="2052" width="5.125" style="68" customWidth="1"/>
    <col min="2053" max="2073" width="4.75" style="68" customWidth="1"/>
    <col min="2074" max="2304" width="9" style="68"/>
    <col min="2305" max="2305" width="7.375" style="68" customWidth="1"/>
    <col min="2306" max="2306" width="8.25" style="68" customWidth="1"/>
    <col min="2307" max="2307" width="4.75" style="68" customWidth="1"/>
    <col min="2308" max="2308" width="5.125" style="68" customWidth="1"/>
    <col min="2309" max="2329" width="4.75" style="68" customWidth="1"/>
    <col min="2330" max="2560" width="9" style="68"/>
    <col min="2561" max="2561" width="7.375" style="68" customWidth="1"/>
    <col min="2562" max="2562" width="8.25" style="68" customWidth="1"/>
    <col min="2563" max="2563" width="4.75" style="68" customWidth="1"/>
    <col min="2564" max="2564" width="5.125" style="68" customWidth="1"/>
    <col min="2565" max="2585" width="4.75" style="68" customWidth="1"/>
    <col min="2586" max="2816" width="9" style="68"/>
    <col min="2817" max="2817" width="7.375" style="68" customWidth="1"/>
    <col min="2818" max="2818" width="8.25" style="68" customWidth="1"/>
    <col min="2819" max="2819" width="4.75" style="68" customWidth="1"/>
    <col min="2820" max="2820" width="5.125" style="68" customWidth="1"/>
    <col min="2821" max="2841" width="4.75" style="68" customWidth="1"/>
    <col min="2842" max="3072" width="9" style="68"/>
    <col min="3073" max="3073" width="7.375" style="68" customWidth="1"/>
    <col min="3074" max="3074" width="8.25" style="68" customWidth="1"/>
    <col min="3075" max="3075" width="4.75" style="68" customWidth="1"/>
    <col min="3076" max="3076" width="5.125" style="68" customWidth="1"/>
    <col min="3077" max="3097" width="4.75" style="68" customWidth="1"/>
    <col min="3098" max="3328" width="9" style="68"/>
    <col min="3329" max="3329" width="7.375" style="68" customWidth="1"/>
    <col min="3330" max="3330" width="8.25" style="68" customWidth="1"/>
    <col min="3331" max="3331" width="4.75" style="68" customWidth="1"/>
    <col min="3332" max="3332" width="5.125" style="68" customWidth="1"/>
    <col min="3333" max="3353" width="4.75" style="68" customWidth="1"/>
    <col min="3354" max="3584" width="9" style="68"/>
    <col min="3585" max="3585" width="7.375" style="68" customWidth="1"/>
    <col min="3586" max="3586" width="8.25" style="68" customWidth="1"/>
    <col min="3587" max="3587" width="4.75" style="68" customWidth="1"/>
    <col min="3588" max="3588" width="5.125" style="68" customWidth="1"/>
    <col min="3589" max="3609" width="4.75" style="68" customWidth="1"/>
    <col min="3610" max="3840" width="9" style="68"/>
    <col min="3841" max="3841" width="7.375" style="68" customWidth="1"/>
    <col min="3842" max="3842" width="8.25" style="68" customWidth="1"/>
    <col min="3843" max="3843" width="4.75" style="68" customWidth="1"/>
    <col min="3844" max="3844" width="5.125" style="68" customWidth="1"/>
    <col min="3845" max="3865" width="4.75" style="68" customWidth="1"/>
    <col min="3866" max="4096" width="9" style="68"/>
    <col min="4097" max="4097" width="7.375" style="68" customWidth="1"/>
    <col min="4098" max="4098" width="8.25" style="68" customWidth="1"/>
    <col min="4099" max="4099" width="4.75" style="68" customWidth="1"/>
    <col min="4100" max="4100" width="5.125" style="68" customWidth="1"/>
    <col min="4101" max="4121" width="4.75" style="68" customWidth="1"/>
    <col min="4122" max="4352" width="9" style="68"/>
    <col min="4353" max="4353" width="7.375" style="68" customWidth="1"/>
    <col min="4354" max="4354" width="8.25" style="68" customWidth="1"/>
    <col min="4355" max="4355" width="4.75" style="68" customWidth="1"/>
    <col min="4356" max="4356" width="5.125" style="68" customWidth="1"/>
    <col min="4357" max="4377" width="4.75" style="68" customWidth="1"/>
    <col min="4378" max="4608" width="9" style="68"/>
    <col min="4609" max="4609" width="7.375" style="68" customWidth="1"/>
    <col min="4610" max="4610" width="8.25" style="68" customWidth="1"/>
    <col min="4611" max="4611" width="4.75" style="68" customWidth="1"/>
    <col min="4612" max="4612" width="5.125" style="68" customWidth="1"/>
    <col min="4613" max="4633" width="4.75" style="68" customWidth="1"/>
    <col min="4634" max="4864" width="9" style="68"/>
    <col min="4865" max="4865" width="7.375" style="68" customWidth="1"/>
    <col min="4866" max="4866" width="8.25" style="68" customWidth="1"/>
    <col min="4867" max="4867" width="4.75" style="68" customWidth="1"/>
    <col min="4868" max="4868" width="5.125" style="68" customWidth="1"/>
    <col min="4869" max="4889" width="4.75" style="68" customWidth="1"/>
    <col min="4890" max="5120" width="9" style="68"/>
    <col min="5121" max="5121" width="7.375" style="68" customWidth="1"/>
    <col min="5122" max="5122" width="8.25" style="68" customWidth="1"/>
    <col min="5123" max="5123" width="4.75" style="68" customWidth="1"/>
    <col min="5124" max="5124" width="5.125" style="68" customWidth="1"/>
    <col min="5125" max="5145" width="4.75" style="68" customWidth="1"/>
    <col min="5146" max="5376" width="9" style="68"/>
    <col min="5377" max="5377" width="7.375" style="68" customWidth="1"/>
    <col min="5378" max="5378" width="8.25" style="68" customWidth="1"/>
    <col min="5379" max="5379" width="4.75" style="68" customWidth="1"/>
    <col min="5380" max="5380" width="5.125" style="68" customWidth="1"/>
    <col min="5381" max="5401" width="4.75" style="68" customWidth="1"/>
    <col min="5402" max="5632" width="9" style="68"/>
    <col min="5633" max="5633" width="7.375" style="68" customWidth="1"/>
    <col min="5634" max="5634" width="8.25" style="68" customWidth="1"/>
    <col min="5635" max="5635" width="4.75" style="68" customWidth="1"/>
    <col min="5636" max="5636" width="5.125" style="68" customWidth="1"/>
    <col min="5637" max="5657" width="4.75" style="68" customWidth="1"/>
    <col min="5658" max="5888" width="9" style="68"/>
    <col min="5889" max="5889" width="7.375" style="68" customWidth="1"/>
    <col min="5890" max="5890" width="8.25" style="68" customWidth="1"/>
    <col min="5891" max="5891" width="4.75" style="68" customWidth="1"/>
    <col min="5892" max="5892" width="5.125" style="68" customWidth="1"/>
    <col min="5893" max="5913" width="4.75" style="68" customWidth="1"/>
    <col min="5914" max="6144" width="9" style="68"/>
    <col min="6145" max="6145" width="7.375" style="68" customWidth="1"/>
    <col min="6146" max="6146" width="8.25" style="68" customWidth="1"/>
    <col min="6147" max="6147" width="4.75" style="68" customWidth="1"/>
    <col min="6148" max="6148" width="5.125" style="68" customWidth="1"/>
    <col min="6149" max="6169" width="4.75" style="68" customWidth="1"/>
    <col min="6170" max="6400" width="9" style="68"/>
    <col min="6401" max="6401" width="7.375" style="68" customWidth="1"/>
    <col min="6402" max="6402" width="8.25" style="68" customWidth="1"/>
    <col min="6403" max="6403" width="4.75" style="68" customWidth="1"/>
    <col min="6404" max="6404" width="5.125" style="68" customWidth="1"/>
    <col min="6405" max="6425" width="4.75" style="68" customWidth="1"/>
    <col min="6426" max="6656" width="9" style="68"/>
    <col min="6657" max="6657" width="7.375" style="68" customWidth="1"/>
    <col min="6658" max="6658" width="8.25" style="68" customWidth="1"/>
    <col min="6659" max="6659" width="4.75" style="68" customWidth="1"/>
    <col min="6660" max="6660" width="5.125" style="68" customWidth="1"/>
    <col min="6661" max="6681" width="4.75" style="68" customWidth="1"/>
    <col min="6682" max="6912" width="9" style="68"/>
    <col min="6913" max="6913" width="7.375" style="68" customWidth="1"/>
    <col min="6914" max="6914" width="8.25" style="68" customWidth="1"/>
    <col min="6915" max="6915" width="4.75" style="68" customWidth="1"/>
    <col min="6916" max="6916" width="5.125" style="68" customWidth="1"/>
    <col min="6917" max="6937" width="4.75" style="68" customWidth="1"/>
    <col min="6938" max="7168" width="9" style="68"/>
    <col min="7169" max="7169" width="7.375" style="68" customWidth="1"/>
    <col min="7170" max="7170" width="8.25" style="68" customWidth="1"/>
    <col min="7171" max="7171" width="4.75" style="68" customWidth="1"/>
    <col min="7172" max="7172" width="5.125" style="68" customWidth="1"/>
    <col min="7173" max="7193" width="4.75" style="68" customWidth="1"/>
    <col min="7194" max="7424" width="9" style="68"/>
    <col min="7425" max="7425" width="7.375" style="68" customWidth="1"/>
    <col min="7426" max="7426" width="8.25" style="68" customWidth="1"/>
    <col min="7427" max="7427" width="4.75" style="68" customWidth="1"/>
    <col min="7428" max="7428" width="5.125" style="68" customWidth="1"/>
    <col min="7429" max="7449" width="4.75" style="68" customWidth="1"/>
    <col min="7450" max="7680" width="9" style="68"/>
    <col min="7681" max="7681" width="7.375" style="68" customWidth="1"/>
    <col min="7682" max="7682" width="8.25" style="68" customWidth="1"/>
    <col min="7683" max="7683" width="4.75" style="68" customWidth="1"/>
    <col min="7684" max="7684" width="5.125" style="68" customWidth="1"/>
    <col min="7685" max="7705" width="4.75" style="68" customWidth="1"/>
    <col min="7706" max="7936" width="9" style="68"/>
    <col min="7937" max="7937" width="7.375" style="68" customWidth="1"/>
    <col min="7938" max="7938" width="8.25" style="68" customWidth="1"/>
    <col min="7939" max="7939" width="4.75" style="68" customWidth="1"/>
    <col min="7940" max="7940" width="5.125" style="68" customWidth="1"/>
    <col min="7941" max="7961" width="4.75" style="68" customWidth="1"/>
    <col min="7962" max="8192" width="9" style="68"/>
    <col min="8193" max="8193" width="7.375" style="68" customWidth="1"/>
    <col min="8194" max="8194" width="8.25" style="68" customWidth="1"/>
    <col min="8195" max="8195" width="4.75" style="68" customWidth="1"/>
    <col min="8196" max="8196" width="5.125" style="68" customWidth="1"/>
    <col min="8197" max="8217" width="4.75" style="68" customWidth="1"/>
    <col min="8218" max="8448" width="9" style="68"/>
    <col min="8449" max="8449" width="7.375" style="68" customWidth="1"/>
    <col min="8450" max="8450" width="8.25" style="68" customWidth="1"/>
    <col min="8451" max="8451" width="4.75" style="68" customWidth="1"/>
    <col min="8452" max="8452" width="5.125" style="68" customWidth="1"/>
    <col min="8453" max="8473" width="4.75" style="68" customWidth="1"/>
    <col min="8474" max="8704" width="9" style="68"/>
    <col min="8705" max="8705" width="7.375" style="68" customWidth="1"/>
    <col min="8706" max="8706" width="8.25" style="68" customWidth="1"/>
    <col min="8707" max="8707" width="4.75" style="68" customWidth="1"/>
    <col min="8708" max="8708" width="5.125" style="68" customWidth="1"/>
    <col min="8709" max="8729" width="4.75" style="68" customWidth="1"/>
    <col min="8730" max="8960" width="9" style="68"/>
    <col min="8961" max="8961" width="7.375" style="68" customWidth="1"/>
    <col min="8962" max="8962" width="8.25" style="68" customWidth="1"/>
    <col min="8963" max="8963" width="4.75" style="68" customWidth="1"/>
    <col min="8964" max="8964" width="5.125" style="68" customWidth="1"/>
    <col min="8965" max="8985" width="4.75" style="68" customWidth="1"/>
    <col min="8986" max="9216" width="9" style="68"/>
    <col min="9217" max="9217" width="7.375" style="68" customWidth="1"/>
    <col min="9218" max="9218" width="8.25" style="68" customWidth="1"/>
    <col min="9219" max="9219" width="4.75" style="68" customWidth="1"/>
    <col min="9220" max="9220" width="5.125" style="68" customWidth="1"/>
    <col min="9221" max="9241" width="4.75" style="68" customWidth="1"/>
    <col min="9242" max="9472" width="9" style="68"/>
    <col min="9473" max="9473" width="7.375" style="68" customWidth="1"/>
    <col min="9474" max="9474" width="8.25" style="68" customWidth="1"/>
    <col min="9475" max="9475" width="4.75" style="68" customWidth="1"/>
    <col min="9476" max="9476" width="5.125" style="68" customWidth="1"/>
    <col min="9477" max="9497" width="4.75" style="68" customWidth="1"/>
    <col min="9498" max="9728" width="9" style="68"/>
    <col min="9729" max="9729" width="7.375" style="68" customWidth="1"/>
    <col min="9730" max="9730" width="8.25" style="68" customWidth="1"/>
    <col min="9731" max="9731" width="4.75" style="68" customWidth="1"/>
    <col min="9732" max="9732" width="5.125" style="68" customWidth="1"/>
    <col min="9733" max="9753" width="4.75" style="68" customWidth="1"/>
    <col min="9754" max="9984" width="9" style="68"/>
    <col min="9985" max="9985" width="7.375" style="68" customWidth="1"/>
    <col min="9986" max="9986" width="8.25" style="68" customWidth="1"/>
    <col min="9987" max="9987" width="4.75" style="68" customWidth="1"/>
    <col min="9988" max="9988" width="5.125" style="68" customWidth="1"/>
    <col min="9989" max="10009" width="4.75" style="68" customWidth="1"/>
    <col min="10010" max="10240" width="9" style="68"/>
    <col min="10241" max="10241" width="7.375" style="68" customWidth="1"/>
    <col min="10242" max="10242" width="8.25" style="68" customWidth="1"/>
    <col min="10243" max="10243" width="4.75" style="68" customWidth="1"/>
    <col min="10244" max="10244" width="5.125" style="68" customWidth="1"/>
    <col min="10245" max="10265" width="4.75" style="68" customWidth="1"/>
    <col min="10266" max="10496" width="9" style="68"/>
    <col min="10497" max="10497" width="7.375" style="68" customWidth="1"/>
    <col min="10498" max="10498" width="8.25" style="68" customWidth="1"/>
    <col min="10499" max="10499" width="4.75" style="68" customWidth="1"/>
    <col min="10500" max="10500" width="5.125" style="68" customWidth="1"/>
    <col min="10501" max="10521" width="4.75" style="68" customWidth="1"/>
    <col min="10522" max="10752" width="9" style="68"/>
    <col min="10753" max="10753" width="7.375" style="68" customWidth="1"/>
    <col min="10754" max="10754" width="8.25" style="68" customWidth="1"/>
    <col min="10755" max="10755" width="4.75" style="68" customWidth="1"/>
    <col min="10756" max="10756" width="5.125" style="68" customWidth="1"/>
    <col min="10757" max="10777" width="4.75" style="68" customWidth="1"/>
    <col min="10778" max="11008" width="9" style="68"/>
    <col min="11009" max="11009" width="7.375" style="68" customWidth="1"/>
    <col min="11010" max="11010" width="8.25" style="68" customWidth="1"/>
    <col min="11011" max="11011" width="4.75" style="68" customWidth="1"/>
    <col min="11012" max="11012" width="5.125" style="68" customWidth="1"/>
    <col min="11013" max="11033" width="4.75" style="68" customWidth="1"/>
    <col min="11034" max="11264" width="9" style="68"/>
    <col min="11265" max="11265" width="7.375" style="68" customWidth="1"/>
    <col min="11266" max="11266" width="8.25" style="68" customWidth="1"/>
    <col min="11267" max="11267" width="4.75" style="68" customWidth="1"/>
    <col min="11268" max="11268" width="5.125" style="68" customWidth="1"/>
    <col min="11269" max="11289" width="4.75" style="68" customWidth="1"/>
    <col min="11290" max="11520" width="9" style="68"/>
    <col min="11521" max="11521" width="7.375" style="68" customWidth="1"/>
    <col min="11522" max="11522" width="8.25" style="68" customWidth="1"/>
    <col min="11523" max="11523" width="4.75" style="68" customWidth="1"/>
    <col min="11524" max="11524" width="5.125" style="68" customWidth="1"/>
    <col min="11525" max="11545" width="4.75" style="68" customWidth="1"/>
    <col min="11546" max="11776" width="9" style="68"/>
    <col min="11777" max="11777" width="7.375" style="68" customWidth="1"/>
    <col min="11778" max="11778" width="8.25" style="68" customWidth="1"/>
    <col min="11779" max="11779" width="4.75" style="68" customWidth="1"/>
    <col min="11780" max="11780" width="5.125" style="68" customWidth="1"/>
    <col min="11781" max="11801" width="4.75" style="68" customWidth="1"/>
    <col min="11802" max="12032" width="9" style="68"/>
    <col min="12033" max="12033" width="7.375" style="68" customWidth="1"/>
    <col min="12034" max="12034" width="8.25" style="68" customWidth="1"/>
    <col min="12035" max="12035" width="4.75" style="68" customWidth="1"/>
    <col min="12036" max="12036" width="5.125" style="68" customWidth="1"/>
    <col min="12037" max="12057" width="4.75" style="68" customWidth="1"/>
    <col min="12058" max="12288" width="9" style="68"/>
    <col min="12289" max="12289" width="7.375" style="68" customWidth="1"/>
    <col min="12290" max="12290" width="8.25" style="68" customWidth="1"/>
    <col min="12291" max="12291" width="4.75" style="68" customWidth="1"/>
    <col min="12292" max="12292" width="5.125" style="68" customWidth="1"/>
    <col min="12293" max="12313" width="4.75" style="68" customWidth="1"/>
    <col min="12314" max="12544" width="9" style="68"/>
    <col min="12545" max="12545" width="7.375" style="68" customWidth="1"/>
    <col min="12546" max="12546" width="8.25" style="68" customWidth="1"/>
    <col min="12547" max="12547" width="4.75" style="68" customWidth="1"/>
    <col min="12548" max="12548" width="5.125" style="68" customWidth="1"/>
    <col min="12549" max="12569" width="4.75" style="68" customWidth="1"/>
    <col min="12570" max="12800" width="9" style="68"/>
    <col min="12801" max="12801" width="7.375" style="68" customWidth="1"/>
    <col min="12802" max="12802" width="8.25" style="68" customWidth="1"/>
    <col min="12803" max="12803" width="4.75" style="68" customWidth="1"/>
    <col min="12804" max="12804" width="5.125" style="68" customWidth="1"/>
    <col min="12805" max="12825" width="4.75" style="68" customWidth="1"/>
    <col min="12826" max="13056" width="9" style="68"/>
    <col min="13057" max="13057" width="7.375" style="68" customWidth="1"/>
    <col min="13058" max="13058" width="8.25" style="68" customWidth="1"/>
    <col min="13059" max="13059" width="4.75" style="68" customWidth="1"/>
    <col min="13060" max="13060" width="5.125" style="68" customWidth="1"/>
    <col min="13061" max="13081" width="4.75" style="68" customWidth="1"/>
    <col min="13082" max="13312" width="9" style="68"/>
    <col min="13313" max="13313" width="7.375" style="68" customWidth="1"/>
    <col min="13314" max="13314" width="8.25" style="68" customWidth="1"/>
    <col min="13315" max="13315" width="4.75" style="68" customWidth="1"/>
    <col min="13316" max="13316" width="5.125" style="68" customWidth="1"/>
    <col min="13317" max="13337" width="4.75" style="68" customWidth="1"/>
    <col min="13338" max="13568" width="9" style="68"/>
    <col min="13569" max="13569" width="7.375" style="68" customWidth="1"/>
    <col min="13570" max="13570" width="8.25" style="68" customWidth="1"/>
    <col min="13571" max="13571" width="4.75" style="68" customWidth="1"/>
    <col min="13572" max="13572" width="5.125" style="68" customWidth="1"/>
    <col min="13573" max="13593" width="4.75" style="68" customWidth="1"/>
    <col min="13594" max="13824" width="9" style="68"/>
    <col min="13825" max="13825" width="7.375" style="68" customWidth="1"/>
    <col min="13826" max="13826" width="8.25" style="68" customWidth="1"/>
    <col min="13827" max="13827" width="4.75" style="68" customWidth="1"/>
    <col min="13828" max="13828" width="5.125" style="68" customWidth="1"/>
    <col min="13829" max="13849" width="4.75" style="68" customWidth="1"/>
    <col min="13850" max="14080" width="9" style="68"/>
    <col min="14081" max="14081" width="7.375" style="68" customWidth="1"/>
    <col min="14082" max="14082" width="8.25" style="68" customWidth="1"/>
    <col min="14083" max="14083" width="4.75" style="68" customWidth="1"/>
    <col min="14084" max="14084" width="5.125" style="68" customWidth="1"/>
    <col min="14085" max="14105" width="4.75" style="68" customWidth="1"/>
    <col min="14106" max="14336" width="9" style="68"/>
    <col min="14337" max="14337" width="7.375" style="68" customWidth="1"/>
    <col min="14338" max="14338" width="8.25" style="68" customWidth="1"/>
    <col min="14339" max="14339" width="4.75" style="68" customWidth="1"/>
    <col min="14340" max="14340" width="5.125" style="68" customWidth="1"/>
    <col min="14341" max="14361" width="4.75" style="68" customWidth="1"/>
    <col min="14362" max="14592" width="9" style="68"/>
    <col min="14593" max="14593" width="7.375" style="68" customWidth="1"/>
    <col min="14594" max="14594" width="8.25" style="68" customWidth="1"/>
    <col min="14595" max="14595" width="4.75" style="68" customWidth="1"/>
    <col min="14596" max="14596" width="5.125" style="68" customWidth="1"/>
    <col min="14597" max="14617" width="4.75" style="68" customWidth="1"/>
    <col min="14618" max="14848" width="9" style="68"/>
    <col min="14849" max="14849" width="7.375" style="68" customWidth="1"/>
    <col min="14850" max="14850" width="8.25" style="68" customWidth="1"/>
    <col min="14851" max="14851" width="4.75" style="68" customWidth="1"/>
    <col min="14852" max="14852" width="5.125" style="68" customWidth="1"/>
    <col min="14853" max="14873" width="4.75" style="68" customWidth="1"/>
    <col min="14874" max="15104" width="9" style="68"/>
    <col min="15105" max="15105" width="7.375" style="68" customWidth="1"/>
    <col min="15106" max="15106" width="8.25" style="68" customWidth="1"/>
    <col min="15107" max="15107" width="4.75" style="68" customWidth="1"/>
    <col min="15108" max="15108" width="5.125" style="68" customWidth="1"/>
    <col min="15109" max="15129" width="4.75" style="68" customWidth="1"/>
    <col min="15130" max="15360" width="9" style="68"/>
    <col min="15361" max="15361" width="7.375" style="68" customWidth="1"/>
    <col min="15362" max="15362" width="8.25" style="68" customWidth="1"/>
    <col min="15363" max="15363" width="4.75" style="68" customWidth="1"/>
    <col min="15364" max="15364" width="5.125" style="68" customWidth="1"/>
    <col min="15365" max="15385" width="4.75" style="68" customWidth="1"/>
    <col min="15386" max="15616" width="9" style="68"/>
    <col min="15617" max="15617" width="7.375" style="68" customWidth="1"/>
    <col min="15618" max="15618" width="8.25" style="68" customWidth="1"/>
    <col min="15619" max="15619" width="4.75" style="68" customWidth="1"/>
    <col min="15620" max="15620" width="5.125" style="68" customWidth="1"/>
    <col min="15621" max="15641" width="4.75" style="68" customWidth="1"/>
    <col min="15642" max="15872" width="9" style="68"/>
    <col min="15873" max="15873" width="7.375" style="68" customWidth="1"/>
    <col min="15874" max="15874" width="8.25" style="68" customWidth="1"/>
    <col min="15875" max="15875" width="4.75" style="68" customWidth="1"/>
    <col min="15876" max="15876" width="5.125" style="68" customWidth="1"/>
    <col min="15877" max="15897" width="4.75" style="68" customWidth="1"/>
    <col min="15898" max="16128" width="9" style="68"/>
    <col min="16129" max="16129" width="7.375" style="68" customWidth="1"/>
    <col min="16130" max="16130" width="8.25" style="68" customWidth="1"/>
    <col min="16131" max="16131" width="4.75" style="68" customWidth="1"/>
    <col min="16132" max="16132" width="5.125" style="68" customWidth="1"/>
    <col min="16133" max="16153" width="4.75" style="68" customWidth="1"/>
    <col min="16154" max="16384" width="9" style="68"/>
  </cols>
  <sheetData>
    <row r="1" spans="1:26" ht="15.75" x14ac:dyDescent="0.25">
      <c r="A1" s="809" t="str">
        <f>Chinh!A1</f>
        <v>UBND PHƯỜNG CAM LINH</v>
      </c>
      <c r="B1" s="809"/>
      <c r="C1" s="809"/>
      <c r="D1" s="809"/>
      <c r="E1" s="809"/>
      <c r="F1" s="809"/>
      <c r="G1" s="809"/>
      <c r="H1" s="275"/>
      <c r="J1" s="681" t="str">
        <f>"THỐNG KÊ HIỆN TRẠNG HỌC SINH THCS ĐẦU NĂM HỌC "&amp;Chinh!H5</f>
        <v>THỐNG KÊ HIỆN TRẠNG HỌC SINH THCS ĐẦU NĂM HỌC 2025-2026</v>
      </c>
      <c r="K1" s="681"/>
      <c r="L1" s="681"/>
      <c r="M1" s="681"/>
      <c r="N1" s="681"/>
      <c r="O1" s="681"/>
      <c r="P1" s="681"/>
      <c r="Q1" s="681"/>
      <c r="R1" s="681"/>
      <c r="S1" s="681"/>
      <c r="T1" s="681"/>
      <c r="U1" s="681"/>
      <c r="V1" s="681"/>
      <c r="W1" s="681"/>
    </row>
    <row r="2" spans="1:26" x14ac:dyDescent="0.25">
      <c r="A2" s="682" t="str">
        <f>IF(Chinh!$N$9="","",Chinh!$A$2)</f>
        <v>TRƯỜNG THCS NGUYỄN TRỌNG KỶ</v>
      </c>
      <c r="B2" s="682"/>
      <c r="C2" s="682"/>
      <c r="D2" s="682"/>
      <c r="E2" s="682"/>
      <c r="F2" s="682"/>
      <c r="G2" s="682"/>
      <c r="H2" s="276"/>
      <c r="J2" s="683" t="s">
        <v>493</v>
      </c>
      <c r="K2" s="683"/>
      <c r="L2" s="683"/>
      <c r="M2" s="683"/>
      <c r="N2" s="683"/>
      <c r="O2" s="683"/>
      <c r="P2" s="683"/>
      <c r="Q2" s="683"/>
      <c r="R2" s="683"/>
      <c r="S2" s="683"/>
      <c r="T2" s="683"/>
      <c r="U2" s="683"/>
      <c r="V2" s="683"/>
      <c r="W2" s="683"/>
    </row>
    <row r="3" spans="1:26" ht="24.75" customHeight="1" x14ac:dyDescent="0.25">
      <c r="M3" s="625" t="str">
        <f>IF(AND(B10&gt;0,Z6="",Z7="",Z8="",Z9=""),"Hoàn thành!",IF(OR(OR(Z6="Sai số học sinh Tại chỗ và Nơi khác đến",Z7="Sai số học sinh Tại chỗ và Nơi khác đến",Z8="Sai số học sinh Tại chỗ và Nơi khác đến",Z9="Sai số học sinh Tại chỗ và Nơi khác đến"),OR(Z6="Sai Số học sinh Khối với HS các địa bàn",Z7="Sai Số học sinh Khối với HS các địa bàn",Z8="Sai Số học sinh Khối với HS các địa bàn",Z9="Sai Số học sinh Khối với HS các địa bàn")),"Còn lỗi!","Nhập liệu!"))</f>
        <v>Hoàn thành!</v>
      </c>
      <c r="N3" s="625"/>
      <c r="O3" s="625"/>
    </row>
    <row r="4" spans="1:26" x14ac:dyDescent="0.25">
      <c r="A4" s="622" t="s">
        <v>253</v>
      </c>
      <c r="B4" s="622" t="s">
        <v>254</v>
      </c>
      <c r="C4" s="622" t="s">
        <v>239</v>
      </c>
      <c r="D4" s="622" t="s">
        <v>255</v>
      </c>
      <c r="E4" s="622" t="s">
        <v>256</v>
      </c>
      <c r="F4" s="622" t="s">
        <v>389</v>
      </c>
      <c r="G4" s="622" t="s">
        <v>257</v>
      </c>
      <c r="H4" s="622"/>
      <c r="I4" s="622" t="s">
        <v>258</v>
      </c>
      <c r="J4" s="622"/>
      <c r="K4" s="622"/>
      <c r="L4" s="622"/>
      <c r="M4" s="622"/>
      <c r="N4" s="622"/>
      <c r="O4" s="622"/>
      <c r="P4" s="622"/>
      <c r="Q4" s="622"/>
      <c r="R4" s="622"/>
      <c r="S4" s="622"/>
      <c r="T4" s="622"/>
      <c r="U4" s="622"/>
      <c r="V4" s="622"/>
      <c r="W4" s="622"/>
      <c r="X4" s="622"/>
      <c r="Y4" s="622"/>
    </row>
    <row r="5" spans="1:26" ht="45" x14ac:dyDescent="0.25">
      <c r="A5" s="622"/>
      <c r="B5" s="622"/>
      <c r="C5" s="622"/>
      <c r="D5" s="622"/>
      <c r="E5" s="622"/>
      <c r="F5" s="622"/>
      <c r="G5" s="561" t="s">
        <v>259</v>
      </c>
      <c r="H5" s="561" t="s">
        <v>260</v>
      </c>
      <c r="I5" s="70" t="str">
        <f>"Cam Thành Nam"</f>
        <v>Cam Thành Nam</v>
      </c>
      <c r="J5" s="70" t="str">
        <f>"Cam Nghĩa"</f>
        <v>Cam Nghĩa</v>
      </c>
      <c r="K5" s="70" t="str">
        <f>"Cam Phúc Bắc"</f>
        <v>Cam Phúc Bắc</v>
      </c>
      <c r="L5" s="70" t="str">
        <f>"Cam Phúc Nam"</f>
        <v>Cam Phúc Nam</v>
      </c>
      <c r="M5" s="70" t="str">
        <f>"Cam Phú"</f>
        <v>Cam Phú</v>
      </c>
      <c r="N5" s="70" t="str">
        <f>"Cam Thuận"</f>
        <v>Cam Thuận</v>
      </c>
      <c r="O5" s="70" t="str">
        <f>"Cam Lộc"</f>
        <v>Cam Lộc</v>
      </c>
      <c r="P5" s="70" t="str">
        <f>"Cam Linh"</f>
        <v>Cam Linh</v>
      </c>
      <c r="Q5" s="70" t="str">
        <f>"Cam Lợi"</f>
        <v>Cam Lợi</v>
      </c>
      <c r="R5" s="70" t="str">
        <f>"Ba Ngòi"</f>
        <v>Ba Ngòi</v>
      </c>
      <c r="S5" s="70" t="str">
        <f>"Cam Phước Đông"</f>
        <v>Cam Phước Đông</v>
      </c>
      <c r="T5" s="70" t="str">
        <f>"Cam Thịnh Đông"</f>
        <v>Cam Thịnh Đông</v>
      </c>
      <c r="U5" s="70" t="str">
        <f>"Cam Thịnh Tây"</f>
        <v>Cam Thịnh Tây</v>
      </c>
      <c r="V5" s="70" t="str">
        <f>"Cam Lập"</f>
        <v>Cam Lập</v>
      </c>
      <c r="W5" s="70" t="str">
        <f>"Cam Bình"</f>
        <v>Cam Bình</v>
      </c>
      <c r="X5" s="70" t="str">
        <f>"Ngoài 5 x/p"</f>
        <v>Ngoài 5 x/p</v>
      </c>
      <c r="Y5" s="70" t="str">
        <f>"Tỉnh khác"</f>
        <v>Tỉnh khác</v>
      </c>
    </row>
    <row r="6" spans="1:26" ht="33" customHeight="1" x14ac:dyDescent="0.25">
      <c r="A6" s="418">
        <f>6</f>
        <v>6</v>
      </c>
      <c r="B6" s="419">
        <f>IF(Chinh!$N$9="",0,COUNTIF(THCS!$B$6:$B$15000,"6"))</f>
        <v>1</v>
      </c>
      <c r="C6" s="72">
        <f>IF(Chinh!$N$9="",0,SUMPRODUCT(--(THCS!$B$6:$B$15000=6),--(THCS!$I$6:$I$15000="x")))</f>
        <v>0</v>
      </c>
      <c r="D6" s="73">
        <f>IF(Chinh!$N$9="",0,SUMPRODUCT(--(THCS!$B$6:$B$15000=6),--(THCS!$J$6:$J$15000&lt;&gt;"Kinh")))</f>
        <v>0</v>
      </c>
      <c r="E6" s="72">
        <f>IF(Chinh!$N$9="",0,SUMPRODUCT(--(THCS!$B$6:$B$15000=6),--(THCS!$K$6:$K$15000&lt;&gt;"")))</f>
        <v>0</v>
      </c>
      <c r="F6" s="72">
        <f>IF(Chinh!$N$9="",0,SUMPRODUCT(--(THCS!$B$6:$B$15000=6),--(THCS!$L$6:$L$15000="x")))</f>
        <v>0</v>
      </c>
      <c r="G6" s="420">
        <f>IF(AND($A$1&lt;&gt;"",$A$2&lt;&gt;"",$A$1=phu!$N$7),'TKe HSTHCS'!I6+'TKe HSTHCS'!J6+'TKe HSTHCS'!K6,IF(AND($A$1&lt;&gt;"",$A$2&lt;&gt;"",$A$1=phu!$N$13),'TKe HSTHCS'!L6+'TKe HSTHCS'!M6+'TKe HSTHCS'!O6,IF(AND($A$1&lt;&gt;"",$A$2&lt;&gt;"",$A$1=phu!$N$23),'TKe HSTHCS'!N6+'TKe HSTHCS'!P6+'TKe HSTHCS'!Q6,IF(AND($A$1&lt;&gt;"",$A$2&lt;&gt;"",$A$1=phu!$N$30),'TKe HSTHCS'!R6+'TKe HSTHCS'!S6,IF(AND($A$1&lt;&gt;"",$A$2&lt;&gt;"",$A$1=phu!$N$36),'TKe HSTHCS'!T6+'TKe HSTHCS'!U6+'TKe HSTHCS'!V6+'TKe HSTHCS'!W6,0)))))</f>
        <v>0</v>
      </c>
      <c r="H6" s="421">
        <f>IF(AND(B6=0,G6=0),0,B6-G6)</f>
        <v>1</v>
      </c>
      <c r="I6" s="72">
        <f>IF(Chinh!$N$9="",0,SUMPRODUCT(--(THCS!$B$6:$B$15000=6),--(THCS!$N$6:$N$15000="Cam Thành Nam")))</f>
        <v>0</v>
      </c>
      <c r="J6" s="72">
        <f>IF(Chinh!$N$9="",0,SUMPRODUCT(--(THCS!$B$6:$B$15000=6),--(THCS!$N$6:$N$15000="Cam Nghĩa")))</f>
        <v>1</v>
      </c>
      <c r="K6" s="72">
        <f>IF(Chinh!$N$9="",0,SUMPRODUCT(--(THCS!$B$6:$B$15000=6),--(THCS!$N$6:$N$15000="Cam Phúc Bắc")))</f>
        <v>0</v>
      </c>
      <c r="L6" s="72">
        <f>IF(Chinh!$N$9="",0,SUMPRODUCT(--(THCS!$B$6:$B$15000=6),--(THCS!$N$6:$N$15000="Cam Phúc Nam")))</f>
        <v>0</v>
      </c>
      <c r="M6" s="72">
        <f>IF(Chinh!$N$9="",0,SUMPRODUCT(--(THCS!$B$6:$B$15000=6),--(THCS!$N$6:$N$15000="Cam Phú")))</f>
        <v>0</v>
      </c>
      <c r="N6" s="72">
        <f>IF(Chinh!$N$9="",0,SUMPRODUCT(--(THCS!$B$6:$B$15000=6),--(THCS!$N$6:$N$15000="Cam Thuận")))</f>
        <v>0</v>
      </c>
      <c r="O6" s="72">
        <f>IF(Chinh!$N$9="",0,SUMPRODUCT(--(THCS!$B$6:$B$15000=6),--(THCS!$N$6:$N$15000="Cam Lộc")))</f>
        <v>0</v>
      </c>
      <c r="P6" s="72">
        <f>IF(Chinh!$N$9="",0,SUMPRODUCT(--(THCS!$B$6:$B$15000=6),--(THCS!$N$6:$N$15000="Cam Linh")))</f>
        <v>0</v>
      </c>
      <c r="Q6" s="72">
        <f>IF(Chinh!$N$9="",0,SUMPRODUCT(--(THCS!$B$6:$B$15000=6),--(THCS!$N$6:$N$15000="Cam Lợi")))</f>
        <v>0</v>
      </c>
      <c r="R6" s="72">
        <f>IF(Chinh!$N$9="",0,SUMPRODUCT(--(THCS!$B$6:$B$15000=6),--(THCS!$N$6:$N$15000="Ba Ngòi")))</f>
        <v>0</v>
      </c>
      <c r="S6" s="72">
        <f>IF(Chinh!$N$9="",0,SUMPRODUCT(--(THCS!$B$6:$B$15000=6),--(THCS!$N$6:$N$15000="Cam Phước Đông")))</f>
        <v>0</v>
      </c>
      <c r="T6" s="72">
        <f>IF(Chinh!$N$9="",0,SUMPRODUCT(--(THCS!$B$6:$B$15000=6),--(THCS!$N$6:$N$15000="Cam Thịnh Đông")))</f>
        <v>0</v>
      </c>
      <c r="U6" s="72">
        <f>IF(Chinh!$N$9="",0,SUMPRODUCT(--(THCS!$B$6:$B$15000=6),--(THCS!$N$6:$N$15000="Cam Thịnh Tây")))</f>
        <v>0</v>
      </c>
      <c r="V6" s="72">
        <f>IF(Chinh!$N$9="",0,SUMPRODUCT(--(THCS!$B$6:$B$15000=6),--(THCS!$N$6:$N$15000="Cam Lập")))</f>
        <v>0</v>
      </c>
      <c r="W6" s="72">
        <f>IF(Chinh!$N$9="",0,SUMPRODUCT(--(THCS!$B$6:$B$15000=6),--(THCS!$N$6:$N$15000="Cam Bình")))</f>
        <v>0</v>
      </c>
      <c r="X6" s="72">
        <f>IF(Chinh!$N$9="",0,SUMPRODUCT(--(THCS!$B$6:$B$15000=6),--(THCS!$N$6:$N$15000="Huyện khác")))</f>
        <v>0</v>
      </c>
      <c r="Y6" s="72">
        <f>IF(Chinh!$N$9="",0,SUMPRODUCT(--(THCS!$B$6:$B$15000=6),--(THCS!$N$6:$N$15000="Tỉnh khác")))</f>
        <v>0</v>
      </c>
      <c r="Z6" s="75" t="str">
        <f>IF(AND(G6="",H6="",B6&gt;0),"Nhập số học sinh Tại chỗ và Nơi khác đến",IF(B6&lt;&gt;G6+H6,"Sai số học sinh Tại chỗ và Nơi khác đến",IF(B6&lt;&gt;SUM(I6:Y6),"Sai Số học sinh Khối với HS các địa bàn","")))</f>
        <v/>
      </c>
    </row>
    <row r="7" spans="1:26" ht="33" customHeight="1" x14ac:dyDescent="0.25">
      <c r="A7" s="418">
        <f>7</f>
        <v>7</v>
      </c>
      <c r="B7" s="419">
        <f>IF(Chinh!$N$9="",0,COUNTIF(THCS!$B$6:$B$15000,"7"))</f>
        <v>1</v>
      </c>
      <c r="C7" s="72">
        <f>IF(Chinh!$N$9="",0,SUMPRODUCT(--(THCS!$B$6:$B$15000=7),--(THCS!$I$6:$I$15000="x")))</f>
        <v>1</v>
      </c>
      <c r="D7" s="73">
        <f>IF(Chinh!$N$9="",0,SUMPRODUCT(--(THCS!$B$6:$B$15000=7),--(THCS!$J$6:$J$15000&lt;&gt;"Kinh")))</f>
        <v>0</v>
      </c>
      <c r="E7" s="72">
        <f>IF(Chinh!$N$9="",0,SUMPRODUCT(--(THCS!$B$6:$B$15000=7),--(THCS!$K$6:$K$15000&lt;&gt;"")))</f>
        <v>0</v>
      </c>
      <c r="F7" s="72">
        <f>IF(Chinh!$N$9="",0,SUMPRODUCT(--(THCS!$B$6:$B$15000=7),--(THCS!$L$6:$L$15000="x")))</f>
        <v>0</v>
      </c>
      <c r="G7" s="420">
        <f>IF(AND($A$1&lt;&gt;"",$A$2&lt;&gt;"",$A$1=phu!$N$7),'TKe HSTHCS'!I7+'TKe HSTHCS'!J7+'TKe HSTHCS'!K7,IF(AND($A$1&lt;&gt;"",$A$2&lt;&gt;"",$A$1=phu!$N$13),'TKe HSTHCS'!L7+'TKe HSTHCS'!M7+'TKe HSTHCS'!O7,IF(AND($A$1&lt;&gt;"",$A$2&lt;&gt;"",$A$1=phu!$N$23),'TKe HSTHCS'!N7+'TKe HSTHCS'!P7+'TKe HSTHCS'!Q7,IF(AND($A$1&lt;&gt;"",$A$2&lt;&gt;"",$A$1=phu!$N$30),'TKe HSTHCS'!R7+'TKe HSTHCS'!S7,IF(AND($A$1&lt;&gt;"",$A$2&lt;&gt;"",$A$1=phu!$N$36),'TKe HSTHCS'!T7+'TKe HSTHCS'!U7+'TKe HSTHCS'!V7+'TKe HSTHCS'!W7,0)))))</f>
        <v>0</v>
      </c>
      <c r="H7" s="421">
        <f>IF(AND(B7=0,G7=0),0,B7-G7)</f>
        <v>1</v>
      </c>
      <c r="I7" s="72">
        <f>IF(Chinh!$N$9="",0,SUMPRODUCT(--(THCS!$B$6:$B$15000=7),--(THCS!$N$6:$N$15000="Cam Thành Nam")))</f>
        <v>0</v>
      </c>
      <c r="J7" s="72">
        <f>IF(Chinh!$N$9="",0,SUMPRODUCT(--(THCS!$B$6:$B$15000=7),--(THCS!$N$6:$N$15000="Cam Nghĩa")))</f>
        <v>0</v>
      </c>
      <c r="K7" s="72">
        <f>IF(Chinh!$N$9="",0,SUMPRODUCT(--(THCS!$B$6:$B$15000=7),--(THCS!$N$6:$N$15000="Cam Phúc Bắc")))</f>
        <v>0</v>
      </c>
      <c r="L7" s="72">
        <f>IF(Chinh!$N$9="",0,SUMPRODUCT(--(THCS!$B$6:$B$15000=7),--(THCS!$N$6:$N$15000="Cam Phúc Nam")))</f>
        <v>0</v>
      </c>
      <c r="M7" s="72">
        <f>IF(Chinh!$N$9="",0,SUMPRODUCT(--(THCS!$B$6:$B$15000=7),--(THCS!$N$6:$N$15000="Cam Phú")))</f>
        <v>0</v>
      </c>
      <c r="N7" s="72">
        <f>IF(Chinh!$N$9="",0,SUMPRODUCT(--(THCS!$B$6:$B$15000=7),--(THCS!$N$6:$N$15000="Cam Thuận")))</f>
        <v>0</v>
      </c>
      <c r="O7" s="72">
        <f>IF(Chinh!$N$9="",0,SUMPRODUCT(--(THCS!$B$6:$B$15000=7),--(THCS!$N$6:$N$15000="Cam Lộc")))</f>
        <v>0</v>
      </c>
      <c r="P7" s="72">
        <f>IF(Chinh!$N$9="",0,SUMPRODUCT(--(THCS!$B$6:$B$15000=7),--(THCS!$N$6:$N$15000="Cam Linh")))</f>
        <v>0</v>
      </c>
      <c r="Q7" s="72">
        <f>IF(Chinh!$N$9="",0,SUMPRODUCT(--(THCS!$B$6:$B$15000=7),--(THCS!$N$6:$N$15000="Cam Lợi")))</f>
        <v>0</v>
      </c>
      <c r="R7" s="72">
        <f>IF(Chinh!$N$9="",0,SUMPRODUCT(--(THCS!$B$6:$B$15000=7),--(THCS!$N$6:$N$15000="Ba Ngòi")))</f>
        <v>0</v>
      </c>
      <c r="S7" s="72">
        <f>IF(Chinh!$N$9="",0,SUMPRODUCT(--(THCS!$B$6:$B$15000=7),--(THCS!$N$6:$N$15000="Cam Phước Đông")))</f>
        <v>1</v>
      </c>
      <c r="T7" s="72">
        <f>IF(Chinh!$N$9="",0,SUMPRODUCT(--(THCS!$B$6:$B$15000=7),--(THCS!$N$6:$N$15000="Cam Thịnh Đông")))</f>
        <v>0</v>
      </c>
      <c r="U7" s="72">
        <f>IF(Chinh!$N$9="",0,SUMPRODUCT(--(THCS!$B$6:$B$15000=7),--(THCS!$N$6:$N$15000="Cam Thịnh Tây")))</f>
        <v>0</v>
      </c>
      <c r="V7" s="72">
        <f>IF(Chinh!$N$9="",0,SUMPRODUCT(--(THCS!$B$6:$B$15000=7),--(THCS!$N$6:$N$15000="Cam Lập")))</f>
        <v>0</v>
      </c>
      <c r="W7" s="72">
        <f>IF(Chinh!$N$9="",0,SUMPRODUCT(--(THCS!$B$6:$B$15000=7),--(THCS!$N$6:$N$15000="Cam Bình")))</f>
        <v>0</v>
      </c>
      <c r="X7" s="72">
        <f>IF(Chinh!$N$9="",0,SUMPRODUCT(--(THCS!$B$6:$B$15000=7),--(THCS!$N$6:$N$15000="Huyện khác")))</f>
        <v>0</v>
      </c>
      <c r="Y7" s="72">
        <f>IF(Chinh!$N$9="",0,SUMPRODUCT(--(THCS!$B$6:$B$15000=7),--(THCS!$N$6:$N$15000="Tỉnh khác")))</f>
        <v>0</v>
      </c>
      <c r="Z7" s="75" t="str">
        <f>IF(AND(G7="",H7="",B7&gt;0),"Nhập số học sinh Tại chỗ và Nơi khác đến",IF(B7&lt;&gt;G7+H7,"Sai số học sinh Tại chỗ và Nơi khác đến",IF(B7&lt;&gt;SUM(I7:Y7),"Sai Số học sinh Khối với HS các địa bàn","")))</f>
        <v/>
      </c>
    </row>
    <row r="8" spans="1:26" ht="33" customHeight="1" x14ac:dyDescent="0.25">
      <c r="A8" s="418">
        <f>8</f>
        <v>8</v>
      </c>
      <c r="B8" s="419">
        <f>IF(Chinh!$N$9="",0,COUNTIF(THCS!$B$6:$B$15000,"8"))</f>
        <v>2</v>
      </c>
      <c r="C8" s="72">
        <f>IF(Chinh!$N$9="",0,SUMPRODUCT(--(THCS!$B$6:$B$15000=8),--(THCS!$I$6:$I$15000="x")))</f>
        <v>0</v>
      </c>
      <c r="D8" s="73">
        <f>IF(Chinh!$N$9="",0,SUMPRODUCT(--(THCS!$B$6:$B$15000=8),--(THCS!$J$6:$J$15000&lt;&gt;"Kinh")))</f>
        <v>1</v>
      </c>
      <c r="E8" s="72">
        <f>IF(Chinh!$N$9="",0,SUMPRODUCT(--(THCS!$B$6:$B$15000=8),--(THCS!$K$6:$K$15000&lt;&gt;"")))</f>
        <v>1</v>
      </c>
      <c r="F8" s="72">
        <f>IF(Chinh!$N$9="",0,SUMPRODUCT(--(THCS!$B$6:$B$15000=8),--(THCS!$L$6:$L$15000="x")))</f>
        <v>0</v>
      </c>
      <c r="G8" s="420">
        <f>IF(AND($A$1&lt;&gt;"",$A$2&lt;&gt;"",$A$1=phu!$N$7),'TKe HSTHCS'!I8+'TKe HSTHCS'!J8+'TKe HSTHCS'!K8,IF(AND($A$1&lt;&gt;"",$A$2&lt;&gt;"",$A$1=phu!$N$13),'TKe HSTHCS'!L8+'TKe HSTHCS'!M8+'TKe HSTHCS'!O8,IF(AND($A$1&lt;&gt;"",$A$2&lt;&gt;"",$A$1=phu!$N$23),'TKe HSTHCS'!N8+'TKe HSTHCS'!P8+'TKe HSTHCS'!Q8,IF(AND($A$1&lt;&gt;"",$A$2&lt;&gt;"",$A$1=phu!$N$30),'TKe HSTHCS'!R8+'TKe HSTHCS'!S8,IF(AND($A$1&lt;&gt;"",$A$2&lt;&gt;"",$A$1=phu!$N$36),'TKe HSTHCS'!T8+'TKe HSTHCS'!U8+'TKe HSTHCS'!V8+'TKe HSTHCS'!W8,0)))))</f>
        <v>0</v>
      </c>
      <c r="H8" s="421">
        <f>IF(AND(B8=0,G8=0),0,B8-G8)</f>
        <v>2</v>
      </c>
      <c r="I8" s="72">
        <f>IF(Chinh!$N$9="",0,SUMPRODUCT(--(THCS!$B$6:$B$15000=8),--(THCS!$N$6:$N$15000="Cam Thành Nam")))</f>
        <v>0</v>
      </c>
      <c r="J8" s="72">
        <f>IF(Chinh!$N$9="",0,SUMPRODUCT(--(THCS!$B$6:$B$15000=8),--(THCS!$N$6:$N$15000="Cam Nghĩa")))</f>
        <v>0</v>
      </c>
      <c r="K8" s="72">
        <f>IF(Chinh!$N$9="",0,SUMPRODUCT(--(THCS!$B$6:$B$15000=8),--(THCS!$N$6:$N$15000="Cam Phúc Bắc")))</f>
        <v>0</v>
      </c>
      <c r="L8" s="72">
        <f>IF(Chinh!$N$9="",0,SUMPRODUCT(--(THCS!$B$6:$B$15000=8),--(THCS!$N$6:$N$15000="Cam Phúc Nam")))</f>
        <v>1</v>
      </c>
      <c r="M8" s="72">
        <f>IF(Chinh!$N$9="",0,SUMPRODUCT(--(THCS!$B$6:$B$15000=8),--(THCS!$N$6:$N$15000="Cam Phú")))</f>
        <v>0</v>
      </c>
      <c r="N8" s="72">
        <f>IF(Chinh!$N$9="",0,SUMPRODUCT(--(THCS!$B$6:$B$15000=8),--(THCS!$N$6:$N$15000="Cam Thuận")))</f>
        <v>0</v>
      </c>
      <c r="O8" s="72">
        <f>IF(Chinh!$N$9="",0,SUMPRODUCT(--(THCS!$B$6:$B$15000=8),--(THCS!$N$6:$N$15000="Cam Lộc")))</f>
        <v>0</v>
      </c>
      <c r="P8" s="72">
        <f>IF(Chinh!$N$9="",0,SUMPRODUCT(--(THCS!$B$6:$B$15000=8),--(THCS!$N$6:$N$15000="Cam Linh")))</f>
        <v>0</v>
      </c>
      <c r="Q8" s="72">
        <f>IF(Chinh!$N$9="",0,SUMPRODUCT(--(THCS!$B$6:$B$15000=8),--(THCS!$N$6:$N$15000="Cam Lợi")))</f>
        <v>0</v>
      </c>
      <c r="R8" s="72">
        <f>IF(Chinh!$N$9="",0,SUMPRODUCT(--(THCS!$B$6:$B$15000=8),--(THCS!$N$6:$N$15000="Ba Ngòi")))</f>
        <v>0</v>
      </c>
      <c r="S8" s="72">
        <f>IF(Chinh!$N$9="",0,SUMPRODUCT(--(THCS!$B$6:$B$15000=8),--(THCS!$N$6:$N$15000="Cam Phước Đông")))</f>
        <v>0</v>
      </c>
      <c r="T8" s="72">
        <f>IF(Chinh!$N$9="",0,SUMPRODUCT(--(THCS!$B$6:$B$15000=8),--(THCS!$N$6:$N$15000="Cam Thịnh Đông")))</f>
        <v>0</v>
      </c>
      <c r="U8" s="72">
        <f>IF(Chinh!$N$9="",0,SUMPRODUCT(--(THCS!$B$6:$B$15000=8),--(THCS!$N$6:$N$15000="Cam Thịnh Tây")))</f>
        <v>0</v>
      </c>
      <c r="V8" s="72">
        <f>IF(Chinh!$N$9="",0,SUMPRODUCT(--(THCS!$B$6:$B$15000=8),--(THCS!$N$6:$N$15000="Cam Lập")))</f>
        <v>0</v>
      </c>
      <c r="W8" s="72">
        <f>IF(Chinh!$N$9="",0,SUMPRODUCT(--(THCS!$B$6:$B$15000=8),--(THCS!$N$6:$N$15000="Cam Bình")))</f>
        <v>0</v>
      </c>
      <c r="X8" s="72">
        <f>IF(Chinh!$N$9="",0,SUMPRODUCT(--(THCS!$B$6:$B$15000=8),--(THCS!$N$6:$N$15000="Huyện khác")))</f>
        <v>1</v>
      </c>
      <c r="Y8" s="72">
        <f>IF(Chinh!$N$9="",0,SUMPRODUCT(--(THCS!$B$6:$B$15000=8),--(THCS!$N$6:$N$15000="Tỉnh khác")))</f>
        <v>0</v>
      </c>
      <c r="Z8" s="75" t="str">
        <f>IF(AND(G8="",H8="",B8&gt;0),"Nhập số học sinh Tại chỗ và Nơi khác đến",IF(B8&lt;&gt;G8+H8,"Sai số học sinh Tại chỗ và Nơi khác đến",IF(B8&lt;&gt;SUM(I8:Y8),"Sai Số học sinh Khối với HS các địa bàn","")))</f>
        <v/>
      </c>
    </row>
    <row r="9" spans="1:26" ht="33" customHeight="1" x14ac:dyDescent="0.25">
      <c r="A9" s="418">
        <f>9</f>
        <v>9</v>
      </c>
      <c r="B9" s="419">
        <f>IF(Chinh!$N$9="",0,COUNTIF(THCS!$B$6:$B$15000,"9"))</f>
        <v>2</v>
      </c>
      <c r="C9" s="72">
        <f>IF(Chinh!$N$9="",0,SUMPRODUCT(--(THCS!$B$6:$B$15000=9),--(THCS!$I$6:$I$15000="x")))</f>
        <v>0</v>
      </c>
      <c r="D9" s="73">
        <f>IF(Chinh!$N$9="",0,SUMPRODUCT(--(THCS!$B$6:$B$15000=9),--(THCS!$J$6:$J$15000&lt;&gt;"Kinh")))</f>
        <v>0</v>
      </c>
      <c r="E9" s="72">
        <f>IF(Chinh!$N$9="",0,SUMPRODUCT(--(THCS!$B$6:$B$15000=9),--(THCS!$K$6:$K$15000&lt;&gt;"")))</f>
        <v>1</v>
      </c>
      <c r="F9" s="72">
        <f>IF(Chinh!$N$9="",0,SUMPRODUCT(--(THCS!$B$6:$B$15000=9),--(THCS!$L$6:$L$15000="x")))</f>
        <v>0</v>
      </c>
      <c r="G9" s="420">
        <f>IF(AND($A$1&lt;&gt;"",$A$2&lt;&gt;"",$A$1=phu!$N$7),'TKe HSTHCS'!I9+'TKe HSTHCS'!J9+'TKe HSTHCS'!K9,IF(AND($A$1&lt;&gt;"",$A$2&lt;&gt;"",$A$1=phu!$N$13),'TKe HSTHCS'!L9+'TKe HSTHCS'!M9+'TKe HSTHCS'!O9,IF(AND($A$1&lt;&gt;"",$A$2&lt;&gt;"",$A$1=phu!$N$23),'TKe HSTHCS'!N9+'TKe HSTHCS'!P9+'TKe HSTHCS'!Q9,IF(AND($A$1&lt;&gt;"",$A$2&lt;&gt;"",$A$1=phu!$N$30),'TKe HSTHCS'!R9+'TKe HSTHCS'!S9,IF(AND($A$1&lt;&gt;"",$A$2&lt;&gt;"",$A$1=phu!$N$36),'TKe HSTHCS'!T9+'TKe HSTHCS'!U9+'TKe HSTHCS'!V9+'TKe HSTHCS'!W9,0)))))</f>
        <v>0</v>
      </c>
      <c r="H9" s="421">
        <f>IF(AND(B9=0,G9=0),0,B9-G9)</f>
        <v>2</v>
      </c>
      <c r="I9" s="72">
        <f>IF(Chinh!$N$9="",0,SUMPRODUCT(--(THCS!$B$6:$B$15000=9),--(THCS!$N$6:$N$15000="Cam Thành Nam")))</f>
        <v>0</v>
      </c>
      <c r="J9" s="72">
        <f>IF(Chinh!$N$9="",0,SUMPRODUCT(--(THCS!$B$6:$B$15000=9),--(THCS!$N$6:$N$15000="Cam Nghĩa")))</f>
        <v>0</v>
      </c>
      <c r="K9" s="72">
        <f>IF(Chinh!$N$9="",0,SUMPRODUCT(--(THCS!$B$6:$B$15000=9),--(THCS!$N$6:$N$15000="Cam Phúc Bắc")))</f>
        <v>0</v>
      </c>
      <c r="L9" s="72">
        <f>IF(Chinh!$N$9="",0,SUMPRODUCT(--(THCS!$B$6:$B$15000=9),--(THCS!$N$6:$N$15000="Cam Phúc Nam")))</f>
        <v>0</v>
      </c>
      <c r="M9" s="72">
        <f>IF(Chinh!$N$9="",0,SUMPRODUCT(--(THCS!$B$6:$B$15000=9),--(THCS!$N$6:$N$15000="Cam Phú")))</f>
        <v>0</v>
      </c>
      <c r="N9" s="72">
        <f>IF(Chinh!$N$9="",0,SUMPRODUCT(--(THCS!$B$6:$B$15000=9),--(THCS!$N$6:$N$15000="Cam Thuận")))</f>
        <v>0</v>
      </c>
      <c r="O9" s="72">
        <f>IF(Chinh!$N$9="",0,SUMPRODUCT(--(THCS!$B$6:$B$15000=9),--(THCS!$N$6:$N$15000="Cam Lộc")))</f>
        <v>1</v>
      </c>
      <c r="P9" s="72">
        <f>IF(Chinh!$N$9="",0,SUMPRODUCT(--(THCS!$B$6:$B$15000=9),--(THCS!$N$6:$N$15000="Cam Linh")))</f>
        <v>0</v>
      </c>
      <c r="Q9" s="72">
        <f>IF(Chinh!$N$9="",0,SUMPRODUCT(--(THCS!$B$6:$B$15000=9),--(THCS!$N$6:$N$15000="Cam Lợi")))</f>
        <v>0</v>
      </c>
      <c r="R9" s="72">
        <f>IF(Chinh!$N$9="",0,SUMPRODUCT(--(THCS!$B$6:$B$15000=9),--(THCS!$N$6:$N$15000="Ba Ngòi")))</f>
        <v>0</v>
      </c>
      <c r="S9" s="72">
        <f>IF(Chinh!$N$9="",0,SUMPRODUCT(--(THCS!$B$6:$B$15000=9),--(THCS!$N$6:$N$15000="Cam Phước Đông")))</f>
        <v>0</v>
      </c>
      <c r="T9" s="72">
        <f>IF(Chinh!$N$9="",0,SUMPRODUCT(--(THCS!$B$6:$B$15000=9),--(THCS!$N$6:$N$15000="Cam Thịnh Đông")))</f>
        <v>0</v>
      </c>
      <c r="U9" s="72">
        <f>IF(Chinh!$N$9="",0,SUMPRODUCT(--(THCS!$B$6:$B$15000=9),--(THCS!$N$6:$N$15000="Cam Thịnh Tây")))</f>
        <v>0</v>
      </c>
      <c r="V9" s="72">
        <f>IF(Chinh!$N$9="",0,SUMPRODUCT(--(THCS!$B$6:$B$15000=9),--(THCS!$N$6:$N$15000="Cam Lập")))</f>
        <v>0</v>
      </c>
      <c r="W9" s="72">
        <f>IF(Chinh!$N$9="",0,SUMPRODUCT(--(THCS!$B$6:$B$15000=9),--(THCS!$N$6:$N$15000="Cam Bình")))</f>
        <v>0</v>
      </c>
      <c r="X9" s="72">
        <f>IF(Chinh!$N$9="",0,SUMPRODUCT(--(THCS!$B$6:$B$15000=9),--(THCS!$N$6:$N$15000="Huyện khác")))</f>
        <v>0</v>
      </c>
      <c r="Y9" s="72">
        <f>IF(Chinh!$N$9="",0,SUMPRODUCT(--(THCS!$B$6:$B$15000=9),--(THCS!$N$6:$N$15000="Tỉnh khác")))</f>
        <v>1</v>
      </c>
      <c r="Z9" s="75" t="str">
        <f>IF(AND(G9="",H9="",B9&gt;0),"Nhập số học sinh Tại chỗ và Nơi khác đến",IF(B9&lt;&gt;G9+H9,"Sai số học sinh Tại chỗ và Nơi khác đến",IF(B9&lt;&gt;SUM(I9:Y9),"Sai Số học sinh Khối với HS các địa bàn","")))</f>
        <v/>
      </c>
    </row>
    <row r="10" spans="1:26" ht="33" customHeight="1" x14ac:dyDescent="0.25">
      <c r="A10" s="78" t="s">
        <v>236</v>
      </c>
      <c r="B10" s="91">
        <f>SUM(B6:B9)</f>
        <v>6</v>
      </c>
      <c r="C10" s="91">
        <f>SUM(C6:C9)</f>
        <v>1</v>
      </c>
      <c r="D10" s="91">
        <f t="shared" ref="D10:Y10" si="0">SUM(D6:D9)</f>
        <v>1</v>
      </c>
      <c r="E10" s="91">
        <f t="shared" si="0"/>
        <v>2</v>
      </c>
      <c r="F10" s="91">
        <f t="shared" si="0"/>
        <v>0</v>
      </c>
      <c r="G10" s="422">
        <f>SUM(G6:G9)</f>
        <v>0</v>
      </c>
      <c r="H10" s="423">
        <f t="shared" si="0"/>
        <v>6</v>
      </c>
      <c r="I10" s="91">
        <f t="shared" si="0"/>
        <v>0</v>
      </c>
      <c r="J10" s="91">
        <f t="shared" si="0"/>
        <v>1</v>
      </c>
      <c r="K10" s="91">
        <f t="shared" si="0"/>
        <v>0</v>
      </c>
      <c r="L10" s="91">
        <f t="shared" si="0"/>
        <v>1</v>
      </c>
      <c r="M10" s="91">
        <f t="shared" si="0"/>
        <v>0</v>
      </c>
      <c r="N10" s="91">
        <f>SUM(N6:N9)</f>
        <v>0</v>
      </c>
      <c r="O10" s="91">
        <f t="shared" si="0"/>
        <v>1</v>
      </c>
      <c r="P10" s="91">
        <f t="shared" si="0"/>
        <v>0</v>
      </c>
      <c r="Q10" s="91">
        <f>SUM(Q6:Q9)</f>
        <v>0</v>
      </c>
      <c r="R10" s="91">
        <f>SUM(R6:R9)</f>
        <v>0</v>
      </c>
      <c r="S10" s="91">
        <f t="shared" si="0"/>
        <v>1</v>
      </c>
      <c r="T10" s="91">
        <f t="shared" si="0"/>
        <v>0</v>
      </c>
      <c r="U10" s="91">
        <f t="shared" si="0"/>
        <v>0</v>
      </c>
      <c r="V10" s="91">
        <f t="shared" si="0"/>
        <v>0</v>
      </c>
      <c r="W10" s="91">
        <f t="shared" si="0"/>
        <v>0</v>
      </c>
      <c r="X10" s="91">
        <f t="shared" si="0"/>
        <v>1</v>
      </c>
      <c r="Y10" s="91">
        <f t="shared" si="0"/>
        <v>1</v>
      </c>
      <c r="Z10" s="75" t="str">
        <f>IF(AND(G10="",H10="",B10&gt;0),"Nhập số học sinh Tại chỗ và Nơi khác đến",IF(B10&lt;&gt;G10+H10,"Sai số học sinh Tại chỗ và Nơi khác đến",IF(B10&lt;&gt;SUM(I10:Y10),"Sai Số học sinh Khối với HS các địa bàn","")))</f>
        <v/>
      </c>
    </row>
    <row r="11" spans="1:26" x14ac:dyDescent="0.25">
      <c r="D11" s="69"/>
    </row>
    <row r="12" spans="1:26" x14ac:dyDescent="0.25">
      <c r="A12" s="282" t="s">
        <v>888</v>
      </c>
      <c r="R12" s="80"/>
    </row>
    <row r="13" spans="1:26" ht="24" customHeight="1" x14ac:dyDescent="0.25">
      <c r="B13" s="81"/>
      <c r="C13" s="81"/>
      <c r="D13" s="81"/>
      <c r="E13" s="81"/>
      <c r="F13" s="424" t="s">
        <v>390</v>
      </c>
      <c r="G13" s="81"/>
      <c r="H13" s="81"/>
      <c r="I13" s="81"/>
      <c r="J13" s="81"/>
      <c r="K13" s="81"/>
      <c r="L13" s="81"/>
      <c r="M13" s="81"/>
      <c r="N13" s="81"/>
      <c r="O13" s="81"/>
      <c r="P13" s="81"/>
      <c r="Q13" s="81"/>
      <c r="R13" s="81"/>
      <c r="S13" s="426" t="str">
        <f>IF(Chinh!N9&lt;&gt;"",Chinh!$L$34,"")</f>
        <v>Cam ….., ngày ... tháng ... năm 202…</v>
      </c>
      <c r="T13" s="81"/>
      <c r="U13" s="81"/>
      <c r="V13" s="81"/>
      <c r="W13" s="81"/>
      <c r="X13" s="81"/>
      <c r="Y13" s="81"/>
    </row>
    <row r="14" spans="1:26" ht="15.75" x14ac:dyDescent="0.25">
      <c r="S14" s="284" t="s">
        <v>296</v>
      </c>
    </row>
    <row r="18" spans="4:24" ht="15.75" x14ac:dyDescent="0.25">
      <c r="D18" s="81"/>
      <c r="E18" s="81"/>
      <c r="F18" s="425" t="str">
        <f>IF(Chinh!$N$9&lt;&gt;"",Chinh!$C$37,"")</f>
        <v>…………</v>
      </c>
      <c r="G18" s="81"/>
      <c r="H18" s="81"/>
      <c r="I18" s="81"/>
      <c r="J18" s="81"/>
      <c r="K18" s="81"/>
      <c r="L18" s="81"/>
      <c r="M18" s="81"/>
      <c r="N18" s="81"/>
      <c r="O18" s="81"/>
      <c r="P18" s="81"/>
      <c r="Q18" s="81"/>
      <c r="R18" s="81"/>
      <c r="S18" s="425" t="str">
        <f>IF(Chinh!N9&lt;&gt;"",Chinh!$L$37,"")</f>
        <v>………………..</v>
      </c>
      <c r="T18" s="81"/>
      <c r="U18" s="81"/>
      <c r="V18" s="81"/>
      <c r="W18" s="81"/>
      <c r="X18" s="81"/>
    </row>
  </sheetData>
  <sheetProtection algorithmName="SHA-512" hashValue="B2XrG2MQfly/Re3GgDxU1Nn806hG5VlqkPUlC6/JlDzGDT86nwt52GpfeRZkR+OrVwhE+Hm1POp0tvYM6xUJdA==" saltValue="VJ1hMJzYO9XNCFF0VpAKOQ==" spinCount="100000" sheet="1" formatCells="0" formatColumns="0" formatRows="0"/>
  <mergeCells count="13">
    <mergeCell ref="F4:F5"/>
    <mergeCell ref="G4:H4"/>
    <mergeCell ref="I4:Y4"/>
    <mergeCell ref="A1:G1"/>
    <mergeCell ref="J1:W1"/>
    <mergeCell ref="A2:G2"/>
    <mergeCell ref="J2:W2"/>
    <mergeCell ref="M3:O3"/>
    <mergeCell ref="A4:A5"/>
    <mergeCell ref="B4:B5"/>
    <mergeCell ref="C4:C5"/>
    <mergeCell ref="D4:D5"/>
    <mergeCell ref="E4:E5"/>
  </mergeCells>
  <conditionalFormatting sqref="G10:Y10 B6:F10 I6:Y9">
    <cfRule type="cellIs" dxfId="22" priority="8" stopIfTrue="1" operator="equal">
      <formula>0</formula>
    </cfRule>
  </conditionalFormatting>
  <conditionalFormatting sqref="A2">
    <cfRule type="cellIs" dxfId="21" priority="7" stopIfTrue="1" operator="between">
      <formula>0</formula>
      <formula>0</formula>
    </cfRule>
  </conditionalFormatting>
  <conditionalFormatting sqref="G6:H9">
    <cfRule type="cellIs" dxfId="20" priority="6" stopIfTrue="1" operator="between">
      <formula>""</formula>
      <formula>""</formula>
    </cfRule>
  </conditionalFormatting>
  <conditionalFormatting sqref="M3">
    <cfRule type="cellIs" dxfId="19" priority="4" stopIfTrue="1" operator="between">
      <formula>"Nhập liệu!"</formula>
      <formula>"Nhập liệu!"</formula>
    </cfRule>
    <cfRule type="cellIs" dxfId="18" priority="5" stopIfTrue="1" operator="between">
      <formula>"Còn lỗi!"</formula>
      <formula>"Còn lỗi!"</formula>
    </cfRule>
  </conditionalFormatting>
  <conditionalFormatting sqref="G6:H9">
    <cfRule type="cellIs" dxfId="17" priority="2" stopIfTrue="1" operator="between">
      <formula>0</formula>
      <formula>0</formula>
    </cfRule>
    <cfRule type="cellIs" dxfId="16" priority="3" stopIfTrue="1" operator="between">
      <formula>""</formula>
      <formula>""</formula>
    </cfRule>
  </conditionalFormatting>
  <conditionalFormatting sqref="G6:H9">
    <cfRule type="cellIs" dxfId="15" priority="1" stopIfTrue="1" operator="between">
      <formula>""</formula>
      <formula>""</formula>
    </cfRule>
  </conditionalFormatting>
  <pageMargins left="0.11811023622047245" right="0.11811023622047245" top="0.55118110236220474" bottom="0.15748031496062992" header="0.31496062992125984" footer="0.19685039370078741"/>
  <pageSetup paperSize="9"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W156"/>
  <sheetViews>
    <sheetView showGridLines="0" showZeros="0" workbookViewId="0">
      <pane xSplit="2" ySplit="7" topLeftCell="C8" activePane="bottomRight" state="frozen"/>
      <selection activeCell="C15" sqref="C15"/>
      <selection pane="topRight" activeCell="C15" sqref="C15"/>
      <selection pane="bottomLeft" activeCell="C15" sqref="C15"/>
      <selection pane="bottomRight" activeCell="G6" sqref="G6"/>
    </sheetView>
  </sheetViews>
  <sheetFormatPr defaultRowHeight="12.75" x14ac:dyDescent="0.2"/>
  <cols>
    <col min="1" max="1" width="3.625" style="287" customWidth="1"/>
    <col min="2" max="2" width="22.875" style="287" customWidth="1"/>
    <col min="3" max="3" width="9.75" style="310" customWidth="1"/>
    <col min="4" max="4" width="4.125" style="287" customWidth="1"/>
    <col min="5" max="5" width="11" style="309" customWidth="1"/>
    <col min="6" max="6" width="11.625" style="287" customWidth="1"/>
    <col min="7" max="7" width="5.625" style="287" customWidth="1"/>
    <col min="8" max="8" width="5.5" style="287" customWidth="1"/>
    <col min="9" max="9" width="9.125" style="287" customWidth="1"/>
    <col min="10" max="10" width="7.5" style="287" customWidth="1"/>
    <col min="11" max="11" width="9.625" style="287" customWidth="1"/>
    <col min="12" max="12" width="9.125" style="287" customWidth="1"/>
    <col min="13" max="13" width="5.375" style="287" customWidth="1"/>
    <col min="14" max="14" width="4.75" style="287" customWidth="1"/>
    <col min="15" max="17" width="6.125" style="287" customWidth="1"/>
    <col min="18" max="18" width="6.625" style="287" customWidth="1"/>
    <col min="19" max="19" width="8.375" style="287" customWidth="1"/>
    <col min="20" max="20" width="7.75" style="287" customWidth="1"/>
    <col min="21" max="21" width="2" style="286" hidden="1" customWidth="1"/>
    <col min="22" max="22" width="2" style="287" customWidth="1"/>
    <col min="23" max="23" width="20.125" style="287" customWidth="1"/>
    <col min="24" max="256" width="9" style="287"/>
    <col min="257" max="257" width="3.625" style="287" customWidth="1"/>
    <col min="258" max="258" width="22.875" style="287" customWidth="1"/>
    <col min="259" max="259" width="9.75" style="287" customWidth="1"/>
    <col min="260" max="260" width="4.125" style="287" customWidth="1"/>
    <col min="261" max="261" width="11" style="287" customWidth="1"/>
    <col min="262" max="262" width="11.625" style="287" customWidth="1"/>
    <col min="263" max="263" width="5.625" style="287" customWidth="1"/>
    <col min="264" max="264" width="5.5" style="287" customWidth="1"/>
    <col min="265" max="265" width="9.125" style="287" customWidth="1"/>
    <col min="266" max="266" width="7.5" style="287" customWidth="1"/>
    <col min="267" max="267" width="9.625" style="287" customWidth="1"/>
    <col min="268" max="268" width="6.75" style="287" customWidth="1"/>
    <col min="269" max="269" width="5.375" style="287" customWidth="1"/>
    <col min="270" max="270" width="4.75" style="287" customWidth="1"/>
    <col min="271" max="273" width="6.125" style="287" customWidth="1"/>
    <col min="274" max="274" width="6.625" style="287" customWidth="1"/>
    <col min="275" max="275" width="7.625" style="287" customWidth="1"/>
    <col min="276" max="276" width="5" style="287" customWidth="1"/>
    <col min="277" max="277" width="0" style="287" hidden="1" customWidth="1"/>
    <col min="278" max="512" width="9" style="287"/>
    <col min="513" max="513" width="3.625" style="287" customWidth="1"/>
    <col min="514" max="514" width="22.875" style="287" customWidth="1"/>
    <col min="515" max="515" width="9.75" style="287" customWidth="1"/>
    <col min="516" max="516" width="4.125" style="287" customWidth="1"/>
    <col min="517" max="517" width="11" style="287" customWidth="1"/>
    <col min="518" max="518" width="11.625" style="287" customWidth="1"/>
    <col min="519" max="519" width="5.625" style="287" customWidth="1"/>
    <col min="520" max="520" width="5.5" style="287" customWidth="1"/>
    <col min="521" max="521" width="9.125" style="287" customWidth="1"/>
    <col min="522" max="522" width="7.5" style="287" customWidth="1"/>
    <col min="523" max="523" width="9.625" style="287" customWidth="1"/>
    <col min="524" max="524" width="6.75" style="287" customWidth="1"/>
    <col min="525" max="525" width="5.375" style="287" customWidth="1"/>
    <col min="526" max="526" width="4.75" style="287" customWidth="1"/>
    <col min="527" max="529" width="6.125" style="287" customWidth="1"/>
    <col min="530" max="530" width="6.625" style="287" customWidth="1"/>
    <col min="531" max="531" width="7.625" style="287" customWidth="1"/>
    <col min="532" max="532" width="5" style="287" customWidth="1"/>
    <col min="533" max="533" width="0" style="287" hidden="1" customWidth="1"/>
    <col min="534" max="768" width="9" style="287"/>
    <col min="769" max="769" width="3.625" style="287" customWidth="1"/>
    <col min="770" max="770" width="22.875" style="287" customWidth="1"/>
    <col min="771" max="771" width="9.75" style="287" customWidth="1"/>
    <col min="772" max="772" width="4.125" style="287" customWidth="1"/>
    <col min="773" max="773" width="11" style="287" customWidth="1"/>
    <col min="774" max="774" width="11.625" style="287" customWidth="1"/>
    <col min="775" max="775" width="5.625" style="287" customWidth="1"/>
    <col min="776" max="776" width="5.5" style="287" customWidth="1"/>
    <col min="777" max="777" width="9.125" style="287" customWidth="1"/>
    <col min="778" max="778" width="7.5" style="287" customWidth="1"/>
    <col min="779" max="779" width="9.625" style="287" customWidth="1"/>
    <col min="780" max="780" width="6.75" style="287" customWidth="1"/>
    <col min="781" max="781" width="5.375" style="287" customWidth="1"/>
    <col min="782" max="782" width="4.75" style="287" customWidth="1"/>
    <col min="783" max="785" width="6.125" style="287" customWidth="1"/>
    <col min="786" max="786" width="6.625" style="287" customWidth="1"/>
    <col min="787" max="787" width="7.625" style="287" customWidth="1"/>
    <col min="788" max="788" width="5" style="287" customWidth="1"/>
    <col min="789" max="789" width="0" style="287" hidden="1" customWidth="1"/>
    <col min="790" max="1024" width="9" style="287"/>
    <col min="1025" max="1025" width="3.625" style="287" customWidth="1"/>
    <col min="1026" max="1026" width="22.875" style="287" customWidth="1"/>
    <col min="1027" max="1027" width="9.75" style="287" customWidth="1"/>
    <col min="1028" max="1028" width="4.125" style="287" customWidth="1"/>
    <col min="1029" max="1029" width="11" style="287" customWidth="1"/>
    <col min="1030" max="1030" width="11.625" style="287" customWidth="1"/>
    <col min="1031" max="1031" width="5.625" style="287" customWidth="1"/>
    <col min="1032" max="1032" width="5.5" style="287" customWidth="1"/>
    <col min="1033" max="1033" width="9.125" style="287" customWidth="1"/>
    <col min="1034" max="1034" width="7.5" style="287" customWidth="1"/>
    <col min="1035" max="1035" width="9.625" style="287" customWidth="1"/>
    <col min="1036" max="1036" width="6.75" style="287" customWidth="1"/>
    <col min="1037" max="1037" width="5.375" style="287" customWidth="1"/>
    <col min="1038" max="1038" width="4.75" style="287" customWidth="1"/>
    <col min="1039" max="1041" width="6.125" style="287" customWidth="1"/>
    <col min="1042" max="1042" width="6.625" style="287" customWidth="1"/>
    <col min="1043" max="1043" width="7.625" style="287" customWidth="1"/>
    <col min="1044" max="1044" width="5" style="287" customWidth="1"/>
    <col min="1045" max="1045" width="0" style="287" hidden="1" customWidth="1"/>
    <col min="1046" max="1280" width="9" style="287"/>
    <col min="1281" max="1281" width="3.625" style="287" customWidth="1"/>
    <col min="1282" max="1282" width="22.875" style="287" customWidth="1"/>
    <col min="1283" max="1283" width="9.75" style="287" customWidth="1"/>
    <col min="1284" max="1284" width="4.125" style="287" customWidth="1"/>
    <col min="1285" max="1285" width="11" style="287" customWidth="1"/>
    <col min="1286" max="1286" width="11.625" style="287" customWidth="1"/>
    <col min="1287" max="1287" width="5.625" style="287" customWidth="1"/>
    <col min="1288" max="1288" width="5.5" style="287" customWidth="1"/>
    <col min="1289" max="1289" width="9.125" style="287" customWidth="1"/>
    <col min="1290" max="1290" width="7.5" style="287" customWidth="1"/>
    <col min="1291" max="1291" width="9.625" style="287" customWidth="1"/>
    <col min="1292" max="1292" width="6.75" style="287" customWidth="1"/>
    <col min="1293" max="1293" width="5.375" style="287" customWidth="1"/>
    <col min="1294" max="1294" width="4.75" style="287" customWidth="1"/>
    <col min="1295" max="1297" width="6.125" style="287" customWidth="1"/>
    <col min="1298" max="1298" width="6.625" style="287" customWidth="1"/>
    <col min="1299" max="1299" width="7.625" style="287" customWidth="1"/>
    <col min="1300" max="1300" width="5" style="287" customWidth="1"/>
    <col min="1301" max="1301" width="0" style="287" hidden="1" customWidth="1"/>
    <col min="1302" max="1536" width="9" style="287"/>
    <col min="1537" max="1537" width="3.625" style="287" customWidth="1"/>
    <col min="1538" max="1538" width="22.875" style="287" customWidth="1"/>
    <col min="1539" max="1539" width="9.75" style="287" customWidth="1"/>
    <col min="1540" max="1540" width="4.125" style="287" customWidth="1"/>
    <col min="1541" max="1541" width="11" style="287" customWidth="1"/>
    <col min="1542" max="1542" width="11.625" style="287" customWidth="1"/>
    <col min="1543" max="1543" width="5.625" style="287" customWidth="1"/>
    <col min="1544" max="1544" width="5.5" style="287" customWidth="1"/>
    <col min="1545" max="1545" width="9.125" style="287" customWidth="1"/>
    <col min="1546" max="1546" width="7.5" style="287" customWidth="1"/>
    <col min="1547" max="1547" width="9.625" style="287" customWidth="1"/>
    <col min="1548" max="1548" width="6.75" style="287" customWidth="1"/>
    <col min="1549" max="1549" width="5.375" style="287" customWidth="1"/>
    <col min="1550" max="1550" width="4.75" style="287" customWidth="1"/>
    <col min="1551" max="1553" width="6.125" style="287" customWidth="1"/>
    <col min="1554" max="1554" width="6.625" style="287" customWidth="1"/>
    <col min="1555" max="1555" width="7.625" style="287" customWidth="1"/>
    <col min="1556" max="1556" width="5" style="287" customWidth="1"/>
    <col min="1557" max="1557" width="0" style="287" hidden="1" customWidth="1"/>
    <col min="1558" max="1792" width="9" style="287"/>
    <col min="1793" max="1793" width="3.625" style="287" customWidth="1"/>
    <col min="1794" max="1794" width="22.875" style="287" customWidth="1"/>
    <col min="1795" max="1795" width="9.75" style="287" customWidth="1"/>
    <col min="1796" max="1796" width="4.125" style="287" customWidth="1"/>
    <col min="1797" max="1797" width="11" style="287" customWidth="1"/>
    <col min="1798" max="1798" width="11.625" style="287" customWidth="1"/>
    <col min="1799" max="1799" width="5.625" style="287" customWidth="1"/>
    <col min="1800" max="1800" width="5.5" style="287" customWidth="1"/>
    <col min="1801" max="1801" width="9.125" style="287" customWidth="1"/>
    <col min="1802" max="1802" width="7.5" style="287" customWidth="1"/>
    <col min="1803" max="1803" width="9.625" style="287" customWidth="1"/>
    <col min="1804" max="1804" width="6.75" style="287" customWidth="1"/>
    <col min="1805" max="1805" width="5.375" style="287" customWidth="1"/>
    <col min="1806" max="1806" width="4.75" style="287" customWidth="1"/>
    <col min="1807" max="1809" width="6.125" style="287" customWidth="1"/>
    <col min="1810" max="1810" width="6.625" style="287" customWidth="1"/>
    <col min="1811" max="1811" width="7.625" style="287" customWidth="1"/>
    <col min="1812" max="1812" width="5" style="287" customWidth="1"/>
    <col min="1813" max="1813" width="0" style="287" hidden="1" customWidth="1"/>
    <col min="1814" max="2048" width="9" style="287"/>
    <col min="2049" max="2049" width="3.625" style="287" customWidth="1"/>
    <col min="2050" max="2050" width="22.875" style="287" customWidth="1"/>
    <col min="2051" max="2051" width="9.75" style="287" customWidth="1"/>
    <col min="2052" max="2052" width="4.125" style="287" customWidth="1"/>
    <col min="2053" max="2053" width="11" style="287" customWidth="1"/>
    <col min="2054" max="2054" width="11.625" style="287" customWidth="1"/>
    <col min="2055" max="2055" width="5.625" style="287" customWidth="1"/>
    <col min="2056" max="2056" width="5.5" style="287" customWidth="1"/>
    <col min="2057" max="2057" width="9.125" style="287" customWidth="1"/>
    <col min="2058" max="2058" width="7.5" style="287" customWidth="1"/>
    <col min="2059" max="2059" width="9.625" style="287" customWidth="1"/>
    <col min="2060" max="2060" width="6.75" style="287" customWidth="1"/>
    <col min="2061" max="2061" width="5.375" style="287" customWidth="1"/>
    <col min="2062" max="2062" width="4.75" style="287" customWidth="1"/>
    <col min="2063" max="2065" width="6.125" style="287" customWidth="1"/>
    <col min="2066" max="2066" width="6.625" style="287" customWidth="1"/>
    <col min="2067" max="2067" width="7.625" style="287" customWidth="1"/>
    <col min="2068" max="2068" width="5" style="287" customWidth="1"/>
    <col min="2069" max="2069" width="0" style="287" hidden="1" customWidth="1"/>
    <col min="2070" max="2304" width="9" style="287"/>
    <col min="2305" max="2305" width="3.625" style="287" customWidth="1"/>
    <col min="2306" max="2306" width="22.875" style="287" customWidth="1"/>
    <col min="2307" max="2307" width="9.75" style="287" customWidth="1"/>
    <col min="2308" max="2308" width="4.125" style="287" customWidth="1"/>
    <col min="2309" max="2309" width="11" style="287" customWidth="1"/>
    <col min="2310" max="2310" width="11.625" style="287" customWidth="1"/>
    <col min="2311" max="2311" width="5.625" style="287" customWidth="1"/>
    <col min="2312" max="2312" width="5.5" style="287" customWidth="1"/>
    <col min="2313" max="2313" width="9.125" style="287" customWidth="1"/>
    <col min="2314" max="2314" width="7.5" style="287" customWidth="1"/>
    <col min="2315" max="2315" width="9.625" style="287" customWidth="1"/>
    <col min="2316" max="2316" width="6.75" style="287" customWidth="1"/>
    <col min="2317" max="2317" width="5.375" style="287" customWidth="1"/>
    <col min="2318" max="2318" width="4.75" style="287" customWidth="1"/>
    <col min="2319" max="2321" width="6.125" style="287" customWidth="1"/>
    <col min="2322" max="2322" width="6.625" style="287" customWidth="1"/>
    <col min="2323" max="2323" width="7.625" style="287" customWidth="1"/>
    <col min="2324" max="2324" width="5" style="287" customWidth="1"/>
    <col min="2325" max="2325" width="0" style="287" hidden="1" customWidth="1"/>
    <col min="2326" max="2560" width="9" style="287"/>
    <col min="2561" max="2561" width="3.625" style="287" customWidth="1"/>
    <col min="2562" max="2562" width="22.875" style="287" customWidth="1"/>
    <col min="2563" max="2563" width="9.75" style="287" customWidth="1"/>
    <col min="2564" max="2564" width="4.125" style="287" customWidth="1"/>
    <col min="2565" max="2565" width="11" style="287" customWidth="1"/>
    <col min="2566" max="2566" width="11.625" style="287" customWidth="1"/>
    <col min="2567" max="2567" width="5.625" style="287" customWidth="1"/>
    <col min="2568" max="2568" width="5.5" style="287" customWidth="1"/>
    <col min="2569" max="2569" width="9.125" style="287" customWidth="1"/>
    <col min="2570" max="2570" width="7.5" style="287" customWidth="1"/>
    <col min="2571" max="2571" width="9.625" style="287" customWidth="1"/>
    <col min="2572" max="2572" width="6.75" style="287" customWidth="1"/>
    <col min="2573" max="2573" width="5.375" style="287" customWidth="1"/>
    <col min="2574" max="2574" width="4.75" style="287" customWidth="1"/>
    <col min="2575" max="2577" width="6.125" style="287" customWidth="1"/>
    <col min="2578" max="2578" width="6.625" style="287" customWidth="1"/>
    <col min="2579" max="2579" width="7.625" style="287" customWidth="1"/>
    <col min="2580" max="2580" width="5" style="287" customWidth="1"/>
    <col min="2581" max="2581" width="0" style="287" hidden="1" customWidth="1"/>
    <col min="2582" max="2816" width="9" style="287"/>
    <col min="2817" max="2817" width="3.625" style="287" customWidth="1"/>
    <col min="2818" max="2818" width="22.875" style="287" customWidth="1"/>
    <col min="2819" max="2819" width="9.75" style="287" customWidth="1"/>
    <col min="2820" max="2820" width="4.125" style="287" customWidth="1"/>
    <col min="2821" max="2821" width="11" style="287" customWidth="1"/>
    <col min="2822" max="2822" width="11.625" style="287" customWidth="1"/>
    <col min="2823" max="2823" width="5.625" style="287" customWidth="1"/>
    <col min="2824" max="2824" width="5.5" style="287" customWidth="1"/>
    <col min="2825" max="2825" width="9.125" style="287" customWidth="1"/>
    <col min="2826" max="2826" width="7.5" style="287" customWidth="1"/>
    <col min="2827" max="2827" width="9.625" style="287" customWidth="1"/>
    <col min="2828" max="2828" width="6.75" style="287" customWidth="1"/>
    <col min="2829" max="2829" width="5.375" style="287" customWidth="1"/>
    <col min="2830" max="2830" width="4.75" style="287" customWidth="1"/>
    <col min="2831" max="2833" width="6.125" style="287" customWidth="1"/>
    <col min="2834" max="2834" width="6.625" style="287" customWidth="1"/>
    <col min="2835" max="2835" width="7.625" style="287" customWidth="1"/>
    <col min="2836" max="2836" width="5" style="287" customWidth="1"/>
    <col min="2837" max="2837" width="0" style="287" hidden="1" customWidth="1"/>
    <col min="2838" max="3072" width="9" style="287"/>
    <col min="3073" max="3073" width="3.625" style="287" customWidth="1"/>
    <col min="3074" max="3074" width="22.875" style="287" customWidth="1"/>
    <col min="3075" max="3075" width="9.75" style="287" customWidth="1"/>
    <col min="3076" max="3076" width="4.125" style="287" customWidth="1"/>
    <col min="3077" max="3077" width="11" style="287" customWidth="1"/>
    <col min="3078" max="3078" width="11.625" style="287" customWidth="1"/>
    <col min="3079" max="3079" width="5.625" style="287" customWidth="1"/>
    <col min="3080" max="3080" width="5.5" style="287" customWidth="1"/>
    <col min="3081" max="3081" width="9.125" style="287" customWidth="1"/>
    <col min="3082" max="3082" width="7.5" style="287" customWidth="1"/>
    <col min="3083" max="3083" width="9.625" style="287" customWidth="1"/>
    <col min="3084" max="3084" width="6.75" style="287" customWidth="1"/>
    <col min="3085" max="3085" width="5.375" style="287" customWidth="1"/>
    <col min="3086" max="3086" width="4.75" style="287" customWidth="1"/>
    <col min="3087" max="3089" width="6.125" style="287" customWidth="1"/>
    <col min="3090" max="3090" width="6.625" style="287" customWidth="1"/>
    <col min="3091" max="3091" width="7.625" style="287" customWidth="1"/>
    <col min="3092" max="3092" width="5" style="287" customWidth="1"/>
    <col min="3093" max="3093" width="0" style="287" hidden="1" customWidth="1"/>
    <col min="3094" max="3328" width="9" style="287"/>
    <col min="3329" max="3329" width="3.625" style="287" customWidth="1"/>
    <col min="3330" max="3330" width="22.875" style="287" customWidth="1"/>
    <col min="3331" max="3331" width="9.75" style="287" customWidth="1"/>
    <col min="3332" max="3332" width="4.125" style="287" customWidth="1"/>
    <col min="3333" max="3333" width="11" style="287" customWidth="1"/>
    <col min="3334" max="3334" width="11.625" style="287" customWidth="1"/>
    <col min="3335" max="3335" width="5.625" style="287" customWidth="1"/>
    <col min="3336" max="3336" width="5.5" style="287" customWidth="1"/>
    <col min="3337" max="3337" width="9.125" style="287" customWidth="1"/>
    <col min="3338" max="3338" width="7.5" style="287" customWidth="1"/>
    <col min="3339" max="3339" width="9.625" style="287" customWidth="1"/>
    <col min="3340" max="3340" width="6.75" style="287" customWidth="1"/>
    <col min="3341" max="3341" width="5.375" style="287" customWidth="1"/>
    <col min="3342" max="3342" width="4.75" style="287" customWidth="1"/>
    <col min="3343" max="3345" width="6.125" style="287" customWidth="1"/>
    <col min="3346" max="3346" width="6.625" style="287" customWidth="1"/>
    <col min="3347" max="3347" width="7.625" style="287" customWidth="1"/>
    <col min="3348" max="3348" width="5" style="287" customWidth="1"/>
    <col min="3349" max="3349" width="0" style="287" hidden="1" customWidth="1"/>
    <col min="3350" max="3584" width="9" style="287"/>
    <col min="3585" max="3585" width="3.625" style="287" customWidth="1"/>
    <col min="3586" max="3586" width="22.875" style="287" customWidth="1"/>
    <col min="3587" max="3587" width="9.75" style="287" customWidth="1"/>
    <col min="3588" max="3588" width="4.125" style="287" customWidth="1"/>
    <col min="3589" max="3589" width="11" style="287" customWidth="1"/>
    <col min="3590" max="3590" width="11.625" style="287" customWidth="1"/>
    <col min="3591" max="3591" width="5.625" style="287" customWidth="1"/>
    <col min="3592" max="3592" width="5.5" style="287" customWidth="1"/>
    <col min="3593" max="3593" width="9.125" style="287" customWidth="1"/>
    <col min="3594" max="3594" width="7.5" style="287" customWidth="1"/>
    <col min="3595" max="3595" width="9.625" style="287" customWidth="1"/>
    <col min="3596" max="3596" width="6.75" style="287" customWidth="1"/>
    <col min="3597" max="3597" width="5.375" style="287" customWidth="1"/>
    <col min="3598" max="3598" width="4.75" style="287" customWidth="1"/>
    <col min="3599" max="3601" width="6.125" style="287" customWidth="1"/>
    <col min="3602" max="3602" width="6.625" style="287" customWidth="1"/>
    <col min="3603" max="3603" width="7.625" style="287" customWidth="1"/>
    <col min="3604" max="3604" width="5" style="287" customWidth="1"/>
    <col min="3605" max="3605" width="0" style="287" hidden="1" customWidth="1"/>
    <col min="3606" max="3840" width="9" style="287"/>
    <col min="3841" max="3841" width="3.625" style="287" customWidth="1"/>
    <col min="3842" max="3842" width="22.875" style="287" customWidth="1"/>
    <col min="3843" max="3843" width="9.75" style="287" customWidth="1"/>
    <col min="3844" max="3844" width="4.125" style="287" customWidth="1"/>
    <col min="3845" max="3845" width="11" style="287" customWidth="1"/>
    <col min="3846" max="3846" width="11.625" style="287" customWidth="1"/>
    <col min="3847" max="3847" width="5.625" style="287" customWidth="1"/>
    <col min="3848" max="3848" width="5.5" style="287" customWidth="1"/>
    <col min="3849" max="3849" width="9.125" style="287" customWidth="1"/>
    <col min="3850" max="3850" width="7.5" style="287" customWidth="1"/>
    <col min="3851" max="3851" width="9.625" style="287" customWidth="1"/>
    <col min="3852" max="3852" width="6.75" style="287" customWidth="1"/>
    <col min="3853" max="3853" width="5.375" style="287" customWidth="1"/>
    <col min="3854" max="3854" width="4.75" style="287" customWidth="1"/>
    <col min="3855" max="3857" width="6.125" style="287" customWidth="1"/>
    <col min="3858" max="3858" width="6.625" style="287" customWidth="1"/>
    <col min="3859" max="3859" width="7.625" style="287" customWidth="1"/>
    <col min="3860" max="3860" width="5" style="287" customWidth="1"/>
    <col min="3861" max="3861" width="0" style="287" hidden="1" customWidth="1"/>
    <col min="3862" max="4096" width="9" style="287"/>
    <col min="4097" max="4097" width="3.625" style="287" customWidth="1"/>
    <col min="4098" max="4098" width="22.875" style="287" customWidth="1"/>
    <col min="4099" max="4099" width="9.75" style="287" customWidth="1"/>
    <col min="4100" max="4100" width="4.125" style="287" customWidth="1"/>
    <col min="4101" max="4101" width="11" style="287" customWidth="1"/>
    <col min="4102" max="4102" width="11.625" style="287" customWidth="1"/>
    <col min="4103" max="4103" width="5.625" style="287" customWidth="1"/>
    <col min="4104" max="4104" width="5.5" style="287" customWidth="1"/>
    <col min="4105" max="4105" width="9.125" style="287" customWidth="1"/>
    <col min="4106" max="4106" width="7.5" style="287" customWidth="1"/>
    <col min="4107" max="4107" width="9.625" style="287" customWidth="1"/>
    <col min="4108" max="4108" width="6.75" style="287" customWidth="1"/>
    <col min="4109" max="4109" width="5.375" style="287" customWidth="1"/>
    <col min="4110" max="4110" width="4.75" style="287" customWidth="1"/>
    <col min="4111" max="4113" width="6.125" style="287" customWidth="1"/>
    <col min="4114" max="4114" width="6.625" style="287" customWidth="1"/>
    <col min="4115" max="4115" width="7.625" style="287" customWidth="1"/>
    <col min="4116" max="4116" width="5" style="287" customWidth="1"/>
    <col min="4117" max="4117" width="0" style="287" hidden="1" customWidth="1"/>
    <col min="4118" max="4352" width="9" style="287"/>
    <col min="4353" max="4353" width="3.625" style="287" customWidth="1"/>
    <col min="4354" max="4354" width="22.875" style="287" customWidth="1"/>
    <col min="4355" max="4355" width="9.75" style="287" customWidth="1"/>
    <col min="4356" max="4356" width="4.125" style="287" customWidth="1"/>
    <col min="4357" max="4357" width="11" style="287" customWidth="1"/>
    <col min="4358" max="4358" width="11.625" style="287" customWidth="1"/>
    <col min="4359" max="4359" width="5.625" style="287" customWidth="1"/>
    <col min="4360" max="4360" width="5.5" style="287" customWidth="1"/>
    <col min="4361" max="4361" width="9.125" style="287" customWidth="1"/>
    <col min="4362" max="4362" width="7.5" style="287" customWidth="1"/>
    <col min="4363" max="4363" width="9.625" style="287" customWidth="1"/>
    <col min="4364" max="4364" width="6.75" style="287" customWidth="1"/>
    <col min="4365" max="4365" width="5.375" style="287" customWidth="1"/>
    <col min="4366" max="4366" width="4.75" style="287" customWidth="1"/>
    <col min="4367" max="4369" width="6.125" style="287" customWidth="1"/>
    <col min="4370" max="4370" width="6.625" style="287" customWidth="1"/>
    <col min="4371" max="4371" width="7.625" style="287" customWidth="1"/>
    <col min="4372" max="4372" width="5" style="287" customWidth="1"/>
    <col min="4373" max="4373" width="0" style="287" hidden="1" customWidth="1"/>
    <col min="4374" max="4608" width="9" style="287"/>
    <col min="4609" max="4609" width="3.625" style="287" customWidth="1"/>
    <col min="4610" max="4610" width="22.875" style="287" customWidth="1"/>
    <col min="4611" max="4611" width="9.75" style="287" customWidth="1"/>
    <col min="4612" max="4612" width="4.125" style="287" customWidth="1"/>
    <col min="4613" max="4613" width="11" style="287" customWidth="1"/>
    <col min="4614" max="4614" width="11.625" style="287" customWidth="1"/>
    <col min="4615" max="4615" width="5.625" style="287" customWidth="1"/>
    <col min="4616" max="4616" width="5.5" style="287" customWidth="1"/>
    <col min="4617" max="4617" width="9.125" style="287" customWidth="1"/>
    <col min="4618" max="4618" width="7.5" style="287" customWidth="1"/>
    <col min="4619" max="4619" width="9.625" style="287" customWidth="1"/>
    <col min="4620" max="4620" width="6.75" style="287" customWidth="1"/>
    <col min="4621" max="4621" width="5.375" style="287" customWidth="1"/>
    <col min="4622" max="4622" width="4.75" style="287" customWidth="1"/>
    <col min="4623" max="4625" width="6.125" style="287" customWidth="1"/>
    <col min="4626" max="4626" width="6.625" style="287" customWidth="1"/>
    <col min="4627" max="4627" width="7.625" style="287" customWidth="1"/>
    <col min="4628" max="4628" width="5" style="287" customWidth="1"/>
    <col min="4629" max="4629" width="0" style="287" hidden="1" customWidth="1"/>
    <col min="4630" max="4864" width="9" style="287"/>
    <col min="4865" max="4865" width="3.625" style="287" customWidth="1"/>
    <col min="4866" max="4866" width="22.875" style="287" customWidth="1"/>
    <col min="4867" max="4867" width="9.75" style="287" customWidth="1"/>
    <col min="4868" max="4868" width="4.125" style="287" customWidth="1"/>
    <col min="4869" max="4869" width="11" style="287" customWidth="1"/>
    <col min="4870" max="4870" width="11.625" style="287" customWidth="1"/>
    <col min="4871" max="4871" width="5.625" style="287" customWidth="1"/>
    <col min="4872" max="4872" width="5.5" style="287" customWidth="1"/>
    <col min="4873" max="4873" width="9.125" style="287" customWidth="1"/>
    <col min="4874" max="4874" width="7.5" style="287" customWidth="1"/>
    <col min="4875" max="4875" width="9.625" style="287" customWidth="1"/>
    <col min="4876" max="4876" width="6.75" style="287" customWidth="1"/>
    <col min="4877" max="4877" width="5.375" style="287" customWidth="1"/>
    <col min="4878" max="4878" width="4.75" style="287" customWidth="1"/>
    <col min="4879" max="4881" width="6.125" style="287" customWidth="1"/>
    <col min="4882" max="4882" width="6.625" style="287" customWidth="1"/>
    <col min="4883" max="4883" width="7.625" style="287" customWidth="1"/>
    <col min="4884" max="4884" width="5" style="287" customWidth="1"/>
    <col min="4885" max="4885" width="0" style="287" hidden="1" customWidth="1"/>
    <col min="4886" max="5120" width="9" style="287"/>
    <col min="5121" max="5121" width="3.625" style="287" customWidth="1"/>
    <col min="5122" max="5122" width="22.875" style="287" customWidth="1"/>
    <col min="5123" max="5123" width="9.75" style="287" customWidth="1"/>
    <col min="5124" max="5124" width="4.125" style="287" customWidth="1"/>
    <col min="5125" max="5125" width="11" style="287" customWidth="1"/>
    <col min="5126" max="5126" width="11.625" style="287" customWidth="1"/>
    <col min="5127" max="5127" width="5.625" style="287" customWidth="1"/>
    <col min="5128" max="5128" width="5.5" style="287" customWidth="1"/>
    <col min="5129" max="5129" width="9.125" style="287" customWidth="1"/>
    <col min="5130" max="5130" width="7.5" style="287" customWidth="1"/>
    <col min="5131" max="5131" width="9.625" style="287" customWidth="1"/>
    <col min="5132" max="5132" width="6.75" style="287" customWidth="1"/>
    <col min="5133" max="5133" width="5.375" style="287" customWidth="1"/>
    <col min="5134" max="5134" width="4.75" style="287" customWidth="1"/>
    <col min="5135" max="5137" width="6.125" style="287" customWidth="1"/>
    <col min="5138" max="5138" width="6.625" style="287" customWidth="1"/>
    <col min="5139" max="5139" width="7.625" style="287" customWidth="1"/>
    <col min="5140" max="5140" width="5" style="287" customWidth="1"/>
    <col min="5141" max="5141" width="0" style="287" hidden="1" customWidth="1"/>
    <col min="5142" max="5376" width="9" style="287"/>
    <col min="5377" max="5377" width="3.625" style="287" customWidth="1"/>
    <col min="5378" max="5378" width="22.875" style="287" customWidth="1"/>
    <col min="5379" max="5379" width="9.75" style="287" customWidth="1"/>
    <col min="5380" max="5380" width="4.125" style="287" customWidth="1"/>
    <col min="5381" max="5381" width="11" style="287" customWidth="1"/>
    <col min="5382" max="5382" width="11.625" style="287" customWidth="1"/>
    <col min="5383" max="5383" width="5.625" style="287" customWidth="1"/>
    <col min="5384" max="5384" width="5.5" style="287" customWidth="1"/>
    <col min="5385" max="5385" width="9.125" style="287" customWidth="1"/>
    <col min="5386" max="5386" width="7.5" style="287" customWidth="1"/>
    <col min="5387" max="5387" width="9.625" style="287" customWidth="1"/>
    <col min="5388" max="5388" width="6.75" style="287" customWidth="1"/>
    <col min="5389" max="5389" width="5.375" style="287" customWidth="1"/>
    <col min="5390" max="5390" width="4.75" style="287" customWidth="1"/>
    <col min="5391" max="5393" width="6.125" style="287" customWidth="1"/>
    <col min="5394" max="5394" width="6.625" style="287" customWidth="1"/>
    <col min="5395" max="5395" width="7.625" style="287" customWidth="1"/>
    <col min="5396" max="5396" width="5" style="287" customWidth="1"/>
    <col min="5397" max="5397" width="0" style="287" hidden="1" customWidth="1"/>
    <col min="5398" max="5632" width="9" style="287"/>
    <col min="5633" max="5633" width="3.625" style="287" customWidth="1"/>
    <col min="5634" max="5634" width="22.875" style="287" customWidth="1"/>
    <col min="5635" max="5635" width="9.75" style="287" customWidth="1"/>
    <col min="5636" max="5636" width="4.125" style="287" customWidth="1"/>
    <col min="5637" max="5637" width="11" style="287" customWidth="1"/>
    <col min="5638" max="5638" width="11.625" style="287" customWidth="1"/>
    <col min="5639" max="5639" width="5.625" style="287" customWidth="1"/>
    <col min="5640" max="5640" width="5.5" style="287" customWidth="1"/>
    <col min="5641" max="5641" width="9.125" style="287" customWidth="1"/>
    <col min="5642" max="5642" width="7.5" style="287" customWidth="1"/>
    <col min="5643" max="5643" width="9.625" style="287" customWidth="1"/>
    <col min="5644" max="5644" width="6.75" style="287" customWidth="1"/>
    <col min="5645" max="5645" width="5.375" style="287" customWidth="1"/>
    <col min="5646" max="5646" width="4.75" style="287" customWidth="1"/>
    <col min="5647" max="5649" width="6.125" style="287" customWidth="1"/>
    <col min="5650" max="5650" width="6.625" style="287" customWidth="1"/>
    <col min="5651" max="5651" width="7.625" style="287" customWidth="1"/>
    <col min="5652" max="5652" width="5" style="287" customWidth="1"/>
    <col min="5653" max="5653" width="0" style="287" hidden="1" customWidth="1"/>
    <col min="5654" max="5888" width="9" style="287"/>
    <col min="5889" max="5889" width="3.625" style="287" customWidth="1"/>
    <col min="5890" max="5890" width="22.875" style="287" customWidth="1"/>
    <col min="5891" max="5891" width="9.75" style="287" customWidth="1"/>
    <col min="5892" max="5892" width="4.125" style="287" customWidth="1"/>
    <col min="5893" max="5893" width="11" style="287" customWidth="1"/>
    <col min="5894" max="5894" width="11.625" style="287" customWidth="1"/>
    <col min="5895" max="5895" width="5.625" style="287" customWidth="1"/>
    <col min="5896" max="5896" width="5.5" style="287" customWidth="1"/>
    <col min="5897" max="5897" width="9.125" style="287" customWidth="1"/>
    <col min="5898" max="5898" width="7.5" style="287" customWidth="1"/>
    <col min="5899" max="5899" width="9.625" style="287" customWidth="1"/>
    <col min="5900" max="5900" width="6.75" style="287" customWidth="1"/>
    <col min="5901" max="5901" width="5.375" style="287" customWidth="1"/>
    <col min="5902" max="5902" width="4.75" style="287" customWidth="1"/>
    <col min="5903" max="5905" width="6.125" style="287" customWidth="1"/>
    <col min="5906" max="5906" width="6.625" style="287" customWidth="1"/>
    <col min="5907" max="5907" width="7.625" style="287" customWidth="1"/>
    <col min="5908" max="5908" width="5" style="287" customWidth="1"/>
    <col min="5909" max="5909" width="0" style="287" hidden="1" customWidth="1"/>
    <col min="5910" max="6144" width="9" style="287"/>
    <col min="6145" max="6145" width="3.625" style="287" customWidth="1"/>
    <col min="6146" max="6146" width="22.875" style="287" customWidth="1"/>
    <col min="6147" max="6147" width="9.75" style="287" customWidth="1"/>
    <col min="6148" max="6148" width="4.125" style="287" customWidth="1"/>
    <col min="6149" max="6149" width="11" style="287" customWidth="1"/>
    <col min="6150" max="6150" width="11.625" style="287" customWidth="1"/>
    <col min="6151" max="6151" width="5.625" style="287" customWidth="1"/>
    <col min="6152" max="6152" width="5.5" style="287" customWidth="1"/>
    <col min="6153" max="6153" width="9.125" style="287" customWidth="1"/>
    <col min="6154" max="6154" width="7.5" style="287" customWidth="1"/>
    <col min="6155" max="6155" width="9.625" style="287" customWidth="1"/>
    <col min="6156" max="6156" width="6.75" style="287" customWidth="1"/>
    <col min="6157" max="6157" width="5.375" style="287" customWidth="1"/>
    <col min="6158" max="6158" width="4.75" style="287" customWidth="1"/>
    <col min="6159" max="6161" width="6.125" style="287" customWidth="1"/>
    <col min="6162" max="6162" width="6.625" style="287" customWidth="1"/>
    <col min="6163" max="6163" width="7.625" style="287" customWidth="1"/>
    <col min="6164" max="6164" width="5" style="287" customWidth="1"/>
    <col min="6165" max="6165" width="0" style="287" hidden="1" customWidth="1"/>
    <col min="6166" max="6400" width="9" style="287"/>
    <col min="6401" max="6401" width="3.625" style="287" customWidth="1"/>
    <col min="6402" max="6402" width="22.875" style="287" customWidth="1"/>
    <col min="6403" max="6403" width="9.75" style="287" customWidth="1"/>
    <col min="6404" max="6404" width="4.125" style="287" customWidth="1"/>
    <col min="6405" max="6405" width="11" style="287" customWidth="1"/>
    <col min="6406" max="6406" width="11.625" style="287" customWidth="1"/>
    <col min="6407" max="6407" width="5.625" style="287" customWidth="1"/>
    <col min="6408" max="6408" width="5.5" style="287" customWidth="1"/>
    <col min="6409" max="6409" width="9.125" style="287" customWidth="1"/>
    <col min="6410" max="6410" width="7.5" style="287" customWidth="1"/>
    <col min="6411" max="6411" width="9.625" style="287" customWidth="1"/>
    <col min="6412" max="6412" width="6.75" style="287" customWidth="1"/>
    <col min="6413" max="6413" width="5.375" style="287" customWidth="1"/>
    <col min="6414" max="6414" width="4.75" style="287" customWidth="1"/>
    <col min="6415" max="6417" width="6.125" style="287" customWidth="1"/>
    <col min="6418" max="6418" width="6.625" style="287" customWidth="1"/>
    <col min="6419" max="6419" width="7.625" style="287" customWidth="1"/>
    <col min="6420" max="6420" width="5" style="287" customWidth="1"/>
    <col min="6421" max="6421" width="0" style="287" hidden="1" customWidth="1"/>
    <col min="6422" max="6656" width="9" style="287"/>
    <col min="6657" max="6657" width="3.625" style="287" customWidth="1"/>
    <col min="6658" max="6658" width="22.875" style="287" customWidth="1"/>
    <col min="6659" max="6659" width="9.75" style="287" customWidth="1"/>
    <col min="6660" max="6660" width="4.125" style="287" customWidth="1"/>
    <col min="6661" max="6661" width="11" style="287" customWidth="1"/>
    <col min="6662" max="6662" width="11.625" style="287" customWidth="1"/>
    <col min="6663" max="6663" width="5.625" style="287" customWidth="1"/>
    <col min="6664" max="6664" width="5.5" style="287" customWidth="1"/>
    <col min="6665" max="6665" width="9.125" style="287" customWidth="1"/>
    <col min="6666" max="6666" width="7.5" style="287" customWidth="1"/>
    <col min="6667" max="6667" width="9.625" style="287" customWidth="1"/>
    <col min="6668" max="6668" width="6.75" style="287" customWidth="1"/>
    <col min="6669" max="6669" width="5.375" style="287" customWidth="1"/>
    <col min="6670" max="6670" width="4.75" style="287" customWidth="1"/>
    <col min="6671" max="6673" width="6.125" style="287" customWidth="1"/>
    <col min="6674" max="6674" width="6.625" style="287" customWidth="1"/>
    <col min="6675" max="6675" width="7.625" style="287" customWidth="1"/>
    <col min="6676" max="6676" width="5" style="287" customWidth="1"/>
    <col min="6677" max="6677" width="0" style="287" hidden="1" customWidth="1"/>
    <col min="6678" max="6912" width="9" style="287"/>
    <col min="6913" max="6913" width="3.625" style="287" customWidth="1"/>
    <col min="6914" max="6914" width="22.875" style="287" customWidth="1"/>
    <col min="6915" max="6915" width="9.75" style="287" customWidth="1"/>
    <col min="6916" max="6916" width="4.125" style="287" customWidth="1"/>
    <col min="6917" max="6917" width="11" style="287" customWidth="1"/>
    <col min="6918" max="6918" width="11.625" style="287" customWidth="1"/>
    <col min="6919" max="6919" width="5.625" style="287" customWidth="1"/>
    <col min="6920" max="6920" width="5.5" style="287" customWidth="1"/>
    <col min="6921" max="6921" width="9.125" style="287" customWidth="1"/>
    <col min="6922" max="6922" width="7.5" style="287" customWidth="1"/>
    <col min="6923" max="6923" width="9.625" style="287" customWidth="1"/>
    <col min="6924" max="6924" width="6.75" style="287" customWidth="1"/>
    <col min="6925" max="6925" width="5.375" style="287" customWidth="1"/>
    <col min="6926" max="6926" width="4.75" style="287" customWidth="1"/>
    <col min="6927" max="6929" width="6.125" style="287" customWidth="1"/>
    <col min="6930" max="6930" width="6.625" style="287" customWidth="1"/>
    <col min="6931" max="6931" width="7.625" style="287" customWidth="1"/>
    <col min="6932" max="6932" width="5" style="287" customWidth="1"/>
    <col min="6933" max="6933" width="0" style="287" hidden="1" customWidth="1"/>
    <col min="6934" max="7168" width="9" style="287"/>
    <col min="7169" max="7169" width="3.625" style="287" customWidth="1"/>
    <col min="7170" max="7170" width="22.875" style="287" customWidth="1"/>
    <col min="7171" max="7171" width="9.75" style="287" customWidth="1"/>
    <col min="7172" max="7172" width="4.125" style="287" customWidth="1"/>
    <col min="7173" max="7173" width="11" style="287" customWidth="1"/>
    <col min="7174" max="7174" width="11.625" style="287" customWidth="1"/>
    <col min="7175" max="7175" width="5.625" style="287" customWidth="1"/>
    <col min="7176" max="7176" width="5.5" style="287" customWidth="1"/>
    <col min="7177" max="7177" width="9.125" style="287" customWidth="1"/>
    <col min="7178" max="7178" width="7.5" style="287" customWidth="1"/>
    <col min="7179" max="7179" width="9.625" style="287" customWidth="1"/>
    <col min="7180" max="7180" width="6.75" style="287" customWidth="1"/>
    <col min="7181" max="7181" width="5.375" style="287" customWidth="1"/>
    <col min="7182" max="7182" width="4.75" style="287" customWidth="1"/>
    <col min="7183" max="7185" width="6.125" style="287" customWidth="1"/>
    <col min="7186" max="7186" width="6.625" style="287" customWidth="1"/>
    <col min="7187" max="7187" width="7.625" style="287" customWidth="1"/>
    <col min="7188" max="7188" width="5" style="287" customWidth="1"/>
    <col min="7189" max="7189" width="0" style="287" hidden="1" customWidth="1"/>
    <col min="7190" max="7424" width="9" style="287"/>
    <col min="7425" max="7425" width="3.625" style="287" customWidth="1"/>
    <col min="7426" max="7426" width="22.875" style="287" customWidth="1"/>
    <col min="7427" max="7427" width="9.75" style="287" customWidth="1"/>
    <col min="7428" max="7428" width="4.125" style="287" customWidth="1"/>
    <col min="7429" max="7429" width="11" style="287" customWidth="1"/>
    <col min="7430" max="7430" width="11.625" style="287" customWidth="1"/>
    <col min="7431" max="7431" width="5.625" style="287" customWidth="1"/>
    <col min="7432" max="7432" width="5.5" style="287" customWidth="1"/>
    <col min="7433" max="7433" width="9.125" style="287" customWidth="1"/>
    <col min="7434" max="7434" width="7.5" style="287" customWidth="1"/>
    <col min="7435" max="7435" width="9.625" style="287" customWidth="1"/>
    <col min="7436" max="7436" width="6.75" style="287" customWidth="1"/>
    <col min="7437" max="7437" width="5.375" style="287" customWidth="1"/>
    <col min="7438" max="7438" width="4.75" style="287" customWidth="1"/>
    <col min="7439" max="7441" width="6.125" style="287" customWidth="1"/>
    <col min="7442" max="7442" width="6.625" style="287" customWidth="1"/>
    <col min="7443" max="7443" width="7.625" style="287" customWidth="1"/>
    <col min="7444" max="7444" width="5" style="287" customWidth="1"/>
    <col min="7445" max="7445" width="0" style="287" hidden="1" customWidth="1"/>
    <col min="7446" max="7680" width="9" style="287"/>
    <col min="7681" max="7681" width="3.625" style="287" customWidth="1"/>
    <col min="7682" max="7682" width="22.875" style="287" customWidth="1"/>
    <col min="7683" max="7683" width="9.75" style="287" customWidth="1"/>
    <col min="7684" max="7684" width="4.125" style="287" customWidth="1"/>
    <col min="7685" max="7685" width="11" style="287" customWidth="1"/>
    <col min="7686" max="7686" width="11.625" style="287" customWidth="1"/>
    <col min="7687" max="7687" width="5.625" style="287" customWidth="1"/>
    <col min="7688" max="7688" width="5.5" style="287" customWidth="1"/>
    <col min="7689" max="7689" width="9.125" style="287" customWidth="1"/>
    <col min="7690" max="7690" width="7.5" style="287" customWidth="1"/>
    <col min="7691" max="7691" width="9.625" style="287" customWidth="1"/>
    <col min="7692" max="7692" width="6.75" style="287" customWidth="1"/>
    <col min="7693" max="7693" width="5.375" style="287" customWidth="1"/>
    <col min="7694" max="7694" width="4.75" style="287" customWidth="1"/>
    <col min="7695" max="7697" width="6.125" style="287" customWidth="1"/>
    <col min="7698" max="7698" width="6.625" style="287" customWidth="1"/>
    <col min="7699" max="7699" width="7.625" style="287" customWidth="1"/>
    <col min="7700" max="7700" width="5" style="287" customWidth="1"/>
    <col min="7701" max="7701" width="0" style="287" hidden="1" customWidth="1"/>
    <col min="7702" max="7936" width="9" style="287"/>
    <col min="7937" max="7937" width="3.625" style="287" customWidth="1"/>
    <col min="7938" max="7938" width="22.875" style="287" customWidth="1"/>
    <col min="7939" max="7939" width="9.75" style="287" customWidth="1"/>
    <col min="7940" max="7940" width="4.125" style="287" customWidth="1"/>
    <col min="7941" max="7941" width="11" style="287" customWidth="1"/>
    <col min="7942" max="7942" width="11.625" style="287" customWidth="1"/>
    <col min="7943" max="7943" width="5.625" style="287" customWidth="1"/>
    <col min="7944" max="7944" width="5.5" style="287" customWidth="1"/>
    <col min="7945" max="7945" width="9.125" style="287" customWidth="1"/>
    <col min="7946" max="7946" width="7.5" style="287" customWidth="1"/>
    <col min="7947" max="7947" width="9.625" style="287" customWidth="1"/>
    <col min="7948" max="7948" width="6.75" style="287" customWidth="1"/>
    <col min="7949" max="7949" width="5.375" style="287" customWidth="1"/>
    <col min="7950" max="7950" width="4.75" style="287" customWidth="1"/>
    <col min="7951" max="7953" width="6.125" style="287" customWidth="1"/>
    <col min="7954" max="7954" width="6.625" style="287" customWidth="1"/>
    <col min="7955" max="7955" width="7.625" style="287" customWidth="1"/>
    <col min="7956" max="7956" width="5" style="287" customWidth="1"/>
    <col min="7957" max="7957" width="0" style="287" hidden="1" customWidth="1"/>
    <col min="7958" max="8192" width="9" style="287"/>
    <col min="8193" max="8193" width="3.625" style="287" customWidth="1"/>
    <col min="8194" max="8194" width="22.875" style="287" customWidth="1"/>
    <col min="8195" max="8195" width="9.75" style="287" customWidth="1"/>
    <col min="8196" max="8196" width="4.125" style="287" customWidth="1"/>
    <col min="8197" max="8197" width="11" style="287" customWidth="1"/>
    <col min="8198" max="8198" width="11.625" style="287" customWidth="1"/>
    <col min="8199" max="8199" width="5.625" style="287" customWidth="1"/>
    <col min="8200" max="8200" width="5.5" style="287" customWidth="1"/>
    <col min="8201" max="8201" width="9.125" style="287" customWidth="1"/>
    <col min="8202" max="8202" width="7.5" style="287" customWidth="1"/>
    <col min="8203" max="8203" width="9.625" style="287" customWidth="1"/>
    <col min="8204" max="8204" width="6.75" style="287" customWidth="1"/>
    <col min="8205" max="8205" width="5.375" style="287" customWidth="1"/>
    <col min="8206" max="8206" width="4.75" style="287" customWidth="1"/>
    <col min="8207" max="8209" width="6.125" style="287" customWidth="1"/>
    <col min="8210" max="8210" width="6.625" style="287" customWidth="1"/>
    <col min="8211" max="8211" width="7.625" style="287" customWidth="1"/>
    <col min="8212" max="8212" width="5" style="287" customWidth="1"/>
    <col min="8213" max="8213" width="0" style="287" hidden="1" customWidth="1"/>
    <col min="8214" max="8448" width="9" style="287"/>
    <col min="8449" max="8449" width="3.625" style="287" customWidth="1"/>
    <col min="8450" max="8450" width="22.875" style="287" customWidth="1"/>
    <col min="8451" max="8451" width="9.75" style="287" customWidth="1"/>
    <col min="8452" max="8452" width="4.125" style="287" customWidth="1"/>
    <col min="8453" max="8453" width="11" style="287" customWidth="1"/>
    <col min="8454" max="8454" width="11.625" style="287" customWidth="1"/>
    <col min="8455" max="8455" width="5.625" style="287" customWidth="1"/>
    <col min="8456" max="8456" width="5.5" style="287" customWidth="1"/>
    <col min="8457" max="8457" width="9.125" style="287" customWidth="1"/>
    <col min="8458" max="8458" width="7.5" style="287" customWidth="1"/>
    <col min="8459" max="8459" width="9.625" style="287" customWidth="1"/>
    <col min="8460" max="8460" width="6.75" style="287" customWidth="1"/>
    <col min="8461" max="8461" width="5.375" style="287" customWidth="1"/>
    <col min="8462" max="8462" width="4.75" style="287" customWidth="1"/>
    <col min="8463" max="8465" width="6.125" style="287" customWidth="1"/>
    <col min="8466" max="8466" width="6.625" style="287" customWidth="1"/>
    <col min="8467" max="8467" width="7.625" style="287" customWidth="1"/>
    <col min="8468" max="8468" width="5" style="287" customWidth="1"/>
    <col min="8469" max="8469" width="0" style="287" hidden="1" customWidth="1"/>
    <col min="8470" max="8704" width="9" style="287"/>
    <col min="8705" max="8705" width="3.625" style="287" customWidth="1"/>
    <col min="8706" max="8706" width="22.875" style="287" customWidth="1"/>
    <col min="8707" max="8707" width="9.75" style="287" customWidth="1"/>
    <col min="8708" max="8708" width="4.125" style="287" customWidth="1"/>
    <col min="8709" max="8709" width="11" style="287" customWidth="1"/>
    <col min="8710" max="8710" width="11.625" style="287" customWidth="1"/>
    <col min="8711" max="8711" width="5.625" style="287" customWidth="1"/>
    <col min="8712" max="8712" width="5.5" style="287" customWidth="1"/>
    <col min="8713" max="8713" width="9.125" style="287" customWidth="1"/>
    <col min="8714" max="8714" width="7.5" style="287" customWidth="1"/>
    <col min="8715" max="8715" width="9.625" style="287" customWidth="1"/>
    <col min="8716" max="8716" width="6.75" style="287" customWidth="1"/>
    <col min="8717" max="8717" width="5.375" style="287" customWidth="1"/>
    <col min="8718" max="8718" width="4.75" style="287" customWidth="1"/>
    <col min="8719" max="8721" width="6.125" style="287" customWidth="1"/>
    <col min="8722" max="8722" width="6.625" style="287" customWidth="1"/>
    <col min="8723" max="8723" width="7.625" style="287" customWidth="1"/>
    <col min="8724" max="8724" width="5" style="287" customWidth="1"/>
    <col min="8725" max="8725" width="0" style="287" hidden="1" customWidth="1"/>
    <col min="8726" max="8960" width="9" style="287"/>
    <col min="8961" max="8961" width="3.625" style="287" customWidth="1"/>
    <col min="8962" max="8962" width="22.875" style="287" customWidth="1"/>
    <col min="8963" max="8963" width="9.75" style="287" customWidth="1"/>
    <col min="8964" max="8964" width="4.125" style="287" customWidth="1"/>
    <col min="8965" max="8965" width="11" style="287" customWidth="1"/>
    <col min="8966" max="8966" width="11.625" style="287" customWidth="1"/>
    <col min="8967" max="8967" width="5.625" style="287" customWidth="1"/>
    <col min="8968" max="8968" width="5.5" style="287" customWidth="1"/>
    <col min="8969" max="8969" width="9.125" style="287" customWidth="1"/>
    <col min="8970" max="8970" width="7.5" style="287" customWidth="1"/>
    <col min="8971" max="8971" width="9.625" style="287" customWidth="1"/>
    <col min="8972" max="8972" width="6.75" style="287" customWidth="1"/>
    <col min="8973" max="8973" width="5.375" style="287" customWidth="1"/>
    <col min="8974" max="8974" width="4.75" style="287" customWidth="1"/>
    <col min="8975" max="8977" width="6.125" style="287" customWidth="1"/>
    <col min="8978" max="8978" width="6.625" style="287" customWidth="1"/>
    <col min="8979" max="8979" width="7.625" style="287" customWidth="1"/>
    <col min="8980" max="8980" width="5" style="287" customWidth="1"/>
    <col min="8981" max="8981" width="0" style="287" hidden="1" customWidth="1"/>
    <col min="8982" max="9216" width="9" style="287"/>
    <col min="9217" max="9217" width="3.625" style="287" customWidth="1"/>
    <col min="9218" max="9218" width="22.875" style="287" customWidth="1"/>
    <col min="9219" max="9219" width="9.75" style="287" customWidth="1"/>
    <col min="9220" max="9220" width="4.125" style="287" customWidth="1"/>
    <col min="9221" max="9221" width="11" style="287" customWidth="1"/>
    <col min="9222" max="9222" width="11.625" style="287" customWidth="1"/>
    <col min="9223" max="9223" width="5.625" style="287" customWidth="1"/>
    <col min="9224" max="9224" width="5.5" style="287" customWidth="1"/>
    <col min="9225" max="9225" width="9.125" style="287" customWidth="1"/>
    <col min="9226" max="9226" width="7.5" style="287" customWidth="1"/>
    <col min="9227" max="9227" width="9.625" style="287" customWidth="1"/>
    <col min="9228" max="9228" width="6.75" style="287" customWidth="1"/>
    <col min="9229" max="9229" width="5.375" style="287" customWidth="1"/>
    <col min="9230" max="9230" width="4.75" style="287" customWidth="1"/>
    <col min="9231" max="9233" width="6.125" style="287" customWidth="1"/>
    <col min="9234" max="9234" width="6.625" style="287" customWidth="1"/>
    <col min="9235" max="9235" width="7.625" style="287" customWidth="1"/>
    <col min="9236" max="9236" width="5" style="287" customWidth="1"/>
    <col min="9237" max="9237" width="0" style="287" hidden="1" customWidth="1"/>
    <col min="9238" max="9472" width="9" style="287"/>
    <col min="9473" max="9473" width="3.625" style="287" customWidth="1"/>
    <col min="9474" max="9474" width="22.875" style="287" customWidth="1"/>
    <col min="9475" max="9475" width="9.75" style="287" customWidth="1"/>
    <col min="9476" max="9476" width="4.125" style="287" customWidth="1"/>
    <col min="9477" max="9477" width="11" style="287" customWidth="1"/>
    <col min="9478" max="9478" width="11.625" style="287" customWidth="1"/>
    <col min="9479" max="9479" width="5.625" style="287" customWidth="1"/>
    <col min="9480" max="9480" width="5.5" style="287" customWidth="1"/>
    <col min="9481" max="9481" width="9.125" style="287" customWidth="1"/>
    <col min="9482" max="9482" width="7.5" style="287" customWidth="1"/>
    <col min="9483" max="9483" width="9.625" style="287" customWidth="1"/>
    <col min="9484" max="9484" width="6.75" style="287" customWidth="1"/>
    <col min="9485" max="9485" width="5.375" style="287" customWidth="1"/>
    <col min="9486" max="9486" width="4.75" style="287" customWidth="1"/>
    <col min="9487" max="9489" width="6.125" style="287" customWidth="1"/>
    <col min="9490" max="9490" width="6.625" style="287" customWidth="1"/>
    <col min="9491" max="9491" width="7.625" style="287" customWidth="1"/>
    <col min="9492" max="9492" width="5" style="287" customWidth="1"/>
    <col min="9493" max="9493" width="0" style="287" hidden="1" customWidth="1"/>
    <col min="9494" max="9728" width="9" style="287"/>
    <col min="9729" max="9729" width="3.625" style="287" customWidth="1"/>
    <col min="9730" max="9730" width="22.875" style="287" customWidth="1"/>
    <col min="9731" max="9731" width="9.75" style="287" customWidth="1"/>
    <col min="9732" max="9732" width="4.125" style="287" customWidth="1"/>
    <col min="9733" max="9733" width="11" style="287" customWidth="1"/>
    <col min="9734" max="9734" width="11.625" style="287" customWidth="1"/>
    <col min="9735" max="9735" width="5.625" style="287" customWidth="1"/>
    <col min="9736" max="9736" width="5.5" style="287" customWidth="1"/>
    <col min="9737" max="9737" width="9.125" style="287" customWidth="1"/>
    <col min="9738" max="9738" width="7.5" style="287" customWidth="1"/>
    <col min="9739" max="9739" width="9.625" style="287" customWidth="1"/>
    <col min="9740" max="9740" width="6.75" style="287" customWidth="1"/>
    <col min="9741" max="9741" width="5.375" style="287" customWidth="1"/>
    <col min="9742" max="9742" width="4.75" style="287" customWidth="1"/>
    <col min="9743" max="9745" width="6.125" style="287" customWidth="1"/>
    <col min="9746" max="9746" width="6.625" style="287" customWidth="1"/>
    <col min="9747" max="9747" width="7.625" style="287" customWidth="1"/>
    <col min="9748" max="9748" width="5" style="287" customWidth="1"/>
    <col min="9749" max="9749" width="0" style="287" hidden="1" customWidth="1"/>
    <col min="9750" max="9984" width="9" style="287"/>
    <col min="9985" max="9985" width="3.625" style="287" customWidth="1"/>
    <col min="9986" max="9986" width="22.875" style="287" customWidth="1"/>
    <col min="9987" max="9987" width="9.75" style="287" customWidth="1"/>
    <col min="9988" max="9988" width="4.125" style="287" customWidth="1"/>
    <col min="9989" max="9989" width="11" style="287" customWidth="1"/>
    <col min="9990" max="9990" width="11.625" style="287" customWidth="1"/>
    <col min="9991" max="9991" width="5.625" style="287" customWidth="1"/>
    <col min="9992" max="9992" width="5.5" style="287" customWidth="1"/>
    <col min="9993" max="9993" width="9.125" style="287" customWidth="1"/>
    <col min="9994" max="9994" width="7.5" style="287" customWidth="1"/>
    <col min="9995" max="9995" width="9.625" style="287" customWidth="1"/>
    <col min="9996" max="9996" width="6.75" style="287" customWidth="1"/>
    <col min="9997" max="9997" width="5.375" style="287" customWidth="1"/>
    <col min="9998" max="9998" width="4.75" style="287" customWidth="1"/>
    <col min="9999" max="10001" width="6.125" style="287" customWidth="1"/>
    <col min="10002" max="10002" width="6.625" style="287" customWidth="1"/>
    <col min="10003" max="10003" width="7.625" style="287" customWidth="1"/>
    <col min="10004" max="10004" width="5" style="287" customWidth="1"/>
    <col min="10005" max="10005" width="0" style="287" hidden="1" customWidth="1"/>
    <col min="10006" max="10240" width="9" style="287"/>
    <col min="10241" max="10241" width="3.625" style="287" customWidth="1"/>
    <col min="10242" max="10242" width="22.875" style="287" customWidth="1"/>
    <col min="10243" max="10243" width="9.75" style="287" customWidth="1"/>
    <col min="10244" max="10244" width="4.125" style="287" customWidth="1"/>
    <col min="10245" max="10245" width="11" style="287" customWidth="1"/>
    <col min="10246" max="10246" width="11.625" style="287" customWidth="1"/>
    <col min="10247" max="10247" width="5.625" style="287" customWidth="1"/>
    <col min="10248" max="10248" width="5.5" style="287" customWidth="1"/>
    <col min="10249" max="10249" width="9.125" style="287" customWidth="1"/>
    <col min="10250" max="10250" width="7.5" style="287" customWidth="1"/>
    <col min="10251" max="10251" width="9.625" style="287" customWidth="1"/>
    <col min="10252" max="10252" width="6.75" style="287" customWidth="1"/>
    <col min="10253" max="10253" width="5.375" style="287" customWidth="1"/>
    <col min="10254" max="10254" width="4.75" style="287" customWidth="1"/>
    <col min="10255" max="10257" width="6.125" style="287" customWidth="1"/>
    <col min="10258" max="10258" width="6.625" style="287" customWidth="1"/>
    <col min="10259" max="10259" width="7.625" style="287" customWidth="1"/>
    <col min="10260" max="10260" width="5" style="287" customWidth="1"/>
    <col min="10261" max="10261" width="0" style="287" hidden="1" customWidth="1"/>
    <col min="10262" max="10496" width="9" style="287"/>
    <col min="10497" max="10497" width="3.625" style="287" customWidth="1"/>
    <col min="10498" max="10498" width="22.875" style="287" customWidth="1"/>
    <col min="10499" max="10499" width="9.75" style="287" customWidth="1"/>
    <col min="10500" max="10500" width="4.125" style="287" customWidth="1"/>
    <col min="10501" max="10501" width="11" style="287" customWidth="1"/>
    <col min="10502" max="10502" width="11.625" style="287" customWidth="1"/>
    <col min="10503" max="10503" width="5.625" style="287" customWidth="1"/>
    <col min="10504" max="10504" width="5.5" style="287" customWidth="1"/>
    <col min="10505" max="10505" width="9.125" style="287" customWidth="1"/>
    <col min="10506" max="10506" width="7.5" style="287" customWidth="1"/>
    <col min="10507" max="10507" width="9.625" style="287" customWidth="1"/>
    <col min="10508" max="10508" width="6.75" style="287" customWidth="1"/>
    <col min="10509" max="10509" width="5.375" style="287" customWidth="1"/>
    <col min="10510" max="10510" width="4.75" style="287" customWidth="1"/>
    <col min="10511" max="10513" width="6.125" style="287" customWidth="1"/>
    <col min="10514" max="10514" width="6.625" style="287" customWidth="1"/>
    <col min="10515" max="10515" width="7.625" style="287" customWidth="1"/>
    <col min="10516" max="10516" width="5" style="287" customWidth="1"/>
    <col min="10517" max="10517" width="0" style="287" hidden="1" customWidth="1"/>
    <col min="10518" max="10752" width="9" style="287"/>
    <col min="10753" max="10753" width="3.625" style="287" customWidth="1"/>
    <col min="10754" max="10754" width="22.875" style="287" customWidth="1"/>
    <col min="10755" max="10755" width="9.75" style="287" customWidth="1"/>
    <col min="10756" max="10756" width="4.125" style="287" customWidth="1"/>
    <col min="10757" max="10757" width="11" style="287" customWidth="1"/>
    <col min="10758" max="10758" width="11.625" style="287" customWidth="1"/>
    <col min="10759" max="10759" width="5.625" style="287" customWidth="1"/>
    <col min="10760" max="10760" width="5.5" style="287" customWidth="1"/>
    <col min="10761" max="10761" width="9.125" style="287" customWidth="1"/>
    <col min="10762" max="10762" width="7.5" style="287" customWidth="1"/>
    <col min="10763" max="10763" width="9.625" style="287" customWidth="1"/>
    <col min="10764" max="10764" width="6.75" style="287" customWidth="1"/>
    <col min="10765" max="10765" width="5.375" style="287" customWidth="1"/>
    <col min="10766" max="10766" width="4.75" style="287" customWidth="1"/>
    <col min="10767" max="10769" width="6.125" style="287" customWidth="1"/>
    <col min="10770" max="10770" width="6.625" style="287" customWidth="1"/>
    <col min="10771" max="10771" width="7.625" style="287" customWidth="1"/>
    <col min="10772" max="10772" width="5" style="287" customWidth="1"/>
    <col min="10773" max="10773" width="0" style="287" hidden="1" customWidth="1"/>
    <col min="10774" max="11008" width="9" style="287"/>
    <col min="11009" max="11009" width="3.625" style="287" customWidth="1"/>
    <col min="11010" max="11010" width="22.875" style="287" customWidth="1"/>
    <col min="11011" max="11011" width="9.75" style="287" customWidth="1"/>
    <col min="11012" max="11012" width="4.125" style="287" customWidth="1"/>
    <col min="11013" max="11013" width="11" style="287" customWidth="1"/>
    <col min="11014" max="11014" width="11.625" style="287" customWidth="1"/>
    <col min="11015" max="11015" width="5.625" style="287" customWidth="1"/>
    <col min="11016" max="11016" width="5.5" style="287" customWidth="1"/>
    <col min="11017" max="11017" width="9.125" style="287" customWidth="1"/>
    <col min="11018" max="11018" width="7.5" style="287" customWidth="1"/>
    <col min="11019" max="11019" width="9.625" style="287" customWidth="1"/>
    <col min="11020" max="11020" width="6.75" style="287" customWidth="1"/>
    <col min="11021" max="11021" width="5.375" style="287" customWidth="1"/>
    <col min="11022" max="11022" width="4.75" style="287" customWidth="1"/>
    <col min="11023" max="11025" width="6.125" style="287" customWidth="1"/>
    <col min="11026" max="11026" width="6.625" style="287" customWidth="1"/>
    <col min="11027" max="11027" width="7.625" style="287" customWidth="1"/>
    <col min="11028" max="11028" width="5" style="287" customWidth="1"/>
    <col min="11029" max="11029" width="0" style="287" hidden="1" customWidth="1"/>
    <col min="11030" max="11264" width="9" style="287"/>
    <col min="11265" max="11265" width="3.625" style="287" customWidth="1"/>
    <col min="11266" max="11266" width="22.875" style="287" customWidth="1"/>
    <col min="11267" max="11267" width="9.75" style="287" customWidth="1"/>
    <col min="11268" max="11268" width="4.125" style="287" customWidth="1"/>
    <col min="11269" max="11269" width="11" style="287" customWidth="1"/>
    <col min="11270" max="11270" width="11.625" style="287" customWidth="1"/>
    <col min="11271" max="11271" width="5.625" style="287" customWidth="1"/>
    <col min="11272" max="11272" width="5.5" style="287" customWidth="1"/>
    <col min="11273" max="11273" width="9.125" style="287" customWidth="1"/>
    <col min="11274" max="11274" width="7.5" style="287" customWidth="1"/>
    <col min="11275" max="11275" width="9.625" style="287" customWidth="1"/>
    <col min="11276" max="11276" width="6.75" style="287" customWidth="1"/>
    <col min="11277" max="11277" width="5.375" style="287" customWidth="1"/>
    <col min="11278" max="11278" width="4.75" style="287" customWidth="1"/>
    <col min="11279" max="11281" width="6.125" style="287" customWidth="1"/>
    <col min="11282" max="11282" width="6.625" style="287" customWidth="1"/>
    <col min="11283" max="11283" width="7.625" style="287" customWidth="1"/>
    <col min="11284" max="11284" width="5" style="287" customWidth="1"/>
    <col min="11285" max="11285" width="0" style="287" hidden="1" customWidth="1"/>
    <col min="11286" max="11520" width="9" style="287"/>
    <col min="11521" max="11521" width="3.625" style="287" customWidth="1"/>
    <col min="11522" max="11522" width="22.875" style="287" customWidth="1"/>
    <col min="11523" max="11523" width="9.75" style="287" customWidth="1"/>
    <col min="11524" max="11524" width="4.125" style="287" customWidth="1"/>
    <col min="11525" max="11525" width="11" style="287" customWidth="1"/>
    <col min="11526" max="11526" width="11.625" style="287" customWidth="1"/>
    <col min="11527" max="11527" width="5.625" style="287" customWidth="1"/>
    <col min="11528" max="11528" width="5.5" style="287" customWidth="1"/>
    <col min="11529" max="11529" width="9.125" style="287" customWidth="1"/>
    <col min="11530" max="11530" width="7.5" style="287" customWidth="1"/>
    <col min="11531" max="11531" width="9.625" style="287" customWidth="1"/>
    <col min="11532" max="11532" width="6.75" style="287" customWidth="1"/>
    <col min="11533" max="11533" width="5.375" style="287" customWidth="1"/>
    <col min="11534" max="11534" width="4.75" style="287" customWidth="1"/>
    <col min="11535" max="11537" width="6.125" style="287" customWidth="1"/>
    <col min="11538" max="11538" width="6.625" style="287" customWidth="1"/>
    <col min="11539" max="11539" width="7.625" style="287" customWidth="1"/>
    <col min="11540" max="11540" width="5" style="287" customWidth="1"/>
    <col min="11541" max="11541" width="0" style="287" hidden="1" customWidth="1"/>
    <col min="11542" max="11776" width="9" style="287"/>
    <col min="11777" max="11777" width="3.625" style="287" customWidth="1"/>
    <col min="11778" max="11778" width="22.875" style="287" customWidth="1"/>
    <col min="11779" max="11779" width="9.75" style="287" customWidth="1"/>
    <col min="11780" max="11780" width="4.125" style="287" customWidth="1"/>
    <col min="11781" max="11781" width="11" style="287" customWidth="1"/>
    <col min="11782" max="11782" width="11.625" style="287" customWidth="1"/>
    <col min="11783" max="11783" width="5.625" style="287" customWidth="1"/>
    <col min="11784" max="11784" width="5.5" style="287" customWidth="1"/>
    <col min="11785" max="11785" width="9.125" style="287" customWidth="1"/>
    <col min="11786" max="11786" width="7.5" style="287" customWidth="1"/>
    <col min="11787" max="11787" width="9.625" style="287" customWidth="1"/>
    <col min="11788" max="11788" width="6.75" style="287" customWidth="1"/>
    <col min="11789" max="11789" width="5.375" style="287" customWidth="1"/>
    <col min="11790" max="11790" width="4.75" style="287" customWidth="1"/>
    <col min="11791" max="11793" width="6.125" style="287" customWidth="1"/>
    <col min="11794" max="11794" width="6.625" style="287" customWidth="1"/>
    <col min="11795" max="11795" width="7.625" style="287" customWidth="1"/>
    <col min="11796" max="11796" width="5" style="287" customWidth="1"/>
    <col min="11797" max="11797" width="0" style="287" hidden="1" customWidth="1"/>
    <col min="11798" max="12032" width="9" style="287"/>
    <col min="12033" max="12033" width="3.625" style="287" customWidth="1"/>
    <col min="12034" max="12034" width="22.875" style="287" customWidth="1"/>
    <col min="12035" max="12035" width="9.75" style="287" customWidth="1"/>
    <col min="12036" max="12036" width="4.125" style="287" customWidth="1"/>
    <col min="12037" max="12037" width="11" style="287" customWidth="1"/>
    <col min="12038" max="12038" width="11.625" style="287" customWidth="1"/>
    <col min="12039" max="12039" width="5.625" style="287" customWidth="1"/>
    <col min="12040" max="12040" width="5.5" style="287" customWidth="1"/>
    <col min="12041" max="12041" width="9.125" style="287" customWidth="1"/>
    <col min="12042" max="12042" width="7.5" style="287" customWidth="1"/>
    <col min="12043" max="12043" width="9.625" style="287" customWidth="1"/>
    <col min="12044" max="12044" width="6.75" style="287" customWidth="1"/>
    <col min="12045" max="12045" width="5.375" style="287" customWidth="1"/>
    <col min="12046" max="12046" width="4.75" style="287" customWidth="1"/>
    <col min="12047" max="12049" width="6.125" style="287" customWidth="1"/>
    <col min="12050" max="12050" width="6.625" style="287" customWidth="1"/>
    <col min="12051" max="12051" width="7.625" style="287" customWidth="1"/>
    <col min="12052" max="12052" width="5" style="287" customWidth="1"/>
    <col min="12053" max="12053" width="0" style="287" hidden="1" customWidth="1"/>
    <col min="12054" max="12288" width="9" style="287"/>
    <col min="12289" max="12289" width="3.625" style="287" customWidth="1"/>
    <col min="12290" max="12290" width="22.875" style="287" customWidth="1"/>
    <col min="12291" max="12291" width="9.75" style="287" customWidth="1"/>
    <col min="12292" max="12292" width="4.125" style="287" customWidth="1"/>
    <col min="12293" max="12293" width="11" style="287" customWidth="1"/>
    <col min="12294" max="12294" width="11.625" style="287" customWidth="1"/>
    <col min="12295" max="12295" width="5.625" style="287" customWidth="1"/>
    <col min="12296" max="12296" width="5.5" style="287" customWidth="1"/>
    <col min="12297" max="12297" width="9.125" style="287" customWidth="1"/>
    <col min="12298" max="12298" width="7.5" style="287" customWidth="1"/>
    <col min="12299" max="12299" width="9.625" style="287" customWidth="1"/>
    <col min="12300" max="12300" width="6.75" style="287" customWidth="1"/>
    <col min="12301" max="12301" width="5.375" style="287" customWidth="1"/>
    <col min="12302" max="12302" width="4.75" style="287" customWidth="1"/>
    <col min="12303" max="12305" width="6.125" style="287" customWidth="1"/>
    <col min="12306" max="12306" width="6.625" style="287" customWidth="1"/>
    <col min="12307" max="12307" width="7.625" style="287" customWidth="1"/>
    <col min="12308" max="12308" width="5" style="287" customWidth="1"/>
    <col min="12309" max="12309" width="0" style="287" hidden="1" customWidth="1"/>
    <col min="12310" max="12544" width="9" style="287"/>
    <col min="12545" max="12545" width="3.625" style="287" customWidth="1"/>
    <col min="12546" max="12546" width="22.875" style="287" customWidth="1"/>
    <col min="12547" max="12547" width="9.75" style="287" customWidth="1"/>
    <col min="12548" max="12548" width="4.125" style="287" customWidth="1"/>
    <col min="12549" max="12549" width="11" style="287" customWidth="1"/>
    <col min="12550" max="12550" width="11.625" style="287" customWidth="1"/>
    <col min="12551" max="12551" width="5.625" style="287" customWidth="1"/>
    <col min="12552" max="12552" width="5.5" style="287" customWidth="1"/>
    <col min="12553" max="12553" width="9.125" style="287" customWidth="1"/>
    <col min="12554" max="12554" width="7.5" style="287" customWidth="1"/>
    <col min="12555" max="12555" width="9.625" style="287" customWidth="1"/>
    <col min="12556" max="12556" width="6.75" style="287" customWidth="1"/>
    <col min="12557" max="12557" width="5.375" style="287" customWidth="1"/>
    <col min="12558" max="12558" width="4.75" style="287" customWidth="1"/>
    <col min="12559" max="12561" width="6.125" style="287" customWidth="1"/>
    <col min="12562" max="12562" width="6.625" style="287" customWidth="1"/>
    <col min="12563" max="12563" width="7.625" style="287" customWidth="1"/>
    <col min="12564" max="12564" width="5" style="287" customWidth="1"/>
    <col min="12565" max="12565" width="0" style="287" hidden="1" customWidth="1"/>
    <col min="12566" max="12800" width="9" style="287"/>
    <col min="12801" max="12801" width="3.625" style="287" customWidth="1"/>
    <col min="12802" max="12802" width="22.875" style="287" customWidth="1"/>
    <col min="12803" max="12803" width="9.75" style="287" customWidth="1"/>
    <col min="12804" max="12804" width="4.125" style="287" customWidth="1"/>
    <col min="12805" max="12805" width="11" style="287" customWidth="1"/>
    <col min="12806" max="12806" width="11.625" style="287" customWidth="1"/>
    <col min="12807" max="12807" width="5.625" style="287" customWidth="1"/>
    <col min="12808" max="12808" width="5.5" style="287" customWidth="1"/>
    <col min="12809" max="12809" width="9.125" style="287" customWidth="1"/>
    <col min="12810" max="12810" width="7.5" style="287" customWidth="1"/>
    <col min="12811" max="12811" width="9.625" style="287" customWidth="1"/>
    <col min="12812" max="12812" width="6.75" style="287" customWidth="1"/>
    <col min="12813" max="12813" width="5.375" style="287" customWidth="1"/>
    <col min="12814" max="12814" width="4.75" style="287" customWidth="1"/>
    <col min="12815" max="12817" width="6.125" style="287" customWidth="1"/>
    <col min="12818" max="12818" width="6.625" style="287" customWidth="1"/>
    <col min="12819" max="12819" width="7.625" style="287" customWidth="1"/>
    <col min="12820" max="12820" width="5" style="287" customWidth="1"/>
    <col min="12821" max="12821" width="0" style="287" hidden="1" customWidth="1"/>
    <col min="12822" max="13056" width="9" style="287"/>
    <col min="13057" max="13057" width="3.625" style="287" customWidth="1"/>
    <col min="13058" max="13058" width="22.875" style="287" customWidth="1"/>
    <col min="13059" max="13059" width="9.75" style="287" customWidth="1"/>
    <col min="13060" max="13060" width="4.125" style="287" customWidth="1"/>
    <col min="13061" max="13061" width="11" style="287" customWidth="1"/>
    <col min="13062" max="13062" width="11.625" style="287" customWidth="1"/>
    <col min="13063" max="13063" width="5.625" style="287" customWidth="1"/>
    <col min="13064" max="13064" width="5.5" style="287" customWidth="1"/>
    <col min="13065" max="13065" width="9.125" style="287" customWidth="1"/>
    <col min="13066" max="13066" width="7.5" style="287" customWidth="1"/>
    <col min="13067" max="13067" width="9.625" style="287" customWidth="1"/>
    <col min="13068" max="13068" width="6.75" style="287" customWidth="1"/>
    <col min="13069" max="13069" width="5.375" style="287" customWidth="1"/>
    <col min="13070" max="13070" width="4.75" style="287" customWidth="1"/>
    <col min="13071" max="13073" width="6.125" style="287" customWidth="1"/>
    <col min="13074" max="13074" width="6.625" style="287" customWidth="1"/>
    <col min="13075" max="13075" width="7.625" style="287" customWidth="1"/>
    <col min="13076" max="13076" width="5" style="287" customWidth="1"/>
    <col min="13077" max="13077" width="0" style="287" hidden="1" customWidth="1"/>
    <col min="13078" max="13312" width="9" style="287"/>
    <col min="13313" max="13313" width="3.625" style="287" customWidth="1"/>
    <col min="13314" max="13314" width="22.875" style="287" customWidth="1"/>
    <col min="13315" max="13315" width="9.75" style="287" customWidth="1"/>
    <col min="13316" max="13316" width="4.125" style="287" customWidth="1"/>
    <col min="13317" max="13317" width="11" style="287" customWidth="1"/>
    <col min="13318" max="13318" width="11.625" style="287" customWidth="1"/>
    <col min="13319" max="13319" width="5.625" style="287" customWidth="1"/>
    <col min="13320" max="13320" width="5.5" style="287" customWidth="1"/>
    <col min="13321" max="13321" width="9.125" style="287" customWidth="1"/>
    <col min="13322" max="13322" width="7.5" style="287" customWidth="1"/>
    <col min="13323" max="13323" width="9.625" style="287" customWidth="1"/>
    <col min="13324" max="13324" width="6.75" style="287" customWidth="1"/>
    <col min="13325" max="13325" width="5.375" style="287" customWidth="1"/>
    <col min="13326" max="13326" width="4.75" style="287" customWidth="1"/>
    <col min="13327" max="13329" width="6.125" style="287" customWidth="1"/>
    <col min="13330" max="13330" width="6.625" style="287" customWidth="1"/>
    <col min="13331" max="13331" width="7.625" style="287" customWidth="1"/>
    <col min="13332" max="13332" width="5" style="287" customWidth="1"/>
    <col min="13333" max="13333" width="0" style="287" hidden="1" customWidth="1"/>
    <col min="13334" max="13568" width="9" style="287"/>
    <col min="13569" max="13569" width="3.625" style="287" customWidth="1"/>
    <col min="13570" max="13570" width="22.875" style="287" customWidth="1"/>
    <col min="13571" max="13571" width="9.75" style="287" customWidth="1"/>
    <col min="13572" max="13572" width="4.125" style="287" customWidth="1"/>
    <col min="13573" max="13573" width="11" style="287" customWidth="1"/>
    <col min="13574" max="13574" width="11.625" style="287" customWidth="1"/>
    <col min="13575" max="13575" width="5.625" style="287" customWidth="1"/>
    <col min="13576" max="13576" width="5.5" style="287" customWidth="1"/>
    <col min="13577" max="13577" width="9.125" style="287" customWidth="1"/>
    <col min="13578" max="13578" width="7.5" style="287" customWidth="1"/>
    <col min="13579" max="13579" width="9.625" style="287" customWidth="1"/>
    <col min="13580" max="13580" width="6.75" style="287" customWidth="1"/>
    <col min="13581" max="13581" width="5.375" style="287" customWidth="1"/>
    <col min="13582" max="13582" width="4.75" style="287" customWidth="1"/>
    <col min="13583" max="13585" width="6.125" style="287" customWidth="1"/>
    <col min="13586" max="13586" width="6.625" style="287" customWidth="1"/>
    <col min="13587" max="13587" width="7.625" style="287" customWidth="1"/>
    <col min="13588" max="13588" width="5" style="287" customWidth="1"/>
    <col min="13589" max="13589" width="0" style="287" hidden="1" customWidth="1"/>
    <col min="13590" max="13824" width="9" style="287"/>
    <col min="13825" max="13825" width="3.625" style="287" customWidth="1"/>
    <col min="13826" max="13826" width="22.875" style="287" customWidth="1"/>
    <col min="13827" max="13827" width="9.75" style="287" customWidth="1"/>
    <col min="13828" max="13828" width="4.125" style="287" customWidth="1"/>
    <col min="13829" max="13829" width="11" style="287" customWidth="1"/>
    <col min="13830" max="13830" width="11.625" style="287" customWidth="1"/>
    <col min="13831" max="13831" width="5.625" style="287" customWidth="1"/>
    <col min="13832" max="13832" width="5.5" style="287" customWidth="1"/>
    <col min="13833" max="13833" width="9.125" style="287" customWidth="1"/>
    <col min="13834" max="13834" width="7.5" style="287" customWidth="1"/>
    <col min="13835" max="13835" width="9.625" style="287" customWidth="1"/>
    <col min="13836" max="13836" width="6.75" style="287" customWidth="1"/>
    <col min="13837" max="13837" width="5.375" style="287" customWidth="1"/>
    <col min="13838" max="13838" width="4.75" style="287" customWidth="1"/>
    <col min="13839" max="13841" width="6.125" style="287" customWidth="1"/>
    <col min="13842" max="13842" width="6.625" style="287" customWidth="1"/>
    <col min="13843" max="13843" width="7.625" style="287" customWidth="1"/>
    <col min="13844" max="13844" width="5" style="287" customWidth="1"/>
    <col min="13845" max="13845" width="0" style="287" hidden="1" customWidth="1"/>
    <col min="13846" max="14080" width="9" style="287"/>
    <col min="14081" max="14081" width="3.625" style="287" customWidth="1"/>
    <col min="14082" max="14082" width="22.875" style="287" customWidth="1"/>
    <col min="14083" max="14083" width="9.75" style="287" customWidth="1"/>
    <col min="14084" max="14084" width="4.125" style="287" customWidth="1"/>
    <col min="14085" max="14085" width="11" style="287" customWidth="1"/>
    <col min="14086" max="14086" width="11.625" style="287" customWidth="1"/>
    <col min="14087" max="14087" width="5.625" style="287" customWidth="1"/>
    <col min="14088" max="14088" width="5.5" style="287" customWidth="1"/>
    <col min="14089" max="14089" width="9.125" style="287" customWidth="1"/>
    <col min="14090" max="14090" width="7.5" style="287" customWidth="1"/>
    <col min="14091" max="14091" width="9.625" style="287" customWidth="1"/>
    <col min="14092" max="14092" width="6.75" style="287" customWidth="1"/>
    <col min="14093" max="14093" width="5.375" style="287" customWidth="1"/>
    <col min="14094" max="14094" width="4.75" style="287" customWidth="1"/>
    <col min="14095" max="14097" width="6.125" style="287" customWidth="1"/>
    <col min="14098" max="14098" width="6.625" style="287" customWidth="1"/>
    <col min="14099" max="14099" width="7.625" style="287" customWidth="1"/>
    <col min="14100" max="14100" width="5" style="287" customWidth="1"/>
    <col min="14101" max="14101" width="0" style="287" hidden="1" customWidth="1"/>
    <col min="14102" max="14336" width="9" style="287"/>
    <col min="14337" max="14337" width="3.625" style="287" customWidth="1"/>
    <col min="14338" max="14338" width="22.875" style="287" customWidth="1"/>
    <col min="14339" max="14339" width="9.75" style="287" customWidth="1"/>
    <col min="14340" max="14340" width="4.125" style="287" customWidth="1"/>
    <col min="14341" max="14341" width="11" style="287" customWidth="1"/>
    <col min="14342" max="14342" width="11.625" style="287" customWidth="1"/>
    <col min="14343" max="14343" width="5.625" style="287" customWidth="1"/>
    <col min="14344" max="14344" width="5.5" style="287" customWidth="1"/>
    <col min="14345" max="14345" width="9.125" style="287" customWidth="1"/>
    <col min="14346" max="14346" width="7.5" style="287" customWidth="1"/>
    <col min="14347" max="14347" width="9.625" style="287" customWidth="1"/>
    <col min="14348" max="14348" width="6.75" style="287" customWidth="1"/>
    <col min="14349" max="14349" width="5.375" style="287" customWidth="1"/>
    <col min="14350" max="14350" width="4.75" style="287" customWidth="1"/>
    <col min="14351" max="14353" width="6.125" style="287" customWidth="1"/>
    <col min="14354" max="14354" width="6.625" style="287" customWidth="1"/>
    <col min="14355" max="14355" width="7.625" style="287" customWidth="1"/>
    <col min="14356" max="14356" width="5" style="287" customWidth="1"/>
    <col min="14357" max="14357" width="0" style="287" hidden="1" customWidth="1"/>
    <col min="14358" max="14592" width="9" style="287"/>
    <col min="14593" max="14593" width="3.625" style="287" customWidth="1"/>
    <col min="14594" max="14594" width="22.875" style="287" customWidth="1"/>
    <col min="14595" max="14595" width="9.75" style="287" customWidth="1"/>
    <col min="14596" max="14596" width="4.125" style="287" customWidth="1"/>
    <col min="14597" max="14597" width="11" style="287" customWidth="1"/>
    <col min="14598" max="14598" width="11.625" style="287" customWidth="1"/>
    <col min="14599" max="14599" width="5.625" style="287" customWidth="1"/>
    <col min="14600" max="14600" width="5.5" style="287" customWidth="1"/>
    <col min="14601" max="14601" width="9.125" style="287" customWidth="1"/>
    <col min="14602" max="14602" width="7.5" style="287" customWidth="1"/>
    <col min="14603" max="14603" width="9.625" style="287" customWidth="1"/>
    <col min="14604" max="14604" width="6.75" style="287" customWidth="1"/>
    <col min="14605" max="14605" width="5.375" style="287" customWidth="1"/>
    <col min="14606" max="14606" width="4.75" style="287" customWidth="1"/>
    <col min="14607" max="14609" width="6.125" style="287" customWidth="1"/>
    <col min="14610" max="14610" width="6.625" style="287" customWidth="1"/>
    <col min="14611" max="14611" width="7.625" style="287" customWidth="1"/>
    <col min="14612" max="14612" width="5" style="287" customWidth="1"/>
    <col min="14613" max="14613" width="0" style="287" hidden="1" customWidth="1"/>
    <col min="14614" max="14848" width="9" style="287"/>
    <col min="14849" max="14849" width="3.625" style="287" customWidth="1"/>
    <col min="14850" max="14850" width="22.875" style="287" customWidth="1"/>
    <col min="14851" max="14851" width="9.75" style="287" customWidth="1"/>
    <col min="14852" max="14852" width="4.125" style="287" customWidth="1"/>
    <col min="14853" max="14853" width="11" style="287" customWidth="1"/>
    <col min="14854" max="14854" width="11.625" style="287" customWidth="1"/>
    <col min="14855" max="14855" width="5.625" style="287" customWidth="1"/>
    <col min="14856" max="14856" width="5.5" style="287" customWidth="1"/>
    <col min="14857" max="14857" width="9.125" style="287" customWidth="1"/>
    <col min="14858" max="14858" width="7.5" style="287" customWidth="1"/>
    <col min="14859" max="14859" width="9.625" style="287" customWidth="1"/>
    <col min="14860" max="14860" width="6.75" style="287" customWidth="1"/>
    <col min="14861" max="14861" width="5.375" style="287" customWidth="1"/>
    <col min="14862" max="14862" width="4.75" style="287" customWidth="1"/>
    <col min="14863" max="14865" width="6.125" style="287" customWidth="1"/>
    <col min="14866" max="14866" width="6.625" style="287" customWidth="1"/>
    <col min="14867" max="14867" width="7.625" style="287" customWidth="1"/>
    <col min="14868" max="14868" width="5" style="287" customWidth="1"/>
    <col min="14869" max="14869" width="0" style="287" hidden="1" customWidth="1"/>
    <col min="14870" max="15104" width="9" style="287"/>
    <col min="15105" max="15105" width="3.625" style="287" customWidth="1"/>
    <col min="15106" max="15106" width="22.875" style="287" customWidth="1"/>
    <col min="15107" max="15107" width="9.75" style="287" customWidth="1"/>
    <col min="15108" max="15108" width="4.125" style="287" customWidth="1"/>
    <col min="15109" max="15109" width="11" style="287" customWidth="1"/>
    <col min="15110" max="15110" width="11.625" style="287" customWidth="1"/>
    <col min="15111" max="15111" width="5.625" style="287" customWidth="1"/>
    <col min="15112" max="15112" width="5.5" style="287" customWidth="1"/>
    <col min="15113" max="15113" width="9.125" style="287" customWidth="1"/>
    <col min="15114" max="15114" width="7.5" style="287" customWidth="1"/>
    <col min="15115" max="15115" width="9.625" style="287" customWidth="1"/>
    <col min="15116" max="15116" width="6.75" style="287" customWidth="1"/>
    <col min="15117" max="15117" width="5.375" style="287" customWidth="1"/>
    <col min="15118" max="15118" width="4.75" style="287" customWidth="1"/>
    <col min="15119" max="15121" width="6.125" style="287" customWidth="1"/>
    <col min="15122" max="15122" width="6.625" style="287" customWidth="1"/>
    <col min="15123" max="15123" width="7.625" style="287" customWidth="1"/>
    <col min="15124" max="15124" width="5" style="287" customWidth="1"/>
    <col min="15125" max="15125" width="0" style="287" hidden="1" customWidth="1"/>
    <col min="15126" max="15360" width="9" style="287"/>
    <col min="15361" max="15361" width="3.625" style="287" customWidth="1"/>
    <col min="15362" max="15362" width="22.875" style="287" customWidth="1"/>
    <col min="15363" max="15363" width="9.75" style="287" customWidth="1"/>
    <col min="15364" max="15364" width="4.125" style="287" customWidth="1"/>
    <col min="15365" max="15365" width="11" style="287" customWidth="1"/>
    <col min="15366" max="15366" width="11.625" style="287" customWidth="1"/>
    <col min="15367" max="15367" width="5.625" style="287" customWidth="1"/>
    <col min="15368" max="15368" width="5.5" style="287" customWidth="1"/>
    <col min="15369" max="15369" width="9.125" style="287" customWidth="1"/>
    <col min="15370" max="15370" width="7.5" style="287" customWidth="1"/>
    <col min="15371" max="15371" width="9.625" style="287" customWidth="1"/>
    <col min="15372" max="15372" width="6.75" style="287" customWidth="1"/>
    <col min="15373" max="15373" width="5.375" style="287" customWidth="1"/>
    <col min="15374" max="15374" width="4.75" style="287" customWidth="1"/>
    <col min="15375" max="15377" width="6.125" style="287" customWidth="1"/>
    <col min="15378" max="15378" width="6.625" style="287" customWidth="1"/>
    <col min="15379" max="15379" width="7.625" style="287" customWidth="1"/>
    <col min="15380" max="15380" width="5" style="287" customWidth="1"/>
    <col min="15381" max="15381" width="0" style="287" hidden="1" customWidth="1"/>
    <col min="15382" max="15616" width="9" style="287"/>
    <col min="15617" max="15617" width="3.625" style="287" customWidth="1"/>
    <col min="15618" max="15618" width="22.875" style="287" customWidth="1"/>
    <col min="15619" max="15619" width="9.75" style="287" customWidth="1"/>
    <col min="15620" max="15620" width="4.125" style="287" customWidth="1"/>
    <col min="15621" max="15621" width="11" style="287" customWidth="1"/>
    <col min="15622" max="15622" width="11.625" style="287" customWidth="1"/>
    <col min="15623" max="15623" width="5.625" style="287" customWidth="1"/>
    <col min="15624" max="15624" width="5.5" style="287" customWidth="1"/>
    <col min="15625" max="15625" width="9.125" style="287" customWidth="1"/>
    <col min="15626" max="15626" width="7.5" style="287" customWidth="1"/>
    <col min="15627" max="15627" width="9.625" style="287" customWidth="1"/>
    <col min="15628" max="15628" width="6.75" style="287" customWidth="1"/>
    <col min="15629" max="15629" width="5.375" style="287" customWidth="1"/>
    <col min="15630" max="15630" width="4.75" style="287" customWidth="1"/>
    <col min="15631" max="15633" width="6.125" style="287" customWidth="1"/>
    <col min="15634" max="15634" width="6.625" style="287" customWidth="1"/>
    <col min="15635" max="15635" width="7.625" style="287" customWidth="1"/>
    <col min="15636" max="15636" width="5" style="287" customWidth="1"/>
    <col min="15637" max="15637" width="0" style="287" hidden="1" customWidth="1"/>
    <col min="15638" max="15872" width="9" style="287"/>
    <col min="15873" max="15873" width="3.625" style="287" customWidth="1"/>
    <col min="15874" max="15874" width="22.875" style="287" customWidth="1"/>
    <col min="15875" max="15875" width="9.75" style="287" customWidth="1"/>
    <col min="15876" max="15876" width="4.125" style="287" customWidth="1"/>
    <col min="15877" max="15877" width="11" style="287" customWidth="1"/>
    <col min="15878" max="15878" width="11.625" style="287" customWidth="1"/>
    <col min="15879" max="15879" width="5.625" style="287" customWidth="1"/>
    <col min="15880" max="15880" width="5.5" style="287" customWidth="1"/>
    <col min="15881" max="15881" width="9.125" style="287" customWidth="1"/>
    <col min="15882" max="15882" width="7.5" style="287" customWidth="1"/>
    <col min="15883" max="15883" width="9.625" style="287" customWidth="1"/>
    <col min="15884" max="15884" width="6.75" style="287" customWidth="1"/>
    <col min="15885" max="15885" width="5.375" style="287" customWidth="1"/>
    <col min="15886" max="15886" width="4.75" style="287" customWidth="1"/>
    <col min="15887" max="15889" width="6.125" style="287" customWidth="1"/>
    <col min="15890" max="15890" width="6.625" style="287" customWidth="1"/>
    <col min="15891" max="15891" width="7.625" style="287" customWidth="1"/>
    <col min="15892" max="15892" width="5" style="287" customWidth="1"/>
    <col min="15893" max="15893" width="0" style="287" hidden="1" customWidth="1"/>
    <col min="15894" max="16128" width="9" style="287"/>
    <col min="16129" max="16129" width="3.625" style="287" customWidth="1"/>
    <col min="16130" max="16130" width="22.875" style="287" customWidth="1"/>
    <col min="16131" max="16131" width="9.75" style="287" customWidth="1"/>
    <col min="16132" max="16132" width="4.125" style="287" customWidth="1"/>
    <col min="16133" max="16133" width="11" style="287" customWidth="1"/>
    <col min="16134" max="16134" width="11.625" style="287" customWidth="1"/>
    <col min="16135" max="16135" width="5.625" style="287" customWidth="1"/>
    <col min="16136" max="16136" width="5.5" style="287" customWidth="1"/>
    <col min="16137" max="16137" width="9.125" style="287" customWidth="1"/>
    <col min="16138" max="16138" width="7.5" style="287" customWidth="1"/>
    <col min="16139" max="16139" width="9.625" style="287" customWidth="1"/>
    <col min="16140" max="16140" width="6.75" style="287" customWidth="1"/>
    <col min="16141" max="16141" width="5.375" style="287" customWidth="1"/>
    <col min="16142" max="16142" width="4.75" style="287" customWidth="1"/>
    <col min="16143" max="16145" width="6.125" style="287" customWidth="1"/>
    <col min="16146" max="16146" width="6.625" style="287" customWidth="1"/>
    <col min="16147" max="16147" width="7.625" style="287" customWidth="1"/>
    <col min="16148" max="16148" width="5" style="287" customWidth="1"/>
    <col min="16149" max="16149" width="0" style="287" hidden="1" customWidth="1"/>
    <col min="16150" max="16384" width="9" style="287"/>
  </cols>
  <sheetData>
    <row r="1" spans="1:23" ht="16.5" x14ac:dyDescent="0.25">
      <c r="A1" s="811" t="str">
        <f>Chinh!$A$1</f>
        <v>UBND PHƯỜNG CAM LINH</v>
      </c>
      <c r="B1" s="811"/>
      <c r="C1" s="811"/>
      <c r="D1" s="811"/>
      <c r="E1" s="811"/>
      <c r="F1" s="285"/>
      <c r="G1" s="285"/>
      <c r="H1" s="285"/>
      <c r="I1" s="285"/>
      <c r="J1" s="285"/>
      <c r="K1" s="285"/>
      <c r="L1" s="285"/>
      <c r="M1" s="285"/>
      <c r="N1" s="285"/>
      <c r="O1" s="285"/>
      <c r="P1" s="285"/>
      <c r="Q1" s="285"/>
      <c r="R1" s="285"/>
      <c r="S1" s="285"/>
      <c r="T1" s="285"/>
      <c r="W1" s="725" t="s">
        <v>530</v>
      </c>
    </row>
    <row r="2" spans="1:23" ht="18.75" x14ac:dyDescent="0.3">
      <c r="A2" s="687" t="str">
        <f>IF(Chinh!$N$9="","",Chinh!$A$2)</f>
        <v>TRƯỜNG THCS NGUYỄN TRỌNG KỶ</v>
      </c>
      <c r="B2" s="687"/>
      <c r="C2" s="687"/>
      <c r="D2" s="687"/>
      <c r="E2" s="687"/>
      <c r="F2" s="688" t="s">
        <v>494</v>
      </c>
      <c r="G2" s="688"/>
      <c r="H2" s="688"/>
      <c r="I2" s="688"/>
      <c r="J2" s="688"/>
      <c r="K2" s="688"/>
      <c r="L2" s="688"/>
      <c r="M2" s="688"/>
      <c r="N2" s="688"/>
      <c r="O2" s="688"/>
      <c r="P2" s="688"/>
      <c r="Q2" s="688"/>
      <c r="R2" s="688"/>
      <c r="S2" s="285"/>
      <c r="T2" s="285"/>
      <c r="W2" s="725"/>
    </row>
    <row r="3" spans="1:23" ht="18.75" x14ac:dyDescent="0.3">
      <c r="A3" s="288"/>
      <c r="B3" s="288"/>
      <c r="C3" s="289"/>
      <c r="D3" s="288"/>
      <c r="E3" s="290"/>
      <c r="F3" s="529"/>
      <c r="G3" s="651" t="str">
        <f>IF(COUNTIF($U$8:$U$200,"er")&gt;0,"Còn lỗi!",IF(AND(COUNTIF($U$8:$U$200,"x")&gt;0,COUNTIF($U$8:$U$200,"er")=0,A2&lt;&gt;"",Chinh!$N$9&lt;&gt;""),"Hoàn thành!","Nhập liệu!"))</f>
        <v>Hoàn thành!</v>
      </c>
      <c r="H3" s="651"/>
      <c r="I3" s="651"/>
      <c r="J3" s="529"/>
      <c r="K3" s="689" t="str">
        <f>"Năm học: "&amp;" "&amp;Chinh!$H$5</f>
        <v>Năm học:  2025-2026</v>
      </c>
      <c r="L3" s="689"/>
      <c r="M3" s="689"/>
      <c r="N3" s="689"/>
      <c r="O3" s="689"/>
      <c r="P3" s="291"/>
      <c r="Q3" s="291"/>
      <c r="R3" s="529"/>
      <c r="S3" s="285"/>
      <c r="T3" s="285"/>
      <c r="W3" s="725"/>
    </row>
    <row r="4" spans="1:23" ht="25.5" customHeight="1" x14ac:dyDescent="0.25">
      <c r="A4" s="292"/>
      <c r="B4" s="293"/>
      <c r="C4" s="499" t="str">
        <f>IF(G3="Hoàn thành!","Tổng số CB,GV,NV:"&amp;" "&amp;COUNTA($B$8:$B$107)&amp;" ;"&amp;" trong đó:"&amp;" "&amp;"Nữ:"&amp;" "&amp;COUNTIF($D$8:$D$107,"x")&amp;", "&amp;"Dân tộc: "&amp;" "&amp;COUNTA($R$8:$R$107)-COUNTIF($R$8:$R$107,"Kinh"),"")</f>
        <v>Tổng số CB,GV,NV: 6 ; trong đó: Nữ: 0, Dân tộc:  1</v>
      </c>
      <c r="D4" s="293"/>
      <c r="E4" s="294"/>
      <c r="F4" s="293"/>
      <c r="G4" s="293"/>
      <c r="H4" s="293"/>
      <c r="I4" s="293"/>
      <c r="J4" s="293"/>
      <c r="K4" s="295"/>
      <c r="L4" s="295"/>
      <c r="M4" s="295"/>
      <c r="N4" s="295"/>
      <c r="O4" s="295"/>
      <c r="P4" s="296"/>
      <c r="Q4" s="296"/>
      <c r="R4" s="293"/>
      <c r="S4" s="293"/>
      <c r="T4" s="293"/>
      <c r="U4" s="297"/>
      <c r="W4" s="725"/>
    </row>
    <row r="5" spans="1:23" ht="41.25" customHeight="1" x14ac:dyDescent="0.2">
      <c r="A5" s="684" t="s">
        <v>271</v>
      </c>
      <c r="B5" s="685" t="s">
        <v>392</v>
      </c>
      <c r="C5" s="686" t="s">
        <v>393</v>
      </c>
      <c r="D5" s="684" t="s">
        <v>370</v>
      </c>
      <c r="E5" s="684" t="s">
        <v>394</v>
      </c>
      <c r="F5" s="684" t="s">
        <v>395</v>
      </c>
      <c r="G5" s="684" t="s">
        <v>277</v>
      </c>
      <c r="H5" s="684"/>
      <c r="I5" s="684" t="s">
        <v>396</v>
      </c>
      <c r="J5" s="684" t="s">
        <v>278</v>
      </c>
      <c r="K5" s="684"/>
      <c r="L5" s="684"/>
      <c r="M5" s="684" t="s">
        <v>397</v>
      </c>
      <c r="N5" s="684" t="s">
        <v>398</v>
      </c>
      <c r="O5" s="684" t="s">
        <v>399</v>
      </c>
      <c r="P5" s="684" t="s">
        <v>400</v>
      </c>
      <c r="Q5" s="684" t="s">
        <v>401</v>
      </c>
      <c r="R5" s="690" t="s">
        <v>402</v>
      </c>
      <c r="S5" s="690" t="s">
        <v>403</v>
      </c>
      <c r="T5" s="726" t="s">
        <v>527</v>
      </c>
    </row>
    <row r="6" spans="1:23" ht="90.75" customHeight="1" x14ac:dyDescent="0.2">
      <c r="A6" s="684"/>
      <c r="B6" s="685"/>
      <c r="C6" s="686"/>
      <c r="D6" s="684"/>
      <c r="E6" s="684"/>
      <c r="F6" s="684"/>
      <c r="G6" s="528" t="s">
        <v>283</v>
      </c>
      <c r="H6" s="528" t="s">
        <v>284</v>
      </c>
      <c r="I6" s="684"/>
      <c r="J6" s="528" t="s">
        <v>404</v>
      </c>
      <c r="K6" s="528" t="s">
        <v>549</v>
      </c>
      <c r="L6" s="528" t="s">
        <v>550</v>
      </c>
      <c r="M6" s="684"/>
      <c r="N6" s="684"/>
      <c r="O6" s="684"/>
      <c r="P6" s="684"/>
      <c r="Q6" s="684"/>
      <c r="R6" s="690"/>
      <c r="S6" s="690"/>
      <c r="T6" s="726"/>
    </row>
    <row r="7" spans="1:23" x14ac:dyDescent="0.2">
      <c r="A7" s="298">
        <v>1</v>
      </c>
      <c r="B7" s="298">
        <v>2</v>
      </c>
      <c r="C7" s="298">
        <v>3</v>
      </c>
      <c r="D7" s="298">
        <v>4</v>
      </c>
      <c r="E7" s="298">
        <v>5</v>
      </c>
      <c r="F7" s="298">
        <v>6</v>
      </c>
      <c r="G7" s="298">
        <v>7</v>
      </c>
      <c r="H7" s="298">
        <v>8</v>
      </c>
      <c r="I7" s="298">
        <v>9</v>
      </c>
      <c r="J7" s="298">
        <v>10</v>
      </c>
      <c r="K7" s="298">
        <v>11</v>
      </c>
      <c r="L7" s="298">
        <v>12</v>
      </c>
      <c r="M7" s="298">
        <v>13</v>
      </c>
      <c r="N7" s="298">
        <v>14</v>
      </c>
      <c r="O7" s="298">
        <v>15</v>
      </c>
      <c r="P7" s="298">
        <v>16</v>
      </c>
      <c r="Q7" s="298">
        <v>17</v>
      </c>
      <c r="R7" s="298">
        <v>18</v>
      </c>
      <c r="S7" s="298">
        <v>19</v>
      </c>
      <c r="T7" s="298">
        <v>20</v>
      </c>
    </row>
    <row r="8" spans="1:23" ht="17.25" customHeight="1" x14ac:dyDescent="0.2">
      <c r="A8" s="299">
        <v>1</v>
      </c>
      <c r="B8" s="300" t="s">
        <v>817</v>
      </c>
      <c r="C8" s="301" t="s">
        <v>847</v>
      </c>
      <c r="D8" s="302"/>
      <c r="E8" s="300" t="s">
        <v>288</v>
      </c>
      <c r="F8" s="302" t="s">
        <v>2</v>
      </c>
      <c r="G8" s="302">
        <v>1990</v>
      </c>
      <c r="H8" s="302">
        <v>1999</v>
      </c>
      <c r="I8" s="302" t="s">
        <v>853</v>
      </c>
      <c r="J8" s="302" t="s">
        <v>798</v>
      </c>
      <c r="K8" s="302" t="s">
        <v>9</v>
      </c>
      <c r="L8" s="302" t="s">
        <v>810</v>
      </c>
      <c r="M8" s="302" t="s">
        <v>801</v>
      </c>
      <c r="N8" s="302" t="s">
        <v>802</v>
      </c>
      <c r="O8" s="302"/>
      <c r="P8" s="302" t="s">
        <v>652</v>
      </c>
      <c r="Q8" s="302"/>
      <c r="R8" s="302" t="s">
        <v>772</v>
      </c>
      <c r="S8" s="302" t="s">
        <v>289</v>
      </c>
      <c r="T8" s="302"/>
      <c r="U8" s="303" t="str">
        <f>IF(COUNTA(B8:S8)=0,"",IF(AND(B8&lt;&gt;"",C8&lt;&gt;"",COUNTA(E8:L8)=8,R8&lt;&gt;"",S8&lt;&gt;"",OR(AND(P8&lt;&gt;"",Q8=""),AND(P8="",Q8&lt;&gt;""))),"x","er"))</f>
        <v>x</v>
      </c>
    </row>
    <row r="9" spans="1:23" ht="17.25" customHeight="1" x14ac:dyDescent="0.2">
      <c r="A9" s="299">
        <v>2</v>
      </c>
      <c r="B9" s="300" t="s">
        <v>817</v>
      </c>
      <c r="C9" s="301" t="s">
        <v>848</v>
      </c>
      <c r="D9" s="302"/>
      <c r="E9" s="300" t="s">
        <v>410</v>
      </c>
      <c r="F9" s="302" t="s">
        <v>2</v>
      </c>
      <c r="G9" s="302">
        <v>1990</v>
      </c>
      <c r="H9" s="302">
        <v>1999</v>
      </c>
      <c r="I9" s="302" t="s">
        <v>853</v>
      </c>
      <c r="J9" s="302" t="s">
        <v>798</v>
      </c>
      <c r="K9" s="302" t="s">
        <v>14</v>
      </c>
      <c r="L9" s="302" t="s">
        <v>810</v>
      </c>
      <c r="M9" s="302" t="s">
        <v>801</v>
      </c>
      <c r="N9" s="302" t="s">
        <v>802</v>
      </c>
      <c r="O9" s="302"/>
      <c r="P9" s="302" t="s">
        <v>652</v>
      </c>
      <c r="Q9" s="302"/>
      <c r="R9" s="302" t="s">
        <v>772</v>
      </c>
      <c r="S9" s="302" t="s">
        <v>289</v>
      </c>
      <c r="T9" s="302"/>
      <c r="U9" s="303" t="str">
        <f t="shared" ref="U9:U72" si="0">IF(COUNTA(B9:S9)=0,"",IF(AND(B9&lt;&gt;"",C9&lt;&gt;"",COUNTA(E9:L9)=8,R9&lt;&gt;"",S9&lt;&gt;"",OR(AND(P9&lt;&gt;"",Q9=""),AND(P9="",Q9&lt;&gt;""))),"x","er"))</f>
        <v>x</v>
      </c>
    </row>
    <row r="10" spans="1:23" ht="17.25" customHeight="1" x14ac:dyDescent="0.2">
      <c r="A10" s="299">
        <v>3</v>
      </c>
      <c r="B10" s="300" t="s">
        <v>817</v>
      </c>
      <c r="C10" s="301" t="s">
        <v>849</v>
      </c>
      <c r="D10" s="302"/>
      <c r="E10" s="300" t="s">
        <v>291</v>
      </c>
      <c r="F10" s="302" t="s">
        <v>82</v>
      </c>
      <c r="G10" s="302">
        <v>1990</v>
      </c>
      <c r="H10" s="302">
        <v>1999</v>
      </c>
      <c r="I10" s="302" t="s">
        <v>853</v>
      </c>
      <c r="J10" s="302" t="s">
        <v>798</v>
      </c>
      <c r="K10" s="302" t="s">
        <v>29</v>
      </c>
      <c r="L10" s="302" t="s">
        <v>810</v>
      </c>
      <c r="M10" s="302" t="s">
        <v>801</v>
      </c>
      <c r="N10" s="302" t="s">
        <v>802</v>
      </c>
      <c r="O10" s="302"/>
      <c r="P10" s="302" t="s">
        <v>652</v>
      </c>
      <c r="Q10" s="302"/>
      <c r="R10" s="302" t="s">
        <v>772</v>
      </c>
      <c r="S10" s="302" t="s">
        <v>289</v>
      </c>
      <c r="T10" s="302" t="s">
        <v>34</v>
      </c>
      <c r="U10" s="303" t="str">
        <f t="shared" si="0"/>
        <v>x</v>
      </c>
    </row>
    <row r="11" spans="1:23" ht="17.25" customHeight="1" x14ac:dyDescent="0.2">
      <c r="A11" s="299">
        <v>4</v>
      </c>
      <c r="B11" s="300" t="s">
        <v>817</v>
      </c>
      <c r="C11" s="301" t="s">
        <v>850</v>
      </c>
      <c r="D11" s="302"/>
      <c r="E11" s="300" t="s">
        <v>291</v>
      </c>
      <c r="F11" s="302" t="s">
        <v>6</v>
      </c>
      <c r="G11" s="302">
        <v>1990</v>
      </c>
      <c r="H11" s="302">
        <v>1999</v>
      </c>
      <c r="I11" s="302" t="s">
        <v>853</v>
      </c>
      <c r="J11" s="302" t="s">
        <v>798</v>
      </c>
      <c r="K11" s="302" t="s">
        <v>6</v>
      </c>
      <c r="L11" s="302" t="s">
        <v>800</v>
      </c>
      <c r="M11" s="302" t="s">
        <v>801</v>
      </c>
      <c r="N11" s="302"/>
      <c r="O11" s="302"/>
      <c r="P11" s="302" t="s">
        <v>652</v>
      </c>
      <c r="Q11" s="302"/>
      <c r="R11" s="302" t="s">
        <v>772</v>
      </c>
      <c r="S11" s="302" t="s">
        <v>293</v>
      </c>
      <c r="T11" s="302" t="s">
        <v>854</v>
      </c>
      <c r="U11" s="303" t="str">
        <f t="shared" si="0"/>
        <v>x</v>
      </c>
    </row>
    <row r="12" spans="1:23" ht="17.25" customHeight="1" x14ac:dyDescent="0.2">
      <c r="A12" s="299">
        <v>5</v>
      </c>
      <c r="B12" s="300" t="s">
        <v>817</v>
      </c>
      <c r="C12" s="301" t="s">
        <v>851</v>
      </c>
      <c r="D12" s="302"/>
      <c r="E12" s="300" t="s">
        <v>291</v>
      </c>
      <c r="F12" s="302" t="s">
        <v>9</v>
      </c>
      <c r="G12" s="302">
        <v>1990</v>
      </c>
      <c r="H12" s="302">
        <v>1999</v>
      </c>
      <c r="I12" s="302" t="s">
        <v>853</v>
      </c>
      <c r="J12" s="302" t="s">
        <v>798</v>
      </c>
      <c r="K12" s="302" t="s">
        <v>9</v>
      </c>
      <c r="L12" s="302" t="s">
        <v>810</v>
      </c>
      <c r="M12" s="302" t="s">
        <v>801</v>
      </c>
      <c r="N12" s="302"/>
      <c r="O12" s="302"/>
      <c r="P12" s="302" t="s">
        <v>652</v>
      </c>
      <c r="Q12" s="302"/>
      <c r="R12" s="302" t="s">
        <v>752</v>
      </c>
      <c r="S12" s="302" t="s">
        <v>293</v>
      </c>
      <c r="T12" s="302"/>
      <c r="U12" s="303" t="str">
        <f t="shared" si="0"/>
        <v>x</v>
      </c>
    </row>
    <row r="13" spans="1:23" ht="17.25" customHeight="1" x14ac:dyDescent="0.2">
      <c r="A13" s="299">
        <v>6</v>
      </c>
      <c r="B13" s="300" t="s">
        <v>817</v>
      </c>
      <c r="C13" s="301" t="s">
        <v>852</v>
      </c>
      <c r="D13" s="302"/>
      <c r="E13" s="300" t="s">
        <v>294</v>
      </c>
      <c r="F13" s="302" t="s">
        <v>95</v>
      </c>
      <c r="G13" s="302">
        <v>1990</v>
      </c>
      <c r="H13" s="302">
        <v>1999</v>
      </c>
      <c r="I13" s="302" t="s">
        <v>853</v>
      </c>
      <c r="J13" s="302" t="s">
        <v>831</v>
      </c>
      <c r="K13" s="302" t="s">
        <v>95</v>
      </c>
      <c r="L13" s="302" t="s">
        <v>809</v>
      </c>
      <c r="M13" s="302" t="s">
        <v>801</v>
      </c>
      <c r="N13" s="302"/>
      <c r="O13" s="302"/>
      <c r="P13" s="302" t="s">
        <v>652</v>
      </c>
      <c r="Q13" s="302"/>
      <c r="R13" s="302" t="s">
        <v>772</v>
      </c>
      <c r="S13" s="302" t="s">
        <v>293</v>
      </c>
      <c r="T13" s="302"/>
      <c r="U13" s="303" t="str">
        <f t="shared" si="0"/>
        <v>x</v>
      </c>
    </row>
    <row r="14" spans="1:23" ht="17.25" customHeight="1" x14ac:dyDescent="0.2">
      <c r="A14" s="299">
        <v>7</v>
      </c>
      <c r="B14" s="300"/>
      <c r="C14" s="301"/>
      <c r="D14" s="302"/>
      <c r="E14" s="300"/>
      <c r="F14" s="302"/>
      <c r="G14" s="302"/>
      <c r="H14" s="302"/>
      <c r="I14" s="302"/>
      <c r="J14" s="302"/>
      <c r="K14" s="302"/>
      <c r="L14" s="302"/>
      <c r="M14" s="302"/>
      <c r="N14" s="302"/>
      <c r="O14" s="302"/>
      <c r="P14" s="302"/>
      <c r="Q14" s="302"/>
      <c r="R14" s="302"/>
      <c r="S14" s="302"/>
      <c r="T14" s="302"/>
      <c r="U14" s="303" t="str">
        <f t="shared" si="0"/>
        <v/>
      </c>
    </row>
    <row r="15" spans="1:23" ht="17.25" customHeight="1" x14ac:dyDescent="0.2">
      <c r="A15" s="299">
        <v>8</v>
      </c>
      <c r="B15" s="300"/>
      <c r="C15" s="301"/>
      <c r="D15" s="302"/>
      <c r="E15" s="300"/>
      <c r="F15" s="302"/>
      <c r="G15" s="302"/>
      <c r="H15" s="302"/>
      <c r="I15" s="302"/>
      <c r="J15" s="302"/>
      <c r="K15" s="302"/>
      <c r="L15" s="302"/>
      <c r="M15" s="302"/>
      <c r="N15" s="302"/>
      <c r="O15" s="302"/>
      <c r="P15" s="302"/>
      <c r="Q15" s="302"/>
      <c r="R15" s="302"/>
      <c r="S15" s="302"/>
      <c r="T15" s="302"/>
      <c r="U15" s="303" t="str">
        <f t="shared" si="0"/>
        <v/>
      </c>
    </row>
    <row r="16" spans="1:23" ht="17.25" customHeight="1" x14ac:dyDescent="0.2">
      <c r="A16" s="299">
        <v>9</v>
      </c>
      <c r="B16" s="300"/>
      <c r="C16" s="301"/>
      <c r="D16" s="302"/>
      <c r="E16" s="300"/>
      <c r="F16" s="302"/>
      <c r="G16" s="302"/>
      <c r="H16" s="302"/>
      <c r="I16" s="302"/>
      <c r="J16" s="302"/>
      <c r="K16" s="302"/>
      <c r="L16" s="302"/>
      <c r="M16" s="302"/>
      <c r="N16" s="302"/>
      <c r="O16" s="302"/>
      <c r="P16" s="302"/>
      <c r="Q16" s="302"/>
      <c r="R16" s="302"/>
      <c r="S16" s="302"/>
      <c r="T16" s="302"/>
      <c r="U16" s="303" t="str">
        <f t="shared" si="0"/>
        <v/>
      </c>
    </row>
    <row r="17" spans="1:21" ht="17.25" customHeight="1" x14ac:dyDescent="0.2">
      <c r="A17" s="299">
        <v>10</v>
      </c>
      <c r="B17" s="300"/>
      <c r="C17" s="301"/>
      <c r="D17" s="302"/>
      <c r="E17" s="300"/>
      <c r="F17" s="302"/>
      <c r="G17" s="302"/>
      <c r="H17" s="302"/>
      <c r="I17" s="302"/>
      <c r="J17" s="302"/>
      <c r="K17" s="302"/>
      <c r="L17" s="302"/>
      <c r="M17" s="302"/>
      <c r="N17" s="302"/>
      <c r="O17" s="302"/>
      <c r="P17" s="302"/>
      <c r="Q17" s="302"/>
      <c r="R17" s="302"/>
      <c r="S17" s="302"/>
      <c r="T17" s="302"/>
      <c r="U17" s="303" t="str">
        <f t="shared" si="0"/>
        <v/>
      </c>
    </row>
    <row r="18" spans="1:21" ht="17.25" customHeight="1" x14ac:dyDescent="0.2">
      <c r="A18" s="299">
        <v>11</v>
      </c>
      <c r="B18" s="300"/>
      <c r="C18" s="301"/>
      <c r="D18" s="302"/>
      <c r="E18" s="300"/>
      <c r="F18" s="302"/>
      <c r="G18" s="302"/>
      <c r="H18" s="302"/>
      <c r="I18" s="302"/>
      <c r="J18" s="302"/>
      <c r="K18" s="302"/>
      <c r="L18" s="302"/>
      <c r="M18" s="302"/>
      <c r="N18" s="302"/>
      <c r="O18" s="302"/>
      <c r="P18" s="302"/>
      <c r="Q18" s="302"/>
      <c r="R18" s="302"/>
      <c r="S18" s="302"/>
      <c r="T18" s="302"/>
      <c r="U18" s="303" t="str">
        <f t="shared" si="0"/>
        <v/>
      </c>
    </row>
    <row r="19" spans="1:21" ht="17.25" customHeight="1" x14ac:dyDescent="0.2">
      <c r="A19" s="299">
        <v>12</v>
      </c>
      <c r="B19" s="300"/>
      <c r="C19" s="301"/>
      <c r="D19" s="302"/>
      <c r="E19" s="300"/>
      <c r="F19" s="302"/>
      <c r="G19" s="302"/>
      <c r="H19" s="302"/>
      <c r="I19" s="302"/>
      <c r="J19" s="302"/>
      <c r="K19" s="302"/>
      <c r="L19" s="302"/>
      <c r="M19" s="302"/>
      <c r="N19" s="302"/>
      <c r="O19" s="302"/>
      <c r="P19" s="302"/>
      <c r="Q19" s="302"/>
      <c r="R19" s="302"/>
      <c r="S19" s="302"/>
      <c r="T19" s="302"/>
      <c r="U19" s="303" t="str">
        <f t="shared" si="0"/>
        <v/>
      </c>
    </row>
    <row r="20" spans="1:21" ht="17.25" customHeight="1" x14ac:dyDescent="0.2">
      <c r="A20" s="299">
        <v>13</v>
      </c>
      <c r="B20" s="300"/>
      <c r="C20" s="301"/>
      <c r="D20" s="302"/>
      <c r="E20" s="300"/>
      <c r="F20" s="302"/>
      <c r="G20" s="302"/>
      <c r="H20" s="302"/>
      <c r="I20" s="302"/>
      <c r="J20" s="302"/>
      <c r="K20" s="302"/>
      <c r="L20" s="302"/>
      <c r="M20" s="302"/>
      <c r="N20" s="302"/>
      <c r="O20" s="302"/>
      <c r="P20" s="302"/>
      <c r="Q20" s="302"/>
      <c r="R20" s="302"/>
      <c r="S20" s="302"/>
      <c r="T20" s="302"/>
      <c r="U20" s="303" t="str">
        <f t="shared" si="0"/>
        <v/>
      </c>
    </row>
    <row r="21" spans="1:21" ht="17.25" customHeight="1" x14ac:dyDescent="0.2">
      <c r="A21" s="299">
        <v>14</v>
      </c>
      <c r="B21" s="300"/>
      <c r="C21" s="301"/>
      <c r="D21" s="302"/>
      <c r="E21" s="300"/>
      <c r="F21" s="302"/>
      <c r="G21" s="302"/>
      <c r="H21" s="302"/>
      <c r="I21" s="302"/>
      <c r="J21" s="302"/>
      <c r="K21" s="302"/>
      <c r="L21" s="302"/>
      <c r="M21" s="302"/>
      <c r="N21" s="302"/>
      <c r="O21" s="302"/>
      <c r="P21" s="302"/>
      <c r="Q21" s="302"/>
      <c r="R21" s="302"/>
      <c r="S21" s="302"/>
      <c r="T21" s="302"/>
      <c r="U21" s="303" t="str">
        <f t="shared" si="0"/>
        <v/>
      </c>
    </row>
    <row r="22" spans="1:21" ht="17.25" customHeight="1" x14ac:dyDescent="0.2">
      <c r="A22" s="299">
        <v>15</v>
      </c>
      <c r="B22" s="300"/>
      <c r="C22" s="301"/>
      <c r="D22" s="302"/>
      <c r="E22" s="300"/>
      <c r="F22" s="302"/>
      <c r="G22" s="302"/>
      <c r="H22" s="302"/>
      <c r="I22" s="302"/>
      <c r="J22" s="302"/>
      <c r="K22" s="302"/>
      <c r="L22" s="302"/>
      <c r="M22" s="302"/>
      <c r="N22" s="302"/>
      <c r="O22" s="302"/>
      <c r="P22" s="302"/>
      <c r="Q22" s="302"/>
      <c r="R22" s="302"/>
      <c r="S22" s="302"/>
      <c r="T22" s="302"/>
      <c r="U22" s="303" t="str">
        <f t="shared" si="0"/>
        <v/>
      </c>
    </row>
    <row r="23" spans="1:21" ht="17.25" customHeight="1" x14ac:dyDescent="0.2">
      <c r="A23" s="299">
        <v>16</v>
      </c>
      <c r="B23" s="300"/>
      <c r="C23" s="301"/>
      <c r="D23" s="302"/>
      <c r="E23" s="300"/>
      <c r="F23" s="302"/>
      <c r="G23" s="302"/>
      <c r="H23" s="302"/>
      <c r="I23" s="302"/>
      <c r="J23" s="302"/>
      <c r="K23" s="302"/>
      <c r="L23" s="302"/>
      <c r="M23" s="302"/>
      <c r="N23" s="302"/>
      <c r="O23" s="302"/>
      <c r="P23" s="302"/>
      <c r="Q23" s="302"/>
      <c r="R23" s="302"/>
      <c r="S23" s="302"/>
      <c r="T23" s="302"/>
      <c r="U23" s="303" t="str">
        <f t="shared" si="0"/>
        <v/>
      </c>
    </row>
    <row r="24" spans="1:21" ht="17.25" customHeight="1" x14ac:dyDescent="0.2">
      <c r="A24" s="299">
        <v>17</v>
      </c>
      <c r="B24" s="300"/>
      <c r="C24" s="301"/>
      <c r="D24" s="302"/>
      <c r="E24" s="300"/>
      <c r="F24" s="302"/>
      <c r="G24" s="302"/>
      <c r="H24" s="302"/>
      <c r="I24" s="302"/>
      <c r="J24" s="302"/>
      <c r="K24" s="302"/>
      <c r="L24" s="302"/>
      <c r="M24" s="302"/>
      <c r="N24" s="302"/>
      <c r="O24" s="302"/>
      <c r="P24" s="302"/>
      <c r="Q24" s="302"/>
      <c r="R24" s="302"/>
      <c r="S24" s="302"/>
      <c r="T24" s="302"/>
      <c r="U24" s="303" t="str">
        <f t="shared" si="0"/>
        <v/>
      </c>
    </row>
    <row r="25" spans="1:21" ht="17.25" customHeight="1" x14ac:dyDescent="0.2">
      <c r="A25" s="299">
        <v>18</v>
      </c>
      <c r="B25" s="300"/>
      <c r="C25" s="301"/>
      <c r="D25" s="302"/>
      <c r="E25" s="300"/>
      <c r="F25" s="302"/>
      <c r="G25" s="302"/>
      <c r="H25" s="302"/>
      <c r="I25" s="302"/>
      <c r="J25" s="302"/>
      <c r="K25" s="302"/>
      <c r="L25" s="302"/>
      <c r="M25" s="302"/>
      <c r="N25" s="302"/>
      <c r="O25" s="302"/>
      <c r="P25" s="302"/>
      <c r="Q25" s="302"/>
      <c r="R25" s="302"/>
      <c r="S25" s="302"/>
      <c r="T25" s="302"/>
      <c r="U25" s="303" t="str">
        <f t="shared" si="0"/>
        <v/>
      </c>
    </row>
    <row r="26" spans="1:21" ht="17.25" customHeight="1" x14ac:dyDescent="0.2">
      <c r="A26" s="299">
        <v>19</v>
      </c>
      <c r="B26" s="300"/>
      <c r="C26" s="301"/>
      <c r="D26" s="302"/>
      <c r="E26" s="300"/>
      <c r="F26" s="302"/>
      <c r="G26" s="302"/>
      <c r="H26" s="302"/>
      <c r="I26" s="302"/>
      <c r="J26" s="302"/>
      <c r="K26" s="302"/>
      <c r="L26" s="302"/>
      <c r="M26" s="302"/>
      <c r="N26" s="302"/>
      <c r="O26" s="302"/>
      <c r="P26" s="302"/>
      <c r="Q26" s="302"/>
      <c r="R26" s="302"/>
      <c r="S26" s="302"/>
      <c r="T26" s="302"/>
      <c r="U26" s="303" t="str">
        <f t="shared" si="0"/>
        <v/>
      </c>
    </row>
    <row r="27" spans="1:21" ht="17.25" customHeight="1" x14ac:dyDescent="0.2">
      <c r="A27" s="299">
        <v>20</v>
      </c>
      <c r="B27" s="300"/>
      <c r="C27" s="301"/>
      <c r="D27" s="302"/>
      <c r="E27" s="300"/>
      <c r="F27" s="302"/>
      <c r="G27" s="302"/>
      <c r="H27" s="302"/>
      <c r="I27" s="302"/>
      <c r="J27" s="302"/>
      <c r="K27" s="302"/>
      <c r="L27" s="302"/>
      <c r="M27" s="302"/>
      <c r="N27" s="302"/>
      <c r="O27" s="302"/>
      <c r="P27" s="302"/>
      <c r="Q27" s="302"/>
      <c r="R27" s="302"/>
      <c r="S27" s="302"/>
      <c r="T27" s="302"/>
      <c r="U27" s="303" t="str">
        <f t="shared" si="0"/>
        <v/>
      </c>
    </row>
    <row r="28" spans="1:21" ht="17.25" customHeight="1" x14ac:dyDescent="0.2">
      <c r="A28" s="299">
        <v>21</v>
      </c>
      <c r="B28" s="300"/>
      <c r="C28" s="301"/>
      <c r="D28" s="302"/>
      <c r="E28" s="300"/>
      <c r="F28" s="302"/>
      <c r="G28" s="302"/>
      <c r="H28" s="302"/>
      <c r="I28" s="302"/>
      <c r="J28" s="302"/>
      <c r="K28" s="302"/>
      <c r="L28" s="302"/>
      <c r="M28" s="302"/>
      <c r="N28" s="302"/>
      <c r="O28" s="302"/>
      <c r="P28" s="302"/>
      <c r="Q28" s="302"/>
      <c r="R28" s="302"/>
      <c r="S28" s="302"/>
      <c r="T28" s="302"/>
      <c r="U28" s="303" t="str">
        <f t="shared" si="0"/>
        <v/>
      </c>
    </row>
    <row r="29" spans="1:21" ht="17.25" customHeight="1" x14ac:dyDescent="0.2">
      <c r="A29" s="299">
        <v>22</v>
      </c>
      <c r="B29" s="300"/>
      <c r="C29" s="301"/>
      <c r="D29" s="302"/>
      <c r="E29" s="300"/>
      <c r="F29" s="302"/>
      <c r="G29" s="302"/>
      <c r="H29" s="302"/>
      <c r="I29" s="302"/>
      <c r="J29" s="302"/>
      <c r="K29" s="302"/>
      <c r="L29" s="302"/>
      <c r="M29" s="302"/>
      <c r="N29" s="302"/>
      <c r="O29" s="302"/>
      <c r="P29" s="302"/>
      <c r="Q29" s="302"/>
      <c r="R29" s="302"/>
      <c r="S29" s="302"/>
      <c r="T29" s="302"/>
      <c r="U29" s="303" t="str">
        <f t="shared" si="0"/>
        <v/>
      </c>
    </row>
    <row r="30" spans="1:21" ht="17.25" customHeight="1" x14ac:dyDescent="0.2">
      <c r="A30" s="299">
        <v>23</v>
      </c>
      <c r="B30" s="300"/>
      <c r="C30" s="301"/>
      <c r="D30" s="302"/>
      <c r="E30" s="300"/>
      <c r="F30" s="302"/>
      <c r="G30" s="302"/>
      <c r="H30" s="302"/>
      <c r="I30" s="302"/>
      <c r="J30" s="302"/>
      <c r="K30" s="302"/>
      <c r="L30" s="302"/>
      <c r="M30" s="302"/>
      <c r="N30" s="302"/>
      <c r="O30" s="302"/>
      <c r="P30" s="302"/>
      <c r="Q30" s="302"/>
      <c r="R30" s="302"/>
      <c r="S30" s="302"/>
      <c r="T30" s="302"/>
      <c r="U30" s="303" t="str">
        <f t="shared" si="0"/>
        <v/>
      </c>
    </row>
    <row r="31" spans="1:21" ht="17.25" customHeight="1" x14ac:dyDescent="0.2">
      <c r="A31" s="299">
        <v>24</v>
      </c>
      <c r="B31" s="300"/>
      <c r="C31" s="301"/>
      <c r="D31" s="302"/>
      <c r="E31" s="300"/>
      <c r="F31" s="302"/>
      <c r="G31" s="302"/>
      <c r="H31" s="302"/>
      <c r="I31" s="302"/>
      <c r="J31" s="302"/>
      <c r="K31" s="302"/>
      <c r="L31" s="302"/>
      <c r="M31" s="302"/>
      <c r="N31" s="302"/>
      <c r="O31" s="302"/>
      <c r="P31" s="302"/>
      <c r="Q31" s="302"/>
      <c r="R31" s="302"/>
      <c r="S31" s="302"/>
      <c r="T31" s="302"/>
      <c r="U31" s="303" t="str">
        <f t="shared" si="0"/>
        <v/>
      </c>
    </row>
    <row r="32" spans="1:21" ht="17.25" customHeight="1" x14ac:dyDescent="0.2">
      <c r="A32" s="299">
        <v>25</v>
      </c>
      <c r="B32" s="300"/>
      <c r="C32" s="301"/>
      <c r="D32" s="302"/>
      <c r="E32" s="300"/>
      <c r="F32" s="302"/>
      <c r="G32" s="302"/>
      <c r="H32" s="302"/>
      <c r="I32" s="302"/>
      <c r="J32" s="302"/>
      <c r="K32" s="302"/>
      <c r="L32" s="302"/>
      <c r="M32" s="302"/>
      <c r="N32" s="302"/>
      <c r="O32" s="302"/>
      <c r="P32" s="302"/>
      <c r="Q32" s="302"/>
      <c r="R32" s="302"/>
      <c r="S32" s="302"/>
      <c r="T32" s="302"/>
      <c r="U32" s="303" t="str">
        <f t="shared" si="0"/>
        <v/>
      </c>
    </row>
    <row r="33" spans="1:21" ht="17.25" customHeight="1" x14ac:dyDescent="0.2">
      <c r="A33" s="299">
        <v>26</v>
      </c>
      <c r="B33" s="300"/>
      <c r="C33" s="301"/>
      <c r="D33" s="302"/>
      <c r="E33" s="300"/>
      <c r="F33" s="302"/>
      <c r="G33" s="302"/>
      <c r="H33" s="302"/>
      <c r="I33" s="302"/>
      <c r="J33" s="302"/>
      <c r="K33" s="302"/>
      <c r="L33" s="302"/>
      <c r="M33" s="302"/>
      <c r="N33" s="302"/>
      <c r="O33" s="302"/>
      <c r="P33" s="302"/>
      <c r="Q33" s="302"/>
      <c r="R33" s="302"/>
      <c r="S33" s="302"/>
      <c r="T33" s="302"/>
      <c r="U33" s="303" t="str">
        <f t="shared" si="0"/>
        <v/>
      </c>
    </row>
    <row r="34" spans="1:21" ht="17.25" customHeight="1" x14ac:dyDescent="0.2">
      <c r="A34" s="299">
        <v>27</v>
      </c>
      <c r="B34" s="300"/>
      <c r="C34" s="301"/>
      <c r="D34" s="302"/>
      <c r="E34" s="300"/>
      <c r="F34" s="302"/>
      <c r="G34" s="302"/>
      <c r="H34" s="302"/>
      <c r="I34" s="302"/>
      <c r="J34" s="302"/>
      <c r="K34" s="302"/>
      <c r="L34" s="302"/>
      <c r="M34" s="302"/>
      <c r="N34" s="302"/>
      <c r="O34" s="302"/>
      <c r="P34" s="302"/>
      <c r="Q34" s="302"/>
      <c r="R34" s="302"/>
      <c r="S34" s="302"/>
      <c r="T34" s="302"/>
      <c r="U34" s="303" t="str">
        <f t="shared" si="0"/>
        <v/>
      </c>
    </row>
    <row r="35" spans="1:21" ht="17.25" customHeight="1" x14ac:dyDescent="0.2">
      <c r="A35" s="299">
        <v>28</v>
      </c>
      <c r="B35" s="300"/>
      <c r="C35" s="301"/>
      <c r="D35" s="302"/>
      <c r="E35" s="300"/>
      <c r="F35" s="302"/>
      <c r="G35" s="302"/>
      <c r="H35" s="302"/>
      <c r="I35" s="302"/>
      <c r="J35" s="302"/>
      <c r="K35" s="302"/>
      <c r="L35" s="302"/>
      <c r="M35" s="302"/>
      <c r="N35" s="302"/>
      <c r="O35" s="302"/>
      <c r="P35" s="302"/>
      <c r="Q35" s="302"/>
      <c r="R35" s="302"/>
      <c r="S35" s="302"/>
      <c r="T35" s="302"/>
      <c r="U35" s="303" t="str">
        <f t="shared" si="0"/>
        <v/>
      </c>
    </row>
    <row r="36" spans="1:21" ht="17.25" customHeight="1" x14ac:dyDescent="0.2">
      <c r="A36" s="299">
        <v>29</v>
      </c>
      <c r="B36" s="300"/>
      <c r="C36" s="301"/>
      <c r="D36" s="302"/>
      <c r="E36" s="300"/>
      <c r="F36" s="302"/>
      <c r="G36" s="302"/>
      <c r="H36" s="302"/>
      <c r="I36" s="302"/>
      <c r="J36" s="302"/>
      <c r="K36" s="302"/>
      <c r="L36" s="302"/>
      <c r="M36" s="302"/>
      <c r="N36" s="302"/>
      <c r="O36" s="302"/>
      <c r="P36" s="302"/>
      <c r="Q36" s="302"/>
      <c r="R36" s="302"/>
      <c r="S36" s="302"/>
      <c r="T36" s="302"/>
      <c r="U36" s="303" t="str">
        <f t="shared" si="0"/>
        <v/>
      </c>
    </row>
    <row r="37" spans="1:21" ht="17.25" customHeight="1" x14ac:dyDescent="0.2">
      <c r="A37" s="299">
        <v>30</v>
      </c>
      <c r="B37" s="300"/>
      <c r="C37" s="301"/>
      <c r="D37" s="302"/>
      <c r="E37" s="300"/>
      <c r="F37" s="302"/>
      <c r="G37" s="302"/>
      <c r="H37" s="302"/>
      <c r="I37" s="302"/>
      <c r="J37" s="302"/>
      <c r="K37" s="302"/>
      <c r="L37" s="302"/>
      <c r="M37" s="302"/>
      <c r="N37" s="302"/>
      <c r="O37" s="302"/>
      <c r="P37" s="302"/>
      <c r="Q37" s="302"/>
      <c r="R37" s="302"/>
      <c r="S37" s="302"/>
      <c r="T37" s="302"/>
      <c r="U37" s="303" t="str">
        <f t="shared" si="0"/>
        <v/>
      </c>
    </row>
    <row r="38" spans="1:21" ht="17.25" customHeight="1" x14ac:dyDescent="0.2">
      <c r="A38" s="299">
        <v>31</v>
      </c>
      <c r="B38" s="300"/>
      <c r="C38" s="301"/>
      <c r="D38" s="302"/>
      <c r="E38" s="300"/>
      <c r="F38" s="302"/>
      <c r="G38" s="302"/>
      <c r="H38" s="302"/>
      <c r="I38" s="302"/>
      <c r="J38" s="302"/>
      <c r="K38" s="302"/>
      <c r="L38" s="302"/>
      <c r="M38" s="302"/>
      <c r="N38" s="302"/>
      <c r="O38" s="302"/>
      <c r="P38" s="302"/>
      <c r="Q38" s="302"/>
      <c r="R38" s="302"/>
      <c r="S38" s="302"/>
      <c r="T38" s="302"/>
      <c r="U38" s="303" t="str">
        <f t="shared" si="0"/>
        <v/>
      </c>
    </row>
    <row r="39" spans="1:21" ht="17.25" customHeight="1" x14ac:dyDescent="0.2">
      <c r="A39" s="299">
        <v>32</v>
      </c>
      <c r="B39" s="300"/>
      <c r="C39" s="301"/>
      <c r="D39" s="302"/>
      <c r="E39" s="300"/>
      <c r="F39" s="302"/>
      <c r="G39" s="302"/>
      <c r="H39" s="302"/>
      <c r="I39" s="302"/>
      <c r="J39" s="302"/>
      <c r="K39" s="302"/>
      <c r="L39" s="302"/>
      <c r="M39" s="302"/>
      <c r="N39" s="302"/>
      <c r="O39" s="302"/>
      <c r="P39" s="302"/>
      <c r="Q39" s="302"/>
      <c r="R39" s="302"/>
      <c r="S39" s="302"/>
      <c r="T39" s="302"/>
      <c r="U39" s="303" t="str">
        <f t="shared" si="0"/>
        <v/>
      </c>
    </row>
    <row r="40" spans="1:21" ht="17.25" customHeight="1" x14ac:dyDescent="0.2">
      <c r="A40" s="299">
        <v>33</v>
      </c>
      <c r="B40" s="300"/>
      <c r="C40" s="301"/>
      <c r="D40" s="302"/>
      <c r="E40" s="300"/>
      <c r="F40" s="302"/>
      <c r="G40" s="302"/>
      <c r="H40" s="302"/>
      <c r="I40" s="302"/>
      <c r="J40" s="302"/>
      <c r="K40" s="302"/>
      <c r="L40" s="302"/>
      <c r="M40" s="302"/>
      <c r="N40" s="302"/>
      <c r="O40" s="302"/>
      <c r="P40" s="302"/>
      <c r="Q40" s="302"/>
      <c r="R40" s="302"/>
      <c r="S40" s="302"/>
      <c r="T40" s="302"/>
      <c r="U40" s="303" t="str">
        <f t="shared" si="0"/>
        <v/>
      </c>
    </row>
    <row r="41" spans="1:21" ht="17.25" customHeight="1" x14ac:dyDescent="0.2">
      <c r="A41" s="299">
        <v>34</v>
      </c>
      <c r="B41" s="300"/>
      <c r="C41" s="301"/>
      <c r="D41" s="302"/>
      <c r="E41" s="300"/>
      <c r="F41" s="302"/>
      <c r="G41" s="302"/>
      <c r="H41" s="302"/>
      <c r="I41" s="302"/>
      <c r="J41" s="302"/>
      <c r="K41" s="302"/>
      <c r="L41" s="302"/>
      <c r="M41" s="302"/>
      <c r="N41" s="302"/>
      <c r="O41" s="302"/>
      <c r="P41" s="302"/>
      <c r="Q41" s="302"/>
      <c r="R41" s="302"/>
      <c r="S41" s="302"/>
      <c r="T41" s="302"/>
      <c r="U41" s="303" t="str">
        <f t="shared" si="0"/>
        <v/>
      </c>
    </row>
    <row r="42" spans="1:21" ht="17.25" customHeight="1" x14ac:dyDescent="0.2">
      <c r="A42" s="299">
        <v>35</v>
      </c>
      <c r="B42" s="300"/>
      <c r="C42" s="301"/>
      <c r="D42" s="302"/>
      <c r="E42" s="300"/>
      <c r="F42" s="302"/>
      <c r="G42" s="302"/>
      <c r="H42" s="302"/>
      <c r="I42" s="302"/>
      <c r="J42" s="302"/>
      <c r="K42" s="302"/>
      <c r="L42" s="302"/>
      <c r="M42" s="302"/>
      <c r="N42" s="302"/>
      <c r="O42" s="302"/>
      <c r="P42" s="302"/>
      <c r="Q42" s="302"/>
      <c r="R42" s="302"/>
      <c r="S42" s="302"/>
      <c r="T42" s="302"/>
      <c r="U42" s="303" t="str">
        <f t="shared" si="0"/>
        <v/>
      </c>
    </row>
    <row r="43" spans="1:21" ht="17.25" customHeight="1" x14ac:dyDescent="0.2">
      <c r="A43" s="299">
        <v>36</v>
      </c>
      <c r="B43" s="300"/>
      <c r="C43" s="301"/>
      <c r="D43" s="302"/>
      <c r="E43" s="300"/>
      <c r="F43" s="302"/>
      <c r="G43" s="302"/>
      <c r="H43" s="302"/>
      <c r="I43" s="302"/>
      <c r="J43" s="302"/>
      <c r="K43" s="302"/>
      <c r="L43" s="302"/>
      <c r="M43" s="302"/>
      <c r="N43" s="302"/>
      <c r="O43" s="302"/>
      <c r="P43" s="302"/>
      <c r="Q43" s="302"/>
      <c r="R43" s="302"/>
      <c r="S43" s="302"/>
      <c r="T43" s="302"/>
      <c r="U43" s="303" t="str">
        <f t="shared" si="0"/>
        <v/>
      </c>
    </row>
    <row r="44" spans="1:21" ht="17.25" customHeight="1" x14ac:dyDescent="0.2">
      <c r="A44" s="299">
        <v>37</v>
      </c>
      <c r="B44" s="300"/>
      <c r="C44" s="301"/>
      <c r="D44" s="302"/>
      <c r="E44" s="300"/>
      <c r="F44" s="302"/>
      <c r="G44" s="302"/>
      <c r="H44" s="302"/>
      <c r="I44" s="302"/>
      <c r="J44" s="302"/>
      <c r="K44" s="302"/>
      <c r="L44" s="302"/>
      <c r="M44" s="302"/>
      <c r="N44" s="302"/>
      <c r="O44" s="302"/>
      <c r="P44" s="302"/>
      <c r="Q44" s="302"/>
      <c r="R44" s="302"/>
      <c r="S44" s="302"/>
      <c r="T44" s="302"/>
      <c r="U44" s="303" t="str">
        <f t="shared" si="0"/>
        <v/>
      </c>
    </row>
    <row r="45" spans="1:21" ht="17.25" customHeight="1" x14ac:dyDescent="0.2">
      <c r="A45" s="299">
        <v>38</v>
      </c>
      <c r="B45" s="300"/>
      <c r="C45" s="301"/>
      <c r="D45" s="302"/>
      <c r="E45" s="300"/>
      <c r="F45" s="302"/>
      <c r="G45" s="302"/>
      <c r="H45" s="302"/>
      <c r="I45" s="302"/>
      <c r="J45" s="302"/>
      <c r="K45" s="302"/>
      <c r="L45" s="302"/>
      <c r="M45" s="302"/>
      <c r="N45" s="302"/>
      <c r="O45" s="302"/>
      <c r="P45" s="302"/>
      <c r="Q45" s="302"/>
      <c r="R45" s="302"/>
      <c r="S45" s="302"/>
      <c r="T45" s="302"/>
      <c r="U45" s="303" t="str">
        <f t="shared" si="0"/>
        <v/>
      </c>
    </row>
    <row r="46" spans="1:21" ht="17.25" customHeight="1" x14ac:dyDescent="0.2">
      <c r="A46" s="299">
        <v>39</v>
      </c>
      <c r="B46" s="300"/>
      <c r="C46" s="301"/>
      <c r="D46" s="302"/>
      <c r="E46" s="300"/>
      <c r="F46" s="302"/>
      <c r="G46" s="302"/>
      <c r="H46" s="302"/>
      <c r="I46" s="302"/>
      <c r="J46" s="302"/>
      <c r="K46" s="302"/>
      <c r="L46" s="302"/>
      <c r="M46" s="302"/>
      <c r="N46" s="302"/>
      <c r="O46" s="302"/>
      <c r="P46" s="302"/>
      <c r="Q46" s="302"/>
      <c r="R46" s="302"/>
      <c r="S46" s="302"/>
      <c r="T46" s="302"/>
      <c r="U46" s="303" t="str">
        <f t="shared" si="0"/>
        <v/>
      </c>
    </row>
    <row r="47" spans="1:21" ht="17.25" customHeight="1" x14ac:dyDescent="0.2">
      <c r="A47" s="299">
        <v>40</v>
      </c>
      <c r="B47" s="300"/>
      <c r="C47" s="301"/>
      <c r="D47" s="302"/>
      <c r="E47" s="300"/>
      <c r="F47" s="302"/>
      <c r="G47" s="302"/>
      <c r="H47" s="302"/>
      <c r="I47" s="302"/>
      <c r="J47" s="302"/>
      <c r="K47" s="302"/>
      <c r="L47" s="302"/>
      <c r="M47" s="302"/>
      <c r="N47" s="302"/>
      <c r="O47" s="302"/>
      <c r="P47" s="302"/>
      <c r="Q47" s="302"/>
      <c r="R47" s="302"/>
      <c r="S47" s="302"/>
      <c r="T47" s="302"/>
      <c r="U47" s="303" t="str">
        <f t="shared" si="0"/>
        <v/>
      </c>
    </row>
    <row r="48" spans="1:21" ht="17.25" customHeight="1" x14ac:dyDescent="0.2">
      <c r="A48" s="299">
        <v>41</v>
      </c>
      <c r="B48" s="300"/>
      <c r="C48" s="301"/>
      <c r="D48" s="302"/>
      <c r="E48" s="300"/>
      <c r="F48" s="302"/>
      <c r="G48" s="302"/>
      <c r="H48" s="302"/>
      <c r="I48" s="302"/>
      <c r="J48" s="302"/>
      <c r="K48" s="302"/>
      <c r="L48" s="302"/>
      <c r="M48" s="302"/>
      <c r="N48" s="302"/>
      <c r="O48" s="302"/>
      <c r="P48" s="302"/>
      <c r="Q48" s="302"/>
      <c r="R48" s="302"/>
      <c r="S48" s="302"/>
      <c r="T48" s="302"/>
      <c r="U48" s="303" t="str">
        <f t="shared" si="0"/>
        <v/>
      </c>
    </row>
    <row r="49" spans="1:21" ht="17.25" customHeight="1" x14ac:dyDescent="0.2">
      <c r="A49" s="299">
        <v>42</v>
      </c>
      <c r="B49" s="300"/>
      <c r="C49" s="301"/>
      <c r="D49" s="302"/>
      <c r="E49" s="300"/>
      <c r="F49" s="302"/>
      <c r="G49" s="302"/>
      <c r="H49" s="302"/>
      <c r="I49" s="302"/>
      <c r="J49" s="302"/>
      <c r="K49" s="302"/>
      <c r="L49" s="302"/>
      <c r="M49" s="302"/>
      <c r="N49" s="302"/>
      <c r="O49" s="302"/>
      <c r="P49" s="302"/>
      <c r="Q49" s="302"/>
      <c r="R49" s="302"/>
      <c r="S49" s="302"/>
      <c r="T49" s="302"/>
      <c r="U49" s="303" t="str">
        <f t="shared" si="0"/>
        <v/>
      </c>
    </row>
    <row r="50" spans="1:21" ht="17.25" customHeight="1" x14ac:dyDescent="0.2">
      <c r="A50" s="299">
        <v>43</v>
      </c>
      <c r="B50" s="300"/>
      <c r="C50" s="301"/>
      <c r="D50" s="302"/>
      <c r="E50" s="300"/>
      <c r="F50" s="302"/>
      <c r="G50" s="302"/>
      <c r="H50" s="302"/>
      <c r="I50" s="302"/>
      <c r="J50" s="302"/>
      <c r="K50" s="302"/>
      <c r="L50" s="302"/>
      <c r="M50" s="302"/>
      <c r="N50" s="302"/>
      <c r="O50" s="302"/>
      <c r="P50" s="302"/>
      <c r="Q50" s="302"/>
      <c r="R50" s="302"/>
      <c r="S50" s="302"/>
      <c r="T50" s="302"/>
      <c r="U50" s="303" t="str">
        <f t="shared" si="0"/>
        <v/>
      </c>
    </row>
    <row r="51" spans="1:21" ht="17.25" customHeight="1" x14ac:dyDescent="0.2">
      <c r="A51" s="299">
        <v>44</v>
      </c>
      <c r="B51" s="300"/>
      <c r="C51" s="301"/>
      <c r="D51" s="302"/>
      <c r="E51" s="300"/>
      <c r="F51" s="302"/>
      <c r="G51" s="302"/>
      <c r="H51" s="302"/>
      <c r="I51" s="302"/>
      <c r="J51" s="302"/>
      <c r="K51" s="302"/>
      <c r="L51" s="302"/>
      <c r="M51" s="302"/>
      <c r="N51" s="302"/>
      <c r="O51" s="302"/>
      <c r="P51" s="302"/>
      <c r="Q51" s="302"/>
      <c r="R51" s="302"/>
      <c r="S51" s="302"/>
      <c r="T51" s="302"/>
      <c r="U51" s="303" t="str">
        <f t="shared" si="0"/>
        <v/>
      </c>
    </row>
    <row r="52" spans="1:21" ht="17.25" customHeight="1" x14ac:dyDescent="0.2">
      <c r="A52" s="299">
        <v>45</v>
      </c>
      <c r="B52" s="300"/>
      <c r="C52" s="301"/>
      <c r="D52" s="302"/>
      <c r="E52" s="300"/>
      <c r="F52" s="302"/>
      <c r="G52" s="302"/>
      <c r="H52" s="302"/>
      <c r="I52" s="302"/>
      <c r="J52" s="302"/>
      <c r="K52" s="302"/>
      <c r="L52" s="302"/>
      <c r="M52" s="302"/>
      <c r="N52" s="302"/>
      <c r="O52" s="302"/>
      <c r="P52" s="302"/>
      <c r="Q52" s="302"/>
      <c r="R52" s="302"/>
      <c r="S52" s="302"/>
      <c r="T52" s="302"/>
      <c r="U52" s="303" t="str">
        <f t="shared" si="0"/>
        <v/>
      </c>
    </row>
    <row r="53" spans="1:21" ht="17.25" customHeight="1" x14ac:dyDescent="0.2">
      <c r="A53" s="299">
        <v>46</v>
      </c>
      <c r="B53" s="300"/>
      <c r="C53" s="301"/>
      <c r="D53" s="302"/>
      <c r="E53" s="300"/>
      <c r="F53" s="302"/>
      <c r="G53" s="302"/>
      <c r="H53" s="302"/>
      <c r="I53" s="302"/>
      <c r="J53" s="302"/>
      <c r="K53" s="302"/>
      <c r="L53" s="302"/>
      <c r="M53" s="302"/>
      <c r="N53" s="302"/>
      <c r="O53" s="302"/>
      <c r="P53" s="302"/>
      <c r="Q53" s="302"/>
      <c r="R53" s="302"/>
      <c r="S53" s="302"/>
      <c r="T53" s="302"/>
      <c r="U53" s="303" t="str">
        <f t="shared" si="0"/>
        <v/>
      </c>
    </row>
    <row r="54" spans="1:21" ht="17.25" customHeight="1" x14ac:dyDescent="0.2">
      <c r="A54" s="299">
        <v>47</v>
      </c>
      <c r="B54" s="300"/>
      <c r="C54" s="301"/>
      <c r="D54" s="302"/>
      <c r="E54" s="300"/>
      <c r="F54" s="302"/>
      <c r="G54" s="302"/>
      <c r="H54" s="302"/>
      <c r="I54" s="302"/>
      <c r="J54" s="302"/>
      <c r="K54" s="302"/>
      <c r="L54" s="302"/>
      <c r="M54" s="302"/>
      <c r="N54" s="302"/>
      <c r="O54" s="302"/>
      <c r="P54" s="302"/>
      <c r="Q54" s="302"/>
      <c r="R54" s="302"/>
      <c r="S54" s="302"/>
      <c r="T54" s="302"/>
      <c r="U54" s="303" t="str">
        <f t="shared" si="0"/>
        <v/>
      </c>
    </row>
    <row r="55" spans="1:21" ht="17.25" customHeight="1" x14ac:dyDescent="0.2">
      <c r="A55" s="299">
        <v>48</v>
      </c>
      <c r="B55" s="300"/>
      <c r="C55" s="301"/>
      <c r="D55" s="302"/>
      <c r="E55" s="300"/>
      <c r="F55" s="302"/>
      <c r="G55" s="302"/>
      <c r="H55" s="302"/>
      <c r="I55" s="302"/>
      <c r="J55" s="302"/>
      <c r="K55" s="302"/>
      <c r="L55" s="302"/>
      <c r="M55" s="302"/>
      <c r="N55" s="302"/>
      <c r="O55" s="302"/>
      <c r="P55" s="302"/>
      <c r="Q55" s="302"/>
      <c r="R55" s="302"/>
      <c r="S55" s="302"/>
      <c r="T55" s="302"/>
      <c r="U55" s="303" t="str">
        <f t="shared" si="0"/>
        <v/>
      </c>
    </row>
    <row r="56" spans="1:21" ht="17.25" customHeight="1" x14ac:dyDescent="0.2">
      <c r="A56" s="299">
        <v>49</v>
      </c>
      <c r="B56" s="300"/>
      <c r="C56" s="301"/>
      <c r="D56" s="302"/>
      <c r="E56" s="300"/>
      <c r="F56" s="302"/>
      <c r="G56" s="302"/>
      <c r="H56" s="302"/>
      <c r="I56" s="302"/>
      <c r="J56" s="302"/>
      <c r="K56" s="302"/>
      <c r="L56" s="302"/>
      <c r="M56" s="302"/>
      <c r="N56" s="302"/>
      <c r="O56" s="302"/>
      <c r="P56" s="302"/>
      <c r="Q56" s="302"/>
      <c r="R56" s="302"/>
      <c r="S56" s="302"/>
      <c r="T56" s="302"/>
      <c r="U56" s="303" t="str">
        <f t="shared" si="0"/>
        <v/>
      </c>
    </row>
    <row r="57" spans="1:21" ht="17.25" customHeight="1" x14ac:dyDescent="0.2">
      <c r="A57" s="299">
        <v>50</v>
      </c>
      <c r="B57" s="300"/>
      <c r="C57" s="301"/>
      <c r="D57" s="302"/>
      <c r="E57" s="300"/>
      <c r="F57" s="302"/>
      <c r="G57" s="302"/>
      <c r="H57" s="302"/>
      <c r="I57" s="302"/>
      <c r="J57" s="302"/>
      <c r="K57" s="302"/>
      <c r="L57" s="302"/>
      <c r="M57" s="302"/>
      <c r="N57" s="302"/>
      <c r="O57" s="302"/>
      <c r="P57" s="302"/>
      <c r="Q57" s="302"/>
      <c r="R57" s="302"/>
      <c r="S57" s="302"/>
      <c r="T57" s="302"/>
      <c r="U57" s="303" t="str">
        <f t="shared" si="0"/>
        <v/>
      </c>
    </row>
    <row r="58" spans="1:21" ht="17.25" customHeight="1" x14ac:dyDescent="0.2">
      <c r="A58" s="299">
        <v>51</v>
      </c>
      <c r="B58" s="300"/>
      <c r="C58" s="301"/>
      <c r="D58" s="302"/>
      <c r="E58" s="300"/>
      <c r="F58" s="302"/>
      <c r="G58" s="302"/>
      <c r="H58" s="302"/>
      <c r="I58" s="302"/>
      <c r="J58" s="302"/>
      <c r="K58" s="302"/>
      <c r="L58" s="302"/>
      <c r="M58" s="302"/>
      <c r="N58" s="302"/>
      <c r="O58" s="302"/>
      <c r="P58" s="302"/>
      <c r="Q58" s="302"/>
      <c r="R58" s="302"/>
      <c r="S58" s="302"/>
      <c r="T58" s="302"/>
      <c r="U58" s="303" t="str">
        <f t="shared" si="0"/>
        <v/>
      </c>
    </row>
    <row r="59" spans="1:21" ht="17.25" customHeight="1" x14ac:dyDescent="0.2">
      <c r="A59" s="299">
        <v>52</v>
      </c>
      <c r="B59" s="300"/>
      <c r="C59" s="301"/>
      <c r="D59" s="302"/>
      <c r="E59" s="300"/>
      <c r="F59" s="302"/>
      <c r="G59" s="302"/>
      <c r="H59" s="302"/>
      <c r="I59" s="302"/>
      <c r="J59" s="302"/>
      <c r="K59" s="302"/>
      <c r="L59" s="302"/>
      <c r="M59" s="302"/>
      <c r="N59" s="302"/>
      <c r="O59" s="302"/>
      <c r="P59" s="302"/>
      <c r="Q59" s="302"/>
      <c r="R59" s="302"/>
      <c r="S59" s="302"/>
      <c r="T59" s="302"/>
      <c r="U59" s="303" t="str">
        <f t="shared" si="0"/>
        <v/>
      </c>
    </row>
    <row r="60" spans="1:21" ht="17.25" customHeight="1" x14ac:dyDescent="0.2">
      <c r="A60" s="299">
        <v>53</v>
      </c>
      <c r="B60" s="300"/>
      <c r="C60" s="301"/>
      <c r="D60" s="302"/>
      <c r="E60" s="300"/>
      <c r="F60" s="302"/>
      <c r="G60" s="302"/>
      <c r="H60" s="302"/>
      <c r="I60" s="302"/>
      <c r="J60" s="302"/>
      <c r="K60" s="302"/>
      <c r="L60" s="302"/>
      <c r="M60" s="302"/>
      <c r="N60" s="302"/>
      <c r="O60" s="302"/>
      <c r="P60" s="302"/>
      <c r="Q60" s="302"/>
      <c r="R60" s="302"/>
      <c r="S60" s="302"/>
      <c r="T60" s="302"/>
      <c r="U60" s="303" t="str">
        <f t="shared" si="0"/>
        <v/>
      </c>
    </row>
    <row r="61" spans="1:21" ht="17.25" customHeight="1" x14ac:dyDescent="0.2">
      <c r="A61" s="299">
        <v>54</v>
      </c>
      <c r="B61" s="300"/>
      <c r="C61" s="301"/>
      <c r="D61" s="302"/>
      <c r="E61" s="300"/>
      <c r="F61" s="302"/>
      <c r="G61" s="302"/>
      <c r="H61" s="302"/>
      <c r="I61" s="302"/>
      <c r="J61" s="302"/>
      <c r="K61" s="302"/>
      <c r="L61" s="302"/>
      <c r="M61" s="302"/>
      <c r="N61" s="302"/>
      <c r="O61" s="302"/>
      <c r="P61" s="302"/>
      <c r="Q61" s="302"/>
      <c r="R61" s="302"/>
      <c r="S61" s="302"/>
      <c r="T61" s="302"/>
      <c r="U61" s="303" t="str">
        <f t="shared" si="0"/>
        <v/>
      </c>
    </row>
    <row r="62" spans="1:21" ht="17.25" customHeight="1" x14ac:dyDescent="0.2">
      <c r="A62" s="299">
        <v>55</v>
      </c>
      <c r="B62" s="300"/>
      <c r="C62" s="301"/>
      <c r="D62" s="302"/>
      <c r="E62" s="300"/>
      <c r="F62" s="302"/>
      <c r="G62" s="302"/>
      <c r="H62" s="302"/>
      <c r="I62" s="302"/>
      <c r="J62" s="302"/>
      <c r="K62" s="302"/>
      <c r="L62" s="302"/>
      <c r="M62" s="302"/>
      <c r="N62" s="302"/>
      <c r="O62" s="302"/>
      <c r="P62" s="302"/>
      <c r="Q62" s="302"/>
      <c r="R62" s="302"/>
      <c r="S62" s="302"/>
      <c r="T62" s="302"/>
      <c r="U62" s="303" t="str">
        <f t="shared" si="0"/>
        <v/>
      </c>
    </row>
    <row r="63" spans="1:21" ht="17.25" customHeight="1" x14ac:dyDescent="0.2">
      <c r="A63" s="299">
        <v>56</v>
      </c>
      <c r="B63" s="300"/>
      <c r="C63" s="301"/>
      <c r="D63" s="302"/>
      <c r="E63" s="300"/>
      <c r="F63" s="302"/>
      <c r="G63" s="302"/>
      <c r="H63" s="302"/>
      <c r="I63" s="302"/>
      <c r="J63" s="302"/>
      <c r="K63" s="302"/>
      <c r="L63" s="302"/>
      <c r="M63" s="302"/>
      <c r="N63" s="302"/>
      <c r="O63" s="302"/>
      <c r="P63" s="302"/>
      <c r="Q63" s="302"/>
      <c r="R63" s="302"/>
      <c r="S63" s="302"/>
      <c r="T63" s="302"/>
      <c r="U63" s="303" t="str">
        <f t="shared" si="0"/>
        <v/>
      </c>
    </row>
    <row r="64" spans="1:21" ht="17.25" customHeight="1" x14ac:dyDescent="0.2">
      <c r="A64" s="299">
        <v>57</v>
      </c>
      <c r="B64" s="300"/>
      <c r="C64" s="301"/>
      <c r="D64" s="302"/>
      <c r="E64" s="300"/>
      <c r="F64" s="302"/>
      <c r="G64" s="302"/>
      <c r="H64" s="302"/>
      <c r="I64" s="302"/>
      <c r="J64" s="302"/>
      <c r="K64" s="302"/>
      <c r="L64" s="302"/>
      <c r="M64" s="302"/>
      <c r="N64" s="302"/>
      <c r="O64" s="302"/>
      <c r="P64" s="302"/>
      <c r="Q64" s="302"/>
      <c r="R64" s="302"/>
      <c r="S64" s="302"/>
      <c r="T64" s="302"/>
      <c r="U64" s="303" t="str">
        <f t="shared" si="0"/>
        <v/>
      </c>
    </row>
    <row r="65" spans="1:21" ht="17.25" customHeight="1" x14ac:dyDescent="0.2">
      <c r="A65" s="299">
        <v>58</v>
      </c>
      <c r="B65" s="300"/>
      <c r="C65" s="301"/>
      <c r="D65" s="302"/>
      <c r="E65" s="300"/>
      <c r="F65" s="302"/>
      <c r="G65" s="302"/>
      <c r="H65" s="302"/>
      <c r="I65" s="302"/>
      <c r="J65" s="302"/>
      <c r="K65" s="302"/>
      <c r="L65" s="302"/>
      <c r="M65" s="302"/>
      <c r="N65" s="302"/>
      <c r="O65" s="302"/>
      <c r="P65" s="302"/>
      <c r="Q65" s="302"/>
      <c r="R65" s="302"/>
      <c r="S65" s="302"/>
      <c r="T65" s="302"/>
      <c r="U65" s="303" t="str">
        <f t="shared" si="0"/>
        <v/>
      </c>
    </row>
    <row r="66" spans="1:21" ht="17.25" customHeight="1" x14ac:dyDescent="0.2">
      <c r="A66" s="299">
        <v>59</v>
      </c>
      <c r="B66" s="300"/>
      <c r="C66" s="301"/>
      <c r="D66" s="302"/>
      <c r="E66" s="300"/>
      <c r="F66" s="302"/>
      <c r="G66" s="302"/>
      <c r="H66" s="302"/>
      <c r="I66" s="302"/>
      <c r="J66" s="302"/>
      <c r="K66" s="302"/>
      <c r="L66" s="302"/>
      <c r="M66" s="302"/>
      <c r="N66" s="302"/>
      <c r="O66" s="302"/>
      <c r="P66" s="302"/>
      <c r="Q66" s="302"/>
      <c r="R66" s="302"/>
      <c r="S66" s="302"/>
      <c r="T66" s="302"/>
      <c r="U66" s="303" t="str">
        <f t="shared" si="0"/>
        <v/>
      </c>
    </row>
    <row r="67" spans="1:21" ht="17.25" customHeight="1" x14ac:dyDescent="0.2">
      <c r="A67" s="299">
        <v>60</v>
      </c>
      <c r="B67" s="300"/>
      <c r="C67" s="301"/>
      <c r="D67" s="302"/>
      <c r="E67" s="300"/>
      <c r="F67" s="302"/>
      <c r="G67" s="302"/>
      <c r="H67" s="302"/>
      <c r="I67" s="302"/>
      <c r="J67" s="302"/>
      <c r="K67" s="302"/>
      <c r="L67" s="302"/>
      <c r="M67" s="302"/>
      <c r="N67" s="302"/>
      <c r="O67" s="302"/>
      <c r="P67" s="302"/>
      <c r="Q67" s="302"/>
      <c r="R67" s="302"/>
      <c r="S67" s="302"/>
      <c r="T67" s="302"/>
      <c r="U67" s="303" t="str">
        <f t="shared" si="0"/>
        <v/>
      </c>
    </row>
    <row r="68" spans="1:21" ht="17.25" customHeight="1" x14ac:dyDescent="0.2">
      <c r="A68" s="299">
        <v>61</v>
      </c>
      <c r="B68" s="300"/>
      <c r="C68" s="301"/>
      <c r="D68" s="302"/>
      <c r="E68" s="300"/>
      <c r="F68" s="302"/>
      <c r="G68" s="302"/>
      <c r="H68" s="302"/>
      <c r="I68" s="302"/>
      <c r="J68" s="302"/>
      <c r="K68" s="302"/>
      <c r="L68" s="302"/>
      <c r="M68" s="302"/>
      <c r="N68" s="302"/>
      <c r="O68" s="302"/>
      <c r="P68" s="302"/>
      <c r="Q68" s="302"/>
      <c r="R68" s="302"/>
      <c r="S68" s="302"/>
      <c r="T68" s="302"/>
      <c r="U68" s="303" t="str">
        <f t="shared" si="0"/>
        <v/>
      </c>
    </row>
    <row r="69" spans="1:21" ht="17.25" customHeight="1" x14ac:dyDescent="0.2">
      <c r="A69" s="299">
        <v>62</v>
      </c>
      <c r="B69" s="300"/>
      <c r="C69" s="301"/>
      <c r="D69" s="302"/>
      <c r="E69" s="300"/>
      <c r="F69" s="302"/>
      <c r="G69" s="302"/>
      <c r="H69" s="302"/>
      <c r="I69" s="302"/>
      <c r="J69" s="302"/>
      <c r="K69" s="302"/>
      <c r="L69" s="302"/>
      <c r="M69" s="302"/>
      <c r="N69" s="302"/>
      <c r="O69" s="302"/>
      <c r="P69" s="302"/>
      <c r="Q69" s="302"/>
      <c r="R69" s="302"/>
      <c r="S69" s="302"/>
      <c r="T69" s="302"/>
      <c r="U69" s="303" t="str">
        <f t="shared" si="0"/>
        <v/>
      </c>
    </row>
    <row r="70" spans="1:21" ht="17.25" customHeight="1" x14ac:dyDescent="0.2">
      <c r="A70" s="299">
        <v>63</v>
      </c>
      <c r="B70" s="300"/>
      <c r="C70" s="301"/>
      <c r="D70" s="302"/>
      <c r="E70" s="300"/>
      <c r="F70" s="302"/>
      <c r="G70" s="302"/>
      <c r="H70" s="302"/>
      <c r="I70" s="302"/>
      <c r="J70" s="302"/>
      <c r="K70" s="302"/>
      <c r="L70" s="302"/>
      <c r="M70" s="302"/>
      <c r="N70" s="302"/>
      <c r="O70" s="302"/>
      <c r="P70" s="302"/>
      <c r="Q70" s="302"/>
      <c r="R70" s="302"/>
      <c r="S70" s="302"/>
      <c r="T70" s="302"/>
      <c r="U70" s="303" t="str">
        <f t="shared" si="0"/>
        <v/>
      </c>
    </row>
    <row r="71" spans="1:21" ht="17.25" customHeight="1" x14ac:dyDescent="0.2">
      <c r="A71" s="299">
        <v>64</v>
      </c>
      <c r="B71" s="300"/>
      <c r="C71" s="301"/>
      <c r="D71" s="302"/>
      <c r="E71" s="300"/>
      <c r="F71" s="302"/>
      <c r="G71" s="302"/>
      <c r="H71" s="302"/>
      <c r="I71" s="302"/>
      <c r="J71" s="302"/>
      <c r="K71" s="302"/>
      <c r="L71" s="302"/>
      <c r="M71" s="302"/>
      <c r="N71" s="302"/>
      <c r="O71" s="302"/>
      <c r="P71" s="302"/>
      <c r="Q71" s="302"/>
      <c r="R71" s="302"/>
      <c r="S71" s="302"/>
      <c r="T71" s="302"/>
      <c r="U71" s="303" t="str">
        <f t="shared" si="0"/>
        <v/>
      </c>
    </row>
    <row r="72" spans="1:21" ht="17.25" customHeight="1" x14ac:dyDescent="0.2">
      <c r="A72" s="299">
        <v>65</v>
      </c>
      <c r="B72" s="300"/>
      <c r="C72" s="301"/>
      <c r="D72" s="302"/>
      <c r="E72" s="300"/>
      <c r="F72" s="302"/>
      <c r="G72" s="302"/>
      <c r="H72" s="302"/>
      <c r="I72" s="302"/>
      <c r="J72" s="302"/>
      <c r="K72" s="302"/>
      <c r="L72" s="302"/>
      <c r="M72" s="302"/>
      <c r="N72" s="302"/>
      <c r="O72" s="302"/>
      <c r="P72" s="302"/>
      <c r="Q72" s="302"/>
      <c r="R72" s="302"/>
      <c r="S72" s="302"/>
      <c r="T72" s="302"/>
      <c r="U72" s="303" t="str">
        <f t="shared" si="0"/>
        <v/>
      </c>
    </row>
    <row r="73" spans="1:21" ht="17.25" customHeight="1" x14ac:dyDescent="0.2">
      <c r="A73" s="299">
        <v>66</v>
      </c>
      <c r="B73" s="300"/>
      <c r="C73" s="301"/>
      <c r="D73" s="302"/>
      <c r="E73" s="300"/>
      <c r="F73" s="302"/>
      <c r="G73" s="302"/>
      <c r="H73" s="302"/>
      <c r="I73" s="302"/>
      <c r="J73" s="302"/>
      <c r="K73" s="302"/>
      <c r="L73" s="302"/>
      <c r="M73" s="302"/>
      <c r="N73" s="302"/>
      <c r="O73" s="302"/>
      <c r="P73" s="302"/>
      <c r="Q73" s="302"/>
      <c r="R73" s="302"/>
      <c r="S73" s="302"/>
      <c r="T73" s="302"/>
      <c r="U73" s="303" t="str">
        <f t="shared" ref="U73:U107" si="1">IF(COUNTA(B73:S73)=0,"",IF(AND(B73&lt;&gt;"",C73&lt;&gt;"",COUNTA(E73:L73)=8,R73&lt;&gt;"",S73&lt;&gt;"",OR(AND(P73&lt;&gt;"",Q73=""),AND(P73="",Q73&lt;&gt;""))),"x","er"))</f>
        <v/>
      </c>
    </row>
    <row r="74" spans="1:21" ht="17.25" customHeight="1" x14ac:dyDescent="0.2">
      <c r="A74" s="299">
        <v>67</v>
      </c>
      <c r="B74" s="300"/>
      <c r="C74" s="301"/>
      <c r="D74" s="302"/>
      <c r="E74" s="300"/>
      <c r="F74" s="302"/>
      <c r="G74" s="302"/>
      <c r="H74" s="302"/>
      <c r="I74" s="302"/>
      <c r="J74" s="302"/>
      <c r="K74" s="302"/>
      <c r="L74" s="302"/>
      <c r="M74" s="302"/>
      <c r="N74" s="302"/>
      <c r="O74" s="302"/>
      <c r="P74" s="302"/>
      <c r="Q74" s="302"/>
      <c r="R74" s="302"/>
      <c r="S74" s="302"/>
      <c r="T74" s="302"/>
      <c r="U74" s="303" t="str">
        <f t="shared" si="1"/>
        <v/>
      </c>
    </row>
    <row r="75" spans="1:21" ht="17.25" customHeight="1" x14ac:dyDescent="0.2">
      <c r="A75" s="299">
        <v>68</v>
      </c>
      <c r="B75" s="300"/>
      <c r="C75" s="301"/>
      <c r="D75" s="302"/>
      <c r="E75" s="300"/>
      <c r="F75" s="302"/>
      <c r="G75" s="302"/>
      <c r="H75" s="302"/>
      <c r="I75" s="302"/>
      <c r="J75" s="302"/>
      <c r="K75" s="302"/>
      <c r="L75" s="302"/>
      <c r="M75" s="302"/>
      <c r="N75" s="302"/>
      <c r="O75" s="302"/>
      <c r="P75" s="302"/>
      <c r="Q75" s="302"/>
      <c r="R75" s="302"/>
      <c r="S75" s="302"/>
      <c r="T75" s="302"/>
      <c r="U75" s="303" t="str">
        <f t="shared" si="1"/>
        <v/>
      </c>
    </row>
    <row r="76" spans="1:21" ht="17.25" customHeight="1" x14ac:dyDescent="0.2">
      <c r="A76" s="299">
        <v>69</v>
      </c>
      <c r="B76" s="300"/>
      <c r="C76" s="301"/>
      <c r="D76" s="302"/>
      <c r="E76" s="300"/>
      <c r="F76" s="302"/>
      <c r="G76" s="302"/>
      <c r="H76" s="302"/>
      <c r="I76" s="302"/>
      <c r="J76" s="302"/>
      <c r="K76" s="302"/>
      <c r="L76" s="302"/>
      <c r="M76" s="302"/>
      <c r="N76" s="302"/>
      <c r="O76" s="302"/>
      <c r="P76" s="302"/>
      <c r="Q76" s="302"/>
      <c r="R76" s="302"/>
      <c r="S76" s="302"/>
      <c r="T76" s="302"/>
      <c r="U76" s="303" t="str">
        <f t="shared" si="1"/>
        <v/>
      </c>
    </row>
    <row r="77" spans="1:21" ht="17.25" customHeight="1" x14ac:dyDescent="0.2">
      <c r="A77" s="299">
        <v>70</v>
      </c>
      <c r="B77" s="300"/>
      <c r="C77" s="301"/>
      <c r="D77" s="302"/>
      <c r="E77" s="300"/>
      <c r="F77" s="302"/>
      <c r="G77" s="302"/>
      <c r="H77" s="302"/>
      <c r="I77" s="302"/>
      <c r="J77" s="302"/>
      <c r="K77" s="302"/>
      <c r="L77" s="302"/>
      <c r="M77" s="302"/>
      <c r="N77" s="302"/>
      <c r="O77" s="302"/>
      <c r="P77" s="302"/>
      <c r="Q77" s="302"/>
      <c r="R77" s="302"/>
      <c r="S77" s="302"/>
      <c r="T77" s="302"/>
      <c r="U77" s="303" t="str">
        <f t="shared" si="1"/>
        <v/>
      </c>
    </row>
    <row r="78" spans="1:21" ht="17.25" customHeight="1" x14ac:dyDescent="0.2">
      <c r="A78" s="299">
        <v>71</v>
      </c>
      <c r="B78" s="300"/>
      <c r="C78" s="301"/>
      <c r="D78" s="302"/>
      <c r="E78" s="300"/>
      <c r="F78" s="302"/>
      <c r="G78" s="302"/>
      <c r="H78" s="302"/>
      <c r="I78" s="302"/>
      <c r="J78" s="302"/>
      <c r="K78" s="302"/>
      <c r="L78" s="302"/>
      <c r="M78" s="302"/>
      <c r="N78" s="302"/>
      <c r="O78" s="302"/>
      <c r="P78" s="302"/>
      <c r="Q78" s="302"/>
      <c r="R78" s="302"/>
      <c r="S78" s="302"/>
      <c r="T78" s="302"/>
      <c r="U78" s="303" t="str">
        <f t="shared" si="1"/>
        <v/>
      </c>
    </row>
    <row r="79" spans="1:21" ht="17.25" customHeight="1" x14ac:dyDescent="0.2">
      <c r="A79" s="299">
        <v>72</v>
      </c>
      <c r="B79" s="300"/>
      <c r="C79" s="301"/>
      <c r="D79" s="302"/>
      <c r="E79" s="300"/>
      <c r="F79" s="302"/>
      <c r="G79" s="302"/>
      <c r="H79" s="302"/>
      <c r="I79" s="302"/>
      <c r="J79" s="302"/>
      <c r="K79" s="302"/>
      <c r="L79" s="302"/>
      <c r="M79" s="302"/>
      <c r="N79" s="302"/>
      <c r="O79" s="302"/>
      <c r="P79" s="302"/>
      <c r="Q79" s="302"/>
      <c r="R79" s="302"/>
      <c r="S79" s="302"/>
      <c r="T79" s="302"/>
      <c r="U79" s="303" t="str">
        <f t="shared" si="1"/>
        <v/>
      </c>
    </row>
    <row r="80" spans="1:21" ht="17.25" customHeight="1" x14ac:dyDescent="0.2">
      <c r="A80" s="299">
        <v>73</v>
      </c>
      <c r="B80" s="300"/>
      <c r="C80" s="301"/>
      <c r="D80" s="302"/>
      <c r="E80" s="300"/>
      <c r="F80" s="302"/>
      <c r="G80" s="302"/>
      <c r="H80" s="302"/>
      <c r="I80" s="302"/>
      <c r="J80" s="302"/>
      <c r="K80" s="302"/>
      <c r="L80" s="302"/>
      <c r="M80" s="302"/>
      <c r="N80" s="302"/>
      <c r="O80" s="302"/>
      <c r="P80" s="302"/>
      <c r="Q80" s="302"/>
      <c r="R80" s="302"/>
      <c r="S80" s="302"/>
      <c r="T80" s="302"/>
      <c r="U80" s="303" t="str">
        <f t="shared" si="1"/>
        <v/>
      </c>
    </row>
    <row r="81" spans="1:21" ht="17.25" customHeight="1" x14ac:dyDescent="0.2">
      <c r="A81" s="299">
        <v>74</v>
      </c>
      <c r="B81" s="300"/>
      <c r="C81" s="301"/>
      <c r="D81" s="302"/>
      <c r="E81" s="300"/>
      <c r="F81" s="302"/>
      <c r="G81" s="302"/>
      <c r="H81" s="302"/>
      <c r="I81" s="302"/>
      <c r="J81" s="302"/>
      <c r="K81" s="302"/>
      <c r="L81" s="302"/>
      <c r="M81" s="302"/>
      <c r="N81" s="302"/>
      <c r="O81" s="302"/>
      <c r="P81" s="302"/>
      <c r="Q81" s="302"/>
      <c r="R81" s="302"/>
      <c r="S81" s="302"/>
      <c r="T81" s="302"/>
      <c r="U81" s="303" t="str">
        <f t="shared" si="1"/>
        <v/>
      </c>
    </row>
    <row r="82" spans="1:21" ht="17.25" customHeight="1" x14ac:dyDescent="0.2">
      <c r="A82" s="299">
        <v>75</v>
      </c>
      <c r="B82" s="300"/>
      <c r="C82" s="301"/>
      <c r="D82" s="302"/>
      <c r="E82" s="300"/>
      <c r="F82" s="302"/>
      <c r="G82" s="302"/>
      <c r="H82" s="302"/>
      <c r="I82" s="302"/>
      <c r="J82" s="302"/>
      <c r="K82" s="302"/>
      <c r="L82" s="302"/>
      <c r="M82" s="302"/>
      <c r="N82" s="302"/>
      <c r="O82" s="302"/>
      <c r="P82" s="302"/>
      <c r="Q82" s="302"/>
      <c r="R82" s="302"/>
      <c r="S82" s="302"/>
      <c r="T82" s="302"/>
      <c r="U82" s="303" t="str">
        <f t="shared" si="1"/>
        <v/>
      </c>
    </row>
    <row r="83" spans="1:21" ht="17.25" customHeight="1" x14ac:dyDescent="0.2">
      <c r="A83" s="299">
        <v>76</v>
      </c>
      <c r="B83" s="300"/>
      <c r="C83" s="301"/>
      <c r="D83" s="302"/>
      <c r="E83" s="300"/>
      <c r="F83" s="302"/>
      <c r="G83" s="302"/>
      <c r="H83" s="302"/>
      <c r="I83" s="302"/>
      <c r="J83" s="302"/>
      <c r="K83" s="302"/>
      <c r="L83" s="302"/>
      <c r="M83" s="302"/>
      <c r="N83" s="302"/>
      <c r="O83" s="302"/>
      <c r="P83" s="302"/>
      <c r="Q83" s="302"/>
      <c r="R83" s="302"/>
      <c r="S83" s="302"/>
      <c r="T83" s="302"/>
      <c r="U83" s="303" t="str">
        <f t="shared" si="1"/>
        <v/>
      </c>
    </row>
    <row r="84" spans="1:21" ht="17.25" customHeight="1" x14ac:dyDescent="0.2">
      <c r="A84" s="299">
        <v>77</v>
      </c>
      <c r="B84" s="300"/>
      <c r="C84" s="301"/>
      <c r="D84" s="302"/>
      <c r="E84" s="300"/>
      <c r="F84" s="302"/>
      <c r="G84" s="302"/>
      <c r="H84" s="302"/>
      <c r="I84" s="302"/>
      <c r="J84" s="302"/>
      <c r="K84" s="302"/>
      <c r="L84" s="302"/>
      <c r="M84" s="302"/>
      <c r="N84" s="302"/>
      <c r="O84" s="302"/>
      <c r="P84" s="302"/>
      <c r="Q84" s="302"/>
      <c r="R84" s="302"/>
      <c r="S84" s="302"/>
      <c r="T84" s="302"/>
      <c r="U84" s="303" t="str">
        <f t="shared" si="1"/>
        <v/>
      </c>
    </row>
    <row r="85" spans="1:21" ht="17.25" customHeight="1" x14ac:dyDescent="0.2">
      <c r="A85" s="299">
        <v>78</v>
      </c>
      <c r="B85" s="300"/>
      <c r="C85" s="301"/>
      <c r="D85" s="302"/>
      <c r="E85" s="300"/>
      <c r="F85" s="302"/>
      <c r="G85" s="302"/>
      <c r="H85" s="302"/>
      <c r="I85" s="302"/>
      <c r="J85" s="302"/>
      <c r="K85" s="302"/>
      <c r="L85" s="302"/>
      <c r="M85" s="302"/>
      <c r="N85" s="302"/>
      <c r="O85" s="302"/>
      <c r="P85" s="302"/>
      <c r="Q85" s="302"/>
      <c r="R85" s="302"/>
      <c r="S85" s="302"/>
      <c r="T85" s="302"/>
      <c r="U85" s="303" t="str">
        <f t="shared" si="1"/>
        <v/>
      </c>
    </row>
    <row r="86" spans="1:21" ht="17.25" customHeight="1" x14ac:dyDescent="0.2">
      <c r="A86" s="299">
        <v>79</v>
      </c>
      <c r="B86" s="300"/>
      <c r="C86" s="301"/>
      <c r="D86" s="302"/>
      <c r="E86" s="300"/>
      <c r="F86" s="302"/>
      <c r="G86" s="302"/>
      <c r="H86" s="302"/>
      <c r="I86" s="302"/>
      <c r="J86" s="302"/>
      <c r="K86" s="302"/>
      <c r="L86" s="302"/>
      <c r="M86" s="302"/>
      <c r="N86" s="302"/>
      <c r="O86" s="302"/>
      <c r="P86" s="302"/>
      <c r="Q86" s="302"/>
      <c r="R86" s="302"/>
      <c r="S86" s="302"/>
      <c r="T86" s="302"/>
      <c r="U86" s="303" t="str">
        <f t="shared" si="1"/>
        <v/>
      </c>
    </row>
    <row r="87" spans="1:21" ht="17.25" customHeight="1" x14ac:dyDescent="0.2">
      <c r="A87" s="299">
        <v>80</v>
      </c>
      <c r="B87" s="300"/>
      <c r="C87" s="301"/>
      <c r="D87" s="302"/>
      <c r="E87" s="300"/>
      <c r="F87" s="302"/>
      <c r="G87" s="302"/>
      <c r="H87" s="302"/>
      <c r="I87" s="302"/>
      <c r="J87" s="302"/>
      <c r="K87" s="302"/>
      <c r="L87" s="302"/>
      <c r="M87" s="302"/>
      <c r="N87" s="302"/>
      <c r="O87" s="302"/>
      <c r="P87" s="302"/>
      <c r="Q87" s="302"/>
      <c r="R87" s="302"/>
      <c r="S87" s="302"/>
      <c r="T87" s="302"/>
      <c r="U87" s="303" t="str">
        <f t="shared" si="1"/>
        <v/>
      </c>
    </row>
    <row r="88" spans="1:21" ht="17.25" customHeight="1" x14ac:dyDescent="0.2">
      <c r="A88" s="299">
        <v>81</v>
      </c>
      <c r="B88" s="300"/>
      <c r="C88" s="301"/>
      <c r="D88" s="302"/>
      <c r="E88" s="300"/>
      <c r="F88" s="302"/>
      <c r="G88" s="302"/>
      <c r="H88" s="302"/>
      <c r="I88" s="302"/>
      <c r="J88" s="302"/>
      <c r="K88" s="302"/>
      <c r="L88" s="302"/>
      <c r="M88" s="302"/>
      <c r="N88" s="302"/>
      <c r="O88" s="302"/>
      <c r="P88" s="302"/>
      <c r="Q88" s="302"/>
      <c r="R88" s="302"/>
      <c r="S88" s="302"/>
      <c r="T88" s="302"/>
      <c r="U88" s="303" t="str">
        <f t="shared" si="1"/>
        <v/>
      </c>
    </row>
    <row r="89" spans="1:21" ht="17.25" customHeight="1" x14ac:dyDescent="0.2">
      <c r="A89" s="299">
        <v>82</v>
      </c>
      <c r="B89" s="300"/>
      <c r="C89" s="301"/>
      <c r="D89" s="302"/>
      <c r="E89" s="300"/>
      <c r="F89" s="302"/>
      <c r="G89" s="302"/>
      <c r="H89" s="302"/>
      <c r="I89" s="302"/>
      <c r="J89" s="302"/>
      <c r="K89" s="302"/>
      <c r="L89" s="302"/>
      <c r="M89" s="302"/>
      <c r="N89" s="302"/>
      <c r="O89" s="302"/>
      <c r="P89" s="302"/>
      <c r="Q89" s="302"/>
      <c r="R89" s="302"/>
      <c r="S89" s="302"/>
      <c r="T89" s="302"/>
      <c r="U89" s="303" t="str">
        <f t="shared" si="1"/>
        <v/>
      </c>
    </row>
    <row r="90" spans="1:21" ht="17.25" customHeight="1" x14ac:dyDescent="0.2">
      <c r="A90" s="299">
        <v>83</v>
      </c>
      <c r="B90" s="300"/>
      <c r="C90" s="301"/>
      <c r="D90" s="302"/>
      <c r="E90" s="300"/>
      <c r="F90" s="302"/>
      <c r="G90" s="302"/>
      <c r="H90" s="302"/>
      <c r="I90" s="302"/>
      <c r="J90" s="302"/>
      <c r="K90" s="302"/>
      <c r="L90" s="302"/>
      <c r="M90" s="302"/>
      <c r="N90" s="302"/>
      <c r="O90" s="302"/>
      <c r="P90" s="302"/>
      <c r="Q90" s="302"/>
      <c r="R90" s="302"/>
      <c r="S90" s="302"/>
      <c r="T90" s="302"/>
      <c r="U90" s="303" t="str">
        <f t="shared" si="1"/>
        <v/>
      </c>
    </row>
    <row r="91" spans="1:21" ht="17.25" customHeight="1" x14ac:dyDescent="0.2">
      <c r="A91" s="299">
        <v>84</v>
      </c>
      <c r="B91" s="300"/>
      <c r="C91" s="301"/>
      <c r="D91" s="302"/>
      <c r="E91" s="300"/>
      <c r="F91" s="302"/>
      <c r="G91" s="302"/>
      <c r="H91" s="302"/>
      <c r="I91" s="302"/>
      <c r="J91" s="302"/>
      <c r="K91" s="302"/>
      <c r="L91" s="302"/>
      <c r="M91" s="302"/>
      <c r="N91" s="302"/>
      <c r="O91" s="302"/>
      <c r="P91" s="302"/>
      <c r="Q91" s="302"/>
      <c r="R91" s="302"/>
      <c r="S91" s="302"/>
      <c r="T91" s="302"/>
      <c r="U91" s="303" t="str">
        <f t="shared" si="1"/>
        <v/>
      </c>
    </row>
    <row r="92" spans="1:21" ht="17.25" customHeight="1" x14ac:dyDescent="0.2">
      <c r="A92" s="299">
        <v>85</v>
      </c>
      <c r="B92" s="300"/>
      <c r="C92" s="301"/>
      <c r="D92" s="302"/>
      <c r="E92" s="300"/>
      <c r="F92" s="302"/>
      <c r="G92" s="302"/>
      <c r="H92" s="302"/>
      <c r="I92" s="302"/>
      <c r="J92" s="302"/>
      <c r="K92" s="302"/>
      <c r="L92" s="302"/>
      <c r="M92" s="302"/>
      <c r="N92" s="302"/>
      <c r="O92" s="302"/>
      <c r="P92" s="302"/>
      <c r="Q92" s="302"/>
      <c r="R92" s="302"/>
      <c r="S92" s="302"/>
      <c r="T92" s="302"/>
      <c r="U92" s="303" t="str">
        <f t="shared" si="1"/>
        <v/>
      </c>
    </row>
    <row r="93" spans="1:21" ht="17.25" customHeight="1" x14ac:dyDescent="0.2">
      <c r="A93" s="299">
        <v>86</v>
      </c>
      <c r="B93" s="300"/>
      <c r="C93" s="301"/>
      <c r="D93" s="302"/>
      <c r="E93" s="300"/>
      <c r="F93" s="302"/>
      <c r="G93" s="302"/>
      <c r="H93" s="302"/>
      <c r="I93" s="302"/>
      <c r="J93" s="302"/>
      <c r="K93" s="302"/>
      <c r="L93" s="302"/>
      <c r="M93" s="302"/>
      <c r="N93" s="302"/>
      <c r="O93" s="302"/>
      <c r="P93" s="302"/>
      <c r="Q93" s="302"/>
      <c r="R93" s="302"/>
      <c r="S93" s="302"/>
      <c r="T93" s="302"/>
      <c r="U93" s="303" t="str">
        <f t="shared" si="1"/>
        <v/>
      </c>
    </row>
    <row r="94" spans="1:21" ht="17.25" customHeight="1" x14ac:dyDescent="0.2">
      <c r="A94" s="299">
        <v>87</v>
      </c>
      <c r="B94" s="300"/>
      <c r="C94" s="301"/>
      <c r="D94" s="302"/>
      <c r="E94" s="300"/>
      <c r="F94" s="302"/>
      <c r="G94" s="302"/>
      <c r="H94" s="302"/>
      <c r="I94" s="302"/>
      <c r="J94" s="302"/>
      <c r="K94" s="302"/>
      <c r="L94" s="302"/>
      <c r="M94" s="302"/>
      <c r="N94" s="302"/>
      <c r="O94" s="302"/>
      <c r="P94" s="302"/>
      <c r="Q94" s="302"/>
      <c r="R94" s="302"/>
      <c r="S94" s="302"/>
      <c r="T94" s="302"/>
      <c r="U94" s="303" t="str">
        <f t="shared" si="1"/>
        <v/>
      </c>
    </row>
    <row r="95" spans="1:21" ht="17.25" customHeight="1" x14ac:dyDescent="0.2">
      <c r="A95" s="299">
        <v>88</v>
      </c>
      <c r="B95" s="300"/>
      <c r="C95" s="301"/>
      <c r="D95" s="302"/>
      <c r="E95" s="300"/>
      <c r="F95" s="302"/>
      <c r="G95" s="302"/>
      <c r="H95" s="302"/>
      <c r="I95" s="302"/>
      <c r="J95" s="302"/>
      <c r="K95" s="302"/>
      <c r="L95" s="302"/>
      <c r="M95" s="302"/>
      <c r="N95" s="302"/>
      <c r="O95" s="302"/>
      <c r="P95" s="302"/>
      <c r="Q95" s="302"/>
      <c r="R95" s="302"/>
      <c r="S95" s="302"/>
      <c r="T95" s="302"/>
      <c r="U95" s="303" t="str">
        <f t="shared" si="1"/>
        <v/>
      </c>
    </row>
    <row r="96" spans="1:21" ht="17.25" customHeight="1" x14ac:dyDescent="0.2">
      <c r="A96" s="299">
        <v>89</v>
      </c>
      <c r="B96" s="300"/>
      <c r="C96" s="301"/>
      <c r="D96" s="302"/>
      <c r="E96" s="300"/>
      <c r="F96" s="302"/>
      <c r="G96" s="302"/>
      <c r="H96" s="302"/>
      <c r="I96" s="302"/>
      <c r="J96" s="302"/>
      <c r="K96" s="302"/>
      <c r="L96" s="302"/>
      <c r="M96" s="302"/>
      <c r="N96" s="302"/>
      <c r="O96" s="302"/>
      <c r="P96" s="302"/>
      <c r="Q96" s="302"/>
      <c r="R96" s="302"/>
      <c r="S96" s="302"/>
      <c r="T96" s="302"/>
      <c r="U96" s="303" t="str">
        <f t="shared" si="1"/>
        <v/>
      </c>
    </row>
    <row r="97" spans="1:21" ht="17.25" customHeight="1" x14ac:dyDescent="0.2">
      <c r="A97" s="299">
        <v>90</v>
      </c>
      <c r="B97" s="300"/>
      <c r="C97" s="301"/>
      <c r="D97" s="302"/>
      <c r="E97" s="300"/>
      <c r="F97" s="302"/>
      <c r="G97" s="302"/>
      <c r="H97" s="302"/>
      <c r="I97" s="302"/>
      <c r="J97" s="302"/>
      <c r="K97" s="302"/>
      <c r="L97" s="302"/>
      <c r="M97" s="302"/>
      <c r="N97" s="302"/>
      <c r="O97" s="302"/>
      <c r="P97" s="302"/>
      <c r="Q97" s="302"/>
      <c r="R97" s="302"/>
      <c r="S97" s="302"/>
      <c r="T97" s="302"/>
      <c r="U97" s="303" t="str">
        <f t="shared" si="1"/>
        <v/>
      </c>
    </row>
    <row r="98" spans="1:21" ht="17.25" customHeight="1" x14ac:dyDescent="0.2">
      <c r="A98" s="299">
        <v>91</v>
      </c>
      <c r="B98" s="300"/>
      <c r="C98" s="301"/>
      <c r="D98" s="302"/>
      <c r="E98" s="300"/>
      <c r="F98" s="302"/>
      <c r="G98" s="302"/>
      <c r="H98" s="302"/>
      <c r="I98" s="302"/>
      <c r="J98" s="302"/>
      <c r="K98" s="302"/>
      <c r="L98" s="302"/>
      <c r="M98" s="302"/>
      <c r="N98" s="302"/>
      <c r="O98" s="302"/>
      <c r="P98" s="302"/>
      <c r="Q98" s="302"/>
      <c r="R98" s="302"/>
      <c r="S98" s="302"/>
      <c r="T98" s="302"/>
      <c r="U98" s="303" t="str">
        <f t="shared" si="1"/>
        <v/>
      </c>
    </row>
    <row r="99" spans="1:21" ht="17.25" customHeight="1" x14ac:dyDescent="0.2">
      <c r="A99" s="299">
        <v>92</v>
      </c>
      <c r="B99" s="300"/>
      <c r="C99" s="301"/>
      <c r="D99" s="302"/>
      <c r="E99" s="300"/>
      <c r="F99" s="302"/>
      <c r="G99" s="302"/>
      <c r="H99" s="302"/>
      <c r="I99" s="302"/>
      <c r="J99" s="302"/>
      <c r="K99" s="302"/>
      <c r="L99" s="302"/>
      <c r="M99" s="302"/>
      <c r="N99" s="302"/>
      <c r="O99" s="302"/>
      <c r="P99" s="302"/>
      <c r="Q99" s="302"/>
      <c r="R99" s="302"/>
      <c r="S99" s="302"/>
      <c r="T99" s="302"/>
      <c r="U99" s="303" t="str">
        <f t="shared" si="1"/>
        <v/>
      </c>
    </row>
    <row r="100" spans="1:21" ht="17.25" customHeight="1" x14ac:dyDescent="0.2">
      <c r="A100" s="299">
        <v>93</v>
      </c>
      <c r="B100" s="300"/>
      <c r="C100" s="301"/>
      <c r="D100" s="302"/>
      <c r="E100" s="300"/>
      <c r="F100" s="302"/>
      <c r="G100" s="302"/>
      <c r="H100" s="302"/>
      <c r="I100" s="302"/>
      <c r="J100" s="302"/>
      <c r="K100" s="302"/>
      <c r="L100" s="302"/>
      <c r="M100" s="302"/>
      <c r="N100" s="302"/>
      <c r="O100" s="302"/>
      <c r="P100" s="302"/>
      <c r="Q100" s="302"/>
      <c r="R100" s="302"/>
      <c r="S100" s="302"/>
      <c r="T100" s="302"/>
      <c r="U100" s="303" t="str">
        <f t="shared" si="1"/>
        <v/>
      </c>
    </row>
    <row r="101" spans="1:21" ht="17.25" customHeight="1" x14ac:dyDescent="0.2">
      <c r="A101" s="299">
        <v>94</v>
      </c>
      <c r="B101" s="300"/>
      <c r="C101" s="301"/>
      <c r="D101" s="302"/>
      <c r="E101" s="300"/>
      <c r="F101" s="302"/>
      <c r="G101" s="302"/>
      <c r="H101" s="302"/>
      <c r="I101" s="302"/>
      <c r="J101" s="302"/>
      <c r="K101" s="302"/>
      <c r="L101" s="302"/>
      <c r="M101" s="302"/>
      <c r="N101" s="302"/>
      <c r="O101" s="302"/>
      <c r="P101" s="302"/>
      <c r="Q101" s="302"/>
      <c r="R101" s="302"/>
      <c r="S101" s="302"/>
      <c r="T101" s="302"/>
      <c r="U101" s="303" t="str">
        <f t="shared" si="1"/>
        <v/>
      </c>
    </row>
    <row r="102" spans="1:21" ht="17.25" customHeight="1" x14ac:dyDescent="0.2">
      <c r="A102" s="299">
        <v>95</v>
      </c>
      <c r="B102" s="300"/>
      <c r="C102" s="301"/>
      <c r="D102" s="302"/>
      <c r="E102" s="300"/>
      <c r="F102" s="302"/>
      <c r="G102" s="302"/>
      <c r="H102" s="302"/>
      <c r="I102" s="302"/>
      <c r="J102" s="302"/>
      <c r="K102" s="302"/>
      <c r="L102" s="302"/>
      <c r="M102" s="302"/>
      <c r="N102" s="302"/>
      <c r="O102" s="302"/>
      <c r="P102" s="302"/>
      <c r="Q102" s="302"/>
      <c r="R102" s="302"/>
      <c r="S102" s="302"/>
      <c r="T102" s="302"/>
      <c r="U102" s="303" t="str">
        <f t="shared" si="1"/>
        <v/>
      </c>
    </row>
    <row r="103" spans="1:21" ht="17.25" customHeight="1" x14ac:dyDescent="0.2">
      <c r="A103" s="299">
        <v>96</v>
      </c>
      <c r="B103" s="300"/>
      <c r="C103" s="301"/>
      <c r="D103" s="302"/>
      <c r="E103" s="300"/>
      <c r="F103" s="302"/>
      <c r="G103" s="302"/>
      <c r="H103" s="302"/>
      <c r="I103" s="302"/>
      <c r="J103" s="302"/>
      <c r="K103" s="302"/>
      <c r="L103" s="302"/>
      <c r="M103" s="302"/>
      <c r="N103" s="302"/>
      <c r="O103" s="302"/>
      <c r="P103" s="302"/>
      <c r="Q103" s="302"/>
      <c r="R103" s="302"/>
      <c r="S103" s="302"/>
      <c r="T103" s="302"/>
      <c r="U103" s="303" t="str">
        <f t="shared" si="1"/>
        <v/>
      </c>
    </row>
    <row r="104" spans="1:21" ht="17.25" customHeight="1" x14ac:dyDescent="0.2">
      <c r="A104" s="299">
        <v>97</v>
      </c>
      <c r="B104" s="300"/>
      <c r="C104" s="301"/>
      <c r="D104" s="302"/>
      <c r="E104" s="300"/>
      <c r="F104" s="302"/>
      <c r="G104" s="302"/>
      <c r="H104" s="302"/>
      <c r="I104" s="302"/>
      <c r="J104" s="302"/>
      <c r="K104" s="302"/>
      <c r="L104" s="302"/>
      <c r="M104" s="302"/>
      <c r="N104" s="302"/>
      <c r="O104" s="302"/>
      <c r="P104" s="302"/>
      <c r="Q104" s="302"/>
      <c r="R104" s="302"/>
      <c r="S104" s="302"/>
      <c r="T104" s="302"/>
      <c r="U104" s="303" t="str">
        <f t="shared" si="1"/>
        <v/>
      </c>
    </row>
    <row r="105" spans="1:21" ht="17.25" customHeight="1" x14ac:dyDescent="0.2">
      <c r="A105" s="299">
        <v>98</v>
      </c>
      <c r="B105" s="300"/>
      <c r="C105" s="301"/>
      <c r="D105" s="302"/>
      <c r="E105" s="300"/>
      <c r="F105" s="302"/>
      <c r="G105" s="302"/>
      <c r="H105" s="302"/>
      <c r="I105" s="302"/>
      <c r="J105" s="302"/>
      <c r="K105" s="302"/>
      <c r="L105" s="302"/>
      <c r="M105" s="302"/>
      <c r="N105" s="302"/>
      <c r="O105" s="302"/>
      <c r="P105" s="302"/>
      <c r="Q105" s="302"/>
      <c r="R105" s="302"/>
      <c r="S105" s="302"/>
      <c r="T105" s="302"/>
      <c r="U105" s="303" t="str">
        <f t="shared" si="1"/>
        <v/>
      </c>
    </row>
    <row r="106" spans="1:21" ht="17.25" customHeight="1" x14ac:dyDescent="0.2">
      <c r="A106" s="299">
        <v>99</v>
      </c>
      <c r="B106" s="300"/>
      <c r="C106" s="301"/>
      <c r="D106" s="302"/>
      <c r="E106" s="300"/>
      <c r="F106" s="302"/>
      <c r="G106" s="302"/>
      <c r="H106" s="302"/>
      <c r="I106" s="302"/>
      <c r="J106" s="302"/>
      <c r="K106" s="302"/>
      <c r="L106" s="302"/>
      <c r="M106" s="302"/>
      <c r="N106" s="302"/>
      <c r="O106" s="302"/>
      <c r="P106" s="302"/>
      <c r="Q106" s="302"/>
      <c r="R106" s="302"/>
      <c r="S106" s="302"/>
      <c r="T106" s="302"/>
      <c r="U106" s="303" t="str">
        <f t="shared" si="1"/>
        <v/>
      </c>
    </row>
    <row r="107" spans="1:21" ht="17.25" customHeight="1" x14ac:dyDescent="0.2">
      <c r="A107" s="299">
        <v>100</v>
      </c>
      <c r="B107" s="300"/>
      <c r="C107" s="301"/>
      <c r="D107" s="302"/>
      <c r="E107" s="300"/>
      <c r="F107" s="302"/>
      <c r="G107" s="302"/>
      <c r="H107" s="302"/>
      <c r="I107" s="302"/>
      <c r="J107" s="302"/>
      <c r="K107" s="302"/>
      <c r="L107" s="302"/>
      <c r="M107" s="302"/>
      <c r="N107" s="302"/>
      <c r="O107" s="302"/>
      <c r="P107" s="302"/>
      <c r="Q107" s="302"/>
      <c r="R107" s="302"/>
      <c r="S107" s="302"/>
      <c r="T107" s="302"/>
      <c r="U107" s="303" t="str">
        <f t="shared" si="1"/>
        <v/>
      </c>
    </row>
    <row r="108" spans="1:21" x14ac:dyDescent="0.2">
      <c r="A108" s="285"/>
      <c r="B108" s="290"/>
      <c r="C108" s="304"/>
      <c r="D108" s="285"/>
      <c r="E108" s="290"/>
      <c r="F108" s="285"/>
      <c r="G108" s="285"/>
      <c r="H108" s="285"/>
      <c r="I108" s="285"/>
      <c r="J108" s="285"/>
      <c r="K108" s="285"/>
      <c r="L108" s="285"/>
      <c r="M108" s="285"/>
      <c r="N108" s="285"/>
      <c r="O108" s="285"/>
      <c r="P108" s="285"/>
      <c r="Q108" s="285"/>
      <c r="R108" s="285"/>
      <c r="S108" s="285"/>
      <c r="T108" s="285"/>
    </row>
    <row r="109" spans="1:21" ht="18.75" x14ac:dyDescent="0.3">
      <c r="A109" s="288"/>
      <c r="B109" s="305"/>
      <c r="C109" s="289"/>
      <c r="D109" s="288"/>
      <c r="E109" s="305"/>
      <c r="F109" s="288"/>
      <c r="G109" s="288"/>
      <c r="H109" s="288"/>
      <c r="I109" s="288"/>
      <c r="J109" s="288"/>
      <c r="K109" s="288"/>
      <c r="L109" s="311" t="str">
        <f>Chinh!L34</f>
        <v>Cam ….., ngày ... tháng ... năm 202…</v>
      </c>
      <c r="M109" s="288"/>
      <c r="N109" s="288"/>
      <c r="O109" s="288"/>
      <c r="P109" s="288"/>
      <c r="Q109" s="288"/>
      <c r="R109" s="288"/>
      <c r="S109" s="288"/>
      <c r="T109" s="288"/>
    </row>
    <row r="110" spans="1:21" ht="18" x14ac:dyDescent="0.25">
      <c r="A110" s="306"/>
      <c r="B110" s="307"/>
      <c r="C110" s="308"/>
      <c r="D110" s="306"/>
      <c r="E110" s="307"/>
      <c r="F110" s="306"/>
      <c r="G110" s="306"/>
      <c r="H110" s="306"/>
      <c r="I110" s="306"/>
      <c r="J110" s="306"/>
      <c r="K110" s="306"/>
      <c r="L110" s="306"/>
      <c r="M110" s="306"/>
      <c r="N110" s="306"/>
      <c r="O110" s="306"/>
      <c r="P110" s="306"/>
      <c r="Q110" s="306"/>
      <c r="R110" s="306"/>
      <c r="S110" s="306"/>
      <c r="T110" s="306"/>
    </row>
    <row r="111" spans="1:21" ht="18" x14ac:dyDescent="0.25">
      <c r="A111" s="306"/>
      <c r="B111" s="307"/>
      <c r="C111" s="308"/>
      <c r="D111" s="306"/>
      <c r="E111" s="307"/>
      <c r="F111" s="306"/>
      <c r="G111" s="306"/>
      <c r="H111" s="306"/>
      <c r="I111" s="306"/>
      <c r="J111" s="306"/>
      <c r="K111" s="306"/>
      <c r="L111" s="306"/>
      <c r="M111" s="306"/>
      <c r="N111" s="306"/>
      <c r="O111" s="306"/>
      <c r="P111" s="306"/>
      <c r="Q111" s="306"/>
      <c r="R111" s="306"/>
      <c r="S111" s="306"/>
      <c r="T111" s="306"/>
    </row>
    <row r="112" spans="1:21" ht="18" x14ac:dyDescent="0.25">
      <c r="A112" s="306"/>
      <c r="B112" s="307"/>
      <c r="C112" s="308"/>
      <c r="D112" s="306"/>
      <c r="E112" s="307"/>
      <c r="F112" s="306"/>
      <c r="G112" s="306"/>
      <c r="H112" s="306"/>
      <c r="I112" s="306"/>
      <c r="J112" s="306"/>
      <c r="K112" s="306"/>
      <c r="L112" s="306"/>
      <c r="M112" s="306"/>
      <c r="N112" s="306"/>
      <c r="O112" s="306"/>
      <c r="P112" s="306"/>
      <c r="Q112" s="306"/>
      <c r="R112" s="306"/>
      <c r="S112" s="306"/>
      <c r="T112" s="306"/>
    </row>
    <row r="113" spans="1:20" s="286" customFormat="1" ht="18" x14ac:dyDescent="0.25">
      <c r="A113" s="306"/>
      <c r="B113" s="307"/>
      <c r="C113" s="308"/>
      <c r="D113" s="306"/>
      <c r="E113" s="307"/>
      <c r="F113" s="306"/>
      <c r="G113" s="306"/>
      <c r="H113" s="306"/>
      <c r="I113" s="306"/>
      <c r="J113" s="306"/>
      <c r="K113" s="306"/>
      <c r="L113" s="306"/>
      <c r="M113" s="306"/>
      <c r="N113" s="306"/>
      <c r="O113" s="306"/>
      <c r="P113" s="306"/>
      <c r="Q113" s="306"/>
      <c r="R113" s="306"/>
      <c r="S113" s="306"/>
      <c r="T113" s="306"/>
    </row>
    <row r="114" spans="1:20" s="286" customFormat="1" ht="18" x14ac:dyDescent="0.25">
      <c r="A114" s="306"/>
      <c r="B114" s="307"/>
      <c r="C114" s="308"/>
      <c r="D114" s="306"/>
      <c r="E114" s="307"/>
      <c r="F114" s="306"/>
      <c r="G114" s="306"/>
      <c r="H114" s="306"/>
      <c r="I114" s="306"/>
      <c r="J114" s="306"/>
      <c r="K114" s="306"/>
      <c r="L114" s="306"/>
      <c r="M114" s="306"/>
      <c r="N114" s="306"/>
      <c r="O114" s="306"/>
      <c r="P114" s="306"/>
      <c r="Q114" s="306"/>
      <c r="R114" s="306"/>
      <c r="S114" s="306"/>
      <c r="T114" s="306"/>
    </row>
    <row r="115" spans="1:20" s="286" customFormat="1" ht="18" x14ac:dyDescent="0.25">
      <c r="A115" s="306"/>
      <c r="B115" s="307"/>
      <c r="C115" s="308"/>
      <c r="D115" s="306"/>
      <c r="E115" s="307"/>
      <c r="F115" s="306"/>
      <c r="G115" s="306"/>
      <c r="H115" s="306"/>
      <c r="I115" s="306"/>
      <c r="J115" s="306"/>
      <c r="K115" s="306"/>
      <c r="L115" s="306"/>
      <c r="M115" s="306"/>
      <c r="N115" s="306"/>
      <c r="O115" s="306"/>
      <c r="P115" s="306"/>
      <c r="Q115" s="306"/>
      <c r="R115" s="306"/>
      <c r="S115" s="306"/>
      <c r="T115" s="306"/>
    </row>
    <row r="116" spans="1:20" s="286" customFormat="1" x14ac:dyDescent="0.2">
      <c r="A116" s="287"/>
      <c r="B116" s="309"/>
      <c r="C116" s="310"/>
      <c r="D116" s="287"/>
      <c r="E116" s="309"/>
      <c r="F116" s="287"/>
      <c r="G116" s="287"/>
      <c r="H116" s="287"/>
      <c r="I116" s="287"/>
      <c r="J116" s="287"/>
      <c r="K116" s="287"/>
      <c r="L116" s="287"/>
      <c r="M116" s="287"/>
      <c r="N116" s="287"/>
      <c r="O116" s="287"/>
      <c r="P116" s="287"/>
      <c r="Q116" s="287"/>
      <c r="R116" s="287"/>
      <c r="S116" s="287"/>
      <c r="T116" s="287"/>
    </row>
    <row r="117" spans="1:20" s="286" customFormat="1" x14ac:dyDescent="0.2">
      <c r="A117" s="287"/>
      <c r="B117" s="309"/>
      <c r="C117" s="310"/>
      <c r="D117" s="287"/>
      <c r="E117" s="309"/>
      <c r="F117" s="287"/>
      <c r="G117" s="287"/>
      <c r="H117" s="287"/>
      <c r="I117" s="287"/>
      <c r="J117" s="287"/>
      <c r="K117" s="287"/>
      <c r="L117" s="287"/>
      <c r="M117" s="287"/>
      <c r="N117" s="287"/>
      <c r="O117" s="287"/>
      <c r="P117" s="287"/>
      <c r="Q117" s="287"/>
      <c r="R117" s="287"/>
      <c r="S117" s="287"/>
      <c r="T117" s="287"/>
    </row>
    <row r="118" spans="1:20" s="286" customFormat="1" x14ac:dyDescent="0.2">
      <c r="A118" s="287"/>
      <c r="B118" s="309"/>
      <c r="C118" s="310"/>
      <c r="D118" s="287"/>
      <c r="E118" s="309"/>
      <c r="F118" s="287"/>
      <c r="G118" s="287"/>
      <c r="H118" s="287"/>
      <c r="I118" s="287"/>
      <c r="J118" s="287"/>
      <c r="K118" s="287"/>
      <c r="L118" s="287"/>
      <c r="M118" s="287"/>
      <c r="N118" s="287"/>
      <c r="O118" s="287"/>
      <c r="P118" s="287"/>
      <c r="Q118" s="287"/>
      <c r="R118" s="287"/>
      <c r="S118" s="287"/>
      <c r="T118" s="287"/>
    </row>
    <row r="119" spans="1:20" s="286" customFormat="1" x14ac:dyDescent="0.2">
      <c r="A119" s="287"/>
      <c r="B119" s="309"/>
      <c r="C119" s="310"/>
      <c r="D119" s="287"/>
      <c r="E119" s="309"/>
      <c r="F119" s="287"/>
      <c r="G119" s="287"/>
      <c r="H119" s="287"/>
      <c r="I119" s="287"/>
      <c r="J119" s="287"/>
      <c r="K119" s="287"/>
      <c r="L119" s="287"/>
      <c r="M119" s="287"/>
      <c r="N119" s="287"/>
      <c r="O119" s="287"/>
      <c r="P119" s="287"/>
      <c r="Q119" s="287"/>
      <c r="R119" s="287"/>
      <c r="S119" s="287"/>
      <c r="T119" s="287"/>
    </row>
    <row r="120" spans="1:20" s="286" customFormat="1" x14ac:dyDescent="0.2">
      <c r="A120" s="287"/>
      <c r="B120" s="309"/>
      <c r="C120" s="310"/>
      <c r="D120" s="287"/>
      <c r="E120" s="309"/>
      <c r="F120" s="287"/>
      <c r="G120" s="287"/>
      <c r="H120" s="287"/>
      <c r="I120" s="287"/>
      <c r="J120" s="287"/>
      <c r="K120" s="287"/>
      <c r="L120" s="287"/>
      <c r="M120" s="287"/>
      <c r="N120" s="287"/>
      <c r="O120" s="287"/>
      <c r="P120" s="287"/>
      <c r="Q120" s="287"/>
      <c r="R120" s="287"/>
      <c r="S120" s="287"/>
      <c r="T120" s="287"/>
    </row>
    <row r="121" spans="1:20" s="286" customFormat="1" x14ac:dyDescent="0.2">
      <c r="A121" s="287"/>
      <c r="B121" s="309"/>
      <c r="C121" s="310"/>
      <c r="D121" s="287"/>
      <c r="E121" s="309"/>
      <c r="F121" s="287"/>
      <c r="G121" s="287"/>
      <c r="H121" s="287"/>
      <c r="I121" s="287"/>
      <c r="J121" s="287"/>
      <c r="K121" s="287"/>
      <c r="L121" s="287"/>
      <c r="M121" s="287"/>
      <c r="N121" s="287"/>
      <c r="O121" s="287"/>
      <c r="P121" s="287"/>
      <c r="Q121" s="287"/>
      <c r="R121" s="287"/>
      <c r="S121" s="287"/>
      <c r="T121" s="287"/>
    </row>
    <row r="122" spans="1:20" s="286" customFormat="1" x14ac:dyDescent="0.2">
      <c r="A122" s="287"/>
      <c r="B122" s="309"/>
      <c r="C122" s="310"/>
      <c r="D122" s="287"/>
      <c r="E122" s="309"/>
      <c r="F122" s="287"/>
      <c r="G122" s="287"/>
      <c r="H122" s="287"/>
      <c r="I122" s="287"/>
      <c r="J122" s="287"/>
      <c r="K122" s="287"/>
      <c r="L122" s="287"/>
      <c r="M122" s="287"/>
      <c r="N122" s="287"/>
      <c r="O122" s="287"/>
      <c r="P122" s="287"/>
      <c r="Q122" s="287"/>
      <c r="R122" s="287"/>
      <c r="S122" s="287"/>
      <c r="T122" s="287"/>
    </row>
    <row r="123" spans="1:20" s="286" customFormat="1" x14ac:dyDescent="0.2">
      <c r="A123" s="287"/>
      <c r="B123" s="309"/>
      <c r="C123" s="310"/>
      <c r="D123" s="287"/>
      <c r="E123" s="309"/>
      <c r="F123" s="287"/>
      <c r="G123" s="287"/>
      <c r="H123" s="287"/>
      <c r="I123" s="287"/>
      <c r="J123" s="287"/>
      <c r="K123" s="287"/>
      <c r="L123" s="287"/>
      <c r="M123" s="287"/>
      <c r="N123" s="287"/>
      <c r="O123" s="287"/>
      <c r="P123" s="287"/>
      <c r="Q123" s="287"/>
      <c r="R123" s="287"/>
      <c r="S123" s="287"/>
      <c r="T123" s="287"/>
    </row>
    <row r="124" spans="1:20" s="286" customFormat="1" x14ac:dyDescent="0.2">
      <c r="A124" s="287"/>
      <c r="B124" s="309"/>
      <c r="C124" s="310"/>
      <c r="D124" s="287"/>
      <c r="E124" s="309"/>
      <c r="F124" s="287"/>
      <c r="G124" s="287"/>
      <c r="H124" s="287"/>
      <c r="I124" s="287"/>
      <c r="J124" s="287"/>
      <c r="K124" s="287"/>
      <c r="L124" s="287"/>
      <c r="M124" s="287"/>
      <c r="N124" s="287"/>
      <c r="O124" s="287"/>
      <c r="P124" s="287"/>
      <c r="Q124" s="287"/>
      <c r="R124" s="287"/>
      <c r="S124" s="287"/>
      <c r="T124" s="287"/>
    </row>
    <row r="125" spans="1:20" s="286" customFormat="1" x14ac:dyDescent="0.2">
      <c r="A125" s="287"/>
      <c r="B125" s="309"/>
      <c r="C125" s="310"/>
      <c r="D125" s="287"/>
      <c r="E125" s="309"/>
      <c r="F125" s="287"/>
      <c r="G125" s="287"/>
      <c r="H125" s="287"/>
      <c r="I125" s="287"/>
      <c r="J125" s="287"/>
      <c r="K125" s="287"/>
      <c r="L125" s="287"/>
      <c r="M125" s="287"/>
      <c r="N125" s="287"/>
      <c r="O125" s="287"/>
      <c r="P125" s="287"/>
      <c r="Q125" s="287"/>
      <c r="R125" s="287"/>
      <c r="S125" s="287"/>
      <c r="T125" s="287"/>
    </row>
    <row r="126" spans="1:20" s="286" customFormat="1" x14ac:dyDescent="0.2">
      <c r="A126" s="287"/>
      <c r="B126" s="309"/>
      <c r="C126" s="310"/>
      <c r="D126" s="287"/>
      <c r="E126" s="309"/>
      <c r="F126" s="287"/>
      <c r="G126" s="287"/>
      <c r="H126" s="287"/>
      <c r="I126" s="287"/>
      <c r="J126" s="287"/>
      <c r="K126" s="287"/>
      <c r="L126" s="287"/>
      <c r="M126" s="287"/>
      <c r="N126" s="287"/>
      <c r="O126" s="287"/>
      <c r="P126" s="287"/>
      <c r="Q126" s="287"/>
      <c r="R126" s="287"/>
      <c r="S126" s="287"/>
      <c r="T126" s="287"/>
    </row>
    <row r="127" spans="1:20" s="286" customFormat="1" x14ac:dyDescent="0.2">
      <c r="A127" s="287"/>
      <c r="B127" s="309"/>
      <c r="C127" s="310"/>
      <c r="D127" s="287"/>
      <c r="E127" s="309"/>
      <c r="F127" s="287"/>
      <c r="G127" s="287"/>
      <c r="H127" s="287"/>
      <c r="I127" s="287"/>
      <c r="J127" s="287"/>
      <c r="K127" s="287"/>
      <c r="L127" s="287"/>
      <c r="M127" s="287"/>
      <c r="N127" s="287"/>
      <c r="O127" s="287"/>
      <c r="P127" s="287"/>
      <c r="Q127" s="287"/>
      <c r="R127" s="287"/>
      <c r="S127" s="287"/>
      <c r="T127" s="287"/>
    </row>
    <row r="128" spans="1:20" s="286" customFormat="1" x14ac:dyDescent="0.2">
      <c r="A128" s="287"/>
      <c r="B128" s="309"/>
      <c r="C128" s="310"/>
      <c r="D128" s="287"/>
      <c r="E128" s="309"/>
      <c r="F128" s="287"/>
      <c r="G128" s="287"/>
      <c r="H128" s="287"/>
      <c r="I128" s="287"/>
      <c r="J128" s="287"/>
      <c r="K128" s="287"/>
      <c r="L128" s="287"/>
      <c r="M128" s="287"/>
      <c r="N128" s="287"/>
      <c r="O128" s="287"/>
      <c r="P128" s="287"/>
      <c r="Q128" s="287"/>
      <c r="R128" s="287"/>
      <c r="S128" s="287"/>
      <c r="T128" s="287"/>
    </row>
    <row r="129" spans="2:21" s="310" customFormat="1" x14ac:dyDescent="0.2">
      <c r="B129" s="309"/>
      <c r="D129" s="287"/>
      <c r="E129" s="309"/>
      <c r="F129" s="287"/>
      <c r="G129" s="287"/>
      <c r="H129" s="287"/>
      <c r="I129" s="287"/>
      <c r="J129" s="287"/>
      <c r="K129" s="287"/>
      <c r="L129" s="287"/>
      <c r="M129" s="287"/>
      <c r="N129" s="287"/>
      <c r="O129" s="287"/>
      <c r="P129" s="287"/>
      <c r="Q129" s="287"/>
      <c r="R129" s="287"/>
      <c r="S129" s="287"/>
      <c r="T129" s="287"/>
      <c r="U129" s="286"/>
    </row>
    <row r="130" spans="2:21" s="310" customFormat="1" x14ac:dyDescent="0.2">
      <c r="B130" s="309"/>
      <c r="D130" s="287"/>
      <c r="E130" s="309"/>
      <c r="F130" s="287"/>
      <c r="G130" s="287"/>
      <c r="H130" s="287"/>
      <c r="I130" s="287"/>
      <c r="J130" s="287"/>
      <c r="K130" s="287"/>
      <c r="L130" s="287"/>
      <c r="M130" s="287"/>
      <c r="N130" s="287"/>
      <c r="O130" s="287"/>
      <c r="P130" s="287"/>
      <c r="Q130" s="287"/>
      <c r="R130" s="287"/>
      <c r="S130" s="287"/>
      <c r="T130" s="287"/>
      <c r="U130" s="286"/>
    </row>
    <row r="131" spans="2:21" s="310" customFormat="1" x14ac:dyDescent="0.2">
      <c r="B131" s="309"/>
      <c r="D131" s="287"/>
      <c r="E131" s="309"/>
      <c r="F131" s="287"/>
      <c r="G131" s="287"/>
      <c r="H131" s="287"/>
      <c r="I131" s="287"/>
      <c r="J131" s="287"/>
      <c r="K131" s="287"/>
      <c r="L131" s="287"/>
      <c r="M131" s="287"/>
      <c r="N131" s="287"/>
      <c r="O131" s="287"/>
      <c r="P131" s="287"/>
      <c r="Q131" s="287"/>
      <c r="R131" s="287"/>
      <c r="S131" s="287"/>
      <c r="T131" s="287"/>
      <c r="U131" s="286"/>
    </row>
    <row r="132" spans="2:21" s="310" customFormat="1" x14ac:dyDescent="0.2">
      <c r="B132" s="309"/>
      <c r="D132" s="287"/>
      <c r="E132" s="309"/>
      <c r="F132" s="287"/>
      <c r="G132" s="287"/>
      <c r="H132" s="287"/>
      <c r="I132" s="287"/>
      <c r="J132" s="287"/>
      <c r="K132" s="287"/>
      <c r="L132" s="287"/>
      <c r="M132" s="287"/>
      <c r="N132" s="287"/>
      <c r="O132" s="287"/>
      <c r="P132" s="287"/>
      <c r="Q132" s="287"/>
      <c r="R132" s="287"/>
      <c r="S132" s="287"/>
      <c r="T132" s="287"/>
      <c r="U132" s="286"/>
    </row>
    <row r="133" spans="2:21" s="310" customFormat="1" x14ac:dyDescent="0.2">
      <c r="B133" s="309"/>
      <c r="D133" s="287"/>
      <c r="E133" s="309"/>
      <c r="F133" s="287"/>
      <c r="G133" s="287"/>
      <c r="H133" s="287"/>
      <c r="I133" s="287"/>
      <c r="J133" s="287"/>
      <c r="K133" s="287"/>
      <c r="L133" s="287"/>
      <c r="M133" s="287"/>
      <c r="N133" s="287"/>
      <c r="O133" s="287"/>
      <c r="P133" s="287"/>
      <c r="Q133" s="287"/>
      <c r="R133" s="287"/>
      <c r="S133" s="287"/>
      <c r="T133" s="287"/>
      <c r="U133" s="286"/>
    </row>
    <row r="134" spans="2:21" s="310" customFormat="1" x14ac:dyDescent="0.2">
      <c r="B134" s="309"/>
      <c r="D134" s="287"/>
      <c r="E134" s="309"/>
      <c r="F134" s="287"/>
      <c r="G134" s="287"/>
      <c r="H134" s="287"/>
      <c r="I134" s="287"/>
      <c r="J134" s="287"/>
      <c r="K134" s="287"/>
      <c r="L134" s="287"/>
      <c r="M134" s="287"/>
      <c r="N134" s="287"/>
      <c r="O134" s="287"/>
      <c r="P134" s="287"/>
      <c r="Q134" s="287"/>
      <c r="R134" s="287"/>
      <c r="S134" s="287"/>
      <c r="T134" s="287"/>
      <c r="U134" s="286"/>
    </row>
    <row r="135" spans="2:21" s="310" customFormat="1" x14ac:dyDescent="0.2">
      <c r="B135" s="309"/>
      <c r="D135" s="287"/>
      <c r="E135" s="309"/>
      <c r="F135" s="287"/>
      <c r="G135" s="287"/>
      <c r="H135" s="287"/>
      <c r="I135" s="287"/>
      <c r="J135" s="287"/>
      <c r="K135" s="287"/>
      <c r="L135" s="287"/>
      <c r="M135" s="287"/>
      <c r="N135" s="287"/>
      <c r="O135" s="287"/>
      <c r="P135" s="287"/>
      <c r="Q135" s="287"/>
      <c r="R135" s="287"/>
      <c r="S135" s="287"/>
      <c r="T135" s="287"/>
      <c r="U135" s="286"/>
    </row>
    <row r="136" spans="2:21" s="310" customFormat="1" x14ac:dyDescent="0.2">
      <c r="B136" s="309"/>
      <c r="D136" s="287"/>
      <c r="E136" s="309"/>
      <c r="F136" s="287"/>
      <c r="G136" s="287"/>
      <c r="H136" s="287"/>
      <c r="I136" s="287"/>
      <c r="J136" s="287"/>
      <c r="K136" s="287"/>
      <c r="L136" s="287"/>
      <c r="M136" s="287"/>
      <c r="N136" s="287"/>
      <c r="O136" s="287"/>
      <c r="P136" s="287"/>
      <c r="Q136" s="287"/>
      <c r="R136" s="287"/>
      <c r="S136" s="287"/>
      <c r="T136" s="287"/>
      <c r="U136" s="286"/>
    </row>
    <row r="137" spans="2:21" s="310" customFormat="1" x14ac:dyDescent="0.2">
      <c r="B137" s="309"/>
      <c r="D137" s="287"/>
      <c r="E137" s="309"/>
      <c r="F137" s="287"/>
      <c r="G137" s="287"/>
      <c r="H137" s="287"/>
      <c r="I137" s="287"/>
      <c r="J137" s="287"/>
      <c r="K137" s="287"/>
      <c r="L137" s="287"/>
      <c r="M137" s="287"/>
      <c r="N137" s="287"/>
      <c r="O137" s="287"/>
      <c r="P137" s="287"/>
      <c r="Q137" s="287"/>
      <c r="R137" s="287"/>
      <c r="S137" s="287"/>
      <c r="T137" s="287"/>
      <c r="U137" s="286"/>
    </row>
    <row r="138" spans="2:21" s="310" customFormat="1" x14ac:dyDescent="0.2">
      <c r="B138" s="309"/>
      <c r="D138" s="287"/>
      <c r="E138" s="309"/>
      <c r="F138" s="287"/>
      <c r="G138" s="287"/>
      <c r="H138" s="287"/>
      <c r="I138" s="287"/>
      <c r="J138" s="287"/>
      <c r="K138" s="287"/>
      <c r="L138" s="287"/>
      <c r="M138" s="287"/>
      <c r="N138" s="287"/>
      <c r="O138" s="287"/>
      <c r="P138" s="287"/>
      <c r="Q138" s="287"/>
      <c r="R138" s="287"/>
      <c r="S138" s="287"/>
      <c r="T138" s="287"/>
      <c r="U138" s="286"/>
    </row>
    <row r="139" spans="2:21" s="310" customFormat="1" x14ac:dyDescent="0.2">
      <c r="B139" s="309"/>
      <c r="D139" s="287"/>
      <c r="E139" s="309"/>
      <c r="F139" s="287"/>
      <c r="G139" s="287"/>
      <c r="H139" s="287"/>
      <c r="I139" s="287"/>
      <c r="J139" s="287"/>
      <c r="K139" s="287"/>
      <c r="L139" s="287"/>
      <c r="M139" s="287"/>
      <c r="N139" s="287"/>
      <c r="O139" s="287"/>
      <c r="P139" s="287"/>
      <c r="Q139" s="287"/>
      <c r="R139" s="287"/>
      <c r="S139" s="287"/>
      <c r="T139" s="287"/>
      <c r="U139" s="286"/>
    </row>
    <row r="140" spans="2:21" s="310" customFormat="1" x14ac:dyDescent="0.2">
      <c r="B140" s="309"/>
      <c r="D140" s="287"/>
      <c r="E140" s="309"/>
      <c r="F140" s="287"/>
      <c r="G140" s="287"/>
      <c r="H140" s="287"/>
      <c r="I140" s="287"/>
      <c r="J140" s="287"/>
      <c r="K140" s="287"/>
      <c r="L140" s="287"/>
      <c r="M140" s="287"/>
      <c r="N140" s="287"/>
      <c r="O140" s="287"/>
      <c r="P140" s="287"/>
      <c r="Q140" s="287"/>
      <c r="R140" s="287"/>
      <c r="S140" s="287"/>
      <c r="T140" s="287"/>
      <c r="U140" s="286"/>
    </row>
    <row r="141" spans="2:21" s="310" customFormat="1" x14ac:dyDescent="0.2">
      <c r="B141" s="309"/>
      <c r="D141" s="287"/>
      <c r="E141" s="309"/>
      <c r="F141" s="287"/>
      <c r="G141" s="287"/>
      <c r="H141" s="287"/>
      <c r="I141" s="287"/>
      <c r="J141" s="287"/>
      <c r="K141" s="287"/>
      <c r="L141" s="287"/>
      <c r="M141" s="287"/>
      <c r="N141" s="287"/>
      <c r="O141" s="287"/>
      <c r="P141" s="287"/>
      <c r="Q141" s="287"/>
      <c r="R141" s="287"/>
      <c r="S141" s="287"/>
      <c r="T141" s="287"/>
      <c r="U141" s="286"/>
    </row>
    <row r="142" spans="2:21" s="310" customFormat="1" x14ac:dyDescent="0.2">
      <c r="B142" s="309"/>
      <c r="D142" s="287"/>
      <c r="E142" s="309"/>
      <c r="F142" s="287"/>
      <c r="G142" s="287"/>
      <c r="H142" s="287"/>
      <c r="I142" s="287"/>
      <c r="J142" s="287"/>
      <c r="K142" s="287"/>
      <c r="L142" s="287"/>
      <c r="M142" s="287"/>
      <c r="N142" s="287"/>
      <c r="O142" s="287"/>
      <c r="P142" s="287"/>
      <c r="Q142" s="287"/>
      <c r="R142" s="287"/>
      <c r="S142" s="287"/>
      <c r="T142" s="287"/>
      <c r="U142" s="286"/>
    </row>
    <row r="143" spans="2:21" s="310" customFormat="1" x14ac:dyDescent="0.2">
      <c r="B143" s="309"/>
      <c r="D143" s="287"/>
      <c r="E143" s="309"/>
      <c r="F143" s="287"/>
      <c r="G143" s="287"/>
      <c r="H143" s="287"/>
      <c r="I143" s="287"/>
      <c r="J143" s="287"/>
      <c r="K143" s="287"/>
      <c r="L143" s="287"/>
      <c r="M143" s="287"/>
      <c r="N143" s="287"/>
      <c r="O143" s="287"/>
      <c r="P143" s="287"/>
      <c r="Q143" s="287"/>
      <c r="R143" s="287"/>
      <c r="S143" s="287"/>
      <c r="T143" s="287"/>
      <c r="U143" s="286"/>
    </row>
    <row r="144" spans="2:21" s="310" customFormat="1" x14ac:dyDescent="0.2">
      <c r="B144" s="309"/>
      <c r="D144" s="287"/>
      <c r="E144" s="309"/>
      <c r="F144" s="287"/>
      <c r="G144" s="287"/>
      <c r="H144" s="287"/>
      <c r="I144" s="287"/>
      <c r="J144" s="287"/>
      <c r="K144" s="287"/>
      <c r="L144" s="287"/>
      <c r="M144" s="287"/>
      <c r="N144" s="287"/>
      <c r="O144" s="287"/>
      <c r="P144" s="287"/>
      <c r="Q144" s="287"/>
      <c r="R144" s="287"/>
      <c r="S144" s="287"/>
      <c r="T144" s="287"/>
      <c r="U144" s="286"/>
    </row>
    <row r="145" spans="2:21" s="310" customFormat="1" x14ac:dyDescent="0.2">
      <c r="B145" s="309"/>
      <c r="D145" s="287"/>
      <c r="E145" s="309"/>
      <c r="F145" s="287"/>
      <c r="G145" s="287"/>
      <c r="H145" s="287"/>
      <c r="I145" s="287"/>
      <c r="J145" s="287"/>
      <c r="K145" s="287"/>
      <c r="L145" s="287"/>
      <c r="M145" s="287"/>
      <c r="N145" s="287"/>
      <c r="O145" s="287"/>
      <c r="P145" s="287"/>
      <c r="Q145" s="287"/>
      <c r="R145" s="287"/>
      <c r="S145" s="287"/>
      <c r="T145" s="287"/>
      <c r="U145" s="286"/>
    </row>
    <row r="146" spans="2:21" s="310" customFormat="1" x14ac:dyDescent="0.2">
      <c r="B146" s="309"/>
      <c r="D146" s="287"/>
      <c r="E146" s="309"/>
      <c r="F146" s="287"/>
      <c r="G146" s="287"/>
      <c r="H146" s="287"/>
      <c r="I146" s="287"/>
      <c r="J146" s="287"/>
      <c r="K146" s="287"/>
      <c r="L146" s="287"/>
      <c r="M146" s="287"/>
      <c r="N146" s="287"/>
      <c r="O146" s="287"/>
      <c r="P146" s="287"/>
      <c r="Q146" s="287"/>
      <c r="R146" s="287"/>
      <c r="S146" s="287"/>
      <c r="T146" s="287"/>
      <c r="U146" s="286"/>
    </row>
    <row r="147" spans="2:21" s="310" customFormat="1" x14ac:dyDescent="0.2">
      <c r="B147" s="309"/>
      <c r="D147" s="287"/>
      <c r="E147" s="309"/>
      <c r="F147" s="287"/>
      <c r="G147" s="287"/>
      <c r="H147" s="287"/>
      <c r="I147" s="287"/>
      <c r="J147" s="287"/>
      <c r="K147" s="287"/>
      <c r="L147" s="287"/>
      <c r="M147" s="287"/>
      <c r="N147" s="287"/>
      <c r="O147" s="287"/>
      <c r="P147" s="287"/>
      <c r="Q147" s="287"/>
      <c r="R147" s="287"/>
      <c r="S147" s="287"/>
      <c r="T147" s="287"/>
      <c r="U147" s="286"/>
    </row>
    <row r="148" spans="2:21" s="310" customFormat="1" x14ac:dyDescent="0.2">
      <c r="B148" s="309"/>
      <c r="D148" s="287"/>
      <c r="E148" s="309"/>
      <c r="F148" s="287"/>
      <c r="G148" s="287"/>
      <c r="H148" s="287"/>
      <c r="I148" s="287"/>
      <c r="J148" s="287"/>
      <c r="K148" s="287"/>
      <c r="L148" s="287"/>
      <c r="M148" s="287"/>
      <c r="N148" s="287"/>
      <c r="O148" s="287"/>
      <c r="P148" s="287"/>
      <c r="Q148" s="287"/>
      <c r="R148" s="287"/>
      <c r="S148" s="287"/>
      <c r="T148" s="287"/>
      <c r="U148" s="286"/>
    </row>
    <row r="149" spans="2:21" s="310" customFormat="1" x14ac:dyDescent="0.2">
      <c r="B149" s="309"/>
      <c r="D149" s="287"/>
      <c r="E149" s="309"/>
      <c r="F149" s="287"/>
      <c r="G149" s="287"/>
      <c r="H149" s="287"/>
      <c r="I149" s="287"/>
      <c r="J149" s="287"/>
      <c r="K149" s="287"/>
      <c r="L149" s="287"/>
      <c r="M149" s="287"/>
      <c r="N149" s="287"/>
      <c r="O149" s="287"/>
      <c r="P149" s="287"/>
      <c r="Q149" s="287"/>
      <c r="R149" s="287"/>
      <c r="S149" s="287"/>
      <c r="T149" s="287"/>
      <c r="U149" s="286"/>
    </row>
    <row r="150" spans="2:21" s="310" customFormat="1" x14ac:dyDescent="0.2">
      <c r="B150" s="309"/>
      <c r="D150" s="287"/>
      <c r="E150" s="309"/>
      <c r="F150" s="287"/>
      <c r="G150" s="287"/>
      <c r="H150" s="287"/>
      <c r="I150" s="287"/>
      <c r="J150" s="287"/>
      <c r="K150" s="287"/>
      <c r="L150" s="287"/>
      <c r="M150" s="287"/>
      <c r="N150" s="287"/>
      <c r="O150" s="287"/>
      <c r="P150" s="287"/>
      <c r="Q150" s="287"/>
      <c r="R150" s="287"/>
      <c r="S150" s="287"/>
      <c r="T150" s="287"/>
      <c r="U150" s="286"/>
    </row>
    <row r="151" spans="2:21" s="310" customFormat="1" x14ac:dyDescent="0.2">
      <c r="B151" s="309"/>
      <c r="D151" s="287"/>
      <c r="E151" s="309"/>
      <c r="F151" s="287"/>
      <c r="G151" s="287"/>
      <c r="H151" s="287"/>
      <c r="I151" s="287"/>
      <c r="J151" s="287"/>
      <c r="K151" s="287"/>
      <c r="L151" s="287"/>
      <c r="M151" s="287"/>
      <c r="N151" s="287"/>
      <c r="O151" s="287"/>
      <c r="P151" s="287"/>
      <c r="Q151" s="287"/>
      <c r="R151" s="287"/>
      <c r="S151" s="287"/>
      <c r="T151" s="287"/>
      <c r="U151" s="286"/>
    </row>
    <row r="152" spans="2:21" s="310" customFormat="1" x14ac:dyDescent="0.2">
      <c r="B152" s="309"/>
      <c r="D152" s="287"/>
      <c r="E152" s="309"/>
      <c r="F152" s="287"/>
      <c r="G152" s="287"/>
      <c r="H152" s="287"/>
      <c r="I152" s="287"/>
      <c r="J152" s="287"/>
      <c r="K152" s="287"/>
      <c r="L152" s="287"/>
      <c r="M152" s="287"/>
      <c r="N152" s="287"/>
      <c r="O152" s="287"/>
      <c r="P152" s="287"/>
      <c r="Q152" s="287"/>
      <c r="R152" s="287"/>
      <c r="S152" s="287"/>
      <c r="T152" s="287"/>
      <c r="U152" s="286"/>
    </row>
    <row r="153" spans="2:21" s="310" customFormat="1" x14ac:dyDescent="0.2">
      <c r="B153" s="309"/>
      <c r="D153" s="287"/>
      <c r="E153" s="309"/>
      <c r="F153" s="287"/>
      <c r="G153" s="287"/>
      <c r="H153" s="287"/>
      <c r="I153" s="287"/>
      <c r="J153" s="287"/>
      <c r="K153" s="287"/>
      <c r="L153" s="287"/>
      <c r="M153" s="287"/>
      <c r="N153" s="287"/>
      <c r="O153" s="287"/>
      <c r="P153" s="287"/>
      <c r="Q153" s="287"/>
      <c r="R153" s="287"/>
      <c r="S153" s="287"/>
      <c r="T153" s="287"/>
      <c r="U153" s="286"/>
    </row>
    <row r="154" spans="2:21" s="310" customFormat="1" x14ac:dyDescent="0.2">
      <c r="B154" s="309"/>
      <c r="D154" s="287"/>
      <c r="E154" s="309"/>
      <c r="F154" s="287"/>
      <c r="G154" s="287"/>
      <c r="H154" s="287"/>
      <c r="I154" s="287"/>
      <c r="J154" s="287"/>
      <c r="K154" s="287"/>
      <c r="L154" s="287"/>
      <c r="M154" s="287"/>
      <c r="N154" s="287"/>
      <c r="O154" s="287"/>
      <c r="P154" s="287"/>
      <c r="Q154" s="287"/>
      <c r="R154" s="287"/>
      <c r="S154" s="287"/>
      <c r="T154" s="287"/>
      <c r="U154" s="286"/>
    </row>
    <row r="155" spans="2:21" s="310" customFormat="1" x14ac:dyDescent="0.2">
      <c r="B155" s="309"/>
      <c r="D155" s="287"/>
      <c r="E155" s="309"/>
      <c r="F155" s="287"/>
      <c r="G155" s="287"/>
      <c r="H155" s="287"/>
      <c r="I155" s="287"/>
      <c r="J155" s="287"/>
      <c r="K155" s="287"/>
      <c r="L155" s="287"/>
      <c r="M155" s="287"/>
      <c r="N155" s="287"/>
      <c r="O155" s="287"/>
      <c r="P155" s="287"/>
      <c r="Q155" s="287"/>
      <c r="R155" s="287"/>
      <c r="S155" s="287"/>
      <c r="T155" s="287"/>
      <c r="U155" s="286"/>
    </row>
    <row r="156" spans="2:21" s="310" customFormat="1" x14ac:dyDescent="0.2">
      <c r="B156" s="309"/>
      <c r="D156" s="287"/>
      <c r="E156" s="309"/>
      <c r="F156" s="287"/>
      <c r="G156" s="287"/>
      <c r="H156" s="287"/>
      <c r="I156" s="287"/>
      <c r="J156" s="287"/>
      <c r="K156" s="287"/>
      <c r="L156" s="287"/>
      <c r="M156" s="287"/>
      <c r="N156" s="287"/>
      <c r="O156" s="287"/>
      <c r="P156" s="287"/>
      <c r="Q156" s="287"/>
      <c r="R156" s="287"/>
      <c r="S156" s="287"/>
      <c r="T156" s="287"/>
      <c r="U156" s="286"/>
    </row>
  </sheetData>
  <sheetProtection algorithmName="SHA-512" hashValue="iJ4TQ2HlQANTaG5JOvgek+CLvNyLTOTfkp46kL70eBgywrz8pvivkQN1LqVuXQ4Om4Mp5jTO9gMuj0rembav4g==" saltValue="tdax6cQejeZ3LTntyPlFdA==" spinCount="100000" sheet="1" formatCells="0" formatColumns="0" formatRows="0" autoFilter="0"/>
  <autoFilter ref="A7:T107"/>
  <mergeCells count="23">
    <mergeCell ref="W1:W4"/>
    <mergeCell ref="O5:O6"/>
    <mergeCell ref="P5:P6"/>
    <mergeCell ref="Q5:Q6"/>
    <mergeCell ref="R5:R6"/>
    <mergeCell ref="S5:S6"/>
    <mergeCell ref="T5:T6"/>
    <mergeCell ref="N5:N6"/>
    <mergeCell ref="A1:E1"/>
    <mergeCell ref="A2:E2"/>
    <mergeCell ref="F2:R2"/>
    <mergeCell ref="G3:I3"/>
    <mergeCell ref="K3:O3"/>
    <mergeCell ref="A5:A6"/>
    <mergeCell ref="B5:B6"/>
    <mergeCell ref="C5:C6"/>
    <mergeCell ref="D5:D6"/>
    <mergeCell ref="E5:E6"/>
    <mergeCell ref="F5:F6"/>
    <mergeCell ref="G5:H5"/>
    <mergeCell ref="I5:I6"/>
    <mergeCell ref="J5:L5"/>
    <mergeCell ref="M5:M6"/>
  </mergeCells>
  <conditionalFormatting sqref="G3">
    <cfRule type="cellIs" dxfId="14" priority="1" stopIfTrue="1" operator="between">
      <formula>"Còn lỗi!"</formula>
      <formula>"Còn lỗi!"</formula>
    </cfRule>
    <cfRule type="cellIs" dxfId="13" priority="2" stopIfTrue="1" operator="between">
      <formula>"Nhập liệu!"</formula>
      <formula>"Nhập liệu!"</formula>
    </cfRule>
  </conditionalFormatting>
  <dataValidations count="9">
    <dataValidation type="list" allowBlank="1" showInputMessage="1" showErrorMessage="1" sqref="WVM983048:WVM983147 JA8:JA107 SW8:SW107 ACS8:ACS107 AMO8:AMO107 AWK8:AWK107 BGG8:BGG107 BQC8:BQC107 BZY8:BZY107 CJU8:CJU107 CTQ8:CTQ107 DDM8:DDM107 DNI8:DNI107 DXE8:DXE107 EHA8:EHA107 EQW8:EQW107 FAS8:FAS107 FKO8:FKO107 FUK8:FUK107 GEG8:GEG107 GOC8:GOC107 GXY8:GXY107 HHU8:HHU107 HRQ8:HRQ107 IBM8:IBM107 ILI8:ILI107 IVE8:IVE107 JFA8:JFA107 JOW8:JOW107 JYS8:JYS107 KIO8:KIO107 KSK8:KSK107 LCG8:LCG107 LMC8:LMC107 LVY8:LVY107 MFU8:MFU107 MPQ8:MPQ107 MZM8:MZM107 NJI8:NJI107 NTE8:NTE107 ODA8:ODA107 OMW8:OMW107 OWS8:OWS107 PGO8:PGO107 PQK8:PQK107 QAG8:QAG107 QKC8:QKC107 QTY8:QTY107 RDU8:RDU107 RNQ8:RNQ107 RXM8:RXM107 SHI8:SHI107 SRE8:SRE107 TBA8:TBA107 TKW8:TKW107 TUS8:TUS107 UEO8:UEO107 UOK8:UOK107 UYG8:UYG107 VIC8:VIC107 VRY8:VRY107 WBU8:WBU107 WLQ8:WLQ107 WVM8:WVM107 E65544:E65643 JA65544:JA65643 SW65544:SW65643 ACS65544:ACS65643 AMO65544:AMO65643 AWK65544:AWK65643 BGG65544:BGG65643 BQC65544:BQC65643 BZY65544:BZY65643 CJU65544:CJU65643 CTQ65544:CTQ65643 DDM65544:DDM65643 DNI65544:DNI65643 DXE65544:DXE65643 EHA65544:EHA65643 EQW65544:EQW65643 FAS65544:FAS65643 FKO65544:FKO65643 FUK65544:FUK65643 GEG65544:GEG65643 GOC65544:GOC65643 GXY65544:GXY65643 HHU65544:HHU65643 HRQ65544:HRQ65643 IBM65544:IBM65643 ILI65544:ILI65643 IVE65544:IVE65643 JFA65544:JFA65643 JOW65544:JOW65643 JYS65544:JYS65643 KIO65544:KIO65643 KSK65544:KSK65643 LCG65544:LCG65643 LMC65544:LMC65643 LVY65544:LVY65643 MFU65544:MFU65643 MPQ65544:MPQ65643 MZM65544:MZM65643 NJI65544:NJI65643 NTE65544:NTE65643 ODA65544:ODA65643 OMW65544:OMW65643 OWS65544:OWS65643 PGO65544:PGO65643 PQK65544:PQK65643 QAG65544:QAG65643 QKC65544:QKC65643 QTY65544:QTY65643 RDU65544:RDU65643 RNQ65544:RNQ65643 RXM65544:RXM65643 SHI65544:SHI65643 SRE65544:SRE65643 TBA65544:TBA65643 TKW65544:TKW65643 TUS65544:TUS65643 UEO65544:UEO65643 UOK65544:UOK65643 UYG65544:UYG65643 VIC65544:VIC65643 VRY65544:VRY65643 WBU65544:WBU65643 WLQ65544:WLQ65643 WVM65544:WVM65643 E131080:E131179 JA131080:JA131179 SW131080:SW131179 ACS131080:ACS131179 AMO131080:AMO131179 AWK131080:AWK131179 BGG131080:BGG131179 BQC131080:BQC131179 BZY131080:BZY131179 CJU131080:CJU131179 CTQ131080:CTQ131179 DDM131080:DDM131179 DNI131080:DNI131179 DXE131080:DXE131179 EHA131080:EHA131179 EQW131080:EQW131179 FAS131080:FAS131179 FKO131080:FKO131179 FUK131080:FUK131179 GEG131080:GEG131179 GOC131080:GOC131179 GXY131080:GXY131179 HHU131080:HHU131179 HRQ131080:HRQ131179 IBM131080:IBM131179 ILI131080:ILI131179 IVE131080:IVE131179 JFA131080:JFA131179 JOW131080:JOW131179 JYS131080:JYS131179 KIO131080:KIO131179 KSK131080:KSK131179 LCG131080:LCG131179 LMC131080:LMC131179 LVY131080:LVY131179 MFU131080:MFU131179 MPQ131080:MPQ131179 MZM131080:MZM131179 NJI131080:NJI131179 NTE131080:NTE131179 ODA131080:ODA131179 OMW131080:OMW131179 OWS131080:OWS131179 PGO131080:PGO131179 PQK131080:PQK131179 QAG131080:QAG131179 QKC131080:QKC131179 QTY131080:QTY131179 RDU131080:RDU131179 RNQ131080:RNQ131179 RXM131080:RXM131179 SHI131080:SHI131179 SRE131080:SRE131179 TBA131080:TBA131179 TKW131080:TKW131179 TUS131080:TUS131179 UEO131080:UEO131179 UOK131080:UOK131179 UYG131080:UYG131179 VIC131080:VIC131179 VRY131080:VRY131179 WBU131080:WBU131179 WLQ131080:WLQ131179 WVM131080:WVM131179 E196616:E196715 JA196616:JA196715 SW196616:SW196715 ACS196616:ACS196715 AMO196616:AMO196715 AWK196616:AWK196715 BGG196616:BGG196715 BQC196616:BQC196715 BZY196616:BZY196715 CJU196616:CJU196715 CTQ196616:CTQ196715 DDM196616:DDM196715 DNI196616:DNI196715 DXE196616:DXE196715 EHA196616:EHA196715 EQW196616:EQW196715 FAS196616:FAS196715 FKO196616:FKO196715 FUK196616:FUK196715 GEG196616:GEG196715 GOC196616:GOC196715 GXY196616:GXY196715 HHU196616:HHU196715 HRQ196616:HRQ196715 IBM196616:IBM196715 ILI196616:ILI196715 IVE196616:IVE196715 JFA196616:JFA196715 JOW196616:JOW196715 JYS196616:JYS196715 KIO196616:KIO196715 KSK196616:KSK196715 LCG196616:LCG196715 LMC196616:LMC196715 LVY196616:LVY196715 MFU196616:MFU196715 MPQ196616:MPQ196715 MZM196616:MZM196715 NJI196616:NJI196715 NTE196616:NTE196715 ODA196616:ODA196715 OMW196616:OMW196715 OWS196616:OWS196715 PGO196616:PGO196715 PQK196616:PQK196715 QAG196616:QAG196715 QKC196616:QKC196715 QTY196616:QTY196715 RDU196616:RDU196715 RNQ196616:RNQ196715 RXM196616:RXM196715 SHI196616:SHI196715 SRE196616:SRE196715 TBA196616:TBA196715 TKW196616:TKW196715 TUS196616:TUS196715 UEO196616:UEO196715 UOK196616:UOK196715 UYG196616:UYG196715 VIC196616:VIC196715 VRY196616:VRY196715 WBU196616:WBU196715 WLQ196616:WLQ196715 WVM196616:WVM196715 E262152:E262251 JA262152:JA262251 SW262152:SW262251 ACS262152:ACS262251 AMO262152:AMO262251 AWK262152:AWK262251 BGG262152:BGG262251 BQC262152:BQC262251 BZY262152:BZY262251 CJU262152:CJU262251 CTQ262152:CTQ262251 DDM262152:DDM262251 DNI262152:DNI262251 DXE262152:DXE262251 EHA262152:EHA262251 EQW262152:EQW262251 FAS262152:FAS262251 FKO262152:FKO262251 FUK262152:FUK262251 GEG262152:GEG262251 GOC262152:GOC262251 GXY262152:GXY262251 HHU262152:HHU262251 HRQ262152:HRQ262251 IBM262152:IBM262251 ILI262152:ILI262251 IVE262152:IVE262251 JFA262152:JFA262251 JOW262152:JOW262251 JYS262152:JYS262251 KIO262152:KIO262251 KSK262152:KSK262251 LCG262152:LCG262251 LMC262152:LMC262251 LVY262152:LVY262251 MFU262152:MFU262251 MPQ262152:MPQ262251 MZM262152:MZM262251 NJI262152:NJI262251 NTE262152:NTE262251 ODA262152:ODA262251 OMW262152:OMW262251 OWS262152:OWS262251 PGO262152:PGO262251 PQK262152:PQK262251 QAG262152:QAG262251 QKC262152:QKC262251 QTY262152:QTY262251 RDU262152:RDU262251 RNQ262152:RNQ262251 RXM262152:RXM262251 SHI262152:SHI262251 SRE262152:SRE262251 TBA262152:TBA262251 TKW262152:TKW262251 TUS262152:TUS262251 UEO262152:UEO262251 UOK262152:UOK262251 UYG262152:UYG262251 VIC262152:VIC262251 VRY262152:VRY262251 WBU262152:WBU262251 WLQ262152:WLQ262251 WVM262152:WVM262251 E327688:E327787 JA327688:JA327787 SW327688:SW327787 ACS327688:ACS327787 AMO327688:AMO327787 AWK327688:AWK327787 BGG327688:BGG327787 BQC327688:BQC327787 BZY327688:BZY327787 CJU327688:CJU327787 CTQ327688:CTQ327787 DDM327688:DDM327787 DNI327688:DNI327787 DXE327688:DXE327787 EHA327688:EHA327787 EQW327688:EQW327787 FAS327688:FAS327787 FKO327688:FKO327787 FUK327688:FUK327787 GEG327688:GEG327787 GOC327688:GOC327787 GXY327688:GXY327787 HHU327688:HHU327787 HRQ327688:HRQ327787 IBM327688:IBM327787 ILI327688:ILI327787 IVE327688:IVE327787 JFA327688:JFA327787 JOW327688:JOW327787 JYS327688:JYS327787 KIO327688:KIO327787 KSK327688:KSK327787 LCG327688:LCG327787 LMC327688:LMC327787 LVY327688:LVY327787 MFU327688:MFU327787 MPQ327688:MPQ327787 MZM327688:MZM327787 NJI327688:NJI327787 NTE327688:NTE327787 ODA327688:ODA327787 OMW327688:OMW327787 OWS327688:OWS327787 PGO327688:PGO327787 PQK327688:PQK327787 QAG327688:QAG327787 QKC327688:QKC327787 QTY327688:QTY327787 RDU327688:RDU327787 RNQ327688:RNQ327787 RXM327688:RXM327787 SHI327688:SHI327787 SRE327688:SRE327787 TBA327688:TBA327787 TKW327688:TKW327787 TUS327688:TUS327787 UEO327688:UEO327787 UOK327688:UOK327787 UYG327688:UYG327787 VIC327688:VIC327787 VRY327688:VRY327787 WBU327688:WBU327787 WLQ327688:WLQ327787 WVM327688:WVM327787 E393224:E393323 JA393224:JA393323 SW393224:SW393323 ACS393224:ACS393323 AMO393224:AMO393323 AWK393224:AWK393323 BGG393224:BGG393323 BQC393224:BQC393323 BZY393224:BZY393323 CJU393224:CJU393323 CTQ393224:CTQ393323 DDM393224:DDM393323 DNI393224:DNI393323 DXE393224:DXE393323 EHA393224:EHA393323 EQW393224:EQW393323 FAS393224:FAS393323 FKO393224:FKO393323 FUK393224:FUK393323 GEG393224:GEG393323 GOC393224:GOC393323 GXY393224:GXY393323 HHU393224:HHU393323 HRQ393224:HRQ393323 IBM393224:IBM393323 ILI393224:ILI393323 IVE393224:IVE393323 JFA393224:JFA393323 JOW393224:JOW393323 JYS393224:JYS393323 KIO393224:KIO393323 KSK393224:KSK393323 LCG393224:LCG393323 LMC393224:LMC393323 LVY393224:LVY393323 MFU393224:MFU393323 MPQ393224:MPQ393323 MZM393224:MZM393323 NJI393224:NJI393323 NTE393224:NTE393323 ODA393224:ODA393323 OMW393224:OMW393323 OWS393224:OWS393323 PGO393224:PGO393323 PQK393224:PQK393323 QAG393224:QAG393323 QKC393224:QKC393323 QTY393224:QTY393323 RDU393224:RDU393323 RNQ393224:RNQ393323 RXM393224:RXM393323 SHI393224:SHI393323 SRE393224:SRE393323 TBA393224:TBA393323 TKW393224:TKW393323 TUS393224:TUS393323 UEO393224:UEO393323 UOK393224:UOK393323 UYG393224:UYG393323 VIC393224:VIC393323 VRY393224:VRY393323 WBU393224:WBU393323 WLQ393224:WLQ393323 WVM393224:WVM393323 E458760:E458859 JA458760:JA458859 SW458760:SW458859 ACS458760:ACS458859 AMO458760:AMO458859 AWK458760:AWK458859 BGG458760:BGG458859 BQC458760:BQC458859 BZY458760:BZY458859 CJU458760:CJU458859 CTQ458760:CTQ458859 DDM458760:DDM458859 DNI458760:DNI458859 DXE458760:DXE458859 EHA458760:EHA458859 EQW458760:EQW458859 FAS458760:FAS458859 FKO458760:FKO458859 FUK458760:FUK458859 GEG458760:GEG458859 GOC458760:GOC458859 GXY458760:GXY458859 HHU458760:HHU458859 HRQ458760:HRQ458859 IBM458760:IBM458859 ILI458760:ILI458859 IVE458760:IVE458859 JFA458760:JFA458859 JOW458760:JOW458859 JYS458760:JYS458859 KIO458760:KIO458859 KSK458760:KSK458859 LCG458760:LCG458859 LMC458760:LMC458859 LVY458760:LVY458859 MFU458760:MFU458859 MPQ458760:MPQ458859 MZM458760:MZM458859 NJI458760:NJI458859 NTE458760:NTE458859 ODA458760:ODA458859 OMW458760:OMW458859 OWS458760:OWS458859 PGO458760:PGO458859 PQK458760:PQK458859 QAG458760:QAG458859 QKC458760:QKC458859 QTY458760:QTY458859 RDU458760:RDU458859 RNQ458760:RNQ458859 RXM458760:RXM458859 SHI458760:SHI458859 SRE458760:SRE458859 TBA458760:TBA458859 TKW458760:TKW458859 TUS458760:TUS458859 UEO458760:UEO458859 UOK458760:UOK458859 UYG458760:UYG458859 VIC458760:VIC458859 VRY458760:VRY458859 WBU458760:WBU458859 WLQ458760:WLQ458859 WVM458760:WVM458859 E524296:E524395 JA524296:JA524395 SW524296:SW524395 ACS524296:ACS524395 AMO524296:AMO524395 AWK524296:AWK524395 BGG524296:BGG524395 BQC524296:BQC524395 BZY524296:BZY524395 CJU524296:CJU524395 CTQ524296:CTQ524395 DDM524296:DDM524395 DNI524296:DNI524395 DXE524296:DXE524395 EHA524296:EHA524395 EQW524296:EQW524395 FAS524296:FAS524395 FKO524296:FKO524395 FUK524296:FUK524395 GEG524296:GEG524395 GOC524296:GOC524395 GXY524296:GXY524395 HHU524296:HHU524395 HRQ524296:HRQ524395 IBM524296:IBM524395 ILI524296:ILI524395 IVE524296:IVE524395 JFA524296:JFA524395 JOW524296:JOW524395 JYS524296:JYS524395 KIO524296:KIO524395 KSK524296:KSK524395 LCG524296:LCG524395 LMC524296:LMC524395 LVY524296:LVY524395 MFU524296:MFU524395 MPQ524296:MPQ524395 MZM524296:MZM524395 NJI524296:NJI524395 NTE524296:NTE524395 ODA524296:ODA524395 OMW524296:OMW524395 OWS524296:OWS524395 PGO524296:PGO524395 PQK524296:PQK524395 QAG524296:QAG524395 QKC524296:QKC524395 QTY524296:QTY524395 RDU524296:RDU524395 RNQ524296:RNQ524395 RXM524296:RXM524395 SHI524296:SHI524395 SRE524296:SRE524395 TBA524296:TBA524395 TKW524296:TKW524395 TUS524296:TUS524395 UEO524296:UEO524395 UOK524296:UOK524395 UYG524296:UYG524395 VIC524296:VIC524395 VRY524296:VRY524395 WBU524296:WBU524395 WLQ524296:WLQ524395 WVM524296:WVM524395 E589832:E589931 JA589832:JA589931 SW589832:SW589931 ACS589832:ACS589931 AMO589832:AMO589931 AWK589832:AWK589931 BGG589832:BGG589931 BQC589832:BQC589931 BZY589832:BZY589931 CJU589832:CJU589931 CTQ589832:CTQ589931 DDM589832:DDM589931 DNI589832:DNI589931 DXE589832:DXE589931 EHA589832:EHA589931 EQW589832:EQW589931 FAS589832:FAS589931 FKO589832:FKO589931 FUK589832:FUK589931 GEG589832:GEG589931 GOC589832:GOC589931 GXY589832:GXY589931 HHU589832:HHU589931 HRQ589832:HRQ589931 IBM589832:IBM589931 ILI589832:ILI589931 IVE589832:IVE589931 JFA589832:JFA589931 JOW589832:JOW589931 JYS589832:JYS589931 KIO589832:KIO589931 KSK589832:KSK589931 LCG589832:LCG589931 LMC589832:LMC589931 LVY589832:LVY589931 MFU589832:MFU589931 MPQ589832:MPQ589931 MZM589832:MZM589931 NJI589832:NJI589931 NTE589832:NTE589931 ODA589832:ODA589931 OMW589832:OMW589931 OWS589832:OWS589931 PGO589832:PGO589931 PQK589832:PQK589931 QAG589832:QAG589931 QKC589832:QKC589931 QTY589832:QTY589931 RDU589832:RDU589931 RNQ589832:RNQ589931 RXM589832:RXM589931 SHI589832:SHI589931 SRE589832:SRE589931 TBA589832:TBA589931 TKW589832:TKW589931 TUS589832:TUS589931 UEO589832:UEO589931 UOK589832:UOK589931 UYG589832:UYG589931 VIC589832:VIC589931 VRY589832:VRY589931 WBU589832:WBU589931 WLQ589832:WLQ589931 WVM589832:WVM589931 E655368:E655467 JA655368:JA655467 SW655368:SW655467 ACS655368:ACS655467 AMO655368:AMO655467 AWK655368:AWK655467 BGG655368:BGG655467 BQC655368:BQC655467 BZY655368:BZY655467 CJU655368:CJU655467 CTQ655368:CTQ655467 DDM655368:DDM655467 DNI655368:DNI655467 DXE655368:DXE655467 EHA655368:EHA655467 EQW655368:EQW655467 FAS655368:FAS655467 FKO655368:FKO655467 FUK655368:FUK655467 GEG655368:GEG655467 GOC655368:GOC655467 GXY655368:GXY655467 HHU655368:HHU655467 HRQ655368:HRQ655467 IBM655368:IBM655467 ILI655368:ILI655467 IVE655368:IVE655467 JFA655368:JFA655467 JOW655368:JOW655467 JYS655368:JYS655467 KIO655368:KIO655467 KSK655368:KSK655467 LCG655368:LCG655467 LMC655368:LMC655467 LVY655368:LVY655467 MFU655368:MFU655467 MPQ655368:MPQ655467 MZM655368:MZM655467 NJI655368:NJI655467 NTE655368:NTE655467 ODA655368:ODA655467 OMW655368:OMW655467 OWS655368:OWS655467 PGO655368:PGO655467 PQK655368:PQK655467 QAG655368:QAG655467 QKC655368:QKC655467 QTY655368:QTY655467 RDU655368:RDU655467 RNQ655368:RNQ655467 RXM655368:RXM655467 SHI655368:SHI655467 SRE655368:SRE655467 TBA655368:TBA655467 TKW655368:TKW655467 TUS655368:TUS655467 UEO655368:UEO655467 UOK655368:UOK655467 UYG655368:UYG655467 VIC655368:VIC655467 VRY655368:VRY655467 WBU655368:WBU655467 WLQ655368:WLQ655467 WVM655368:WVM655467 E720904:E721003 JA720904:JA721003 SW720904:SW721003 ACS720904:ACS721003 AMO720904:AMO721003 AWK720904:AWK721003 BGG720904:BGG721003 BQC720904:BQC721003 BZY720904:BZY721003 CJU720904:CJU721003 CTQ720904:CTQ721003 DDM720904:DDM721003 DNI720904:DNI721003 DXE720904:DXE721003 EHA720904:EHA721003 EQW720904:EQW721003 FAS720904:FAS721003 FKO720904:FKO721003 FUK720904:FUK721003 GEG720904:GEG721003 GOC720904:GOC721003 GXY720904:GXY721003 HHU720904:HHU721003 HRQ720904:HRQ721003 IBM720904:IBM721003 ILI720904:ILI721003 IVE720904:IVE721003 JFA720904:JFA721003 JOW720904:JOW721003 JYS720904:JYS721003 KIO720904:KIO721003 KSK720904:KSK721003 LCG720904:LCG721003 LMC720904:LMC721003 LVY720904:LVY721003 MFU720904:MFU721003 MPQ720904:MPQ721003 MZM720904:MZM721003 NJI720904:NJI721003 NTE720904:NTE721003 ODA720904:ODA721003 OMW720904:OMW721003 OWS720904:OWS721003 PGO720904:PGO721003 PQK720904:PQK721003 QAG720904:QAG721003 QKC720904:QKC721003 QTY720904:QTY721003 RDU720904:RDU721003 RNQ720904:RNQ721003 RXM720904:RXM721003 SHI720904:SHI721003 SRE720904:SRE721003 TBA720904:TBA721003 TKW720904:TKW721003 TUS720904:TUS721003 UEO720904:UEO721003 UOK720904:UOK721003 UYG720904:UYG721003 VIC720904:VIC721003 VRY720904:VRY721003 WBU720904:WBU721003 WLQ720904:WLQ721003 WVM720904:WVM721003 E786440:E786539 JA786440:JA786539 SW786440:SW786539 ACS786440:ACS786539 AMO786440:AMO786539 AWK786440:AWK786539 BGG786440:BGG786539 BQC786440:BQC786539 BZY786440:BZY786539 CJU786440:CJU786539 CTQ786440:CTQ786539 DDM786440:DDM786539 DNI786440:DNI786539 DXE786440:DXE786539 EHA786440:EHA786539 EQW786440:EQW786539 FAS786440:FAS786539 FKO786440:FKO786539 FUK786440:FUK786539 GEG786440:GEG786539 GOC786440:GOC786539 GXY786440:GXY786539 HHU786440:HHU786539 HRQ786440:HRQ786539 IBM786440:IBM786539 ILI786440:ILI786539 IVE786440:IVE786539 JFA786440:JFA786539 JOW786440:JOW786539 JYS786440:JYS786539 KIO786440:KIO786539 KSK786440:KSK786539 LCG786440:LCG786539 LMC786440:LMC786539 LVY786440:LVY786539 MFU786440:MFU786539 MPQ786440:MPQ786539 MZM786440:MZM786539 NJI786440:NJI786539 NTE786440:NTE786539 ODA786440:ODA786539 OMW786440:OMW786539 OWS786440:OWS786539 PGO786440:PGO786539 PQK786440:PQK786539 QAG786440:QAG786539 QKC786440:QKC786539 QTY786440:QTY786539 RDU786440:RDU786539 RNQ786440:RNQ786539 RXM786440:RXM786539 SHI786440:SHI786539 SRE786440:SRE786539 TBA786440:TBA786539 TKW786440:TKW786539 TUS786440:TUS786539 UEO786440:UEO786539 UOK786440:UOK786539 UYG786440:UYG786539 VIC786440:VIC786539 VRY786440:VRY786539 WBU786440:WBU786539 WLQ786440:WLQ786539 WVM786440:WVM786539 E851976:E852075 JA851976:JA852075 SW851976:SW852075 ACS851976:ACS852075 AMO851976:AMO852075 AWK851976:AWK852075 BGG851976:BGG852075 BQC851976:BQC852075 BZY851976:BZY852075 CJU851976:CJU852075 CTQ851976:CTQ852075 DDM851976:DDM852075 DNI851976:DNI852075 DXE851976:DXE852075 EHA851976:EHA852075 EQW851976:EQW852075 FAS851976:FAS852075 FKO851976:FKO852075 FUK851976:FUK852075 GEG851976:GEG852075 GOC851976:GOC852075 GXY851976:GXY852075 HHU851976:HHU852075 HRQ851976:HRQ852075 IBM851976:IBM852075 ILI851976:ILI852075 IVE851976:IVE852075 JFA851976:JFA852075 JOW851976:JOW852075 JYS851976:JYS852075 KIO851976:KIO852075 KSK851976:KSK852075 LCG851976:LCG852075 LMC851976:LMC852075 LVY851976:LVY852075 MFU851976:MFU852075 MPQ851976:MPQ852075 MZM851976:MZM852075 NJI851976:NJI852075 NTE851976:NTE852075 ODA851976:ODA852075 OMW851976:OMW852075 OWS851976:OWS852075 PGO851976:PGO852075 PQK851976:PQK852075 QAG851976:QAG852075 QKC851976:QKC852075 QTY851976:QTY852075 RDU851976:RDU852075 RNQ851976:RNQ852075 RXM851976:RXM852075 SHI851976:SHI852075 SRE851976:SRE852075 TBA851976:TBA852075 TKW851976:TKW852075 TUS851976:TUS852075 UEO851976:UEO852075 UOK851976:UOK852075 UYG851976:UYG852075 VIC851976:VIC852075 VRY851976:VRY852075 WBU851976:WBU852075 WLQ851976:WLQ852075 WVM851976:WVM852075 E917512:E917611 JA917512:JA917611 SW917512:SW917611 ACS917512:ACS917611 AMO917512:AMO917611 AWK917512:AWK917611 BGG917512:BGG917611 BQC917512:BQC917611 BZY917512:BZY917611 CJU917512:CJU917611 CTQ917512:CTQ917611 DDM917512:DDM917611 DNI917512:DNI917611 DXE917512:DXE917611 EHA917512:EHA917611 EQW917512:EQW917611 FAS917512:FAS917611 FKO917512:FKO917611 FUK917512:FUK917611 GEG917512:GEG917611 GOC917512:GOC917611 GXY917512:GXY917611 HHU917512:HHU917611 HRQ917512:HRQ917611 IBM917512:IBM917611 ILI917512:ILI917611 IVE917512:IVE917611 JFA917512:JFA917611 JOW917512:JOW917611 JYS917512:JYS917611 KIO917512:KIO917611 KSK917512:KSK917611 LCG917512:LCG917611 LMC917512:LMC917611 LVY917512:LVY917611 MFU917512:MFU917611 MPQ917512:MPQ917611 MZM917512:MZM917611 NJI917512:NJI917611 NTE917512:NTE917611 ODA917512:ODA917611 OMW917512:OMW917611 OWS917512:OWS917611 PGO917512:PGO917611 PQK917512:PQK917611 QAG917512:QAG917611 QKC917512:QKC917611 QTY917512:QTY917611 RDU917512:RDU917611 RNQ917512:RNQ917611 RXM917512:RXM917611 SHI917512:SHI917611 SRE917512:SRE917611 TBA917512:TBA917611 TKW917512:TKW917611 TUS917512:TUS917611 UEO917512:UEO917611 UOK917512:UOK917611 UYG917512:UYG917611 VIC917512:VIC917611 VRY917512:VRY917611 WBU917512:WBU917611 WLQ917512:WLQ917611 WVM917512:WVM917611 E983048:E983147 JA983048:JA983147 SW983048:SW983147 ACS983048:ACS983147 AMO983048:AMO983147 AWK983048:AWK983147 BGG983048:BGG983147 BQC983048:BQC983147 BZY983048:BZY983147 CJU983048:CJU983147 CTQ983048:CTQ983147 DDM983048:DDM983147 DNI983048:DNI983147 DXE983048:DXE983147 EHA983048:EHA983147 EQW983048:EQW983147 FAS983048:FAS983147 FKO983048:FKO983147 FUK983048:FUK983147 GEG983048:GEG983147 GOC983048:GOC983147 GXY983048:GXY983147 HHU983048:HHU983147 HRQ983048:HRQ983147 IBM983048:IBM983147 ILI983048:ILI983147 IVE983048:IVE983147 JFA983048:JFA983147 JOW983048:JOW983147 JYS983048:JYS983147 KIO983048:KIO983147 KSK983048:KSK983147 LCG983048:LCG983147 LMC983048:LMC983147 LVY983048:LVY983147 MFU983048:MFU983147 MPQ983048:MPQ983147 MZM983048:MZM983147 NJI983048:NJI983147 NTE983048:NTE983147 ODA983048:ODA983147 OMW983048:OMW983147 OWS983048:OWS983147 PGO983048:PGO983147 PQK983048:PQK983147 QAG983048:QAG983147 QKC983048:QKC983147 QTY983048:QTY983147 RDU983048:RDU983147 RNQ983048:RNQ983147 RXM983048:RXM983147 SHI983048:SHI983147 SRE983048:SRE983147 TBA983048:TBA983147 TKW983048:TKW983147 TUS983048:TUS983147 UEO983048:UEO983147 UOK983048:UOK983147 UYG983048:UYG983147 VIC983048:VIC983147 VRY983048:VRY983147 WBU983048:WBU983147 WLQ983048:WLQ983147">
      <formula1>"Hiệu trưởng,P.hiệu trưởng,Giáo viên,Tổng PT Đội,Nhân viên"</formula1>
    </dataValidation>
    <dataValidation type="list" allowBlank="1" showInputMessage="1" showErrorMessage="1" sqref="WVN983048:WVN983147 JB8:JB107 SX8:SX107 ACT8:ACT107 AMP8:AMP107 AWL8:AWL107 BGH8:BGH107 BQD8:BQD107 BZZ8:BZZ107 CJV8:CJV107 CTR8:CTR107 DDN8:DDN107 DNJ8:DNJ107 DXF8:DXF107 EHB8:EHB107 EQX8:EQX107 FAT8:FAT107 FKP8:FKP107 FUL8:FUL107 GEH8:GEH107 GOD8:GOD107 GXZ8:GXZ107 HHV8:HHV107 HRR8:HRR107 IBN8:IBN107 ILJ8:ILJ107 IVF8:IVF107 JFB8:JFB107 JOX8:JOX107 JYT8:JYT107 KIP8:KIP107 KSL8:KSL107 LCH8:LCH107 LMD8:LMD107 LVZ8:LVZ107 MFV8:MFV107 MPR8:MPR107 MZN8:MZN107 NJJ8:NJJ107 NTF8:NTF107 ODB8:ODB107 OMX8:OMX107 OWT8:OWT107 PGP8:PGP107 PQL8:PQL107 QAH8:QAH107 QKD8:QKD107 QTZ8:QTZ107 RDV8:RDV107 RNR8:RNR107 RXN8:RXN107 SHJ8:SHJ107 SRF8:SRF107 TBB8:TBB107 TKX8:TKX107 TUT8:TUT107 UEP8:UEP107 UOL8:UOL107 UYH8:UYH107 VID8:VID107 VRZ8:VRZ107 WBV8:WBV107 WLR8:WLR107 WVN8:WVN107 F65544:F65643 JB65544:JB65643 SX65544:SX65643 ACT65544:ACT65643 AMP65544:AMP65643 AWL65544:AWL65643 BGH65544:BGH65643 BQD65544:BQD65643 BZZ65544:BZZ65643 CJV65544:CJV65643 CTR65544:CTR65643 DDN65544:DDN65643 DNJ65544:DNJ65643 DXF65544:DXF65643 EHB65544:EHB65643 EQX65544:EQX65643 FAT65544:FAT65643 FKP65544:FKP65643 FUL65544:FUL65643 GEH65544:GEH65643 GOD65544:GOD65643 GXZ65544:GXZ65643 HHV65544:HHV65643 HRR65544:HRR65643 IBN65544:IBN65643 ILJ65544:ILJ65643 IVF65544:IVF65643 JFB65544:JFB65643 JOX65544:JOX65643 JYT65544:JYT65643 KIP65544:KIP65643 KSL65544:KSL65643 LCH65544:LCH65643 LMD65544:LMD65643 LVZ65544:LVZ65643 MFV65544:MFV65643 MPR65544:MPR65643 MZN65544:MZN65643 NJJ65544:NJJ65643 NTF65544:NTF65643 ODB65544:ODB65643 OMX65544:OMX65643 OWT65544:OWT65643 PGP65544:PGP65643 PQL65544:PQL65643 QAH65544:QAH65643 QKD65544:QKD65643 QTZ65544:QTZ65643 RDV65544:RDV65643 RNR65544:RNR65643 RXN65544:RXN65643 SHJ65544:SHJ65643 SRF65544:SRF65643 TBB65544:TBB65643 TKX65544:TKX65643 TUT65544:TUT65643 UEP65544:UEP65643 UOL65544:UOL65643 UYH65544:UYH65643 VID65544:VID65643 VRZ65544:VRZ65643 WBV65544:WBV65643 WLR65544:WLR65643 WVN65544:WVN65643 F131080:F131179 JB131080:JB131179 SX131080:SX131179 ACT131080:ACT131179 AMP131080:AMP131179 AWL131080:AWL131179 BGH131080:BGH131179 BQD131080:BQD131179 BZZ131080:BZZ131179 CJV131080:CJV131179 CTR131080:CTR131179 DDN131080:DDN131179 DNJ131080:DNJ131179 DXF131080:DXF131179 EHB131080:EHB131179 EQX131080:EQX131179 FAT131080:FAT131179 FKP131080:FKP131179 FUL131080:FUL131179 GEH131080:GEH131179 GOD131080:GOD131179 GXZ131080:GXZ131179 HHV131080:HHV131179 HRR131080:HRR131179 IBN131080:IBN131179 ILJ131080:ILJ131179 IVF131080:IVF131179 JFB131080:JFB131179 JOX131080:JOX131179 JYT131080:JYT131179 KIP131080:KIP131179 KSL131080:KSL131179 LCH131080:LCH131179 LMD131080:LMD131179 LVZ131080:LVZ131179 MFV131080:MFV131179 MPR131080:MPR131179 MZN131080:MZN131179 NJJ131080:NJJ131179 NTF131080:NTF131179 ODB131080:ODB131179 OMX131080:OMX131179 OWT131080:OWT131179 PGP131080:PGP131179 PQL131080:PQL131179 QAH131080:QAH131179 QKD131080:QKD131179 QTZ131080:QTZ131179 RDV131080:RDV131179 RNR131080:RNR131179 RXN131080:RXN131179 SHJ131080:SHJ131179 SRF131080:SRF131179 TBB131080:TBB131179 TKX131080:TKX131179 TUT131080:TUT131179 UEP131080:UEP131179 UOL131080:UOL131179 UYH131080:UYH131179 VID131080:VID131179 VRZ131080:VRZ131179 WBV131080:WBV131179 WLR131080:WLR131179 WVN131080:WVN131179 F196616:F196715 JB196616:JB196715 SX196616:SX196715 ACT196616:ACT196715 AMP196616:AMP196715 AWL196616:AWL196715 BGH196616:BGH196715 BQD196616:BQD196715 BZZ196616:BZZ196715 CJV196616:CJV196715 CTR196616:CTR196715 DDN196616:DDN196715 DNJ196616:DNJ196715 DXF196616:DXF196715 EHB196616:EHB196715 EQX196616:EQX196715 FAT196616:FAT196715 FKP196616:FKP196715 FUL196616:FUL196715 GEH196616:GEH196715 GOD196616:GOD196715 GXZ196616:GXZ196715 HHV196616:HHV196715 HRR196616:HRR196715 IBN196616:IBN196715 ILJ196616:ILJ196715 IVF196616:IVF196715 JFB196616:JFB196715 JOX196616:JOX196715 JYT196616:JYT196715 KIP196616:KIP196715 KSL196616:KSL196715 LCH196616:LCH196715 LMD196616:LMD196715 LVZ196616:LVZ196715 MFV196616:MFV196715 MPR196616:MPR196715 MZN196616:MZN196715 NJJ196616:NJJ196715 NTF196616:NTF196715 ODB196616:ODB196715 OMX196616:OMX196715 OWT196616:OWT196715 PGP196616:PGP196715 PQL196616:PQL196715 QAH196616:QAH196715 QKD196616:QKD196715 QTZ196616:QTZ196715 RDV196616:RDV196715 RNR196616:RNR196715 RXN196616:RXN196715 SHJ196616:SHJ196715 SRF196616:SRF196715 TBB196616:TBB196715 TKX196616:TKX196715 TUT196616:TUT196715 UEP196616:UEP196715 UOL196616:UOL196715 UYH196616:UYH196715 VID196616:VID196715 VRZ196616:VRZ196715 WBV196616:WBV196715 WLR196616:WLR196715 WVN196616:WVN196715 F262152:F262251 JB262152:JB262251 SX262152:SX262251 ACT262152:ACT262251 AMP262152:AMP262251 AWL262152:AWL262251 BGH262152:BGH262251 BQD262152:BQD262251 BZZ262152:BZZ262251 CJV262152:CJV262251 CTR262152:CTR262251 DDN262152:DDN262251 DNJ262152:DNJ262251 DXF262152:DXF262251 EHB262152:EHB262251 EQX262152:EQX262251 FAT262152:FAT262251 FKP262152:FKP262251 FUL262152:FUL262251 GEH262152:GEH262251 GOD262152:GOD262251 GXZ262152:GXZ262251 HHV262152:HHV262251 HRR262152:HRR262251 IBN262152:IBN262251 ILJ262152:ILJ262251 IVF262152:IVF262251 JFB262152:JFB262251 JOX262152:JOX262251 JYT262152:JYT262251 KIP262152:KIP262251 KSL262152:KSL262251 LCH262152:LCH262251 LMD262152:LMD262251 LVZ262152:LVZ262251 MFV262152:MFV262251 MPR262152:MPR262251 MZN262152:MZN262251 NJJ262152:NJJ262251 NTF262152:NTF262251 ODB262152:ODB262251 OMX262152:OMX262251 OWT262152:OWT262251 PGP262152:PGP262251 PQL262152:PQL262251 QAH262152:QAH262251 QKD262152:QKD262251 QTZ262152:QTZ262251 RDV262152:RDV262251 RNR262152:RNR262251 RXN262152:RXN262251 SHJ262152:SHJ262251 SRF262152:SRF262251 TBB262152:TBB262251 TKX262152:TKX262251 TUT262152:TUT262251 UEP262152:UEP262251 UOL262152:UOL262251 UYH262152:UYH262251 VID262152:VID262251 VRZ262152:VRZ262251 WBV262152:WBV262251 WLR262152:WLR262251 WVN262152:WVN262251 F327688:F327787 JB327688:JB327787 SX327688:SX327787 ACT327688:ACT327787 AMP327688:AMP327787 AWL327688:AWL327787 BGH327688:BGH327787 BQD327688:BQD327787 BZZ327688:BZZ327787 CJV327688:CJV327787 CTR327688:CTR327787 DDN327688:DDN327787 DNJ327688:DNJ327787 DXF327688:DXF327787 EHB327688:EHB327787 EQX327688:EQX327787 FAT327688:FAT327787 FKP327688:FKP327787 FUL327688:FUL327787 GEH327688:GEH327787 GOD327688:GOD327787 GXZ327688:GXZ327787 HHV327688:HHV327787 HRR327688:HRR327787 IBN327688:IBN327787 ILJ327688:ILJ327787 IVF327688:IVF327787 JFB327688:JFB327787 JOX327688:JOX327787 JYT327688:JYT327787 KIP327688:KIP327787 KSL327688:KSL327787 LCH327688:LCH327787 LMD327688:LMD327787 LVZ327688:LVZ327787 MFV327688:MFV327787 MPR327688:MPR327787 MZN327688:MZN327787 NJJ327688:NJJ327787 NTF327688:NTF327787 ODB327688:ODB327787 OMX327688:OMX327787 OWT327688:OWT327787 PGP327688:PGP327787 PQL327688:PQL327787 QAH327688:QAH327787 QKD327688:QKD327787 QTZ327688:QTZ327787 RDV327688:RDV327787 RNR327688:RNR327787 RXN327688:RXN327787 SHJ327688:SHJ327787 SRF327688:SRF327787 TBB327688:TBB327787 TKX327688:TKX327787 TUT327688:TUT327787 UEP327688:UEP327787 UOL327688:UOL327787 UYH327688:UYH327787 VID327688:VID327787 VRZ327688:VRZ327787 WBV327688:WBV327787 WLR327688:WLR327787 WVN327688:WVN327787 F393224:F393323 JB393224:JB393323 SX393224:SX393323 ACT393224:ACT393323 AMP393224:AMP393323 AWL393224:AWL393323 BGH393224:BGH393323 BQD393224:BQD393323 BZZ393224:BZZ393323 CJV393224:CJV393323 CTR393224:CTR393323 DDN393224:DDN393323 DNJ393224:DNJ393323 DXF393224:DXF393323 EHB393224:EHB393323 EQX393224:EQX393323 FAT393224:FAT393323 FKP393224:FKP393323 FUL393224:FUL393323 GEH393224:GEH393323 GOD393224:GOD393323 GXZ393224:GXZ393323 HHV393224:HHV393323 HRR393224:HRR393323 IBN393224:IBN393323 ILJ393224:ILJ393323 IVF393224:IVF393323 JFB393224:JFB393323 JOX393224:JOX393323 JYT393224:JYT393323 KIP393224:KIP393323 KSL393224:KSL393323 LCH393224:LCH393323 LMD393224:LMD393323 LVZ393224:LVZ393323 MFV393224:MFV393323 MPR393224:MPR393323 MZN393224:MZN393323 NJJ393224:NJJ393323 NTF393224:NTF393323 ODB393224:ODB393323 OMX393224:OMX393323 OWT393224:OWT393323 PGP393224:PGP393323 PQL393224:PQL393323 QAH393224:QAH393323 QKD393224:QKD393323 QTZ393224:QTZ393323 RDV393224:RDV393323 RNR393224:RNR393323 RXN393224:RXN393323 SHJ393224:SHJ393323 SRF393224:SRF393323 TBB393224:TBB393323 TKX393224:TKX393323 TUT393224:TUT393323 UEP393224:UEP393323 UOL393224:UOL393323 UYH393224:UYH393323 VID393224:VID393323 VRZ393224:VRZ393323 WBV393224:WBV393323 WLR393224:WLR393323 WVN393224:WVN393323 F458760:F458859 JB458760:JB458859 SX458760:SX458859 ACT458760:ACT458859 AMP458760:AMP458859 AWL458760:AWL458859 BGH458760:BGH458859 BQD458760:BQD458859 BZZ458760:BZZ458859 CJV458760:CJV458859 CTR458760:CTR458859 DDN458760:DDN458859 DNJ458760:DNJ458859 DXF458760:DXF458859 EHB458760:EHB458859 EQX458760:EQX458859 FAT458760:FAT458859 FKP458760:FKP458859 FUL458760:FUL458859 GEH458760:GEH458859 GOD458760:GOD458859 GXZ458760:GXZ458859 HHV458760:HHV458859 HRR458760:HRR458859 IBN458760:IBN458859 ILJ458760:ILJ458859 IVF458760:IVF458859 JFB458760:JFB458859 JOX458760:JOX458859 JYT458760:JYT458859 KIP458760:KIP458859 KSL458760:KSL458859 LCH458760:LCH458859 LMD458760:LMD458859 LVZ458760:LVZ458859 MFV458760:MFV458859 MPR458760:MPR458859 MZN458760:MZN458859 NJJ458760:NJJ458859 NTF458760:NTF458859 ODB458760:ODB458859 OMX458760:OMX458859 OWT458760:OWT458859 PGP458760:PGP458859 PQL458760:PQL458859 QAH458760:QAH458859 QKD458760:QKD458859 QTZ458760:QTZ458859 RDV458760:RDV458859 RNR458760:RNR458859 RXN458760:RXN458859 SHJ458760:SHJ458859 SRF458760:SRF458859 TBB458760:TBB458859 TKX458760:TKX458859 TUT458760:TUT458859 UEP458760:UEP458859 UOL458760:UOL458859 UYH458760:UYH458859 VID458760:VID458859 VRZ458760:VRZ458859 WBV458760:WBV458859 WLR458760:WLR458859 WVN458760:WVN458859 F524296:F524395 JB524296:JB524395 SX524296:SX524395 ACT524296:ACT524395 AMP524296:AMP524395 AWL524296:AWL524395 BGH524296:BGH524395 BQD524296:BQD524395 BZZ524296:BZZ524395 CJV524296:CJV524395 CTR524296:CTR524395 DDN524296:DDN524395 DNJ524296:DNJ524395 DXF524296:DXF524395 EHB524296:EHB524395 EQX524296:EQX524395 FAT524296:FAT524395 FKP524296:FKP524395 FUL524296:FUL524395 GEH524296:GEH524395 GOD524296:GOD524395 GXZ524296:GXZ524395 HHV524296:HHV524395 HRR524296:HRR524395 IBN524296:IBN524395 ILJ524296:ILJ524395 IVF524296:IVF524395 JFB524296:JFB524395 JOX524296:JOX524395 JYT524296:JYT524395 KIP524296:KIP524395 KSL524296:KSL524395 LCH524296:LCH524395 LMD524296:LMD524395 LVZ524296:LVZ524395 MFV524296:MFV524395 MPR524296:MPR524395 MZN524296:MZN524395 NJJ524296:NJJ524395 NTF524296:NTF524395 ODB524296:ODB524395 OMX524296:OMX524395 OWT524296:OWT524395 PGP524296:PGP524395 PQL524296:PQL524395 QAH524296:QAH524395 QKD524296:QKD524395 QTZ524296:QTZ524395 RDV524296:RDV524395 RNR524296:RNR524395 RXN524296:RXN524395 SHJ524296:SHJ524395 SRF524296:SRF524395 TBB524296:TBB524395 TKX524296:TKX524395 TUT524296:TUT524395 UEP524296:UEP524395 UOL524296:UOL524395 UYH524296:UYH524395 VID524296:VID524395 VRZ524296:VRZ524395 WBV524296:WBV524395 WLR524296:WLR524395 WVN524296:WVN524395 F589832:F589931 JB589832:JB589931 SX589832:SX589931 ACT589832:ACT589931 AMP589832:AMP589931 AWL589832:AWL589931 BGH589832:BGH589931 BQD589832:BQD589931 BZZ589832:BZZ589931 CJV589832:CJV589931 CTR589832:CTR589931 DDN589832:DDN589931 DNJ589832:DNJ589931 DXF589832:DXF589931 EHB589832:EHB589931 EQX589832:EQX589931 FAT589832:FAT589931 FKP589832:FKP589931 FUL589832:FUL589931 GEH589832:GEH589931 GOD589832:GOD589931 GXZ589832:GXZ589931 HHV589832:HHV589931 HRR589832:HRR589931 IBN589832:IBN589931 ILJ589832:ILJ589931 IVF589832:IVF589931 JFB589832:JFB589931 JOX589832:JOX589931 JYT589832:JYT589931 KIP589832:KIP589931 KSL589832:KSL589931 LCH589832:LCH589931 LMD589832:LMD589931 LVZ589832:LVZ589931 MFV589832:MFV589931 MPR589832:MPR589931 MZN589832:MZN589931 NJJ589832:NJJ589931 NTF589832:NTF589931 ODB589832:ODB589931 OMX589832:OMX589931 OWT589832:OWT589931 PGP589832:PGP589931 PQL589832:PQL589931 QAH589832:QAH589931 QKD589832:QKD589931 QTZ589832:QTZ589931 RDV589832:RDV589931 RNR589832:RNR589931 RXN589832:RXN589931 SHJ589832:SHJ589931 SRF589832:SRF589931 TBB589832:TBB589931 TKX589832:TKX589931 TUT589832:TUT589931 UEP589832:UEP589931 UOL589832:UOL589931 UYH589832:UYH589931 VID589832:VID589931 VRZ589832:VRZ589931 WBV589832:WBV589931 WLR589832:WLR589931 WVN589832:WVN589931 F655368:F655467 JB655368:JB655467 SX655368:SX655467 ACT655368:ACT655467 AMP655368:AMP655467 AWL655368:AWL655467 BGH655368:BGH655467 BQD655368:BQD655467 BZZ655368:BZZ655467 CJV655368:CJV655467 CTR655368:CTR655467 DDN655368:DDN655467 DNJ655368:DNJ655467 DXF655368:DXF655467 EHB655368:EHB655467 EQX655368:EQX655467 FAT655368:FAT655467 FKP655368:FKP655467 FUL655368:FUL655467 GEH655368:GEH655467 GOD655368:GOD655467 GXZ655368:GXZ655467 HHV655368:HHV655467 HRR655368:HRR655467 IBN655368:IBN655467 ILJ655368:ILJ655467 IVF655368:IVF655467 JFB655368:JFB655467 JOX655368:JOX655467 JYT655368:JYT655467 KIP655368:KIP655467 KSL655368:KSL655467 LCH655368:LCH655467 LMD655368:LMD655467 LVZ655368:LVZ655467 MFV655368:MFV655467 MPR655368:MPR655467 MZN655368:MZN655467 NJJ655368:NJJ655467 NTF655368:NTF655467 ODB655368:ODB655467 OMX655368:OMX655467 OWT655368:OWT655467 PGP655368:PGP655467 PQL655368:PQL655467 QAH655368:QAH655467 QKD655368:QKD655467 QTZ655368:QTZ655467 RDV655368:RDV655467 RNR655368:RNR655467 RXN655368:RXN655467 SHJ655368:SHJ655467 SRF655368:SRF655467 TBB655368:TBB655467 TKX655368:TKX655467 TUT655368:TUT655467 UEP655368:UEP655467 UOL655368:UOL655467 UYH655368:UYH655467 VID655368:VID655467 VRZ655368:VRZ655467 WBV655368:WBV655467 WLR655368:WLR655467 WVN655368:WVN655467 F720904:F721003 JB720904:JB721003 SX720904:SX721003 ACT720904:ACT721003 AMP720904:AMP721003 AWL720904:AWL721003 BGH720904:BGH721003 BQD720904:BQD721003 BZZ720904:BZZ721003 CJV720904:CJV721003 CTR720904:CTR721003 DDN720904:DDN721003 DNJ720904:DNJ721003 DXF720904:DXF721003 EHB720904:EHB721003 EQX720904:EQX721003 FAT720904:FAT721003 FKP720904:FKP721003 FUL720904:FUL721003 GEH720904:GEH721003 GOD720904:GOD721003 GXZ720904:GXZ721003 HHV720904:HHV721003 HRR720904:HRR721003 IBN720904:IBN721003 ILJ720904:ILJ721003 IVF720904:IVF721003 JFB720904:JFB721003 JOX720904:JOX721003 JYT720904:JYT721003 KIP720904:KIP721003 KSL720904:KSL721003 LCH720904:LCH721003 LMD720904:LMD721003 LVZ720904:LVZ721003 MFV720904:MFV721003 MPR720904:MPR721003 MZN720904:MZN721003 NJJ720904:NJJ721003 NTF720904:NTF721003 ODB720904:ODB721003 OMX720904:OMX721003 OWT720904:OWT721003 PGP720904:PGP721003 PQL720904:PQL721003 QAH720904:QAH721003 QKD720904:QKD721003 QTZ720904:QTZ721003 RDV720904:RDV721003 RNR720904:RNR721003 RXN720904:RXN721003 SHJ720904:SHJ721003 SRF720904:SRF721003 TBB720904:TBB721003 TKX720904:TKX721003 TUT720904:TUT721003 UEP720904:UEP721003 UOL720904:UOL721003 UYH720904:UYH721003 VID720904:VID721003 VRZ720904:VRZ721003 WBV720904:WBV721003 WLR720904:WLR721003 WVN720904:WVN721003 F786440:F786539 JB786440:JB786539 SX786440:SX786539 ACT786440:ACT786539 AMP786440:AMP786539 AWL786440:AWL786539 BGH786440:BGH786539 BQD786440:BQD786539 BZZ786440:BZZ786539 CJV786440:CJV786539 CTR786440:CTR786539 DDN786440:DDN786539 DNJ786440:DNJ786539 DXF786440:DXF786539 EHB786440:EHB786539 EQX786440:EQX786539 FAT786440:FAT786539 FKP786440:FKP786539 FUL786440:FUL786539 GEH786440:GEH786539 GOD786440:GOD786539 GXZ786440:GXZ786539 HHV786440:HHV786539 HRR786440:HRR786539 IBN786440:IBN786539 ILJ786440:ILJ786539 IVF786440:IVF786539 JFB786440:JFB786539 JOX786440:JOX786539 JYT786440:JYT786539 KIP786440:KIP786539 KSL786440:KSL786539 LCH786440:LCH786539 LMD786440:LMD786539 LVZ786440:LVZ786539 MFV786440:MFV786539 MPR786440:MPR786539 MZN786440:MZN786539 NJJ786440:NJJ786539 NTF786440:NTF786539 ODB786440:ODB786539 OMX786440:OMX786539 OWT786440:OWT786539 PGP786440:PGP786539 PQL786440:PQL786539 QAH786440:QAH786539 QKD786440:QKD786539 QTZ786440:QTZ786539 RDV786440:RDV786539 RNR786440:RNR786539 RXN786440:RXN786539 SHJ786440:SHJ786539 SRF786440:SRF786539 TBB786440:TBB786539 TKX786440:TKX786539 TUT786440:TUT786539 UEP786440:UEP786539 UOL786440:UOL786539 UYH786440:UYH786539 VID786440:VID786539 VRZ786440:VRZ786539 WBV786440:WBV786539 WLR786440:WLR786539 WVN786440:WVN786539 F851976:F852075 JB851976:JB852075 SX851976:SX852075 ACT851976:ACT852075 AMP851976:AMP852075 AWL851976:AWL852075 BGH851976:BGH852075 BQD851976:BQD852075 BZZ851976:BZZ852075 CJV851976:CJV852075 CTR851976:CTR852075 DDN851976:DDN852075 DNJ851976:DNJ852075 DXF851976:DXF852075 EHB851976:EHB852075 EQX851976:EQX852075 FAT851976:FAT852075 FKP851976:FKP852075 FUL851976:FUL852075 GEH851976:GEH852075 GOD851976:GOD852075 GXZ851976:GXZ852075 HHV851976:HHV852075 HRR851976:HRR852075 IBN851976:IBN852075 ILJ851976:ILJ852075 IVF851976:IVF852075 JFB851976:JFB852075 JOX851976:JOX852075 JYT851976:JYT852075 KIP851976:KIP852075 KSL851976:KSL852075 LCH851976:LCH852075 LMD851976:LMD852075 LVZ851976:LVZ852075 MFV851976:MFV852075 MPR851976:MPR852075 MZN851976:MZN852075 NJJ851976:NJJ852075 NTF851976:NTF852075 ODB851976:ODB852075 OMX851976:OMX852075 OWT851976:OWT852075 PGP851976:PGP852075 PQL851976:PQL852075 QAH851976:QAH852075 QKD851976:QKD852075 QTZ851976:QTZ852075 RDV851976:RDV852075 RNR851976:RNR852075 RXN851976:RXN852075 SHJ851976:SHJ852075 SRF851976:SRF852075 TBB851976:TBB852075 TKX851976:TKX852075 TUT851976:TUT852075 UEP851976:UEP852075 UOL851976:UOL852075 UYH851976:UYH852075 VID851976:VID852075 VRZ851976:VRZ852075 WBV851976:WBV852075 WLR851976:WLR852075 WVN851976:WVN852075 F917512:F917611 JB917512:JB917611 SX917512:SX917611 ACT917512:ACT917611 AMP917512:AMP917611 AWL917512:AWL917611 BGH917512:BGH917611 BQD917512:BQD917611 BZZ917512:BZZ917611 CJV917512:CJV917611 CTR917512:CTR917611 DDN917512:DDN917611 DNJ917512:DNJ917611 DXF917512:DXF917611 EHB917512:EHB917611 EQX917512:EQX917611 FAT917512:FAT917611 FKP917512:FKP917611 FUL917512:FUL917611 GEH917512:GEH917611 GOD917512:GOD917611 GXZ917512:GXZ917611 HHV917512:HHV917611 HRR917512:HRR917611 IBN917512:IBN917611 ILJ917512:ILJ917611 IVF917512:IVF917611 JFB917512:JFB917611 JOX917512:JOX917611 JYT917512:JYT917611 KIP917512:KIP917611 KSL917512:KSL917611 LCH917512:LCH917611 LMD917512:LMD917611 LVZ917512:LVZ917611 MFV917512:MFV917611 MPR917512:MPR917611 MZN917512:MZN917611 NJJ917512:NJJ917611 NTF917512:NTF917611 ODB917512:ODB917611 OMX917512:OMX917611 OWT917512:OWT917611 PGP917512:PGP917611 PQL917512:PQL917611 QAH917512:QAH917611 QKD917512:QKD917611 QTZ917512:QTZ917611 RDV917512:RDV917611 RNR917512:RNR917611 RXN917512:RXN917611 SHJ917512:SHJ917611 SRF917512:SRF917611 TBB917512:TBB917611 TKX917512:TKX917611 TUT917512:TUT917611 UEP917512:UEP917611 UOL917512:UOL917611 UYH917512:UYH917611 VID917512:VID917611 VRZ917512:VRZ917611 WBV917512:WBV917611 WLR917512:WLR917611 WVN917512:WVN917611 F983048:F983147 JB983048:JB983147 SX983048:SX983147 ACT983048:ACT983147 AMP983048:AMP983147 AWL983048:AWL983147 BGH983048:BGH983147 BQD983048:BQD983147 BZZ983048:BZZ983147 CJV983048:CJV983147 CTR983048:CTR983147 DDN983048:DDN983147 DNJ983048:DNJ983147 DXF983048:DXF983147 EHB983048:EHB983147 EQX983048:EQX983147 FAT983048:FAT983147 FKP983048:FKP983147 FUL983048:FUL983147 GEH983048:GEH983147 GOD983048:GOD983147 GXZ983048:GXZ983147 HHV983048:HHV983147 HRR983048:HRR983147 IBN983048:IBN983147 ILJ983048:ILJ983147 IVF983048:IVF983147 JFB983048:JFB983147 JOX983048:JOX983147 JYT983048:JYT983147 KIP983048:KIP983147 KSL983048:KSL983147 LCH983048:LCH983147 LMD983048:LMD983147 LVZ983048:LVZ983147 MFV983048:MFV983147 MPR983048:MPR983147 MZN983048:MZN983147 NJJ983048:NJJ983147 NTF983048:NTF983147 ODB983048:ODB983147 OMX983048:OMX983147 OWT983048:OWT983147 PGP983048:PGP983147 PQL983048:PQL983147 QAH983048:QAH983147 QKD983048:QKD983147 QTZ983048:QTZ983147 RDV983048:RDV983147 RNR983048:RNR983147 RXN983048:RXN983147 SHJ983048:SHJ983147 SRF983048:SRF983147 TBB983048:TBB983147 TKX983048:TKX983147 TUT983048:TUT983147 UEP983048:UEP983147 UOL983048:UOL983147 UYH983048:UYH983147 VID983048:VID983147 VRZ983048:VRZ983147 WBV983048:WBV983147 WLR983048:WLR983147">
      <formula1>"Quản lý,Tiểu học, Âm nhạc,Mỹ thuật,Thể dục,Tin học,Ngoại ngữ,TPT Đội,Văn phòng,Thư viện-TBDH,Khác"</formula1>
    </dataValidation>
    <dataValidation type="list" allowBlank="1" showInputMessage="1" showErrorMessage="1" sqref="WVR983048:WVR983147 JF8:JF107 TB8:TB107 ACX8:ACX107 AMT8:AMT107 AWP8:AWP107 BGL8:BGL107 BQH8:BQH107 CAD8:CAD107 CJZ8:CJZ107 CTV8:CTV107 DDR8:DDR107 DNN8:DNN107 DXJ8:DXJ107 EHF8:EHF107 ERB8:ERB107 FAX8:FAX107 FKT8:FKT107 FUP8:FUP107 GEL8:GEL107 GOH8:GOH107 GYD8:GYD107 HHZ8:HHZ107 HRV8:HRV107 IBR8:IBR107 ILN8:ILN107 IVJ8:IVJ107 JFF8:JFF107 JPB8:JPB107 JYX8:JYX107 KIT8:KIT107 KSP8:KSP107 LCL8:LCL107 LMH8:LMH107 LWD8:LWD107 MFZ8:MFZ107 MPV8:MPV107 MZR8:MZR107 NJN8:NJN107 NTJ8:NTJ107 ODF8:ODF107 ONB8:ONB107 OWX8:OWX107 PGT8:PGT107 PQP8:PQP107 QAL8:QAL107 QKH8:QKH107 QUD8:QUD107 RDZ8:RDZ107 RNV8:RNV107 RXR8:RXR107 SHN8:SHN107 SRJ8:SRJ107 TBF8:TBF107 TLB8:TLB107 TUX8:TUX107 UET8:UET107 UOP8:UOP107 UYL8:UYL107 VIH8:VIH107 VSD8:VSD107 WBZ8:WBZ107 WLV8:WLV107 WVR8:WVR107 J65544:J65643 JF65544:JF65643 TB65544:TB65643 ACX65544:ACX65643 AMT65544:AMT65643 AWP65544:AWP65643 BGL65544:BGL65643 BQH65544:BQH65643 CAD65544:CAD65643 CJZ65544:CJZ65643 CTV65544:CTV65643 DDR65544:DDR65643 DNN65544:DNN65643 DXJ65544:DXJ65643 EHF65544:EHF65643 ERB65544:ERB65643 FAX65544:FAX65643 FKT65544:FKT65643 FUP65544:FUP65643 GEL65544:GEL65643 GOH65544:GOH65643 GYD65544:GYD65643 HHZ65544:HHZ65643 HRV65544:HRV65643 IBR65544:IBR65643 ILN65544:ILN65643 IVJ65544:IVJ65643 JFF65544:JFF65643 JPB65544:JPB65643 JYX65544:JYX65643 KIT65544:KIT65643 KSP65544:KSP65643 LCL65544:LCL65643 LMH65544:LMH65643 LWD65544:LWD65643 MFZ65544:MFZ65643 MPV65544:MPV65643 MZR65544:MZR65643 NJN65544:NJN65643 NTJ65544:NTJ65643 ODF65544:ODF65643 ONB65544:ONB65643 OWX65544:OWX65643 PGT65544:PGT65643 PQP65544:PQP65643 QAL65544:QAL65643 QKH65544:QKH65643 QUD65544:QUD65643 RDZ65544:RDZ65643 RNV65544:RNV65643 RXR65544:RXR65643 SHN65544:SHN65643 SRJ65544:SRJ65643 TBF65544:TBF65643 TLB65544:TLB65643 TUX65544:TUX65643 UET65544:UET65643 UOP65544:UOP65643 UYL65544:UYL65643 VIH65544:VIH65643 VSD65544:VSD65643 WBZ65544:WBZ65643 WLV65544:WLV65643 WVR65544:WVR65643 J131080:J131179 JF131080:JF131179 TB131080:TB131179 ACX131080:ACX131179 AMT131080:AMT131179 AWP131080:AWP131179 BGL131080:BGL131179 BQH131080:BQH131179 CAD131080:CAD131179 CJZ131080:CJZ131179 CTV131080:CTV131179 DDR131080:DDR131179 DNN131080:DNN131179 DXJ131080:DXJ131179 EHF131080:EHF131179 ERB131080:ERB131179 FAX131080:FAX131179 FKT131080:FKT131179 FUP131080:FUP131179 GEL131080:GEL131179 GOH131080:GOH131179 GYD131080:GYD131179 HHZ131080:HHZ131179 HRV131080:HRV131179 IBR131080:IBR131179 ILN131080:ILN131179 IVJ131080:IVJ131179 JFF131080:JFF131179 JPB131080:JPB131179 JYX131080:JYX131179 KIT131080:KIT131179 KSP131080:KSP131179 LCL131080:LCL131179 LMH131080:LMH131179 LWD131080:LWD131179 MFZ131080:MFZ131179 MPV131080:MPV131179 MZR131080:MZR131179 NJN131080:NJN131179 NTJ131080:NTJ131179 ODF131080:ODF131179 ONB131080:ONB131179 OWX131080:OWX131179 PGT131080:PGT131179 PQP131080:PQP131179 QAL131080:QAL131179 QKH131080:QKH131179 QUD131080:QUD131179 RDZ131080:RDZ131179 RNV131080:RNV131179 RXR131080:RXR131179 SHN131080:SHN131179 SRJ131080:SRJ131179 TBF131080:TBF131179 TLB131080:TLB131179 TUX131080:TUX131179 UET131080:UET131179 UOP131080:UOP131179 UYL131080:UYL131179 VIH131080:VIH131179 VSD131080:VSD131179 WBZ131080:WBZ131179 WLV131080:WLV131179 WVR131080:WVR131179 J196616:J196715 JF196616:JF196715 TB196616:TB196715 ACX196616:ACX196715 AMT196616:AMT196715 AWP196616:AWP196715 BGL196616:BGL196715 BQH196616:BQH196715 CAD196616:CAD196715 CJZ196616:CJZ196715 CTV196616:CTV196715 DDR196616:DDR196715 DNN196616:DNN196715 DXJ196616:DXJ196715 EHF196616:EHF196715 ERB196616:ERB196715 FAX196616:FAX196715 FKT196616:FKT196715 FUP196616:FUP196715 GEL196616:GEL196715 GOH196616:GOH196715 GYD196616:GYD196715 HHZ196616:HHZ196715 HRV196616:HRV196715 IBR196616:IBR196715 ILN196616:ILN196715 IVJ196616:IVJ196715 JFF196616:JFF196715 JPB196616:JPB196715 JYX196616:JYX196715 KIT196616:KIT196715 KSP196616:KSP196715 LCL196616:LCL196715 LMH196616:LMH196715 LWD196616:LWD196715 MFZ196616:MFZ196715 MPV196616:MPV196715 MZR196616:MZR196715 NJN196616:NJN196715 NTJ196616:NTJ196715 ODF196616:ODF196715 ONB196616:ONB196715 OWX196616:OWX196715 PGT196616:PGT196715 PQP196616:PQP196715 QAL196616:QAL196715 QKH196616:QKH196715 QUD196616:QUD196715 RDZ196616:RDZ196715 RNV196616:RNV196715 RXR196616:RXR196715 SHN196616:SHN196715 SRJ196616:SRJ196715 TBF196616:TBF196715 TLB196616:TLB196715 TUX196616:TUX196715 UET196616:UET196715 UOP196616:UOP196715 UYL196616:UYL196715 VIH196616:VIH196715 VSD196616:VSD196715 WBZ196616:WBZ196715 WLV196616:WLV196715 WVR196616:WVR196715 J262152:J262251 JF262152:JF262251 TB262152:TB262251 ACX262152:ACX262251 AMT262152:AMT262251 AWP262152:AWP262251 BGL262152:BGL262251 BQH262152:BQH262251 CAD262152:CAD262251 CJZ262152:CJZ262251 CTV262152:CTV262251 DDR262152:DDR262251 DNN262152:DNN262251 DXJ262152:DXJ262251 EHF262152:EHF262251 ERB262152:ERB262251 FAX262152:FAX262251 FKT262152:FKT262251 FUP262152:FUP262251 GEL262152:GEL262251 GOH262152:GOH262251 GYD262152:GYD262251 HHZ262152:HHZ262251 HRV262152:HRV262251 IBR262152:IBR262251 ILN262152:ILN262251 IVJ262152:IVJ262251 JFF262152:JFF262251 JPB262152:JPB262251 JYX262152:JYX262251 KIT262152:KIT262251 KSP262152:KSP262251 LCL262152:LCL262251 LMH262152:LMH262251 LWD262152:LWD262251 MFZ262152:MFZ262251 MPV262152:MPV262251 MZR262152:MZR262251 NJN262152:NJN262251 NTJ262152:NTJ262251 ODF262152:ODF262251 ONB262152:ONB262251 OWX262152:OWX262251 PGT262152:PGT262251 PQP262152:PQP262251 QAL262152:QAL262251 QKH262152:QKH262251 QUD262152:QUD262251 RDZ262152:RDZ262251 RNV262152:RNV262251 RXR262152:RXR262251 SHN262152:SHN262251 SRJ262152:SRJ262251 TBF262152:TBF262251 TLB262152:TLB262251 TUX262152:TUX262251 UET262152:UET262251 UOP262152:UOP262251 UYL262152:UYL262251 VIH262152:VIH262251 VSD262152:VSD262251 WBZ262152:WBZ262251 WLV262152:WLV262251 WVR262152:WVR262251 J327688:J327787 JF327688:JF327787 TB327688:TB327787 ACX327688:ACX327787 AMT327688:AMT327787 AWP327688:AWP327787 BGL327688:BGL327787 BQH327688:BQH327787 CAD327688:CAD327787 CJZ327688:CJZ327787 CTV327688:CTV327787 DDR327688:DDR327787 DNN327688:DNN327787 DXJ327688:DXJ327787 EHF327688:EHF327787 ERB327688:ERB327787 FAX327688:FAX327787 FKT327688:FKT327787 FUP327688:FUP327787 GEL327688:GEL327787 GOH327688:GOH327787 GYD327688:GYD327787 HHZ327688:HHZ327787 HRV327688:HRV327787 IBR327688:IBR327787 ILN327688:ILN327787 IVJ327688:IVJ327787 JFF327688:JFF327787 JPB327688:JPB327787 JYX327688:JYX327787 KIT327688:KIT327787 KSP327688:KSP327787 LCL327688:LCL327787 LMH327688:LMH327787 LWD327688:LWD327787 MFZ327688:MFZ327787 MPV327688:MPV327787 MZR327688:MZR327787 NJN327688:NJN327787 NTJ327688:NTJ327787 ODF327688:ODF327787 ONB327688:ONB327787 OWX327688:OWX327787 PGT327688:PGT327787 PQP327688:PQP327787 QAL327688:QAL327787 QKH327688:QKH327787 QUD327688:QUD327787 RDZ327688:RDZ327787 RNV327688:RNV327787 RXR327688:RXR327787 SHN327688:SHN327787 SRJ327688:SRJ327787 TBF327688:TBF327787 TLB327688:TLB327787 TUX327688:TUX327787 UET327688:UET327787 UOP327688:UOP327787 UYL327688:UYL327787 VIH327688:VIH327787 VSD327688:VSD327787 WBZ327688:WBZ327787 WLV327688:WLV327787 WVR327688:WVR327787 J393224:J393323 JF393224:JF393323 TB393224:TB393323 ACX393224:ACX393323 AMT393224:AMT393323 AWP393224:AWP393323 BGL393224:BGL393323 BQH393224:BQH393323 CAD393224:CAD393323 CJZ393224:CJZ393323 CTV393224:CTV393323 DDR393224:DDR393323 DNN393224:DNN393323 DXJ393224:DXJ393323 EHF393224:EHF393323 ERB393224:ERB393323 FAX393224:FAX393323 FKT393224:FKT393323 FUP393224:FUP393323 GEL393224:GEL393323 GOH393224:GOH393323 GYD393224:GYD393323 HHZ393224:HHZ393323 HRV393224:HRV393323 IBR393224:IBR393323 ILN393224:ILN393323 IVJ393224:IVJ393323 JFF393224:JFF393323 JPB393224:JPB393323 JYX393224:JYX393323 KIT393224:KIT393323 KSP393224:KSP393323 LCL393224:LCL393323 LMH393224:LMH393323 LWD393224:LWD393323 MFZ393224:MFZ393323 MPV393224:MPV393323 MZR393224:MZR393323 NJN393224:NJN393323 NTJ393224:NTJ393323 ODF393224:ODF393323 ONB393224:ONB393323 OWX393224:OWX393323 PGT393224:PGT393323 PQP393224:PQP393323 QAL393224:QAL393323 QKH393224:QKH393323 QUD393224:QUD393323 RDZ393224:RDZ393323 RNV393224:RNV393323 RXR393224:RXR393323 SHN393224:SHN393323 SRJ393224:SRJ393323 TBF393224:TBF393323 TLB393224:TLB393323 TUX393224:TUX393323 UET393224:UET393323 UOP393224:UOP393323 UYL393224:UYL393323 VIH393224:VIH393323 VSD393224:VSD393323 WBZ393224:WBZ393323 WLV393224:WLV393323 WVR393224:WVR393323 J458760:J458859 JF458760:JF458859 TB458760:TB458859 ACX458760:ACX458859 AMT458760:AMT458859 AWP458760:AWP458859 BGL458760:BGL458859 BQH458760:BQH458859 CAD458760:CAD458859 CJZ458760:CJZ458859 CTV458760:CTV458859 DDR458760:DDR458859 DNN458760:DNN458859 DXJ458760:DXJ458859 EHF458760:EHF458859 ERB458760:ERB458859 FAX458760:FAX458859 FKT458760:FKT458859 FUP458760:FUP458859 GEL458760:GEL458859 GOH458760:GOH458859 GYD458760:GYD458859 HHZ458760:HHZ458859 HRV458760:HRV458859 IBR458760:IBR458859 ILN458760:ILN458859 IVJ458760:IVJ458859 JFF458760:JFF458859 JPB458760:JPB458859 JYX458760:JYX458859 KIT458760:KIT458859 KSP458760:KSP458859 LCL458760:LCL458859 LMH458760:LMH458859 LWD458760:LWD458859 MFZ458760:MFZ458859 MPV458760:MPV458859 MZR458760:MZR458859 NJN458760:NJN458859 NTJ458760:NTJ458859 ODF458760:ODF458859 ONB458760:ONB458859 OWX458760:OWX458859 PGT458760:PGT458859 PQP458760:PQP458859 QAL458760:QAL458859 QKH458760:QKH458859 QUD458760:QUD458859 RDZ458760:RDZ458859 RNV458760:RNV458859 RXR458760:RXR458859 SHN458760:SHN458859 SRJ458760:SRJ458859 TBF458760:TBF458859 TLB458760:TLB458859 TUX458760:TUX458859 UET458760:UET458859 UOP458760:UOP458859 UYL458760:UYL458859 VIH458760:VIH458859 VSD458760:VSD458859 WBZ458760:WBZ458859 WLV458760:WLV458859 WVR458760:WVR458859 J524296:J524395 JF524296:JF524395 TB524296:TB524395 ACX524296:ACX524395 AMT524296:AMT524395 AWP524296:AWP524395 BGL524296:BGL524395 BQH524296:BQH524395 CAD524296:CAD524395 CJZ524296:CJZ524395 CTV524296:CTV524395 DDR524296:DDR524395 DNN524296:DNN524395 DXJ524296:DXJ524395 EHF524296:EHF524395 ERB524296:ERB524395 FAX524296:FAX524395 FKT524296:FKT524395 FUP524296:FUP524395 GEL524296:GEL524395 GOH524296:GOH524395 GYD524296:GYD524395 HHZ524296:HHZ524395 HRV524296:HRV524395 IBR524296:IBR524395 ILN524296:ILN524395 IVJ524296:IVJ524395 JFF524296:JFF524395 JPB524296:JPB524395 JYX524296:JYX524395 KIT524296:KIT524395 KSP524296:KSP524395 LCL524296:LCL524395 LMH524296:LMH524395 LWD524296:LWD524395 MFZ524296:MFZ524395 MPV524296:MPV524395 MZR524296:MZR524395 NJN524296:NJN524395 NTJ524296:NTJ524395 ODF524296:ODF524395 ONB524296:ONB524395 OWX524296:OWX524395 PGT524296:PGT524395 PQP524296:PQP524395 QAL524296:QAL524395 QKH524296:QKH524395 QUD524296:QUD524395 RDZ524296:RDZ524395 RNV524296:RNV524395 RXR524296:RXR524395 SHN524296:SHN524395 SRJ524296:SRJ524395 TBF524296:TBF524395 TLB524296:TLB524395 TUX524296:TUX524395 UET524296:UET524395 UOP524296:UOP524395 UYL524296:UYL524395 VIH524296:VIH524395 VSD524296:VSD524395 WBZ524296:WBZ524395 WLV524296:WLV524395 WVR524296:WVR524395 J589832:J589931 JF589832:JF589931 TB589832:TB589931 ACX589832:ACX589931 AMT589832:AMT589931 AWP589832:AWP589931 BGL589832:BGL589931 BQH589832:BQH589931 CAD589832:CAD589931 CJZ589832:CJZ589931 CTV589832:CTV589931 DDR589832:DDR589931 DNN589832:DNN589931 DXJ589832:DXJ589931 EHF589832:EHF589931 ERB589832:ERB589931 FAX589832:FAX589931 FKT589832:FKT589931 FUP589832:FUP589931 GEL589832:GEL589931 GOH589832:GOH589931 GYD589832:GYD589931 HHZ589832:HHZ589931 HRV589832:HRV589931 IBR589832:IBR589931 ILN589832:ILN589931 IVJ589832:IVJ589931 JFF589832:JFF589931 JPB589832:JPB589931 JYX589832:JYX589931 KIT589832:KIT589931 KSP589832:KSP589931 LCL589832:LCL589931 LMH589832:LMH589931 LWD589832:LWD589931 MFZ589832:MFZ589931 MPV589832:MPV589931 MZR589832:MZR589931 NJN589832:NJN589931 NTJ589832:NTJ589931 ODF589832:ODF589931 ONB589832:ONB589931 OWX589832:OWX589931 PGT589832:PGT589931 PQP589832:PQP589931 QAL589832:QAL589931 QKH589832:QKH589931 QUD589832:QUD589931 RDZ589832:RDZ589931 RNV589832:RNV589931 RXR589832:RXR589931 SHN589832:SHN589931 SRJ589832:SRJ589931 TBF589832:TBF589931 TLB589832:TLB589931 TUX589832:TUX589931 UET589832:UET589931 UOP589832:UOP589931 UYL589832:UYL589931 VIH589832:VIH589931 VSD589832:VSD589931 WBZ589832:WBZ589931 WLV589832:WLV589931 WVR589832:WVR589931 J655368:J655467 JF655368:JF655467 TB655368:TB655467 ACX655368:ACX655467 AMT655368:AMT655467 AWP655368:AWP655467 BGL655368:BGL655467 BQH655368:BQH655467 CAD655368:CAD655467 CJZ655368:CJZ655467 CTV655368:CTV655467 DDR655368:DDR655467 DNN655368:DNN655467 DXJ655368:DXJ655467 EHF655368:EHF655467 ERB655368:ERB655467 FAX655368:FAX655467 FKT655368:FKT655467 FUP655368:FUP655467 GEL655368:GEL655467 GOH655368:GOH655467 GYD655368:GYD655467 HHZ655368:HHZ655467 HRV655368:HRV655467 IBR655368:IBR655467 ILN655368:ILN655467 IVJ655368:IVJ655467 JFF655368:JFF655467 JPB655368:JPB655467 JYX655368:JYX655467 KIT655368:KIT655467 KSP655368:KSP655467 LCL655368:LCL655467 LMH655368:LMH655467 LWD655368:LWD655467 MFZ655368:MFZ655467 MPV655368:MPV655467 MZR655368:MZR655467 NJN655368:NJN655467 NTJ655368:NTJ655467 ODF655368:ODF655467 ONB655368:ONB655467 OWX655368:OWX655467 PGT655368:PGT655467 PQP655368:PQP655467 QAL655368:QAL655467 QKH655368:QKH655467 QUD655368:QUD655467 RDZ655368:RDZ655467 RNV655368:RNV655467 RXR655368:RXR655467 SHN655368:SHN655467 SRJ655368:SRJ655467 TBF655368:TBF655467 TLB655368:TLB655467 TUX655368:TUX655467 UET655368:UET655467 UOP655368:UOP655467 UYL655368:UYL655467 VIH655368:VIH655467 VSD655368:VSD655467 WBZ655368:WBZ655467 WLV655368:WLV655467 WVR655368:WVR655467 J720904:J721003 JF720904:JF721003 TB720904:TB721003 ACX720904:ACX721003 AMT720904:AMT721003 AWP720904:AWP721003 BGL720904:BGL721003 BQH720904:BQH721003 CAD720904:CAD721003 CJZ720904:CJZ721003 CTV720904:CTV721003 DDR720904:DDR721003 DNN720904:DNN721003 DXJ720904:DXJ721003 EHF720904:EHF721003 ERB720904:ERB721003 FAX720904:FAX721003 FKT720904:FKT721003 FUP720904:FUP721003 GEL720904:GEL721003 GOH720904:GOH721003 GYD720904:GYD721003 HHZ720904:HHZ721003 HRV720904:HRV721003 IBR720904:IBR721003 ILN720904:ILN721003 IVJ720904:IVJ721003 JFF720904:JFF721003 JPB720904:JPB721003 JYX720904:JYX721003 KIT720904:KIT721003 KSP720904:KSP721003 LCL720904:LCL721003 LMH720904:LMH721003 LWD720904:LWD721003 MFZ720904:MFZ721003 MPV720904:MPV721003 MZR720904:MZR721003 NJN720904:NJN721003 NTJ720904:NTJ721003 ODF720904:ODF721003 ONB720904:ONB721003 OWX720904:OWX721003 PGT720904:PGT721003 PQP720904:PQP721003 QAL720904:QAL721003 QKH720904:QKH721003 QUD720904:QUD721003 RDZ720904:RDZ721003 RNV720904:RNV721003 RXR720904:RXR721003 SHN720904:SHN721003 SRJ720904:SRJ721003 TBF720904:TBF721003 TLB720904:TLB721003 TUX720904:TUX721003 UET720904:UET721003 UOP720904:UOP721003 UYL720904:UYL721003 VIH720904:VIH721003 VSD720904:VSD721003 WBZ720904:WBZ721003 WLV720904:WLV721003 WVR720904:WVR721003 J786440:J786539 JF786440:JF786539 TB786440:TB786539 ACX786440:ACX786539 AMT786440:AMT786539 AWP786440:AWP786539 BGL786440:BGL786539 BQH786440:BQH786539 CAD786440:CAD786539 CJZ786440:CJZ786539 CTV786440:CTV786539 DDR786440:DDR786539 DNN786440:DNN786539 DXJ786440:DXJ786539 EHF786440:EHF786539 ERB786440:ERB786539 FAX786440:FAX786539 FKT786440:FKT786539 FUP786440:FUP786539 GEL786440:GEL786539 GOH786440:GOH786539 GYD786440:GYD786539 HHZ786440:HHZ786539 HRV786440:HRV786539 IBR786440:IBR786539 ILN786440:ILN786539 IVJ786440:IVJ786539 JFF786440:JFF786539 JPB786440:JPB786539 JYX786440:JYX786539 KIT786440:KIT786539 KSP786440:KSP786539 LCL786440:LCL786539 LMH786440:LMH786539 LWD786440:LWD786539 MFZ786440:MFZ786539 MPV786440:MPV786539 MZR786440:MZR786539 NJN786440:NJN786539 NTJ786440:NTJ786539 ODF786440:ODF786539 ONB786440:ONB786539 OWX786440:OWX786539 PGT786440:PGT786539 PQP786440:PQP786539 QAL786440:QAL786539 QKH786440:QKH786539 QUD786440:QUD786539 RDZ786440:RDZ786539 RNV786440:RNV786539 RXR786440:RXR786539 SHN786440:SHN786539 SRJ786440:SRJ786539 TBF786440:TBF786539 TLB786440:TLB786539 TUX786440:TUX786539 UET786440:UET786539 UOP786440:UOP786539 UYL786440:UYL786539 VIH786440:VIH786539 VSD786440:VSD786539 WBZ786440:WBZ786539 WLV786440:WLV786539 WVR786440:WVR786539 J851976:J852075 JF851976:JF852075 TB851976:TB852075 ACX851976:ACX852075 AMT851976:AMT852075 AWP851976:AWP852075 BGL851976:BGL852075 BQH851976:BQH852075 CAD851976:CAD852075 CJZ851976:CJZ852075 CTV851976:CTV852075 DDR851976:DDR852075 DNN851976:DNN852075 DXJ851976:DXJ852075 EHF851976:EHF852075 ERB851976:ERB852075 FAX851976:FAX852075 FKT851976:FKT852075 FUP851976:FUP852075 GEL851976:GEL852075 GOH851976:GOH852075 GYD851976:GYD852075 HHZ851976:HHZ852075 HRV851976:HRV852075 IBR851976:IBR852075 ILN851976:ILN852075 IVJ851976:IVJ852075 JFF851976:JFF852075 JPB851976:JPB852075 JYX851976:JYX852075 KIT851976:KIT852075 KSP851976:KSP852075 LCL851976:LCL852075 LMH851976:LMH852075 LWD851976:LWD852075 MFZ851976:MFZ852075 MPV851976:MPV852075 MZR851976:MZR852075 NJN851976:NJN852075 NTJ851976:NTJ852075 ODF851976:ODF852075 ONB851976:ONB852075 OWX851976:OWX852075 PGT851976:PGT852075 PQP851976:PQP852075 QAL851976:QAL852075 QKH851976:QKH852075 QUD851976:QUD852075 RDZ851976:RDZ852075 RNV851976:RNV852075 RXR851976:RXR852075 SHN851976:SHN852075 SRJ851976:SRJ852075 TBF851976:TBF852075 TLB851976:TLB852075 TUX851976:TUX852075 UET851976:UET852075 UOP851976:UOP852075 UYL851976:UYL852075 VIH851976:VIH852075 VSD851976:VSD852075 WBZ851976:WBZ852075 WLV851976:WLV852075 WVR851976:WVR852075 J917512:J917611 JF917512:JF917611 TB917512:TB917611 ACX917512:ACX917611 AMT917512:AMT917611 AWP917512:AWP917611 BGL917512:BGL917611 BQH917512:BQH917611 CAD917512:CAD917611 CJZ917512:CJZ917611 CTV917512:CTV917611 DDR917512:DDR917611 DNN917512:DNN917611 DXJ917512:DXJ917611 EHF917512:EHF917611 ERB917512:ERB917611 FAX917512:FAX917611 FKT917512:FKT917611 FUP917512:FUP917611 GEL917512:GEL917611 GOH917512:GOH917611 GYD917512:GYD917611 HHZ917512:HHZ917611 HRV917512:HRV917611 IBR917512:IBR917611 ILN917512:ILN917611 IVJ917512:IVJ917611 JFF917512:JFF917611 JPB917512:JPB917611 JYX917512:JYX917611 KIT917512:KIT917611 KSP917512:KSP917611 LCL917512:LCL917611 LMH917512:LMH917611 LWD917512:LWD917611 MFZ917512:MFZ917611 MPV917512:MPV917611 MZR917512:MZR917611 NJN917512:NJN917611 NTJ917512:NTJ917611 ODF917512:ODF917611 ONB917512:ONB917611 OWX917512:OWX917611 PGT917512:PGT917611 PQP917512:PQP917611 QAL917512:QAL917611 QKH917512:QKH917611 QUD917512:QUD917611 RDZ917512:RDZ917611 RNV917512:RNV917611 RXR917512:RXR917611 SHN917512:SHN917611 SRJ917512:SRJ917611 TBF917512:TBF917611 TLB917512:TLB917611 TUX917512:TUX917611 UET917512:UET917611 UOP917512:UOP917611 UYL917512:UYL917611 VIH917512:VIH917611 VSD917512:VSD917611 WBZ917512:WBZ917611 WLV917512:WLV917611 WVR917512:WVR917611 J983048:J983147 JF983048:JF983147 TB983048:TB983147 ACX983048:ACX983147 AMT983048:AMT983147 AWP983048:AWP983147 BGL983048:BGL983147 BQH983048:BQH983147 CAD983048:CAD983147 CJZ983048:CJZ983147 CTV983048:CTV983147 DDR983048:DDR983147 DNN983048:DNN983147 DXJ983048:DXJ983147 EHF983048:EHF983147 ERB983048:ERB983147 FAX983048:FAX983147 FKT983048:FKT983147 FUP983048:FUP983147 GEL983048:GEL983147 GOH983048:GOH983147 GYD983048:GYD983147 HHZ983048:HHZ983147 HRV983048:HRV983147 IBR983048:IBR983147 ILN983048:ILN983147 IVJ983048:IVJ983147 JFF983048:JFF983147 JPB983048:JPB983147 JYX983048:JYX983147 KIT983048:KIT983147 KSP983048:KSP983147 LCL983048:LCL983147 LMH983048:LMH983147 LWD983048:LWD983147 MFZ983048:MFZ983147 MPV983048:MPV983147 MZR983048:MZR983147 NJN983048:NJN983147 NTJ983048:NTJ983147 ODF983048:ODF983147 ONB983048:ONB983147 OWX983048:OWX983147 PGT983048:PGT983147 PQP983048:PQP983147 QAL983048:QAL983147 QKH983048:QKH983147 QUD983048:QUD983147 RDZ983048:RDZ983147 RNV983048:RNV983147 RXR983048:RXR983147 SHN983048:SHN983147 SRJ983048:SRJ983147 TBF983048:TBF983147 TLB983048:TLB983147 TUX983048:TUX983147 UET983048:UET983147 UOP983048:UOP983147 UYL983048:UYL983147 VIH983048:VIH983147 VSD983048:VSD983147 WBZ983048:WBZ983147 WLV983048:WLV983147 J8:J107">
      <formula1>"Trên ĐH,Đại học,Cao đẳng,Trung cấp,Dưới TC"</formula1>
    </dataValidation>
    <dataValidation type="list" allowBlank="1" showInputMessage="1" showErrorMessage="1" sqref="WWA983048:WWA983147 JO8:JO107 TK8:TK107 ADG8:ADG107 ANC8:ANC107 AWY8:AWY107 BGU8:BGU107 BQQ8:BQQ107 CAM8:CAM107 CKI8:CKI107 CUE8:CUE107 DEA8:DEA107 DNW8:DNW107 DXS8:DXS107 EHO8:EHO107 ERK8:ERK107 FBG8:FBG107 FLC8:FLC107 FUY8:FUY107 GEU8:GEU107 GOQ8:GOQ107 GYM8:GYM107 HII8:HII107 HSE8:HSE107 ICA8:ICA107 ILW8:ILW107 IVS8:IVS107 JFO8:JFO107 JPK8:JPK107 JZG8:JZG107 KJC8:KJC107 KSY8:KSY107 LCU8:LCU107 LMQ8:LMQ107 LWM8:LWM107 MGI8:MGI107 MQE8:MQE107 NAA8:NAA107 NJW8:NJW107 NTS8:NTS107 ODO8:ODO107 ONK8:ONK107 OXG8:OXG107 PHC8:PHC107 PQY8:PQY107 QAU8:QAU107 QKQ8:QKQ107 QUM8:QUM107 REI8:REI107 ROE8:ROE107 RYA8:RYA107 SHW8:SHW107 SRS8:SRS107 TBO8:TBO107 TLK8:TLK107 TVG8:TVG107 UFC8:UFC107 UOY8:UOY107 UYU8:UYU107 VIQ8:VIQ107 VSM8:VSM107 WCI8:WCI107 WME8:WME107 WWA8:WWA107 S65544:S65643 JO65544:JO65643 TK65544:TK65643 ADG65544:ADG65643 ANC65544:ANC65643 AWY65544:AWY65643 BGU65544:BGU65643 BQQ65544:BQQ65643 CAM65544:CAM65643 CKI65544:CKI65643 CUE65544:CUE65643 DEA65544:DEA65643 DNW65544:DNW65643 DXS65544:DXS65643 EHO65544:EHO65643 ERK65544:ERK65643 FBG65544:FBG65643 FLC65544:FLC65643 FUY65544:FUY65643 GEU65544:GEU65643 GOQ65544:GOQ65643 GYM65544:GYM65643 HII65544:HII65643 HSE65544:HSE65643 ICA65544:ICA65643 ILW65544:ILW65643 IVS65544:IVS65643 JFO65544:JFO65643 JPK65544:JPK65643 JZG65544:JZG65643 KJC65544:KJC65643 KSY65544:KSY65643 LCU65544:LCU65643 LMQ65544:LMQ65643 LWM65544:LWM65643 MGI65544:MGI65643 MQE65544:MQE65643 NAA65544:NAA65643 NJW65544:NJW65643 NTS65544:NTS65643 ODO65544:ODO65643 ONK65544:ONK65643 OXG65544:OXG65643 PHC65544:PHC65643 PQY65544:PQY65643 QAU65544:QAU65643 QKQ65544:QKQ65643 QUM65544:QUM65643 REI65544:REI65643 ROE65544:ROE65643 RYA65544:RYA65643 SHW65544:SHW65643 SRS65544:SRS65643 TBO65544:TBO65643 TLK65544:TLK65643 TVG65544:TVG65643 UFC65544:UFC65643 UOY65544:UOY65643 UYU65544:UYU65643 VIQ65544:VIQ65643 VSM65544:VSM65643 WCI65544:WCI65643 WME65544:WME65643 WWA65544:WWA65643 S131080:S131179 JO131080:JO131179 TK131080:TK131179 ADG131080:ADG131179 ANC131080:ANC131179 AWY131080:AWY131179 BGU131080:BGU131179 BQQ131080:BQQ131179 CAM131080:CAM131179 CKI131080:CKI131179 CUE131080:CUE131179 DEA131080:DEA131179 DNW131080:DNW131179 DXS131080:DXS131179 EHO131080:EHO131179 ERK131080:ERK131179 FBG131080:FBG131179 FLC131080:FLC131179 FUY131080:FUY131179 GEU131080:GEU131179 GOQ131080:GOQ131179 GYM131080:GYM131179 HII131080:HII131179 HSE131080:HSE131179 ICA131080:ICA131179 ILW131080:ILW131179 IVS131080:IVS131179 JFO131080:JFO131179 JPK131080:JPK131179 JZG131080:JZG131179 KJC131080:KJC131179 KSY131080:KSY131179 LCU131080:LCU131179 LMQ131080:LMQ131179 LWM131080:LWM131179 MGI131080:MGI131179 MQE131080:MQE131179 NAA131080:NAA131179 NJW131080:NJW131179 NTS131080:NTS131179 ODO131080:ODO131179 ONK131080:ONK131179 OXG131080:OXG131179 PHC131080:PHC131179 PQY131080:PQY131179 QAU131080:QAU131179 QKQ131080:QKQ131179 QUM131080:QUM131179 REI131080:REI131179 ROE131080:ROE131179 RYA131080:RYA131179 SHW131080:SHW131179 SRS131080:SRS131179 TBO131080:TBO131179 TLK131080:TLK131179 TVG131080:TVG131179 UFC131080:UFC131179 UOY131080:UOY131179 UYU131080:UYU131179 VIQ131080:VIQ131179 VSM131080:VSM131179 WCI131080:WCI131179 WME131080:WME131179 WWA131080:WWA131179 S196616:S196715 JO196616:JO196715 TK196616:TK196715 ADG196616:ADG196715 ANC196616:ANC196715 AWY196616:AWY196715 BGU196616:BGU196715 BQQ196616:BQQ196715 CAM196616:CAM196715 CKI196616:CKI196715 CUE196616:CUE196715 DEA196616:DEA196715 DNW196616:DNW196715 DXS196616:DXS196715 EHO196616:EHO196715 ERK196616:ERK196715 FBG196616:FBG196715 FLC196616:FLC196715 FUY196616:FUY196715 GEU196616:GEU196715 GOQ196616:GOQ196715 GYM196616:GYM196715 HII196616:HII196715 HSE196616:HSE196715 ICA196616:ICA196715 ILW196616:ILW196715 IVS196616:IVS196715 JFO196616:JFO196715 JPK196616:JPK196715 JZG196616:JZG196715 KJC196616:KJC196715 KSY196616:KSY196715 LCU196616:LCU196715 LMQ196616:LMQ196715 LWM196616:LWM196715 MGI196616:MGI196715 MQE196616:MQE196715 NAA196616:NAA196715 NJW196616:NJW196715 NTS196616:NTS196715 ODO196616:ODO196715 ONK196616:ONK196715 OXG196616:OXG196715 PHC196616:PHC196715 PQY196616:PQY196715 QAU196616:QAU196715 QKQ196616:QKQ196715 QUM196616:QUM196715 REI196616:REI196715 ROE196616:ROE196715 RYA196616:RYA196715 SHW196616:SHW196715 SRS196616:SRS196715 TBO196616:TBO196715 TLK196616:TLK196715 TVG196616:TVG196715 UFC196616:UFC196715 UOY196616:UOY196715 UYU196616:UYU196715 VIQ196616:VIQ196715 VSM196616:VSM196715 WCI196616:WCI196715 WME196616:WME196715 WWA196616:WWA196715 S262152:S262251 JO262152:JO262251 TK262152:TK262251 ADG262152:ADG262251 ANC262152:ANC262251 AWY262152:AWY262251 BGU262152:BGU262251 BQQ262152:BQQ262251 CAM262152:CAM262251 CKI262152:CKI262251 CUE262152:CUE262251 DEA262152:DEA262251 DNW262152:DNW262251 DXS262152:DXS262251 EHO262152:EHO262251 ERK262152:ERK262251 FBG262152:FBG262251 FLC262152:FLC262251 FUY262152:FUY262251 GEU262152:GEU262251 GOQ262152:GOQ262251 GYM262152:GYM262251 HII262152:HII262251 HSE262152:HSE262251 ICA262152:ICA262251 ILW262152:ILW262251 IVS262152:IVS262251 JFO262152:JFO262251 JPK262152:JPK262251 JZG262152:JZG262251 KJC262152:KJC262251 KSY262152:KSY262251 LCU262152:LCU262251 LMQ262152:LMQ262251 LWM262152:LWM262251 MGI262152:MGI262251 MQE262152:MQE262251 NAA262152:NAA262251 NJW262152:NJW262251 NTS262152:NTS262251 ODO262152:ODO262251 ONK262152:ONK262251 OXG262152:OXG262251 PHC262152:PHC262251 PQY262152:PQY262251 QAU262152:QAU262251 QKQ262152:QKQ262251 QUM262152:QUM262251 REI262152:REI262251 ROE262152:ROE262251 RYA262152:RYA262251 SHW262152:SHW262251 SRS262152:SRS262251 TBO262152:TBO262251 TLK262152:TLK262251 TVG262152:TVG262251 UFC262152:UFC262251 UOY262152:UOY262251 UYU262152:UYU262251 VIQ262152:VIQ262251 VSM262152:VSM262251 WCI262152:WCI262251 WME262152:WME262251 WWA262152:WWA262251 S327688:S327787 JO327688:JO327787 TK327688:TK327787 ADG327688:ADG327787 ANC327688:ANC327787 AWY327688:AWY327787 BGU327688:BGU327787 BQQ327688:BQQ327787 CAM327688:CAM327787 CKI327688:CKI327787 CUE327688:CUE327787 DEA327688:DEA327787 DNW327688:DNW327787 DXS327688:DXS327787 EHO327688:EHO327787 ERK327688:ERK327787 FBG327688:FBG327787 FLC327688:FLC327787 FUY327688:FUY327787 GEU327688:GEU327787 GOQ327688:GOQ327787 GYM327688:GYM327787 HII327688:HII327787 HSE327688:HSE327787 ICA327688:ICA327787 ILW327688:ILW327787 IVS327688:IVS327787 JFO327688:JFO327787 JPK327688:JPK327787 JZG327688:JZG327787 KJC327688:KJC327787 KSY327688:KSY327787 LCU327688:LCU327787 LMQ327688:LMQ327787 LWM327688:LWM327787 MGI327688:MGI327787 MQE327688:MQE327787 NAA327688:NAA327787 NJW327688:NJW327787 NTS327688:NTS327787 ODO327688:ODO327787 ONK327688:ONK327787 OXG327688:OXG327787 PHC327688:PHC327787 PQY327688:PQY327787 QAU327688:QAU327787 QKQ327688:QKQ327787 QUM327688:QUM327787 REI327688:REI327787 ROE327688:ROE327787 RYA327688:RYA327787 SHW327688:SHW327787 SRS327688:SRS327787 TBO327688:TBO327787 TLK327688:TLK327787 TVG327688:TVG327787 UFC327688:UFC327787 UOY327688:UOY327787 UYU327688:UYU327787 VIQ327688:VIQ327787 VSM327688:VSM327787 WCI327688:WCI327787 WME327688:WME327787 WWA327688:WWA327787 S393224:S393323 JO393224:JO393323 TK393224:TK393323 ADG393224:ADG393323 ANC393224:ANC393323 AWY393224:AWY393323 BGU393224:BGU393323 BQQ393224:BQQ393323 CAM393224:CAM393323 CKI393224:CKI393323 CUE393224:CUE393323 DEA393224:DEA393323 DNW393224:DNW393323 DXS393224:DXS393323 EHO393224:EHO393323 ERK393224:ERK393323 FBG393224:FBG393323 FLC393224:FLC393323 FUY393224:FUY393323 GEU393224:GEU393323 GOQ393224:GOQ393323 GYM393224:GYM393323 HII393224:HII393323 HSE393224:HSE393323 ICA393224:ICA393323 ILW393224:ILW393323 IVS393224:IVS393323 JFO393224:JFO393323 JPK393224:JPK393323 JZG393224:JZG393323 KJC393224:KJC393323 KSY393224:KSY393323 LCU393224:LCU393323 LMQ393224:LMQ393323 LWM393224:LWM393323 MGI393224:MGI393323 MQE393224:MQE393323 NAA393224:NAA393323 NJW393224:NJW393323 NTS393224:NTS393323 ODO393224:ODO393323 ONK393224:ONK393323 OXG393224:OXG393323 PHC393224:PHC393323 PQY393224:PQY393323 QAU393224:QAU393323 QKQ393224:QKQ393323 QUM393224:QUM393323 REI393224:REI393323 ROE393224:ROE393323 RYA393224:RYA393323 SHW393224:SHW393323 SRS393224:SRS393323 TBO393224:TBO393323 TLK393224:TLK393323 TVG393224:TVG393323 UFC393224:UFC393323 UOY393224:UOY393323 UYU393224:UYU393323 VIQ393224:VIQ393323 VSM393224:VSM393323 WCI393224:WCI393323 WME393224:WME393323 WWA393224:WWA393323 S458760:S458859 JO458760:JO458859 TK458760:TK458859 ADG458760:ADG458859 ANC458760:ANC458859 AWY458760:AWY458859 BGU458760:BGU458859 BQQ458760:BQQ458859 CAM458760:CAM458859 CKI458760:CKI458859 CUE458760:CUE458859 DEA458760:DEA458859 DNW458760:DNW458859 DXS458760:DXS458859 EHO458760:EHO458859 ERK458760:ERK458859 FBG458760:FBG458859 FLC458760:FLC458859 FUY458760:FUY458859 GEU458760:GEU458859 GOQ458760:GOQ458859 GYM458760:GYM458859 HII458760:HII458859 HSE458760:HSE458859 ICA458760:ICA458859 ILW458760:ILW458859 IVS458760:IVS458859 JFO458760:JFO458859 JPK458760:JPK458859 JZG458760:JZG458859 KJC458760:KJC458859 KSY458760:KSY458859 LCU458760:LCU458859 LMQ458760:LMQ458859 LWM458760:LWM458859 MGI458760:MGI458859 MQE458760:MQE458859 NAA458760:NAA458859 NJW458760:NJW458859 NTS458760:NTS458859 ODO458760:ODO458859 ONK458760:ONK458859 OXG458760:OXG458859 PHC458760:PHC458859 PQY458760:PQY458859 QAU458760:QAU458859 QKQ458760:QKQ458859 QUM458760:QUM458859 REI458760:REI458859 ROE458760:ROE458859 RYA458760:RYA458859 SHW458760:SHW458859 SRS458760:SRS458859 TBO458760:TBO458859 TLK458760:TLK458859 TVG458760:TVG458859 UFC458760:UFC458859 UOY458760:UOY458859 UYU458760:UYU458859 VIQ458760:VIQ458859 VSM458760:VSM458859 WCI458760:WCI458859 WME458760:WME458859 WWA458760:WWA458859 S524296:S524395 JO524296:JO524395 TK524296:TK524395 ADG524296:ADG524395 ANC524296:ANC524395 AWY524296:AWY524395 BGU524296:BGU524395 BQQ524296:BQQ524395 CAM524296:CAM524395 CKI524296:CKI524395 CUE524296:CUE524395 DEA524296:DEA524395 DNW524296:DNW524395 DXS524296:DXS524395 EHO524296:EHO524395 ERK524296:ERK524395 FBG524296:FBG524395 FLC524296:FLC524395 FUY524296:FUY524395 GEU524296:GEU524395 GOQ524296:GOQ524395 GYM524296:GYM524395 HII524296:HII524395 HSE524296:HSE524395 ICA524296:ICA524395 ILW524296:ILW524395 IVS524296:IVS524395 JFO524296:JFO524395 JPK524296:JPK524395 JZG524296:JZG524395 KJC524296:KJC524395 KSY524296:KSY524395 LCU524296:LCU524395 LMQ524296:LMQ524395 LWM524296:LWM524395 MGI524296:MGI524395 MQE524296:MQE524395 NAA524296:NAA524395 NJW524296:NJW524395 NTS524296:NTS524395 ODO524296:ODO524395 ONK524296:ONK524395 OXG524296:OXG524395 PHC524296:PHC524395 PQY524296:PQY524395 QAU524296:QAU524395 QKQ524296:QKQ524395 QUM524296:QUM524395 REI524296:REI524395 ROE524296:ROE524395 RYA524296:RYA524395 SHW524296:SHW524395 SRS524296:SRS524395 TBO524296:TBO524395 TLK524296:TLK524395 TVG524296:TVG524395 UFC524296:UFC524395 UOY524296:UOY524395 UYU524296:UYU524395 VIQ524296:VIQ524395 VSM524296:VSM524395 WCI524296:WCI524395 WME524296:WME524395 WWA524296:WWA524395 S589832:S589931 JO589832:JO589931 TK589832:TK589931 ADG589832:ADG589931 ANC589832:ANC589931 AWY589832:AWY589931 BGU589832:BGU589931 BQQ589832:BQQ589931 CAM589832:CAM589931 CKI589832:CKI589931 CUE589832:CUE589931 DEA589832:DEA589931 DNW589832:DNW589931 DXS589832:DXS589931 EHO589832:EHO589931 ERK589832:ERK589931 FBG589832:FBG589931 FLC589832:FLC589931 FUY589832:FUY589931 GEU589832:GEU589931 GOQ589832:GOQ589931 GYM589832:GYM589931 HII589832:HII589931 HSE589832:HSE589931 ICA589832:ICA589931 ILW589832:ILW589931 IVS589832:IVS589931 JFO589832:JFO589931 JPK589832:JPK589931 JZG589832:JZG589931 KJC589832:KJC589931 KSY589832:KSY589931 LCU589832:LCU589931 LMQ589832:LMQ589931 LWM589832:LWM589931 MGI589832:MGI589931 MQE589832:MQE589931 NAA589832:NAA589931 NJW589832:NJW589931 NTS589832:NTS589931 ODO589832:ODO589931 ONK589832:ONK589931 OXG589832:OXG589931 PHC589832:PHC589931 PQY589832:PQY589931 QAU589832:QAU589931 QKQ589832:QKQ589931 QUM589832:QUM589931 REI589832:REI589931 ROE589832:ROE589931 RYA589832:RYA589931 SHW589832:SHW589931 SRS589832:SRS589931 TBO589832:TBO589931 TLK589832:TLK589931 TVG589832:TVG589931 UFC589832:UFC589931 UOY589832:UOY589931 UYU589832:UYU589931 VIQ589832:VIQ589931 VSM589832:VSM589931 WCI589832:WCI589931 WME589832:WME589931 WWA589832:WWA589931 S655368:S655467 JO655368:JO655467 TK655368:TK655467 ADG655368:ADG655467 ANC655368:ANC655467 AWY655368:AWY655467 BGU655368:BGU655467 BQQ655368:BQQ655467 CAM655368:CAM655467 CKI655368:CKI655467 CUE655368:CUE655467 DEA655368:DEA655467 DNW655368:DNW655467 DXS655368:DXS655467 EHO655368:EHO655467 ERK655368:ERK655467 FBG655368:FBG655467 FLC655368:FLC655467 FUY655368:FUY655467 GEU655368:GEU655467 GOQ655368:GOQ655467 GYM655368:GYM655467 HII655368:HII655467 HSE655368:HSE655467 ICA655368:ICA655467 ILW655368:ILW655467 IVS655368:IVS655467 JFO655368:JFO655467 JPK655368:JPK655467 JZG655368:JZG655467 KJC655368:KJC655467 KSY655368:KSY655467 LCU655368:LCU655467 LMQ655368:LMQ655467 LWM655368:LWM655467 MGI655368:MGI655467 MQE655368:MQE655467 NAA655368:NAA655467 NJW655368:NJW655467 NTS655368:NTS655467 ODO655368:ODO655467 ONK655368:ONK655467 OXG655368:OXG655467 PHC655368:PHC655467 PQY655368:PQY655467 QAU655368:QAU655467 QKQ655368:QKQ655467 QUM655368:QUM655467 REI655368:REI655467 ROE655368:ROE655467 RYA655368:RYA655467 SHW655368:SHW655467 SRS655368:SRS655467 TBO655368:TBO655467 TLK655368:TLK655467 TVG655368:TVG655467 UFC655368:UFC655467 UOY655368:UOY655467 UYU655368:UYU655467 VIQ655368:VIQ655467 VSM655368:VSM655467 WCI655368:WCI655467 WME655368:WME655467 WWA655368:WWA655467 S720904:S721003 JO720904:JO721003 TK720904:TK721003 ADG720904:ADG721003 ANC720904:ANC721003 AWY720904:AWY721003 BGU720904:BGU721003 BQQ720904:BQQ721003 CAM720904:CAM721003 CKI720904:CKI721003 CUE720904:CUE721003 DEA720904:DEA721003 DNW720904:DNW721003 DXS720904:DXS721003 EHO720904:EHO721003 ERK720904:ERK721003 FBG720904:FBG721003 FLC720904:FLC721003 FUY720904:FUY721003 GEU720904:GEU721003 GOQ720904:GOQ721003 GYM720904:GYM721003 HII720904:HII721003 HSE720904:HSE721003 ICA720904:ICA721003 ILW720904:ILW721003 IVS720904:IVS721003 JFO720904:JFO721003 JPK720904:JPK721003 JZG720904:JZG721003 KJC720904:KJC721003 KSY720904:KSY721003 LCU720904:LCU721003 LMQ720904:LMQ721003 LWM720904:LWM721003 MGI720904:MGI721003 MQE720904:MQE721003 NAA720904:NAA721003 NJW720904:NJW721003 NTS720904:NTS721003 ODO720904:ODO721003 ONK720904:ONK721003 OXG720904:OXG721003 PHC720904:PHC721003 PQY720904:PQY721003 QAU720904:QAU721003 QKQ720904:QKQ721003 QUM720904:QUM721003 REI720904:REI721003 ROE720904:ROE721003 RYA720904:RYA721003 SHW720904:SHW721003 SRS720904:SRS721003 TBO720904:TBO721003 TLK720904:TLK721003 TVG720904:TVG721003 UFC720904:UFC721003 UOY720904:UOY721003 UYU720904:UYU721003 VIQ720904:VIQ721003 VSM720904:VSM721003 WCI720904:WCI721003 WME720904:WME721003 WWA720904:WWA721003 S786440:S786539 JO786440:JO786539 TK786440:TK786539 ADG786440:ADG786539 ANC786440:ANC786539 AWY786440:AWY786539 BGU786440:BGU786539 BQQ786440:BQQ786539 CAM786440:CAM786539 CKI786440:CKI786539 CUE786440:CUE786539 DEA786440:DEA786539 DNW786440:DNW786539 DXS786440:DXS786539 EHO786440:EHO786539 ERK786440:ERK786539 FBG786440:FBG786539 FLC786440:FLC786539 FUY786440:FUY786539 GEU786440:GEU786539 GOQ786440:GOQ786539 GYM786440:GYM786539 HII786440:HII786539 HSE786440:HSE786539 ICA786440:ICA786539 ILW786440:ILW786539 IVS786440:IVS786539 JFO786440:JFO786539 JPK786440:JPK786539 JZG786440:JZG786539 KJC786440:KJC786539 KSY786440:KSY786539 LCU786440:LCU786539 LMQ786440:LMQ786539 LWM786440:LWM786539 MGI786440:MGI786539 MQE786440:MQE786539 NAA786440:NAA786539 NJW786440:NJW786539 NTS786440:NTS786539 ODO786440:ODO786539 ONK786440:ONK786539 OXG786440:OXG786539 PHC786440:PHC786539 PQY786440:PQY786539 QAU786440:QAU786539 QKQ786440:QKQ786539 QUM786440:QUM786539 REI786440:REI786539 ROE786440:ROE786539 RYA786440:RYA786539 SHW786440:SHW786539 SRS786440:SRS786539 TBO786440:TBO786539 TLK786440:TLK786539 TVG786440:TVG786539 UFC786440:UFC786539 UOY786440:UOY786539 UYU786440:UYU786539 VIQ786440:VIQ786539 VSM786440:VSM786539 WCI786440:WCI786539 WME786440:WME786539 WWA786440:WWA786539 S851976:S852075 JO851976:JO852075 TK851976:TK852075 ADG851976:ADG852075 ANC851976:ANC852075 AWY851976:AWY852075 BGU851976:BGU852075 BQQ851976:BQQ852075 CAM851976:CAM852075 CKI851976:CKI852075 CUE851976:CUE852075 DEA851976:DEA852075 DNW851976:DNW852075 DXS851976:DXS852075 EHO851976:EHO852075 ERK851976:ERK852075 FBG851976:FBG852075 FLC851976:FLC852075 FUY851976:FUY852075 GEU851976:GEU852075 GOQ851976:GOQ852075 GYM851976:GYM852075 HII851976:HII852075 HSE851976:HSE852075 ICA851976:ICA852075 ILW851976:ILW852075 IVS851976:IVS852075 JFO851976:JFO852075 JPK851976:JPK852075 JZG851976:JZG852075 KJC851976:KJC852075 KSY851976:KSY852075 LCU851976:LCU852075 LMQ851976:LMQ852075 LWM851976:LWM852075 MGI851976:MGI852075 MQE851976:MQE852075 NAA851976:NAA852075 NJW851976:NJW852075 NTS851976:NTS852075 ODO851976:ODO852075 ONK851976:ONK852075 OXG851976:OXG852075 PHC851976:PHC852075 PQY851976:PQY852075 QAU851976:QAU852075 QKQ851976:QKQ852075 QUM851976:QUM852075 REI851976:REI852075 ROE851976:ROE852075 RYA851976:RYA852075 SHW851976:SHW852075 SRS851976:SRS852075 TBO851976:TBO852075 TLK851976:TLK852075 TVG851976:TVG852075 UFC851976:UFC852075 UOY851976:UOY852075 UYU851976:UYU852075 VIQ851976:VIQ852075 VSM851976:VSM852075 WCI851976:WCI852075 WME851976:WME852075 WWA851976:WWA852075 S917512:S917611 JO917512:JO917611 TK917512:TK917611 ADG917512:ADG917611 ANC917512:ANC917611 AWY917512:AWY917611 BGU917512:BGU917611 BQQ917512:BQQ917611 CAM917512:CAM917611 CKI917512:CKI917611 CUE917512:CUE917611 DEA917512:DEA917611 DNW917512:DNW917611 DXS917512:DXS917611 EHO917512:EHO917611 ERK917512:ERK917611 FBG917512:FBG917611 FLC917512:FLC917611 FUY917512:FUY917611 GEU917512:GEU917611 GOQ917512:GOQ917611 GYM917512:GYM917611 HII917512:HII917611 HSE917512:HSE917611 ICA917512:ICA917611 ILW917512:ILW917611 IVS917512:IVS917611 JFO917512:JFO917611 JPK917512:JPK917611 JZG917512:JZG917611 KJC917512:KJC917611 KSY917512:KSY917611 LCU917512:LCU917611 LMQ917512:LMQ917611 LWM917512:LWM917611 MGI917512:MGI917611 MQE917512:MQE917611 NAA917512:NAA917611 NJW917512:NJW917611 NTS917512:NTS917611 ODO917512:ODO917611 ONK917512:ONK917611 OXG917512:OXG917611 PHC917512:PHC917611 PQY917512:PQY917611 QAU917512:QAU917611 QKQ917512:QKQ917611 QUM917512:QUM917611 REI917512:REI917611 ROE917512:ROE917611 RYA917512:RYA917611 SHW917512:SHW917611 SRS917512:SRS917611 TBO917512:TBO917611 TLK917512:TLK917611 TVG917512:TVG917611 UFC917512:UFC917611 UOY917512:UOY917611 UYU917512:UYU917611 VIQ917512:VIQ917611 VSM917512:VSM917611 WCI917512:WCI917611 WME917512:WME917611 WWA917512:WWA917611 S983048:S983147 JO983048:JO983147 TK983048:TK983147 ADG983048:ADG983147 ANC983048:ANC983147 AWY983048:AWY983147 BGU983048:BGU983147 BQQ983048:BQQ983147 CAM983048:CAM983147 CKI983048:CKI983147 CUE983048:CUE983147 DEA983048:DEA983147 DNW983048:DNW983147 DXS983048:DXS983147 EHO983048:EHO983147 ERK983048:ERK983147 FBG983048:FBG983147 FLC983048:FLC983147 FUY983048:FUY983147 GEU983048:GEU983147 GOQ983048:GOQ983147 GYM983048:GYM983147 HII983048:HII983147 HSE983048:HSE983147 ICA983048:ICA983147 ILW983048:ILW983147 IVS983048:IVS983147 JFO983048:JFO983147 JPK983048:JPK983147 JZG983048:JZG983147 KJC983048:KJC983147 KSY983048:KSY983147 LCU983048:LCU983147 LMQ983048:LMQ983147 LWM983048:LWM983147 MGI983048:MGI983147 MQE983048:MQE983147 NAA983048:NAA983147 NJW983048:NJW983147 NTS983048:NTS983147 ODO983048:ODO983147 ONK983048:ONK983147 OXG983048:OXG983147 PHC983048:PHC983147 PQY983048:PQY983147 QAU983048:QAU983147 QKQ983048:QKQ983147 QUM983048:QUM983147 REI983048:REI983147 ROE983048:ROE983147 RYA983048:RYA983147 SHW983048:SHW983147 SRS983048:SRS983147 TBO983048:TBO983147 TLK983048:TLK983147 TVG983048:TVG983147 UFC983048:UFC983147 UOY983048:UOY983147 UYU983048:UYU983147 VIQ983048:VIQ983147 VSM983048:VSM983147 WCI983048:WCI983147 WME983048:WME983147 S8:S107">
      <formula1>"Tốt,,Khá,Đạt,C.Đạt,/"</formula1>
    </dataValidation>
    <dataValidation type="list" allowBlank="1" showInputMessage="1" showErrorMessage="1" sqref="D8:D107 JL8:JM107 TH8:TI107 ADD8:ADE107 AMZ8:ANA107 AWV8:AWW107 BGR8:BGS107 BQN8:BQO107 CAJ8:CAK107 CKF8:CKG107 CUB8:CUC107 DDX8:DDY107 DNT8:DNU107 DXP8:DXQ107 EHL8:EHM107 ERH8:ERI107 FBD8:FBE107 FKZ8:FLA107 FUV8:FUW107 GER8:GES107 GON8:GOO107 GYJ8:GYK107 HIF8:HIG107 HSB8:HSC107 IBX8:IBY107 ILT8:ILU107 IVP8:IVQ107 JFL8:JFM107 JPH8:JPI107 JZD8:JZE107 KIZ8:KJA107 KSV8:KSW107 LCR8:LCS107 LMN8:LMO107 LWJ8:LWK107 MGF8:MGG107 MQB8:MQC107 MZX8:MZY107 NJT8:NJU107 NTP8:NTQ107 ODL8:ODM107 ONH8:ONI107 OXD8:OXE107 PGZ8:PHA107 PQV8:PQW107 QAR8:QAS107 QKN8:QKO107 QUJ8:QUK107 REF8:REG107 ROB8:ROC107 RXX8:RXY107 SHT8:SHU107 SRP8:SRQ107 TBL8:TBM107 TLH8:TLI107 TVD8:TVE107 UEZ8:UFA107 UOV8:UOW107 UYR8:UYS107 VIN8:VIO107 VSJ8:VSK107 WCF8:WCG107 WMB8:WMC107 WVX8:WVY107 P65544:Q65643 JL65544:JM65643 TH65544:TI65643 ADD65544:ADE65643 AMZ65544:ANA65643 AWV65544:AWW65643 BGR65544:BGS65643 BQN65544:BQO65643 CAJ65544:CAK65643 CKF65544:CKG65643 CUB65544:CUC65643 DDX65544:DDY65643 DNT65544:DNU65643 DXP65544:DXQ65643 EHL65544:EHM65643 ERH65544:ERI65643 FBD65544:FBE65643 FKZ65544:FLA65643 FUV65544:FUW65643 GER65544:GES65643 GON65544:GOO65643 GYJ65544:GYK65643 HIF65544:HIG65643 HSB65544:HSC65643 IBX65544:IBY65643 ILT65544:ILU65643 IVP65544:IVQ65643 JFL65544:JFM65643 JPH65544:JPI65643 JZD65544:JZE65643 KIZ65544:KJA65643 KSV65544:KSW65643 LCR65544:LCS65643 LMN65544:LMO65643 LWJ65544:LWK65643 MGF65544:MGG65643 MQB65544:MQC65643 MZX65544:MZY65643 NJT65544:NJU65643 NTP65544:NTQ65643 ODL65544:ODM65643 ONH65544:ONI65643 OXD65544:OXE65643 PGZ65544:PHA65643 PQV65544:PQW65643 QAR65544:QAS65643 QKN65544:QKO65643 QUJ65544:QUK65643 REF65544:REG65643 ROB65544:ROC65643 RXX65544:RXY65643 SHT65544:SHU65643 SRP65544:SRQ65643 TBL65544:TBM65643 TLH65544:TLI65643 TVD65544:TVE65643 UEZ65544:UFA65643 UOV65544:UOW65643 UYR65544:UYS65643 VIN65544:VIO65643 VSJ65544:VSK65643 WCF65544:WCG65643 WMB65544:WMC65643 WVX65544:WVY65643 P131080:Q131179 JL131080:JM131179 TH131080:TI131179 ADD131080:ADE131179 AMZ131080:ANA131179 AWV131080:AWW131179 BGR131080:BGS131179 BQN131080:BQO131179 CAJ131080:CAK131179 CKF131080:CKG131179 CUB131080:CUC131179 DDX131080:DDY131179 DNT131080:DNU131179 DXP131080:DXQ131179 EHL131080:EHM131179 ERH131080:ERI131179 FBD131080:FBE131179 FKZ131080:FLA131179 FUV131080:FUW131179 GER131080:GES131179 GON131080:GOO131179 GYJ131080:GYK131179 HIF131080:HIG131179 HSB131080:HSC131179 IBX131080:IBY131179 ILT131080:ILU131179 IVP131080:IVQ131179 JFL131080:JFM131179 JPH131080:JPI131179 JZD131080:JZE131179 KIZ131080:KJA131179 KSV131080:KSW131179 LCR131080:LCS131179 LMN131080:LMO131179 LWJ131080:LWK131179 MGF131080:MGG131179 MQB131080:MQC131179 MZX131080:MZY131179 NJT131080:NJU131179 NTP131080:NTQ131179 ODL131080:ODM131179 ONH131080:ONI131179 OXD131080:OXE131179 PGZ131080:PHA131179 PQV131080:PQW131179 QAR131080:QAS131179 QKN131080:QKO131179 QUJ131080:QUK131179 REF131080:REG131179 ROB131080:ROC131179 RXX131080:RXY131179 SHT131080:SHU131179 SRP131080:SRQ131179 TBL131080:TBM131179 TLH131080:TLI131179 TVD131080:TVE131179 UEZ131080:UFA131179 UOV131080:UOW131179 UYR131080:UYS131179 VIN131080:VIO131179 VSJ131080:VSK131179 WCF131080:WCG131179 WMB131080:WMC131179 WVX131080:WVY131179 P196616:Q196715 JL196616:JM196715 TH196616:TI196715 ADD196616:ADE196715 AMZ196616:ANA196715 AWV196616:AWW196715 BGR196616:BGS196715 BQN196616:BQO196715 CAJ196616:CAK196715 CKF196616:CKG196715 CUB196616:CUC196715 DDX196616:DDY196715 DNT196616:DNU196715 DXP196616:DXQ196715 EHL196616:EHM196715 ERH196616:ERI196715 FBD196616:FBE196715 FKZ196616:FLA196715 FUV196616:FUW196715 GER196616:GES196715 GON196616:GOO196715 GYJ196616:GYK196715 HIF196616:HIG196715 HSB196616:HSC196715 IBX196616:IBY196715 ILT196616:ILU196715 IVP196616:IVQ196715 JFL196616:JFM196715 JPH196616:JPI196715 JZD196616:JZE196715 KIZ196616:KJA196715 KSV196616:KSW196715 LCR196616:LCS196715 LMN196616:LMO196715 LWJ196616:LWK196715 MGF196616:MGG196715 MQB196616:MQC196715 MZX196616:MZY196715 NJT196616:NJU196715 NTP196616:NTQ196715 ODL196616:ODM196715 ONH196616:ONI196715 OXD196616:OXE196715 PGZ196616:PHA196715 PQV196616:PQW196715 QAR196616:QAS196715 QKN196616:QKO196715 QUJ196616:QUK196715 REF196616:REG196715 ROB196616:ROC196715 RXX196616:RXY196715 SHT196616:SHU196715 SRP196616:SRQ196715 TBL196616:TBM196715 TLH196616:TLI196715 TVD196616:TVE196715 UEZ196616:UFA196715 UOV196616:UOW196715 UYR196616:UYS196715 VIN196616:VIO196715 VSJ196616:VSK196715 WCF196616:WCG196715 WMB196616:WMC196715 WVX196616:WVY196715 P262152:Q262251 JL262152:JM262251 TH262152:TI262251 ADD262152:ADE262251 AMZ262152:ANA262251 AWV262152:AWW262251 BGR262152:BGS262251 BQN262152:BQO262251 CAJ262152:CAK262251 CKF262152:CKG262251 CUB262152:CUC262251 DDX262152:DDY262251 DNT262152:DNU262251 DXP262152:DXQ262251 EHL262152:EHM262251 ERH262152:ERI262251 FBD262152:FBE262251 FKZ262152:FLA262251 FUV262152:FUW262251 GER262152:GES262251 GON262152:GOO262251 GYJ262152:GYK262251 HIF262152:HIG262251 HSB262152:HSC262251 IBX262152:IBY262251 ILT262152:ILU262251 IVP262152:IVQ262251 JFL262152:JFM262251 JPH262152:JPI262251 JZD262152:JZE262251 KIZ262152:KJA262251 KSV262152:KSW262251 LCR262152:LCS262251 LMN262152:LMO262251 LWJ262152:LWK262251 MGF262152:MGG262251 MQB262152:MQC262251 MZX262152:MZY262251 NJT262152:NJU262251 NTP262152:NTQ262251 ODL262152:ODM262251 ONH262152:ONI262251 OXD262152:OXE262251 PGZ262152:PHA262251 PQV262152:PQW262251 QAR262152:QAS262251 QKN262152:QKO262251 QUJ262152:QUK262251 REF262152:REG262251 ROB262152:ROC262251 RXX262152:RXY262251 SHT262152:SHU262251 SRP262152:SRQ262251 TBL262152:TBM262251 TLH262152:TLI262251 TVD262152:TVE262251 UEZ262152:UFA262251 UOV262152:UOW262251 UYR262152:UYS262251 VIN262152:VIO262251 VSJ262152:VSK262251 WCF262152:WCG262251 WMB262152:WMC262251 WVX262152:WVY262251 P327688:Q327787 JL327688:JM327787 TH327688:TI327787 ADD327688:ADE327787 AMZ327688:ANA327787 AWV327688:AWW327787 BGR327688:BGS327787 BQN327688:BQO327787 CAJ327688:CAK327787 CKF327688:CKG327787 CUB327688:CUC327787 DDX327688:DDY327787 DNT327688:DNU327787 DXP327688:DXQ327787 EHL327688:EHM327787 ERH327688:ERI327787 FBD327688:FBE327787 FKZ327688:FLA327787 FUV327688:FUW327787 GER327688:GES327787 GON327688:GOO327787 GYJ327688:GYK327787 HIF327688:HIG327787 HSB327688:HSC327787 IBX327688:IBY327787 ILT327688:ILU327787 IVP327688:IVQ327787 JFL327688:JFM327787 JPH327688:JPI327787 JZD327688:JZE327787 KIZ327688:KJA327787 KSV327688:KSW327787 LCR327688:LCS327787 LMN327688:LMO327787 LWJ327688:LWK327787 MGF327688:MGG327787 MQB327688:MQC327787 MZX327688:MZY327787 NJT327688:NJU327787 NTP327688:NTQ327787 ODL327688:ODM327787 ONH327688:ONI327787 OXD327688:OXE327787 PGZ327688:PHA327787 PQV327688:PQW327787 QAR327688:QAS327787 QKN327688:QKO327787 QUJ327688:QUK327787 REF327688:REG327787 ROB327688:ROC327787 RXX327688:RXY327787 SHT327688:SHU327787 SRP327688:SRQ327787 TBL327688:TBM327787 TLH327688:TLI327787 TVD327688:TVE327787 UEZ327688:UFA327787 UOV327688:UOW327787 UYR327688:UYS327787 VIN327688:VIO327787 VSJ327688:VSK327787 WCF327688:WCG327787 WMB327688:WMC327787 WVX327688:WVY327787 P393224:Q393323 JL393224:JM393323 TH393224:TI393323 ADD393224:ADE393323 AMZ393224:ANA393323 AWV393224:AWW393323 BGR393224:BGS393323 BQN393224:BQO393323 CAJ393224:CAK393323 CKF393224:CKG393323 CUB393224:CUC393323 DDX393224:DDY393323 DNT393224:DNU393323 DXP393224:DXQ393323 EHL393224:EHM393323 ERH393224:ERI393323 FBD393224:FBE393323 FKZ393224:FLA393323 FUV393224:FUW393323 GER393224:GES393323 GON393224:GOO393323 GYJ393224:GYK393323 HIF393224:HIG393323 HSB393224:HSC393323 IBX393224:IBY393323 ILT393224:ILU393323 IVP393224:IVQ393323 JFL393224:JFM393323 JPH393224:JPI393323 JZD393224:JZE393323 KIZ393224:KJA393323 KSV393224:KSW393323 LCR393224:LCS393323 LMN393224:LMO393323 LWJ393224:LWK393323 MGF393224:MGG393323 MQB393224:MQC393323 MZX393224:MZY393323 NJT393224:NJU393323 NTP393224:NTQ393323 ODL393224:ODM393323 ONH393224:ONI393323 OXD393224:OXE393323 PGZ393224:PHA393323 PQV393224:PQW393323 QAR393224:QAS393323 QKN393224:QKO393323 QUJ393224:QUK393323 REF393224:REG393323 ROB393224:ROC393323 RXX393224:RXY393323 SHT393224:SHU393323 SRP393224:SRQ393323 TBL393224:TBM393323 TLH393224:TLI393323 TVD393224:TVE393323 UEZ393224:UFA393323 UOV393224:UOW393323 UYR393224:UYS393323 VIN393224:VIO393323 VSJ393224:VSK393323 WCF393224:WCG393323 WMB393224:WMC393323 WVX393224:WVY393323 P458760:Q458859 JL458760:JM458859 TH458760:TI458859 ADD458760:ADE458859 AMZ458760:ANA458859 AWV458760:AWW458859 BGR458760:BGS458859 BQN458760:BQO458859 CAJ458760:CAK458859 CKF458760:CKG458859 CUB458760:CUC458859 DDX458760:DDY458859 DNT458760:DNU458859 DXP458760:DXQ458859 EHL458760:EHM458859 ERH458760:ERI458859 FBD458760:FBE458859 FKZ458760:FLA458859 FUV458760:FUW458859 GER458760:GES458859 GON458760:GOO458859 GYJ458760:GYK458859 HIF458760:HIG458859 HSB458760:HSC458859 IBX458760:IBY458859 ILT458760:ILU458859 IVP458760:IVQ458859 JFL458760:JFM458859 JPH458760:JPI458859 JZD458760:JZE458859 KIZ458760:KJA458859 KSV458760:KSW458859 LCR458760:LCS458859 LMN458760:LMO458859 LWJ458760:LWK458859 MGF458760:MGG458859 MQB458760:MQC458859 MZX458760:MZY458859 NJT458760:NJU458859 NTP458760:NTQ458859 ODL458760:ODM458859 ONH458760:ONI458859 OXD458760:OXE458859 PGZ458760:PHA458859 PQV458760:PQW458859 QAR458760:QAS458859 QKN458760:QKO458859 QUJ458760:QUK458859 REF458760:REG458859 ROB458760:ROC458859 RXX458760:RXY458859 SHT458760:SHU458859 SRP458760:SRQ458859 TBL458760:TBM458859 TLH458760:TLI458859 TVD458760:TVE458859 UEZ458760:UFA458859 UOV458760:UOW458859 UYR458760:UYS458859 VIN458760:VIO458859 VSJ458760:VSK458859 WCF458760:WCG458859 WMB458760:WMC458859 WVX458760:WVY458859 P524296:Q524395 JL524296:JM524395 TH524296:TI524395 ADD524296:ADE524395 AMZ524296:ANA524395 AWV524296:AWW524395 BGR524296:BGS524395 BQN524296:BQO524395 CAJ524296:CAK524395 CKF524296:CKG524395 CUB524296:CUC524395 DDX524296:DDY524395 DNT524296:DNU524395 DXP524296:DXQ524395 EHL524296:EHM524395 ERH524296:ERI524395 FBD524296:FBE524395 FKZ524296:FLA524395 FUV524296:FUW524395 GER524296:GES524395 GON524296:GOO524395 GYJ524296:GYK524395 HIF524296:HIG524395 HSB524296:HSC524395 IBX524296:IBY524395 ILT524296:ILU524395 IVP524296:IVQ524395 JFL524296:JFM524395 JPH524296:JPI524395 JZD524296:JZE524395 KIZ524296:KJA524395 KSV524296:KSW524395 LCR524296:LCS524395 LMN524296:LMO524395 LWJ524296:LWK524395 MGF524296:MGG524395 MQB524296:MQC524395 MZX524296:MZY524395 NJT524296:NJU524395 NTP524296:NTQ524395 ODL524296:ODM524395 ONH524296:ONI524395 OXD524296:OXE524395 PGZ524296:PHA524395 PQV524296:PQW524395 QAR524296:QAS524395 QKN524296:QKO524395 QUJ524296:QUK524395 REF524296:REG524395 ROB524296:ROC524395 RXX524296:RXY524395 SHT524296:SHU524395 SRP524296:SRQ524395 TBL524296:TBM524395 TLH524296:TLI524395 TVD524296:TVE524395 UEZ524296:UFA524395 UOV524296:UOW524395 UYR524296:UYS524395 VIN524296:VIO524395 VSJ524296:VSK524395 WCF524296:WCG524395 WMB524296:WMC524395 WVX524296:WVY524395 P589832:Q589931 JL589832:JM589931 TH589832:TI589931 ADD589832:ADE589931 AMZ589832:ANA589931 AWV589832:AWW589931 BGR589832:BGS589931 BQN589832:BQO589931 CAJ589832:CAK589931 CKF589832:CKG589931 CUB589832:CUC589931 DDX589832:DDY589931 DNT589832:DNU589931 DXP589832:DXQ589931 EHL589832:EHM589931 ERH589832:ERI589931 FBD589832:FBE589931 FKZ589832:FLA589931 FUV589832:FUW589931 GER589832:GES589931 GON589832:GOO589931 GYJ589832:GYK589931 HIF589832:HIG589931 HSB589832:HSC589931 IBX589832:IBY589931 ILT589832:ILU589931 IVP589832:IVQ589931 JFL589832:JFM589931 JPH589832:JPI589931 JZD589832:JZE589931 KIZ589832:KJA589931 KSV589832:KSW589931 LCR589832:LCS589931 LMN589832:LMO589931 LWJ589832:LWK589931 MGF589832:MGG589931 MQB589832:MQC589931 MZX589832:MZY589931 NJT589832:NJU589931 NTP589832:NTQ589931 ODL589832:ODM589931 ONH589832:ONI589931 OXD589832:OXE589931 PGZ589832:PHA589931 PQV589832:PQW589931 QAR589832:QAS589931 QKN589832:QKO589931 QUJ589832:QUK589931 REF589832:REG589931 ROB589832:ROC589931 RXX589832:RXY589931 SHT589832:SHU589931 SRP589832:SRQ589931 TBL589832:TBM589931 TLH589832:TLI589931 TVD589832:TVE589931 UEZ589832:UFA589931 UOV589832:UOW589931 UYR589832:UYS589931 VIN589832:VIO589931 VSJ589832:VSK589931 WCF589832:WCG589931 WMB589832:WMC589931 WVX589832:WVY589931 P655368:Q655467 JL655368:JM655467 TH655368:TI655467 ADD655368:ADE655467 AMZ655368:ANA655467 AWV655368:AWW655467 BGR655368:BGS655467 BQN655368:BQO655467 CAJ655368:CAK655467 CKF655368:CKG655467 CUB655368:CUC655467 DDX655368:DDY655467 DNT655368:DNU655467 DXP655368:DXQ655467 EHL655368:EHM655467 ERH655368:ERI655467 FBD655368:FBE655467 FKZ655368:FLA655467 FUV655368:FUW655467 GER655368:GES655467 GON655368:GOO655467 GYJ655368:GYK655467 HIF655368:HIG655467 HSB655368:HSC655467 IBX655368:IBY655467 ILT655368:ILU655467 IVP655368:IVQ655467 JFL655368:JFM655467 JPH655368:JPI655467 JZD655368:JZE655467 KIZ655368:KJA655467 KSV655368:KSW655467 LCR655368:LCS655467 LMN655368:LMO655467 LWJ655368:LWK655467 MGF655368:MGG655467 MQB655368:MQC655467 MZX655368:MZY655467 NJT655368:NJU655467 NTP655368:NTQ655467 ODL655368:ODM655467 ONH655368:ONI655467 OXD655368:OXE655467 PGZ655368:PHA655467 PQV655368:PQW655467 QAR655368:QAS655467 QKN655368:QKO655467 QUJ655368:QUK655467 REF655368:REG655467 ROB655368:ROC655467 RXX655368:RXY655467 SHT655368:SHU655467 SRP655368:SRQ655467 TBL655368:TBM655467 TLH655368:TLI655467 TVD655368:TVE655467 UEZ655368:UFA655467 UOV655368:UOW655467 UYR655368:UYS655467 VIN655368:VIO655467 VSJ655368:VSK655467 WCF655368:WCG655467 WMB655368:WMC655467 WVX655368:WVY655467 P720904:Q721003 JL720904:JM721003 TH720904:TI721003 ADD720904:ADE721003 AMZ720904:ANA721003 AWV720904:AWW721003 BGR720904:BGS721003 BQN720904:BQO721003 CAJ720904:CAK721003 CKF720904:CKG721003 CUB720904:CUC721003 DDX720904:DDY721003 DNT720904:DNU721003 DXP720904:DXQ721003 EHL720904:EHM721003 ERH720904:ERI721003 FBD720904:FBE721003 FKZ720904:FLA721003 FUV720904:FUW721003 GER720904:GES721003 GON720904:GOO721003 GYJ720904:GYK721003 HIF720904:HIG721003 HSB720904:HSC721003 IBX720904:IBY721003 ILT720904:ILU721003 IVP720904:IVQ721003 JFL720904:JFM721003 JPH720904:JPI721003 JZD720904:JZE721003 KIZ720904:KJA721003 KSV720904:KSW721003 LCR720904:LCS721003 LMN720904:LMO721003 LWJ720904:LWK721003 MGF720904:MGG721003 MQB720904:MQC721003 MZX720904:MZY721003 NJT720904:NJU721003 NTP720904:NTQ721003 ODL720904:ODM721003 ONH720904:ONI721003 OXD720904:OXE721003 PGZ720904:PHA721003 PQV720904:PQW721003 QAR720904:QAS721003 QKN720904:QKO721003 QUJ720904:QUK721003 REF720904:REG721003 ROB720904:ROC721003 RXX720904:RXY721003 SHT720904:SHU721003 SRP720904:SRQ721003 TBL720904:TBM721003 TLH720904:TLI721003 TVD720904:TVE721003 UEZ720904:UFA721003 UOV720904:UOW721003 UYR720904:UYS721003 VIN720904:VIO721003 VSJ720904:VSK721003 WCF720904:WCG721003 WMB720904:WMC721003 WVX720904:WVY721003 P786440:Q786539 JL786440:JM786539 TH786440:TI786539 ADD786440:ADE786539 AMZ786440:ANA786539 AWV786440:AWW786539 BGR786440:BGS786539 BQN786440:BQO786539 CAJ786440:CAK786539 CKF786440:CKG786539 CUB786440:CUC786539 DDX786440:DDY786539 DNT786440:DNU786539 DXP786440:DXQ786539 EHL786440:EHM786539 ERH786440:ERI786539 FBD786440:FBE786539 FKZ786440:FLA786539 FUV786440:FUW786539 GER786440:GES786539 GON786440:GOO786539 GYJ786440:GYK786539 HIF786440:HIG786539 HSB786440:HSC786539 IBX786440:IBY786539 ILT786440:ILU786539 IVP786440:IVQ786539 JFL786440:JFM786539 JPH786440:JPI786539 JZD786440:JZE786539 KIZ786440:KJA786539 KSV786440:KSW786539 LCR786440:LCS786539 LMN786440:LMO786539 LWJ786440:LWK786539 MGF786440:MGG786539 MQB786440:MQC786539 MZX786440:MZY786539 NJT786440:NJU786539 NTP786440:NTQ786539 ODL786440:ODM786539 ONH786440:ONI786539 OXD786440:OXE786539 PGZ786440:PHA786539 PQV786440:PQW786539 QAR786440:QAS786539 QKN786440:QKO786539 QUJ786440:QUK786539 REF786440:REG786539 ROB786440:ROC786539 RXX786440:RXY786539 SHT786440:SHU786539 SRP786440:SRQ786539 TBL786440:TBM786539 TLH786440:TLI786539 TVD786440:TVE786539 UEZ786440:UFA786539 UOV786440:UOW786539 UYR786440:UYS786539 VIN786440:VIO786539 VSJ786440:VSK786539 WCF786440:WCG786539 WMB786440:WMC786539 WVX786440:WVY786539 P851976:Q852075 JL851976:JM852075 TH851976:TI852075 ADD851976:ADE852075 AMZ851976:ANA852075 AWV851976:AWW852075 BGR851976:BGS852075 BQN851976:BQO852075 CAJ851976:CAK852075 CKF851976:CKG852075 CUB851976:CUC852075 DDX851976:DDY852075 DNT851976:DNU852075 DXP851976:DXQ852075 EHL851976:EHM852075 ERH851976:ERI852075 FBD851976:FBE852075 FKZ851976:FLA852075 FUV851976:FUW852075 GER851976:GES852075 GON851976:GOO852075 GYJ851976:GYK852075 HIF851976:HIG852075 HSB851976:HSC852075 IBX851976:IBY852075 ILT851976:ILU852075 IVP851976:IVQ852075 JFL851976:JFM852075 JPH851976:JPI852075 JZD851976:JZE852075 KIZ851976:KJA852075 KSV851976:KSW852075 LCR851976:LCS852075 LMN851976:LMO852075 LWJ851976:LWK852075 MGF851976:MGG852075 MQB851976:MQC852075 MZX851976:MZY852075 NJT851976:NJU852075 NTP851976:NTQ852075 ODL851976:ODM852075 ONH851976:ONI852075 OXD851976:OXE852075 PGZ851976:PHA852075 PQV851976:PQW852075 QAR851976:QAS852075 QKN851976:QKO852075 QUJ851976:QUK852075 REF851976:REG852075 ROB851976:ROC852075 RXX851976:RXY852075 SHT851976:SHU852075 SRP851976:SRQ852075 TBL851976:TBM852075 TLH851976:TLI852075 TVD851976:TVE852075 UEZ851976:UFA852075 UOV851976:UOW852075 UYR851976:UYS852075 VIN851976:VIO852075 VSJ851976:VSK852075 WCF851976:WCG852075 WMB851976:WMC852075 WVX851976:WVY852075 P917512:Q917611 JL917512:JM917611 TH917512:TI917611 ADD917512:ADE917611 AMZ917512:ANA917611 AWV917512:AWW917611 BGR917512:BGS917611 BQN917512:BQO917611 CAJ917512:CAK917611 CKF917512:CKG917611 CUB917512:CUC917611 DDX917512:DDY917611 DNT917512:DNU917611 DXP917512:DXQ917611 EHL917512:EHM917611 ERH917512:ERI917611 FBD917512:FBE917611 FKZ917512:FLA917611 FUV917512:FUW917611 GER917512:GES917611 GON917512:GOO917611 GYJ917512:GYK917611 HIF917512:HIG917611 HSB917512:HSC917611 IBX917512:IBY917611 ILT917512:ILU917611 IVP917512:IVQ917611 JFL917512:JFM917611 JPH917512:JPI917611 JZD917512:JZE917611 KIZ917512:KJA917611 KSV917512:KSW917611 LCR917512:LCS917611 LMN917512:LMO917611 LWJ917512:LWK917611 MGF917512:MGG917611 MQB917512:MQC917611 MZX917512:MZY917611 NJT917512:NJU917611 NTP917512:NTQ917611 ODL917512:ODM917611 ONH917512:ONI917611 OXD917512:OXE917611 PGZ917512:PHA917611 PQV917512:PQW917611 QAR917512:QAS917611 QKN917512:QKO917611 QUJ917512:QUK917611 REF917512:REG917611 ROB917512:ROC917611 RXX917512:RXY917611 SHT917512:SHU917611 SRP917512:SRQ917611 TBL917512:TBM917611 TLH917512:TLI917611 TVD917512:TVE917611 UEZ917512:UFA917611 UOV917512:UOW917611 UYR917512:UYS917611 VIN917512:VIO917611 VSJ917512:VSK917611 WCF917512:WCG917611 WMB917512:WMC917611 WVX917512:WVY917611 P983048:Q983147 JL983048:JM983147 TH983048:TI983147 ADD983048:ADE983147 AMZ983048:ANA983147 AWV983048:AWW983147 BGR983048:BGS983147 BQN983048:BQO983147 CAJ983048:CAK983147 CKF983048:CKG983147 CUB983048:CUC983147 DDX983048:DDY983147 DNT983048:DNU983147 DXP983048:DXQ983147 EHL983048:EHM983147 ERH983048:ERI983147 FBD983048:FBE983147 FKZ983048:FLA983147 FUV983048:FUW983147 GER983048:GES983147 GON983048:GOO983147 GYJ983048:GYK983147 HIF983048:HIG983147 HSB983048:HSC983147 IBX983048:IBY983147 ILT983048:ILU983147 IVP983048:IVQ983147 JFL983048:JFM983147 JPH983048:JPI983147 JZD983048:JZE983147 KIZ983048:KJA983147 KSV983048:KSW983147 LCR983048:LCS983147 LMN983048:LMO983147 LWJ983048:LWK983147 MGF983048:MGG983147 MQB983048:MQC983147 MZX983048:MZY983147 NJT983048:NJU983147 NTP983048:NTQ983147 ODL983048:ODM983147 ONH983048:ONI983147 OXD983048:OXE983147 PGZ983048:PHA983147 PQV983048:PQW983147 QAR983048:QAS983147 QKN983048:QKO983147 QUJ983048:QUK983147 REF983048:REG983147 ROB983048:ROC983147 RXX983048:RXY983147 SHT983048:SHU983147 SRP983048:SRQ983147 TBL983048:TBM983147 TLH983048:TLI983147 TVD983048:TVE983147 UEZ983048:UFA983147 UOV983048:UOW983147 UYR983048:UYS983147 VIN983048:VIO983147 VSJ983048:VSK983147 WCF983048:WCG983147 WMB983048:WMC983147 WVX983048:WVY983147 WVL983048:WVL983147 IZ8:IZ107 SV8:SV107 ACR8:ACR107 AMN8:AMN107 AWJ8:AWJ107 BGF8:BGF107 BQB8:BQB107 BZX8:BZX107 CJT8:CJT107 CTP8:CTP107 DDL8:DDL107 DNH8:DNH107 DXD8:DXD107 EGZ8:EGZ107 EQV8:EQV107 FAR8:FAR107 FKN8:FKN107 FUJ8:FUJ107 GEF8:GEF107 GOB8:GOB107 GXX8:GXX107 HHT8:HHT107 HRP8:HRP107 IBL8:IBL107 ILH8:ILH107 IVD8:IVD107 JEZ8:JEZ107 JOV8:JOV107 JYR8:JYR107 KIN8:KIN107 KSJ8:KSJ107 LCF8:LCF107 LMB8:LMB107 LVX8:LVX107 MFT8:MFT107 MPP8:MPP107 MZL8:MZL107 NJH8:NJH107 NTD8:NTD107 OCZ8:OCZ107 OMV8:OMV107 OWR8:OWR107 PGN8:PGN107 PQJ8:PQJ107 QAF8:QAF107 QKB8:QKB107 QTX8:QTX107 RDT8:RDT107 RNP8:RNP107 RXL8:RXL107 SHH8:SHH107 SRD8:SRD107 TAZ8:TAZ107 TKV8:TKV107 TUR8:TUR107 UEN8:UEN107 UOJ8:UOJ107 UYF8:UYF107 VIB8:VIB107 VRX8:VRX107 WBT8:WBT107 WLP8:WLP107 WVL8:WVL107 D65544:D65643 IZ65544:IZ65643 SV65544:SV65643 ACR65544:ACR65643 AMN65544:AMN65643 AWJ65544:AWJ65643 BGF65544:BGF65643 BQB65544:BQB65643 BZX65544:BZX65643 CJT65544:CJT65643 CTP65544:CTP65643 DDL65544:DDL65643 DNH65544:DNH65643 DXD65544:DXD65643 EGZ65544:EGZ65643 EQV65544:EQV65643 FAR65544:FAR65643 FKN65544:FKN65643 FUJ65544:FUJ65643 GEF65544:GEF65643 GOB65544:GOB65643 GXX65544:GXX65643 HHT65544:HHT65643 HRP65544:HRP65643 IBL65544:IBL65643 ILH65544:ILH65643 IVD65544:IVD65643 JEZ65544:JEZ65643 JOV65544:JOV65643 JYR65544:JYR65643 KIN65544:KIN65643 KSJ65544:KSJ65643 LCF65544:LCF65643 LMB65544:LMB65643 LVX65544:LVX65643 MFT65544:MFT65643 MPP65544:MPP65643 MZL65544:MZL65643 NJH65544:NJH65643 NTD65544:NTD65643 OCZ65544:OCZ65643 OMV65544:OMV65643 OWR65544:OWR65643 PGN65544:PGN65643 PQJ65544:PQJ65643 QAF65544:QAF65643 QKB65544:QKB65643 QTX65544:QTX65643 RDT65544:RDT65643 RNP65544:RNP65643 RXL65544:RXL65643 SHH65544:SHH65643 SRD65544:SRD65643 TAZ65544:TAZ65643 TKV65544:TKV65643 TUR65544:TUR65643 UEN65544:UEN65643 UOJ65544:UOJ65643 UYF65544:UYF65643 VIB65544:VIB65643 VRX65544:VRX65643 WBT65544:WBT65643 WLP65544:WLP65643 WVL65544:WVL65643 D131080:D131179 IZ131080:IZ131179 SV131080:SV131179 ACR131080:ACR131179 AMN131080:AMN131179 AWJ131080:AWJ131179 BGF131080:BGF131179 BQB131080:BQB131179 BZX131080:BZX131179 CJT131080:CJT131179 CTP131080:CTP131179 DDL131080:DDL131179 DNH131080:DNH131179 DXD131080:DXD131179 EGZ131080:EGZ131179 EQV131080:EQV131179 FAR131080:FAR131179 FKN131080:FKN131179 FUJ131080:FUJ131179 GEF131080:GEF131179 GOB131080:GOB131179 GXX131080:GXX131179 HHT131080:HHT131179 HRP131080:HRP131179 IBL131080:IBL131179 ILH131080:ILH131179 IVD131080:IVD131179 JEZ131080:JEZ131179 JOV131080:JOV131179 JYR131080:JYR131179 KIN131080:KIN131179 KSJ131080:KSJ131179 LCF131080:LCF131179 LMB131080:LMB131179 LVX131080:LVX131179 MFT131080:MFT131179 MPP131080:MPP131179 MZL131080:MZL131179 NJH131080:NJH131179 NTD131080:NTD131179 OCZ131080:OCZ131179 OMV131080:OMV131179 OWR131080:OWR131179 PGN131080:PGN131179 PQJ131080:PQJ131179 QAF131080:QAF131179 QKB131080:QKB131179 QTX131080:QTX131179 RDT131080:RDT131179 RNP131080:RNP131179 RXL131080:RXL131179 SHH131080:SHH131179 SRD131080:SRD131179 TAZ131080:TAZ131179 TKV131080:TKV131179 TUR131080:TUR131179 UEN131080:UEN131179 UOJ131080:UOJ131179 UYF131080:UYF131179 VIB131080:VIB131179 VRX131080:VRX131179 WBT131080:WBT131179 WLP131080:WLP131179 WVL131080:WVL131179 D196616:D196715 IZ196616:IZ196715 SV196616:SV196715 ACR196616:ACR196715 AMN196616:AMN196715 AWJ196616:AWJ196715 BGF196616:BGF196715 BQB196616:BQB196715 BZX196616:BZX196715 CJT196616:CJT196715 CTP196616:CTP196715 DDL196616:DDL196715 DNH196616:DNH196715 DXD196616:DXD196715 EGZ196616:EGZ196715 EQV196616:EQV196715 FAR196616:FAR196715 FKN196616:FKN196715 FUJ196616:FUJ196715 GEF196616:GEF196715 GOB196616:GOB196715 GXX196616:GXX196715 HHT196616:HHT196715 HRP196616:HRP196715 IBL196616:IBL196715 ILH196616:ILH196715 IVD196616:IVD196715 JEZ196616:JEZ196715 JOV196616:JOV196715 JYR196616:JYR196715 KIN196616:KIN196715 KSJ196616:KSJ196715 LCF196616:LCF196715 LMB196616:LMB196715 LVX196616:LVX196715 MFT196616:MFT196715 MPP196616:MPP196715 MZL196616:MZL196715 NJH196616:NJH196715 NTD196616:NTD196715 OCZ196616:OCZ196715 OMV196616:OMV196715 OWR196616:OWR196715 PGN196616:PGN196715 PQJ196616:PQJ196715 QAF196616:QAF196715 QKB196616:QKB196715 QTX196616:QTX196715 RDT196616:RDT196715 RNP196616:RNP196715 RXL196616:RXL196715 SHH196616:SHH196715 SRD196616:SRD196715 TAZ196616:TAZ196715 TKV196616:TKV196715 TUR196616:TUR196715 UEN196616:UEN196715 UOJ196616:UOJ196715 UYF196616:UYF196715 VIB196616:VIB196715 VRX196616:VRX196715 WBT196616:WBT196715 WLP196616:WLP196715 WVL196616:WVL196715 D262152:D262251 IZ262152:IZ262251 SV262152:SV262251 ACR262152:ACR262251 AMN262152:AMN262251 AWJ262152:AWJ262251 BGF262152:BGF262251 BQB262152:BQB262251 BZX262152:BZX262251 CJT262152:CJT262251 CTP262152:CTP262251 DDL262152:DDL262251 DNH262152:DNH262251 DXD262152:DXD262251 EGZ262152:EGZ262251 EQV262152:EQV262251 FAR262152:FAR262251 FKN262152:FKN262251 FUJ262152:FUJ262251 GEF262152:GEF262251 GOB262152:GOB262251 GXX262152:GXX262251 HHT262152:HHT262251 HRP262152:HRP262251 IBL262152:IBL262251 ILH262152:ILH262251 IVD262152:IVD262251 JEZ262152:JEZ262251 JOV262152:JOV262251 JYR262152:JYR262251 KIN262152:KIN262251 KSJ262152:KSJ262251 LCF262152:LCF262251 LMB262152:LMB262251 LVX262152:LVX262251 MFT262152:MFT262251 MPP262152:MPP262251 MZL262152:MZL262251 NJH262152:NJH262251 NTD262152:NTD262251 OCZ262152:OCZ262251 OMV262152:OMV262251 OWR262152:OWR262251 PGN262152:PGN262251 PQJ262152:PQJ262251 QAF262152:QAF262251 QKB262152:QKB262251 QTX262152:QTX262251 RDT262152:RDT262251 RNP262152:RNP262251 RXL262152:RXL262251 SHH262152:SHH262251 SRD262152:SRD262251 TAZ262152:TAZ262251 TKV262152:TKV262251 TUR262152:TUR262251 UEN262152:UEN262251 UOJ262152:UOJ262251 UYF262152:UYF262251 VIB262152:VIB262251 VRX262152:VRX262251 WBT262152:WBT262251 WLP262152:WLP262251 WVL262152:WVL262251 D327688:D327787 IZ327688:IZ327787 SV327688:SV327787 ACR327688:ACR327787 AMN327688:AMN327787 AWJ327688:AWJ327787 BGF327688:BGF327787 BQB327688:BQB327787 BZX327688:BZX327787 CJT327688:CJT327787 CTP327688:CTP327787 DDL327688:DDL327787 DNH327688:DNH327787 DXD327688:DXD327787 EGZ327688:EGZ327787 EQV327688:EQV327787 FAR327688:FAR327787 FKN327688:FKN327787 FUJ327688:FUJ327787 GEF327688:GEF327787 GOB327688:GOB327787 GXX327688:GXX327787 HHT327688:HHT327787 HRP327688:HRP327787 IBL327688:IBL327787 ILH327688:ILH327787 IVD327688:IVD327787 JEZ327688:JEZ327787 JOV327688:JOV327787 JYR327688:JYR327787 KIN327688:KIN327787 KSJ327688:KSJ327787 LCF327688:LCF327787 LMB327688:LMB327787 LVX327688:LVX327787 MFT327688:MFT327787 MPP327688:MPP327787 MZL327688:MZL327787 NJH327688:NJH327787 NTD327688:NTD327787 OCZ327688:OCZ327787 OMV327688:OMV327787 OWR327688:OWR327787 PGN327688:PGN327787 PQJ327688:PQJ327787 QAF327688:QAF327787 QKB327688:QKB327787 QTX327688:QTX327787 RDT327688:RDT327787 RNP327688:RNP327787 RXL327688:RXL327787 SHH327688:SHH327787 SRD327688:SRD327787 TAZ327688:TAZ327787 TKV327688:TKV327787 TUR327688:TUR327787 UEN327688:UEN327787 UOJ327688:UOJ327787 UYF327688:UYF327787 VIB327688:VIB327787 VRX327688:VRX327787 WBT327688:WBT327787 WLP327688:WLP327787 WVL327688:WVL327787 D393224:D393323 IZ393224:IZ393323 SV393224:SV393323 ACR393224:ACR393323 AMN393224:AMN393323 AWJ393224:AWJ393323 BGF393224:BGF393323 BQB393224:BQB393323 BZX393224:BZX393323 CJT393224:CJT393323 CTP393224:CTP393323 DDL393224:DDL393323 DNH393224:DNH393323 DXD393224:DXD393323 EGZ393224:EGZ393323 EQV393224:EQV393323 FAR393224:FAR393323 FKN393224:FKN393323 FUJ393224:FUJ393323 GEF393224:GEF393323 GOB393224:GOB393323 GXX393224:GXX393323 HHT393224:HHT393323 HRP393224:HRP393323 IBL393224:IBL393323 ILH393224:ILH393323 IVD393224:IVD393323 JEZ393224:JEZ393323 JOV393224:JOV393323 JYR393224:JYR393323 KIN393224:KIN393323 KSJ393224:KSJ393323 LCF393224:LCF393323 LMB393224:LMB393323 LVX393224:LVX393323 MFT393224:MFT393323 MPP393224:MPP393323 MZL393224:MZL393323 NJH393224:NJH393323 NTD393224:NTD393323 OCZ393224:OCZ393323 OMV393224:OMV393323 OWR393224:OWR393323 PGN393224:PGN393323 PQJ393224:PQJ393323 QAF393224:QAF393323 QKB393224:QKB393323 QTX393224:QTX393323 RDT393224:RDT393323 RNP393224:RNP393323 RXL393224:RXL393323 SHH393224:SHH393323 SRD393224:SRD393323 TAZ393224:TAZ393323 TKV393224:TKV393323 TUR393224:TUR393323 UEN393224:UEN393323 UOJ393224:UOJ393323 UYF393224:UYF393323 VIB393224:VIB393323 VRX393224:VRX393323 WBT393224:WBT393323 WLP393224:WLP393323 WVL393224:WVL393323 D458760:D458859 IZ458760:IZ458859 SV458760:SV458859 ACR458760:ACR458859 AMN458760:AMN458859 AWJ458760:AWJ458859 BGF458760:BGF458859 BQB458760:BQB458859 BZX458760:BZX458859 CJT458760:CJT458859 CTP458760:CTP458859 DDL458760:DDL458859 DNH458760:DNH458859 DXD458760:DXD458859 EGZ458760:EGZ458859 EQV458760:EQV458859 FAR458760:FAR458859 FKN458760:FKN458859 FUJ458760:FUJ458859 GEF458760:GEF458859 GOB458760:GOB458859 GXX458760:GXX458859 HHT458760:HHT458859 HRP458760:HRP458859 IBL458760:IBL458859 ILH458760:ILH458859 IVD458760:IVD458859 JEZ458760:JEZ458859 JOV458760:JOV458859 JYR458760:JYR458859 KIN458760:KIN458859 KSJ458760:KSJ458859 LCF458760:LCF458859 LMB458760:LMB458859 LVX458760:LVX458859 MFT458760:MFT458859 MPP458760:MPP458859 MZL458760:MZL458859 NJH458760:NJH458859 NTD458760:NTD458859 OCZ458760:OCZ458859 OMV458760:OMV458859 OWR458760:OWR458859 PGN458760:PGN458859 PQJ458760:PQJ458859 QAF458760:QAF458859 QKB458760:QKB458859 QTX458760:QTX458859 RDT458760:RDT458859 RNP458760:RNP458859 RXL458760:RXL458859 SHH458760:SHH458859 SRD458760:SRD458859 TAZ458760:TAZ458859 TKV458760:TKV458859 TUR458760:TUR458859 UEN458760:UEN458859 UOJ458760:UOJ458859 UYF458760:UYF458859 VIB458760:VIB458859 VRX458760:VRX458859 WBT458760:WBT458859 WLP458760:WLP458859 WVL458760:WVL458859 D524296:D524395 IZ524296:IZ524395 SV524296:SV524395 ACR524296:ACR524395 AMN524296:AMN524395 AWJ524296:AWJ524395 BGF524296:BGF524395 BQB524296:BQB524395 BZX524296:BZX524395 CJT524296:CJT524395 CTP524296:CTP524395 DDL524296:DDL524395 DNH524296:DNH524395 DXD524296:DXD524395 EGZ524296:EGZ524395 EQV524296:EQV524395 FAR524296:FAR524395 FKN524296:FKN524395 FUJ524296:FUJ524395 GEF524296:GEF524395 GOB524296:GOB524395 GXX524296:GXX524395 HHT524296:HHT524395 HRP524296:HRP524395 IBL524296:IBL524395 ILH524296:ILH524395 IVD524296:IVD524395 JEZ524296:JEZ524395 JOV524296:JOV524395 JYR524296:JYR524395 KIN524296:KIN524395 KSJ524296:KSJ524395 LCF524296:LCF524395 LMB524296:LMB524395 LVX524296:LVX524395 MFT524296:MFT524395 MPP524296:MPP524395 MZL524296:MZL524395 NJH524296:NJH524395 NTD524296:NTD524395 OCZ524296:OCZ524395 OMV524296:OMV524395 OWR524296:OWR524395 PGN524296:PGN524395 PQJ524296:PQJ524395 QAF524296:QAF524395 QKB524296:QKB524395 QTX524296:QTX524395 RDT524296:RDT524395 RNP524296:RNP524395 RXL524296:RXL524395 SHH524296:SHH524395 SRD524296:SRD524395 TAZ524296:TAZ524395 TKV524296:TKV524395 TUR524296:TUR524395 UEN524296:UEN524395 UOJ524296:UOJ524395 UYF524296:UYF524395 VIB524296:VIB524395 VRX524296:VRX524395 WBT524296:WBT524395 WLP524296:WLP524395 WVL524296:WVL524395 D589832:D589931 IZ589832:IZ589931 SV589832:SV589931 ACR589832:ACR589931 AMN589832:AMN589931 AWJ589832:AWJ589931 BGF589832:BGF589931 BQB589832:BQB589931 BZX589832:BZX589931 CJT589832:CJT589931 CTP589832:CTP589931 DDL589832:DDL589931 DNH589832:DNH589931 DXD589832:DXD589931 EGZ589832:EGZ589931 EQV589832:EQV589931 FAR589832:FAR589931 FKN589832:FKN589931 FUJ589832:FUJ589931 GEF589832:GEF589931 GOB589832:GOB589931 GXX589832:GXX589931 HHT589832:HHT589931 HRP589832:HRP589931 IBL589832:IBL589931 ILH589832:ILH589931 IVD589832:IVD589931 JEZ589832:JEZ589931 JOV589832:JOV589931 JYR589832:JYR589931 KIN589832:KIN589931 KSJ589832:KSJ589931 LCF589832:LCF589931 LMB589832:LMB589931 LVX589832:LVX589931 MFT589832:MFT589931 MPP589832:MPP589931 MZL589832:MZL589931 NJH589832:NJH589931 NTD589832:NTD589931 OCZ589832:OCZ589931 OMV589832:OMV589931 OWR589832:OWR589931 PGN589832:PGN589931 PQJ589832:PQJ589931 QAF589832:QAF589931 QKB589832:QKB589931 QTX589832:QTX589931 RDT589832:RDT589931 RNP589832:RNP589931 RXL589832:RXL589931 SHH589832:SHH589931 SRD589832:SRD589931 TAZ589832:TAZ589931 TKV589832:TKV589931 TUR589832:TUR589931 UEN589832:UEN589931 UOJ589832:UOJ589931 UYF589832:UYF589931 VIB589832:VIB589931 VRX589832:VRX589931 WBT589832:WBT589931 WLP589832:WLP589931 WVL589832:WVL589931 D655368:D655467 IZ655368:IZ655467 SV655368:SV655467 ACR655368:ACR655467 AMN655368:AMN655467 AWJ655368:AWJ655467 BGF655368:BGF655467 BQB655368:BQB655467 BZX655368:BZX655467 CJT655368:CJT655467 CTP655368:CTP655467 DDL655368:DDL655467 DNH655368:DNH655467 DXD655368:DXD655467 EGZ655368:EGZ655467 EQV655368:EQV655467 FAR655368:FAR655467 FKN655368:FKN655467 FUJ655368:FUJ655467 GEF655368:GEF655467 GOB655368:GOB655467 GXX655368:GXX655467 HHT655368:HHT655467 HRP655368:HRP655467 IBL655368:IBL655467 ILH655368:ILH655467 IVD655368:IVD655467 JEZ655368:JEZ655467 JOV655368:JOV655467 JYR655368:JYR655467 KIN655368:KIN655467 KSJ655368:KSJ655467 LCF655368:LCF655467 LMB655368:LMB655467 LVX655368:LVX655467 MFT655368:MFT655467 MPP655368:MPP655467 MZL655368:MZL655467 NJH655368:NJH655467 NTD655368:NTD655467 OCZ655368:OCZ655467 OMV655368:OMV655467 OWR655368:OWR655467 PGN655368:PGN655467 PQJ655368:PQJ655467 QAF655368:QAF655467 QKB655368:QKB655467 QTX655368:QTX655467 RDT655368:RDT655467 RNP655368:RNP655467 RXL655368:RXL655467 SHH655368:SHH655467 SRD655368:SRD655467 TAZ655368:TAZ655467 TKV655368:TKV655467 TUR655368:TUR655467 UEN655368:UEN655467 UOJ655368:UOJ655467 UYF655368:UYF655467 VIB655368:VIB655467 VRX655368:VRX655467 WBT655368:WBT655467 WLP655368:WLP655467 WVL655368:WVL655467 D720904:D721003 IZ720904:IZ721003 SV720904:SV721003 ACR720904:ACR721003 AMN720904:AMN721003 AWJ720904:AWJ721003 BGF720904:BGF721003 BQB720904:BQB721003 BZX720904:BZX721003 CJT720904:CJT721003 CTP720904:CTP721003 DDL720904:DDL721003 DNH720904:DNH721003 DXD720904:DXD721003 EGZ720904:EGZ721003 EQV720904:EQV721003 FAR720904:FAR721003 FKN720904:FKN721003 FUJ720904:FUJ721003 GEF720904:GEF721003 GOB720904:GOB721003 GXX720904:GXX721003 HHT720904:HHT721003 HRP720904:HRP721003 IBL720904:IBL721003 ILH720904:ILH721003 IVD720904:IVD721003 JEZ720904:JEZ721003 JOV720904:JOV721003 JYR720904:JYR721003 KIN720904:KIN721003 KSJ720904:KSJ721003 LCF720904:LCF721003 LMB720904:LMB721003 LVX720904:LVX721003 MFT720904:MFT721003 MPP720904:MPP721003 MZL720904:MZL721003 NJH720904:NJH721003 NTD720904:NTD721003 OCZ720904:OCZ721003 OMV720904:OMV721003 OWR720904:OWR721003 PGN720904:PGN721003 PQJ720904:PQJ721003 QAF720904:QAF721003 QKB720904:QKB721003 QTX720904:QTX721003 RDT720904:RDT721003 RNP720904:RNP721003 RXL720904:RXL721003 SHH720904:SHH721003 SRD720904:SRD721003 TAZ720904:TAZ721003 TKV720904:TKV721003 TUR720904:TUR721003 UEN720904:UEN721003 UOJ720904:UOJ721003 UYF720904:UYF721003 VIB720904:VIB721003 VRX720904:VRX721003 WBT720904:WBT721003 WLP720904:WLP721003 WVL720904:WVL721003 D786440:D786539 IZ786440:IZ786539 SV786440:SV786539 ACR786440:ACR786539 AMN786440:AMN786539 AWJ786440:AWJ786539 BGF786440:BGF786539 BQB786440:BQB786539 BZX786440:BZX786539 CJT786440:CJT786539 CTP786440:CTP786539 DDL786440:DDL786539 DNH786440:DNH786539 DXD786440:DXD786539 EGZ786440:EGZ786539 EQV786440:EQV786539 FAR786440:FAR786539 FKN786440:FKN786539 FUJ786440:FUJ786539 GEF786440:GEF786539 GOB786440:GOB786539 GXX786440:GXX786539 HHT786440:HHT786539 HRP786440:HRP786539 IBL786440:IBL786539 ILH786440:ILH786539 IVD786440:IVD786539 JEZ786440:JEZ786539 JOV786440:JOV786539 JYR786440:JYR786539 KIN786440:KIN786539 KSJ786440:KSJ786539 LCF786440:LCF786539 LMB786440:LMB786539 LVX786440:LVX786539 MFT786440:MFT786539 MPP786440:MPP786539 MZL786440:MZL786539 NJH786440:NJH786539 NTD786440:NTD786539 OCZ786440:OCZ786539 OMV786440:OMV786539 OWR786440:OWR786539 PGN786440:PGN786539 PQJ786440:PQJ786539 QAF786440:QAF786539 QKB786440:QKB786539 QTX786440:QTX786539 RDT786440:RDT786539 RNP786440:RNP786539 RXL786440:RXL786539 SHH786440:SHH786539 SRD786440:SRD786539 TAZ786440:TAZ786539 TKV786440:TKV786539 TUR786440:TUR786539 UEN786440:UEN786539 UOJ786440:UOJ786539 UYF786440:UYF786539 VIB786440:VIB786539 VRX786440:VRX786539 WBT786440:WBT786539 WLP786440:WLP786539 WVL786440:WVL786539 D851976:D852075 IZ851976:IZ852075 SV851976:SV852075 ACR851976:ACR852075 AMN851976:AMN852075 AWJ851976:AWJ852075 BGF851976:BGF852075 BQB851976:BQB852075 BZX851976:BZX852075 CJT851976:CJT852075 CTP851976:CTP852075 DDL851976:DDL852075 DNH851976:DNH852075 DXD851976:DXD852075 EGZ851976:EGZ852075 EQV851976:EQV852075 FAR851976:FAR852075 FKN851976:FKN852075 FUJ851976:FUJ852075 GEF851976:GEF852075 GOB851976:GOB852075 GXX851976:GXX852075 HHT851976:HHT852075 HRP851976:HRP852075 IBL851976:IBL852075 ILH851976:ILH852075 IVD851976:IVD852075 JEZ851976:JEZ852075 JOV851976:JOV852075 JYR851976:JYR852075 KIN851976:KIN852075 KSJ851976:KSJ852075 LCF851976:LCF852075 LMB851976:LMB852075 LVX851976:LVX852075 MFT851976:MFT852075 MPP851976:MPP852075 MZL851976:MZL852075 NJH851976:NJH852075 NTD851976:NTD852075 OCZ851976:OCZ852075 OMV851976:OMV852075 OWR851976:OWR852075 PGN851976:PGN852075 PQJ851976:PQJ852075 QAF851976:QAF852075 QKB851976:QKB852075 QTX851976:QTX852075 RDT851976:RDT852075 RNP851976:RNP852075 RXL851976:RXL852075 SHH851976:SHH852075 SRD851976:SRD852075 TAZ851976:TAZ852075 TKV851976:TKV852075 TUR851976:TUR852075 UEN851976:UEN852075 UOJ851976:UOJ852075 UYF851976:UYF852075 VIB851976:VIB852075 VRX851976:VRX852075 WBT851976:WBT852075 WLP851976:WLP852075 WVL851976:WVL852075 D917512:D917611 IZ917512:IZ917611 SV917512:SV917611 ACR917512:ACR917611 AMN917512:AMN917611 AWJ917512:AWJ917611 BGF917512:BGF917611 BQB917512:BQB917611 BZX917512:BZX917611 CJT917512:CJT917611 CTP917512:CTP917611 DDL917512:DDL917611 DNH917512:DNH917611 DXD917512:DXD917611 EGZ917512:EGZ917611 EQV917512:EQV917611 FAR917512:FAR917611 FKN917512:FKN917611 FUJ917512:FUJ917611 GEF917512:GEF917611 GOB917512:GOB917611 GXX917512:GXX917611 HHT917512:HHT917611 HRP917512:HRP917611 IBL917512:IBL917611 ILH917512:ILH917611 IVD917512:IVD917611 JEZ917512:JEZ917611 JOV917512:JOV917611 JYR917512:JYR917611 KIN917512:KIN917611 KSJ917512:KSJ917611 LCF917512:LCF917611 LMB917512:LMB917611 LVX917512:LVX917611 MFT917512:MFT917611 MPP917512:MPP917611 MZL917512:MZL917611 NJH917512:NJH917611 NTD917512:NTD917611 OCZ917512:OCZ917611 OMV917512:OMV917611 OWR917512:OWR917611 PGN917512:PGN917611 PQJ917512:PQJ917611 QAF917512:QAF917611 QKB917512:QKB917611 QTX917512:QTX917611 RDT917512:RDT917611 RNP917512:RNP917611 RXL917512:RXL917611 SHH917512:SHH917611 SRD917512:SRD917611 TAZ917512:TAZ917611 TKV917512:TKV917611 TUR917512:TUR917611 UEN917512:UEN917611 UOJ917512:UOJ917611 UYF917512:UYF917611 VIB917512:VIB917611 VRX917512:VRX917611 WBT917512:WBT917611 WLP917512:WLP917611 WVL917512:WVL917611 D983048:D983147 IZ983048:IZ983147 SV983048:SV983147 ACR983048:ACR983147 AMN983048:AMN983147 AWJ983048:AWJ983147 BGF983048:BGF983147 BQB983048:BQB983147 BZX983048:BZX983147 CJT983048:CJT983147 CTP983048:CTP983147 DDL983048:DDL983147 DNH983048:DNH983147 DXD983048:DXD983147 EGZ983048:EGZ983147 EQV983048:EQV983147 FAR983048:FAR983147 FKN983048:FKN983147 FUJ983048:FUJ983147 GEF983048:GEF983147 GOB983048:GOB983147 GXX983048:GXX983147 HHT983048:HHT983147 HRP983048:HRP983147 IBL983048:IBL983147 ILH983048:ILH983147 IVD983048:IVD983147 JEZ983048:JEZ983147 JOV983048:JOV983147 JYR983048:JYR983147 KIN983048:KIN983147 KSJ983048:KSJ983147 LCF983048:LCF983147 LMB983048:LMB983147 LVX983048:LVX983147 MFT983048:MFT983147 MPP983048:MPP983147 MZL983048:MZL983147 NJH983048:NJH983147 NTD983048:NTD983147 OCZ983048:OCZ983147 OMV983048:OMV983147 OWR983048:OWR983147 PGN983048:PGN983147 PQJ983048:PQJ983147 QAF983048:QAF983147 QKB983048:QKB983147 QTX983048:QTX983147 RDT983048:RDT983147 RNP983048:RNP983147 RXL983048:RXL983147 SHH983048:SHH983147 SRD983048:SRD983147 TAZ983048:TAZ983147 TKV983048:TKV983147 TUR983048:TUR983147 UEN983048:UEN983147 UOJ983048:UOJ983147 UYF983048:UYF983147 VIB983048:VIB983147 VRX983048:VRX983147 WBT983048:WBT983147 WLP983048:WLP983147 P8:Q107">
      <formula1>"X"</formula1>
    </dataValidation>
    <dataValidation type="list" allowBlank="1" showInputMessage="1" showErrorMessage="1" sqref="WVS983048:WVS983147 JG8:JG107 TC8:TC107 ACY8:ACY107 AMU8:AMU107 AWQ8:AWQ107 BGM8:BGM107 BQI8:BQI107 CAE8:CAE107 CKA8:CKA107 CTW8:CTW107 DDS8:DDS107 DNO8:DNO107 DXK8:DXK107 EHG8:EHG107 ERC8:ERC107 FAY8:FAY107 FKU8:FKU107 FUQ8:FUQ107 GEM8:GEM107 GOI8:GOI107 GYE8:GYE107 HIA8:HIA107 HRW8:HRW107 IBS8:IBS107 ILO8:ILO107 IVK8:IVK107 JFG8:JFG107 JPC8:JPC107 JYY8:JYY107 KIU8:KIU107 KSQ8:KSQ107 LCM8:LCM107 LMI8:LMI107 LWE8:LWE107 MGA8:MGA107 MPW8:MPW107 MZS8:MZS107 NJO8:NJO107 NTK8:NTK107 ODG8:ODG107 ONC8:ONC107 OWY8:OWY107 PGU8:PGU107 PQQ8:PQQ107 QAM8:QAM107 QKI8:QKI107 QUE8:QUE107 REA8:REA107 RNW8:RNW107 RXS8:RXS107 SHO8:SHO107 SRK8:SRK107 TBG8:TBG107 TLC8:TLC107 TUY8:TUY107 UEU8:UEU107 UOQ8:UOQ107 UYM8:UYM107 VII8:VII107 VSE8:VSE107 WCA8:WCA107 WLW8:WLW107 WVS8:WVS107 K65544:K65643 JG65544:JG65643 TC65544:TC65643 ACY65544:ACY65643 AMU65544:AMU65643 AWQ65544:AWQ65643 BGM65544:BGM65643 BQI65544:BQI65643 CAE65544:CAE65643 CKA65544:CKA65643 CTW65544:CTW65643 DDS65544:DDS65643 DNO65544:DNO65643 DXK65544:DXK65643 EHG65544:EHG65643 ERC65544:ERC65643 FAY65544:FAY65643 FKU65544:FKU65643 FUQ65544:FUQ65643 GEM65544:GEM65643 GOI65544:GOI65643 GYE65544:GYE65643 HIA65544:HIA65643 HRW65544:HRW65643 IBS65544:IBS65643 ILO65544:ILO65643 IVK65544:IVK65643 JFG65544:JFG65643 JPC65544:JPC65643 JYY65544:JYY65643 KIU65544:KIU65643 KSQ65544:KSQ65643 LCM65544:LCM65643 LMI65544:LMI65643 LWE65544:LWE65643 MGA65544:MGA65643 MPW65544:MPW65643 MZS65544:MZS65643 NJO65544:NJO65643 NTK65544:NTK65643 ODG65544:ODG65643 ONC65544:ONC65643 OWY65544:OWY65643 PGU65544:PGU65643 PQQ65544:PQQ65643 QAM65544:QAM65643 QKI65544:QKI65643 QUE65544:QUE65643 REA65544:REA65643 RNW65544:RNW65643 RXS65544:RXS65643 SHO65544:SHO65643 SRK65544:SRK65643 TBG65544:TBG65643 TLC65544:TLC65643 TUY65544:TUY65643 UEU65544:UEU65643 UOQ65544:UOQ65643 UYM65544:UYM65643 VII65544:VII65643 VSE65544:VSE65643 WCA65544:WCA65643 WLW65544:WLW65643 WVS65544:WVS65643 K131080:K131179 JG131080:JG131179 TC131080:TC131179 ACY131080:ACY131179 AMU131080:AMU131179 AWQ131080:AWQ131179 BGM131080:BGM131179 BQI131080:BQI131179 CAE131080:CAE131179 CKA131080:CKA131179 CTW131080:CTW131179 DDS131080:DDS131179 DNO131080:DNO131179 DXK131080:DXK131179 EHG131080:EHG131179 ERC131080:ERC131179 FAY131080:FAY131179 FKU131080:FKU131179 FUQ131080:FUQ131179 GEM131080:GEM131179 GOI131080:GOI131179 GYE131080:GYE131179 HIA131080:HIA131179 HRW131080:HRW131179 IBS131080:IBS131179 ILO131080:ILO131179 IVK131080:IVK131179 JFG131080:JFG131179 JPC131080:JPC131179 JYY131080:JYY131179 KIU131080:KIU131179 KSQ131080:KSQ131179 LCM131080:LCM131179 LMI131080:LMI131179 LWE131080:LWE131179 MGA131080:MGA131179 MPW131080:MPW131179 MZS131080:MZS131179 NJO131080:NJO131179 NTK131080:NTK131179 ODG131080:ODG131179 ONC131080:ONC131179 OWY131080:OWY131179 PGU131080:PGU131179 PQQ131080:PQQ131179 QAM131080:QAM131179 QKI131080:QKI131179 QUE131080:QUE131179 REA131080:REA131179 RNW131080:RNW131179 RXS131080:RXS131179 SHO131080:SHO131179 SRK131080:SRK131179 TBG131080:TBG131179 TLC131080:TLC131179 TUY131080:TUY131179 UEU131080:UEU131179 UOQ131080:UOQ131179 UYM131080:UYM131179 VII131080:VII131179 VSE131080:VSE131179 WCA131080:WCA131179 WLW131080:WLW131179 WVS131080:WVS131179 K196616:K196715 JG196616:JG196715 TC196616:TC196715 ACY196616:ACY196715 AMU196616:AMU196715 AWQ196616:AWQ196715 BGM196616:BGM196715 BQI196616:BQI196715 CAE196616:CAE196715 CKA196616:CKA196715 CTW196616:CTW196715 DDS196616:DDS196715 DNO196616:DNO196715 DXK196616:DXK196715 EHG196616:EHG196715 ERC196616:ERC196715 FAY196616:FAY196715 FKU196616:FKU196715 FUQ196616:FUQ196715 GEM196616:GEM196715 GOI196616:GOI196715 GYE196616:GYE196715 HIA196616:HIA196715 HRW196616:HRW196715 IBS196616:IBS196715 ILO196616:ILO196715 IVK196616:IVK196715 JFG196616:JFG196715 JPC196616:JPC196715 JYY196616:JYY196715 KIU196616:KIU196715 KSQ196616:KSQ196715 LCM196616:LCM196715 LMI196616:LMI196715 LWE196616:LWE196715 MGA196616:MGA196715 MPW196616:MPW196715 MZS196616:MZS196715 NJO196616:NJO196715 NTK196616:NTK196715 ODG196616:ODG196715 ONC196616:ONC196715 OWY196616:OWY196715 PGU196616:PGU196715 PQQ196616:PQQ196715 QAM196616:QAM196715 QKI196616:QKI196715 QUE196616:QUE196715 REA196616:REA196715 RNW196616:RNW196715 RXS196616:RXS196715 SHO196616:SHO196715 SRK196616:SRK196715 TBG196616:TBG196715 TLC196616:TLC196715 TUY196616:TUY196715 UEU196616:UEU196715 UOQ196616:UOQ196715 UYM196616:UYM196715 VII196616:VII196715 VSE196616:VSE196715 WCA196616:WCA196715 WLW196616:WLW196715 WVS196616:WVS196715 K262152:K262251 JG262152:JG262251 TC262152:TC262251 ACY262152:ACY262251 AMU262152:AMU262251 AWQ262152:AWQ262251 BGM262152:BGM262251 BQI262152:BQI262251 CAE262152:CAE262251 CKA262152:CKA262251 CTW262152:CTW262251 DDS262152:DDS262251 DNO262152:DNO262251 DXK262152:DXK262251 EHG262152:EHG262251 ERC262152:ERC262251 FAY262152:FAY262251 FKU262152:FKU262251 FUQ262152:FUQ262251 GEM262152:GEM262251 GOI262152:GOI262251 GYE262152:GYE262251 HIA262152:HIA262251 HRW262152:HRW262251 IBS262152:IBS262251 ILO262152:ILO262251 IVK262152:IVK262251 JFG262152:JFG262251 JPC262152:JPC262251 JYY262152:JYY262251 KIU262152:KIU262251 KSQ262152:KSQ262251 LCM262152:LCM262251 LMI262152:LMI262251 LWE262152:LWE262251 MGA262152:MGA262251 MPW262152:MPW262251 MZS262152:MZS262251 NJO262152:NJO262251 NTK262152:NTK262251 ODG262152:ODG262251 ONC262152:ONC262251 OWY262152:OWY262251 PGU262152:PGU262251 PQQ262152:PQQ262251 QAM262152:QAM262251 QKI262152:QKI262251 QUE262152:QUE262251 REA262152:REA262251 RNW262152:RNW262251 RXS262152:RXS262251 SHO262152:SHO262251 SRK262152:SRK262251 TBG262152:TBG262251 TLC262152:TLC262251 TUY262152:TUY262251 UEU262152:UEU262251 UOQ262152:UOQ262251 UYM262152:UYM262251 VII262152:VII262251 VSE262152:VSE262251 WCA262152:WCA262251 WLW262152:WLW262251 WVS262152:WVS262251 K327688:K327787 JG327688:JG327787 TC327688:TC327787 ACY327688:ACY327787 AMU327688:AMU327787 AWQ327688:AWQ327787 BGM327688:BGM327787 BQI327688:BQI327787 CAE327688:CAE327787 CKA327688:CKA327787 CTW327688:CTW327787 DDS327688:DDS327787 DNO327688:DNO327787 DXK327688:DXK327787 EHG327688:EHG327787 ERC327688:ERC327787 FAY327688:FAY327787 FKU327688:FKU327787 FUQ327688:FUQ327787 GEM327688:GEM327787 GOI327688:GOI327787 GYE327688:GYE327787 HIA327688:HIA327787 HRW327688:HRW327787 IBS327688:IBS327787 ILO327688:ILO327787 IVK327688:IVK327787 JFG327688:JFG327787 JPC327688:JPC327787 JYY327688:JYY327787 KIU327688:KIU327787 KSQ327688:KSQ327787 LCM327688:LCM327787 LMI327688:LMI327787 LWE327688:LWE327787 MGA327688:MGA327787 MPW327688:MPW327787 MZS327688:MZS327787 NJO327688:NJO327787 NTK327688:NTK327787 ODG327688:ODG327787 ONC327688:ONC327787 OWY327688:OWY327787 PGU327688:PGU327787 PQQ327688:PQQ327787 QAM327688:QAM327787 QKI327688:QKI327787 QUE327688:QUE327787 REA327688:REA327787 RNW327688:RNW327787 RXS327688:RXS327787 SHO327688:SHO327787 SRK327688:SRK327787 TBG327688:TBG327787 TLC327688:TLC327787 TUY327688:TUY327787 UEU327688:UEU327787 UOQ327688:UOQ327787 UYM327688:UYM327787 VII327688:VII327787 VSE327688:VSE327787 WCA327688:WCA327787 WLW327688:WLW327787 WVS327688:WVS327787 K393224:K393323 JG393224:JG393323 TC393224:TC393323 ACY393224:ACY393323 AMU393224:AMU393323 AWQ393224:AWQ393323 BGM393224:BGM393323 BQI393224:BQI393323 CAE393224:CAE393323 CKA393224:CKA393323 CTW393224:CTW393323 DDS393224:DDS393323 DNO393224:DNO393323 DXK393224:DXK393323 EHG393224:EHG393323 ERC393224:ERC393323 FAY393224:FAY393323 FKU393224:FKU393323 FUQ393224:FUQ393323 GEM393224:GEM393323 GOI393224:GOI393323 GYE393224:GYE393323 HIA393224:HIA393323 HRW393224:HRW393323 IBS393224:IBS393323 ILO393224:ILO393323 IVK393224:IVK393323 JFG393224:JFG393323 JPC393224:JPC393323 JYY393224:JYY393323 KIU393224:KIU393323 KSQ393224:KSQ393323 LCM393224:LCM393323 LMI393224:LMI393323 LWE393224:LWE393323 MGA393224:MGA393323 MPW393224:MPW393323 MZS393224:MZS393323 NJO393224:NJO393323 NTK393224:NTK393323 ODG393224:ODG393323 ONC393224:ONC393323 OWY393224:OWY393323 PGU393224:PGU393323 PQQ393224:PQQ393323 QAM393224:QAM393323 QKI393224:QKI393323 QUE393224:QUE393323 REA393224:REA393323 RNW393224:RNW393323 RXS393224:RXS393323 SHO393224:SHO393323 SRK393224:SRK393323 TBG393224:TBG393323 TLC393224:TLC393323 TUY393224:TUY393323 UEU393224:UEU393323 UOQ393224:UOQ393323 UYM393224:UYM393323 VII393224:VII393323 VSE393224:VSE393323 WCA393224:WCA393323 WLW393224:WLW393323 WVS393224:WVS393323 K458760:K458859 JG458760:JG458859 TC458760:TC458859 ACY458760:ACY458859 AMU458760:AMU458859 AWQ458760:AWQ458859 BGM458760:BGM458859 BQI458760:BQI458859 CAE458760:CAE458859 CKA458760:CKA458859 CTW458760:CTW458859 DDS458760:DDS458859 DNO458760:DNO458859 DXK458760:DXK458859 EHG458760:EHG458859 ERC458760:ERC458859 FAY458760:FAY458859 FKU458760:FKU458859 FUQ458760:FUQ458859 GEM458760:GEM458859 GOI458760:GOI458859 GYE458760:GYE458859 HIA458760:HIA458859 HRW458760:HRW458859 IBS458760:IBS458859 ILO458760:ILO458859 IVK458760:IVK458859 JFG458760:JFG458859 JPC458760:JPC458859 JYY458760:JYY458859 KIU458760:KIU458859 KSQ458760:KSQ458859 LCM458760:LCM458859 LMI458760:LMI458859 LWE458760:LWE458859 MGA458760:MGA458859 MPW458760:MPW458859 MZS458760:MZS458859 NJO458760:NJO458859 NTK458760:NTK458859 ODG458760:ODG458859 ONC458760:ONC458859 OWY458760:OWY458859 PGU458760:PGU458859 PQQ458760:PQQ458859 QAM458760:QAM458859 QKI458760:QKI458859 QUE458760:QUE458859 REA458760:REA458859 RNW458760:RNW458859 RXS458760:RXS458859 SHO458760:SHO458859 SRK458760:SRK458859 TBG458760:TBG458859 TLC458760:TLC458859 TUY458760:TUY458859 UEU458760:UEU458859 UOQ458760:UOQ458859 UYM458760:UYM458859 VII458760:VII458859 VSE458760:VSE458859 WCA458760:WCA458859 WLW458760:WLW458859 WVS458760:WVS458859 K524296:K524395 JG524296:JG524395 TC524296:TC524395 ACY524296:ACY524395 AMU524296:AMU524395 AWQ524296:AWQ524395 BGM524296:BGM524395 BQI524296:BQI524395 CAE524296:CAE524395 CKA524296:CKA524395 CTW524296:CTW524395 DDS524296:DDS524395 DNO524296:DNO524395 DXK524296:DXK524395 EHG524296:EHG524395 ERC524296:ERC524395 FAY524296:FAY524395 FKU524296:FKU524395 FUQ524296:FUQ524395 GEM524296:GEM524395 GOI524296:GOI524395 GYE524296:GYE524395 HIA524296:HIA524395 HRW524296:HRW524395 IBS524296:IBS524395 ILO524296:ILO524395 IVK524296:IVK524395 JFG524296:JFG524395 JPC524296:JPC524395 JYY524296:JYY524395 KIU524296:KIU524395 KSQ524296:KSQ524395 LCM524296:LCM524395 LMI524296:LMI524395 LWE524296:LWE524395 MGA524296:MGA524395 MPW524296:MPW524395 MZS524296:MZS524395 NJO524296:NJO524395 NTK524296:NTK524395 ODG524296:ODG524395 ONC524296:ONC524395 OWY524296:OWY524395 PGU524296:PGU524395 PQQ524296:PQQ524395 QAM524296:QAM524395 QKI524296:QKI524395 QUE524296:QUE524395 REA524296:REA524395 RNW524296:RNW524395 RXS524296:RXS524395 SHO524296:SHO524395 SRK524296:SRK524395 TBG524296:TBG524395 TLC524296:TLC524395 TUY524296:TUY524395 UEU524296:UEU524395 UOQ524296:UOQ524395 UYM524296:UYM524395 VII524296:VII524395 VSE524296:VSE524395 WCA524296:WCA524395 WLW524296:WLW524395 WVS524296:WVS524395 K589832:K589931 JG589832:JG589931 TC589832:TC589931 ACY589832:ACY589931 AMU589832:AMU589931 AWQ589832:AWQ589931 BGM589832:BGM589931 BQI589832:BQI589931 CAE589832:CAE589931 CKA589832:CKA589931 CTW589832:CTW589931 DDS589832:DDS589931 DNO589832:DNO589931 DXK589832:DXK589931 EHG589832:EHG589931 ERC589832:ERC589931 FAY589832:FAY589931 FKU589832:FKU589931 FUQ589832:FUQ589931 GEM589832:GEM589931 GOI589832:GOI589931 GYE589832:GYE589931 HIA589832:HIA589931 HRW589832:HRW589931 IBS589832:IBS589931 ILO589832:ILO589931 IVK589832:IVK589931 JFG589832:JFG589931 JPC589832:JPC589931 JYY589832:JYY589931 KIU589832:KIU589931 KSQ589832:KSQ589931 LCM589832:LCM589931 LMI589832:LMI589931 LWE589832:LWE589931 MGA589832:MGA589931 MPW589832:MPW589931 MZS589832:MZS589931 NJO589832:NJO589931 NTK589832:NTK589931 ODG589832:ODG589931 ONC589832:ONC589931 OWY589832:OWY589931 PGU589832:PGU589931 PQQ589832:PQQ589931 QAM589832:QAM589931 QKI589832:QKI589931 QUE589832:QUE589931 REA589832:REA589931 RNW589832:RNW589931 RXS589832:RXS589931 SHO589832:SHO589931 SRK589832:SRK589931 TBG589832:TBG589931 TLC589832:TLC589931 TUY589832:TUY589931 UEU589832:UEU589931 UOQ589832:UOQ589931 UYM589832:UYM589931 VII589832:VII589931 VSE589832:VSE589931 WCA589832:WCA589931 WLW589832:WLW589931 WVS589832:WVS589931 K655368:K655467 JG655368:JG655467 TC655368:TC655467 ACY655368:ACY655467 AMU655368:AMU655467 AWQ655368:AWQ655467 BGM655368:BGM655467 BQI655368:BQI655467 CAE655368:CAE655467 CKA655368:CKA655467 CTW655368:CTW655467 DDS655368:DDS655467 DNO655368:DNO655467 DXK655368:DXK655467 EHG655368:EHG655467 ERC655368:ERC655467 FAY655368:FAY655467 FKU655368:FKU655467 FUQ655368:FUQ655467 GEM655368:GEM655467 GOI655368:GOI655467 GYE655368:GYE655467 HIA655368:HIA655467 HRW655368:HRW655467 IBS655368:IBS655467 ILO655368:ILO655467 IVK655368:IVK655467 JFG655368:JFG655467 JPC655368:JPC655467 JYY655368:JYY655467 KIU655368:KIU655467 KSQ655368:KSQ655467 LCM655368:LCM655467 LMI655368:LMI655467 LWE655368:LWE655467 MGA655368:MGA655467 MPW655368:MPW655467 MZS655368:MZS655467 NJO655368:NJO655467 NTK655368:NTK655467 ODG655368:ODG655467 ONC655368:ONC655467 OWY655368:OWY655467 PGU655368:PGU655467 PQQ655368:PQQ655467 QAM655368:QAM655467 QKI655368:QKI655467 QUE655368:QUE655467 REA655368:REA655467 RNW655368:RNW655467 RXS655368:RXS655467 SHO655368:SHO655467 SRK655368:SRK655467 TBG655368:TBG655467 TLC655368:TLC655467 TUY655368:TUY655467 UEU655368:UEU655467 UOQ655368:UOQ655467 UYM655368:UYM655467 VII655368:VII655467 VSE655368:VSE655467 WCA655368:WCA655467 WLW655368:WLW655467 WVS655368:WVS655467 K720904:K721003 JG720904:JG721003 TC720904:TC721003 ACY720904:ACY721003 AMU720904:AMU721003 AWQ720904:AWQ721003 BGM720904:BGM721003 BQI720904:BQI721003 CAE720904:CAE721003 CKA720904:CKA721003 CTW720904:CTW721003 DDS720904:DDS721003 DNO720904:DNO721003 DXK720904:DXK721003 EHG720904:EHG721003 ERC720904:ERC721003 FAY720904:FAY721003 FKU720904:FKU721003 FUQ720904:FUQ721003 GEM720904:GEM721003 GOI720904:GOI721003 GYE720904:GYE721003 HIA720904:HIA721003 HRW720904:HRW721003 IBS720904:IBS721003 ILO720904:ILO721003 IVK720904:IVK721003 JFG720904:JFG721003 JPC720904:JPC721003 JYY720904:JYY721003 KIU720904:KIU721003 KSQ720904:KSQ721003 LCM720904:LCM721003 LMI720904:LMI721003 LWE720904:LWE721003 MGA720904:MGA721003 MPW720904:MPW721003 MZS720904:MZS721003 NJO720904:NJO721003 NTK720904:NTK721003 ODG720904:ODG721003 ONC720904:ONC721003 OWY720904:OWY721003 PGU720904:PGU721003 PQQ720904:PQQ721003 QAM720904:QAM721003 QKI720904:QKI721003 QUE720904:QUE721003 REA720904:REA721003 RNW720904:RNW721003 RXS720904:RXS721003 SHO720904:SHO721003 SRK720904:SRK721003 TBG720904:TBG721003 TLC720904:TLC721003 TUY720904:TUY721003 UEU720904:UEU721003 UOQ720904:UOQ721003 UYM720904:UYM721003 VII720904:VII721003 VSE720904:VSE721003 WCA720904:WCA721003 WLW720904:WLW721003 WVS720904:WVS721003 K786440:K786539 JG786440:JG786539 TC786440:TC786539 ACY786440:ACY786539 AMU786440:AMU786539 AWQ786440:AWQ786539 BGM786440:BGM786539 BQI786440:BQI786539 CAE786440:CAE786539 CKA786440:CKA786539 CTW786440:CTW786539 DDS786440:DDS786539 DNO786440:DNO786539 DXK786440:DXK786539 EHG786440:EHG786539 ERC786440:ERC786539 FAY786440:FAY786539 FKU786440:FKU786539 FUQ786440:FUQ786539 GEM786440:GEM786539 GOI786440:GOI786539 GYE786440:GYE786539 HIA786440:HIA786539 HRW786440:HRW786539 IBS786440:IBS786539 ILO786440:ILO786539 IVK786440:IVK786539 JFG786440:JFG786539 JPC786440:JPC786539 JYY786440:JYY786539 KIU786440:KIU786539 KSQ786440:KSQ786539 LCM786440:LCM786539 LMI786440:LMI786539 LWE786440:LWE786539 MGA786440:MGA786539 MPW786440:MPW786539 MZS786440:MZS786539 NJO786440:NJO786539 NTK786440:NTK786539 ODG786440:ODG786539 ONC786440:ONC786539 OWY786440:OWY786539 PGU786440:PGU786539 PQQ786440:PQQ786539 QAM786440:QAM786539 QKI786440:QKI786539 QUE786440:QUE786539 REA786440:REA786539 RNW786440:RNW786539 RXS786440:RXS786539 SHO786440:SHO786539 SRK786440:SRK786539 TBG786440:TBG786539 TLC786440:TLC786539 TUY786440:TUY786539 UEU786440:UEU786539 UOQ786440:UOQ786539 UYM786440:UYM786539 VII786440:VII786539 VSE786440:VSE786539 WCA786440:WCA786539 WLW786440:WLW786539 WVS786440:WVS786539 K851976:K852075 JG851976:JG852075 TC851976:TC852075 ACY851976:ACY852075 AMU851976:AMU852075 AWQ851976:AWQ852075 BGM851976:BGM852075 BQI851976:BQI852075 CAE851976:CAE852075 CKA851976:CKA852075 CTW851976:CTW852075 DDS851976:DDS852075 DNO851976:DNO852075 DXK851976:DXK852075 EHG851976:EHG852075 ERC851976:ERC852075 FAY851976:FAY852075 FKU851976:FKU852075 FUQ851976:FUQ852075 GEM851976:GEM852075 GOI851976:GOI852075 GYE851976:GYE852075 HIA851976:HIA852075 HRW851976:HRW852075 IBS851976:IBS852075 ILO851976:ILO852075 IVK851976:IVK852075 JFG851976:JFG852075 JPC851976:JPC852075 JYY851976:JYY852075 KIU851976:KIU852075 KSQ851976:KSQ852075 LCM851976:LCM852075 LMI851976:LMI852075 LWE851976:LWE852075 MGA851976:MGA852075 MPW851976:MPW852075 MZS851976:MZS852075 NJO851976:NJO852075 NTK851976:NTK852075 ODG851976:ODG852075 ONC851976:ONC852075 OWY851976:OWY852075 PGU851976:PGU852075 PQQ851976:PQQ852075 QAM851976:QAM852075 QKI851976:QKI852075 QUE851976:QUE852075 REA851976:REA852075 RNW851976:RNW852075 RXS851976:RXS852075 SHO851976:SHO852075 SRK851976:SRK852075 TBG851976:TBG852075 TLC851976:TLC852075 TUY851976:TUY852075 UEU851976:UEU852075 UOQ851976:UOQ852075 UYM851976:UYM852075 VII851976:VII852075 VSE851976:VSE852075 WCA851976:WCA852075 WLW851976:WLW852075 WVS851976:WVS852075 K917512:K917611 JG917512:JG917611 TC917512:TC917611 ACY917512:ACY917611 AMU917512:AMU917611 AWQ917512:AWQ917611 BGM917512:BGM917611 BQI917512:BQI917611 CAE917512:CAE917611 CKA917512:CKA917611 CTW917512:CTW917611 DDS917512:DDS917611 DNO917512:DNO917611 DXK917512:DXK917611 EHG917512:EHG917611 ERC917512:ERC917611 FAY917512:FAY917611 FKU917512:FKU917611 FUQ917512:FUQ917611 GEM917512:GEM917611 GOI917512:GOI917611 GYE917512:GYE917611 HIA917512:HIA917611 HRW917512:HRW917611 IBS917512:IBS917611 ILO917512:ILO917611 IVK917512:IVK917611 JFG917512:JFG917611 JPC917512:JPC917611 JYY917512:JYY917611 KIU917512:KIU917611 KSQ917512:KSQ917611 LCM917512:LCM917611 LMI917512:LMI917611 LWE917512:LWE917611 MGA917512:MGA917611 MPW917512:MPW917611 MZS917512:MZS917611 NJO917512:NJO917611 NTK917512:NTK917611 ODG917512:ODG917611 ONC917512:ONC917611 OWY917512:OWY917611 PGU917512:PGU917611 PQQ917512:PQQ917611 QAM917512:QAM917611 QKI917512:QKI917611 QUE917512:QUE917611 REA917512:REA917611 RNW917512:RNW917611 RXS917512:RXS917611 SHO917512:SHO917611 SRK917512:SRK917611 TBG917512:TBG917611 TLC917512:TLC917611 TUY917512:TUY917611 UEU917512:UEU917611 UOQ917512:UOQ917611 UYM917512:UYM917611 VII917512:VII917611 VSE917512:VSE917611 WCA917512:WCA917611 WLW917512:WLW917611 WVS917512:WVS917611 K983048:K983147 JG983048:JG983147 TC983048:TC983147 ACY983048:ACY983147 AMU983048:AMU983147 AWQ983048:AWQ983147 BGM983048:BGM983147 BQI983048:BQI983147 CAE983048:CAE983147 CKA983048:CKA983147 CTW983048:CTW983147 DDS983048:DDS983147 DNO983048:DNO983147 DXK983048:DXK983147 EHG983048:EHG983147 ERC983048:ERC983147 FAY983048:FAY983147 FKU983048:FKU983147 FUQ983048:FUQ983147 GEM983048:GEM983147 GOI983048:GOI983147 GYE983048:GYE983147 HIA983048:HIA983147 HRW983048:HRW983147 IBS983048:IBS983147 ILO983048:ILO983147 IVK983048:IVK983147 JFG983048:JFG983147 JPC983048:JPC983147 JYY983048:JYY983147 KIU983048:KIU983147 KSQ983048:KSQ983147 LCM983048:LCM983147 LMI983048:LMI983147 LWE983048:LWE983147 MGA983048:MGA983147 MPW983048:MPW983147 MZS983048:MZS983147 NJO983048:NJO983147 NTK983048:NTK983147 ODG983048:ODG983147 ONC983048:ONC983147 OWY983048:OWY983147 PGU983048:PGU983147 PQQ983048:PQQ983147 QAM983048:QAM983147 QKI983048:QKI983147 QUE983048:QUE983147 REA983048:REA983147 RNW983048:RNW983147 RXS983048:RXS983147 SHO983048:SHO983147 SRK983048:SRK983147 TBG983048:TBG983147 TLC983048:TLC983147 TUY983048:TUY983147 UEU983048:UEU983147 UOQ983048:UOQ983147 UYM983048:UYM983147 VII983048:VII983147 VSE983048:VSE983147 WCA983048:WCA983147 WLW983048:WLW983147">
      <formula1>"GD.Tiểu học,Ngoại ngữ,Tin học,M.Thuật,Âm nhạc,GD.Thể chất,Đoàn Đội,Quản lý,Y tế,Văn thư,Thiết bị,Khác"</formula1>
    </dataValidation>
    <dataValidation type="list" allowBlank="1" showInputMessage="1" showErrorMessage="1" sqref="L8:L107 JH8:JH107 TD8:TD107 ACZ8:ACZ107 AMV8:AMV107 AWR8:AWR107 BGN8:BGN107 BQJ8:BQJ107 CAF8:CAF107 CKB8:CKB107 CTX8:CTX107 DDT8:DDT107 DNP8:DNP107 DXL8:DXL107 EHH8:EHH107 ERD8:ERD107 FAZ8:FAZ107 FKV8:FKV107 FUR8:FUR107 GEN8:GEN107 GOJ8:GOJ107 GYF8:GYF107 HIB8:HIB107 HRX8:HRX107 IBT8:IBT107 ILP8:ILP107 IVL8:IVL107 JFH8:JFH107 JPD8:JPD107 JYZ8:JYZ107 KIV8:KIV107 KSR8:KSR107 LCN8:LCN107 LMJ8:LMJ107 LWF8:LWF107 MGB8:MGB107 MPX8:MPX107 MZT8:MZT107 NJP8:NJP107 NTL8:NTL107 ODH8:ODH107 OND8:OND107 OWZ8:OWZ107 PGV8:PGV107 PQR8:PQR107 QAN8:QAN107 QKJ8:QKJ107 QUF8:QUF107 REB8:REB107 RNX8:RNX107 RXT8:RXT107 SHP8:SHP107 SRL8:SRL107 TBH8:TBH107 TLD8:TLD107 TUZ8:TUZ107 UEV8:UEV107 UOR8:UOR107 UYN8:UYN107 VIJ8:VIJ107 VSF8:VSF107 WCB8:WCB107 WLX8:WLX107 WVT8:WVT107 L65544:L65643 JH65544:JH65643 TD65544:TD65643 ACZ65544:ACZ65643 AMV65544:AMV65643 AWR65544:AWR65643 BGN65544:BGN65643 BQJ65544:BQJ65643 CAF65544:CAF65643 CKB65544:CKB65643 CTX65544:CTX65643 DDT65544:DDT65643 DNP65544:DNP65643 DXL65544:DXL65643 EHH65544:EHH65643 ERD65544:ERD65643 FAZ65544:FAZ65643 FKV65544:FKV65643 FUR65544:FUR65643 GEN65544:GEN65643 GOJ65544:GOJ65643 GYF65544:GYF65643 HIB65544:HIB65643 HRX65544:HRX65643 IBT65544:IBT65643 ILP65544:ILP65643 IVL65544:IVL65643 JFH65544:JFH65643 JPD65544:JPD65643 JYZ65544:JYZ65643 KIV65544:KIV65643 KSR65544:KSR65643 LCN65544:LCN65643 LMJ65544:LMJ65643 LWF65544:LWF65643 MGB65544:MGB65643 MPX65544:MPX65643 MZT65544:MZT65643 NJP65544:NJP65643 NTL65544:NTL65643 ODH65544:ODH65643 OND65544:OND65643 OWZ65544:OWZ65643 PGV65544:PGV65643 PQR65544:PQR65643 QAN65544:QAN65643 QKJ65544:QKJ65643 QUF65544:QUF65643 REB65544:REB65643 RNX65544:RNX65643 RXT65544:RXT65643 SHP65544:SHP65643 SRL65544:SRL65643 TBH65544:TBH65643 TLD65544:TLD65643 TUZ65544:TUZ65643 UEV65544:UEV65643 UOR65544:UOR65643 UYN65544:UYN65643 VIJ65544:VIJ65643 VSF65544:VSF65643 WCB65544:WCB65643 WLX65544:WLX65643 WVT65544:WVT65643 L131080:L131179 JH131080:JH131179 TD131080:TD131179 ACZ131080:ACZ131179 AMV131080:AMV131179 AWR131080:AWR131179 BGN131080:BGN131179 BQJ131080:BQJ131179 CAF131080:CAF131179 CKB131080:CKB131179 CTX131080:CTX131179 DDT131080:DDT131179 DNP131080:DNP131179 DXL131080:DXL131179 EHH131080:EHH131179 ERD131080:ERD131179 FAZ131080:FAZ131179 FKV131080:FKV131179 FUR131080:FUR131179 GEN131080:GEN131179 GOJ131080:GOJ131179 GYF131080:GYF131179 HIB131080:HIB131179 HRX131080:HRX131179 IBT131080:IBT131179 ILP131080:ILP131179 IVL131080:IVL131179 JFH131080:JFH131179 JPD131080:JPD131179 JYZ131080:JYZ131179 KIV131080:KIV131179 KSR131080:KSR131179 LCN131080:LCN131179 LMJ131080:LMJ131179 LWF131080:LWF131179 MGB131080:MGB131179 MPX131080:MPX131179 MZT131080:MZT131179 NJP131080:NJP131179 NTL131080:NTL131179 ODH131080:ODH131179 OND131080:OND131179 OWZ131080:OWZ131179 PGV131080:PGV131179 PQR131080:PQR131179 QAN131080:QAN131179 QKJ131080:QKJ131179 QUF131080:QUF131179 REB131080:REB131179 RNX131080:RNX131179 RXT131080:RXT131179 SHP131080:SHP131179 SRL131080:SRL131179 TBH131080:TBH131179 TLD131080:TLD131179 TUZ131080:TUZ131179 UEV131080:UEV131179 UOR131080:UOR131179 UYN131080:UYN131179 VIJ131080:VIJ131179 VSF131080:VSF131179 WCB131080:WCB131179 WLX131080:WLX131179 WVT131080:WVT131179 L196616:L196715 JH196616:JH196715 TD196616:TD196715 ACZ196616:ACZ196715 AMV196616:AMV196715 AWR196616:AWR196715 BGN196616:BGN196715 BQJ196616:BQJ196715 CAF196616:CAF196715 CKB196616:CKB196715 CTX196616:CTX196715 DDT196616:DDT196715 DNP196616:DNP196715 DXL196616:DXL196715 EHH196616:EHH196715 ERD196616:ERD196715 FAZ196616:FAZ196715 FKV196616:FKV196715 FUR196616:FUR196715 GEN196616:GEN196715 GOJ196616:GOJ196715 GYF196616:GYF196715 HIB196616:HIB196715 HRX196616:HRX196715 IBT196616:IBT196715 ILP196616:ILP196715 IVL196616:IVL196715 JFH196616:JFH196715 JPD196616:JPD196715 JYZ196616:JYZ196715 KIV196616:KIV196715 KSR196616:KSR196715 LCN196616:LCN196715 LMJ196616:LMJ196715 LWF196616:LWF196715 MGB196616:MGB196715 MPX196616:MPX196715 MZT196616:MZT196715 NJP196616:NJP196715 NTL196616:NTL196715 ODH196616:ODH196715 OND196616:OND196715 OWZ196616:OWZ196715 PGV196616:PGV196715 PQR196616:PQR196715 QAN196616:QAN196715 QKJ196616:QKJ196715 QUF196616:QUF196715 REB196616:REB196715 RNX196616:RNX196715 RXT196616:RXT196715 SHP196616:SHP196715 SRL196616:SRL196715 TBH196616:TBH196715 TLD196616:TLD196715 TUZ196616:TUZ196715 UEV196616:UEV196715 UOR196616:UOR196715 UYN196616:UYN196715 VIJ196616:VIJ196715 VSF196616:VSF196715 WCB196616:WCB196715 WLX196616:WLX196715 WVT196616:WVT196715 L262152:L262251 JH262152:JH262251 TD262152:TD262251 ACZ262152:ACZ262251 AMV262152:AMV262251 AWR262152:AWR262251 BGN262152:BGN262251 BQJ262152:BQJ262251 CAF262152:CAF262251 CKB262152:CKB262251 CTX262152:CTX262251 DDT262152:DDT262251 DNP262152:DNP262251 DXL262152:DXL262251 EHH262152:EHH262251 ERD262152:ERD262251 FAZ262152:FAZ262251 FKV262152:FKV262251 FUR262152:FUR262251 GEN262152:GEN262251 GOJ262152:GOJ262251 GYF262152:GYF262251 HIB262152:HIB262251 HRX262152:HRX262251 IBT262152:IBT262251 ILP262152:ILP262251 IVL262152:IVL262251 JFH262152:JFH262251 JPD262152:JPD262251 JYZ262152:JYZ262251 KIV262152:KIV262251 KSR262152:KSR262251 LCN262152:LCN262251 LMJ262152:LMJ262251 LWF262152:LWF262251 MGB262152:MGB262251 MPX262152:MPX262251 MZT262152:MZT262251 NJP262152:NJP262251 NTL262152:NTL262251 ODH262152:ODH262251 OND262152:OND262251 OWZ262152:OWZ262251 PGV262152:PGV262251 PQR262152:PQR262251 QAN262152:QAN262251 QKJ262152:QKJ262251 QUF262152:QUF262251 REB262152:REB262251 RNX262152:RNX262251 RXT262152:RXT262251 SHP262152:SHP262251 SRL262152:SRL262251 TBH262152:TBH262251 TLD262152:TLD262251 TUZ262152:TUZ262251 UEV262152:UEV262251 UOR262152:UOR262251 UYN262152:UYN262251 VIJ262152:VIJ262251 VSF262152:VSF262251 WCB262152:WCB262251 WLX262152:WLX262251 WVT262152:WVT262251 L327688:L327787 JH327688:JH327787 TD327688:TD327787 ACZ327688:ACZ327787 AMV327688:AMV327787 AWR327688:AWR327787 BGN327688:BGN327787 BQJ327688:BQJ327787 CAF327688:CAF327787 CKB327688:CKB327787 CTX327688:CTX327787 DDT327688:DDT327787 DNP327688:DNP327787 DXL327688:DXL327787 EHH327688:EHH327787 ERD327688:ERD327787 FAZ327688:FAZ327787 FKV327688:FKV327787 FUR327688:FUR327787 GEN327688:GEN327787 GOJ327688:GOJ327787 GYF327688:GYF327787 HIB327688:HIB327787 HRX327688:HRX327787 IBT327688:IBT327787 ILP327688:ILP327787 IVL327688:IVL327787 JFH327688:JFH327787 JPD327688:JPD327787 JYZ327688:JYZ327787 KIV327688:KIV327787 KSR327688:KSR327787 LCN327688:LCN327787 LMJ327688:LMJ327787 LWF327688:LWF327787 MGB327688:MGB327787 MPX327688:MPX327787 MZT327688:MZT327787 NJP327688:NJP327787 NTL327688:NTL327787 ODH327688:ODH327787 OND327688:OND327787 OWZ327688:OWZ327787 PGV327688:PGV327787 PQR327688:PQR327787 QAN327688:QAN327787 QKJ327688:QKJ327787 QUF327688:QUF327787 REB327688:REB327787 RNX327688:RNX327787 RXT327688:RXT327787 SHP327688:SHP327787 SRL327688:SRL327787 TBH327688:TBH327787 TLD327688:TLD327787 TUZ327688:TUZ327787 UEV327688:UEV327787 UOR327688:UOR327787 UYN327688:UYN327787 VIJ327688:VIJ327787 VSF327688:VSF327787 WCB327688:WCB327787 WLX327688:WLX327787 WVT327688:WVT327787 L393224:L393323 JH393224:JH393323 TD393224:TD393323 ACZ393224:ACZ393323 AMV393224:AMV393323 AWR393224:AWR393323 BGN393224:BGN393323 BQJ393224:BQJ393323 CAF393224:CAF393323 CKB393224:CKB393323 CTX393224:CTX393323 DDT393224:DDT393323 DNP393224:DNP393323 DXL393224:DXL393323 EHH393224:EHH393323 ERD393224:ERD393323 FAZ393224:FAZ393323 FKV393224:FKV393323 FUR393224:FUR393323 GEN393224:GEN393323 GOJ393224:GOJ393323 GYF393224:GYF393323 HIB393224:HIB393323 HRX393224:HRX393323 IBT393224:IBT393323 ILP393224:ILP393323 IVL393224:IVL393323 JFH393224:JFH393323 JPD393224:JPD393323 JYZ393224:JYZ393323 KIV393224:KIV393323 KSR393224:KSR393323 LCN393224:LCN393323 LMJ393224:LMJ393323 LWF393224:LWF393323 MGB393224:MGB393323 MPX393224:MPX393323 MZT393224:MZT393323 NJP393224:NJP393323 NTL393224:NTL393323 ODH393224:ODH393323 OND393224:OND393323 OWZ393224:OWZ393323 PGV393224:PGV393323 PQR393224:PQR393323 QAN393224:QAN393323 QKJ393224:QKJ393323 QUF393224:QUF393323 REB393224:REB393323 RNX393224:RNX393323 RXT393224:RXT393323 SHP393224:SHP393323 SRL393224:SRL393323 TBH393224:TBH393323 TLD393224:TLD393323 TUZ393224:TUZ393323 UEV393224:UEV393323 UOR393224:UOR393323 UYN393224:UYN393323 VIJ393224:VIJ393323 VSF393224:VSF393323 WCB393224:WCB393323 WLX393224:WLX393323 WVT393224:WVT393323 L458760:L458859 JH458760:JH458859 TD458760:TD458859 ACZ458760:ACZ458859 AMV458760:AMV458859 AWR458760:AWR458859 BGN458760:BGN458859 BQJ458760:BQJ458859 CAF458760:CAF458859 CKB458760:CKB458859 CTX458760:CTX458859 DDT458760:DDT458859 DNP458760:DNP458859 DXL458760:DXL458859 EHH458760:EHH458859 ERD458760:ERD458859 FAZ458760:FAZ458859 FKV458760:FKV458859 FUR458760:FUR458859 GEN458760:GEN458859 GOJ458760:GOJ458859 GYF458760:GYF458859 HIB458760:HIB458859 HRX458760:HRX458859 IBT458760:IBT458859 ILP458760:ILP458859 IVL458760:IVL458859 JFH458760:JFH458859 JPD458760:JPD458859 JYZ458760:JYZ458859 KIV458760:KIV458859 KSR458760:KSR458859 LCN458760:LCN458859 LMJ458760:LMJ458859 LWF458760:LWF458859 MGB458760:MGB458859 MPX458760:MPX458859 MZT458760:MZT458859 NJP458760:NJP458859 NTL458760:NTL458859 ODH458760:ODH458859 OND458760:OND458859 OWZ458760:OWZ458859 PGV458760:PGV458859 PQR458760:PQR458859 QAN458760:QAN458859 QKJ458760:QKJ458859 QUF458760:QUF458859 REB458760:REB458859 RNX458760:RNX458859 RXT458760:RXT458859 SHP458760:SHP458859 SRL458760:SRL458859 TBH458760:TBH458859 TLD458760:TLD458859 TUZ458760:TUZ458859 UEV458760:UEV458859 UOR458760:UOR458859 UYN458760:UYN458859 VIJ458760:VIJ458859 VSF458760:VSF458859 WCB458760:WCB458859 WLX458760:WLX458859 WVT458760:WVT458859 L524296:L524395 JH524296:JH524395 TD524296:TD524395 ACZ524296:ACZ524395 AMV524296:AMV524395 AWR524296:AWR524395 BGN524296:BGN524395 BQJ524296:BQJ524395 CAF524296:CAF524395 CKB524296:CKB524395 CTX524296:CTX524395 DDT524296:DDT524395 DNP524296:DNP524395 DXL524296:DXL524395 EHH524296:EHH524395 ERD524296:ERD524395 FAZ524296:FAZ524395 FKV524296:FKV524395 FUR524296:FUR524395 GEN524296:GEN524395 GOJ524296:GOJ524395 GYF524296:GYF524395 HIB524296:HIB524395 HRX524296:HRX524395 IBT524296:IBT524395 ILP524296:ILP524395 IVL524296:IVL524395 JFH524296:JFH524395 JPD524296:JPD524395 JYZ524296:JYZ524395 KIV524296:KIV524395 KSR524296:KSR524395 LCN524296:LCN524395 LMJ524296:LMJ524395 LWF524296:LWF524395 MGB524296:MGB524395 MPX524296:MPX524395 MZT524296:MZT524395 NJP524296:NJP524395 NTL524296:NTL524395 ODH524296:ODH524395 OND524296:OND524395 OWZ524296:OWZ524395 PGV524296:PGV524395 PQR524296:PQR524395 QAN524296:QAN524395 QKJ524296:QKJ524395 QUF524296:QUF524395 REB524296:REB524395 RNX524296:RNX524395 RXT524296:RXT524395 SHP524296:SHP524395 SRL524296:SRL524395 TBH524296:TBH524395 TLD524296:TLD524395 TUZ524296:TUZ524395 UEV524296:UEV524395 UOR524296:UOR524395 UYN524296:UYN524395 VIJ524296:VIJ524395 VSF524296:VSF524395 WCB524296:WCB524395 WLX524296:WLX524395 WVT524296:WVT524395 L589832:L589931 JH589832:JH589931 TD589832:TD589931 ACZ589832:ACZ589931 AMV589832:AMV589931 AWR589832:AWR589931 BGN589832:BGN589931 BQJ589832:BQJ589931 CAF589832:CAF589931 CKB589832:CKB589931 CTX589832:CTX589931 DDT589832:DDT589931 DNP589832:DNP589931 DXL589832:DXL589931 EHH589832:EHH589931 ERD589832:ERD589931 FAZ589832:FAZ589931 FKV589832:FKV589931 FUR589832:FUR589931 GEN589832:GEN589931 GOJ589832:GOJ589931 GYF589832:GYF589931 HIB589832:HIB589931 HRX589832:HRX589931 IBT589832:IBT589931 ILP589832:ILP589931 IVL589832:IVL589931 JFH589832:JFH589931 JPD589832:JPD589931 JYZ589832:JYZ589931 KIV589832:KIV589931 KSR589832:KSR589931 LCN589832:LCN589931 LMJ589832:LMJ589931 LWF589832:LWF589931 MGB589832:MGB589931 MPX589832:MPX589931 MZT589832:MZT589931 NJP589832:NJP589931 NTL589832:NTL589931 ODH589832:ODH589931 OND589832:OND589931 OWZ589832:OWZ589931 PGV589832:PGV589931 PQR589832:PQR589931 QAN589832:QAN589931 QKJ589832:QKJ589931 QUF589832:QUF589931 REB589832:REB589931 RNX589832:RNX589931 RXT589832:RXT589931 SHP589832:SHP589931 SRL589832:SRL589931 TBH589832:TBH589931 TLD589832:TLD589931 TUZ589832:TUZ589931 UEV589832:UEV589931 UOR589832:UOR589931 UYN589832:UYN589931 VIJ589832:VIJ589931 VSF589832:VSF589931 WCB589832:WCB589931 WLX589832:WLX589931 WVT589832:WVT589931 L655368:L655467 JH655368:JH655467 TD655368:TD655467 ACZ655368:ACZ655467 AMV655368:AMV655467 AWR655368:AWR655467 BGN655368:BGN655467 BQJ655368:BQJ655467 CAF655368:CAF655467 CKB655368:CKB655467 CTX655368:CTX655467 DDT655368:DDT655467 DNP655368:DNP655467 DXL655368:DXL655467 EHH655368:EHH655467 ERD655368:ERD655467 FAZ655368:FAZ655467 FKV655368:FKV655467 FUR655368:FUR655467 GEN655368:GEN655467 GOJ655368:GOJ655467 GYF655368:GYF655467 HIB655368:HIB655467 HRX655368:HRX655467 IBT655368:IBT655467 ILP655368:ILP655467 IVL655368:IVL655467 JFH655368:JFH655467 JPD655368:JPD655467 JYZ655368:JYZ655467 KIV655368:KIV655467 KSR655368:KSR655467 LCN655368:LCN655467 LMJ655368:LMJ655467 LWF655368:LWF655467 MGB655368:MGB655467 MPX655368:MPX655467 MZT655368:MZT655467 NJP655368:NJP655467 NTL655368:NTL655467 ODH655368:ODH655467 OND655368:OND655467 OWZ655368:OWZ655467 PGV655368:PGV655467 PQR655368:PQR655467 QAN655368:QAN655467 QKJ655368:QKJ655467 QUF655368:QUF655467 REB655368:REB655467 RNX655368:RNX655467 RXT655368:RXT655467 SHP655368:SHP655467 SRL655368:SRL655467 TBH655368:TBH655467 TLD655368:TLD655467 TUZ655368:TUZ655467 UEV655368:UEV655467 UOR655368:UOR655467 UYN655368:UYN655467 VIJ655368:VIJ655467 VSF655368:VSF655467 WCB655368:WCB655467 WLX655368:WLX655467 WVT655368:WVT655467 L720904:L721003 JH720904:JH721003 TD720904:TD721003 ACZ720904:ACZ721003 AMV720904:AMV721003 AWR720904:AWR721003 BGN720904:BGN721003 BQJ720904:BQJ721003 CAF720904:CAF721003 CKB720904:CKB721003 CTX720904:CTX721003 DDT720904:DDT721003 DNP720904:DNP721003 DXL720904:DXL721003 EHH720904:EHH721003 ERD720904:ERD721003 FAZ720904:FAZ721003 FKV720904:FKV721003 FUR720904:FUR721003 GEN720904:GEN721003 GOJ720904:GOJ721003 GYF720904:GYF721003 HIB720904:HIB721003 HRX720904:HRX721003 IBT720904:IBT721003 ILP720904:ILP721003 IVL720904:IVL721003 JFH720904:JFH721003 JPD720904:JPD721003 JYZ720904:JYZ721003 KIV720904:KIV721003 KSR720904:KSR721003 LCN720904:LCN721003 LMJ720904:LMJ721003 LWF720904:LWF721003 MGB720904:MGB721003 MPX720904:MPX721003 MZT720904:MZT721003 NJP720904:NJP721003 NTL720904:NTL721003 ODH720904:ODH721003 OND720904:OND721003 OWZ720904:OWZ721003 PGV720904:PGV721003 PQR720904:PQR721003 QAN720904:QAN721003 QKJ720904:QKJ721003 QUF720904:QUF721003 REB720904:REB721003 RNX720904:RNX721003 RXT720904:RXT721003 SHP720904:SHP721003 SRL720904:SRL721003 TBH720904:TBH721003 TLD720904:TLD721003 TUZ720904:TUZ721003 UEV720904:UEV721003 UOR720904:UOR721003 UYN720904:UYN721003 VIJ720904:VIJ721003 VSF720904:VSF721003 WCB720904:WCB721003 WLX720904:WLX721003 WVT720904:WVT721003 L786440:L786539 JH786440:JH786539 TD786440:TD786539 ACZ786440:ACZ786539 AMV786440:AMV786539 AWR786440:AWR786539 BGN786440:BGN786539 BQJ786440:BQJ786539 CAF786440:CAF786539 CKB786440:CKB786539 CTX786440:CTX786539 DDT786440:DDT786539 DNP786440:DNP786539 DXL786440:DXL786539 EHH786440:EHH786539 ERD786440:ERD786539 FAZ786440:FAZ786539 FKV786440:FKV786539 FUR786440:FUR786539 GEN786440:GEN786539 GOJ786440:GOJ786539 GYF786440:GYF786539 HIB786440:HIB786539 HRX786440:HRX786539 IBT786440:IBT786539 ILP786440:ILP786539 IVL786440:IVL786539 JFH786440:JFH786539 JPD786440:JPD786539 JYZ786440:JYZ786539 KIV786440:KIV786539 KSR786440:KSR786539 LCN786440:LCN786539 LMJ786440:LMJ786539 LWF786440:LWF786539 MGB786440:MGB786539 MPX786440:MPX786539 MZT786440:MZT786539 NJP786440:NJP786539 NTL786440:NTL786539 ODH786440:ODH786539 OND786440:OND786539 OWZ786440:OWZ786539 PGV786440:PGV786539 PQR786440:PQR786539 QAN786440:QAN786539 QKJ786440:QKJ786539 QUF786440:QUF786539 REB786440:REB786539 RNX786440:RNX786539 RXT786440:RXT786539 SHP786440:SHP786539 SRL786440:SRL786539 TBH786440:TBH786539 TLD786440:TLD786539 TUZ786440:TUZ786539 UEV786440:UEV786539 UOR786440:UOR786539 UYN786440:UYN786539 VIJ786440:VIJ786539 VSF786440:VSF786539 WCB786440:WCB786539 WLX786440:WLX786539 WVT786440:WVT786539 L851976:L852075 JH851976:JH852075 TD851976:TD852075 ACZ851976:ACZ852075 AMV851976:AMV852075 AWR851976:AWR852075 BGN851976:BGN852075 BQJ851976:BQJ852075 CAF851976:CAF852075 CKB851976:CKB852075 CTX851976:CTX852075 DDT851976:DDT852075 DNP851976:DNP852075 DXL851976:DXL852075 EHH851976:EHH852075 ERD851976:ERD852075 FAZ851976:FAZ852075 FKV851976:FKV852075 FUR851976:FUR852075 GEN851976:GEN852075 GOJ851976:GOJ852075 GYF851976:GYF852075 HIB851976:HIB852075 HRX851976:HRX852075 IBT851976:IBT852075 ILP851976:ILP852075 IVL851976:IVL852075 JFH851976:JFH852075 JPD851976:JPD852075 JYZ851976:JYZ852075 KIV851976:KIV852075 KSR851976:KSR852075 LCN851976:LCN852075 LMJ851976:LMJ852075 LWF851976:LWF852075 MGB851976:MGB852075 MPX851976:MPX852075 MZT851976:MZT852075 NJP851976:NJP852075 NTL851976:NTL852075 ODH851976:ODH852075 OND851976:OND852075 OWZ851976:OWZ852075 PGV851976:PGV852075 PQR851976:PQR852075 QAN851976:QAN852075 QKJ851976:QKJ852075 QUF851976:QUF852075 REB851976:REB852075 RNX851976:RNX852075 RXT851976:RXT852075 SHP851976:SHP852075 SRL851976:SRL852075 TBH851976:TBH852075 TLD851976:TLD852075 TUZ851976:TUZ852075 UEV851976:UEV852075 UOR851976:UOR852075 UYN851976:UYN852075 VIJ851976:VIJ852075 VSF851976:VSF852075 WCB851976:WCB852075 WLX851976:WLX852075 WVT851976:WVT852075 L917512:L917611 JH917512:JH917611 TD917512:TD917611 ACZ917512:ACZ917611 AMV917512:AMV917611 AWR917512:AWR917611 BGN917512:BGN917611 BQJ917512:BQJ917611 CAF917512:CAF917611 CKB917512:CKB917611 CTX917512:CTX917611 DDT917512:DDT917611 DNP917512:DNP917611 DXL917512:DXL917611 EHH917512:EHH917611 ERD917512:ERD917611 FAZ917512:FAZ917611 FKV917512:FKV917611 FUR917512:FUR917611 GEN917512:GEN917611 GOJ917512:GOJ917611 GYF917512:GYF917611 HIB917512:HIB917611 HRX917512:HRX917611 IBT917512:IBT917611 ILP917512:ILP917611 IVL917512:IVL917611 JFH917512:JFH917611 JPD917512:JPD917611 JYZ917512:JYZ917611 KIV917512:KIV917611 KSR917512:KSR917611 LCN917512:LCN917611 LMJ917512:LMJ917611 LWF917512:LWF917611 MGB917512:MGB917611 MPX917512:MPX917611 MZT917512:MZT917611 NJP917512:NJP917611 NTL917512:NTL917611 ODH917512:ODH917611 OND917512:OND917611 OWZ917512:OWZ917611 PGV917512:PGV917611 PQR917512:PQR917611 QAN917512:QAN917611 QKJ917512:QKJ917611 QUF917512:QUF917611 REB917512:REB917611 RNX917512:RNX917611 RXT917512:RXT917611 SHP917512:SHP917611 SRL917512:SRL917611 TBH917512:TBH917611 TLD917512:TLD917611 TUZ917512:TUZ917611 UEV917512:UEV917611 UOR917512:UOR917611 UYN917512:UYN917611 VIJ917512:VIJ917611 VSF917512:VSF917611 WCB917512:WCB917611 WLX917512:WLX917611 WVT917512:WVT917611 L983048:L983147 JH983048:JH983147 TD983048:TD983147 ACZ983048:ACZ983147 AMV983048:AMV983147 AWR983048:AWR983147 BGN983048:BGN983147 BQJ983048:BQJ983147 CAF983048:CAF983147 CKB983048:CKB983147 CTX983048:CTX983147 DDT983048:DDT983147 DNP983048:DNP983147 DXL983048:DXL983147 EHH983048:EHH983147 ERD983048:ERD983147 FAZ983048:FAZ983147 FKV983048:FKV983147 FUR983048:FUR983147 GEN983048:GEN983147 GOJ983048:GOJ983147 GYF983048:GYF983147 HIB983048:HIB983147 HRX983048:HRX983147 IBT983048:IBT983147 ILP983048:ILP983147 IVL983048:IVL983147 JFH983048:JFH983147 JPD983048:JPD983147 JYZ983048:JYZ983147 KIV983048:KIV983147 KSR983048:KSR983147 LCN983048:LCN983147 LMJ983048:LMJ983147 LWF983048:LWF983147 MGB983048:MGB983147 MPX983048:MPX983147 MZT983048:MZT983147 NJP983048:NJP983147 NTL983048:NTL983147 ODH983048:ODH983147 OND983048:OND983147 OWZ983048:OWZ983147 PGV983048:PGV983147 PQR983048:PQR983147 QAN983048:QAN983147 QKJ983048:QKJ983147 QUF983048:QUF983147 REB983048:REB983147 RNX983048:RNX983147 RXT983048:RXT983147 SHP983048:SHP983147 SRL983048:SRL983147 TBH983048:TBH983147 TLD983048:TLD983147 TUZ983048:TUZ983147 UEV983048:UEV983147 UOR983048:UOR983147 UYN983048:UYN983147 VIJ983048:VIJ983147 VSF983048:VSF983147 WCB983048:WCB983147 WLX983048:WLX983147 WVT983048:WVT983147">
      <formula1>"Chính quy,Từ xa,Tại chức,VH-VL,Khác"</formula1>
    </dataValidation>
    <dataValidation type="list" allowBlank="1" showInputMessage="1" showErrorMessage="1" sqref="K8:K107 F8:F107">
      <formula1>CMonTHCS</formula1>
    </dataValidation>
    <dataValidation type="list" allowBlank="1" showInputMessage="1" showErrorMessage="1" sqref="E8:F107">
      <formula1>"Hiệu trưởng,P.Hiệu trưởng,Giáo viên,Nhân viên"</formula1>
    </dataValidation>
  </dataValidations>
  <pageMargins left="3.937007874015748E-2" right="3.937007874015748E-2" top="0.15748031496062992" bottom="0.15748031496062992" header="0.11811023622047245" footer="0.11811023622047245"/>
  <pageSetup paperSize="9" scale="8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CC3399"/>
  </sheetPr>
  <dimension ref="A1:Q32"/>
  <sheetViews>
    <sheetView showGridLines="0" showZeros="0" workbookViewId="0">
      <selection activeCell="D11" sqref="D11"/>
    </sheetView>
  </sheetViews>
  <sheetFormatPr defaultRowHeight="15.75" x14ac:dyDescent="0.25"/>
  <cols>
    <col min="1" max="1" width="19.125" style="29" customWidth="1"/>
    <col min="2" max="8" width="8.875" style="29" customWidth="1"/>
    <col min="9" max="9" width="8.25" style="29" customWidth="1"/>
    <col min="10" max="10" width="2.375" style="29" customWidth="1"/>
    <col min="11" max="11" width="21.875" style="29" customWidth="1"/>
    <col min="12" max="12" width="9.125" style="30" customWidth="1"/>
    <col min="13" max="13" width="9.625" style="30" customWidth="1"/>
    <col min="14" max="14" width="9.375" style="30" customWidth="1"/>
    <col min="15" max="15" width="8.375" style="30" customWidth="1"/>
    <col min="16" max="16" width="8.25" style="29" customWidth="1"/>
    <col min="17" max="17" width="8.75" style="29" customWidth="1"/>
    <col min="18" max="256" width="9" style="29"/>
    <col min="257" max="257" width="15.5" style="29" customWidth="1"/>
    <col min="258" max="264" width="8.875" style="29" customWidth="1"/>
    <col min="265" max="265" width="8.25" style="29" customWidth="1"/>
    <col min="266" max="266" width="2.375" style="29" customWidth="1"/>
    <col min="267" max="267" width="23.5" style="29" customWidth="1"/>
    <col min="268" max="268" width="9.875" style="29" customWidth="1"/>
    <col min="269" max="269" width="10.125" style="29" customWidth="1"/>
    <col min="270" max="270" width="9.75" style="29" customWidth="1"/>
    <col min="271" max="271" width="9" style="29" customWidth="1"/>
    <col min="272" max="272" width="8.75" style="29" customWidth="1"/>
    <col min="273" max="273" width="10.125" style="29" customWidth="1"/>
    <col min="274" max="512" width="9" style="29"/>
    <col min="513" max="513" width="15.5" style="29" customWidth="1"/>
    <col min="514" max="520" width="8.875" style="29" customWidth="1"/>
    <col min="521" max="521" width="8.25" style="29" customWidth="1"/>
    <col min="522" max="522" width="2.375" style="29" customWidth="1"/>
    <col min="523" max="523" width="23.5" style="29" customWidth="1"/>
    <col min="524" max="524" width="9.875" style="29" customWidth="1"/>
    <col min="525" max="525" width="10.125" style="29" customWidth="1"/>
    <col min="526" max="526" width="9.75" style="29" customWidth="1"/>
    <col min="527" max="527" width="9" style="29" customWidth="1"/>
    <col min="528" max="528" width="8.75" style="29" customWidth="1"/>
    <col min="529" max="529" width="10.125" style="29" customWidth="1"/>
    <col min="530" max="768" width="9" style="29"/>
    <col min="769" max="769" width="15.5" style="29" customWidth="1"/>
    <col min="770" max="776" width="8.875" style="29" customWidth="1"/>
    <col min="777" max="777" width="8.25" style="29" customWidth="1"/>
    <col min="778" max="778" width="2.375" style="29" customWidth="1"/>
    <col min="779" max="779" width="23.5" style="29" customWidth="1"/>
    <col min="780" max="780" width="9.875" style="29" customWidth="1"/>
    <col min="781" max="781" width="10.125" style="29" customWidth="1"/>
    <col min="782" max="782" width="9.75" style="29" customWidth="1"/>
    <col min="783" max="783" width="9" style="29" customWidth="1"/>
    <col min="784" max="784" width="8.75" style="29" customWidth="1"/>
    <col min="785" max="785" width="10.125" style="29" customWidth="1"/>
    <col min="786" max="1024" width="9" style="29"/>
    <col min="1025" max="1025" width="15.5" style="29" customWidth="1"/>
    <col min="1026" max="1032" width="8.875" style="29" customWidth="1"/>
    <col min="1033" max="1033" width="8.25" style="29" customWidth="1"/>
    <col min="1034" max="1034" width="2.375" style="29" customWidth="1"/>
    <col min="1035" max="1035" width="23.5" style="29" customWidth="1"/>
    <col min="1036" max="1036" width="9.875" style="29" customWidth="1"/>
    <col min="1037" max="1037" width="10.125" style="29" customWidth="1"/>
    <col min="1038" max="1038" width="9.75" style="29" customWidth="1"/>
    <col min="1039" max="1039" width="9" style="29" customWidth="1"/>
    <col min="1040" max="1040" width="8.75" style="29" customWidth="1"/>
    <col min="1041" max="1041" width="10.125" style="29" customWidth="1"/>
    <col min="1042" max="1280" width="9" style="29"/>
    <col min="1281" max="1281" width="15.5" style="29" customWidth="1"/>
    <col min="1282" max="1288" width="8.875" style="29" customWidth="1"/>
    <col min="1289" max="1289" width="8.25" style="29" customWidth="1"/>
    <col min="1290" max="1290" width="2.375" style="29" customWidth="1"/>
    <col min="1291" max="1291" width="23.5" style="29" customWidth="1"/>
    <col min="1292" max="1292" width="9.875" style="29" customWidth="1"/>
    <col min="1293" max="1293" width="10.125" style="29" customWidth="1"/>
    <col min="1294" max="1294" width="9.75" style="29" customWidth="1"/>
    <col min="1295" max="1295" width="9" style="29" customWidth="1"/>
    <col min="1296" max="1296" width="8.75" style="29" customWidth="1"/>
    <col min="1297" max="1297" width="10.125" style="29" customWidth="1"/>
    <col min="1298" max="1536" width="9" style="29"/>
    <col min="1537" max="1537" width="15.5" style="29" customWidth="1"/>
    <col min="1538" max="1544" width="8.875" style="29" customWidth="1"/>
    <col min="1545" max="1545" width="8.25" style="29" customWidth="1"/>
    <col min="1546" max="1546" width="2.375" style="29" customWidth="1"/>
    <col min="1547" max="1547" width="23.5" style="29" customWidth="1"/>
    <col min="1548" max="1548" width="9.875" style="29" customWidth="1"/>
    <col min="1549" max="1549" width="10.125" style="29" customWidth="1"/>
    <col min="1550" max="1550" width="9.75" style="29" customWidth="1"/>
    <col min="1551" max="1551" width="9" style="29" customWidth="1"/>
    <col min="1552" max="1552" width="8.75" style="29" customWidth="1"/>
    <col min="1553" max="1553" width="10.125" style="29" customWidth="1"/>
    <col min="1554" max="1792" width="9" style="29"/>
    <col min="1793" max="1793" width="15.5" style="29" customWidth="1"/>
    <col min="1794" max="1800" width="8.875" style="29" customWidth="1"/>
    <col min="1801" max="1801" width="8.25" style="29" customWidth="1"/>
    <col min="1802" max="1802" width="2.375" style="29" customWidth="1"/>
    <col min="1803" max="1803" width="23.5" style="29" customWidth="1"/>
    <col min="1804" max="1804" width="9.875" style="29" customWidth="1"/>
    <col min="1805" max="1805" width="10.125" style="29" customWidth="1"/>
    <col min="1806" max="1806" width="9.75" style="29" customWidth="1"/>
    <col min="1807" max="1807" width="9" style="29" customWidth="1"/>
    <col min="1808" max="1808" width="8.75" style="29" customWidth="1"/>
    <col min="1809" max="1809" width="10.125" style="29" customWidth="1"/>
    <col min="1810" max="2048" width="9" style="29"/>
    <col min="2049" max="2049" width="15.5" style="29" customWidth="1"/>
    <col min="2050" max="2056" width="8.875" style="29" customWidth="1"/>
    <col min="2057" max="2057" width="8.25" style="29" customWidth="1"/>
    <col min="2058" max="2058" width="2.375" style="29" customWidth="1"/>
    <col min="2059" max="2059" width="23.5" style="29" customWidth="1"/>
    <col min="2060" max="2060" width="9.875" style="29" customWidth="1"/>
    <col min="2061" max="2061" width="10.125" style="29" customWidth="1"/>
    <col min="2062" max="2062" width="9.75" style="29" customWidth="1"/>
    <col min="2063" max="2063" width="9" style="29" customWidth="1"/>
    <col min="2064" max="2064" width="8.75" style="29" customWidth="1"/>
    <col min="2065" max="2065" width="10.125" style="29" customWidth="1"/>
    <col min="2066" max="2304" width="9" style="29"/>
    <col min="2305" max="2305" width="15.5" style="29" customWidth="1"/>
    <col min="2306" max="2312" width="8.875" style="29" customWidth="1"/>
    <col min="2313" max="2313" width="8.25" style="29" customWidth="1"/>
    <col min="2314" max="2314" width="2.375" style="29" customWidth="1"/>
    <col min="2315" max="2315" width="23.5" style="29" customWidth="1"/>
    <col min="2316" max="2316" width="9.875" style="29" customWidth="1"/>
    <col min="2317" max="2317" width="10.125" style="29" customWidth="1"/>
    <col min="2318" max="2318" width="9.75" style="29" customWidth="1"/>
    <col min="2319" max="2319" width="9" style="29" customWidth="1"/>
    <col min="2320" max="2320" width="8.75" style="29" customWidth="1"/>
    <col min="2321" max="2321" width="10.125" style="29" customWidth="1"/>
    <col min="2322" max="2560" width="9" style="29"/>
    <col min="2561" max="2561" width="15.5" style="29" customWidth="1"/>
    <col min="2562" max="2568" width="8.875" style="29" customWidth="1"/>
    <col min="2569" max="2569" width="8.25" style="29" customWidth="1"/>
    <col min="2570" max="2570" width="2.375" style="29" customWidth="1"/>
    <col min="2571" max="2571" width="23.5" style="29" customWidth="1"/>
    <col min="2572" max="2572" width="9.875" style="29" customWidth="1"/>
    <col min="2573" max="2573" width="10.125" style="29" customWidth="1"/>
    <col min="2574" max="2574" width="9.75" style="29" customWidth="1"/>
    <col min="2575" max="2575" width="9" style="29" customWidth="1"/>
    <col min="2576" max="2576" width="8.75" style="29" customWidth="1"/>
    <col min="2577" max="2577" width="10.125" style="29" customWidth="1"/>
    <col min="2578" max="2816" width="9" style="29"/>
    <col min="2817" max="2817" width="15.5" style="29" customWidth="1"/>
    <col min="2818" max="2824" width="8.875" style="29" customWidth="1"/>
    <col min="2825" max="2825" width="8.25" style="29" customWidth="1"/>
    <col min="2826" max="2826" width="2.375" style="29" customWidth="1"/>
    <col min="2827" max="2827" width="23.5" style="29" customWidth="1"/>
    <col min="2828" max="2828" width="9.875" style="29" customWidth="1"/>
    <col min="2829" max="2829" width="10.125" style="29" customWidth="1"/>
    <col min="2830" max="2830" width="9.75" style="29" customWidth="1"/>
    <col min="2831" max="2831" width="9" style="29" customWidth="1"/>
    <col min="2832" max="2832" width="8.75" style="29" customWidth="1"/>
    <col min="2833" max="2833" width="10.125" style="29" customWidth="1"/>
    <col min="2834" max="3072" width="9" style="29"/>
    <col min="3073" max="3073" width="15.5" style="29" customWidth="1"/>
    <col min="3074" max="3080" width="8.875" style="29" customWidth="1"/>
    <col min="3081" max="3081" width="8.25" style="29" customWidth="1"/>
    <col min="3082" max="3082" width="2.375" style="29" customWidth="1"/>
    <col min="3083" max="3083" width="23.5" style="29" customWidth="1"/>
    <col min="3084" max="3084" width="9.875" style="29" customWidth="1"/>
    <col min="3085" max="3085" width="10.125" style="29" customWidth="1"/>
    <col min="3086" max="3086" width="9.75" style="29" customWidth="1"/>
    <col min="3087" max="3087" width="9" style="29" customWidth="1"/>
    <col min="3088" max="3088" width="8.75" style="29" customWidth="1"/>
    <col min="3089" max="3089" width="10.125" style="29" customWidth="1"/>
    <col min="3090" max="3328" width="9" style="29"/>
    <col min="3329" max="3329" width="15.5" style="29" customWidth="1"/>
    <col min="3330" max="3336" width="8.875" style="29" customWidth="1"/>
    <col min="3337" max="3337" width="8.25" style="29" customWidth="1"/>
    <col min="3338" max="3338" width="2.375" style="29" customWidth="1"/>
    <col min="3339" max="3339" width="23.5" style="29" customWidth="1"/>
    <col min="3340" max="3340" width="9.875" style="29" customWidth="1"/>
    <col min="3341" max="3341" width="10.125" style="29" customWidth="1"/>
    <col min="3342" max="3342" width="9.75" style="29" customWidth="1"/>
    <col min="3343" max="3343" width="9" style="29" customWidth="1"/>
    <col min="3344" max="3344" width="8.75" style="29" customWidth="1"/>
    <col min="3345" max="3345" width="10.125" style="29" customWidth="1"/>
    <col min="3346" max="3584" width="9" style="29"/>
    <col min="3585" max="3585" width="15.5" style="29" customWidth="1"/>
    <col min="3586" max="3592" width="8.875" style="29" customWidth="1"/>
    <col min="3593" max="3593" width="8.25" style="29" customWidth="1"/>
    <col min="3594" max="3594" width="2.375" style="29" customWidth="1"/>
    <col min="3595" max="3595" width="23.5" style="29" customWidth="1"/>
    <col min="3596" max="3596" width="9.875" style="29" customWidth="1"/>
    <col min="3597" max="3597" width="10.125" style="29" customWidth="1"/>
    <col min="3598" max="3598" width="9.75" style="29" customWidth="1"/>
    <col min="3599" max="3599" width="9" style="29" customWidth="1"/>
    <col min="3600" max="3600" width="8.75" style="29" customWidth="1"/>
    <col min="3601" max="3601" width="10.125" style="29" customWidth="1"/>
    <col min="3602" max="3840" width="9" style="29"/>
    <col min="3841" max="3841" width="15.5" style="29" customWidth="1"/>
    <col min="3842" max="3848" width="8.875" style="29" customWidth="1"/>
    <col min="3849" max="3849" width="8.25" style="29" customWidth="1"/>
    <col min="3850" max="3850" width="2.375" style="29" customWidth="1"/>
    <col min="3851" max="3851" width="23.5" style="29" customWidth="1"/>
    <col min="3852" max="3852" width="9.875" style="29" customWidth="1"/>
    <col min="3853" max="3853" width="10.125" style="29" customWidth="1"/>
    <col min="3854" max="3854" width="9.75" style="29" customWidth="1"/>
    <col min="3855" max="3855" width="9" style="29" customWidth="1"/>
    <col min="3856" max="3856" width="8.75" style="29" customWidth="1"/>
    <col min="3857" max="3857" width="10.125" style="29" customWidth="1"/>
    <col min="3858" max="4096" width="9" style="29"/>
    <col min="4097" max="4097" width="15.5" style="29" customWidth="1"/>
    <col min="4098" max="4104" width="8.875" style="29" customWidth="1"/>
    <col min="4105" max="4105" width="8.25" style="29" customWidth="1"/>
    <col min="4106" max="4106" width="2.375" style="29" customWidth="1"/>
    <col min="4107" max="4107" width="23.5" style="29" customWidth="1"/>
    <col min="4108" max="4108" width="9.875" style="29" customWidth="1"/>
    <col min="4109" max="4109" width="10.125" style="29" customWidth="1"/>
    <col min="4110" max="4110" width="9.75" style="29" customWidth="1"/>
    <col min="4111" max="4111" width="9" style="29" customWidth="1"/>
    <col min="4112" max="4112" width="8.75" style="29" customWidth="1"/>
    <col min="4113" max="4113" width="10.125" style="29" customWidth="1"/>
    <col min="4114" max="4352" width="9" style="29"/>
    <col min="4353" max="4353" width="15.5" style="29" customWidth="1"/>
    <col min="4354" max="4360" width="8.875" style="29" customWidth="1"/>
    <col min="4361" max="4361" width="8.25" style="29" customWidth="1"/>
    <col min="4362" max="4362" width="2.375" style="29" customWidth="1"/>
    <col min="4363" max="4363" width="23.5" style="29" customWidth="1"/>
    <col min="4364" max="4364" width="9.875" style="29" customWidth="1"/>
    <col min="4365" max="4365" width="10.125" style="29" customWidth="1"/>
    <col min="4366" max="4366" width="9.75" style="29" customWidth="1"/>
    <col min="4367" max="4367" width="9" style="29" customWidth="1"/>
    <col min="4368" max="4368" width="8.75" style="29" customWidth="1"/>
    <col min="4369" max="4369" width="10.125" style="29" customWidth="1"/>
    <col min="4370" max="4608" width="9" style="29"/>
    <col min="4609" max="4609" width="15.5" style="29" customWidth="1"/>
    <col min="4610" max="4616" width="8.875" style="29" customWidth="1"/>
    <col min="4617" max="4617" width="8.25" style="29" customWidth="1"/>
    <col min="4618" max="4618" width="2.375" style="29" customWidth="1"/>
    <col min="4619" max="4619" width="23.5" style="29" customWidth="1"/>
    <col min="4620" max="4620" width="9.875" style="29" customWidth="1"/>
    <col min="4621" max="4621" width="10.125" style="29" customWidth="1"/>
    <col min="4622" max="4622" width="9.75" style="29" customWidth="1"/>
    <col min="4623" max="4623" width="9" style="29" customWidth="1"/>
    <col min="4624" max="4624" width="8.75" style="29" customWidth="1"/>
    <col min="4625" max="4625" width="10.125" style="29" customWidth="1"/>
    <col min="4626" max="4864" width="9" style="29"/>
    <col min="4865" max="4865" width="15.5" style="29" customWidth="1"/>
    <col min="4866" max="4872" width="8.875" style="29" customWidth="1"/>
    <col min="4873" max="4873" width="8.25" style="29" customWidth="1"/>
    <col min="4874" max="4874" width="2.375" style="29" customWidth="1"/>
    <col min="4875" max="4875" width="23.5" style="29" customWidth="1"/>
    <col min="4876" max="4876" width="9.875" style="29" customWidth="1"/>
    <col min="4877" max="4877" width="10.125" style="29" customWidth="1"/>
    <col min="4878" max="4878" width="9.75" style="29" customWidth="1"/>
    <col min="4879" max="4879" width="9" style="29" customWidth="1"/>
    <col min="4880" max="4880" width="8.75" style="29" customWidth="1"/>
    <col min="4881" max="4881" width="10.125" style="29" customWidth="1"/>
    <col min="4882" max="5120" width="9" style="29"/>
    <col min="5121" max="5121" width="15.5" style="29" customWidth="1"/>
    <col min="5122" max="5128" width="8.875" style="29" customWidth="1"/>
    <col min="5129" max="5129" width="8.25" style="29" customWidth="1"/>
    <col min="5130" max="5130" width="2.375" style="29" customWidth="1"/>
    <col min="5131" max="5131" width="23.5" style="29" customWidth="1"/>
    <col min="5132" max="5132" width="9.875" style="29" customWidth="1"/>
    <col min="5133" max="5133" width="10.125" style="29" customWidth="1"/>
    <col min="5134" max="5134" width="9.75" style="29" customWidth="1"/>
    <col min="5135" max="5135" width="9" style="29" customWidth="1"/>
    <col min="5136" max="5136" width="8.75" style="29" customWidth="1"/>
    <col min="5137" max="5137" width="10.125" style="29" customWidth="1"/>
    <col min="5138" max="5376" width="9" style="29"/>
    <col min="5377" max="5377" width="15.5" style="29" customWidth="1"/>
    <col min="5378" max="5384" width="8.875" style="29" customWidth="1"/>
    <col min="5385" max="5385" width="8.25" style="29" customWidth="1"/>
    <col min="5386" max="5386" width="2.375" style="29" customWidth="1"/>
    <col min="5387" max="5387" width="23.5" style="29" customWidth="1"/>
    <col min="5388" max="5388" width="9.875" style="29" customWidth="1"/>
    <col min="5389" max="5389" width="10.125" style="29" customWidth="1"/>
    <col min="5390" max="5390" width="9.75" style="29" customWidth="1"/>
    <col min="5391" max="5391" width="9" style="29" customWidth="1"/>
    <col min="5392" max="5392" width="8.75" style="29" customWidth="1"/>
    <col min="5393" max="5393" width="10.125" style="29" customWidth="1"/>
    <col min="5394" max="5632" width="9" style="29"/>
    <col min="5633" max="5633" width="15.5" style="29" customWidth="1"/>
    <col min="5634" max="5640" width="8.875" style="29" customWidth="1"/>
    <col min="5641" max="5641" width="8.25" style="29" customWidth="1"/>
    <col min="5642" max="5642" width="2.375" style="29" customWidth="1"/>
    <col min="5643" max="5643" width="23.5" style="29" customWidth="1"/>
    <col min="5644" max="5644" width="9.875" style="29" customWidth="1"/>
    <col min="5645" max="5645" width="10.125" style="29" customWidth="1"/>
    <col min="5646" max="5646" width="9.75" style="29" customWidth="1"/>
    <col min="5647" max="5647" width="9" style="29" customWidth="1"/>
    <col min="5648" max="5648" width="8.75" style="29" customWidth="1"/>
    <col min="5649" max="5649" width="10.125" style="29" customWidth="1"/>
    <col min="5650" max="5888" width="9" style="29"/>
    <col min="5889" max="5889" width="15.5" style="29" customWidth="1"/>
    <col min="5890" max="5896" width="8.875" style="29" customWidth="1"/>
    <col min="5897" max="5897" width="8.25" style="29" customWidth="1"/>
    <col min="5898" max="5898" width="2.375" style="29" customWidth="1"/>
    <col min="5899" max="5899" width="23.5" style="29" customWidth="1"/>
    <col min="5900" max="5900" width="9.875" style="29" customWidth="1"/>
    <col min="5901" max="5901" width="10.125" style="29" customWidth="1"/>
    <col min="5902" max="5902" width="9.75" style="29" customWidth="1"/>
    <col min="5903" max="5903" width="9" style="29" customWidth="1"/>
    <col min="5904" max="5904" width="8.75" style="29" customWidth="1"/>
    <col min="5905" max="5905" width="10.125" style="29" customWidth="1"/>
    <col min="5906" max="6144" width="9" style="29"/>
    <col min="6145" max="6145" width="15.5" style="29" customWidth="1"/>
    <col min="6146" max="6152" width="8.875" style="29" customWidth="1"/>
    <col min="6153" max="6153" width="8.25" style="29" customWidth="1"/>
    <col min="6154" max="6154" width="2.375" style="29" customWidth="1"/>
    <col min="6155" max="6155" width="23.5" style="29" customWidth="1"/>
    <col min="6156" max="6156" width="9.875" style="29" customWidth="1"/>
    <col min="6157" max="6157" width="10.125" style="29" customWidth="1"/>
    <col min="6158" max="6158" width="9.75" style="29" customWidth="1"/>
    <col min="6159" max="6159" width="9" style="29" customWidth="1"/>
    <col min="6160" max="6160" width="8.75" style="29" customWidth="1"/>
    <col min="6161" max="6161" width="10.125" style="29" customWidth="1"/>
    <col min="6162" max="6400" width="9" style="29"/>
    <col min="6401" max="6401" width="15.5" style="29" customWidth="1"/>
    <col min="6402" max="6408" width="8.875" style="29" customWidth="1"/>
    <col min="6409" max="6409" width="8.25" style="29" customWidth="1"/>
    <col min="6410" max="6410" width="2.375" style="29" customWidth="1"/>
    <col min="6411" max="6411" width="23.5" style="29" customWidth="1"/>
    <col min="6412" max="6412" width="9.875" style="29" customWidth="1"/>
    <col min="6413" max="6413" width="10.125" style="29" customWidth="1"/>
    <col min="6414" max="6414" width="9.75" style="29" customWidth="1"/>
    <col min="6415" max="6415" width="9" style="29" customWidth="1"/>
    <col min="6416" max="6416" width="8.75" style="29" customWidth="1"/>
    <col min="6417" max="6417" width="10.125" style="29" customWidth="1"/>
    <col min="6418" max="6656" width="9" style="29"/>
    <col min="6657" max="6657" width="15.5" style="29" customWidth="1"/>
    <col min="6658" max="6664" width="8.875" style="29" customWidth="1"/>
    <col min="6665" max="6665" width="8.25" style="29" customWidth="1"/>
    <col min="6666" max="6666" width="2.375" style="29" customWidth="1"/>
    <col min="6667" max="6667" width="23.5" style="29" customWidth="1"/>
    <col min="6668" max="6668" width="9.875" style="29" customWidth="1"/>
    <col min="6669" max="6669" width="10.125" style="29" customWidth="1"/>
    <col min="6670" max="6670" width="9.75" style="29" customWidth="1"/>
    <col min="6671" max="6671" width="9" style="29" customWidth="1"/>
    <col min="6672" max="6672" width="8.75" style="29" customWidth="1"/>
    <col min="6673" max="6673" width="10.125" style="29" customWidth="1"/>
    <col min="6674" max="6912" width="9" style="29"/>
    <col min="6913" max="6913" width="15.5" style="29" customWidth="1"/>
    <col min="6914" max="6920" width="8.875" style="29" customWidth="1"/>
    <col min="6921" max="6921" width="8.25" style="29" customWidth="1"/>
    <col min="6922" max="6922" width="2.375" style="29" customWidth="1"/>
    <col min="6923" max="6923" width="23.5" style="29" customWidth="1"/>
    <col min="6924" max="6924" width="9.875" style="29" customWidth="1"/>
    <col min="6925" max="6925" width="10.125" style="29" customWidth="1"/>
    <col min="6926" max="6926" width="9.75" style="29" customWidth="1"/>
    <col min="6927" max="6927" width="9" style="29" customWidth="1"/>
    <col min="6928" max="6928" width="8.75" style="29" customWidth="1"/>
    <col min="6929" max="6929" width="10.125" style="29" customWidth="1"/>
    <col min="6930" max="7168" width="9" style="29"/>
    <col min="7169" max="7169" width="15.5" style="29" customWidth="1"/>
    <col min="7170" max="7176" width="8.875" style="29" customWidth="1"/>
    <col min="7177" max="7177" width="8.25" style="29" customWidth="1"/>
    <col min="7178" max="7178" width="2.375" style="29" customWidth="1"/>
    <col min="7179" max="7179" width="23.5" style="29" customWidth="1"/>
    <col min="7180" max="7180" width="9.875" style="29" customWidth="1"/>
    <col min="7181" max="7181" width="10.125" style="29" customWidth="1"/>
    <col min="7182" max="7182" width="9.75" style="29" customWidth="1"/>
    <col min="7183" max="7183" width="9" style="29" customWidth="1"/>
    <col min="7184" max="7184" width="8.75" style="29" customWidth="1"/>
    <col min="7185" max="7185" width="10.125" style="29" customWidth="1"/>
    <col min="7186" max="7424" width="9" style="29"/>
    <col min="7425" max="7425" width="15.5" style="29" customWidth="1"/>
    <col min="7426" max="7432" width="8.875" style="29" customWidth="1"/>
    <col min="7433" max="7433" width="8.25" style="29" customWidth="1"/>
    <col min="7434" max="7434" width="2.375" style="29" customWidth="1"/>
    <col min="7435" max="7435" width="23.5" style="29" customWidth="1"/>
    <col min="7436" max="7436" width="9.875" style="29" customWidth="1"/>
    <col min="7437" max="7437" width="10.125" style="29" customWidth="1"/>
    <col min="7438" max="7438" width="9.75" style="29" customWidth="1"/>
    <col min="7439" max="7439" width="9" style="29" customWidth="1"/>
    <col min="7440" max="7440" width="8.75" style="29" customWidth="1"/>
    <col min="7441" max="7441" width="10.125" style="29" customWidth="1"/>
    <col min="7442" max="7680" width="9" style="29"/>
    <col min="7681" max="7681" width="15.5" style="29" customWidth="1"/>
    <col min="7682" max="7688" width="8.875" style="29" customWidth="1"/>
    <col min="7689" max="7689" width="8.25" style="29" customWidth="1"/>
    <col min="7690" max="7690" width="2.375" style="29" customWidth="1"/>
    <col min="7691" max="7691" width="23.5" style="29" customWidth="1"/>
    <col min="7692" max="7692" width="9.875" style="29" customWidth="1"/>
    <col min="7693" max="7693" width="10.125" style="29" customWidth="1"/>
    <col min="7694" max="7694" width="9.75" style="29" customWidth="1"/>
    <col min="7695" max="7695" width="9" style="29" customWidth="1"/>
    <col min="7696" max="7696" width="8.75" style="29" customWidth="1"/>
    <col min="7697" max="7697" width="10.125" style="29" customWidth="1"/>
    <col min="7698" max="7936" width="9" style="29"/>
    <col min="7937" max="7937" width="15.5" style="29" customWidth="1"/>
    <col min="7938" max="7944" width="8.875" style="29" customWidth="1"/>
    <col min="7945" max="7945" width="8.25" style="29" customWidth="1"/>
    <col min="7946" max="7946" width="2.375" style="29" customWidth="1"/>
    <col min="7947" max="7947" width="23.5" style="29" customWidth="1"/>
    <col min="7948" max="7948" width="9.875" style="29" customWidth="1"/>
    <col min="7949" max="7949" width="10.125" style="29" customWidth="1"/>
    <col min="7950" max="7950" width="9.75" style="29" customWidth="1"/>
    <col min="7951" max="7951" width="9" style="29" customWidth="1"/>
    <col min="7952" max="7952" width="8.75" style="29" customWidth="1"/>
    <col min="7953" max="7953" width="10.125" style="29" customWidth="1"/>
    <col min="7954" max="8192" width="9" style="29"/>
    <col min="8193" max="8193" width="15.5" style="29" customWidth="1"/>
    <col min="8194" max="8200" width="8.875" style="29" customWidth="1"/>
    <col min="8201" max="8201" width="8.25" style="29" customWidth="1"/>
    <col min="8202" max="8202" width="2.375" style="29" customWidth="1"/>
    <col min="8203" max="8203" width="23.5" style="29" customWidth="1"/>
    <col min="8204" max="8204" width="9.875" style="29" customWidth="1"/>
    <col min="8205" max="8205" width="10.125" style="29" customWidth="1"/>
    <col min="8206" max="8206" width="9.75" style="29" customWidth="1"/>
    <col min="8207" max="8207" width="9" style="29" customWidth="1"/>
    <col min="8208" max="8208" width="8.75" style="29" customWidth="1"/>
    <col min="8209" max="8209" width="10.125" style="29" customWidth="1"/>
    <col min="8210" max="8448" width="9" style="29"/>
    <col min="8449" max="8449" width="15.5" style="29" customWidth="1"/>
    <col min="8450" max="8456" width="8.875" style="29" customWidth="1"/>
    <col min="8457" max="8457" width="8.25" style="29" customWidth="1"/>
    <col min="8458" max="8458" width="2.375" style="29" customWidth="1"/>
    <col min="8459" max="8459" width="23.5" style="29" customWidth="1"/>
    <col min="8460" max="8460" width="9.875" style="29" customWidth="1"/>
    <col min="8461" max="8461" width="10.125" style="29" customWidth="1"/>
    <col min="8462" max="8462" width="9.75" style="29" customWidth="1"/>
    <col min="8463" max="8463" width="9" style="29" customWidth="1"/>
    <col min="8464" max="8464" width="8.75" style="29" customWidth="1"/>
    <col min="8465" max="8465" width="10.125" style="29" customWidth="1"/>
    <col min="8466" max="8704" width="9" style="29"/>
    <col min="8705" max="8705" width="15.5" style="29" customWidth="1"/>
    <col min="8706" max="8712" width="8.875" style="29" customWidth="1"/>
    <col min="8713" max="8713" width="8.25" style="29" customWidth="1"/>
    <col min="8714" max="8714" width="2.375" style="29" customWidth="1"/>
    <col min="8715" max="8715" width="23.5" style="29" customWidth="1"/>
    <col min="8716" max="8716" width="9.875" style="29" customWidth="1"/>
    <col min="8717" max="8717" width="10.125" style="29" customWidth="1"/>
    <col min="8718" max="8718" width="9.75" style="29" customWidth="1"/>
    <col min="8719" max="8719" width="9" style="29" customWidth="1"/>
    <col min="8720" max="8720" width="8.75" style="29" customWidth="1"/>
    <col min="8721" max="8721" width="10.125" style="29" customWidth="1"/>
    <col min="8722" max="8960" width="9" style="29"/>
    <col min="8961" max="8961" width="15.5" style="29" customWidth="1"/>
    <col min="8962" max="8968" width="8.875" style="29" customWidth="1"/>
    <col min="8969" max="8969" width="8.25" style="29" customWidth="1"/>
    <col min="8970" max="8970" width="2.375" style="29" customWidth="1"/>
    <col min="8971" max="8971" width="23.5" style="29" customWidth="1"/>
    <col min="8972" max="8972" width="9.875" style="29" customWidth="1"/>
    <col min="8973" max="8973" width="10.125" style="29" customWidth="1"/>
    <col min="8974" max="8974" width="9.75" style="29" customWidth="1"/>
    <col min="8975" max="8975" width="9" style="29" customWidth="1"/>
    <col min="8976" max="8976" width="8.75" style="29" customWidth="1"/>
    <col min="8977" max="8977" width="10.125" style="29" customWidth="1"/>
    <col min="8978" max="9216" width="9" style="29"/>
    <col min="9217" max="9217" width="15.5" style="29" customWidth="1"/>
    <col min="9218" max="9224" width="8.875" style="29" customWidth="1"/>
    <col min="9225" max="9225" width="8.25" style="29" customWidth="1"/>
    <col min="9226" max="9226" width="2.375" style="29" customWidth="1"/>
    <col min="9227" max="9227" width="23.5" style="29" customWidth="1"/>
    <col min="9228" max="9228" width="9.875" style="29" customWidth="1"/>
    <col min="9229" max="9229" width="10.125" style="29" customWidth="1"/>
    <col min="9230" max="9230" width="9.75" style="29" customWidth="1"/>
    <col min="9231" max="9231" width="9" style="29" customWidth="1"/>
    <col min="9232" max="9232" width="8.75" style="29" customWidth="1"/>
    <col min="9233" max="9233" width="10.125" style="29" customWidth="1"/>
    <col min="9234" max="9472" width="9" style="29"/>
    <col min="9473" max="9473" width="15.5" style="29" customWidth="1"/>
    <col min="9474" max="9480" width="8.875" style="29" customWidth="1"/>
    <col min="9481" max="9481" width="8.25" style="29" customWidth="1"/>
    <col min="9482" max="9482" width="2.375" style="29" customWidth="1"/>
    <col min="9483" max="9483" width="23.5" style="29" customWidth="1"/>
    <col min="9484" max="9484" width="9.875" style="29" customWidth="1"/>
    <col min="9485" max="9485" width="10.125" style="29" customWidth="1"/>
    <col min="9486" max="9486" width="9.75" style="29" customWidth="1"/>
    <col min="9487" max="9487" width="9" style="29" customWidth="1"/>
    <col min="9488" max="9488" width="8.75" style="29" customWidth="1"/>
    <col min="9489" max="9489" width="10.125" style="29" customWidth="1"/>
    <col min="9490" max="9728" width="9" style="29"/>
    <col min="9729" max="9729" width="15.5" style="29" customWidth="1"/>
    <col min="9730" max="9736" width="8.875" style="29" customWidth="1"/>
    <col min="9737" max="9737" width="8.25" style="29" customWidth="1"/>
    <col min="9738" max="9738" width="2.375" style="29" customWidth="1"/>
    <col min="9739" max="9739" width="23.5" style="29" customWidth="1"/>
    <col min="9740" max="9740" width="9.875" style="29" customWidth="1"/>
    <col min="9741" max="9741" width="10.125" style="29" customWidth="1"/>
    <col min="9742" max="9742" width="9.75" style="29" customWidth="1"/>
    <col min="9743" max="9743" width="9" style="29" customWidth="1"/>
    <col min="9744" max="9744" width="8.75" style="29" customWidth="1"/>
    <col min="9745" max="9745" width="10.125" style="29" customWidth="1"/>
    <col min="9746" max="9984" width="9" style="29"/>
    <col min="9985" max="9985" width="15.5" style="29" customWidth="1"/>
    <col min="9986" max="9992" width="8.875" style="29" customWidth="1"/>
    <col min="9993" max="9993" width="8.25" style="29" customWidth="1"/>
    <col min="9994" max="9994" width="2.375" style="29" customWidth="1"/>
    <col min="9995" max="9995" width="23.5" style="29" customWidth="1"/>
    <col min="9996" max="9996" width="9.875" style="29" customWidth="1"/>
    <col min="9997" max="9997" width="10.125" style="29" customWidth="1"/>
    <col min="9998" max="9998" width="9.75" style="29" customWidth="1"/>
    <col min="9999" max="9999" width="9" style="29" customWidth="1"/>
    <col min="10000" max="10000" width="8.75" style="29" customWidth="1"/>
    <col min="10001" max="10001" width="10.125" style="29" customWidth="1"/>
    <col min="10002" max="10240" width="9" style="29"/>
    <col min="10241" max="10241" width="15.5" style="29" customWidth="1"/>
    <col min="10242" max="10248" width="8.875" style="29" customWidth="1"/>
    <col min="10249" max="10249" width="8.25" style="29" customWidth="1"/>
    <col min="10250" max="10250" width="2.375" style="29" customWidth="1"/>
    <col min="10251" max="10251" width="23.5" style="29" customWidth="1"/>
    <col min="10252" max="10252" width="9.875" style="29" customWidth="1"/>
    <col min="10253" max="10253" width="10.125" style="29" customWidth="1"/>
    <col min="10254" max="10254" width="9.75" style="29" customWidth="1"/>
    <col min="10255" max="10255" width="9" style="29" customWidth="1"/>
    <col min="10256" max="10256" width="8.75" style="29" customWidth="1"/>
    <col min="10257" max="10257" width="10.125" style="29" customWidth="1"/>
    <col min="10258" max="10496" width="9" style="29"/>
    <col min="10497" max="10497" width="15.5" style="29" customWidth="1"/>
    <col min="10498" max="10504" width="8.875" style="29" customWidth="1"/>
    <col min="10505" max="10505" width="8.25" style="29" customWidth="1"/>
    <col min="10506" max="10506" width="2.375" style="29" customWidth="1"/>
    <col min="10507" max="10507" width="23.5" style="29" customWidth="1"/>
    <col min="10508" max="10508" width="9.875" style="29" customWidth="1"/>
    <col min="10509" max="10509" width="10.125" style="29" customWidth="1"/>
    <col min="10510" max="10510" width="9.75" style="29" customWidth="1"/>
    <col min="10511" max="10511" width="9" style="29" customWidth="1"/>
    <col min="10512" max="10512" width="8.75" style="29" customWidth="1"/>
    <col min="10513" max="10513" width="10.125" style="29" customWidth="1"/>
    <col min="10514" max="10752" width="9" style="29"/>
    <col min="10753" max="10753" width="15.5" style="29" customWidth="1"/>
    <col min="10754" max="10760" width="8.875" style="29" customWidth="1"/>
    <col min="10761" max="10761" width="8.25" style="29" customWidth="1"/>
    <col min="10762" max="10762" width="2.375" style="29" customWidth="1"/>
    <col min="10763" max="10763" width="23.5" style="29" customWidth="1"/>
    <col min="10764" max="10764" width="9.875" style="29" customWidth="1"/>
    <col min="10765" max="10765" width="10.125" style="29" customWidth="1"/>
    <col min="10766" max="10766" width="9.75" style="29" customWidth="1"/>
    <col min="10767" max="10767" width="9" style="29" customWidth="1"/>
    <col min="10768" max="10768" width="8.75" style="29" customWidth="1"/>
    <col min="10769" max="10769" width="10.125" style="29" customWidth="1"/>
    <col min="10770" max="11008" width="9" style="29"/>
    <col min="11009" max="11009" width="15.5" style="29" customWidth="1"/>
    <col min="11010" max="11016" width="8.875" style="29" customWidth="1"/>
    <col min="11017" max="11017" width="8.25" style="29" customWidth="1"/>
    <col min="11018" max="11018" width="2.375" style="29" customWidth="1"/>
    <col min="11019" max="11019" width="23.5" style="29" customWidth="1"/>
    <col min="11020" max="11020" width="9.875" style="29" customWidth="1"/>
    <col min="11021" max="11021" width="10.125" style="29" customWidth="1"/>
    <col min="11022" max="11022" width="9.75" style="29" customWidth="1"/>
    <col min="11023" max="11023" width="9" style="29" customWidth="1"/>
    <col min="11024" max="11024" width="8.75" style="29" customWidth="1"/>
    <col min="11025" max="11025" width="10.125" style="29" customWidth="1"/>
    <col min="11026" max="11264" width="9" style="29"/>
    <col min="11265" max="11265" width="15.5" style="29" customWidth="1"/>
    <col min="11266" max="11272" width="8.875" style="29" customWidth="1"/>
    <col min="11273" max="11273" width="8.25" style="29" customWidth="1"/>
    <col min="11274" max="11274" width="2.375" style="29" customWidth="1"/>
    <col min="11275" max="11275" width="23.5" style="29" customWidth="1"/>
    <col min="11276" max="11276" width="9.875" style="29" customWidth="1"/>
    <col min="11277" max="11277" width="10.125" style="29" customWidth="1"/>
    <col min="11278" max="11278" width="9.75" style="29" customWidth="1"/>
    <col min="11279" max="11279" width="9" style="29" customWidth="1"/>
    <col min="11280" max="11280" width="8.75" style="29" customWidth="1"/>
    <col min="11281" max="11281" width="10.125" style="29" customWidth="1"/>
    <col min="11282" max="11520" width="9" style="29"/>
    <col min="11521" max="11521" width="15.5" style="29" customWidth="1"/>
    <col min="11522" max="11528" width="8.875" style="29" customWidth="1"/>
    <col min="11529" max="11529" width="8.25" style="29" customWidth="1"/>
    <col min="11530" max="11530" width="2.375" style="29" customWidth="1"/>
    <col min="11531" max="11531" width="23.5" style="29" customWidth="1"/>
    <col min="11532" max="11532" width="9.875" style="29" customWidth="1"/>
    <col min="11533" max="11533" width="10.125" style="29" customWidth="1"/>
    <col min="11534" max="11534" width="9.75" style="29" customWidth="1"/>
    <col min="11535" max="11535" width="9" style="29" customWidth="1"/>
    <col min="11536" max="11536" width="8.75" style="29" customWidth="1"/>
    <col min="11537" max="11537" width="10.125" style="29" customWidth="1"/>
    <col min="11538" max="11776" width="9" style="29"/>
    <col min="11777" max="11777" width="15.5" style="29" customWidth="1"/>
    <col min="11778" max="11784" width="8.875" style="29" customWidth="1"/>
    <col min="11785" max="11785" width="8.25" style="29" customWidth="1"/>
    <col min="11786" max="11786" width="2.375" style="29" customWidth="1"/>
    <col min="11787" max="11787" width="23.5" style="29" customWidth="1"/>
    <col min="11788" max="11788" width="9.875" style="29" customWidth="1"/>
    <col min="11789" max="11789" width="10.125" style="29" customWidth="1"/>
    <col min="11790" max="11790" width="9.75" style="29" customWidth="1"/>
    <col min="11791" max="11791" width="9" style="29" customWidth="1"/>
    <col min="11792" max="11792" width="8.75" style="29" customWidth="1"/>
    <col min="11793" max="11793" width="10.125" style="29" customWidth="1"/>
    <col min="11794" max="12032" width="9" style="29"/>
    <col min="12033" max="12033" width="15.5" style="29" customWidth="1"/>
    <col min="12034" max="12040" width="8.875" style="29" customWidth="1"/>
    <col min="12041" max="12041" width="8.25" style="29" customWidth="1"/>
    <col min="12042" max="12042" width="2.375" style="29" customWidth="1"/>
    <col min="12043" max="12043" width="23.5" style="29" customWidth="1"/>
    <col min="12044" max="12044" width="9.875" style="29" customWidth="1"/>
    <col min="12045" max="12045" width="10.125" style="29" customWidth="1"/>
    <col min="12046" max="12046" width="9.75" style="29" customWidth="1"/>
    <col min="12047" max="12047" width="9" style="29" customWidth="1"/>
    <col min="12048" max="12048" width="8.75" style="29" customWidth="1"/>
    <col min="12049" max="12049" width="10.125" style="29" customWidth="1"/>
    <col min="12050" max="12288" width="9" style="29"/>
    <col min="12289" max="12289" width="15.5" style="29" customWidth="1"/>
    <col min="12290" max="12296" width="8.875" style="29" customWidth="1"/>
    <col min="12297" max="12297" width="8.25" style="29" customWidth="1"/>
    <col min="12298" max="12298" width="2.375" style="29" customWidth="1"/>
    <col min="12299" max="12299" width="23.5" style="29" customWidth="1"/>
    <col min="12300" max="12300" width="9.875" style="29" customWidth="1"/>
    <col min="12301" max="12301" width="10.125" style="29" customWidth="1"/>
    <col min="12302" max="12302" width="9.75" style="29" customWidth="1"/>
    <col min="12303" max="12303" width="9" style="29" customWidth="1"/>
    <col min="12304" max="12304" width="8.75" style="29" customWidth="1"/>
    <col min="12305" max="12305" width="10.125" style="29" customWidth="1"/>
    <col min="12306" max="12544" width="9" style="29"/>
    <col min="12545" max="12545" width="15.5" style="29" customWidth="1"/>
    <col min="12546" max="12552" width="8.875" style="29" customWidth="1"/>
    <col min="12553" max="12553" width="8.25" style="29" customWidth="1"/>
    <col min="12554" max="12554" width="2.375" style="29" customWidth="1"/>
    <col min="12555" max="12555" width="23.5" style="29" customWidth="1"/>
    <col min="12556" max="12556" width="9.875" style="29" customWidth="1"/>
    <col min="12557" max="12557" width="10.125" style="29" customWidth="1"/>
    <col min="12558" max="12558" width="9.75" style="29" customWidth="1"/>
    <col min="12559" max="12559" width="9" style="29" customWidth="1"/>
    <col min="12560" max="12560" width="8.75" style="29" customWidth="1"/>
    <col min="12561" max="12561" width="10.125" style="29" customWidth="1"/>
    <col min="12562" max="12800" width="9" style="29"/>
    <col min="12801" max="12801" width="15.5" style="29" customWidth="1"/>
    <col min="12802" max="12808" width="8.875" style="29" customWidth="1"/>
    <col min="12809" max="12809" width="8.25" style="29" customWidth="1"/>
    <col min="12810" max="12810" width="2.375" style="29" customWidth="1"/>
    <col min="12811" max="12811" width="23.5" style="29" customWidth="1"/>
    <col min="12812" max="12812" width="9.875" style="29" customWidth="1"/>
    <col min="12813" max="12813" width="10.125" style="29" customWidth="1"/>
    <col min="12814" max="12814" width="9.75" style="29" customWidth="1"/>
    <col min="12815" max="12815" width="9" style="29" customWidth="1"/>
    <col min="12816" max="12816" width="8.75" style="29" customWidth="1"/>
    <col min="12817" max="12817" width="10.125" style="29" customWidth="1"/>
    <col min="12818" max="13056" width="9" style="29"/>
    <col min="13057" max="13057" width="15.5" style="29" customWidth="1"/>
    <col min="13058" max="13064" width="8.875" style="29" customWidth="1"/>
    <col min="13065" max="13065" width="8.25" style="29" customWidth="1"/>
    <col min="13066" max="13066" width="2.375" style="29" customWidth="1"/>
    <col min="13067" max="13067" width="23.5" style="29" customWidth="1"/>
    <col min="13068" max="13068" width="9.875" style="29" customWidth="1"/>
    <col min="13069" max="13069" width="10.125" style="29" customWidth="1"/>
    <col min="13070" max="13070" width="9.75" style="29" customWidth="1"/>
    <col min="13071" max="13071" width="9" style="29" customWidth="1"/>
    <col min="13072" max="13072" width="8.75" style="29" customWidth="1"/>
    <col min="13073" max="13073" width="10.125" style="29" customWidth="1"/>
    <col min="13074" max="13312" width="9" style="29"/>
    <col min="13313" max="13313" width="15.5" style="29" customWidth="1"/>
    <col min="13314" max="13320" width="8.875" style="29" customWidth="1"/>
    <col min="13321" max="13321" width="8.25" style="29" customWidth="1"/>
    <col min="13322" max="13322" width="2.375" style="29" customWidth="1"/>
    <col min="13323" max="13323" width="23.5" style="29" customWidth="1"/>
    <col min="13324" max="13324" width="9.875" style="29" customWidth="1"/>
    <col min="13325" max="13325" width="10.125" style="29" customWidth="1"/>
    <col min="13326" max="13326" width="9.75" style="29" customWidth="1"/>
    <col min="13327" max="13327" width="9" style="29" customWidth="1"/>
    <col min="13328" max="13328" width="8.75" style="29" customWidth="1"/>
    <col min="13329" max="13329" width="10.125" style="29" customWidth="1"/>
    <col min="13330" max="13568" width="9" style="29"/>
    <col min="13569" max="13569" width="15.5" style="29" customWidth="1"/>
    <col min="13570" max="13576" width="8.875" style="29" customWidth="1"/>
    <col min="13577" max="13577" width="8.25" style="29" customWidth="1"/>
    <col min="13578" max="13578" width="2.375" style="29" customWidth="1"/>
    <col min="13579" max="13579" width="23.5" style="29" customWidth="1"/>
    <col min="13580" max="13580" width="9.875" style="29" customWidth="1"/>
    <col min="13581" max="13581" width="10.125" style="29" customWidth="1"/>
    <col min="13582" max="13582" width="9.75" style="29" customWidth="1"/>
    <col min="13583" max="13583" width="9" style="29" customWidth="1"/>
    <col min="13584" max="13584" width="8.75" style="29" customWidth="1"/>
    <col min="13585" max="13585" width="10.125" style="29" customWidth="1"/>
    <col min="13586" max="13824" width="9" style="29"/>
    <col min="13825" max="13825" width="15.5" style="29" customWidth="1"/>
    <col min="13826" max="13832" width="8.875" style="29" customWidth="1"/>
    <col min="13833" max="13833" width="8.25" style="29" customWidth="1"/>
    <col min="13834" max="13834" width="2.375" style="29" customWidth="1"/>
    <col min="13835" max="13835" width="23.5" style="29" customWidth="1"/>
    <col min="13836" max="13836" width="9.875" style="29" customWidth="1"/>
    <col min="13837" max="13837" width="10.125" style="29" customWidth="1"/>
    <col min="13838" max="13838" width="9.75" style="29" customWidth="1"/>
    <col min="13839" max="13839" width="9" style="29" customWidth="1"/>
    <col min="13840" max="13840" width="8.75" style="29" customWidth="1"/>
    <col min="13841" max="13841" width="10.125" style="29" customWidth="1"/>
    <col min="13842" max="14080" width="9" style="29"/>
    <col min="14081" max="14081" width="15.5" style="29" customWidth="1"/>
    <col min="14082" max="14088" width="8.875" style="29" customWidth="1"/>
    <col min="14089" max="14089" width="8.25" style="29" customWidth="1"/>
    <col min="14090" max="14090" width="2.375" style="29" customWidth="1"/>
    <col min="14091" max="14091" width="23.5" style="29" customWidth="1"/>
    <col min="14092" max="14092" width="9.875" style="29" customWidth="1"/>
    <col min="14093" max="14093" width="10.125" style="29" customWidth="1"/>
    <col min="14094" max="14094" width="9.75" style="29" customWidth="1"/>
    <col min="14095" max="14095" width="9" style="29" customWidth="1"/>
    <col min="14096" max="14096" width="8.75" style="29" customWidth="1"/>
    <col min="14097" max="14097" width="10.125" style="29" customWidth="1"/>
    <col min="14098" max="14336" width="9" style="29"/>
    <col min="14337" max="14337" width="15.5" style="29" customWidth="1"/>
    <col min="14338" max="14344" width="8.875" style="29" customWidth="1"/>
    <col min="14345" max="14345" width="8.25" style="29" customWidth="1"/>
    <col min="14346" max="14346" width="2.375" style="29" customWidth="1"/>
    <col min="14347" max="14347" width="23.5" style="29" customWidth="1"/>
    <col min="14348" max="14348" width="9.875" style="29" customWidth="1"/>
    <col min="14349" max="14349" width="10.125" style="29" customWidth="1"/>
    <col min="14350" max="14350" width="9.75" style="29" customWidth="1"/>
    <col min="14351" max="14351" width="9" style="29" customWidth="1"/>
    <col min="14352" max="14352" width="8.75" style="29" customWidth="1"/>
    <col min="14353" max="14353" width="10.125" style="29" customWidth="1"/>
    <col min="14354" max="14592" width="9" style="29"/>
    <col min="14593" max="14593" width="15.5" style="29" customWidth="1"/>
    <col min="14594" max="14600" width="8.875" style="29" customWidth="1"/>
    <col min="14601" max="14601" width="8.25" style="29" customWidth="1"/>
    <col min="14602" max="14602" width="2.375" style="29" customWidth="1"/>
    <col min="14603" max="14603" width="23.5" style="29" customWidth="1"/>
    <col min="14604" max="14604" width="9.875" style="29" customWidth="1"/>
    <col min="14605" max="14605" width="10.125" style="29" customWidth="1"/>
    <col min="14606" max="14606" width="9.75" style="29" customWidth="1"/>
    <col min="14607" max="14607" width="9" style="29" customWidth="1"/>
    <col min="14608" max="14608" width="8.75" style="29" customWidth="1"/>
    <col min="14609" max="14609" width="10.125" style="29" customWidth="1"/>
    <col min="14610" max="14848" width="9" style="29"/>
    <col min="14849" max="14849" width="15.5" style="29" customWidth="1"/>
    <col min="14850" max="14856" width="8.875" style="29" customWidth="1"/>
    <col min="14857" max="14857" width="8.25" style="29" customWidth="1"/>
    <col min="14858" max="14858" width="2.375" style="29" customWidth="1"/>
    <col min="14859" max="14859" width="23.5" style="29" customWidth="1"/>
    <col min="14860" max="14860" width="9.875" style="29" customWidth="1"/>
    <col min="14861" max="14861" width="10.125" style="29" customWidth="1"/>
    <col min="14862" max="14862" width="9.75" style="29" customWidth="1"/>
    <col min="14863" max="14863" width="9" style="29" customWidth="1"/>
    <col min="14864" max="14864" width="8.75" style="29" customWidth="1"/>
    <col min="14865" max="14865" width="10.125" style="29" customWidth="1"/>
    <col min="14866" max="15104" width="9" style="29"/>
    <col min="15105" max="15105" width="15.5" style="29" customWidth="1"/>
    <col min="15106" max="15112" width="8.875" style="29" customWidth="1"/>
    <col min="15113" max="15113" width="8.25" style="29" customWidth="1"/>
    <col min="15114" max="15114" width="2.375" style="29" customWidth="1"/>
    <col min="15115" max="15115" width="23.5" style="29" customWidth="1"/>
    <col min="15116" max="15116" width="9.875" style="29" customWidth="1"/>
    <col min="15117" max="15117" width="10.125" style="29" customWidth="1"/>
    <col min="15118" max="15118" width="9.75" style="29" customWidth="1"/>
    <col min="15119" max="15119" width="9" style="29" customWidth="1"/>
    <col min="15120" max="15120" width="8.75" style="29" customWidth="1"/>
    <col min="15121" max="15121" width="10.125" style="29" customWidth="1"/>
    <col min="15122" max="15360" width="9" style="29"/>
    <col min="15361" max="15361" width="15.5" style="29" customWidth="1"/>
    <col min="15362" max="15368" width="8.875" style="29" customWidth="1"/>
    <col min="15369" max="15369" width="8.25" style="29" customWidth="1"/>
    <col min="15370" max="15370" width="2.375" style="29" customWidth="1"/>
    <col min="15371" max="15371" width="23.5" style="29" customWidth="1"/>
    <col min="15372" max="15372" width="9.875" style="29" customWidth="1"/>
    <col min="15373" max="15373" width="10.125" style="29" customWidth="1"/>
    <col min="15374" max="15374" width="9.75" style="29" customWidth="1"/>
    <col min="15375" max="15375" width="9" style="29" customWidth="1"/>
    <col min="15376" max="15376" width="8.75" style="29" customWidth="1"/>
    <col min="15377" max="15377" width="10.125" style="29" customWidth="1"/>
    <col min="15378" max="15616" width="9" style="29"/>
    <col min="15617" max="15617" width="15.5" style="29" customWidth="1"/>
    <col min="15618" max="15624" width="8.875" style="29" customWidth="1"/>
    <col min="15625" max="15625" width="8.25" style="29" customWidth="1"/>
    <col min="15626" max="15626" width="2.375" style="29" customWidth="1"/>
    <col min="15627" max="15627" width="23.5" style="29" customWidth="1"/>
    <col min="15628" max="15628" width="9.875" style="29" customWidth="1"/>
    <col min="15629" max="15629" width="10.125" style="29" customWidth="1"/>
    <col min="15630" max="15630" width="9.75" style="29" customWidth="1"/>
    <col min="15631" max="15631" width="9" style="29" customWidth="1"/>
    <col min="15632" max="15632" width="8.75" style="29" customWidth="1"/>
    <col min="15633" max="15633" width="10.125" style="29" customWidth="1"/>
    <col min="15634" max="15872" width="9" style="29"/>
    <col min="15873" max="15873" width="15.5" style="29" customWidth="1"/>
    <col min="15874" max="15880" width="8.875" style="29" customWidth="1"/>
    <col min="15881" max="15881" width="8.25" style="29" customWidth="1"/>
    <col min="15882" max="15882" width="2.375" style="29" customWidth="1"/>
    <col min="15883" max="15883" width="23.5" style="29" customWidth="1"/>
    <col min="15884" max="15884" width="9.875" style="29" customWidth="1"/>
    <col min="15885" max="15885" width="10.125" style="29" customWidth="1"/>
    <col min="15886" max="15886" width="9.75" style="29" customWidth="1"/>
    <col min="15887" max="15887" width="9" style="29" customWidth="1"/>
    <col min="15888" max="15888" width="8.75" style="29" customWidth="1"/>
    <col min="15889" max="15889" width="10.125" style="29" customWidth="1"/>
    <col min="15890" max="16128" width="9" style="29"/>
    <col min="16129" max="16129" width="15.5" style="29" customWidth="1"/>
    <col min="16130" max="16136" width="8.875" style="29" customWidth="1"/>
    <col min="16137" max="16137" width="8.25" style="29" customWidth="1"/>
    <col min="16138" max="16138" width="2.375" style="29" customWidth="1"/>
    <col min="16139" max="16139" width="23.5" style="29" customWidth="1"/>
    <col min="16140" max="16140" width="9.875" style="29" customWidth="1"/>
    <col min="16141" max="16141" width="10.125" style="29" customWidth="1"/>
    <col min="16142" max="16142" width="9.75" style="29" customWidth="1"/>
    <col min="16143" max="16143" width="9" style="29" customWidth="1"/>
    <col min="16144" max="16144" width="8.75" style="29" customWidth="1"/>
    <col min="16145" max="16145" width="10.125" style="29" customWidth="1"/>
    <col min="16146" max="16384" width="9" style="29"/>
  </cols>
  <sheetData>
    <row r="1" spans="1:17" x14ac:dyDescent="0.25">
      <c r="A1" s="808" t="str">
        <f>Chinh!A1</f>
        <v>UBND PHƯỜNG CAM LINH</v>
      </c>
      <c r="B1" s="808"/>
      <c r="C1" s="808"/>
      <c r="D1" s="808"/>
    </row>
    <row r="2" spans="1:17" x14ac:dyDescent="0.25">
      <c r="A2" s="618" t="str">
        <f>IF(Chinh!D9&lt;&gt;"",Chinh!A2,"")</f>
        <v/>
      </c>
      <c r="B2" s="618"/>
      <c r="C2" s="618"/>
      <c r="D2" s="618"/>
      <c r="K2" s="619" t="str">
        <f>IF(Q19="Nhập liệu!","Nhập số trẻ HTCTMN 5 Tuổi và tiếp tục học Tiểu học!",IF(Q19="er","Còn lỗi!","Hoàn thành!"))</f>
        <v>Nhập số trẻ HTCTMN 5 Tuổi và tiếp tục học Tiểu học!</v>
      </c>
      <c r="L2" s="619"/>
      <c r="M2" s="619"/>
      <c r="N2" s="619"/>
      <c r="O2" s="619"/>
      <c r="P2" s="619"/>
    </row>
    <row r="3" spans="1:17" ht="22.5" customHeight="1" x14ac:dyDescent="0.25">
      <c r="A3" s="31" t="str">
        <f>"THỐNG KÊ ĐỘ TUỔI HỌC SINH TOÀN TRƯỜNG THEO XÃ,PHƯỜNG "&amp;"NĂM HỌC "&amp;Chinh!H5</f>
        <v>THỐNG KÊ ĐỘ TUỔI HỌC SINH TOÀN TRƯỜNG THEO XÃ,PHƯỜNG NĂM HỌC 2025-2026</v>
      </c>
      <c r="K3" s="32" t="s">
        <v>234</v>
      </c>
    </row>
    <row r="4" spans="1:17" ht="12.75" customHeight="1" x14ac:dyDescent="0.25"/>
    <row r="5" spans="1:17" ht="36" customHeight="1" x14ac:dyDescent="0.25">
      <c r="A5" s="33" t="s">
        <v>235</v>
      </c>
      <c r="B5" s="34">
        <f>IF(Chinh!$Q$4="","",Chinh!$Q$4-TuoiMN!B6)</f>
        <v>2025</v>
      </c>
      <c r="C5" s="34">
        <f>IF(Chinh!$Q$4="","",Chinh!$Q$4-TuoiMN!C6)</f>
        <v>2024</v>
      </c>
      <c r="D5" s="34">
        <f>IF(Chinh!$Q$4="","",Chinh!$Q$4-TuoiMN!D6)</f>
        <v>2023</v>
      </c>
      <c r="E5" s="34">
        <f>IF(Chinh!$Q$4="","",Chinh!$Q$4-TuoiMN!E6)</f>
        <v>2022</v>
      </c>
      <c r="F5" s="34">
        <f>IF(Chinh!$Q$4="","",Chinh!$Q$4-TuoiMN!F6)</f>
        <v>2021</v>
      </c>
      <c r="G5" s="34">
        <f>IF(Chinh!$Q$4="","",Chinh!$Q$4-TuoiMN!G6)</f>
        <v>2020</v>
      </c>
      <c r="H5" s="34">
        <f>IF(Chinh!$Q$4="","",Chinh!$Q$4-TuoiMN!H6)</f>
        <v>2019</v>
      </c>
      <c r="I5" s="620" t="s">
        <v>236</v>
      </c>
      <c r="K5" s="35"/>
      <c r="L5" s="36" t="str">
        <f>"Lớp dưới 13 tháng"</f>
        <v>Lớp dưới 13 tháng</v>
      </c>
      <c r="M5" s="36" t="str">
        <f>"Lớp 13-24 tháng"</f>
        <v>Lớp 13-24 tháng</v>
      </c>
      <c r="N5" s="36" t="str">
        <f>"Lớp 25-36 tháng"</f>
        <v>Lớp 25-36 tháng</v>
      </c>
      <c r="O5" s="37" t="str">
        <f>"Lớp 3-4  tuổi"</f>
        <v>Lớp 3-4  tuổi</v>
      </c>
      <c r="P5" s="37" t="str">
        <f>"Lớp 4-5 tuổi"</f>
        <v>Lớp 4-5 tuổi</v>
      </c>
      <c r="Q5" s="37" t="str">
        <f>"Lớp 5-6 tuổi"</f>
        <v>Lớp 5-6 tuổi</v>
      </c>
    </row>
    <row r="6" spans="1:17" x14ac:dyDescent="0.25">
      <c r="A6" s="38" t="s">
        <v>237</v>
      </c>
      <c r="B6" s="39">
        <f>0</f>
        <v>0</v>
      </c>
      <c r="C6" s="39">
        <f>1</f>
        <v>1</v>
      </c>
      <c r="D6" s="39">
        <f>2</f>
        <v>2</v>
      </c>
      <c r="E6" s="39">
        <f>3</f>
        <v>3</v>
      </c>
      <c r="F6" s="39">
        <f>4</f>
        <v>4</v>
      </c>
      <c r="G6" s="39">
        <f>5</f>
        <v>5</v>
      </c>
      <c r="H6" s="39">
        <f>6</f>
        <v>6</v>
      </c>
      <c r="I6" s="620"/>
      <c r="K6" s="40" t="str">
        <f>"Số cháu của trường:  " &amp; SUM(L6:Q6)</f>
        <v>Số cháu của trường:  5</v>
      </c>
      <c r="L6" s="41">
        <f t="shared" ref="L6:Q6" si="0">SUM(L7:L16)</f>
        <v>0</v>
      </c>
      <c r="M6" s="41">
        <f t="shared" si="0"/>
        <v>0</v>
      </c>
      <c r="N6" s="41">
        <f t="shared" si="0"/>
        <v>1</v>
      </c>
      <c r="O6" s="41">
        <f t="shared" si="0"/>
        <v>1</v>
      </c>
      <c r="P6" s="41">
        <f t="shared" si="0"/>
        <v>1</v>
      </c>
      <c r="Q6" s="41">
        <f t="shared" si="0"/>
        <v>2</v>
      </c>
    </row>
    <row r="7" spans="1:17" x14ac:dyDescent="0.25">
      <c r="A7" s="38" t="s">
        <v>238</v>
      </c>
      <c r="B7" s="42">
        <f>B14+B18+B22+B25+B30+B31+B32</f>
        <v>0</v>
      </c>
      <c r="C7" s="42">
        <f t="shared" ref="C7:H7" si="1">C14+C18+C22+C25+C30+C31+C32</f>
        <v>0</v>
      </c>
      <c r="D7" s="42">
        <f t="shared" si="1"/>
        <v>1</v>
      </c>
      <c r="E7" s="42">
        <f t="shared" si="1"/>
        <v>1</v>
      </c>
      <c r="F7" s="42">
        <f t="shared" si="1"/>
        <v>1</v>
      </c>
      <c r="G7" s="42">
        <f t="shared" si="1"/>
        <v>2</v>
      </c>
      <c r="H7" s="42">
        <f t="shared" si="1"/>
        <v>0</v>
      </c>
      <c r="I7" s="790">
        <f>IF(SUM(B7:H7)=(I14+I18+I25+I30+I22+I31+I32),SUM(B7:H7),"er")</f>
        <v>5</v>
      </c>
      <c r="K7" s="43">
        <f>B6</f>
        <v>0</v>
      </c>
      <c r="L7" s="44">
        <f>SUMPRODUCT(--(MN!$W$6:$W$15000=0),--(MN!$B$6:$B$15000="Dưới 13 tháng"))</f>
        <v>0</v>
      </c>
      <c r="M7" s="44">
        <f>SUMPRODUCT(--(MN!$W$6:$W$15000=0),--(MN!$B$6:$B$15000="13-24 tháng"))</f>
        <v>0</v>
      </c>
      <c r="N7" s="44">
        <f>SUMPRODUCT(--(MN!$W$6:$W$15000=0),--(MN!$B$6:$B$15000="25-36 tháng"))</f>
        <v>0</v>
      </c>
      <c r="O7" s="44">
        <f>SUMPRODUCT(--(MN!$W$6:$W$15000=0),--(MN!$B$6:$B$15000="3-4 tuổi"))</f>
        <v>0</v>
      </c>
      <c r="P7" s="44">
        <f>SUMPRODUCT(--(MN!$W$6:$W$15000=0),--(MN!$B$6:$B$15000="4-5 tuổi"))</f>
        <v>0</v>
      </c>
      <c r="Q7" s="44">
        <f>SUMPRODUCT(--(MN!$W$6:$W$15000=0),--(MN!$B$6:$B$15000="5-6 tuổi"))</f>
        <v>0</v>
      </c>
    </row>
    <row r="8" spans="1:17" x14ac:dyDescent="0.25">
      <c r="A8" s="38" t="s">
        <v>239</v>
      </c>
      <c r="B8" s="45">
        <f>SUMPRODUCT(--(MN!$W$6:$W$15000=0),--(MN!$I$6:$I$15000="X"))</f>
        <v>0</v>
      </c>
      <c r="C8" s="45">
        <f>SUMPRODUCT(--(MN!$W$6:$W$15000=1),--(MN!$I$6:$I$15000="X"))</f>
        <v>0</v>
      </c>
      <c r="D8" s="45">
        <f>SUMPRODUCT(--(MN!$W$6:$W$15000=2),--(MN!$I$6:$I$15000="X"))</f>
        <v>0</v>
      </c>
      <c r="E8" s="45">
        <f>SUMPRODUCT(--(MN!$W$6:$W$15000=3),--(MN!$I$6:$I$15000="X"))</f>
        <v>0</v>
      </c>
      <c r="F8" s="45">
        <f>SUMPRODUCT(--(MN!$W$6:$W$15000=4),--(MN!$I$6:$I$15000="X"))</f>
        <v>0</v>
      </c>
      <c r="G8" s="45">
        <f>SUMPRODUCT(--(MN!$W$6:$W$15000=5),--(MN!$I$6:$I$15000="X"))</f>
        <v>1</v>
      </c>
      <c r="H8" s="45">
        <f>SUMPRODUCT(--(MN!$W$6:$W$15000=6),--(MN!$I$6:$I$15000="X"))</f>
        <v>0</v>
      </c>
      <c r="I8" s="42">
        <f t="shared" ref="I7:I32" si="2">SUM(B8:H8)</f>
        <v>1</v>
      </c>
      <c r="K8" s="43">
        <f>C6</f>
        <v>1</v>
      </c>
      <c r="L8" s="44">
        <f>SUMPRODUCT(--(MN!$W$6:$W$15000=1),--(MN!$B$6:$B$15000="Dưới 13 tháng"))</f>
        <v>0</v>
      </c>
      <c r="M8" s="44">
        <f>SUMPRODUCT(--(MN!$W$6:$W$15000=1),--(MN!$B$6:$B$15000="13-24 tháng"))</f>
        <v>0</v>
      </c>
      <c r="N8" s="44">
        <f>SUMPRODUCT(--(MN!$W$6:$W$15000=1),--(MN!$B$6:$B$15000="25-36 tháng"))</f>
        <v>0</v>
      </c>
      <c r="O8" s="44">
        <f>SUMPRODUCT(--(MN!$W$6:$W$15000=1),--(MN!$B$6:$B$15000="3-4 tuổi"))</f>
        <v>0</v>
      </c>
      <c r="P8" s="44">
        <f>SUMPRODUCT(--(MN!$W$6:$W$15000=1),--(MN!$B$6:$B$15000="4-5 tuổi"))</f>
        <v>0</v>
      </c>
      <c r="Q8" s="44">
        <f>SUMPRODUCT(--(MN!$W$6:$W$15000=1),--(MN!$B$6:$B$15000="5-6 tuổi"))</f>
        <v>0</v>
      </c>
    </row>
    <row r="9" spans="1:17" x14ac:dyDescent="0.25">
      <c r="A9" s="38" t="s">
        <v>220</v>
      </c>
      <c r="B9" s="45">
        <f>SUMPRODUCT(--(MN!$W$6:$W$15000=0),--(MN!$J$6:$J$15000&lt;&gt;"Kinh"),--(MN!$J$6:$J$15000&lt;&gt;""))</f>
        <v>0</v>
      </c>
      <c r="C9" s="45">
        <f>SUMPRODUCT(--(MN!$W$6:$W$15000=1),--(MN!$J$6:$J$15000&lt;&gt;"Kinh"),--(MN!$J$6:$J$15000&lt;&gt;""))</f>
        <v>0</v>
      </c>
      <c r="D9" s="45">
        <f>SUMPRODUCT(--(MN!$W$6:$W$15000=2),--(MN!$J$6:$J$15000&lt;&gt;"Kinh"),--(MN!$J$6:$J$15000&lt;&gt;""))</f>
        <v>0</v>
      </c>
      <c r="E9" s="45">
        <f>SUMPRODUCT(--(MN!$W$6:$W$15000=3),--(MN!$J$6:$J$15000&lt;&gt;"Kinh"),--(MN!$J$6:$J$15000&lt;&gt;""))</f>
        <v>0</v>
      </c>
      <c r="F9" s="45">
        <f>SUMPRODUCT(--(MN!$W$6:$W$15000=4),--(MN!$J$6:$J$15000&lt;&gt;"Kinh"),--(MN!$J$6:$J$15000&lt;&gt;""))</f>
        <v>1</v>
      </c>
      <c r="G9" s="45">
        <f>SUMPRODUCT(--(MN!$W$6:$W$15000=5),--(MN!$J$6:$J$15000&lt;&gt;"Kinh"),--(MN!$J$6:$J$15000&lt;&gt;""))</f>
        <v>1</v>
      </c>
      <c r="H9" s="45">
        <f>SUMPRODUCT(--(MN!$W$6:$W$15000=6),--(MN!$J$6:$J$15000&lt;&gt;"Kinh"),--(MN!$J$6:$J$15000&lt;&gt;""))</f>
        <v>0</v>
      </c>
      <c r="I9" s="42">
        <f t="shared" si="2"/>
        <v>2</v>
      </c>
      <c r="K9" s="43">
        <f>D6</f>
        <v>2</v>
      </c>
      <c r="L9" s="44">
        <f>SUMPRODUCT(--(MN!$W$6:$W$15000=2),--(MN!$B$6:$B$15000="Dưới 13 tháng"))</f>
        <v>0</v>
      </c>
      <c r="M9" s="44">
        <f>SUMPRODUCT(--(MN!$W$6:$W$15000=2),--(MN!$B$6:$B$15000="13-24 tháng"))</f>
        <v>0</v>
      </c>
      <c r="N9" s="44">
        <f>SUMPRODUCT(--(MN!$W$6:$W$15000=2),--(MN!$B$6:$B$15000="25-36 tháng"))</f>
        <v>1</v>
      </c>
      <c r="O9" s="44">
        <f>SUMPRODUCT(--(MN!$W$6:$W$15000=2),--(MN!$B$6:$B$15000="3-4 tuổi"))</f>
        <v>0</v>
      </c>
      <c r="P9" s="44">
        <f>SUMPRODUCT(--(MN!$W$6:$W$15000=2),--(MN!$B$6:$B$15000="4-5 tuổi"))</f>
        <v>0</v>
      </c>
      <c r="Q9" s="44">
        <f>SUMPRODUCT(--(MN!$W$6:$W$15000=2),--(MN!$B$6:$B$15000="5-6 tuổi"))</f>
        <v>0</v>
      </c>
    </row>
    <row r="10" spans="1:17" x14ac:dyDescent="0.25">
      <c r="A10" s="38" t="s">
        <v>240</v>
      </c>
      <c r="B10" s="45">
        <f>SUMPRODUCT(--(MN!$W$6:$W$15000=0),--(MN!$K$6:$K$15000&lt;&gt;""))</f>
        <v>0</v>
      </c>
      <c r="C10" s="45">
        <f>SUMPRODUCT(--(MN!$W$6:$W$15000=1),--(MN!$K$6:$K$15000&lt;&gt;""))</f>
        <v>0</v>
      </c>
      <c r="D10" s="45">
        <f>SUMPRODUCT(--(MN!$W$6:$W$15000=2),--(MN!$K$6:$K$15000&lt;&gt;""))</f>
        <v>0</v>
      </c>
      <c r="E10" s="45">
        <f>SUMPRODUCT(--(MN!$W$6:$W$15000=3),--(MN!$K$6:$K$15000&lt;&gt;""))</f>
        <v>0</v>
      </c>
      <c r="F10" s="45">
        <f>SUMPRODUCT(--(MN!$W$6:$W$15000=4),--(MN!$K$6:$K$15000&lt;&gt;""))</f>
        <v>0</v>
      </c>
      <c r="G10" s="45">
        <f>SUMPRODUCT(--(MN!$W$6:$W$15000=5),--(MN!$K$6:$K$15000&lt;&gt;""))</f>
        <v>1</v>
      </c>
      <c r="H10" s="45">
        <f>SUMPRODUCT(--(MN!$W$6:$W$15000=6),--(MN!$K$6:$K$15000&lt;&gt;""))</f>
        <v>0</v>
      </c>
      <c r="I10" s="42">
        <f t="shared" si="2"/>
        <v>1</v>
      </c>
      <c r="K10" s="43">
        <f>E6</f>
        <v>3</v>
      </c>
      <c r="L10" s="44">
        <f>SUMPRODUCT(--(MN!$W$6:$W$15000=3),--(MN!$B$6:$B$15000="Dưới 13 tháng"))</f>
        <v>0</v>
      </c>
      <c r="M10" s="44">
        <f>SUMPRODUCT(--(MN!$W$6:$W$15000=3),--(MN!$B$6:$B$15000="13-24 tháng"))</f>
        <v>0</v>
      </c>
      <c r="N10" s="44">
        <f>SUMPRODUCT(--(MN!$W$6:$W$15000=3),--(MN!$B$6:$B$15000="25-36 tháng"))</f>
        <v>0</v>
      </c>
      <c r="O10" s="44">
        <f>SUMPRODUCT(--(MN!$W$6:$W$15000=3),--(MN!$B$6:$B$15000="3-4 tuổi"))</f>
        <v>1</v>
      </c>
      <c r="P10" s="44">
        <f>SUMPRODUCT(--(MN!$W$6:$W$15000=3),--(MN!$B$6:$B$15000="4-5 tuổi"))</f>
        <v>0</v>
      </c>
      <c r="Q10" s="44">
        <f>SUMPRODUCT(--(MN!$W$6:$W$15000=3),--(MN!$B$6:$B$15000="5-6 tuổi"))</f>
        <v>0</v>
      </c>
    </row>
    <row r="11" spans="1:17" x14ac:dyDescent="0.25">
      <c r="A11" s="794" t="s">
        <v>1</v>
      </c>
      <c r="B11" s="793">
        <f>SUMPRODUCT(--(MN!$W$6:$W$15000=0),--(MN!$M$6:$M$15000="Cam Thành Nam"))</f>
        <v>0</v>
      </c>
      <c r="C11" s="793">
        <f>SUMPRODUCT(--(MN!$W$6:$W$15000=1),--(MN!$M$6:$M$15000="Cam Thành Nam"))</f>
        <v>0</v>
      </c>
      <c r="D11" s="793">
        <f>SUMPRODUCT(--(MN!$W$6:$W$15000=2),--(MN!$M$6:$M$15000="Cam Thành Nam"))</f>
        <v>0</v>
      </c>
      <c r="E11" s="793">
        <f>SUMPRODUCT(--(MN!$W$6:$W$15000=3),--(MN!$M$6:$M$15000="Cam Thành Nam"))</f>
        <v>0</v>
      </c>
      <c r="F11" s="793">
        <f>SUMPRODUCT(--(MN!$W$6:$W$15000=4),--(MN!$M$6:$M$15000="Cam Thành Nam"))</f>
        <v>0</v>
      </c>
      <c r="G11" s="793">
        <f>SUMPRODUCT(--(MN!$W$6:$W$15000=5),--(MN!$M$6:$M$15000="Cam Thành Nam"))</f>
        <v>0</v>
      </c>
      <c r="H11" s="793">
        <f>SUMPRODUCT(--(MN!$W$6:$W$15000=6),--(MN!$M$6:$M$15000="Cam Thành Nam"))</f>
        <v>0</v>
      </c>
      <c r="I11" s="795">
        <f t="shared" si="2"/>
        <v>0</v>
      </c>
      <c r="K11" s="43">
        <f>F6</f>
        <v>4</v>
      </c>
      <c r="L11" s="44">
        <f>SUMPRODUCT(--(MN!$W$6:$W$15000=4),--(MN!$B$6:$B$15000="Dưới 13 tháng"))</f>
        <v>0</v>
      </c>
      <c r="M11" s="44">
        <f>SUMPRODUCT(--(MN!$W$6:$W$15000=4),--(MN!$B$6:$B$15000="13-24 tháng"))</f>
        <v>0</v>
      </c>
      <c r="N11" s="44">
        <f>SUMPRODUCT(--(MN!$W$6:$W$15000=4),--(MN!$B$6:$B$15000="25-36 tháng"))</f>
        <v>0</v>
      </c>
      <c r="O11" s="44">
        <f>SUMPRODUCT(--(MN!$W$6:$W$15000=4),--(MN!$B$6:$B$15000="3-4 tuổi"))</f>
        <v>0</v>
      </c>
      <c r="P11" s="44">
        <f>SUMPRODUCT(--(MN!$W$6:$W$15000=4),--(MN!$B$6:$B$15000="4-5 tuổi"))</f>
        <v>1</v>
      </c>
      <c r="Q11" s="44">
        <f>SUMPRODUCT(--(MN!$W$6:$W$15000=4),--(MN!$B$6:$B$15000="5-6 tuổi"))</f>
        <v>0</v>
      </c>
    </row>
    <row r="12" spans="1:17" x14ac:dyDescent="0.25">
      <c r="A12" s="794" t="s">
        <v>5</v>
      </c>
      <c r="B12" s="793">
        <f>SUMPRODUCT(--(MN!$W$6:$W$15000=0),--(MN!$M$6:$M$15000="Cam Nghĩa"))</f>
        <v>0</v>
      </c>
      <c r="C12" s="793">
        <f>SUMPRODUCT(--(MN!$W$6:$W$15000=1),--(MN!$M$6:$M$15000="Cam Nghĩa"))</f>
        <v>0</v>
      </c>
      <c r="D12" s="793">
        <f>SUMPRODUCT(--(MN!$W$6:$W$15000=2),--(MN!$M$6:$M$15000="Cam Nghĩa"))</f>
        <v>1</v>
      </c>
      <c r="E12" s="793">
        <f>SUMPRODUCT(--(MN!$W$6:$W$15000=3),--(MN!$M$6:$M$15000="Cam Nghĩa"))</f>
        <v>0</v>
      </c>
      <c r="F12" s="793">
        <f>SUMPRODUCT(--(MN!$W$6:$W$15000=4),--(MN!$M$6:$M$15000="Cam Nghĩa"))</f>
        <v>0</v>
      </c>
      <c r="G12" s="793">
        <f>SUMPRODUCT(--(MN!$W$6:$W$15000=5),--(MN!$M$6:$M$15000="Cam Nghĩa"))</f>
        <v>1</v>
      </c>
      <c r="H12" s="793">
        <f>SUMPRODUCT(--(MN!$W$6:$W$15000=6),--(MN!$M$6:$M$15000="Cam Nghĩa"))</f>
        <v>0</v>
      </c>
      <c r="I12" s="795">
        <f t="shared" si="2"/>
        <v>2</v>
      </c>
      <c r="K12" s="43">
        <f>G6</f>
        <v>5</v>
      </c>
      <c r="L12" s="44">
        <f>SUMPRODUCT(--(MN!$W$6:$W$15000=5),--(MN!$B$6:$B$15000="Dưới 13 tháng"))</f>
        <v>0</v>
      </c>
      <c r="M12" s="44">
        <f>SUMPRODUCT(--(MN!$W$6:$W$15000=5),--(MN!$B$6:$B$15000="13-24 tháng"))</f>
        <v>0</v>
      </c>
      <c r="N12" s="44">
        <f>SUMPRODUCT(--(MN!$W$6:$W$15000=5),--(MN!$B$6:$B$15000="25-36 tháng"))</f>
        <v>0</v>
      </c>
      <c r="O12" s="44">
        <f>SUMPRODUCT(--(MN!$W$6:$W$15000=5),--(MN!$B$6:$B$15000="3-4 tuổi"))</f>
        <v>0</v>
      </c>
      <c r="P12" s="44">
        <f>SUMPRODUCT(--(MN!$W$6:$W$15000=5),--(MN!$B$6:$B$15000="4-5 tuổi"))</f>
        <v>0</v>
      </c>
      <c r="Q12" s="44">
        <f>SUMPRODUCT(--(MN!$W$6:$W$15000=5),--(MN!$B$6:$B$15000="5-6 tuổi"))</f>
        <v>2</v>
      </c>
    </row>
    <row r="13" spans="1:17" x14ac:dyDescent="0.25">
      <c r="A13" s="794" t="s">
        <v>8</v>
      </c>
      <c r="B13" s="793">
        <f>SUMPRODUCT(--(MN!$W$6:$W$15000=0),--(MN!$M$6:$M$15000="Cam Phúc Bắc"))</f>
        <v>0</v>
      </c>
      <c r="C13" s="793">
        <f>SUMPRODUCT(--(MN!$W$6:$W$15000=1),--(MN!$M$6:$M$15000="Cam Phúc Bắc"))</f>
        <v>0</v>
      </c>
      <c r="D13" s="793">
        <f>SUMPRODUCT(--(MN!$W$6:$W$15000=2),--(MN!$M$6:$M$15000="Cam Phúc Bắc"))</f>
        <v>0</v>
      </c>
      <c r="E13" s="793">
        <f>SUMPRODUCT(--(MN!$W$6:$W$15000=3),--(MN!$M$6:$M$15000="Cam Phúc Bắc"))</f>
        <v>0</v>
      </c>
      <c r="F13" s="793">
        <f>SUMPRODUCT(--(MN!$W$6:$W$15000=4),--(MN!$M$6:$M$15000="Cam Phúc Bắc"))</f>
        <v>0</v>
      </c>
      <c r="G13" s="793">
        <f>SUMPRODUCT(--(MN!$W$6:$W$15000=5),--(MN!$M$6:$M$15000="Cam Phúc Bắc"))</f>
        <v>0</v>
      </c>
      <c r="H13" s="793">
        <f>SUMPRODUCT(--(MN!$W$6:$W$15000=6),--(MN!$M$6:$M$15000="Cam Phúc Bắc"))</f>
        <v>0</v>
      </c>
      <c r="I13" s="795">
        <f t="shared" si="2"/>
        <v>0</v>
      </c>
      <c r="K13" s="43">
        <f>H6</f>
        <v>6</v>
      </c>
      <c r="L13" s="44">
        <f>SUMPRODUCT(--(MN!$W$6:$W$15000=6),--(MN!$B$6:$B$15000="Dưới 13 tháng"))</f>
        <v>0</v>
      </c>
      <c r="M13" s="44">
        <f>SUMPRODUCT(--(MN!$W$6:$W$15000=6),--(MN!$B$6:$B$15000="13-24 tháng"))</f>
        <v>0</v>
      </c>
      <c r="N13" s="44">
        <f>SUMPRODUCT(--(MN!$W$6:$W$15000=6),--(MN!$B$6:$B$15000="25-36 tháng"))</f>
        <v>0</v>
      </c>
      <c r="O13" s="44">
        <f>SUMPRODUCT(--(MN!$W$6:$W$15000=6),--(MN!$B$6:$B$15000="3-4 tuổi"))</f>
        <v>0</v>
      </c>
      <c r="P13" s="44">
        <f>SUMPRODUCT(--(MN!$W$6:$W$15000=6),--(MN!$B$6:$B$15000="4-5 tuổi"))</f>
        <v>0</v>
      </c>
      <c r="Q13" s="44">
        <f>SUMPRODUCT(--(MN!$W$6:$W$15000=6),--(MN!$B$6:$B$15000="5-6 tuổi"))</f>
        <v>0</v>
      </c>
    </row>
    <row r="14" spans="1:17" x14ac:dyDescent="0.25">
      <c r="A14" s="798" t="s">
        <v>874</v>
      </c>
      <c r="B14" s="799">
        <f>SUM(B11:B13)</f>
        <v>0</v>
      </c>
      <c r="C14" s="799">
        <f t="shared" ref="C14:I14" si="3">SUM(C11:C13)</f>
        <v>0</v>
      </c>
      <c r="D14" s="799">
        <f t="shared" si="3"/>
        <v>1</v>
      </c>
      <c r="E14" s="799">
        <f t="shared" si="3"/>
        <v>0</v>
      </c>
      <c r="F14" s="799">
        <f t="shared" si="3"/>
        <v>0</v>
      </c>
      <c r="G14" s="799">
        <f t="shared" si="3"/>
        <v>1</v>
      </c>
      <c r="H14" s="799">
        <f t="shared" si="3"/>
        <v>0</v>
      </c>
      <c r="I14" s="799">
        <f t="shared" si="3"/>
        <v>2</v>
      </c>
      <c r="K14" s="49"/>
      <c r="L14" s="50"/>
      <c r="M14" s="50"/>
      <c r="N14" s="50"/>
      <c r="O14" s="50"/>
      <c r="P14" s="50"/>
      <c r="Q14" s="50"/>
    </row>
    <row r="15" spans="1:17" x14ac:dyDescent="0.25">
      <c r="A15" s="802" t="s">
        <v>13</v>
      </c>
      <c r="B15" s="803">
        <f>SUMPRODUCT(--(MN!$W$6:$W$15000=0),--(MN!$M$6:$M$15000="Cam Phúc Nam"))</f>
        <v>0</v>
      </c>
      <c r="C15" s="803">
        <f>SUMPRODUCT(--(MN!$W$6:$W$15000=1),--(MN!$M$6:$M$15000="Cam Phúc Nam"))</f>
        <v>0</v>
      </c>
      <c r="D15" s="803">
        <f>SUMPRODUCT(--(MN!$W$6:$W$15000=2),--(MN!$M$6:$M$15000="Cam Phúc Nam"))</f>
        <v>0</v>
      </c>
      <c r="E15" s="803">
        <f>SUMPRODUCT(--(MN!$W$6:$W$15000=3),--(MN!$M$6:$M$15000="Cam Phúc Nam"))</f>
        <v>0</v>
      </c>
      <c r="F15" s="803">
        <f>SUMPRODUCT(--(MN!$W$6:$W$15000=4),--(MN!$M$6:$M$15000="Cam Phúc Nam"))</f>
        <v>0</v>
      </c>
      <c r="G15" s="803">
        <f>SUMPRODUCT(--(MN!$W$6:$W$15000=5),--(MN!$M$6:$M$15000="Cam Phúc Nam"))</f>
        <v>0</v>
      </c>
      <c r="H15" s="803">
        <f>SUMPRODUCT(--(MN!$W$6:$W$15000=6),--(MN!$M$6:$M$15000="Cam Phúc Nam"))</f>
        <v>0</v>
      </c>
      <c r="I15" s="804">
        <f t="shared" si="2"/>
        <v>0</v>
      </c>
      <c r="K15" s="49"/>
      <c r="L15" s="50"/>
      <c r="M15" s="50"/>
      <c r="N15" s="50"/>
      <c r="O15" s="50"/>
      <c r="P15" s="50"/>
      <c r="Q15" s="50"/>
    </row>
    <row r="16" spans="1:17" x14ac:dyDescent="0.25">
      <c r="A16" s="802" t="s">
        <v>18</v>
      </c>
      <c r="B16" s="803">
        <f>SUMPRODUCT(--(MN!$W$6:$W$15000=0),--(MN!$M$6:$M$15000="Cam Lộc"))</f>
        <v>0</v>
      </c>
      <c r="C16" s="803">
        <f>SUMPRODUCT(--(MN!$W$6:$W$15000=1),--(MN!$M$6:$M$15000="Cam Lộc"))</f>
        <v>0</v>
      </c>
      <c r="D16" s="803">
        <f>SUMPRODUCT(--(MN!$W$6:$W$15000=2),--(MN!$M$6:$M$15000="Cam Lộc"))</f>
        <v>0</v>
      </c>
      <c r="E16" s="803">
        <f>SUMPRODUCT(--(MN!$W$6:$W$15000=3),--(MN!$M$6:$M$15000="Cam Lộc"))</f>
        <v>0</v>
      </c>
      <c r="F16" s="803">
        <f>SUMPRODUCT(--(MN!$W$6:$W$15000=4),--(MN!$M$6:$M$15000="Cam Lộc"))</f>
        <v>0</v>
      </c>
      <c r="G16" s="803">
        <f>SUMPRODUCT(--(MN!$W$6:$W$15000=5),--(MN!$M$6:$M$15000="Cam Lộc"))</f>
        <v>0</v>
      </c>
      <c r="H16" s="803">
        <f>SUMPRODUCT(--(MN!$W$6:$W$15000=6),--(MN!$M$6:$M$15000="Cam Lộc"))</f>
        <v>0</v>
      </c>
      <c r="I16" s="804">
        <f t="shared" si="2"/>
        <v>0</v>
      </c>
      <c r="L16" s="29"/>
      <c r="M16" s="29"/>
      <c r="N16" s="29"/>
      <c r="O16" s="29"/>
    </row>
    <row r="17" spans="1:17" x14ac:dyDescent="0.25">
      <c r="A17" s="802" t="s">
        <v>23</v>
      </c>
      <c r="B17" s="803">
        <f>SUMPRODUCT(--(MN!$W$6:$W$15000=0),--(MN!$M$6:$M$15000="Cam Phú"))</f>
        <v>0</v>
      </c>
      <c r="C17" s="803">
        <f>SUMPRODUCT(--(MN!$W$6:$W$15000=1),--(MN!$M$6:$M$15000="Cam Phú"))</f>
        <v>0</v>
      </c>
      <c r="D17" s="803">
        <f>SUMPRODUCT(--(MN!$W$6:$W$15000=2),--(MN!$M$6:$M$15000="Cam Phú"))</f>
        <v>0</v>
      </c>
      <c r="E17" s="803">
        <f>SUMPRODUCT(--(MN!$W$6:$W$15000=3),--(MN!$M$6:$M$15000="Cam Phú"))</f>
        <v>0</v>
      </c>
      <c r="F17" s="803">
        <f>SUMPRODUCT(--(MN!$W$6:$W$15000=4),--(MN!$M$6:$M$15000="Cam Phú"))</f>
        <v>0</v>
      </c>
      <c r="G17" s="803">
        <f>SUMPRODUCT(--(MN!$W$6:$W$15000=5),--(MN!$M$6:$M$15000="Cam Phú"))</f>
        <v>0</v>
      </c>
      <c r="H17" s="803">
        <f>SUMPRODUCT(--(MN!$W$6:$W$15000=6),--(MN!$M$6:$M$15000="Cam Phú"))</f>
        <v>0</v>
      </c>
      <c r="I17" s="804">
        <f t="shared" si="2"/>
        <v>0</v>
      </c>
      <c r="K17" s="807" t="s">
        <v>241</v>
      </c>
      <c r="L17" s="807"/>
      <c r="M17" s="807"/>
      <c r="N17" s="807"/>
      <c r="O17" s="807"/>
      <c r="P17" s="807"/>
    </row>
    <row r="18" spans="1:17" x14ac:dyDescent="0.25">
      <c r="A18" s="805" t="s">
        <v>876</v>
      </c>
      <c r="B18" s="806">
        <f>SUM(B15:B17)</f>
        <v>0</v>
      </c>
      <c r="C18" s="806">
        <f t="shared" ref="C18" si="4">SUM(C15:C17)</f>
        <v>0</v>
      </c>
      <c r="D18" s="806">
        <f t="shared" ref="D18" si="5">SUM(D15:D17)</f>
        <v>0</v>
      </c>
      <c r="E18" s="806">
        <f t="shared" ref="E18" si="6">SUM(E15:E17)</f>
        <v>0</v>
      </c>
      <c r="F18" s="806">
        <f t="shared" ref="F18" si="7">SUM(F15:F17)</f>
        <v>0</v>
      </c>
      <c r="G18" s="806">
        <f t="shared" ref="G18" si="8">SUM(G15:G17)</f>
        <v>0</v>
      </c>
      <c r="H18" s="806">
        <f t="shared" ref="H18" si="9">SUM(H15:H17)</f>
        <v>0</v>
      </c>
      <c r="I18" s="806">
        <f t="shared" ref="I18" si="10">SUM(I15:I17)</f>
        <v>0</v>
      </c>
      <c r="K18" s="560"/>
      <c r="L18" s="560"/>
      <c r="M18" s="560"/>
      <c r="N18" s="791"/>
      <c r="O18" s="560"/>
      <c r="P18" s="560"/>
    </row>
    <row r="19" spans="1:17" x14ac:dyDescent="0.25">
      <c r="A19" s="796" t="s">
        <v>28</v>
      </c>
      <c r="B19" s="792">
        <f>SUMPRODUCT(--(MN!$W$6:$W$15000=0),--(MN!$M$6:$M$15000="Cam Linh"))</f>
        <v>0</v>
      </c>
      <c r="C19" s="792">
        <f>SUMPRODUCT(--(MN!$W$6:$W$15000=1),--(MN!$M$6:$M$15000="Cam Linh"))</f>
        <v>0</v>
      </c>
      <c r="D19" s="792">
        <f>SUMPRODUCT(--(MN!$W$6:$W$15000=2),--(MN!$M$6:$M$15000="Cam Linh"))</f>
        <v>0</v>
      </c>
      <c r="E19" s="792">
        <f>SUMPRODUCT(--(MN!$W$6:$W$15000=3),--(MN!$M$6:$M$15000="Cam Linh"))</f>
        <v>0</v>
      </c>
      <c r="F19" s="792">
        <f>SUMPRODUCT(--(MN!$W$6:$W$15000=4),--(MN!$M$6:$M$15000="Cam Linh"))</f>
        <v>0</v>
      </c>
      <c r="G19" s="792">
        <f>SUMPRODUCT(--(MN!$W$6:$W$15000=5),--(MN!$M$6:$M$15000="Cam Linh"))</f>
        <v>0</v>
      </c>
      <c r="H19" s="792">
        <f>SUMPRODUCT(--(MN!$W$6:$W$15000=6),--(MN!$M$6:$M$15000="Cam Linh"))</f>
        <v>0</v>
      </c>
      <c r="I19" s="797">
        <f t="shared" si="2"/>
        <v>0</v>
      </c>
      <c r="K19" s="46"/>
      <c r="L19" s="51" t="s">
        <v>242</v>
      </c>
      <c r="M19" s="51" t="s">
        <v>243</v>
      </c>
      <c r="N19" s="614" t="s">
        <v>244</v>
      </c>
      <c r="O19" s="52" t="s">
        <v>242</v>
      </c>
      <c r="P19" s="52" t="s">
        <v>243</v>
      </c>
      <c r="Q19" s="53" t="str">
        <f>IF(OR(Chinh!$D$9="",L24=0,O20=0,L20=""),"Nhập liệu!",IF(OR(O20&gt;L24,M24=0,L20&lt;L24),"er",""))</f>
        <v>Nhập liệu!</v>
      </c>
    </row>
    <row r="20" spans="1:17" x14ac:dyDescent="0.25">
      <c r="A20" s="796" t="s">
        <v>33</v>
      </c>
      <c r="B20" s="792">
        <f>SUMPRODUCT(--(MN!$W$6:$W$15000=0),--(MN!$M$6:$M$15000="Cam Thuận"))</f>
        <v>0</v>
      </c>
      <c r="C20" s="792">
        <f>SUMPRODUCT(--(MN!$W$6:$W$15000=1),--(MN!$M$6:$M$15000="Cam Thuận"))</f>
        <v>0</v>
      </c>
      <c r="D20" s="792">
        <f>SUMPRODUCT(--(MN!$W$6:$W$15000=2),--(MN!$M$6:$M$15000="Cam Thuận"))</f>
        <v>0</v>
      </c>
      <c r="E20" s="792">
        <f>SUMPRODUCT(--(MN!$W$6:$W$15000=3),--(MN!$M$6:$M$15000="Cam Thuận"))</f>
        <v>0</v>
      </c>
      <c r="F20" s="792">
        <f>SUMPRODUCT(--(MN!$W$6:$W$15000=4),--(MN!$M$6:$M$15000="Cam Thuận"))</f>
        <v>0</v>
      </c>
      <c r="G20" s="792">
        <f>SUMPRODUCT(--(MN!$W$6:$W$15000=5),--(MN!$M$6:$M$15000="Cam Thuận"))</f>
        <v>0</v>
      </c>
      <c r="H20" s="792">
        <f>SUMPRODUCT(--(MN!$W$6:$W$15000=6),--(MN!$M$6:$M$15000="Cam Thuận"))</f>
        <v>0</v>
      </c>
      <c r="I20" s="797">
        <f t="shared" si="2"/>
        <v>0</v>
      </c>
      <c r="K20" s="54" t="s">
        <v>245</v>
      </c>
      <c r="L20" s="616">
        <v>20</v>
      </c>
      <c r="M20" s="617"/>
      <c r="N20" s="615"/>
      <c r="O20" s="55">
        <f>SUM(O21:O24)</f>
        <v>20</v>
      </c>
      <c r="P20" s="56">
        <f>IF(OR(O20=0,$L$24=0),0,O20/$L$24)</f>
        <v>1</v>
      </c>
    </row>
    <row r="21" spans="1:17" x14ac:dyDescent="0.25">
      <c r="A21" s="796" t="s">
        <v>38</v>
      </c>
      <c r="B21" s="792">
        <f>SUMPRODUCT(--(MN!$W$6:$W$15000=0),--(MN!$M$6:$M$15000="Cam Lợi"))</f>
        <v>0</v>
      </c>
      <c r="C21" s="792">
        <f>SUMPRODUCT(--(MN!$W$6:$W$15000=1),--(MN!$M$6:$M$15000="Cam Lợi"))</f>
        <v>0</v>
      </c>
      <c r="D21" s="792">
        <f>SUMPRODUCT(--(MN!$W$6:$W$15000=2),--(MN!$M$6:$M$15000="Cam Lợi"))</f>
        <v>0</v>
      </c>
      <c r="E21" s="792">
        <f>SUMPRODUCT(--(MN!$W$6:$W$15000=3),--(MN!$M$6:$M$15000="Cam Lợi"))</f>
        <v>0</v>
      </c>
      <c r="F21" s="792">
        <f>SUMPRODUCT(--(MN!$W$6:$W$15000=4),--(MN!$M$6:$M$15000="Cam Lợi"))</f>
        <v>0</v>
      </c>
      <c r="G21" s="792">
        <f>SUMPRODUCT(--(MN!$W$6:$W$15000=5),--(MN!$M$6:$M$15000="Cam Lợi"))</f>
        <v>0</v>
      </c>
      <c r="H21" s="792">
        <f>SUMPRODUCT(--(MN!$W$6:$W$15000=6),--(MN!$M$6:$M$15000="Cam Lợi"))</f>
        <v>0</v>
      </c>
      <c r="I21" s="797">
        <f t="shared" si="2"/>
        <v>0</v>
      </c>
      <c r="K21" s="57" t="s">
        <v>246</v>
      </c>
      <c r="L21" s="50">
        <v>20</v>
      </c>
      <c r="M21" s="58">
        <f>IF($L$20="","",L21/$L$20)</f>
        <v>1</v>
      </c>
      <c r="N21" s="59" t="s">
        <v>247</v>
      </c>
      <c r="O21" s="50">
        <v>20</v>
      </c>
      <c r="P21" s="60">
        <f>IF(OR(O21=0,$L$24=0),0,O21/$L$24)</f>
        <v>1</v>
      </c>
    </row>
    <row r="22" spans="1:17" x14ac:dyDescent="0.25">
      <c r="A22" s="800" t="s">
        <v>875</v>
      </c>
      <c r="B22" s="801">
        <f>SUM(B19:B21)</f>
        <v>0</v>
      </c>
      <c r="C22" s="801">
        <f t="shared" ref="C22" si="11">SUM(C19:C21)</f>
        <v>0</v>
      </c>
      <c r="D22" s="801">
        <f t="shared" ref="D22" si="12">SUM(D19:D21)</f>
        <v>0</v>
      </c>
      <c r="E22" s="801">
        <f t="shared" ref="E22" si="13">SUM(E19:E21)</f>
        <v>0</v>
      </c>
      <c r="F22" s="801">
        <f t="shared" ref="F22" si="14">SUM(F19:F21)</f>
        <v>0</v>
      </c>
      <c r="G22" s="801">
        <f t="shared" ref="G22" si="15">SUM(G19:G21)</f>
        <v>0</v>
      </c>
      <c r="H22" s="801">
        <f t="shared" ref="H22" si="16">SUM(H19:H21)</f>
        <v>0</v>
      </c>
      <c r="I22" s="801">
        <f t="shared" ref="I22" si="17">SUM(I19:I21)</f>
        <v>0</v>
      </c>
      <c r="K22" s="57" t="s">
        <v>248</v>
      </c>
      <c r="L22" s="50"/>
      <c r="M22" s="58">
        <f>IF($L$20="","",L22/$L$20)</f>
        <v>0</v>
      </c>
      <c r="N22" s="59"/>
      <c r="O22" s="50"/>
      <c r="P22" s="60">
        <f>IF(OR(O22=0,$L$24=0),0,O22/$L$24)</f>
        <v>0</v>
      </c>
    </row>
    <row r="23" spans="1:17" x14ac:dyDescent="0.25">
      <c r="A23" s="802" t="s">
        <v>42</v>
      </c>
      <c r="B23" s="803">
        <f>SUMPRODUCT(--(MN!$W$6:$W$15000=0),--(MN!$M$6:$M$15000="Ba Ngòi"))</f>
        <v>0</v>
      </c>
      <c r="C23" s="803">
        <f>SUMPRODUCT(--(MN!$W$6:$W$15000=1),--(MN!$M$6:$M$15000="Ba Ngòi"))</f>
        <v>0</v>
      </c>
      <c r="D23" s="803">
        <f>SUMPRODUCT(--(MN!$W$6:$W$15000=2),--(MN!$M$6:$M$15000="Ba Ngòi"))</f>
        <v>0</v>
      </c>
      <c r="E23" s="803">
        <f>SUMPRODUCT(--(MN!$W$6:$W$15000=3),--(MN!$M$6:$M$15000="Ba Ngòi"))</f>
        <v>0</v>
      </c>
      <c r="F23" s="803">
        <f>SUMPRODUCT(--(MN!$W$6:$W$15000=4),--(MN!$M$6:$M$15000="Ba Ngòi"))</f>
        <v>0</v>
      </c>
      <c r="G23" s="803">
        <f>SUMPRODUCT(--(MN!$W$6:$W$15000=5),--(MN!$M$6:$M$15000="Ba Ngòi"))</f>
        <v>0</v>
      </c>
      <c r="H23" s="803">
        <f>SUMPRODUCT(--(MN!$W$6:$W$15000=6),--(MN!$M$6:$M$15000="Ba Ngòi"))</f>
        <v>0</v>
      </c>
      <c r="I23" s="804">
        <f t="shared" si="2"/>
        <v>0</v>
      </c>
      <c r="K23" s="57"/>
      <c r="L23" s="50"/>
      <c r="M23" s="58">
        <f t="shared" ref="M23:M26" si="18">IF($L$20="","",L23/$L$20)</f>
        <v>0</v>
      </c>
      <c r="N23" s="59"/>
      <c r="O23" s="50"/>
      <c r="P23" s="833"/>
    </row>
    <row r="24" spans="1:17" x14ac:dyDescent="0.25">
      <c r="A24" s="802" t="s">
        <v>47</v>
      </c>
      <c r="B24" s="803">
        <f>SUMPRODUCT(--(MN!$W$6:$W$15000=0),--(MN!$M$6:$M$15000="Cam Phước Đông"))</f>
        <v>0</v>
      </c>
      <c r="C24" s="803">
        <f>SUMPRODUCT(--(MN!$W$6:$W$15000=1),--(MN!$M$6:$M$15000="Cam Phước Đông"))</f>
        <v>0</v>
      </c>
      <c r="D24" s="803">
        <f>SUMPRODUCT(--(MN!$W$6:$W$15000=2),--(MN!$M$6:$M$15000="Cam Phước Đông"))</f>
        <v>0</v>
      </c>
      <c r="E24" s="803">
        <f>SUMPRODUCT(--(MN!$W$6:$W$15000=3),--(MN!$M$6:$M$15000="Cam Phước Đông"))</f>
        <v>0</v>
      </c>
      <c r="F24" s="803">
        <f>SUMPRODUCT(--(MN!$W$6:$W$15000=4),--(MN!$M$6:$M$15000="Cam Phước Đông"))</f>
        <v>1</v>
      </c>
      <c r="G24" s="803">
        <f>SUMPRODUCT(--(MN!$W$6:$W$15000=5),--(MN!$M$6:$M$15000="Cam Phước Đông"))</f>
        <v>0</v>
      </c>
      <c r="H24" s="803">
        <f>SUMPRODUCT(--(MN!$W$6:$W$15000=6),--(MN!$M$6:$M$15000="Cam Phước Đông"))</f>
        <v>0</v>
      </c>
      <c r="I24" s="804">
        <f t="shared" si="2"/>
        <v>1</v>
      </c>
      <c r="K24" s="54" t="s">
        <v>249</v>
      </c>
      <c r="L24" s="41">
        <f>SUM(L21:L23)</f>
        <v>20</v>
      </c>
      <c r="M24" s="58">
        <f>IF($L$20="","",L24/$L$20)</f>
        <v>1</v>
      </c>
      <c r="N24" s="59"/>
      <c r="O24" s="50"/>
      <c r="P24" s="60">
        <f t="shared" ref="P20:P27" si="19">IF(OR(O24=0,$L$27=0),0,O24/$L$27)</f>
        <v>0</v>
      </c>
    </row>
    <row r="25" spans="1:17" x14ac:dyDescent="0.25">
      <c r="A25" s="805" t="s">
        <v>877</v>
      </c>
      <c r="B25" s="806">
        <f>B23+B24</f>
        <v>0</v>
      </c>
      <c r="C25" s="806">
        <f t="shared" ref="C25:I25" si="20">C23+C24</f>
        <v>0</v>
      </c>
      <c r="D25" s="806">
        <f t="shared" si="20"/>
        <v>0</v>
      </c>
      <c r="E25" s="806">
        <f t="shared" si="20"/>
        <v>0</v>
      </c>
      <c r="F25" s="806">
        <f t="shared" si="20"/>
        <v>1</v>
      </c>
      <c r="G25" s="806">
        <f t="shared" si="20"/>
        <v>0</v>
      </c>
      <c r="H25" s="806">
        <f t="shared" si="20"/>
        <v>0</v>
      </c>
      <c r="I25" s="806">
        <f t="shared" si="20"/>
        <v>1</v>
      </c>
    </row>
    <row r="26" spans="1:17" x14ac:dyDescent="0.25">
      <c r="A26" s="796" t="s">
        <v>51</v>
      </c>
      <c r="B26" s="792">
        <f>SUMPRODUCT(--(MN!$W$6:$W$15000=0),--(MN!$M$6:$M$15000="Cam Thịnh Đông"))</f>
        <v>0</v>
      </c>
      <c r="C26" s="792">
        <f>SUMPRODUCT(--(MN!$W$6:$W$15000=1),--(MN!$M$6:$M$15000="Cam Thịnh Đông"))</f>
        <v>0</v>
      </c>
      <c r="D26" s="792">
        <f>SUMPRODUCT(--(MN!$W$6:$W$15000=2),--(MN!$M$6:$M$15000="Cam Thịnh Đông"))</f>
        <v>0</v>
      </c>
      <c r="E26" s="792">
        <f>SUMPRODUCT(--(MN!$W$6:$W$15000=3),--(MN!$M$6:$M$15000="Cam Thịnh Đông"))</f>
        <v>0</v>
      </c>
      <c r="F26" s="792">
        <f>SUMPRODUCT(--(MN!$W$6:$W$15000=4),--(MN!$M$6:$M$15000="Cam Thịnh Đông"))</f>
        <v>0</v>
      </c>
      <c r="G26" s="792">
        <f>SUMPRODUCT(--(MN!$W$6:$W$15000=5),--(MN!$M$6:$M$15000="Cam Thịnh Đông"))</f>
        <v>0</v>
      </c>
      <c r="H26" s="792">
        <f>SUMPRODUCT(--(MN!$W$6:$W$15000=6),--(MN!$M$6:$M$15000="Cam Thịnh Đông"))</f>
        <v>0</v>
      </c>
      <c r="I26" s="797">
        <f t="shared" si="2"/>
        <v>0</v>
      </c>
    </row>
    <row r="27" spans="1:17" x14ac:dyDescent="0.25">
      <c r="A27" s="796" t="s">
        <v>55</v>
      </c>
      <c r="B27" s="792">
        <f>SUMPRODUCT(--(MN!$W$6:$W$15000=0),--(MN!$M$6:$M$15000="Cam Thịnh Tây"))</f>
        <v>0</v>
      </c>
      <c r="C27" s="792">
        <f>SUMPRODUCT(--(MN!$W$6:$W$15000=1),--(MN!$M$6:$M$15000="Cam Thịnh Tây"))</f>
        <v>0</v>
      </c>
      <c r="D27" s="792">
        <f>SUMPRODUCT(--(MN!$W$6:$W$15000=2),--(MN!$M$6:$M$15000="Cam Thịnh Tây"))</f>
        <v>0</v>
      </c>
      <c r="E27" s="792">
        <f>SUMPRODUCT(--(MN!$W$6:$W$15000=3),--(MN!$M$6:$M$15000="Cam Thịnh Tây"))</f>
        <v>0</v>
      </c>
      <c r="F27" s="792">
        <f>SUMPRODUCT(--(MN!$W$6:$W$15000=4),--(MN!$M$6:$M$15000="Cam Thịnh Tây"))</f>
        <v>0</v>
      </c>
      <c r="G27" s="792">
        <f>SUMPRODUCT(--(MN!$W$6:$W$15000=5),--(MN!$M$6:$M$15000="Cam Thịnh Tây"))</f>
        <v>0</v>
      </c>
      <c r="H27" s="792">
        <f>SUMPRODUCT(--(MN!$W$6:$W$15000=6),--(MN!$M$6:$M$15000="Cam Thịnh Tây"))</f>
        <v>0</v>
      </c>
      <c r="I27" s="797">
        <f t="shared" si="2"/>
        <v>0</v>
      </c>
    </row>
    <row r="28" spans="1:17" x14ac:dyDescent="0.25">
      <c r="A28" s="796" t="s">
        <v>59</v>
      </c>
      <c r="B28" s="792">
        <f>SUMPRODUCT(--(MN!$W$6:$W$15000=0),--(MN!$M$6:$M$15000="Cam Lập"))</f>
        <v>0</v>
      </c>
      <c r="C28" s="792">
        <f>SUMPRODUCT(--(MN!$W$6:$W$15000=1),--(MN!$M$6:$M$15000="Cam Lập"))</f>
        <v>0</v>
      </c>
      <c r="D28" s="792">
        <f>SUMPRODUCT(--(MN!$W$6:$W$15000=2),--(MN!$M$6:$M$15000="Cam Lập"))</f>
        <v>0</v>
      </c>
      <c r="E28" s="792">
        <f>SUMPRODUCT(--(MN!$W$6:$W$15000=3),--(MN!$M$6:$M$15000="Cam Lập"))</f>
        <v>0</v>
      </c>
      <c r="F28" s="792">
        <f>SUMPRODUCT(--(MN!$W$6:$W$15000=4),--(MN!$M$6:$M$15000="Cam Lập"))</f>
        <v>0</v>
      </c>
      <c r="G28" s="792">
        <f>SUMPRODUCT(--(MN!$W$6:$W$15000=5),--(MN!$M$6:$M$15000="Cam Lập"))</f>
        <v>0</v>
      </c>
      <c r="H28" s="792">
        <f>SUMPRODUCT(--(MN!$W$6:$W$15000=6),--(MN!$M$6:$M$15000="Cam Lập"))</f>
        <v>0</v>
      </c>
      <c r="I28" s="797">
        <f t="shared" si="2"/>
        <v>0</v>
      </c>
    </row>
    <row r="29" spans="1:17" x14ac:dyDescent="0.25">
      <c r="A29" s="796" t="s">
        <v>64</v>
      </c>
      <c r="B29" s="792">
        <f>SUMPRODUCT(--(MN!$W$6:$W$15000=0),--(MN!$M$6:$M$15000="Cam Bình"))</f>
        <v>0</v>
      </c>
      <c r="C29" s="792">
        <f>SUMPRODUCT(--(MN!$W$6:$W$15000=1),--(MN!$M$6:$M$15000="Cam Bình"))</f>
        <v>0</v>
      </c>
      <c r="D29" s="792">
        <f>SUMPRODUCT(--(MN!$W$6:$W$15000=2),--(MN!$M$6:$M$15000="Cam Bình"))</f>
        <v>0</v>
      </c>
      <c r="E29" s="792">
        <f>SUMPRODUCT(--(MN!$W$6:$W$15000=3),--(MN!$M$6:$M$15000="Cam Bình"))</f>
        <v>0</v>
      </c>
      <c r="F29" s="792">
        <f>SUMPRODUCT(--(MN!$W$6:$W$15000=4),--(MN!$M$6:$M$15000="Cam Bình"))</f>
        <v>0</v>
      </c>
      <c r="G29" s="792">
        <f>SUMPRODUCT(--(MN!$W$6:$W$15000=5),--(MN!$M$6:$M$15000="Cam Bình"))</f>
        <v>0</v>
      </c>
      <c r="H29" s="792">
        <f>SUMPRODUCT(--(MN!$W$6:$W$15000=6),--(MN!$M$6:$M$15000="Cam Bình"))</f>
        <v>0</v>
      </c>
      <c r="I29" s="797">
        <f t="shared" si="2"/>
        <v>0</v>
      </c>
    </row>
    <row r="30" spans="1:17" x14ac:dyDescent="0.25">
      <c r="A30" s="800" t="s">
        <v>878</v>
      </c>
      <c r="B30" s="801">
        <f>SUM(B26:B29)</f>
        <v>0</v>
      </c>
      <c r="C30" s="801">
        <f t="shared" ref="C30:I30" si="21">SUM(C26:C29)</f>
        <v>0</v>
      </c>
      <c r="D30" s="801">
        <f t="shared" si="21"/>
        <v>0</v>
      </c>
      <c r="E30" s="801">
        <f t="shared" si="21"/>
        <v>0</v>
      </c>
      <c r="F30" s="801">
        <f t="shared" si="21"/>
        <v>0</v>
      </c>
      <c r="G30" s="801">
        <f t="shared" si="21"/>
        <v>0</v>
      </c>
      <c r="H30" s="801">
        <f t="shared" si="21"/>
        <v>0</v>
      </c>
      <c r="I30" s="801">
        <f t="shared" si="21"/>
        <v>0</v>
      </c>
    </row>
    <row r="31" spans="1:17" x14ac:dyDescent="0.25">
      <c r="A31" s="61" t="s">
        <v>882</v>
      </c>
      <c r="B31" s="47">
        <f>SUMPRODUCT(--(MN!$W$6:$W$15000=0),--(MN!$M$6:$M$15000="Huyện khác"))</f>
        <v>0</v>
      </c>
      <c r="C31" s="47">
        <f>SUMPRODUCT(--(MN!$W$6:$W$15000=1),--(MN!$M$6:$M$15000="Huyện khác"))</f>
        <v>0</v>
      </c>
      <c r="D31" s="47">
        <f>SUMPRODUCT(--(MN!$W$6:$W$15000=2),--(MN!$M$6:$M$15000="Huyện khác"))</f>
        <v>0</v>
      </c>
      <c r="E31" s="47">
        <f>SUMPRODUCT(--(MN!$W$6:$W$15000=3),--(MN!$M$6:$M$15000="Huyện khác"))</f>
        <v>1</v>
      </c>
      <c r="F31" s="47">
        <f>SUMPRODUCT(--(MN!$W$6:$W$15000=4),--(MN!$M$6:$M$15000="Huyện khác"))</f>
        <v>0</v>
      </c>
      <c r="G31" s="47">
        <f>SUMPRODUCT(--(MN!$W$6:$W$15000=5),--(MN!$M$6:$M$15000="Huyện khác"))</f>
        <v>0</v>
      </c>
      <c r="H31" s="47">
        <f>SUMPRODUCT(--(MN!$W$6:$W$15000=6),--(MN!$M$6:$M$15000="Huyện khác"))</f>
        <v>0</v>
      </c>
      <c r="I31" s="48">
        <f t="shared" si="2"/>
        <v>1</v>
      </c>
    </row>
    <row r="32" spans="1:17" x14ac:dyDescent="0.25">
      <c r="A32" s="61" t="s">
        <v>74</v>
      </c>
      <c r="B32" s="47">
        <f>SUMPRODUCT(--(MN!$W$6:$W$15000=0),--(MN!$M$6:$M$15000="Tỉnh khác"))</f>
        <v>0</v>
      </c>
      <c r="C32" s="47">
        <f>SUMPRODUCT(--(MN!$W$6:$W$15000=1),--(MN!$M$6:$M$15000="Tỉnh khác"))</f>
        <v>0</v>
      </c>
      <c r="D32" s="47">
        <f>SUMPRODUCT(--(MN!$W$6:$W$15000=2),--(MN!$M$6:$M$15000="Tỉnh khác"))</f>
        <v>0</v>
      </c>
      <c r="E32" s="47">
        <f>SUMPRODUCT(--(MN!$W$6:$W$15000=3),--(MN!$M$6:$M$15000="Tỉnh khác"))</f>
        <v>0</v>
      </c>
      <c r="F32" s="47">
        <f>SUMPRODUCT(--(MN!$W$6:$W$15000=4),--(MN!$M$6:$M$15000="Tỉnh khác"))</f>
        <v>0</v>
      </c>
      <c r="G32" s="47">
        <f>SUMPRODUCT(--(MN!$W$6:$W$15000=5),--(MN!$M$6:$M$15000="Tỉnh khác"))</f>
        <v>1</v>
      </c>
      <c r="H32" s="47">
        <f>SUMPRODUCT(--(MN!$W$6:$W$15000=6),--(MN!$M$6:$M$15000="Tỉnh khác"))</f>
        <v>0</v>
      </c>
      <c r="I32" s="48">
        <f t="shared" si="2"/>
        <v>1</v>
      </c>
    </row>
  </sheetData>
  <sheetProtection algorithmName="SHA-512" hashValue="Fv799xyBuoTq3bnFl5+CMIQIt0FtvOWpSCOgYOahNV+rswaYKn63xFh3zEkPIA38U+dJ4vsn2j/h7hfvL1f0QA==" saltValue="Tn5y3PRIwxZ50bQReOVO9w==" spinCount="100000" sheet="1" formatCells="0" formatColumns="0" formatRows="0"/>
  <mergeCells count="7">
    <mergeCell ref="N19:N20"/>
    <mergeCell ref="L20:M20"/>
    <mergeCell ref="A1:D1"/>
    <mergeCell ref="A2:D2"/>
    <mergeCell ref="K2:P2"/>
    <mergeCell ref="I5:I6"/>
    <mergeCell ref="K17:P17"/>
  </mergeCells>
  <conditionalFormatting sqref="O15:P15 L8:N15 L6:Q14">
    <cfRule type="cellIs" dxfId="136" priority="11" stopIfTrue="1" operator="between">
      <formula>0</formula>
      <formula>0</formula>
    </cfRule>
  </conditionalFormatting>
  <conditionalFormatting sqref="I7:I8 I10">
    <cfRule type="cellIs" dxfId="135" priority="10" stopIfTrue="1" operator="between">
      <formula>0</formula>
      <formula>0</formula>
    </cfRule>
  </conditionalFormatting>
  <conditionalFormatting sqref="O21:O24 L21:M24">
    <cfRule type="cellIs" dxfId="134" priority="9" stopIfTrue="1" operator="between">
      <formula>""</formula>
      <formula>""</formula>
    </cfRule>
  </conditionalFormatting>
  <conditionalFormatting sqref="K2">
    <cfRule type="cellIs" dxfId="133" priority="8" stopIfTrue="1" operator="between">
      <formula>"Nhập số Tổng HS lớp 9, Tốt nghiệp THCS năm qua và tiếp tục vào trường THPT!"</formula>
      <formula>"Nhập số Tổng HS lớp 9, Tốt nghiệp THCS năm qua và tiếp tục vào trường THPT!"</formula>
    </cfRule>
  </conditionalFormatting>
  <conditionalFormatting sqref="K2:P2">
    <cfRule type="cellIs" dxfId="132" priority="1" operator="between">
      <formula>"Nhập số trẻ HTCTMN 5 Tuổi và tiếp tục học Tiểu học!"</formula>
      <formula>"Nhập số trẻ HTCTMN 5 Tuổi và tiếp tục học Tiểu học!"</formula>
    </cfRule>
    <cfRule type="cellIs" dxfId="131" priority="5" stopIfTrue="1" operator="between">
      <formula>"Nhập số số trẻ HTCTMN 5 Tuổi và tiếp tục học Tiểu học!"</formula>
      <formula>"Nhập số số trẻ HTCTMN 5 Tuổi và tiếp tục học Tiểu học!"</formula>
    </cfRule>
    <cfRule type="cellIs" dxfId="130" priority="6" stopIfTrue="1" operator="between">
      <formula>"Hoàn thành!"</formula>
      <formula>"Hoàn thành!"</formula>
    </cfRule>
    <cfRule type="cellIs" dxfId="129" priority="7" stopIfTrue="1" operator="between">
      <formula>"Còn lỗi!"</formula>
      <formula>"Còn lỗi!"</formula>
    </cfRule>
  </conditionalFormatting>
  <conditionalFormatting sqref="B7:I10">
    <cfRule type="cellIs" dxfId="128" priority="4" stopIfTrue="1" operator="between">
      <formula>0</formula>
      <formula>0</formula>
    </cfRule>
  </conditionalFormatting>
  <conditionalFormatting sqref="Q15">
    <cfRule type="cellIs" dxfId="126" priority="2" stopIfTrue="1" operator="between">
      <formula>0</formula>
      <formula>0</formula>
    </cfRule>
  </conditionalFormatting>
  <pageMargins left="0.2" right="0.2" top="0.75" bottom="0.75" header="0.3" footer="0.3"/>
  <pageSetup paperSize="9" orientation="portrait" verticalDpi="0"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0"/>
  </sheetPr>
  <dimension ref="A1:AP27"/>
  <sheetViews>
    <sheetView showGridLines="0" showZeros="0" workbookViewId="0">
      <selection activeCell="G4" sqref="G4:J4"/>
    </sheetView>
  </sheetViews>
  <sheetFormatPr defaultRowHeight="15" customHeight="1" x14ac:dyDescent="0.2"/>
  <cols>
    <col min="1" max="1" width="2.625" style="429" customWidth="1"/>
    <col min="2" max="2" width="22" style="429" customWidth="1"/>
    <col min="3" max="5" width="2.875" style="429" customWidth="1"/>
    <col min="6" max="8" width="3.375" style="429" customWidth="1"/>
    <col min="9" max="9" width="4.25" style="429" customWidth="1"/>
    <col min="10" max="10" width="3.875" style="429" customWidth="1"/>
    <col min="11" max="11" width="4.25" style="429" customWidth="1"/>
    <col min="12" max="22" width="3.375" style="429" customWidth="1"/>
    <col min="23" max="23" width="4" style="429" customWidth="1"/>
    <col min="24" max="24" width="3.375" style="429" customWidth="1"/>
    <col min="25" max="25" width="5.25" style="429" customWidth="1"/>
    <col min="26" max="40" width="3.375" style="429" customWidth="1"/>
    <col min="41" max="41" width="3.5" style="429" customWidth="1"/>
    <col min="42" max="42" width="9" style="428" hidden="1" customWidth="1"/>
    <col min="43" max="256" width="9" style="429"/>
    <col min="257" max="257" width="2.625" style="429" customWidth="1"/>
    <col min="258" max="258" width="18.375" style="429" customWidth="1"/>
    <col min="259" max="261" width="2.875" style="429" customWidth="1"/>
    <col min="262" max="263" width="3.375" style="429" customWidth="1"/>
    <col min="264" max="264" width="3.75" style="429" customWidth="1"/>
    <col min="265" max="265" width="3.375" style="429" customWidth="1"/>
    <col min="266" max="266" width="3.875" style="429" customWidth="1"/>
    <col min="267" max="267" width="4.25" style="429" customWidth="1"/>
    <col min="268" max="278" width="3.375" style="429" customWidth="1"/>
    <col min="279" max="279" width="4" style="429" customWidth="1"/>
    <col min="280" max="296" width="3.375" style="429" customWidth="1"/>
    <col min="297" max="297" width="3.5" style="429" customWidth="1"/>
    <col min="298" max="512" width="9" style="429"/>
    <col min="513" max="513" width="2.625" style="429" customWidth="1"/>
    <col min="514" max="514" width="18.375" style="429" customWidth="1"/>
    <col min="515" max="517" width="2.875" style="429" customWidth="1"/>
    <col min="518" max="519" width="3.375" style="429" customWidth="1"/>
    <col min="520" max="520" width="3.75" style="429" customWidth="1"/>
    <col min="521" max="521" width="3.375" style="429" customWidth="1"/>
    <col min="522" max="522" width="3.875" style="429" customWidth="1"/>
    <col min="523" max="523" width="4.25" style="429" customWidth="1"/>
    <col min="524" max="534" width="3.375" style="429" customWidth="1"/>
    <col min="535" max="535" width="4" style="429" customWidth="1"/>
    <col min="536" max="552" width="3.375" style="429" customWidth="1"/>
    <col min="553" max="553" width="3.5" style="429" customWidth="1"/>
    <col min="554" max="768" width="9" style="429"/>
    <col min="769" max="769" width="2.625" style="429" customWidth="1"/>
    <col min="770" max="770" width="18.375" style="429" customWidth="1"/>
    <col min="771" max="773" width="2.875" style="429" customWidth="1"/>
    <col min="774" max="775" width="3.375" style="429" customWidth="1"/>
    <col min="776" max="776" width="3.75" style="429" customWidth="1"/>
    <col min="777" max="777" width="3.375" style="429" customWidth="1"/>
    <col min="778" max="778" width="3.875" style="429" customWidth="1"/>
    <col min="779" max="779" width="4.25" style="429" customWidth="1"/>
    <col min="780" max="790" width="3.375" style="429" customWidth="1"/>
    <col min="791" max="791" width="4" style="429" customWidth="1"/>
    <col min="792" max="808" width="3.375" style="429" customWidth="1"/>
    <col min="809" max="809" width="3.5" style="429" customWidth="1"/>
    <col min="810" max="1024" width="9" style="429"/>
    <col min="1025" max="1025" width="2.625" style="429" customWidth="1"/>
    <col min="1026" max="1026" width="18.375" style="429" customWidth="1"/>
    <col min="1027" max="1029" width="2.875" style="429" customWidth="1"/>
    <col min="1030" max="1031" width="3.375" style="429" customWidth="1"/>
    <col min="1032" max="1032" width="3.75" style="429" customWidth="1"/>
    <col min="1033" max="1033" width="3.375" style="429" customWidth="1"/>
    <col min="1034" max="1034" width="3.875" style="429" customWidth="1"/>
    <col min="1035" max="1035" width="4.25" style="429" customWidth="1"/>
    <col min="1036" max="1046" width="3.375" style="429" customWidth="1"/>
    <col min="1047" max="1047" width="4" style="429" customWidth="1"/>
    <col min="1048" max="1064" width="3.375" style="429" customWidth="1"/>
    <col min="1065" max="1065" width="3.5" style="429" customWidth="1"/>
    <col min="1066" max="1280" width="9" style="429"/>
    <col min="1281" max="1281" width="2.625" style="429" customWidth="1"/>
    <col min="1282" max="1282" width="18.375" style="429" customWidth="1"/>
    <col min="1283" max="1285" width="2.875" style="429" customWidth="1"/>
    <col min="1286" max="1287" width="3.375" style="429" customWidth="1"/>
    <col min="1288" max="1288" width="3.75" style="429" customWidth="1"/>
    <col min="1289" max="1289" width="3.375" style="429" customWidth="1"/>
    <col min="1290" max="1290" width="3.875" style="429" customWidth="1"/>
    <col min="1291" max="1291" width="4.25" style="429" customWidth="1"/>
    <col min="1292" max="1302" width="3.375" style="429" customWidth="1"/>
    <col min="1303" max="1303" width="4" style="429" customWidth="1"/>
    <col min="1304" max="1320" width="3.375" style="429" customWidth="1"/>
    <col min="1321" max="1321" width="3.5" style="429" customWidth="1"/>
    <col min="1322" max="1536" width="9" style="429"/>
    <col min="1537" max="1537" width="2.625" style="429" customWidth="1"/>
    <col min="1538" max="1538" width="18.375" style="429" customWidth="1"/>
    <col min="1539" max="1541" width="2.875" style="429" customWidth="1"/>
    <col min="1542" max="1543" width="3.375" style="429" customWidth="1"/>
    <col min="1544" max="1544" width="3.75" style="429" customWidth="1"/>
    <col min="1545" max="1545" width="3.375" style="429" customWidth="1"/>
    <col min="1546" max="1546" width="3.875" style="429" customWidth="1"/>
    <col min="1547" max="1547" width="4.25" style="429" customWidth="1"/>
    <col min="1548" max="1558" width="3.375" style="429" customWidth="1"/>
    <col min="1559" max="1559" width="4" style="429" customWidth="1"/>
    <col min="1560" max="1576" width="3.375" style="429" customWidth="1"/>
    <col min="1577" max="1577" width="3.5" style="429" customWidth="1"/>
    <col min="1578" max="1792" width="9" style="429"/>
    <col min="1793" max="1793" width="2.625" style="429" customWidth="1"/>
    <col min="1794" max="1794" width="18.375" style="429" customWidth="1"/>
    <col min="1795" max="1797" width="2.875" style="429" customWidth="1"/>
    <col min="1798" max="1799" width="3.375" style="429" customWidth="1"/>
    <col min="1800" max="1800" width="3.75" style="429" customWidth="1"/>
    <col min="1801" max="1801" width="3.375" style="429" customWidth="1"/>
    <col min="1802" max="1802" width="3.875" style="429" customWidth="1"/>
    <col min="1803" max="1803" width="4.25" style="429" customWidth="1"/>
    <col min="1804" max="1814" width="3.375" style="429" customWidth="1"/>
    <col min="1815" max="1815" width="4" style="429" customWidth="1"/>
    <col min="1816" max="1832" width="3.375" style="429" customWidth="1"/>
    <col min="1833" max="1833" width="3.5" style="429" customWidth="1"/>
    <col min="1834" max="2048" width="9" style="429"/>
    <col min="2049" max="2049" width="2.625" style="429" customWidth="1"/>
    <col min="2050" max="2050" width="18.375" style="429" customWidth="1"/>
    <col min="2051" max="2053" width="2.875" style="429" customWidth="1"/>
    <col min="2054" max="2055" width="3.375" style="429" customWidth="1"/>
    <col min="2056" max="2056" width="3.75" style="429" customWidth="1"/>
    <col min="2057" max="2057" width="3.375" style="429" customWidth="1"/>
    <col min="2058" max="2058" width="3.875" style="429" customWidth="1"/>
    <col min="2059" max="2059" width="4.25" style="429" customWidth="1"/>
    <col min="2060" max="2070" width="3.375" style="429" customWidth="1"/>
    <col min="2071" max="2071" width="4" style="429" customWidth="1"/>
    <col min="2072" max="2088" width="3.375" style="429" customWidth="1"/>
    <col min="2089" max="2089" width="3.5" style="429" customWidth="1"/>
    <col min="2090" max="2304" width="9" style="429"/>
    <col min="2305" max="2305" width="2.625" style="429" customWidth="1"/>
    <col min="2306" max="2306" width="18.375" style="429" customWidth="1"/>
    <col min="2307" max="2309" width="2.875" style="429" customWidth="1"/>
    <col min="2310" max="2311" width="3.375" style="429" customWidth="1"/>
    <col min="2312" max="2312" width="3.75" style="429" customWidth="1"/>
    <col min="2313" max="2313" width="3.375" style="429" customWidth="1"/>
    <col min="2314" max="2314" width="3.875" style="429" customWidth="1"/>
    <col min="2315" max="2315" width="4.25" style="429" customWidth="1"/>
    <col min="2316" max="2326" width="3.375" style="429" customWidth="1"/>
    <col min="2327" max="2327" width="4" style="429" customWidth="1"/>
    <col min="2328" max="2344" width="3.375" style="429" customWidth="1"/>
    <col min="2345" max="2345" width="3.5" style="429" customWidth="1"/>
    <col min="2346" max="2560" width="9" style="429"/>
    <col min="2561" max="2561" width="2.625" style="429" customWidth="1"/>
    <col min="2562" max="2562" width="18.375" style="429" customWidth="1"/>
    <col min="2563" max="2565" width="2.875" style="429" customWidth="1"/>
    <col min="2566" max="2567" width="3.375" style="429" customWidth="1"/>
    <col min="2568" max="2568" width="3.75" style="429" customWidth="1"/>
    <col min="2569" max="2569" width="3.375" style="429" customWidth="1"/>
    <col min="2570" max="2570" width="3.875" style="429" customWidth="1"/>
    <col min="2571" max="2571" width="4.25" style="429" customWidth="1"/>
    <col min="2572" max="2582" width="3.375" style="429" customWidth="1"/>
    <col min="2583" max="2583" width="4" style="429" customWidth="1"/>
    <col min="2584" max="2600" width="3.375" style="429" customWidth="1"/>
    <col min="2601" max="2601" width="3.5" style="429" customWidth="1"/>
    <col min="2602" max="2816" width="9" style="429"/>
    <col min="2817" max="2817" width="2.625" style="429" customWidth="1"/>
    <col min="2818" max="2818" width="18.375" style="429" customWidth="1"/>
    <col min="2819" max="2821" width="2.875" style="429" customWidth="1"/>
    <col min="2822" max="2823" width="3.375" style="429" customWidth="1"/>
    <col min="2824" max="2824" width="3.75" style="429" customWidth="1"/>
    <col min="2825" max="2825" width="3.375" style="429" customWidth="1"/>
    <col min="2826" max="2826" width="3.875" style="429" customWidth="1"/>
    <col min="2827" max="2827" width="4.25" style="429" customWidth="1"/>
    <col min="2828" max="2838" width="3.375" style="429" customWidth="1"/>
    <col min="2839" max="2839" width="4" style="429" customWidth="1"/>
    <col min="2840" max="2856" width="3.375" style="429" customWidth="1"/>
    <col min="2857" max="2857" width="3.5" style="429" customWidth="1"/>
    <col min="2858" max="3072" width="9" style="429"/>
    <col min="3073" max="3073" width="2.625" style="429" customWidth="1"/>
    <col min="3074" max="3074" width="18.375" style="429" customWidth="1"/>
    <col min="3075" max="3077" width="2.875" style="429" customWidth="1"/>
    <col min="3078" max="3079" width="3.375" style="429" customWidth="1"/>
    <col min="3080" max="3080" width="3.75" style="429" customWidth="1"/>
    <col min="3081" max="3081" width="3.375" style="429" customWidth="1"/>
    <col min="3082" max="3082" width="3.875" style="429" customWidth="1"/>
    <col min="3083" max="3083" width="4.25" style="429" customWidth="1"/>
    <col min="3084" max="3094" width="3.375" style="429" customWidth="1"/>
    <col min="3095" max="3095" width="4" style="429" customWidth="1"/>
    <col min="3096" max="3112" width="3.375" style="429" customWidth="1"/>
    <col min="3113" max="3113" width="3.5" style="429" customWidth="1"/>
    <col min="3114" max="3328" width="9" style="429"/>
    <col min="3329" max="3329" width="2.625" style="429" customWidth="1"/>
    <col min="3330" max="3330" width="18.375" style="429" customWidth="1"/>
    <col min="3331" max="3333" width="2.875" style="429" customWidth="1"/>
    <col min="3334" max="3335" width="3.375" style="429" customWidth="1"/>
    <col min="3336" max="3336" width="3.75" style="429" customWidth="1"/>
    <col min="3337" max="3337" width="3.375" style="429" customWidth="1"/>
    <col min="3338" max="3338" width="3.875" style="429" customWidth="1"/>
    <col min="3339" max="3339" width="4.25" style="429" customWidth="1"/>
    <col min="3340" max="3350" width="3.375" style="429" customWidth="1"/>
    <col min="3351" max="3351" width="4" style="429" customWidth="1"/>
    <col min="3352" max="3368" width="3.375" style="429" customWidth="1"/>
    <col min="3369" max="3369" width="3.5" style="429" customWidth="1"/>
    <col min="3370" max="3584" width="9" style="429"/>
    <col min="3585" max="3585" width="2.625" style="429" customWidth="1"/>
    <col min="3586" max="3586" width="18.375" style="429" customWidth="1"/>
    <col min="3587" max="3589" width="2.875" style="429" customWidth="1"/>
    <col min="3590" max="3591" width="3.375" style="429" customWidth="1"/>
    <col min="3592" max="3592" width="3.75" style="429" customWidth="1"/>
    <col min="3593" max="3593" width="3.375" style="429" customWidth="1"/>
    <col min="3594" max="3594" width="3.875" style="429" customWidth="1"/>
    <col min="3595" max="3595" width="4.25" style="429" customWidth="1"/>
    <col min="3596" max="3606" width="3.375" style="429" customWidth="1"/>
    <col min="3607" max="3607" width="4" style="429" customWidth="1"/>
    <col min="3608" max="3624" width="3.375" style="429" customWidth="1"/>
    <col min="3625" max="3625" width="3.5" style="429" customWidth="1"/>
    <col min="3626" max="3840" width="9" style="429"/>
    <col min="3841" max="3841" width="2.625" style="429" customWidth="1"/>
    <col min="3842" max="3842" width="18.375" style="429" customWidth="1"/>
    <col min="3843" max="3845" width="2.875" style="429" customWidth="1"/>
    <col min="3846" max="3847" width="3.375" style="429" customWidth="1"/>
    <col min="3848" max="3848" width="3.75" style="429" customWidth="1"/>
    <col min="3849" max="3849" width="3.375" style="429" customWidth="1"/>
    <col min="3850" max="3850" width="3.875" style="429" customWidth="1"/>
    <col min="3851" max="3851" width="4.25" style="429" customWidth="1"/>
    <col min="3852" max="3862" width="3.375" style="429" customWidth="1"/>
    <col min="3863" max="3863" width="4" style="429" customWidth="1"/>
    <col min="3864" max="3880" width="3.375" style="429" customWidth="1"/>
    <col min="3881" max="3881" width="3.5" style="429" customWidth="1"/>
    <col min="3882" max="4096" width="9" style="429"/>
    <col min="4097" max="4097" width="2.625" style="429" customWidth="1"/>
    <col min="4098" max="4098" width="18.375" style="429" customWidth="1"/>
    <col min="4099" max="4101" width="2.875" style="429" customWidth="1"/>
    <col min="4102" max="4103" width="3.375" style="429" customWidth="1"/>
    <col min="4104" max="4104" width="3.75" style="429" customWidth="1"/>
    <col min="4105" max="4105" width="3.375" style="429" customWidth="1"/>
    <col min="4106" max="4106" width="3.875" style="429" customWidth="1"/>
    <col min="4107" max="4107" width="4.25" style="429" customWidth="1"/>
    <col min="4108" max="4118" width="3.375" style="429" customWidth="1"/>
    <col min="4119" max="4119" width="4" style="429" customWidth="1"/>
    <col min="4120" max="4136" width="3.375" style="429" customWidth="1"/>
    <col min="4137" max="4137" width="3.5" style="429" customWidth="1"/>
    <col min="4138" max="4352" width="9" style="429"/>
    <col min="4353" max="4353" width="2.625" style="429" customWidth="1"/>
    <col min="4354" max="4354" width="18.375" style="429" customWidth="1"/>
    <col min="4355" max="4357" width="2.875" style="429" customWidth="1"/>
    <col min="4358" max="4359" width="3.375" style="429" customWidth="1"/>
    <col min="4360" max="4360" width="3.75" style="429" customWidth="1"/>
    <col min="4361" max="4361" width="3.375" style="429" customWidth="1"/>
    <col min="4362" max="4362" width="3.875" style="429" customWidth="1"/>
    <col min="4363" max="4363" width="4.25" style="429" customWidth="1"/>
    <col min="4364" max="4374" width="3.375" style="429" customWidth="1"/>
    <col min="4375" max="4375" width="4" style="429" customWidth="1"/>
    <col min="4376" max="4392" width="3.375" style="429" customWidth="1"/>
    <col min="4393" max="4393" width="3.5" style="429" customWidth="1"/>
    <col min="4394" max="4608" width="9" style="429"/>
    <col min="4609" max="4609" width="2.625" style="429" customWidth="1"/>
    <col min="4610" max="4610" width="18.375" style="429" customWidth="1"/>
    <col min="4611" max="4613" width="2.875" style="429" customWidth="1"/>
    <col min="4614" max="4615" width="3.375" style="429" customWidth="1"/>
    <col min="4616" max="4616" width="3.75" style="429" customWidth="1"/>
    <col min="4617" max="4617" width="3.375" style="429" customWidth="1"/>
    <col min="4618" max="4618" width="3.875" style="429" customWidth="1"/>
    <col min="4619" max="4619" width="4.25" style="429" customWidth="1"/>
    <col min="4620" max="4630" width="3.375" style="429" customWidth="1"/>
    <col min="4631" max="4631" width="4" style="429" customWidth="1"/>
    <col min="4632" max="4648" width="3.375" style="429" customWidth="1"/>
    <col min="4649" max="4649" width="3.5" style="429" customWidth="1"/>
    <col min="4650" max="4864" width="9" style="429"/>
    <col min="4865" max="4865" width="2.625" style="429" customWidth="1"/>
    <col min="4866" max="4866" width="18.375" style="429" customWidth="1"/>
    <col min="4867" max="4869" width="2.875" style="429" customWidth="1"/>
    <col min="4870" max="4871" width="3.375" style="429" customWidth="1"/>
    <col min="4872" max="4872" width="3.75" style="429" customWidth="1"/>
    <col min="4873" max="4873" width="3.375" style="429" customWidth="1"/>
    <col min="4874" max="4874" width="3.875" style="429" customWidth="1"/>
    <col min="4875" max="4875" width="4.25" style="429" customWidth="1"/>
    <col min="4876" max="4886" width="3.375" style="429" customWidth="1"/>
    <col min="4887" max="4887" width="4" style="429" customWidth="1"/>
    <col min="4888" max="4904" width="3.375" style="429" customWidth="1"/>
    <col min="4905" max="4905" width="3.5" style="429" customWidth="1"/>
    <col min="4906" max="5120" width="9" style="429"/>
    <col min="5121" max="5121" width="2.625" style="429" customWidth="1"/>
    <col min="5122" max="5122" width="18.375" style="429" customWidth="1"/>
    <col min="5123" max="5125" width="2.875" style="429" customWidth="1"/>
    <col min="5126" max="5127" width="3.375" style="429" customWidth="1"/>
    <col min="5128" max="5128" width="3.75" style="429" customWidth="1"/>
    <col min="5129" max="5129" width="3.375" style="429" customWidth="1"/>
    <col min="5130" max="5130" width="3.875" style="429" customWidth="1"/>
    <col min="5131" max="5131" width="4.25" style="429" customWidth="1"/>
    <col min="5132" max="5142" width="3.375" style="429" customWidth="1"/>
    <col min="5143" max="5143" width="4" style="429" customWidth="1"/>
    <col min="5144" max="5160" width="3.375" style="429" customWidth="1"/>
    <col min="5161" max="5161" width="3.5" style="429" customWidth="1"/>
    <col min="5162" max="5376" width="9" style="429"/>
    <col min="5377" max="5377" width="2.625" style="429" customWidth="1"/>
    <col min="5378" max="5378" width="18.375" style="429" customWidth="1"/>
    <col min="5379" max="5381" width="2.875" style="429" customWidth="1"/>
    <col min="5382" max="5383" width="3.375" style="429" customWidth="1"/>
    <col min="5384" max="5384" width="3.75" style="429" customWidth="1"/>
    <col min="5385" max="5385" width="3.375" style="429" customWidth="1"/>
    <col min="5386" max="5386" width="3.875" style="429" customWidth="1"/>
    <col min="5387" max="5387" width="4.25" style="429" customWidth="1"/>
    <col min="5388" max="5398" width="3.375" style="429" customWidth="1"/>
    <col min="5399" max="5399" width="4" style="429" customWidth="1"/>
    <col min="5400" max="5416" width="3.375" style="429" customWidth="1"/>
    <col min="5417" max="5417" width="3.5" style="429" customWidth="1"/>
    <col min="5418" max="5632" width="9" style="429"/>
    <col min="5633" max="5633" width="2.625" style="429" customWidth="1"/>
    <col min="5634" max="5634" width="18.375" style="429" customWidth="1"/>
    <col min="5635" max="5637" width="2.875" style="429" customWidth="1"/>
    <col min="5638" max="5639" width="3.375" style="429" customWidth="1"/>
    <col min="5640" max="5640" width="3.75" style="429" customWidth="1"/>
    <col min="5641" max="5641" width="3.375" style="429" customWidth="1"/>
    <col min="5642" max="5642" width="3.875" style="429" customWidth="1"/>
    <col min="5643" max="5643" width="4.25" style="429" customWidth="1"/>
    <col min="5644" max="5654" width="3.375" style="429" customWidth="1"/>
    <col min="5655" max="5655" width="4" style="429" customWidth="1"/>
    <col min="5656" max="5672" width="3.375" style="429" customWidth="1"/>
    <col min="5673" max="5673" width="3.5" style="429" customWidth="1"/>
    <col min="5674" max="5888" width="9" style="429"/>
    <col min="5889" max="5889" width="2.625" style="429" customWidth="1"/>
    <col min="5890" max="5890" width="18.375" style="429" customWidth="1"/>
    <col min="5891" max="5893" width="2.875" style="429" customWidth="1"/>
    <col min="5894" max="5895" width="3.375" style="429" customWidth="1"/>
    <col min="5896" max="5896" width="3.75" style="429" customWidth="1"/>
    <col min="5897" max="5897" width="3.375" style="429" customWidth="1"/>
    <col min="5898" max="5898" width="3.875" style="429" customWidth="1"/>
    <col min="5899" max="5899" width="4.25" style="429" customWidth="1"/>
    <col min="5900" max="5910" width="3.375" style="429" customWidth="1"/>
    <col min="5911" max="5911" width="4" style="429" customWidth="1"/>
    <col min="5912" max="5928" width="3.375" style="429" customWidth="1"/>
    <col min="5929" max="5929" width="3.5" style="429" customWidth="1"/>
    <col min="5930" max="6144" width="9" style="429"/>
    <col min="6145" max="6145" width="2.625" style="429" customWidth="1"/>
    <col min="6146" max="6146" width="18.375" style="429" customWidth="1"/>
    <col min="6147" max="6149" width="2.875" style="429" customWidth="1"/>
    <col min="6150" max="6151" width="3.375" style="429" customWidth="1"/>
    <col min="6152" max="6152" width="3.75" style="429" customWidth="1"/>
    <col min="6153" max="6153" width="3.375" style="429" customWidth="1"/>
    <col min="6154" max="6154" width="3.875" style="429" customWidth="1"/>
    <col min="6155" max="6155" width="4.25" style="429" customWidth="1"/>
    <col min="6156" max="6166" width="3.375" style="429" customWidth="1"/>
    <col min="6167" max="6167" width="4" style="429" customWidth="1"/>
    <col min="6168" max="6184" width="3.375" style="429" customWidth="1"/>
    <col min="6185" max="6185" width="3.5" style="429" customWidth="1"/>
    <col min="6186" max="6400" width="9" style="429"/>
    <col min="6401" max="6401" width="2.625" style="429" customWidth="1"/>
    <col min="6402" max="6402" width="18.375" style="429" customWidth="1"/>
    <col min="6403" max="6405" width="2.875" style="429" customWidth="1"/>
    <col min="6406" max="6407" width="3.375" style="429" customWidth="1"/>
    <col min="6408" max="6408" width="3.75" style="429" customWidth="1"/>
    <col min="6409" max="6409" width="3.375" style="429" customWidth="1"/>
    <col min="6410" max="6410" width="3.875" style="429" customWidth="1"/>
    <col min="6411" max="6411" width="4.25" style="429" customWidth="1"/>
    <col min="6412" max="6422" width="3.375" style="429" customWidth="1"/>
    <col min="6423" max="6423" width="4" style="429" customWidth="1"/>
    <col min="6424" max="6440" width="3.375" style="429" customWidth="1"/>
    <col min="6441" max="6441" width="3.5" style="429" customWidth="1"/>
    <col min="6442" max="6656" width="9" style="429"/>
    <col min="6657" max="6657" width="2.625" style="429" customWidth="1"/>
    <col min="6658" max="6658" width="18.375" style="429" customWidth="1"/>
    <col min="6659" max="6661" width="2.875" style="429" customWidth="1"/>
    <col min="6662" max="6663" width="3.375" style="429" customWidth="1"/>
    <col min="6664" max="6664" width="3.75" style="429" customWidth="1"/>
    <col min="6665" max="6665" width="3.375" style="429" customWidth="1"/>
    <col min="6666" max="6666" width="3.875" style="429" customWidth="1"/>
    <col min="6667" max="6667" width="4.25" style="429" customWidth="1"/>
    <col min="6668" max="6678" width="3.375" style="429" customWidth="1"/>
    <col min="6679" max="6679" width="4" style="429" customWidth="1"/>
    <col min="6680" max="6696" width="3.375" style="429" customWidth="1"/>
    <col min="6697" max="6697" width="3.5" style="429" customWidth="1"/>
    <col min="6698" max="6912" width="9" style="429"/>
    <col min="6913" max="6913" width="2.625" style="429" customWidth="1"/>
    <col min="6914" max="6914" width="18.375" style="429" customWidth="1"/>
    <col min="6915" max="6917" width="2.875" style="429" customWidth="1"/>
    <col min="6918" max="6919" width="3.375" style="429" customWidth="1"/>
    <col min="6920" max="6920" width="3.75" style="429" customWidth="1"/>
    <col min="6921" max="6921" width="3.375" style="429" customWidth="1"/>
    <col min="6922" max="6922" width="3.875" style="429" customWidth="1"/>
    <col min="6923" max="6923" width="4.25" style="429" customWidth="1"/>
    <col min="6924" max="6934" width="3.375" style="429" customWidth="1"/>
    <col min="6935" max="6935" width="4" style="429" customWidth="1"/>
    <col min="6936" max="6952" width="3.375" style="429" customWidth="1"/>
    <col min="6953" max="6953" width="3.5" style="429" customWidth="1"/>
    <col min="6954" max="7168" width="9" style="429"/>
    <col min="7169" max="7169" width="2.625" style="429" customWidth="1"/>
    <col min="7170" max="7170" width="18.375" style="429" customWidth="1"/>
    <col min="7171" max="7173" width="2.875" style="429" customWidth="1"/>
    <col min="7174" max="7175" width="3.375" style="429" customWidth="1"/>
    <col min="7176" max="7176" width="3.75" style="429" customWidth="1"/>
    <col min="7177" max="7177" width="3.375" style="429" customWidth="1"/>
    <col min="7178" max="7178" width="3.875" style="429" customWidth="1"/>
    <col min="7179" max="7179" width="4.25" style="429" customWidth="1"/>
    <col min="7180" max="7190" width="3.375" style="429" customWidth="1"/>
    <col min="7191" max="7191" width="4" style="429" customWidth="1"/>
    <col min="7192" max="7208" width="3.375" style="429" customWidth="1"/>
    <col min="7209" max="7209" width="3.5" style="429" customWidth="1"/>
    <col min="7210" max="7424" width="9" style="429"/>
    <col min="7425" max="7425" width="2.625" style="429" customWidth="1"/>
    <col min="7426" max="7426" width="18.375" style="429" customWidth="1"/>
    <col min="7427" max="7429" width="2.875" style="429" customWidth="1"/>
    <col min="7430" max="7431" width="3.375" style="429" customWidth="1"/>
    <col min="7432" max="7432" width="3.75" style="429" customWidth="1"/>
    <col min="7433" max="7433" width="3.375" style="429" customWidth="1"/>
    <col min="7434" max="7434" width="3.875" style="429" customWidth="1"/>
    <col min="7435" max="7435" width="4.25" style="429" customWidth="1"/>
    <col min="7436" max="7446" width="3.375" style="429" customWidth="1"/>
    <col min="7447" max="7447" width="4" style="429" customWidth="1"/>
    <col min="7448" max="7464" width="3.375" style="429" customWidth="1"/>
    <col min="7465" max="7465" width="3.5" style="429" customWidth="1"/>
    <col min="7466" max="7680" width="9" style="429"/>
    <col min="7681" max="7681" width="2.625" style="429" customWidth="1"/>
    <col min="7682" max="7682" width="18.375" style="429" customWidth="1"/>
    <col min="7683" max="7685" width="2.875" style="429" customWidth="1"/>
    <col min="7686" max="7687" width="3.375" style="429" customWidth="1"/>
    <col min="7688" max="7688" width="3.75" style="429" customWidth="1"/>
    <col min="7689" max="7689" width="3.375" style="429" customWidth="1"/>
    <col min="7690" max="7690" width="3.875" style="429" customWidth="1"/>
    <col min="7691" max="7691" width="4.25" style="429" customWidth="1"/>
    <col min="7692" max="7702" width="3.375" style="429" customWidth="1"/>
    <col min="7703" max="7703" width="4" style="429" customWidth="1"/>
    <col min="7704" max="7720" width="3.375" style="429" customWidth="1"/>
    <col min="7721" max="7721" width="3.5" style="429" customWidth="1"/>
    <col min="7722" max="7936" width="9" style="429"/>
    <col min="7937" max="7937" width="2.625" style="429" customWidth="1"/>
    <col min="7938" max="7938" width="18.375" style="429" customWidth="1"/>
    <col min="7939" max="7941" width="2.875" style="429" customWidth="1"/>
    <col min="7942" max="7943" width="3.375" style="429" customWidth="1"/>
    <col min="7944" max="7944" width="3.75" style="429" customWidth="1"/>
    <col min="7945" max="7945" width="3.375" style="429" customWidth="1"/>
    <col min="7946" max="7946" width="3.875" style="429" customWidth="1"/>
    <col min="7947" max="7947" width="4.25" style="429" customWidth="1"/>
    <col min="7948" max="7958" width="3.375" style="429" customWidth="1"/>
    <col min="7959" max="7959" width="4" style="429" customWidth="1"/>
    <col min="7960" max="7976" width="3.375" style="429" customWidth="1"/>
    <col min="7977" max="7977" width="3.5" style="429" customWidth="1"/>
    <col min="7978" max="8192" width="9" style="429"/>
    <col min="8193" max="8193" width="2.625" style="429" customWidth="1"/>
    <col min="8194" max="8194" width="18.375" style="429" customWidth="1"/>
    <col min="8195" max="8197" width="2.875" style="429" customWidth="1"/>
    <col min="8198" max="8199" width="3.375" style="429" customWidth="1"/>
    <col min="8200" max="8200" width="3.75" style="429" customWidth="1"/>
    <col min="8201" max="8201" width="3.375" style="429" customWidth="1"/>
    <col min="8202" max="8202" width="3.875" style="429" customWidth="1"/>
    <col min="8203" max="8203" width="4.25" style="429" customWidth="1"/>
    <col min="8204" max="8214" width="3.375" style="429" customWidth="1"/>
    <col min="8215" max="8215" width="4" style="429" customWidth="1"/>
    <col min="8216" max="8232" width="3.375" style="429" customWidth="1"/>
    <col min="8233" max="8233" width="3.5" style="429" customWidth="1"/>
    <col min="8234" max="8448" width="9" style="429"/>
    <col min="8449" max="8449" width="2.625" style="429" customWidth="1"/>
    <col min="8450" max="8450" width="18.375" style="429" customWidth="1"/>
    <col min="8451" max="8453" width="2.875" style="429" customWidth="1"/>
    <col min="8454" max="8455" width="3.375" style="429" customWidth="1"/>
    <col min="8456" max="8456" width="3.75" style="429" customWidth="1"/>
    <col min="8457" max="8457" width="3.375" style="429" customWidth="1"/>
    <col min="8458" max="8458" width="3.875" style="429" customWidth="1"/>
    <col min="8459" max="8459" width="4.25" style="429" customWidth="1"/>
    <col min="8460" max="8470" width="3.375" style="429" customWidth="1"/>
    <col min="8471" max="8471" width="4" style="429" customWidth="1"/>
    <col min="8472" max="8488" width="3.375" style="429" customWidth="1"/>
    <col min="8489" max="8489" width="3.5" style="429" customWidth="1"/>
    <col min="8490" max="8704" width="9" style="429"/>
    <col min="8705" max="8705" width="2.625" style="429" customWidth="1"/>
    <col min="8706" max="8706" width="18.375" style="429" customWidth="1"/>
    <col min="8707" max="8709" width="2.875" style="429" customWidth="1"/>
    <col min="8710" max="8711" width="3.375" style="429" customWidth="1"/>
    <col min="8712" max="8712" width="3.75" style="429" customWidth="1"/>
    <col min="8713" max="8713" width="3.375" style="429" customWidth="1"/>
    <col min="8714" max="8714" width="3.875" style="429" customWidth="1"/>
    <col min="8715" max="8715" width="4.25" style="429" customWidth="1"/>
    <col min="8716" max="8726" width="3.375" style="429" customWidth="1"/>
    <col min="8727" max="8727" width="4" style="429" customWidth="1"/>
    <col min="8728" max="8744" width="3.375" style="429" customWidth="1"/>
    <col min="8745" max="8745" width="3.5" style="429" customWidth="1"/>
    <col min="8746" max="8960" width="9" style="429"/>
    <col min="8961" max="8961" width="2.625" style="429" customWidth="1"/>
    <col min="8962" max="8962" width="18.375" style="429" customWidth="1"/>
    <col min="8963" max="8965" width="2.875" style="429" customWidth="1"/>
    <col min="8966" max="8967" width="3.375" style="429" customWidth="1"/>
    <col min="8968" max="8968" width="3.75" style="429" customWidth="1"/>
    <col min="8969" max="8969" width="3.375" style="429" customWidth="1"/>
    <col min="8970" max="8970" width="3.875" style="429" customWidth="1"/>
    <col min="8971" max="8971" width="4.25" style="429" customWidth="1"/>
    <col min="8972" max="8982" width="3.375" style="429" customWidth="1"/>
    <col min="8983" max="8983" width="4" style="429" customWidth="1"/>
    <col min="8984" max="9000" width="3.375" style="429" customWidth="1"/>
    <col min="9001" max="9001" width="3.5" style="429" customWidth="1"/>
    <col min="9002" max="9216" width="9" style="429"/>
    <col min="9217" max="9217" width="2.625" style="429" customWidth="1"/>
    <col min="9218" max="9218" width="18.375" style="429" customWidth="1"/>
    <col min="9219" max="9221" width="2.875" style="429" customWidth="1"/>
    <col min="9222" max="9223" width="3.375" style="429" customWidth="1"/>
    <col min="9224" max="9224" width="3.75" style="429" customWidth="1"/>
    <col min="9225" max="9225" width="3.375" style="429" customWidth="1"/>
    <col min="9226" max="9226" width="3.875" style="429" customWidth="1"/>
    <col min="9227" max="9227" width="4.25" style="429" customWidth="1"/>
    <col min="9228" max="9238" width="3.375" style="429" customWidth="1"/>
    <col min="9239" max="9239" width="4" style="429" customWidth="1"/>
    <col min="9240" max="9256" width="3.375" style="429" customWidth="1"/>
    <col min="9257" max="9257" width="3.5" style="429" customWidth="1"/>
    <col min="9258" max="9472" width="9" style="429"/>
    <col min="9473" max="9473" width="2.625" style="429" customWidth="1"/>
    <col min="9474" max="9474" width="18.375" style="429" customWidth="1"/>
    <col min="9475" max="9477" width="2.875" style="429" customWidth="1"/>
    <col min="9478" max="9479" width="3.375" style="429" customWidth="1"/>
    <col min="9480" max="9480" width="3.75" style="429" customWidth="1"/>
    <col min="9481" max="9481" width="3.375" style="429" customWidth="1"/>
    <col min="9482" max="9482" width="3.875" style="429" customWidth="1"/>
    <col min="9483" max="9483" width="4.25" style="429" customWidth="1"/>
    <col min="9484" max="9494" width="3.375" style="429" customWidth="1"/>
    <col min="9495" max="9495" width="4" style="429" customWidth="1"/>
    <col min="9496" max="9512" width="3.375" style="429" customWidth="1"/>
    <col min="9513" max="9513" width="3.5" style="429" customWidth="1"/>
    <col min="9514" max="9728" width="9" style="429"/>
    <col min="9729" max="9729" width="2.625" style="429" customWidth="1"/>
    <col min="9730" max="9730" width="18.375" style="429" customWidth="1"/>
    <col min="9731" max="9733" width="2.875" style="429" customWidth="1"/>
    <col min="9734" max="9735" width="3.375" style="429" customWidth="1"/>
    <col min="9736" max="9736" width="3.75" style="429" customWidth="1"/>
    <col min="9737" max="9737" width="3.375" style="429" customWidth="1"/>
    <col min="9738" max="9738" width="3.875" style="429" customWidth="1"/>
    <col min="9739" max="9739" width="4.25" style="429" customWidth="1"/>
    <col min="9740" max="9750" width="3.375" style="429" customWidth="1"/>
    <col min="9751" max="9751" width="4" style="429" customWidth="1"/>
    <col min="9752" max="9768" width="3.375" style="429" customWidth="1"/>
    <col min="9769" max="9769" width="3.5" style="429" customWidth="1"/>
    <col min="9770" max="9984" width="9" style="429"/>
    <col min="9985" max="9985" width="2.625" style="429" customWidth="1"/>
    <col min="9986" max="9986" width="18.375" style="429" customWidth="1"/>
    <col min="9987" max="9989" width="2.875" style="429" customWidth="1"/>
    <col min="9990" max="9991" width="3.375" style="429" customWidth="1"/>
    <col min="9992" max="9992" width="3.75" style="429" customWidth="1"/>
    <col min="9993" max="9993" width="3.375" style="429" customWidth="1"/>
    <col min="9994" max="9994" width="3.875" style="429" customWidth="1"/>
    <col min="9995" max="9995" width="4.25" style="429" customWidth="1"/>
    <col min="9996" max="10006" width="3.375" style="429" customWidth="1"/>
    <col min="10007" max="10007" width="4" style="429" customWidth="1"/>
    <col min="10008" max="10024" width="3.375" style="429" customWidth="1"/>
    <col min="10025" max="10025" width="3.5" style="429" customWidth="1"/>
    <col min="10026" max="10240" width="9" style="429"/>
    <col min="10241" max="10241" width="2.625" style="429" customWidth="1"/>
    <col min="10242" max="10242" width="18.375" style="429" customWidth="1"/>
    <col min="10243" max="10245" width="2.875" style="429" customWidth="1"/>
    <col min="10246" max="10247" width="3.375" style="429" customWidth="1"/>
    <col min="10248" max="10248" width="3.75" style="429" customWidth="1"/>
    <col min="10249" max="10249" width="3.375" style="429" customWidth="1"/>
    <col min="10250" max="10250" width="3.875" style="429" customWidth="1"/>
    <col min="10251" max="10251" width="4.25" style="429" customWidth="1"/>
    <col min="10252" max="10262" width="3.375" style="429" customWidth="1"/>
    <col min="10263" max="10263" width="4" style="429" customWidth="1"/>
    <col min="10264" max="10280" width="3.375" style="429" customWidth="1"/>
    <col min="10281" max="10281" width="3.5" style="429" customWidth="1"/>
    <col min="10282" max="10496" width="9" style="429"/>
    <col min="10497" max="10497" width="2.625" style="429" customWidth="1"/>
    <col min="10498" max="10498" width="18.375" style="429" customWidth="1"/>
    <col min="10499" max="10501" width="2.875" style="429" customWidth="1"/>
    <col min="10502" max="10503" width="3.375" style="429" customWidth="1"/>
    <col min="10504" max="10504" width="3.75" style="429" customWidth="1"/>
    <col min="10505" max="10505" width="3.375" style="429" customWidth="1"/>
    <col min="10506" max="10506" width="3.875" style="429" customWidth="1"/>
    <col min="10507" max="10507" width="4.25" style="429" customWidth="1"/>
    <col min="10508" max="10518" width="3.375" style="429" customWidth="1"/>
    <col min="10519" max="10519" width="4" style="429" customWidth="1"/>
    <col min="10520" max="10536" width="3.375" style="429" customWidth="1"/>
    <col min="10537" max="10537" width="3.5" style="429" customWidth="1"/>
    <col min="10538" max="10752" width="9" style="429"/>
    <col min="10753" max="10753" width="2.625" style="429" customWidth="1"/>
    <col min="10754" max="10754" width="18.375" style="429" customWidth="1"/>
    <col min="10755" max="10757" width="2.875" style="429" customWidth="1"/>
    <col min="10758" max="10759" width="3.375" style="429" customWidth="1"/>
    <col min="10760" max="10760" width="3.75" style="429" customWidth="1"/>
    <col min="10761" max="10761" width="3.375" style="429" customWidth="1"/>
    <col min="10762" max="10762" width="3.875" style="429" customWidth="1"/>
    <col min="10763" max="10763" width="4.25" style="429" customWidth="1"/>
    <col min="10764" max="10774" width="3.375" style="429" customWidth="1"/>
    <col min="10775" max="10775" width="4" style="429" customWidth="1"/>
    <col min="10776" max="10792" width="3.375" style="429" customWidth="1"/>
    <col min="10793" max="10793" width="3.5" style="429" customWidth="1"/>
    <col min="10794" max="11008" width="9" style="429"/>
    <col min="11009" max="11009" width="2.625" style="429" customWidth="1"/>
    <col min="11010" max="11010" width="18.375" style="429" customWidth="1"/>
    <col min="11011" max="11013" width="2.875" style="429" customWidth="1"/>
    <col min="11014" max="11015" width="3.375" style="429" customWidth="1"/>
    <col min="11016" max="11016" width="3.75" style="429" customWidth="1"/>
    <col min="11017" max="11017" width="3.375" style="429" customWidth="1"/>
    <col min="11018" max="11018" width="3.875" style="429" customWidth="1"/>
    <col min="11019" max="11019" width="4.25" style="429" customWidth="1"/>
    <col min="11020" max="11030" width="3.375" style="429" customWidth="1"/>
    <col min="11031" max="11031" width="4" style="429" customWidth="1"/>
    <col min="11032" max="11048" width="3.375" style="429" customWidth="1"/>
    <col min="11049" max="11049" width="3.5" style="429" customWidth="1"/>
    <col min="11050" max="11264" width="9" style="429"/>
    <col min="11265" max="11265" width="2.625" style="429" customWidth="1"/>
    <col min="11266" max="11266" width="18.375" style="429" customWidth="1"/>
    <col min="11267" max="11269" width="2.875" style="429" customWidth="1"/>
    <col min="11270" max="11271" width="3.375" style="429" customWidth="1"/>
    <col min="11272" max="11272" width="3.75" style="429" customWidth="1"/>
    <col min="11273" max="11273" width="3.375" style="429" customWidth="1"/>
    <col min="11274" max="11274" width="3.875" style="429" customWidth="1"/>
    <col min="11275" max="11275" width="4.25" style="429" customWidth="1"/>
    <col min="11276" max="11286" width="3.375" style="429" customWidth="1"/>
    <col min="11287" max="11287" width="4" style="429" customWidth="1"/>
    <col min="11288" max="11304" width="3.375" style="429" customWidth="1"/>
    <col min="11305" max="11305" width="3.5" style="429" customWidth="1"/>
    <col min="11306" max="11520" width="9" style="429"/>
    <col min="11521" max="11521" width="2.625" style="429" customWidth="1"/>
    <col min="11522" max="11522" width="18.375" style="429" customWidth="1"/>
    <col min="11523" max="11525" width="2.875" style="429" customWidth="1"/>
    <col min="11526" max="11527" width="3.375" style="429" customWidth="1"/>
    <col min="11528" max="11528" width="3.75" style="429" customWidth="1"/>
    <col min="11529" max="11529" width="3.375" style="429" customWidth="1"/>
    <col min="11530" max="11530" width="3.875" style="429" customWidth="1"/>
    <col min="11531" max="11531" width="4.25" style="429" customWidth="1"/>
    <col min="11532" max="11542" width="3.375" style="429" customWidth="1"/>
    <col min="11543" max="11543" width="4" style="429" customWidth="1"/>
    <col min="11544" max="11560" width="3.375" style="429" customWidth="1"/>
    <col min="11561" max="11561" width="3.5" style="429" customWidth="1"/>
    <col min="11562" max="11776" width="9" style="429"/>
    <col min="11777" max="11777" width="2.625" style="429" customWidth="1"/>
    <col min="11778" max="11778" width="18.375" style="429" customWidth="1"/>
    <col min="11779" max="11781" width="2.875" style="429" customWidth="1"/>
    <col min="11782" max="11783" width="3.375" style="429" customWidth="1"/>
    <col min="11784" max="11784" width="3.75" style="429" customWidth="1"/>
    <col min="11785" max="11785" width="3.375" style="429" customWidth="1"/>
    <col min="11786" max="11786" width="3.875" style="429" customWidth="1"/>
    <col min="11787" max="11787" width="4.25" style="429" customWidth="1"/>
    <col min="11788" max="11798" width="3.375" style="429" customWidth="1"/>
    <col min="11799" max="11799" width="4" style="429" customWidth="1"/>
    <col min="11800" max="11816" width="3.375" style="429" customWidth="1"/>
    <col min="11817" max="11817" width="3.5" style="429" customWidth="1"/>
    <col min="11818" max="12032" width="9" style="429"/>
    <col min="12033" max="12033" width="2.625" style="429" customWidth="1"/>
    <col min="12034" max="12034" width="18.375" style="429" customWidth="1"/>
    <col min="12035" max="12037" width="2.875" style="429" customWidth="1"/>
    <col min="12038" max="12039" width="3.375" style="429" customWidth="1"/>
    <col min="12040" max="12040" width="3.75" style="429" customWidth="1"/>
    <col min="12041" max="12041" width="3.375" style="429" customWidth="1"/>
    <col min="12042" max="12042" width="3.875" style="429" customWidth="1"/>
    <col min="12043" max="12043" width="4.25" style="429" customWidth="1"/>
    <col min="12044" max="12054" width="3.375" style="429" customWidth="1"/>
    <col min="12055" max="12055" width="4" style="429" customWidth="1"/>
    <col min="12056" max="12072" width="3.375" style="429" customWidth="1"/>
    <col min="12073" max="12073" width="3.5" style="429" customWidth="1"/>
    <col min="12074" max="12288" width="9" style="429"/>
    <col min="12289" max="12289" width="2.625" style="429" customWidth="1"/>
    <col min="12290" max="12290" width="18.375" style="429" customWidth="1"/>
    <col min="12291" max="12293" width="2.875" style="429" customWidth="1"/>
    <col min="12294" max="12295" width="3.375" style="429" customWidth="1"/>
    <col min="12296" max="12296" width="3.75" style="429" customWidth="1"/>
    <col min="12297" max="12297" width="3.375" style="429" customWidth="1"/>
    <col min="12298" max="12298" width="3.875" style="429" customWidth="1"/>
    <col min="12299" max="12299" width="4.25" style="429" customWidth="1"/>
    <col min="12300" max="12310" width="3.375" style="429" customWidth="1"/>
    <col min="12311" max="12311" width="4" style="429" customWidth="1"/>
    <col min="12312" max="12328" width="3.375" style="429" customWidth="1"/>
    <col min="12329" max="12329" width="3.5" style="429" customWidth="1"/>
    <col min="12330" max="12544" width="9" style="429"/>
    <col min="12545" max="12545" width="2.625" style="429" customWidth="1"/>
    <col min="12546" max="12546" width="18.375" style="429" customWidth="1"/>
    <col min="12547" max="12549" width="2.875" style="429" customWidth="1"/>
    <col min="12550" max="12551" width="3.375" style="429" customWidth="1"/>
    <col min="12552" max="12552" width="3.75" style="429" customWidth="1"/>
    <col min="12553" max="12553" width="3.375" style="429" customWidth="1"/>
    <col min="12554" max="12554" width="3.875" style="429" customWidth="1"/>
    <col min="12555" max="12555" width="4.25" style="429" customWidth="1"/>
    <col min="12556" max="12566" width="3.375" style="429" customWidth="1"/>
    <col min="12567" max="12567" width="4" style="429" customWidth="1"/>
    <col min="12568" max="12584" width="3.375" style="429" customWidth="1"/>
    <col min="12585" max="12585" width="3.5" style="429" customWidth="1"/>
    <col min="12586" max="12800" width="9" style="429"/>
    <col min="12801" max="12801" width="2.625" style="429" customWidth="1"/>
    <col min="12802" max="12802" width="18.375" style="429" customWidth="1"/>
    <col min="12803" max="12805" width="2.875" style="429" customWidth="1"/>
    <col min="12806" max="12807" width="3.375" style="429" customWidth="1"/>
    <col min="12808" max="12808" width="3.75" style="429" customWidth="1"/>
    <col min="12809" max="12809" width="3.375" style="429" customWidth="1"/>
    <col min="12810" max="12810" width="3.875" style="429" customWidth="1"/>
    <col min="12811" max="12811" width="4.25" style="429" customWidth="1"/>
    <col min="12812" max="12822" width="3.375" style="429" customWidth="1"/>
    <col min="12823" max="12823" width="4" style="429" customWidth="1"/>
    <col min="12824" max="12840" width="3.375" style="429" customWidth="1"/>
    <col min="12841" max="12841" width="3.5" style="429" customWidth="1"/>
    <col min="12842" max="13056" width="9" style="429"/>
    <col min="13057" max="13057" width="2.625" style="429" customWidth="1"/>
    <col min="13058" max="13058" width="18.375" style="429" customWidth="1"/>
    <col min="13059" max="13061" width="2.875" style="429" customWidth="1"/>
    <col min="13062" max="13063" width="3.375" style="429" customWidth="1"/>
    <col min="13064" max="13064" width="3.75" style="429" customWidth="1"/>
    <col min="13065" max="13065" width="3.375" style="429" customWidth="1"/>
    <col min="13066" max="13066" width="3.875" style="429" customWidth="1"/>
    <col min="13067" max="13067" width="4.25" style="429" customWidth="1"/>
    <col min="13068" max="13078" width="3.375" style="429" customWidth="1"/>
    <col min="13079" max="13079" width="4" style="429" customWidth="1"/>
    <col min="13080" max="13096" width="3.375" style="429" customWidth="1"/>
    <col min="13097" max="13097" width="3.5" style="429" customWidth="1"/>
    <col min="13098" max="13312" width="9" style="429"/>
    <col min="13313" max="13313" width="2.625" style="429" customWidth="1"/>
    <col min="13314" max="13314" width="18.375" style="429" customWidth="1"/>
    <col min="13315" max="13317" width="2.875" style="429" customWidth="1"/>
    <col min="13318" max="13319" width="3.375" style="429" customWidth="1"/>
    <col min="13320" max="13320" width="3.75" style="429" customWidth="1"/>
    <col min="13321" max="13321" width="3.375" style="429" customWidth="1"/>
    <col min="13322" max="13322" width="3.875" style="429" customWidth="1"/>
    <col min="13323" max="13323" width="4.25" style="429" customWidth="1"/>
    <col min="13324" max="13334" width="3.375" style="429" customWidth="1"/>
    <col min="13335" max="13335" width="4" style="429" customWidth="1"/>
    <col min="13336" max="13352" width="3.375" style="429" customWidth="1"/>
    <col min="13353" max="13353" width="3.5" style="429" customWidth="1"/>
    <col min="13354" max="13568" width="9" style="429"/>
    <col min="13569" max="13569" width="2.625" style="429" customWidth="1"/>
    <col min="13570" max="13570" width="18.375" style="429" customWidth="1"/>
    <col min="13571" max="13573" width="2.875" style="429" customWidth="1"/>
    <col min="13574" max="13575" width="3.375" style="429" customWidth="1"/>
    <col min="13576" max="13576" width="3.75" style="429" customWidth="1"/>
    <col min="13577" max="13577" width="3.375" style="429" customWidth="1"/>
    <col min="13578" max="13578" width="3.875" style="429" customWidth="1"/>
    <col min="13579" max="13579" width="4.25" style="429" customWidth="1"/>
    <col min="13580" max="13590" width="3.375" style="429" customWidth="1"/>
    <col min="13591" max="13591" width="4" style="429" customWidth="1"/>
    <col min="13592" max="13608" width="3.375" style="429" customWidth="1"/>
    <col min="13609" max="13609" width="3.5" style="429" customWidth="1"/>
    <col min="13610" max="13824" width="9" style="429"/>
    <col min="13825" max="13825" width="2.625" style="429" customWidth="1"/>
    <col min="13826" max="13826" width="18.375" style="429" customWidth="1"/>
    <col min="13827" max="13829" width="2.875" style="429" customWidth="1"/>
    <col min="13830" max="13831" width="3.375" style="429" customWidth="1"/>
    <col min="13832" max="13832" width="3.75" style="429" customWidth="1"/>
    <col min="13833" max="13833" width="3.375" style="429" customWidth="1"/>
    <col min="13834" max="13834" width="3.875" style="429" customWidth="1"/>
    <col min="13835" max="13835" width="4.25" style="429" customWidth="1"/>
    <col min="13836" max="13846" width="3.375" style="429" customWidth="1"/>
    <col min="13847" max="13847" width="4" style="429" customWidth="1"/>
    <col min="13848" max="13864" width="3.375" style="429" customWidth="1"/>
    <col min="13865" max="13865" width="3.5" style="429" customWidth="1"/>
    <col min="13866" max="14080" width="9" style="429"/>
    <col min="14081" max="14081" width="2.625" style="429" customWidth="1"/>
    <col min="14082" max="14082" width="18.375" style="429" customWidth="1"/>
    <col min="14083" max="14085" width="2.875" style="429" customWidth="1"/>
    <col min="14086" max="14087" width="3.375" style="429" customWidth="1"/>
    <col min="14088" max="14088" width="3.75" style="429" customWidth="1"/>
    <col min="14089" max="14089" width="3.375" style="429" customWidth="1"/>
    <col min="14090" max="14090" width="3.875" style="429" customWidth="1"/>
    <col min="14091" max="14091" width="4.25" style="429" customWidth="1"/>
    <col min="14092" max="14102" width="3.375" style="429" customWidth="1"/>
    <col min="14103" max="14103" width="4" style="429" customWidth="1"/>
    <col min="14104" max="14120" width="3.375" style="429" customWidth="1"/>
    <col min="14121" max="14121" width="3.5" style="429" customWidth="1"/>
    <col min="14122" max="14336" width="9" style="429"/>
    <col min="14337" max="14337" width="2.625" style="429" customWidth="1"/>
    <col min="14338" max="14338" width="18.375" style="429" customWidth="1"/>
    <col min="14339" max="14341" width="2.875" style="429" customWidth="1"/>
    <col min="14342" max="14343" width="3.375" style="429" customWidth="1"/>
    <col min="14344" max="14344" width="3.75" style="429" customWidth="1"/>
    <col min="14345" max="14345" width="3.375" style="429" customWidth="1"/>
    <col min="14346" max="14346" width="3.875" style="429" customWidth="1"/>
    <col min="14347" max="14347" width="4.25" style="429" customWidth="1"/>
    <col min="14348" max="14358" width="3.375" style="429" customWidth="1"/>
    <col min="14359" max="14359" width="4" style="429" customWidth="1"/>
    <col min="14360" max="14376" width="3.375" style="429" customWidth="1"/>
    <col min="14377" max="14377" width="3.5" style="429" customWidth="1"/>
    <col min="14378" max="14592" width="9" style="429"/>
    <col min="14593" max="14593" width="2.625" style="429" customWidth="1"/>
    <col min="14594" max="14594" width="18.375" style="429" customWidth="1"/>
    <col min="14595" max="14597" width="2.875" style="429" customWidth="1"/>
    <col min="14598" max="14599" width="3.375" style="429" customWidth="1"/>
    <col min="14600" max="14600" width="3.75" style="429" customWidth="1"/>
    <col min="14601" max="14601" width="3.375" style="429" customWidth="1"/>
    <col min="14602" max="14602" width="3.875" style="429" customWidth="1"/>
    <col min="14603" max="14603" width="4.25" style="429" customWidth="1"/>
    <col min="14604" max="14614" width="3.375" style="429" customWidth="1"/>
    <col min="14615" max="14615" width="4" style="429" customWidth="1"/>
    <col min="14616" max="14632" width="3.375" style="429" customWidth="1"/>
    <col min="14633" max="14633" width="3.5" style="429" customWidth="1"/>
    <col min="14634" max="14848" width="9" style="429"/>
    <col min="14849" max="14849" width="2.625" style="429" customWidth="1"/>
    <col min="14850" max="14850" width="18.375" style="429" customWidth="1"/>
    <col min="14851" max="14853" width="2.875" style="429" customWidth="1"/>
    <col min="14854" max="14855" width="3.375" style="429" customWidth="1"/>
    <col min="14856" max="14856" width="3.75" style="429" customWidth="1"/>
    <col min="14857" max="14857" width="3.375" style="429" customWidth="1"/>
    <col min="14858" max="14858" width="3.875" style="429" customWidth="1"/>
    <col min="14859" max="14859" width="4.25" style="429" customWidth="1"/>
    <col min="14860" max="14870" width="3.375" style="429" customWidth="1"/>
    <col min="14871" max="14871" width="4" style="429" customWidth="1"/>
    <col min="14872" max="14888" width="3.375" style="429" customWidth="1"/>
    <col min="14889" max="14889" width="3.5" style="429" customWidth="1"/>
    <col min="14890" max="15104" width="9" style="429"/>
    <col min="15105" max="15105" width="2.625" style="429" customWidth="1"/>
    <col min="15106" max="15106" width="18.375" style="429" customWidth="1"/>
    <col min="15107" max="15109" width="2.875" style="429" customWidth="1"/>
    <col min="15110" max="15111" width="3.375" style="429" customWidth="1"/>
    <col min="15112" max="15112" width="3.75" style="429" customWidth="1"/>
    <col min="15113" max="15113" width="3.375" style="429" customWidth="1"/>
    <col min="15114" max="15114" width="3.875" style="429" customWidth="1"/>
    <col min="15115" max="15115" width="4.25" style="429" customWidth="1"/>
    <col min="15116" max="15126" width="3.375" style="429" customWidth="1"/>
    <col min="15127" max="15127" width="4" style="429" customWidth="1"/>
    <col min="15128" max="15144" width="3.375" style="429" customWidth="1"/>
    <col min="15145" max="15145" width="3.5" style="429" customWidth="1"/>
    <col min="15146" max="15360" width="9" style="429"/>
    <col min="15361" max="15361" width="2.625" style="429" customWidth="1"/>
    <col min="15362" max="15362" width="18.375" style="429" customWidth="1"/>
    <col min="15363" max="15365" width="2.875" style="429" customWidth="1"/>
    <col min="15366" max="15367" width="3.375" style="429" customWidth="1"/>
    <col min="15368" max="15368" width="3.75" style="429" customWidth="1"/>
    <col min="15369" max="15369" width="3.375" style="429" customWidth="1"/>
    <col min="15370" max="15370" width="3.875" style="429" customWidth="1"/>
    <col min="15371" max="15371" width="4.25" style="429" customWidth="1"/>
    <col min="15372" max="15382" width="3.375" style="429" customWidth="1"/>
    <col min="15383" max="15383" width="4" style="429" customWidth="1"/>
    <col min="15384" max="15400" width="3.375" style="429" customWidth="1"/>
    <col min="15401" max="15401" width="3.5" style="429" customWidth="1"/>
    <col min="15402" max="15616" width="9" style="429"/>
    <col min="15617" max="15617" width="2.625" style="429" customWidth="1"/>
    <col min="15618" max="15618" width="18.375" style="429" customWidth="1"/>
    <col min="15619" max="15621" width="2.875" style="429" customWidth="1"/>
    <col min="15622" max="15623" width="3.375" style="429" customWidth="1"/>
    <col min="15624" max="15624" width="3.75" style="429" customWidth="1"/>
    <col min="15625" max="15625" width="3.375" style="429" customWidth="1"/>
    <col min="15626" max="15626" width="3.875" style="429" customWidth="1"/>
    <col min="15627" max="15627" width="4.25" style="429" customWidth="1"/>
    <col min="15628" max="15638" width="3.375" style="429" customWidth="1"/>
    <col min="15639" max="15639" width="4" style="429" customWidth="1"/>
    <col min="15640" max="15656" width="3.375" style="429" customWidth="1"/>
    <col min="15657" max="15657" width="3.5" style="429" customWidth="1"/>
    <col min="15658" max="15872" width="9" style="429"/>
    <col min="15873" max="15873" width="2.625" style="429" customWidth="1"/>
    <col min="15874" max="15874" width="18.375" style="429" customWidth="1"/>
    <col min="15875" max="15877" width="2.875" style="429" customWidth="1"/>
    <col min="15878" max="15879" width="3.375" style="429" customWidth="1"/>
    <col min="15880" max="15880" width="3.75" style="429" customWidth="1"/>
    <col min="15881" max="15881" width="3.375" style="429" customWidth="1"/>
    <col min="15882" max="15882" width="3.875" style="429" customWidth="1"/>
    <col min="15883" max="15883" width="4.25" style="429" customWidth="1"/>
    <col min="15884" max="15894" width="3.375" style="429" customWidth="1"/>
    <col min="15895" max="15895" width="4" style="429" customWidth="1"/>
    <col min="15896" max="15912" width="3.375" style="429" customWidth="1"/>
    <col min="15913" max="15913" width="3.5" style="429" customWidth="1"/>
    <col min="15914" max="16128" width="9" style="429"/>
    <col min="16129" max="16129" width="2.625" style="429" customWidth="1"/>
    <col min="16130" max="16130" width="18.375" style="429" customWidth="1"/>
    <col min="16131" max="16133" width="2.875" style="429" customWidth="1"/>
    <col min="16134" max="16135" width="3.375" style="429" customWidth="1"/>
    <col min="16136" max="16136" width="3.75" style="429" customWidth="1"/>
    <col min="16137" max="16137" width="3.375" style="429" customWidth="1"/>
    <col min="16138" max="16138" width="3.875" style="429" customWidth="1"/>
    <col min="16139" max="16139" width="4.25" style="429" customWidth="1"/>
    <col min="16140" max="16150" width="3.375" style="429" customWidth="1"/>
    <col min="16151" max="16151" width="4" style="429" customWidth="1"/>
    <col min="16152" max="16168" width="3.375" style="429" customWidth="1"/>
    <col min="16169" max="16169" width="3.5" style="429" customWidth="1"/>
    <col min="16170" max="16384" width="9" style="429"/>
  </cols>
  <sheetData>
    <row r="1" spans="1:42" s="434" customFormat="1" ht="20.100000000000001" customHeight="1" x14ac:dyDescent="0.25">
      <c r="A1" s="755"/>
      <c r="B1" s="755"/>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c r="AI1" s="576"/>
      <c r="AJ1" s="576"/>
      <c r="AK1" s="431" t="s">
        <v>495</v>
      </c>
      <c r="AL1" s="432"/>
      <c r="AM1" s="432"/>
      <c r="AN1" s="432"/>
      <c r="AO1" s="432"/>
      <c r="AP1" s="433"/>
    </row>
    <row r="2" spans="1:42" s="434" customFormat="1" ht="20.100000000000001" customHeight="1" x14ac:dyDescent="0.25">
      <c r="A2" s="755" t="s">
        <v>297</v>
      </c>
      <c r="B2" s="755"/>
      <c r="C2" s="756" t="str">
        <f>"THỐNG KÊ ĐỘI NGŨ GIÁO VIÊN PHỔ CẬP GIÁO DỤC TRUNG HỌC CƠ SỞ "&amp;"-"&amp;"NĂM HỌC "&amp;Chinh!H5</f>
        <v>THỐNG KÊ ĐỘI NGŨ GIÁO VIÊN PHỔ CẬP GIÁO DỤC TRUNG HỌC CƠ SỞ -NĂM HỌC 2025-2026</v>
      </c>
      <c r="D2" s="75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435"/>
      <c r="AL2" s="435"/>
      <c r="AM2" s="435"/>
      <c r="AN2" s="435"/>
      <c r="AO2" s="432"/>
      <c r="AP2" s="433"/>
    </row>
    <row r="3" spans="1:42" s="434" customFormat="1" ht="20.100000000000001" customHeight="1" x14ac:dyDescent="0.25">
      <c r="A3" s="431" t="s">
        <v>520</v>
      </c>
      <c r="B3" s="431"/>
      <c r="C3" s="472" t="str">
        <f>IF(Chinh!$N$9="","",CONCATENATE(IF(Chinh!$A$2="TRƯỜNG TH&amp;THCS CAM THÀNH NAM",phu!C1,""),IF(Chinh!$A$2="TRƯỜNG THCS NGUYỄN VĂN TRỖI",phu!C1,""),IF(Chinh!$A$2="TRƯỜNG THCS NGUYỄN THỊ MINH KHAI",phu!C1,""),IF(Chinh!$A$2="TRƯỜNG THCS CHU VĂN AN",phu!C2,""),IF(Chinh!$A$2="TRƯỜNG THCS TRẦN PHÚ",phu!C2,""),IF(Chinh!$A$2="TRƯỜNG THCS LÊ HỒNG PHONG",phu!C2,""),IF(Chinh!$A$2="TRƯỜNG THCS NGUYỄN TRỌNG KỶ",phu!C3,""),IF(Chinh!$A$2="TRƯỜNG THCS NGUYỄN DU",phu!C4,""),IF(Chinh!$A$2="TRƯỜNG THCS NGUYỄN KHUYẾN",phu!C5,""),IF(Chinh!$A$2="TRƯỜNG THCS CAM THỊNH TÂY",phu!C5,""),IF(Chinh!$A$2="TRƯỜNG PTDT NỘI TRÚ CAM RANH",phu!C5,""),IF(Chinh!$A$2="TRƯỜNG TH&amp;THCS CAM LẬP",phu!C5,""),IF(Chinh!$A$2="TRƯỜNG TH&amp;THCS BÌNH HƯNG",phu!C55,""),IF(Chinh!$A$2="TRƯỜNG TH&amp;THCS BÌNH BA",phu!C5,"")))</f>
        <v>Cam Linh</v>
      </c>
      <c r="D3" s="431"/>
      <c r="E3" s="431"/>
      <c r="F3" s="431"/>
      <c r="G3" s="431"/>
      <c r="H3" s="431"/>
      <c r="I3" s="431"/>
      <c r="J3" s="431"/>
      <c r="K3" s="431"/>
      <c r="L3" s="431"/>
      <c r="M3" s="431"/>
      <c r="N3" s="431"/>
      <c r="O3" s="431"/>
      <c r="P3" s="431"/>
      <c r="Q3" s="431"/>
      <c r="R3" s="431"/>
      <c r="S3" s="431"/>
      <c r="T3" s="578" t="s">
        <v>509</v>
      </c>
      <c r="U3" s="431"/>
      <c r="V3" s="431"/>
      <c r="W3" s="431"/>
      <c r="X3" s="431"/>
      <c r="Y3" s="431"/>
      <c r="Z3" s="431"/>
      <c r="AA3" s="431"/>
      <c r="AB3" s="431"/>
      <c r="AC3" s="431"/>
      <c r="AD3" s="431"/>
      <c r="AE3" s="431"/>
      <c r="AF3" s="431"/>
      <c r="AG3" s="431"/>
      <c r="AH3" s="431"/>
      <c r="AI3" s="431"/>
      <c r="AJ3" s="431"/>
      <c r="AK3" s="432"/>
      <c r="AL3" s="432"/>
      <c r="AM3" s="432"/>
      <c r="AN3" s="432"/>
      <c r="AO3" s="432"/>
      <c r="AP3" s="433"/>
    </row>
    <row r="4" spans="1:42" s="434" customFormat="1" ht="25.5" customHeight="1" x14ac:dyDescent="0.25">
      <c r="A4" s="436"/>
      <c r="B4" s="436"/>
      <c r="C4" s="578"/>
      <c r="D4" s="437"/>
      <c r="E4" s="437"/>
      <c r="F4" s="438"/>
      <c r="G4" s="757" t="str">
        <f>IF(Chinh!$N$9="","Nhập liệu!",$AP$12)</f>
        <v>Hoàn thành!</v>
      </c>
      <c r="H4" s="757"/>
      <c r="I4" s="757"/>
      <c r="J4" s="75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2"/>
      <c r="AL4" s="432"/>
      <c r="AM4" s="432"/>
      <c r="AN4" s="432"/>
      <c r="AO4" s="432"/>
      <c r="AP4" s="433"/>
    </row>
    <row r="5" spans="1:42" s="434" customFormat="1" ht="24.75" customHeight="1" x14ac:dyDescent="0.25">
      <c r="A5" s="751" t="s">
        <v>214</v>
      </c>
      <c r="B5" s="439" t="s">
        <v>376</v>
      </c>
      <c r="C5" s="758" t="s">
        <v>306</v>
      </c>
      <c r="D5" s="759"/>
      <c r="E5" s="760"/>
      <c r="F5" s="761" t="s">
        <v>291</v>
      </c>
      <c r="G5" s="762"/>
      <c r="H5" s="762"/>
      <c r="I5" s="762"/>
      <c r="J5" s="762"/>
      <c r="K5" s="762"/>
      <c r="L5" s="762"/>
      <c r="M5" s="762"/>
      <c r="N5" s="762"/>
      <c r="O5" s="762"/>
      <c r="P5" s="762"/>
      <c r="Q5" s="762"/>
      <c r="R5" s="762"/>
      <c r="S5" s="762"/>
      <c r="T5" s="762"/>
      <c r="U5" s="762"/>
      <c r="V5" s="762"/>
      <c r="W5" s="762"/>
      <c r="X5" s="762"/>
      <c r="Y5" s="762"/>
      <c r="Z5" s="762"/>
      <c r="AA5" s="762"/>
      <c r="AB5" s="762"/>
      <c r="AC5" s="762"/>
      <c r="AD5" s="762"/>
      <c r="AE5" s="762"/>
      <c r="AF5" s="762"/>
      <c r="AG5" s="762"/>
      <c r="AH5" s="762"/>
      <c r="AI5" s="762"/>
      <c r="AJ5" s="762"/>
      <c r="AK5" s="763"/>
      <c r="AL5" s="754" t="s">
        <v>294</v>
      </c>
      <c r="AM5" s="754"/>
      <c r="AN5" s="754"/>
      <c r="AO5" s="754"/>
      <c r="AP5" s="433"/>
    </row>
    <row r="6" spans="1:42" ht="33" customHeight="1" x14ac:dyDescent="0.2">
      <c r="A6" s="752"/>
      <c r="B6" s="751" t="s">
        <v>218</v>
      </c>
      <c r="C6" s="745" t="s">
        <v>408</v>
      </c>
      <c r="D6" s="745" t="s">
        <v>288</v>
      </c>
      <c r="E6" s="745" t="s">
        <v>410</v>
      </c>
      <c r="F6" s="745" t="s">
        <v>238</v>
      </c>
      <c r="G6" s="745" t="s">
        <v>279</v>
      </c>
      <c r="H6" s="745" t="s">
        <v>280</v>
      </c>
      <c r="I6" s="745" t="s">
        <v>239</v>
      </c>
      <c r="J6" s="745" t="s">
        <v>220</v>
      </c>
      <c r="K6" s="745" t="s">
        <v>308</v>
      </c>
      <c r="L6" s="764" t="s">
        <v>285</v>
      </c>
      <c r="M6" s="764"/>
      <c r="N6" s="764"/>
      <c r="O6" s="764"/>
      <c r="P6" s="742" t="s">
        <v>496</v>
      </c>
      <c r="Q6" s="743"/>
      <c r="R6" s="743"/>
      <c r="S6" s="743"/>
      <c r="T6" s="743"/>
      <c r="U6" s="743"/>
      <c r="V6" s="743"/>
      <c r="W6" s="743"/>
      <c r="X6" s="743"/>
      <c r="Y6" s="743"/>
      <c r="Z6" s="743"/>
      <c r="AA6" s="743"/>
      <c r="AB6" s="743"/>
      <c r="AC6" s="743"/>
      <c r="AD6" s="743"/>
      <c r="AE6" s="743"/>
      <c r="AF6" s="744"/>
      <c r="AG6" s="739" t="s">
        <v>82</v>
      </c>
      <c r="AH6" s="742" t="s">
        <v>412</v>
      </c>
      <c r="AI6" s="743"/>
      <c r="AJ6" s="743"/>
      <c r="AK6" s="744"/>
      <c r="AL6" s="739" t="s">
        <v>86</v>
      </c>
      <c r="AM6" s="739" t="s">
        <v>497</v>
      </c>
      <c r="AN6" s="739" t="s">
        <v>92</v>
      </c>
      <c r="AO6" s="739" t="s">
        <v>95</v>
      </c>
    </row>
    <row r="7" spans="1:42" ht="41.25" customHeight="1" x14ac:dyDescent="0.2">
      <c r="A7" s="752"/>
      <c r="B7" s="752"/>
      <c r="C7" s="745"/>
      <c r="D7" s="745"/>
      <c r="E7" s="745"/>
      <c r="F7" s="745"/>
      <c r="G7" s="745"/>
      <c r="H7" s="745"/>
      <c r="I7" s="745"/>
      <c r="J7" s="745"/>
      <c r="K7" s="745"/>
      <c r="L7" s="737" t="s">
        <v>414</v>
      </c>
      <c r="M7" s="737" t="s">
        <v>406</v>
      </c>
      <c r="N7" s="737" t="s">
        <v>415</v>
      </c>
      <c r="O7" s="737" t="s">
        <v>416</v>
      </c>
      <c r="P7" s="737" t="s">
        <v>6</v>
      </c>
      <c r="Q7" s="737" t="s">
        <v>9</v>
      </c>
      <c r="R7" s="737" t="s">
        <v>498</v>
      </c>
      <c r="S7" s="747"/>
      <c r="T7" s="748"/>
      <c r="U7" s="737" t="s">
        <v>499</v>
      </c>
      <c r="V7" s="748"/>
      <c r="W7" s="745" t="s">
        <v>500</v>
      </c>
      <c r="X7" s="745"/>
      <c r="Y7" s="745"/>
      <c r="Z7" s="749" t="s">
        <v>52</v>
      </c>
      <c r="AA7" s="749" t="s">
        <v>56</v>
      </c>
      <c r="AB7" s="749" t="s">
        <v>60</v>
      </c>
      <c r="AC7" s="734" t="s">
        <v>405</v>
      </c>
      <c r="AD7" s="735"/>
      <c r="AE7" s="735"/>
      <c r="AF7" s="736"/>
      <c r="AG7" s="741"/>
      <c r="AH7" s="737" t="s">
        <v>289</v>
      </c>
      <c r="AI7" s="737" t="s">
        <v>293</v>
      </c>
      <c r="AJ7" s="737" t="s">
        <v>292</v>
      </c>
      <c r="AK7" s="739" t="s">
        <v>423</v>
      </c>
      <c r="AL7" s="741"/>
      <c r="AM7" s="741"/>
      <c r="AN7" s="741"/>
      <c r="AO7" s="741"/>
    </row>
    <row r="8" spans="1:42" ht="39.75" customHeight="1" x14ac:dyDescent="0.2">
      <c r="A8" s="753"/>
      <c r="B8" s="753"/>
      <c r="C8" s="745"/>
      <c r="D8" s="745"/>
      <c r="E8" s="745"/>
      <c r="F8" s="745"/>
      <c r="G8" s="745"/>
      <c r="H8" s="745"/>
      <c r="I8" s="745"/>
      <c r="J8" s="745"/>
      <c r="K8" s="745"/>
      <c r="L8" s="738"/>
      <c r="M8" s="738"/>
      <c r="N8" s="738"/>
      <c r="O8" s="738"/>
      <c r="P8" s="738"/>
      <c r="Q8" s="738"/>
      <c r="R8" s="573" t="s">
        <v>501</v>
      </c>
      <c r="S8" s="573" t="s">
        <v>502</v>
      </c>
      <c r="T8" s="573" t="s">
        <v>233</v>
      </c>
      <c r="U8" s="573" t="s">
        <v>503</v>
      </c>
      <c r="V8" s="573" t="s">
        <v>504</v>
      </c>
      <c r="W8" s="574" t="s">
        <v>505</v>
      </c>
      <c r="X8" s="574" t="s">
        <v>528</v>
      </c>
      <c r="Y8" s="572" t="s">
        <v>525</v>
      </c>
      <c r="Z8" s="750"/>
      <c r="AA8" s="750"/>
      <c r="AB8" s="750"/>
      <c r="AC8" s="573" t="s">
        <v>231</v>
      </c>
      <c r="AD8" s="573" t="s">
        <v>377</v>
      </c>
      <c r="AE8" s="573" t="s">
        <v>506</v>
      </c>
      <c r="AF8" s="573" t="s">
        <v>96</v>
      </c>
      <c r="AG8" s="740"/>
      <c r="AH8" s="738"/>
      <c r="AI8" s="738"/>
      <c r="AJ8" s="738"/>
      <c r="AK8" s="740"/>
      <c r="AL8" s="740"/>
      <c r="AM8" s="740"/>
      <c r="AN8" s="740"/>
      <c r="AO8" s="740"/>
    </row>
    <row r="9" spans="1:42" ht="18" customHeight="1" x14ac:dyDescent="0.2">
      <c r="A9" s="440">
        <v>1</v>
      </c>
      <c r="B9" s="440">
        <v>2</v>
      </c>
      <c r="C9" s="440">
        <v>3</v>
      </c>
      <c r="D9" s="440">
        <v>4</v>
      </c>
      <c r="E9" s="440">
        <v>5</v>
      </c>
      <c r="F9" s="440">
        <v>6</v>
      </c>
      <c r="G9" s="440">
        <v>7</v>
      </c>
      <c r="H9" s="440">
        <v>8</v>
      </c>
      <c r="I9" s="440">
        <v>9</v>
      </c>
      <c r="J9" s="440">
        <v>10</v>
      </c>
      <c r="K9" s="440">
        <v>11</v>
      </c>
      <c r="L9" s="440">
        <v>12</v>
      </c>
      <c r="M9" s="440">
        <v>13</v>
      </c>
      <c r="N9" s="440">
        <v>14</v>
      </c>
      <c r="O9" s="440">
        <v>15</v>
      </c>
      <c r="P9" s="440">
        <v>16</v>
      </c>
      <c r="Q9" s="440">
        <v>17</v>
      </c>
      <c r="R9" s="440">
        <v>18</v>
      </c>
      <c r="S9" s="440">
        <v>19</v>
      </c>
      <c r="T9" s="440">
        <v>20</v>
      </c>
      <c r="U9" s="440">
        <v>21</v>
      </c>
      <c r="V9" s="440">
        <v>22</v>
      </c>
      <c r="W9" s="440">
        <v>23</v>
      </c>
      <c r="X9" s="440">
        <v>24</v>
      </c>
      <c r="Y9" s="440">
        <v>25</v>
      </c>
      <c r="Z9" s="440">
        <v>26</v>
      </c>
      <c r="AA9" s="440">
        <v>27</v>
      </c>
      <c r="AB9" s="440">
        <v>28</v>
      </c>
      <c r="AC9" s="440">
        <v>29</v>
      </c>
      <c r="AD9" s="440">
        <v>30</v>
      </c>
      <c r="AE9" s="440">
        <v>31</v>
      </c>
      <c r="AF9" s="440">
        <v>32</v>
      </c>
      <c r="AG9" s="440">
        <v>33</v>
      </c>
      <c r="AH9" s="440">
        <v>34</v>
      </c>
      <c r="AI9" s="440">
        <v>35</v>
      </c>
      <c r="AJ9" s="440">
        <v>36</v>
      </c>
      <c r="AK9" s="440">
        <v>37</v>
      </c>
      <c r="AL9" s="440">
        <v>38</v>
      </c>
      <c r="AM9" s="440">
        <v>39</v>
      </c>
      <c r="AN9" s="440">
        <v>40</v>
      </c>
      <c r="AO9" s="440">
        <v>41</v>
      </c>
    </row>
    <row r="10" spans="1:42" ht="52.5" customHeight="1" x14ac:dyDescent="0.2">
      <c r="A10" s="441">
        <v>1</v>
      </c>
      <c r="B10" s="486" t="str">
        <f>IF(Chinh!N9&lt;&gt;"",Chinh!$A$2,"")</f>
        <v>TRƯỜNG THCS NGUYỄN TRỌNG KỶ</v>
      </c>
      <c r="C10" s="442"/>
      <c r="D10" s="443">
        <f>COUNTIF('DS-CBGVNV-THCS'!$E$8:$E$117,"Hiệu trưởng")</f>
        <v>1</v>
      </c>
      <c r="E10" s="443">
        <f>COUNTIF('DS-CBGVNV-THCS'!$E$8:$E$117,"P.hiệu trưởng")</f>
        <v>1</v>
      </c>
      <c r="F10" s="444">
        <f>COUNTIF('DS-CBGVNV-THCS'!$E$8:$E$117,"Giáo viên")</f>
        <v>3</v>
      </c>
      <c r="G10" s="445">
        <f>SUMPRODUCT(--('DS-CBGVNV-THCS'!$E$8:$E$117="Giáo viên"),--('DS-CBGVNV-THCS'!$P$8:$P$117="X"))</f>
        <v>3</v>
      </c>
      <c r="H10" s="445">
        <f>SUMPRODUCT(--('DS-CBGVNV-THCS'!$E$8:$E$117="Giáo viên"),--('DS-CBGVNV-THCS'!$Q$8:$Q$117="X"))</f>
        <v>0</v>
      </c>
      <c r="I10" s="443">
        <f>SUMPRODUCT(--('DS-CBGVNV-THCS'!$E$8:$E$117="Giáo viên"),--('DS-CBGVNV-THCS'!$D$8:$D$117="X"))</f>
        <v>0</v>
      </c>
      <c r="J10" s="443">
        <f>IF('DS-CBGVNV-THCS'!G3="Hoàn thành!",SUMPRODUCT(--('DS-CBGVNV-THCS'!$E$8:$E$117="Giáo viên"),--('DS-CBGVNV-THCS'!$R$8:$R$117&lt;&gt;"Kinh")),0)</f>
        <v>1</v>
      </c>
      <c r="K10" s="443">
        <f>IF(OR(F10=0,'TKe-CSVC-THCS'!D8=""),"",F10/'TKe-CSVC-THCS'!D8)</f>
        <v>1.5</v>
      </c>
      <c r="L10" s="443">
        <f>SUMPRODUCT(--('DS-CBGVNV-THCS'!$E$8:$E$117="Giáo viên"),--('DS-CBGVNV-THCS'!$J$8:$J$117="Trên ĐH"))</f>
        <v>0</v>
      </c>
      <c r="M10" s="443">
        <f>SUMPRODUCT(--('DS-CBGVNV-THCS'!$E$8:$E$117="Giáo viên"),--('DS-CBGVNV-THCS'!$J$8:$J$117="Đại học"))</f>
        <v>3</v>
      </c>
      <c r="N10" s="443">
        <f>SUMPRODUCT(--('DS-CBGVNV-THCS'!$E$8:$E$117="Giáo viên"),--('DS-CBGVNV-THCS'!$J$8:$J$117="Cao đẳng"))</f>
        <v>0</v>
      </c>
      <c r="O10" s="443">
        <f>SUMPRODUCT(--('DS-CBGVNV-THCS'!$E$8:$E$117="Giáo viên"),--('DS-CBGVNV-THCS'!$J$8:$J$117="Trung cấp"))</f>
        <v>0</v>
      </c>
      <c r="P10" s="443">
        <f>SUMPRODUCT(--('DS-CBGVNV-THCS'!$E$8:$E$200="Giáo viên"),--('DS-CBGVNV-THCS'!$K$8:$K$200="Toán"))</f>
        <v>1</v>
      </c>
      <c r="Q10" s="443">
        <f>SUMPRODUCT(--('DS-CBGVNV-THCS'!$E$8:$E$200="Giáo viên"),--('DS-CBGVNV-THCS'!$K$8:$K$200="Ngữ văn"))</f>
        <v>1</v>
      </c>
      <c r="R10" s="443">
        <f>SUMPRODUCT(--('DS-CBGVNV-THCS'!$E$8:$E$200="Giáo viên"),--('DS-CBGVNV-THCS'!$K$8:$K$200="Vật lý"))</f>
        <v>0</v>
      </c>
      <c r="S10" s="443">
        <f>SUMPRODUCT(--('DS-CBGVNV-THCS'!$E$8:$E$200="Giáo viên"),--('DS-CBGVNV-THCS'!$K$8:$K$200="Hóa học"))</f>
        <v>0</v>
      </c>
      <c r="T10" s="443">
        <f>SUMPRODUCT(--('DS-CBGVNV-THCS'!$E$8:$E$200="Giáo viên"),--('DS-CBGVNV-THCS'!$K$8:$K$200="Sinh vật"))</f>
        <v>0</v>
      </c>
      <c r="U10" s="443">
        <f>SUMPRODUCT(--('DS-CBGVNV-THCS'!$E$8:$E$200="Giáo viên"),--('DS-CBGVNV-THCS'!$K$8:$K$200="Lịch sử"))</f>
        <v>1</v>
      </c>
      <c r="V10" s="443">
        <f>SUMPRODUCT(--('DS-CBGVNV-THCS'!$E$8:$E$200="Giáo viên"),--('DS-CBGVNV-THCS'!$K$8:$K$200="Địa lý"))</f>
        <v>0</v>
      </c>
      <c r="W10" s="443">
        <f>SUMPRODUCT(--('DS-CBGVNV-THCS'!$E$8:$E$200="Giáo viên"),--('DS-CBGVNV-THCS'!$K$8:$K$200="Âm nhạc"))</f>
        <v>0</v>
      </c>
      <c r="X10" s="443">
        <f>SUMPRODUCT(--('DS-CBGVNV-THCS'!$E$8:$E$200="Giáo viên"),--('DS-CBGVNV-THCS'!$K$8:$K$200="Mỹ thuật"))</f>
        <v>0</v>
      </c>
      <c r="Y10" s="443">
        <f>SUMPRODUCT(--('DS-CBGVNV-THCS'!$E$8:$E$200="Giáo viên"),--('DS-CBGVNV-THCS'!$K$8:$K$200="GD Thể chất"))</f>
        <v>0</v>
      </c>
      <c r="Z10" s="443">
        <f>SUMPRODUCT(--('DS-CBGVNV-THCS'!$E$8:$E$200="Giáo viên"),--('DS-CBGVNV-THCS'!$K$8:$K$200="GD Công dân"))</f>
        <v>0</v>
      </c>
      <c r="AA10" s="443">
        <f>SUMPRODUCT(--('DS-CBGVNV-THCS'!$E$8:$E$200="Giáo viên"),--('DS-CBGVNV-THCS'!$K$8:$K$200="Công Nghệ"))</f>
        <v>0</v>
      </c>
      <c r="AB10" s="443">
        <f>SUMPRODUCT(--('DS-CBGVNV-THCS'!$E$8:$E$200="Giáo viên"),--('DS-CBGVNV-THCS'!$K$8:$K$200="Tin học"))</f>
        <v>0</v>
      </c>
      <c r="AC10" s="443">
        <f>SUMPRODUCT(--('DS-CBGVNV-THCS'!$E$8:$E$200="Giáo viên"),--('DS-CBGVNV-THCS'!$K$8:$K$200="Tiếng Anh"))</f>
        <v>0</v>
      </c>
      <c r="AD10" s="443">
        <f>SUMPRODUCT(--('DS-CBGVNV-THCS'!$E$8:$E$200="Giáo viên"),--('DS-CBGVNV-THCS'!$K$8:$K$200="Tiếng Nga"))</f>
        <v>0</v>
      </c>
      <c r="AE10" s="443">
        <f>SUMPRODUCT(--('DS-CBGVNV-THCS'!$E$8:$E$200="Giáo viên"),--('DS-CBGVNV-THCS'!$K$8:$K$200="Tiếng Pháp"))</f>
        <v>0</v>
      </c>
      <c r="AF10" s="443">
        <f>SUMPRODUCT(--('DS-CBGVNV-THCS'!$E$8:$E$200="Giáo viên"),--('DS-CBGVNV-THCS'!$K$8:$K$200="N.Ngữ khác"))</f>
        <v>0</v>
      </c>
      <c r="AG10" s="443">
        <f>SUMPRODUCT(--('DS-CBGVNV-THCS'!$E$8:$E$200="Giáo viên"),--('DS-CBGVNV-THCS'!$F$8:$F$200="TPT.Đội"))</f>
        <v>1</v>
      </c>
      <c r="AH10" s="443">
        <f>SUMPRODUCT(--('DS-CBGVNV-THCS'!$E$8:$E$200="Giáo viên"),--('DS-CBGVNV-THCS'!$S$8:$S$200="Tốt"))</f>
        <v>1</v>
      </c>
      <c r="AI10" s="443">
        <f>SUMPRODUCT(--('DS-CBGVNV-THCS'!$E$8:$E$200="Giáo viên"),--('DS-CBGVNV-THCS'!$S$8:$S$200="Khá"))</f>
        <v>2</v>
      </c>
      <c r="AJ10" s="443">
        <f>SUMPRODUCT(--('DS-CBGVNV-THCS'!$E$8:$E$200="Giáo viên"),--('DS-CBGVNV-THCS'!$S$8:$S$200="Đạt"))</f>
        <v>0</v>
      </c>
      <c r="AK10" s="443">
        <f>SUMPRODUCT(--('DS-CBGVNV-THCS'!$E$8:$E$200="Giáo viên"),--('DS-CBGVNV-THCS'!$S$8:$S$200="C.Đạt"))</f>
        <v>0</v>
      </c>
      <c r="AL10" s="443">
        <f>SUMPRODUCT(--('DS-CBGVNV-THCS'!$E$8:$E$200="Nhân viên"),--('DS-CBGVNV-THCS'!$F$8:$F$200="Thư viện"))</f>
        <v>0</v>
      </c>
      <c r="AM10" s="443">
        <f>SUMPRODUCT(--('DS-CBGVNV-THCS'!$E$8:$E$200="Nhân viên"),--('DS-CBGVNV-THCS'!$F$8:$F$200="T.Bị-T.nghiệm"))</f>
        <v>0</v>
      </c>
      <c r="AN10" s="443">
        <f>SUMPRODUCT(--('DS-CBGVNV-THCS'!$E$8:$E$200="Nhân viên"),--('DS-CBGVNV-THCS'!$F$8:$F$200="Văn phòng"))</f>
        <v>0</v>
      </c>
      <c r="AO10" s="443">
        <f>SUMPRODUCT(--('DS-CBGVNV-THCS'!$E$8:$E$200="Nhân viên"),--('DS-CBGVNV-THCS'!$F$8:$F$200="Y tế"))</f>
        <v>1</v>
      </c>
      <c r="AP10" s="446" t="str">
        <f>IF(OR(F10=0,Chinh!N9=""),"",IF(AND(F10&gt;0,SUM(G10:H10)=0),"Nhập số GV Biên chế và Hợp đồng!",IF(AND(F10&gt;0,SUM(G10:H10)=F10),"Hoàn thành!","Còn lỗi!")))</f>
        <v>Hoàn thành!</v>
      </c>
    </row>
    <row r="11" spans="1:42" ht="20.25" customHeight="1" x14ac:dyDescent="0.2">
      <c r="A11" s="447"/>
      <c r="B11" s="447"/>
      <c r="C11" s="447"/>
      <c r="D11" s="447"/>
      <c r="E11" s="447"/>
      <c r="F11" s="555"/>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row>
    <row r="12" spans="1:42" ht="36.75" customHeight="1" x14ac:dyDescent="0.2">
      <c r="A12" s="746" t="s">
        <v>249</v>
      </c>
      <c r="B12" s="746"/>
      <c r="C12" s="575"/>
      <c r="D12" s="448">
        <f t="shared" ref="D12:J12" si="0">D10+D11</f>
        <v>1</v>
      </c>
      <c r="E12" s="448">
        <f t="shared" si="0"/>
        <v>1</v>
      </c>
      <c r="F12" s="444">
        <f t="shared" si="0"/>
        <v>3</v>
      </c>
      <c r="G12" s="448">
        <f t="shared" si="0"/>
        <v>3</v>
      </c>
      <c r="H12" s="448">
        <f t="shared" si="0"/>
        <v>0</v>
      </c>
      <c r="I12" s="448">
        <f t="shared" si="0"/>
        <v>0</v>
      </c>
      <c r="J12" s="448">
        <f t="shared" si="0"/>
        <v>1</v>
      </c>
      <c r="K12" s="443">
        <f>IF(OR(F12=0,'TKe-CSVC-THCS'!D10=""),"",F12/'TKe-CSVC-THCS'!D10)</f>
        <v>1.5</v>
      </c>
      <c r="L12" s="448">
        <f t="shared" ref="L12:AO12" si="1">L10+L11</f>
        <v>0</v>
      </c>
      <c r="M12" s="448">
        <f t="shared" si="1"/>
        <v>3</v>
      </c>
      <c r="N12" s="448">
        <f t="shared" si="1"/>
        <v>0</v>
      </c>
      <c r="O12" s="448">
        <f t="shared" si="1"/>
        <v>0</v>
      </c>
      <c r="P12" s="448">
        <f t="shared" si="1"/>
        <v>1</v>
      </c>
      <c r="Q12" s="448">
        <f t="shared" si="1"/>
        <v>1</v>
      </c>
      <c r="R12" s="448">
        <f t="shared" si="1"/>
        <v>0</v>
      </c>
      <c r="S12" s="448">
        <f t="shared" si="1"/>
        <v>0</v>
      </c>
      <c r="T12" s="448">
        <f t="shared" si="1"/>
        <v>0</v>
      </c>
      <c r="U12" s="448">
        <f t="shared" si="1"/>
        <v>1</v>
      </c>
      <c r="V12" s="448">
        <f t="shared" si="1"/>
        <v>0</v>
      </c>
      <c r="W12" s="448">
        <f t="shared" si="1"/>
        <v>0</v>
      </c>
      <c r="X12" s="448">
        <f t="shared" si="1"/>
        <v>0</v>
      </c>
      <c r="Y12" s="448">
        <f t="shared" si="1"/>
        <v>0</v>
      </c>
      <c r="Z12" s="448">
        <f t="shared" si="1"/>
        <v>0</v>
      </c>
      <c r="AA12" s="448">
        <f t="shared" si="1"/>
        <v>0</v>
      </c>
      <c r="AB12" s="448">
        <f t="shared" si="1"/>
        <v>0</v>
      </c>
      <c r="AC12" s="448">
        <f t="shared" si="1"/>
        <v>0</v>
      </c>
      <c r="AD12" s="448">
        <f t="shared" si="1"/>
        <v>0</v>
      </c>
      <c r="AE12" s="448">
        <f t="shared" si="1"/>
        <v>0</v>
      </c>
      <c r="AF12" s="448">
        <f t="shared" si="1"/>
        <v>0</v>
      </c>
      <c r="AG12" s="448">
        <f t="shared" si="1"/>
        <v>1</v>
      </c>
      <c r="AH12" s="448">
        <f t="shared" si="1"/>
        <v>1</v>
      </c>
      <c r="AI12" s="448">
        <f t="shared" si="1"/>
        <v>2</v>
      </c>
      <c r="AJ12" s="448">
        <f t="shared" si="1"/>
        <v>0</v>
      </c>
      <c r="AK12" s="448">
        <f t="shared" si="1"/>
        <v>0</v>
      </c>
      <c r="AL12" s="448">
        <f t="shared" si="1"/>
        <v>0</v>
      </c>
      <c r="AM12" s="448">
        <f t="shared" si="1"/>
        <v>0</v>
      </c>
      <c r="AN12" s="448">
        <f t="shared" si="1"/>
        <v>0</v>
      </c>
      <c r="AO12" s="448">
        <f t="shared" si="1"/>
        <v>1</v>
      </c>
      <c r="AP12" s="430" t="str">
        <f>IF(OR(F12=0,AP10="Nhập số GV Biên chế và Hợp đồng!"),"Nhập liệu!",IF(AP10="Hoàn thành!","Hoàn thành!",IF(AP10="Còn lỗi!","Còn lỗi","")))</f>
        <v>Hoàn thành!</v>
      </c>
    </row>
    <row r="13" spans="1:42" ht="20.100000000000001" customHeight="1" x14ac:dyDescent="0.2">
      <c r="A13" s="449"/>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row>
    <row r="14" spans="1:42" ht="15" customHeight="1" x14ac:dyDescent="0.25">
      <c r="A14" s="695" t="s">
        <v>425</v>
      </c>
      <c r="B14" s="695"/>
      <c r="C14" s="695"/>
      <c r="D14" s="695"/>
      <c r="E14" s="695"/>
      <c r="F14" s="695"/>
      <c r="G14" s="695"/>
      <c r="H14" s="695"/>
      <c r="I14" s="338" t="s">
        <v>356</v>
      </c>
      <c r="J14" s="704" t="s">
        <v>426</v>
      </c>
      <c r="K14" s="704"/>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row>
    <row r="15" spans="1:42" ht="24.75" customHeight="1" x14ac:dyDescent="0.25">
      <c r="A15" s="702" t="s">
        <v>427</v>
      </c>
      <c r="B15" s="702"/>
      <c r="C15" s="702"/>
      <c r="D15" s="702"/>
      <c r="E15" s="702"/>
      <c r="F15" s="702"/>
      <c r="G15" s="702"/>
      <c r="H15" s="702"/>
      <c r="I15" s="542">
        <f>SUM(L12:M12)</f>
        <v>3</v>
      </c>
      <c r="J15" s="703">
        <f>IF(OR(I15=0,F12=0),"",I15/F12*100)</f>
        <v>100</v>
      </c>
      <c r="K15" s="703"/>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row>
    <row r="16" spans="1:42" ht="24.75" customHeight="1" x14ac:dyDescent="0.25">
      <c r="A16" s="702" t="s">
        <v>428</v>
      </c>
      <c r="B16" s="702"/>
      <c r="C16" s="702"/>
      <c r="D16" s="702"/>
      <c r="E16" s="702"/>
      <c r="F16" s="702"/>
      <c r="G16" s="702"/>
      <c r="H16" s="702"/>
      <c r="I16" s="542">
        <f>L12</f>
        <v>0</v>
      </c>
      <c r="J16" s="729" t="str">
        <f>IF(OR(I16=0,F12=0),"",I16/F12*100)</f>
        <v/>
      </c>
      <c r="K16" s="730"/>
      <c r="L16" s="576"/>
      <c r="M16" s="576"/>
      <c r="N16" s="576"/>
      <c r="O16" s="576"/>
      <c r="P16" s="576"/>
      <c r="Q16" s="576"/>
      <c r="R16" s="576"/>
      <c r="S16" s="576"/>
      <c r="T16" s="576"/>
      <c r="U16" s="576"/>
      <c r="V16" s="576"/>
      <c r="W16" s="576"/>
      <c r="X16" s="576"/>
      <c r="Y16" s="576"/>
      <c r="Z16" s="576"/>
      <c r="AA16" s="576"/>
      <c r="AB16" s="576"/>
      <c r="AC16" s="576"/>
      <c r="AD16" s="576"/>
      <c r="AE16" s="576"/>
      <c r="AF16" s="576"/>
      <c r="AG16" s="576"/>
      <c r="AH16" s="576"/>
      <c r="AI16" s="576"/>
      <c r="AJ16" s="576"/>
      <c r="AK16" s="576"/>
      <c r="AL16" s="576"/>
      <c r="AM16" s="576"/>
      <c r="AN16" s="576"/>
      <c r="AO16" s="576"/>
    </row>
    <row r="17" spans="1:41" ht="24.75" customHeight="1" x14ac:dyDescent="0.25">
      <c r="A17" s="702" t="s">
        <v>429</v>
      </c>
      <c r="B17" s="702"/>
      <c r="C17" s="702"/>
      <c r="D17" s="702"/>
      <c r="E17" s="702"/>
      <c r="F17" s="702"/>
      <c r="G17" s="702"/>
      <c r="H17" s="702"/>
      <c r="I17" s="542">
        <f>SUM(AH12:AJ12)</f>
        <v>3</v>
      </c>
      <c r="J17" s="729">
        <f>IF(OR(I17=0,F12=0),"",I17/F12*100)</f>
        <v>100</v>
      </c>
      <c r="K17" s="730"/>
      <c r="L17" s="576"/>
      <c r="M17" s="576"/>
      <c r="N17" s="576"/>
      <c r="O17" s="576"/>
      <c r="P17" s="576"/>
      <c r="Q17" s="576"/>
      <c r="R17" s="576"/>
      <c r="S17" s="576"/>
      <c r="T17" s="576"/>
      <c r="U17" s="576"/>
      <c r="V17" s="576"/>
      <c r="W17" s="576"/>
      <c r="X17" s="576"/>
      <c r="Y17" s="576"/>
      <c r="Z17" s="576"/>
      <c r="AA17" s="576"/>
      <c r="AB17" s="576"/>
      <c r="AC17" s="576"/>
      <c r="AD17" s="576"/>
      <c r="AE17" s="576"/>
      <c r="AF17" s="576"/>
      <c r="AG17" s="576"/>
      <c r="AH17" s="576"/>
      <c r="AI17" s="576"/>
      <c r="AJ17" s="576"/>
      <c r="AK17" s="576"/>
      <c r="AL17" s="576"/>
      <c r="AM17" s="576"/>
      <c r="AN17" s="576"/>
      <c r="AO17" s="576"/>
    </row>
    <row r="18" spans="1:41" ht="15" customHeight="1" x14ac:dyDescent="0.25">
      <c r="A18" s="576"/>
      <c r="B18" s="576"/>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576"/>
      <c r="AB18" s="731" t="str">
        <f>Chinh!L34</f>
        <v>Cam ….., ngày ... tháng ... năm 202…</v>
      </c>
      <c r="AC18" s="731"/>
      <c r="AD18" s="731"/>
      <c r="AE18" s="731"/>
      <c r="AF18" s="731"/>
      <c r="AG18" s="731"/>
      <c r="AH18" s="731"/>
      <c r="AI18" s="731"/>
      <c r="AJ18" s="731"/>
      <c r="AK18" s="731"/>
      <c r="AL18" s="731"/>
      <c r="AM18" s="731"/>
      <c r="AN18" s="731"/>
      <c r="AO18" s="576"/>
    </row>
    <row r="19" spans="1:41" ht="15" customHeight="1" x14ac:dyDescent="0.25">
      <c r="A19" s="576"/>
      <c r="B19" s="576"/>
      <c r="C19" s="576"/>
      <c r="D19" s="576"/>
      <c r="E19" s="732" t="s">
        <v>319</v>
      </c>
      <c r="F19" s="733"/>
      <c r="G19" s="733"/>
      <c r="H19" s="733"/>
      <c r="I19" s="733"/>
      <c r="J19" s="733"/>
      <c r="K19" s="576"/>
      <c r="L19" s="576"/>
      <c r="M19" s="576"/>
      <c r="N19" s="576"/>
      <c r="O19" s="576"/>
      <c r="P19" s="727" t="s">
        <v>507</v>
      </c>
      <c r="Q19" s="727"/>
      <c r="R19" s="727"/>
      <c r="S19" s="727"/>
      <c r="T19" s="727"/>
      <c r="U19" s="727"/>
      <c r="V19" s="576"/>
      <c r="W19" s="576"/>
      <c r="X19" s="576"/>
      <c r="Y19" s="576"/>
      <c r="Z19" s="576"/>
      <c r="AA19" s="576"/>
      <c r="AB19" s="727" t="s">
        <v>508</v>
      </c>
      <c r="AC19" s="727"/>
      <c r="AD19" s="727"/>
      <c r="AE19" s="727"/>
      <c r="AF19" s="727"/>
      <c r="AG19" s="727"/>
      <c r="AH19" s="727"/>
      <c r="AI19" s="727"/>
      <c r="AJ19" s="727"/>
      <c r="AK19" s="576"/>
      <c r="AL19" s="576"/>
      <c r="AM19" s="576"/>
      <c r="AN19" s="576"/>
      <c r="AO19" s="576"/>
    </row>
    <row r="20" spans="1:41" ht="15" customHeight="1" x14ac:dyDescent="0.25">
      <c r="A20" s="576"/>
      <c r="B20" s="576"/>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576"/>
      <c r="AB20" s="727"/>
      <c r="AC20" s="727"/>
      <c r="AD20" s="727"/>
      <c r="AE20" s="727"/>
      <c r="AF20" s="727"/>
      <c r="AG20" s="727"/>
      <c r="AH20" s="727"/>
      <c r="AI20" s="727"/>
      <c r="AJ20" s="727"/>
      <c r="AK20" s="576"/>
      <c r="AL20" s="576"/>
      <c r="AM20" s="576"/>
      <c r="AN20" s="576"/>
      <c r="AO20" s="576"/>
    </row>
    <row r="21" spans="1:41" ht="15" customHeight="1" x14ac:dyDescent="0.25">
      <c r="A21" s="576"/>
      <c r="B21" s="576"/>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576"/>
      <c r="AB21" s="577"/>
      <c r="AC21" s="577"/>
      <c r="AD21" s="577"/>
      <c r="AE21" s="577"/>
      <c r="AF21" s="577"/>
      <c r="AG21" s="577"/>
      <c r="AH21" s="577"/>
      <c r="AI21" s="577"/>
      <c r="AJ21" s="577"/>
      <c r="AK21" s="576"/>
      <c r="AL21" s="576"/>
      <c r="AM21" s="576"/>
      <c r="AN21" s="576"/>
      <c r="AO21" s="576"/>
    </row>
    <row r="22" spans="1:41" ht="15" customHeight="1" x14ac:dyDescent="0.25">
      <c r="A22" s="576"/>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576"/>
      <c r="AB22" s="577"/>
      <c r="AC22" s="577"/>
      <c r="AD22" s="577"/>
      <c r="AE22" s="577"/>
      <c r="AF22" s="577"/>
      <c r="AG22" s="577"/>
      <c r="AH22" s="577"/>
      <c r="AI22" s="577"/>
      <c r="AJ22" s="577"/>
      <c r="AK22" s="576"/>
      <c r="AL22" s="576"/>
      <c r="AM22" s="576"/>
      <c r="AN22" s="576"/>
      <c r="AO22" s="576"/>
    </row>
    <row r="23" spans="1:41" ht="15" customHeight="1" x14ac:dyDescent="0.25">
      <c r="A23" s="576"/>
      <c r="B23" s="576"/>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576"/>
      <c r="AB23" s="577"/>
      <c r="AC23" s="577"/>
      <c r="AD23" s="577"/>
      <c r="AE23" s="577"/>
      <c r="AF23" s="577"/>
      <c r="AG23" s="577"/>
      <c r="AH23" s="577"/>
      <c r="AI23" s="577"/>
      <c r="AJ23" s="577"/>
      <c r="AK23" s="576"/>
      <c r="AL23" s="576"/>
      <c r="AM23" s="576"/>
      <c r="AN23" s="576"/>
      <c r="AO23" s="576"/>
    </row>
    <row r="24" spans="1:41" ht="15" customHeight="1" x14ac:dyDescent="0.25">
      <c r="AB24" s="727"/>
      <c r="AC24" s="727"/>
      <c r="AD24" s="727"/>
      <c r="AE24" s="727"/>
      <c r="AF24" s="727"/>
      <c r="AG24" s="727"/>
      <c r="AH24" s="727"/>
      <c r="AI24" s="727"/>
      <c r="AJ24" s="727"/>
    </row>
    <row r="25" spans="1:41" ht="15" customHeight="1" x14ac:dyDescent="0.25">
      <c r="AB25" s="727"/>
      <c r="AC25" s="727"/>
      <c r="AD25" s="727"/>
      <c r="AE25" s="727"/>
      <c r="AF25" s="727"/>
      <c r="AG25" s="727"/>
      <c r="AH25" s="727"/>
      <c r="AI25" s="727"/>
      <c r="AJ25" s="727"/>
    </row>
    <row r="26" spans="1:41" ht="15" customHeight="1" x14ac:dyDescent="0.25">
      <c r="E26" s="450"/>
      <c r="F26" s="450"/>
      <c r="G26" s="450"/>
      <c r="H26" s="450"/>
      <c r="I26" s="450"/>
      <c r="J26" s="450"/>
      <c r="K26" s="450"/>
      <c r="L26" s="450"/>
      <c r="M26" s="450"/>
      <c r="N26" s="450"/>
      <c r="O26" s="450"/>
      <c r="P26" s="450"/>
      <c r="Q26" s="450"/>
      <c r="R26" s="450"/>
      <c r="S26" s="450"/>
      <c r="T26" s="450"/>
      <c r="U26" s="450"/>
      <c r="V26" s="450"/>
      <c r="W26" s="450"/>
      <c r="X26" s="450"/>
      <c r="Y26" s="450"/>
      <c r="Z26" s="450"/>
      <c r="AA26" s="450"/>
      <c r="AB26" s="727"/>
      <c r="AC26" s="727"/>
      <c r="AD26" s="727"/>
      <c r="AE26" s="727"/>
      <c r="AF26" s="727"/>
      <c r="AG26" s="727"/>
      <c r="AH26" s="727"/>
      <c r="AI26" s="727"/>
      <c r="AJ26" s="727"/>
      <c r="AK26" s="450"/>
    </row>
    <row r="27" spans="1:41" ht="15" customHeight="1" x14ac:dyDescent="0.25">
      <c r="E27" s="728" t="str">
        <f>IF(Chinh!$N$9="",0,Chinh!C37)</f>
        <v>…………</v>
      </c>
      <c r="F27" s="728"/>
      <c r="G27" s="728"/>
      <c r="H27" s="728"/>
      <c r="I27" s="728"/>
      <c r="J27" s="728"/>
      <c r="K27" s="450"/>
      <c r="L27" s="450"/>
      <c r="M27" s="450"/>
      <c r="N27" s="450"/>
      <c r="O27" s="450"/>
      <c r="P27" s="728" t="str">
        <f>IF(Chinh!$N$9="",0,Chinh!L37)</f>
        <v>………………..</v>
      </c>
      <c r="Q27" s="728"/>
      <c r="R27" s="728"/>
      <c r="S27" s="728"/>
      <c r="T27" s="728"/>
      <c r="U27" s="728"/>
      <c r="V27" s="450"/>
      <c r="W27" s="450"/>
      <c r="X27" s="450"/>
      <c r="Y27" s="450"/>
      <c r="Z27" s="450"/>
      <c r="AA27" s="450"/>
      <c r="AB27" s="727" t="s">
        <v>519</v>
      </c>
      <c r="AC27" s="727"/>
      <c r="AD27" s="727"/>
      <c r="AE27" s="727"/>
      <c r="AF27" s="727"/>
      <c r="AG27" s="727"/>
      <c r="AH27" s="727"/>
      <c r="AI27" s="727"/>
      <c r="AJ27" s="727"/>
      <c r="AK27" s="450"/>
    </row>
  </sheetData>
  <sheetProtection algorithmName="SHA-512" hashValue="WWNb4pQuZXOTFdjWvMkTCQh33UFKpQ4/9vjIImAUJHT56yJv2umSp5NZfrh5UPc1RnCqysjqCib9PLh7keTBjQ==" saltValue="SYCPEzVAjmirMwc49x/Rzg==" spinCount="100000" sheet="1" objects="1" scenarios="1" formatCells="0" formatColumns="0" formatRows="0"/>
  <mergeCells count="63">
    <mergeCell ref="AN6:AN8"/>
    <mergeCell ref="AO6:AO8"/>
    <mergeCell ref="AL5:AO5"/>
    <mergeCell ref="A1:B1"/>
    <mergeCell ref="A2:B2"/>
    <mergeCell ref="C2:AJ2"/>
    <mergeCell ref="G4:J4"/>
    <mergeCell ref="A5:A8"/>
    <mergeCell ref="C5:E5"/>
    <mergeCell ref="F5:AK5"/>
    <mergeCell ref="K6:K8"/>
    <mergeCell ref="L6:O6"/>
    <mergeCell ref="P6:AF6"/>
    <mergeCell ref="AA7:AA8"/>
    <mergeCell ref="AB7:AB8"/>
    <mergeCell ref="L7:L8"/>
    <mergeCell ref="A12:B12"/>
    <mergeCell ref="R7:T7"/>
    <mergeCell ref="U7:V7"/>
    <mergeCell ref="AL6:AL8"/>
    <mergeCell ref="AM6:AM8"/>
    <mergeCell ref="M7:M8"/>
    <mergeCell ref="N7:N8"/>
    <mergeCell ref="O7:O8"/>
    <mergeCell ref="W7:Y7"/>
    <mergeCell ref="Z7:Z8"/>
    <mergeCell ref="B6:B8"/>
    <mergeCell ref="C6:C8"/>
    <mergeCell ref="D6:D8"/>
    <mergeCell ref="E6:E8"/>
    <mergeCell ref="F6:F8"/>
    <mergeCell ref="G6:G8"/>
    <mergeCell ref="H6:H8"/>
    <mergeCell ref="I6:I8"/>
    <mergeCell ref="J6:J8"/>
    <mergeCell ref="P7:P8"/>
    <mergeCell ref="Q7:Q8"/>
    <mergeCell ref="AC7:AF7"/>
    <mergeCell ref="AH7:AH8"/>
    <mergeCell ref="AI7:AI8"/>
    <mergeCell ref="AJ7:AJ8"/>
    <mergeCell ref="AK7:AK8"/>
    <mergeCell ref="AG6:AG8"/>
    <mergeCell ref="AH6:AK6"/>
    <mergeCell ref="A14:H14"/>
    <mergeCell ref="J14:K14"/>
    <mergeCell ref="A15:H15"/>
    <mergeCell ref="J15:K15"/>
    <mergeCell ref="A16:H16"/>
    <mergeCell ref="J16:K16"/>
    <mergeCell ref="A17:H17"/>
    <mergeCell ref="J17:K17"/>
    <mergeCell ref="AB18:AN18"/>
    <mergeCell ref="E19:J19"/>
    <mergeCell ref="P19:U19"/>
    <mergeCell ref="AB19:AJ19"/>
    <mergeCell ref="AB20:AJ20"/>
    <mergeCell ref="AB24:AJ24"/>
    <mergeCell ref="AB25:AJ25"/>
    <mergeCell ref="AB26:AJ26"/>
    <mergeCell ref="E27:J27"/>
    <mergeCell ref="P27:U27"/>
    <mergeCell ref="AB27:AJ27"/>
  </mergeCells>
  <conditionalFormatting sqref="G10:H10">
    <cfRule type="cellIs" dxfId="12" priority="5" stopIfTrue="1" operator="between">
      <formula>""</formula>
      <formula>""</formula>
    </cfRule>
  </conditionalFormatting>
  <conditionalFormatting sqref="F4">
    <cfRule type="cellIs" dxfId="11" priority="4" stopIfTrue="1" operator="between">
      <formula>"Hoàn thành!"</formula>
      <formula>"Hoàn thành!"</formula>
    </cfRule>
  </conditionalFormatting>
  <conditionalFormatting sqref="G4">
    <cfRule type="cellIs" dxfId="10" priority="2" stopIfTrue="1" operator="between">
      <formula>"Hoàn thành!"</formula>
      <formula>"Hoàn thành!"</formula>
    </cfRule>
    <cfRule type="cellIs" dxfId="9" priority="3" stopIfTrue="1" operator="between">
      <formula>"Nhập liệu!"</formula>
      <formula>"Nhập liệu!"</formula>
    </cfRule>
  </conditionalFormatting>
  <conditionalFormatting sqref="AP10">
    <cfRule type="cellIs" dxfId="8" priority="1" stopIfTrue="1" operator="between">
      <formula>"Nhập số GV biên chế và hợp đồng!"</formula>
      <formula>"Nhập số GV biên chế và hợp đồng!"</formula>
    </cfRule>
  </conditionalFormatting>
  <pageMargins left="0" right="0" top="0.59055118110236204" bottom="0.59055118110236204" header="0.511811023622047" footer="0.511811023622047"/>
  <pageSetup paperSize="9" scale="82"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indexed="10"/>
  </sheetPr>
  <dimension ref="A1:AJ129"/>
  <sheetViews>
    <sheetView showGridLines="0" showZeros="0" workbookViewId="0">
      <selection activeCell="M8" sqref="M8"/>
    </sheetView>
  </sheetViews>
  <sheetFormatPr defaultRowHeight="15" customHeight="1" x14ac:dyDescent="0.2"/>
  <cols>
    <col min="1" max="1" width="3.875" style="434" customWidth="1"/>
    <col min="2" max="2" width="18.25" style="434" customWidth="1"/>
    <col min="3" max="15" width="4.5" style="434" customWidth="1"/>
    <col min="16" max="16" width="11.25" style="434" customWidth="1"/>
    <col min="17" max="17" width="4.5" style="434" customWidth="1"/>
    <col min="18" max="18" width="7.125" style="434" customWidth="1"/>
    <col min="19" max="19" width="4.5" style="434" customWidth="1"/>
    <col min="20" max="20" width="7.125" style="434" customWidth="1"/>
    <col min="21" max="21" width="4.5" style="434" customWidth="1"/>
    <col min="22" max="22" width="7.125" style="434" customWidth="1"/>
    <col min="23" max="23" width="4.5" style="434" customWidth="1"/>
    <col min="24" max="24" width="5.75" style="434" customWidth="1"/>
    <col min="25" max="35" width="3.375" style="434" hidden="1" customWidth="1"/>
    <col min="36" max="36" width="3.375" style="429" hidden="1" customWidth="1"/>
    <col min="37" max="37" width="3.375" style="429" customWidth="1"/>
    <col min="38" max="256" width="9" style="429"/>
    <col min="257" max="257" width="3.875" style="429" customWidth="1"/>
    <col min="258" max="258" width="18.25" style="429" customWidth="1"/>
    <col min="259" max="271" width="4.5" style="429" customWidth="1"/>
    <col min="272" max="272" width="11.25" style="429" customWidth="1"/>
    <col min="273" max="273" width="4.5" style="429" customWidth="1"/>
    <col min="274" max="274" width="7.125" style="429" customWidth="1"/>
    <col min="275" max="275" width="4.5" style="429" customWidth="1"/>
    <col min="276" max="276" width="7.125" style="429" customWidth="1"/>
    <col min="277" max="277" width="4.5" style="429" customWidth="1"/>
    <col min="278" max="278" width="7.125" style="429" customWidth="1"/>
    <col min="279" max="279" width="4.5" style="429" customWidth="1"/>
    <col min="280" max="280" width="7.125" style="429" customWidth="1"/>
    <col min="281" max="292" width="0" style="429" hidden="1" customWidth="1"/>
    <col min="293" max="293" width="4.375" style="429" customWidth="1"/>
    <col min="294" max="512" width="9" style="429"/>
    <col min="513" max="513" width="3.875" style="429" customWidth="1"/>
    <col min="514" max="514" width="18.25" style="429" customWidth="1"/>
    <col min="515" max="527" width="4.5" style="429" customWidth="1"/>
    <col min="528" max="528" width="11.25" style="429" customWidth="1"/>
    <col min="529" max="529" width="4.5" style="429" customWidth="1"/>
    <col min="530" max="530" width="7.125" style="429" customWidth="1"/>
    <col min="531" max="531" width="4.5" style="429" customWidth="1"/>
    <col min="532" max="532" width="7.125" style="429" customWidth="1"/>
    <col min="533" max="533" width="4.5" style="429" customWidth="1"/>
    <col min="534" max="534" width="7.125" style="429" customWidth="1"/>
    <col min="535" max="535" width="4.5" style="429" customWidth="1"/>
    <col min="536" max="536" width="7.125" style="429" customWidth="1"/>
    <col min="537" max="548" width="0" style="429" hidden="1" customWidth="1"/>
    <col min="549" max="549" width="4.375" style="429" customWidth="1"/>
    <col min="550" max="768" width="9" style="429"/>
    <col min="769" max="769" width="3.875" style="429" customWidth="1"/>
    <col min="770" max="770" width="18.25" style="429" customWidth="1"/>
    <col min="771" max="783" width="4.5" style="429" customWidth="1"/>
    <col min="784" max="784" width="11.25" style="429" customWidth="1"/>
    <col min="785" max="785" width="4.5" style="429" customWidth="1"/>
    <col min="786" max="786" width="7.125" style="429" customWidth="1"/>
    <col min="787" max="787" width="4.5" style="429" customWidth="1"/>
    <col min="788" max="788" width="7.125" style="429" customWidth="1"/>
    <col min="789" max="789" width="4.5" style="429" customWidth="1"/>
    <col min="790" max="790" width="7.125" style="429" customWidth="1"/>
    <col min="791" max="791" width="4.5" style="429" customWidth="1"/>
    <col min="792" max="792" width="7.125" style="429" customWidth="1"/>
    <col min="793" max="804" width="0" style="429" hidden="1" customWidth="1"/>
    <col min="805" max="805" width="4.375" style="429" customWidth="1"/>
    <col min="806" max="1024" width="9" style="429"/>
    <col min="1025" max="1025" width="3.875" style="429" customWidth="1"/>
    <col min="1026" max="1026" width="18.25" style="429" customWidth="1"/>
    <col min="1027" max="1039" width="4.5" style="429" customWidth="1"/>
    <col min="1040" max="1040" width="11.25" style="429" customWidth="1"/>
    <col min="1041" max="1041" width="4.5" style="429" customWidth="1"/>
    <col min="1042" max="1042" width="7.125" style="429" customWidth="1"/>
    <col min="1043" max="1043" width="4.5" style="429" customWidth="1"/>
    <col min="1044" max="1044" width="7.125" style="429" customWidth="1"/>
    <col min="1045" max="1045" width="4.5" style="429" customWidth="1"/>
    <col min="1046" max="1046" width="7.125" style="429" customWidth="1"/>
    <col min="1047" max="1047" width="4.5" style="429" customWidth="1"/>
    <col min="1048" max="1048" width="7.125" style="429" customWidth="1"/>
    <col min="1049" max="1060" width="0" style="429" hidden="1" customWidth="1"/>
    <col min="1061" max="1061" width="4.375" style="429" customWidth="1"/>
    <col min="1062" max="1280" width="9" style="429"/>
    <col min="1281" max="1281" width="3.875" style="429" customWidth="1"/>
    <col min="1282" max="1282" width="18.25" style="429" customWidth="1"/>
    <col min="1283" max="1295" width="4.5" style="429" customWidth="1"/>
    <col min="1296" max="1296" width="11.25" style="429" customWidth="1"/>
    <col min="1297" max="1297" width="4.5" style="429" customWidth="1"/>
    <col min="1298" max="1298" width="7.125" style="429" customWidth="1"/>
    <col min="1299" max="1299" width="4.5" style="429" customWidth="1"/>
    <col min="1300" max="1300" width="7.125" style="429" customWidth="1"/>
    <col min="1301" max="1301" width="4.5" style="429" customWidth="1"/>
    <col min="1302" max="1302" width="7.125" style="429" customWidth="1"/>
    <col min="1303" max="1303" width="4.5" style="429" customWidth="1"/>
    <col min="1304" max="1304" width="7.125" style="429" customWidth="1"/>
    <col min="1305" max="1316" width="0" style="429" hidden="1" customWidth="1"/>
    <col min="1317" max="1317" width="4.375" style="429" customWidth="1"/>
    <col min="1318" max="1536" width="9" style="429"/>
    <col min="1537" max="1537" width="3.875" style="429" customWidth="1"/>
    <col min="1538" max="1538" width="18.25" style="429" customWidth="1"/>
    <col min="1539" max="1551" width="4.5" style="429" customWidth="1"/>
    <col min="1552" max="1552" width="11.25" style="429" customWidth="1"/>
    <col min="1553" max="1553" width="4.5" style="429" customWidth="1"/>
    <col min="1554" max="1554" width="7.125" style="429" customWidth="1"/>
    <col min="1555" max="1555" width="4.5" style="429" customWidth="1"/>
    <col min="1556" max="1556" width="7.125" style="429" customWidth="1"/>
    <col min="1557" max="1557" width="4.5" style="429" customWidth="1"/>
    <col min="1558" max="1558" width="7.125" style="429" customWidth="1"/>
    <col min="1559" max="1559" width="4.5" style="429" customWidth="1"/>
    <col min="1560" max="1560" width="7.125" style="429" customWidth="1"/>
    <col min="1561" max="1572" width="0" style="429" hidden="1" customWidth="1"/>
    <col min="1573" max="1573" width="4.375" style="429" customWidth="1"/>
    <col min="1574" max="1792" width="9" style="429"/>
    <col min="1793" max="1793" width="3.875" style="429" customWidth="1"/>
    <col min="1794" max="1794" width="18.25" style="429" customWidth="1"/>
    <col min="1795" max="1807" width="4.5" style="429" customWidth="1"/>
    <col min="1808" max="1808" width="11.25" style="429" customWidth="1"/>
    <col min="1809" max="1809" width="4.5" style="429" customWidth="1"/>
    <col min="1810" max="1810" width="7.125" style="429" customWidth="1"/>
    <col min="1811" max="1811" width="4.5" style="429" customWidth="1"/>
    <col min="1812" max="1812" width="7.125" style="429" customWidth="1"/>
    <col min="1813" max="1813" width="4.5" style="429" customWidth="1"/>
    <col min="1814" max="1814" width="7.125" style="429" customWidth="1"/>
    <col min="1815" max="1815" width="4.5" style="429" customWidth="1"/>
    <col min="1816" max="1816" width="7.125" style="429" customWidth="1"/>
    <col min="1817" max="1828" width="0" style="429" hidden="1" customWidth="1"/>
    <col min="1829" max="1829" width="4.375" style="429" customWidth="1"/>
    <col min="1830" max="2048" width="9" style="429"/>
    <col min="2049" max="2049" width="3.875" style="429" customWidth="1"/>
    <col min="2050" max="2050" width="18.25" style="429" customWidth="1"/>
    <col min="2051" max="2063" width="4.5" style="429" customWidth="1"/>
    <col min="2064" max="2064" width="11.25" style="429" customWidth="1"/>
    <col min="2065" max="2065" width="4.5" style="429" customWidth="1"/>
    <col min="2066" max="2066" width="7.125" style="429" customWidth="1"/>
    <col min="2067" max="2067" width="4.5" style="429" customWidth="1"/>
    <col min="2068" max="2068" width="7.125" style="429" customWidth="1"/>
    <col min="2069" max="2069" width="4.5" style="429" customWidth="1"/>
    <col min="2070" max="2070" width="7.125" style="429" customWidth="1"/>
    <col min="2071" max="2071" width="4.5" style="429" customWidth="1"/>
    <col min="2072" max="2072" width="7.125" style="429" customWidth="1"/>
    <col min="2073" max="2084" width="0" style="429" hidden="1" customWidth="1"/>
    <col min="2085" max="2085" width="4.375" style="429" customWidth="1"/>
    <col min="2086" max="2304" width="9" style="429"/>
    <col min="2305" max="2305" width="3.875" style="429" customWidth="1"/>
    <col min="2306" max="2306" width="18.25" style="429" customWidth="1"/>
    <col min="2307" max="2319" width="4.5" style="429" customWidth="1"/>
    <col min="2320" max="2320" width="11.25" style="429" customWidth="1"/>
    <col min="2321" max="2321" width="4.5" style="429" customWidth="1"/>
    <col min="2322" max="2322" width="7.125" style="429" customWidth="1"/>
    <col min="2323" max="2323" width="4.5" style="429" customWidth="1"/>
    <col min="2324" max="2324" width="7.125" style="429" customWidth="1"/>
    <col min="2325" max="2325" width="4.5" style="429" customWidth="1"/>
    <col min="2326" max="2326" width="7.125" style="429" customWidth="1"/>
    <col min="2327" max="2327" width="4.5" style="429" customWidth="1"/>
    <col min="2328" max="2328" width="7.125" style="429" customWidth="1"/>
    <col min="2329" max="2340" width="0" style="429" hidden="1" customWidth="1"/>
    <col min="2341" max="2341" width="4.375" style="429" customWidth="1"/>
    <col min="2342" max="2560" width="9" style="429"/>
    <col min="2561" max="2561" width="3.875" style="429" customWidth="1"/>
    <col min="2562" max="2562" width="18.25" style="429" customWidth="1"/>
    <col min="2563" max="2575" width="4.5" style="429" customWidth="1"/>
    <col min="2576" max="2576" width="11.25" style="429" customWidth="1"/>
    <col min="2577" max="2577" width="4.5" style="429" customWidth="1"/>
    <col min="2578" max="2578" width="7.125" style="429" customWidth="1"/>
    <col min="2579" max="2579" width="4.5" style="429" customWidth="1"/>
    <col min="2580" max="2580" width="7.125" style="429" customWidth="1"/>
    <col min="2581" max="2581" width="4.5" style="429" customWidth="1"/>
    <col min="2582" max="2582" width="7.125" style="429" customWidth="1"/>
    <col min="2583" max="2583" width="4.5" style="429" customWidth="1"/>
    <col min="2584" max="2584" width="7.125" style="429" customWidth="1"/>
    <col min="2585" max="2596" width="0" style="429" hidden="1" customWidth="1"/>
    <col min="2597" max="2597" width="4.375" style="429" customWidth="1"/>
    <col min="2598" max="2816" width="9" style="429"/>
    <col min="2817" max="2817" width="3.875" style="429" customWidth="1"/>
    <col min="2818" max="2818" width="18.25" style="429" customWidth="1"/>
    <col min="2819" max="2831" width="4.5" style="429" customWidth="1"/>
    <col min="2832" max="2832" width="11.25" style="429" customWidth="1"/>
    <col min="2833" max="2833" width="4.5" style="429" customWidth="1"/>
    <col min="2834" max="2834" width="7.125" style="429" customWidth="1"/>
    <col min="2835" max="2835" width="4.5" style="429" customWidth="1"/>
    <col min="2836" max="2836" width="7.125" style="429" customWidth="1"/>
    <col min="2837" max="2837" width="4.5" style="429" customWidth="1"/>
    <col min="2838" max="2838" width="7.125" style="429" customWidth="1"/>
    <col min="2839" max="2839" width="4.5" style="429" customWidth="1"/>
    <col min="2840" max="2840" width="7.125" style="429" customWidth="1"/>
    <col min="2841" max="2852" width="0" style="429" hidden="1" customWidth="1"/>
    <col min="2853" max="2853" width="4.375" style="429" customWidth="1"/>
    <col min="2854" max="3072" width="9" style="429"/>
    <col min="3073" max="3073" width="3.875" style="429" customWidth="1"/>
    <col min="3074" max="3074" width="18.25" style="429" customWidth="1"/>
    <col min="3075" max="3087" width="4.5" style="429" customWidth="1"/>
    <col min="3088" max="3088" width="11.25" style="429" customWidth="1"/>
    <col min="3089" max="3089" width="4.5" style="429" customWidth="1"/>
    <col min="3090" max="3090" width="7.125" style="429" customWidth="1"/>
    <col min="3091" max="3091" width="4.5" style="429" customWidth="1"/>
    <col min="3092" max="3092" width="7.125" style="429" customWidth="1"/>
    <col min="3093" max="3093" width="4.5" style="429" customWidth="1"/>
    <col min="3094" max="3094" width="7.125" style="429" customWidth="1"/>
    <col min="3095" max="3095" width="4.5" style="429" customWidth="1"/>
    <col min="3096" max="3096" width="7.125" style="429" customWidth="1"/>
    <col min="3097" max="3108" width="0" style="429" hidden="1" customWidth="1"/>
    <col min="3109" max="3109" width="4.375" style="429" customWidth="1"/>
    <col min="3110" max="3328" width="9" style="429"/>
    <col min="3329" max="3329" width="3.875" style="429" customWidth="1"/>
    <col min="3330" max="3330" width="18.25" style="429" customWidth="1"/>
    <col min="3331" max="3343" width="4.5" style="429" customWidth="1"/>
    <col min="3344" max="3344" width="11.25" style="429" customWidth="1"/>
    <col min="3345" max="3345" width="4.5" style="429" customWidth="1"/>
    <col min="3346" max="3346" width="7.125" style="429" customWidth="1"/>
    <col min="3347" max="3347" width="4.5" style="429" customWidth="1"/>
    <col min="3348" max="3348" width="7.125" style="429" customWidth="1"/>
    <col min="3349" max="3349" width="4.5" style="429" customWidth="1"/>
    <col min="3350" max="3350" width="7.125" style="429" customWidth="1"/>
    <col min="3351" max="3351" width="4.5" style="429" customWidth="1"/>
    <col min="3352" max="3352" width="7.125" style="429" customWidth="1"/>
    <col min="3353" max="3364" width="0" style="429" hidden="1" customWidth="1"/>
    <col min="3365" max="3365" width="4.375" style="429" customWidth="1"/>
    <col min="3366" max="3584" width="9" style="429"/>
    <col min="3585" max="3585" width="3.875" style="429" customWidth="1"/>
    <col min="3586" max="3586" width="18.25" style="429" customWidth="1"/>
    <col min="3587" max="3599" width="4.5" style="429" customWidth="1"/>
    <col min="3600" max="3600" width="11.25" style="429" customWidth="1"/>
    <col min="3601" max="3601" width="4.5" style="429" customWidth="1"/>
    <col min="3602" max="3602" width="7.125" style="429" customWidth="1"/>
    <col min="3603" max="3603" width="4.5" style="429" customWidth="1"/>
    <col min="3604" max="3604" width="7.125" style="429" customWidth="1"/>
    <col min="3605" max="3605" width="4.5" style="429" customWidth="1"/>
    <col min="3606" max="3606" width="7.125" style="429" customWidth="1"/>
    <col min="3607" max="3607" width="4.5" style="429" customWidth="1"/>
    <col min="3608" max="3608" width="7.125" style="429" customWidth="1"/>
    <col min="3609" max="3620" width="0" style="429" hidden="1" customWidth="1"/>
    <col min="3621" max="3621" width="4.375" style="429" customWidth="1"/>
    <col min="3622" max="3840" width="9" style="429"/>
    <col min="3841" max="3841" width="3.875" style="429" customWidth="1"/>
    <col min="3842" max="3842" width="18.25" style="429" customWidth="1"/>
    <col min="3843" max="3855" width="4.5" style="429" customWidth="1"/>
    <col min="3856" max="3856" width="11.25" style="429" customWidth="1"/>
    <col min="3857" max="3857" width="4.5" style="429" customWidth="1"/>
    <col min="3858" max="3858" width="7.125" style="429" customWidth="1"/>
    <col min="3859" max="3859" width="4.5" style="429" customWidth="1"/>
    <col min="3860" max="3860" width="7.125" style="429" customWidth="1"/>
    <col min="3861" max="3861" width="4.5" style="429" customWidth="1"/>
    <col min="3862" max="3862" width="7.125" style="429" customWidth="1"/>
    <col min="3863" max="3863" width="4.5" style="429" customWidth="1"/>
    <col min="3864" max="3864" width="7.125" style="429" customWidth="1"/>
    <col min="3865" max="3876" width="0" style="429" hidden="1" customWidth="1"/>
    <col min="3877" max="3877" width="4.375" style="429" customWidth="1"/>
    <col min="3878" max="4096" width="9" style="429"/>
    <col min="4097" max="4097" width="3.875" style="429" customWidth="1"/>
    <col min="4098" max="4098" width="18.25" style="429" customWidth="1"/>
    <col min="4099" max="4111" width="4.5" style="429" customWidth="1"/>
    <col min="4112" max="4112" width="11.25" style="429" customWidth="1"/>
    <col min="4113" max="4113" width="4.5" style="429" customWidth="1"/>
    <col min="4114" max="4114" width="7.125" style="429" customWidth="1"/>
    <col min="4115" max="4115" width="4.5" style="429" customWidth="1"/>
    <col min="4116" max="4116" width="7.125" style="429" customWidth="1"/>
    <col min="4117" max="4117" width="4.5" style="429" customWidth="1"/>
    <col min="4118" max="4118" width="7.125" style="429" customWidth="1"/>
    <col min="4119" max="4119" width="4.5" style="429" customWidth="1"/>
    <col min="4120" max="4120" width="7.125" style="429" customWidth="1"/>
    <col min="4121" max="4132" width="0" style="429" hidden="1" customWidth="1"/>
    <col min="4133" max="4133" width="4.375" style="429" customWidth="1"/>
    <col min="4134" max="4352" width="9" style="429"/>
    <col min="4353" max="4353" width="3.875" style="429" customWidth="1"/>
    <col min="4354" max="4354" width="18.25" style="429" customWidth="1"/>
    <col min="4355" max="4367" width="4.5" style="429" customWidth="1"/>
    <col min="4368" max="4368" width="11.25" style="429" customWidth="1"/>
    <col min="4369" max="4369" width="4.5" style="429" customWidth="1"/>
    <col min="4370" max="4370" width="7.125" style="429" customWidth="1"/>
    <col min="4371" max="4371" width="4.5" style="429" customWidth="1"/>
    <col min="4372" max="4372" width="7.125" style="429" customWidth="1"/>
    <col min="4373" max="4373" width="4.5" style="429" customWidth="1"/>
    <col min="4374" max="4374" width="7.125" style="429" customWidth="1"/>
    <col min="4375" max="4375" width="4.5" style="429" customWidth="1"/>
    <col min="4376" max="4376" width="7.125" style="429" customWidth="1"/>
    <col min="4377" max="4388" width="0" style="429" hidden="1" customWidth="1"/>
    <col min="4389" max="4389" width="4.375" style="429" customWidth="1"/>
    <col min="4390" max="4608" width="9" style="429"/>
    <col min="4609" max="4609" width="3.875" style="429" customWidth="1"/>
    <col min="4610" max="4610" width="18.25" style="429" customWidth="1"/>
    <col min="4611" max="4623" width="4.5" style="429" customWidth="1"/>
    <col min="4624" max="4624" width="11.25" style="429" customWidth="1"/>
    <col min="4625" max="4625" width="4.5" style="429" customWidth="1"/>
    <col min="4626" max="4626" width="7.125" style="429" customWidth="1"/>
    <col min="4627" max="4627" width="4.5" style="429" customWidth="1"/>
    <col min="4628" max="4628" width="7.125" style="429" customWidth="1"/>
    <col min="4629" max="4629" width="4.5" style="429" customWidth="1"/>
    <col min="4630" max="4630" width="7.125" style="429" customWidth="1"/>
    <col min="4631" max="4631" width="4.5" style="429" customWidth="1"/>
    <col min="4632" max="4632" width="7.125" style="429" customWidth="1"/>
    <col min="4633" max="4644" width="0" style="429" hidden="1" customWidth="1"/>
    <col min="4645" max="4645" width="4.375" style="429" customWidth="1"/>
    <col min="4646" max="4864" width="9" style="429"/>
    <col min="4865" max="4865" width="3.875" style="429" customWidth="1"/>
    <col min="4866" max="4866" width="18.25" style="429" customWidth="1"/>
    <col min="4867" max="4879" width="4.5" style="429" customWidth="1"/>
    <col min="4880" max="4880" width="11.25" style="429" customWidth="1"/>
    <col min="4881" max="4881" width="4.5" style="429" customWidth="1"/>
    <col min="4882" max="4882" width="7.125" style="429" customWidth="1"/>
    <col min="4883" max="4883" width="4.5" style="429" customWidth="1"/>
    <col min="4884" max="4884" width="7.125" style="429" customWidth="1"/>
    <col min="4885" max="4885" width="4.5" style="429" customWidth="1"/>
    <col min="4886" max="4886" width="7.125" style="429" customWidth="1"/>
    <col min="4887" max="4887" width="4.5" style="429" customWidth="1"/>
    <col min="4888" max="4888" width="7.125" style="429" customWidth="1"/>
    <col min="4889" max="4900" width="0" style="429" hidden="1" customWidth="1"/>
    <col min="4901" max="4901" width="4.375" style="429" customWidth="1"/>
    <col min="4902" max="5120" width="9" style="429"/>
    <col min="5121" max="5121" width="3.875" style="429" customWidth="1"/>
    <col min="5122" max="5122" width="18.25" style="429" customWidth="1"/>
    <col min="5123" max="5135" width="4.5" style="429" customWidth="1"/>
    <col min="5136" max="5136" width="11.25" style="429" customWidth="1"/>
    <col min="5137" max="5137" width="4.5" style="429" customWidth="1"/>
    <col min="5138" max="5138" width="7.125" style="429" customWidth="1"/>
    <col min="5139" max="5139" width="4.5" style="429" customWidth="1"/>
    <col min="5140" max="5140" width="7.125" style="429" customWidth="1"/>
    <col min="5141" max="5141" width="4.5" style="429" customWidth="1"/>
    <col min="5142" max="5142" width="7.125" style="429" customWidth="1"/>
    <col min="5143" max="5143" width="4.5" style="429" customWidth="1"/>
    <col min="5144" max="5144" width="7.125" style="429" customWidth="1"/>
    <col min="5145" max="5156" width="0" style="429" hidden="1" customWidth="1"/>
    <col min="5157" max="5157" width="4.375" style="429" customWidth="1"/>
    <col min="5158" max="5376" width="9" style="429"/>
    <col min="5377" max="5377" width="3.875" style="429" customWidth="1"/>
    <col min="5378" max="5378" width="18.25" style="429" customWidth="1"/>
    <col min="5379" max="5391" width="4.5" style="429" customWidth="1"/>
    <col min="5392" max="5392" width="11.25" style="429" customWidth="1"/>
    <col min="5393" max="5393" width="4.5" style="429" customWidth="1"/>
    <col min="5394" max="5394" width="7.125" style="429" customWidth="1"/>
    <col min="5395" max="5395" width="4.5" style="429" customWidth="1"/>
    <col min="5396" max="5396" width="7.125" style="429" customWidth="1"/>
    <col min="5397" max="5397" width="4.5" style="429" customWidth="1"/>
    <col min="5398" max="5398" width="7.125" style="429" customWidth="1"/>
    <col min="5399" max="5399" width="4.5" style="429" customWidth="1"/>
    <col min="5400" max="5400" width="7.125" style="429" customWidth="1"/>
    <col min="5401" max="5412" width="0" style="429" hidden="1" customWidth="1"/>
    <col min="5413" max="5413" width="4.375" style="429" customWidth="1"/>
    <col min="5414" max="5632" width="9" style="429"/>
    <col min="5633" max="5633" width="3.875" style="429" customWidth="1"/>
    <col min="5634" max="5634" width="18.25" style="429" customWidth="1"/>
    <col min="5635" max="5647" width="4.5" style="429" customWidth="1"/>
    <col min="5648" max="5648" width="11.25" style="429" customWidth="1"/>
    <col min="5649" max="5649" width="4.5" style="429" customWidth="1"/>
    <col min="5650" max="5650" width="7.125" style="429" customWidth="1"/>
    <col min="5651" max="5651" width="4.5" style="429" customWidth="1"/>
    <col min="5652" max="5652" width="7.125" style="429" customWidth="1"/>
    <col min="5653" max="5653" width="4.5" style="429" customWidth="1"/>
    <col min="5654" max="5654" width="7.125" style="429" customWidth="1"/>
    <col min="5655" max="5655" width="4.5" style="429" customWidth="1"/>
    <col min="5656" max="5656" width="7.125" style="429" customWidth="1"/>
    <col min="5657" max="5668" width="0" style="429" hidden="1" customWidth="1"/>
    <col min="5669" max="5669" width="4.375" style="429" customWidth="1"/>
    <col min="5670" max="5888" width="9" style="429"/>
    <col min="5889" max="5889" width="3.875" style="429" customWidth="1"/>
    <col min="5890" max="5890" width="18.25" style="429" customWidth="1"/>
    <col min="5891" max="5903" width="4.5" style="429" customWidth="1"/>
    <col min="5904" max="5904" width="11.25" style="429" customWidth="1"/>
    <col min="5905" max="5905" width="4.5" style="429" customWidth="1"/>
    <col min="5906" max="5906" width="7.125" style="429" customWidth="1"/>
    <col min="5907" max="5907" width="4.5" style="429" customWidth="1"/>
    <col min="5908" max="5908" width="7.125" style="429" customWidth="1"/>
    <col min="5909" max="5909" width="4.5" style="429" customWidth="1"/>
    <col min="5910" max="5910" width="7.125" style="429" customWidth="1"/>
    <col min="5911" max="5911" width="4.5" style="429" customWidth="1"/>
    <col min="5912" max="5912" width="7.125" style="429" customWidth="1"/>
    <col min="5913" max="5924" width="0" style="429" hidden="1" customWidth="1"/>
    <col min="5925" max="5925" width="4.375" style="429" customWidth="1"/>
    <col min="5926" max="6144" width="9" style="429"/>
    <col min="6145" max="6145" width="3.875" style="429" customWidth="1"/>
    <col min="6146" max="6146" width="18.25" style="429" customWidth="1"/>
    <col min="6147" max="6159" width="4.5" style="429" customWidth="1"/>
    <col min="6160" max="6160" width="11.25" style="429" customWidth="1"/>
    <col min="6161" max="6161" width="4.5" style="429" customWidth="1"/>
    <col min="6162" max="6162" width="7.125" style="429" customWidth="1"/>
    <col min="6163" max="6163" width="4.5" style="429" customWidth="1"/>
    <col min="6164" max="6164" width="7.125" style="429" customWidth="1"/>
    <col min="6165" max="6165" width="4.5" style="429" customWidth="1"/>
    <col min="6166" max="6166" width="7.125" style="429" customWidth="1"/>
    <col min="6167" max="6167" width="4.5" style="429" customWidth="1"/>
    <col min="6168" max="6168" width="7.125" style="429" customWidth="1"/>
    <col min="6169" max="6180" width="0" style="429" hidden="1" customWidth="1"/>
    <col min="6181" max="6181" width="4.375" style="429" customWidth="1"/>
    <col min="6182" max="6400" width="9" style="429"/>
    <col min="6401" max="6401" width="3.875" style="429" customWidth="1"/>
    <col min="6402" max="6402" width="18.25" style="429" customWidth="1"/>
    <col min="6403" max="6415" width="4.5" style="429" customWidth="1"/>
    <col min="6416" max="6416" width="11.25" style="429" customWidth="1"/>
    <col min="6417" max="6417" width="4.5" style="429" customWidth="1"/>
    <col min="6418" max="6418" width="7.125" style="429" customWidth="1"/>
    <col min="6419" max="6419" width="4.5" style="429" customWidth="1"/>
    <col min="6420" max="6420" width="7.125" style="429" customWidth="1"/>
    <col min="6421" max="6421" width="4.5" style="429" customWidth="1"/>
    <col min="6422" max="6422" width="7.125" style="429" customWidth="1"/>
    <col min="6423" max="6423" width="4.5" style="429" customWidth="1"/>
    <col min="6424" max="6424" width="7.125" style="429" customWidth="1"/>
    <col min="6425" max="6436" width="0" style="429" hidden="1" customWidth="1"/>
    <col min="6437" max="6437" width="4.375" style="429" customWidth="1"/>
    <col min="6438" max="6656" width="9" style="429"/>
    <col min="6657" max="6657" width="3.875" style="429" customWidth="1"/>
    <col min="6658" max="6658" width="18.25" style="429" customWidth="1"/>
    <col min="6659" max="6671" width="4.5" style="429" customWidth="1"/>
    <col min="6672" max="6672" width="11.25" style="429" customWidth="1"/>
    <col min="6673" max="6673" width="4.5" style="429" customWidth="1"/>
    <col min="6674" max="6674" width="7.125" style="429" customWidth="1"/>
    <col min="6675" max="6675" width="4.5" style="429" customWidth="1"/>
    <col min="6676" max="6676" width="7.125" style="429" customWidth="1"/>
    <col min="6677" max="6677" width="4.5" style="429" customWidth="1"/>
    <col min="6678" max="6678" width="7.125" style="429" customWidth="1"/>
    <col min="6679" max="6679" width="4.5" style="429" customWidth="1"/>
    <col min="6680" max="6680" width="7.125" style="429" customWidth="1"/>
    <col min="6681" max="6692" width="0" style="429" hidden="1" customWidth="1"/>
    <col min="6693" max="6693" width="4.375" style="429" customWidth="1"/>
    <col min="6694" max="6912" width="9" style="429"/>
    <col min="6913" max="6913" width="3.875" style="429" customWidth="1"/>
    <col min="6914" max="6914" width="18.25" style="429" customWidth="1"/>
    <col min="6915" max="6927" width="4.5" style="429" customWidth="1"/>
    <col min="6928" max="6928" width="11.25" style="429" customWidth="1"/>
    <col min="6929" max="6929" width="4.5" style="429" customWidth="1"/>
    <col min="6930" max="6930" width="7.125" style="429" customWidth="1"/>
    <col min="6931" max="6931" width="4.5" style="429" customWidth="1"/>
    <col min="6932" max="6932" width="7.125" style="429" customWidth="1"/>
    <col min="6933" max="6933" width="4.5" style="429" customWidth="1"/>
    <col min="6934" max="6934" width="7.125" style="429" customWidth="1"/>
    <col min="6935" max="6935" width="4.5" style="429" customWidth="1"/>
    <col min="6936" max="6936" width="7.125" style="429" customWidth="1"/>
    <col min="6937" max="6948" width="0" style="429" hidden="1" customWidth="1"/>
    <col min="6949" max="6949" width="4.375" style="429" customWidth="1"/>
    <col min="6950" max="7168" width="9" style="429"/>
    <col min="7169" max="7169" width="3.875" style="429" customWidth="1"/>
    <col min="7170" max="7170" width="18.25" style="429" customWidth="1"/>
    <col min="7171" max="7183" width="4.5" style="429" customWidth="1"/>
    <col min="7184" max="7184" width="11.25" style="429" customWidth="1"/>
    <col min="7185" max="7185" width="4.5" style="429" customWidth="1"/>
    <col min="7186" max="7186" width="7.125" style="429" customWidth="1"/>
    <col min="7187" max="7187" width="4.5" style="429" customWidth="1"/>
    <col min="7188" max="7188" width="7.125" style="429" customWidth="1"/>
    <col min="7189" max="7189" width="4.5" style="429" customWidth="1"/>
    <col min="7190" max="7190" width="7.125" style="429" customWidth="1"/>
    <col min="7191" max="7191" width="4.5" style="429" customWidth="1"/>
    <col min="7192" max="7192" width="7.125" style="429" customWidth="1"/>
    <col min="7193" max="7204" width="0" style="429" hidden="1" customWidth="1"/>
    <col min="7205" max="7205" width="4.375" style="429" customWidth="1"/>
    <col min="7206" max="7424" width="9" style="429"/>
    <col min="7425" max="7425" width="3.875" style="429" customWidth="1"/>
    <col min="7426" max="7426" width="18.25" style="429" customWidth="1"/>
    <col min="7427" max="7439" width="4.5" style="429" customWidth="1"/>
    <col min="7440" max="7440" width="11.25" style="429" customWidth="1"/>
    <col min="7441" max="7441" width="4.5" style="429" customWidth="1"/>
    <col min="7442" max="7442" width="7.125" style="429" customWidth="1"/>
    <col min="7443" max="7443" width="4.5" style="429" customWidth="1"/>
    <col min="7444" max="7444" width="7.125" style="429" customWidth="1"/>
    <col min="7445" max="7445" width="4.5" style="429" customWidth="1"/>
    <col min="7446" max="7446" width="7.125" style="429" customWidth="1"/>
    <col min="7447" max="7447" width="4.5" style="429" customWidth="1"/>
    <col min="7448" max="7448" width="7.125" style="429" customWidth="1"/>
    <col min="7449" max="7460" width="0" style="429" hidden="1" customWidth="1"/>
    <col min="7461" max="7461" width="4.375" style="429" customWidth="1"/>
    <col min="7462" max="7680" width="9" style="429"/>
    <col min="7681" max="7681" width="3.875" style="429" customWidth="1"/>
    <col min="7682" max="7682" width="18.25" style="429" customWidth="1"/>
    <col min="7683" max="7695" width="4.5" style="429" customWidth="1"/>
    <col min="7696" max="7696" width="11.25" style="429" customWidth="1"/>
    <col min="7697" max="7697" width="4.5" style="429" customWidth="1"/>
    <col min="7698" max="7698" width="7.125" style="429" customWidth="1"/>
    <col min="7699" max="7699" width="4.5" style="429" customWidth="1"/>
    <col min="7700" max="7700" width="7.125" style="429" customWidth="1"/>
    <col min="7701" max="7701" width="4.5" style="429" customWidth="1"/>
    <col min="7702" max="7702" width="7.125" style="429" customWidth="1"/>
    <col min="7703" max="7703" width="4.5" style="429" customWidth="1"/>
    <col min="7704" max="7704" width="7.125" style="429" customWidth="1"/>
    <col min="7705" max="7716" width="0" style="429" hidden="1" customWidth="1"/>
    <col min="7717" max="7717" width="4.375" style="429" customWidth="1"/>
    <col min="7718" max="7936" width="9" style="429"/>
    <col min="7937" max="7937" width="3.875" style="429" customWidth="1"/>
    <col min="7938" max="7938" width="18.25" style="429" customWidth="1"/>
    <col min="7939" max="7951" width="4.5" style="429" customWidth="1"/>
    <col min="7952" max="7952" width="11.25" style="429" customWidth="1"/>
    <col min="7953" max="7953" width="4.5" style="429" customWidth="1"/>
    <col min="7954" max="7954" width="7.125" style="429" customWidth="1"/>
    <col min="7955" max="7955" width="4.5" style="429" customWidth="1"/>
    <col min="7956" max="7956" width="7.125" style="429" customWidth="1"/>
    <col min="7957" max="7957" width="4.5" style="429" customWidth="1"/>
    <col min="7958" max="7958" width="7.125" style="429" customWidth="1"/>
    <col min="7959" max="7959" width="4.5" style="429" customWidth="1"/>
    <col min="7960" max="7960" width="7.125" style="429" customWidth="1"/>
    <col min="7961" max="7972" width="0" style="429" hidden="1" customWidth="1"/>
    <col min="7973" max="7973" width="4.375" style="429" customWidth="1"/>
    <col min="7974" max="8192" width="9" style="429"/>
    <col min="8193" max="8193" width="3.875" style="429" customWidth="1"/>
    <col min="8194" max="8194" width="18.25" style="429" customWidth="1"/>
    <col min="8195" max="8207" width="4.5" style="429" customWidth="1"/>
    <col min="8208" max="8208" width="11.25" style="429" customWidth="1"/>
    <col min="8209" max="8209" width="4.5" style="429" customWidth="1"/>
    <col min="8210" max="8210" width="7.125" style="429" customWidth="1"/>
    <col min="8211" max="8211" width="4.5" style="429" customWidth="1"/>
    <col min="8212" max="8212" width="7.125" style="429" customWidth="1"/>
    <col min="8213" max="8213" width="4.5" style="429" customWidth="1"/>
    <col min="8214" max="8214" width="7.125" style="429" customWidth="1"/>
    <col min="8215" max="8215" width="4.5" style="429" customWidth="1"/>
    <col min="8216" max="8216" width="7.125" style="429" customWidth="1"/>
    <col min="8217" max="8228" width="0" style="429" hidden="1" customWidth="1"/>
    <col min="8229" max="8229" width="4.375" style="429" customWidth="1"/>
    <col min="8230" max="8448" width="9" style="429"/>
    <col min="8449" max="8449" width="3.875" style="429" customWidth="1"/>
    <col min="8450" max="8450" width="18.25" style="429" customWidth="1"/>
    <col min="8451" max="8463" width="4.5" style="429" customWidth="1"/>
    <col min="8464" max="8464" width="11.25" style="429" customWidth="1"/>
    <col min="8465" max="8465" width="4.5" style="429" customWidth="1"/>
    <col min="8466" max="8466" width="7.125" style="429" customWidth="1"/>
    <col min="8467" max="8467" width="4.5" style="429" customWidth="1"/>
    <col min="8468" max="8468" width="7.125" style="429" customWidth="1"/>
    <col min="8469" max="8469" width="4.5" style="429" customWidth="1"/>
    <col min="8470" max="8470" width="7.125" style="429" customWidth="1"/>
    <col min="8471" max="8471" width="4.5" style="429" customWidth="1"/>
    <col min="8472" max="8472" width="7.125" style="429" customWidth="1"/>
    <col min="8473" max="8484" width="0" style="429" hidden="1" customWidth="1"/>
    <col min="8485" max="8485" width="4.375" style="429" customWidth="1"/>
    <col min="8486" max="8704" width="9" style="429"/>
    <col min="8705" max="8705" width="3.875" style="429" customWidth="1"/>
    <col min="8706" max="8706" width="18.25" style="429" customWidth="1"/>
    <col min="8707" max="8719" width="4.5" style="429" customWidth="1"/>
    <col min="8720" max="8720" width="11.25" style="429" customWidth="1"/>
    <col min="8721" max="8721" width="4.5" style="429" customWidth="1"/>
    <col min="8722" max="8722" width="7.125" style="429" customWidth="1"/>
    <col min="8723" max="8723" width="4.5" style="429" customWidth="1"/>
    <col min="8724" max="8724" width="7.125" style="429" customWidth="1"/>
    <col min="8725" max="8725" width="4.5" style="429" customWidth="1"/>
    <col min="8726" max="8726" width="7.125" style="429" customWidth="1"/>
    <col min="8727" max="8727" width="4.5" style="429" customWidth="1"/>
    <col min="8728" max="8728" width="7.125" style="429" customWidth="1"/>
    <col min="8729" max="8740" width="0" style="429" hidden="1" customWidth="1"/>
    <col min="8741" max="8741" width="4.375" style="429" customWidth="1"/>
    <col min="8742" max="8960" width="9" style="429"/>
    <col min="8961" max="8961" width="3.875" style="429" customWidth="1"/>
    <col min="8962" max="8962" width="18.25" style="429" customWidth="1"/>
    <col min="8963" max="8975" width="4.5" style="429" customWidth="1"/>
    <col min="8976" max="8976" width="11.25" style="429" customWidth="1"/>
    <col min="8977" max="8977" width="4.5" style="429" customWidth="1"/>
    <col min="8978" max="8978" width="7.125" style="429" customWidth="1"/>
    <col min="8979" max="8979" width="4.5" style="429" customWidth="1"/>
    <col min="8980" max="8980" width="7.125" style="429" customWidth="1"/>
    <col min="8981" max="8981" width="4.5" style="429" customWidth="1"/>
    <col min="8982" max="8982" width="7.125" style="429" customWidth="1"/>
    <col min="8983" max="8983" width="4.5" style="429" customWidth="1"/>
    <col min="8984" max="8984" width="7.125" style="429" customWidth="1"/>
    <col min="8985" max="8996" width="0" style="429" hidden="1" customWidth="1"/>
    <col min="8997" max="8997" width="4.375" style="429" customWidth="1"/>
    <col min="8998" max="9216" width="9" style="429"/>
    <col min="9217" max="9217" width="3.875" style="429" customWidth="1"/>
    <col min="9218" max="9218" width="18.25" style="429" customWidth="1"/>
    <col min="9219" max="9231" width="4.5" style="429" customWidth="1"/>
    <col min="9232" max="9232" width="11.25" style="429" customWidth="1"/>
    <col min="9233" max="9233" width="4.5" style="429" customWidth="1"/>
    <col min="9234" max="9234" width="7.125" style="429" customWidth="1"/>
    <col min="9235" max="9235" width="4.5" style="429" customWidth="1"/>
    <col min="9236" max="9236" width="7.125" style="429" customWidth="1"/>
    <col min="9237" max="9237" width="4.5" style="429" customWidth="1"/>
    <col min="9238" max="9238" width="7.125" style="429" customWidth="1"/>
    <col min="9239" max="9239" width="4.5" style="429" customWidth="1"/>
    <col min="9240" max="9240" width="7.125" style="429" customWidth="1"/>
    <col min="9241" max="9252" width="0" style="429" hidden="1" customWidth="1"/>
    <col min="9253" max="9253" width="4.375" style="429" customWidth="1"/>
    <col min="9254" max="9472" width="9" style="429"/>
    <col min="9473" max="9473" width="3.875" style="429" customWidth="1"/>
    <col min="9474" max="9474" width="18.25" style="429" customWidth="1"/>
    <col min="9475" max="9487" width="4.5" style="429" customWidth="1"/>
    <col min="9488" max="9488" width="11.25" style="429" customWidth="1"/>
    <col min="9489" max="9489" width="4.5" style="429" customWidth="1"/>
    <col min="9490" max="9490" width="7.125" style="429" customWidth="1"/>
    <col min="9491" max="9491" width="4.5" style="429" customWidth="1"/>
    <col min="9492" max="9492" width="7.125" style="429" customWidth="1"/>
    <col min="9493" max="9493" width="4.5" style="429" customWidth="1"/>
    <col min="9494" max="9494" width="7.125" style="429" customWidth="1"/>
    <col min="9495" max="9495" width="4.5" style="429" customWidth="1"/>
    <col min="9496" max="9496" width="7.125" style="429" customWidth="1"/>
    <col min="9497" max="9508" width="0" style="429" hidden="1" customWidth="1"/>
    <col min="9509" max="9509" width="4.375" style="429" customWidth="1"/>
    <col min="9510" max="9728" width="9" style="429"/>
    <col min="9729" max="9729" width="3.875" style="429" customWidth="1"/>
    <col min="9730" max="9730" width="18.25" style="429" customWidth="1"/>
    <col min="9731" max="9743" width="4.5" style="429" customWidth="1"/>
    <col min="9744" max="9744" width="11.25" style="429" customWidth="1"/>
    <col min="9745" max="9745" width="4.5" style="429" customWidth="1"/>
    <col min="9746" max="9746" width="7.125" style="429" customWidth="1"/>
    <col min="9747" max="9747" width="4.5" style="429" customWidth="1"/>
    <col min="9748" max="9748" width="7.125" style="429" customWidth="1"/>
    <col min="9749" max="9749" width="4.5" style="429" customWidth="1"/>
    <col min="9750" max="9750" width="7.125" style="429" customWidth="1"/>
    <col min="9751" max="9751" width="4.5" style="429" customWidth="1"/>
    <col min="9752" max="9752" width="7.125" style="429" customWidth="1"/>
    <col min="9753" max="9764" width="0" style="429" hidden="1" customWidth="1"/>
    <col min="9765" max="9765" width="4.375" style="429" customWidth="1"/>
    <col min="9766" max="9984" width="9" style="429"/>
    <col min="9985" max="9985" width="3.875" style="429" customWidth="1"/>
    <col min="9986" max="9986" width="18.25" style="429" customWidth="1"/>
    <col min="9987" max="9999" width="4.5" style="429" customWidth="1"/>
    <col min="10000" max="10000" width="11.25" style="429" customWidth="1"/>
    <col min="10001" max="10001" width="4.5" style="429" customWidth="1"/>
    <col min="10002" max="10002" width="7.125" style="429" customWidth="1"/>
    <col min="10003" max="10003" width="4.5" style="429" customWidth="1"/>
    <col min="10004" max="10004" width="7.125" style="429" customWidth="1"/>
    <col min="10005" max="10005" width="4.5" style="429" customWidth="1"/>
    <col min="10006" max="10006" width="7.125" style="429" customWidth="1"/>
    <col min="10007" max="10007" width="4.5" style="429" customWidth="1"/>
    <col min="10008" max="10008" width="7.125" style="429" customWidth="1"/>
    <col min="10009" max="10020" width="0" style="429" hidden="1" customWidth="1"/>
    <col min="10021" max="10021" width="4.375" style="429" customWidth="1"/>
    <col min="10022" max="10240" width="9" style="429"/>
    <col min="10241" max="10241" width="3.875" style="429" customWidth="1"/>
    <col min="10242" max="10242" width="18.25" style="429" customWidth="1"/>
    <col min="10243" max="10255" width="4.5" style="429" customWidth="1"/>
    <col min="10256" max="10256" width="11.25" style="429" customWidth="1"/>
    <col min="10257" max="10257" width="4.5" style="429" customWidth="1"/>
    <col min="10258" max="10258" width="7.125" style="429" customWidth="1"/>
    <col min="10259" max="10259" width="4.5" style="429" customWidth="1"/>
    <col min="10260" max="10260" width="7.125" style="429" customWidth="1"/>
    <col min="10261" max="10261" width="4.5" style="429" customWidth="1"/>
    <col min="10262" max="10262" width="7.125" style="429" customWidth="1"/>
    <col min="10263" max="10263" width="4.5" style="429" customWidth="1"/>
    <col min="10264" max="10264" width="7.125" style="429" customWidth="1"/>
    <col min="10265" max="10276" width="0" style="429" hidden="1" customWidth="1"/>
    <col min="10277" max="10277" width="4.375" style="429" customWidth="1"/>
    <col min="10278" max="10496" width="9" style="429"/>
    <col min="10497" max="10497" width="3.875" style="429" customWidth="1"/>
    <col min="10498" max="10498" width="18.25" style="429" customWidth="1"/>
    <col min="10499" max="10511" width="4.5" style="429" customWidth="1"/>
    <col min="10512" max="10512" width="11.25" style="429" customWidth="1"/>
    <col min="10513" max="10513" width="4.5" style="429" customWidth="1"/>
    <col min="10514" max="10514" width="7.125" style="429" customWidth="1"/>
    <col min="10515" max="10515" width="4.5" style="429" customWidth="1"/>
    <col min="10516" max="10516" width="7.125" style="429" customWidth="1"/>
    <col min="10517" max="10517" width="4.5" style="429" customWidth="1"/>
    <col min="10518" max="10518" width="7.125" style="429" customWidth="1"/>
    <col min="10519" max="10519" width="4.5" style="429" customWidth="1"/>
    <col min="10520" max="10520" width="7.125" style="429" customWidth="1"/>
    <col min="10521" max="10532" width="0" style="429" hidden="1" customWidth="1"/>
    <col min="10533" max="10533" width="4.375" style="429" customWidth="1"/>
    <col min="10534" max="10752" width="9" style="429"/>
    <col min="10753" max="10753" width="3.875" style="429" customWidth="1"/>
    <col min="10754" max="10754" width="18.25" style="429" customWidth="1"/>
    <col min="10755" max="10767" width="4.5" style="429" customWidth="1"/>
    <col min="10768" max="10768" width="11.25" style="429" customWidth="1"/>
    <col min="10769" max="10769" width="4.5" style="429" customWidth="1"/>
    <col min="10770" max="10770" width="7.125" style="429" customWidth="1"/>
    <col min="10771" max="10771" width="4.5" style="429" customWidth="1"/>
    <col min="10772" max="10772" width="7.125" style="429" customWidth="1"/>
    <col min="10773" max="10773" width="4.5" style="429" customWidth="1"/>
    <col min="10774" max="10774" width="7.125" style="429" customWidth="1"/>
    <col min="10775" max="10775" width="4.5" style="429" customWidth="1"/>
    <col min="10776" max="10776" width="7.125" style="429" customWidth="1"/>
    <col min="10777" max="10788" width="0" style="429" hidden="1" customWidth="1"/>
    <col min="10789" max="10789" width="4.375" style="429" customWidth="1"/>
    <col min="10790" max="11008" width="9" style="429"/>
    <col min="11009" max="11009" width="3.875" style="429" customWidth="1"/>
    <col min="11010" max="11010" width="18.25" style="429" customWidth="1"/>
    <col min="11011" max="11023" width="4.5" style="429" customWidth="1"/>
    <col min="11024" max="11024" width="11.25" style="429" customWidth="1"/>
    <col min="11025" max="11025" width="4.5" style="429" customWidth="1"/>
    <col min="11026" max="11026" width="7.125" style="429" customWidth="1"/>
    <col min="11027" max="11027" width="4.5" style="429" customWidth="1"/>
    <col min="11028" max="11028" width="7.125" style="429" customWidth="1"/>
    <col min="11029" max="11029" width="4.5" style="429" customWidth="1"/>
    <col min="11030" max="11030" width="7.125" style="429" customWidth="1"/>
    <col min="11031" max="11031" width="4.5" style="429" customWidth="1"/>
    <col min="11032" max="11032" width="7.125" style="429" customWidth="1"/>
    <col min="11033" max="11044" width="0" style="429" hidden="1" customWidth="1"/>
    <col min="11045" max="11045" width="4.375" style="429" customWidth="1"/>
    <col min="11046" max="11264" width="9" style="429"/>
    <col min="11265" max="11265" width="3.875" style="429" customWidth="1"/>
    <col min="11266" max="11266" width="18.25" style="429" customWidth="1"/>
    <col min="11267" max="11279" width="4.5" style="429" customWidth="1"/>
    <col min="11280" max="11280" width="11.25" style="429" customWidth="1"/>
    <col min="11281" max="11281" width="4.5" style="429" customWidth="1"/>
    <col min="11282" max="11282" width="7.125" style="429" customWidth="1"/>
    <col min="11283" max="11283" width="4.5" style="429" customWidth="1"/>
    <col min="11284" max="11284" width="7.125" style="429" customWidth="1"/>
    <col min="11285" max="11285" width="4.5" style="429" customWidth="1"/>
    <col min="11286" max="11286" width="7.125" style="429" customWidth="1"/>
    <col min="11287" max="11287" width="4.5" style="429" customWidth="1"/>
    <col min="11288" max="11288" width="7.125" style="429" customWidth="1"/>
    <col min="11289" max="11300" width="0" style="429" hidden="1" customWidth="1"/>
    <col min="11301" max="11301" width="4.375" style="429" customWidth="1"/>
    <col min="11302" max="11520" width="9" style="429"/>
    <col min="11521" max="11521" width="3.875" style="429" customWidth="1"/>
    <col min="11522" max="11522" width="18.25" style="429" customWidth="1"/>
    <col min="11523" max="11535" width="4.5" style="429" customWidth="1"/>
    <col min="11536" max="11536" width="11.25" style="429" customWidth="1"/>
    <col min="11537" max="11537" width="4.5" style="429" customWidth="1"/>
    <col min="11538" max="11538" width="7.125" style="429" customWidth="1"/>
    <col min="11539" max="11539" width="4.5" style="429" customWidth="1"/>
    <col min="11540" max="11540" width="7.125" style="429" customWidth="1"/>
    <col min="11541" max="11541" width="4.5" style="429" customWidth="1"/>
    <col min="11542" max="11542" width="7.125" style="429" customWidth="1"/>
    <col min="11543" max="11543" width="4.5" style="429" customWidth="1"/>
    <col min="11544" max="11544" width="7.125" style="429" customWidth="1"/>
    <col min="11545" max="11556" width="0" style="429" hidden="1" customWidth="1"/>
    <col min="11557" max="11557" width="4.375" style="429" customWidth="1"/>
    <col min="11558" max="11776" width="9" style="429"/>
    <col min="11777" max="11777" width="3.875" style="429" customWidth="1"/>
    <col min="11778" max="11778" width="18.25" style="429" customWidth="1"/>
    <col min="11779" max="11791" width="4.5" style="429" customWidth="1"/>
    <col min="11792" max="11792" width="11.25" style="429" customWidth="1"/>
    <col min="11793" max="11793" width="4.5" style="429" customWidth="1"/>
    <col min="11794" max="11794" width="7.125" style="429" customWidth="1"/>
    <col min="11795" max="11795" width="4.5" style="429" customWidth="1"/>
    <col min="11796" max="11796" width="7.125" style="429" customWidth="1"/>
    <col min="11797" max="11797" width="4.5" style="429" customWidth="1"/>
    <col min="11798" max="11798" width="7.125" style="429" customWidth="1"/>
    <col min="11799" max="11799" width="4.5" style="429" customWidth="1"/>
    <col min="11800" max="11800" width="7.125" style="429" customWidth="1"/>
    <col min="11801" max="11812" width="0" style="429" hidden="1" customWidth="1"/>
    <col min="11813" max="11813" width="4.375" style="429" customWidth="1"/>
    <col min="11814" max="12032" width="9" style="429"/>
    <col min="12033" max="12033" width="3.875" style="429" customWidth="1"/>
    <col min="12034" max="12034" width="18.25" style="429" customWidth="1"/>
    <col min="12035" max="12047" width="4.5" style="429" customWidth="1"/>
    <col min="12048" max="12048" width="11.25" style="429" customWidth="1"/>
    <col min="12049" max="12049" width="4.5" style="429" customWidth="1"/>
    <col min="12050" max="12050" width="7.125" style="429" customWidth="1"/>
    <col min="12051" max="12051" width="4.5" style="429" customWidth="1"/>
    <col min="12052" max="12052" width="7.125" style="429" customWidth="1"/>
    <col min="12053" max="12053" width="4.5" style="429" customWidth="1"/>
    <col min="12054" max="12054" width="7.125" style="429" customWidth="1"/>
    <col min="12055" max="12055" width="4.5" style="429" customWidth="1"/>
    <col min="12056" max="12056" width="7.125" style="429" customWidth="1"/>
    <col min="12057" max="12068" width="0" style="429" hidden="1" customWidth="1"/>
    <col min="12069" max="12069" width="4.375" style="429" customWidth="1"/>
    <col min="12070" max="12288" width="9" style="429"/>
    <col min="12289" max="12289" width="3.875" style="429" customWidth="1"/>
    <col min="12290" max="12290" width="18.25" style="429" customWidth="1"/>
    <col min="12291" max="12303" width="4.5" style="429" customWidth="1"/>
    <col min="12304" max="12304" width="11.25" style="429" customWidth="1"/>
    <col min="12305" max="12305" width="4.5" style="429" customWidth="1"/>
    <col min="12306" max="12306" width="7.125" style="429" customWidth="1"/>
    <col min="12307" max="12307" width="4.5" style="429" customWidth="1"/>
    <col min="12308" max="12308" width="7.125" style="429" customWidth="1"/>
    <col min="12309" max="12309" width="4.5" style="429" customWidth="1"/>
    <col min="12310" max="12310" width="7.125" style="429" customWidth="1"/>
    <col min="12311" max="12311" width="4.5" style="429" customWidth="1"/>
    <col min="12312" max="12312" width="7.125" style="429" customWidth="1"/>
    <col min="12313" max="12324" width="0" style="429" hidden="1" customWidth="1"/>
    <col min="12325" max="12325" width="4.375" style="429" customWidth="1"/>
    <col min="12326" max="12544" width="9" style="429"/>
    <col min="12545" max="12545" width="3.875" style="429" customWidth="1"/>
    <col min="12546" max="12546" width="18.25" style="429" customWidth="1"/>
    <col min="12547" max="12559" width="4.5" style="429" customWidth="1"/>
    <col min="12560" max="12560" width="11.25" style="429" customWidth="1"/>
    <col min="12561" max="12561" width="4.5" style="429" customWidth="1"/>
    <col min="12562" max="12562" width="7.125" style="429" customWidth="1"/>
    <col min="12563" max="12563" width="4.5" style="429" customWidth="1"/>
    <col min="12564" max="12564" width="7.125" style="429" customWidth="1"/>
    <col min="12565" max="12565" width="4.5" style="429" customWidth="1"/>
    <col min="12566" max="12566" width="7.125" style="429" customWidth="1"/>
    <col min="12567" max="12567" width="4.5" style="429" customWidth="1"/>
    <col min="12568" max="12568" width="7.125" style="429" customWidth="1"/>
    <col min="12569" max="12580" width="0" style="429" hidden="1" customWidth="1"/>
    <col min="12581" max="12581" width="4.375" style="429" customWidth="1"/>
    <col min="12582" max="12800" width="9" style="429"/>
    <col min="12801" max="12801" width="3.875" style="429" customWidth="1"/>
    <col min="12802" max="12802" width="18.25" style="429" customWidth="1"/>
    <col min="12803" max="12815" width="4.5" style="429" customWidth="1"/>
    <col min="12816" max="12816" width="11.25" style="429" customWidth="1"/>
    <col min="12817" max="12817" width="4.5" style="429" customWidth="1"/>
    <col min="12818" max="12818" width="7.125" style="429" customWidth="1"/>
    <col min="12819" max="12819" width="4.5" style="429" customWidth="1"/>
    <col min="12820" max="12820" width="7.125" style="429" customWidth="1"/>
    <col min="12821" max="12821" width="4.5" style="429" customWidth="1"/>
    <col min="12822" max="12822" width="7.125" style="429" customWidth="1"/>
    <col min="12823" max="12823" width="4.5" style="429" customWidth="1"/>
    <col min="12824" max="12824" width="7.125" style="429" customWidth="1"/>
    <col min="12825" max="12836" width="0" style="429" hidden="1" customWidth="1"/>
    <col min="12837" max="12837" width="4.375" style="429" customWidth="1"/>
    <col min="12838" max="13056" width="9" style="429"/>
    <col min="13057" max="13057" width="3.875" style="429" customWidth="1"/>
    <col min="13058" max="13058" width="18.25" style="429" customWidth="1"/>
    <col min="13059" max="13071" width="4.5" style="429" customWidth="1"/>
    <col min="13072" max="13072" width="11.25" style="429" customWidth="1"/>
    <col min="13073" max="13073" width="4.5" style="429" customWidth="1"/>
    <col min="13074" max="13074" width="7.125" style="429" customWidth="1"/>
    <col min="13075" max="13075" width="4.5" style="429" customWidth="1"/>
    <col min="13076" max="13076" width="7.125" style="429" customWidth="1"/>
    <col min="13077" max="13077" width="4.5" style="429" customWidth="1"/>
    <col min="13078" max="13078" width="7.125" style="429" customWidth="1"/>
    <col min="13079" max="13079" width="4.5" style="429" customWidth="1"/>
    <col min="13080" max="13080" width="7.125" style="429" customWidth="1"/>
    <col min="13081" max="13092" width="0" style="429" hidden="1" customWidth="1"/>
    <col min="13093" max="13093" width="4.375" style="429" customWidth="1"/>
    <col min="13094" max="13312" width="9" style="429"/>
    <col min="13313" max="13313" width="3.875" style="429" customWidth="1"/>
    <col min="13314" max="13314" width="18.25" style="429" customWidth="1"/>
    <col min="13315" max="13327" width="4.5" style="429" customWidth="1"/>
    <col min="13328" max="13328" width="11.25" style="429" customWidth="1"/>
    <col min="13329" max="13329" width="4.5" style="429" customWidth="1"/>
    <col min="13330" max="13330" width="7.125" style="429" customWidth="1"/>
    <col min="13331" max="13331" width="4.5" style="429" customWidth="1"/>
    <col min="13332" max="13332" width="7.125" style="429" customWidth="1"/>
    <col min="13333" max="13333" width="4.5" style="429" customWidth="1"/>
    <col min="13334" max="13334" width="7.125" style="429" customWidth="1"/>
    <col min="13335" max="13335" width="4.5" style="429" customWidth="1"/>
    <col min="13336" max="13336" width="7.125" style="429" customWidth="1"/>
    <col min="13337" max="13348" width="0" style="429" hidden="1" customWidth="1"/>
    <col min="13349" max="13349" width="4.375" style="429" customWidth="1"/>
    <col min="13350" max="13568" width="9" style="429"/>
    <col min="13569" max="13569" width="3.875" style="429" customWidth="1"/>
    <col min="13570" max="13570" width="18.25" style="429" customWidth="1"/>
    <col min="13571" max="13583" width="4.5" style="429" customWidth="1"/>
    <col min="13584" max="13584" width="11.25" style="429" customWidth="1"/>
    <col min="13585" max="13585" width="4.5" style="429" customWidth="1"/>
    <col min="13586" max="13586" width="7.125" style="429" customWidth="1"/>
    <col min="13587" max="13587" width="4.5" style="429" customWidth="1"/>
    <col min="13588" max="13588" width="7.125" style="429" customWidth="1"/>
    <col min="13589" max="13589" width="4.5" style="429" customWidth="1"/>
    <col min="13590" max="13590" width="7.125" style="429" customWidth="1"/>
    <col min="13591" max="13591" width="4.5" style="429" customWidth="1"/>
    <col min="13592" max="13592" width="7.125" style="429" customWidth="1"/>
    <col min="13593" max="13604" width="0" style="429" hidden="1" customWidth="1"/>
    <col min="13605" max="13605" width="4.375" style="429" customWidth="1"/>
    <col min="13606" max="13824" width="9" style="429"/>
    <col min="13825" max="13825" width="3.875" style="429" customWidth="1"/>
    <col min="13826" max="13826" width="18.25" style="429" customWidth="1"/>
    <col min="13827" max="13839" width="4.5" style="429" customWidth="1"/>
    <col min="13840" max="13840" width="11.25" style="429" customWidth="1"/>
    <col min="13841" max="13841" width="4.5" style="429" customWidth="1"/>
    <col min="13842" max="13842" width="7.125" style="429" customWidth="1"/>
    <col min="13843" max="13843" width="4.5" style="429" customWidth="1"/>
    <col min="13844" max="13844" width="7.125" style="429" customWidth="1"/>
    <col min="13845" max="13845" width="4.5" style="429" customWidth="1"/>
    <col min="13846" max="13846" width="7.125" style="429" customWidth="1"/>
    <col min="13847" max="13847" width="4.5" style="429" customWidth="1"/>
    <col min="13848" max="13848" width="7.125" style="429" customWidth="1"/>
    <col min="13849" max="13860" width="0" style="429" hidden="1" customWidth="1"/>
    <col min="13861" max="13861" width="4.375" style="429" customWidth="1"/>
    <col min="13862" max="14080" width="9" style="429"/>
    <col min="14081" max="14081" width="3.875" style="429" customWidth="1"/>
    <col min="14082" max="14082" width="18.25" style="429" customWidth="1"/>
    <col min="14083" max="14095" width="4.5" style="429" customWidth="1"/>
    <col min="14096" max="14096" width="11.25" style="429" customWidth="1"/>
    <col min="14097" max="14097" width="4.5" style="429" customWidth="1"/>
    <col min="14098" max="14098" width="7.125" style="429" customWidth="1"/>
    <col min="14099" max="14099" width="4.5" style="429" customWidth="1"/>
    <col min="14100" max="14100" width="7.125" style="429" customWidth="1"/>
    <col min="14101" max="14101" width="4.5" style="429" customWidth="1"/>
    <col min="14102" max="14102" width="7.125" style="429" customWidth="1"/>
    <col min="14103" max="14103" width="4.5" style="429" customWidth="1"/>
    <col min="14104" max="14104" width="7.125" style="429" customWidth="1"/>
    <col min="14105" max="14116" width="0" style="429" hidden="1" customWidth="1"/>
    <col min="14117" max="14117" width="4.375" style="429" customWidth="1"/>
    <col min="14118" max="14336" width="9" style="429"/>
    <col min="14337" max="14337" width="3.875" style="429" customWidth="1"/>
    <col min="14338" max="14338" width="18.25" style="429" customWidth="1"/>
    <col min="14339" max="14351" width="4.5" style="429" customWidth="1"/>
    <col min="14352" max="14352" width="11.25" style="429" customWidth="1"/>
    <col min="14353" max="14353" width="4.5" style="429" customWidth="1"/>
    <col min="14354" max="14354" width="7.125" style="429" customWidth="1"/>
    <col min="14355" max="14355" width="4.5" style="429" customWidth="1"/>
    <col min="14356" max="14356" width="7.125" style="429" customWidth="1"/>
    <col min="14357" max="14357" width="4.5" style="429" customWidth="1"/>
    <col min="14358" max="14358" width="7.125" style="429" customWidth="1"/>
    <col min="14359" max="14359" width="4.5" style="429" customWidth="1"/>
    <col min="14360" max="14360" width="7.125" style="429" customWidth="1"/>
    <col min="14361" max="14372" width="0" style="429" hidden="1" customWidth="1"/>
    <col min="14373" max="14373" width="4.375" style="429" customWidth="1"/>
    <col min="14374" max="14592" width="9" style="429"/>
    <col min="14593" max="14593" width="3.875" style="429" customWidth="1"/>
    <col min="14594" max="14594" width="18.25" style="429" customWidth="1"/>
    <col min="14595" max="14607" width="4.5" style="429" customWidth="1"/>
    <col min="14608" max="14608" width="11.25" style="429" customWidth="1"/>
    <col min="14609" max="14609" width="4.5" style="429" customWidth="1"/>
    <col min="14610" max="14610" width="7.125" style="429" customWidth="1"/>
    <col min="14611" max="14611" width="4.5" style="429" customWidth="1"/>
    <col min="14612" max="14612" width="7.125" style="429" customWidth="1"/>
    <col min="14613" max="14613" width="4.5" style="429" customWidth="1"/>
    <col min="14614" max="14614" width="7.125" style="429" customWidth="1"/>
    <col min="14615" max="14615" width="4.5" style="429" customWidth="1"/>
    <col min="14616" max="14616" width="7.125" style="429" customWidth="1"/>
    <col min="14617" max="14628" width="0" style="429" hidden="1" customWidth="1"/>
    <col min="14629" max="14629" width="4.375" style="429" customWidth="1"/>
    <col min="14630" max="14848" width="9" style="429"/>
    <col min="14849" max="14849" width="3.875" style="429" customWidth="1"/>
    <col min="14850" max="14850" width="18.25" style="429" customWidth="1"/>
    <col min="14851" max="14863" width="4.5" style="429" customWidth="1"/>
    <col min="14864" max="14864" width="11.25" style="429" customWidth="1"/>
    <col min="14865" max="14865" width="4.5" style="429" customWidth="1"/>
    <col min="14866" max="14866" width="7.125" style="429" customWidth="1"/>
    <col min="14867" max="14867" width="4.5" style="429" customWidth="1"/>
    <col min="14868" max="14868" width="7.125" style="429" customWidth="1"/>
    <col min="14869" max="14869" width="4.5" style="429" customWidth="1"/>
    <col min="14870" max="14870" width="7.125" style="429" customWidth="1"/>
    <col min="14871" max="14871" width="4.5" style="429" customWidth="1"/>
    <col min="14872" max="14872" width="7.125" style="429" customWidth="1"/>
    <col min="14873" max="14884" width="0" style="429" hidden="1" customWidth="1"/>
    <col min="14885" max="14885" width="4.375" style="429" customWidth="1"/>
    <col min="14886" max="15104" width="9" style="429"/>
    <col min="15105" max="15105" width="3.875" style="429" customWidth="1"/>
    <col min="15106" max="15106" width="18.25" style="429" customWidth="1"/>
    <col min="15107" max="15119" width="4.5" style="429" customWidth="1"/>
    <col min="15120" max="15120" width="11.25" style="429" customWidth="1"/>
    <col min="15121" max="15121" width="4.5" style="429" customWidth="1"/>
    <col min="15122" max="15122" width="7.125" style="429" customWidth="1"/>
    <col min="15123" max="15123" width="4.5" style="429" customWidth="1"/>
    <col min="15124" max="15124" width="7.125" style="429" customWidth="1"/>
    <col min="15125" max="15125" width="4.5" style="429" customWidth="1"/>
    <col min="15126" max="15126" width="7.125" style="429" customWidth="1"/>
    <col min="15127" max="15127" width="4.5" style="429" customWidth="1"/>
    <col min="15128" max="15128" width="7.125" style="429" customWidth="1"/>
    <col min="15129" max="15140" width="0" style="429" hidden="1" customWidth="1"/>
    <col min="15141" max="15141" width="4.375" style="429" customWidth="1"/>
    <col min="15142" max="15360" width="9" style="429"/>
    <col min="15361" max="15361" width="3.875" style="429" customWidth="1"/>
    <col min="15362" max="15362" width="18.25" style="429" customWidth="1"/>
    <col min="15363" max="15375" width="4.5" style="429" customWidth="1"/>
    <col min="15376" max="15376" width="11.25" style="429" customWidth="1"/>
    <col min="15377" max="15377" width="4.5" style="429" customWidth="1"/>
    <col min="15378" max="15378" width="7.125" style="429" customWidth="1"/>
    <col min="15379" max="15379" width="4.5" style="429" customWidth="1"/>
    <col min="15380" max="15380" width="7.125" style="429" customWidth="1"/>
    <col min="15381" max="15381" width="4.5" style="429" customWidth="1"/>
    <col min="15382" max="15382" width="7.125" style="429" customWidth="1"/>
    <col min="15383" max="15383" width="4.5" style="429" customWidth="1"/>
    <col min="15384" max="15384" width="7.125" style="429" customWidth="1"/>
    <col min="15385" max="15396" width="0" style="429" hidden="1" customWidth="1"/>
    <col min="15397" max="15397" width="4.375" style="429" customWidth="1"/>
    <col min="15398" max="15616" width="9" style="429"/>
    <col min="15617" max="15617" width="3.875" style="429" customWidth="1"/>
    <col min="15618" max="15618" width="18.25" style="429" customWidth="1"/>
    <col min="15619" max="15631" width="4.5" style="429" customWidth="1"/>
    <col min="15632" max="15632" width="11.25" style="429" customWidth="1"/>
    <col min="15633" max="15633" width="4.5" style="429" customWidth="1"/>
    <col min="15634" max="15634" width="7.125" style="429" customWidth="1"/>
    <col min="15635" max="15635" width="4.5" style="429" customWidth="1"/>
    <col min="15636" max="15636" width="7.125" style="429" customWidth="1"/>
    <col min="15637" max="15637" width="4.5" style="429" customWidth="1"/>
    <col min="15638" max="15638" width="7.125" style="429" customWidth="1"/>
    <col min="15639" max="15639" width="4.5" style="429" customWidth="1"/>
    <col min="15640" max="15640" width="7.125" style="429" customWidth="1"/>
    <col min="15641" max="15652" width="0" style="429" hidden="1" customWidth="1"/>
    <col min="15653" max="15653" width="4.375" style="429" customWidth="1"/>
    <col min="15654" max="15872" width="9" style="429"/>
    <col min="15873" max="15873" width="3.875" style="429" customWidth="1"/>
    <col min="15874" max="15874" width="18.25" style="429" customWidth="1"/>
    <col min="15875" max="15887" width="4.5" style="429" customWidth="1"/>
    <col min="15888" max="15888" width="11.25" style="429" customWidth="1"/>
    <col min="15889" max="15889" width="4.5" style="429" customWidth="1"/>
    <col min="15890" max="15890" width="7.125" style="429" customWidth="1"/>
    <col min="15891" max="15891" width="4.5" style="429" customWidth="1"/>
    <col min="15892" max="15892" width="7.125" style="429" customWidth="1"/>
    <col min="15893" max="15893" width="4.5" style="429" customWidth="1"/>
    <col min="15894" max="15894" width="7.125" style="429" customWidth="1"/>
    <col min="15895" max="15895" width="4.5" style="429" customWidth="1"/>
    <col min="15896" max="15896" width="7.125" style="429" customWidth="1"/>
    <col min="15897" max="15908" width="0" style="429" hidden="1" customWidth="1"/>
    <col min="15909" max="15909" width="4.375" style="429" customWidth="1"/>
    <col min="15910" max="16128" width="9" style="429"/>
    <col min="16129" max="16129" width="3.875" style="429" customWidth="1"/>
    <col min="16130" max="16130" width="18.25" style="429" customWidth="1"/>
    <col min="16131" max="16143" width="4.5" style="429" customWidth="1"/>
    <col min="16144" max="16144" width="11.25" style="429" customWidth="1"/>
    <col min="16145" max="16145" width="4.5" style="429" customWidth="1"/>
    <col min="16146" max="16146" width="7.125" style="429" customWidth="1"/>
    <col min="16147" max="16147" width="4.5" style="429" customWidth="1"/>
    <col min="16148" max="16148" width="7.125" style="429" customWidth="1"/>
    <col min="16149" max="16149" width="4.5" style="429" customWidth="1"/>
    <col min="16150" max="16150" width="7.125" style="429" customWidth="1"/>
    <col min="16151" max="16151" width="4.5" style="429" customWidth="1"/>
    <col min="16152" max="16152" width="7.125" style="429" customWidth="1"/>
    <col min="16153" max="16164" width="0" style="429" hidden="1" customWidth="1"/>
    <col min="16165" max="16165" width="4.375" style="429" customWidth="1"/>
    <col min="16166" max="16384" width="9" style="429"/>
  </cols>
  <sheetData>
    <row r="1" spans="1:36" ht="16.5" customHeight="1" x14ac:dyDescent="0.2">
      <c r="A1" s="784"/>
      <c r="B1" s="784"/>
      <c r="C1" s="756" t="str">
        <f>"THỐNG KÊ CƠ SỞ VẬT CHẤT PHỔ CẬP GIÁO DỤC TRUNG HỌC CƠ SỞ "&amp; "- "&amp;"NĂM HỌC "&amp;Chinh!H5</f>
        <v>THỐNG KÊ CƠ SỞ VẬT CHẤT PHỔ CẬP GIÁO DỤC TRUNG HỌC CƠ SỞ - NĂM HỌC 2025-2026</v>
      </c>
      <c r="D1" s="756"/>
      <c r="E1" s="756"/>
      <c r="F1" s="756"/>
      <c r="G1" s="756"/>
      <c r="H1" s="756"/>
      <c r="I1" s="756"/>
      <c r="J1" s="756"/>
      <c r="K1" s="756"/>
      <c r="L1" s="756"/>
      <c r="M1" s="756"/>
      <c r="N1" s="756"/>
      <c r="O1" s="756"/>
      <c r="P1" s="756"/>
      <c r="Q1" s="756"/>
      <c r="R1" s="756"/>
      <c r="S1" s="756"/>
      <c r="T1" s="756"/>
      <c r="U1" s="785" t="s">
        <v>510</v>
      </c>
      <c r="V1" s="785"/>
      <c r="W1" s="785"/>
      <c r="X1" s="785"/>
    </row>
    <row r="2" spans="1:36" ht="15" customHeight="1" x14ac:dyDescent="0.2">
      <c r="A2" s="784" t="s">
        <v>297</v>
      </c>
      <c r="B2" s="784"/>
      <c r="C2" s="786" t="s">
        <v>511</v>
      </c>
      <c r="D2" s="786"/>
      <c r="E2" s="786"/>
      <c r="F2" s="786"/>
      <c r="G2" s="786"/>
      <c r="H2" s="786"/>
      <c r="I2" s="786"/>
      <c r="J2" s="786"/>
      <c r="K2" s="786"/>
      <c r="L2" s="786"/>
      <c r="M2" s="786"/>
      <c r="N2" s="786"/>
      <c r="O2" s="786"/>
      <c r="P2" s="786"/>
      <c r="Q2" s="786"/>
      <c r="R2" s="786"/>
      <c r="S2" s="786"/>
      <c r="T2" s="786"/>
      <c r="U2" s="451"/>
      <c r="V2" s="451"/>
      <c r="W2" s="451"/>
      <c r="X2" s="451"/>
    </row>
    <row r="3" spans="1:36" ht="24" customHeight="1" x14ac:dyDescent="0.2">
      <c r="A3" s="471" t="s">
        <v>521</v>
      </c>
      <c r="B3" s="470"/>
      <c r="C3" s="474" t="str">
        <f>'TKe-CBGVNV-THCS'!C3</f>
        <v>Cam Linh</v>
      </c>
      <c r="D3" s="453"/>
      <c r="E3" s="453"/>
      <c r="F3" s="452"/>
      <c r="G3" s="783" t="str">
        <f>IF(OR(AND(AJ8="",AJ9=""),Chinh!$N$9=""),"Nhập liệu!",IF(OR(AJ8="er",AJ9="er"),"Còn lỗi!","Hoàn thành!"))</f>
        <v>Hoàn thành!</v>
      </c>
      <c r="H3" s="783"/>
      <c r="I3" s="783"/>
      <c r="J3" s="453"/>
      <c r="K3" s="453"/>
      <c r="L3" s="453"/>
      <c r="M3" s="453"/>
      <c r="N3" s="453"/>
      <c r="O3" s="453"/>
      <c r="P3" s="453"/>
      <c r="Q3" s="453"/>
      <c r="R3" s="453"/>
      <c r="S3" s="453"/>
      <c r="T3" s="453"/>
      <c r="U3" s="454"/>
      <c r="V3" s="454"/>
      <c r="W3" s="454"/>
      <c r="X3" s="454"/>
    </row>
    <row r="4" spans="1:36" ht="32.25" customHeight="1" x14ac:dyDescent="0.2">
      <c r="A4" s="780" t="s">
        <v>214</v>
      </c>
      <c r="B4" s="780" t="s">
        <v>376</v>
      </c>
      <c r="C4" s="780" t="s">
        <v>434</v>
      </c>
      <c r="D4" s="768" t="s">
        <v>435</v>
      </c>
      <c r="E4" s="782" t="s">
        <v>436</v>
      </c>
      <c r="F4" s="782"/>
      <c r="G4" s="782"/>
      <c r="H4" s="782"/>
      <c r="I4" s="774" t="s">
        <v>512</v>
      </c>
      <c r="J4" s="774"/>
      <c r="K4" s="774"/>
      <c r="L4" s="774"/>
      <c r="M4" s="774"/>
      <c r="N4" s="774"/>
      <c r="O4" s="771"/>
      <c r="P4" s="771"/>
      <c r="Q4" s="770" t="s">
        <v>513</v>
      </c>
      <c r="R4" s="771"/>
      <c r="S4" s="771"/>
      <c r="T4" s="772"/>
      <c r="U4" s="773" t="s">
        <v>350</v>
      </c>
      <c r="V4" s="773"/>
      <c r="W4" s="773" t="s">
        <v>439</v>
      </c>
      <c r="X4" s="773"/>
    </row>
    <row r="5" spans="1:36" ht="33" customHeight="1" x14ac:dyDescent="0.2">
      <c r="A5" s="780"/>
      <c r="B5" s="780"/>
      <c r="C5" s="780"/>
      <c r="D5" s="781"/>
      <c r="E5" s="768" t="s">
        <v>346</v>
      </c>
      <c r="F5" s="768" t="s">
        <v>347</v>
      </c>
      <c r="G5" s="768" t="s">
        <v>441</v>
      </c>
      <c r="H5" s="768" t="s">
        <v>443</v>
      </c>
      <c r="I5" s="768" t="s">
        <v>288</v>
      </c>
      <c r="J5" s="768" t="s">
        <v>410</v>
      </c>
      <c r="K5" s="768" t="s">
        <v>92</v>
      </c>
      <c r="L5" s="768" t="s">
        <v>95</v>
      </c>
      <c r="M5" s="775" t="s">
        <v>514</v>
      </c>
      <c r="N5" s="777" t="s">
        <v>86</v>
      </c>
      <c r="O5" s="779" t="s">
        <v>515</v>
      </c>
      <c r="P5" s="779"/>
      <c r="Q5" s="766" t="s">
        <v>451</v>
      </c>
      <c r="R5" s="766"/>
      <c r="S5" s="766" t="s">
        <v>452</v>
      </c>
      <c r="T5" s="766"/>
      <c r="U5" s="767" t="s">
        <v>356</v>
      </c>
      <c r="V5" s="767" t="s">
        <v>516</v>
      </c>
      <c r="W5" s="767" t="s">
        <v>356</v>
      </c>
      <c r="X5" s="767" t="s">
        <v>516</v>
      </c>
    </row>
    <row r="6" spans="1:36" ht="57" customHeight="1" x14ac:dyDescent="0.2">
      <c r="A6" s="780"/>
      <c r="B6" s="780"/>
      <c r="C6" s="780"/>
      <c r="D6" s="769"/>
      <c r="E6" s="769"/>
      <c r="F6" s="769"/>
      <c r="G6" s="769"/>
      <c r="H6" s="769"/>
      <c r="I6" s="769"/>
      <c r="J6" s="769"/>
      <c r="K6" s="769"/>
      <c r="L6" s="769"/>
      <c r="M6" s="776"/>
      <c r="N6" s="778"/>
      <c r="O6" s="579" t="s">
        <v>356</v>
      </c>
      <c r="P6" s="579" t="s">
        <v>516</v>
      </c>
      <c r="Q6" s="579" t="s">
        <v>356</v>
      </c>
      <c r="R6" s="579" t="s">
        <v>516</v>
      </c>
      <c r="S6" s="579" t="s">
        <v>356</v>
      </c>
      <c r="T6" s="579" t="s">
        <v>517</v>
      </c>
      <c r="U6" s="767"/>
      <c r="V6" s="767"/>
      <c r="W6" s="767"/>
      <c r="X6" s="767"/>
    </row>
    <row r="7" spans="1:36" ht="13.5" customHeight="1" x14ac:dyDescent="0.2">
      <c r="A7" s="551">
        <v>1</v>
      </c>
      <c r="B7" s="551">
        <v>2</v>
      </c>
      <c r="C7" s="551">
        <v>3</v>
      </c>
      <c r="D7" s="551">
        <v>4</v>
      </c>
      <c r="E7" s="551">
        <v>5</v>
      </c>
      <c r="F7" s="551">
        <v>6</v>
      </c>
      <c r="G7" s="551">
        <v>7</v>
      </c>
      <c r="H7" s="551">
        <v>8</v>
      </c>
      <c r="I7" s="551">
        <v>9</v>
      </c>
      <c r="J7" s="551">
        <v>10</v>
      </c>
      <c r="K7" s="551">
        <v>11</v>
      </c>
      <c r="L7" s="551">
        <v>12</v>
      </c>
      <c r="M7" s="551">
        <v>13</v>
      </c>
      <c r="N7" s="551">
        <v>14</v>
      </c>
      <c r="O7" s="552">
        <v>15</v>
      </c>
      <c r="P7" s="552">
        <v>16</v>
      </c>
      <c r="Q7" s="552">
        <v>17</v>
      </c>
      <c r="R7" s="552">
        <v>18</v>
      </c>
      <c r="S7" s="552">
        <v>19</v>
      </c>
      <c r="T7" s="552">
        <v>20</v>
      </c>
      <c r="U7" s="552">
        <v>21</v>
      </c>
      <c r="V7" s="552">
        <v>22</v>
      </c>
      <c r="W7" s="552">
        <v>23</v>
      </c>
      <c r="X7" s="552">
        <v>24</v>
      </c>
      <c r="Y7" s="455">
        <v>25</v>
      </c>
      <c r="Z7" s="455">
        <v>26</v>
      </c>
      <c r="AA7" s="455">
        <v>27</v>
      </c>
      <c r="AB7" s="455">
        <v>28</v>
      </c>
      <c r="AC7" s="455">
        <v>29</v>
      </c>
      <c r="AD7" s="455">
        <v>30</v>
      </c>
      <c r="AE7" s="455">
        <v>31</v>
      </c>
      <c r="AF7" s="455">
        <v>32</v>
      </c>
      <c r="AG7" s="455">
        <v>33</v>
      </c>
      <c r="AH7" s="455">
        <v>34</v>
      </c>
      <c r="AI7" s="455">
        <v>35</v>
      </c>
    </row>
    <row r="8" spans="1:36" ht="51" customHeight="1" x14ac:dyDescent="0.25">
      <c r="A8" s="456"/>
      <c r="B8" s="457" t="str">
        <f>IF(Chinh!$N$9="",0,Chinh!$A$2)</f>
        <v>TRƯỜNG THCS NGUYỄN TRỌNG KỶ</v>
      </c>
      <c r="C8" s="441">
        <v>1</v>
      </c>
      <c r="D8" s="441">
        <v>2</v>
      </c>
      <c r="E8" s="441">
        <v>1</v>
      </c>
      <c r="F8" s="441">
        <v>1</v>
      </c>
      <c r="G8" s="441"/>
      <c r="H8" s="458">
        <f>IF(OR(SUM(E8:G8)=0,D8=0),"",SUM(E8:G8)/D8)</f>
        <v>1</v>
      </c>
      <c r="I8" s="441">
        <v>1</v>
      </c>
      <c r="J8" s="441">
        <v>1</v>
      </c>
      <c r="K8" s="441">
        <v>1</v>
      </c>
      <c r="L8" s="441">
        <v>1</v>
      </c>
      <c r="M8" s="441">
        <v>1</v>
      </c>
      <c r="N8" s="441">
        <v>1</v>
      </c>
      <c r="O8" s="441">
        <v>2</v>
      </c>
      <c r="P8" s="441">
        <v>120</v>
      </c>
      <c r="Q8" s="441">
        <v>1</v>
      </c>
      <c r="R8" s="441">
        <v>64</v>
      </c>
      <c r="S8" s="441">
        <v>3</v>
      </c>
      <c r="T8" s="441">
        <v>200</v>
      </c>
      <c r="U8" s="441">
        <v>2</v>
      </c>
      <c r="V8" s="441">
        <v>1200</v>
      </c>
      <c r="W8" s="441">
        <v>2</v>
      </c>
      <c r="X8" s="441">
        <v>1200</v>
      </c>
      <c r="AJ8" s="430" t="str">
        <f>IF(AND(D8="",H8="",I8="",J8="",K8="",L8="",M8="",N8="",O8="",P8="",Q8="",R8="",S8="",T8="",U8="",V8="",W8="",X8=""),"",IF(AND(B8&lt;&gt;0,D8&lt;&gt;"",H8&lt;&gt;"",I8&lt;&gt;"",J8&lt;&gt;"",K8&lt;&gt;"",L8&lt;&gt;"",M8&lt;&gt;"",N8&lt;&gt;"",O8&lt;&gt;"",P8&lt;&gt;"",Q8&lt;&gt;"",R8&lt;&gt;"",S8&lt;&gt;"",T8&lt;&gt;"",U8&lt;&gt;"",V8&lt;&gt;"",W8&lt;&gt;"",X8&lt;&gt;""),"X","er"))</f>
        <v>X</v>
      </c>
    </row>
    <row r="9" spans="1:36" ht="14.25" customHeight="1" x14ac:dyDescent="0.25">
      <c r="A9" s="459"/>
      <c r="B9" s="460"/>
      <c r="C9" s="461"/>
      <c r="D9" s="461"/>
      <c r="E9" s="461"/>
      <c r="F9" s="461"/>
      <c r="G9" s="461"/>
      <c r="H9" s="462" t="str">
        <f>IF(OR(D9="",SUM(E9:G9)=0),"",SUM(E9:G9)/D9)</f>
        <v/>
      </c>
      <c r="I9" s="461"/>
      <c r="J9" s="461"/>
      <c r="K9" s="461"/>
      <c r="L9" s="461"/>
      <c r="M9" s="461"/>
      <c r="N9" s="461"/>
      <c r="O9" s="461"/>
      <c r="P9" s="461"/>
      <c r="Q9" s="461"/>
      <c r="R9" s="461"/>
      <c r="S9" s="461"/>
      <c r="T9" s="461"/>
      <c r="U9" s="461"/>
      <c r="V9" s="461"/>
      <c r="W9" s="461"/>
      <c r="X9" s="461"/>
      <c r="AJ9" s="430" t="str">
        <f>IF(AND(B9="",D9="",H9="",I9="",J9="",K9="",L9="",M9="",N9="",O9="",P9="",Q9="",R9="",S9="",T9="",U9="",V9="",W9="",X9=""),"",IF(AND(D9&lt;&gt;"",H9&lt;&gt;"",I9&lt;&gt;"",J9&lt;&gt;"",K9&lt;&gt;"",L9&lt;&gt;"",M9&lt;&gt;"",N9&lt;&gt;"",O9&lt;&gt;"",P9&lt;&gt;"",Q9&lt;&gt;"",R9&lt;&gt;"",S9&lt;&gt;"",T9&lt;&gt;"",U9&lt;&gt;"",V9&lt;&gt;"",W9&lt;&gt;"",X9&lt;&gt;""),"X","er"))</f>
        <v/>
      </c>
    </row>
    <row r="10" spans="1:36" ht="31.5" customHeight="1" x14ac:dyDescent="0.2">
      <c r="A10" s="463"/>
      <c r="B10" s="464" t="s">
        <v>249</v>
      </c>
      <c r="C10" s="465">
        <f>C8+C9</f>
        <v>1</v>
      </c>
      <c r="D10" s="465">
        <f>D8+D9</f>
        <v>2</v>
      </c>
      <c r="E10" s="465">
        <f>E8+E9</f>
        <v>1</v>
      </c>
      <c r="F10" s="465">
        <f>F8+F9</f>
        <v>1</v>
      </c>
      <c r="G10" s="465">
        <f>G8+G9</f>
        <v>0</v>
      </c>
      <c r="H10" s="466">
        <f>IF(OR(D10=0,SUM(E10:G10)=0),0,SUM(E10:G10)/D10)</f>
        <v>1</v>
      </c>
      <c r="I10" s="465">
        <f t="shared" ref="I10:X10" si="0">I8+I9</f>
        <v>1</v>
      </c>
      <c r="J10" s="465">
        <f t="shared" si="0"/>
        <v>1</v>
      </c>
      <c r="K10" s="465">
        <f t="shared" si="0"/>
        <v>1</v>
      </c>
      <c r="L10" s="465">
        <f t="shared" si="0"/>
        <v>1</v>
      </c>
      <c r="M10" s="465">
        <f t="shared" si="0"/>
        <v>1</v>
      </c>
      <c r="N10" s="465">
        <f t="shared" si="0"/>
        <v>1</v>
      </c>
      <c r="O10" s="465">
        <f t="shared" si="0"/>
        <v>2</v>
      </c>
      <c r="P10" s="465">
        <f t="shared" si="0"/>
        <v>120</v>
      </c>
      <c r="Q10" s="465">
        <f t="shared" si="0"/>
        <v>1</v>
      </c>
      <c r="R10" s="465">
        <f t="shared" si="0"/>
        <v>64</v>
      </c>
      <c r="S10" s="465">
        <f t="shared" si="0"/>
        <v>3</v>
      </c>
      <c r="T10" s="465">
        <f t="shared" si="0"/>
        <v>200</v>
      </c>
      <c r="U10" s="465">
        <f t="shared" si="0"/>
        <v>2</v>
      </c>
      <c r="V10" s="465">
        <f t="shared" si="0"/>
        <v>1200</v>
      </c>
      <c r="W10" s="465">
        <f t="shared" si="0"/>
        <v>2</v>
      </c>
      <c r="X10" s="465">
        <f t="shared" si="0"/>
        <v>1200</v>
      </c>
      <c r="AJ10" s="430" t="str">
        <f>IF(AND(D10=0,H10=0,I10=0,J10=0,K10=0,L10=0,M10=0,N10=0,O10=0,P10=0,Q10=0,R10=0,S10=0,T10=0,U10=0,V10=0,W10=0,X10=0),"",IF(AND(D10&lt;&gt;0,H10&lt;&gt;0,I10&lt;&gt;0,J10&lt;&gt;0,K10&lt;&gt;0,L10&lt;&gt;0,M10&lt;&gt;0,N10&lt;&gt;0,O10&lt;&gt;0,P10&lt;&gt;0,Q10&lt;&gt;0,R10&lt;&gt;0,S10&lt;&gt;0,T10&lt;&gt;0,U10&lt;&gt;0,V10&lt;&gt;0,W10&lt;&gt;0,X10&lt;&gt;0),"X","er"))</f>
        <v>X</v>
      </c>
    </row>
    <row r="11" spans="1:36" ht="15" customHeight="1" x14ac:dyDescent="0.2">
      <c r="A11" s="452"/>
      <c r="B11" s="452"/>
      <c r="C11" s="452"/>
      <c r="D11" s="452"/>
      <c r="E11" s="452"/>
      <c r="F11" s="452"/>
      <c r="G11" s="452"/>
      <c r="H11" s="452"/>
      <c r="I11" s="452"/>
      <c r="J11" s="452"/>
      <c r="K11" s="452"/>
      <c r="L11" s="452"/>
      <c r="M11" s="452"/>
      <c r="N11" s="452"/>
      <c r="O11" s="452"/>
      <c r="P11" s="452"/>
      <c r="Q11" s="452"/>
      <c r="R11" s="452"/>
      <c r="S11" s="452"/>
      <c r="T11" s="452"/>
      <c r="U11" s="452"/>
      <c r="V11" s="452"/>
      <c r="W11" s="452"/>
      <c r="X11" s="452"/>
    </row>
    <row r="12" spans="1:36" ht="15" customHeight="1" x14ac:dyDescent="0.25">
      <c r="A12" s="576"/>
      <c r="B12" s="576"/>
      <c r="C12" s="576"/>
      <c r="D12" s="576"/>
      <c r="E12" s="576"/>
      <c r="F12" s="576"/>
      <c r="G12" s="576"/>
      <c r="H12" s="576"/>
      <c r="I12" s="576"/>
      <c r="J12" s="576"/>
      <c r="K12" s="576"/>
      <c r="L12" s="576"/>
      <c r="M12" s="576"/>
      <c r="N12" s="576"/>
      <c r="O12" s="576"/>
      <c r="P12" s="576"/>
      <c r="Q12" s="576"/>
      <c r="R12" s="467"/>
      <c r="S12" s="467"/>
      <c r="T12" s="473" t="str">
        <f>Chinh!L34</f>
        <v>Cam ….., ngày ... tháng ... năm 202…</v>
      </c>
      <c r="U12" s="467"/>
      <c r="V12" s="467"/>
      <c r="W12" s="467"/>
      <c r="X12" s="467"/>
      <c r="Y12" s="467"/>
      <c r="Z12" s="467"/>
      <c r="AA12" s="467"/>
      <c r="AB12" s="467"/>
      <c r="AC12" s="467"/>
      <c r="AD12" s="467"/>
      <c r="AE12" s="576"/>
      <c r="AF12" s="429"/>
      <c r="AG12" s="429"/>
      <c r="AH12" s="429"/>
      <c r="AI12" s="429"/>
    </row>
    <row r="13" spans="1:36" ht="15" customHeight="1" x14ac:dyDescent="0.25">
      <c r="A13" s="576"/>
      <c r="B13" s="577"/>
      <c r="C13" s="468"/>
      <c r="D13" s="468"/>
      <c r="E13" s="468"/>
      <c r="F13" s="468"/>
      <c r="G13" s="468"/>
      <c r="H13" s="727"/>
      <c r="I13" s="727"/>
      <c r="J13" s="727"/>
      <c r="K13" s="727"/>
      <c r="L13" s="727"/>
      <c r="M13" s="576"/>
      <c r="N13" s="576"/>
      <c r="O13" s="576"/>
      <c r="P13" s="576"/>
      <c r="Q13" s="576"/>
      <c r="R13" s="727" t="s">
        <v>518</v>
      </c>
      <c r="S13" s="727"/>
      <c r="T13" s="727"/>
      <c r="U13" s="727"/>
      <c r="V13" s="727"/>
      <c r="W13" s="469"/>
      <c r="X13" s="469"/>
      <c r="Y13" s="469"/>
      <c r="Z13" s="576"/>
      <c r="AA13" s="576"/>
      <c r="AB13" s="576"/>
      <c r="AC13" s="576"/>
      <c r="AD13" s="576"/>
      <c r="AE13" s="576"/>
      <c r="AF13" s="429"/>
      <c r="AG13" s="429"/>
      <c r="AH13" s="429"/>
      <c r="AI13" s="429"/>
    </row>
    <row r="14" spans="1:36" ht="15" customHeight="1" x14ac:dyDescent="0.25">
      <c r="A14" s="452"/>
      <c r="B14" s="577" t="s">
        <v>319</v>
      </c>
      <c r="C14" s="452"/>
      <c r="D14" s="452"/>
      <c r="E14" s="452"/>
      <c r="F14" s="452"/>
      <c r="G14" s="452"/>
      <c r="H14" s="727" t="s">
        <v>507</v>
      </c>
      <c r="I14" s="727"/>
      <c r="J14" s="727"/>
      <c r="K14" s="727"/>
      <c r="L14" s="727"/>
      <c r="M14" s="452"/>
      <c r="N14" s="452"/>
      <c r="O14" s="452"/>
      <c r="P14" s="452"/>
      <c r="Q14" s="452"/>
      <c r="R14" s="727"/>
      <c r="S14" s="727"/>
      <c r="T14" s="727"/>
      <c r="U14" s="727"/>
      <c r="V14" s="727"/>
      <c r="W14" s="427"/>
      <c r="X14" s="427"/>
      <c r="Y14" s="429"/>
      <c r="Z14" s="429"/>
      <c r="AA14" s="429"/>
      <c r="AB14" s="429"/>
      <c r="AC14" s="429"/>
      <c r="AD14" s="429"/>
      <c r="AE14" s="429"/>
      <c r="AF14" s="429"/>
      <c r="AG14" s="429"/>
      <c r="AH14" s="429"/>
      <c r="AI14" s="429"/>
    </row>
    <row r="15" spans="1:36" ht="15" customHeight="1" x14ac:dyDescent="0.25">
      <c r="A15" s="452"/>
      <c r="B15" s="452"/>
      <c r="C15" s="452"/>
      <c r="D15" s="452"/>
      <c r="E15" s="452"/>
      <c r="F15" s="452"/>
      <c r="G15" s="452"/>
      <c r="H15" s="452"/>
      <c r="I15" s="452"/>
      <c r="J15" s="452"/>
      <c r="K15" s="452"/>
      <c r="L15" s="452"/>
      <c r="M15" s="452"/>
      <c r="N15" s="452"/>
      <c r="O15" s="452"/>
      <c r="P15" s="452"/>
      <c r="Q15" s="452"/>
      <c r="R15" s="727"/>
      <c r="S15" s="727"/>
      <c r="T15" s="727"/>
      <c r="U15" s="727"/>
      <c r="V15" s="727"/>
      <c r="W15" s="427"/>
      <c r="X15" s="427"/>
      <c r="Y15" s="429"/>
      <c r="Z15" s="429"/>
      <c r="AA15" s="429"/>
      <c r="AB15" s="429"/>
      <c r="AC15" s="429"/>
      <c r="AD15" s="429"/>
      <c r="AE15" s="429"/>
      <c r="AF15" s="429"/>
      <c r="AG15" s="429"/>
      <c r="AH15" s="429"/>
      <c r="AI15" s="429"/>
    </row>
    <row r="16" spans="1:36" ht="15" customHeight="1" x14ac:dyDescent="0.25">
      <c r="A16" s="452"/>
      <c r="B16" s="452"/>
      <c r="C16" s="452"/>
      <c r="D16" s="452"/>
      <c r="E16" s="452"/>
      <c r="F16" s="452"/>
      <c r="G16" s="452"/>
      <c r="H16" s="452"/>
      <c r="I16" s="452"/>
      <c r="J16" s="452"/>
      <c r="K16" s="452"/>
      <c r="L16" s="452"/>
      <c r="M16" s="452"/>
      <c r="N16" s="452"/>
      <c r="O16" s="452"/>
      <c r="P16" s="452"/>
      <c r="Q16" s="452"/>
      <c r="R16" s="727"/>
      <c r="S16" s="727"/>
      <c r="T16" s="727"/>
      <c r="U16" s="727"/>
      <c r="V16" s="727"/>
      <c r="W16" s="427"/>
      <c r="X16" s="427"/>
      <c r="Y16" s="429"/>
      <c r="Z16" s="429"/>
      <c r="AA16" s="429"/>
      <c r="AB16" s="429"/>
      <c r="AC16" s="429"/>
      <c r="AD16" s="429"/>
      <c r="AE16" s="429"/>
      <c r="AF16" s="429"/>
      <c r="AG16" s="429"/>
      <c r="AH16" s="429"/>
      <c r="AI16" s="429"/>
    </row>
    <row r="17" spans="1:35" ht="15" customHeight="1" x14ac:dyDescent="0.25">
      <c r="A17" s="452"/>
      <c r="B17" s="452"/>
      <c r="C17" s="452"/>
      <c r="D17" s="452"/>
      <c r="E17" s="452"/>
      <c r="F17" s="452"/>
      <c r="G17" s="452"/>
      <c r="H17" s="452"/>
      <c r="I17" s="452"/>
      <c r="J17" s="452"/>
      <c r="K17" s="452"/>
      <c r="L17" s="452"/>
      <c r="M17" s="452"/>
      <c r="N17" s="452"/>
      <c r="O17" s="452"/>
      <c r="P17" s="452"/>
      <c r="Q17" s="452"/>
      <c r="R17" s="727"/>
      <c r="S17" s="727"/>
      <c r="T17" s="727"/>
      <c r="U17" s="727"/>
      <c r="V17" s="727"/>
      <c r="W17" s="427"/>
      <c r="X17" s="427"/>
      <c r="Y17" s="429"/>
      <c r="Z17" s="429"/>
      <c r="AA17" s="429"/>
      <c r="AB17" s="429"/>
      <c r="AC17" s="429"/>
      <c r="AD17" s="429"/>
      <c r="AE17" s="429"/>
      <c r="AF17" s="429"/>
      <c r="AG17" s="429"/>
      <c r="AH17" s="429"/>
      <c r="AI17" s="429"/>
    </row>
    <row r="18" spans="1:35" ht="15" customHeight="1" x14ac:dyDescent="0.25">
      <c r="A18" s="452"/>
      <c r="B18" s="452"/>
      <c r="C18" s="452"/>
      <c r="D18" s="452"/>
      <c r="E18" s="452"/>
      <c r="F18" s="452"/>
      <c r="G18" s="452"/>
      <c r="H18" s="452"/>
      <c r="I18" s="452"/>
      <c r="J18" s="452"/>
      <c r="K18" s="452"/>
      <c r="L18" s="452"/>
      <c r="M18" s="452"/>
      <c r="N18" s="452"/>
      <c r="O18" s="452"/>
      <c r="P18" s="452"/>
      <c r="Q18" s="452"/>
      <c r="R18" s="727"/>
      <c r="S18" s="727"/>
      <c r="T18" s="727"/>
      <c r="U18" s="727"/>
      <c r="V18" s="727"/>
      <c r="W18" s="452"/>
      <c r="X18" s="452"/>
      <c r="Z18" s="429"/>
      <c r="AA18" s="429"/>
      <c r="AB18" s="429"/>
      <c r="AC18" s="429"/>
      <c r="AD18" s="429"/>
      <c r="AE18" s="429"/>
      <c r="AF18" s="429"/>
      <c r="AG18" s="429"/>
      <c r="AH18" s="429"/>
      <c r="AI18" s="429"/>
    </row>
    <row r="19" spans="1:35" ht="15" customHeight="1" x14ac:dyDescent="0.25">
      <c r="A19" s="452"/>
      <c r="B19" s="452"/>
      <c r="C19" s="452"/>
      <c r="D19" s="452"/>
      <c r="E19" s="452"/>
      <c r="F19" s="452"/>
      <c r="G19" s="452"/>
      <c r="H19" s="452"/>
      <c r="I19" s="452"/>
      <c r="J19" s="452"/>
      <c r="K19" s="452"/>
      <c r="L19" s="452"/>
      <c r="M19" s="452"/>
      <c r="N19" s="452"/>
      <c r="O19" s="452"/>
      <c r="P19" s="452"/>
      <c r="Q19" s="452"/>
      <c r="R19" s="727"/>
      <c r="S19" s="727"/>
      <c r="T19" s="727"/>
      <c r="U19" s="727"/>
      <c r="V19" s="727"/>
      <c r="W19" s="452"/>
      <c r="X19" s="452"/>
      <c r="AE19" s="429"/>
      <c r="AF19" s="429"/>
      <c r="AG19" s="429"/>
      <c r="AH19" s="429"/>
      <c r="AI19" s="429"/>
    </row>
    <row r="20" spans="1:35" ht="15" customHeight="1" x14ac:dyDescent="0.25">
      <c r="A20" s="452"/>
      <c r="B20" s="452"/>
      <c r="C20" s="452"/>
      <c r="D20" s="452"/>
      <c r="E20" s="452"/>
      <c r="F20" s="452"/>
      <c r="G20" s="452"/>
      <c r="H20" s="452"/>
      <c r="I20" s="452"/>
      <c r="J20" s="452"/>
      <c r="K20" s="452"/>
      <c r="L20" s="452"/>
      <c r="M20" s="452"/>
      <c r="N20" s="452"/>
      <c r="O20" s="452"/>
      <c r="P20" s="452"/>
      <c r="Q20" s="452"/>
      <c r="R20" s="727"/>
      <c r="S20" s="727"/>
      <c r="T20" s="727"/>
      <c r="U20" s="727"/>
      <c r="V20" s="727"/>
      <c r="W20" s="452"/>
      <c r="X20" s="452"/>
      <c r="AH20" s="429"/>
      <c r="AI20" s="429"/>
    </row>
    <row r="21" spans="1:35" ht="15" customHeight="1" x14ac:dyDescent="0.25">
      <c r="A21" s="452"/>
      <c r="B21" s="580" t="str">
        <f>IF(Chinh!$N$9="",0,Chinh!C37)</f>
        <v>…………</v>
      </c>
      <c r="C21" s="452"/>
      <c r="D21" s="452"/>
      <c r="E21" s="452"/>
      <c r="F21" s="452"/>
      <c r="G21" s="452"/>
      <c r="H21" s="765" t="str">
        <f>IF(Chinh!N9&lt;&gt;"",Chinh!L37,"")</f>
        <v>………………..</v>
      </c>
      <c r="I21" s="765"/>
      <c r="J21" s="765"/>
      <c r="K21" s="765"/>
      <c r="L21" s="765"/>
      <c r="M21" s="452"/>
      <c r="N21" s="452"/>
      <c r="O21" s="452"/>
      <c r="P21" s="452"/>
      <c r="Q21" s="452"/>
      <c r="R21" s="727" t="s">
        <v>365</v>
      </c>
      <c r="S21" s="727"/>
      <c r="T21" s="727"/>
      <c r="U21" s="727"/>
      <c r="V21" s="727"/>
      <c r="W21" s="452"/>
      <c r="X21" s="452"/>
    </row>
    <row r="129" spans="17:24" ht="15" customHeight="1" x14ac:dyDescent="0.2">
      <c r="Q129" s="429"/>
      <c r="R129" s="429"/>
      <c r="S129" s="429"/>
      <c r="T129" s="429"/>
      <c r="U129" s="429"/>
      <c r="V129" s="429"/>
      <c r="W129" s="429"/>
      <c r="X129" s="429"/>
    </row>
  </sheetData>
  <sheetProtection algorithmName="SHA-512" hashValue="R7aS7P0fswd2SwGxk4yp75SFpEwnStVPb0uI0FAvJEvvb9MuXKsx/O8q25gkbSnknCvtpIKR63PiYYHZYLh86g==" saltValue="o+/fWn3cK1DWfR7yeZJTjg==" spinCount="100000" sheet="1" formatCells="0" formatColumns="0" formatRows="0"/>
  <mergeCells count="44">
    <mergeCell ref="G3:I3"/>
    <mergeCell ref="A1:B1"/>
    <mergeCell ref="C1:T1"/>
    <mergeCell ref="U1:X1"/>
    <mergeCell ref="A2:B2"/>
    <mergeCell ref="C2:T2"/>
    <mergeCell ref="A4:A6"/>
    <mergeCell ref="B4:B6"/>
    <mergeCell ref="C4:C6"/>
    <mergeCell ref="D4:D6"/>
    <mergeCell ref="E4:H4"/>
    <mergeCell ref="E5:E6"/>
    <mergeCell ref="F5:F6"/>
    <mergeCell ref="G5:G6"/>
    <mergeCell ref="H5:H6"/>
    <mergeCell ref="I5:I6"/>
    <mergeCell ref="W5:W6"/>
    <mergeCell ref="X5:X6"/>
    <mergeCell ref="Q4:T4"/>
    <mergeCell ref="U4:V4"/>
    <mergeCell ref="W4:X4"/>
    <mergeCell ref="J5:J6"/>
    <mergeCell ref="K5:K6"/>
    <mergeCell ref="I4:P4"/>
    <mergeCell ref="L5:L6"/>
    <mergeCell ref="M5:M6"/>
    <mergeCell ref="N5:N6"/>
    <mergeCell ref="O5:P5"/>
    <mergeCell ref="R16:V16"/>
    <mergeCell ref="Q5:R5"/>
    <mergeCell ref="S5:T5"/>
    <mergeCell ref="U5:U6"/>
    <mergeCell ref="V5:V6"/>
    <mergeCell ref="H13:L13"/>
    <mergeCell ref="R13:V13"/>
    <mergeCell ref="H14:L14"/>
    <mergeCell ref="R14:V14"/>
    <mergeCell ref="R15:V15"/>
    <mergeCell ref="R17:V17"/>
    <mergeCell ref="R18:V18"/>
    <mergeCell ref="R19:V19"/>
    <mergeCell ref="R20:V20"/>
    <mergeCell ref="H21:L21"/>
    <mergeCell ref="R21:V21"/>
  </mergeCells>
  <conditionalFormatting sqref="G3">
    <cfRule type="cellIs" dxfId="7" priority="1" stopIfTrue="1" operator="between">
      <formula>"Nhập liệu!"</formula>
      <formula>"Nhập liệu!"</formula>
    </cfRule>
    <cfRule type="cellIs" dxfId="6" priority="2" stopIfTrue="1" operator="between">
      <formula>"Còn lỗi!"</formula>
      <formula>"Còn lỗi!"</formula>
    </cfRule>
  </conditionalFormatting>
  <dataValidations count="2">
    <dataValidation type="list" allowBlank="1" showInputMessage="1" showErrorMessage="1" sqref="WVL983043:WVM983043 IZ3:JA3 SV3:SW3 ACR3:ACS3 AMN3:AMO3 AWJ3:AWK3 BGF3:BGG3 BQB3:BQC3 BZX3:BZY3 CJT3:CJU3 CTP3:CTQ3 DDL3:DDM3 DNH3:DNI3 DXD3:DXE3 EGZ3:EHA3 EQV3:EQW3 FAR3:FAS3 FKN3:FKO3 FUJ3:FUK3 GEF3:GEG3 GOB3:GOC3 GXX3:GXY3 HHT3:HHU3 HRP3:HRQ3 IBL3:IBM3 ILH3:ILI3 IVD3:IVE3 JEZ3:JFA3 JOV3:JOW3 JYR3:JYS3 KIN3:KIO3 KSJ3:KSK3 LCF3:LCG3 LMB3:LMC3 LVX3:LVY3 MFT3:MFU3 MPP3:MPQ3 MZL3:MZM3 NJH3:NJI3 NTD3:NTE3 OCZ3:ODA3 OMV3:OMW3 OWR3:OWS3 PGN3:PGO3 PQJ3:PQK3 QAF3:QAG3 QKB3:QKC3 QTX3:QTY3 RDT3:RDU3 RNP3:RNQ3 RXL3:RXM3 SHH3:SHI3 SRD3:SRE3 TAZ3:TBA3 TKV3:TKW3 TUR3:TUS3 UEN3:UEO3 UOJ3:UOK3 UYF3:UYG3 VIB3:VIC3 VRX3:VRY3 WBT3:WBU3 WLP3:WLQ3 WVL3:WVM3 D65539:E65539 IZ65539:JA65539 SV65539:SW65539 ACR65539:ACS65539 AMN65539:AMO65539 AWJ65539:AWK65539 BGF65539:BGG65539 BQB65539:BQC65539 BZX65539:BZY65539 CJT65539:CJU65539 CTP65539:CTQ65539 DDL65539:DDM65539 DNH65539:DNI65539 DXD65539:DXE65539 EGZ65539:EHA65539 EQV65539:EQW65539 FAR65539:FAS65539 FKN65539:FKO65539 FUJ65539:FUK65539 GEF65539:GEG65539 GOB65539:GOC65539 GXX65539:GXY65539 HHT65539:HHU65539 HRP65539:HRQ65539 IBL65539:IBM65539 ILH65539:ILI65539 IVD65539:IVE65539 JEZ65539:JFA65539 JOV65539:JOW65539 JYR65539:JYS65539 KIN65539:KIO65539 KSJ65539:KSK65539 LCF65539:LCG65539 LMB65539:LMC65539 LVX65539:LVY65539 MFT65539:MFU65539 MPP65539:MPQ65539 MZL65539:MZM65539 NJH65539:NJI65539 NTD65539:NTE65539 OCZ65539:ODA65539 OMV65539:OMW65539 OWR65539:OWS65539 PGN65539:PGO65539 PQJ65539:PQK65539 QAF65539:QAG65539 QKB65539:QKC65539 QTX65539:QTY65539 RDT65539:RDU65539 RNP65539:RNQ65539 RXL65539:RXM65539 SHH65539:SHI65539 SRD65539:SRE65539 TAZ65539:TBA65539 TKV65539:TKW65539 TUR65539:TUS65539 UEN65539:UEO65539 UOJ65539:UOK65539 UYF65539:UYG65539 VIB65539:VIC65539 VRX65539:VRY65539 WBT65539:WBU65539 WLP65539:WLQ65539 WVL65539:WVM65539 D131075:E131075 IZ131075:JA131075 SV131075:SW131075 ACR131075:ACS131075 AMN131075:AMO131075 AWJ131075:AWK131075 BGF131075:BGG131075 BQB131075:BQC131075 BZX131075:BZY131075 CJT131075:CJU131075 CTP131075:CTQ131075 DDL131075:DDM131075 DNH131075:DNI131075 DXD131075:DXE131075 EGZ131075:EHA131075 EQV131075:EQW131075 FAR131075:FAS131075 FKN131075:FKO131075 FUJ131075:FUK131075 GEF131075:GEG131075 GOB131075:GOC131075 GXX131075:GXY131075 HHT131075:HHU131075 HRP131075:HRQ131075 IBL131075:IBM131075 ILH131075:ILI131075 IVD131075:IVE131075 JEZ131075:JFA131075 JOV131075:JOW131075 JYR131075:JYS131075 KIN131075:KIO131075 KSJ131075:KSK131075 LCF131075:LCG131075 LMB131075:LMC131075 LVX131075:LVY131075 MFT131075:MFU131075 MPP131075:MPQ131075 MZL131075:MZM131075 NJH131075:NJI131075 NTD131075:NTE131075 OCZ131075:ODA131075 OMV131075:OMW131075 OWR131075:OWS131075 PGN131075:PGO131075 PQJ131075:PQK131075 QAF131075:QAG131075 QKB131075:QKC131075 QTX131075:QTY131075 RDT131075:RDU131075 RNP131075:RNQ131075 RXL131075:RXM131075 SHH131075:SHI131075 SRD131075:SRE131075 TAZ131075:TBA131075 TKV131075:TKW131075 TUR131075:TUS131075 UEN131075:UEO131075 UOJ131075:UOK131075 UYF131075:UYG131075 VIB131075:VIC131075 VRX131075:VRY131075 WBT131075:WBU131075 WLP131075:WLQ131075 WVL131075:WVM131075 D196611:E196611 IZ196611:JA196611 SV196611:SW196611 ACR196611:ACS196611 AMN196611:AMO196611 AWJ196611:AWK196611 BGF196611:BGG196611 BQB196611:BQC196611 BZX196611:BZY196611 CJT196611:CJU196611 CTP196611:CTQ196611 DDL196611:DDM196611 DNH196611:DNI196611 DXD196611:DXE196611 EGZ196611:EHA196611 EQV196611:EQW196611 FAR196611:FAS196611 FKN196611:FKO196611 FUJ196611:FUK196611 GEF196611:GEG196611 GOB196611:GOC196611 GXX196611:GXY196611 HHT196611:HHU196611 HRP196611:HRQ196611 IBL196611:IBM196611 ILH196611:ILI196611 IVD196611:IVE196611 JEZ196611:JFA196611 JOV196611:JOW196611 JYR196611:JYS196611 KIN196611:KIO196611 KSJ196611:KSK196611 LCF196611:LCG196611 LMB196611:LMC196611 LVX196611:LVY196611 MFT196611:MFU196611 MPP196611:MPQ196611 MZL196611:MZM196611 NJH196611:NJI196611 NTD196611:NTE196611 OCZ196611:ODA196611 OMV196611:OMW196611 OWR196611:OWS196611 PGN196611:PGO196611 PQJ196611:PQK196611 QAF196611:QAG196611 QKB196611:QKC196611 QTX196611:QTY196611 RDT196611:RDU196611 RNP196611:RNQ196611 RXL196611:RXM196611 SHH196611:SHI196611 SRD196611:SRE196611 TAZ196611:TBA196611 TKV196611:TKW196611 TUR196611:TUS196611 UEN196611:UEO196611 UOJ196611:UOK196611 UYF196611:UYG196611 VIB196611:VIC196611 VRX196611:VRY196611 WBT196611:WBU196611 WLP196611:WLQ196611 WVL196611:WVM196611 D262147:E262147 IZ262147:JA262147 SV262147:SW262147 ACR262147:ACS262147 AMN262147:AMO262147 AWJ262147:AWK262147 BGF262147:BGG262147 BQB262147:BQC262147 BZX262147:BZY262147 CJT262147:CJU262147 CTP262147:CTQ262147 DDL262147:DDM262147 DNH262147:DNI262147 DXD262147:DXE262147 EGZ262147:EHA262147 EQV262147:EQW262147 FAR262147:FAS262147 FKN262147:FKO262147 FUJ262147:FUK262147 GEF262147:GEG262147 GOB262147:GOC262147 GXX262147:GXY262147 HHT262147:HHU262147 HRP262147:HRQ262147 IBL262147:IBM262147 ILH262147:ILI262147 IVD262147:IVE262147 JEZ262147:JFA262147 JOV262147:JOW262147 JYR262147:JYS262147 KIN262147:KIO262147 KSJ262147:KSK262147 LCF262147:LCG262147 LMB262147:LMC262147 LVX262147:LVY262147 MFT262147:MFU262147 MPP262147:MPQ262147 MZL262147:MZM262147 NJH262147:NJI262147 NTD262147:NTE262147 OCZ262147:ODA262147 OMV262147:OMW262147 OWR262147:OWS262147 PGN262147:PGO262147 PQJ262147:PQK262147 QAF262147:QAG262147 QKB262147:QKC262147 QTX262147:QTY262147 RDT262147:RDU262147 RNP262147:RNQ262147 RXL262147:RXM262147 SHH262147:SHI262147 SRD262147:SRE262147 TAZ262147:TBA262147 TKV262147:TKW262147 TUR262147:TUS262147 UEN262147:UEO262147 UOJ262147:UOK262147 UYF262147:UYG262147 VIB262147:VIC262147 VRX262147:VRY262147 WBT262147:WBU262147 WLP262147:WLQ262147 WVL262147:WVM262147 D327683:E327683 IZ327683:JA327683 SV327683:SW327683 ACR327683:ACS327683 AMN327683:AMO327683 AWJ327683:AWK327683 BGF327683:BGG327683 BQB327683:BQC327683 BZX327683:BZY327683 CJT327683:CJU327683 CTP327683:CTQ327683 DDL327683:DDM327683 DNH327683:DNI327683 DXD327683:DXE327683 EGZ327683:EHA327683 EQV327683:EQW327683 FAR327683:FAS327683 FKN327683:FKO327683 FUJ327683:FUK327683 GEF327683:GEG327683 GOB327683:GOC327683 GXX327683:GXY327683 HHT327683:HHU327683 HRP327683:HRQ327683 IBL327683:IBM327683 ILH327683:ILI327683 IVD327683:IVE327683 JEZ327683:JFA327683 JOV327683:JOW327683 JYR327683:JYS327683 KIN327683:KIO327683 KSJ327683:KSK327683 LCF327683:LCG327683 LMB327683:LMC327683 LVX327683:LVY327683 MFT327683:MFU327683 MPP327683:MPQ327683 MZL327683:MZM327683 NJH327683:NJI327683 NTD327683:NTE327683 OCZ327683:ODA327683 OMV327683:OMW327683 OWR327683:OWS327683 PGN327683:PGO327683 PQJ327683:PQK327683 QAF327683:QAG327683 QKB327683:QKC327683 QTX327683:QTY327683 RDT327683:RDU327683 RNP327683:RNQ327683 RXL327683:RXM327683 SHH327683:SHI327683 SRD327683:SRE327683 TAZ327683:TBA327683 TKV327683:TKW327683 TUR327683:TUS327683 UEN327683:UEO327683 UOJ327683:UOK327683 UYF327683:UYG327683 VIB327683:VIC327683 VRX327683:VRY327683 WBT327683:WBU327683 WLP327683:WLQ327683 WVL327683:WVM327683 D393219:E393219 IZ393219:JA393219 SV393219:SW393219 ACR393219:ACS393219 AMN393219:AMO393219 AWJ393219:AWK393219 BGF393219:BGG393219 BQB393219:BQC393219 BZX393219:BZY393219 CJT393219:CJU393219 CTP393219:CTQ393219 DDL393219:DDM393219 DNH393219:DNI393219 DXD393219:DXE393219 EGZ393219:EHA393219 EQV393219:EQW393219 FAR393219:FAS393219 FKN393219:FKO393219 FUJ393219:FUK393219 GEF393219:GEG393219 GOB393219:GOC393219 GXX393219:GXY393219 HHT393219:HHU393219 HRP393219:HRQ393219 IBL393219:IBM393219 ILH393219:ILI393219 IVD393219:IVE393219 JEZ393219:JFA393219 JOV393219:JOW393219 JYR393219:JYS393219 KIN393219:KIO393219 KSJ393219:KSK393219 LCF393219:LCG393219 LMB393219:LMC393219 LVX393219:LVY393219 MFT393219:MFU393219 MPP393219:MPQ393219 MZL393219:MZM393219 NJH393219:NJI393219 NTD393219:NTE393219 OCZ393219:ODA393219 OMV393219:OMW393219 OWR393219:OWS393219 PGN393219:PGO393219 PQJ393219:PQK393219 QAF393219:QAG393219 QKB393219:QKC393219 QTX393219:QTY393219 RDT393219:RDU393219 RNP393219:RNQ393219 RXL393219:RXM393219 SHH393219:SHI393219 SRD393219:SRE393219 TAZ393219:TBA393219 TKV393219:TKW393219 TUR393219:TUS393219 UEN393219:UEO393219 UOJ393219:UOK393219 UYF393219:UYG393219 VIB393219:VIC393219 VRX393219:VRY393219 WBT393219:WBU393219 WLP393219:WLQ393219 WVL393219:WVM393219 D458755:E458755 IZ458755:JA458755 SV458755:SW458755 ACR458755:ACS458755 AMN458755:AMO458755 AWJ458755:AWK458755 BGF458755:BGG458755 BQB458755:BQC458755 BZX458755:BZY458755 CJT458755:CJU458755 CTP458755:CTQ458755 DDL458755:DDM458755 DNH458755:DNI458755 DXD458755:DXE458755 EGZ458755:EHA458755 EQV458755:EQW458755 FAR458755:FAS458755 FKN458755:FKO458755 FUJ458755:FUK458755 GEF458755:GEG458755 GOB458755:GOC458755 GXX458755:GXY458755 HHT458755:HHU458755 HRP458755:HRQ458755 IBL458755:IBM458755 ILH458755:ILI458755 IVD458755:IVE458755 JEZ458755:JFA458755 JOV458755:JOW458755 JYR458755:JYS458755 KIN458755:KIO458755 KSJ458755:KSK458755 LCF458755:LCG458755 LMB458755:LMC458755 LVX458755:LVY458755 MFT458755:MFU458755 MPP458755:MPQ458755 MZL458755:MZM458755 NJH458755:NJI458755 NTD458755:NTE458755 OCZ458755:ODA458755 OMV458755:OMW458755 OWR458755:OWS458755 PGN458755:PGO458755 PQJ458755:PQK458755 QAF458755:QAG458755 QKB458755:QKC458755 QTX458755:QTY458755 RDT458755:RDU458755 RNP458755:RNQ458755 RXL458755:RXM458755 SHH458755:SHI458755 SRD458755:SRE458755 TAZ458755:TBA458755 TKV458755:TKW458755 TUR458755:TUS458755 UEN458755:UEO458755 UOJ458755:UOK458755 UYF458755:UYG458755 VIB458755:VIC458755 VRX458755:VRY458755 WBT458755:WBU458755 WLP458755:WLQ458755 WVL458755:WVM458755 D524291:E524291 IZ524291:JA524291 SV524291:SW524291 ACR524291:ACS524291 AMN524291:AMO524291 AWJ524291:AWK524291 BGF524291:BGG524291 BQB524291:BQC524291 BZX524291:BZY524291 CJT524291:CJU524291 CTP524291:CTQ524291 DDL524291:DDM524291 DNH524291:DNI524291 DXD524291:DXE524291 EGZ524291:EHA524291 EQV524291:EQW524291 FAR524291:FAS524291 FKN524291:FKO524291 FUJ524291:FUK524291 GEF524291:GEG524291 GOB524291:GOC524291 GXX524291:GXY524291 HHT524291:HHU524291 HRP524291:HRQ524291 IBL524291:IBM524291 ILH524291:ILI524291 IVD524291:IVE524291 JEZ524291:JFA524291 JOV524291:JOW524291 JYR524291:JYS524291 KIN524291:KIO524291 KSJ524291:KSK524291 LCF524291:LCG524291 LMB524291:LMC524291 LVX524291:LVY524291 MFT524291:MFU524291 MPP524291:MPQ524291 MZL524291:MZM524291 NJH524291:NJI524291 NTD524291:NTE524291 OCZ524291:ODA524291 OMV524291:OMW524291 OWR524291:OWS524291 PGN524291:PGO524291 PQJ524291:PQK524291 QAF524291:QAG524291 QKB524291:QKC524291 QTX524291:QTY524291 RDT524291:RDU524291 RNP524291:RNQ524291 RXL524291:RXM524291 SHH524291:SHI524291 SRD524291:SRE524291 TAZ524291:TBA524291 TKV524291:TKW524291 TUR524291:TUS524291 UEN524291:UEO524291 UOJ524291:UOK524291 UYF524291:UYG524291 VIB524291:VIC524291 VRX524291:VRY524291 WBT524291:WBU524291 WLP524291:WLQ524291 WVL524291:WVM524291 D589827:E589827 IZ589827:JA589827 SV589827:SW589827 ACR589827:ACS589827 AMN589827:AMO589827 AWJ589827:AWK589827 BGF589827:BGG589827 BQB589827:BQC589827 BZX589827:BZY589827 CJT589827:CJU589827 CTP589827:CTQ589827 DDL589827:DDM589827 DNH589827:DNI589827 DXD589827:DXE589827 EGZ589827:EHA589827 EQV589827:EQW589827 FAR589827:FAS589827 FKN589827:FKO589827 FUJ589827:FUK589827 GEF589827:GEG589827 GOB589827:GOC589827 GXX589827:GXY589827 HHT589827:HHU589827 HRP589827:HRQ589827 IBL589827:IBM589827 ILH589827:ILI589827 IVD589827:IVE589827 JEZ589827:JFA589827 JOV589827:JOW589827 JYR589827:JYS589827 KIN589827:KIO589827 KSJ589827:KSK589827 LCF589827:LCG589827 LMB589827:LMC589827 LVX589827:LVY589827 MFT589827:MFU589827 MPP589827:MPQ589827 MZL589827:MZM589827 NJH589827:NJI589827 NTD589827:NTE589827 OCZ589827:ODA589827 OMV589827:OMW589827 OWR589827:OWS589827 PGN589827:PGO589827 PQJ589827:PQK589827 QAF589827:QAG589827 QKB589827:QKC589827 QTX589827:QTY589827 RDT589827:RDU589827 RNP589827:RNQ589827 RXL589827:RXM589827 SHH589827:SHI589827 SRD589827:SRE589827 TAZ589827:TBA589827 TKV589827:TKW589827 TUR589827:TUS589827 UEN589827:UEO589827 UOJ589827:UOK589827 UYF589827:UYG589827 VIB589827:VIC589827 VRX589827:VRY589827 WBT589827:WBU589827 WLP589827:WLQ589827 WVL589827:WVM589827 D655363:E655363 IZ655363:JA655363 SV655363:SW655363 ACR655363:ACS655363 AMN655363:AMO655363 AWJ655363:AWK655363 BGF655363:BGG655363 BQB655363:BQC655363 BZX655363:BZY655363 CJT655363:CJU655363 CTP655363:CTQ655363 DDL655363:DDM655363 DNH655363:DNI655363 DXD655363:DXE655363 EGZ655363:EHA655363 EQV655363:EQW655363 FAR655363:FAS655363 FKN655363:FKO655363 FUJ655363:FUK655363 GEF655363:GEG655363 GOB655363:GOC655363 GXX655363:GXY655363 HHT655363:HHU655363 HRP655363:HRQ655363 IBL655363:IBM655363 ILH655363:ILI655363 IVD655363:IVE655363 JEZ655363:JFA655363 JOV655363:JOW655363 JYR655363:JYS655363 KIN655363:KIO655363 KSJ655363:KSK655363 LCF655363:LCG655363 LMB655363:LMC655363 LVX655363:LVY655363 MFT655363:MFU655363 MPP655363:MPQ655363 MZL655363:MZM655363 NJH655363:NJI655363 NTD655363:NTE655363 OCZ655363:ODA655363 OMV655363:OMW655363 OWR655363:OWS655363 PGN655363:PGO655363 PQJ655363:PQK655363 QAF655363:QAG655363 QKB655363:QKC655363 QTX655363:QTY655363 RDT655363:RDU655363 RNP655363:RNQ655363 RXL655363:RXM655363 SHH655363:SHI655363 SRD655363:SRE655363 TAZ655363:TBA655363 TKV655363:TKW655363 TUR655363:TUS655363 UEN655363:UEO655363 UOJ655363:UOK655363 UYF655363:UYG655363 VIB655363:VIC655363 VRX655363:VRY655363 WBT655363:WBU655363 WLP655363:WLQ655363 WVL655363:WVM655363 D720899:E720899 IZ720899:JA720899 SV720899:SW720899 ACR720899:ACS720899 AMN720899:AMO720899 AWJ720899:AWK720899 BGF720899:BGG720899 BQB720899:BQC720899 BZX720899:BZY720899 CJT720899:CJU720899 CTP720899:CTQ720899 DDL720899:DDM720899 DNH720899:DNI720899 DXD720899:DXE720899 EGZ720899:EHA720899 EQV720899:EQW720899 FAR720899:FAS720899 FKN720899:FKO720899 FUJ720899:FUK720899 GEF720899:GEG720899 GOB720899:GOC720899 GXX720899:GXY720899 HHT720899:HHU720899 HRP720899:HRQ720899 IBL720899:IBM720899 ILH720899:ILI720899 IVD720899:IVE720899 JEZ720899:JFA720899 JOV720899:JOW720899 JYR720899:JYS720899 KIN720899:KIO720899 KSJ720899:KSK720899 LCF720899:LCG720899 LMB720899:LMC720899 LVX720899:LVY720899 MFT720899:MFU720899 MPP720899:MPQ720899 MZL720899:MZM720899 NJH720899:NJI720899 NTD720899:NTE720899 OCZ720899:ODA720899 OMV720899:OMW720899 OWR720899:OWS720899 PGN720899:PGO720899 PQJ720899:PQK720899 QAF720899:QAG720899 QKB720899:QKC720899 QTX720899:QTY720899 RDT720899:RDU720899 RNP720899:RNQ720899 RXL720899:RXM720899 SHH720899:SHI720899 SRD720899:SRE720899 TAZ720899:TBA720899 TKV720899:TKW720899 TUR720899:TUS720899 UEN720899:UEO720899 UOJ720899:UOK720899 UYF720899:UYG720899 VIB720899:VIC720899 VRX720899:VRY720899 WBT720899:WBU720899 WLP720899:WLQ720899 WVL720899:WVM720899 D786435:E786435 IZ786435:JA786435 SV786435:SW786435 ACR786435:ACS786435 AMN786435:AMO786435 AWJ786435:AWK786435 BGF786435:BGG786435 BQB786435:BQC786435 BZX786435:BZY786435 CJT786435:CJU786435 CTP786435:CTQ786435 DDL786435:DDM786435 DNH786435:DNI786435 DXD786435:DXE786435 EGZ786435:EHA786435 EQV786435:EQW786435 FAR786435:FAS786435 FKN786435:FKO786435 FUJ786435:FUK786435 GEF786435:GEG786435 GOB786435:GOC786435 GXX786435:GXY786435 HHT786435:HHU786435 HRP786435:HRQ786435 IBL786435:IBM786435 ILH786435:ILI786435 IVD786435:IVE786435 JEZ786435:JFA786435 JOV786435:JOW786435 JYR786435:JYS786435 KIN786435:KIO786435 KSJ786435:KSK786435 LCF786435:LCG786435 LMB786435:LMC786435 LVX786435:LVY786435 MFT786435:MFU786435 MPP786435:MPQ786435 MZL786435:MZM786435 NJH786435:NJI786435 NTD786435:NTE786435 OCZ786435:ODA786435 OMV786435:OMW786435 OWR786435:OWS786435 PGN786435:PGO786435 PQJ786435:PQK786435 QAF786435:QAG786435 QKB786435:QKC786435 QTX786435:QTY786435 RDT786435:RDU786435 RNP786435:RNQ786435 RXL786435:RXM786435 SHH786435:SHI786435 SRD786435:SRE786435 TAZ786435:TBA786435 TKV786435:TKW786435 TUR786435:TUS786435 UEN786435:UEO786435 UOJ786435:UOK786435 UYF786435:UYG786435 VIB786435:VIC786435 VRX786435:VRY786435 WBT786435:WBU786435 WLP786435:WLQ786435 WVL786435:WVM786435 D851971:E851971 IZ851971:JA851971 SV851971:SW851971 ACR851971:ACS851971 AMN851971:AMO851971 AWJ851971:AWK851971 BGF851971:BGG851971 BQB851971:BQC851971 BZX851971:BZY851971 CJT851971:CJU851971 CTP851971:CTQ851971 DDL851971:DDM851971 DNH851971:DNI851971 DXD851971:DXE851971 EGZ851971:EHA851971 EQV851971:EQW851971 FAR851971:FAS851971 FKN851971:FKO851971 FUJ851971:FUK851971 GEF851971:GEG851971 GOB851971:GOC851971 GXX851971:GXY851971 HHT851971:HHU851971 HRP851971:HRQ851971 IBL851971:IBM851971 ILH851971:ILI851971 IVD851971:IVE851971 JEZ851971:JFA851971 JOV851971:JOW851971 JYR851971:JYS851971 KIN851971:KIO851971 KSJ851971:KSK851971 LCF851971:LCG851971 LMB851971:LMC851971 LVX851971:LVY851971 MFT851971:MFU851971 MPP851971:MPQ851971 MZL851971:MZM851971 NJH851971:NJI851971 NTD851971:NTE851971 OCZ851971:ODA851971 OMV851971:OMW851971 OWR851971:OWS851971 PGN851971:PGO851971 PQJ851971:PQK851971 QAF851971:QAG851971 QKB851971:QKC851971 QTX851971:QTY851971 RDT851971:RDU851971 RNP851971:RNQ851971 RXL851971:RXM851971 SHH851971:SHI851971 SRD851971:SRE851971 TAZ851971:TBA851971 TKV851971:TKW851971 TUR851971:TUS851971 UEN851971:UEO851971 UOJ851971:UOK851971 UYF851971:UYG851971 VIB851971:VIC851971 VRX851971:VRY851971 WBT851971:WBU851971 WLP851971:WLQ851971 WVL851971:WVM851971 D917507:E917507 IZ917507:JA917507 SV917507:SW917507 ACR917507:ACS917507 AMN917507:AMO917507 AWJ917507:AWK917507 BGF917507:BGG917507 BQB917507:BQC917507 BZX917507:BZY917507 CJT917507:CJU917507 CTP917507:CTQ917507 DDL917507:DDM917507 DNH917507:DNI917507 DXD917507:DXE917507 EGZ917507:EHA917507 EQV917507:EQW917507 FAR917507:FAS917507 FKN917507:FKO917507 FUJ917507:FUK917507 GEF917507:GEG917507 GOB917507:GOC917507 GXX917507:GXY917507 HHT917507:HHU917507 HRP917507:HRQ917507 IBL917507:IBM917507 ILH917507:ILI917507 IVD917507:IVE917507 JEZ917507:JFA917507 JOV917507:JOW917507 JYR917507:JYS917507 KIN917507:KIO917507 KSJ917507:KSK917507 LCF917507:LCG917507 LMB917507:LMC917507 LVX917507:LVY917507 MFT917507:MFU917507 MPP917507:MPQ917507 MZL917507:MZM917507 NJH917507:NJI917507 NTD917507:NTE917507 OCZ917507:ODA917507 OMV917507:OMW917507 OWR917507:OWS917507 PGN917507:PGO917507 PQJ917507:PQK917507 QAF917507:QAG917507 QKB917507:QKC917507 QTX917507:QTY917507 RDT917507:RDU917507 RNP917507:RNQ917507 RXL917507:RXM917507 SHH917507:SHI917507 SRD917507:SRE917507 TAZ917507:TBA917507 TKV917507:TKW917507 TUR917507:TUS917507 UEN917507:UEO917507 UOJ917507:UOK917507 UYF917507:UYG917507 VIB917507:VIC917507 VRX917507:VRY917507 WBT917507:WBU917507 WLP917507:WLQ917507 WVL917507:WVM917507 D983043:E983043 IZ983043:JA983043 SV983043:SW983043 ACR983043:ACS983043 AMN983043:AMO983043 AWJ983043:AWK983043 BGF983043:BGG983043 BQB983043:BQC983043 BZX983043:BZY983043 CJT983043:CJU983043 CTP983043:CTQ983043 DDL983043:DDM983043 DNH983043:DNI983043 DXD983043:DXE983043 EGZ983043:EHA983043 EQV983043:EQW983043 FAR983043:FAS983043 FKN983043:FKO983043 FUJ983043:FUK983043 GEF983043:GEG983043 GOB983043:GOC983043 GXX983043:GXY983043 HHT983043:HHU983043 HRP983043:HRQ983043 IBL983043:IBM983043 ILH983043:ILI983043 IVD983043:IVE983043 JEZ983043:JFA983043 JOV983043:JOW983043 JYR983043:JYS983043 KIN983043:KIO983043 KSJ983043:KSK983043 LCF983043:LCG983043 LMB983043:LMC983043 LVX983043:LVY983043 MFT983043:MFU983043 MPP983043:MPQ983043 MZL983043:MZM983043 NJH983043:NJI983043 NTD983043:NTE983043 OCZ983043:ODA983043 OMV983043:OMW983043 OWR983043:OWS983043 PGN983043:PGO983043 PQJ983043:PQK983043 QAF983043:QAG983043 QKB983043:QKC983043 QTX983043:QTY983043 RDT983043:RDU983043 RNP983043:RNQ983043 RXL983043:RXM983043 SHH983043:SHI983043 SRD983043:SRE983043 TAZ983043:TBA983043 TKV983043:TKW983043 TUR983043:TUS983043 UEN983043:UEO983043 UOJ983043:UOK983043 UYF983043:UYG983043 VIB983043:VIC983043 VRX983043:VRY983043 WBT983043:WBU983043 WLP983043:WLQ983043">
      <formula1>$AF$1</formula1>
    </dataValidation>
    <dataValidation type="list" allowBlank="1" showInputMessage="1" showErrorMessage="1" sqref="WVK98304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formula1>$AF$9808:$AF$9821</formula1>
    </dataValidation>
  </dataValidations>
  <pageMargins left="5.9055118110236199E-2" right="5.9055118110236199E-2" top="0.643700787" bottom="0.39370078740157499" header="0.31496062992126" footer="0.31496062992126"/>
  <pageSetup paperSize="9" scale="93"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W192"/>
  <sheetViews>
    <sheetView showGridLines="0" showZeros="0" workbookViewId="0">
      <pane xSplit="5" ySplit="6" topLeftCell="F7" activePane="bottomRight" state="frozen"/>
      <selection pane="topRight" activeCell="F1" sqref="F1"/>
      <selection pane="bottomLeft" activeCell="A7" sqref="A7"/>
      <selection pane="bottomRight" activeCell="L8" sqref="L8"/>
    </sheetView>
  </sheetViews>
  <sheetFormatPr defaultRowHeight="15" x14ac:dyDescent="0.25"/>
  <cols>
    <col min="1" max="1" width="3.75" style="230" customWidth="1"/>
    <col min="2" max="2" width="3.625" style="230" customWidth="1"/>
    <col min="3" max="3" width="4.125" style="265" customWidth="1"/>
    <col min="4" max="4" width="13.75" style="225" customWidth="1"/>
    <col min="5" max="5" width="6.875" style="233" customWidth="1"/>
    <col min="6" max="6" width="4.125" style="266" bestFit="1" customWidth="1"/>
    <col min="7" max="7" width="4.625" style="266" bestFit="1" customWidth="1"/>
    <col min="8" max="8" width="4.625" style="266" customWidth="1"/>
    <col min="9" max="9" width="4.25" style="267" customWidth="1"/>
    <col min="10" max="10" width="6.375" style="267" customWidth="1"/>
    <col min="11" max="11" width="3.625" style="267" customWidth="1"/>
    <col min="12" max="12" width="12.375" style="225" customWidth="1"/>
    <col min="13" max="13" width="13.375" style="225" customWidth="1"/>
    <col min="14" max="14" width="15.875" style="225" customWidth="1"/>
    <col min="15" max="16" width="16.125" style="225" customWidth="1"/>
    <col min="17" max="17" width="15.5" style="225" customWidth="1"/>
    <col min="18" max="18" width="12.125" style="226" customWidth="1"/>
    <col min="19" max="19" width="3" style="377" hidden="1" customWidth="1"/>
    <col min="20" max="20" width="3" style="378" hidden="1" customWidth="1"/>
    <col min="21" max="22" width="3" style="377" hidden="1" customWidth="1"/>
    <col min="23" max="253" width="9" style="224"/>
    <col min="254" max="254" width="5.125" style="224" customWidth="1"/>
    <col min="255" max="255" width="3.625" style="224" customWidth="1"/>
    <col min="256" max="256" width="4.125" style="224" customWidth="1"/>
    <col min="257" max="257" width="17.375" style="224" customWidth="1"/>
    <col min="258" max="258" width="7.5" style="224" customWidth="1"/>
    <col min="259" max="259" width="4.5" style="224" customWidth="1"/>
    <col min="260" max="260" width="4.875" style="224" customWidth="1"/>
    <col min="261" max="261" width="5.125" style="224" customWidth="1"/>
    <col min="262" max="262" width="4.25" style="224" customWidth="1"/>
    <col min="263" max="263" width="6.375" style="224" customWidth="1"/>
    <col min="264" max="264" width="4" style="224" customWidth="1"/>
    <col min="265" max="265" width="12.375" style="224" customWidth="1"/>
    <col min="266" max="266" width="13.375" style="224" customWidth="1"/>
    <col min="267" max="267" width="15.875" style="224" customWidth="1"/>
    <col min="268" max="269" width="16.125" style="224" customWidth="1"/>
    <col min="270" max="270" width="15.5" style="224" customWidth="1"/>
    <col min="271" max="272" width="9" style="224" customWidth="1"/>
    <col min="273" max="273" width="6.375" style="224" customWidth="1"/>
    <col min="274" max="276" width="0" style="224" hidden="1" customWidth="1"/>
    <col min="277" max="277" width="17.375" style="224" customWidth="1"/>
    <col min="278" max="509" width="9" style="224"/>
    <col min="510" max="510" width="5.125" style="224" customWidth="1"/>
    <col min="511" max="511" width="3.625" style="224" customWidth="1"/>
    <col min="512" max="512" width="4.125" style="224" customWidth="1"/>
    <col min="513" max="513" width="17.375" style="224" customWidth="1"/>
    <col min="514" max="514" width="7.5" style="224" customWidth="1"/>
    <col min="515" max="515" width="4.5" style="224" customWidth="1"/>
    <col min="516" max="516" width="4.875" style="224" customWidth="1"/>
    <col min="517" max="517" width="5.125" style="224" customWidth="1"/>
    <col min="518" max="518" width="4.25" style="224" customWidth="1"/>
    <col min="519" max="519" width="6.375" style="224" customWidth="1"/>
    <col min="520" max="520" width="4" style="224" customWidth="1"/>
    <col min="521" max="521" width="12.375" style="224" customWidth="1"/>
    <col min="522" max="522" width="13.375" style="224" customWidth="1"/>
    <col min="523" max="523" width="15.875" style="224" customWidth="1"/>
    <col min="524" max="525" width="16.125" style="224" customWidth="1"/>
    <col min="526" max="526" width="15.5" style="224" customWidth="1"/>
    <col min="527" max="528" width="9" style="224" customWidth="1"/>
    <col min="529" max="529" width="6.375" style="224" customWidth="1"/>
    <col min="530" max="532" width="0" style="224" hidden="1" customWidth="1"/>
    <col min="533" max="533" width="17.375" style="224" customWidth="1"/>
    <col min="534" max="765" width="9" style="224"/>
    <col min="766" max="766" width="5.125" style="224" customWidth="1"/>
    <col min="767" max="767" width="3.625" style="224" customWidth="1"/>
    <col min="768" max="768" width="4.125" style="224" customWidth="1"/>
    <col min="769" max="769" width="17.375" style="224" customWidth="1"/>
    <col min="770" max="770" width="7.5" style="224" customWidth="1"/>
    <col min="771" max="771" width="4.5" style="224" customWidth="1"/>
    <col min="772" max="772" width="4.875" style="224" customWidth="1"/>
    <col min="773" max="773" width="5.125" style="224" customWidth="1"/>
    <col min="774" max="774" width="4.25" style="224" customWidth="1"/>
    <col min="775" max="775" width="6.375" style="224" customWidth="1"/>
    <col min="776" max="776" width="4" style="224" customWidth="1"/>
    <col min="777" max="777" width="12.375" style="224" customWidth="1"/>
    <col min="778" max="778" width="13.375" style="224" customWidth="1"/>
    <col min="779" max="779" width="15.875" style="224" customWidth="1"/>
    <col min="780" max="781" width="16.125" style="224" customWidth="1"/>
    <col min="782" max="782" width="15.5" style="224" customWidth="1"/>
    <col min="783" max="784" width="9" style="224" customWidth="1"/>
    <col min="785" max="785" width="6.375" style="224" customWidth="1"/>
    <col min="786" max="788" width="0" style="224" hidden="1" customWidth="1"/>
    <col min="789" max="789" width="17.375" style="224" customWidth="1"/>
    <col min="790" max="1021" width="9" style="224"/>
    <col min="1022" max="1022" width="5.125" style="224" customWidth="1"/>
    <col min="1023" max="1023" width="3.625" style="224" customWidth="1"/>
    <col min="1024" max="1024" width="4.125" style="224" customWidth="1"/>
    <col min="1025" max="1025" width="17.375" style="224" customWidth="1"/>
    <col min="1026" max="1026" width="7.5" style="224" customWidth="1"/>
    <col min="1027" max="1027" width="4.5" style="224" customWidth="1"/>
    <col min="1028" max="1028" width="4.875" style="224" customWidth="1"/>
    <col min="1029" max="1029" width="5.125" style="224" customWidth="1"/>
    <col min="1030" max="1030" width="4.25" style="224" customWidth="1"/>
    <col min="1031" max="1031" width="6.375" style="224" customWidth="1"/>
    <col min="1032" max="1032" width="4" style="224" customWidth="1"/>
    <col min="1033" max="1033" width="12.375" style="224" customWidth="1"/>
    <col min="1034" max="1034" width="13.375" style="224" customWidth="1"/>
    <col min="1035" max="1035" width="15.875" style="224" customWidth="1"/>
    <col min="1036" max="1037" width="16.125" style="224" customWidth="1"/>
    <col min="1038" max="1038" width="15.5" style="224" customWidth="1"/>
    <col min="1039" max="1040" width="9" style="224" customWidth="1"/>
    <col min="1041" max="1041" width="6.375" style="224" customWidth="1"/>
    <col min="1042" max="1044" width="0" style="224" hidden="1" customWidth="1"/>
    <col min="1045" max="1045" width="17.375" style="224" customWidth="1"/>
    <col min="1046" max="1277" width="9" style="224"/>
    <col min="1278" max="1278" width="5.125" style="224" customWidth="1"/>
    <col min="1279" max="1279" width="3.625" style="224" customWidth="1"/>
    <col min="1280" max="1280" width="4.125" style="224" customWidth="1"/>
    <col min="1281" max="1281" width="17.375" style="224" customWidth="1"/>
    <col min="1282" max="1282" width="7.5" style="224" customWidth="1"/>
    <col min="1283" max="1283" width="4.5" style="224" customWidth="1"/>
    <col min="1284" max="1284" width="4.875" style="224" customWidth="1"/>
    <col min="1285" max="1285" width="5.125" style="224" customWidth="1"/>
    <col min="1286" max="1286" width="4.25" style="224" customWidth="1"/>
    <col min="1287" max="1287" width="6.375" style="224" customWidth="1"/>
    <col min="1288" max="1288" width="4" style="224" customWidth="1"/>
    <col min="1289" max="1289" width="12.375" style="224" customWidth="1"/>
    <col min="1290" max="1290" width="13.375" style="224" customWidth="1"/>
    <col min="1291" max="1291" width="15.875" style="224" customWidth="1"/>
    <col min="1292" max="1293" width="16.125" style="224" customWidth="1"/>
    <col min="1294" max="1294" width="15.5" style="224" customWidth="1"/>
    <col min="1295" max="1296" width="9" style="224" customWidth="1"/>
    <col min="1297" max="1297" width="6.375" style="224" customWidth="1"/>
    <col min="1298" max="1300" width="0" style="224" hidden="1" customWidth="1"/>
    <col min="1301" max="1301" width="17.375" style="224" customWidth="1"/>
    <col min="1302" max="1533" width="9" style="224"/>
    <col min="1534" max="1534" width="5.125" style="224" customWidth="1"/>
    <col min="1535" max="1535" width="3.625" style="224" customWidth="1"/>
    <col min="1536" max="1536" width="4.125" style="224" customWidth="1"/>
    <col min="1537" max="1537" width="17.375" style="224" customWidth="1"/>
    <col min="1538" max="1538" width="7.5" style="224" customWidth="1"/>
    <col min="1539" max="1539" width="4.5" style="224" customWidth="1"/>
    <col min="1540" max="1540" width="4.875" style="224" customWidth="1"/>
    <col min="1541" max="1541" width="5.125" style="224" customWidth="1"/>
    <col min="1542" max="1542" width="4.25" style="224" customWidth="1"/>
    <col min="1543" max="1543" width="6.375" style="224" customWidth="1"/>
    <col min="1544" max="1544" width="4" style="224" customWidth="1"/>
    <col min="1545" max="1545" width="12.375" style="224" customWidth="1"/>
    <col min="1546" max="1546" width="13.375" style="224" customWidth="1"/>
    <col min="1547" max="1547" width="15.875" style="224" customWidth="1"/>
    <col min="1548" max="1549" width="16.125" style="224" customWidth="1"/>
    <col min="1550" max="1550" width="15.5" style="224" customWidth="1"/>
    <col min="1551" max="1552" width="9" style="224" customWidth="1"/>
    <col min="1553" max="1553" width="6.375" style="224" customWidth="1"/>
    <col min="1554" max="1556" width="0" style="224" hidden="1" customWidth="1"/>
    <col min="1557" max="1557" width="17.375" style="224" customWidth="1"/>
    <col min="1558" max="1789" width="9" style="224"/>
    <col min="1790" max="1790" width="5.125" style="224" customWidth="1"/>
    <col min="1791" max="1791" width="3.625" style="224" customWidth="1"/>
    <col min="1792" max="1792" width="4.125" style="224" customWidth="1"/>
    <col min="1793" max="1793" width="17.375" style="224" customWidth="1"/>
    <col min="1794" max="1794" width="7.5" style="224" customWidth="1"/>
    <col min="1795" max="1795" width="4.5" style="224" customWidth="1"/>
    <col min="1796" max="1796" width="4.875" style="224" customWidth="1"/>
    <col min="1797" max="1797" width="5.125" style="224" customWidth="1"/>
    <col min="1798" max="1798" width="4.25" style="224" customWidth="1"/>
    <col min="1799" max="1799" width="6.375" style="224" customWidth="1"/>
    <col min="1800" max="1800" width="4" style="224" customWidth="1"/>
    <col min="1801" max="1801" width="12.375" style="224" customWidth="1"/>
    <col min="1802" max="1802" width="13.375" style="224" customWidth="1"/>
    <col min="1803" max="1803" width="15.875" style="224" customWidth="1"/>
    <col min="1804" max="1805" width="16.125" style="224" customWidth="1"/>
    <col min="1806" max="1806" width="15.5" style="224" customWidth="1"/>
    <col min="1807" max="1808" width="9" style="224" customWidth="1"/>
    <col min="1809" max="1809" width="6.375" style="224" customWidth="1"/>
    <col min="1810" max="1812" width="0" style="224" hidden="1" customWidth="1"/>
    <col min="1813" max="1813" width="17.375" style="224" customWidth="1"/>
    <col min="1814" max="2045" width="9" style="224"/>
    <col min="2046" max="2046" width="5.125" style="224" customWidth="1"/>
    <col min="2047" max="2047" width="3.625" style="224" customWidth="1"/>
    <col min="2048" max="2048" width="4.125" style="224" customWidth="1"/>
    <col min="2049" max="2049" width="17.375" style="224" customWidth="1"/>
    <col min="2050" max="2050" width="7.5" style="224" customWidth="1"/>
    <col min="2051" max="2051" width="4.5" style="224" customWidth="1"/>
    <col min="2052" max="2052" width="4.875" style="224" customWidth="1"/>
    <col min="2053" max="2053" width="5.125" style="224" customWidth="1"/>
    <col min="2054" max="2054" width="4.25" style="224" customWidth="1"/>
    <col min="2055" max="2055" width="6.375" style="224" customWidth="1"/>
    <col min="2056" max="2056" width="4" style="224" customWidth="1"/>
    <col min="2057" max="2057" width="12.375" style="224" customWidth="1"/>
    <col min="2058" max="2058" width="13.375" style="224" customWidth="1"/>
    <col min="2059" max="2059" width="15.875" style="224" customWidth="1"/>
    <col min="2060" max="2061" width="16.125" style="224" customWidth="1"/>
    <col min="2062" max="2062" width="15.5" style="224" customWidth="1"/>
    <col min="2063" max="2064" width="9" style="224" customWidth="1"/>
    <col min="2065" max="2065" width="6.375" style="224" customWidth="1"/>
    <col min="2066" max="2068" width="0" style="224" hidden="1" customWidth="1"/>
    <col min="2069" max="2069" width="17.375" style="224" customWidth="1"/>
    <col min="2070" max="2301" width="9" style="224"/>
    <col min="2302" max="2302" width="5.125" style="224" customWidth="1"/>
    <col min="2303" max="2303" width="3.625" style="224" customWidth="1"/>
    <col min="2304" max="2304" width="4.125" style="224" customWidth="1"/>
    <col min="2305" max="2305" width="17.375" style="224" customWidth="1"/>
    <col min="2306" max="2306" width="7.5" style="224" customWidth="1"/>
    <col min="2307" max="2307" width="4.5" style="224" customWidth="1"/>
    <col min="2308" max="2308" width="4.875" style="224" customWidth="1"/>
    <col min="2309" max="2309" width="5.125" style="224" customWidth="1"/>
    <col min="2310" max="2310" width="4.25" style="224" customWidth="1"/>
    <col min="2311" max="2311" width="6.375" style="224" customWidth="1"/>
    <col min="2312" max="2312" width="4" style="224" customWidth="1"/>
    <col min="2313" max="2313" width="12.375" style="224" customWidth="1"/>
    <col min="2314" max="2314" width="13.375" style="224" customWidth="1"/>
    <col min="2315" max="2315" width="15.875" style="224" customWidth="1"/>
    <col min="2316" max="2317" width="16.125" style="224" customWidth="1"/>
    <col min="2318" max="2318" width="15.5" style="224" customWidth="1"/>
    <col min="2319" max="2320" width="9" style="224" customWidth="1"/>
    <col min="2321" max="2321" width="6.375" style="224" customWidth="1"/>
    <col min="2322" max="2324" width="0" style="224" hidden="1" customWidth="1"/>
    <col min="2325" max="2325" width="17.375" style="224" customWidth="1"/>
    <col min="2326" max="2557" width="9" style="224"/>
    <col min="2558" max="2558" width="5.125" style="224" customWidth="1"/>
    <col min="2559" max="2559" width="3.625" style="224" customWidth="1"/>
    <col min="2560" max="2560" width="4.125" style="224" customWidth="1"/>
    <col min="2561" max="2561" width="17.375" style="224" customWidth="1"/>
    <col min="2562" max="2562" width="7.5" style="224" customWidth="1"/>
    <col min="2563" max="2563" width="4.5" style="224" customWidth="1"/>
    <col min="2564" max="2564" width="4.875" style="224" customWidth="1"/>
    <col min="2565" max="2565" width="5.125" style="224" customWidth="1"/>
    <col min="2566" max="2566" width="4.25" style="224" customWidth="1"/>
    <col min="2567" max="2567" width="6.375" style="224" customWidth="1"/>
    <col min="2568" max="2568" width="4" style="224" customWidth="1"/>
    <col min="2569" max="2569" width="12.375" style="224" customWidth="1"/>
    <col min="2570" max="2570" width="13.375" style="224" customWidth="1"/>
    <col min="2571" max="2571" width="15.875" style="224" customWidth="1"/>
    <col min="2572" max="2573" width="16.125" style="224" customWidth="1"/>
    <col min="2574" max="2574" width="15.5" style="224" customWidth="1"/>
    <col min="2575" max="2576" width="9" style="224" customWidth="1"/>
    <col min="2577" max="2577" width="6.375" style="224" customWidth="1"/>
    <col min="2578" max="2580" width="0" style="224" hidden="1" customWidth="1"/>
    <col min="2581" max="2581" width="17.375" style="224" customWidth="1"/>
    <col min="2582" max="2813" width="9" style="224"/>
    <col min="2814" max="2814" width="5.125" style="224" customWidth="1"/>
    <col min="2815" max="2815" width="3.625" style="224" customWidth="1"/>
    <col min="2816" max="2816" width="4.125" style="224" customWidth="1"/>
    <col min="2817" max="2817" width="17.375" style="224" customWidth="1"/>
    <col min="2818" max="2818" width="7.5" style="224" customWidth="1"/>
    <col min="2819" max="2819" width="4.5" style="224" customWidth="1"/>
    <col min="2820" max="2820" width="4.875" style="224" customWidth="1"/>
    <col min="2821" max="2821" width="5.125" style="224" customWidth="1"/>
    <col min="2822" max="2822" width="4.25" style="224" customWidth="1"/>
    <col min="2823" max="2823" width="6.375" style="224" customWidth="1"/>
    <col min="2824" max="2824" width="4" style="224" customWidth="1"/>
    <col min="2825" max="2825" width="12.375" style="224" customWidth="1"/>
    <col min="2826" max="2826" width="13.375" style="224" customWidth="1"/>
    <col min="2827" max="2827" width="15.875" style="224" customWidth="1"/>
    <col min="2828" max="2829" width="16.125" style="224" customWidth="1"/>
    <col min="2830" max="2830" width="15.5" style="224" customWidth="1"/>
    <col min="2831" max="2832" width="9" style="224" customWidth="1"/>
    <col min="2833" max="2833" width="6.375" style="224" customWidth="1"/>
    <col min="2834" max="2836" width="0" style="224" hidden="1" customWidth="1"/>
    <col min="2837" max="2837" width="17.375" style="224" customWidth="1"/>
    <col min="2838" max="3069" width="9" style="224"/>
    <col min="3070" max="3070" width="5.125" style="224" customWidth="1"/>
    <col min="3071" max="3071" width="3.625" style="224" customWidth="1"/>
    <col min="3072" max="3072" width="4.125" style="224" customWidth="1"/>
    <col min="3073" max="3073" width="17.375" style="224" customWidth="1"/>
    <col min="3074" max="3074" width="7.5" style="224" customWidth="1"/>
    <col min="3075" max="3075" width="4.5" style="224" customWidth="1"/>
    <col min="3076" max="3076" width="4.875" style="224" customWidth="1"/>
    <col min="3077" max="3077" width="5.125" style="224" customWidth="1"/>
    <col min="3078" max="3078" width="4.25" style="224" customWidth="1"/>
    <col min="3079" max="3079" width="6.375" style="224" customWidth="1"/>
    <col min="3080" max="3080" width="4" style="224" customWidth="1"/>
    <col min="3081" max="3081" width="12.375" style="224" customWidth="1"/>
    <col min="3082" max="3082" width="13.375" style="224" customWidth="1"/>
    <col min="3083" max="3083" width="15.875" style="224" customWidth="1"/>
    <col min="3084" max="3085" width="16.125" style="224" customWidth="1"/>
    <col min="3086" max="3086" width="15.5" style="224" customWidth="1"/>
    <col min="3087" max="3088" width="9" style="224" customWidth="1"/>
    <col min="3089" max="3089" width="6.375" style="224" customWidth="1"/>
    <col min="3090" max="3092" width="0" style="224" hidden="1" customWidth="1"/>
    <col min="3093" max="3093" width="17.375" style="224" customWidth="1"/>
    <col min="3094" max="3325" width="9" style="224"/>
    <col min="3326" max="3326" width="5.125" style="224" customWidth="1"/>
    <col min="3327" max="3327" width="3.625" style="224" customWidth="1"/>
    <col min="3328" max="3328" width="4.125" style="224" customWidth="1"/>
    <col min="3329" max="3329" width="17.375" style="224" customWidth="1"/>
    <col min="3330" max="3330" width="7.5" style="224" customWidth="1"/>
    <col min="3331" max="3331" width="4.5" style="224" customWidth="1"/>
    <col min="3332" max="3332" width="4.875" style="224" customWidth="1"/>
    <col min="3333" max="3333" width="5.125" style="224" customWidth="1"/>
    <col min="3334" max="3334" width="4.25" style="224" customWidth="1"/>
    <col min="3335" max="3335" width="6.375" style="224" customWidth="1"/>
    <col min="3336" max="3336" width="4" style="224" customWidth="1"/>
    <col min="3337" max="3337" width="12.375" style="224" customWidth="1"/>
    <col min="3338" max="3338" width="13.375" style="224" customWidth="1"/>
    <col min="3339" max="3339" width="15.875" style="224" customWidth="1"/>
    <col min="3340" max="3341" width="16.125" style="224" customWidth="1"/>
    <col min="3342" max="3342" width="15.5" style="224" customWidth="1"/>
    <col min="3343" max="3344" width="9" style="224" customWidth="1"/>
    <col min="3345" max="3345" width="6.375" style="224" customWidth="1"/>
    <col min="3346" max="3348" width="0" style="224" hidden="1" customWidth="1"/>
    <col min="3349" max="3349" width="17.375" style="224" customWidth="1"/>
    <col min="3350" max="3581" width="9" style="224"/>
    <col min="3582" max="3582" width="5.125" style="224" customWidth="1"/>
    <col min="3583" max="3583" width="3.625" style="224" customWidth="1"/>
    <col min="3584" max="3584" width="4.125" style="224" customWidth="1"/>
    <col min="3585" max="3585" width="17.375" style="224" customWidth="1"/>
    <col min="3586" max="3586" width="7.5" style="224" customWidth="1"/>
    <col min="3587" max="3587" width="4.5" style="224" customWidth="1"/>
    <col min="3588" max="3588" width="4.875" style="224" customWidth="1"/>
    <col min="3589" max="3589" width="5.125" style="224" customWidth="1"/>
    <col min="3590" max="3590" width="4.25" style="224" customWidth="1"/>
    <col min="3591" max="3591" width="6.375" style="224" customWidth="1"/>
    <col min="3592" max="3592" width="4" style="224" customWidth="1"/>
    <col min="3593" max="3593" width="12.375" style="224" customWidth="1"/>
    <col min="3594" max="3594" width="13.375" style="224" customWidth="1"/>
    <col min="3595" max="3595" width="15.875" style="224" customWidth="1"/>
    <col min="3596" max="3597" width="16.125" style="224" customWidth="1"/>
    <col min="3598" max="3598" width="15.5" style="224" customWidth="1"/>
    <col min="3599" max="3600" width="9" style="224" customWidth="1"/>
    <col min="3601" max="3601" width="6.375" style="224" customWidth="1"/>
    <col min="3602" max="3604" width="0" style="224" hidden="1" customWidth="1"/>
    <col min="3605" max="3605" width="17.375" style="224" customWidth="1"/>
    <col min="3606" max="3837" width="9" style="224"/>
    <col min="3838" max="3838" width="5.125" style="224" customWidth="1"/>
    <col min="3839" max="3839" width="3.625" style="224" customWidth="1"/>
    <col min="3840" max="3840" width="4.125" style="224" customWidth="1"/>
    <col min="3841" max="3841" width="17.375" style="224" customWidth="1"/>
    <col min="3842" max="3842" width="7.5" style="224" customWidth="1"/>
    <col min="3843" max="3843" width="4.5" style="224" customWidth="1"/>
    <col min="3844" max="3844" width="4.875" style="224" customWidth="1"/>
    <col min="3845" max="3845" width="5.125" style="224" customWidth="1"/>
    <col min="3846" max="3846" width="4.25" style="224" customWidth="1"/>
    <col min="3847" max="3847" width="6.375" style="224" customWidth="1"/>
    <col min="3848" max="3848" width="4" style="224" customWidth="1"/>
    <col min="3849" max="3849" width="12.375" style="224" customWidth="1"/>
    <col min="3850" max="3850" width="13.375" style="224" customWidth="1"/>
    <col min="3851" max="3851" width="15.875" style="224" customWidth="1"/>
    <col min="3852" max="3853" width="16.125" style="224" customWidth="1"/>
    <col min="3854" max="3854" width="15.5" style="224" customWidth="1"/>
    <col min="3855" max="3856" width="9" style="224" customWidth="1"/>
    <col min="3857" max="3857" width="6.375" style="224" customWidth="1"/>
    <col min="3858" max="3860" width="0" style="224" hidden="1" customWidth="1"/>
    <col min="3861" max="3861" width="17.375" style="224" customWidth="1"/>
    <col min="3862" max="4093" width="9" style="224"/>
    <col min="4094" max="4094" width="5.125" style="224" customWidth="1"/>
    <col min="4095" max="4095" width="3.625" style="224" customWidth="1"/>
    <col min="4096" max="4096" width="4.125" style="224" customWidth="1"/>
    <col min="4097" max="4097" width="17.375" style="224" customWidth="1"/>
    <col min="4098" max="4098" width="7.5" style="224" customWidth="1"/>
    <col min="4099" max="4099" width="4.5" style="224" customWidth="1"/>
    <col min="4100" max="4100" width="4.875" style="224" customWidth="1"/>
    <col min="4101" max="4101" width="5.125" style="224" customWidth="1"/>
    <col min="4102" max="4102" width="4.25" style="224" customWidth="1"/>
    <col min="4103" max="4103" width="6.375" style="224" customWidth="1"/>
    <col min="4104" max="4104" width="4" style="224" customWidth="1"/>
    <col min="4105" max="4105" width="12.375" style="224" customWidth="1"/>
    <col min="4106" max="4106" width="13.375" style="224" customWidth="1"/>
    <col min="4107" max="4107" width="15.875" style="224" customWidth="1"/>
    <col min="4108" max="4109" width="16.125" style="224" customWidth="1"/>
    <col min="4110" max="4110" width="15.5" style="224" customWidth="1"/>
    <col min="4111" max="4112" width="9" style="224" customWidth="1"/>
    <col min="4113" max="4113" width="6.375" style="224" customWidth="1"/>
    <col min="4114" max="4116" width="0" style="224" hidden="1" customWidth="1"/>
    <col min="4117" max="4117" width="17.375" style="224" customWidth="1"/>
    <col min="4118" max="4349" width="9" style="224"/>
    <col min="4350" max="4350" width="5.125" style="224" customWidth="1"/>
    <col min="4351" max="4351" width="3.625" style="224" customWidth="1"/>
    <col min="4352" max="4352" width="4.125" style="224" customWidth="1"/>
    <col min="4353" max="4353" width="17.375" style="224" customWidth="1"/>
    <col min="4354" max="4354" width="7.5" style="224" customWidth="1"/>
    <col min="4355" max="4355" width="4.5" style="224" customWidth="1"/>
    <col min="4356" max="4356" width="4.875" style="224" customWidth="1"/>
    <col min="4357" max="4357" width="5.125" style="224" customWidth="1"/>
    <col min="4358" max="4358" width="4.25" style="224" customWidth="1"/>
    <col min="4359" max="4359" width="6.375" style="224" customWidth="1"/>
    <col min="4360" max="4360" width="4" style="224" customWidth="1"/>
    <col min="4361" max="4361" width="12.375" style="224" customWidth="1"/>
    <col min="4362" max="4362" width="13.375" style="224" customWidth="1"/>
    <col min="4363" max="4363" width="15.875" style="224" customWidth="1"/>
    <col min="4364" max="4365" width="16.125" style="224" customWidth="1"/>
    <col min="4366" max="4366" width="15.5" style="224" customWidth="1"/>
    <col min="4367" max="4368" width="9" style="224" customWidth="1"/>
    <col min="4369" max="4369" width="6.375" style="224" customWidth="1"/>
    <col min="4370" max="4372" width="0" style="224" hidden="1" customWidth="1"/>
    <col min="4373" max="4373" width="17.375" style="224" customWidth="1"/>
    <col min="4374" max="4605" width="9" style="224"/>
    <col min="4606" max="4606" width="5.125" style="224" customWidth="1"/>
    <col min="4607" max="4607" width="3.625" style="224" customWidth="1"/>
    <col min="4608" max="4608" width="4.125" style="224" customWidth="1"/>
    <col min="4609" max="4609" width="17.375" style="224" customWidth="1"/>
    <col min="4610" max="4610" width="7.5" style="224" customWidth="1"/>
    <col min="4611" max="4611" width="4.5" style="224" customWidth="1"/>
    <col min="4612" max="4612" width="4.875" style="224" customWidth="1"/>
    <col min="4613" max="4613" width="5.125" style="224" customWidth="1"/>
    <col min="4614" max="4614" width="4.25" style="224" customWidth="1"/>
    <col min="4615" max="4615" width="6.375" style="224" customWidth="1"/>
    <col min="4616" max="4616" width="4" style="224" customWidth="1"/>
    <col min="4617" max="4617" width="12.375" style="224" customWidth="1"/>
    <col min="4618" max="4618" width="13.375" style="224" customWidth="1"/>
    <col min="4619" max="4619" width="15.875" style="224" customWidth="1"/>
    <col min="4620" max="4621" width="16.125" style="224" customWidth="1"/>
    <col min="4622" max="4622" width="15.5" style="224" customWidth="1"/>
    <col min="4623" max="4624" width="9" style="224" customWidth="1"/>
    <col min="4625" max="4625" width="6.375" style="224" customWidth="1"/>
    <col min="4626" max="4628" width="0" style="224" hidden="1" customWidth="1"/>
    <col min="4629" max="4629" width="17.375" style="224" customWidth="1"/>
    <col min="4630" max="4861" width="9" style="224"/>
    <col min="4862" max="4862" width="5.125" style="224" customWidth="1"/>
    <col min="4863" max="4863" width="3.625" style="224" customWidth="1"/>
    <col min="4864" max="4864" width="4.125" style="224" customWidth="1"/>
    <col min="4865" max="4865" width="17.375" style="224" customWidth="1"/>
    <col min="4866" max="4866" width="7.5" style="224" customWidth="1"/>
    <col min="4867" max="4867" width="4.5" style="224" customWidth="1"/>
    <col min="4868" max="4868" width="4.875" style="224" customWidth="1"/>
    <col min="4869" max="4869" width="5.125" style="224" customWidth="1"/>
    <col min="4870" max="4870" width="4.25" style="224" customWidth="1"/>
    <col min="4871" max="4871" width="6.375" style="224" customWidth="1"/>
    <col min="4872" max="4872" width="4" style="224" customWidth="1"/>
    <col min="4873" max="4873" width="12.375" style="224" customWidth="1"/>
    <col min="4874" max="4874" width="13.375" style="224" customWidth="1"/>
    <col min="4875" max="4875" width="15.875" style="224" customWidth="1"/>
    <col min="4876" max="4877" width="16.125" style="224" customWidth="1"/>
    <col min="4878" max="4878" width="15.5" style="224" customWidth="1"/>
    <col min="4879" max="4880" width="9" style="224" customWidth="1"/>
    <col min="4881" max="4881" width="6.375" style="224" customWidth="1"/>
    <col min="4882" max="4884" width="0" style="224" hidden="1" customWidth="1"/>
    <col min="4885" max="4885" width="17.375" style="224" customWidth="1"/>
    <col min="4886" max="5117" width="9" style="224"/>
    <col min="5118" max="5118" width="5.125" style="224" customWidth="1"/>
    <col min="5119" max="5119" width="3.625" style="224" customWidth="1"/>
    <col min="5120" max="5120" width="4.125" style="224" customWidth="1"/>
    <col min="5121" max="5121" width="17.375" style="224" customWidth="1"/>
    <col min="5122" max="5122" width="7.5" style="224" customWidth="1"/>
    <col min="5123" max="5123" width="4.5" style="224" customWidth="1"/>
    <col min="5124" max="5124" width="4.875" style="224" customWidth="1"/>
    <col min="5125" max="5125" width="5.125" style="224" customWidth="1"/>
    <col min="5126" max="5126" width="4.25" style="224" customWidth="1"/>
    <col min="5127" max="5127" width="6.375" style="224" customWidth="1"/>
    <col min="5128" max="5128" width="4" style="224" customWidth="1"/>
    <col min="5129" max="5129" width="12.375" style="224" customWidth="1"/>
    <col min="5130" max="5130" width="13.375" style="224" customWidth="1"/>
    <col min="5131" max="5131" width="15.875" style="224" customWidth="1"/>
    <col min="5132" max="5133" width="16.125" style="224" customWidth="1"/>
    <col min="5134" max="5134" width="15.5" style="224" customWidth="1"/>
    <col min="5135" max="5136" width="9" style="224" customWidth="1"/>
    <col min="5137" max="5137" width="6.375" style="224" customWidth="1"/>
    <col min="5138" max="5140" width="0" style="224" hidden="1" customWidth="1"/>
    <col min="5141" max="5141" width="17.375" style="224" customWidth="1"/>
    <col min="5142" max="5373" width="9" style="224"/>
    <col min="5374" max="5374" width="5.125" style="224" customWidth="1"/>
    <col min="5375" max="5375" width="3.625" style="224" customWidth="1"/>
    <col min="5376" max="5376" width="4.125" style="224" customWidth="1"/>
    <col min="5377" max="5377" width="17.375" style="224" customWidth="1"/>
    <col min="5378" max="5378" width="7.5" style="224" customWidth="1"/>
    <col min="5379" max="5379" width="4.5" style="224" customWidth="1"/>
    <col min="5380" max="5380" width="4.875" style="224" customWidth="1"/>
    <col min="5381" max="5381" width="5.125" style="224" customWidth="1"/>
    <col min="5382" max="5382" width="4.25" style="224" customWidth="1"/>
    <col min="5383" max="5383" width="6.375" style="224" customWidth="1"/>
    <col min="5384" max="5384" width="4" style="224" customWidth="1"/>
    <col min="5385" max="5385" width="12.375" style="224" customWidth="1"/>
    <col min="5386" max="5386" width="13.375" style="224" customWidth="1"/>
    <col min="5387" max="5387" width="15.875" style="224" customWidth="1"/>
    <col min="5388" max="5389" width="16.125" style="224" customWidth="1"/>
    <col min="5390" max="5390" width="15.5" style="224" customWidth="1"/>
    <col min="5391" max="5392" width="9" style="224" customWidth="1"/>
    <col min="5393" max="5393" width="6.375" style="224" customWidth="1"/>
    <col min="5394" max="5396" width="0" style="224" hidden="1" customWidth="1"/>
    <col min="5397" max="5397" width="17.375" style="224" customWidth="1"/>
    <col min="5398" max="5629" width="9" style="224"/>
    <col min="5630" max="5630" width="5.125" style="224" customWidth="1"/>
    <col min="5631" max="5631" width="3.625" style="224" customWidth="1"/>
    <col min="5632" max="5632" width="4.125" style="224" customWidth="1"/>
    <col min="5633" max="5633" width="17.375" style="224" customWidth="1"/>
    <col min="5634" max="5634" width="7.5" style="224" customWidth="1"/>
    <col min="5635" max="5635" width="4.5" style="224" customWidth="1"/>
    <col min="5636" max="5636" width="4.875" style="224" customWidth="1"/>
    <col min="5637" max="5637" width="5.125" style="224" customWidth="1"/>
    <col min="5638" max="5638" width="4.25" style="224" customWidth="1"/>
    <col min="5639" max="5639" width="6.375" style="224" customWidth="1"/>
    <col min="5640" max="5640" width="4" style="224" customWidth="1"/>
    <col min="5641" max="5641" width="12.375" style="224" customWidth="1"/>
    <col min="5642" max="5642" width="13.375" style="224" customWidth="1"/>
    <col min="5643" max="5643" width="15.875" style="224" customWidth="1"/>
    <col min="5644" max="5645" width="16.125" style="224" customWidth="1"/>
    <col min="5646" max="5646" width="15.5" style="224" customWidth="1"/>
    <col min="5647" max="5648" width="9" style="224" customWidth="1"/>
    <col min="5649" max="5649" width="6.375" style="224" customWidth="1"/>
    <col min="5650" max="5652" width="0" style="224" hidden="1" customWidth="1"/>
    <col min="5653" max="5653" width="17.375" style="224" customWidth="1"/>
    <col min="5654" max="5885" width="9" style="224"/>
    <col min="5886" max="5886" width="5.125" style="224" customWidth="1"/>
    <col min="5887" max="5887" width="3.625" style="224" customWidth="1"/>
    <col min="5888" max="5888" width="4.125" style="224" customWidth="1"/>
    <col min="5889" max="5889" width="17.375" style="224" customWidth="1"/>
    <col min="5890" max="5890" width="7.5" style="224" customWidth="1"/>
    <col min="5891" max="5891" width="4.5" style="224" customWidth="1"/>
    <col min="5892" max="5892" width="4.875" style="224" customWidth="1"/>
    <col min="5893" max="5893" width="5.125" style="224" customWidth="1"/>
    <col min="5894" max="5894" width="4.25" style="224" customWidth="1"/>
    <col min="5895" max="5895" width="6.375" style="224" customWidth="1"/>
    <col min="5896" max="5896" width="4" style="224" customWidth="1"/>
    <col min="5897" max="5897" width="12.375" style="224" customWidth="1"/>
    <col min="5898" max="5898" width="13.375" style="224" customWidth="1"/>
    <col min="5899" max="5899" width="15.875" style="224" customWidth="1"/>
    <col min="5900" max="5901" width="16.125" style="224" customWidth="1"/>
    <col min="5902" max="5902" width="15.5" style="224" customWidth="1"/>
    <col min="5903" max="5904" width="9" style="224" customWidth="1"/>
    <col min="5905" max="5905" width="6.375" style="224" customWidth="1"/>
    <col min="5906" max="5908" width="0" style="224" hidden="1" customWidth="1"/>
    <col min="5909" max="5909" width="17.375" style="224" customWidth="1"/>
    <col min="5910" max="6141" width="9" style="224"/>
    <col min="6142" max="6142" width="5.125" style="224" customWidth="1"/>
    <col min="6143" max="6143" width="3.625" style="224" customWidth="1"/>
    <col min="6144" max="6144" width="4.125" style="224" customWidth="1"/>
    <col min="6145" max="6145" width="17.375" style="224" customWidth="1"/>
    <col min="6146" max="6146" width="7.5" style="224" customWidth="1"/>
    <col min="6147" max="6147" width="4.5" style="224" customWidth="1"/>
    <col min="6148" max="6148" width="4.875" style="224" customWidth="1"/>
    <col min="6149" max="6149" width="5.125" style="224" customWidth="1"/>
    <col min="6150" max="6150" width="4.25" style="224" customWidth="1"/>
    <col min="6151" max="6151" width="6.375" style="224" customWidth="1"/>
    <col min="6152" max="6152" width="4" style="224" customWidth="1"/>
    <col min="6153" max="6153" width="12.375" style="224" customWidth="1"/>
    <col min="6154" max="6154" width="13.375" style="224" customWidth="1"/>
    <col min="6155" max="6155" width="15.875" style="224" customWidth="1"/>
    <col min="6156" max="6157" width="16.125" style="224" customWidth="1"/>
    <col min="6158" max="6158" width="15.5" style="224" customWidth="1"/>
    <col min="6159" max="6160" width="9" style="224" customWidth="1"/>
    <col min="6161" max="6161" width="6.375" style="224" customWidth="1"/>
    <col min="6162" max="6164" width="0" style="224" hidden="1" customWidth="1"/>
    <col min="6165" max="6165" width="17.375" style="224" customWidth="1"/>
    <col min="6166" max="6397" width="9" style="224"/>
    <col min="6398" max="6398" width="5.125" style="224" customWidth="1"/>
    <col min="6399" max="6399" width="3.625" style="224" customWidth="1"/>
    <col min="6400" max="6400" width="4.125" style="224" customWidth="1"/>
    <col min="6401" max="6401" width="17.375" style="224" customWidth="1"/>
    <col min="6402" max="6402" width="7.5" style="224" customWidth="1"/>
    <col min="6403" max="6403" width="4.5" style="224" customWidth="1"/>
    <col min="6404" max="6404" width="4.875" style="224" customWidth="1"/>
    <col min="6405" max="6405" width="5.125" style="224" customWidth="1"/>
    <col min="6406" max="6406" width="4.25" style="224" customWidth="1"/>
    <col min="6407" max="6407" width="6.375" style="224" customWidth="1"/>
    <col min="6408" max="6408" width="4" style="224" customWidth="1"/>
    <col min="6409" max="6409" width="12.375" style="224" customWidth="1"/>
    <col min="6410" max="6410" width="13.375" style="224" customWidth="1"/>
    <col min="6411" max="6411" width="15.875" style="224" customWidth="1"/>
    <col min="6412" max="6413" width="16.125" style="224" customWidth="1"/>
    <col min="6414" max="6414" width="15.5" style="224" customWidth="1"/>
    <col min="6415" max="6416" width="9" style="224" customWidth="1"/>
    <col min="6417" max="6417" width="6.375" style="224" customWidth="1"/>
    <col min="6418" max="6420" width="0" style="224" hidden="1" customWidth="1"/>
    <col min="6421" max="6421" width="17.375" style="224" customWidth="1"/>
    <col min="6422" max="6653" width="9" style="224"/>
    <col min="6654" max="6654" width="5.125" style="224" customWidth="1"/>
    <col min="6655" max="6655" width="3.625" style="224" customWidth="1"/>
    <col min="6656" max="6656" width="4.125" style="224" customWidth="1"/>
    <col min="6657" max="6657" width="17.375" style="224" customWidth="1"/>
    <col min="6658" max="6658" width="7.5" style="224" customWidth="1"/>
    <col min="6659" max="6659" width="4.5" style="224" customWidth="1"/>
    <col min="6660" max="6660" width="4.875" style="224" customWidth="1"/>
    <col min="6661" max="6661" width="5.125" style="224" customWidth="1"/>
    <col min="6662" max="6662" width="4.25" style="224" customWidth="1"/>
    <col min="6663" max="6663" width="6.375" style="224" customWidth="1"/>
    <col min="6664" max="6664" width="4" style="224" customWidth="1"/>
    <col min="6665" max="6665" width="12.375" style="224" customWidth="1"/>
    <col min="6666" max="6666" width="13.375" style="224" customWidth="1"/>
    <col min="6667" max="6667" width="15.875" style="224" customWidth="1"/>
    <col min="6668" max="6669" width="16.125" style="224" customWidth="1"/>
    <col min="6670" max="6670" width="15.5" style="224" customWidth="1"/>
    <col min="6671" max="6672" width="9" style="224" customWidth="1"/>
    <col min="6673" max="6673" width="6.375" style="224" customWidth="1"/>
    <col min="6674" max="6676" width="0" style="224" hidden="1" customWidth="1"/>
    <col min="6677" max="6677" width="17.375" style="224" customWidth="1"/>
    <col min="6678" max="6909" width="9" style="224"/>
    <col min="6910" max="6910" width="5.125" style="224" customWidth="1"/>
    <col min="6911" max="6911" width="3.625" style="224" customWidth="1"/>
    <col min="6912" max="6912" width="4.125" style="224" customWidth="1"/>
    <col min="6913" max="6913" width="17.375" style="224" customWidth="1"/>
    <col min="6914" max="6914" width="7.5" style="224" customWidth="1"/>
    <col min="6915" max="6915" width="4.5" style="224" customWidth="1"/>
    <col min="6916" max="6916" width="4.875" style="224" customWidth="1"/>
    <col min="6917" max="6917" width="5.125" style="224" customWidth="1"/>
    <col min="6918" max="6918" width="4.25" style="224" customWidth="1"/>
    <col min="6919" max="6919" width="6.375" style="224" customWidth="1"/>
    <col min="6920" max="6920" width="4" style="224" customWidth="1"/>
    <col min="6921" max="6921" width="12.375" style="224" customWidth="1"/>
    <col min="6922" max="6922" width="13.375" style="224" customWidth="1"/>
    <col min="6923" max="6923" width="15.875" style="224" customWidth="1"/>
    <col min="6924" max="6925" width="16.125" style="224" customWidth="1"/>
    <col min="6926" max="6926" width="15.5" style="224" customWidth="1"/>
    <col min="6927" max="6928" width="9" style="224" customWidth="1"/>
    <col min="6929" max="6929" width="6.375" style="224" customWidth="1"/>
    <col min="6930" max="6932" width="0" style="224" hidden="1" customWidth="1"/>
    <col min="6933" max="6933" width="17.375" style="224" customWidth="1"/>
    <col min="6934" max="7165" width="9" style="224"/>
    <col min="7166" max="7166" width="5.125" style="224" customWidth="1"/>
    <col min="7167" max="7167" width="3.625" style="224" customWidth="1"/>
    <col min="7168" max="7168" width="4.125" style="224" customWidth="1"/>
    <col min="7169" max="7169" width="17.375" style="224" customWidth="1"/>
    <col min="7170" max="7170" width="7.5" style="224" customWidth="1"/>
    <col min="7171" max="7171" width="4.5" style="224" customWidth="1"/>
    <col min="7172" max="7172" width="4.875" style="224" customWidth="1"/>
    <col min="7173" max="7173" width="5.125" style="224" customWidth="1"/>
    <col min="7174" max="7174" width="4.25" style="224" customWidth="1"/>
    <col min="7175" max="7175" width="6.375" style="224" customWidth="1"/>
    <col min="7176" max="7176" width="4" style="224" customWidth="1"/>
    <col min="7177" max="7177" width="12.375" style="224" customWidth="1"/>
    <col min="7178" max="7178" width="13.375" style="224" customWidth="1"/>
    <col min="7179" max="7179" width="15.875" style="224" customWidth="1"/>
    <col min="7180" max="7181" width="16.125" style="224" customWidth="1"/>
    <col min="7182" max="7182" width="15.5" style="224" customWidth="1"/>
    <col min="7183" max="7184" width="9" style="224" customWidth="1"/>
    <col min="7185" max="7185" width="6.375" style="224" customWidth="1"/>
    <col min="7186" max="7188" width="0" style="224" hidden="1" customWidth="1"/>
    <col min="7189" max="7189" width="17.375" style="224" customWidth="1"/>
    <col min="7190" max="7421" width="9" style="224"/>
    <col min="7422" max="7422" width="5.125" style="224" customWidth="1"/>
    <col min="7423" max="7423" width="3.625" style="224" customWidth="1"/>
    <col min="7424" max="7424" width="4.125" style="224" customWidth="1"/>
    <col min="7425" max="7425" width="17.375" style="224" customWidth="1"/>
    <col min="7426" max="7426" width="7.5" style="224" customWidth="1"/>
    <col min="7427" max="7427" width="4.5" style="224" customWidth="1"/>
    <col min="7428" max="7428" width="4.875" style="224" customWidth="1"/>
    <col min="7429" max="7429" width="5.125" style="224" customWidth="1"/>
    <col min="7430" max="7430" width="4.25" style="224" customWidth="1"/>
    <col min="7431" max="7431" width="6.375" style="224" customWidth="1"/>
    <col min="7432" max="7432" width="4" style="224" customWidth="1"/>
    <col min="7433" max="7433" width="12.375" style="224" customWidth="1"/>
    <col min="7434" max="7434" width="13.375" style="224" customWidth="1"/>
    <col min="7435" max="7435" width="15.875" style="224" customWidth="1"/>
    <col min="7436" max="7437" width="16.125" style="224" customWidth="1"/>
    <col min="7438" max="7438" width="15.5" style="224" customWidth="1"/>
    <col min="7439" max="7440" width="9" style="224" customWidth="1"/>
    <col min="7441" max="7441" width="6.375" style="224" customWidth="1"/>
    <col min="7442" max="7444" width="0" style="224" hidden="1" customWidth="1"/>
    <col min="7445" max="7445" width="17.375" style="224" customWidth="1"/>
    <col min="7446" max="7677" width="9" style="224"/>
    <col min="7678" max="7678" width="5.125" style="224" customWidth="1"/>
    <col min="7679" max="7679" width="3.625" style="224" customWidth="1"/>
    <col min="7680" max="7680" width="4.125" style="224" customWidth="1"/>
    <col min="7681" max="7681" width="17.375" style="224" customWidth="1"/>
    <col min="7682" max="7682" width="7.5" style="224" customWidth="1"/>
    <col min="7683" max="7683" width="4.5" style="224" customWidth="1"/>
    <col min="7684" max="7684" width="4.875" style="224" customWidth="1"/>
    <col min="7685" max="7685" width="5.125" style="224" customWidth="1"/>
    <col min="7686" max="7686" width="4.25" style="224" customWidth="1"/>
    <col min="7687" max="7687" width="6.375" style="224" customWidth="1"/>
    <col min="7688" max="7688" width="4" style="224" customWidth="1"/>
    <col min="7689" max="7689" width="12.375" style="224" customWidth="1"/>
    <col min="7690" max="7690" width="13.375" style="224" customWidth="1"/>
    <col min="7691" max="7691" width="15.875" style="224" customWidth="1"/>
    <col min="7692" max="7693" width="16.125" style="224" customWidth="1"/>
    <col min="7694" max="7694" width="15.5" style="224" customWidth="1"/>
    <col min="7695" max="7696" width="9" style="224" customWidth="1"/>
    <col min="7697" max="7697" width="6.375" style="224" customWidth="1"/>
    <col min="7698" max="7700" width="0" style="224" hidden="1" customWidth="1"/>
    <col min="7701" max="7701" width="17.375" style="224" customWidth="1"/>
    <col min="7702" max="7933" width="9" style="224"/>
    <col min="7934" max="7934" width="5.125" style="224" customWidth="1"/>
    <col min="7935" max="7935" width="3.625" style="224" customWidth="1"/>
    <col min="7936" max="7936" width="4.125" style="224" customWidth="1"/>
    <col min="7937" max="7937" width="17.375" style="224" customWidth="1"/>
    <col min="7938" max="7938" width="7.5" style="224" customWidth="1"/>
    <col min="7939" max="7939" width="4.5" style="224" customWidth="1"/>
    <col min="7940" max="7940" width="4.875" style="224" customWidth="1"/>
    <col min="7941" max="7941" width="5.125" style="224" customWidth="1"/>
    <col min="7942" max="7942" width="4.25" style="224" customWidth="1"/>
    <col min="7943" max="7943" width="6.375" style="224" customWidth="1"/>
    <col min="7944" max="7944" width="4" style="224" customWidth="1"/>
    <col min="7945" max="7945" width="12.375" style="224" customWidth="1"/>
    <col min="7946" max="7946" width="13.375" style="224" customWidth="1"/>
    <col min="7947" max="7947" width="15.875" style="224" customWidth="1"/>
    <col min="7948" max="7949" width="16.125" style="224" customWidth="1"/>
    <col min="7950" max="7950" width="15.5" style="224" customWidth="1"/>
    <col min="7951" max="7952" width="9" style="224" customWidth="1"/>
    <col min="7953" max="7953" width="6.375" style="224" customWidth="1"/>
    <col min="7954" max="7956" width="0" style="224" hidden="1" customWidth="1"/>
    <col min="7957" max="7957" width="17.375" style="224" customWidth="1"/>
    <col min="7958" max="8189" width="9" style="224"/>
    <col min="8190" max="8190" width="5.125" style="224" customWidth="1"/>
    <col min="8191" max="8191" width="3.625" style="224" customWidth="1"/>
    <col min="8192" max="8192" width="4.125" style="224" customWidth="1"/>
    <col min="8193" max="8193" width="17.375" style="224" customWidth="1"/>
    <col min="8194" max="8194" width="7.5" style="224" customWidth="1"/>
    <col min="8195" max="8195" width="4.5" style="224" customWidth="1"/>
    <col min="8196" max="8196" width="4.875" style="224" customWidth="1"/>
    <col min="8197" max="8197" width="5.125" style="224" customWidth="1"/>
    <col min="8198" max="8198" width="4.25" style="224" customWidth="1"/>
    <col min="8199" max="8199" width="6.375" style="224" customWidth="1"/>
    <col min="8200" max="8200" width="4" style="224" customWidth="1"/>
    <col min="8201" max="8201" width="12.375" style="224" customWidth="1"/>
    <col min="8202" max="8202" width="13.375" style="224" customWidth="1"/>
    <col min="8203" max="8203" width="15.875" style="224" customWidth="1"/>
    <col min="8204" max="8205" width="16.125" style="224" customWidth="1"/>
    <col min="8206" max="8206" width="15.5" style="224" customWidth="1"/>
    <col min="8207" max="8208" width="9" style="224" customWidth="1"/>
    <col min="8209" max="8209" width="6.375" style="224" customWidth="1"/>
    <col min="8210" max="8212" width="0" style="224" hidden="1" customWidth="1"/>
    <col min="8213" max="8213" width="17.375" style="224" customWidth="1"/>
    <col min="8214" max="8445" width="9" style="224"/>
    <col min="8446" max="8446" width="5.125" style="224" customWidth="1"/>
    <col min="8447" max="8447" width="3.625" style="224" customWidth="1"/>
    <col min="8448" max="8448" width="4.125" style="224" customWidth="1"/>
    <col min="8449" max="8449" width="17.375" style="224" customWidth="1"/>
    <col min="8450" max="8450" width="7.5" style="224" customWidth="1"/>
    <col min="8451" max="8451" width="4.5" style="224" customWidth="1"/>
    <col min="8452" max="8452" width="4.875" style="224" customWidth="1"/>
    <col min="8453" max="8453" width="5.125" style="224" customWidth="1"/>
    <col min="8454" max="8454" width="4.25" style="224" customWidth="1"/>
    <col min="8455" max="8455" width="6.375" style="224" customWidth="1"/>
    <col min="8456" max="8456" width="4" style="224" customWidth="1"/>
    <col min="8457" max="8457" width="12.375" style="224" customWidth="1"/>
    <col min="8458" max="8458" width="13.375" style="224" customWidth="1"/>
    <col min="8459" max="8459" width="15.875" style="224" customWidth="1"/>
    <col min="8460" max="8461" width="16.125" style="224" customWidth="1"/>
    <col min="8462" max="8462" width="15.5" style="224" customWidth="1"/>
    <col min="8463" max="8464" width="9" style="224" customWidth="1"/>
    <col min="8465" max="8465" width="6.375" style="224" customWidth="1"/>
    <col min="8466" max="8468" width="0" style="224" hidden="1" customWidth="1"/>
    <col min="8469" max="8469" width="17.375" style="224" customWidth="1"/>
    <col min="8470" max="8701" width="9" style="224"/>
    <col min="8702" max="8702" width="5.125" style="224" customWidth="1"/>
    <col min="8703" max="8703" width="3.625" style="224" customWidth="1"/>
    <col min="8704" max="8704" width="4.125" style="224" customWidth="1"/>
    <col min="8705" max="8705" width="17.375" style="224" customWidth="1"/>
    <col min="8706" max="8706" width="7.5" style="224" customWidth="1"/>
    <col min="8707" max="8707" width="4.5" style="224" customWidth="1"/>
    <col min="8708" max="8708" width="4.875" style="224" customWidth="1"/>
    <col min="8709" max="8709" width="5.125" style="224" customWidth="1"/>
    <col min="8710" max="8710" width="4.25" style="224" customWidth="1"/>
    <col min="8711" max="8711" width="6.375" style="224" customWidth="1"/>
    <col min="8712" max="8712" width="4" style="224" customWidth="1"/>
    <col min="8713" max="8713" width="12.375" style="224" customWidth="1"/>
    <col min="8714" max="8714" width="13.375" style="224" customWidth="1"/>
    <col min="8715" max="8715" width="15.875" style="224" customWidth="1"/>
    <col min="8716" max="8717" width="16.125" style="224" customWidth="1"/>
    <col min="8718" max="8718" width="15.5" style="224" customWidth="1"/>
    <col min="8719" max="8720" width="9" style="224" customWidth="1"/>
    <col min="8721" max="8721" width="6.375" style="224" customWidth="1"/>
    <col min="8722" max="8724" width="0" style="224" hidden="1" customWidth="1"/>
    <col min="8725" max="8725" width="17.375" style="224" customWidth="1"/>
    <col min="8726" max="8957" width="9" style="224"/>
    <col min="8958" max="8958" width="5.125" style="224" customWidth="1"/>
    <col min="8959" max="8959" width="3.625" style="224" customWidth="1"/>
    <col min="8960" max="8960" width="4.125" style="224" customWidth="1"/>
    <col min="8961" max="8961" width="17.375" style="224" customWidth="1"/>
    <col min="8962" max="8962" width="7.5" style="224" customWidth="1"/>
    <col min="8963" max="8963" width="4.5" style="224" customWidth="1"/>
    <col min="8964" max="8964" width="4.875" style="224" customWidth="1"/>
    <col min="8965" max="8965" width="5.125" style="224" customWidth="1"/>
    <col min="8966" max="8966" width="4.25" style="224" customWidth="1"/>
    <col min="8967" max="8967" width="6.375" style="224" customWidth="1"/>
    <col min="8968" max="8968" width="4" style="224" customWidth="1"/>
    <col min="8969" max="8969" width="12.375" style="224" customWidth="1"/>
    <col min="8970" max="8970" width="13.375" style="224" customWidth="1"/>
    <col min="8971" max="8971" width="15.875" style="224" customWidth="1"/>
    <col min="8972" max="8973" width="16.125" style="224" customWidth="1"/>
    <col min="8974" max="8974" width="15.5" style="224" customWidth="1"/>
    <col min="8975" max="8976" width="9" style="224" customWidth="1"/>
    <col min="8977" max="8977" width="6.375" style="224" customWidth="1"/>
    <col min="8978" max="8980" width="0" style="224" hidden="1" customWidth="1"/>
    <col min="8981" max="8981" width="17.375" style="224" customWidth="1"/>
    <col min="8982" max="9213" width="9" style="224"/>
    <col min="9214" max="9214" width="5.125" style="224" customWidth="1"/>
    <col min="9215" max="9215" width="3.625" style="224" customWidth="1"/>
    <col min="9216" max="9216" width="4.125" style="224" customWidth="1"/>
    <col min="9217" max="9217" width="17.375" style="224" customWidth="1"/>
    <col min="9218" max="9218" width="7.5" style="224" customWidth="1"/>
    <col min="9219" max="9219" width="4.5" style="224" customWidth="1"/>
    <col min="9220" max="9220" width="4.875" style="224" customWidth="1"/>
    <col min="9221" max="9221" width="5.125" style="224" customWidth="1"/>
    <col min="9222" max="9222" width="4.25" style="224" customWidth="1"/>
    <col min="9223" max="9223" width="6.375" style="224" customWidth="1"/>
    <col min="9224" max="9224" width="4" style="224" customWidth="1"/>
    <col min="9225" max="9225" width="12.375" style="224" customWidth="1"/>
    <col min="9226" max="9226" width="13.375" style="224" customWidth="1"/>
    <col min="9227" max="9227" width="15.875" style="224" customWidth="1"/>
    <col min="9228" max="9229" width="16.125" style="224" customWidth="1"/>
    <col min="9230" max="9230" width="15.5" style="224" customWidth="1"/>
    <col min="9231" max="9232" width="9" style="224" customWidth="1"/>
    <col min="9233" max="9233" width="6.375" style="224" customWidth="1"/>
    <col min="9234" max="9236" width="0" style="224" hidden="1" customWidth="1"/>
    <col min="9237" max="9237" width="17.375" style="224" customWidth="1"/>
    <col min="9238" max="9469" width="9" style="224"/>
    <col min="9470" max="9470" width="5.125" style="224" customWidth="1"/>
    <col min="9471" max="9471" width="3.625" style="224" customWidth="1"/>
    <col min="9472" max="9472" width="4.125" style="224" customWidth="1"/>
    <col min="9473" max="9473" width="17.375" style="224" customWidth="1"/>
    <col min="9474" max="9474" width="7.5" style="224" customWidth="1"/>
    <col min="9475" max="9475" width="4.5" style="224" customWidth="1"/>
    <col min="9476" max="9476" width="4.875" style="224" customWidth="1"/>
    <col min="9477" max="9477" width="5.125" style="224" customWidth="1"/>
    <col min="9478" max="9478" width="4.25" style="224" customWidth="1"/>
    <col min="9479" max="9479" width="6.375" style="224" customWidth="1"/>
    <col min="9480" max="9480" width="4" style="224" customWidth="1"/>
    <col min="9481" max="9481" width="12.375" style="224" customWidth="1"/>
    <col min="9482" max="9482" width="13.375" style="224" customWidth="1"/>
    <col min="9483" max="9483" width="15.875" style="224" customWidth="1"/>
    <col min="9484" max="9485" width="16.125" style="224" customWidth="1"/>
    <col min="9486" max="9486" width="15.5" style="224" customWidth="1"/>
    <col min="9487" max="9488" width="9" style="224" customWidth="1"/>
    <col min="9489" max="9489" width="6.375" style="224" customWidth="1"/>
    <col min="9490" max="9492" width="0" style="224" hidden="1" customWidth="1"/>
    <col min="9493" max="9493" width="17.375" style="224" customWidth="1"/>
    <col min="9494" max="9725" width="9" style="224"/>
    <col min="9726" max="9726" width="5.125" style="224" customWidth="1"/>
    <col min="9727" max="9727" width="3.625" style="224" customWidth="1"/>
    <col min="9728" max="9728" width="4.125" style="224" customWidth="1"/>
    <col min="9729" max="9729" width="17.375" style="224" customWidth="1"/>
    <col min="9730" max="9730" width="7.5" style="224" customWidth="1"/>
    <col min="9731" max="9731" width="4.5" style="224" customWidth="1"/>
    <col min="9732" max="9732" width="4.875" style="224" customWidth="1"/>
    <col min="9733" max="9733" width="5.125" style="224" customWidth="1"/>
    <col min="9734" max="9734" width="4.25" style="224" customWidth="1"/>
    <col min="9735" max="9735" width="6.375" style="224" customWidth="1"/>
    <col min="9736" max="9736" width="4" style="224" customWidth="1"/>
    <col min="9737" max="9737" width="12.375" style="224" customWidth="1"/>
    <col min="9738" max="9738" width="13.375" style="224" customWidth="1"/>
    <col min="9739" max="9739" width="15.875" style="224" customWidth="1"/>
    <col min="9740" max="9741" width="16.125" style="224" customWidth="1"/>
    <col min="9742" max="9742" width="15.5" style="224" customWidth="1"/>
    <col min="9743" max="9744" width="9" style="224" customWidth="1"/>
    <col min="9745" max="9745" width="6.375" style="224" customWidth="1"/>
    <col min="9746" max="9748" width="0" style="224" hidden="1" customWidth="1"/>
    <col min="9749" max="9749" width="17.375" style="224" customWidth="1"/>
    <col min="9750" max="9981" width="9" style="224"/>
    <col min="9982" max="9982" width="5.125" style="224" customWidth="1"/>
    <col min="9983" max="9983" width="3.625" style="224" customWidth="1"/>
    <col min="9984" max="9984" width="4.125" style="224" customWidth="1"/>
    <col min="9985" max="9985" width="17.375" style="224" customWidth="1"/>
    <col min="9986" max="9986" width="7.5" style="224" customWidth="1"/>
    <col min="9987" max="9987" width="4.5" style="224" customWidth="1"/>
    <col min="9988" max="9988" width="4.875" style="224" customWidth="1"/>
    <col min="9989" max="9989" width="5.125" style="224" customWidth="1"/>
    <col min="9990" max="9990" width="4.25" style="224" customWidth="1"/>
    <col min="9991" max="9991" width="6.375" style="224" customWidth="1"/>
    <col min="9992" max="9992" width="4" style="224" customWidth="1"/>
    <col min="9993" max="9993" width="12.375" style="224" customWidth="1"/>
    <col min="9994" max="9994" width="13.375" style="224" customWidth="1"/>
    <col min="9995" max="9995" width="15.875" style="224" customWidth="1"/>
    <col min="9996" max="9997" width="16.125" style="224" customWidth="1"/>
    <col min="9998" max="9998" width="15.5" style="224" customWidth="1"/>
    <col min="9999" max="10000" width="9" style="224" customWidth="1"/>
    <col min="10001" max="10001" width="6.375" style="224" customWidth="1"/>
    <col min="10002" max="10004" width="0" style="224" hidden="1" customWidth="1"/>
    <col min="10005" max="10005" width="17.375" style="224" customWidth="1"/>
    <col min="10006" max="10237" width="9" style="224"/>
    <col min="10238" max="10238" width="5.125" style="224" customWidth="1"/>
    <col min="10239" max="10239" width="3.625" style="224" customWidth="1"/>
    <col min="10240" max="10240" width="4.125" style="224" customWidth="1"/>
    <col min="10241" max="10241" width="17.375" style="224" customWidth="1"/>
    <col min="10242" max="10242" width="7.5" style="224" customWidth="1"/>
    <col min="10243" max="10243" width="4.5" style="224" customWidth="1"/>
    <col min="10244" max="10244" width="4.875" style="224" customWidth="1"/>
    <col min="10245" max="10245" width="5.125" style="224" customWidth="1"/>
    <col min="10246" max="10246" width="4.25" style="224" customWidth="1"/>
    <col min="10247" max="10247" width="6.375" style="224" customWidth="1"/>
    <col min="10248" max="10248" width="4" style="224" customWidth="1"/>
    <col min="10249" max="10249" width="12.375" style="224" customWidth="1"/>
    <col min="10250" max="10250" width="13.375" style="224" customWidth="1"/>
    <col min="10251" max="10251" width="15.875" style="224" customWidth="1"/>
    <col min="10252" max="10253" width="16.125" style="224" customWidth="1"/>
    <col min="10254" max="10254" width="15.5" style="224" customWidth="1"/>
    <col min="10255" max="10256" width="9" style="224" customWidth="1"/>
    <col min="10257" max="10257" width="6.375" style="224" customWidth="1"/>
    <col min="10258" max="10260" width="0" style="224" hidden="1" customWidth="1"/>
    <col min="10261" max="10261" width="17.375" style="224" customWidth="1"/>
    <col min="10262" max="10493" width="9" style="224"/>
    <col min="10494" max="10494" width="5.125" style="224" customWidth="1"/>
    <col min="10495" max="10495" width="3.625" style="224" customWidth="1"/>
    <col min="10496" max="10496" width="4.125" style="224" customWidth="1"/>
    <col min="10497" max="10497" width="17.375" style="224" customWidth="1"/>
    <col min="10498" max="10498" width="7.5" style="224" customWidth="1"/>
    <col min="10499" max="10499" width="4.5" style="224" customWidth="1"/>
    <col min="10500" max="10500" width="4.875" style="224" customWidth="1"/>
    <col min="10501" max="10501" width="5.125" style="224" customWidth="1"/>
    <col min="10502" max="10502" width="4.25" style="224" customWidth="1"/>
    <col min="10503" max="10503" width="6.375" style="224" customWidth="1"/>
    <col min="10504" max="10504" width="4" style="224" customWidth="1"/>
    <col min="10505" max="10505" width="12.375" style="224" customWidth="1"/>
    <col min="10506" max="10506" width="13.375" style="224" customWidth="1"/>
    <col min="10507" max="10507" width="15.875" style="224" customWidth="1"/>
    <col min="10508" max="10509" width="16.125" style="224" customWidth="1"/>
    <col min="10510" max="10510" width="15.5" style="224" customWidth="1"/>
    <col min="10511" max="10512" width="9" style="224" customWidth="1"/>
    <col min="10513" max="10513" width="6.375" style="224" customWidth="1"/>
    <col min="10514" max="10516" width="0" style="224" hidden="1" customWidth="1"/>
    <col min="10517" max="10517" width="17.375" style="224" customWidth="1"/>
    <col min="10518" max="10749" width="9" style="224"/>
    <col min="10750" max="10750" width="5.125" style="224" customWidth="1"/>
    <col min="10751" max="10751" width="3.625" style="224" customWidth="1"/>
    <col min="10752" max="10752" width="4.125" style="224" customWidth="1"/>
    <col min="10753" max="10753" width="17.375" style="224" customWidth="1"/>
    <col min="10754" max="10754" width="7.5" style="224" customWidth="1"/>
    <col min="10755" max="10755" width="4.5" style="224" customWidth="1"/>
    <col min="10756" max="10756" width="4.875" style="224" customWidth="1"/>
    <col min="10757" max="10757" width="5.125" style="224" customWidth="1"/>
    <col min="10758" max="10758" width="4.25" style="224" customWidth="1"/>
    <col min="10759" max="10759" width="6.375" style="224" customWidth="1"/>
    <col min="10760" max="10760" width="4" style="224" customWidth="1"/>
    <col min="10761" max="10761" width="12.375" style="224" customWidth="1"/>
    <col min="10762" max="10762" width="13.375" style="224" customWidth="1"/>
    <col min="10763" max="10763" width="15.875" style="224" customWidth="1"/>
    <col min="10764" max="10765" width="16.125" style="224" customWidth="1"/>
    <col min="10766" max="10766" width="15.5" style="224" customWidth="1"/>
    <col min="10767" max="10768" width="9" style="224" customWidth="1"/>
    <col min="10769" max="10769" width="6.375" style="224" customWidth="1"/>
    <col min="10770" max="10772" width="0" style="224" hidden="1" customWidth="1"/>
    <col min="10773" max="10773" width="17.375" style="224" customWidth="1"/>
    <col min="10774" max="11005" width="9" style="224"/>
    <col min="11006" max="11006" width="5.125" style="224" customWidth="1"/>
    <col min="11007" max="11007" width="3.625" style="224" customWidth="1"/>
    <col min="11008" max="11008" width="4.125" style="224" customWidth="1"/>
    <col min="11009" max="11009" width="17.375" style="224" customWidth="1"/>
    <col min="11010" max="11010" width="7.5" style="224" customWidth="1"/>
    <col min="11011" max="11011" width="4.5" style="224" customWidth="1"/>
    <col min="11012" max="11012" width="4.875" style="224" customWidth="1"/>
    <col min="11013" max="11013" width="5.125" style="224" customWidth="1"/>
    <col min="11014" max="11014" width="4.25" style="224" customWidth="1"/>
    <col min="11015" max="11015" width="6.375" style="224" customWidth="1"/>
    <col min="11016" max="11016" width="4" style="224" customWidth="1"/>
    <col min="11017" max="11017" width="12.375" style="224" customWidth="1"/>
    <col min="11018" max="11018" width="13.375" style="224" customWidth="1"/>
    <col min="11019" max="11019" width="15.875" style="224" customWidth="1"/>
    <col min="11020" max="11021" width="16.125" style="224" customWidth="1"/>
    <col min="11022" max="11022" width="15.5" style="224" customWidth="1"/>
    <col min="11023" max="11024" width="9" style="224" customWidth="1"/>
    <col min="11025" max="11025" width="6.375" style="224" customWidth="1"/>
    <col min="11026" max="11028" width="0" style="224" hidden="1" customWidth="1"/>
    <col min="11029" max="11029" width="17.375" style="224" customWidth="1"/>
    <col min="11030" max="11261" width="9" style="224"/>
    <col min="11262" max="11262" width="5.125" style="224" customWidth="1"/>
    <col min="11263" max="11263" width="3.625" style="224" customWidth="1"/>
    <col min="11264" max="11264" width="4.125" style="224" customWidth="1"/>
    <col min="11265" max="11265" width="17.375" style="224" customWidth="1"/>
    <col min="11266" max="11266" width="7.5" style="224" customWidth="1"/>
    <col min="11267" max="11267" width="4.5" style="224" customWidth="1"/>
    <col min="11268" max="11268" width="4.875" style="224" customWidth="1"/>
    <col min="11269" max="11269" width="5.125" style="224" customWidth="1"/>
    <col min="11270" max="11270" width="4.25" style="224" customWidth="1"/>
    <col min="11271" max="11271" width="6.375" style="224" customWidth="1"/>
    <col min="11272" max="11272" width="4" style="224" customWidth="1"/>
    <col min="11273" max="11273" width="12.375" style="224" customWidth="1"/>
    <col min="11274" max="11274" width="13.375" style="224" customWidth="1"/>
    <col min="11275" max="11275" width="15.875" style="224" customWidth="1"/>
    <col min="11276" max="11277" width="16.125" style="224" customWidth="1"/>
    <col min="11278" max="11278" width="15.5" style="224" customWidth="1"/>
    <col min="11279" max="11280" width="9" style="224" customWidth="1"/>
    <col min="11281" max="11281" width="6.375" style="224" customWidth="1"/>
    <col min="11282" max="11284" width="0" style="224" hidden="1" customWidth="1"/>
    <col min="11285" max="11285" width="17.375" style="224" customWidth="1"/>
    <col min="11286" max="11517" width="9" style="224"/>
    <col min="11518" max="11518" width="5.125" style="224" customWidth="1"/>
    <col min="11519" max="11519" width="3.625" style="224" customWidth="1"/>
    <col min="11520" max="11520" width="4.125" style="224" customWidth="1"/>
    <col min="11521" max="11521" width="17.375" style="224" customWidth="1"/>
    <col min="11522" max="11522" width="7.5" style="224" customWidth="1"/>
    <col min="11523" max="11523" width="4.5" style="224" customWidth="1"/>
    <col min="11524" max="11524" width="4.875" style="224" customWidth="1"/>
    <col min="11525" max="11525" width="5.125" style="224" customWidth="1"/>
    <col min="11526" max="11526" width="4.25" style="224" customWidth="1"/>
    <col min="11527" max="11527" width="6.375" style="224" customWidth="1"/>
    <col min="11528" max="11528" width="4" style="224" customWidth="1"/>
    <col min="11529" max="11529" width="12.375" style="224" customWidth="1"/>
    <col min="11530" max="11530" width="13.375" style="224" customWidth="1"/>
    <col min="11531" max="11531" width="15.875" style="224" customWidth="1"/>
    <col min="11532" max="11533" width="16.125" style="224" customWidth="1"/>
    <col min="11534" max="11534" width="15.5" style="224" customWidth="1"/>
    <col min="11535" max="11536" width="9" style="224" customWidth="1"/>
    <col min="11537" max="11537" width="6.375" style="224" customWidth="1"/>
    <col min="11538" max="11540" width="0" style="224" hidden="1" customWidth="1"/>
    <col min="11541" max="11541" width="17.375" style="224" customWidth="1"/>
    <col min="11542" max="11773" width="9" style="224"/>
    <col min="11774" max="11774" width="5.125" style="224" customWidth="1"/>
    <col min="11775" max="11775" width="3.625" style="224" customWidth="1"/>
    <col min="11776" max="11776" width="4.125" style="224" customWidth="1"/>
    <col min="11777" max="11777" width="17.375" style="224" customWidth="1"/>
    <col min="11778" max="11778" width="7.5" style="224" customWidth="1"/>
    <col min="11779" max="11779" width="4.5" style="224" customWidth="1"/>
    <col min="11780" max="11780" width="4.875" style="224" customWidth="1"/>
    <col min="11781" max="11781" width="5.125" style="224" customWidth="1"/>
    <col min="11782" max="11782" width="4.25" style="224" customWidth="1"/>
    <col min="11783" max="11783" width="6.375" style="224" customWidth="1"/>
    <col min="11784" max="11784" width="4" style="224" customWidth="1"/>
    <col min="11785" max="11785" width="12.375" style="224" customWidth="1"/>
    <col min="11786" max="11786" width="13.375" style="224" customWidth="1"/>
    <col min="11787" max="11787" width="15.875" style="224" customWidth="1"/>
    <col min="11788" max="11789" width="16.125" style="224" customWidth="1"/>
    <col min="11790" max="11790" width="15.5" style="224" customWidth="1"/>
    <col min="11791" max="11792" width="9" style="224" customWidth="1"/>
    <col min="11793" max="11793" width="6.375" style="224" customWidth="1"/>
    <col min="11794" max="11796" width="0" style="224" hidden="1" customWidth="1"/>
    <col min="11797" max="11797" width="17.375" style="224" customWidth="1"/>
    <col min="11798" max="12029" width="9" style="224"/>
    <col min="12030" max="12030" width="5.125" style="224" customWidth="1"/>
    <col min="12031" max="12031" width="3.625" style="224" customWidth="1"/>
    <col min="12032" max="12032" width="4.125" style="224" customWidth="1"/>
    <col min="12033" max="12033" width="17.375" style="224" customWidth="1"/>
    <col min="12034" max="12034" width="7.5" style="224" customWidth="1"/>
    <col min="12035" max="12035" width="4.5" style="224" customWidth="1"/>
    <col min="12036" max="12036" width="4.875" style="224" customWidth="1"/>
    <col min="12037" max="12037" width="5.125" style="224" customWidth="1"/>
    <col min="12038" max="12038" width="4.25" style="224" customWidth="1"/>
    <col min="12039" max="12039" width="6.375" style="224" customWidth="1"/>
    <col min="12040" max="12040" width="4" style="224" customWidth="1"/>
    <col min="12041" max="12041" width="12.375" style="224" customWidth="1"/>
    <col min="12042" max="12042" width="13.375" style="224" customWidth="1"/>
    <col min="12043" max="12043" width="15.875" style="224" customWidth="1"/>
    <col min="12044" max="12045" width="16.125" style="224" customWidth="1"/>
    <col min="12046" max="12046" width="15.5" style="224" customWidth="1"/>
    <col min="12047" max="12048" width="9" style="224" customWidth="1"/>
    <col min="12049" max="12049" width="6.375" style="224" customWidth="1"/>
    <col min="12050" max="12052" width="0" style="224" hidden="1" customWidth="1"/>
    <col min="12053" max="12053" width="17.375" style="224" customWidth="1"/>
    <col min="12054" max="12285" width="9" style="224"/>
    <col min="12286" max="12286" width="5.125" style="224" customWidth="1"/>
    <col min="12287" max="12287" width="3.625" style="224" customWidth="1"/>
    <col min="12288" max="12288" width="4.125" style="224" customWidth="1"/>
    <col min="12289" max="12289" width="17.375" style="224" customWidth="1"/>
    <col min="12290" max="12290" width="7.5" style="224" customWidth="1"/>
    <col min="12291" max="12291" width="4.5" style="224" customWidth="1"/>
    <col min="12292" max="12292" width="4.875" style="224" customWidth="1"/>
    <col min="12293" max="12293" width="5.125" style="224" customWidth="1"/>
    <col min="12294" max="12294" width="4.25" style="224" customWidth="1"/>
    <col min="12295" max="12295" width="6.375" style="224" customWidth="1"/>
    <col min="12296" max="12296" width="4" style="224" customWidth="1"/>
    <col min="12297" max="12297" width="12.375" style="224" customWidth="1"/>
    <col min="12298" max="12298" width="13.375" style="224" customWidth="1"/>
    <col min="12299" max="12299" width="15.875" style="224" customWidth="1"/>
    <col min="12300" max="12301" width="16.125" style="224" customWidth="1"/>
    <col min="12302" max="12302" width="15.5" style="224" customWidth="1"/>
    <col min="12303" max="12304" width="9" style="224" customWidth="1"/>
    <col min="12305" max="12305" width="6.375" style="224" customWidth="1"/>
    <col min="12306" max="12308" width="0" style="224" hidden="1" customWidth="1"/>
    <col min="12309" max="12309" width="17.375" style="224" customWidth="1"/>
    <col min="12310" max="12541" width="9" style="224"/>
    <col min="12542" max="12542" width="5.125" style="224" customWidth="1"/>
    <col min="12543" max="12543" width="3.625" style="224" customWidth="1"/>
    <col min="12544" max="12544" width="4.125" style="224" customWidth="1"/>
    <col min="12545" max="12545" width="17.375" style="224" customWidth="1"/>
    <col min="12546" max="12546" width="7.5" style="224" customWidth="1"/>
    <col min="12547" max="12547" width="4.5" style="224" customWidth="1"/>
    <col min="12548" max="12548" width="4.875" style="224" customWidth="1"/>
    <col min="12549" max="12549" width="5.125" style="224" customWidth="1"/>
    <col min="12550" max="12550" width="4.25" style="224" customWidth="1"/>
    <col min="12551" max="12551" width="6.375" style="224" customWidth="1"/>
    <col min="12552" max="12552" width="4" style="224" customWidth="1"/>
    <col min="12553" max="12553" width="12.375" style="224" customWidth="1"/>
    <col min="12554" max="12554" width="13.375" style="224" customWidth="1"/>
    <col min="12555" max="12555" width="15.875" style="224" customWidth="1"/>
    <col min="12556" max="12557" width="16.125" style="224" customWidth="1"/>
    <col min="12558" max="12558" width="15.5" style="224" customWidth="1"/>
    <col min="12559" max="12560" width="9" style="224" customWidth="1"/>
    <col min="12561" max="12561" width="6.375" style="224" customWidth="1"/>
    <col min="12562" max="12564" width="0" style="224" hidden="1" customWidth="1"/>
    <col min="12565" max="12565" width="17.375" style="224" customWidth="1"/>
    <col min="12566" max="12797" width="9" style="224"/>
    <col min="12798" max="12798" width="5.125" style="224" customWidth="1"/>
    <col min="12799" max="12799" width="3.625" style="224" customWidth="1"/>
    <col min="12800" max="12800" width="4.125" style="224" customWidth="1"/>
    <col min="12801" max="12801" width="17.375" style="224" customWidth="1"/>
    <col min="12802" max="12802" width="7.5" style="224" customWidth="1"/>
    <col min="12803" max="12803" width="4.5" style="224" customWidth="1"/>
    <col min="12804" max="12804" width="4.875" style="224" customWidth="1"/>
    <col min="12805" max="12805" width="5.125" style="224" customWidth="1"/>
    <col min="12806" max="12806" width="4.25" style="224" customWidth="1"/>
    <col min="12807" max="12807" width="6.375" style="224" customWidth="1"/>
    <col min="12808" max="12808" width="4" style="224" customWidth="1"/>
    <col min="12809" max="12809" width="12.375" style="224" customWidth="1"/>
    <col min="12810" max="12810" width="13.375" style="224" customWidth="1"/>
    <col min="12811" max="12811" width="15.875" style="224" customWidth="1"/>
    <col min="12812" max="12813" width="16.125" style="224" customWidth="1"/>
    <col min="12814" max="12814" width="15.5" style="224" customWidth="1"/>
    <col min="12815" max="12816" width="9" style="224" customWidth="1"/>
    <col min="12817" max="12817" width="6.375" style="224" customWidth="1"/>
    <col min="12818" max="12820" width="0" style="224" hidden="1" customWidth="1"/>
    <col min="12821" max="12821" width="17.375" style="224" customWidth="1"/>
    <col min="12822" max="13053" width="9" style="224"/>
    <col min="13054" max="13054" width="5.125" style="224" customWidth="1"/>
    <col min="13055" max="13055" width="3.625" style="224" customWidth="1"/>
    <col min="13056" max="13056" width="4.125" style="224" customWidth="1"/>
    <col min="13057" max="13057" width="17.375" style="224" customWidth="1"/>
    <col min="13058" max="13058" width="7.5" style="224" customWidth="1"/>
    <col min="13059" max="13059" width="4.5" style="224" customWidth="1"/>
    <col min="13060" max="13060" width="4.875" style="224" customWidth="1"/>
    <col min="13061" max="13061" width="5.125" style="224" customWidth="1"/>
    <col min="13062" max="13062" width="4.25" style="224" customWidth="1"/>
    <col min="13063" max="13063" width="6.375" style="224" customWidth="1"/>
    <col min="13064" max="13064" width="4" style="224" customWidth="1"/>
    <col min="13065" max="13065" width="12.375" style="224" customWidth="1"/>
    <col min="13066" max="13066" width="13.375" style="224" customWidth="1"/>
    <col min="13067" max="13067" width="15.875" style="224" customWidth="1"/>
    <col min="13068" max="13069" width="16.125" style="224" customWidth="1"/>
    <col min="13070" max="13070" width="15.5" style="224" customWidth="1"/>
    <col min="13071" max="13072" width="9" style="224" customWidth="1"/>
    <col min="13073" max="13073" width="6.375" style="224" customWidth="1"/>
    <col min="13074" max="13076" width="0" style="224" hidden="1" customWidth="1"/>
    <col min="13077" max="13077" width="17.375" style="224" customWidth="1"/>
    <col min="13078" max="13309" width="9" style="224"/>
    <col min="13310" max="13310" width="5.125" style="224" customWidth="1"/>
    <col min="13311" max="13311" width="3.625" style="224" customWidth="1"/>
    <col min="13312" max="13312" width="4.125" style="224" customWidth="1"/>
    <col min="13313" max="13313" width="17.375" style="224" customWidth="1"/>
    <col min="13314" max="13314" width="7.5" style="224" customWidth="1"/>
    <col min="13315" max="13315" width="4.5" style="224" customWidth="1"/>
    <col min="13316" max="13316" width="4.875" style="224" customWidth="1"/>
    <col min="13317" max="13317" width="5.125" style="224" customWidth="1"/>
    <col min="13318" max="13318" width="4.25" style="224" customWidth="1"/>
    <col min="13319" max="13319" width="6.375" style="224" customWidth="1"/>
    <col min="13320" max="13320" width="4" style="224" customWidth="1"/>
    <col min="13321" max="13321" width="12.375" style="224" customWidth="1"/>
    <col min="13322" max="13322" width="13.375" style="224" customWidth="1"/>
    <col min="13323" max="13323" width="15.875" style="224" customWidth="1"/>
    <col min="13324" max="13325" width="16.125" style="224" customWidth="1"/>
    <col min="13326" max="13326" width="15.5" style="224" customWidth="1"/>
    <col min="13327" max="13328" width="9" style="224" customWidth="1"/>
    <col min="13329" max="13329" width="6.375" style="224" customWidth="1"/>
    <col min="13330" max="13332" width="0" style="224" hidden="1" customWidth="1"/>
    <col min="13333" max="13333" width="17.375" style="224" customWidth="1"/>
    <col min="13334" max="13565" width="9" style="224"/>
    <col min="13566" max="13566" width="5.125" style="224" customWidth="1"/>
    <col min="13567" max="13567" width="3.625" style="224" customWidth="1"/>
    <col min="13568" max="13568" width="4.125" style="224" customWidth="1"/>
    <col min="13569" max="13569" width="17.375" style="224" customWidth="1"/>
    <col min="13570" max="13570" width="7.5" style="224" customWidth="1"/>
    <col min="13571" max="13571" width="4.5" style="224" customWidth="1"/>
    <col min="13572" max="13572" width="4.875" style="224" customWidth="1"/>
    <col min="13573" max="13573" width="5.125" style="224" customWidth="1"/>
    <col min="13574" max="13574" width="4.25" style="224" customWidth="1"/>
    <col min="13575" max="13575" width="6.375" style="224" customWidth="1"/>
    <col min="13576" max="13576" width="4" style="224" customWidth="1"/>
    <col min="13577" max="13577" width="12.375" style="224" customWidth="1"/>
    <col min="13578" max="13578" width="13.375" style="224" customWidth="1"/>
    <col min="13579" max="13579" width="15.875" style="224" customWidth="1"/>
    <col min="13580" max="13581" width="16.125" style="224" customWidth="1"/>
    <col min="13582" max="13582" width="15.5" style="224" customWidth="1"/>
    <col min="13583" max="13584" width="9" style="224" customWidth="1"/>
    <col min="13585" max="13585" width="6.375" style="224" customWidth="1"/>
    <col min="13586" max="13588" width="0" style="224" hidden="1" customWidth="1"/>
    <col min="13589" max="13589" width="17.375" style="224" customWidth="1"/>
    <col min="13590" max="13821" width="9" style="224"/>
    <col min="13822" max="13822" width="5.125" style="224" customWidth="1"/>
    <col min="13823" max="13823" width="3.625" style="224" customWidth="1"/>
    <col min="13824" max="13824" width="4.125" style="224" customWidth="1"/>
    <col min="13825" max="13825" width="17.375" style="224" customWidth="1"/>
    <col min="13826" max="13826" width="7.5" style="224" customWidth="1"/>
    <col min="13827" max="13827" width="4.5" style="224" customWidth="1"/>
    <col min="13828" max="13828" width="4.875" style="224" customWidth="1"/>
    <col min="13829" max="13829" width="5.125" style="224" customWidth="1"/>
    <col min="13830" max="13830" width="4.25" style="224" customWidth="1"/>
    <col min="13831" max="13831" width="6.375" style="224" customWidth="1"/>
    <col min="13832" max="13832" width="4" style="224" customWidth="1"/>
    <col min="13833" max="13833" width="12.375" style="224" customWidth="1"/>
    <col min="13834" max="13834" width="13.375" style="224" customWidth="1"/>
    <col min="13835" max="13835" width="15.875" style="224" customWidth="1"/>
    <col min="13836" max="13837" width="16.125" style="224" customWidth="1"/>
    <col min="13838" max="13838" width="15.5" style="224" customWidth="1"/>
    <col min="13839" max="13840" width="9" style="224" customWidth="1"/>
    <col min="13841" max="13841" width="6.375" style="224" customWidth="1"/>
    <col min="13842" max="13844" width="0" style="224" hidden="1" customWidth="1"/>
    <col min="13845" max="13845" width="17.375" style="224" customWidth="1"/>
    <col min="13846" max="14077" width="9" style="224"/>
    <col min="14078" max="14078" width="5.125" style="224" customWidth="1"/>
    <col min="14079" max="14079" width="3.625" style="224" customWidth="1"/>
    <col min="14080" max="14080" width="4.125" style="224" customWidth="1"/>
    <col min="14081" max="14081" width="17.375" style="224" customWidth="1"/>
    <col min="14082" max="14082" width="7.5" style="224" customWidth="1"/>
    <col min="14083" max="14083" width="4.5" style="224" customWidth="1"/>
    <col min="14084" max="14084" width="4.875" style="224" customWidth="1"/>
    <col min="14085" max="14085" width="5.125" style="224" customWidth="1"/>
    <col min="14086" max="14086" width="4.25" style="224" customWidth="1"/>
    <col min="14087" max="14087" width="6.375" style="224" customWidth="1"/>
    <col min="14088" max="14088" width="4" style="224" customWidth="1"/>
    <col min="14089" max="14089" width="12.375" style="224" customWidth="1"/>
    <col min="14090" max="14090" width="13.375" style="224" customWidth="1"/>
    <col min="14091" max="14091" width="15.875" style="224" customWidth="1"/>
    <col min="14092" max="14093" width="16.125" style="224" customWidth="1"/>
    <col min="14094" max="14094" width="15.5" style="224" customWidth="1"/>
    <col min="14095" max="14096" width="9" style="224" customWidth="1"/>
    <col min="14097" max="14097" width="6.375" style="224" customWidth="1"/>
    <col min="14098" max="14100" width="0" style="224" hidden="1" customWidth="1"/>
    <col min="14101" max="14101" width="17.375" style="224" customWidth="1"/>
    <col min="14102" max="14333" width="9" style="224"/>
    <col min="14334" max="14334" width="5.125" style="224" customWidth="1"/>
    <col min="14335" max="14335" width="3.625" style="224" customWidth="1"/>
    <col min="14336" max="14336" width="4.125" style="224" customWidth="1"/>
    <col min="14337" max="14337" width="17.375" style="224" customWidth="1"/>
    <col min="14338" max="14338" width="7.5" style="224" customWidth="1"/>
    <col min="14339" max="14339" width="4.5" style="224" customWidth="1"/>
    <col min="14340" max="14340" width="4.875" style="224" customWidth="1"/>
    <col min="14341" max="14341" width="5.125" style="224" customWidth="1"/>
    <col min="14342" max="14342" width="4.25" style="224" customWidth="1"/>
    <col min="14343" max="14343" width="6.375" style="224" customWidth="1"/>
    <col min="14344" max="14344" width="4" style="224" customWidth="1"/>
    <col min="14345" max="14345" width="12.375" style="224" customWidth="1"/>
    <col min="14346" max="14346" width="13.375" style="224" customWidth="1"/>
    <col min="14347" max="14347" width="15.875" style="224" customWidth="1"/>
    <col min="14348" max="14349" width="16.125" style="224" customWidth="1"/>
    <col min="14350" max="14350" width="15.5" style="224" customWidth="1"/>
    <col min="14351" max="14352" width="9" style="224" customWidth="1"/>
    <col min="14353" max="14353" width="6.375" style="224" customWidth="1"/>
    <col min="14354" max="14356" width="0" style="224" hidden="1" customWidth="1"/>
    <col min="14357" max="14357" width="17.375" style="224" customWidth="1"/>
    <col min="14358" max="14589" width="9" style="224"/>
    <col min="14590" max="14590" width="5.125" style="224" customWidth="1"/>
    <col min="14591" max="14591" width="3.625" style="224" customWidth="1"/>
    <col min="14592" max="14592" width="4.125" style="224" customWidth="1"/>
    <col min="14593" max="14593" width="17.375" style="224" customWidth="1"/>
    <col min="14594" max="14594" width="7.5" style="224" customWidth="1"/>
    <col min="14595" max="14595" width="4.5" style="224" customWidth="1"/>
    <col min="14596" max="14596" width="4.875" style="224" customWidth="1"/>
    <col min="14597" max="14597" width="5.125" style="224" customWidth="1"/>
    <col min="14598" max="14598" width="4.25" style="224" customWidth="1"/>
    <col min="14599" max="14599" width="6.375" style="224" customWidth="1"/>
    <col min="14600" max="14600" width="4" style="224" customWidth="1"/>
    <col min="14601" max="14601" width="12.375" style="224" customWidth="1"/>
    <col min="14602" max="14602" width="13.375" style="224" customWidth="1"/>
    <col min="14603" max="14603" width="15.875" style="224" customWidth="1"/>
    <col min="14604" max="14605" width="16.125" style="224" customWidth="1"/>
    <col min="14606" max="14606" width="15.5" style="224" customWidth="1"/>
    <col min="14607" max="14608" width="9" style="224" customWidth="1"/>
    <col min="14609" max="14609" width="6.375" style="224" customWidth="1"/>
    <col min="14610" max="14612" width="0" style="224" hidden="1" customWidth="1"/>
    <col min="14613" max="14613" width="17.375" style="224" customWidth="1"/>
    <col min="14614" max="14845" width="9" style="224"/>
    <col min="14846" max="14846" width="5.125" style="224" customWidth="1"/>
    <col min="14847" max="14847" width="3.625" style="224" customWidth="1"/>
    <col min="14848" max="14848" width="4.125" style="224" customWidth="1"/>
    <col min="14849" max="14849" width="17.375" style="224" customWidth="1"/>
    <col min="14850" max="14850" width="7.5" style="224" customWidth="1"/>
    <col min="14851" max="14851" width="4.5" style="224" customWidth="1"/>
    <col min="14852" max="14852" width="4.875" style="224" customWidth="1"/>
    <col min="14853" max="14853" width="5.125" style="224" customWidth="1"/>
    <col min="14854" max="14854" width="4.25" style="224" customWidth="1"/>
    <col min="14855" max="14855" width="6.375" style="224" customWidth="1"/>
    <col min="14856" max="14856" width="4" style="224" customWidth="1"/>
    <col min="14857" max="14857" width="12.375" style="224" customWidth="1"/>
    <col min="14858" max="14858" width="13.375" style="224" customWidth="1"/>
    <col min="14859" max="14859" width="15.875" style="224" customWidth="1"/>
    <col min="14860" max="14861" width="16.125" style="224" customWidth="1"/>
    <col min="14862" max="14862" width="15.5" style="224" customWidth="1"/>
    <col min="14863" max="14864" width="9" style="224" customWidth="1"/>
    <col min="14865" max="14865" width="6.375" style="224" customWidth="1"/>
    <col min="14866" max="14868" width="0" style="224" hidden="1" customWidth="1"/>
    <col min="14869" max="14869" width="17.375" style="224" customWidth="1"/>
    <col min="14870" max="15101" width="9" style="224"/>
    <col min="15102" max="15102" width="5.125" style="224" customWidth="1"/>
    <col min="15103" max="15103" width="3.625" style="224" customWidth="1"/>
    <col min="15104" max="15104" width="4.125" style="224" customWidth="1"/>
    <col min="15105" max="15105" width="17.375" style="224" customWidth="1"/>
    <col min="15106" max="15106" width="7.5" style="224" customWidth="1"/>
    <col min="15107" max="15107" width="4.5" style="224" customWidth="1"/>
    <col min="15108" max="15108" width="4.875" style="224" customWidth="1"/>
    <col min="15109" max="15109" width="5.125" style="224" customWidth="1"/>
    <col min="15110" max="15110" width="4.25" style="224" customWidth="1"/>
    <col min="15111" max="15111" width="6.375" style="224" customWidth="1"/>
    <col min="15112" max="15112" width="4" style="224" customWidth="1"/>
    <col min="15113" max="15113" width="12.375" style="224" customWidth="1"/>
    <col min="15114" max="15114" width="13.375" style="224" customWidth="1"/>
    <col min="15115" max="15115" width="15.875" style="224" customWidth="1"/>
    <col min="15116" max="15117" width="16.125" style="224" customWidth="1"/>
    <col min="15118" max="15118" width="15.5" style="224" customWidth="1"/>
    <col min="15119" max="15120" width="9" style="224" customWidth="1"/>
    <col min="15121" max="15121" width="6.375" style="224" customWidth="1"/>
    <col min="15122" max="15124" width="0" style="224" hidden="1" customWidth="1"/>
    <col min="15125" max="15125" width="17.375" style="224" customWidth="1"/>
    <col min="15126" max="15357" width="9" style="224"/>
    <col min="15358" max="15358" width="5.125" style="224" customWidth="1"/>
    <col min="15359" max="15359" width="3.625" style="224" customWidth="1"/>
    <col min="15360" max="15360" width="4.125" style="224" customWidth="1"/>
    <col min="15361" max="15361" width="17.375" style="224" customWidth="1"/>
    <col min="15362" max="15362" width="7.5" style="224" customWidth="1"/>
    <col min="15363" max="15363" width="4.5" style="224" customWidth="1"/>
    <col min="15364" max="15364" width="4.875" style="224" customWidth="1"/>
    <col min="15365" max="15365" width="5.125" style="224" customWidth="1"/>
    <col min="15366" max="15366" width="4.25" style="224" customWidth="1"/>
    <col min="15367" max="15367" width="6.375" style="224" customWidth="1"/>
    <col min="15368" max="15368" width="4" style="224" customWidth="1"/>
    <col min="15369" max="15369" width="12.375" style="224" customWidth="1"/>
    <col min="15370" max="15370" width="13.375" style="224" customWidth="1"/>
    <col min="15371" max="15371" width="15.875" style="224" customWidth="1"/>
    <col min="15372" max="15373" width="16.125" style="224" customWidth="1"/>
    <col min="15374" max="15374" width="15.5" style="224" customWidth="1"/>
    <col min="15375" max="15376" width="9" style="224" customWidth="1"/>
    <col min="15377" max="15377" width="6.375" style="224" customWidth="1"/>
    <col min="15378" max="15380" width="0" style="224" hidden="1" customWidth="1"/>
    <col min="15381" max="15381" width="17.375" style="224" customWidth="1"/>
    <col min="15382" max="15613" width="9" style="224"/>
    <col min="15614" max="15614" width="5.125" style="224" customWidth="1"/>
    <col min="15615" max="15615" width="3.625" style="224" customWidth="1"/>
    <col min="15616" max="15616" width="4.125" style="224" customWidth="1"/>
    <col min="15617" max="15617" width="17.375" style="224" customWidth="1"/>
    <col min="15618" max="15618" width="7.5" style="224" customWidth="1"/>
    <col min="15619" max="15619" width="4.5" style="224" customWidth="1"/>
    <col min="15620" max="15620" width="4.875" style="224" customWidth="1"/>
    <col min="15621" max="15621" width="5.125" style="224" customWidth="1"/>
    <col min="15622" max="15622" width="4.25" style="224" customWidth="1"/>
    <col min="15623" max="15623" width="6.375" style="224" customWidth="1"/>
    <col min="15624" max="15624" width="4" style="224" customWidth="1"/>
    <col min="15625" max="15625" width="12.375" style="224" customWidth="1"/>
    <col min="15626" max="15626" width="13.375" style="224" customWidth="1"/>
    <col min="15627" max="15627" width="15.875" style="224" customWidth="1"/>
    <col min="15628" max="15629" width="16.125" style="224" customWidth="1"/>
    <col min="15630" max="15630" width="15.5" style="224" customWidth="1"/>
    <col min="15631" max="15632" width="9" style="224" customWidth="1"/>
    <col min="15633" max="15633" width="6.375" style="224" customWidth="1"/>
    <col min="15634" max="15636" width="0" style="224" hidden="1" customWidth="1"/>
    <col min="15637" max="15637" width="17.375" style="224" customWidth="1"/>
    <col min="15638" max="15869" width="9" style="224"/>
    <col min="15870" max="15870" width="5.125" style="224" customWidth="1"/>
    <col min="15871" max="15871" width="3.625" style="224" customWidth="1"/>
    <col min="15872" max="15872" width="4.125" style="224" customWidth="1"/>
    <col min="15873" max="15873" width="17.375" style="224" customWidth="1"/>
    <col min="15874" max="15874" width="7.5" style="224" customWidth="1"/>
    <col min="15875" max="15875" width="4.5" style="224" customWidth="1"/>
    <col min="15876" max="15876" width="4.875" style="224" customWidth="1"/>
    <col min="15877" max="15877" width="5.125" style="224" customWidth="1"/>
    <col min="15878" max="15878" width="4.25" style="224" customWidth="1"/>
    <col min="15879" max="15879" width="6.375" style="224" customWidth="1"/>
    <col min="15880" max="15880" width="4" style="224" customWidth="1"/>
    <col min="15881" max="15881" width="12.375" style="224" customWidth="1"/>
    <col min="15882" max="15882" width="13.375" style="224" customWidth="1"/>
    <col min="15883" max="15883" width="15.875" style="224" customWidth="1"/>
    <col min="15884" max="15885" width="16.125" style="224" customWidth="1"/>
    <col min="15886" max="15886" width="15.5" style="224" customWidth="1"/>
    <col min="15887" max="15888" width="9" style="224" customWidth="1"/>
    <col min="15889" max="15889" width="6.375" style="224" customWidth="1"/>
    <col min="15890" max="15892" width="0" style="224" hidden="1" customWidth="1"/>
    <col min="15893" max="15893" width="17.375" style="224" customWidth="1"/>
    <col min="15894" max="16125" width="9" style="224"/>
    <col min="16126" max="16126" width="5.125" style="224" customWidth="1"/>
    <col min="16127" max="16127" width="3.625" style="224" customWidth="1"/>
    <col min="16128" max="16128" width="4.125" style="224" customWidth="1"/>
    <col min="16129" max="16129" width="17.375" style="224" customWidth="1"/>
    <col min="16130" max="16130" width="7.5" style="224" customWidth="1"/>
    <col min="16131" max="16131" width="4.5" style="224" customWidth="1"/>
    <col min="16132" max="16132" width="4.875" style="224" customWidth="1"/>
    <col min="16133" max="16133" width="5.125" style="224" customWidth="1"/>
    <col min="16134" max="16134" width="4.25" style="224" customWidth="1"/>
    <col min="16135" max="16135" width="6.375" style="224" customWidth="1"/>
    <col min="16136" max="16136" width="4" style="224" customWidth="1"/>
    <col min="16137" max="16137" width="12.375" style="224" customWidth="1"/>
    <col min="16138" max="16138" width="13.375" style="224" customWidth="1"/>
    <col min="16139" max="16139" width="15.875" style="224" customWidth="1"/>
    <col min="16140" max="16141" width="16.125" style="224" customWidth="1"/>
    <col min="16142" max="16142" width="15.5" style="224" customWidth="1"/>
    <col min="16143" max="16144" width="9" style="224" customWidth="1"/>
    <col min="16145" max="16145" width="6.375" style="224" customWidth="1"/>
    <col min="16146" max="16148" width="0" style="224" hidden="1" customWidth="1"/>
    <col min="16149" max="16149" width="17.375" style="224" customWidth="1"/>
    <col min="16150" max="16384" width="9" style="224"/>
  </cols>
  <sheetData>
    <row r="1" spans="1:23" ht="18.75" x14ac:dyDescent="0.3">
      <c r="A1" s="808" t="str">
        <f>Chinh!$A$1</f>
        <v>UBND PHƯỜNG CAM LINH</v>
      </c>
      <c r="B1" s="808"/>
      <c r="C1" s="808"/>
      <c r="D1" s="808"/>
      <c r="E1" s="808"/>
      <c r="F1" s="808"/>
      <c r="G1" s="220"/>
      <c r="H1" s="221" t="str">
        <f>"DANH SÁCH HỌC SINH CHUYỂN ĐI/BỎ HỌC NĂM HỌC "&amp;R1&amp;" - "&amp;R2</f>
        <v>DANH SÁCH HỌC SINH CHUYỂN ĐI/BỎ HỌC NĂM HỌC 2024 - 2025</v>
      </c>
      <c r="I1" s="222"/>
      <c r="J1" s="223"/>
      <c r="K1" s="223"/>
      <c r="L1" s="224"/>
      <c r="N1" s="224"/>
      <c r="O1" s="224"/>
      <c r="R1" s="479">
        <f>VALUE(LEFT(Chinh!$H$5,4)-1)</f>
        <v>2024</v>
      </c>
    </row>
    <row r="2" spans="1:23" ht="15.75" x14ac:dyDescent="0.25">
      <c r="A2" s="618" t="str">
        <f>IF(Chinh!N9="","",Chinh!$A$2)</f>
        <v>TRƯỜNG THCS NGUYỄN TRỌNG KỶ</v>
      </c>
      <c r="B2" s="618"/>
      <c r="C2" s="618"/>
      <c r="D2" s="618"/>
      <c r="E2" s="618"/>
      <c r="F2" s="618"/>
      <c r="G2" s="220"/>
      <c r="H2" s="220"/>
      <c r="I2" s="222"/>
      <c r="J2" s="223"/>
      <c r="K2" s="223"/>
      <c r="L2" s="224"/>
      <c r="M2" s="224"/>
      <c r="N2" s="385" t="str">
        <f>IF(COUNTIF(S7:S101,"er")&gt;0,"Còn lỗi!",IF(AND(COUNTIF(S7:S101,"x")&gt;0,COUNTIF(S7:S101,"er")=0),"Có HS chuyển đi(hoặc Bỏ học)","Không có HS Chuyển đi(hoặc Bỏ học)"))</f>
        <v>Không có HS Chuyển đi(hoặc Bỏ học)</v>
      </c>
      <c r="O2" s="475"/>
      <c r="P2" s="380" t="s">
        <v>889</v>
      </c>
      <c r="Q2" s="477">
        <f>COUNTIF($T$7:$T$100,"x")</f>
        <v>0</v>
      </c>
      <c r="R2" s="479">
        <f>VALUE(RIGHT(Chinh!$H$5,4)-1)</f>
        <v>2025</v>
      </c>
    </row>
    <row r="3" spans="1:23" ht="15.75" x14ac:dyDescent="0.25">
      <c r="A3" s="476"/>
      <c r="B3" s="476"/>
      <c r="C3" s="476"/>
      <c r="D3" s="476"/>
      <c r="E3" s="476"/>
      <c r="F3" s="220"/>
      <c r="G3" s="220"/>
      <c r="H3" s="220"/>
      <c r="I3" s="222"/>
      <c r="J3" s="223"/>
      <c r="K3" s="223"/>
      <c r="L3" s="224"/>
      <c r="M3" s="224"/>
      <c r="P3" s="380" t="s">
        <v>890</v>
      </c>
      <c r="Q3" s="477">
        <f>COUNTIF($U$7:$U$100,"x")</f>
        <v>0</v>
      </c>
    </row>
    <row r="4" spans="1:23" x14ac:dyDescent="0.25">
      <c r="B4" s="231"/>
      <c r="C4" s="232"/>
      <c r="D4" s="224"/>
      <c r="F4" s="220"/>
      <c r="G4" s="220"/>
      <c r="H4" s="220"/>
      <c r="I4" s="220"/>
      <c r="J4" s="223"/>
      <c r="K4" s="223"/>
      <c r="L4" s="502" t="s">
        <v>548</v>
      </c>
      <c r="M4" s="220"/>
      <c r="N4" s="220"/>
      <c r="O4" s="220"/>
      <c r="P4" s="381" t="s">
        <v>472</v>
      </c>
      <c r="Q4" s="477">
        <f>COUNTIF($V$7:$V$100,"x")</f>
        <v>0</v>
      </c>
    </row>
    <row r="5" spans="1:23" ht="37.5" customHeight="1" x14ac:dyDescent="0.25">
      <c r="A5" s="661" t="s">
        <v>214</v>
      </c>
      <c r="B5" s="662" t="s">
        <v>215</v>
      </c>
      <c r="C5" s="664" t="s">
        <v>368</v>
      </c>
      <c r="D5" s="665" t="s">
        <v>217</v>
      </c>
      <c r="E5" s="666" t="s">
        <v>218</v>
      </c>
      <c r="F5" s="787" t="s">
        <v>560</v>
      </c>
      <c r="G5" s="788"/>
      <c r="H5" s="789"/>
      <c r="I5" s="671" t="s">
        <v>370</v>
      </c>
      <c r="J5" s="661" t="s">
        <v>371</v>
      </c>
      <c r="K5" s="604" t="s">
        <v>378</v>
      </c>
      <c r="L5" s="672" t="s">
        <v>221</v>
      </c>
      <c r="M5" s="673"/>
      <c r="N5" s="674"/>
      <c r="O5" s="675" t="s">
        <v>463</v>
      </c>
      <c r="P5" s="491" t="s">
        <v>884</v>
      </c>
      <c r="Q5" s="375" t="s">
        <v>885</v>
      </c>
      <c r="R5" s="490" t="s">
        <v>466</v>
      </c>
    </row>
    <row r="6" spans="1:23" ht="30.75" customHeight="1" x14ac:dyDescent="0.25">
      <c r="A6" s="661"/>
      <c r="B6" s="663"/>
      <c r="C6" s="664"/>
      <c r="D6" s="665"/>
      <c r="E6" s="667"/>
      <c r="F6" s="384" t="s">
        <v>225</v>
      </c>
      <c r="G6" s="384" t="s">
        <v>226</v>
      </c>
      <c r="H6" s="384" t="s">
        <v>227</v>
      </c>
      <c r="I6" s="671"/>
      <c r="J6" s="661"/>
      <c r="K6" s="604"/>
      <c r="L6" s="235" t="s">
        <v>374</v>
      </c>
      <c r="M6" s="235" t="s">
        <v>228</v>
      </c>
      <c r="N6" s="236" t="s">
        <v>229</v>
      </c>
      <c r="O6" s="675"/>
      <c r="P6" s="376" t="s">
        <v>464</v>
      </c>
      <c r="Q6" s="488" t="s">
        <v>465</v>
      </c>
      <c r="R6" s="489" t="s">
        <v>467</v>
      </c>
      <c r="S6" s="377" t="s">
        <v>471</v>
      </c>
      <c r="T6" s="378" t="s">
        <v>468</v>
      </c>
      <c r="U6" s="377" t="s">
        <v>469</v>
      </c>
      <c r="V6" s="377" t="s">
        <v>470</v>
      </c>
    </row>
    <row r="7" spans="1:23" ht="18" customHeight="1" x14ac:dyDescent="0.25">
      <c r="A7" s="382" t="str">
        <f>IF(AND(D7="",E7=""),"","001")</f>
        <v/>
      </c>
      <c r="B7" s="238" t="str">
        <f>IF(C7="","",VALUE(LEFT(C7,1)))</f>
        <v/>
      </c>
      <c r="C7" s="239"/>
      <c r="D7" s="240"/>
      <c r="E7" s="241"/>
      <c r="F7" s="242"/>
      <c r="G7" s="242"/>
      <c r="H7" s="243"/>
      <c r="I7" s="239"/>
      <c r="J7" s="239"/>
      <c r="K7" s="269"/>
      <c r="L7" s="244"/>
      <c r="M7" s="244"/>
      <c r="N7" s="244"/>
      <c r="O7" s="244"/>
      <c r="P7" s="244"/>
      <c r="Q7" s="244"/>
      <c r="R7" s="244"/>
      <c r="S7" s="379" t="str">
        <f>IF(COUNTA(C7:R7)=0,"",IF(AND(COUNTA(C7:H7)=6,COUNTA(L7:O7)=4,OR(AND(P7&lt;&gt;"",Q7="",R7=""),AND(P7="",Q7&lt;&gt;"",R7=""),AND(P7="",Q7="",R7&lt;&gt;""))),"x","er"))</f>
        <v/>
      </c>
      <c r="T7" s="379" t="str">
        <f>IF(AND(S7="x",P7&lt;&gt;""),"x","")</f>
        <v/>
      </c>
      <c r="U7" s="379" t="str">
        <f>IF(AND(S7="x",Q7&lt;&gt;""),"x","")</f>
        <v/>
      </c>
      <c r="V7" s="379" t="str">
        <f>IF(AND(S7="x",R7&lt;&gt;""),"x","")</f>
        <v/>
      </c>
      <c r="W7" s="416" t="s">
        <v>290</v>
      </c>
    </row>
    <row r="8" spans="1:23" ht="18" customHeight="1" x14ac:dyDescent="0.25">
      <c r="A8" s="383" t="str">
        <f>IF(OR(A7="",B8="",C8="",D8="",E8=""),"",A7+1)</f>
        <v/>
      </c>
      <c r="B8" s="249" t="str">
        <f>IF(C8="","",VALUE(LEFT(C8,1)))</f>
        <v/>
      </c>
      <c r="C8" s="250"/>
      <c r="D8" s="251"/>
      <c r="E8" s="241"/>
      <c r="F8" s="252"/>
      <c r="G8" s="252"/>
      <c r="H8" s="253"/>
      <c r="I8" s="250"/>
      <c r="J8" s="250"/>
      <c r="K8" s="270"/>
      <c r="L8" s="254"/>
      <c r="M8" s="254"/>
      <c r="N8" s="254"/>
      <c r="O8" s="254"/>
      <c r="P8" s="254"/>
      <c r="Q8" s="254"/>
      <c r="R8" s="254"/>
      <c r="S8" s="379" t="str">
        <f t="shared" ref="S8:S56" si="0">IF(COUNTA(C8:R8)=0,"",IF(AND(COUNTA(C8:H8)=6,COUNTA(L8:O8)=4,OR(AND(P8&lt;&gt;"",Q8="",R8=""),AND(P8="",Q8&lt;&gt;"",R8=""),AND(P8="",Q8="",R8&lt;&gt;""))),"x","er"))</f>
        <v/>
      </c>
      <c r="T8" s="379" t="str">
        <f t="shared" ref="T8:T56" si="1">IF(AND(S8="x",P8&lt;&gt;""),"x","")</f>
        <v/>
      </c>
      <c r="U8" s="379" t="str">
        <f t="shared" ref="U8:U56" si="2">IF(AND(S8="x",Q8&lt;&gt;""),"x","")</f>
        <v/>
      </c>
      <c r="V8" s="379" t="str">
        <f t="shared" ref="V8:V56" si="3">IF(AND(S8="x",R8&lt;&gt;""),"x","")</f>
        <v/>
      </c>
    </row>
    <row r="9" spans="1:23" ht="18" customHeight="1" x14ac:dyDescent="0.25">
      <c r="A9" s="383" t="str">
        <f t="shared" ref="A9:A56" si="4">IF(OR(A8="",B9="",C9="",D9="",E9=""),"",A8+1)</f>
        <v/>
      </c>
      <c r="B9" s="249" t="str">
        <f t="shared" ref="B9:B56" si="5">IF(C9="","",VALUE(LEFT(C9,1)))</f>
        <v/>
      </c>
      <c r="C9" s="250"/>
      <c r="D9" s="251"/>
      <c r="E9" s="241"/>
      <c r="F9" s="252"/>
      <c r="G9" s="252"/>
      <c r="H9" s="253"/>
      <c r="I9" s="250"/>
      <c r="J9" s="250"/>
      <c r="K9" s="270"/>
      <c r="L9" s="254"/>
      <c r="M9" s="254"/>
      <c r="N9" s="254"/>
      <c r="O9" s="254"/>
      <c r="P9" s="254"/>
      <c r="Q9" s="254"/>
      <c r="R9" s="254"/>
      <c r="S9" s="379" t="str">
        <f t="shared" si="0"/>
        <v/>
      </c>
      <c r="T9" s="379" t="str">
        <f t="shared" si="1"/>
        <v/>
      </c>
      <c r="U9" s="379" t="str">
        <f t="shared" si="2"/>
        <v/>
      </c>
      <c r="V9" s="379" t="str">
        <f t="shared" si="3"/>
        <v/>
      </c>
    </row>
    <row r="10" spans="1:23" ht="18" customHeight="1" x14ac:dyDescent="0.25">
      <c r="A10" s="383" t="str">
        <f t="shared" si="4"/>
        <v/>
      </c>
      <c r="B10" s="249" t="str">
        <f t="shared" si="5"/>
        <v/>
      </c>
      <c r="C10" s="250"/>
      <c r="D10" s="251"/>
      <c r="E10" s="241"/>
      <c r="F10" s="252"/>
      <c r="G10" s="252"/>
      <c r="H10" s="253"/>
      <c r="I10" s="250"/>
      <c r="J10" s="250"/>
      <c r="K10" s="270"/>
      <c r="L10" s="254"/>
      <c r="M10" s="254"/>
      <c r="N10" s="254"/>
      <c r="O10" s="254"/>
      <c r="P10" s="254"/>
      <c r="Q10" s="254"/>
      <c r="R10" s="254"/>
      <c r="S10" s="379" t="str">
        <f t="shared" si="0"/>
        <v/>
      </c>
      <c r="T10" s="379" t="str">
        <f t="shared" si="1"/>
        <v/>
      </c>
      <c r="U10" s="379" t="str">
        <f t="shared" si="2"/>
        <v/>
      </c>
      <c r="V10" s="379" t="str">
        <f t="shared" si="3"/>
        <v/>
      </c>
    </row>
    <row r="11" spans="1:23" ht="18" customHeight="1" x14ac:dyDescent="0.25">
      <c r="A11" s="383" t="str">
        <f t="shared" si="4"/>
        <v/>
      </c>
      <c r="B11" s="249" t="str">
        <f t="shared" si="5"/>
        <v/>
      </c>
      <c r="C11" s="250"/>
      <c r="D11" s="251"/>
      <c r="E11" s="241"/>
      <c r="F11" s="252"/>
      <c r="G11" s="252"/>
      <c r="H11" s="253"/>
      <c r="I11" s="250"/>
      <c r="J11" s="250"/>
      <c r="K11" s="270"/>
      <c r="L11" s="254"/>
      <c r="M11" s="254"/>
      <c r="N11" s="254"/>
      <c r="O11" s="254"/>
      <c r="P11" s="254"/>
      <c r="Q11" s="254"/>
      <c r="R11" s="254"/>
      <c r="S11" s="379" t="str">
        <f t="shared" si="0"/>
        <v/>
      </c>
      <c r="T11" s="379" t="str">
        <f t="shared" si="1"/>
        <v/>
      </c>
      <c r="U11" s="379" t="str">
        <f t="shared" si="2"/>
        <v/>
      </c>
      <c r="V11" s="379" t="str">
        <f t="shared" si="3"/>
        <v/>
      </c>
    </row>
    <row r="12" spans="1:23" ht="18" customHeight="1" x14ac:dyDescent="0.25">
      <c r="A12" s="383" t="str">
        <f t="shared" si="4"/>
        <v/>
      </c>
      <c r="B12" s="249" t="str">
        <f t="shared" si="5"/>
        <v/>
      </c>
      <c r="C12" s="250"/>
      <c r="D12" s="251"/>
      <c r="E12" s="241"/>
      <c r="F12" s="252"/>
      <c r="G12" s="252"/>
      <c r="H12" s="253"/>
      <c r="I12" s="250"/>
      <c r="J12" s="250"/>
      <c r="K12" s="270"/>
      <c r="L12" s="254"/>
      <c r="M12" s="254"/>
      <c r="N12" s="254"/>
      <c r="O12" s="254"/>
      <c r="P12" s="254"/>
      <c r="Q12" s="254"/>
      <c r="R12" s="254"/>
      <c r="S12" s="379" t="str">
        <f t="shared" si="0"/>
        <v/>
      </c>
      <c r="T12" s="379" t="str">
        <f t="shared" si="1"/>
        <v/>
      </c>
      <c r="U12" s="379" t="str">
        <f t="shared" si="2"/>
        <v/>
      </c>
      <c r="V12" s="379" t="str">
        <f t="shared" si="3"/>
        <v/>
      </c>
    </row>
    <row r="13" spans="1:23" ht="18" customHeight="1" x14ac:dyDescent="0.25">
      <c r="A13" s="383" t="str">
        <f t="shared" si="4"/>
        <v/>
      </c>
      <c r="B13" s="249" t="str">
        <f t="shared" si="5"/>
        <v/>
      </c>
      <c r="C13" s="250"/>
      <c r="D13" s="251"/>
      <c r="E13" s="241"/>
      <c r="F13" s="252"/>
      <c r="G13" s="255"/>
      <c r="H13" s="253"/>
      <c r="I13" s="250"/>
      <c r="J13" s="250"/>
      <c r="K13" s="270"/>
      <c r="L13" s="254"/>
      <c r="M13" s="254"/>
      <c r="N13" s="254"/>
      <c r="O13" s="254"/>
      <c r="P13" s="254"/>
      <c r="Q13" s="254"/>
      <c r="R13" s="254"/>
      <c r="S13" s="379" t="str">
        <f t="shared" si="0"/>
        <v/>
      </c>
      <c r="T13" s="379" t="str">
        <f t="shared" si="1"/>
        <v/>
      </c>
      <c r="U13" s="379" t="str">
        <f t="shared" si="2"/>
        <v/>
      </c>
      <c r="V13" s="379" t="str">
        <f t="shared" si="3"/>
        <v/>
      </c>
    </row>
    <row r="14" spans="1:23" ht="18" customHeight="1" x14ac:dyDescent="0.25">
      <c r="A14" s="383" t="str">
        <f>IF(OR(A13="",B14="",C14="",D14="",E14=""),"",A13+1)</f>
        <v/>
      </c>
      <c r="B14" s="249" t="str">
        <f>IF(C14="","",VALUE(LEFT(C14,1)))</f>
        <v/>
      </c>
      <c r="C14" s="250"/>
      <c r="D14" s="251"/>
      <c r="E14" s="241"/>
      <c r="F14" s="252"/>
      <c r="G14" s="255"/>
      <c r="H14" s="253"/>
      <c r="I14" s="250"/>
      <c r="J14" s="250"/>
      <c r="K14" s="270"/>
      <c r="L14" s="254"/>
      <c r="M14" s="254"/>
      <c r="N14" s="254"/>
      <c r="O14" s="254"/>
      <c r="P14" s="254"/>
      <c r="Q14" s="254"/>
      <c r="R14" s="254"/>
      <c r="S14" s="379" t="str">
        <f t="shared" si="0"/>
        <v/>
      </c>
      <c r="T14" s="379" t="str">
        <f t="shared" si="1"/>
        <v/>
      </c>
      <c r="U14" s="379" t="str">
        <f t="shared" si="2"/>
        <v/>
      </c>
      <c r="V14" s="379" t="str">
        <f t="shared" si="3"/>
        <v/>
      </c>
    </row>
    <row r="15" spans="1:23" ht="18" customHeight="1" x14ac:dyDescent="0.25">
      <c r="A15" s="383" t="str">
        <f>IF(OR(A14="",B15="",C15="",D15="",E15=""),"",A14+1)</f>
        <v/>
      </c>
      <c r="B15" s="249" t="str">
        <f t="shared" si="5"/>
        <v/>
      </c>
      <c r="C15" s="250"/>
      <c r="D15" s="251"/>
      <c r="E15" s="241"/>
      <c r="F15" s="252"/>
      <c r="G15" s="255"/>
      <c r="H15" s="253"/>
      <c r="I15" s="250"/>
      <c r="J15" s="250"/>
      <c r="K15" s="270"/>
      <c r="L15" s="254"/>
      <c r="M15" s="254"/>
      <c r="N15" s="254"/>
      <c r="O15" s="254"/>
      <c r="P15" s="254"/>
      <c r="Q15" s="254"/>
      <c r="R15" s="254"/>
      <c r="S15" s="379" t="str">
        <f t="shared" si="0"/>
        <v/>
      </c>
      <c r="T15" s="379" t="str">
        <f t="shared" si="1"/>
        <v/>
      </c>
      <c r="U15" s="379" t="str">
        <f t="shared" si="2"/>
        <v/>
      </c>
      <c r="V15" s="379" t="str">
        <f t="shared" si="3"/>
        <v/>
      </c>
    </row>
    <row r="16" spans="1:23" ht="18" customHeight="1" x14ac:dyDescent="0.25">
      <c r="A16" s="383" t="str">
        <f t="shared" si="4"/>
        <v/>
      </c>
      <c r="B16" s="249" t="str">
        <f t="shared" si="5"/>
        <v/>
      </c>
      <c r="C16" s="250"/>
      <c r="D16" s="251"/>
      <c r="E16" s="241"/>
      <c r="F16" s="252"/>
      <c r="G16" s="255"/>
      <c r="H16" s="253"/>
      <c r="I16" s="250"/>
      <c r="J16" s="250"/>
      <c r="K16" s="270"/>
      <c r="L16" s="254"/>
      <c r="M16" s="254"/>
      <c r="N16" s="254"/>
      <c r="O16" s="254"/>
      <c r="P16" s="254"/>
      <c r="Q16" s="254"/>
      <c r="R16" s="254"/>
      <c r="S16" s="379" t="str">
        <f t="shared" si="0"/>
        <v/>
      </c>
      <c r="T16" s="379" t="str">
        <f t="shared" si="1"/>
        <v/>
      </c>
      <c r="U16" s="379" t="str">
        <f t="shared" si="2"/>
        <v/>
      </c>
      <c r="V16" s="379" t="str">
        <f t="shared" si="3"/>
        <v/>
      </c>
    </row>
    <row r="17" spans="1:22" ht="18" customHeight="1" x14ac:dyDescent="0.25">
      <c r="A17" s="383" t="str">
        <f t="shared" si="4"/>
        <v/>
      </c>
      <c r="B17" s="249" t="str">
        <f t="shared" si="5"/>
        <v/>
      </c>
      <c r="C17" s="250"/>
      <c r="D17" s="251"/>
      <c r="E17" s="241"/>
      <c r="F17" s="252"/>
      <c r="G17" s="255"/>
      <c r="H17" s="253"/>
      <c r="I17" s="250"/>
      <c r="J17" s="250"/>
      <c r="K17" s="270"/>
      <c r="L17" s="254"/>
      <c r="M17" s="254"/>
      <c r="N17" s="254"/>
      <c r="O17" s="254"/>
      <c r="P17" s="254"/>
      <c r="Q17" s="254"/>
      <c r="R17" s="254"/>
      <c r="S17" s="379" t="str">
        <f t="shared" si="0"/>
        <v/>
      </c>
      <c r="T17" s="379" t="str">
        <f t="shared" si="1"/>
        <v/>
      </c>
      <c r="U17" s="379" t="str">
        <f t="shared" si="2"/>
        <v/>
      </c>
      <c r="V17" s="379" t="str">
        <f t="shared" si="3"/>
        <v/>
      </c>
    </row>
    <row r="18" spans="1:22" ht="18" customHeight="1" x14ac:dyDescent="0.25">
      <c r="A18" s="383" t="str">
        <f t="shared" si="4"/>
        <v/>
      </c>
      <c r="B18" s="249" t="str">
        <f t="shared" si="5"/>
        <v/>
      </c>
      <c r="C18" s="250"/>
      <c r="D18" s="251"/>
      <c r="E18" s="241"/>
      <c r="F18" s="252"/>
      <c r="G18" s="255"/>
      <c r="H18" s="253"/>
      <c r="I18" s="250"/>
      <c r="J18" s="250"/>
      <c r="K18" s="270"/>
      <c r="L18" s="254"/>
      <c r="M18" s="254"/>
      <c r="N18" s="254"/>
      <c r="O18" s="254"/>
      <c r="P18" s="254"/>
      <c r="Q18" s="254"/>
      <c r="R18" s="254"/>
      <c r="S18" s="379" t="str">
        <f t="shared" si="0"/>
        <v/>
      </c>
      <c r="T18" s="379" t="str">
        <f t="shared" si="1"/>
        <v/>
      </c>
      <c r="U18" s="379" t="str">
        <f t="shared" si="2"/>
        <v/>
      </c>
      <c r="V18" s="379" t="str">
        <f t="shared" si="3"/>
        <v/>
      </c>
    </row>
    <row r="19" spans="1:22" ht="18" customHeight="1" x14ac:dyDescent="0.25">
      <c r="A19" s="383" t="str">
        <f t="shared" si="4"/>
        <v/>
      </c>
      <c r="B19" s="249" t="str">
        <f t="shared" si="5"/>
        <v/>
      </c>
      <c r="C19" s="250"/>
      <c r="D19" s="251"/>
      <c r="E19" s="241"/>
      <c r="F19" s="252"/>
      <c r="G19" s="255"/>
      <c r="H19" s="253"/>
      <c r="I19" s="250"/>
      <c r="J19" s="250"/>
      <c r="K19" s="270"/>
      <c r="L19" s="254"/>
      <c r="M19" s="254"/>
      <c r="N19" s="254"/>
      <c r="O19" s="254"/>
      <c r="P19" s="254"/>
      <c r="Q19" s="254"/>
      <c r="R19" s="254"/>
      <c r="S19" s="379" t="str">
        <f t="shared" si="0"/>
        <v/>
      </c>
      <c r="T19" s="379" t="str">
        <f t="shared" si="1"/>
        <v/>
      </c>
      <c r="U19" s="379" t="str">
        <f t="shared" si="2"/>
        <v/>
      </c>
      <c r="V19" s="379" t="str">
        <f t="shared" si="3"/>
        <v/>
      </c>
    </row>
    <row r="20" spans="1:22" ht="18" customHeight="1" x14ac:dyDescent="0.25">
      <c r="A20" s="383" t="str">
        <f t="shared" si="4"/>
        <v/>
      </c>
      <c r="B20" s="249" t="str">
        <f t="shared" si="5"/>
        <v/>
      </c>
      <c r="C20" s="250"/>
      <c r="D20" s="251"/>
      <c r="E20" s="241"/>
      <c r="F20" s="252"/>
      <c r="G20" s="255"/>
      <c r="H20" s="253"/>
      <c r="I20" s="250"/>
      <c r="J20" s="250"/>
      <c r="K20" s="270"/>
      <c r="L20" s="254"/>
      <c r="M20" s="254"/>
      <c r="N20" s="254"/>
      <c r="O20" s="254"/>
      <c r="P20" s="254"/>
      <c r="Q20" s="254"/>
      <c r="R20" s="254"/>
      <c r="S20" s="379" t="str">
        <f t="shared" si="0"/>
        <v/>
      </c>
      <c r="T20" s="379" t="str">
        <f t="shared" si="1"/>
        <v/>
      </c>
      <c r="U20" s="379" t="str">
        <f t="shared" si="2"/>
        <v/>
      </c>
      <c r="V20" s="379" t="str">
        <f t="shared" si="3"/>
        <v/>
      </c>
    </row>
    <row r="21" spans="1:22" ht="18" customHeight="1" x14ac:dyDescent="0.25">
      <c r="A21" s="383" t="str">
        <f t="shared" si="4"/>
        <v/>
      </c>
      <c r="B21" s="249" t="str">
        <f t="shared" si="5"/>
        <v/>
      </c>
      <c r="C21" s="250"/>
      <c r="D21" s="251"/>
      <c r="E21" s="241"/>
      <c r="F21" s="252"/>
      <c r="G21" s="255"/>
      <c r="H21" s="253"/>
      <c r="I21" s="250"/>
      <c r="J21" s="250"/>
      <c r="K21" s="270"/>
      <c r="L21" s="254"/>
      <c r="M21" s="254"/>
      <c r="N21" s="254"/>
      <c r="O21" s="254"/>
      <c r="P21" s="254"/>
      <c r="Q21" s="254"/>
      <c r="R21" s="254"/>
      <c r="S21" s="379" t="str">
        <f t="shared" si="0"/>
        <v/>
      </c>
      <c r="T21" s="379" t="str">
        <f t="shared" si="1"/>
        <v/>
      </c>
      <c r="U21" s="379" t="str">
        <f t="shared" si="2"/>
        <v/>
      </c>
      <c r="V21" s="379" t="str">
        <f t="shared" si="3"/>
        <v/>
      </c>
    </row>
    <row r="22" spans="1:22" ht="18" customHeight="1" x14ac:dyDescent="0.25">
      <c r="A22" s="383" t="str">
        <f t="shared" si="4"/>
        <v/>
      </c>
      <c r="B22" s="249" t="str">
        <f t="shared" si="5"/>
        <v/>
      </c>
      <c r="C22" s="250"/>
      <c r="D22" s="251"/>
      <c r="E22" s="241"/>
      <c r="F22" s="252"/>
      <c r="G22" s="255"/>
      <c r="H22" s="253"/>
      <c r="I22" s="250"/>
      <c r="J22" s="250"/>
      <c r="K22" s="270"/>
      <c r="L22" s="254"/>
      <c r="M22" s="254"/>
      <c r="N22" s="254"/>
      <c r="O22" s="254"/>
      <c r="P22" s="254"/>
      <c r="Q22" s="254"/>
      <c r="R22" s="254"/>
      <c r="S22" s="379" t="str">
        <f t="shared" si="0"/>
        <v/>
      </c>
      <c r="T22" s="379" t="str">
        <f t="shared" si="1"/>
        <v/>
      </c>
      <c r="U22" s="379" t="str">
        <f t="shared" si="2"/>
        <v/>
      </c>
      <c r="V22" s="379" t="str">
        <f t="shared" si="3"/>
        <v/>
      </c>
    </row>
    <row r="23" spans="1:22" ht="18" customHeight="1" x14ac:dyDescent="0.25">
      <c r="A23" s="383" t="str">
        <f t="shared" si="4"/>
        <v/>
      </c>
      <c r="B23" s="249" t="str">
        <f t="shared" si="5"/>
        <v/>
      </c>
      <c r="C23" s="250"/>
      <c r="D23" s="251"/>
      <c r="E23" s="241"/>
      <c r="F23" s="252"/>
      <c r="G23" s="255"/>
      <c r="H23" s="253"/>
      <c r="I23" s="250"/>
      <c r="J23" s="250"/>
      <c r="K23" s="270"/>
      <c r="L23" s="254"/>
      <c r="M23" s="254"/>
      <c r="N23" s="254"/>
      <c r="O23" s="254"/>
      <c r="P23" s="254"/>
      <c r="Q23" s="254"/>
      <c r="R23" s="254"/>
      <c r="S23" s="379" t="str">
        <f t="shared" si="0"/>
        <v/>
      </c>
      <c r="T23" s="379" t="str">
        <f t="shared" si="1"/>
        <v/>
      </c>
      <c r="U23" s="379" t="str">
        <f t="shared" si="2"/>
        <v/>
      </c>
      <c r="V23" s="379" t="str">
        <f t="shared" si="3"/>
        <v/>
      </c>
    </row>
    <row r="24" spans="1:22" ht="18" customHeight="1" x14ac:dyDescent="0.25">
      <c r="A24" s="383" t="str">
        <f t="shared" si="4"/>
        <v/>
      </c>
      <c r="B24" s="249" t="str">
        <f t="shared" si="5"/>
        <v/>
      </c>
      <c r="C24" s="250"/>
      <c r="D24" s="251"/>
      <c r="E24" s="241"/>
      <c r="F24" s="252"/>
      <c r="G24" s="252"/>
      <c r="H24" s="253"/>
      <c r="I24" s="250"/>
      <c r="J24" s="250"/>
      <c r="K24" s="270"/>
      <c r="L24" s="254"/>
      <c r="M24" s="254"/>
      <c r="N24" s="256"/>
      <c r="O24" s="256"/>
      <c r="P24" s="256"/>
      <c r="Q24" s="254"/>
      <c r="R24" s="254"/>
      <c r="S24" s="379" t="str">
        <f t="shared" si="0"/>
        <v/>
      </c>
      <c r="T24" s="379" t="str">
        <f t="shared" si="1"/>
        <v/>
      </c>
      <c r="U24" s="379" t="str">
        <f t="shared" si="2"/>
        <v/>
      </c>
      <c r="V24" s="379" t="str">
        <f t="shared" si="3"/>
        <v/>
      </c>
    </row>
    <row r="25" spans="1:22" ht="18" customHeight="1" x14ac:dyDescent="0.25">
      <c r="A25" s="383" t="str">
        <f t="shared" si="4"/>
        <v/>
      </c>
      <c r="B25" s="249" t="str">
        <f t="shared" si="5"/>
        <v/>
      </c>
      <c r="C25" s="250"/>
      <c r="D25" s="251"/>
      <c r="E25" s="241"/>
      <c r="F25" s="252"/>
      <c r="G25" s="252"/>
      <c r="H25" s="253"/>
      <c r="I25" s="250"/>
      <c r="J25" s="250"/>
      <c r="K25" s="270"/>
      <c r="L25" s="254"/>
      <c r="M25" s="254"/>
      <c r="N25" s="256"/>
      <c r="O25" s="256"/>
      <c r="P25" s="256"/>
      <c r="Q25" s="254"/>
      <c r="R25" s="254"/>
      <c r="S25" s="379" t="str">
        <f t="shared" si="0"/>
        <v/>
      </c>
      <c r="T25" s="379" t="str">
        <f t="shared" si="1"/>
        <v/>
      </c>
      <c r="U25" s="379" t="str">
        <f t="shared" si="2"/>
        <v/>
      </c>
      <c r="V25" s="379" t="str">
        <f t="shared" si="3"/>
        <v/>
      </c>
    </row>
    <row r="26" spans="1:22" ht="18" customHeight="1" x14ac:dyDescent="0.25">
      <c r="A26" s="383" t="str">
        <f t="shared" si="4"/>
        <v/>
      </c>
      <c r="B26" s="249" t="str">
        <f t="shared" si="5"/>
        <v/>
      </c>
      <c r="C26" s="250"/>
      <c r="D26" s="251"/>
      <c r="E26" s="241"/>
      <c r="F26" s="252"/>
      <c r="G26" s="252"/>
      <c r="H26" s="253"/>
      <c r="I26" s="250"/>
      <c r="J26" s="250"/>
      <c r="K26" s="270"/>
      <c r="L26" s="254"/>
      <c r="M26" s="254"/>
      <c r="N26" s="256"/>
      <c r="O26" s="256"/>
      <c r="P26" s="256"/>
      <c r="Q26" s="254"/>
      <c r="R26" s="254"/>
      <c r="S26" s="379" t="str">
        <f t="shared" si="0"/>
        <v/>
      </c>
      <c r="T26" s="379" t="str">
        <f t="shared" si="1"/>
        <v/>
      </c>
      <c r="U26" s="379" t="str">
        <f t="shared" si="2"/>
        <v/>
      </c>
      <c r="V26" s="379" t="str">
        <f t="shared" si="3"/>
        <v/>
      </c>
    </row>
    <row r="27" spans="1:22" ht="18" customHeight="1" x14ac:dyDescent="0.25">
      <c r="A27" s="383" t="str">
        <f t="shared" si="4"/>
        <v/>
      </c>
      <c r="B27" s="249" t="str">
        <f t="shared" si="5"/>
        <v/>
      </c>
      <c r="C27" s="250"/>
      <c r="D27" s="251"/>
      <c r="E27" s="241"/>
      <c r="F27" s="252"/>
      <c r="G27" s="252"/>
      <c r="H27" s="253"/>
      <c r="I27" s="250"/>
      <c r="J27" s="250"/>
      <c r="K27" s="270"/>
      <c r="L27" s="254"/>
      <c r="M27" s="254"/>
      <c r="N27" s="256"/>
      <c r="O27" s="256"/>
      <c r="P27" s="256"/>
      <c r="Q27" s="254"/>
      <c r="R27" s="254"/>
      <c r="S27" s="379" t="str">
        <f t="shared" si="0"/>
        <v/>
      </c>
      <c r="T27" s="379" t="str">
        <f t="shared" si="1"/>
        <v/>
      </c>
      <c r="U27" s="379" t="str">
        <f t="shared" si="2"/>
        <v/>
      </c>
      <c r="V27" s="379" t="str">
        <f t="shared" si="3"/>
        <v/>
      </c>
    </row>
    <row r="28" spans="1:22" ht="18" customHeight="1" x14ac:dyDescent="0.25">
      <c r="A28" s="383" t="str">
        <f t="shared" si="4"/>
        <v/>
      </c>
      <c r="B28" s="249" t="str">
        <f t="shared" si="5"/>
        <v/>
      </c>
      <c r="C28" s="250"/>
      <c r="D28" s="251"/>
      <c r="E28" s="241"/>
      <c r="F28" s="252"/>
      <c r="G28" s="252"/>
      <c r="H28" s="253"/>
      <c r="I28" s="250"/>
      <c r="J28" s="250"/>
      <c r="K28" s="270"/>
      <c r="L28" s="254"/>
      <c r="M28" s="254"/>
      <c r="N28" s="256"/>
      <c r="O28" s="256"/>
      <c r="P28" s="256"/>
      <c r="Q28" s="254"/>
      <c r="R28" s="254"/>
      <c r="S28" s="379" t="str">
        <f t="shared" si="0"/>
        <v/>
      </c>
      <c r="T28" s="379" t="str">
        <f t="shared" si="1"/>
        <v/>
      </c>
      <c r="U28" s="379" t="str">
        <f t="shared" si="2"/>
        <v/>
      </c>
      <c r="V28" s="379" t="str">
        <f t="shared" si="3"/>
        <v/>
      </c>
    </row>
    <row r="29" spans="1:22" ht="18" customHeight="1" x14ac:dyDescent="0.25">
      <c r="A29" s="383" t="str">
        <f t="shared" si="4"/>
        <v/>
      </c>
      <c r="B29" s="249" t="str">
        <f t="shared" si="5"/>
        <v/>
      </c>
      <c r="C29" s="250"/>
      <c r="D29" s="251"/>
      <c r="E29" s="241"/>
      <c r="F29" s="252"/>
      <c r="G29" s="252"/>
      <c r="H29" s="253"/>
      <c r="I29" s="250"/>
      <c r="J29" s="250"/>
      <c r="K29" s="270"/>
      <c r="L29" s="254"/>
      <c r="M29" s="254"/>
      <c r="N29" s="256"/>
      <c r="O29" s="256"/>
      <c r="P29" s="256"/>
      <c r="Q29" s="254"/>
      <c r="R29" s="254"/>
      <c r="S29" s="379" t="str">
        <f t="shared" si="0"/>
        <v/>
      </c>
      <c r="T29" s="379" t="str">
        <f t="shared" si="1"/>
        <v/>
      </c>
      <c r="U29" s="379" t="str">
        <f t="shared" si="2"/>
        <v/>
      </c>
      <c r="V29" s="379" t="str">
        <f t="shared" si="3"/>
        <v/>
      </c>
    </row>
    <row r="30" spans="1:22" ht="18" customHeight="1" x14ac:dyDescent="0.25">
      <c r="A30" s="383" t="str">
        <f t="shared" si="4"/>
        <v/>
      </c>
      <c r="B30" s="249" t="str">
        <f t="shared" si="5"/>
        <v/>
      </c>
      <c r="C30" s="250"/>
      <c r="D30" s="251"/>
      <c r="E30" s="241"/>
      <c r="F30" s="252"/>
      <c r="G30" s="252"/>
      <c r="H30" s="253"/>
      <c r="I30" s="250"/>
      <c r="J30" s="250"/>
      <c r="K30" s="270"/>
      <c r="L30" s="254"/>
      <c r="M30" s="254"/>
      <c r="N30" s="256"/>
      <c r="O30" s="256"/>
      <c r="P30" s="256"/>
      <c r="Q30" s="254"/>
      <c r="R30" s="254"/>
      <c r="S30" s="379" t="str">
        <f t="shared" si="0"/>
        <v/>
      </c>
      <c r="T30" s="379" t="str">
        <f t="shared" si="1"/>
        <v/>
      </c>
      <c r="U30" s="379" t="str">
        <f t="shared" si="2"/>
        <v/>
      </c>
      <c r="V30" s="379" t="str">
        <f t="shared" si="3"/>
        <v/>
      </c>
    </row>
    <row r="31" spans="1:22" ht="18" customHeight="1" x14ac:dyDescent="0.25">
      <c r="A31" s="383" t="str">
        <f t="shared" si="4"/>
        <v/>
      </c>
      <c r="B31" s="249" t="str">
        <f t="shared" si="5"/>
        <v/>
      </c>
      <c r="C31" s="250"/>
      <c r="D31" s="251"/>
      <c r="E31" s="241"/>
      <c r="F31" s="252"/>
      <c r="G31" s="252"/>
      <c r="H31" s="253"/>
      <c r="I31" s="250"/>
      <c r="J31" s="250"/>
      <c r="K31" s="270"/>
      <c r="L31" s="254"/>
      <c r="M31" s="254"/>
      <c r="N31" s="256"/>
      <c r="O31" s="256"/>
      <c r="P31" s="256"/>
      <c r="Q31" s="254"/>
      <c r="R31" s="254"/>
      <c r="S31" s="379" t="str">
        <f t="shared" si="0"/>
        <v/>
      </c>
      <c r="T31" s="379" t="str">
        <f t="shared" si="1"/>
        <v/>
      </c>
      <c r="U31" s="379" t="str">
        <f t="shared" si="2"/>
        <v/>
      </c>
      <c r="V31" s="379" t="str">
        <f t="shared" si="3"/>
        <v/>
      </c>
    </row>
    <row r="32" spans="1:22" ht="18" customHeight="1" x14ac:dyDescent="0.25">
      <c r="A32" s="383" t="str">
        <f t="shared" si="4"/>
        <v/>
      </c>
      <c r="B32" s="249" t="str">
        <f t="shared" si="5"/>
        <v/>
      </c>
      <c r="C32" s="250"/>
      <c r="D32" s="251"/>
      <c r="E32" s="241"/>
      <c r="F32" s="252"/>
      <c r="G32" s="252"/>
      <c r="H32" s="253"/>
      <c r="I32" s="250"/>
      <c r="J32" s="250"/>
      <c r="K32" s="270"/>
      <c r="L32" s="254"/>
      <c r="M32" s="254"/>
      <c r="N32" s="256"/>
      <c r="O32" s="256"/>
      <c r="P32" s="256"/>
      <c r="Q32" s="254"/>
      <c r="R32" s="254"/>
      <c r="S32" s="379" t="str">
        <f t="shared" si="0"/>
        <v/>
      </c>
      <c r="T32" s="379" t="str">
        <f t="shared" si="1"/>
        <v/>
      </c>
      <c r="U32" s="379" t="str">
        <f t="shared" si="2"/>
        <v/>
      </c>
      <c r="V32" s="379" t="str">
        <f t="shared" si="3"/>
        <v/>
      </c>
    </row>
    <row r="33" spans="1:22" ht="18" customHeight="1" x14ac:dyDescent="0.25">
      <c r="A33" s="383" t="str">
        <f t="shared" si="4"/>
        <v/>
      </c>
      <c r="B33" s="249" t="str">
        <f t="shared" si="5"/>
        <v/>
      </c>
      <c r="C33" s="250"/>
      <c r="D33" s="251"/>
      <c r="E33" s="241"/>
      <c r="F33" s="252"/>
      <c r="G33" s="252"/>
      <c r="H33" s="253"/>
      <c r="I33" s="250"/>
      <c r="J33" s="250"/>
      <c r="K33" s="270"/>
      <c r="L33" s="254"/>
      <c r="M33" s="254"/>
      <c r="N33" s="256"/>
      <c r="O33" s="256"/>
      <c r="P33" s="256"/>
      <c r="Q33" s="254"/>
      <c r="R33" s="254"/>
      <c r="S33" s="379" t="str">
        <f t="shared" si="0"/>
        <v/>
      </c>
      <c r="T33" s="379" t="str">
        <f t="shared" si="1"/>
        <v/>
      </c>
      <c r="U33" s="379" t="str">
        <f t="shared" si="2"/>
        <v/>
      </c>
      <c r="V33" s="379" t="str">
        <f t="shared" si="3"/>
        <v/>
      </c>
    </row>
    <row r="34" spans="1:22" ht="18" customHeight="1" x14ac:dyDescent="0.25">
      <c r="A34" s="383" t="str">
        <f t="shared" si="4"/>
        <v/>
      </c>
      <c r="B34" s="249" t="str">
        <f t="shared" si="5"/>
        <v/>
      </c>
      <c r="C34" s="250"/>
      <c r="D34" s="251"/>
      <c r="E34" s="241"/>
      <c r="F34" s="252"/>
      <c r="G34" s="252"/>
      <c r="H34" s="253"/>
      <c r="I34" s="250"/>
      <c r="J34" s="250"/>
      <c r="K34" s="270"/>
      <c r="L34" s="254"/>
      <c r="M34" s="254"/>
      <c r="N34" s="256"/>
      <c r="O34" s="256"/>
      <c r="P34" s="256"/>
      <c r="Q34" s="254"/>
      <c r="R34" s="254"/>
      <c r="S34" s="379" t="str">
        <f t="shared" si="0"/>
        <v/>
      </c>
      <c r="T34" s="379" t="str">
        <f t="shared" si="1"/>
        <v/>
      </c>
      <c r="U34" s="379" t="str">
        <f t="shared" si="2"/>
        <v/>
      </c>
      <c r="V34" s="379" t="str">
        <f t="shared" si="3"/>
        <v/>
      </c>
    </row>
    <row r="35" spans="1:22" ht="18" customHeight="1" x14ac:dyDescent="0.25">
      <c r="A35" s="383" t="str">
        <f t="shared" si="4"/>
        <v/>
      </c>
      <c r="B35" s="249" t="str">
        <f t="shared" si="5"/>
        <v/>
      </c>
      <c r="C35" s="250"/>
      <c r="D35" s="251"/>
      <c r="E35" s="241"/>
      <c r="F35" s="252"/>
      <c r="G35" s="252"/>
      <c r="H35" s="253"/>
      <c r="I35" s="250"/>
      <c r="J35" s="250"/>
      <c r="K35" s="270"/>
      <c r="L35" s="254"/>
      <c r="M35" s="254"/>
      <c r="N35" s="256"/>
      <c r="O35" s="256"/>
      <c r="P35" s="256"/>
      <c r="Q35" s="254"/>
      <c r="R35" s="254"/>
      <c r="S35" s="379" t="str">
        <f t="shared" si="0"/>
        <v/>
      </c>
      <c r="T35" s="379" t="str">
        <f t="shared" si="1"/>
        <v/>
      </c>
      <c r="U35" s="379" t="str">
        <f t="shared" si="2"/>
        <v/>
      </c>
      <c r="V35" s="379" t="str">
        <f t="shared" si="3"/>
        <v/>
      </c>
    </row>
    <row r="36" spans="1:22" ht="18" customHeight="1" x14ac:dyDescent="0.25">
      <c r="A36" s="383" t="str">
        <f t="shared" si="4"/>
        <v/>
      </c>
      <c r="B36" s="249" t="str">
        <f t="shared" si="5"/>
        <v/>
      </c>
      <c r="C36" s="250"/>
      <c r="D36" s="251"/>
      <c r="E36" s="241"/>
      <c r="F36" s="252"/>
      <c r="G36" s="252"/>
      <c r="H36" s="253"/>
      <c r="I36" s="250"/>
      <c r="J36" s="250"/>
      <c r="K36" s="270"/>
      <c r="L36" s="254"/>
      <c r="M36" s="254"/>
      <c r="N36" s="256"/>
      <c r="O36" s="256"/>
      <c r="P36" s="256"/>
      <c r="Q36" s="254"/>
      <c r="R36" s="254"/>
      <c r="S36" s="379" t="str">
        <f t="shared" si="0"/>
        <v/>
      </c>
      <c r="T36" s="379" t="str">
        <f t="shared" si="1"/>
        <v/>
      </c>
      <c r="U36" s="379" t="str">
        <f t="shared" si="2"/>
        <v/>
      </c>
      <c r="V36" s="379" t="str">
        <f t="shared" si="3"/>
        <v/>
      </c>
    </row>
    <row r="37" spans="1:22" ht="18" customHeight="1" x14ac:dyDescent="0.25">
      <c r="A37" s="383" t="str">
        <f t="shared" si="4"/>
        <v/>
      </c>
      <c r="B37" s="249" t="str">
        <f t="shared" si="5"/>
        <v/>
      </c>
      <c r="C37" s="250"/>
      <c r="D37" s="251"/>
      <c r="E37" s="241"/>
      <c r="F37" s="252"/>
      <c r="G37" s="252"/>
      <c r="H37" s="253"/>
      <c r="I37" s="250"/>
      <c r="J37" s="250"/>
      <c r="K37" s="270"/>
      <c r="L37" s="254"/>
      <c r="M37" s="254"/>
      <c r="N37" s="256"/>
      <c r="O37" s="256"/>
      <c r="P37" s="256"/>
      <c r="Q37" s="254"/>
      <c r="R37" s="254"/>
      <c r="S37" s="379" t="str">
        <f t="shared" si="0"/>
        <v/>
      </c>
      <c r="T37" s="379" t="str">
        <f t="shared" si="1"/>
        <v/>
      </c>
      <c r="U37" s="379" t="str">
        <f t="shared" si="2"/>
        <v/>
      </c>
      <c r="V37" s="379" t="str">
        <f t="shared" si="3"/>
        <v/>
      </c>
    </row>
    <row r="38" spans="1:22" ht="18" customHeight="1" x14ac:dyDescent="0.25">
      <c r="A38" s="383" t="str">
        <f t="shared" si="4"/>
        <v/>
      </c>
      <c r="B38" s="249" t="str">
        <f t="shared" si="5"/>
        <v/>
      </c>
      <c r="C38" s="250"/>
      <c r="D38" s="251"/>
      <c r="E38" s="241"/>
      <c r="F38" s="252"/>
      <c r="G38" s="252"/>
      <c r="H38" s="253"/>
      <c r="I38" s="250"/>
      <c r="J38" s="250"/>
      <c r="K38" s="270"/>
      <c r="L38" s="254"/>
      <c r="M38" s="254"/>
      <c r="N38" s="256"/>
      <c r="O38" s="256"/>
      <c r="P38" s="256"/>
      <c r="Q38" s="254"/>
      <c r="R38" s="254"/>
      <c r="S38" s="379" t="str">
        <f t="shared" si="0"/>
        <v/>
      </c>
      <c r="T38" s="379" t="str">
        <f t="shared" si="1"/>
        <v/>
      </c>
      <c r="U38" s="379" t="str">
        <f t="shared" si="2"/>
        <v/>
      </c>
      <c r="V38" s="379" t="str">
        <f t="shared" si="3"/>
        <v/>
      </c>
    </row>
    <row r="39" spans="1:22" ht="18" customHeight="1" x14ac:dyDescent="0.25">
      <c r="A39" s="383" t="str">
        <f t="shared" si="4"/>
        <v/>
      </c>
      <c r="B39" s="249" t="str">
        <f t="shared" si="5"/>
        <v/>
      </c>
      <c r="C39" s="250"/>
      <c r="D39" s="251"/>
      <c r="E39" s="241"/>
      <c r="F39" s="252"/>
      <c r="G39" s="252"/>
      <c r="H39" s="253"/>
      <c r="I39" s="250"/>
      <c r="J39" s="250"/>
      <c r="K39" s="270"/>
      <c r="L39" s="254"/>
      <c r="M39" s="254"/>
      <c r="N39" s="256"/>
      <c r="O39" s="256"/>
      <c r="P39" s="256"/>
      <c r="Q39" s="254"/>
      <c r="R39" s="254"/>
      <c r="S39" s="379" t="str">
        <f t="shared" si="0"/>
        <v/>
      </c>
      <c r="T39" s="379" t="str">
        <f t="shared" si="1"/>
        <v/>
      </c>
      <c r="U39" s="379" t="str">
        <f t="shared" si="2"/>
        <v/>
      </c>
      <c r="V39" s="379" t="str">
        <f t="shared" si="3"/>
        <v/>
      </c>
    </row>
    <row r="40" spans="1:22" ht="18" customHeight="1" x14ac:dyDescent="0.25">
      <c r="A40" s="383" t="str">
        <f t="shared" si="4"/>
        <v/>
      </c>
      <c r="B40" s="249" t="str">
        <f t="shared" si="5"/>
        <v/>
      </c>
      <c r="C40" s="250"/>
      <c r="D40" s="251"/>
      <c r="E40" s="241"/>
      <c r="F40" s="252"/>
      <c r="G40" s="252"/>
      <c r="H40" s="253"/>
      <c r="I40" s="250"/>
      <c r="J40" s="250"/>
      <c r="K40" s="270"/>
      <c r="L40" s="254"/>
      <c r="M40" s="254"/>
      <c r="N40" s="256"/>
      <c r="O40" s="256"/>
      <c r="P40" s="256"/>
      <c r="Q40" s="254"/>
      <c r="R40" s="254"/>
      <c r="S40" s="379" t="str">
        <f t="shared" si="0"/>
        <v/>
      </c>
      <c r="T40" s="379" t="str">
        <f t="shared" si="1"/>
        <v/>
      </c>
      <c r="U40" s="379" t="str">
        <f t="shared" si="2"/>
        <v/>
      </c>
      <c r="V40" s="379" t="str">
        <f t="shared" si="3"/>
        <v/>
      </c>
    </row>
    <row r="41" spans="1:22" ht="18" customHeight="1" x14ac:dyDescent="0.25">
      <c r="A41" s="383" t="str">
        <f t="shared" si="4"/>
        <v/>
      </c>
      <c r="B41" s="249" t="str">
        <f t="shared" si="5"/>
        <v/>
      </c>
      <c r="C41" s="250"/>
      <c r="D41" s="251"/>
      <c r="E41" s="241"/>
      <c r="F41" s="252"/>
      <c r="G41" s="252"/>
      <c r="H41" s="253"/>
      <c r="I41" s="250"/>
      <c r="J41" s="250"/>
      <c r="K41" s="270"/>
      <c r="L41" s="254"/>
      <c r="M41" s="254"/>
      <c r="N41" s="256"/>
      <c r="O41" s="256"/>
      <c r="P41" s="256"/>
      <c r="Q41" s="254"/>
      <c r="R41" s="254"/>
      <c r="S41" s="379" t="str">
        <f t="shared" si="0"/>
        <v/>
      </c>
      <c r="T41" s="379" t="str">
        <f t="shared" si="1"/>
        <v/>
      </c>
      <c r="U41" s="379" t="str">
        <f t="shared" si="2"/>
        <v/>
      </c>
      <c r="V41" s="379" t="str">
        <f t="shared" si="3"/>
        <v/>
      </c>
    </row>
    <row r="42" spans="1:22" ht="18" customHeight="1" x14ac:dyDescent="0.25">
      <c r="A42" s="383" t="str">
        <f t="shared" si="4"/>
        <v/>
      </c>
      <c r="B42" s="249" t="str">
        <f t="shared" si="5"/>
        <v/>
      </c>
      <c r="C42" s="250"/>
      <c r="D42" s="251"/>
      <c r="E42" s="241"/>
      <c r="F42" s="252"/>
      <c r="G42" s="252"/>
      <c r="H42" s="253"/>
      <c r="I42" s="250"/>
      <c r="J42" s="250"/>
      <c r="K42" s="270"/>
      <c r="L42" s="254"/>
      <c r="M42" s="254"/>
      <c r="N42" s="256"/>
      <c r="O42" s="256"/>
      <c r="P42" s="256"/>
      <c r="Q42" s="254"/>
      <c r="R42" s="254"/>
      <c r="S42" s="379" t="str">
        <f t="shared" si="0"/>
        <v/>
      </c>
      <c r="T42" s="379" t="str">
        <f t="shared" si="1"/>
        <v/>
      </c>
      <c r="U42" s="379" t="str">
        <f t="shared" si="2"/>
        <v/>
      </c>
      <c r="V42" s="379" t="str">
        <f t="shared" si="3"/>
        <v/>
      </c>
    </row>
    <row r="43" spans="1:22" ht="18" customHeight="1" x14ac:dyDescent="0.25">
      <c r="A43" s="383" t="str">
        <f t="shared" si="4"/>
        <v/>
      </c>
      <c r="B43" s="249" t="str">
        <f t="shared" si="5"/>
        <v/>
      </c>
      <c r="C43" s="250"/>
      <c r="D43" s="251"/>
      <c r="E43" s="241"/>
      <c r="F43" s="252"/>
      <c r="G43" s="252"/>
      <c r="H43" s="253"/>
      <c r="I43" s="250"/>
      <c r="J43" s="250"/>
      <c r="K43" s="270"/>
      <c r="L43" s="254"/>
      <c r="M43" s="254"/>
      <c r="N43" s="256"/>
      <c r="O43" s="256"/>
      <c r="P43" s="256"/>
      <c r="Q43" s="254"/>
      <c r="R43" s="254"/>
      <c r="S43" s="379" t="str">
        <f t="shared" si="0"/>
        <v/>
      </c>
      <c r="T43" s="379" t="str">
        <f t="shared" si="1"/>
        <v/>
      </c>
      <c r="U43" s="379" t="str">
        <f t="shared" si="2"/>
        <v/>
      </c>
      <c r="V43" s="379" t="str">
        <f t="shared" si="3"/>
        <v/>
      </c>
    </row>
    <row r="44" spans="1:22" ht="18" customHeight="1" x14ac:dyDescent="0.25">
      <c r="A44" s="383" t="str">
        <f t="shared" si="4"/>
        <v/>
      </c>
      <c r="B44" s="249" t="str">
        <f t="shared" si="5"/>
        <v/>
      </c>
      <c r="C44" s="250"/>
      <c r="D44" s="251"/>
      <c r="E44" s="241"/>
      <c r="F44" s="252"/>
      <c r="G44" s="252"/>
      <c r="H44" s="253"/>
      <c r="I44" s="250"/>
      <c r="J44" s="250"/>
      <c r="K44" s="270"/>
      <c r="L44" s="254"/>
      <c r="M44" s="254"/>
      <c r="N44" s="256"/>
      <c r="O44" s="256"/>
      <c r="P44" s="256"/>
      <c r="Q44" s="254"/>
      <c r="R44" s="254"/>
      <c r="S44" s="379" t="str">
        <f t="shared" si="0"/>
        <v/>
      </c>
      <c r="T44" s="379" t="str">
        <f t="shared" si="1"/>
        <v/>
      </c>
      <c r="U44" s="379" t="str">
        <f t="shared" si="2"/>
        <v/>
      </c>
      <c r="V44" s="379" t="str">
        <f t="shared" si="3"/>
        <v/>
      </c>
    </row>
    <row r="45" spans="1:22" ht="18" customHeight="1" x14ac:dyDescent="0.25">
      <c r="A45" s="383" t="str">
        <f t="shared" si="4"/>
        <v/>
      </c>
      <c r="B45" s="249" t="str">
        <f t="shared" si="5"/>
        <v/>
      </c>
      <c r="C45" s="250"/>
      <c r="D45" s="251"/>
      <c r="E45" s="241"/>
      <c r="F45" s="252"/>
      <c r="G45" s="252"/>
      <c r="H45" s="253"/>
      <c r="I45" s="250"/>
      <c r="J45" s="250"/>
      <c r="K45" s="270"/>
      <c r="L45" s="254"/>
      <c r="M45" s="254"/>
      <c r="N45" s="256"/>
      <c r="O45" s="256"/>
      <c r="P45" s="256"/>
      <c r="Q45" s="254"/>
      <c r="R45" s="254"/>
      <c r="S45" s="379" t="str">
        <f t="shared" si="0"/>
        <v/>
      </c>
      <c r="T45" s="379" t="str">
        <f t="shared" si="1"/>
        <v/>
      </c>
      <c r="U45" s="379" t="str">
        <f t="shared" si="2"/>
        <v/>
      </c>
      <c r="V45" s="379" t="str">
        <f t="shared" si="3"/>
        <v/>
      </c>
    </row>
    <row r="46" spans="1:22" ht="18" customHeight="1" x14ac:dyDescent="0.25">
      <c r="A46" s="383" t="str">
        <f t="shared" si="4"/>
        <v/>
      </c>
      <c r="B46" s="249" t="str">
        <f t="shared" si="5"/>
        <v/>
      </c>
      <c r="C46" s="250"/>
      <c r="D46" s="251"/>
      <c r="E46" s="241"/>
      <c r="F46" s="252"/>
      <c r="G46" s="252"/>
      <c r="H46" s="253"/>
      <c r="I46" s="250"/>
      <c r="J46" s="250"/>
      <c r="K46" s="270"/>
      <c r="L46" s="254"/>
      <c r="M46" s="254"/>
      <c r="N46" s="256"/>
      <c r="O46" s="256"/>
      <c r="P46" s="256"/>
      <c r="Q46" s="254"/>
      <c r="R46" s="254"/>
      <c r="S46" s="379" t="str">
        <f t="shared" si="0"/>
        <v/>
      </c>
      <c r="T46" s="379" t="str">
        <f t="shared" si="1"/>
        <v/>
      </c>
      <c r="U46" s="379" t="str">
        <f t="shared" si="2"/>
        <v/>
      </c>
      <c r="V46" s="379" t="str">
        <f t="shared" si="3"/>
        <v/>
      </c>
    </row>
    <row r="47" spans="1:22" ht="18" customHeight="1" x14ac:dyDescent="0.25">
      <c r="A47" s="383" t="str">
        <f t="shared" si="4"/>
        <v/>
      </c>
      <c r="B47" s="249" t="str">
        <f t="shared" si="5"/>
        <v/>
      </c>
      <c r="C47" s="250"/>
      <c r="D47" s="251"/>
      <c r="E47" s="241"/>
      <c r="F47" s="252"/>
      <c r="G47" s="252"/>
      <c r="H47" s="253"/>
      <c r="I47" s="250"/>
      <c r="J47" s="250"/>
      <c r="K47" s="270"/>
      <c r="L47" s="254"/>
      <c r="M47" s="254"/>
      <c r="N47" s="256"/>
      <c r="O47" s="256"/>
      <c r="P47" s="256"/>
      <c r="Q47" s="254"/>
      <c r="R47" s="254"/>
      <c r="S47" s="379" t="str">
        <f t="shared" si="0"/>
        <v/>
      </c>
      <c r="T47" s="379" t="str">
        <f t="shared" si="1"/>
        <v/>
      </c>
      <c r="U47" s="379" t="str">
        <f t="shared" si="2"/>
        <v/>
      </c>
      <c r="V47" s="379" t="str">
        <f t="shared" si="3"/>
        <v/>
      </c>
    </row>
    <row r="48" spans="1:22" ht="18" customHeight="1" x14ac:dyDescent="0.25">
      <c r="A48" s="383" t="str">
        <f t="shared" si="4"/>
        <v/>
      </c>
      <c r="B48" s="249" t="str">
        <f t="shared" si="5"/>
        <v/>
      </c>
      <c r="C48" s="250"/>
      <c r="D48" s="251"/>
      <c r="E48" s="241"/>
      <c r="F48" s="252"/>
      <c r="G48" s="252"/>
      <c r="H48" s="253"/>
      <c r="I48" s="250"/>
      <c r="J48" s="250"/>
      <c r="K48" s="270"/>
      <c r="L48" s="254"/>
      <c r="M48" s="254"/>
      <c r="N48" s="256"/>
      <c r="O48" s="256"/>
      <c r="P48" s="256"/>
      <c r="Q48" s="254"/>
      <c r="R48" s="254"/>
      <c r="S48" s="379" t="str">
        <f t="shared" si="0"/>
        <v/>
      </c>
      <c r="T48" s="379" t="str">
        <f t="shared" si="1"/>
        <v/>
      </c>
      <c r="U48" s="379" t="str">
        <f t="shared" si="2"/>
        <v/>
      </c>
      <c r="V48" s="379" t="str">
        <f t="shared" si="3"/>
        <v/>
      </c>
    </row>
    <row r="49" spans="1:22" ht="18" customHeight="1" x14ac:dyDescent="0.25">
      <c r="A49" s="383" t="str">
        <f t="shared" si="4"/>
        <v/>
      </c>
      <c r="B49" s="249" t="str">
        <f t="shared" si="5"/>
        <v/>
      </c>
      <c r="C49" s="250"/>
      <c r="D49" s="251"/>
      <c r="E49" s="241"/>
      <c r="F49" s="252"/>
      <c r="G49" s="252"/>
      <c r="H49" s="253"/>
      <c r="I49" s="250"/>
      <c r="J49" s="250"/>
      <c r="K49" s="270"/>
      <c r="L49" s="254"/>
      <c r="M49" s="254"/>
      <c r="N49" s="256"/>
      <c r="O49" s="256"/>
      <c r="P49" s="256"/>
      <c r="Q49" s="254"/>
      <c r="R49" s="254"/>
      <c r="S49" s="379" t="str">
        <f t="shared" si="0"/>
        <v/>
      </c>
      <c r="T49" s="379" t="str">
        <f t="shared" si="1"/>
        <v/>
      </c>
      <c r="U49" s="379" t="str">
        <f t="shared" si="2"/>
        <v/>
      </c>
      <c r="V49" s="379" t="str">
        <f t="shared" si="3"/>
        <v/>
      </c>
    </row>
    <row r="50" spans="1:22" ht="18" customHeight="1" x14ac:dyDescent="0.25">
      <c r="A50" s="383" t="str">
        <f t="shared" si="4"/>
        <v/>
      </c>
      <c r="B50" s="249" t="str">
        <f t="shared" si="5"/>
        <v/>
      </c>
      <c r="C50" s="250"/>
      <c r="D50" s="251"/>
      <c r="E50" s="241"/>
      <c r="F50" s="252"/>
      <c r="G50" s="252"/>
      <c r="H50" s="253"/>
      <c r="I50" s="250"/>
      <c r="J50" s="250"/>
      <c r="K50" s="270"/>
      <c r="L50" s="254"/>
      <c r="M50" s="254"/>
      <c r="N50" s="256"/>
      <c r="O50" s="256"/>
      <c r="P50" s="256"/>
      <c r="Q50" s="254"/>
      <c r="R50" s="254"/>
      <c r="S50" s="379" t="str">
        <f t="shared" si="0"/>
        <v/>
      </c>
      <c r="T50" s="379" t="str">
        <f t="shared" si="1"/>
        <v/>
      </c>
      <c r="U50" s="379" t="str">
        <f t="shared" si="2"/>
        <v/>
      </c>
      <c r="V50" s="379" t="str">
        <f t="shared" si="3"/>
        <v/>
      </c>
    </row>
    <row r="51" spans="1:22" ht="18" customHeight="1" x14ac:dyDescent="0.25">
      <c r="A51" s="383" t="str">
        <f t="shared" si="4"/>
        <v/>
      </c>
      <c r="B51" s="249" t="str">
        <f t="shared" si="5"/>
        <v/>
      </c>
      <c r="C51" s="250"/>
      <c r="D51" s="251"/>
      <c r="E51" s="241"/>
      <c r="F51" s="252"/>
      <c r="G51" s="252"/>
      <c r="H51" s="253"/>
      <c r="I51" s="250"/>
      <c r="J51" s="250"/>
      <c r="K51" s="270"/>
      <c r="L51" s="254"/>
      <c r="M51" s="254"/>
      <c r="N51" s="256"/>
      <c r="O51" s="256"/>
      <c r="P51" s="256"/>
      <c r="Q51" s="254"/>
      <c r="R51" s="254"/>
      <c r="S51" s="379" t="str">
        <f t="shared" si="0"/>
        <v/>
      </c>
      <c r="T51" s="379" t="str">
        <f t="shared" si="1"/>
        <v/>
      </c>
      <c r="U51" s="379" t="str">
        <f t="shared" si="2"/>
        <v/>
      </c>
      <c r="V51" s="379" t="str">
        <f t="shared" si="3"/>
        <v/>
      </c>
    </row>
    <row r="52" spans="1:22" ht="18" customHeight="1" x14ac:dyDescent="0.25">
      <c r="A52" s="383" t="str">
        <f t="shared" si="4"/>
        <v/>
      </c>
      <c r="B52" s="249" t="str">
        <f t="shared" si="5"/>
        <v/>
      </c>
      <c r="C52" s="250"/>
      <c r="D52" s="251"/>
      <c r="E52" s="241"/>
      <c r="F52" s="252"/>
      <c r="G52" s="252"/>
      <c r="H52" s="253"/>
      <c r="I52" s="250"/>
      <c r="J52" s="250"/>
      <c r="K52" s="270"/>
      <c r="L52" s="254"/>
      <c r="M52" s="254"/>
      <c r="N52" s="254"/>
      <c r="O52" s="254"/>
      <c r="P52" s="254"/>
      <c r="Q52" s="254"/>
      <c r="R52" s="254"/>
      <c r="S52" s="379" t="str">
        <f t="shared" si="0"/>
        <v/>
      </c>
      <c r="T52" s="379" t="str">
        <f t="shared" si="1"/>
        <v/>
      </c>
      <c r="U52" s="379" t="str">
        <f t="shared" si="2"/>
        <v/>
      </c>
      <c r="V52" s="379" t="str">
        <f t="shared" si="3"/>
        <v/>
      </c>
    </row>
    <row r="53" spans="1:22" ht="18" customHeight="1" x14ac:dyDescent="0.25">
      <c r="A53" s="383" t="str">
        <f t="shared" si="4"/>
        <v/>
      </c>
      <c r="B53" s="249" t="str">
        <f t="shared" si="5"/>
        <v/>
      </c>
      <c r="C53" s="250"/>
      <c r="D53" s="251"/>
      <c r="E53" s="241"/>
      <c r="F53" s="252"/>
      <c r="G53" s="252"/>
      <c r="H53" s="253"/>
      <c r="I53" s="250"/>
      <c r="J53" s="250"/>
      <c r="K53" s="270"/>
      <c r="L53" s="254"/>
      <c r="M53" s="254"/>
      <c r="N53" s="254"/>
      <c r="O53" s="254"/>
      <c r="P53" s="254"/>
      <c r="Q53" s="254"/>
      <c r="R53" s="254"/>
      <c r="S53" s="379" t="str">
        <f t="shared" si="0"/>
        <v/>
      </c>
      <c r="T53" s="379" t="str">
        <f t="shared" si="1"/>
        <v/>
      </c>
      <c r="U53" s="379" t="str">
        <f t="shared" si="2"/>
        <v/>
      </c>
      <c r="V53" s="379" t="str">
        <f t="shared" si="3"/>
        <v/>
      </c>
    </row>
    <row r="54" spans="1:22" ht="18" customHeight="1" x14ac:dyDescent="0.25">
      <c r="A54" s="383" t="str">
        <f t="shared" si="4"/>
        <v/>
      </c>
      <c r="B54" s="249" t="str">
        <f t="shared" si="5"/>
        <v/>
      </c>
      <c r="C54" s="250"/>
      <c r="D54" s="251"/>
      <c r="E54" s="241"/>
      <c r="F54" s="252"/>
      <c r="G54" s="252"/>
      <c r="H54" s="253"/>
      <c r="I54" s="250"/>
      <c r="J54" s="250"/>
      <c r="K54" s="270"/>
      <c r="L54" s="254"/>
      <c r="M54" s="254"/>
      <c r="N54" s="254"/>
      <c r="O54" s="254"/>
      <c r="P54" s="254"/>
      <c r="Q54" s="254"/>
      <c r="R54" s="254"/>
      <c r="S54" s="379" t="str">
        <f t="shared" si="0"/>
        <v/>
      </c>
      <c r="T54" s="379" t="str">
        <f t="shared" si="1"/>
        <v/>
      </c>
      <c r="U54" s="379" t="str">
        <f t="shared" si="2"/>
        <v/>
      </c>
      <c r="V54" s="379" t="str">
        <f t="shared" si="3"/>
        <v/>
      </c>
    </row>
    <row r="55" spans="1:22" ht="18" customHeight="1" x14ac:dyDescent="0.25">
      <c r="A55" s="383" t="str">
        <f t="shared" si="4"/>
        <v/>
      </c>
      <c r="B55" s="249" t="str">
        <f t="shared" si="5"/>
        <v/>
      </c>
      <c r="C55" s="250"/>
      <c r="D55" s="251"/>
      <c r="E55" s="241"/>
      <c r="F55" s="252"/>
      <c r="G55" s="252"/>
      <c r="H55" s="253"/>
      <c r="I55" s="250"/>
      <c r="J55" s="250"/>
      <c r="K55" s="270"/>
      <c r="L55" s="254"/>
      <c r="M55" s="254"/>
      <c r="N55" s="254"/>
      <c r="O55" s="254"/>
      <c r="P55" s="254"/>
      <c r="Q55" s="254"/>
      <c r="R55" s="254"/>
      <c r="S55" s="379" t="str">
        <f t="shared" si="0"/>
        <v/>
      </c>
      <c r="T55" s="379" t="str">
        <f t="shared" si="1"/>
        <v/>
      </c>
      <c r="U55" s="379" t="str">
        <f t="shared" si="2"/>
        <v/>
      </c>
      <c r="V55" s="379" t="str">
        <f t="shared" si="3"/>
        <v/>
      </c>
    </row>
    <row r="56" spans="1:22" ht="18" customHeight="1" x14ac:dyDescent="0.25">
      <c r="A56" s="383" t="str">
        <f t="shared" si="4"/>
        <v/>
      </c>
      <c r="B56" s="249" t="str">
        <f t="shared" si="5"/>
        <v/>
      </c>
      <c r="C56" s="250"/>
      <c r="D56" s="251"/>
      <c r="E56" s="241"/>
      <c r="F56" s="252"/>
      <c r="G56" s="252"/>
      <c r="H56" s="253"/>
      <c r="I56" s="250"/>
      <c r="J56" s="250"/>
      <c r="K56" s="270"/>
      <c r="L56" s="254"/>
      <c r="M56" s="254"/>
      <c r="N56" s="254"/>
      <c r="O56" s="254"/>
      <c r="P56" s="254"/>
      <c r="Q56" s="254"/>
      <c r="R56" s="254"/>
      <c r="S56" s="379" t="str">
        <f t="shared" si="0"/>
        <v/>
      </c>
      <c r="T56" s="379" t="str">
        <f t="shared" si="1"/>
        <v/>
      </c>
      <c r="U56" s="379" t="str">
        <f t="shared" si="2"/>
        <v/>
      </c>
      <c r="V56" s="379" t="str">
        <f t="shared" si="3"/>
        <v/>
      </c>
    </row>
    <row r="57" spans="1:22" x14ac:dyDescent="0.25">
      <c r="L57" s="268"/>
      <c r="M57" s="268"/>
      <c r="N57" s="268"/>
      <c r="O57" s="268"/>
      <c r="P57" s="268"/>
      <c r="Q57" s="268"/>
    </row>
    <row r="58" spans="1:22" x14ac:dyDescent="0.25">
      <c r="L58" s="268"/>
      <c r="M58" s="268"/>
      <c r="N58" s="268"/>
      <c r="O58" s="268"/>
      <c r="P58" s="268"/>
      <c r="Q58" s="268"/>
    </row>
    <row r="59" spans="1:22" x14ac:dyDescent="0.25">
      <c r="L59" s="268"/>
      <c r="M59" s="268"/>
      <c r="N59" s="268"/>
      <c r="O59" s="268"/>
      <c r="P59" s="268"/>
      <c r="Q59" s="268"/>
    </row>
    <row r="60" spans="1:22" x14ac:dyDescent="0.25">
      <c r="L60" s="268"/>
      <c r="M60" s="268"/>
      <c r="N60" s="268"/>
      <c r="O60" s="268"/>
      <c r="P60" s="268"/>
      <c r="Q60" s="268"/>
    </row>
    <row r="61" spans="1:22" x14ac:dyDescent="0.25">
      <c r="L61" s="268"/>
      <c r="M61" s="268"/>
      <c r="N61" s="268"/>
      <c r="O61" s="268"/>
      <c r="P61" s="268"/>
      <c r="Q61" s="268"/>
    </row>
    <row r="62" spans="1:22" x14ac:dyDescent="0.25">
      <c r="L62" s="268"/>
      <c r="M62" s="268"/>
      <c r="N62" s="268"/>
      <c r="O62" s="268"/>
      <c r="P62" s="268"/>
      <c r="Q62" s="268"/>
    </row>
    <row r="63" spans="1:22" x14ac:dyDescent="0.25">
      <c r="L63" s="268"/>
      <c r="M63" s="268"/>
      <c r="N63" s="268"/>
      <c r="O63" s="268"/>
      <c r="P63" s="268"/>
      <c r="Q63" s="268"/>
    </row>
    <row r="64" spans="1:22" x14ac:dyDescent="0.25">
      <c r="L64" s="268"/>
      <c r="M64" s="268"/>
      <c r="N64" s="268"/>
      <c r="O64" s="268"/>
      <c r="P64" s="268"/>
      <c r="Q64" s="268"/>
    </row>
    <row r="65" spans="12:17" x14ac:dyDescent="0.25">
      <c r="L65" s="268"/>
      <c r="M65" s="268"/>
      <c r="N65" s="268"/>
      <c r="O65" s="268"/>
      <c r="P65" s="268"/>
      <c r="Q65" s="268"/>
    </row>
    <row r="66" spans="12:17" x14ac:dyDescent="0.25">
      <c r="L66" s="268"/>
      <c r="M66" s="268"/>
      <c r="N66" s="268"/>
      <c r="O66" s="268"/>
      <c r="P66" s="268"/>
      <c r="Q66" s="268"/>
    </row>
    <row r="67" spans="12:17" x14ac:dyDescent="0.25">
      <c r="L67" s="268"/>
      <c r="M67" s="268"/>
      <c r="N67" s="268"/>
      <c r="O67" s="268"/>
      <c r="P67" s="268"/>
      <c r="Q67" s="268"/>
    </row>
    <row r="68" spans="12:17" x14ac:dyDescent="0.25">
      <c r="L68" s="268"/>
      <c r="M68" s="268"/>
      <c r="N68" s="268"/>
      <c r="O68" s="268"/>
      <c r="P68" s="268"/>
      <c r="Q68" s="268"/>
    </row>
    <row r="69" spans="12:17" x14ac:dyDescent="0.25">
      <c r="L69" s="268"/>
      <c r="M69" s="268"/>
      <c r="N69" s="268"/>
      <c r="O69" s="268"/>
      <c r="P69" s="268"/>
      <c r="Q69" s="268"/>
    </row>
    <row r="70" spans="12:17" x14ac:dyDescent="0.25">
      <c r="L70" s="268"/>
      <c r="M70" s="268"/>
      <c r="N70" s="268"/>
      <c r="O70" s="268"/>
      <c r="P70" s="268"/>
      <c r="Q70" s="268"/>
    </row>
    <row r="71" spans="12:17" x14ac:dyDescent="0.25">
      <c r="L71" s="268"/>
      <c r="M71" s="268"/>
      <c r="N71" s="268"/>
      <c r="O71" s="268"/>
      <c r="P71" s="268"/>
      <c r="Q71" s="268"/>
    </row>
    <row r="72" spans="12:17" x14ac:dyDescent="0.25">
      <c r="L72" s="268"/>
      <c r="M72" s="268"/>
      <c r="N72" s="268"/>
      <c r="O72" s="268"/>
      <c r="P72" s="268"/>
      <c r="Q72" s="268"/>
    </row>
    <row r="73" spans="12:17" x14ac:dyDescent="0.25">
      <c r="L73" s="268"/>
      <c r="M73" s="268"/>
      <c r="N73" s="268"/>
      <c r="O73" s="268"/>
      <c r="P73" s="268"/>
      <c r="Q73" s="268"/>
    </row>
    <row r="74" spans="12:17" x14ac:dyDescent="0.25">
      <c r="L74" s="268"/>
      <c r="M74" s="268"/>
      <c r="N74" s="268"/>
      <c r="O74" s="268"/>
      <c r="P74" s="268"/>
      <c r="Q74" s="268"/>
    </row>
    <row r="75" spans="12:17" x14ac:dyDescent="0.25">
      <c r="L75" s="268"/>
      <c r="M75" s="268"/>
      <c r="N75" s="268"/>
      <c r="O75" s="268"/>
      <c r="P75" s="268"/>
      <c r="Q75" s="268"/>
    </row>
    <row r="76" spans="12:17" x14ac:dyDescent="0.25">
      <c r="L76" s="268"/>
      <c r="M76" s="268"/>
      <c r="N76" s="268"/>
      <c r="O76" s="268"/>
      <c r="P76" s="268"/>
      <c r="Q76" s="268"/>
    </row>
    <row r="77" spans="12:17" x14ac:dyDescent="0.25">
      <c r="L77" s="268"/>
      <c r="M77" s="268"/>
      <c r="N77" s="268"/>
      <c r="O77" s="268"/>
      <c r="P77" s="268"/>
      <c r="Q77" s="268"/>
    </row>
    <row r="78" spans="12:17" x14ac:dyDescent="0.25">
      <c r="L78" s="268"/>
      <c r="M78" s="268"/>
      <c r="N78" s="268"/>
      <c r="O78" s="268"/>
      <c r="P78" s="268"/>
      <c r="Q78" s="268"/>
    </row>
    <row r="79" spans="12:17" x14ac:dyDescent="0.25">
      <c r="L79" s="268"/>
      <c r="M79" s="268"/>
      <c r="N79" s="268"/>
      <c r="O79" s="268"/>
      <c r="P79" s="268"/>
      <c r="Q79" s="268"/>
    </row>
    <row r="80" spans="12:17" x14ac:dyDescent="0.25">
      <c r="L80" s="268"/>
      <c r="M80" s="268"/>
      <c r="N80" s="268"/>
      <c r="O80" s="268"/>
      <c r="P80" s="268"/>
      <c r="Q80" s="268"/>
    </row>
    <row r="81" spans="12:17" x14ac:dyDescent="0.25">
      <c r="L81" s="268"/>
      <c r="M81" s="268"/>
      <c r="N81" s="268"/>
      <c r="O81" s="268"/>
      <c r="P81" s="268"/>
      <c r="Q81" s="268"/>
    </row>
    <row r="82" spans="12:17" x14ac:dyDescent="0.25">
      <c r="L82" s="268"/>
      <c r="M82" s="268"/>
      <c r="N82" s="268"/>
      <c r="O82" s="268"/>
      <c r="P82" s="268"/>
      <c r="Q82" s="268"/>
    </row>
    <row r="83" spans="12:17" x14ac:dyDescent="0.25">
      <c r="L83" s="268"/>
      <c r="M83" s="268"/>
      <c r="N83" s="268"/>
      <c r="O83" s="268"/>
      <c r="P83" s="268"/>
      <c r="Q83" s="268"/>
    </row>
    <row r="84" spans="12:17" x14ac:dyDescent="0.25">
      <c r="L84" s="268"/>
      <c r="M84" s="268"/>
      <c r="N84" s="268"/>
      <c r="O84" s="268"/>
      <c r="P84" s="268"/>
      <c r="Q84" s="268"/>
    </row>
    <row r="85" spans="12:17" x14ac:dyDescent="0.25">
      <c r="L85" s="268"/>
      <c r="M85" s="268"/>
      <c r="N85" s="268"/>
      <c r="O85" s="268"/>
      <c r="P85" s="268"/>
      <c r="Q85" s="268"/>
    </row>
    <row r="86" spans="12:17" x14ac:dyDescent="0.25">
      <c r="L86" s="268"/>
      <c r="M86" s="268"/>
      <c r="N86" s="268"/>
      <c r="O86" s="268"/>
      <c r="P86" s="268"/>
      <c r="Q86" s="268"/>
    </row>
    <row r="87" spans="12:17" x14ac:dyDescent="0.25">
      <c r="L87" s="268"/>
      <c r="M87" s="268"/>
      <c r="N87" s="268"/>
      <c r="O87" s="268"/>
      <c r="P87" s="268"/>
      <c r="Q87" s="268"/>
    </row>
    <row r="88" spans="12:17" x14ac:dyDescent="0.25">
      <c r="L88" s="268"/>
      <c r="M88" s="268"/>
      <c r="N88" s="268"/>
      <c r="O88" s="268"/>
      <c r="P88" s="268"/>
      <c r="Q88" s="268"/>
    </row>
    <row r="89" spans="12:17" x14ac:dyDescent="0.25">
      <c r="L89" s="268"/>
      <c r="M89" s="268"/>
      <c r="N89" s="268"/>
      <c r="O89" s="268"/>
      <c r="P89" s="268"/>
      <c r="Q89" s="268"/>
    </row>
    <row r="90" spans="12:17" x14ac:dyDescent="0.25">
      <c r="L90" s="268"/>
      <c r="M90" s="268"/>
      <c r="N90" s="268"/>
      <c r="O90" s="268"/>
      <c r="P90" s="268"/>
      <c r="Q90" s="268"/>
    </row>
    <row r="91" spans="12:17" x14ac:dyDescent="0.25">
      <c r="L91" s="268"/>
      <c r="M91" s="268"/>
      <c r="N91" s="268"/>
      <c r="O91" s="268"/>
      <c r="P91" s="268"/>
      <c r="Q91" s="268"/>
    </row>
    <row r="92" spans="12:17" x14ac:dyDescent="0.25">
      <c r="L92" s="268"/>
      <c r="M92" s="268"/>
      <c r="N92" s="268"/>
      <c r="O92" s="268"/>
      <c r="P92" s="268"/>
      <c r="Q92" s="268"/>
    </row>
    <row r="93" spans="12:17" x14ac:dyDescent="0.25">
      <c r="L93" s="268"/>
      <c r="M93" s="268"/>
      <c r="N93" s="268"/>
      <c r="O93" s="268"/>
      <c r="P93" s="268"/>
      <c r="Q93" s="268"/>
    </row>
    <row r="94" spans="12:17" x14ac:dyDescent="0.25">
      <c r="L94" s="268"/>
      <c r="M94" s="268"/>
      <c r="N94" s="268"/>
      <c r="O94" s="268"/>
      <c r="P94" s="268"/>
      <c r="Q94" s="268"/>
    </row>
    <row r="95" spans="12:17" x14ac:dyDescent="0.25">
      <c r="L95" s="268"/>
      <c r="M95" s="268"/>
      <c r="N95" s="268"/>
      <c r="O95" s="268"/>
      <c r="P95" s="268"/>
      <c r="Q95" s="268"/>
    </row>
    <row r="96" spans="12:17" x14ac:dyDescent="0.25">
      <c r="L96" s="268"/>
      <c r="M96" s="268"/>
      <c r="N96" s="268"/>
      <c r="O96" s="268"/>
      <c r="P96" s="268"/>
      <c r="Q96" s="268"/>
    </row>
    <row r="97" spans="12:17" x14ac:dyDescent="0.25">
      <c r="L97" s="268"/>
      <c r="M97" s="268"/>
      <c r="N97" s="268"/>
      <c r="O97" s="268"/>
      <c r="P97" s="268"/>
      <c r="Q97" s="268"/>
    </row>
    <row r="98" spans="12:17" x14ac:dyDescent="0.25">
      <c r="L98" s="268"/>
      <c r="M98" s="268"/>
      <c r="N98" s="268"/>
      <c r="O98" s="268"/>
      <c r="P98" s="268"/>
      <c r="Q98" s="268"/>
    </row>
    <row r="99" spans="12:17" x14ac:dyDescent="0.25">
      <c r="L99" s="268"/>
      <c r="M99" s="268"/>
      <c r="N99" s="268"/>
      <c r="O99" s="268"/>
      <c r="P99" s="268"/>
      <c r="Q99" s="268"/>
    </row>
    <row r="100" spans="12:17" x14ac:dyDescent="0.25">
      <c r="L100" s="268"/>
      <c r="M100" s="268"/>
      <c r="N100" s="268"/>
      <c r="O100" s="268"/>
      <c r="P100" s="268"/>
      <c r="Q100" s="268"/>
    </row>
    <row r="101" spans="12:17" x14ac:dyDescent="0.25">
      <c r="L101" s="268"/>
      <c r="M101" s="268"/>
      <c r="N101" s="268"/>
      <c r="O101" s="268"/>
      <c r="P101" s="268"/>
      <c r="Q101" s="268"/>
    </row>
    <row r="102" spans="12:17" x14ac:dyDescent="0.25">
      <c r="L102" s="268"/>
      <c r="M102" s="268"/>
      <c r="N102" s="268"/>
      <c r="O102" s="268"/>
      <c r="P102" s="268"/>
      <c r="Q102" s="268"/>
    </row>
    <row r="103" spans="12:17" x14ac:dyDescent="0.25">
      <c r="L103" s="268"/>
      <c r="M103" s="268"/>
      <c r="N103" s="268"/>
      <c r="O103" s="268"/>
      <c r="P103" s="268"/>
      <c r="Q103" s="268"/>
    </row>
    <row r="104" spans="12:17" x14ac:dyDescent="0.25">
      <c r="L104" s="268"/>
      <c r="M104" s="268"/>
      <c r="N104" s="268"/>
      <c r="O104" s="268"/>
      <c r="P104" s="268"/>
      <c r="Q104" s="268"/>
    </row>
    <row r="105" spans="12:17" x14ac:dyDescent="0.25">
      <c r="L105" s="268"/>
      <c r="M105" s="268"/>
      <c r="N105" s="268"/>
      <c r="O105" s="268"/>
      <c r="P105" s="268"/>
      <c r="Q105" s="268"/>
    </row>
    <row r="106" spans="12:17" x14ac:dyDescent="0.25">
      <c r="L106" s="268"/>
      <c r="M106" s="268"/>
      <c r="N106" s="268"/>
      <c r="O106" s="268"/>
      <c r="P106" s="268"/>
      <c r="Q106" s="268"/>
    </row>
    <row r="107" spans="12:17" x14ac:dyDescent="0.25">
      <c r="L107" s="268"/>
      <c r="M107" s="268"/>
      <c r="N107" s="268"/>
      <c r="O107" s="268"/>
      <c r="P107" s="268"/>
      <c r="Q107" s="268"/>
    </row>
    <row r="108" spans="12:17" x14ac:dyDescent="0.25">
      <c r="L108" s="268"/>
      <c r="M108" s="268"/>
      <c r="N108" s="268"/>
      <c r="O108" s="268"/>
      <c r="P108" s="268"/>
      <c r="Q108" s="268"/>
    </row>
    <row r="109" spans="12:17" x14ac:dyDescent="0.25">
      <c r="L109" s="268"/>
      <c r="M109" s="268"/>
      <c r="N109" s="268"/>
      <c r="O109" s="268"/>
      <c r="P109" s="268"/>
      <c r="Q109" s="268"/>
    </row>
    <row r="110" spans="12:17" x14ac:dyDescent="0.25">
      <c r="L110" s="268"/>
      <c r="M110" s="268"/>
      <c r="N110" s="268"/>
      <c r="O110" s="268"/>
      <c r="P110" s="268"/>
      <c r="Q110" s="268"/>
    </row>
    <row r="111" spans="12:17" x14ac:dyDescent="0.25">
      <c r="L111" s="268"/>
      <c r="M111" s="268"/>
      <c r="N111" s="268"/>
      <c r="O111" s="268"/>
      <c r="P111" s="268"/>
      <c r="Q111" s="268"/>
    </row>
    <row r="112" spans="12:17" x14ac:dyDescent="0.25">
      <c r="L112" s="268"/>
      <c r="M112" s="268"/>
      <c r="N112" s="268"/>
      <c r="O112" s="268"/>
      <c r="P112" s="268"/>
      <c r="Q112" s="268"/>
    </row>
    <row r="113" spans="12:17" x14ac:dyDescent="0.25">
      <c r="L113" s="268"/>
      <c r="M113" s="268"/>
      <c r="N113" s="268"/>
      <c r="O113" s="268"/>
      <c r="P113" s="268"/>
      <c r="Q113" s="268"/>
    </row>
    <row r="114" spans="12:17" x14ac:dyDescent="0.25">
      <c r="L114" s="268"/>
      <c r="M114" s="268"/>
      <c r="N114" s="268"/>
      <c r="O114" s="268"/>
      <c r="P114" s="268"/>
      <c r="Q114" s="268"/>
    </row>
    <row r="115" spans="12:17" x14ac:dyDescent="0.25">
      <c r="L115" s="268"/>
      <c r="M115" s="268"/>
      <c r="N115" s="268"/>
      <c r="O115" s="268"/>
      <c r="P115" s="268"/>
      <c r="Q115" s="268"/>
    </row>
    <row r="116" spans="12:17" x14ac:dyDescent="0.25">
      <c r="L116" s="268"/>
      <c r="M116" s="268"/>
      <c r="N116" s="268"/>
      <c r="O116" s="268"/>
      <c r="P116" s="268"/>
      <c r="Q116" s="268"/>
    </row>
    <row r="117" spans="12:17" x14ac:dyDescent="0.25">
      <c r="L117" s="268"/>
      <c r="M117" s="268"/>
      <c r="N117" s="268"/>
      <c r="O117" s="268"/>
      <c r="P117" s="268"/>
      <c r="Q117" s="268"/>
    </row>
    <row r="118" spans="12:17" x14ac:dyDescent="0.25">
      <c r="L118" s="268"/>
      <c r="M118" s="268"/>
      <c r="N118" s="268"/>
      <c r="O118" s="268"/>
      <c r="P118" s="268"/>
      <c r="Q118" s="268"/>
    </row>
    <row r="119" spans="12:17" x14ac:dyDescent="0.25">
      <c r="L119" s="268"/>
      <c r="M119" s="268"/>
      <c r="N119" s="268"/>
      <c r="O119" s="268"/>
      <c r="P119" s="268"/>
      <c r="Q119" s="268"/>
    </row>
    <row r="120" spans="12:17" x14ac:dyDescent="0.25">
      <c r="L120" s="268"/>
      <c r="M120" s="268"/>
      <c r="N120" s="268"/>
      <c r="O120" s="268"/>
      <c r="P120" s="268"/>
      <c r="Q120" s="268"/>
    </row>
    <row r="121" spans="12:17" x14ac:dyDescent="0.25">
      <c r="L121" s="268"/>
      <c r="M121" s="268"/>
      <c r="N121" s="268"/>
      <c r="O121" s="268"/>
      <c r="P121" s="268"/>
      <c r="Q121" s="268"/>
    </row>
    <row r="122" spans="12:17" x14ac:dyDescent="0.25">
      <c r="L122" s="268"/>
      <c r="M122" s="268"/>
      <c r="N122" s="268"/>
      <c r="O122" s="268"/>
      <c r="P122" s="268"/>
      <c r="Q122" s="268"/>
    </row>
    <row r="123" spans="12:17" x14ac:dyDescent="0.25">
      <c r="L123" s="268"/>
      <c r="M123" s="268"/>
      <c r="N123" s="268"/>
      <c r="O123" s="268"/>
      <c r="P123" s="268"/>
      <c r="Q123" s="268"/>
    </row>
    <row r="124" spans="12:17" x14ac:dyDescent="0.25">
      <c r="L124" s="268"/>
      <c r="M124" s="268"/>
      <c r="N124" s="268"/>
      <c r="O124" s="268"/>
      <c r="P124" s="268"/>
      <c r="Q124" s="268"/>
    </row>
    <row r="125" spans="12:17" x14ac:dyDescent="0.25">
      <c r="L125" s="268"/>
      <c r="M125" s="268"/>
      <c r="N125" s="268"/>
      <c r="O125" s="268"/>
      <c r="P125" s="268"/>
      <c r="Q125" s="268"/>
    </row>
    <row r="126" spans="12:17" x14ac:dyDescent="0.25">
      <c r="L126" s="268"/>
      <c r="M126" s="268"/>
      <c r="N126" s="268"/>
      <c r="O126" s="268"/>
      <c r="P126" s="268"/>
      <c r="Q126" s="268"/>
    </row>
    <row r="127" spans="12:17" x14ac:dyDescent="0.25">
      <c r="L127" s="268"/>
      <c r="M127" s="268"/>
      <c r="N127" s="268"/>
      <c r="O127" s="268"/>
      <c r="P127" s="268"/>
      <c r="Q127" s="268"/>
    </row>
    <row r="128" spans="12:17" x14ac:dyDescent="0.25">
      <c r="L128" s="268"/>
      <c r="M128" s="268"/>
      <c r="N128" s="268"/>
      <c r="O128" s="268"/>
      <c r="P128" s="268"/>
      <c r="Q128" s="268"/>
    </row>
    <row r="129" spans="12:17" x14ac:dyDescent="0.25">
      <c r="L129" s="268"/>
      <c r="M129" s="268"/>
      <c r="N129" s="268"/>
      <c r="O129" s="268"/>
      <c r="P129" s="268"/>
      <c r="Q129" s="268"/>
    </row>
    <row r="130" spans="12:17" x14ac:dyDescent="0.25">
      <c r="L130" s="268"/>
      <c r="M130" s="268"/>
      <c r="N130" s="268"/>
      <c r="O130" s="268"/>
      <c r="P130" s="268"/>
      <c r="Q130" s="268"/>
    </row>
    <row r="131" spans="12:17" x14ac:dyDescent="0.25">
      <c r="L131" s="268"/>
      <c r="M131" s="268"/>
      <c r="N131" s="268"/>
      <c r="O131" s="268"/>
      <c r="P131" s="268"/>
      <c r="Q131" s="268"/>
    </row>
    <row r="132" spans="12:17" x14ac:dyDescent="0.25">
      <c r="L132" s="268"/>
      <c r="M132" s="268"/>
      <c r="N132" s="268"/>
      <c r="O132" s="268"/>
      <c r="P132" s="268"/>
      <c r="Q132" s="268"/>
    </row>
    <row r="133" spans="12:17" x14ac:dyDescent="0.25">
      <c r="L133" s="268"/>
      <c r="M133" s="268"/>
      <c r="N133" s="268"/>
      <c r="O133" s="268"/>
      <c r="P133" s="268"/>
      <c r="Q133" s="268"/>
    </row>
    <row r="134" spans="12:17" x14ac:dyDescent="0.25">
      <c r="L134" s="268"/>
      <c r="M134" s="268"/>
      <c r="N134" s="268"/>
      <c r="O134" s="268"/>
      <c r="P134" s="268"/>
      <c r="Q134" s="268"/>
    </row>
    <row r="135" spans="12:17" x14ac:dyDescent="0.25">
      <c r="L135" s="268"/>
      <c r="M135" s="268"/>
      <c r="N135" s="268"/>
      <c r="O135" s="268"/>
      <c r="P135" s="268"/>
      <c r="Q135" s="268"/>
    </row>
    <row r="136" spans="12:17" x14ac:dyDescent="0.25">
      <c r="L136" s="268"/>
      <c r="M136" s="268"/>
      <c r="N136" s="268"/>
      <c r="O136" s="268"/>
      <c r="P136" s="268"/>
      <c r="Q136" s="268"/>
    </row>
    <row r="137" spans="12:17" x14ac:dyDescent="0.25">
      <c r="L137" s="268"/>
      <c r="M137" s="268"/>
      <c r="N137" s="268"/>
      <c r="O137" s="268"/>
      <c r="P137" s="268"/>
      <c r="Q137" s="268"/>
    </row>
    <row r="138" spans="12:17" x14ac:dyDescent="0.25">
      <c r="L138" s="268"/>
      <c r="M138" s="268"/>
      <c r="N138" s="268"/>
      <c r="O138" s="268"/>
      <c r="P138" s="268"/>
      <c r="Q138" s="268"/>
    </row>
    <row r="139" spans="12:17" x14ac:dyDescent="0.25">
      <c r="L139" s="268"/>
      <c r="M139" s="268"/>
      <c r="N139" s="268"/>
      <c r="O139" s="268"/>
      <c r="P139" s="268"/>
      <c r="Q139" s="268"/>
    </row>
    <row r="140" spans="12:17" x14ac:dyDescent="0.25">
      <c r="L140" s="268"/>
      <c r="M140" s="268"/>
      <c r="N140" s="268"/>
      <c r="O140" s="268"/>
      <c r="P140" s="268"/>
      <c r="Q140" s="268"/>
    </row>
    <row r="141" spans="12:17" x14ac:dyDescent="0.25">
      <c r="L141" s="268"/>
      <c r="M141" s="268"/>
      <c r="N141" s="268"/>
      <c r="O141" s="268"/>
      <c r="P141" s="268"/>
      <c r="Q141" s="268"/>
    </row>
    <row r="142" spans="12:17" x14ac:dyDescent="0.25">
      <c r="L142" s="268"/>
      <c r="M142" s="268"/>
      <c r="N142" s="268"/>
      <c r="O142" s="268"/>
      <c r="P142" s="268"/>
      <c r="Q142" s="268"/>
    </row>
    <row r="143" spans="12:17" x14ac:dyDescent="0.25">
      <c r="L143" s="268"/>
      <c r="M143" s="268"/>
      <c r="N143" s="268"/>
      <c r="O143" s="268"/>
      <c r="P143" s="268"/>
      <c r="Q143" s="268"/>
    </row>
    <row r="144" spans="12:17" x14ac:dyDescent="0.25">
      <c r="L144" s="268"/>
      <c r="M144" s="268"/>
      <c r="N144" s="268"/>
      <c r="O144" s="268"/>
      <c r="P144" s="268"/>
      <c r="Q144" s="268"/>
    </row>
    <row r="145" spans="12:17" x14ac:dyDescent="0.25">
      <c r="L145" s="268"/>
      <c r="M145" s="268"/>
      <c r="N145" s="268"/>
      <c r="O145" s="268"/>
      <c r="P145" s="268"/>
      <c r="Q145" s="268"/>
    </row>
    <row r="146" spans="12:17" x14ac:dyDescent="0.25">
      <c r="L146" s="268"/>
      <c r="M146" s="268"/>
      <c r="N146" s="268"/>
      <c r="O146" s="268"/>
      <c r="P146" s="268"/>
      <c r="Q146" s="268"/>
    </row>
    <row r="147" spans="12:17" x14ac:dyDescent="0.25">
      <c r="L147" s="268"/>
      <c r="M147" s="268"/>
      <c r="N147" s="268"/>
      <c r="O147" s="268"/>
      <c r="P147" s="268"/>
      <c r="Q147" s="268"/>
    </row>
    <row r="148" spans="12:17" x14ac:dyDescent="0.25">
      <c r="L148" s="268"/>
      <c r="M148" s="268"/>
      <c r="N148" s="268"/>
      <c r="O148" s="268"/>
      <c r="P148" s="268"/>
      <c r="Q148" s="268"/>
    </row>
    <row r="149" spans="12:17" x14ac:dyDescent="0.25">
      <c r="L149" s="268"/>
      <c r="M149" s="268"/>
      <c r="N149" s="268"/>
      <c r="O149" s="268"/>
      <c r="P149" s="268"/>
      <c r="Q149" s="268"/>
    </row>
    <row r="150" spans="12:17" x14ac:dyDescent="0.25">
      <c r="L150" s="268"/>
      <c r="M150" s="268"/>
      <c r="N150" s="268"/>
      <c r="O150" s="268"/>
      <c r="P150" s="268"/>
      <c r="Q150" s="268"/>
    </row>
    <row r="151" spans="12:17" x14ac:dyDescent="0.25">
      <c r="L151" s="268"/>
      <c r="M151" s="268"/>
      <c r="N151" s="268"/>
      <c r="O151" s="268"/>
      <c r="P151" s="268"/>
      <c r="Q151" s="268"/>
    </row>
    <row r="152" spans="12:17" x14ac:dyDescent="0.25">
      <c r="L152" s="268"/>
      <c r="M152" s="268"/>
      <c r="N152" s="268"/>
      <c r="O152" s="268"/>
      <c r="P152" s="268"/>
      <c r="Q152" s="268"/>
    </row>
    <row r="153" spans="12:17" x14ac:dyDescent="0.25">
      <c r="L153" s="268"/>
      <c r="M153" s="268"/>
      <c r="N153" s="268"/>
      <c r="O153" s="268"/>
      <c r="P153" s="268"/>
      <c r="Q153" s="268"/>
    </row>
    <row r="154" spans="12:17" x14ac:dyDescent="0.25">
      <c r="L154" s="268"/>
      <c r="M154" s="268"/>
      <c r="N154" s="268"/>
      <c r="O154" s="268"/>
      <c r="P154" s="268"/>
      <c r="Q154" s="268"/>
    </row>
    <row r="155" spans="12:17" x14ac:dyDescent="0.25">
      <c r="L155" s="268"/>
      <c r="M155" s="268"/>
      <c r="N155" s="268"/>
      <c r="O155" s="268"/>
      <c r="P155" s="268"/>
      <c r="Q155" s="268"/>
    </row>
    <row r="156" spans="12:17" x14ac:dyDescent="0.25">
      <c r="L156" s="268"/>
      <c r="M156" s="268"/>
      <c r="N156" s="268"/>
      <c r="O156" s="268"/>
      <c r="P156" s="268"/>
      <c r="Q156" s="268"/>
    </row>
    <row r="157" spans="12:17" x14ac:dyDescent="0.25">
      <c r="L157" s="268"/>
      <c r="M157" s="268"/>
      <c r="N157" s="268"/>
      <c r="O157" s="268"/>
      <c r="P157" s="268"/>
      <c r="Q157" s="268"/>
    </row>
    <row r="158" spans="12:17" x14ac:dyDescent="0.25">
      <c r="L158" s="268"/>
      <c r="M158" s="268"/>
      <c r="N158" s="268"/>
      <c r="O158" s="268"/>
      <c r="P158" s="268"/>
      <c r="Q158" s="268"/>
    </row>
    <row r="159" spans="12:17" x14ac:dyDescent="0.25">
      <c r="L159" s="268"/>
      <c r="M159" s="268"/>
      <c r="N159" s="268"/>
      <c r="O159" s="268"/>
      <c r="P159" s="268"/>
      <c r="Q159" s="268"/>
    </row>
    <row r="160" spans="12:17" x14ac:dyDescent="0.25">
      <c r="L160" s="268"/>
      <c r="M160" s="268"/>
      <c r="N160" s="268"/>
      <c r="O160" s="268"/>
      <c r="P160" s="268"/>
      <c r="Q160" s="268"/>
    </row>
    <row r="161" spans="12:17" x14ac:dyDescent="0.25">
      <c r="L161" s="268"/>
      <c r="M161" s="268"/>
      <c r="N161" s="268"/>
      <c r="O161" s="268"/>
      <c r="P161" s="268"/>
      <c r="Q161" s="268"/>
    </row>
    <row r="162" spans="12:17" x14ac:dyDescent="0.25">
      <c r="L162" s="268"/>
      <c r="M162" s="268"/>
      <c r="N162" s="268"/>
      <c r="O162" s="268"/>
      <c r="P162" s="268"/>
      <c r="Q162" s="268"/>
    </row>
    <row r="163" spans="12:17" x14ac:dyDescent="0.25">
      <c r="L163" s="268"/>
      <c r="M163" s="268"/>
      <c r="N163" s="268"/>
      <c r="O163" s="268"/>
      <c r="P163" s="268"/>
      <c r="Q163" s="268"/>
    </row>
    <row r="164" spans="12:17" x14ac:dyDescent="0.25">
      <c r="L164" s="268"/>
      <c r="M164" s="268"/>
      <c r="N164" s="268"/>
      <c r="O164" s="268"/>
      <c r="P164" s="268"/>
      <c r="Q164" s="268"/>
    </row>
    <row r="165" spans="12:17" x14ac:dyDescent="0.25">
      <c r="L165" s="268"/>
      <c r="M165" s="268"/>
      <c r="N165" s="268"/>
      <c r="O165" s="268"/>
      <c r="P165" s="268"/>
      <c r="Q165" s="268"/>
    </row>
    <row r="166" spans="12:17" x14ac:dyDescent="0.25">
      <c r="L166" s="268"/>
      <c r="M166" s="268"/>
      <c r="N166" s="268"/>
      <c r="O166" s="268"/>
      <c r="P166" s="268"/>
      <c r="Q166" s="268"/>
    </row>
    <row r="167" spans="12:17" x14ac:dyDescent="0.25">
      <c r="L167" s="268"/>
      <c r="M167" s="268"/>
      <c r="N167" s="268"/>
      <c r="O167" s="268"/>
      <c r="P167" s="268"/>
      <c r="Q167" s="268"/>
    </row>
    <row r="168" spans="12:17" x14ac:dyDescent="0.25">
      <c r="L168" s="268"/>
      <c r="M168" s="268"/>
      <c r="N168" s="268"/>
      <c r="O168" s="268"/>
      <c r="P168" s="268"/>
      <c r="Q168" s="268"/>
    </row>
    <row r="169" spans="12:17" x14ac:dyDescent="0.25">
      <c r="L169" s="268"/>
      <c r="M169" s="268"/>
      <c r="N169" s="268"/>
      <c r="O169" s="268"/>
      <c r="P169" s="268"/>
      <c r="Q169" s="268"/>
    </row>
    <row r="170" spans="12:17" x14ac:dyDescent="0.25">
      <c r="L170" s="268"/>
      <c r="M170" s="268"/>
      <c r="N170" s="268"/>
      <c r="O170" s="268"/>
      <c r="P170" s="268"/>
      <c r="Q170" s="268"/>
    </row>
    <row r="171" spans="12:17" x14ac:dyDescent="0.25">
      <c r="L171" s="268"/>
      <c r="M171" s="268"/>
      <c r="N171" s="268"/>
      <c r="O171" s="268"/>
      <c r="P171" s="268"/>
      <c r="Q171" s="268"/>
    </row>
    <row r="172" spans="12:17" x14ac:dyDescent="0.25">
      <c r="L172" s="268"/>
      <c r="M172" s="268"/>
      <c r="N172" s="268"/>
      <c r="O172" s="268"/>
      <c r="P172" s="268"/>
      <c r="Q172" s="268"/>
    </row>
    <row r="173" spans="12:17" x14ac:dyDescent="0.25">
      <c r="L173" s="268"/>
      <c r="M173" s="268"/>
      <c r="N173" s="268"/>
      <c r="O173" s="268"/>
      <c r="P173" s="268"/>
      <c r="Q173" s="268"/>
    </row>
    <row r="174" spans="12:17" x14ac:dyDescent="0.25">
      <c r="L174" s="268"/>
      <c r="M174" s="268"/>
      <c r="N174" s="268"/>
      <c r="O174" s="268"/>
      <c r="P174" s="268"/>
      <c r="Q174" s="268"/>
    </row>
    <row r="175" spans="12:17" x14ac:dyDescent="0.25">
      <c r="L175" s="268"/>
      <c r="M175" s="268"/>
      <c r="N175" s="268"/>
      <c r="O175" s="268"/>
      <c r="P175" s="268"/>
      <c r="Q175" s="268"/>
    </row>
    <row r="176" spans="12:17" x14ac:dyDescent="0.25">
      <c r="L176" s="268"/>
      <c r="M176" s="268"/>
      <c r="N176" s="268"/>
      <c r="O176" s="268"/>
      <c r="P176" s="268"/>
      <c r="Q176" s="268"/>
    </row>
    <row r="177" spans="12:17" x14ac:dyDescent="0.25">
      <c r="L177" s="268"/>
      <c r="M177" s="268"/>
      <c r="N177" s="268"/>
      <c r="O177" s="268"/>
      <c r="P177" s="268"/>
      <c r="Q177" s="268"/>
    </row>
    <row r="178" spans="12:17" x14ac:dyDescent="0.25">
      <c r="L178" s="268"/>
      <c r="M178" s="268"/>
      <c r="N178" s="268"/>
      <c r="O178" s="268"/>
      <c r="P178" s="268"/>
      <c r="Q178" s="268"/>
    </row>
    <row r="179" spans="12:17" x14ac:dyDescent="0.25">
      <c r="L179" s="268"/>
      <c r="M179" s="268"/>
      <c r="N179" s="268"/>
      <c r="O179" s="268"/>
      <c r="P179" s="268"/>
      <c r="Q179" s="268"/>
    </row>
    <row r="180" spans="12:17" x14ac:dyDescent="0.25">
      <c r="L180" s="268"/>
      <c r="M180" s="268"/>
      <c r="N180" s="268"/>
      <c r="O180" s="268"/>
      <c r="P180" s="268"/>
      <c r="Q180" s="268"/>
    </row>
    <row r="181" spans="12:17" x14ac:dyDescent="0.25">
      <c r="L181" s="268"/>
      <c r="M181" s="268"/>
      <c r="N181" s="268"/>
      <c r="O181" s="268"/>
      <c r="P181" s="268"/>
      <c r="Q181" s="268"/>
    </row>
    <row r="182" spans="12:17" x14ac:dyDescent="0.25">
      <c r="L182" s="268"/>
      <c r="M182" s="268"/>
      <c r="N182" s="268"/>
      <c r="O182" s="268"/>
      <c r="P182" s="268"/>
      <c r="Q182" s="268"/>
    </row>
    <row r="183" spans="12:17" x14ac:dyDescent="0.25">
      <c r="L183" s="268"/>
      <c r="M183" s="268"/>
      <c r="N183" s="268"/>
      <c r="O183" s="268"/>
      <c r="P183" s="268"/>
      <c r="Q183" s="268"/>
    </row>
    <row r="184" spans="12:17" x14ac:dyDescent="0.25">
      <c r="L184" s="268"/>
      <c r="M184" s="268"/>
      <c r="N184" s="268"/>
      <c r="O184" s="268"/>
      <c r="P184" s="268"/>
      <c r="Q184" s="268"/>
    </row>
    <row r="185" spans="12:17" x14ac:dyDescent="0.25">
      <c r="L185" s="268"/>
      <c r="M185" s="268"/>
      <c r="N185" s="268"/>
      <c r="O185" s="268"/>
      <c r="P185" s="268"/>
      <c r="Q185" s="268"/>
    </row>
    <row r="186" spans="12:17" x14ac:dyDescent="0.25">
      <c r="L186" s="268"/>
      <c r="M186" s="268"/>
      <c r="N186" s="268"/>
      <c r="O186" s="268"/>
      <c r="P186" s="268"/>
      <c r="Q186" s="268"/>
    </row>
    <row r="187" spans="12:17" x14ac:dyDescent="0.25">
      <c r="L187" s="268"/>
      <c r="M187" s="268"/>
      <c r="N187" s="268"/>
      <c r="O187" s="268"/>
      <c r="P187" s="268"/>
      <c r="Q187" s="268"/>
    </row>
    <row r="188" spans="12:17" x14ac:dyDescent="0.25">
      <c r="L188" s="268"/>
      <c r="M188" s="268"/>
      <c r="N188" s="268"/>
      <c r="O188" s="268"/>
      <c r="P188" s="268"/>
      <c r="Q188" s="268"/>
    </row>
    <row r="189" spans="12:17" x14ac:dyDescent="0.25">
      <c r="L189" s="268"/>
      <c r="M189" s="268"/>
      <c r="N189" s="268"/>
      <c r="O189" s="268"/>
      <c r="P189" s="268"/>
      <c r="Q189" s="268"/>
    </row>
    <row r="190" spans="12:17" x14ac:dyDescent="0.25">
      <c r="L190" s="268"/>
      <c r="M190" s="268"/>
      <c r="N190" s="268"/>
      <c r="O190" s="268"/>
      <c r="P190" s="268"/>
      <c r="Q190" s="268"/>
    </row>
    <row r="191" spans="12:17" x14ac:dyDescent="0.25">
      <c r="L191" s="268"/>
      <c r="M191" s="268"/>
      <c r="N191" s="268"/>
      <c r="O191" s="268"/>
      <c r="P191" s="268"/>
      <c r="Q191" s="268"/>
    </row>
    <row r="192" spans="12:17" x14ac:dyDescent="0.25">
      <c r="L192" s="268"/>
      <c r="M192" s="268"/>
      <c r="N192" s="268"/>
      <c r="O192" s="268"/>
      <c r="P192" s="268"/>
      <c r="Q192" s="268"/>
    </row>
  </sheetData>
  <sheetProtection algorithmName="SHA-512" hashValue="HdvvTYH49p4tqt3d7ES+CvqYf0k69cxmf34ZYjzS94ABvXZcTXvShoG6STDlzfCLrOH5NFew2ImyYfmaeE4kCw==" saltValue="LcFXth3554Oj0vcyY3cJJg==" spinCount="100000" sheet="1" objects="1" scenarios="1" formatCells="0" formatColumns="0" formatRows="0" deleteRows="0" sort="0" autoFilter="0" pivotTables="0"/>
  <mergeCells count="13">
    <mergeCell ref="A1:F1"/>
    <mergeCell ref="A2:F2"/>
    <mergeCell ref="A5:A6"/>
    <mergeCell ref="B5:B6"/>
    <mergeCell ref="C5:C6"/>
    <mergeCell ref="D5:D6"/>
    <mergeCell ref="E5:E6"/>
    <mergeCell ref="F5:H5"/>
    <mergeCell ref="I5:I6"/>
    <mergeCell ref="J5:J6"/>
    <mergeCell ref="K5:K6"/>
    <mergeCell ref="L5:N5"/>
    <mergeCell ref="O5:O6"/>
  </mergeCells>
  <conditionalFormatting sqref="A2:A3 B3:E3">
    <cfRule type="cellIs" dxfId="5" priority="6" stopIfTrue="1" operator="between">
      <formula>0</formula>
      <formula>0</formula>
    </cfRule>
  </conditionalFormatting>
  <conditionalFormatting sqref="E7:E56">
    <cfRule type="cellIs" dxfId="4" priority="5" stopIfTrue="1" operator="between">
      <formula>""</formula>
      <formula>""</formula>
    </cfRule>
  </conditionalFormatting>
  <conditionalFormatting sqref="N2">
    <cfRule type="cellIs" dxfId="3" priority="2" stopIfTrue="1" operator="between">
      <formula>"Còn lỗi!"</formula>
      <formula>"Còn lỗi!"</formula>
    </cfRule>
    <cfRule type="cellIs" dxfId="2" priority="3" stopIfTrue="1" operator="between">
      <formula>"Hoàn thành!"</formula>
      <formula>"Hoàn thành!"</formula>
    </cfRule>
    <cfRule type="cellIs" dxfId="1" priority="4" stopIfTrue="1" operator="between">
      <formula>"Nhập danh sách học sinh!"</formula>
      <formula>"Nhập danh sách học sinh!"</formula>
    </cfRule>
  </conditionalFormatting>
  <conditionalFormatting sqref="N2:O2">
    <cfRule type="cellIs" dxfId="0" priority="1" stopIfTrue="1" operator="between">
      <formula>"Có HS học trước tuổi!"</formula>
      <formula>"Có HS học trước tuổi!"</formula>
    </cfRule>
  </conditionalFormatting>
  <dataValidations count="4">
    <dataValidation type="list" allowBlank="1" showInputMessage="1" showErrorMessage="1" sqref="M7:M56">
      <formula1>diaphuong</formula1>
    </dataValidation>
    <dataValidation type="list" allowBlank="1" showInputMessage="1" showErrorMessage="1" sqref="K7:K56 I7:I56">
      <formula1>"x"</formula1>
    </dataValidation>
    <dataValidation type="list" allowBlank="1" showInputMessage="1" showErrorMessage="1" sqref="JB63976:JB65575 SX63976:SX65575 ACT63976:ACT65575 AMP63976:AMP65575 AWL63976:AWL65575 BGH63976:BGH65575 BQD63976:BQD65575 BZZ63976:BZZ65575 CJV63976:CJV65575 CTR63976:CTR65575 DDN63976:DDN65575 DNJ63976:DNJ65575 DXF63976:DXF65575 EHB63976:EHB65575 EQX63976:EQX65575 FAT63976:FAT65575 FKP63976:FKP65575 FUL63976:FUL65575 GEH63976:GEH65575 GOD63976:GOD65575 GXZ63976:GXZ65575 HHV63976:HHV65575 HRR63976:HRR65575 IBN63976:IBN65575 ILJ63976:ILJ65575 IVF63976:IVF65575 JFB63976:JFB65575 JOX63976:JOX65575 JYT63976:JYT65575 KIP63976:KIP65575 KSL63976:KSL65575 LCH63976:LCH65575 LMD63976:LMD65575 LVZ63976:LVZ65575 MFV63976:MFV65575 MPR63976:MPR65575 MZN63976:MZN65575 NJJ63976:NJJ65575 NTF63976:NTF65575 ODB63976:ODB65575 OMX63976:OMX65575 OWT63976:OWT65575 PGP63976:PGP65575 PQL63976:PQL65575 QAH63976:QAH65575 QKD63976:QKD65575 QTZ63976:QTZ65575 RDV63976:RDV65575 RNR63976:RNR65575 RXN63976:RXN65575 SHJ63976:SHJ65575 SRF63976:SRF65575 TBB63976:TBB65575 TKX63976:TKX65575 TUT63976:TUT65575 UEP63976:UEP65575 UOL63976:UOL65575 UYH63976:UYH65575 VID63976:VID65575 VRZ63976:VRZ65575 WBV63976:WBV65575 WLR63976:WLR65575 WVN63976:WVN65575 JB129512:JB131111 SX129512:SX131111 ACT129512:ACT131111 AMP129512:AMP131111 AWL129512:AWL131111 BGH129512:BGH131111 BQD129512:BQD131111 BZZ129512:BZZ131111 CJV129512:CJV131111 CTR129512:CTR131111 DDN129512:DDN131111 DNJ129512:DNJ131111 DXF129512:DXF131111 EHB129512:EHB131111 EQX129512:EQX131111 FAT129512:FAT131111 FKP129512:FKP131111 FUL129512:FUL131111 GEH129512:GEH131111 GOD129512:GOD131111 GXZ129512:GXZ131111 HHV129512:HHV131111 HRR129512:HRR131111 IBN129512:IBN131111 ILJ129512:ILJ131111 IVF129512:IVF131111 JFB129512:JFB131111 JOX129512:JOX131111 JYT129512:JYT131111 KIP129512:KIP131111 KSL129512:KSL131111 LCH129512:LCH131111 LMD129512:LMD131111 LVZ129512:LVZ131111 MFV129512:MFV131111 MPR129512:MPR131111 MZN129512:MZN131111 NJJ129512:NJJ131111 NTF129512:NTF131111 ODB129512:ODB131111 OMX129512:OMX131111 OWT129512:OWT131111 PGP129512:PGP131111 PQL129512:PQL131111 QAH129512:QAH131111 QKD129512:QKD131111 QTZ129512:QTZ131111 RDV129512:RDV131111 RNR129512:RNR131111 RXN129512:RXN131111 SHJ129512:SHJ131111 SRF129512:SRF131111 TBB129512:TBB131111 TKX129512:TKX131111 TUT129512:TUT131111 UEP129512:UEP131111 UOL129512:UOL131111 UYH129512:UYH131111 VID129512:VID131111 VRZ129512:VRZ131111 WBV129512:WBV131111 WLR129512:WLR131111 WVN129512:WVN131111 JB195048:JB196647 SX195048:SX196647 ACT195048:ACT196647 AMP195048:AMP196647 AWL195048:AWL196647 BGH195048:BGH196647 BQD195048:BQD196647 BZZ195048:BZZ196647 CJV195048:CJV196647 CTR195048:CTR196647 DDN195048:DDN196647 DNJ195048:DNJ196647 DXF195048:DXF196647 EHB195048:EHB196647 EQX195048:EQX196647 FAT195048:FAT196647 FKP195048:FKP196647 FUL195048:FUL196647 GEH195048:GEH196647 GOD195048:GOD196647 GXZ195048:GXZ196647 HHV195048:HHV196647 HRR195048:HRR196647 IBN195048:IBN196647 ILJ195048:ILJ196647 IVF195048:IVF196647 JFB195048:JFB196647 JOX195048:JOX196647 JYT195048:JYT196647 KIP195048:KIP196647 KSL195048:KSL196647 LCH195048:LCH196647 LMD195048:LMD196647 LVZ195048:LVZ196647 MFV195048:MFV196647 MPR195048:MPR196647 MZN195048:MZN196647 NJJ195048:NJJ196647 NTF195048:NTF196647 ODB195048:ODB196647 OMX195048:OMX196647 OWT195048:OWT196647 PGP195048:PGP196647 PQL195048:PQL196647 QAH195048:QAH196647 QKD195048:QKD196647 QTZ195048:QTZ196647 RDV195048:RDV196647 RNR195048:RNR196647 RXN195048:RXN196647 SHJ195048:SHJ196647 SRF195048:SRF196647 TBB195048:TBB196647 TKX195048:TKX196647 TUT195048:TUT196647 UEP195048:UEP196647 UOL195048:UOL196647 UYH195048:UYH196647 VID195048:VID196647 VRZ195048:VRZ196647 WBV195048:WBV196647 WLR195048:WLR196647 WVN195048:WVN196647 JB260584:JB262183 SX260584:SX262183 ACT260584:ACT262183 AMP260584:AMP262183 AWL260584:AWL262183 BGH260584:BGH262183 BQD260584:BQD262183 BZZ260584:BZZ262183 CJV260584:CJV262183 CTR260584:CTR262183 DDN260584:DDN262183 DNJ260584:DNJ262183 DXF260584:DXF262183 EHB260584:EHB262183 EQX260584:EQX262183 FAT260584:FAT262183 FKP260584:FKP262183 FUL260584:FUL262183 GEH260584:GEH262183 GOD260584:GOD262183 GXZ260584:GXZ262183 HHV260584:HHV262183 HRR260584:HRR262183 IBN260584:IBN262183 ILJ260584:ILJ262183 IVF260584:IVF262183 JFB260584:JFB262183 JOX260584:JOX262183 JYT260584:JYT262183 KIP260584:KIP262183 KSL260584:KSL262183 LCH260584:LCH262183 LMD260584:LMD262183 LVZ260584:LVZ262183 MFV260584:MFV262183 MPR260584:MPR262183 MZN260584:MZN262183 NJJ260584:NJJ262183 NTF260584:NTF262183 ODB260584:ODB262183 OMX260584:OMX262183 OWT260584:OWT262183 PGP260584:PGP262183 PQL260584:PQL262183 QAH260584:QAH262183 QKD260584:QKD262183 QTZ260584:QTZ262183 RDV260584:RDV262183 RNR260584:RNR262183 RXN260584:RXN262183 SHJ260584:SHJ262183 SRF260584:SRF262183 TBB260584:TBB262183 TKX260584:TKX262183 TUT260584:TUT262183 UEP260584:UEP262183 UOL260584:UOL262183 UYH260584:UYH262183 VID260584:VID262183 VRZ260584:VRZ262183 WBV260584:WBV262183 WLR260584:WLR262183 WVN260584:WVN262183 JB326120:JB327719 SX326120:SX327719 ACT326120:ACT327719 AMP326120:AMP327719 AWL326120:AWL327719 BGH326120:BGH327719 BQD326120:BQD327719 BZZ326120:BZZ327719 CJV326120:CJV327719 CTR326120:CTR327719 DDN326120:DDN327719 DNJ326120:DNJ327719 DXF326120:DXF327719 EHB326120:EHB327719 EQX326120:EQX327719 FAT326120:FAT327719 FKP326120:FKP327719 FUL326120:FUL327719 GEH326120:GEH327719 GOD326120:GOD327719 GXZ326120:GXZ327719 HHV326120:HHV327719 HRR326120:HRR327719 IBN326120:IBN327719 ILJ326120:ILJ327719 IVF326120:IVF327719 JFB326120:JFB327719 JOX326120:JOX327719 JYT326120:JYT327719 KIP326120:KIP327719 KSL326120:KSL327719 LCH326120:LCH327719 LMD326120:LMD327719 LVZ326120:LVZ327719 MFV326120:MFV327719 MPR326120:MPR327719 MZN326120:MZN327719 NJJ326120:NJJ327719 NTF326120:NTF327719 ODB326120:ODB327719 OMX326120:OMX327719 OWT326120:OWT327719 PGP326120:PGP327719 PQL326120:PQL327719 QAH326120:QAH327719 QKD326120:QKD327719 QTZ326120:QTZ327719 RDV326120:RDV327719 RNR326120:RNR327719 RXN326120:RXN327719 SHJ326120:SHJ327719 SRF326120:SRF327719 TBB326120:TBB327719 TKX326120:TKX327719 TUT326120:TUT327719 UEP326120:UEP327719 UOL326120:UOL327719 UYH326120:UYH327719 VID326120:VID327719 VRZ326120:VRZ327719 WBV326120:WBV327719 WLR326120:WLR327719 WVN326120:WVN327719 JB391656:JB393255 SX391656:SX393255 ACT391656:ACT393255 AMP391656:AMP393255 AWL391656:AWL393255 BGH391656:BGH393255 BQD391656:BQD393255 BZZ391656:BZZ393255 CJV391656:CJV393255 CTR391656:CTR393255 DDN391656:DDN393255 DNJ391656:DNJ393255 DXF391656:DXF393255 EHB391656:EHB393255 EQX391656:EQX393255 FAT391656:FAT393255 FKP391656:FKP393255 FUL391656:FUL393255 GEH391656:GEH393255 GOD391656:GOD393255 GXZ391656:GXZ393255 HHV391656:HHV393255 HRR391656:HRR393255 IBN391656:IBN393255 ILJ391656:ILJ393255 IVF391656:IVF393255 JFB391656:JFB393255 JOX391656:JOX393255 JYT391656:JYT393255 KIP391656:KIP393255 KSL391656:KSL393255 LCH391656:LCH393255 LMD391656:LMD393255 LVZ391656:LVZ393255 MFV391656:MFV393255 MPR391656:MPR393255 MZN391656:MZN393255 NJJ391656:NJJ393255 NTF391656:NTF393255 ODB391656:ODB393255 OMX391656:OMX393255 OWT391656:OWT393255 PGP391656:PGP393255 PQL391656:PQL393255 QAH391656:QAH393255 QKD391656:QKD393255 QTZ391656:QTZ393255 RDV391656:RDV393255 RNR391656:RNR393255 RXN391656:RXN393255 SHJ391656:SHJ393255 SRF391656:SRF393255 TBB391656:TBB393255 TKX391656:TKX393255 TUT391656:TUT393255 UEP391656:UEP393255 UOL391656:UOL393255 UYH391656:UYH393255 VID391656:VID393255 VRZ391656:VRZ393255 WBV391656:WBV393255 WLR391656:WLR393255 WVN391656:WVN393255 JB457192:JB458791 SX457192:SX458791 ACT457192:ACT458791 AMP457192:AMP458791 AWL457192:AWL458791 BGH457192:BGH458791 BQD457192:BQD458791 BZZ457192:BZZ458791 CJV457192:CJV458791 CTR457192:CTR458791 DDN457192:DDN458791 DNJ457192:DNJ458791 DXF457192:DXF458791 EHB457192:EHB458791 EQX457192:EQX458791 FAT457192:FAT458791 FKP457192:FKP458791 FUL457192:FUL458791 GEH457192:GEH458791 GOD457192:GOD458791 GXZ457192:GXZ458791 HHV457192:HHV458791 HRR457192:HRR458791 IBN457192:IBN458791 ILJ457192:ILJ458791 IVF457192:IVF458791 JFB457192:JFB458791 JOX457192:JOX458791 JYT457192:JYT458791 KIP457192:KIP458791 KSL457192:KSL458791 LCH457192:LCH458791 LMD457192:LMD458791 LVZ457192:LVZ458791 MFV457192:MFV458791 MPR457192:MPR458791 MZN457192:MZN458791 NJJ457192:NJJ458791 NTF457192:NTF458791 ODB457192:ODB458791 OMX457192:OMX458791 OWT457192:OWT458791 PGP457192:PGP458791 PQL457192:PQL458791 QAH457192:QAH458791 QKD457192:QKD458791 QTZ457192:QTZ458791 RDV457192:RDV458791 RNR457192:RNR458791 RXN457192:RXN458791 SHJ457192:SHJ458791 SRF457192:SRF458791 TBB457192:TBB458791 TKX457192:TKX458791 TUT457192:TUT458791 UEP457192:UEP458791 UOL457192:UOL458791 UYH457192:UYH458791 VID457192:VID458791 VRZ457192:VRZ458791 WBV457192:WBV458791 WLR457192:WLR458791 WVN457192:WVN458791 JB522728:JB524327 SX522728:SX524327 ACT522728:ACT524327 AMP522728:AMP524327 AWL522728:AWL524327 BGH522728:BGH524327 BQD522728:BQD524327 BZZ522728:BZZ524327 CJV522728:CJV524327 CTR522728:CTR524327 DDN522728:DDN524327 DNJ522728:DNJ524327 DXF522728:DXF524327 EHB522728:EHB524327 EQX522728:EQX524327 FAT522728:FAT524327 FKP522728:FKP524327 FUL522728:FUL524327 GEH522728:GEH524327 GOD522728:GOD524327 GXZ522728:GXZ524327 HHV522728:HHV524327 HRR522728:HRR524327 IBN522728:IBN524327 ILJ522728:ILJ524327 IVF522728:IVF524327 JFB522728:JFB524327 JOX522728:JOX524327 JYT522728:JYT524327 KIP522728:KIP524327 KSL522728:KSL524327 LCH522728:LCH524327 LMD522728:LMD524327 LVZ522728:LVZ524327 MFV522728:MFV524327 MPR522728:MPR524327 MZN522728:MZN524327 NJJ522728:NJJ524327 NTF522728:NTF524327 ODB522728:ODB524327 OMX522728:OMX524327 OWT522728:OWT524327 PGP522728:PGP524327 PQL522728:PQL524327 QAH522728:QAH524327 QKD522728:QKD524327 QTZ522728:QTZ524327 RDV522728:RDV524327 RNR522728:RNR524327 RXN522728:RXN524327 SHJ522728:SHJ524327 SRF522728:SRF524327 TBB522728:TBB524327 TKX522728:TKX524327 TUT522728:TUT524327 UEP522728:UEP524327 UOL522728:UOL524327 UYH522728:UYH524327 VID522728:VID524327 VRZ522728:VRZ524327 WBV522728:WBV524327 WLR522728:WLR524327 WVN522728:WVN524327 JB588264:JB589863 SX588264:SX589863 ACT588264:ACT589863 AMP588264:AMP589863 AWL588264:AWL589863 BGH588264:BGH589863 BQD588264:BQD589863 BZZ588264:BZZ589863 CJV588264:CJV589863 CTR588264:CTR589863 DDN588264:DDN589863 DNJ588264:DNJ589863 DXF588264:DXF589863 EHB588264:EHB589863 EQX588264:EQX589863 FAT588264:FAT589863 FKP588264:FKP589863 FUL588264:FUL589863 GEH588264:GEH589863 GOD588264:GOD589863 GXZ588264:GXZ589863 HHV588264:HHV589863 HRR588264:HRR589863 IBN588264:IBN589863 ILJ588264:ILJ589863 IVF588264:IVF589863 JFB588264:JFB589863 JOX588264:JOX589863 JYT588264:JYT589863 KIP588264:KIP589863 KSL588264:KSL589863 LCH588264:LCH589863 LMD588264:LMD589863 LVZ588264:LVZ589863 MFV588264:MFV589863 MPR588264:MPR589863 MZN588264:MZN589863 NJJ588264:NJJ589863 NTF588264:NTF589863 ODB588264:ODB589863 OMX588264:OMX589863 OWT588264:OWT589863 PGP588264:PGP589863 PQL588264:PQL589863 QAH588264:QAH589863 QKD588264:QKD589863 QTZ588264:QTZ589863 RDV588264:RDV589863 RNR588264:RNR589863 RXN588264:RXN589863 SHJ588264:SHJ589863 SRF588264:SRF589863 TBB588264:TBB589863 TKX588264:TKX589863 TUT588264:TUT589863 UEP588264:UEP589863 UOL588264:UOL589863 UYH588264:UYH589863 VID588264:VID589863 VRZ588264:VRZ589863 WBV588264:WBV589863 WLR588264:WLR589863 WVN588264:WVN589863 JB653800:JB655399 SX653800:SX655399 ACT653800:ACT655399 AMP653800:AMP655399 AWL653800:AWL655399 BGH653800:BGH655399 BQD653800:BQD655399 BZZ653800:BZZ655399 CJV653800:CJV655399 CTR653800:CTR655399 DDN653800:DDN655399 DNJ653800:DNJ655399 DXF653800:DXF655399 EHB653800:EHB655399 EQX653800:EQX655399 FAT653800:FAT655399 FKP653800:FKP655399 FUL653800:FUL655399 GEH653800:GEH655399 GOD653800:GOD655399 GXZ653800:GXZ655399 HHV653800:HHV655399 HRR653800:HRR655399 IBN653800:IBN655399 ILJ653800:ILJ655399 IVF653800:IVF655399 JFB653800:JFB655399 JOX653800:JOX655399 JYT653800:JYT655399 KIP653800:KIP655399 KSL653800:KSL655399 LCH653800:LCH655399 LMD653800:LMD655399 LVZ653800:LVZ655399 MFV653800:MFV655399 MPR653800:MPR655399 MZN653800:MZN655399 NJJ653800:NJJ655399 NTF653800:NTF655399 ODB653800:ODB655399 OMX653800:OMX655399 OWT653800:OWT655399 PGP653800:PGP655399 PQL653800:PQL655399 QAH653800:QAH655399 QKD653800:QKD655399 QTZ653800:QTZ655399 RDV653800:RDV655399 RNR653800:RNR655399 RXN653800:RXN655399 SHJ653800:SHJ655399 SRF653800:SRF655399 TBB653800:TBB655399 TKX653800:TKX655399 TUT653800:TUT655399 UEP653800:UEP655399 UOL653800:UOL655399 UYH653800:UYH655399 VID653800:VID655399 VRZ653800:VRZ655399 WBV653800:WBV655399 WLR653800:WLR655399 WVN653800:WVN655399 JB719336:JB720935 SX719336:SX720935 ACT719336:ACT720935 AMP719336:AMP720935 AWL719336:AWL720935 BGH719336:BGH720935 BQD719336:BQD720935 BZZ719336:BZZ720935 CJV719336:CJV720935 CTR719336:CTR720935 DDN719336:DDN720935 DNJ719336:DNJ720935 DXF719336:DXF720935 EHB719336:EHB720935 EQX719336:EQX720935 FAT719336:FAT720935 FKP719336:FKP720935 FUL719336:FUL720935 GEH719336:GEH720935 GOD719336:GOD720935 GXZ719336:GXZ720935 HHV719336:HHV720935 HRR719336:HRR720935 IBN719336:IBN720935 ILJ719336:ILJ720935 IVF719336:IVF720935 JFB719336:JFB720935 JOX719336:JOX720935 JYT719336:JYT720935 KIP719336:KIP720935 KSL719336:KSL720935 LCH719336:LCH720935 LMD719336:LMD720935 LVZ719336:LVZ720935 MFV719336:MFV720935 MPR719336:MPR720935 MZN719336:MZN720935 NJJ719336:NJJ720935 NTF719336:NTF720935 ODB719336:ODB720935 OMX719336:OMX720935 OWT719336:OWT720935 PGP719336:PGP720935 PQL719336:PQL720935 QAH719336:QAH720935 QKD719336:QKD720935 QTZ719336:QTZ720935 RDV719336:RDV720935 RNR719336:RNR720935 RXN719336:RXN720935 SHJ719336:SHJ720935 SRF719336:SRF720935 TBB719336:TBB720935 TKX719336:TKX720935 TUT719336:TUT720935 UEP719336:UEP720935 UOL719336:UOL720935 UYH719336:UYH720935 VID719336:VID720935 VRZ719336:VRZ720935 WBV719336:WBV720935 WLR719336:WLR720935 WVN719336:WVN720935 JB784872:JB786471 SX784872:SX786471 ACT784872:ACT786471 AMP784872:AMP786471 AWL784872:AWL786471 BGH784872:BGH786471 BQD784872:BQD786471 BZZ784872:BZZ786471 CJV784872:CJV786471 CTR784872:CTR786471 DDN784872:DDN786471 DNJ784872:DNJ786471 DXF784872:DXF786471 EHB784872:EHB786471 EQX784872:EQX786471 FAT784872:FAT786471 FKP784872:FKP786471 FUL784872:FUL786471 GEH784872:GEH786471 GOD784872:GOD786471 GXZ784872:GXZ786471 HHV784872:HHV786471 HRR784872:HRR786471 IBN784872:IBN786471 ILJ784872:ILJ786471 IVF784872:IVF786471 JFB784872:JFB786471 JOX784872:JOX786471 JYT784872:JYT786471 KIP784872:KIP786471 KSL784872:KSL786471 LCH784872:LCH786471 LMD784872:LMD786471 LVZ784872:LVZ786471 MFV784872:MFV786471 MPR784872:MPR786471 MZN784872:MZN786471 NJJ784872:NJJ786471 NTF784872:NTF786471 ODB784872:ODB786471 OMX784872:OMX786471 OWT784872:OWT786471 PGP784872:PGP786471 PQL784872:PQL786471 QAH784872:QAH786471 QKD784872:QKD786471 QTZ784872:QTZ786471 RDV784872:RDV786471 RNR784872:RNR786471 RXN784872:RXN786471 SHJ784872:SHJ786471 SRF784872:SRF786471 TBB784872:TBB786471 TKX784872:TKX786471 TUT784872:TUT786471 UEP784872:UEP786471 UOL784872:UOL786471 UYH784872:UYH786471 VID784872:VID786471 VRZ784872:VRZ786471 WBV784872:WBV786471 WLR784872:WLR786471 WVN784872:WVN786471 JB850408:JB852007 SX850408:SX852007 ACT850408:ACT852007 AMP850408:AMP852007 AWL850408:AWL852007 BGH850408:BGH852007 BQD850408:BQD852007 BZZ850408:BZZ852007 CJV850408:CJV852007 CTR850408:CTR852007 DDN850408:DDN852007 DNJ850408:DNJ852007 DXF850408:DXF852007 EHB850408:EHB852007 EQX850408:EQX852007 FAT850408:FAT852007 FKP850408:FKP852007 FUL850408:FUL852007 GEH850408:GEH852007 GOD850408:GOD852007 GXZ850408:GXZ852007 HHV850408:HHV852007 HRR850408:HRR852007 IBN850408:IBN852007 ILJ850408:ILJ852007 IVF850408:IVF852007 JFB850408:JFB852007 JOX850408:JOX852007 JYT850408:JYT852007 KIP850408:KIP852007 KSL850408:KSL852007 LCH850408:LCH852007 LMD850408:LMD852007 LVZ850408:LVZ852007 MFV850408:MFV852007 MPR850408:MPR852007 MZN850408:MZN852007 NJJ850408:NJJ852007 NTF850408:NTF852007 ODB850408:ODB852007 OMX850408:OMX852007 OWT850408:OWT852007 PGP850408:PGP852007 PQL850408:PQL852007 QAH850408:QAH852007 QKD850408:QKD852007 QTZ850408:QTZ852007 RDV850408:RDV852007 RNR850408:RNR852007 RXN850408:RXN852007 SHJ850408:SHJ852007 SRF850408:SRF852007 TBB850408:TBB852007 TKX850408:TKX852007 TUT850408:TUT852007 UEP850408:UEP852007 UOL850408:UOL852007 UYH850408:UYH852007 VID850408:VID852007 VRZ850408:VRZ852007 WBV850408:WBV852007 WLR850408:WLR852007 WVN850408:WVN852007 JB915944:JB917543 SX915944:SX917543 ACT915944:ACT917543 AMP915944:AMP917543 AWL915944:AWL917543 BGH915944:BGH917543 BQD915944:BQD917543 BZZ915944:BZZ917543 CJV915944:CJV917543 CTR915944:CTR917543 DDN915944:DDN917543 DNJ915944:DNJ917543 DXF915944:DXF917543 EHB915944:EHB917543 EQX915944:EQX917543 FAT915944:FAT917543 FKP915944:FKP917543 FUL915944:FUL917543 GEH915944:GEH917543 GOD915944:GOD917543 GXZ915944:GXZ917543 HHV915944:HHV917543 HRR915944:HRR917543 IBN915944:IBN917543 ILJ915944:ILJ917543 IVF915944:IVF917543 JFB915944:JFB917543 JOX915944:JOX917543 JYT915944:JYT917543 KIP915944:KIP917543 KSL915944:KSL917543 LCH915944:LCH917543 LMD915944:LMD917543 LVZ915944:LVZ917543 MFV915944:MFV917543 MPR915944:MPR917543 MZN915944:MZN917543 NJJ915944:NJJ917543 NTF915944:NTF917543 ODB915944:ODB917543 OMX915944:OMX917543 OWT915944:OWT917543 PGP915944:PGP917543 PQL915944:PQL917543 QAH915944:QAH917543 QKD915944:QKD917543 QTZ915944:QTZ917543 RDV915944:RDV917543 RNR915944:RNR917543 RXN915944:RXN917543 SHJ915944:SHJ917543 SRF915944:SRF917543 TBB915944:TBB917543 TKX915944:TKX917543 TUT915944:TUT917543 UEP915944:UEP917543 UOL915944:UOL917543 UYH915944:UYH917543 VID915944:VID917543 VRZ915944:VRZ917543 WBV915944:WBV917543 WLR915944:WLR917543 WVN915944:WVN917543 JB981480:JB983079 SX981480:SX983079 ACT981480:ACT983079 AMP981480:AMP983079 AWL981480:AWL983079 BGH981480:BGH983079 BQD981480:BQD983079 BZZ981480:BZZ983079 CJV981480:CJV983079 CTR981480:CTR983079 DDN981480:DDN983079 DNJ981480:DNJ983079 DXF981480:DXF983079 EHB981480:EHB983079 EQX981480:EQX983079 FAT981480:FAT983079 FKP981480:FKP983079 FUL981480:FUL983079 GEH981480:GEH983079 GOD981480:GOD983079 GXZ981480:GXZ983079 HHV981480:HHV983079 HRR981480:HRR983079 IBN981480:IBN983079 ILJ981480:ILJ983079 IVF981480:IVF983079 JFB981480:JFB983079 JOX981480:JOX983079 JYT981480:JYT983079 KIP981480:KIP983079 KSL981480:KSL983079 LCH981480:LCH983079 LMD981480:LMD983079 LVZ981480:LVZ983079 MFV981480:MFV983079 MPR981480:MPR983079 MZN981480:MZN983079 NJJ981480:NJJ983079 NTF981480:NTF983079 ODB981480:ODB983079 OMX981480:OMX983079 OWT981480:OWT983079 PGP981480:PGP983079 PQL981480:PQL983079 QAH981480:QAH983079 QKD981480:QKD983079 QTZ981480:QTZ983079 RDV981480:RDV983079 RNR981480:RNR983079 RXN981480:RXN983079 SHJ981480:SHJ983079 SRF981480:SRF983079 TBB981480:TBB983079 TKX981480:TKX983079 TUT981480:TUT983079 UEP981480:UEP983079 UOL981480:UOL983079 UYH981480:UYH983079 VID981480:VID983079 VRZ981480:VRZ983079 WBV981480:WBV983079 WLR981480:WLR983079 WVN981480:WVN983079 JD63976:JD65575 SZ63976:SZ65575 ACV63976:ACV65575 AMR63976:AMR65575 AWN63976:AWN65575 BGJ63976:BGJ65575 BQF63976:BQF65575 CAB63976:CAB65575 CJX63976:CJX65575 CTT63976:CTT65575 DDP63976:DDP65575 DNL63976:DNL65575 DXH63976:DXH65575 EHD63976:EHD65575 EQZ63976:EQZ65575 FAV63976:FAV65575 FKR63976:FKR65575 FUN63976:FUN65575 GEJ63976:GEJ65575 GOF63976:GOF65575 GYB63976:GYB65575 HHX63976:HHX65575 HRT63976:HRT65575 IBP63976:IBP65575 ILL63976:ILL65575 IVH63976:IVH65575 JFD63976:JFD65575 JOZ63976:JOZ65575 JYV63976:JYV65575 KIR63976:KIR65575 KSN63976:KSN65575 LCJ63976:LCJ65575 LMF63976:LMF65575 LWB63976:LWB65575 MFX63976:MFX65575 MPT63976:MPT65575 MZP63976:MZP65575 NJL63976:NJL65575 NTH63976:NTH65575 ODD63976:ODD65575 OMZ63976:OMZ65575 OWV63976:OWV65575 PGR63976:PGR65575 PQN63976:PQN65575 QAJ63976:QAJ65575 QKF63976:QKF65575 QUB63976:QUB65575 RDX63976:RDX65575 RNT63976:RNT65575 RXP63976:RXP65575 SHL63976:SHL65575 SRH63976:SRH65575 TBD63976:TBD65575 TKZ63976:TKZ65575 TUV63976:TUV65575 UER63976:UER65575 UON63976:UON65575 UYJ63976:UYJ65575 VIF63976:VIF65575 VSB63976:VSB65575 WBX63976:WBX65575 WLT63976:WLT65575 WVP63976:WVP65575 JD129512:JD131111 SZ129512:SZ131111 ACV129512:ACV131111 AMR129512:AMR131111 AWN129512:AWN131111 BGJ129512:BGJ131111 BQF129512:BQF131111 CAB129512:CAB131111 CJX129512:CJX131111 CTT129512:CTT131111 DDP129512:DDP131111 DNL129512:DNL131111 DXH129512:DXH131111 EHD129512:EHD131111 EQZ129512:EQZ131111 FAV129512:FAV131111 FKR129512:FKR131111 FUN129512:FUN131111 GEJ129512:GEJ131111 GOF129512:GOF131111 GYB129512:GYB131111 HHX129512:HHX131111 HRT129512:HRT131111 IBP129512:IBP131111 ILL129512:ILL131111 IVH129512:IVH131111 JFD129512:JFD131111 JOZ129512:JOZ131111 JYV129512:JYV131111 KIR129512:KIR131111 KSN129512:KSN131111 LCJ129512:LCJ131111 LMF129512:LMF131111 LWB129512:LWB131111 MFX129512:MFX131111 MPT129512:MPT131111 MZP129512:MZP131111 NJL129512:NJL131111 NTH129512:NTH131111 ODD129512:ODD131111 OMZ129512:OMZ131111 OWV129512:OWV131111 PGR129512:PGR131111 PQN129512:PQN131111 QAJ129512:QAJ131111 QKF129512:QKF131111 QUB129512:QUB131111 RDX129512:RDX131111 RNT129512:RNT131111 RXP129512:RXP131111 SHL129512:SHL131111 SRH129512:SRH131111 TBD129512:TBD131111 TKZ129512:TKZ131111 TUV129512:TUV131111 UER129512:UER131111 UON129512:UON131111 UYJ129512:UYJ131111 VIF129512:VIF131111 VSB129512:VSB131111 WBX129512:WBX131111 WLT129512:WLT131111 WVP129512:WVP131111 JD195048:JD196647 SZ195048:SZ196647 ACV195048:ACV196647 AMR195048:AMR196647 AWN195048:AWN196647 BGJ195048:BGJ196647 BQF195048:BQF196647 CAB195048:CAB196647 CJX195048:CJX196647 CTT195048:CTT196647 DDP195048:DDP196647 DNL195048:DNL196647 DXH195048:DXH196647 EHD195048:EHD196647 EQZ195048:EQZ196647 FAV195048:FAV196647 FKR195048:FKR196647 FUN195048:FUN196647 GEJ195048:GEJ196647 GOF195048:GOF196647 GYB195048:GYB196647 HHX195048:HHX196647 HRT195048:HRT196647 IBP195048:IBP196647 ILL195048:ILL196647 IVH195048:IVH196647 JFD195048:JFD196647 JOZ195048:JOZ196647 JYV195048:JYV196647 KIR195048:KIR196647 KSN195048:KSN196647 LCJ195048:LCJ196647 LMF195048:LMF196647 LWB195048:LWB196647 MFX195048:MFX196647 MPT195048:MPT196647 MZP195048:MZP196647 NJL195048:NJL196647 NTH195048:NTH196647 ODD195048:ODD196647 OMZ195048:OMZ196647 OWV195048:OWV196647 PGR195048:PGR196647 PQN195048:PQN196647 QAJ195048:QAJ196647 QKF195048:QKF196647 QUB195048:QUB196647 RDX195048:RDX196647 RNT195048:RNT196647 RXP195048:RXP196647 SHL195048:SHL196647 SRH195048:SRH196647 TBD195048:TBD196647 TKZ195048:TKZ196647 TUV195048:TUV196647 UER195048:UER196647 UON195048:UON196647 UYJ195048:UYJ196647 VIF195048:VIF196647 VSB195048:VSB196647 WBX195048:WBX196647 WLT195048:WLT196647 WVP195048:WVP196647 JD260584:JD262183 SZ260584:SZ262183 ACV260584:ACV262183 AMR260584:AMR262183 AWN260584:AWN262183 BGJ260584:BGJ262183 BQF260584:BQF262183 CAB260584:CAB262183 CJX260584:CJX262183 CTT260584:CTT262183 DDP260584:DDP262183 DNL260584:DNL262183 DXH260584:DXH262183 EHD260584:EHD262183 EQZ260584:EQZ262183 FAV260584:FAV262183 FKR260584:FKR262183 FUN260584:FUN262183 GEJ260584:GEJ262183 GOF260584:GOF262183 GYB260584:GYB262183 HHX260584:HHX262183 HRT260584:HRT262183 IBP260584:IBP262183 ILL260584:ILL262183 IVH260584:IVH262183 JFD260584:JFD262183 JOZ260584:JOZ262183 JYV260584:JYV262183 KIR260584:KIR262183 KSN260584:KSN262183 LCJ260584:LCJ262183 LMF260584:LMF262183 LWB260584:LWB262183 MFX260584:MFX262183 MPT260584:MPT262183 MZP260584:MZP262183 NJL260584:NJL262183 NTH260584:NTH262183 ODD260584:ODD262183 OMZ260584:OMZ262183 OWV260584:OWV262183 PGR260584:PGR262183 PQN260584:PQN262183 QAJ260584:QAJ262183 QKF260584:QKF262183 QUB260584:QUB262183 RDX260584:RDX262183 RNT260584:RNT262183 RXP260584:RXP262183 SHL260584:SHL262183 SRH260584:SRH262183 TBD260584:TBD262183 TKZ260584:TKZ262183 TUV260584:TUV262183 UER260584:UER262183 UON260584:UON262183 UYJ260584:UYJ262183 VIF260584:VIF262183 VSB260584:VSB262183 WBX260584:WBX262183 WLT260584:WLT262183 WVP260584:WVP262183 JD326120:JD327719 SZ326120:SZ327719 ACV326120:ACV327719 AMR326120:AMR327719 AWN326120:AWN327719 BGJ326120:BGJ327719 BQF326120:BQF327719 CAB326120:CAB327719 CJX326120:CJX327719 CTT326120:CTT327719 DDP326120:DDP327719 DNL326120:DNL327719 DXH326120:DXH327719 EHD326120:EHD327719 EQZ326120:EQZ327719 FAV326120:FAV327719 FKR326120:FKR327719 FUN326120:FUN327719 GEJ326120:GEJ327719 GOF326120:GOF327719 GYB326120:GYB327719 HHX326120:HHX327719 HRT326120:HRT327719 IBP326120:IBP327719 ILL326120:ILL327719 IVH326120:IVH327719 JFD326120:JFD327719 JOZ326120:JOZ327719 JYV326120:JYV327719 KIR326120:KIR327719 KSN326120:KSN327719 LCJ326120:LCJ327719 LMF326120:LMF327719 LWB326120:LWB327719 MFX326120:MFX327719 MPT326120:MPT327719 MZP326120:MZP327719 NJL326120:NJL327719 NTH326120:NTH327719 ODD326120:ODD327719 OMZ326120:OMZ327719 OWV326120:OWV327719 PGR326120:PGR327719 PQN326120:PQN327719 QAJ326120:QAJ327719 QKF326120:QKF327719 QUB326120:QUB327719 RDX326120:RDX327719 RNT326120:RNT327719 RXP326120:RXP327719 SHL326120:SHL327719 SRH326120:SRH327719 TBD326120:TBD327719 TKZ326120:TKZ327719 TUV326120:TUV327719 UER326120:UER327719 UON326120:UON327719 UYJ326120:UYJ327719 VIF326120:VIF327719 VSB326120:VSB327719 WBX326120:WBX327719 WLT326120:WLT327719 WVP326120:WVP327719 JD391656:JD393255 SZ391656:SZ393255 ACV391656:ACV393255 AMR391656:AMR393255 AWN391656:AWN393255 BGJ391656:BGJ393255 BQF391656:BQF393255 CAB391656:CAB393255 CJX391656:CJX393255 CTT391656:CTT393255 DDP391656:DDP393255 DNL391656:DNL393255 DXH391656:DXH393255 EHD391656:EHD393255 EQZ391656:EQZ393255 FAV391656:FAV393255 FKR391656:FKR393255 FUN391656:FUN393255 GEJ391656:GEJ393255 GOF391656:GOF393255 GYB391656:GYB393255 HHX391656:HHX393255 HRT391656:HRT393255 IBP391656:IBP393255 ILL391656:ILL393255 IVH391656:IVH393255 JFD391656:JFD393255 JOZ391656:JOZ393255 JYV391656:JYV393255 KIR391656:KIR393255 KSN391656:KSN393255 LCJ391656:LCJ393255 LMF391656:LMF393255 LWB391656:LWB393255 MFX391656:MFX393255 MPT391656:MPT393255 MZP391656:MZP393255 NJL391656:NJL393255 NTH391656:NTH393255 ODD391656:ODD393255 OMZ391656:OMZ393255 OWV391656:OWV393255 PGR391656:PGR393255 PQN391656:PQN393255 QAJ391656:QAJ393255 QKF391656:QKF393255 QUB391656:QUB393255 RDX391656:RDX393255 RNT391656:RNT393255 RXP391656:RXP393255 SHL391656:SHL393255 SRH391656:SRH393255 TBD391656:TBD393255 TKZ391656:TKZ393255 TUV391656:TUV393255 UER391656:UER393255 UON391656:UON393255 UYJ391656:UYJ393255 VIF391656:VIF393255 VSB391656:VSB393255 WBX391656:WBX393255 WLT391656:WLT393255 WVP391656:WVP393255 JD457192:JD458791 SZ457192:SZ458791 ACV457192:ACV458791 AMR457192:AMR458791 AWN457192:AWN458791 BGJ457192:BGJ458791 BQF457192:BQF458791 CAB457192:CAB458791 CJX457192:CJX458791 CTT457192:CTT458791 DDP457192:DDP458791 DNL457192:DNL458791 DXH457192:DXH458791 EHD457192:EHD458791 EQZ457192:EQZ458791 FAV457192:FAV458791 FKR457192:FKR458791 FUN457192:FUN458791 GEJ457192:GEJ458791 GOF457192:GOF458791 GYB457192:GYB458791 HHX457192:HHX458791 HRT457192:HRT458791 IBP457192:IBP458791 ILL457192:ILL458791 IVH457192:IVH458791 JFD457192:JFD458791 JOZ457192:JOZ458791 JYV457192:JYV458791 KIR457192:KIR458791 KSN457192:KSN458791 LCJ457192:LCJ458791 LMF457192:LMF458791 LWB457192:LWB458791 MFX457192:MFX458791 MPT457192:MPT458791 MZP457192:MZP458791 NJL457192:NJL458791 NTH457192:NTH458791 ODD457192:ODD458791 OMZ457192:OMZ458791 OWV457192:OWV458791 PGR457192:PGR458791 PQN457192:PQN458791 QAJ457192:QAJ458791 QKF457192:QKF458791 QUB457192:QUB458791 RDX457192:RDX458791 RNT457192:RNT458791 RXP457192:RXP458791 SHL457192:SHL458791 SRH457192:SRH458791 TBD457192:TBD458791 TKZ457192:TKZ458791 TUV457192:TUV458791 UER457192:UER458791 UON457192:UON458791 UYJ457192:UYJ458791 VIF457192:VIF458791 VSB457192:VSB458791 WBX457192:WBX458791 WLT457192:WLT458791 WVP457192:WVP458791 JD522728:JD524327 SZ522728:SZ524327 ACV522728:ACV524327 AMR522728:AMR524327 AWN522728:AWN524327 BGJ522728:BGJ524327 BQF522728:BQF524327 CAB522728:CAB524327 CJX522728:CJX524327 CTT522728:CTT524327 DDP522728:DDP524327 DNL522728:DNL524327 DXH522728:DXH524327 EHD522728:EHD524327 EQZ522728:EQZ524327 FAV522728:FAV524327 FKR522728:FKR524327 FUN522728:FUN524327 GEJ522728:GEJ524327 GOF522728:GOF524327 GYB522728:GYB524327 HHX522728:HHX524327 HRT522728:HRT524327 IBP522728:IBP524327 ILL522728:ILL524327 IVH522728:IVH524327 JFD522728:JFD524327 JOZ522728:JOZ524327 JYV522728:JYV524327 KIR522728:KIR524327 KSN522728:KSN524327 LCJ522728:LCJ524327 LMF522728:LMF524327 LWB522728:LWB524327 MFX522728:MFX524327 MPT522728:MPT524327 MZP522728:MZP524327 NJL522728:NJL524327 NTH522728:NTH524327 ODD522728:ODD524327 OMZ522728:OMZ524327 OWV522728:OWV524327 PGR522728:PGR524327 PQN522728:PQN524327 QAJ522728:QAJ524327 QKF522728:QKF524327 QUB522728:QUB524327 RDX522728:RDX524327 RNT522728:RNT524327 RXP522728:RXP524327 SHL522728:SHL524327 SRH522728:SRH524327 TBD522728:TBD524327 TKZ522728:TKZ524327 TUV522728:TUV524327 UER522728:UER524327 UON522728:UON524327 UYJ522728:UYJ524327 VIF522728:VIF524327 VSB522728:VSB524327 WBX522728:WBX524327 WLT522728:WLT524327 WVP522728:WVP524327 JD588264:JD589863 SZ588264:SZ589863 ACV588264:ACV589863 AMR588264:AMR589863 AWN588264:AWN589863 BGJ588264:BGJ589863 BQF588264:BQF589863 CAB588264:CAB589863 CJX588264:CJX589863 CTT588264:CTT589863 DDP588264:DDP589863 DNL588264:DNL589863 DXH588264:DXH589863 EHD588264:EHD589863 EQZ588264:EQZ589863 FAV588264:FAV589863 FKR588264:FKR589863 FUN588264:FUN589863 GEJ588264:GEJ589863 GOF588264:GOF589863 GYB588264:GYB589863 HHX588264:HHX589863 HRT588264:HRT589863 IBP588264:IBP589863 ILL588264:ILL589863 IVH588264:IVH589863 JFD588264:JFD589863 JOZ588264:JOZ589863 JYV588264:JYV589863 KIR588264:KIR589863 KSN588264:KSN589863 LCJ588264:LCJ589863 LMF588264:LMF589863 LWB588264:LWB589863 MFX588264:MFX589863 MPT588264:MPT589863 MZP588264:MZP589863 NJL588264:NJL589863 NTH588264:NTH589863 ODD588264:ODD589863 OMZ588264:OMZ589863 OWV588264:OWV589863 PGR588264:PGR589863 PQN588264:PQN589863 QAJ588264:QAJ589863 QKF588264:QKF589863 QUB588264:QUB589863 RDX588264:RDX589863 RNT588264:RNT589863 RXP588264:RXP589863 SHL588264:SHL589863 SRH588264:SRH589863 TBD588264:TBD589863 TKZ588264:TKZ589863 TUV588264:TUV589863 UER588264:UER589863 UON588264:UON589863 UYJ588264:UYJ589863 VIF588264:VIF589863 VSB588264:VSB589863 WBX588264:WBX589863 WLT588264:WLT589863 WVP588264:WVP589863 JD653800:JD655399 SZ653800:SZ655399 ACV653800:ACV655399 AMR653800:AMR655399 AWN653800:AWN655399 BGJ653800:BGJ655399 BQF653800:BQF655399 CAB653800:CAB655399 CJX653800:CJX655399 CTT653800:CTT655399 DDP653800:DDP655399 DNL653800:DNL655399 DXH653800:DXH655399 EHD653800:EHD655399 EQZ653800:EQZ655399 FAV653800:FAV655399 FKR653800:FKR655399 FUN653800:FUN655399 GEJ653800:GEJ655399 GOF653800:GOF655399 GYB653800:GYB655399 HHX653800:HHX655399 HRT653800:HRT655399 IBP653800:IBP655399 ILL653800:ILL655399 IVH653800:IVH655399 JFD653800:JFD655399 JOZ653800:JOZ655399 JYV653800:JYV655399 KIR653800:KIR655399 KSN653800:KSN655399 LCJ653800:LCJ655399 LMF653800:LMF655399 LWB653800:LWB655399 MFX653800:MFX655399 MPT653800:MPT655399 MZP653800:MZP655399 NJL653800:NJL655399 NTH653800:NTH655399 ODD653800:ODD655399 OMZ653800:OMZ655399 OWV653800:OWV655399 PGR653800:PGR655399 PQN653800:PQN655399 QAJ653800:QAJ655399 QKF653800:QKF655399 QUB653800:QUB655399 RDX653800:RDX655399 RNT653800:RNT655399 RXP653800:RXP655399 SHL653800:SHL655399 SRH653800:SRH655399 TBD653800:TBD655399 TKZ653800:TKZ655399 TUV653800:TUV655399 UER653800:UER655399 UON653800:UON655399 UYJ653800:UYJ655399 VIF653800:VIF655399 VSB653800:VSB655399 WBX653800:WBX655399 WLT653800:WLT655399 WVP653800:WVP655399 JD719336:JD720935 SZ719336:SZ720935 ACV719336:ACV720935 AMR719336:AMR720935 AWN719336:AWN720935 BGJ719336:BGJ720935 BQF719336:BQF720935 CAB719336:CAB720935 CJX719336:CJX720935 CTT719336:CTT720935 DDP719336:DDP720935 DNL719336:DNL720935 DXH719336:DXH720935 EHD719336:EHD720935 EQZ719336:EQZ720935 FAV719336:FAV720935 FKR719336:FKR720935 FUN719336:FUN720935 GEJ719336:GEJ720935 GOF719336:GOF720935 GYB719336:GYB720935 HHX719336:HHX720935 HRT719336:HRT720935 IBP719336:IBP720935 ILL719336:ILL720935 IVH719336:IVH720935 JFD719336:JFD720935 JOZ719336:JOZ720935 JYV719336:JYV720935 KIR719336:KIR720935 KSN719336:KSN720935 LCJ719336:LCJ720935 LMF719336:LMF720935 LWB719336:LWB720935 MFX719336:MFX720935 MPT719336:MPT720935 MZP719336:MZP720935 NJL719336:NJL720935 NTH719336:NTH720935 ODD719336:ODD720935 OMZ719336:OMZ720935 OWV719336:OWV720935 PGR719336:PGR720935 PQN719336:PQN720935 QAJ719336:QAJ720935 QKF719336:QKF720935 QUB719336:QUB720935 RDX719336:RDX720935 RNT719336:RNT720935 RXP719336:RXP720935 SHL719336:SHL720935 SRH719336:SRH720935 TBD719336:TBD720935 TKZ719336:TKZ720935 TUV719336:TUV720935 UER719336:UER720935 UON719336:UON720935 UYJ719336:UYJ720935 VIF719336:VIF720935 VSB719336:VSB720935 WBX719336:WBX720935 WLT719336:WLT720935 WVP719336:WVP720935 JD784872:JD786471 SZ784872:SZ786471 ACV784872:ACV786471 AMR784872:AMR786471 AWN784872:AWN786471 BGJ784872:BGJ786471 BQF784872:BQF786471 CAB784872:CAB786471 CJX784872:CJX786471 CTT784872:CTT786471 DDP784872:DDP786471 DNL784872:DNL786471 DXH784872:DXH786471 EHD784872:EHD786471 EQZ784872:EQZ786471 FAV784872:FAV786471 FKR784872:FKR786471 FUN784872:FUN786471 GEJ784872:GEJ786471 GOF784872:GOF786471 GYB784872:GYB786471 HHX784872:HHX786471 HRT784872:HRT786471 IBP784872:IBP786471 ILL784872:ILL786471 IVH784872:IVH786471 JFD784872:JFD786471 JOZ784872:JOZ786471 JYV784872:JYV786471 KIR784872:KIR786471 KSN784872:KSN786471 LCJ784872:LCJ786471 LMF784872:LMF786471 LWB784872:LWB786471 MFX784872:MFX786471 MPT784872:MPT786471 MZP784872:MZP786471 NJL784872:NJL786471 NTH784872:NTH786471 ODD784872:ODD786471 OMZ784872:OMZ786471 OWV784872:OWV786471 PGR784872:PGR786471 PQN784872:PQN786471 QAJ784872:QAJ786471 QKF784872:QKF786471 QUB784872:QUB786471 RDX784872:RDX786471 RNT784872:RNT786471 RXP784872:RXP786471 SHL784872:SHL786471 SRH784872:SRH786471 TBD784872:TBD786471 TKZ784872:TKZ786471 TUV784872:TUV786471 UER784872:UER786471 UON784872:UON786471 UYJ784872:UYJ786471 VIF784872:VIF786471 VSB784872:VSB786471 WBX784872:WBX786471 WLT784872:WLT786471 WVP784872:WVP786471 JD850408:JD852007 SZ850408:SZ852007 ACV850408:ACV852007 AMR850408:AMR852007 AWN850408:AWN852007 BGJ850408:BGJ852007 BQF850408:BQF852007 CAB850408:CAB852007 CJX850408:CJX852007 CTT850408:CTT852007 DDP850408:DDP852007 DNL850408:DNL852007 DXH850408:DXH852007 EHD850408:EHD852007 EQZ850408:EQZ852007 FAV850408:FAV852007 FKR850408:FKR852007 FUN850408:FUN852007 GEJ850408:GEJ852007 GOF850408:GOF852007 GYB850408:GYB852007 HHX850408:HHX852007 HRT850408:HRT852007 IBP850408:IBP852007 ILL850408:ILL852007 IVH850408:IVH852007 JFD850408:JFD852007 JOZ850408:JOZ852007 JYV850408:JYV852007 KIR850408:KIR852007 KSN850408:KSN852007 LCJ850408:LCJ852007 LMF850408:LMF852007 LWB850408:LWB852007 MFX850408:MFX852007 MPT850408:MPT852007 MZP850408:MZP852007 NJL850408:NJL852007 NTH850408:NTH852007 ODD850408:ODD852007 OMZ850408:OMZ852007 OWV850408:OWV852007 PGR850408:PGR852007 PQN850408:PQN852007 QAJ850408:QAJ852007 QKF850408:QKF852007 QUB850408:QUB852007 RDX850408:RDX852007 RNT850408:RNT852007 RXP850408:RXP852007 SHL850408:SHL852007 SRH850408:SRH852007 TBD850408:TBD852007 TKZ850408:TKZ852007 TUV850408:TUV852007 UER850408:UER852007 UON850408:UON852007 UYJ850408:UYJ852007 VIF850408:VIF852007 VSB850408:VSB852007 WBX850408:WBX852007 WLT850408:WLT852007 WVP850408:WVP852007 JD915944:JD917543 SZ915944:SZ917543 ACV915944:ACV917543 AMR915944:AMR917543 AWN915944:AWN917543 BGJ915944:BGJ917543 BQF915944:BQF917543 CAB915944:CAB917543 CJX915944:CJX917543 CTT915944:CTT917543 DDP915944:DDP917543 DNL915944:DNL917543 DXH915944:DXH917543 EHD915944:EHD917543 EQZ915944:EQZ917543 FAV915944:FAV917543 FKR915944:FKR917543 FUN915944:FUN917543 GEJ915944:GEJ917543 GOF915944:GOF917543 GYB915944:GYB917543 HHX915944:HHX917543 HRT915944:HRT917543 IBP915944:IBP917543 ILL915944:ILL917543 IVH915944:IVH917543 JFD915944:JFD917543 JOZ915944:JOZ917543 JYV915944:JYV917543 KIR915944:KIR917543 KSN915944:KSN917543 LCJ915944:LCJ917543 LMF915944:LMF917543 LWB915944:LWB917543 MFX915944:MFX917543 MPT915944:MPT917543 MZP915944:MZP917543 NJL915944:NJL917543 NTH915944:NTH917543 ODD915944:ODD917543 OMZ915944:OMZ917543 OWV915944:OWV917543 PGR915944:PGR917543 PQN915944:PQN917543 QAJ915944:QAJ917543 QKF915944:QKF917543 QUB915944:QUB917543 RDX915944:RDX917543 RNT915944:RNT917543 RXP915944:RXP917543 SHL915944:SHL917543 SRH915944:SRH917543 TBD915944:TBD917543 TKZ915944:TKZ917543 TUV915944:TUV917543 UER915944:UER917543 UON915944:UON917543 UYJ915944:UYJ917543 VIF915944:VIF917543 VSB915944:VSB917543 WBX915944:WBX917543 WLT915944:WLT917543 WVP915944:WVP917543 JD981480:JD983079 SZ981480:SZ983079 ACV981480:ACV983079 AMR981480:AMR983079 AWN981480:AWN983079 BGJ981480:BGJ983079 BQF981480:BQF983079 CAB981480:CAB983079 CJX981480:CJX983079 CTT981480:CTT983079 DDP981480:DDP983079 DNL981480:DNL983079 DXH981480:DXH983079 EHD981480:EHD983079 EQZ981480:EQZ983079 FAV981480:FAV983079 FKR981480:FKR983079 FUN981480:FUN983079 GEJ981480:GEJ983079 GOF981480:GOF983079 GYB981480:GYB983079 HHX981480:HHX983079 HRT981480:HRT983079 IBP981480:IBP983079 ILL981480:ILL983079 IVH981480:IVH983079 JFD981480:JFD983079 JOZ981480:JOZ983079 JYV981480:JYV983079 KIR981480:KIR983079 KSN981480:KSN983079 LCJ981480:LCJ983079 LMF981480:LMF983079 LWB981480:LWB983079 MFX981480:MFX983079 MPT981480:MPT983079 MZP981480:MZP983079 NJL981480:NJL983079 NTH981480:NTH983079 ODD981480:ODD983079 OMZ981480:OMZ983079 OWV981480:OWV983079 PGR981480:PGR983079 PQN981480:PQN983079 QAJ981480:QAJ983079 QKF981480:QKF983079 QUB981480:QUB983079 RDX981480:RDX983079 RNT981480:RNT983079 RXP981480:RXP983079 SHL981480:SHL983079 SRH981480:SRH983079 TBD981480:TBD983079 TKZ981480:TKZ983079 TUV981480:TUV983079 UER981480:UER983079 UON981480:UON983079 UYJ981480:UYJ983079 VIF981480:VIF983079 VSB981480:VSB983079 WBX981480:WBX983079 WLT981480:WLT983079 WVP981480:WVP983079 WVP7:WVP56 WLT7:WLT56 WBX7:WBX56 VSB7:VSB56 VIF7:VIF56 UYJ7:UYJ56 UON7:UON56 UER7:UER56 TUV7:TUV56 TKZ7:TKZ56 TBD7:TBD56 SRH7:SRH56 SHL7:SHL56 RXP7:RXP56 RNT7:RNT56 RDX7:RDX56 QUB7:QUB56 QKF7:QKF56 QAJ7:QAJ56 PQN7:PQN56 PGR7:PGR56 OWV7:OWV56 OMZ7:OMZ56 ODD7:ODD56 NTH7:NTH56 NJL7:NJL56 MZP7:MZP56 MPT7:MPT56 MFX7:MFX56 LWB7:LWB56 LMF7:LMF56 LCJ7:LCJ56 KSN7:KSN56 KIR7:KIR56 JYV7:JYV56 JOZ7:JOZ56 JFD7:JFD56 IVH7:IVH56 ILL7:ILL56 IBP7:IBP56 HRT7:HRT56 HHX7:HHX56 GYB7:GYB56 GOF7:GOF56 GEJ7:GEJ56 FUN7:FUN56 FKR7:FKR56 FAV7:FAV56 EQZ7:EQZ56 EHD7:EHD56 DXH7:DXH56 DNL7:DNL56 DDP7:DDP56 CTT7:CTT56 CJX7:CJX56 CAB7:CAB56 BQF7:BQF56 BGJ7:BGJ56 AWN7:AWN56 AMR7:AMR56 ACV7:ACV56 SZ7:SZ56 JD7:JD56 WVN7:WVN56 WLR7:WLR56 WBV7:WBV56 VRZ7:VRZ56 VID7:VID56 UYH7:UYH56 UOL7:UOL56 UEP7:UEP56 TUT7:TUT56 TKX7:TKX56 TBB7:TBB56 SRF7:SRF56 SHJ7:SHJ56 RXN7:RXN56 RNR7:RNR56 RDV7:RDV56 QTZ7:QTZ56 QKD7:QKD56 QAH7:QAH56 PQL7:PQL56 PGP7:PGP56 OWT7:OWT56 OMX7:OMX56 ODB7:ODB56 NTF7:NTF56 NJJ7:NJJ56 MZN7:MZN56 MPR7:MPR56 MFV7:MFV56 LVZ7:LVZ56 LMD7:LMD56 LCH7:LCH56 KSL7:KSL56 KIP7:KIP56 JYT7:JYT56 JOX7:JOX56 JFB7:JFB56 IVF7:IVF56 ILJ7:ILJ56 IBN7:IBN56 HRR7:HRR56 HHV7:HHV56 GXZ7:GXZ56 GOD7:GOD56 GEH7:GEH56 FUL7:FUL56 FKP7:FKP56 FAT7:FAT56 EQX7:EQX56 EHB7:EHB56 DXF7:DXF56 DNJ7:DNJ56 DDN7:DDN56 CTR7:CTR56 CJV7:CJV56 BZZ7:BZZ56 BQD7:BQD56 BGH7:BGH56 AWL7:AWL56 AMP7:AMP56 ACT7:ACT56 SX7:SX56 JB7:JB56 I981480:I983079 I915944:I917543 I850408:I852007 I784872:I786471 I719336:I720935 I653800:I655399 I588264:I589863 I522728:I524327 I457192:I458791 I391656:I393255 I326120:I327719 I260584:I262183 I195048:I196647 I129512:I131111 I63976:I65575">
      <formula1>"X"</formula1>
    </dataValidation>
    <dataValidation type="list" allowBlank="1" showInputMessage="1" showErrorMessage="1" sqref="JF63976:JF65575 TB63976:TB65575 ACX63976:ACX65575 AMT63976:AMT65575 AWP63976:AWP65575 BGL63976:BGL65575 BQH63976:BQH65575 CAD63976:CAD65575 CJZ63976:CJZ65575 CTV63976:CTV65575 DDR63976:DDR65575 DNN63976:DNN65575 DXJ63976:DXJ65575 EHF63976:EHF65575 ERB63976:ERB65575 FAX63976:FAX65575 FKT63976:FKT65575 FUP63976:FUP65575 GEL63976:GEL65575 GOH63976:GOH65575 GYD63976:GYD65575 HHZ63976:HHZ65575 HRV63976:HRV65575 IBR63976:IBR65575 ILN63976:ILN65575 IVJ63976:IVJ65575 JFF63976:JFF65575 JPB63976:JPB65575 JYX63976:JYX65575 KIT63976:KIT65575 KSP63976:KSP65575 LCL63976:LCL65575 LMH63976:LMH65575 LWD63976:LWD65575 MFZ63976:MFZ65575 MPV63976:MPV65575 MZR63976:MZR65575 NJN63976:NJN65575 NTJ63976:NTJ65575 ODF63976:ODF65575 ONB63976:ONB65575 OWX63976:OWX65575 PGT63976:PGT65575 PQP63976:PQP65575 QAL63976:QAL65575 QKH63976:QKH65575 QUD63976:QUD65575 RDZ63976:RDZ65575 RNV63976:RNV65575 RXR63976:RXR65575 SHN63976:SHN65575 SRJ63976:SRJ65575 TBF63976:TBF65575 TLB63976:TLB65575 TUX63976:TUX65575 UET63976:UET65575 UOP63976:UOP65575 UYL63976:UYL65575 VIH63976:VIH65575 VSD63976:VSD65575 WBZ63976:WBZ65575 WLV63976:WLV65575 WVR63976:WVR65575 JF129512:JF131111 TB129512:TB131111 ACX129512:ACX131111 AMT129512:AMT131111 AWP129512:AWP131111 BGL129512:BGL131111 BQH129512:BQH131111 CAD129512:CAD131111 CJZ129512:CJZ131111 CTV129512:CTV131111 DDR129512:DDR131111 DNN129512:DNN131111 DXJ129512:DXJ131111 EHF129512:EHF131111 ERB129512:ERB131111 FAX129512:FAX131111 FKT129512:FKT131111 FUP129512:FUP131111 GEL129512:GEL131111 GOH129512:GOH131111 GYD129512:GYD131111 HHZ129512:HHZ131111 HRV129512:HRV131111 IBR129512:IBR131111 ILN129512:ILN131111 IVJ129512:IVJ131111 JFF129512:JFF131111 JPB129512:JPB131111 JYX129512:JYX131111 KIT129512:KIT131111 KSP129512:KSP131111 LCL129512:LCL131111 LMH129512:LMH131111 LWD129512:LWD131111 MFZ129512:MFZ131111 MPV129512:MPV131111 MZR129512:MZR131111 NJN129512:NJN131111 NTJ129512:NTJ131111 ODF129512:ODF131111 ONB129512:ONB131111 OWX129512:OWX131111 PGT129512:PGT131111 PQP129512:PQP131111 QAL129512:QAL131111 QKH129512:QKH131111 QUD129512:QUD131111 RDZ129512:RDZ131111 RNV129512:RNV131111 RXR129512:RXR131111 SHN129512:SHN131111 SRJ129512:SRJ131111 TBF129512:TBF131111 TLB129512:TLB131111 TUX129512:TUX131111 UET129512:UET131111 UOP129512:UOP131111 UYL129512:UYL131111 VIH129512:VIH131111 VSD129512:VSD131111 WBZ129512:WBZ131111 WLV129512:WLV131111 WVR129512:WVR131111 JF195048:JF196647 TB195048:TB196647 ACX195048:ACX196647 AMT195048:AMT196647 AWP195048:AWP196647 BGL195048:BGL196647 BQH195048:BQH196647 CAD195048:CAD196647 CJZ195048:CJZ196647 CTV195048:CTV196647 DDR195048:DDR196647 DNN195048:DNN196647 DXJ195048:DXJ196647 EHF195048:EHF196647 ERB195048:ERB196647 FAX195048:FAX196647 FKT195048:FKT196647 FUP195048:FUP196647 GEL195048:GEL196647 GOH195048:GOH196647 GYD195048:GYD196647 HHZ195048:HHZ196647 HRV195048:HRV196647 IBR195048:IBR196647 ILN195048:ILN196647 IVJ195048:IVJ196647 JFF195048:JFF196647 JPB195048:JPB196647 JYX195048:JYX196647 KIT195048:KIT196647 KSP195048:KSP196647 LCL195048:LCL196647 LMH195048:LMH196647 LWD195048:LWD196647 MFZ195048:MFZ196647 MPV195048:MPV196647 MZR195048:MZR196647 NJN195048:NJN196647 NTJ195048:NTJ196647 ODF195048:ODF196647 ONB195048:ONB196647 OWX195048:OWX196647 PGT195048:PGT196647 PQP195048:PQP196647 QAL195048:QAL196647 QKH195048:QKH196647 QUD195048:QUD196647 RDZ195048:RDZ196647 RNV195048:RNV196647 RXR195048:RXR196647 SHN195048:SHN196647 SRJ195048:SRJ196647 TBF195048:TBF196647 TLB195048:TLB196647 TUX195048:TUX196647 UET195048:UET196647 UOP195048:UOP196647 UYL195048:UYL196647 VIH195048:VIH196647 VSD195048:VSD196647 WBZ195048:WBZ196647 WLV195048:WLV196647 WVR195048:WVR196647 JF260584:JF262183 TB260584:TB262183 ACX260584:ACX262183 AMT260584:AMT262183 AWP260584:AWP262183 BGL260584:BGL262183 BQH260584:BQH262183 CAD260584:CAD262183 CJZ260584:CJZ262183 CTV260584:CTV262183 DDR260584:DDR262183 DNN260584:DNN262183 DXJ260584:DXJ262183 EHF260584:EHF262183 ERB260584:ERB262183 FAX260584:FAX262183 FKT260584:FKT262183 FUP260584:FUP262183 GEL260584:GEL262183 GOH260584:GOH262183 GYD260584:GYD262183 HHZ260584:HHZ262183 HRV260584:HRV262183 IBR260584:IBR262183 ILN260584:ILN262183 IVJ260584:IVJ262183 JFF260584:JFF262183 JPB260584:JPB262183 JYX260584:JYX262183 KIT260584:KIT262183 KSP260584:KSP262183 LCL260584:LCL262183 LMH260584:LMH262183 LWD260584:LWD262183 MFZ260584:MFZ262183 MPV260584:MPV262183 MZR260584:MZR262183 NJN260584:NJN262183 NTJ260584:NTJ262183 ODF260584:ODF262183 ONB260584:ONB262183 OWX260584:OWX262183 PGT260584:PGT262183 PQP260584:PQP262183 QAL260584:QAL262183 QKH260584:QKH262183 QUD260584:QUD262183 RDZ260584:RDZ262183 RNV260584:RNV262183 RXR260584:RXR262183 SHN260584:SHN262183 SRJ260584:SRJ262183 TBF260584:TBF262183 TLB260584:TLB262183 TUX260584:TUX262183 UET260584:UET262183 UOP260584:UOP262183 UYL260584:UYL262183 VIH260584:VIH262183 VSD260584:VSD262183 WBZ260584:WBZ262183 WLV260584:WLV262183 WVR260584:WVR262183 JF326120:JF327719 TB326120:TB327719 ACX326120:ACX327719 AMT326120:AMT327719 AWP326120:AWP327719 BGL326120:BGL327719 BQH326120:BQH327719 CAD326120:CAD327719 CJZ326120:CJZ327719 CTV326120:CTV327719 DDR326120:DDR327719 DNN326120:DNN327719 DXJ326120:DXJ327719 EHF326120:EHF327719 ERB326120:ERB327719 FAX326120:FAX327719 FKT326120:FKT327719 FUP326120:FUP327719 GEL326120:GEL327719 GOH326120:GOH327719 GYD326120:GYD327719 HHZ326120:HHZ327719 HRV326120:HRV327719 IBR326120:IBR327719 ILN326120:ILN327719 IVJ326120:IVJ327719 JFF326120:JFF327719 JPB326120:JPB327719 JYX326120:JYX327719 KIT326120:KIT327719 KSP326120:KSP327719 LCL326120:LCL327719 LMH326120:LMH327719 LWD326120:LWD327719 MFZ326120:MFZ327719 MPV326120:MPV327719 MZR326120:MZR327719 NJN326120:NJN327719 NTJ326120:NTJ327719 ODF326120:ODF327719 ONB326120:ONB327719 OWX326120:OWX327719 PGT326120:PGT327719 PQP326120:PQP327719 QAL326120:QAL327719 QKH326120:QKH327719 QUD326120:QUD327719 RDZ326120:RDZ327719 RNV326120:RNV327719 RXR326120:RXR327719 SHN326120:SHN327719 SRJ326120:SRJ327719 TBF326120:TBF327719 TLB326120:TLB327719 TUX326120:TUX327719 UET326120:UET327719 UOP326120:UOP327719 UYL326120:UYL327719 VIH326120:VIH327719 VSD326120:VSD327719 WBZ326120:WBZ327719 WLV326120:WLV327719 WVR326120:WVR327719 JF391656:JF393255 TB391656:TB393255 ACX391656:ACX393255 AMT391656:AMT393255 AWP391656:AWP393255 BGL391656:BGL393255 BQH391656:BQH393255 CAD391656:CAD393255 CJZ391656:CJZ393255 CTV391656:CTV393255 DDR391656:DDR393255 DNN391656:DNN393255 DXJ391656:DXJ393255 EHF391656:EHF393255 ERB391656:ERB393255 FAX391656:FAX393255 FKT391656:FKT393255 FUP391656:FUP393255 GEL391656:GEL393255 GOH391656:GOH393255 GYD391656:GYD393255 HHZ391656:HHZ393255 HRV391656:HRV393255 IBR391656:IBR393255 ILN391656:ILN393255 IVJ391656:IVJ393255 JFF391656:JFF393255 JPB391656:JPB393255 JYX391656:JYX393255 KIT391656:KIT393255 KSP391656:KSP393255 LCL391656:LCL393255 LMH391656:LMH393255 LWD391656:LWD393255 MFZ391656:MFZ393255 MPV391656:MPV393255 MZR391656:MZR393255 NJN391656:NJN393255 NTJ391656:NTJ393255 ODF391656:ODF393255 ONB391656:ONB393255 OWX391656:OWX393255 PGT391656:PGT393255 PQP391656:PQP393255 QAL391656:QAL393255 QKH391656:QKH393255 QUD391656:QUD393255 RDZ391656:RDZ393255 RNV391656:RNV393255 RXR391656:RXR393255 SHN391656:SHN393255 SRJ391656:SRJ393255 TBF391656:TBF393255 TLB391656:TLB393255 TUX391656:TUX393255 UET391656:UET393255 UOP391656:UOP393255 UYL391656:UYL393255 VIH391656:VIH393255 VSD391656:VSD393255 WBZ391656:WBZ393255 WLV391656:WLV393255 WVR391656:WVR393255 JF457192:JF458791 TB457192:TB458791 ACX457192:ACX458791 AMT457192:AMT458791 AWP457192:AWP458791 BGL457192:BGL458791 BQH457192:BQH458791 CAD457192:CAD458791 CJZ457192:CJZ458791 CTV457192:CTV458791 DDR457192:DDR458791 DNN457192:DNN458791 DXJ457192:DXJ458791 EHF457192:EHF458791 ERB457192:ERB458791 FAX457192:FAX458791 FKT457192:FKT458791 FUP457192:FUP458791 GEL457192:GEL458791 GOH457192:GOH458791 GYD457192:GYD458791 HHZ457192:HHZ458791 HRV457192:HRV458791 IBR457192:IBR458791 ILN457192:ILN458791 IVJ457192:IVJ458791 JFF457192:JFF458791 JPB457192:JPB458791 JYX457192:JYX458791 KIT457192:KIT458791 KSP457192:KSP458791 LCL457192:LCL458791 LMH457192:LMH458791 LWD457192:LWD458791 MFZ457192:MFZ458791 MPV457192:MPV458791 MZR457192:MZR458791 NJN457192:NJN458791 NTJ457192:NTJ458791 ODF457192:ODF458791 ONB457192:ONB458791 OWX457192:OWX458791 PGT457192:PGT458791 PQP457192:PQP458791 QAL457192:QAL458791 QKH457192:QKH458791 QUD457192:QUD458791 RDZ457192:RDZ458791 RNV457192:RNV458791 RXR457192:RXR458791 SHN457192:SHN458791 SRJ457192:SRJ458791 TBF457192:TBF458791 TLB457192:TLB458791 TUX457192:TUX458791 UET457192:UET458791 UOP457192:UOP458791 UYL457192:UYL458791 VIH457192:VIH458791 VSD457192:VSD458791 WBZ457192:WBZ458791 WLV457192:WLV458791 WVR457192:WVR458791 JF522728:JF524327 TB522728:TB524327 ACX522728:ACX524327 AMT522728:AMT524327 AWP522728:AWP524327 BGL522728:BGL524327 BQH522728:BQH524327 CAD522728:CAD524327 CJZ522728:CJZ524327 CTV522728:CTV524327 DDR522728:DDR524327 DNN522728:DNN524327 DXJ522728:DXJ524327 EHF522728:EHF524327 ERB522728:ERB524327 FAX522728:FAX524327 FKT522728:FKT524327 FUP522728:FUP524327 GEL522728:GEL524327 GOH522728:GOH524327 GYD522728:GYD524327 HHZ522728:HHZ524327 HRV522728:HRV524327 IBR522728:IBR524327 ILN522728:ILN524327 IVJ522728:IVJ524327 JFF522728:JFF524327 JPB522728:JPB524327 JYX522728:JYX524327 KIT522728:KIT524327 KSP522728:KSP524327 LCL522728:LCL524327 LMH522728:LMH524327 LWD522728:LWD524327 MFZ522728:MFZ524327 MPV522728:MPV524327 MZR522728:MZR524327 NJN522728:NJN524327 NTJ522728:NTJ524327 ODF522728:ODF524327 ONB522728:ONB524327 OWX522728:OWX524327 PGT522728:PGT524327 PQP522728:PQP524327 QAL522728:QAL524327 QKH522728:QKH524327 QUD522728:QUD524327 RDZ522728:RDZ524327 RNV522728:RNV524327 RXR522728:RXR524327 SHN522728:SHN524327 SRJ522728:SRJ524327 TBF522728:TBF524327 TLB522728:TLB524327 TUX522728:TUX524327 UET522728:UET524327 UOP522728:UOP524327 UYL522728:UYL524327 VIH522728:VIH524327 VSD522728:VSD524327 WBZ522728:WBZ524327 WLV522728:WLV524327 WVR522728:WVR524327 JF588264:JF589863 TB588264:TB589863 ACX588264:ACX589863 AMT588264:AMT589863 AWP588264:AWP589863 BGL588264:BGL589863 BQH588264:BQH589863 CAD588264:CAD589863 CJZ588264:CJZ589863 CTV588264:CTV589863 DDR588264:DDR589863 DNN588264:DNN589863 DXJ588264:DXJ589863 EHF588264:EHF589863 ERB588264:ERB589863 FAX588264:FAX589863 FKT588264:FKT589863 FUP588264:FUP589863 GEL588264:GEL589863 GOH588264:GOH589863 GYD588264:GYD589863 HHZ588264:HHZ589863 HRV588264:HRV589863 IBR588264:IBR589863 ILN588264:ILN589863 IVJ588264:IVJ589863 JFF588264:JFF589863 JPB588264:JPB589863 JYX588264:JYX589863 KIT588264:KIT589863 KSP588264:KSP589863 LCL588264:LCL589863 LMH588264:LMH589863 LWD588264:LWD589863 MFZ588264:MFZ589863 MPV588264:MPV589863 MZR588264:MZR589863 NJN588264:NJN589863 NTJ588264:NTJ589863 ODF588264:ODF589863 ONB588264:ONB589863 OWX588264:OWX589863 PGT588264:PGT589863 PQP588264:PQP589863 QAL588264:QAL589863 QKH588264:QKH589863 QUD588264:QUD589863 RDZ588264:RDZ589863 RNV588264:RNV589863 RXR588264:RXR589863 SHN588264:SHN589863 SRJ588264:SRJ589863 TBF588264:TBF589863 TLB588264:TLB589863 TUX588264:TUX589863 UET588264:UET589863 UOP588264:UOP589863 UYL588264:UYL589863 VIH588264:VIH589863 VSD588264:VSD589863 WBZ588264:WBZ589863 WLV588264:WLV589863 WVR588264:WVR589863 JF653800:JF655399 TB653800:TB655399 ACX653800:ACX655399 AMT653800:AMT655399 AWP653800:AWP655399 BGL653800:BGL655399 BQH653800:BQH655399 CAD653800:CAD655399 CJZ653800:CJZ655399 CTV653800:CTV655399 DDR653800:DDR655399 DNN653800:DNN655399 DXJ653800:DXJ655399 EHF653800:EHF655399 ERB653800:ERB655399 FAX653800:FAX655399 FKT653800:FKT655399 FUP653800:FUP655399 GEL653800:GEL655399 GOH653800:GOH655399 GYD653800:GYD655399 HHZ653800:HHZ655399 HRV653800:HRV655399 IBR653800:IBR655399 ILN653800:ILN655399 IVJ653800:IVJ655399 JFF653800:JFF655399 JPB653800:JPB655399 JYX653800:JYX655399 KIT653800:KIT655399 KSP653800:KSP655399 LCL653800:LCL655399 LMH653800:LMH655399 LWD653800:LWD655399 MFZ653800:MFZ655399 MPV653800:MPV655399 MZR653800:MZR655399 NJN653800:NJN655399 NTJ653800:NTJ655399 ODF653800:ODF655399 ONB653800:ONB655399 OWX653800:OWX655399 PGT653800:PGT655399 PQP653800:PQP655399 QAL653800:QAL655399 QKH653800:QKH655399 QUD653800:QUD655399 RDZ653800:RDZ655399 RNV653800:RNV655399 RXR653800:RXR655399 SHN653800:SHN655399 SRJ653800:SRJ655399 TBF653800:TBF655399 TLB653800:TLB655399 TUX653800:TUX655399 UET653800:UET655399 UOP653800:UOP655399 UYL653800:UYL655399 VIH653800:VIH655399 VSD653800:VSD655399 WBZ653800:WBZ655399 WLV653800:WLV655399 WVR653800:WVR655399 JF719336:JF720935 TB719336:TB720935 ACX719336:ACX720935 AMT719336:AMT720935 AWP719336:AWP720935 BGL719336:BGL720935 BQH719336:BQH720935 CAD719336:CAD720935 CJZ719336:CJZ720935 CTV719336:CTV720935 DDR719336:DDR720935 DNN719336:DNN720935 DXJ719336:DXJ720935 EHF719336:EHF720935 ERB719336:ERB720935 FAX719336:FAX720935 FKT719336:FKT720935 FUP719336:FUP720935 GEL719336:GEL720935 GOH719336:GOH720935 GYD719336:GYD720935 HHZ719336:HHZ720935 HRV719336:HRV720935 IBR719336:IBR720935 ILN719336:ILN720935 IVJ719336:IVJ720935 JFF719336:JFF720935 JPB719336:JPB720935 JYX719336:JYX720935 KIT719336:KIT720935 KSP719336:KSP720935 LCL719336:LCL720935 LMH719336:LMH720935 LWD719336:LWD720935 MFZ719336:MFZ720935 MPV719336:MPV720935 MZR719336:MZR720935 NJN719336:NJN720935 NTJ719336:NTJ720935 ODF719336:ODF720935 ONB719336:ONB720935 OWX719336:OWX720935 PGT719336:PGT720935 PQP719336:PQP720935 QAL719336:QAL720935 QKH719336:QKH720935 QUD719336:QUD720935 RDZ719336:RDZ720935 RNV719336:RNV720935 RXR719336:RXR720935 SHN719336:SHN720935 SRJ719336:SRJ720935 TBF719336:TBF720935 TLB719336:TLB720935 TUX719336:TUX720935 UET719336:UET720935 UOP719336:UOP720935 UYL719336:UYL720935 VIH719336:VIH720935 VSD719336:VSD720935 WBZ719336:WBZ720935 WLV719336:WLV720935 WVR719336:WVR720935 JF784872:JF786471 TB784872:TB786471 ACX784872:ACX786471 AMT784872:AMT786471 AWP784872:AWP786471 BGL784872:BGL786471 BQH784872:BQH786471 CAD784872:CAD786471 CJZ784872:CJZ786471 CTV784872:CTV786471 DDR784872:DDR786471 DNN784872:DNN786471 DXJ784872:DXJ786471 EHF784872:EHF786471 ERB784872:ERB786471 FAX784872:FAX786471 FKT784872:FKT786471 FUP784872:FUP786471 GEL784872:GEL786471 GOH784872:GOH786471 GYD784872:GYD786471 HHZ784872:HHZ786471 HRV784872:HRV786471 IBR784872:IBR786471 ILN784872:ILN786471 IVJ784872:IVJ786471 JFF784872:JFF786471 JPB784872:JPB786471 JYX784872:JYX786471 KIT784872:KIT786471 KSP784872:KSP786471 LCL784872:LCL786471 LMH784872:LMH786471 LWD784872:LWD786471 MFZ784872:MFZ786471 MPV784872:MPV786471 MZR784872:MZR786471 NJN784872:NJN786471 NTJ784872:NTJ786471 ODF784872:ODF786471 ONB784872:ONB786471 OWX784872:OWX786471 PGT784872:PGT786471 PQP784872:PQP786471 QAL784872:QAL786471 QKH784872:QKH786471 QUD784872:QUD786471 RDZ784872:RDZ786471 RNV784872:RNV786471 RXR784872:RXR786471 SHN784872:SHN786471 SRJ784872:SRJ786471 TBF784872:TBF786471 TLB784872:TLB786471 TUX784872:TUX786471 UET784872:UET786471 UOP784872:UOP786471 UYL784872:UYL786471 VIH784872:VIH786471 VSD784872:VSD786471 WBZ784872:WBZ786471 WLV784872:WLV786471 WVR784872:WVR786471 JF850408:JF852007 TB850408:TB852007 ACX850408:ACX852007 AMT850408:AMT852007 AWP850408:AWP852007 BGL850408:BGL852007 BQH850408:BQH852007 CAD850408:CAD852007 CJZ850408:CJZ852007 CTV850408:CTV852007 DDR850408:DDR852007 DNN850408:DNN852007 DXJ850408:DXJ852007 EHF850408:EHF852007 ERB850408:ERB852007 FAX850408:FAX852007 FKT850408:FKT852007 FUP850408:FUP852007 GEL850408:GEL852007 GOH850408:GOH852007 GYD850408:GYD852007 HHZ850408:HHZ852007 HRV850408:HRV852007 IBR850408:IBR852007 ILN850408:ILN852007 IVJ850408:IVJ852007 JFF850408:JFF852007 JPB850408:JPB852007 JYX850408:JYX852007 KIT850408:KIT852007 KSP850408:KSP852007 LCL850408:LCL852007 LMH850408:LMH852007 LWD850408:LWD852007 MFZ850408:MFZ852007 MPV850408:MPV852007 MZR850408:MZR852007 NJN850408:NJN852007 NTJ850408:NTJ852007 ODF850408:ODF852007 ONB850408:ONB852007 OWX850408:OWX852007 PGT850408:PGT852007 PQP850408:PQP852007 QAL850408:QAL852007 QKH850408:QKH852007 QUD850408:QUD852007 RDZ850408:RDZ852007 RNV850408:RNV852007 RXR850408:RXR852007 SHN850408:SHN852007 SRJ850408:SRJ852007 TBF850408:TBF852007 TLB850408:TLB852007 TUX850408:TUX852007 UET850408:UET852007 UOP850408:UOP852007 UYL850408:UYL852007 VIH850408:VIH852007 VSD850408:VSD852007 WBZ850408:WBZ852007 WLV850408:WLV852007 WVR850408:WVR852007 JF915944:JF917543 TB915944:TB917543 ACX915944:ACX917543 AMT915944:AMT917543 AWP915944:AWP917543 BGL915944:BGL917543 BQH915944:BQH917543 CAD915944:CAD917543 CJZ915944:CJZ917543 CTV915944:CTV917543 DDR915944:DDR917543 DNN915944:DNN917543 DXJ915944:DXJ917543 EHF915944:EHF917543 ERB915944:ERB917543 FAX915944:FAX917543 FKT915944:FKT917543 FUP915944:FUP917543 GEL915944:GEL917543 GOH915944:GOH917543 GYD915944:GYD917543 HHZ915944:HHZ917543 HRV915944:HRV917543 IBR915944:IBR917543 ILN915944:ILN917543 IVJ915944:IVJ917543 JFF915944:JFF917543 JPB915944:JPB917543 JYX915944:JYX917543 KIT915944:KIT917543 KSP915944:KSP917543 LCL915944:LCL917543 LMH915944:LMH917543 LWD915944:LWD917543 MFZ915944:MFZ917543 MPV915944:MPV917543 MZR915944:MZR917543 NJN915944:NJN917543 NTJ915944:NTJ917543 ODF915944:ODF917543 ONB915944:ONB917543 OWX915944:OWX917543 PGT915944:PGT917543 PQP915944:PQP917543 QAL915944:QAL917543 QKH915944:QKH917543 QUD915944:QUD917543 RDZ915944:RDZ917543 RNV915944:RNV917543 RXR915944:RXR917543 SHN915944:SHN917543 SRJ915944:SRJ917543 TBF915944:TBF917543 TLB915944:TLB917543 TUX915944:TUX917543 UET915944:UET917543 UOP915944:UOP917543 UYL915944:UYL917543 VIH915944:VIH917543 VSD915944:VSD917543 WBZ915944:WBZ917543 WLV915944:WLV917543 WVR915944:WVR917543 JF981480:JF983079 TB981480:TB983079 ACX981480:ACX983079 AMT981480:AMT983079 AWP981480:AWP983079 BGL981480:BGL983079 BQH981480:BQH983079 CAD981480:CAD983079 CJZ981480:CJZ983079 CTV981480:CTV983079 DDR981480:DDR983079 DNN981480:DNN983079 DXJ981480:DXJ983079 EHF981480:EHF983079 ERB981480:ERB983079 FAX981480:FAX983079 FKT981480:FKT983079 FUP981480:FUP983079 GEL981480:GEL983079 GOH981480:GOH983079 GYD981480:GYD983079 HHZ981480:HHZ983079 HRV981480:HRV983079 IBR981480:IBR983079 ILN981480:ILN983079 IVJ981480:IVJ983079 JFF981480:JFF983079 JPB981480:JPB983079 JYX981480:JYX983079 KIT981480:KIT983079 KSP981480:KSP983079 LCL981480:LCL983079 LMH981480:LMH983079 LWD981480:LWD983079 MFZ981480:MFZ983079 MPV981480:MPV983079 MZR981480:MZR983079 NJN981480:NJN983079 NTJ981480:NTJ983079 ODF981480:ODF983079 ONB981480:ONB983079 OWX981480:OWX983079 PGT981480:PGT983079 PQP981480:PQP983079 QAL981480:QAL983079 QKH981480:QKH983079 QUD981480:QUD983079 RDZ981480:RDZ983079 RNV981480:RNV983079 RXR981480:RXR983079 SHN981480:SHN983079 SRJ981480:SRJ983079 TBF981480:TBF983079 TLB981480:TLB983079 TUX981480:TUX983079 UET981480:UET983079 UOP981480:UOP983079 UYL981480:UYL983079 VIH981480:VIH983079 VSD981480:VSD983079 WBZ981480:WBZ983079 WLV981480:WLV983079 WVR981480:WVR983079 WVR7:WVR56 WLV7:WLV56 WBZ7:WBZ56 VSD7:VSD56 VIH7:VIH56 UYL7:UYL56 UOP7:UOP56 UET7:UET56 TUX7:TUX56 TLB7:TLB56 TBF7:TBF56 SRJ7:SRJ56 SHN7:SHN56 RXR7:RXR56 RNV7:RNV56 RDZ7:RDZ56 QUD7:QUD56 QKH7:QKH56 QAL7:QAL56 PQP7:PQP56 PGT7:PGT56 OWX7:OWX56 ONB7:ONB56 ODF7:ODF56 NTJ7:NTJ56 NJN7:NJN56 MZR7:MZR56 MPV7:MPV56 MFZ7:MFZ56 LWD7:LWD56 LMH7:LMH56 LCL7:LCL56 KSP7:KSP56 KIT7:KIT56 JYX7:JYX56 JPB7:JPB56 JFF7:JFF56 IVJ7:IVJ56 ILN7:ILN56 IBR7:IBR56 HRV7:HRV56 HHZ7:HHZ56 GYD7:GYD56 GOH7:GOH56 GEL7:GEL56 FUP7:FUP56 FKT7:FKT56 FAX7:FAX56 ERB7:ERB56 EHF7:EHF56 DXJ7:DXJ56 DNN7:DNN56 DDR7:DDR56 CTV7:CTV56 CJZ7:CJZ56 CAD7:CAD56 BQH7:BQH56 BGL7:BGL56 AWP7:AWP56 AMT7:AMT56 ACX7:ACX56 TB7:TB56 JF7:JF56 M981480:M983079 M63976:M65575 M129512:M131111 M195048:M196647 M260584:M262183 M326120:M327719 M391656:M393255 M457192:M458791 M522728:M524327 M588264:M589863 M653800:M655399 M719336:M720935 M784872:M786471 M850408:M852007 M915944:M917543">
      <formula1>xa.phuong</formula1>
    </dataValidation>
  </dataValidations>
  <pageMargins left="3.937007874015748E-2"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C3399"/>
  </sheetPr>
  <dimension ref="A1:AA20"/>
  <sheetViews>
    <sheetView showGridLines="0" showZeros="0" workbookViewId="0">
      <selection activeCell="F9" sqref="F9"/>
    </sheetView>
  </sheetViews>
  <sheetFormatPr defaultRowHeight="15" x14ac:dyDescent="0.25"/>
  <cols>
    <col min="1" max="1" width="11.5" style="68" customWidth="1"/>
    <col min="2" max="2" width="7.125" style="68" customWidth="1"/>
    <col min="3" max="3" width="4.75" style="68" customWidth="1"/>
    <col min="4" max="4" width="5.125" style="68" customWidth="1"/>
    <col min="5" max="5" width="4.75" style="68" customWidth="1"/>
    <col min="6" max="7" width="7.125" style="68" customWidth="1"/>
    <col min="8" max="24" width="4.75" style="68" customWidth="1"/>
    <col min="25" max="256" width="9" style="68"/>
    <col min="257" max="257" width="11.5" style="68" customWidth="1"/>
    <col min="258" max="258" width="7.125" style="68" customWidth="1"/>
    <col min="259" max="259" width="4.75" style="68" customWidth="1"/>
    <col min="260" max="260" width="5.125" style="68" customWidth="1"/>
    <col min="261" max="280" width="4.75" style="68" customWidth="1"/>
    <col min="281" max="512" width="9" style="68"/>
    <col min="513" max="513" width="11.5" style="68" customWidth="1"/>
    <col min="514" max="514" width="7.125" style="68" customWidth="1"/>
    <col min="515" max="515" width="4.75" style="68" customWidth="1"/>
    <col min="516" max="516" width="5.125" style="68" customWidth="1"/>
    <col min="517" max="536" width="4.75" style="68" customWidth="1"/>
    <col min="537" max="768" width="9" style="68"/>
    <col min="769" max="769" width="11.5" style="68" customWidth="1"/>
    <col min="770" max="770" width="7.125" style="68" customWidth="1"/>
    <col min="771" max="771" width="4.75" style="68" customWidth="1"/>
    <col min="772" max="772" width="5.125" style="68" customWidth="1"/>
    <col min="773" max="792" width="4.75" style="68" customWidth="1"/>
    <col min="793" max="1024" width="9" style="68"/>
    <col min="1025" max="1025" width="11.5" style="68" customWidth="1"/>
    <col min="1026" max="1026" width="7.125" style="68" customWidth="1"/>
    <col min="1027" max="1027" width="4.75" style="68" customWidth="1"/>
    <col min="1028" max="1028" width="5.125" style="68" customWidth="1"/>
    <col min="1029" max="1048" width="4.75" style="68" customWidth="1"/>
    <col min="1049" max="1280" width="9" style="68"/>
    <col min="1281" max="1281" width="11.5" style="68" customWidth="1"/>
    <col min="1282" max="1282" width="7.125" style="68" customWidth="1"/>
    <col min="1283" max="1283" width="4.75" style="68" customWidth="1"/>
    <col min="1284" max="1284" width="5.125" style="68" customWidth="1"/>
    <col min="1285" max="1304" width="4.75" style="68" customWidth="1"/>
    <col min="1305" max="1536" width="9" style="68"/>
    <col min="1537" max="1537" width="11.5" style="68" customWidth="1"/>
    <col min="1538" max="1538" width="7.125" style="68" customWidth="1"/>
    <col min="1539" max="1539" width="4.75" style="68" customWidth="1"/>
    <col min="1540" max="1540" width="5.125" style="68" customWidth="1"/>
    <col min="1541" max="1560" width="4.75" style="68" customWidth="1"/>
    <col min="1561" max="1792" width="9" style="68"/>
    <col min="1793" max="1793" width="11.5" style="68" customWidth="1"/>
    <col min="1794" max="1794" width="7.125" style="68" customWidth="1"/>
    <col min="1795" max="1795" width="4.75" style="68" customWidth="1"/>
    <col min="1796" max="1796" width="5.125" style="68" customWidth="1"/>
    <col min="1797" max="1816" width="4.75" style="68" customWidth="1"/>
    <col min="1817" max="2048" width="9" style="68"/>
    <col min="2049" max="2049" width="11.5" style="68" customWidth="1"/>
    <col min="2050" max="2050" width="7.125" style="68" customWidth="1"/>
    <col min="2051" max="2051" width="4.75" style="68" customWidth="1"/>
    <col min="2052" max="2052" width="5.125" style="68" customWidth="1"/>
    <col min="2053" max="2072" width="4.75" style="68" customWidth="1"/>
    <col min="2073" max="2304" width="9" style="68"/>
    <col min="2305" max="2305" width="11.5" style="68" customWidth="1"/>
    <col min="2306" max="2306" width="7.125" style="68" customWidth="1"/>
    <col min="2307" max="2307" width="4.75" style="68" customWidth="1"/>
    <col min="2308" max="2308" width="5.125" style="68" customWidth="1"/>
    <col min="2309" max="2328" width="4.75" style="68" customWidth="1"/>
    <col min="2329" max="2560" width="9" style="68"/>
    <col min="2561" max="2561" width="11.5" style="68" customWidth="1"/>
    <col min="2562" max="2562" width="7.125" style="68" customWidth="1"/>
    <col min="2563" max="2563" width="4.75" style="68" customWidth="1"/>
    <col min="2564" max="2564" width="5.125" style="68" customWidth="1"/>
    <col min="2565" max="2584" width="4.75" style="68" customWidth="1"/>
    <col min="2585" max="2816" width="9" style="68"/>
    <col min="2817" max="2817" width="11.5" style="68" customWidth="1"/>
    <col min="2818" max="2818" width="7.125" style="68" customWidth="1"/>
    <col min="2819" max="2819" width="4.75" style="68" customWidth="1"/>
    <col min="2820" max="2820" width="5.125" style="68" customWidth="1"/>
    <col min="2821" max="2840" width="4.75" style="68" customWidth="1"/>
    <col min="2841" max="3072" width="9" style="68"/>
    <col min="3073" max="3073" width="11.5" style="68" customWidth="1"/>
    <col min="3074" max="3074" width="7.125" style="68" customWidth="1"/>
    <col min="3075" max="3075" width="4.75" style="68" customWidth="1"/>
    <col min="3076" max="3076" width="5.125" style="68" customWidth="1"/>
    <col min="3077" max="3096" width="4.75" style="68" customWidth="1"/>
    <col min="3097" max="3328" width="9" style="68"/>
    <col min="3329" max="3329" width="11.5" style="68" customWidth="1"/>
    <col min="3330" max="3330" width="7.125" style="68" customWidth="1"/>
    <col min="3331" max="3331" width="4.75" style="68" customWidth="1"/>
    <col min="3332" max="3332" width="5.125" style="68" customWidth="1"/>
    <col min="3333" max="3352" width="4.75" style="68" customWidth="1"/>
    <col min="3353" max="3584" width="9" style="68"/>
    <col min="3585" max="3585" width="11.5" style="68" customWidth="1"/>
    <col min="3586" max="3586" width="7.125" style="68" customWidth="1"/>
    <col min="3587" max="3587" width="4.75" style="68" customWidth="1"/>
    <col min="3588" max="3588" width="5.125" style="68" customWidth="1"/>
    <col min="3589" max="3608" width="4.75" style="68" customWidth="1"/>
    <col min="3609" max="3840" width="9" style="68"/>
    <col min="3841" max="3841" width="11.5" style="68" customWidth="1"/>
    <col min="3842" max="3842" width="7.125" style="68" customWidth="1"/>
    <col min="3843" max="3843" width="4.75" style="68" customWidth="1"/>
    <col min="3844" max="3844" width="5.125" style="68" customWidth="1"/>
    <col min="3845" max="3864" width="4.75" style="68" customWidth="1"/>
    <col min="3865" max="4096" width="9" style="68"/>
    <col min="4097" max="4097" width="11.5" style="68" customWidth="1"/>
    <col min="4098" max="4098" width="7.125" style="68" customWidth="1"/>
    <col min="4099" max="4099" width="4.75" style="68" customWidth="1"/>
    <col min="4100" max="4100" width="5.125" style="68" customWidth="1"/>
    <col min="4101" max="4120" width="4.75" style="68" customWidth="1"/>
    <col min="4121" max="4352" width="9" style="68"/>
    <col min="4353" max="4353" width="11.5" style="68" customWidth="1"/>
    <col min="4354" max="4354" width="7.125" style="68" customWidth="1"/>
    <col min="4355" max="4355" width="4.75" style="68" customWidth="1"/>
    <col min="4356" max="4356" width="5.125" style="68" customWidth="1"/>
    <col min="4357" max="4376" width="4.75" style="68" customWidth="1"/>
    <col min="4377" max="4608" width="9" style="68"/>
    <col min="4609" max="4609" width="11.5" style="68" customWidth="1"/>
    <col min="4610" max="4610" width="7.125" style="68" customWidth="1"/>
    <col min="4611" max="4611" width="4.75" style="68" customWidth="1"/>
    <col min="4612" max="4612" width="5.125" style="68" customWidth="1"/>
    <col min="4613" max="4632" width="4.75" style="68" customWidth="1"/>
    <col min="4633" max="4864" width="9" style="68"/>
    <col min="4865" max="4865" width="11.5" style="68" customWidth="1"/>
    <col min="4866" max="4866" width="7.125" style="68" customWidth="1"/>
    <col min="4867" max="4867" width="4.75" style="68" customWidth="1"/>
    <col min="4868" max="4868" width="5.125" style="68" customWidth="1"/>
    <col min="4869" max="4888" width="4.75" style="68" customWidth="1"/>
    <col min="4889" max="5120" width="9" style="68"/>
    <col min="5121" max="5121" width="11.5" style="68" customWidth="1"/>
    <col min="5122" max="5122" width="7.125" style="68" customWidth="1"/>
    <col min="5123" max="5123" width="4.75" style="68" customWidth="1"/>
    <col min="5124" max="5124" width="5.125" style="68" customWidth="1"/>
    <col min="5125" max="5144" width="4.75" style="68" customWidth="1"/>
    <col min="5145" max="5376" width="9" style="68"/>
    <col min="5377" max="5377" width="11.5" style="68" customWidth="1"/>
    <col min="5378" max="5378" width="7.125" style="68" customWidth="1"/>
    <col min="5379" max="5379" width="4.75" style="68" customWidth="1"/>
    <col min="5380" max="5380" width="5.125" style="68" customWidth="1"/>
    <col min="5381" max="5400" width="4.75" style="68" customWidth="1"/>
    <col min="5401" max="5632" width="9" style="68"/>
    <col min="5633" max="5633" width="11.5" style="68" customWidth="1"/>
    <col min="5634" max="5634" width="7.125" style="68" customWidth="1"/>
    <col min="5635" max="5635" width="4.75" style="68" customWidth="1"/>
    <col min="5636" max="5636" width="5.125" style="68" customWidth="1"/>
    <col min="5637" max="5656" width="4.75" style="68" customWidth="1"/>
    <col min="5657" max="5888" width="9" style="68"/>
    <col min="5889" max="5889" width="11.5" style="68" customWidth="1"/>
    <col min="5890" max="5890" width="7.125" style="68" customWidth="1"/>
    <col min="5891" max="5891" width="4.75" style="68" customWidth="1"/>
    <col min="5892" max="5892" width="5.125" style="68" customWidth="1"/>
    <col min="5893" max="5912" width="4.75" style="68" customWidth="1"/>
    <col min="5913" max="6144" width="9" style="68"/>
    <col min="6145" max="6145" width="11.5" style="68" customWidth="1"/>
    <col min="6146" max="6146" width="7.125" style="68" customWidth="1"/>
    <col min="6147" max="6147" width="4.75" style="68" customWidth="1"/>
    <col min="6148" max="6148" width="5.125" style="68" customWidth="1"/>
    <col min="6149" max="6168" width="4.75" style="68" customWidth="1"/>
    <col min="6169" max="6400" width="9" style="68"/>
    <col min="6401" max="6401" width="11.5" style="68" customWidth="1"/>
    <col min="6402" max="6402" width="7.125" style="68" customWidth="1"/>
    <col min="6403" max="6403" width="4.75" style="68" customWidth="1"/>
    <col min="6404" max="6404" width="5.125" style="68" customWidth="1"/>
    <col min="6405" max="6424" width="4.75" style="68" customWidth="1"/>
    <col min="6425" max="6656" width="9" style="68"/>
    <col min="6657" max="6657" width="11.5" style="68" customWidth="1"/>
    <col min="6658" max="6658" width="7.125" style="68" customWidth="1"/>
    <col min="6659" max="6659" width="4.75" style="68" customWidth="1"/>
    <col min="6660" max="6660" width="5.125" style="68" customWidth="1"/>
    <col min="6661" max="6680" width="4.75" style="68" customWidth="1"/>
    <col min="6681" max="6912" width="9" style="68"/>
    <col min="6913" max="6913" width="11.5" style="68" customWidth="1"/>
    <col min="6914" max="6914" width="7.125" style="68" customWidth="1"/>
    <col min="6915" max="6915" width="4.75" style="68" customWidth="1"/>
    <col min="6916" max="6916" width="5.125" style="68" customWidth="1"/>
    <col min="6917" max="6936" width="4.75" style="68" customWidth="1"/>
    <col min="6937" max="7168" width="9" style="68"/>
    <col min="7169" max="7169" width="11.5" style="68" customWidth="1"/>
    <col min="7170" max="7170" width="7.125" style="68" customWidth="1"/>
    <col min="7171" max="7171" width="4.75" style="68" customWidth="1"/>
    <col min="7172" max="7172" width="5.125" style="68" customWidth="1"/>
    <col min="7173" max="7192" width="4.75" style="68" customWidth="1"/>
    <col min="7193" max="7424" width="9" style="68"/>
    <col min="7425" max="7425" width="11.5" style="68" customWidth="1"/>
    <col min="7426" max="7426" width="7.125" style="68" customWidth="1"/>
    <col min="7427" max="7427" width="4.75" style="68" customWidth="1"/>
    <col min="7428" max="7428" width="5.125" style="68" customWidth="1"/>
    <col min="7429" max="7448" width="4.75" style="68" customWidth="1"/>
    <col min="7449" max="7680" width="9" style="68"/>
    <col min="7681" max="7681" width="11.5" style="68" customWidth="1"/>
    <col min="7682" max="7682" width="7.125" style="68" customWidth="1"/>
    <col min="7683" max="7683" width="4.75" style="68" customWidth="1"/>
    <col min="7684" max="7684" width="5.125" style="68" customWidth="1"/>
    <col min="7685" max="7704" width="4.75" style="68" customWidth="1"/>
    <col min="7705" max="7936" width="9" style="68"/>
    <col min="7937" max="7937" width="11.5" style="68" customWidth="1"/>
    <col min="7938" max="7938" width="7.125" style="68" customWidth="1"/>
    <col min="7939" max="7939" width="4.75" style="68" customWidth="1"/>
    <col min="7940" max="7940" width="5.125" style="68" customWidth="1"/>
    <col min="7941" max="7960" width="4.75" style="68" customWidth="1"/>
    <col min="7961" max="8192" width="9" style="68"/>
    <col min="8193" max="8193" width="11.5" style="68" customWidth="1"/>
    <col min="8194" max="8194" width="7.125" style="68" customWidth="1"/>
    <col min="8195" max="8195" width="4.75" style="68" customWidth="1"/>
    <col min="8196" max="8196" width="5.125" style="68" customWidth="1"/>
    <col min="8197" max="8216" width="4.75" style="68" customWidth="1"/>
    <col min="8217" max="8448" width="9" style="68"/>
    <col min="8449" max="8449" width="11.5" style="68" customWidth="1"/>
    <col min="8450" max="8450" width="7.125" style="68" customWidth="1"/>
    <col min="8451" max="8451" width="4.75" style="68" customWidth="1"/>
    <col min="8452" max="8452" width="5.125" style="68" customWidth="1"/>
    <col min="8453" max="8472" width="4.75" style="68" customWidth="1"/>
    <col min="8473" max="8704" width="9" style="68"/>
    <col min="8705" max="8705" width="11.5" style="68" customWidth="1"/>
    <col min="8706" max="8706" width="7.125" style="68" customWidth="1"/>
    <col min="8707" max="8707" width="4.75" style="68" customWidth="1"/>
    <col min="8708" max="8708" width="5.125" style="68" customWidth="1"/>
    <col min="8709" max="8728" width="4.75" style="68" customWidth="1"/>
    <col min="8729" max="8960" width="9" style="68"/>
    <col min="8961" max="8961" width="11.5" style="68" customWidth="1"/>
    <col min="8962" max="8962" width="7.125" style="68" customWidth="1"/>
    <col min="8963" max="8963" width="4.75" style="68" customWidth="1"/>
    <col min="8964" max="8964" width="5.125" style="68" customWidth="1"/>
    <col min="8965" max="8984" width="4.75" style="68" customWidth="1"/>
    <col min="8985" max="9216" width="9" style="68"/>
    <col min="9217" max="9217" width="11.5" style="68" customWidth="1"/>
    <col min="9218" max="9218" width="7.125" style="68" customWidth="1"/>
    <col min="9219" max="9219" width="4.75" style="68" customWidth="1"/>
    <col min="9220" max="9220" width="5.125" style="68" customWidth="1"/>
    <col min="9221" max="9240" width="4.75" style="68" customWidth="1"/>
    <col min="9241" max="9472" width="9" style="68"/>
    <col min="9473" max="9473" width="11.5" style="68" customWidth="1"/>
    <col min="9474" max="9474" width="7.125" style="68" customWidth="1"/>
    <col min="9475" max="9475" width="4.75" style="68" customWidth="1"/>
    <col min="9476" max="9476" width="5.125" style="68" customWidth="1"/>
    <col min="9477" max="9496" width="4.75" style="68" customWidth="1"/>
    <col min="9497" max="9728" width="9" style="68"/>
    <col min="9729" max="9729" width="11.5" style="68" customWidth="1"/>
    <col min="9730" max="9730" width="7.125" style="68" customWidth="1"/>
    <col min="9731" max="9731" width="4.75" style="68" customWidth="1"/>
    <col min="9732" max="9732" width="5.125" style="68" customWidth="1"/>
    <col min="9733" max="9752" width="4.75" style="68" customWidth="1"/>
    <col min="9753" max="9984" width="9" style="68"/>
    <col min="9985" max="9985" width="11.5" style="68" customWidth="1"/>
    <col min="9986" max="9986" width="7.125" style="68" customWidth="1"/>
    <col min="9987" max="9987" width="4.75" style="68" customWidth="1"/>
    <col min="9988" max="9988" width="5.125" style="68" customWidth="1"/>
    <col min="9989" max="10008" width="4.75" style="68" customWidth="1"/>
    <col min="10009" max="10240" width="9" style="68"/>
    <col min="10241" max="10241" width="11.5" style="68" customWidth="1"/>
    <col min="10242" max="10242" width="7.125" style="68" customWidth="1"/>
    <col min="10243" max="10243" width="4.75" style="68" customWidth="1"/>
    <col min="10244" max="10244" width="5.125" style="68" customWidth="1"/>
    <col min="10245" max="10264" width="4.75" style="68" customWidth="1"/>
    <col min="10265" max="10496" width="9" style="68"/>
    <col min="10497" max="10497" width="11.5" style="68" customWidth="1"/>
    <col min="10498" max="10498" width="7.125" style="68" customWidth="1"/>
    <col min="10499" max="10499" width="4.75" style="68" customWidth="1"/>
    <col min="10500" max="10500" width="5.125" style="68" customWidth="1"/>
    <col min="10501" max="10520" width="4.75" style="68" customWidth="1"/>
    <col min="10521" max="10752" width="9" style="68"/>
    <col min="10753" max="10753" width="11.5" style="68" customWidth="1"/>
    <col min="10754" max="10754" width="7.125" style="68" customWidth="1"/>
    <col min="10755" max="10755" width="4.75" style="68" customWidth="1"/>
    <col min="10756" max="10756" width="5.125" style="68" customWidth="1"/>
    <col min="10757" max="10776" width="4.75" style="68" customWidth="1"/>
    <col min="10777" max="11008" width="9" style="68"/>
    <col min="11009" max="11009" width="11.5" style="68" customWidth="1"/>
    <col min="11010" max="11010" width="7.125" style="68" customWidth="1"/>
    <col min="11011" max="11011" width="4.75" style="68" customWidth="1"/>
    <col min="11012" max="11012" width="5.125" style="68" customWidth="1"/>
    <col min="11013" max="11032" width="4.75" style="68" customWidth="1"/>
    <col min="11033" max="11264" width="9" style="68"/>
    <col min="11265" max="11265" width="11.5" style="68" customWidth="1"/>
    <col min="11266" max="11266" width="7.125" style="68" customWidth="1"/>
    <col min="11267" max="11267" width="4.75" style="68" customWidth="1"/>
    <col min="11268" max="11268" width="5.125" style="68" customWidth="1"/>
    <col min="11269" max="11288" width="4.75" style="68" customWidth="1"/>
    <col min="11289" max="11520" width="9" style="68"/>
    <col min="11521" max="11521" width="11.5" style="68" customWidth="1"/>
    <col min="11522" max="11522" width="7.125" style="68" customWidth="1"/>
    <col min="11523" max="11523" width="4.75" style="68" customWidth="1"/>
    <col min="11524" max="11524" width="5.125" style="68" customWidth="1"/>
    <col min="11525" max="11544" width="4.75" style="68" customWidth="1"/>
    <col min="11545" max="11776" width="9" style="68"/>
    <col min="11777" max="11777" width="11.5" style="68" customWidth="1"/>
    <col min="11778" max="11778" width="7.125" style="68" customWidth="1"/>
    <col min="11779" max="11779" width="4.75" style="68" customWidth="1"/>
    <col min="11780" max="11780" width="5.125" style="68" customWidth="1"/>
    <col min="11781" max="11800" width="4.75" style="68" customWidth="1"/>
    <col min="11801" max="12032" width="9" style="68"/>
    <col min="12033" max="12033" width="11.5" style="68" customWidth="1"/>
    <col min="12034" max="12034" width="7.125" style="68" customWidth="1"/>
    <col min="12035" max="12035" width="4.75" style="68" customWidth="1"/>
    <col min="12036" max="12036" width="5.125" style="68" customWidth="1"/>
    <col min="12037" max="12056" width="4.75" style="68" customWidth="1"/>
    <col min="12057" max="12288" width="9" style="68"/>
    <col min="12289" max="12289" width="11.5" style="68" customWidth="1"/>
    <col min="12290" max="12290" width="7.125" style="68" customWidth="1"/>
    <col min="12291" max="12291" width="4.75" style="68" customWidth="1"/>
    <col min="12292" max="12292" width="5.125" style="68" customWidth="1"/>
    <col min="12293" max="12312" width="4.75" style="68" customWidth="1"/>
    <col min="12313" max="12544" width="9" style="68"/>
    <col min="12545" max="12545" width="11.5" style="68" customWidth="1"/>
    <col min="12546" max="12546" width="7.125" style="68" customWidth="1"/>
    <col min="12547" max="12547" width="4.75" style="68" customWidth="1"/>
    <col min="12548" max="12548" width="5.125" style="68" customWidth="1"/>
    <col min="12549" max="12568" width="4.75" style="68" customWidth="1"/>
    <col min="12569" max="12800" width="9" style="68"/>
    <col min="12801" max="12801" width="11.5" style="68" customWidth="1"/>
    <col min="12802" max="12802" width="7.125" style="68" customWidth="1"/>
    <col min="12803" max="12803" width="4.75" style="68" customWidth="1"/>
    <col min="12804" max="12804" width="5.125" style="68" customWidth="1"/>
    <col min="12805" max="12824" width="4.75" style="68" customWidth="1"/>
    <col min="12825" max="13056" width="9" style="68"/>
    <col min="13057" max="13057" width="11.5" style="68" customWidth="1"/>
    <col min="13058" max="13058" width="7.125" style="68" customWidth="1"/>
    <col min="13059" max="13059" width="4.75" style="68" customWidth="1"/>
    <col min="13060" max="13060" width="5.125" style="68" customWidth="1"/>
    <col min="13061" max="13080" width="4.75" style="68" customWidth="1"/>
    <col min="13081" max="13312" width="9" style="68"/>
    <col min="13313" max="13313" width="11.5" style="68" customWidth="1"/>
    <col min="13314" max="13314" width="7.125" style="68" customWidth="1"/>
    <col min="13315" max="13315" width="4.75" style="68" customWidth="1"/>
    <col min="13316" max="13316" width="5.125" style="68" customWidth="1"/>
    <col min="13317" max="13336" width="4.75" style="68" customWidth="1"/>
    <col min="13337" max="13568" width="9" style="68"/>
    <col min="13569" max="13569" width="11.5" style="68" customWidth="1"/>
    <col min="13570" max="13570" width="7.125" style="68" customWidth="1"/>
    <col min="13571" max="13571" width="4.75" style="68" customWidth="1"/>
    <col min="13572" max="13572" width="5.125" style="68" customWidth="1"/>
    <col min="13573" max="13592" width="4.75" style="68" customWidth="1"/>
    <col min="13593" max="13824" width="9" style="68"/>
    <col min="13825" max="13825" width="11.5" style="68" customWidth="1"/>
    <col min="13826" max="13826" width="7.125" style="68" customWidth="1"/>
    <col min="13827" max="13827" width="4.75" style="68" customWidth="1"/>
    <col min="13828" max="13828" width="5.125" style="68" customWidth="1"/>
    <col min="13829" max="13848" width="4.75" style="68" customWidth="1"/>
    <col min="13849" max="14080" width="9" style="68"/>
    <col min="14081" max="14081" width="11.5" style="68" customWidth="1"/>
    <col min="14082" max="14082" width="7.125" style="68" customWidth="1"/>
    <col min="14083" max="14083" width="4.75" style="68" customWidth="1"/>
    <col min="14084" max="14084" width="5.125" style="68" customWidth="1"/>
    <col min="14085" max="14104" width="4.75" style="68" customWidth="1"/>
    <col min="14105" max="14336" width="9" style="68"/>
    <col min="14337" max="14337" width="11.5" style="68" customWidth="1"/>
    <col min="14338" max="14338" width="7.125" style="68" customWidth="1"/>
    <col min="14339" max="14339" width="4.75" style="68" customWidth="1"/>
    <col min="14340" max="14340" width="5.125" style="68" customWidth="1"/>
    <col min="14341" max="14360" width="4.75" style="68" customWidth="1"/>
    <col min="14361" max="14592" width="9" style="68"/>
    <col min="14593" max="14593" width="11.5" style="68" customWidth="1"/>
    <col min="14594" max="14594" width="7.125" style="68" customWidth="1"/>
    <col min="14595" max="14595" width="4.75" style="68" customWidth="1"/>
    <col min="14596" max="14596" width="5.125" style="68" customWidth="1"/>
    <col min="14597" max="14616" width="4.75" style="68" customWidth="1"/>
    <col min="14617" max="14848" width="9" style="68"/>
    <col min="14849" max="14849" width="11.5" style="68" customWidth="1"/>
    <col min="14850" max="14850" width="7.125" style="68" customWidth="1"/>
    <col min="14851" max="14851" width="4.75" style="68" customWidth="1"/>
    <col min="14852" max="14852" width="5.125" style="68" customWidth="1"/>
    <col min="14853" max="14872" width="4.75" style="68" customWidth="1"/>
    <col min="14873" max="15104" width="9" style="68"/>
    <col min="15105" max="15105" width="11.5" style="68" customWidth="1"/>
    <col min="15106" max="15106" width="7.125" style="68" customWidth="1"/>
    <col min="15107" max="15107" width="4.75" style="68" customWidth="1"/>
    <col min="15108" max="15108" width="5.125" style="68" customWidth="1"/>
    <col min="15109" max="15128" width="4.75" style="68" customWidth="1"/>
    <col min="15129" max="15360" width="9" style="68"/>
    <col min="15361" max="15361" width="11.5" style="68" customWidth="1"/>
    <col min="15362" max="15362" width="7.125" style="68" customWidth="1"/>
    <col min="15363" max="15363" width="4.75" style="68" customWidth="1"/>
    <col min="15364" max="15364" width="5.125" style="68" customWidth="1"/>
    <col min="15365" max="15384" width="4.75" style="68" customWidth="1"/>
    <col min="15385" max="15616" width="9" style="68"/>
    <col min="15617" max="15617" width="11.5" style="68" customWidth="1"/>
    <col min="15618" max="15618" width="7.125" style="68" customWidth="1"/>
    <col min="15619" max="15619" width="4.75" style="68" customWidth="1"/>
    <col min="15620" max="15620" width="5.125" style="68" customWidth="1"/>
    <col min="15621" max="15640" width="4.75" style="68" customWidth="1"/>
    <col min="15641" max="15872" width="9" style="68"/>
    <col min="15873" max="15873" width="11.5" style="68" customWidth="1"/>
    <col min="15874" max="15874" width="7.125" style="68" customWidth="1"/>
    <col min="15875" max="15875" width="4.75" style="68" customWidth="1"/>
    <col min="15876" max="15876" width="5.125" style="68" customWidth="1"/>
    <col min="15877" max="15896" width="4.75" style="68" customWidth="1"/>
    <col min="15897" max="16128" width="9" style="68"/>
    <col min="16129" max="16129" width="11.5" style="68" customWidth="1"/>
    <col min="16130" max="16130" width="7.125" style="68" customWidth="1"/>
    <col min="16131" max="16131" width="4.75" style="68" customWidth="1"/>
    <col min="16132" max="16132" width="5.125" style="68" customWidth="1"/>
    <col min="16133" max="16152" width="4.75" style="68" customWidth="1"/>
    <col min="16153" max="16384" width="9" style="68"/>
  </cols>
  <sheetData>
    <row r="1" spans="1:27" ht="17.25" x14ac:dyDescent="0.3">
      <c r="A1" s="809" t="str">
        <f>Chinh!$A$1</f>
        <v>UBND PHƯỜNG CAM LINH</v>
      </c>
      <c r="B1" s="809"/>
      <c r="C1" s="809"/>
      <c r="D1" s="809"/>
      <c r="E1" s="809"/>
      <c r="F1" s="809"/>
      <c r="G1" s="809"/>
      <c r="I1" s="623" t="str">
        <f>"THỐNG KÊ HIỆN TRẠNG HỌC SINH MẦM NON ĐẦU NĂM  "&amp;Chinh!H5</f>
        <v>THỐNG KÊ HIỆN TRẠNG HỌC SINH MẦM NON ĐẦU NĂM  2025-2026</v>
      </c>
      <c r="J1" s="623"/>
      <c r="K1" s="623"/>
      <c r="L1" s="623"/>
      <c r="M1" s="623"/>
      <c r="N1" s="623"/>
      <c r="O1" s="623"/>
      <c r="P1" s="623"/>
      <c r="Q1" s="623"/>
      <c r="R1" s="623"/>
      <c r="S1" s="623"/>
      <c r="T1" s="623"/>
      <c r="U1" s="623"/>
      <c r="V1" s="623"/>
    </row>
    <row r="2" spans="1:27" ht="15.75" x14ac:dyDescent="0.25">
      <c r="A2" s="624" t="str">
        <f>IF(Chinh!$D$9="","",Chinh!A2)</f>
        <v/>
      </c>
      <c r="B2" s="624"/>
      <c r="C2" s="624"/>
      <c r="D2" s="624"/>
      <c r="E2" s="624"/>
      <c r="F2" s="624"/>
      <c r="G2" s="624"/>
      <c r="J2" s="88"/>
      <c r="K2" s="88"/>
      <c r="L2" s="88"/>
      <c r="M2" s="83"/>
      <c r="N2" s="89"/>
      <c r="O2" s="89"/>
      <c r="P2" s="89"/>
      <c r="Q2" s="90" t="s">
        <v>269</v>
      </c>
      <c r="R2" s="93" t="str">
        <f>"năm "&amp;LEFT(Chinh!H5,4)&amp;")"</f>
        <v>năm 2025)</v>
      </c>
      <c r="S2" s="89"/>
      <c r="T2" s="88"/>
      <c r="U2" s="88"/>
      <c r="V2" s="88"/>
      <c r="AA2" s="69"/>
    </row>
    <row r="3" spans="1:27" ht="25.5" customHeight="1" x14ac:dyDescent="0.25">
      <c r="M3" s="625" t="str">
        <f>IF(AND(B11&gt;0,Y6="",Y7="",Y8="",Y9="",Y10=""),"Hoàn thành!",IF(OR(OR(Y6="Sai số học sinh Tại chỗ và Nơi khác đến",Y7="Sai số học sinh Tại chỗ và Nơi khác đến",Y8="Sai số học sinh Tại chỗ và Nơi khác đến",Y9="Sai số học sinh Tại chỗ và Nơi khác đến",Y10="Sai số học sinh Tại chỗ và Nơi khác đến"),OR(Y6="Sai Số học sinh Khối với HS các địa bàn",Y7="Sai Số học sinh Khối với HS các địa bàn",Y8="Sai Số học sinh Khối với HS các địa bàn",Y9="Sai Số học sinh Khối với HS các địa bàn",Y10="Sai Số học sinh Khối với HS các địa bàn")),"Còn lỗi!","Nhập liệu!"))</f>
        <v>Nhập liệu!</v>
      </c>
      <c r="N3" s="625"/>
      <c r="O3" s="625"/>
    </row>
    <row r="4" spans="1:27" ht="24.75" customHeight="1" x14ac:dyDescent="0.25">
      <c r="A4" s="622" t="s">
        <v>253</v>
      </c>
      <c r="B4" s="622" t="s">
        <v>254</v>
      </c>
      <c r="C4" s="622" t="s">
        <v>239</v>
      </c>
      <c r="D4" s="622" t="s">
        <v>255</v>
      </c>
      <c r="E4" s="622" t="s">
        <v>256</v>
      </c>
      <c r="F4" s="622" t="s">
        <v>257</v>
      </c>
      <c r="G4" s="622"/>
      <c r="H4" s="622" t="s">
        <v>258</v>
      </c>
      <c r="I4" s="622"/>
      <c r="J4" s="622"/>
      <c r="K4" s="622"/>
      <c r="L4" s="622"/>
      <c r="M4" s="622"/>
      <c r="N4" s="622"/>
      <c r="O4" s="622"/>
      <c r="P4" s="622"/>
      <c r="Q4" s="622"/>
      <c r="R4" s="622"/>
      <c r="S4" s="622"/>
      <c r="T4" s="622"/>
      <c r="U4" s="622"/>
      <c r="V4" s="622"/>
      <c r="W4" s="622"/>
      <c r="X4" s="622"/>
      <c r="AA4" s="69"/>
    </row>
    <row r="5" spans="1:27" ht="45" x14ac:dyDescent="0.25">
      <c r="A5" s="622"/>
      <c r="B5" s="622"/>
      <c r="C5" s="622"/>
      <c r="D5" s="622"/>
      <c r="E5" s="622"/>
      <c r="F5" s="561" t="s">
        <v>259</v>
      </c>
      <c r="G5" s="561" t="s">
        <v>260</v>
      </c>
      <c r="H5" s="70" t="str">
        <f>"Cam Thành Nam"</f>
        <v>Cam Thành Nam</v>
      </c>
      <c r="I5" s="70" t="str">
        <f>"Cam Nghĩa"</f>
        <v>Cam Nghĩa</v>
      </c>
      <c r="J5" s="70" t="str">
        <f>"Cam Phúc Bắc"</f>
        <v>Cam Phúc Bắc</v>
      </c>
      <c r="K5" s="70" t="str">
        <f>"Cam Phúc Nam"</f>
        <v>Cam Phúc Nam</v>
      </c>
      <c r="L5" s="70" t="str">
        <f>"Cam Phú"</f>
        <v>Cam Phú</v>
      </c>
      <c r="M5" s="70" t="str">
        <f>"Cam Thuận"</f>
        <v>Cam Thuận</v>
      </c>
      <c r="N5" s="70" t="str">
        <f>"Cam Lộc"</f>
        <v>Cam Lộc</v>
      </c>
      <c r="O5" s="70" t="str">
        <f>"Cam Linh"</f>
        <v>Cam Linh</v>
      </c>
      <c r="P5" s="70" t="str">
        <f>"Cam Lợi"</f>
        <v>Cam Lợi</v>
      </c>
      <c r="Q5" s="70" t="str">
        <f>"Ba Ngòi"</f>
        <v>Ba Ngòi</v>
      </c>
      <c r="R5" s="70" t="str">
        <f>"Cam Phước Đông"</f>
        <v>Cam Phước Đông</v>
      </c>
      <c r="S5" s="70" t="str">
        <f>"Cam Thịnh Đông"</f>
        <v>Cam Thịnh Đông</v>
      </c>
      <c r="T5" s="70" t="str">
        <f>"Cam Thịnh Tây"</f>
        <v>Cam Thịnh Tây</v>
      </c>
      <c r="U5" s="70" t="str">
        <f>"Cam Lập"</f>
        <v>Cam Lập</v>
      </c>
      <c r="V5" s="70" t="str">
        <f>"Cam Bình"</f>
        <v>Cam Bình</v>
      </c>
      <c r="W5" s="70" t="str">
        <f>"Ngoài 5 x/p"</f>
        <v>Ngoài 5 x/p</v>
      </c>
      <c r="X5" s="70" t="str">
        <f>"Tỉnh khác"</f>
        <v>Tỉnh khác</v>
      </c>
      <c r="AA5" s="69"/>
    </row>
    <row r="6" spans="1:27" ht="36" customHeight="1" x14ac:dyDescent="0.25">
      <c r="A6" s="71" t="s">
        <v>261</v>
      </c>
      <c r="B6" s="72">
        <f>IF(Chinh!$D$9="",0,COUNTIF(MN!$B$6:$B$15000,"5-6 tuổi"))</f>
        <v>0</v>
      </c>
      <c r="C6" s="72">
        <f>IF(Chinh!$D$9="",0,SUMPRODUCT(--(MN!$B$6:$B$15000="5-6 tuổi"),--(MN!$I$6:$I$15000="x")))</f>
        <v>0</v>
      </c>
      <c r="D6" s="73">
        <f>IF(Chinh!$D$9="",0,SUMPRODUCT(--(MN!$B$6:$B$15000="5-6 tuổi"),--(MN!$J$6:$J$15000&lt;&gt;"Kinh")))</f>
        <v>0</v>
      </c>
      <c r="E6" s="72">
        <f>IF(Chinh!$D$9="",0,SUMPRODUCT(--(MN!$B$6:$B$15000="5-6 tuổi"),--(MN!$K$6:$K$15000&lt;&gt;"")))</f>
        <v>0</v>
      </c>
      <c r="F6" s="74">
        <f>IF(AND('TKe HSMN'!$A$2&lt;&gt;"",'TKe HSMN'!$A$1="UBND PHƯỜNG BẮC CAM RANH"),'TKe HSMN'!H6+'TKe HSMN'!I6+'TKe HSMN'!J6,IF(AND('TKe HSMN'!$A$2&lt;&gt;"",'TKe HSMN'!$A$1="UBND PHƯỜNG CAM RANH"),'TKe HSMN'!K6+'TKe HSMN'!L6+'TKe HSMN'!N6,IF(AND('TKe HSMN'!$A$2&lt;&gt;"",'TKe HSMN'!$A$1="UBND PHƯỜNG CAM LINH"),'TKe HSMN'!M6+'TKe HSMN'!O6+'TKe HSMN'!P6,IF(AND('TKe HSMN'!$A$2&lt;&gt;"",'TKe HSMN'!$A$1="UBND PHƯỜNG BA NGÒI"),'TKe HSMN'!Q6+'TKe HSMN'!R6,IF(AND('TKe HSMN'!$A$2&lt;&gt;"",'TKe HSMN'!$A$1="UBND PHƯỜNG NAM CAM RANH"),'TKe HSMN'!S6+'TKe HSMN'!T6+'TKe HSMN'!U6+'TKe HSMN'!V6,0)))))</f>
        <v>0</v>
      </c>
      <c r="G6" s="74">
        <f>IF(AND(B6=0,F6=0),0,B6-F6)</f>
        <v>0</v>
      </c>
      <c r="H6" s="72">
        <f>IF(Chinh!$D$9="",0,SUMPRODUCT(--(MN!$B$6:$B$15000="5-6 tuổi"),--(MN!$M$6:$M$15000="Cam Thành Nam")))</f>
        <v>0</v>
      </c>
      <c r="I6" s="72">
        <f>IF(Chinh!$D$9="",0,SUMPRODUCT(--(MN!$B$6:$B$15000="5-6 tuổi"),--(MN!$M$6:$M$15000="Cam Nghĩa")))</f>
        <v>0</v>
      </c>
      <c r="J6" s="72">
        <f>IF(Chinh!$D$9="",0,SUMPRODUCT(--(MN!$B$6:$B$15000="5-6 tuổi"),--(MN!$M$6:$M$15000="Cam Phúc Bắc")))</f>
        <v>0</v>
      </c>
      <c r="K6" s="72">
        <f>IF(Chinh!$D$9="",0,SUMPRODUCT(--(MN!$B$6:$B$15000="5-6 tuổi"),--(MN!$M$6:$M$15000="Cam Phúc Nam")))</f>
        <v>0</v>
      </c>
      <c r="L6" s="72">
        <f>IF(Chinh!$D$9="",0,SUMPRODUCT(--(MN!$B$6:$B$15000="5-6 tuổi"),--(MN!$M$6:$M$15000="Cam Phú")))</f>
        <v>0</v>
      </c>
      <c r="M6" s="72">
        <f>IF(Chinh!$D$9="",0,SUMPRODUCT(--(MN!$B$6:$B$15000="5-6 tuổi"),--(MN!$M$6:$M$15000="Cam Thuận")))</f>
        <v>0</v>
      </c>
      <c r="N6" s="72">
        <f>IF(Chinh!$D$9="",0,SUMPRODUCT(--(MN!$B$6:$B$15000="5-6 tuổi"),--(MN!$M$6:$M$15000="Cam Lộc")))</f>
        <v>0</v>
      </c>
      <c r="O6" s="72">
        <f>IF(Chinh!$D$9="",0,SUMPRODUCT(--(MN!$B$6:$B$15000="5-6 tuổi"),--(MN!$M$6:$M$15000="Cam Linh")))</f>
        <v>0</v>
      </c>
      <c r="P6" s="72">
        <f>IF(Chinh!$D$9="",0,SUMPRODUCT(--(MN!$B$6:$B$15000="5-6 tuổi"),--(MN!$M$6:$M$15000="Cam Lợi")))</f>
        <v>0</v>
      </c>
      <c r="Q6" s="72">
        <f>IF(Chinh!$D$9="",0,SUMPRODUCT(--(MN!$B$6:$B$15000="5-6 tuổi"),--(MN!$M$6:$M$15000="Ba Ngòi")))</f>
        <v>0</v>
      </c>
      <c r="R6" s="72">
        <f>IF(Chinh!$D$9="",0,SUMPRODUCT(--(MN!$B$6:$B$15000="5-6 tuổi"),--(MN!$M$6:$M$15000="Cam Phước Đông")))</f>
        <v>0</v>
      </c>
      <c r="S6" s="72">
        <f>IF(Chinh!$D$9="",0,SUMPRODUCT(--(MN!$B$6:$B$15000="5-6 tuổi"),--(MN!$M$6:$M$15000="Cam Thịnh Đông")))</f>
        <v>0</v>
      </c>
      <c r="T6" s="72">
        <f>IF(Chinh!$D$9="",0,SUMPRODUCT(--(MN!$B$6:$B$15000="5-6 tuổi"),--(MN!$M$6:$M$15000="Cam Thịnh Tây")))</f>
        <v>0</v>
      </c>
      <c r="U6" s="72">
        <f>IF(Chinh!$D$9="",0,SUMPRODUCT(--(MN!$B$6:$B$15000="5-6 tuổi"),--(MN!$M$6:$M$15000="Cam Lập")))</f>
        <v>0</v>
      </c>
      <c r="V6" s="72">
        <f>IF(Chinh!$D$9="",0,SUMPRODUCT(--(MN!$B$6:$B$15000="5-6 tuổi"),--(MN!$M$6:$M$15000="Cam Bình")))</f>
        <v>0</v>
      </c>
      <c r="W6" s="72">
        <f>IF(Chinh!$D$9="",0,SUMPRODUCT(--(MN!$B$6:$B$15000="5-6 tuổi"),--(MN!$M$6:$M$15000="Huyện khác")))</f>
        <v>0</v>
      </c>
      <c r="X6" s="72">
        <f>IF(Chinh!$D$9="",0,SUMPRODUCT(--(MN!$B$6:$B$15000="5-6 tuổi"),--(MN!$M$6:$M$15000="Tỉnh khác")))</f>
        <v>0</v>
      </c>
      <c r="Y6" s="75" t="str">
        <f t="shared" ref="Y6:Y11" si="0">IF(AND(F6="",G6="",B6&gt;0),"Nhập số học sinh Tại chỗ và Nơi khác đến",IF(B6&lt;&gt;F6+G6,"Sai số học sinh Tại chỗ và Nơi khác đến",IF(B6&lt;&gt;SUM(H6:X6),"Sai Số học sinh Khối với HS các địa bàn","")))</f>
        <v/>
      </c>
    </row>
    <row r="7" spans="1:27" ht="36" customHeight="1" x14ac:dyDescent="0.25">
      <c r="A7" s="71" t="s">
        <v>262</v>
      </c>
      <c r="B7" s="72">
        <f>IF(Chinh!$D$9="",0,COUNTIF(MN!$B$6:$B$15000,"4-5 tuổi"))</f>
        <v>0</v>
      </c>
      <c r="C7" s="72">
        <f>IF(Chinh!$D$9="",0,SUMPRODUCT(--(MN!$B$6:$B$15000="4-5 tuổi"),--(MN!$I$6:$I$15000="x")))</f>
        <v>0</v>
      </c>
      <c r="D7" s="73">
        <f>IF(Chinh!$D$9="",0,SUMPRODUCT(--(MN!$B$6:$B$15000="4-5 tuổi"),--(MN!$J$6:$J$15000&lt;&gt;"Kinh")))</f>
        <v>0</v>
      </c>
      <c r="E7" s="72">
        <f>IF(Chinh!$D$9="",0,SUMPRODUCT(--(MN!$B$6:$B$15000="4-5 tuổi"),--(MN!$K$6:$K$15000&lt;&gt;"")))</f>
        <v>0</v>
      </c>
      <c r="F7" s="74">
        <f>IF(AND('TKe HSMN'!$A$2&lt;&gt;"",'TKe HSMN'!$A$1="UBND PHƯỜNG BẮC CAM RANH"),'TKe HSMN'!H7+'TKe HSMN'!I7+'TKe HSMN'!J7,IF(AND('TKe HSMN'!$A$2&lt;&gt;"",'TKe HSMN'!$A$1="UBND PHƯỜNG CAM RANH"),'TKe HSMN'!K7+'TKe HSMN'!L7+'TKe HSMN'!N7,IF(AND('TKe HSMN'!$A$2&lt;&gt;"",'TKe HSMN'!$A$1="UBND PHƯỜNG CAM LINH"),'TKe HSMN'!M7+'TKe HSMN'!O7+'TKe HSMN'!P7,IF(AND('TKe HSMN'!$A$2&lt;&gt;"",'TKe HSMN'!$A$1="UBND PHƯỜNG BA NGÒI"),'TKe HSMN'!Q7+'TKe HSMN'!R7,IF(AND('TKe HSMN'!$A$2&lt;&gt;"",'TKe HSMN'!$A$1="UBND PHƯỜNG NAM CAM RANH"),'TKe HSMN'!S7+'TKe HSMN'!T7+'TKe HSMN'!U7+'TKe HSMN'!V7,0)))))</f>
        <v>0</v>
      </c>
      <c r="G7" s="74">
        <f>IF(AND(B7=0,F7=0),0,B7-F7)</f>
        <v>0</v>
      </c>
      <c r="H7" s="72">
        <f>IF(Chinh!$D$9="",0,SUMPRODUCT(--(MN!$B$6:$B$15000="4-5 tuổi"),--(MN!$M$6:$M$15000="Cam Thành Nam")))</f>
        <v>0</v>
      </c>
      <c r="I7" s="72">
        <f>IF(Chinh!$D$9="",0,SUMPRODUCT(--(MN!$B$6:$B$15000="4-5 tuổi"),--(MN!$M$6:$M$15000="Cam Nghĩa")))</f>
        <v>0</v>
      </c>
      <c r="J7" s="72">
        <f>IF(Chinh!$D$9="",0,SUMPRODUCT(--(MN!$B$6:$B$15000="4-5 tuổi"),--(MN!$M$6:$M$15000="Cam Phúc Bắc")))</f>
        <v>0</v>
      </c>
      <c r="K7" s="72">
        <f>IF(Chinh!$D$9="",0,SUMPRODUCT(--(MN!$B$6:$B$15000="4-5 tuổi"),--(MN!$M$6:$M$15000="Cam Phúc Nam")))</f>
        <v>0</v>
      </c>
      <c r="L7" s="72">
        <f>IF(Chinh!$D$9="",0,SUMPRODUCT(--(MN!$B$6:$B$15000="4-5 tuổi"),--(MN!$M$6:$M$15000="Cam Phú")))</f>
        <v>0</v>
      </c>
      <c r="M7" s="72">
        <f>IF(Chinh!$D$9="",0,SUMPRODUCT(--(MN!$B$6:$B$15000="4-5 tuổi"),--(MN!$M$6:$M$15000="Cam Thuận")))</f>
        <v>0</v>
      </c>
      <c r="N7" s="72">
        <f>IF(Chinh!$D$9="",0,SUMPRODUCT(--(MN!$B$6:$B$15000="4-5 tuổi"),--(MN!$M$6:$M$15000="Cam Lộc")))</f>
        <v>0</v>
      </c>
      <c r="O7" s="72">
        <f>IF(Chinh!$D$9="",0,SUMPRODUCT(--(MN!$B$6:$B$15000="4-5 tuổi"),--(MN!$M$6:$M$15000="Cam Linh")))</f>
        <v>0</v>
      </c>
      <c r="P7" s="72">
        <f>IF(Chinh!$D$9="",0,SUMPRODUCT(--(MN!$B$6:$B$15000="4-5 tuổi"),--(MN!$M$6:$M$15000="Cam Lợi")))</f>
        <v>0</v>
      </c>
      <c r="Q7" s="72">
        <f>IF(Chinh!$D$9="",0,SUMPRODUCT(--(MN!$B$6:$B$15000="4-5 tuổi"),--(MN!$M$6:$M$15000="Ba Ngòi")))</f>
        <v>0</v>
      </c>
      <c r="R7" s="72">
        <f>IF(Chinh!$D$9="",0,SUMPRODUCT(--(MN!$B$6:$B$15000="4-5 tuổi"),--(MN!$M$6:$M$15000="Cam Phước Đông")))</f>
        <v>0</v>
      </c>
      <c r="S7" s="72">
        <f>IF(Chinh!$D$9="",0,SUMPRODUCT(--(MN!$B$6:$B$15000="4-5 tuổi"),--(MN!$M$6:$M$15000="Cam Thịnh Đông")))</f>
        <v>0</v>
      </c>
      <c r="T7" s="72">
        <f>IF(Chinh!$D$9="",0,SUMPRODUCT(--(MN!$B$6:$B$15000="4-5 tuổi"),--(MN!$M$6:$M$15000="Cam Thịnh Tây")))</f>
        <v>0</v>
      </c>
      <c r="U7" s="72">
        <f>IF(Chinh!$D$9="",0,SUMPRODUCT(--(MN!$B$6:$B$15000="4-5 tuổi"),--(MN!$M$6:$M$15000="Cam Lập")))</f>
        <v>0</v>
      </c>
      <c r="V7" s="72">
        <f>IF(Chinh!$D$9="",0,SUMPRODUCT(--(MN!$B$6:$B$15000="4-5 tuổi"),--(MN!$M$6:$M$15000="Cam Bình")))</f>
        <v>0</v>
      </c>
      <c r="W7" s="72">
        <f>IF(Chinh!$D$9="",0,SUMPRODUCT(--(MN!$B$6:$B$15000="4-5 tuổi"),--(MN!$M$6:$M$15000="Huyện khác")))</f>
        <v>0</v>
      </c>
      <c r="X7" s="72">
        <f>IF(Chinh!$D$9="",0,SUMPRODUCT(--(MN!$B$6:$B$15000="4-5 tuổi"),--(MN!$M$6:$M$15000="Tỉnh khác")))</f>
        <v>0</v>
      </c>
      <c r="Y7" s="75" t="str">
        <f t="shared" si="0"/>
        <v/>
      </c>
    </row>
    <row r="8" spans="1:27" ht="36" customHeight="1" x14ac:dyDescent="0.25">
      <c r="A8" s="71" t="s">
        <v>263</v>
      </c>
      <c r="B8" s="72">
        <f>IF(Chinh!$D$9="",0,COUNTIF(MN!$B$6:$B$15000,"3-4 tuổi"))</f>
        <v>0</v>
      </c>
      <c r="C8" s="72">
        <f>IF(Chinh!$D$9="",0,SUMPRODUCT(--(MN!$B$6:$B$15000="3-4 tuổi"),--(MN!$I$6:$I$15000="x")))</f>
        <v>0</v>
      </c>
      <c r="D8" s="73">
        <f>IF(Chinh!$D$9="",0,SUMPRODUCT(--(MN!$B$6:$B$15000="3-4 tuổi"),--(MN!$J$6:$J$15000&lt;&gt;"Kinh")))</f>
        <v>0</v>
      </c>
      <c r="E8" s="72">
        <f>IF(Chinh!$D$9="",0,SUMPRODUCT(--(MN!$B$6:$B$15000="3-4 tuổi"),--(MN!$K$6:$K$15000&lt;&gt;"")))</f>
        <v>0</v>
      </c>
      <c r="F8" s="74">
        <f>IF(AND('TKe HSMN'!$A$2&lt;&gt;"",'TKe HSMN'!$A$1="UBND PHƯỜNG BẮC CAM RANH"),'TKe HSMN'!H8+'TKe HSMN'!I8+'TKe HSMN'!J8,IF(AND('TKe HSMN'!$A$2&lt;&gt;"",'TKe HSMN'!$A$1="UBND PHƯỜNG CAM RANH"),'TKe HSMN'!K8+'TKe HSMN'!L8+'TKe HSMN'!N8,IF(AND('TKe HSMN'!$A$2&lt;&gt;"",'TKe HSMN'!$A$1="UBND PHƯỜNG CAM LINH"),'TKe HSMN'!M8+'TKe HSMN'!O8+'TKe HSMN'!P8,IF(AND('TKe HSMN'!$A$2&lt;&gt;"",'TKe HSMN'!$A$1="UBND PHƯỜNG BA NGÒI"),'TKe HSMN'!Q8+'TKe HSMN'!R8,IF(AND('TKe HSMN'!$A$2&lt;&gt;"",'TKe HSMN'!$A$1="UBND PHƯỜNG NAM CAM RANH"),'TKe HSMN'!S8+'TKe HSMN'!T8+'TKe HSMN'!U8+'TKe HSMN'!V8,0)))))</f>
        <v>0</v>
      </c>
      <c r="G8" s="74">
        <f>IF(AND(B8=0,F8=0),0,B8-F8)</f>
        <v>0</v>
      </c>
      <c r="H8" s="72">
        <f>IF(Chinh!$D$9="",0,SUMPRODUCT(--(MN!$B$6:$B$15000="3-4 tuổi"),--(MN!$M$6:$M$15000="Cam Thành Nam")))</f>
        <v>0</v>
      </c>
      <c r="I8" s="72">
        <f>IF(Chinh!$D$9="",0,SUMPRODUCT(--(MN!$B$6:$B$15000="3-4 tuổi"),--(MN!$M$6:$M$15000="Cam Nghĩa")))</f>
        <v>0</v>
      </c>
      <c r="J8" s="72">
        <f>IF(Chinh!$D$9="",0,SUMPRODUCT(--(MN!$B$6:$B$15000="3-4 tuổi"),--(MN!$M$6:$M$15000="Cam Phúc Bắc")))</f>
        <v>0</v>
      </c>
      <c r="K8" s="72">
        <f>IF(Chinh!$D$9="",0,SUMPRODUCT(--(MN!$B$6:$B$15000="3-4 tuổi"),--(MN!$M$6:$M$15000="Cam Phúc Nam")))</f>
        <v>0</v>
      </c>
      <c r="L8" s="72">
        <f>IF(Chinh!$D$9="",0,SUMPRODUCT(--(MN!$B$6:$B$15000="3-4 tuổi"),--(MN!$M$6:$M$15000="Cam Phú")))</f>
        <v>0</v>
      </c>
      <c r="M8" s="72">
        <f>IF(Chinh!$D$9="",0,SUMPRODUCT(--(MN!$B$6:$B$15000="3-4 tuổi"),--(MN!$M$6:$M$15000="Cam Thuận")))</f>
        <v>0</v>
      </c>
      <c r="N8" s="72">
        <f>IF(Chinh!$D$9="",0,SUMPRODUCT(--(MN!$B$6:$B$15000="3-4 tuổi"),--(MN!$M$6:$M$15000="Cam Lộc")))</f>
        <v>0</v>
      </c>
      <c r="O8" s="72">
        <f>IF(Chinh!$D$9="",0,SUMPRODUCT(--(MN!$B$6:$B$15000="3-4 tuổi"),--(MN!$M$6:$M$15000="Cam Linh")))</f>
        <v>0</v>
      </c>
      <c r="P8" s="72">
        <f>IF(Chinh!$D$9="",0,SUMPRODUCT(--(MN!$B$6:$B$15000="3-4 tuổi"),--(MN!$M$6:$M$15000="Cam Lợi")))</f>
        <v>0</v>
      </c>
      <c r="Q8" s="72">
        <f>IF(Chinh!$D$9="",0,SUMPRODUCT(--(MN!$B$6:$B$15000="3-4 tuổi"),--(MN!$M$6:$M$15000="Ba Ngòi")))</f>
        <v>0</v>
      </c>
      <c r="R8" s="72">
        <f>IF(Chinh!$D$9="",0,SUMPRODUCT(--(MN!$B$6:$B$15000="3-4 tuổi"),--(MN!$M$6:$M$15000="Cam Phước Đông")))</f>
        <v>0</v>
      </c>
      <c r="S8" s="72">
        <f>IF(Chinh!$D$9="",0,SUMPRODUCT(--(MN!$B$6:$B$15000="3-4 tuổi"),--(MN!$M$6:$M$15000="Cam Thịnh Đông")))</f>
        <v>0</v>
      </c>
      <c r="T8" s="72">
        <f>IF(Chinh!$D$9="",0,SUMPRODUCT(--(MN!$B$6:$B$15000="3-4 tuổi"),--(MN!$M$6:$M$15000="Cam Thịnh Tây")))</f>
        <v>0</v>
      </c>
      <c r="U8" s="72">
        <f>IF(Chinh!$D$9="",0,SUMPRODUCT(--(MN!$B$6:$B$15000="3-4 tuổi"),--(MN!$M$6:$M$15000="Cam Lập")))</f>
        <v>0</v>
      </c>
      <c r="V8" s="72">
        <f>IF(Chinh!$D$9="",0,SUMPRODUCT(--(MN!$B$6:$B$15000="3-4 tuổi"),--(MN!$M$6:$M$15000="Cam Bình")))</f>
        <v>0</v>
      </c>
      <c r="W8" s="72">
        <f>IF(Chinh!$D$9="",0,SUMPRODUCT(--(MN!$B$6:$B$15000="3-4 tuổi"),--(MN!$M$6:$M$15000="Huyện khác")))</f>
        <v>0</v>
      </c>
      <c r="X8" s="72">
        <f>IF(Chinh!$D$9="",0,SUMPRODUCT(--(MN!$B$6:$B$15000="3-4 tuổi"),--(MN!$M$6:$M$15000="Tỉnh khác")))</f>
        <v>0</v>
      </c>
      <c r="Y8" s="75" t="str">
        <f t="shared" si="0"/>
        <v/>
      </c>
    </row>
    <row r="9" spans="1:27" ht="36" customHeight="1" x14ac:dyDescent="0.25">
      <c r="A9" s="76" t="s">
        <v>264</v>
      </c>
      <c r="B9" s="72">
        <f>IF(Chinh!$D$9="",0,COUNTIF(MN!$B$6:$B$15000,"25-36 tháng"))</f>
        <v>0</v>
      </c>
      <c r="C9" s="72">
        <f>IF(Chinh!$D$9="",0,SUMPRODUCT(--(MN!$B$6:$B$15000="25-36 tháng"),--(MN!$I$6:$I$15000="x")))</f>
        <v>0</v>
      </c>
      <c r="D9" s="73">
        <f>IF(Chinh!$D$9="",0,SUMPRODUCT(--(MN!$B$6:$B$15000="25-36 tháng"),--(MN!$J$6:$J$15000&lt;&gt;"Kinh")))</f>
        <v>0</v>
      </c>
      <c r="E9" s="72">
        <f>IF(Chinh!$D$9="",0,SUMPRODUCT(--(MN!$B$6:$B$15000="25-36 tháng"),--(MN!$K$6:$K$15000&lt;&gt;"")))</f>
        <v>0</v>
      </c>
      <c r="F9" s="74">
        <f>IF(AND('TKe HSMN'!$A$2&lt;&gt;"",'TKe HSMN'!$A$1="UBND PHƯỜNG BẮC CAM RANH"),'TKe HSMN'!H9+'TKe HSMN'!I9+'TKe HSMN'!J9,IF(AND('TKe HSMN'!$A$2&lt;&gt;"",'TKe HSMN'!$A$1="UBND PHƯỜNG CAM RANH"),'TKe HSMN'!K9+'TKe HSMN'!L9+'TKe HSMN'!N9,IF(AND('TKe HSMN'!$A$2&lt;&gt;"",'TKe HSMN'!$A$1="UBND PHƯỜNG CAM LINH"),'TKe HSMN'!M9+'TKe HSMN'!O9+'TKe HSMN'!P9,IF(AND('TKe HSMN'!$A$2&lt;&gt;"",'TKe HSMN'!$A$1="UBND PHƯỜNG BA NGÒI"),'TKe HSMN'!Q9+'TKe HSMN'!R9,IF(AND('TKe HSMN'!$A$2&lt;&gt;"",'TKe HSMN'!$A$1="UBND PHƯỜNG NAM CAM RANH"),'TKe HSMN'!S9+'TKe HSMN'!T9+'TKe HSMN'!U9+'TKe HSMN'!V9,0)))))</f>
        <v>0</v>
      </c>
      <c r="G9" s="74">
        <f>IF(AND(B9=0,F9=0),0,B9-F9)</f>
        <v>0</v>
      </c>
      <c r="H9" s="72">
        <f>IF(Chinh!$D$9="",0,SUMPRODUCT(--(MN!$B$6:$B$15000="25-36 tháng"),--(MN!$M$6:$M$15000="Cam Thành Nam")))</f>
        <v>0</v>
      </c>
      <c r="I9" s="72">
        <f>IF(Chinh!$D$9="",0,SUMPRODUCT(--(MN!$B$6:$B$15000="25-36 tháng"),--(MN!$M$6:$M$15000="Cam Nghĩa")))</f>
        <v>0</v>
      </c>
      <c r="J9" s="72">
        <f>IF(Chinh!$D$9="",0,SUMPRODUCT(--(MN!$B$6:$B$15000="25-36 tháng"),--(MN!$M$6:$M$15000="Cam Phúc Bắc")))</f>
        <v>0</v>
      </c>
      <c r="K9" s="72">
        <f>IF(Chinh!$D$9="",0,SUMPRODUCT(--(MN!$B$6:$B$15000="25-36 tháng"),--(MN!$M$6:$M$15000="Cam Phúc Nam")))</f>
        <v>0</v>
      </c>
      <c r="L9" s="72">
        <f>IF(Chinh!$D$9="",0,SUMPRODUCT(--(MN!$B$6:$B$15000="25-36 tháng"),--(MN!$M$6:$M$15000="Cam Phú")))</f>
        <v>0</v>
      </c>
      <c r="M9" s="72">
        <f>IF(Chinh!$D$9="",0,SUMPRODUCT(--(MN!$B$6:$B$15000="25-36 tháng"),--(MN!$M$6:$M$15000="Cam Thuận")))</f>
        <v>0</v>
      </c>
      <c r="N9" s="72">
        <f>IF(Chinh!$D$9="",0,SUMPRODUCT(--(MN!$B$6:$B$15000="25-36 tháng"),--(MN!$M$6:$M$15000="Cam Lộc")))</f>
        <v>0</v>
      </c>
      <c r="O9" s="72">
        <f>IF(Chinh!$D$9="",0,SUMPRODUCT(--(MN!$B$6:$B$15000="25-36 tháng"),--(MN!$M$6:$M$15000="Cam Linh")))</f>
        <v>0</v>
      </c>
      <c r="P9" s="72">
        <f>IF(Chinh!$D$9="",0,SUMPRODUCT(--(MN!$B$6:$B$15000="25-36 tháng"),--(MN!$M$6:$M$15000="Cam Lợi")))</f>
        <v>0</v>
      </c>
      <c r="Q9" s="72">
        <f>IF(Chinh!$D$9="",0,SUMPRODUCT(--(MN!$B$6:$B$15000="25-36 tháng"),--(MN!$M$6:$M$15000="Ba Ngòi")))</f>
        <v>0</v>
      </c>
      <c r="R9" s="72">
        <f>IF(Chinh!$D$9="",0,SUMPRODUCT(--(MN!$B$6:$B$15000="25-36 tháng"),--(MN!$M$6:$M$15000="Cam Phước Đông")))</f>
        <v>0</v>
      </c>
      <c r="S9" s="72">
        <f>IF(Chinh!$D$9="",0,SUMPRODUCT(--(MN!$B$6:$B$15000="25-36 tháng"),--(MN!$M$6:$M$15000="Cam Thịnh Đông")))</f>
        <v>0</v>
      </c>
      <c r="T9" s="72">
        <f>IF(Chinh!$D$9="",0,SUMPRODUCT(--(MN!$B$6:$B$15000="25-36 tháng"),--(MN!$M$6:$M$15000="Cam Thịnh Tây")))</f>
        <v>0</v>
      </c>
      <c r="U9" s="72">
        <f>IF(Chinh!$D$9="",0,SUMPRODUCT(--(MN!$B$6:$B$15000="25-36 tháng"),--(MN!$M$6:$M$15000="Cam Lập")))</f>
        <v>0</v>
      </c>
      <c r="V9" s="72">
        <f>IF(Chinh!$D$9="",0,SUMPRODUCT(--(MN!$B$6:$B$15000="25-36 tháng"),--(MN!$M$6:$M$15000="Cam Bình")))</f>
        <v>0</v>
      </c>
      <c r="W9" s="72">
        <f>IF(Chinh!$D$9="",0,SUMPRODUCT(--(MN!$B$6:$B$15000="25-36 tháng"),--(MN!$M$6:$M$15000="Huyện khác")))</f>
        <v>0</v>
      </c>
      <c r="X9" s="72">
        <f>IF(Chinh!$D$9="",0,SUMPRODUCT(--(MN!$B$6:$B$15000="25-36 tháng"),--(MN!$M$6:$M$15000="Tỉnh khác")))</f>
        <v>0</v>
      </c>
      <c r="Y9" s="75" t="str">
        <f t="shared" si="0"/>
        <v/>
      </c>
      <c r="AA9" s="77"/>
    </row>
    <row r="10" spans="1:27" ht="36" customHeight="1" x14ac:dyDescent="0.25">
      <c r="A10" s="76" t="s">
        <v>265</v>
      </c>
      <c r="B10" s="72">
        <f>IF(Chinh!$D$9="",0,COUNTIF(MN!$B$6:$B$15000,"13-24 tháng"))</f>
        <v>0</v>
      </c>
      <c r="C10" s="72">
        <f>IF(Chinh!$D$9="",0,SUMPRODUCT(--(MN!$B$6:$B$15000="13-24 tháng"),--(MN!$I$6:$I$15000="x")))</f>
        <v>0</v>
      </c>
      <c r="D10" s="73">
        <f>IF(Chinh!$D$9="",0,SUMPRODUCT(--(MN!$B$6:$B$15000="13-24 tháng"),--(MN!$J$6:$J$15000&lt;&gt;"Kinh")))</f>
        <v>0</v>
      </c>
      <c r="E10" s="72">
        <f>IF(Chinh!$D$9="",0,SUMPRODUCT(--(MN!$B$6:$B$15000="13-24 tháng"),--(MN!$K$6:$K$15000&lt;&gt;"")))</f>
        <v>0</v>
      </c>
      <c r="F10" s="74">
        <f>IF(AND('TKe HSMN'!$A$2&lt;&gt;"",'TKe HSMN'!$A$1="UBND PHƯỜNG BẮC CAM RANH"),'TKe HSMN'!H10+'TKe HSMN'!I10+'TKe HSMN'!J10,IF(AND('TKe HSMN'!$A$2&lt;&gt;"",'TKe HSMN'!$A$1="UBND PHƯỜNG CAM RANH"),'TKe HSMN'!K10+'TKe HSMN'!L10+'TKe HSMN'!N10,IF(AND('TKe HSMN'!$A$2&lt;&gt;"",'TKe HSMN'!$A$1="UBND PHƯỜNG CAM LINH"),'TKe HSMN'!M10+'TKe HSMN'!O10+'TKe HSMN'!P10,IF(AND('TKe HSMN'!$A$2&lt;&gt;"",'TKe HSMN'!$A$1="UBND PHƯỜNG BA NGÒI"),'TKe HSMN'!Q10+'TKe HSMN'!R10,IF(AND('TKe HSMN'!$A$2&lt;&gt;"",'TKe HSMN'!$A$1="UBND PHƯỜNG NAM CAM RANH"),'TKe HSMN'!S10+'TKe HSMN'!T10+'TKe HSMN'!U10+'TKe HSMN'!V10,0)))))</f>
        <v>0</v>
      </c>
      <c r="G10" s="74">
        <f>IF(AND(B10=0,F10=0),0,B10-F10)</f>
        <v>0</v>
      </c>
      <c r="H10" s="72">
        <f>IF(Chinh!$D$9="",0,SUMPRODUCT(--(MN!$B$6:$B$15000="13-24 tháng"),--(MN!$M$6:$M$15000="Cam Thành Nam")))</f>
        <v>0</v>
      </c>
      <c r="I10" s="72">
        <f>IF(Chinh!$D$9="",0,SUMPRODUCT(--(MN!$B$6:$B$15000="13-24 tháng"),--(MN!$M$6:$M$15000="Cam Nghĩa")))</f>
        <v>0</v>
      </c>
      <c r="J10" s="72">
        <f>IF(Chinh!$D$9="",0,SUMPRODUCT(--(MN!$B$6:$B$15000="13-24 tháng"),--(MN!$M$6:$M$15000="Cam Phúc Bắc")))</f>
        <v>0</v>
      </c>
      <c r="K10" s="72">
        <f>IF(Chinh!$D$9="",0,SUMPRODUCT(--(MN!$B$6:$B$15000="13-24 tháng"),--(MN!$M$6:$M$15000="Cam Phúc Nam")))</f>
        <v>0</v>
      </c>
      <c r="L10" s="72">
        <f>IF(Chinh!$D$9="",0,SUMPRODUCT(--(MN!$B$6:$B$15000="13-24 tháng"),--(MN!$M$6:$M$15000="Cam Phú")))</f>
        <v>0</v>
      </c>
      <c r="M10" s="72">
        <f>IF(Chinh!$D$9="",0,SUMPRODUCT(--(MN!$B$6:$B$15000="13-24 tháng"),--(MN!$M$6:$M$15000="Cam Thuận")))</f>
        <v>0</v>
      </c>
      <c r="N10" s="72">
        <f>IF(Chinh!$D$9="",0,SUMPRODUCT(--(MN!$B$6:$B$15000="13-24 tháng"),--(MN!$M$6:$M$15000="Cam Lộc")))</f>
        <v>0</v>
      </c>
      <c r="O10" s="72">
        <f>IF(Chinh!$D$9="",0,SUMPRODUCT(--(MN!$B$6:$B$15000="13-24 tháng"),--(MN!$M$6:$M$15000="Cam Linh")))</f>
        <v>0</v>
      </c>
      <c r="P10" s="72">
        <f>IF(Chinh!$D$9="",0,SUMPRODUCT(--(MN!$B$6:$B$15000="13-24 tháng"),--(MN!$M$6:$M$15000="Cam Lợi")))</f>
        <v>0</v>
      </c>
      <c r="Q10" s="72">
        <f>IF(Chinh!$D$9="",0,SUMPRODUCT(--(MN!$B$6:$B$15000="13-24 tháng"),--(MN!$M$6:$M$15000="Ba Ngòi")))</f>
        <v>0</v>
      </c>
      <c r="R10" s="72">
        <f>IF(Chinh!$D$9="",0,SUMPRODUCT(--(MN!$B$6:$B$15000="13-24 tháng"),--(MN!$M$6:$M$15000="Cam Phước Đông")))</f>
        <v>0</v>
      </c>
      <c r="S10" s="72">
        <f>IF(Chinh!$D$9="",0,SUMPRODUCT(--(MN!$B$6:$B$15000="13-24 tháng"),--(MN!$M$6:$M$15000="Cam Thịnh Đông")))</f>
        <v>0</v>
      </c>
      <c r="T10" s="72">
        <f>IF(Chinh!$D$9="",0,SUMPRODUCT(--(MN!$B$6:$B$15000="13-24 tháng"),--(MN!$M$6:$M$15000="Cam Thịnh Tây")))</f>
        <v>0</v>
      </c>
      <c r="U10" s="72">
        <f>IF(Chinh!$D$9="",0,SUMPRODUCT(--(MN!$B$6:$B$15000="13-24 tháng"),--(MN!$M$6:$M$15000="Cam Lập")))</f>
        <v>0</v>
      </c>
      <c r="V10" s="72">
        <f>IF(Chinh!$D$9="",0,SUMPRODUCT(--(MN!$B$6:$B$15000="13-24 tháng"),--(MN!$M$6:$M$15000="Cam Bình")))</f>
        <v>0</v>
      </c>
      <c r="W10" s="72">
        <f>IF(Chinh!$D$9="",0,SUMPRODUCT(--(MN!$B$6:$B$15000="13-24 tháng"),--(MN!$M$6:$M$15000="Huyện khác")))</f>
        <v>0</v>
      </c>
      <c r="X10" s="72">
        <f>IF(Chinh!$D$9="",0,SUMPRODUCT(--(MN!$B$6:$B$15000="13-24 tháng"),--(MN!$M$6:$M$15000="Tỉnh khác")))</f>
        <v>0</v>
      </c>
      <c r="Y10" s="75" t="str">
        <f t="shared" si="0"/>
        <v/>
      </c>
    </row>
    <row r="11" spans="1:27" ht="33" customHeight="1" x14ac:dyDescent="0.25">
      <c r="A11" s="78" t="s">
        <v>236</v>
      </c>
      <c r="B11" s="91">
        <f>SUM(B6:B10)</f>
        <v>0</v>
      </c>
      <c r="C11" s="91">
        <f t="shared" ref="C11:W11" si="1">SUM(C6:C10)</f>
        <v>0</v>
      </c>
      <c r="D11" s="91">
        <f t="shared" si="1"/>
        <v>0</v>
      </c>
      <c r="E11" s="91">
        <f t="shared" si="1"/>
        <v>0</v>
      </c>
      <c r="F11" s="92">
        <f t="shared" si="1"/>
        <v>0</v>
      </c>
      <c r="G11" s="92">
        <f t="shared" si="1"/>
        <v>0</v>
      </c>
      <c r="H11" s="91">
        <f t="shared" si="1"/>
        <v>0</v>
      </c>
      <c r="I11" s="91">
        <f t="shared" si="1"/>
        <v>0</v>
      </c>
      <c r="J11" s="91">
        <f t="shared" si="1"/>
        <v>0</v>
      </c>
      <c r="K11" s="91">
        <f t="shared" si="1"/>
        <v>0</v>
      </c>
      <c r="L11" s="91">
        <f t="shared" si="1"/>
        <v>0</v>
      </c>
      <c r="M11" s="91">
        <f t="shared" si="1"/>
        <v>0</v>
      </c>
      <c r="N11" s="91">
        <f t="shared" si="1"/>
        <v>0</v>
      </c>
      <c r="O11" s="91">
        <f t="shared" si="1"/>
        <v>0</v>
      </c>
      <c r="P11" s="91">
        <f t="shared" si="1"/>
        <v>0</v>
      </c>
      <c r="Q11" s="91">
        <f t="shared" si="1"/>
        <v>0</v>
      </c>
      <c r="R11" s="91">
        <f t="shared" si="1"/>
        <v>0</v>
      </c>
      <c r="S11" s="91">
        <f t="shared" si="1"/>
        <v>0</v>
      </c>
      <c r="T11" s="91">
        <f t="shared" si="1"/>
        <v>0</v>
      </c>
      <c r="U11" s="91">
        <f t="shared" si="1"/>
        <v>0</v>
      </c>
      <c r="V11" s="91">
        <f t="shared" si="1"/>
        <v>0</v>
      </c>
      <c r="W11" s="91">
        <f t="shared" si="1"/>
        <v>0</v>
      </c>
      <c r="X11" s="91">
        <f>SUM(X6:X10)</f>
        <v>0</v>
      </c>
      <c r="Y11" s="75" t="str">
        <f t="shared" si="0"/>
        <v/>
      </c>
    </row>
    <row r="12" spans="1:27" x14ac:dyDescent="0.25">
      <c r="D12" s="69"/>
    </row>
    <row r="13" spans="1:27" ht="15.75" x14ac:dyDescent="0.25">
      <c r="A13" s="79" t="s">
        <v>881</v>
      </c>
      <c r="Q13" s="80"/>
    </row>
    <row r="14" spans="1:27" ht="19.5" customHeight="1" x14ac:dyDescent="0.25">
      <c r="B14" s="81"/>
      <c r="C14" s="81"/>
      <c r="D14" s="81"/>
      <c r="E14" s="82" t="s">
        <v>267</v>
      </c>
      <c r="F14" s="81"/>
      <c r="G14" s="81"/>
      <c r="H14" s="81"/>
      <c r="I14" s="81"/>
      <c r="J14" s="81"/>
      <c r="K14" s="81"/>
      <c r="L14" s="81"/>
      <c r="M14" s="81"/>
      <c r="N14" s="81"/>
      <c r="O14" s="81"/>
      <c r="P14" s="81"/>
      <c r="Q14" s="81"/>
      <c r="S14" s="81"/>
      <c r="T14" s="284" t="s">
        <v>522</v>
      </c>
      <c r="U14" s="81"/>
      <c r="V14" s="81"/>
      <c r="W14" s="81"/>
      <c r="X14" s="81"/>
    </row>
    <row r="19" spans="4:23" ht="15.75" x14ac:dyDescent="0.25">
      <c r="D19" s="83"/>
      <c r="E19" s="83"/>
      <c r="F19" s="83"/>
      <c r="G19" s="83"/>
      <c r="H19" s="83"/>
      <c r="I19" s="83"/>
      <c r="J19" s="83"/>
      <c r="K19" s="83"/>
      <c r="L19" s="83"/>
      <c r="M19" s="83"/>
      <c r="N19" s="83"/>
      <c r="O19" s="83"/>
      <c r="P19" s="83"/>
      <c r="Q19" s="83"/>
      <c r="R19" s="83"/>
      <c r="S19" s="83"/>
      <c r="T19" s="83"/>
      <c r="U19" s="83"/>
      <c r="V19" s="83"/>
      <c r="W19" s="83"/>
    </row>
    <row r="20" spans="4:23" ht="15.75" x14ac:dyDescent="0.25">
      <c r="D20" s="84"/>
      <c r="E20" s="84"/>
      <c r="F20" s="483" t="str">
        <f>IF(Chinh!D9&lt;&gt;"",Chinh!C37,"")</f>
        <v/>
      </c>
      <c r="G20" s="84"/>
      <c r="H20" s="84"/>
      <c r="I20" s="84"/>
      <c r="J20" s="83"/>
      <c r="K20" s="83"/>
      <c r="L20" s="83"/>
      <c r="M20" s="83"/>
      <c r="N20" s="83"/>
      <c r="O20" s="83"/>
      <c r="P20" s="83"/>
      <c r="Q20" s="83"/>
      <c r="R20" s="85" t="s">
        <v>268</v>
      </c>
      <c r="S20" s="84"/>
      <c r="T20" s="483" t="str">
        <f>IF(Chinh!$D$9&lt;&gt;"",Chinh!L37,"")</f>
        <v/>
      </c>
      <c r="U20" s="86"/>
      <c r="V20" s="86"/>
      <c r="W20" s="87"/>
    </row>
  </sheetData>
  <sheetProtection algorithmName="SHA-512" hashValue="S8+y/q9f/XWudMiLkKu804scuz02YWlu40sSdxxjnKvEdq4C+7OVFtuA3W7UjB/W+eJm1EWqHtfizeS7U4GnZw==" saltValue="ki8heJ+MNxlltlq5mCGL2w==" spinCount="100000" sheet="1" formatCells="0" formatColumns="0" formatRows="0"/>
  <mergeCells count="11">
    <mergeCell ref="F4:G4"/>
    <mergeCell ref="H4:X4"/>
    <mergeCell ref="A1:G1"/>
    <mergeCell ref="I1:V1"/>
    <mergeCell ref="A2:G2"/>
    <mergeCell ref="M3:O3"/>
    <mergeCell ref="A4:A5"/>
    <mergeCell ref="B4:B5"/>
    <mergeCell ref="C4:C5"/>
    <mergeCell ref="D4:D5"/>
    <mergeCell ref="E4:E5"/>
  </mergeCells>
  <conditionalFormatting sqref="B6:B11 C6:E10 C11:X11 H6:X10">
    <cfRule type="cellIs" dxfId="125" priority="8" stopIfTrue="1" operator="equal">
      <formula>0</formula>
    </cfRule>
  </conditionalFormatting>
  <conditionalFormatting sqref="F6:G10">
    <cfRule type="cellIs" dxfId="124" priority="7" stopIfTrue="1" operator="between">
      <formula>""</formula>
      <formula>""</formula>
    </cfRule>
  </conditionalFormatting>
  <conditionalFormatting sqref="A2">
    <cfRule type="cellIs" dxfId="123" priority="6" stopIfTrue="1" operator="between">
      <formula>0</formula>
      <formula>0</formula>
    </cfRule>
  </conditionalFormatting>
  <conditionalFormatting sqref="M3">
    <cfRule type="cellIs" dxfId="122" priority="4" stopIfTrue="1" operator="between">
      <formula>"Nhập liệu!"</formula>
      <formula>"Nhập liệu!"</formula>
    </cfRule>
    <cfRule type="cellIs" dxfId="121" priority="5" stopIfTrue="1" operator="between">
      <formula>"Còn lỗi!"</formula>
      <formula>"Còn lỗi!"</formula>
    </cfRule>
  </conditionalFormatting>
  <conditionalFormatting sqref="F6:G10">
    <cfRule type="cellIs" dxfId="120" priority="2" stopIfTrue="1" operator="between">
      <formula>0</formula>
      <formula>0</formula>
    </cfRule>
    <cfRule type="cellIs" dxfId="119" priority="3" stopIfTrue="1" operator="between">
      <formula>""</formula>
      <formula>""</formula>
    </cfRule>
  </conditionalFormatting>
  <pageMargins left="0.2" right="0.2" top="0.55118110236220497" bottom="0.15748031496063" header="0.31496062992126" footer="0.196850393700787"/>
  <pageSetup paperSize="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C3399"/>
  </sheetPr>
  <dimension ref="A1:R116"/>
  <sheetViews>
    <sheetView showGridLines="0" workbookViewId="0">
      <selection sqref="A1:E1"/>
    </sheetView>
  </sheetViews>
  <sheetFormatPr defaultRowHeight="12.75" x14ac:dyDescent="0.2"/>
  <cols>
    <col min="1" max="1" width="3.625" style="96" customWidth="1"/>
    <col min="2" max="2" width="22.625" style="96" customWidth="1"/>
    <col min="3" max="3" width="9.125" style="122" customWidth="1"/>
    <col min="4" max="4" width="4.625" style="96" customWidth="1"/>
    <col min="5" max="5" width="11.375" style="96" customWidth="1"/>
    <col min="6" max="6" width="11.25" style="96" customWidth="1"/>
    <col min="7" max="15" width="9.25" style="96" customWidth="1"/>
    <col min="16" max="16" width="5" style="96" customWidth="1"/>
    <col min="17" max="17" width="2.75" style="95" hidden="1" customWidth="1"/>
    <col min="18" max="256" width="9" style="96"/>
    <col min="257" max="257" width="3.625" style="96" customWidth="1"/>
    <col min="258" max="258" width="22.625" style="96" customWidth="1"/>
    <col min="259" max="259" width="9.125" style="96" customWidth="1"/>
    <col min="260" max="260" width="4.625" style="96" customWidth="1"/>
    <col min="261" max="261" width="11.375" style="96" customWidth="1"/>
    <col min="262" max="262" width="11.25" style="96" customWidth="1"/>
    <col min="263" max="271" width="9.25" style="96" customWidth="1"/>
    <col min="272" max="272" width="5" style="96" customWidth="1"/>
    <col min="273" max="273" width="0" style="96" hidden="1" customWidth="1"/>
    <col min="274" max="512" width="9" style="96"/>
    <col min="513" max="513" width="3.625" style="96" customWidth="1"/>
    <col min="514" max="514" width="22.625" style="96" customWidth="1"/>
    <col min="515" max="515" width="9.125" style="96" customWidth="1"/>
    <col min="516" max="516" width="4.625" style="96" customWidth="1"/>
    <col min="517" max="517" width="11.375" style="96" customWidth="1"/>
    <col min="518" max="518" width="11.25" style="96" customWidth="1"/>
    <col min="519" max="527" width="9.25" style="96" customWidth="1"/>
    <col min="528" max="528" width="5" style="96" customWidth="1"/>
    <col min="529" max="529" width="0" style="96" hidden="1" customWidth="1"/>
    <col min="530" max="768" width="9" style="96"/>
    <col min="769" max="769" width="3.625" style="96" customWidth="1"/>
    <col min="770" max="770" width="22.625" style="96" customWidth="1"/>
    <col min="771" max="771" width="9.125" style="96" customWidth="1"/>
    <col min="772" max="772" width="4.625" style="96" customWidth="1"/>
    <col min="773" max="773" width="11.375" style="96" customWidth="1"/>
    <col min="774" max="774" width="11.25" style="96" customWidth="1"/>
    <col min="775" max="783" width="9.25" style="96" customWidth="1"/>
    <col min="784" max="784" width="5" style="96" customWidth="1"/>
    <col min="785" max="785" width="0" style="96" hidden="1" customWidth="1"/>
    <col min="786" max="1024" width="9" style="96"/>
    <col min="1025" max="1025" width="3.625" style="96" customWidth="1"/>
    <col min="1026" max="1026" width="22.625" style="96" customWidth="1"/>
    <col min="1027" max="1027" width="9.125" style="96" customWidth="1"/>
    <col min="1028" max="1028" width="4.625" style="96" customWidth="1"/>
    <col min="1029" max="1029" width="11.375" style="96" customWidth="1"/>
    <col min="1030" max="1030" width="11.25" style="96" customWidth="1"/>
    <col min="1031" max="1039" width="9.25" style="96" customWidth="1"/>
    <col min="1040" max="1040" width="5" style="96" customWidth="1"/>
    <col min="1041" max="1041" width="0" style="96" hidden="1" customWidth="1"/>
    <col min="1042" max="1280" width="9" style="96"/>
    <col min="1281" max="1281" width="3.625" style="96" customWidth="1"/>
    <col min="1282" max="1282" width="22.625" style="96" customWidth="1"/>
    <col min="1283" max="1283" width="9.125" style="96" customWidth="1"/>
    <col min="1284" max="1284" width="4.625" style="96" customWidth="1"/>
    <col min="1285" max="1285" width="11.375" style="96" customWidth="1"/>
    <col min="1286" max="1286" width="11.25" style="96" customWidth="1"/>
    <col min="1287" max="1295" width="9.25" style="96" customWidth="1"/>
    <col min="1296" max="1296" width="5" style="96" customWidth="1"/>
    <col min="1297" max="1297" width="0" style="96" hidden="1" customWidth="1"/>
    <col min="1298" max="1536" width="9" style="96"/>
    <col min="1537" max="1537" width="3.625" style="96" customWidth="1"/>
    <col min="1538" max="1538" width="22.625" style="96" customWidth="1"/>
    <col min="1539" max="1539" width="9.125" style="96" customWidth="1"/>
    <col min="1540" max="1540" width="4.625" style="96" customWidth="1"/>
    <col min="1541" max="1541" width="11.375" style="96" customWidth="1"/>
    <col min="1542" max="1542" width="11.25" style="96" customWidth="1"/>
    <col min="1543" max="1551" width="9.25" style="96" customWidth="1"/>
    <col min="1552" max="1552" width="5" style="96" customWidth="1"/>
    <col min="1553" max="1553" width="0" style="96" hidden="1" customWidth="1"/>
    <col min="1554" max="1792" width="9" style="96"/>
    <col min="1793" max="1793" width="3.625" style="96" customWidth="1"/>
    <col min="1794" max="1794" width="22.625" style="96" customWidth="1"/>
    <col min="1795" max="1795" width="9.125" style="96" customWidth="1"/>
    <col min="1796" max="1796" width="4.625" style="96" customWidth="1"/>
    <col min="1797" max="1797" width="11.375" style="96" customWidth="1"/>
    <col min="1798" max="1798" width="11.25" style="96" customWidth="1"/>
    <col min="1799" max="1807" width="9.25" style="96" customWidth="1"/>
    <col min="1808" max="1808" width="5" style="96" customWidth="1"/>
    <col min="1809" max="1809" width="0" style="96" hidden="1" customWidth="1"/>
    <col min="1810" max="2048" width="9" style="96"/>
    <col min="2049" max="2049" width="3.625" style="96" customWidth="1"/>
    <col min="2050" max="2050" width="22.625" style="96" customWidth="1"/>
    <col min="2051" max="2051" width="9.125" style="96" customWidth="1"/>
    <col min="2052" max="2052" width="4.625" style="96" customWidth="1"/>
    <col min="2053" max="2053" width="11.375" style="96" customWidth="1"/>
    <col min="2054" max="2054" width="11.25" style="96" customWidth="1"/>
    <col min="2055" max="2063" width="9.25" style="96" customWidth="1"/>
    <col min="2064" max="2064" width="5" style="96" customWidth="1"/>
    <col min="2065" max="2065" width="0" style="96" hidden="1" customWidth="1"/>
    <col min="2066" max="2304" width="9" style="96"/>
    <col min="2305" max="2305" width="3.625" style="96" customWidth="1"/>
    <col min="2306" max="2306" width="22.625" style="96" customWidth="1"/>
    <col min="2307" max="2307" width="9.125" style="96" customWidth="1"/>
    <col min="2308" max="2308" width="4.625" style="96" customWidth="1"/>
    <col min="2309" max="2309" width="11.375" style="96" customWidth="1"/>
    <col min="2310" max="2310" width="11.25" style="96" customWidth="1"/>
    <col min="2311" max="2319" width="9.25" style="96" customWidth="1"/>
    <col min="2320" max="2320" width="5" style="96" customWidth="1"/>
    <col min="2321" max="2321" width="0" style="96" hidden="1" customWidth="1"/>
    <col min="2322" max="2560" width="9" style="96"/>
    <col min="2561" max="2561" width="3.625" style="96" customWidth="1"/>
    <col min="2562" max="2562" width="22.625" style="96" customWidth="1"/>
    <col min="2563" max="2563" width="9.125" style="96" customWidth="1"/>
    <col min="2564" max="2564" width="4.625" style="96" customWidth="1"/>
    <col min="2565" max="2565" width="11.375" style="96" customWidth="1"/>
    <col min="2566" max="2566" width="11.25" style="96" customWidth="1"/>
    <col min="2567" max="2575" width="9.25" style="96" customWidth="1"/>
    <col min="2576" max="2576" width="5" style="96" customWidth="1"/>
    <col min="2577" max="2577" width="0" style="96" hidden="1" customWidth="1"/>
    <col min="2578" max="2816" width="9" style="96"/>
    <col min="2817" max="2817" width="3.625" style="96" customWidth="1"/>
    <col min="2818" max="2818" width="22.625" style="96" customWidth="1"/>
    <col min="2819" max="2819" width="9.125" style="96" customWidth="1"/>
    <col min="2820" max="2820" width="4.625" style="96" customWidth="1"/>
    <col min="2821" max="2821" width="11.375" style="96" customWidth="1"/>
    <col min="2822" max="2822" width="11.25" style="96" customWidth="1"/>
    <col min="2823" max="2831" width="9.25" style="96" customWidth="1"/>
    <col min="2832" max="2832" width="5" style="96" customWidth="1"/>
    <col min="2833" max="2833" width="0" style="96" hidden="1" customWidth="1"/>
    <col min="2834" max="3072" width="9" style="96"/>
    <col min="3073" max="3073" width="3.625" style="96" customWidth="1"/>
    <col min="3074" max="3074" width="22.625" style="96" customWidth="1"/>
    <col min="3075" max="3075" width="9.125" style="96" customWidth="1"/>
    <col min="3076" max="3076" width="4.625" style="96" customWidth="1"/>
    <col min="3077" max="3077" width="11.375" style="96" customWidth="1"/>
    <col min="3078" max="3078" width="11.25" style="96" customWidth="1"/>
    <col min="3079" max="3087" width="9.25" style="96" customWidth="1"/>
    <col min="3088" max="3088" width="5" style="96" customWidth="1"/>
    <col min="3089" max="3089" width="0" style="96" hidden="1" customWidth="1"/>
    <col min="3090" max="3328" width="9" style="96"/>
    <col min="3329" max="3329" width="3.625" style="96" customWidth="1"/>
    <col min="3330" max="3330" width="22.625" style="96" customWidth="1"/>
    <col min="3331" max="3331" width="9.125" style="96" customWidth="1"/>
    <col min="3332" max="3332" width="4.625" style="96" customWidth="1"/>
    <col min="3333" max="3333" width="11.375" style="96" customWidth="1"/>
    <col min="3334" max="3334" width="11.25" style="96" customWidth="1"/>
    <col min="3335" max="3343" width="9.25" style="96" customWidth="1"/>
    <col min="3344" max="3344" width="5" style="96" customWidth="1"/>
    <col min="3345" max="3345" width="0" style="96" hidden="1" customWidth="1"/>
    <col min="3346" max="3584" width="9" style="96"/>
    <col min="3585" max="3585" width="3.625" style="96" customWidth="1"/>
    <col min="3586" max="3586" width="22.625" style="96" customWidth="1"/>
    <col min="3587" max="3587" width="9.125" style="96" customWidth="1"/>
    <col min="3588" max="3588" width="4.625" style="96" customWidth="1"/>
    <col min="3589" max="3589" width="11.375" style="96" customWidth="1"/>
    <col min="3590" max="3590" width="11.25" style="96" customWidth="1"/>
    <col min="3591" max="3599" width="9.25" style="96" customWidth="1"/>
    <col min="3600" max="3600" width="5" style="96" customWidth="1"/>
    <col min="3601" max="3601" width="0" style="96" hidden="1" customWidth="1"/>
    <col min="3602" max="3840" width="9" style="96"/>
    <col min="3841" max="3841" width="3.625" style="96" customWidth="1"/>
    <col min="3842" max="3842" width="22.625" style="96" customWidth="1"/>
    <col min="3843" max="3843" width="9.125" style="96" customWidth="1"/>
    <col min="3844" max="3844" width="4.625" style="96" customWidth="1"/>
    <col min="3845" max="3845" width="11.375" style="96" customWidth="1"/>
    <col min="3846" max="3846" width="11.25" style="96" customWidth="1"/>
    <col min="3847" max="3855" width="9.25" style="96" customWidth="1"/>
    <col min="3856" max="3856" width="5" style="96" customWidth="1"/>
    <col min="3857" max="3857" width="0" style="96" hidden="1" customWidth="1"/>
    <col min="3858" max="4096" width="9" style="96"/>
    <col min="4097" max="4097" width="3.625" style="96" customWidth="1"/>
    <col min="4098" max="4098" width="22.625" style="96" customWidth="1"/>
    <col min="4099" max="4099" width="9.125" style="96" customWidth="1"/>
    <col min="4100" max="4100" width="4.625" style="96" customWidth="1"/>
    <col min="4101" max="4101" width="11.375" style="96" customWidth="1"/>
    <col min="4102" max="4102" width="11.25" style="96" customWidth="1"/>
    <col min="4103" max="4111" width="9.25" style="96" customWidth="1"/>
    <col min="4112" max="4112" width="5" style="96" customWidth="1"/>
    <col min="4113" max="4113" width="0" style="96" hidden="1" customWidth="1"/>
    <col min="4114" max="4352" width="9" style="96"/>
    <col min="4353" max="4353" width="3.625" style="96" customWidth="1"/>
    <col min="4354" max="4354" width="22.625" style="96" customWidth="1"/>
    <col min="4355" max="4355" width="9.125" style="96" customWidth="1"/>
    <col min="4356" max="4356" width="4.625" style="96" customWidth="1"/>
    <col min="4357" max="4357" width="11.375" style="96" customWidth="1"/>
    <col min="4358" max="4358" width="11.25" style="96" customWidth="1"/>
    <col min="4359" max="4367" width="9.25" style="96" customWidth="1"/>
    <col min="4368" max="4368" width="5" style="96" customWidth="1"/>
    <col min="4369" max="4369" width="0" style="96" hidden="1" customWidth="1"/>
    <col min="4370" max="4608" width="9" style="96"/>
    <col min="4609" max="4609" width="3.625" style="96" customWidth="1"/>
    <col min="4610" max="4610" width="22.625" style="96" customWidth="1"/>
    <col min="4611" max="4611" width="9.125" style="96" customWidth="1"/>
    <col min="4612" max="4612" width="4.625" style="96" customWidth="1"/>
    <col min="4613" max="4613" width="11.375" style="96" customWidth="1"/>
    <col min="4614" max="4614" width="11.25" style="96" customWidth="1"/>
    <col min="4615" max="4623" width="9.25" style="96" customWidth="1"/>
    <col min="4624" max="4624" width="5" style="96" customWidth="1"/>
    <col min="4625" max="4625" width="0" style="96" hidden="1" customWidth="1"/>
    <col min="4626" max="4864" width="9" style="96"/>
    <col min="4865" max="4865" width="3.625" style="96" customWidth="1"/>
    <col min="4866" max="4866" width="22.625" style="96" customWidth="1"/>
    <col min="4867" max="4867" width="9.125" style="96" customWidth="1"/>
    <col min="4868" max="4868" width="4.625" style="96" customWidth="1"/>
    <col min="4869" max="4869" width="11.375" style="96" customWidth="1"/>
    <col min="4870" max="4870" width="11.25" style="96" customWidth="1"/>
    <col min="4871" max="4879" width="9.25" style="96" customWidth="1"/>
    <col min="4880" max="4880" width="5" style="96" customWidth="1"/>
    <col min="4881" max="4881" width="0" style="96" hidden="1" customWidth="1"/>
    <col min="4882" max="5120" width="9" style="96"/>
    <col min="5121" max="5121" width="3.625" style="96" customWidth="1"/>
    <col min="5122" max="5122" width="22.625" style="96" customWidth="1"/>
    <col min="5123" max="5123" width="9.125" style="96" customWidth="1"/>
    <col min="5124" max="5124" width="4.625" style="96" customWidth="1"/>
    <col min="5125" max="5125" width="11.375" style="96" customWidth="1"/>
    <col min="5126" max="5126" width="11.25" style="96" customWidth="1"/>
    <col min="5127" max="5135" width="9.25" style="96" customWidth="1"/>
    <col min="5136" max="5136" width="5" style="96" customWidth="1"/>
    <col min="5137" max="5137" width="0" style="96" hidden="1" customWidth="1"/>
    <col min="5138" max="5376" width="9" style="96"/>
    <col min="5377" max="5377" width="3.625" style="96" customWidth="1"/>
    <col min="5378" max="5378" width="22.625" style="96" customWidth="1"/>
    <col min="5379" max="5379" width="9.125" style="96" customWidth="1"/>
    <col min="5380" max="5380" width="4.625" style="96" customWidth="1"/>
    <col min="5381" max="5381" width="11.375" style="96" customWidth="1"/>
    <col min="5382" max="5382" width="11.25" style="96" customWidth="1"/>
    <col min="5383" max="5391" width="9.25" style="96" customWidth="1"/>
    <col min="5392" max="5392" width="5" style="96" customWidth="1"/>
    <col min="5393" max="5393" width="0" style="96" hidden="1" customWidth="1"/>
    <col min="5394" max="5632" width="9" style="96"/>
    <col min="5633" max="5633" width="3.625" style="96" customWidth="1"/>
    <col min="5634" max="5634" width="22.625" style="96" customWidth="1"/>
    <col min="5635" max="5635" width="9.125" style="96" customWidth="1"/>
    <col min="5636" max="5636" width="4.625" style="96" customWidth="1"/>
    <col min="5637" max="5637" width="11.375" style="96" customWidth="1"/>
    <col min="5638" max="5638" width="11.25" style="96" customWidth="1"/>
    <col min="5639" max="5647" width="9.25" style="96" customWidth="1"/>
    <col min="5648" max="5648" width="5" style="96" customWidth="1"/>
    <col min="5649" max="5649" width="0" style="96" hidden="1" customWidth="1"/>
    <col min="5650" max="5888" width="9" style="96"/>
    <col min="5889" max="5889" width="3.625" style="96" customWidth="1"/>
    <col min="5890" max="5890" width="22.625" style="96" customWidth="1"/>
    <col min="5891" max="5891" width="9.125" style="96" customWidth="1"/>
    <col min="5892" max="5892" width="4.625" style="96" customWidth="1"/>
    <col min="5893" max="5893" width="11.375" style="96" customWidth="1"/>
    <col min="5894" max="5894" width="11.25" style="96" customWidth="1"/>
    <col min="5895" max="5903" width="9.25" style="96" customWidth="1"/>
    <col min="5904" max="5904" width="5" style="96" customWidth="1"/>
    <col min="5905" max="5905" width="0" style="96" hidden="1" customWidth="1"/>
    <col min="5906" max="6144" width="9" style="96"/>
    <col min="6145" max="6145" width="3.625" style="96" customWidth="1"/>
    <col min="6146" max="6146" width="22.625" style="96" customWidth="1"/>
    <col min="6147" max="6147" width="9.125" style="96" customWidth="1"/>
    <col min="6148" max="6148" width="4.625" style="96" customWidth="1"/>
    <col min="6149" max="6149" width="11.375" style="96" customWidth="1"/>
    <col min="6150" max="6150" width="11.25" style="96" customWidth="1"/>
    <col min="6151" max="6159" width="9.25" style="96" customWidth="1"/>
    <col min="6160" max="6160" width="5" style="96" customWidth="1"/>
    <col min="6161" max="6161" width="0" style="96" hidden="1" customWidth="1"/>
    <col min="6162" max="6400" width="9" style="96"/>
    <col min="6401" max="6401" width="3.625" style="96" customWidth="1"/>
    <col min="6402" max="6402" width="22.625" style="96" customWidth="1"/>
    <col min="6403" max="6403" width="9.125" style="96" customWidth="1"/>
    <col min="6404" max="6404" width="4.625" style="96" customWidth="1"/>
    <col min="6405" max="6405" width="11.375" style="96" customWidth="1"/>
    <col min="6406" max="6406" width="11.25" style="96" customWidth="1"/>
    <col min="6407" max="6415" width="9.25" style="96" customWidth="1"/>
    <col min="6416" max="6416" width="5" style="96" customWidth="1"/>
    <col min="6417" max="6417" width="0" style="96" hidden="1" customWidth="1"/>
    <col min="6418" max="6656" width="9" style="96"/>
    <col min="6657" max="6657" width="3.625" style="96" customWidth="1"/>
    <col min="6658" max="6658" width="22.625" style="96" customWidth="1"/>
    <col min="6659" max="6659" width="9.125" style="96" customWidth="1"/>
    <col min="6660" max="6660" width="4.625" style="96" customWidth="1"/>
    <col min="6661" max="6661" width="11.375" style="96" customWidth="1"/>
    <col min="6662" max="6662" width="11.25" style="96" customWidth="1"/>
    <col min="6663" max="6671" width="9.25" style="96" customWidth="1"/>
    <col min="6672" max="6672" width="5" style="96" customWidth="1"/>
    <col min="6673" max="6673" width="0" style="96" hidden="1" customWidth="1"/>
    <col min="6674" max="6912" width="9" style="96"/>
    <col min="6913" max="6913" width="3.625" style="96" customWidth="1"/>
    <col min="6914" max="6914" width="22.625" style="96" customWidth="1"/>
    <col min="6915" max="6915" width="9.125" style="96" customWidth="1"/>
    <col min="6916" max="6916" width="4.625" style="96" customWidth="1"/>
    <col min="6917" max="6917" width="11.375" style="96" customWidth="1"/>
    <col min="6918" max="6918" width="11.25" style="96" customWidth="1"/>
    <col min="6919" max="6927" width="9.25" style="96" customWidth="1"/>
    <col min="6928" max="6928" width="5" style="96" customWidth="1"/>
    <col min="6929" max="6929" width="0" style="96" hidden="1" customWidth="1"/>
    <col min="6930" max="7168" width="9" style="96"/>
    <col min="7169" max="7169" width="3.625" style="96" customWidth="1"/>
    <col min="7170" max="7170" width="22.625" style="96" customWidth="1"/>
    <col min="7171" max="7171" width="9.125" style="96" customWidth="1"/>
    <col min="7172" max="7172" width="4.625" style="96" customWidth="1"/>
    <col min="7173" max="7173" width="11.375" style="96" customWidth="1"/>
    <col min="7174" max="7174" width="11.25" style="96" customWidth="1"/>
    <col min="7175" max="7183" width="9.25" style="96" customWidth="1"/>
    <col min="7184" max="7184" width="5" style="96" customWidth="1"/>
    <col min="7185" max="7185" width="0" style="96" hidden="1" customWidth="1"/>
    <col min="7186" max="7424" width="9" style="96"/>
    <col min="7425" max="7425" width="3.625" style="96" customWidth="1"/>
    <col min="7426" max="7426" width="22.625" style="96" customWidth="1"/>
    <col min="7427" max="7427" width="9.125" style="96" customWidth="1"/>
    <col min="7428" max="7428" width="4.625" style="96" customWidth="1"/>
    <col min="7429" max="7429" width="11.375" style="96" customWidth="1"/>
    <col min="7430" max="7430" width="11.25" style="96" customWidth="1"/>
    <col min="7431" max="7439" width="9.25" style="96" customWidth="1"/>
    <col min="7440" max="7440" width="5" style="96" customWidth="1"/>
    <col min="7441" max="7441" width="0" style="96" hidden="1" customWidth="1"/>
    <col min="7442" max="7680" width="9" style="96"/>
    <col min="7681" max="7681" width="3.625" style="96" customWidth="1"/>
    <col min="7682" max="7682" width="22.625" style="96" customWidth="1"/>
    <col min="7683" max="7683" width="9.125" style="96" customWidth="1"/>
    <col min="7684" max="7684" width="4.625" style="96" customWidth="1"/>
    <col min="7685" max="7685" width="11.375" style="96" customWidth="1"/>
    <col min="7686" max="7686" width="11.25" style="96" customWidth="1"/>
    <col min="7687" max="7695" width="9.25" style="96" customWidth="1"/>
    <col min="7696" max="7696" width="5" style="96" customWidth="1"/>
    <col min="7697" max="7697" width="0" style="96" hidden="1" customWidth="1"/>
    <col min="7698" max="7936" width="9" style="96"/>
    <col min="7937" max="7937" width="3.625" style="96" customWidth="1"/>
    <col min="7938" max="7938" width="22.625" style="96" customWidth="1"/>
    <col min="7939" max="7939" width="9.125" style="96" customWidth="1"/>
    <col min="7940" max="7940" width="4.625" style="96" customWidth="1"/>
    <col min="7941" max="7941" width="11.375" style="96" customWidth="1"/>
    <col min="7942" max="7942" width="11.25" style="96" customWidth="1"/>
    <col min="7943" max="7951" width="9.25" style="96" customWidth="1"/>
    <col min="7952" max="7952" width="5" style="96" customWidth="1"/>
    <col min="7953" max="7953" width="0" style="96" hidden="1" customWidth="1"/>
    <col min="7954" max="8192" width="9" style="96"/>
    <col min="8193" max="8193" width="3.625" style="96" customWidth="1"/>
    <col min="8194" max="8194" width="22.625" style="96" customWidth="1"/>
    <col min="8195" max="8195" width="9.125" style="96" customWidth="1"/>
    <col min="8196" max="8196" width="4.625" style="96" customWidth="1"/>
    <col min="8197" max="8197" width="11.375" style="96" customWidth="1"/>
    <col min="8198" max="8198" width="11.25" style="96" customWidth="1"/>
    <col min="8199" max="8207" width="9.25" style="96" customWidth="1"/>
    <col min="8208" max="8208" width="5" style="96" customWidth="1"/>
    <col min="8209" max="8209" width="0" style="96" hidden="1" customWidth="1"/>
    <col min="8210" max="8448" width="9" style="96"/>
    <col min="8449" max="8449" width="3.625" style="96" customWidth="1"/>
    <col min="8450" max="8450" width="22.625" style="96" customWidth="1"/>
    <col min="8451" max="8451" width="9.125" style="96" customWidth="1"/>
    <col min="8452" max="8452" width="4.625" style="96" customWidth="1"/>
    <col min="8453" max="8453" width="11.375" style="96" customWidth="1"/>
    <col min="8454" max="8454" width="11.25" style="96" customWidth="1"/>
    <col min="8455" max="8463" width="9.25" style="96" customWidth="1"/>
    <col min="8464" max="8464" width="5" style="96" customWidth="1"/>
    <col min="8465" max="8465" width="0" style="96" hidden="1" customWidth="1"/>
    <col min="8466" max="8704" width="9" style="96"/>
    <col min="8705" max="8705" width="3.625" style="96" customWidth="1"/>
    <col min="8706" max="8706" width="22.625" style="96" customWidth="1"/>
    <col min="8707" max="8707" width="9.125" style="96" customWidth="1"/>
    <col min="8708" max="8708" width="4.625" style="96" customWidth="1"/>
    <col min="8709" max="8709" width="11.375" style="96" customWidth="1"/>
    <col min="8710" max="8710" width="11.25" style="96" customWidth="1"/>
    <col min="8711" max="8719" width="9.25" style="96" customWidth="1"/>
    <col min="8720" max="8720" width="5" style="96" customWidth="1"/>
    <col min="8721" max="8721" width="0" style="96" hidden="1" customWidth="1"/>
    <col min="8722" max="8960" width="9" style="96"/>
    <col min="8961" max="8961" width="3.625" style="96" customWidth="1"/>
    <col min="8962" max="8962" width="22.625" style="96" customWidth="1"/>
    <col min="8963" max="8963" width="9.125" style="96" customWidth="1"/>
    <col min="8964" max="8964" width="4.625" style="96" customWidth="1"/>
    <col min="8965" max="8965" width="11.375" style="96" customWidth="1"/>
    <col min="8966" max="8966" width="11.25" style="96" customWidth="1"/>
    <col min="8967" max="8975" width="9.25" style="96" customWidth="1"/>
    <col min="8976" max="8976" width="5" style="96" customWidth="1"/>
    <col min="8977" max="8977" width="0" style="96" hidden="1" customWidth="1"/>
    <col min="8978" max="9216" width="9" style="96"/>
    <col min="9217" max="9217" width="3.625" style="96" customWidth="1"/>
    <col min="9218" max="9218" width="22.625" style="96" customWidth="1"/>
    <col min="9219" max="9219" width="9.125" style="96" customWidth="1"/>
    <col min="9220" max="9220" width="4.625" style="96" customWidth="1"/>
    <col min="9221" max="9221" width="11.375" style="96" customWidth="1"/>
    <col min="9222" max="9222" width="11.25" style="96" customWidth="1"/>
    <col min="9223" max="9231" width="9.25" style="96" customWidth="1"/>
    <col min="9232" max="9232" width="5" style="96" customWidth="1"/>
    <col min="9233" max="9233" width="0" style="96" hidden="1" customWidth="1"/>
    <col min="9234" max="9472" width="9" style="96"/>
    <col min="9473" max="9473" width="3.625" style="96" customWidth="1"/>
    <col min="9474" max="9474" width="22.625" style="96" customWidth="1"/>
    <col min="9475" max="9475" width="9.125" style="96" customWidth="1"/>
    <col min="9476" max="9476" width="4.625" style="96" customWidth="1"/>
    <col min="9477" max="9477" width="11.375" style="96" customWidth="1"/>
    <col min="9478" max="9478" width="11.25" style="96" customWidth="1"/>
    <col min="9479" max="9487" width="9.25" style="96" customWidth="1"/>
    <col min="9488" max="9488" width="5" style="96" customWidth="1"/>
    <col min="9489" max="9489" width="0" style="96" hidden="1" customWidth="1"/>
    <col min="9490" max="9728" width="9" style="96"/>
    <col min="9729" max="9729" width="3.625" style="96" customWidth="1"/>
    <col min="9730" max="9730" width="22.625" style="96" customWidth="1"/>
    <col min="9731" max="9731" width="9.125" style="96" customWidth="1"/>
    <col min="9732" max="9732" width="4.625" style="96" customWidth="1"/>
    <col min="9733" max="9733" width="11.375" style="96" customWidth="1"/>
    <col min="9734" max="9734" width="11.25" style="96" customWidth="1"/>
    <col min="9735" max="9743" width="9.25" style="96" customWidth="1"/>
    <col min="9744" max="9744" width="5" style="96" customWidth="1"/>
    <col min="9745" max="9745" width="0" style="96" hidden="1" customWidth="1"/>
    <col min="9746" max="9984" width="9" style="96"/>
    <col min="9985" max="9985" width="3.625" style="96" customWidth="1"/>
    <col min="9986" max="9986" width="22.625" style="96" customWidth="1"/>
    <col min="9987" max="9987" width="9.125" style="96" customWidth="1"/>
    <col min="9988" max="9988" width="4.625" style="96" customWidth="1"/>
    <col min="9989" max="9989" width="11.375" style="96" customWidth="1"/>
    <col min="9990" max="9990" width="11.25" style="96" customWidth="1"/>
    <col min="9991" max="9999" width="9.25" style="96" customWidth="1"/>
    <col min="10000" max="10000" width="5" style="96" customWidth="1"/>
    <col min="10001" max="10001" width="0" style="96" hidden="1" customWidth="1"/>
    <col min="10002" max="10240" width="9" style="96"/>
    <col min="10241" max="10241" width="3.625" style="96" customWidth="1"/>
    <col min="10242" max="10242" width="22.625" style="96" customWidth="1"/>
    <col min="10243" max="10243" width="9.125" style="96" customWidth="1"/>
    <col min="10244" max="10244" width="4.625" style="96" customWidth="1"/>
    <col min="10245" max="10245" width="11.375" style="96" customWidth="1"/>
    <col min="10246" max="10246" width="11.25" style="96" customWidth="1"/>
    <col min="10247" max="10255" width="9.25" style="96" customWidth="1"/>
    <col min="10256" max="10256" width="5" style="96" customWidth="1"/>
    <col min="10257" max="10257" width="0" style="96" hidden="1" customWidth="1"/>
    <col min="10258" max="10496" width="9" style="96"/>
    <col min="10497" max="10497" width="3.625" style="96" customWidth="1"/>
    <col min="10498" max="10498" width="22.625" style="96" customWidth="1"/>
    <col min="10499" max="10499" width="9.125" style="96" customWidth="1"/>
    <col min="10500" max="10500" width="4.625" style="96" customWidth="1"/>
    <col min="10501" max="10501" width="11.375" style="96" customWidth="1"/>
    <col min="10502" max="10502" width="11.25" style="96" customWidth="1"/>
    <col min="10503" max="10511" width="9.25" style="96" customWidth="1"/>
    <col min="10512" max="10512" width="5" style="96" customWidth="1"/>
    <col min="10513" max="10513" width="0" style="96" hidden="1" customWidth="1"/>
    <col min="10514" max="10752" width="9" style="96"/>
    <col min="10753" max="10753" width="3.625" style="96" customWidth="1"/>
    <col min="10754" max="10754" width="22.625" style="96" customWidth="1"/>
    <col min="10755" max="10755" width="9.125" style="96" customWidth="1"/>
    <col min="10756" max="10756" width="4.625" style="96" customWidth="1"/>
    <col min="10757" max="10757" width="11.375" style="96" customWidth="1"/>
    <col min="10758" max="10758" width="11.25" style="96" customWidth="1"/>
    <col min="10759" max="10767" width="9.25" style="96" customWidth="1"/>
    <col min="10768" max="10768" width="5" style="96" customWidth="1"/>
    <col min="10769" max="10769" width="0" style="96" hidden="1" customWidth="1"/>
    <col min="10770" max="11008" width="9" style="96"/>
    <col min="11009" max="11009" width="3.625" style="96" customWidth="1"/>
    <col min="11010" max="11010" width="22.625" style="96" customWidth="1"/>
    <col min="11011" max="11011" width="9.125" style="96" customWidth="1"/>
    <col min="11012" max="11012" width="4.625" style="96" customWidth="1"/>
    <col min="11013" max="11013" width="11.375" style="96" customWidth="1"/>
    <col min="11014" max="11014" width="11.25" style="96" customWidth="1"/>
    <col min="11015" max="11023" width="9.25" style="96" customWidth="1"/>
    <col min="11024" max="11024" width="5" style="96" customWidth="1"/>
    <col min="11025" max="11025" width="0" style="96" hidden="1" customWidth="1"/>
    <col min="11026" max="11264" width="9" style="96"/>
    <col min="11265" max="11265" width="3.625" style="96" customWidth="1"/>
    <col min="11266" max="11266" width="22.625" style="96" customWidth="1"/>
    <col min="11267" max="11267" width="9.125" style="96" customWidth="1"/>
    <col min="11268" max="11268" width="4.625" style="96" customWidth="1"/>
    <col min="11269" max="11269" width="11.375" style="96" customWidth="1"/>
    <col min="11270" max="11270" width="11.25" style="96" customWidth="1"/>
    <col min="11271" max="11279" width="9.25" style="96" customWidth="1"/>
    <col min="11280" max="11280" width="5" style="96" customWidth="1"/>
    <col min="11281" max="11281" width="0" style="96" hidden="1" customWidth="1"/>
    <col min="11282" max="11520" width="9" style="96"/>
    <col min="11521" max="11521" width="3.625" style="96" customWidth="1"/>
    <col min="11522" max="11522" width="22.625" style="96" customWidth="1"/>
    <col min="11523" max="11523" width="9.125" style="96" customWidth="1"/>
    <col min="11524" max="11524" width="4.625" style="96" customWidth="1"/>
    <col min="11525" max="11525" width="11.375" style="96" customWidth="1"/>
    <col min="11526" max="11526" width="11.25" style="96" customWidth="1"/>
    <col min="11527" max="11535" width="9.25" style="96" customWidth="1"/>
    <col min="11536" max="11536" width="5" style="96" customWidth="1"/>
    <col min="11537" max="11537" width="0" style="96" hidden="1" customWidth="1"/>
    <col min="11538" max="11776" width="9" style="96"/>
    <col min="11777" max="11777" width="3.625" style="96" customWidth="1"/>
    <col min="11778" max="11778" width="22.625" style="96" customWidth="1"/>
    <col min="11779" max="11779" width="9.125" style="96" customWidth="1"/>
    <col min="11780" max="11780" width="4.625" style="96" customWidth="1"/>
    <col min="11781" max="11781" width="11.375" style="96" customWidth="1"/>
    <col min="11782" max="11782" width="11.25" style="96" customWidth="1"/>
    <col min="11783" max="11791" width="9.25" style="96" customWidth="1"/>
    <col min="11792" max="11792" width="5" style="96" customWidth="1"/>
    <col min="11793" max="11793" width="0" style="96" hidden="1" customWidth="1"/>
    <col min="11794" max="12032" width="9" style="96"/>
    <col min="12033" max="12033" width="3.625" style="96" customWidth="1"/>
    <col min="12034" max="12034" width="22.625" style="96" customWidth="1"/>
    <col min="12035" max="12035" width="9.125" style="96" customWidth="1"/>
    <col min="12036" max="12036" width="4.625" style="96" customWidth="1"/>
    <col min="12037" max="12037" width="11.375" style="96" customWidth="1"/>
    <col min="12038" max="12038" width="11.25" style="96" customWidth="1"/>
    <col min="12039" max="12047" width="9.25" style="96" customWidth="1"/>
    <col min="12048" max="12048" width="5" style="96" customWidth="1"/>
    <col min="12049" max="12049" width="0" style="96" hidden="1" customWidth="1"/>
    <col min="12050" max="12288" width="9" style="96"/>
    <col min="12289" max="12289" width="3.625" style="96" customWidth="1"/>
    <col min="12290" max="12290" width="22.625" style="96" customWidth="1"/>
    <col min="12291" max="12291" width="9.125" style="96" customWidth="1"/>
    <col min="12292" max="12292" width="4.625" style="96" customWidth="1"/>
    <col min="12293" max="12293" width="11.375" style="96" customWidth="1"/>
    <col min="12294" max="12294" width="11.25" style="96" customWidth="1"/>
    <col min="12295" max="12303" width="9.25" style="96" customWidth="1"/>
    <col min="12304" max="12304" width="5" style="96" customWidth="1"/>
    <col min="12305" max="12305" width="0" style="96" hidden="1" customWidth="1"/>
    <col min="12306" max="12544" width="9" style="96"/>
    <col min="12545" max="12545" width="3.625" style="96" customWidth="1"/>
    <col min="12546" max="12546" width="22.625" style="96" customWidth="1"/>
    <col min="12547" max="12547" width="9.125" style="96" customWidth="1"/>
    <col min="12548" max="12548" width="4.625" style="96" customWidth="1"/>
    <col min="12549" max="12549" width="11.375" style="96" customWidth="1"/>
    <col min="12550" max="12550" width="11.25" style="96" customWidth="1"/>
    <col min="12551" max="12559" width="9.25" style="96" customWidth="1"/>
    <col min="12560" max="12560" width="5" style="96" customWidth="1"/>
    <col min="12561" max="12561" width="0" style="96" hidden="1" customWidth="1"/>
    <col min="12562" max="12800" width="9" style="96"/>
    <col min="12801" max="12801" width="3.625" style="96" customWidth="1"/>
    <col min="12802" max="12802" width="22.625" style="96" customWidth="1"/>
    <col min="12803" max="12803" width="9.125" style="96" customWidth="1"/>
    <col min="12804" max="12804" width="4.625" style="96" customWidth="1"/>
    <col min="12805" max="12805" width="11.375" style="96" customWidth="1"/>
    <col min="12806" max="12806" width="11.25" style="96" customWidth="1"/>
    <col min="12807" max="12815" width="9.25" style="96" customWidth="1"/>
    <col min="12816" max="12816" width="5" style="96" customWidth="1"/>
    <col min="12817" max="12817" width="0" style="96" hidden="1" customWidth="1"/>
    <col min="12818" max="13056" width="9" style="96"/>
    <col min="13057" max="13057" width="3.625" style="96" customWidth="1"/>
    <col min="13058" max="13058" width="22.625" style="96" customWidth="1"/>
    <col min="13059" max="13059" width="9.125" style="96" customWidth="1"/>
    <col min="13060" max="13060" width="4.625" style="96" customWidth="1"/>
    <col min="13061" max="13061" width="11.375" style="96" customWidth="1"/>
    <col min="13062" max="13062" width="11.25" style="96" customWidth="1"/>
    <col min="13063" max="13071" width="9.25" style="96" customWidth="1"/>
    <col min="13072" max="13072" width="5" style="96" customWidth="1"/>
    <col min="13073" max="13073" width="0" style="96" hidden="1" customWidth="1"/>
    <col min="13074" max="13312" width="9" style="96"/>
    <col min="13313" max="13313" width="3.625" style="96" customWidth="1"/>
    <col min="13314" max="13314" width="22.625" style="96" customWidth="1"/>
    <col min="13315" max="13315" width="9.125" style="96" customWidth="1"/>
    <col min="13316" max="13316" width="4.625" style="96" customWidth="1"/>
    <col min="13317" max="13317" width="11.375" style="96" customWidth="1"/>
    <col min="13318" max="13318" width="11.25" style="96" customWidth="1"/>
    <col min="13319" max="13327" width="9.25" style="96" customWidth="1"/>
    <col min="13328" max="13328" width="5" style="96" customWidth="1"/>
    <col min="13329" max="13329" width="0" style="96" hidden="1" customWidth="1"/>
    <col min="13330" max="13568" width="9" style="96"/>
    <col min="13569" max="13569" width="3.625" style="96" customWidth="1"/>
    <col min="13570" max="13570" width="22.625" style="96" customWidth="1"/>
    <col min="13571" max="13571" width="9.125" style="96" customWidth="1"/>
    <col min="13572" max="13572" width="4.625" style="96" customWidth="1"/>
    <col min="13573" max="13573" width="11.375" style="96" customWidth="1"/>
    <col min="13574" max="13574" width="11.25" style="96" customWidth="1"/>
    <col min="13575" max="13583" width="9.25" style="96" customWidth="1"/>
    <col min="13584" max="13584" width="5" style="96" customWidth="1"/>
    <col min="13585" max="13585" width="0" style="96" hidden="1" customWidth="1"/>
    <col min="13586" max="13824" width="9" style="96"/>
    <col min="13825" max="13825" width="3.625" style="96" customWidth="1"/>
    <col min="13826" max="13826" width="22.625" style="96" customWidth="1"/>
    <col min="13827" max="13827" width="9.125" style="96" customWidth="1"/>
    <col min="13828" max="13828" width="4.625" style="96" customWidth="1"/>
    <col min="13829" max="13829" width="11.375" style="96" customWidth="1"/>
    <col min="13830" max="13830" width="11.25" style="96" customWidth="1"/>
    <col min="13831" max="13839" width="9.25" style="96" customWidth="1"/>
    <col min="13840" max="13840" width="5" style="96" customWidth="1"/>
    <col min="13841" max="13841" width="0" style="96" hidden="1" customWidth="1"/>
    <col min="13842" max="14080" width="9" style="96"/>
    <col min="14081" max="14081" width="3.625" style="96" customWidth="1"/>
    <col min="14082" max="14082" width="22.625" style="96" customWidth="1"/>
    <col min="14083" max="14083" width="9.125" style="96" customWidth="1"/>
    <col min="14084" max="14084" width="4.625" style="96" customWidth="1"/>
    <col min="14085" max="14085" width="11.375" style="96" customWidth="1"/>
    <col min="14086" max="14086" width="11.25" style="96" customWidth="1"/>
    <col min="14087" max="14095" width="9.25" style="96" customWidth="1"/>
    <col min="14096" max="14096" width="5" style="96" customWidth="1"/>
    <col min="14097" max="14097" width="0" style="96" hidden="1" customWidth="1"/>
    <col min="14098" max="14336" width="9" style="96"/>
    <col min="14337" max="14337" width="3.625" style="96" customWidth="1"/>
    <col min="14338" max="14338" width="22.625" style="96" customWidth="1"/>
    <col min="14339" max="14339" width="9.125" style="96" customWidth="1"/>
    <col min="14340" max="14340" width="4.625" style="96" customWidth="1"/>
    <col min="14341" max="14341" width="11.375" style="96" customWidth="1"/>
    <col min="14342" max="14342" width="11.25" style="96" customWidth="1"/>
    <col min="14343" max="14351" width="9.25" style="96" customWidth="1"/>
    <col min="14352" max="14352" width="5" style="96" customWidth="1"/>
    <col min="14353" max="14353" width="0" style="96" hidden="1" customWidth="1"/>
    <col min="14354" max="14592" width="9" style="96"/>
    <col min="14593" max="14593" width="3.625" style="96" customWidth="1"/>
    <col min="14594" max="14594" width="22.625" style="96" customWidth="1"/>
    <col min="14595" max="14595" width="9.125" style="96" customWidth="1"/>
    <col min="14596" max="14596" width="4.625" style="96" customWidth="1"/>
    <col min="14597" max="14597" width="11.375" style="96" customWidth="1"/>
    <col min="14598" max="14598" width="11.25" style="96" customWidth="1"/>
    <col min="14599" max="14607" width="9.25" style="96" customWidth="1"/>
    <col min="14608" max="14608" width="5" style="96" customWidth="1"/>
    <col min="14609" max="14609" width="0" style="96" hidden="1" customWidth="1"/>
    <col min="14610" max="14848" width="9" style="96"/>
    <col min="14849" max="14849" width="3.625" style="96" customWidth="1"/>
    <col min="14850" max="14850" width="22.625" style="96" customWidth="1"/>
    <col min="14851" max="14851" width="9.125" style="96" customWidth="1"/>
    <col min="14852" max="14852" width="4.625" style="96" customWidth="1"/>
    <col min="14853" max="14853" width="11.375" style="96" customWidth="1"/>
    <col min="14854" max="14854" width="11.25" style="96" customWidth="1"/>
    <col min="14855" max="14863" width="9.25" style="96" customWidth="1"/>
    <col min="14864" max="14864" width="5" style="96" customWidth="1"/>
    <col min="14865" max="14865" width="0" style="96" hidden="1" customWidth="1"/>
    <col min="14866" max="15104" width="9" style="96"/>
    <col min="15105" max="15105" width="3.625" style="96" customWidth="1"/>
    <col min="15106" max="15106" width="22.625" style="96" customWidth="1"/>
    <col min="15107" max="15107" width="9.125" style="96" customWidth="1"/>
    <col min="15108" max="15108" width="4.625" style="96" customWidth="1"/>
    <col min="15109" max="15109" width="11.375" style="96" customWidth="1"/>
    <col min="15110" max="15110" width="11.25" style="96" customWidth="1"/>
    <col min="15111" max="15119" width="9.25" style="96" customWidth="1"/>
    <col min="15120" max="15120" width="5" style="96" customWidth="1"/>
    <col min="15121" max="15121" width="0" style="96" hidden="1" customWidth="1"/>
    <col min="15122" max="15360" width="9" style="96"/>
    <col min="15361" max="15361" width="3.625" style="96" customWidth="1"/>
    <col min="15362" max="15362" width="22.625" style="96" customWidth="1"/>
    <col min="15363" max="15363" width="9.125" style="96" customWidth="1"/>
    <col min="15364" max="15364" width="4.625" style="96" customWidth="1"/>
    <col min="15365" max="15365" width="11.375" style="96" customWidth="1"/>
    <col min="15366" max="15366" width="11.25" style="96" customWidth="1"/>
    <col min="15367" max="15375" width="9.25" style="96" customWidth="1"/>
    <col min="15376" max="15376" width="5" style="96" customWidth="1"/>
    <col min="15377" max="15377" width="0" style="96" hidden="1" customWidth="1"/>
    <col min="15378" max="15616" width="9" style="96"/>
    <col min="15617" max="15617" width="3.625" style="96" customWidth="1"/>
    <col min="15618" max="15618" width="22.625" style="96" customWidth="1"/>
    <col min="15619" max="15619" width="9.125" style="96" customWidth="1"/>
    <col min="15620" max="15620" width="4.625" style="96" customWidth="1"/>
    <col min="15621" max="15621" width="11.375" style="96" customWidth="1"/>
    <col min="15622" max="15622" width="11.25" style="96" customWidth="1"/>
    <col min="15623" max="15631" width="9.25" style="96" customWidth="1"/>
    <col min="15632" max="15632" width="5" style="96" customWidth="1"/>
    <col min="15633" max="15633" width="0" style="96" hidden="1" customWidth="1"/>
    <col min="15634" max="15872" width="9" style="96"/>
    <col min="15873" max="15873" width="3.625" style="96" customWidth="1"/>
    <col min="15874" max="15874" width="22.625" style="96" customWidth="1"/>
    <col min="15875" max="15875" width="9.125" style="96" customWidth="1"/>
    <col min="15876" max="15876" width="4.625" style="96" customWidth="1"/>
    <col min="15877" max="15877" width="11.375" style="96" customWidth="1"/>
    <col min="15878" max="15878" width="11.25" style="96" customWidth="1"/>
    <col min="15879" max="15887" width="9.25" style="96" customWidth="1"/>
    <col min="15888" max="15888" width="5" style="96" customWidth="1"/>
    <col min="15889" max="15889" width="0" style="96" hidden="1" customWidth="1"/>
    <col min="15890" max="16128" width="9" style="96"/>
    <col min="16129" max="16129" width="3.625" style="96" customWidth="1"/>
    <col min="16130" max="16130" width="22.625" style="96" customWidth="1"/>
    <col min="16131" max="16131" width="9.125" style="96" customWidth="1"/>
    <col min="16132" max="16132" width="4.625" style="96" customWidth="1"/>
    <col min="16133" max="16133" width="11.375" style="96" customWidth="1"/>
    <col min="16134" max="16134" width="11.25" style="96" customWidth="1"/>
    <col min="16135" max="16143" width="9.25" style="96" customWidth="1"/>
    <col min="16144" max="16144" width="5" style="96" customWidth="1"/>
    <col min="16145" max="16145" width="0" style="96" hidden="1" customWidth="1"/>
    <col min="16146" max="16384" width="9" style="96"/>
  </cols>
  <sheetData>
    <row r="1" spans="1:18" ht="18.75" x14ac:dyDescent="0.3">
      <c r="A1" s="810" t="str">
        <f>Chinh!$A$1</f>
        <v>UBND PHƯỜNG CAM LINH</v>
      </c>
      <c r="B1" s="810"/>
      <c r="C1" s="810"/>
      <c r="D1" s="810"/>
      <c r="E1" s="810"/>
      <c r="F1" s="94"/>
      <c r="G1" s="94"/>
      <c r="H1" s="94"/>
      <c r="I1" s="94"/>
      <c r="J1" s="94"/>
      <c r="K1" s="94"/>
      <c r="L1" s="94"/>
      <c r="M1" s="94"/>
      <c r="N1" s="94"/>
      <c r="O1" s="94"/>
      <c r="P1" s="94"/>
    </row>
    <row r="2" spans="1:18" ht="18.75" x14ac:dyDescent="0.3">
      <c r="A2" s="630" t="str">
        <f>IF(Chinh!$D$9="","",Chinh!A2)</f>
        <v/>
      </c>
      <c r="B2" s="630"/>
      <c r="C2" s="630"/>
      <c r="D2" s="630"/>
      <c r="E2" s="630"/>
      <c r="F2" s="631" t="s">
        <v>270</v>
      </c>
      <c r="G2" s="631"/>
      <c r="H2" s="631"/>
      <c r="I2" s="631"/>
      <c r="J2" s="631"/>
      <c r="K2" s="631"/>
      <c r="L2" s="631"/>
      <c r="M2" s="631"/>
      <c r="N2" s="631"/>
      <c r="O2" s="94"/>
      <c r="P2" s="94"/>
    </row>
    <row r="3" spans="1:18" ht="18.75" x14ac:dyDescent="0.3">
      <c r="A3" s="97"/>
      <c r="B3" s="97"/>
      <c r="C3" s="98"/>
      <c r="D3" s="97"/>
      <c r="E3" s="94"/>
      <c r="F3" s="523"/>
      <c r="G3" s="99" t="str">
        <f>IF(COUNTIF($Q$8:$Q$107,"er")&gt;0,"Còn lỗi!",IF(AND(COUNTIF($Q$8:$Q$107,"x")&gt;0,COUNTIF($Q$8:$Q$107,"er")=0,Chinh!D9&lt;&gt;""),"Hoàn thành!","Nhập liệu!"))</f>
        <v>Nhập liệu!</v>
      </c>
      <c r="H3" s="100"/>
      <c r="I3" s="523"/>
      <c r="J3" s="632" t="str">
        <f>"Năm học: "&amp;Chinh!$H$5</f>
        <v>Năm học: 2025-2026</v>
      </c>
      <c r="K3" s="632"/>
      <c r="L3" s="101"/>
      <c r="M3" s="101"/>
      <c r="N3" s="523"/>
      <c r="O3" s="94"/>
      <c r="P3" s="94"/>
    </row>
    <row r="4" spans="1:18" ht="21.75" customHeight="1" x14ac:dyDescent="0.25">
      <c r="A4" s="102"/>
      <c r="B4" s="103"/>
      <c r="C4" s="499" t="str">
        <f>IF(G3="Hoàn thành!","Tổng số CB,GV,NV:"&amp;" "&amp;COUNTA($B$8:$B$107)&amp;" ;"&amp;" trong đó:"&amp;" "&amp;"Nữ:"&amp;" "&amp;COUNTIF($D$8:$D$107,"x")&amp;", "&amp;"Dân tộc: "&amp;" "&amp;COUNTA($N$8:$N$107)-COUNTIF($N$8:$N$107,"Kinh"),"")</f>
        <v/>
      </c>
      <c r="D4" s="104"/>
      <c r="E4" s="104"/>
      <c r="F4" s="104"/>
      <c r="G4" s="104"/>
      <c r="H4" s="104"/>
      <c r="I4" s="104"/>
      <c r="J4" s="105"/>
      <c r="K4" s="105"/>
      <c r="L4" s="106"/>
      <c r="M4" s="106"/>
      <c r="N4" s="104"/>
      <c r="O4" s="104"/>
      <c r="P4" s="104"/>
      <c r="Q4" s="107"/>
    </row>
    <row r="5" spans="1:18" ht="29.25" customHeight="1" x14ac:dyDescent="0.2">
      <c r="A5" s="633" t="s">
        <v>271</v>
      </c>
      <c r="B5" s="634" t="s">
        <v>272</v>
      </c>
      <c r="C5" s="629" t="s">
        <v>273</v>
      </c>
      <c r="D5" s="628" t="s">
        <v>274</v>
      </c>
      <c r="E5" s="628" t="s">
        <v>275</v>
      </c>
      <c r="F5" s="628" t="s">
        <v>276</v>
      </c>
      <c r="G5" s="628" t="s">
        <v>277</v>
      </c>
      <c r="H5" s="628"/>
      <c r="I5" s="628" t="s">
        <v>278</v>
      </c>
      <c r="J5" s="628"/>
      <c r="K5" s="628"/>
      <c r="L5" s="629" t="s">
        <v>279</v>
      </c>
      <c r="M5" s="629" t="s">
        <v>280</v>
      </c>
      <c r="N5" s="626" t="s">
        <v>220</v>
      </c>
      <c r="O5" s="626" t="s">
        <v>281</v>
      </c>
      <c r="P5" s="626" t="s">
        <v>282</v>
      </c>
    </row>
    <row r="6" spans="1:18" ht="62.25" customHeight="1" x14ac:dyDescent="0.2">
      <c r="A6" s="633"/>
      <c r="B6" s="634"/>
      <c r="C6" s="629"/>
      <c r="D6" s="628"/>
      <c r="E6" s="628"/>
      <c r="F6" s="628"/>
      <c r="G6" s="524" t="s">
        <v>283</v>
      </c>
      <c r="H6" s="524" t="s">
        <v>284</v>
      </c>
      <c r="I6" s="524" t="s">
        <v>285</v>
      </c>
      <c r="J6" s="524" t="s">
        <v>286</v>
      </c>
      <c r="K6" s="524" t="s">
        <v>287</v>
      </c>
      <c r="L6" s="629"/>
      <c r="M6" s="629"/>
      <c r="N6" s="627"/>
      <c r="O6" s="627"/>
      <c r="P6" s="627"/>
    </row>
    <row r="7" spans="1:18" x14ac:dyDescent="0.2">
      <c r="A7" s="108">
        <v>1</v>
      </c>
      <c r="B7" s="108">
        <v>2</v>
      </c>
      <c r="C7" s="109">
        <v>3</v>
      </c>
      <c r="D7" s="108">
        <v>4</v>
      </c>
      <c r="E7" s="108">
        <v>5</v>
      </c>
      <c r="F7" s="108">
        <v>6</v>
      </c>
      <c r="G7" s="108">
        <v>7</v>
      </c>
      <c r="H7" s="108">
        <v>8</v>
      </c>
      <c r="I7" s="108">
        <v>10</v>
      </c>
      <c r="J7" s="108">
        <v>11</v>
      </c>
      <c r="K7" s="108">
        <v>12</v>
      </c>
      <c r="L7" s="108">
        <v>13</v>
      </c>
      <c r="M7" s="108">
        <v>14</v>
      </c>
      <c r="N7" s="108">
        <v>15</v>
      </c>
      <c r="O7" s="108">
        <v>16</v>
      </c>
      <c r="P7" s="108">
        <v>17</v>
      </c>
    </row>
    <row r="8" spans="1:18" ht="15" x14ac:dyDescent="0.2">
      <c r="A8" s="110">
        <v>1</v>
      </c>
      <c r="B8" s="111" t="s">
        <v>817</v>
      </c>
      <c r="C8" s="112" t="s">
        <v>818</v>
      </c>
      <c r="D8" s="113" t="s">
        <v>652</v>
      </c>
      <c r="E8" s="113" t="s">
        <v>288</v>
      </c>
      <c r="F8" s="113" t="s">
        <v>2</v>
      </c>
      <c r="G8" s="113">
        <v>2000</v>
      </c>
      <c r="H8" s="113">
        <v>2015</v>
      </c>
      <c r="I8" s="113" t="s">
        <v>798</v>
      </c>
      <c r="J8" s="113" t="s">
        <v>819</v>
      </c>
      <c r="K8" s="113" t="s">
        <v>810</v>
      </c>
      <c r="L8" s="114" t="s">
        <v>652</v>
      </c>
      <c r="M8" s="114"/>
      <c r="N8" s="113" t="s">
        <v>772</v>
      </c>
      <c r="O8" s="113" t="s">
        <v>289</v>
      </c>
      <c r="P8" s="113"/>
      <c r="Q8" s="115" t="str">
        <f>IF(COUNTA(B8:P8)=0,"",IF(AND(COUNTA(B8:C8)=2,COUNTA(E8:K8)=7,COUNTA(N8:O8)=2,OR(AND(L8="x",M8=""),AND(L8="",M8="x"))),"x","er"))</f>
        <v>x</v>
      </c>
      <c r="R8" s="116" t="s">
        <v>290</v>
      </c>
    </row>
    <row r="9" spans="1:18" ht="15" x14ac:dyDescent="0.2">
      <c r="A9" s="110">
        <v>2</v>
      </c>
      <c r="B9" s="111" t="s">
        <v>832</v>
      </c>
      <c r="C9" s="112" t="s">
        <v>820</v>
      </c>
      <c r="D9" s="113" t="s">
        <v>652</v>
      </c>
      <c r="E9" s="113" t="s">
        <v>410</v>
      </c>
      <c r="F9" s="113" t="s">
        <v>2</v>
      </c>
      <c r="G9" s="113">
        <v>2000</v>
      </c>
      <c r="H9" s="113">
        <v>2015</v>
      </c>
      <c r="I9" s="113" t="s">
        <v>798</v>
      </c>
      <c r="J9" s="113" t="s">
        <v>819</v>
      </c>
      <c r="K9" s="113" t="s">
        <v>810</v>
      </c>
      <c r="L9" s="114" t="s">
        <v>652</v>
      </c>
      <c r="M9" s="114"/>
      <c r="N9" s="113" t="s">
        <v>772</v>
      </c>
      <c r="O9" s="113" t="s">
        <v>289</v>
      </c>
      <c r="P9" s="113"/>
      <c r="Q9" s="115" t="str">
        <f t="shared" ref="Q9:Q72" si="0">IF(COUNTA(B9:P9)=0,"",IF(AND(COUNTA(B9:C9)=2,COUNTA(E9:K9)=7,COUNTA(N9:O9)=2,OR(AND(L9="x",M9=""),AND(L9="",M9="x"))),"x","er"))</f>
        <v>x</v>
      </c>
    </row>
    <row r="10" spans="1:18" ht="15" x14ac:dyDescent="0.2">
      <c r="A10" s="110">
        <v>3</v>
      </c>
      <c r="B10" s="111" t="s">
        <v>773</v>
      </c>
      <c r="C10" s="112" t="s">
        <v>821</v>
      </c>
      <c r="D10" s="113" t="s">
        <v>652</v>
      </c>
      <c r="E10" s="113" t="s">
        <v>291</v>
      </c>
      <c r="F10" s="113" t="s">
        <v>824</v>
      </c>
      <c r="G10" s="113">
        <v>2000</v>
      </c>
      <c r="H10" s="113">
        <v>2015</v>
      </c>
      <c r="I10" s="113" t="s">
        <v>798</v>
      </c>
      <c r="J10" s="113" t="s">
        <v>819</v>
      </c>
      <c r="K10" s="113" t="s">
        <v>810</v>
      </c>
      <c r="L10" s="114" t="s">
        <v>652</v>
      </c>
      <c r="M10" s="114"/>
      <c r="N10" s="113" t="s">
        <v>752</v>
      </c>
      <c r="O10" s="113" t="s">
        <v>289</v>
      </c>
      <c r="P10" s="113"/>
      <c r="Q10" s="115" t="str">
        <f t="shared" si="0"/>
        <v>x</v>
      </c>
    </row>
    <row r="11" spans="1:18" ht="15" x14ac:dyDescent="0.2">
      <c r="A11" s="110">
        <v>4</v>
      </c>
      <c r="B11" s="111" t="s">
        <v>833</v>
      </c>
      <c r="C11" s="112" t="s">
        <v>822</v>
      </c>
      <c r="D11" s="113" t="s">
        <v>652</v>
      </c>
      <c r="E11" s="113" t="s">
        <v>291</v>
      </c>
      <c r="F11" s="113" t="s">
        <v>825</v>
      </c>
      <c r="G11" s="113">
        <v>2000</v>
      </c>
      <c r="H11" s="113">
        <v>2015</v>
      </c>
      <c r="I11" s="113" t="s">
        <v>831</v>
      </c>
      <c r="J11" s="113" t="s">
        <v>819</v>
      </c>
      <c r="K11" s="113" t="s">
        <v>810</v>
      </c>
      <c r="L11" s="114" t="s">
        <v>652</v>
      </c>
      <c r="M11" s="114"/>
      <c r="N11" s="113" t="s">
        <v>772</v>
      </c>
      <c r="O11" s="113" t="s">
        <v>289</v>
      </c>
      <c r="P11" s="113"/>
      <c r="Q11" s="115" t="str">
        <f t="shared" si="0"/>
        <v>x</v>
      </c>
    </row>
    <row r="12" spans="1:18" ht="15" x14ac:dyDescent="0.2">
      <c r="A12" s="110">
        <v>5</v>
      </c>
      <c r="B12" s="111" t="s">
        <v>834</v>
      </c>
      <c r="C12" s="112" t="s">
        <v>823</v>
      </c>
      <c r="D12" s="113" t="s">
        <v>652</v>
      </c>
      <c r="E12" s="113" t="s">
        <v>294</v>
      </c>
      <c r="F12" s="113" t="s">
        <v>827</v>
      </c>
      <c r="G12" s="113">
        <v>2000</v>
      </c>
      <c r="H12" s="113">
        <v>2015</v>
      </c>
      <c r="I12" s="113" t="s">
        <v>798</v>
      </c>
      <c r="J12" s="113" t="s">
        <v>819</v>
      </c>
      <c r="K12" s="113" t="s">
        <v>810</v>
      </c>
      <c r="L12" s="114" t="s">
        <v>652</v>
      </c>
      <c r="M12" s="114"/>
      <c r="N12" s="113" t="s">
        <v>772</v>
      </c>
      <c r="O12" s="113" t="s">
        <v>289</v>
      </c>
      <c r="P12" s="113"/>
      <c r="Q12" s="115" t="str">
        <f t="shared" si="0"/>
        <v>x</v>
      </c>
    </row>
    <row r="13" spans="1:18" ht="15" x14ac:dyDescent="0.2">
      <c r="A13" s="110">
        <v>6</v>
      </c>
      <c r="B13" s="111" t="s">
        <v>835</v>
      </c>
      <c r="C13" s="112" t="s">
        <v>826</v>
      </c>
      <c r="D13" s="113" t="s">
        <v>652</v>
      </c>
      <c r="E13" s="113" t="s">
        <v>294</v>
      </c>
      <c r="F13" s="113" t="s">
        <v>829</v>
      </c>
      <c r="G13" s="113">
        <v>2000</v>
      </c>
      <c r="H13" s="113">
        <v>2015</v>
      </c>
      <c r="I13" s="113" t="s">
        <v>798</v>
      </c>
      <c r="J13" s="113" t="s">
        <v>819</v>
      </c>
      <c r="K13" s="113" t="s">
        <v>810</v>
      </c>
      <c r="L13" s="114" t="s">
        <v>652</v>
      </c>
      <c r="M13" s="114"/>
      <c r="N13" s="113" t="s">
        <v>772</v>
      </c>
      <c r="O13" s="113" t="s">
        <v>289</v>
      </c>
      <c r="P13" s="113"/>
      <c r="Q13" s="115" t="str">
        <f t="shared" si="0"/>
        <v>x</v>
      </c>
    </row>
    <row r="14" spans="1:18" ht="15" x14ac:dyDescent="0.2">
      <c r="A14" s="110">
        <v>7</v>
      </c>
      <c r="B14" s="111" t="s">
        <v>836</v>
      </c>
      <c r="C14" s="112" t="s">
        <v>828</v>
      </c>
      <c r="D14" s="113" t="s">
        <v>652</v>
      </c>
      <c r="E14" s="113" t="s">
        <v>294</v>
      </c>
      <c r="F14" s="113" t="s">
        <v>830</v>
      </c>
      <c r="G14" s="113">
        <v>2000</v>
      </c>
      <c r="H14" s="113">
        <v>2015</v>
      </c>
      <c r="I14" s="113" t="s">
        <v>798</v>
      </c>
      <c r="J14" s="113" t="s">
        <v>819</v>
      </c>
      <c r="K14" s="113" t="s">
        <v>810</v>
      </c>
      <c r="L14" s="114" t="s">
        <v>652</v>
      </c>
      <c r="M14" s="114"/>
      <c r="N14" s="113" t="s">
        <v>772</v>
      </c>
      <c r="O14" s="113" t="s">
        <v>289</v>
      </c>
      <c r="P14" s="113"/>
      <c r="Q14" s="115" t="str">
        <f t="shared" si="0"/>
        <v>x</v>
      </c>
    </row>
    <row r="15" spans="1:18" ht="15" x14ac:dyDescent="0.2">
      <c r="A15" s="110">
        <v>8</v>
      </c>
      <c r="B15" s="111"/>
      <c r="C15" s="112"/>
      <c r="D15" s="113"/>
      <c r="E15" s="113"/>
      <c r="F15" s="113"/>
      <c r="G15" s="113"/>
      <c r="H15" s="113"/>
      <c r="I15" s="113"/>
      <c r="J15" s="113"/>
      <c r="K15" s="113"/>
      <c r="L15" s="114"/>
      <c r="M15" s="114"/>
      <c r="N15" s="113"/>
      <c r="O15" s="113"/>
      <c r="P15" s="113"/>
      <c r="Q15" s="115" t="str">
        <f t="shared" si="0"/>
        <v/>
      </c>
    </row>
    <row r="16" spans="1:18" ht="15" x14ac:dyDescent="0.2">
      <c r="A16" s="110">
        <v>9</v>
      </c>
      <c r="B16" s="111"/>
      <c r="C16" s="112"/>
      <c r="D16" s="113"/>
      <c r="E16" s="113"/>
      <c r="F16" s="113"/>
      <c r="G16" s="113"/>
      <c r="H16" s="113"/>
      <c r="I16" s="113"/>
      <c r="J16" s="113"/>
      <c r="K16" s="113"/>
      <c r="L16" s="114"/>
      <c r="M16" s="114"/>
      <c r="N16" s="113"/>
      <c r="O16" s="113"/>
      <c r="P16" s="113"/>
      <c r="Q16" s="115" t="str">
        <f t="shared" si="0"/>
        <v/>
      </c>
    </row>
    <row r="17" spans="1:17" ht="15" x14ac:dyDescent="0.2">
      <c r="A17" s="110">
        <v>10</v>
      </c>
      <c r="B17" s="111"/>
      <c r="C17" s="112"/>
      <c r="D17" s="113"/>
      <c r="E17" s="113"/>
      <c r="F17" s="113"/>
      <c r="G17" s="113"/>
      <c r="H17" s="113"/>
      <c r="I17" s="113"/>
      <c r="J17" s="113"/>
      <c r="K17" s="113"/>
      <c r="L17" s="114"/>
      <c r="M17" s="114"/>
      <c r="N17" s="113"/>
      <c r="O17" s="113"/>
      <c r="P17" s="113"/>
      <c r="Q17" s="115" t="str">
        <f t="shared" si="0"/>
        <v/>
      </c>
    </row>
    <row r="18" spans="1:17" ht="15" x14ac:dyDescent="0.2">
      <c r="A18" s="110">
        <v>11</v>
      </c>
      <c r="B18" s="111"/>
      <c r="C18" s="112"/>
      <c r="D18" s="113"/>
      <c r="E18" s="113"/>
      <c r="F18" s="113"/>
      <c r="G18" s="113"/>
      <c r="H18" s="113"/>
      <c r="I18" s="113"/>
      <c r="J18" s="113"/>
      <c r="K18" s="113"/>
      <c r="L18" s="114"/>
      <c r="M18" s="114"/>
      <c r="N18" s="113"/>
      <c r="O18" s="113"/>
      <c r="P18" s="113"/>
      <c r="Q18" s="115" t="str">
        <f t="shared" si="0"/>
        <v/>
      </c>
    </row>
    <row r="19" spans="1:17" ht="15" x14ac:dyDescent="0.2">
      <c r="A19" s="110">
        <v>12</v>
      </c>
      <c r="B19" s="111"/>
      <c r="C19" s="112"/>
      <c r="D19" s="113"/>
      <c r="E19" s="113"/>
      <c r="F19" s="113"/>
      <c r="G19" s="113"/>
      <c r="H19" s="113"/>
      <c r="I19" s="113"/>
      <c r="J19" s="113"/>
      <c r="K19" s="113"/>
      <c r="L19" s="114"/>
      <c r="M19" s="114"/>
      <c r="N19" s="113"/>
      <c r="O19" s="113"/>
      <c r="P19" s="113"/>
      <c r="Q19" s="115" t="str">
        <f t="shared" si="0"/>
        <v/>
      </c>
    </row>
    <row r="20" spans="1:17" ht="15" x14ac:dyDescent="0.2">
      <c r="A20" s="110">
        <v>13</v>
      </c>
      <c r="B20" s="111"/>
      <c r="C20" s="112"/>
      <c r="D20" s="113"/>
      <c r="E20" s="113"/>
      <c r="F20" s="113"/>
      <c r="G20" s="113"/>
      <c r="H20" s="113"/>
      <c r="I20" s="113"/>
      <c r="J20" s="113"/>
      <c r="K20" s="113"/>
      <c r="L20" s="114"/>
      <c r="M20" s="114"/>
      <c r="N20" s="113"/>
      <c r="O20" s="113"/>
      <c r="P20" s="113"/>
      <c r="Q20" s="115" t="str">
        <f t="shared" si="0"/>
        <v/>
      </c>
    </row>
    <row r="21" spans="1:17" ht="15" x14ac:dyDescent="0.2">
      <c r="A21" s="110">
        <v>14</v>
      </c>
      <c r="B21" s="111"/>
      <c r="C21" s="112"/>
      <c r="D21" s="113"/>
      <c r="E21" s="113"/>
      <c r="F21" s="113"/>
      <c r="G21" s="113"/>
      <c r="H21" s="113"/>
      <c r="I21" s="113"/>
      <c r="J21" s="113"/>
      <c r="K21" s="113"/>
      <c r="L21" s="114"/>
      <c r="M21" s="114"/>
      <c r="N21" s="113"/>
      <c r="O21" s="113"/>
      <c r="P21" s="113"/>
      <c r="Q21" s="115" t="str">
        <f t="shared" si="0"/>
        <v/>
      </c>
    </row>
    <row r="22" spans="1:17" ht="15" x14ac:dyDescent="0.2">
      <c r="A22" s="110">
        <v>15</v>
      </c>
      <c r="B22" s="111"/>
      <c r="C22" s="112"/>
      <c r="D22" s="113"/>
      <c r="E22" s="113"/>
      <c r="F22" s="113"/>
      <c r="G22" s="113"/>
      <c r="H22" s="113"/>
      <c r="I22" s="113"/>
      <c r="J22" s="113"/>
      <c r="K22" s="113"/>
      <c r="L22" s="114"/>
      <c r="M22" s="114"/>
      <c r="N22" s="113"/>
      <c r="O22" s="113"/>
      <c r="P22" s="113"/>
      <c r="Q22" s="115" t="str">
        <f t="shared" si="0"/>
        <v/>
      </c>
    </row>
    <row r="23" spans="1:17" ht="15" x14ac:dyDescent="0.2">
      <c r="A23" s="110">
        <v>16</v>
      </c>
      <c r="B23" s="111"/>
      <c r="C23" s="112"/>
      <c r="D23" s="113"/>
      <c r="E23" s="113"/>
      <c r="F23" s="113"/>
      <c r="G23" s="113"/>
      <c r="H23" s="113"/>
      <c r="I23" s="113"/>
      <c r="J23" s="113"/>
      <c r="K23" s="113"/>
      <c r="L23" s="114"/>
      <c r="M23" s="114"/>
      <c r="N23" s="113"/>
      <c r="O23" s="113"/>
      <c r="P23" s="113"/>
      <c r="Q23" s="115" t="str">
        <f t="shared" si="0"/>
        <v/>
      </c>
    </row>
    <row r="24" spans="1:17" ht="15" x14ac:dyDescent="0.2">
      <c r="A24" s="110">
        <v>17</v>
      </c>
      <c r="B24" s="111"/>
      <c r="C24" s="112"/>
      <c r="D24" s="113"/>
      <c r="E24" s="113"/>
      <c r="F24" s="113"/>
      <c r="G24" s="113"/>
      <c r="H24" s="113"/>
      <c r="I24" s="113"/>
      <c r="J24" s="113"/>
      <c r="K24" s="113"/>
      <c r="L24" s="114"/>
      <c r="M24" s="114"/>
      <c r="N24" s="113"/>
      <c r="O24" s="113"/>
      <c r="P24" s="113"/>
      <c r="Q24" s="115" t="str">
        <f t="shared" si="0"/>
        <v/>
      </c>
    </row>
    <row r="25" spans="1:17" ht="15" x14ac:dyDescent="0.2">
      <c r="A25" s="110">
        <v>18</v>
      </c>
      <c r="B25" s="111"/>
      <c r="C25" s="112"/>
      <c r="D25" s="113"/>
      <c r="E25" s="113"/>
      <c r="F25" s="113"/>
      <c r="G25" s="113"/>
      <c r="H25" s="113"/>
      <c r="I25" s="113"/>
      <c r="J25" s="113"/>
      <c r="K25" s="113"/>
      <c r="L25" s="114"/>
      <c r="M25" s="114"/>
      <c r="N25" s="113"/>
      <c r="O25" s="113"/>
      <c r="P25" s="113"/>
      <c r="Q25" s="115" t="str">
        <f t="shared" si="0"/>
        <v/>
      </c>
    </row>
    <row r="26" spans="1:17" ht="15" x14ac:dyDescent="0.2">
      <c r="A26" s="110">
        <v>19</v>
      </c>
      <c r="B26" s="111"/>
      <c r="C26" s="112"/>
      <c r="D26" s="113"/>
      <c r="E26" s="113"/>
      <c r="F26" s="113"/>
      <c r="G26" s="113"/>
      <c r="H26" s="113"/>
      <c r="I26" s="113"/>
      <c r="J26" s="113"/>
      <c r="K26" s="113"/>
      <c r="L26" s="114"/>
      <c r="M26" s="114"/>
      <c r="N26" s="113"/>
      <c r="O26" s="113"/>
      <c r="P26" s="113"/>
      <c r="Q26" s="115" t="str">
        <f t="shared" si="0"/>
        <v/>
      </c>
    </row>
    <row r="27" spans="1:17" ht="15" x14ac:dyDescent="0.2">
      <c r="A27" s="110">
        <v>20</v>
      </c>
      <c r="B27" s="111"/>
      <c r="C27" s="112"/>
      <c r="D27" s="113"/>
      <c r="E27" s="113"/>
      <c r="F27" s="113"/>
      <c r="G27" s="113"/>
      <c r="H27" s="113"/>
      <c r="I27" s="113"/>
      <c r="J27" s="113"/>
      <c r="K27" s="113"/>
      <c r="L27" s="114"/>
      <c r="M27" s="114"/>
      <c r="N27" s="113"/>
      <c r="O27" s="113"/>
      <c r="P27" s="113"/>
      <c r="Q27" s="115" t="str">
        <f t="shared" si="0"/>
        <v/>
      </c>
    </row>
    <row r="28" spans="1:17" ht="15" x14ac:dyDescent="0.2">
      <c r="A28" s="110">
        <v>21</v>
      </c>
      <c r="B28" s="111"/>
      <c r="C28" s="112"/>
      <c r="D28" s="113"/>
      <c r="E28" s="113"/>
      <c r="F28" s="113"/>
      <c r="G28" s="113"/>
      <c r="H28" s="113"/>
      <c r="I28" s="113"/>
      <c r="J28" s="113"/>
      <c r="K28" s="113"/>
      <c r="L28" s="114"/>
      <c r="M28" s="114"/>
      <c r="N28" s="113"/>
      <c r="O28" s="113"/>
      <c r="P28" s="113"/>
      <c r="Q28" s="115" t="str">
        <f t="shared" si="0"/>
        <v/>
      </c>
    </row>
    <row r="29" spans="1:17" ht="15" x14ac:dyDescent="0.2">
      <c r="A29" s="110">
        <v>22</v>
      </c>
      <c r="B29" s="111"/>
      <c r="C29" s="112"/>
      <c r="D29" s="113"/>
      <c r="E29" s="113"/>
      <c r="F29" s="113"/>
      <c r="G29" s="113"/>
      <c r="H29" s="113"/>
      <c r="I29" s="113"/>
      <c r="J29" s="113"/>
      <c r="K29" s="113"/>
      <c r="L29" s="114"/>
      <c r="M29" s="114"/>
      <c r="N29" s="113"/>
      <c r="O29" s="113"/>
      <c r="P29" s="113"/>
      <c r="Q29" s="115" t="str">
        <f t="shared" si="0"/>
        <v/>
      </c>
    </row>
    <row r="30" spans="1:17" ht="15" x14ac:dyDescent="0.2">
      <c r="A30" s="110">
        <v>23</v>
      </c>
      <c r="B30" s="111"/>
      <c r="C30" s="112"/>
      <c r="D30" s="113"/>
      <c r="E30" s="113"/>
      <c r="F30" s="113"/>
      <c r="G30" s="113"/>
      <c r="H30" s="113"/>
      <c r="I30" s="113"/>
      <c r="J30" s="113"/>
      <c r="K30" s="113"/>
      <c r="L30" s="114"/>
      <c r="M30" s="114"/>
      <c r="N30" s="113"/>
      <c r="O30" s="113"/>
      <c r="P30" s="113"/>
      <c r="Q30" s="115" t="str">
        <f t="shared" si="0"/>
        <v/>
      </c>
    </row>
    <row r="31" spans="1:17" ht="15" x14ac:dyDescent="0.2">
      <c r="A31" s="110">
        <v>24</v>
      </c>
      <c r="B31" s="111"/>
      <c r="C31" s="112"/>
      <c r="D31" s="113"/>
      <c r="E31" s="113"/>
      <c r="F31" s="113"/>
      <c r="G31" s="113"/>
      <c r="H31" s="113"/>
      <c r="I31" s="113"/>
      <c r="J31" s="113"/>
      <c r="K31" s="113"/>
      <c r="L31" s="114"/>
      <c r="M31" s="114"/>
      <c r="N31" s="113"/>
      <c r="O31" s="113"/>
      <c r="P31" s="113"/>
      <c r="Q31" s="115" t="str">
        <f t="shared" si="0"/>
        <v/>
      </c>
    </row>
    <row r="32" spans="1:17" ht="15" x14ac:dyDescent="0.2">
      <c r="A32" s="110">
        <v>25</v>
      </c>
      <c r="B32" s="111"/>
      <c r="C32" s="112"/>
      <c r="D32" s="113"/>
      <c r="E32" s="113"/>
      <c r="F32" s="113"/>
      <c r="G32" s="113"/>
      <c r="H32" s="113"/>
      <c r="I32" s="113"/>
      <c r="J32" s="113"/>
      <c r="K32" s="113"/>
      <c r="L32" s="114"/>
      <c r="M32" s="114"/>
      <c r="N32" s="113"/>
      <c r="O32" s="113"/>
      <c r="P32" s="113"/>
      <c r="Q32" s="115" t="str">
        <f t="shared" si="0"/>
        <v/>
      </c>
    </row>
    <row r="33" spans="1:17" ht="15" x14ac:dyDescent="0.2">
      <c r="A33" s="110">
        <v>26</v>
      </c>
      <c r="B33" s="111"/>
      <c r="C33" s="112"/>
      <c r="D33" s="113"/>
      <c r="E33" s="113"/>
      <c r="F33" s="113"/>
      <c r="G33" s="113"/>
      <c r="H33" s="113"/>
      <c r="I33" s="113"/>
      <c r="J33" s="113"/>
      <c r="K33" s="113"/>
      <c r="L33" s="114"/>
      <c r="M33" s="114"/>
      <c r="N33" s="113"/>
      <c r="O33" s="113"/>
      <c r="P33" s="113"/>
      <c r="Q33" s="115" t="str">
        <f t="shared" si="0"/>
        <v/>
      </c>
    </row>
    <row r="34" spans="1:17" ht="15" x14ac:dyDescent="0.2">
      <c r="A34" s="110">
        <v>27</v>
      </c>
      <c r="B34" s="111"/>
      <c r="C34" s="112"/>
      <c r="D34" s="113"/>
      <c r="E34" s="113"/>
      <c r="F34" s="113"/>
      <c r="G34" s="113"/>
      <c r="H34" s="113"/>
      <c r="I34" s="113"/>
      <c r="J34" s="113"/>
      <c r="K34" s="113"/>
      <c r="L34" s="114"/>
      <c r="M34" s="114"/>
      <c r="N34" s="113"/>
      <c r="O34" s="113"/>
      <c r="P34" s="113"/>
      <c r="Q34" s="115" t="str">
        <f t="shared" si="0"/>
        <v/>
      </c>
    </row>
    <row r="35" spans="1:17" ht="15" x14ac:dyDescent="0.2">
      <c r="A35" s="110">
        <v>28</v>
      </c>
      <c r="B35" s="111"/>
      <c r="C35" s="112"/>
      <c r="D35" s="113"/>
      <c r="E35" s="113"/>
      <c r="F35" s="113"/>
      <c r="G35" s="113"/>
      <c r="H35" s="113"/>
      <c r="I35" s="113"/>
      <c r="J35" s="113"/>
      <c r="K35" s="113"/>
      <c r="L35" s="114"/>
      <c r="M35" s="114"/>
      <c r="N35" s="113"/>
      <c r="O35" s="113"/>
      <c r="P35" s="113"/>
      <c r="Q35" s="115" t="str">
        <f t="shared" si="0"/>
        <v/>
      </c>
    </row>
    <row r="36" spans="1:17" ht="15" x14ac:dyDescent="0.2">
      <c r="A36" s="110">
        <v>29</v>
      </c>
      <c r="B36" s="111"/>
      <c r="C36" s="112"/>
      <c r="D36" s="113"/>
      <c r="E36" s="113"/>
      <c r="F36" s="113"/>
      <c r="G36" s="113"/>
      <c r="H36" s="113"/>
      <c r="I36" s="113"/>
      <c r="J36" s="113"/>
      <c r="K36" s="113"/>
      <c r="L36" s="114"/>
      <c r="M36" s="114"/>
      <c r="N36" s="113"/>
      <c r="O36" s="113"/>
      <c r="P36" s="113"/>
      <c r="Q36" s="115" t="str">
        <f t="shared" si="0"/>
        <v/>
      </c>
    </row>
    <row r="37" spans="1:17" ht="15" x14ac:dyDescent="0.2">
      <c r="A37" s="110">
        <v>30</v>
      </c>
      <c r="B37" s="111"/>
      <c r="C37" s="112"/>
      <c r="D37" s="113"/>
      <c r="E37" s="113"/>
      <c r="F37" s="113"/>
      <c r="G37" s="113"/>
      <c r="H37" s="113"/>
      <c r="I37" s="113"/>
      <c r="J37" s="113"/>
      <c r="K37" s="113"/>
      <c r="L37" s="114"/>
      <c r="M37" s="114"/>
      <c r="N37" s="113"/>
      <c r="O37" s="113"/>
      <c r="P37" s="113"/>
      <c r="Q37" s="115" t="str">
        <f t="shared" si="0"/>
        <v/>
      </c>
    </row>
    <row r="38" spans="1:17" ht="15" x14ac:dyDescent="0.2">
      <c r="A38" s="110">
        <v>31</v>
      </c>
      <c r="B38" s="111"/>
      <c r="C38" s="112"/>
      <c r="D38" s="113"/>
      <c r="E38" s="113"/>
      <c r="F38" s="113"/>
      <c r="G38" s="113"/>
      <c r="H38" s="113"/>
      <c r="I38" s="113"/>
      <c r="J38" s="113"/>
      <c r="K38" s="113"/>
      <c r="L38" s="114"/>
      <c r="M38" s="114"/>
      <c r="N38" s="113"/>
      <c r="O38" s="113"/>
      <c r="P38" s="113"/>
      <c r="Q38" s="115" t="str">
        <f t="shared" si="0"/>
        <v/>
      </c>
    </row>
    <row r="39" spans="1:17" ht="15" x14ac:dyDescent="0.2">
      <c r="A39" s="110">
        <v>32</v>
      </c>
      <c r="B39" s="111"/>
      <c r="C39" s="112"/>
      <c r="D39" s="113"/>
      <c r="E39" s="113"/>
      <c r="F39" s="113"/>
      <c r="G39" s="113"/>
      <c r="H39" s="113"/>
      <c r="I39" s="113"/>
      <c r="J39" s="113"/>
      <c r="K39" s="113"/>
      <c r="L39" s="114"/>
      <c r="M39" s="114"/>
      <c r="N39" s="113"/>
      <c r="O39" s="113"/>
      <c r="P39" s="113"/>
      <c r="Q39" s="115" t="str">
        <f t="shared" si="0"/>
        <v/>
      </c>
    </row>
    <row r="40" spans="1:17" ht="15" x14ac:dyDescent="0.2">
      <c r="A40" s="110">
        <v>33</v>
      </c>
      <c r="B40" s="111"/>
      <c r="C40" s="112"/>
      <c r="D40" s="113"/>
      <c r="E40" s="113"/>
      <c r="F40" s="113"/>
      <c r="G40" s="113"/>
      <c r="H40" s="113"/>
      <c r="I40" s="113"/>
      <c r="J40" s="113"/>
      <c r="K40" s="113"/>
      <c r="L40" s="114"/>
      <c r="M40" s="114"/>
      <c r="N40" s="113"/>
      <c r="O40" s="113"/>
      <c r="P40" s="113"/>
      <c r="Q40" s="115" t="str">
        <f t="shared" si="0"/>
        <v/>
      </c>
    </row>
    <row r="41" spans="1:17" ht="15" x14ac:dyDescent="0.2">
      <c r="A41" s="110">
        <v>34</v>
      </c>
      <c r="B41" s="111"/>
      <c r="C41" s="112"/>
      <c r="D41" s="113"/>
      <c r="E41" s="113"/>
      <c r="F41" s="113"/>
      <c r="G41" s="113"/>
      <c r="H41" s="113"/>
      <c r="I41" s="113"/>
      <c r="J41" s="113"/>
      <c r="K41" s="113"/>
      <c r="L41" s="114"/>
      <c r="M41" s="114"/>
      <c r="N41" s="113"/>
      <c r="O41" s="113"/>
      <c r="P41" s="113"/>
      <c r="Q41" s="115" t="str">
        <f t="shared" si="0"/>
        <v/>
      </c>
    </row>
    <row r="42" spans="1:17" ht="15" x14ac:dyDescent="0.2">
      <c r="A42" s="110">
        <v>35</v>
      </c>
      <c r="B42" s="111"/>
      <c r="C42" s="112"/>
      <c r="D42" s="113"/>
      <c r="E42" s="113"/>
      <c r="F42" s="113"/>
      <c r="G42" s="113"/>
      <c r="H42" s="113"/>
      <c r="I42" s="113"/>
      <c r="J42" s="113"/>
      <c r="K42" s="113"/>
      <c r="L42" s="114"/>
      <c r="M42" s="114"/>
      <c r="N42" s="113"/>
      <c r="O42" s="113"/>
      <c r="P42" s="113"/>
      <c r="Q42" s="115" t="str">
        <f t="shared" si="0"/>
        <v/>
      </c>
    </row>
    <row r="43" spans="1:17" ht="15" x14ac:dyDescent="0.2">
      <c r="A43" s="110">
        <v>36</v>
      </c>
      <c r="B43" s="111"/>
      <c r="C43" s="112"/>
      <c r="D43" s="113"/>
      <c r="E43" s="113"/>
      <c r="F43" s="113"/>
      <c r="G43" s="113"/>
      <c r="H43" s="113"/>
      <c r="I43" s="113"/>
      <c r="J43" s="113"/>
      <c r="K43" s="113"/>
      <c r="L43" s="114"/>
      <c r="M43" s="114"/>
      <c r="N43" s="113"/>
      <c r="O43" s="113"/>
      <c r="P43" s="113"/>
      <c r="Q43" s="115" t="str">
        <f t="shared" si="0"/>
        <v/>
      </c>
    </row>
    <row r="44" spans="1:17" ht="15" x14ac:dyDescent="0.2">
      <c r="A44" s="110">
        <v>37</v>
      </c>
      <c r="B44" s="111"/>
      <c r="C44" s="112"/>
      <c r="D44" s="113"/>
      <c r="E44" s="113"/>
      <c r="F44" s="113"/>
      <c r="G44" s="113"/>
      <c r="H44" s="113"/>
      <c r="I44" s="113"/>
      <c r="J44" s="113"/>
      <c r="K44" s="113"/>
      <c r="L44" s="114"/>
      <c r="M44" s="114"/>
      <c r="N44" s="113"/>
      <c r="O44" s="113"/>
      <c r="P44" s="113"/>
      <c r="Q44" s="115" t="str">
        <f t="shared" si="0"/>
        <v/>
      </c>
    </row>
    <row r="45" spans="1:17" ht="15" x14ac:dyDescent="0.2">
      <c r="A45" s="110">
        <v>38</v>
      </c>
      <c r="B45" s="111"/>
      <c r="C45" s="112"/>
      <c r="D45" s="113"/>
      <c r="E45" s="113"/>
      <c r="F45" s="113"/>
      <c r="G45" s="113"/>
      <c r="H45" s="113"/>
      <c r="I45" s="113"/>
      <c r="J45" s="113"/>
      <c r="K45" s="113"/>
      <c r="L45" s="114"/>
      <c r="M45" s="114"/>
      <c r="N45" s="113"/>
      <c r="O45" s="113"/>
      <c r="P45" s="113"/>
      <c r="Q45" s="115" t="str">
        <f t="shared" si="0"/>
        <v/>
      </c>
    </row>
    <row r="46" spans="1:17" ht="15" x14ac:dyDescent="0.2">
      <c r="A46" s="110">
        <v>39</v>
      </c>
      <c r="B46" s="111"/>
      <c r="C46" s="112"/>
      <c r="D46" s="113"/>
      <c r="E46" s="113"/>
      <c r="F46" s="113"/>
      <c r="G46" s="113"/>
      <c r="H46" s="113"/>
      <c r="I46" s="113"/>
      <c r="J46" s="113"/>
      <c r="K46" s="113"/>
      <c r="L46" s="114"/>
      <c r="M46" s="114"/>
      <c r="N46" s="113"/>
      <c r="O46" s="113"/>
      <c r="P46" s="113"/>
      <c r="Q46" s="115" t="str">
        <f t="shared" si="0"/>
        <v/>
      </c>
    </row>
    <row r="47" spans="1:17" ht="15" x14ac:dyDescent="0.2">
      <c r="A47" s="110">
        <v>40</v>
      </c>
      <c r="B47" s="111"/>
      <c r="C47" s="112"/>
      <c r="D47" s="113"/>
      <c r="E47" s="113"/>
      <c r="F47" s="113"/>
      <c r="G47" s="113"/>
      <c r="H47" s="113"/>
      <c r="I47" s="113"/>
      <c r="J47" s="113"/>
      <c r="K47" s="113"/>
      <c r="L47" s="114"/>
      <c r="M47" s="114"/>
      <c r="N47" s="113"/>
      <c r="O47" s="113"/>
      <c r="P47" s="113"/>
      <c r="Q47" s="115" t="str">
        <f t="shared" si="0"/>
        <v/>
      </c>
    </row>
    <row r="48" spans="1:17" ht="15" x14ac:dyDescent="0.2">
      <c r="A48" s="110">
        <v>41</v>
      </c>
      <c r="B48" s="111"/>
      <c r="C48" s="112"/>
      <c r="D48" s="113"/>
      <c r="E48" s="113"/>
      <c r="F48" s="113"/>
      <c r="G48" s="113"/>
      <c r="H48" s="113"/>
      <c r="I48" s="113"/>
      <c r="J48" s="113"/>
      <c r="K48" s="113"/>
      <c r="L48" s="114"/>
      <c r="M48" s="114"/>
      <c r="N48" s="113"/>
      <c r="O48" s="113"/>
      <c r="P48" s="113"/>
      <c r="Q48" s="115" t="str">
        <f t="shared" si="0"/>
        <v/>
      </c>
    </row>
    <row r="49" spans="1:17" ht="15" x14ac:dyDescent="0.2">
      <c r="A49" s="110">
        <v>42</v>
      </c>
      <c r="B49" s="111"/>
      <c r="C49" s="112"/>
      <c r="D49" s="113"/>
      <c r="E49" s="113"/>
      <c r="F49" s="113"/>
      <c r="G49" s="113"/>
      <c r="H49" s="113"/>
      <c r="I49" s="113"/>
      <c r="J49" s="113"/>
      <c r="K49" s="113"/>
      <c r="L49" s="114"/>
      <c r="M49" s="114"/>
      <c r="N49" s="113"/>
      <c r="O49" s="113"/>
      <c r="P49" s="113"/>
      <c r="Q49" s="115" t="str">
        <f t="shared" si="0"/>
        <v/>
      </c>
    </row>
    <row r="50" spans="1:17" ht="14.25" customHeight="1" x14ac:dyDescent="0.2">
      <c r="A50" s="110">
        <v>43</v>
      </c>
      <c r="B50" s="111"/>
      <c r="C50" s="112"/>
      <c r="D50" s="113"/>
      <c r="E50" s="113"/>
      <c r="F50" s="113"/>
      <c r="G50" s="113"/>
      <c r="H50" s="113"/>
      <c r="I50" s="113"/>
      <c r="J50" s="113"/>
      <c r="K50" s="113"/>
      <c r="L50" s="114"/>
      <c r="M50" s="114"/>
      <c r="N50" s="113"/>
      <c r="O50" s="113"/>
      <c r="P50" s="113"/>
      <c r="Q50" s="115" t="str">
        <f t="shared" si="0"/>
        <v/>
      </c>
    </row>
    <row r="51" spans="1:17" ht="15" x14ac:dyDescent="0.2">
      <c r="A51" s="110">
        <v>44</v>
      </c>
      <c r="B51" s="111"/>
      <c r="C51" s="112"/>
      <c r="D51" s="113"/>
      <c r="E51" s="113"/>
      <c r="F51" s="113"/>
      <c r="G51" s="113"/>
      <c r="H51" s="113"/>
      <c r="I51" s="113"/>
      <c r="J51" s="113"/>
      <c r="K51" s="113"/>
      <c r="L51" s="114"/>
      <c r="M51" s="114"/>
      <c r="N51" s="113"/>
      <c r="O51" s="113"/>
      <c r="P51" s="113"/>
      <c r="Q51" s="115" t="str">
        <f t="shared" si="0"/>
        <v/>
      </c>
    </row>
    <row r="52" spans="1:17" ht="15" x14ac:dyDescent="0.2">
      <c r="A52" s="110">
        <v>45</v>
      </c>
      <c r="B52" s="111"/>
      <c r="C52" s="112"/>
      <c r="D52" s="113"/>
      <c r="E52" s="113"/>
      <c r="F52" s="113"/>
      <c r="G52" s="113"/>
      <c r="H52" s="113"/>
      <c r="I52" s="113"/>
      <c r="J52" s="113"/>
      <c r="K52" s="113"/>
      <c r="L52" s="114"/>
      <c r="M52" s="114"/>
      <c r="N52" s="113"/>
      <c r="O52" s="113"/>
      <c r="P52" s="113"/>
      <c r="Q52" s="115" t="str">
        <f t="shared" si="0"/>
        <v/>
      </c>
    </row>
    <row r="53" spans="1:17" ht="15" x14ac:dyDescent="0.2">
      <c r="A53" s="110">
        <v>46</v>
      </c>
      <c r="B53" s="111"/>
      <c r="C53" s="112"/>
      <c r="D53" s="113"/>
      <c r="E53" s="113"/>
      <c r="F53" s="113"/>
      <c r="G53" s="113"/>
      <c r="H53" s="113"/>
      <c r="I53" s="113"/>
      <c r="J53" s="113"/>
      <c r="K53" s="113"/>
      <c r="L53" s="114"/>
      <c r="M53" s="114"/>
      <c r="N53" s="113"/>
      <c r="O53" s="113"/>
      <c r="P53" s="113"/>
      <c r="Q53" s="115" t="str">
        <f t="shared" si="0"/>
        <v/>
      </c>
    </row>
    <row r="54" spans="1:17" ht="15" x14ac:dyDescent="0.2">
      <c r="A54" s="110">
        <v>47</v>
      </c>
      <c r="B54" s="111"/>
      <c r="C54" s="112"/>
      <c r="D54" s="113"/>
      <c r="E54" s="113"/>
      <c r="F54" s="113"/>
      <c r="G54" s="113"/>
      <c r="H54" s="113"/>
      <c r="I54" s="113"/>
      <c r="J54" s="113"/>
      <c r="K54" s="113"/>
      <c r="L54" s="114"/>
      <c r="M54" s="114"/>
      <c r="N54" s="113"/>
      <c r="O54" s="113"/>
      <c r="P54" s="113"/>
      <c r="Q54" s="115" t="str">
        <f t="shared" si="0"/>
        <v/>
      </c>
    </row>
    <row r="55" spans="1:17" ht="15" x14ac:dyDescent="0.2">
      <c r="A55" s="110">
        <v>48</v>
      </c>
      <c r="B55" s="111"/>
      <c r="C55" s="112"/>
      <c r="D55" s="113"/>
      <c r="E55" s="113"/>
      <c r="F55" s="113"/>
      <c r="G55" s="113"/>
      <c r="H55" s="113"/>
      <c r="I55" s="113"/>
      <c r="J55" s="113"/>
      <c r="K55" s="113"/>
      <c r="L55" s="114"/>
      <c r="M55" s="114"/>
      <c r="N55" s="113"/>
      <c r="O55" s="113"/>
      <c r="P55" s="113"/>
      <c r="Q55" s="115" t="str">
        <f t="shared" si="0"/>
        <v/>
      </c>
    </row>
    <row r="56" spans="1:17" ht="15" x14ac:dyDescent="0.2">
      <c r="A56" s="110">
        <v>49</v>
      </c>
      <c r="B56" s="111"/>
      <c r="C56" s="112"/>
      <c r="D56" s="113"/>
      <c r="E56" s="113"/>
      <c r="F56" s="113"/>
      <c r="G56" s="113"/>
      <c r="H56" s="113"/>
      <c r="I56" s="113"/>
      <c r="J56" s="113"/>
      <c r="K56" s="113"/>
      <c r="L56" s="114"/>
      <c r="M56" s="114"/>
      <c r="N56" s="113"/>
      <c r="O56" s="113"/>
      <c r="P56" s="113"/>
      <c r="Q56" s="115" t="str">
        <f t="shared" si="0"/>
        <v/>
      </c>
    </row>
    <row r="57" spans="1:17" ht="15" x14ac:dyDescent="0.2">
      <c r="A57" s="110">
        <v>50</v>
      </c>
      <c r="B57" s="111"/>
      <c r="C57" s="112"/>
      <c r="D57" s="113"/>
      <c r="E57" s="113"/>
      <c r="F57" s="113"/>
      <c r="G57" s="113"/>
      <c r="H57" s="113"/>
      <c r="I57" s="113"/>
      <c r="J57" s="113"/>
      <c r="K57" s="113"/>
      <c r="L57" s="114"/>
      <c r="M57" s="114"/>
      <c r="N57" s="113"/>
      <c r="O57" s="113"/>
      <c r="P57" s="113"/>
      <c r="Q57" s="115" t="str">
        <f t="shared" si="0"/>
        <v/>
      </c>
    </row>
    <row r="58" spans="1:17" ht="15" x14ac:dyDescent="0.2">
      <c r="A58" s="110">
        <v>51</v>
      </c>
      <c r="B58" s="111"/>
      <c r="C58" s="112"/>
      <c r="D58" s="113"/>
      <c r="E58" s="113"/>
      <c r="F58" s="113"/>
      <c r="G58" s="113"/>
      <c r="H58" s="113"/>
      <c r="I58" s="113"/>
      <c r="J58" s="113"/>
      <c r="K58" s="113"/>
      <c r="L58" s="114"/>
      <c r="M58" s="114"/>
      <c r="N58" s="113"/>
      <c r="O58" s="113"/>
      <c r="P58" s="113"/>
      <c r="Q58" s="115" t="str">
        <f t="shared" si="0"/>
        <v/>
      </c>
    </row>
    <row r="59" spans="1:17" ht="14.25" customHeight="1" x14ac:dyDescent="0.2">
      <c r="A59" s="110">
        <v>52</v>
      </c>
      <c r="B59" s="111"/>
      <c r="C59" s="112"/>
      <c r="D59" s="113"/>
      <c r="E59" s="113"/>
      <c r="F59" s="113"/>
      <c r="G59" s="113"/>
      <c r="H59" s="113"/>
      <c r="I59" s="113"/>
      <c r="J59" s="113"/>
      <c r="K59" s="113"/>
      <c r="L59" s="114"/>
      <c r="M59" s="114"/>
      <c r="N59" s="113"/>
      <c r="O59" s="113"/>
      <c r="P59" s="113"/>
      <c r="Q59" s="115" t="str">
        <f t="shared" si="0"/>
        <v/>
      </c>
    </row>
    <row r="60" spans="1:17" ht="15" x14ac:dyDescent="0.2">
      <c r="A60" s="110">
        <v>53</v>
      </c>
      <c r="B60" s="111"/>
      <c r="C60" s="112"/>
      <c r="D60" s="113"/>
      <c r="E60" s="113"/>
      <c r="F60" s="113"/>
      <c r="G60" s="113"/>
      <c r="H60" s="113"/>
      <c r="I60" s="113"/>
      <c r="J60" s="113"/>
      <c r="K60" s="113"/>
      <c r="L60" s="114"/>
      <c r="M60" s="114"/>
      <c r="N60" s="113"/>
      <c r="O60" s="113"/>
      <c r="P60" s="113"/>
      <c r="Q60" s="115" t="str">
        <f t="shared" si="0"/>
        <v/>
      </c>
    </row>
    <row r="61" spans="1:17" ht="15" x14ac:dyDescent="0.2">
      <c r="A61" s="110">
        <v>54</v>
      </c>
      <c r="B61" s="111"/>
      <c r="C61" s="112"/>
      <c r="D61" s="113"/>
      <c r="E61" s="113"/>
      <c r="F61" s="113"/>
      <c r="G61" s="113"/>
      <c r="H61" s="113"/>
      <c r="I61" s="113"/>
      <c r="J61" s="113"/>
      <c r="K61" s="113"/>
      <c r="L61" s="114"/>
      <c r="M61" s="114"/>
      <c r="N61" s="113"/>
      <c r="O61" s="113"/>
      <c r="P61" s="113"/>
      <c r="Q61" s="115" t="str">
        <f t="shared" si="0"/>
        <v/>
      </c>
    </row>
    <row r="62" spans="1:17" ht="15" x14ac:dyDescent="0.2">
      <c r="A62" s="110">
        <v>55</v>
      </c>
      <c r="B62" s="111"/>
      <c r="C62" s="112"/>
      <c r="D62" s="113"/>
      <c r="E62" s="113"/>
      <c r="F62" s="113"/>
      <c r="G62" s="113"/>
      <c r="H62" s="113"/>
      <c r="I62" s="113"/>
      <c r="J62" s="113"/>
      <c r="K62" s="113"/>
      <c r="L62" s="114"/>
      <c r="M62" s="114"/>
      <c r="N62" s="113"/>
      <c r="O62" s="113"/>
      <c r="P62" s="113"/>
      <c r="Q62" s="115" t="str">
        <f t="shared" si="0"/>
        <v/>
      </c>
    </row>
    <row r="63" spans="1:17" ht="15" x14ac:dyDescent="0.2">
      <c r="A63" s="110">
        <v>56</v>
      </c>
      <c r="B63" s="111"/>
      <c r="C63" s="112"/>
      <c r="D63" s="113"/>
      <c r="E63" s="113"/>
      <c r="F63" s="113"/>
      <c r="G63" s="113"/>
      <c r="H63" s="113"/>
      <c r="I63" s="113"/>
      <c r="J63" s="113"/>
      <c r="K63" s="113"/>
      <c r="L63" s="114"/>
      <c r="M63" s="114"/>
      <c r="N63" s="113"/>
      <c r="O63" s="113"/>
      <c r="P63" s="113"/>
      <c r="Q63" s="115" t="str">
        <f t="shared" si="0"/>
        <v/>
      </c>
    </row>
    <row r="64" spans="1:17" ht="15" x14ac:dyDescent="0.2">
      <c r="A64" s="110">
        <v>57</v>
      </c>
      <c r="B64" s="111"/>
      <c r="C64" s="112"/>
      <c r="D64" s="113"/>
      <c r="E64" s="113"/>
      <c r="F64" s="113"/>
      <c r="G64" s="113"/>
      <c r="H64" s="113"/>
      <c r="I64" s="113"/>
      <c r="J64" s="113"/>
      <c r="K64" s="113"/>
      <c r="L64" s="114"/>
      <c r="M64" s="114"/>
      <c r="N64" s="113"/>
      <c r="O64" s="113"/>
      <c r="P64" s="113"/>
      <c r="Q64" s="115" t="str">
        <f t="shared" si="0"/>
        <v/>
      </c>
    </row>
    <row r="65" spans="1:17" ht="15" x14ac:dyDescent="0.2">
      <c r="A65" s="110">
        <v>58</v>
      </c>
      <c r="B65" s="111"/>
      <c r="C65" s="112"/>
      <c r="D65" s="113"/>
      <c r="E65" s="113"/>
      <c r="F65" s="113"/>
      <c r="G65" s="113"/>
      <c r="H65" s="113"/>
      <c r="I65" s="113"/>
      <c r="J65" s="113"/>
      <c r="K65" s="113"/>
      <c r="L65" s="114"/>
      <c r="M65" s="114"/>
      <c r="N65" s="113"/>
      <c r="O65" s="113"/>
      <c r="P65" s="113"/>
      <c r="Q65" s="115" t="str">
        <f t="shared" si="0"/>
        <v/>
      </c>
    </row>
    <row r="66" spans="1:17" ht="15" x14ac:dyDescent="0.2">
      <c r="A66" s="110">
        <v>59</v>
      </c>
      <c r="B66" s="111"/>
      <c r="C66" s="112"/>
      <c r="D66" s="113"/>
      <c r="E66" s="113"/>
      <c r="F66" s="113"/>
      <c r="G66" s="113"/>
      <c r="H66" s="113"/>
      <c r="I66" s="113"/>
      <c r="J66" s="113"/>
      <c r="K66" s="113"/>
      <c r="L66" s="114"/>
      <c r="M66" s="114"/>
      <c r="N66" s="113"/>
      <c r="O66" s="113"/>
      <c r="P66" s="113"/>
      <c r="Q66" s="115" t="str">
        <f t="shared" si="0"/>
        <v/>
      </c>
    </row>
    <row r="67" spans="1:17" ht="15" x14ac:dyDescent="0.2">
      <c r="A67" s="110">
        <v>60</v>
      </c>
      <c r="B67" s="111"/>
      <c r="C67" s="112"/>
      <c r="D67" s="113"/>
      <c r="E67" s="113"/>
      <c r="F67" s="113"/>
      <c r="G67" s="113"/>
      <c r="H67" s="113"/>
      <c r="I67" s="113"/>
      <c r="J67" s="113"/>
      <c r="K67" s="113"/>
      <c r="L67" s="114"/>
      <c r="M67" s="114"/>
      <c r="N67" s="113"/>
      <c r="O67" s="113"/>
      <c r="P67" s="113"/>
      <c r="Q67" s="115" t="str">
        <f t="shared" si="0"/>
        <v/>
      </c>
    </row>
    <row r="68" spans="1:17" ht="15" x14ac:dyDescent="0.2">
      <c r="A68" s="110">
        <v>61</v>
      </c>
      <c r="B68" s="111"/>
      <c r="C68" s="112"/>
      <c r="D68" s="113"/>
      <c r="E68" s="113"/>
      <c r="F68" s="113"/>
      <c r="G68" s="113"/>
      <c r="H68" s="113"/>
      <c r="I68" s="113"/>
      <c r="J68" s="113"/>
      <c r="K68" s="113"/>
      <c r="L68" s="114"/>
      <c r="M68" s="114"/>
      <c r="N68" s="113"/>
      <c r="O68" s="113"/>
      <c r="P68" s="113"/>
      <c r="Q68" s="115" t="str">
        <f t="shared" si="0"/>
        <v/>
      </c>
    </row>
    <row r="69" spans="1:17" ht="15" x14ac:dyDescent="0.2">
      <c r="A69" s="110">
        <v>62</v>
      </c>
      <c r="B69" s="111"/>
      <c r="C69" s="112"/>
      <c r="D69" s="113"/>
      <c r="E69" s="113"/>
      <c r="F69" s="113"/>
      <c r="G69" s="113"/>
      <c r="H69" s="113"/>
      <c r="I69" s="113"/>
      <c r="J69" s="113"/>
      <c r="K69" s="113"/>
      <c r="L69" s="114"/>
      <c r="M69" s="114"/>
      <c r="N69" s="113"/>
      <c r="O69" s="113"/>
      <c r="P69" s="113"/>
      <c r="Q69" s="115" t="str">
        <f t="shared" si="0"/>
        <v/>
      </c>
    </row>
    <row r="70" spans="1:17" ht="15" x14ac:dyDescent="0.2">
      <c r="A70" s="110">
        <v>63</v>
      </c>
      <c r="B70" s="111"/>
      <c r="C70" s="112"/>
      <c r="D70" s="113"/>
      <c r="E70" s="113"/>
      <c r="F70" s="113"/>
      <c r="G70" s="113"/>
      <c r="H70" s="113"/>
      <c r="I70" s="113"/>
      <c r="J70" s="113"/>
      <c r="K70" s="113"/>
      <c r="L70" s="114"/>
      <c r="M70" s="114"/>
      <c r="N70" s="113"/>
      <c r="O70" s="113"/>
      <c r="P70" s="113"/>
      <c r="Q70" s="115" t="str">
        <f t="shared" si="0"/>
        <v/>
      </c>
    </row>
    <row r="71" spans="1:17" ht="15" x14ac:dyDescent="0.2">
      <c r="A71" s="110">
        <v>64</v>
      </c>
      <c r="B71" s="111"/>
      <c r="C71" s="112"/>
      <c r="D71" s="113"/>
      <c r="E71" s="113"/>
      <c r="F71" s="113"/>
      <c r="G71" s="113"/>
      <c r="H71" s="113"/>
      <c r="I71" s="113"/>
      <c r="J71" s="113"/>
      <c r="K71" s="113"/>
      <c r="L71" s="114"/>
      <c r="M71" s="114"/>
      <c r="N71" s="113"/>
      <c r="O71" s="113"/>
      <c r="P71" s="113"/>
      <c r="Q71" s="115" t="str">
        <f t="shared" si="0"/>
        <v/>
      </c>
    </row>
    <row r="72" spans="1:17" ht="15" x14ac:dyDescent="0.2">
      <c r="A72" s="110">
        <v>65</v>
      </c>
      <c r="B72" s="111"/>
      <c r="C72" s="112"/>
      <c r="D72" s="113"/>
      <c r="E72" s="113"/>
      <c r="F72" s="113"/>
      <c r="G72" s="113"/>
      <c r="H72" s="113"/>
      <c r="I72" s="113"/>
      <c r="J72" s="113"/>
      <c r="K72" s="113"/>
      <c r="L72" s="114"/>
      <c r="M72" s="114"/>
      <c r="N72" s="113"/>
      <c r="O72" s="113"/>
      <c r="P72" s="113"/>
      <c r="Q72" s="115" t="str">
        <f t="shared" si="0"/>
        <v/>
      </c>
    </row>
    <row r="73" spans="1:17" ht="15" x14ac:dyDescent="0.2">
      <c r="A73" s="110">
        <v>66</v>
      </c>
      <c r="B73" s="111"/>
      <c r="C73" s="112"/>
      <c r="D73" s="113"/>
      <c r="E73" s="113"/>
      <c r="F73" s="113"/>
      <c r="G73" s="113"/>
      <c r="H73" s="113"/>
      <c r="I73" s="113"/>
      <c r="J73" s="113"/>
      <c r="K73" s="113"/>
      <c r="L73" s="114"/>
      <c r="M73" s="114"/>
      <c r="N73" s="113"/>
      <c r="O73" s="113"/>
      <c r="P73" s="113"/>
      <c r="Q73" s="115" t="str">
        <f t="shared" ref="Q73:Q107" si="1">IF(COUNTA(B73:P73)=0,"",IF(AND(COUNTA(B73:C73)=2,COUNTA(E73:K73)=7,COUNTA(N73:O73)=2,OR(AND(L73="x",M73=""),AND(L73="",M73="x"))),"x","er"))</f>
        <v/>
      </c>
    </row>
    <row r="74" spans="1:17" ht="15" x14ac:dyDescent="0.2">
      <c r="A74" s="110">
        <v>67</v>
      </c>
      <c r="B74" s="111"/>
      <c r="C74" s="112"/>
      <c r="D74" s="113"/>
      <c r="E74" s="113"/>
      <c r="F74" s="113"/>
      <c r="G74" s="113"/>
      <c r="H74" s="113"/>
      <c r="I74" s="113"/>
      <c r="J74" s="113"/>
      <c r="K74" s="113"/>
      <c r="L74" s="114"/>
      <c r="M74" s="114"/>
      <c r="N74" s="113"/>
      <c r="O74" s="113"/>
      <c r="P74" s="113"/>
      <c r="Q74" s="115" t="str">
        <f t="shared" si="1"/>
        <v/>
      </c>
    </row>
    <row r="75" spans="1:17" ht="15" x14ac:dyDescent="0.2">
      <c r="A75" s="110">
        <v>68</v>
      </c>
      <c r="B75" s="111"/>
      <c r="C75" s="112"/>
      <c r="D75" s="113"/>
      <c r="E75" s="113"/>
      <c r="F75" s="113"/>
      <c r="G75" s="113"/>
      <c r="H75" s="113"/>
      <c r="I75" s="113"/>
      <c r="J75" s="113"/>
      <c r="K75" s="113"/>
      <c r="L75" s="114"/>
      <c r="M75" s="114"/>
      <c r="N75" s="113"/>
      <c r="O75" s="113"/>
      <c r="P75" s="113"/>
      <c r="Q75" s="115" t="str">
        <f t="shared" si="1"/>
        <v/>
      </c>
    </row>
    <row r="76" spans="1:17" ht="15" x14ac:dyDescent="0.2">
      <c r="A76" s="110">
        <v>69</v>
      </c>
      <c r="B76" s="111"/>
      <c r="C76" s="112"/>
      <c r="D76" s="113"/>
      <c r="E76" s="113"/>
      <c r="F76" s="113"/>
      <c r="G76" s="113"/>
      <c r="H76" s="113"/>
      <c r="I76" s="113"/>
      <c r="J76" s="113"/>
      <c r="K76" s="113"/>
      <c r="L76" s="114"/>
      <c r="M76" s="114"/>
      <c r="N76" s="113"/>
      <c r="O76" s="113"/>
      <c r="P76" s="113"/>
      <c r="Q76" s="115" t="str">
        <f t="shared" si="1"/>
        <v/>
      </c>
    </row>
    <row r="77" spans="1:17" ht="15" x14ac:dyDescent="0.2">
      <c r="A77" s="110">
        <v>70</v>
      </c>
      <c r="B77" s="111"/>
      <c r="C77" s="112"/>
      <c r="D77" s="113"/>
      <c r="E77" s="113"/>
      <c r="F77" s="113"/>
      <c r="G77" s="113"/>
      <c r="H77" s="113"/>
      <c r="I77" s="113"/>
      <c r="J77" s="113"/>
      <c r="K77" s="113"/>
      <c r="L77" s="114"/>
      <c r="M77" s="114"/>
      <c r="N77" s="113"/>
      <c r="O77" s="113"/>
      <c r="P77" s="113"/>
      <c r="Q77" s="115" t="str">
        <f t="shared" si="1"/>
        <v/>
      </c>
    </row>
    <row r="78" spans="1:17" ht="15" x14ac:dyDescent="0.2">
      <c r="A78" s="110">
        <v>71</v>
      </c>
      <c r="B78" s="111"/>
      <c r="C78" s="112"/>
      <c r="D78" s="113"/>
      <c r="E78" s="113"/>
      <c r="F78" s="113"/>
      <c r="G78" s="113"/>
      <c r="H78" s="113"/>
      <c r="I78" s="113"/>
      <c r="J78" s="113"/>
      <c r="K78" s="113"/>
      <c r="L78" s="114"/>
      <c r="M78" s="114"/>
      <c r="N78" s="113"/>
      <c r="O78" s="113"/>
      <c r="P78" s="113"/>
      <c r="Q78" s="115" t="str">
        <f t="shared" si="1"/>
        <v/>
      </c>
    </row>
    <row r="79" spans="1:17" ht="15" x14ac:dyDescent="0.2">
      <c r="A79" s="110">
        <v>72</v>
      </c>
      <c r="B79" s="111"/>
      <c r="C79" s="112"/>
      <c r="D79" s="113"/>
      <c r="E79" s="113"/>
      <c r="F79" s="113"/>
      <c r="G79" s="113"/>
      <c r="H79" s="113"/>
      <c r="I79" s="113"/>
      <c r="J79" s="113"/>
      <c r="K79" s="113"/>
      <c r="L79" s="114"/>
      <c r="M79" s="114"/>
      <c r="N79" s="113"/>
      <c r="O79" s="113"/>
      <c r="P79" s="113"/>
      <c r="Q79" s="115" t="str">
        <f t="shared" si="1"/>
        <v/>
      </c>
    </row>
    <row r="80" spans="1:17" ht="15" x14ac:dyDescent="0.2">
      <c r="A80" s="110">
        <v>73</v>
      </c>
      <c r="B80" s="111"/>
      <c r="C80" s="112"/>
      <c r="D80" s="113"/>
      <c r="E80" s="113"/>
      <c r="F80" s="113"/>
      <c r="G80" s="113"/>
      <c r="H80" s="113"/>
      <c r="I80" s="113"/>
      <c r="J80" s="113"/>
      <c r="K80" s="113"/>
      <c r="L80" s="114"/>
      <c r="M80" s="114"/>
      <c r="N80" s="113"/>
      <c r="O80" s="113"/>
      <c r="P80" s="113"/>
      <c r="Q80" s="115" t="str">
        <f t="shared" si="1"/>
        <v/>
      </c>
    </row>
    <row r="81" spans="1:17" ht="15" x14ac:dyDescent="0.2">
      <c r="A81" s="110">
        <v>74</v>
      </c>
      <c r="B81" s="111"/>
      <c r="C81" s="112"/>
      <c r="D81" s="113"/>
      <c r="E81" s="113"/>
      <c r="F81" s="113"/>
      <c r="G81" s="113"/>
      <c r="H81" s="113"/>
      <c r="I81" s="113"/>
      <c r="J81" s="113"/>
      <c r="K81" s="113"/>
      <c r="L81" s="114"/>
      <c r="M81" s="114"/>
      <c r="N81" s="113"/>
      <c r="O81" s="113"/>
      <c r="P81" s="113"/>
      <c r="Q81" s="115" t="str">
        <f t="shared" si="1"/>
        <v/>
      </c>
    </row>
    <row r="82" spans="1:17" ht="15" x14ac:dyDescent="0.2">
      <c r="A82" s="110">
        <v>75</v>
      </c>
      <c r="B82" s="111"/>
      <c r="C82" s="112"/>
      <c r="D82" s="113"/>
      <c r="E82" s="113"/>
      <c r="F82" s="113"/>
      <c r="G82" s="113"/>
      <c r="H82" s="113"/>
      <c r="I82" s="113"/>
      <c r="J82" s="113"/>
      <c r="K82" s="113"/>
      <c r="L82" s="114"/>
      <c r="M82" s="114"/>
      <c r="N82" s="113"/>
      <c r="O82" s="113"/>
      <c r="P82" s="113"/>
      <c r="Q82" s="115" t="str">
        <f t="shared" si="1"/>
        <v/>
      </c>
    </row>
    <row r="83" spans="1:17" ht="15" x14ac:dyDescent="0.2">
      <c r="A83" s="110">
        <v>76</v>
      </c>
      <c r="B83" s="111"/>
      <c r="C83" s="112"/>
      <c r="D83" s="113"/>
      <c r="E83" s="113"/>
      <c r="F83" s="113"/>
      <c r="G83" s="113"/>
      <c r="H83" s="113"/>
      <c r="I83" s="113"/>
      <c r="J83" s="113"/>
      <c r="K83" s="113"/>
      <c r="L83" s="114"/>
      <c r="M83" s="114"/>
      <c r="N83" s="113"/>
      <c r="O83" s="113"/>
      <c r="P83" s="113"/>
      <c r="Q83" s="115" t="str">
        <f t="shared" si="1"/>
        <v/>
      </c>
    </row>
    <row r="84" spans="1:17" ht="15" x14ac:dyDescent="0.2">
      <c r="A84" s="110">
        <v>77</v>
      </c>
      <c r="B84" s="111"/>
      <c r="C84" s="112"/>
      <c r="D84" s="113"/>
      <c r="E84" s="113"/>
      <c r="F84" s="113"/>
      <c r="G84" s="113"/>
      <c r="H84" s="113"/>
      <c r="I84" s="113"/>
      <c r="J84" s="113"/>
      <c r="K84" s="113"/>
      <c r="L84" s="114"/>
      <c r="M84" s="114"/>
      <c r="N84" s="113"/>
      <c r="O84" s="113"/>
      <c r="P84" s="113"/>
      <c r="Q84" s="115" t="str">
        <f t="shared" si="1"/>
        <v/>
      </c>
    </row>
    <row r="85" spans="1:17" ht="15" x14ac:dyDescent="0.2">
      <c r="A85" s="110">
        <v>78</v>
      </c>
      <c r="B85" s="111"/>
      <c r="C85" s="112"/>
      <c r="D85" s="113"/>
      <c r="E85" s="113"/>
      <c r="F85" s="113"/>
      <c r="G85" s="113"/>
      <c r="H85" s="113"/>
      <c r="I85" s="113"/>
      <c r="J85" s="113"/>
      <c r="K85" s="113"/>
      <c r="L85" s="114"/>
      <c r="M85" s="114"/>
      <c r="N85" s="113"/>
      <c r="O85" s="113"/>
      <c r="P85" s="113"/>
      <c r="Q85" s="115" t="str">
        <f t="shared" si="1"/>
        <v/>
      </c>
    </row>
    <row r="86" spans="1:17" ht="0.75" customHeight="1" x14ac:dyDescent="0.2">
      <c r="A86" s="110">
        <v>79</v>
      </c>
      <c r="B86" s="111"/>
      <c r="C86" s="112"/>
      <c r="D86" s="113"/>
      <c r="E86" s="113"/>
      <c r="F86" s="113"/>
      <c r="G86" s="113"/>
      <c r="H86" s="113"/>
      <c r="I86" s="113"/>
      <c r="J86" s="113"/>
      <c r="K86" s="113"/>
      <c r="L86" s="114"/>
      <c r="M86" s="114"/>
      <c r="N86" s="113"/>
      <c r="O86" s="113"/>
      <c r="P86" s="113"/>
      <c r="Q86" s="115" t="str">
        <f t="shared" si="1"/>
        <v/>
      </c>
    </row>
    <row r="87" spans="1:17" ht="15" x14ac:dyDescent="0.2">
      <c r="A87" s="110">
        <v>80</v>
      </c>
      <c r="B87" s="111"/>
      <c r="C87" s="112"/>
      <c r="D87" s="113"/>
      <c r="E87" s="113"/>
      <c r="F87" s="113"/>
      <c r="G87" s="113"/>
      <c r="H87" s="113"/>
      <c r="I87" s="113"/>
      <c r="J87" s="113"/>
      <c r="K87" s="113"/>
      <c r="L87" s="114"/>
      <c r="M87" s="114"/>
      <c r="N87" s="113"/>
      <c r="O87" s="113"/>
      <c r="P87" s="113"/>
      <c r="Q87" s="115" t="str">
        <f t="shared" si="1"/>
        <v/>
      </c>
    </row>
    <row r="88" spans="1:17" ht="15" x14ac:dyDescent="0.2">
      <c r="A88" s="110">
        <v>81</v>
      </c>
      <c r="B88" s="111"/>
      <c r="C88" s="112"/>
      <c r="D88" s="113"/>
      <c r="E88" s="113"/>
      <c r="F88" s="113"/>
      <c r="G88" s="113"/>
      <c r="H88" s="113"/>
      <c r="I88" s="113"/>
      <c r="J88" s="113"/>
      <c r="K88" s="113"/>
      <c r="L88" s="114"/>
      <c r="M88" s="114"/>
      <c r="N88" s="113"/>
      <c r="O88" s="113"/>
      <c r="P88" s="113"/>
      <c r="Q88" s="115" t="str">
        <f t="shared" si="1"/>
        <v/>
      </c>
    </row>
    <row r="89" spans="1:17" ht="15" x14ac:dyDescent="0.2">
      <c r="A89" s="110">
        <v>82</v>
      </c>
      <c r="B89" s="111"/>
      <c r="C89" s="112"/>
      <c r="D89" s="113"/>
      <c r="E89" s="113"/>
      <c r="F89" s="113"/>
      <c r="G89" s="113"/>
      <c r="H89" s="113"/>
      <c r="I89" s="113"/>
      <c r="J89" s="113"/>
      <c r="K89" s="113"/>
      <c r="L89" s="114"/>
      <c r="M89" s="114"/>
      <c r="N89" s="113"/>
      <c r="O89" s="113"/>
      <c r="P89" s="113"/>
      <c r="Q89" s="115" t="str">
        <f t="shared" si="1"/>
        <v/>
      </c>
    </row>
    <row r="90" spans="1:17" ht="15" x14ac:dyDescent="0.2">
      <c r="A90" s="110">
        <v>83</v>
      </c>
      <c r="B90" s="111"/>
      <c r="C90" s="112"/>
      <c r="D90" s="113"/>
      <c r="E90" s="113"/>
      <c r="F90" s="113"/>
      <c r="G90" s="113"/>
      <c r="H90" s="113"/>
      <c r="I90" s="113"/>
      <c r="J90" s="113"/>
      <c r="K90" s="113"/>
      <c r="L90" s="114"/>
      <c r="M90" s="114"/>
      <c r="N90" s="113"/>
      <c r="O90" s="113"/>
      <c r="P90" s="113"/>
      <c r="Q90" s="115" t="str">
        <f t="shared" si="1"/>
        <v/>
      </c>
    </row>
    <row r="91" spans="1:17" ht="15" x14ac:dyDescent="0.2">
      <c r="A91" s="110">
        <v>84</v>
      </c>
      <c r="B91" s="111"/>
      <c r="C91" s="112"/>
      <c r="D91" s="113"/>
      <c r="E91" s="113"/>
      <c r="F91" s="113"/>
      <c r="G91" s="113"/>
      <c r="H91" s="113"/>
      <c r="I91" s="113"/>
      <c r="J91" s="113"/>
      <c r="K91" s="113"/>
      <c r="L91" s="114"/>
      <c r="M91" s="114"/>
      <c r="N91" s="113"/>
      <c r="O91" s="113"/>
      <c r="P91" s="113"/>
      <c r="Q91" s="115" t="str">
        <f t="shared" si="1"/>
        <v/>
      </c>
    </row>
    <row r="92" spans="1:17" ht="15" x14ac:dyDescent="0.2">
      <c r="A92" s="110">
        <v>85</v>
      </c>
      <c r="B92" s="111"/>
      <c r="C92" s="112"/>
      <c r="D92" s="113"/>
      <c r="E92" s="113"/>
      <c r="F92" s="113"/>
      <c r="G92" s="113"/>
      <c r="H92" s="113"/>
      <c r="I92" s="113"/>
      <c r="J92" s="113"/>
      <c r="K92" s="113"/>
      <c r="L92" s="114"/>
      <c r="M92" s="114"/>
      <c r="N92" s="113"/>
      <c r="O92" s="113"/>
      <c r="P92" s="113"/>
      <c r="Q92" s="115" t="str">
        <f t="shared" si="1"/>
        <v/>
      </c>
    </row>
    <row r="93" spans="1:17" ht="15" x14ac:dyDescent="0.2">
      <c r="A93" s="110">
        <v>86</v>
      </c>
      <c r="B93" s="111"/>
      <c r="C93" s="112"/>
      <c r="D93" s="113"/>
      <c r="E93" s="113"/>
      <c r="F93" s="113"/>
      <c r="G93" s="113"/>
      <c r="H93" s="113"/>
      <c r="I93" s="113"/>
      <c r="J93" s="113"/>
      <c r="K93" s="113"/>
      <c r="L93" s="114"/>
      <c r="M93" s="114"/>
      <c r="N93" s="113"/>
      <c r="O93" s="113"/>
      <c r="P93" s="113"/>
      <c r="Q93" s="115" t="str">
        <f t="shared" si="1"/>
        <v/>
      </c>
    </row>
    <row r="94" spans="1:17" ht="15" x14ac:dyDescent="0.2">
      <c r="A94" s="110">
        <v>87</v>
      </c>
      <c r="B94" s="111"/>
      <c r="C94" s="112"/>
      <c r="D94" s="113"/>
      <c r="E94" s="113"/>
      <c r="F94" s="113"/>
      <c r="G94" s="113"/>
      <c r="H94" s="113"/>
      <c r="I94" s="113"/>
      <c r="J94" s="113"/>
      <c r="K94" s="113"/>
      <c r="L94" s="114"/>
      <c r="M94" s="114"/>
      <c r="N94" s="113"/>
      <c r="O94" s="113"/>
      <c r="P94" s="113"/>
      <c r="Q94" s="115" t="str">
        <f t="shared" si="1"/>
        <v/>
      </c>
    </row>
    <row r="95" spans="1:17" ht="15" x14ac:dyDescent="0.2">
      <c r="A95" s="110">
        <v>88</v>
      </c>
      <c r="B95" s="111"/>
      <c r="C95" s="112"/>
      <c r="D95" s="113"/>
      <c r="E95" s="113"/>
      <c r="F95" s="113"/>
      <c r="G95" s="113"/>
      <c r="H95" s="113"/>
      <c r="I95" s="113"/>
      <c r="J95" s="113"/>
      <c r="K95" s="113"/>
      <c r="L95" s="114"/>
      <c r="M95" s="114"/>
      <c r="N95" s="113"/>
      <c r="O95" s="113"/>
      <c r="P95" s="113"/>
      <c r="Q95" s="115" t="str">
        <f t="shared" si="1"/>
        <v/>
      </c>
    </row>
    <row r="96" spans="1:17" ht="15" x14ac:dyDescent="0.2">
      <c r="A96" s="110">
        <v>89</v>
      </c>
      <c r="B96" s="111"/>
      <c r="C96" s="112"/>
      <c r="D96" s="113"/>
      <c r="E96" s="113"/>
      <c r="F96" s="113"/>
      <c r="G96" s="113"/>
      <c r="H96" s="113"/>
      <c r="I96" s="113"/>
      <c r="J96" s="113"/>
      <c r="K96" s="113"/>
      <c r="L96" s="114"/>
      <c r="M96" s="114"/>
      <c r="N96" s="113"/>
      <c r="O96" s="113"/>
      <c r="P96" s="113"/>
      <c r="Q96" s="115" t="str">
        <f t="shared" si="1"/>
        <v/>
      </c>
    </row>
    <row r="97" spans="1:17" ht="15" x14ac:dyDescent="0.2">
      <c r="A97" s="110">
        <v>90</v>
      </c>
      <c r="B97" s="111"/>
      <c r="C97" s="112"/>
      <c r="D97" s="113"/>
      <c r="E97" s="113"/>
      <c r="F97" s="113"/>
      <c r="G97" s="113"/>
      <c r="H97" s="113"/>
      <c r="I97" s="113"/>
      <c r="J97" s="113"/>
      <c r="K97" s="113"/>
      <c r="L97" s="114"/>
      <c r="M97" s="114"/>
      <c r="N97" s="113"/>
      <c r="O97" s="113"/>
      <c r="P97" s="113"/>
      <c r="Q97" s="115" t="str">
        <f t="shared" si="1"/>
        <v/>
      </c>
    </row>
    <row r="98" spans="1:17" ht="15" x14ac:dyDescent="0.2">
      <c r="A98" s="110">
        <v>91</v>
      </c>
      <c r="B98" s="111"/>
      <c r="C98" s="112"/>
      <c r="D98" s="113"/>
      <c r="E98" s="113"/>
      <c r="F98" s="113"/>
      <c r="G98" s="113"/>
      <c r="H98" s="113"/>
      <c r="I98" s="113"/>
      <c r="J98" s="113"/>
      <c r="K98" s="113"/>
      <c r="L98" s="114"/>
      <c r="M98" s="114"/>
      <c r="N98" s="113"/>
      <c r="O98" s="113"/>
      <c r="P98" s="113"/>
      <c r="Q98" s="115" t="str">
        <f t="shared" si="1"/>
        <v/>
      </c>
    </row>
    <row r="99" spans="1:17" ht="15" x14ac:dyDescent="0.2">
      <c r="A99" s="110">
        <v>92</v>
      </c>
      <c r="B99" s="111"/>
      <c r="C99" s="112"/>
      <c r="D99" s="113"/>
      <c r="E99" s="113"/>
      <c r="F99" s="113"/>
      <c r="G99" s="113"/>
      <c r="H99" s="113"/>
      <c r="I99" s="113"/>
      <c r="J99" s="113"/>
      <c r="K99" s="113"/>
      <c r="L99" s="114"/>
      <c r="M99" s="114"/>
      <c r="N99" s="113"/>
      <c r="O99" s="113"/>
      <c r="P99" s="113"/>
      <c r="Q99" s="115" t="str">
        <f t="shared" si="1"/>
        <v/>
      </c>
    </row>
    <row r="100" spans="1:17" ht="15" x14ac:dyDescent="0.2">
      <c r="A100" s="110">
        <v>93</v>
      </c>
      <c r="B100" s="111"/>
      <c r="C100" s="112"/>
      <c r="D100" s="113"/>
      <c r="E100" s="113"/>
      <c r="F100" s="113"/>
      <c r="G100" s="113"/>
      <c r="H100" s="113"/>
      <c r="I100" s="113"/>
      <c r="J100" s="113"/>
      <c r="K100" s="113"/>
      <c r="L100" s="114"/>
      <c r="M100" s="114"/>
      <c r="N100" s="113"/>
      <c r="O100" s="113"/>
      <c r="P100" s="113"/>
      <c r="Q100" s="115" t="str">
        <f t="shared" si="1"/>
        <v/>
      </c>
    </row>
    <row r="101" spans="1:17" ht="15" x14ac:dyDescent="0.2">
      <c r="A101" s="110">
        <v>94</v>
      </c>
      <c r="B101" s="111"/>
      <c r="C101" s="112"/>
      <c r="D101" s="113"/>
      <c r="E101" s="113"/>
      <c r="F101" s="113"/>
      <c r="G101" s="113"/>
      <c r="H101" s="113"/>
      <c r="I101" s="113"/>
      <c r="J101" s="113"/>
      <c r="K101" s="113"/>
      <c r="L101" s="114"/>
      <c r="M101" s="114"/>
      <c r="N101" s="113"/>
      <c r="O101" s="113"/>
      <c r="P101" s="113"/>
      <c r="Q101" s="115" t="str">
        <f t="shared" si="1"/>
        <v/>
      </c>
    </row>
    <row r="102" spans="1:17" ht="15" x14ac:dyDescent="0.2">
      <c r="A102" s="110">
        <v>95</v>
      </c>
      <c r="B102" s="111"/>
      <c r="C102" s="112"/>
      <c r="D102" s="113"/>
      <c r="E102" s="113"/>
      <c r="F102" s="113"/>
      <c r="G102" s="113"/>
      <c r="H102" s="113"/>
      <c r="I102" s="113"/>
      <c r="J102" s="113"/>
      <c r="K102" s="113"/>
      <c r="L102" s="114"/>
      <c r="M102" s="114"/>
      <c r="N102" s="113"/>
      <c r="O102" s="113"/>
      <c r="P102" s="113"/>
      <c r="Q102" s="115" t="str">
        <f t="shared" si="1"/>
        <v/>
      </c>
    </row>
    <row r="103" spans="1:17" ht="15" x14ac:dyDescent="0.2">
      <c r="A103" s="110">
        <v>96</v>
      </c>
      <c r="B103" s="111"/>
      <c r="C103" s="112"/>
      <c r="D103" s="113"/>
      <c r="E103" s="113"/>
      <c r="F103" s="113"/>
      <c r="G103" s="113"/>
      <c r="H103" s="113"/>
      <c r="I103" s="113"/>
      <c r="J103" s="113"/>
      <c r="K103" s="113"/>
      <c r="L103" s="114"/>
      <c r="M103" s="114"/>
      <c r="N103" s="113"/>
      <c r="O103" s="113"/>
      <c r="P103" s="113"/>
      <c r="Q103" s="115" t="str">
        <f t="shared" si="1"/>
        <v/>
      </c>
    </row>
    <row r="104" spans="1:17" ht="15" x14ac:dyDescent="0.2">
      <c r="A104" s="110">
        <v>97</v>
      </c>
      <c r="B104" s="111"/>
      <c r="C104" s="112"/>
      <c r="D104" s="113"/>
      <c r="E104" s="113"/>
      <c r="F104" s="113"/>
      <c r="G104" s="113"/>
      <c r="H104" s="113"/>
      <c r="I104" s="113"/>
      <c r="J104" s="113"/>
      <c r="K104" s="113"/>
      <c r="L104" s="114"/>
      <c r="M104" s="114"/>
      <c r="N104" s="113"/>
      <c r="O104" s="113"/>
      <c r="P104" s="113"/>
      <c r="Q104" s="115" t="str">
        <f t="shared" si="1"/>
        <v/>
      </c>
    </row>
    <row r="105" spans="1:17" ht="15" x14ac:dyDescent="0.2">
      <c r="A105" s="110">
        <v>98</v>
      </c>
      <c r="B105" s="111"/>
      <c r="C105" s="112"/>
      <c r="D105" s="113"/>
      <c r="E105" s="113"/>
      <c r="F105" s="113"/>
      <c r="G105" s="113"/>
      <c r="H105" s="113"/>
      <c r="I105" s="113"/>
      <c r="J105" s="113"/>
      <c r="K105" s="113"/>
      <c r="L105" s="114"/>
      <c r="M105" s="114"/>
      <c r="N105" s="113"/>
      <c r="O105" s="113"/>
      <c r="P105" s="113"/>
      <c r="Q105" s="115" t="str">
        <f t="shared" si="1"/>
        <v/>
      </c>
    </row>
    <row r="106" spans="1:17" ht="15" x14ac:dyDescent="0.2">
      <c r="A106" s="110">
        <v>99</v>
      </c>
      <c r="B106" s="111"/>
      <c r="C106" s="112"/>
      <c r="D106" s="113"/>
      <c r="E106" s="113"/>
      <c r="F106" s="113"/>
      <c r="G106" s="113"/>
      <c r="H106" s="113"/>
      <c r="I106" s="113"/>
      <c r="J106" s="113"/>
      <c r="K106" s="113"/>
      <c r="L106" s="114"/>
      <c r="M106" s="114"/>
      <c r="N106" s="113"/>
      <c r="O106" s="113"/>
      <c r="P106" s="113"/>
      <c r="Q106" s="115" t="str">
        <f t="shared" si="1"/>
        <v/>
      </c>
    </row>
    <row r="107" spans="1:17" ht="15" x14ac:dyDescent="0.2">
      <c r="A107" s="110">
        <v>100</v>
      </c>
      <c r="B107" s="111"/>
      <c r="C107" s="112"/>
      <c r="D107" s="113"/>
      <c r="E107" s="113"/>
      <c r="F107" s="113"/>
      <c r="G107" s="113"/>
      <c r="H107" s="113"/>
      <c r="I107" s="113"/>
      <c r="J107" s="113"/>
      <c r="K107" s="113"/>
      <c r="L107" s="114"/>
      <c r="M107" s="114"/>
      <c r="N107" s="113"/>
      <c r="O107" s="113"/>
      <c r="P107" s="113"/>
      <c r="Q107" s="115" t="str">
        <f t="shared" si="1"/>
        <v/>
      </c>
    </row>
    <row r="108" spans="1:17" x14ac:dyDescent="0.2">
      <c r="A108" s="94"/>
      <c r="B108" s="94"/>
      <c r="C108" s="117"/>
      <c r="D108" s="94"/>
      <c r="E108" s="94"/>
      <c r="F108" s="94"/>
      <c r="G108" s="94"/>
      <c r="H108" s="94"/>
      <c r="I108" s="94"/>
      <c r="J108" s="94"/>
      <c r="K108" s="94"/>
      <c r="L108" s="94"/>
      <c r="M108" s="94"/>
      <c r="N108" s="94"/>
      <c r="O108" s="94"/>
      <c r="P108" s="94"/>
    </row>
    <row r="109" spans="1:17" ht="18.75" x14ac:dyDescent="0.3">
      <c r="A109" s="97"/>
      <c r="B109" s="97"/>
      <c r="C109" s="118"/>
      <c r="D109" s="97"/>
      <c r="E109" s="97"/>
      <c r="F109" s="97"/>
      <c r="G109" s="97"/>
      <c r="H109" s="97"/>
      <c r="I109" s="97"/>
      <c r="J109" s="97"/>
      <c r="L109" s="125" t="s">
        <v>295</v>
      </c>
      <c r="M109" s="97"/>
      <c r="N109" s="97"/>
      <c r="O109" s="97"/>
      <c r="P109" s="97"/>
    </row>
    <row r="110" spans="1:17" ht="18.75" x14ac:dyDescent="0.3">
      <c r="A110" s="119"/>
      <c r="B110" s="523" t="s">
        <v>267</v>
      </c>
      <c r="C110" s="120"/>
      <c r="D110" s="119"/>
      <c r="E110" s="119"/>
      <c r="F110" s="119"/>
      <c r="G110" s="119"/>
      <c r="H110" s="119"/>
      <c r="I110" s="119"/>
      <c r="J110" s="119"/>
      <c r="K110" s="119"/>
      <c r="L110" s="124" t="s">
        <v>296</v>
      </c>
      <c r="M110" s="121"/>
      <c r="N110" s="121"/>
      <c r="O110" s="119"/>
      <c r="P110" s="119"/>
    </row>
    <row r="111" spans="1:17" ht="18.75" x14ac:dyDescent="0.3">
      <c r="A111" s="119"/>
      <c r="B111" s="523"/>
      <c r="C111" s="120"/>
      <c r="D111" s="119"/>
      <c r="E111" s="119"/>
      <c r="F111" s="119"/>
      <c r="G111" s="119"/>
      <c r="H111" s="119"/>
      <c r="I111" s="119"/>
      <c r="J111" s="119"/>
      <c r="K111" s="119"/>
      <c r="L111" s="121"/>
      <c r="M111" s="121"/>
      <c r="N111" s="121"/>
      <c r="O111" s="119"/>
      <c r="P111" s="119"/>
    </row>
    <row r="112" spans="1:17" ht="18.75" x14ac:dyDescent="0.3">
      <c r="A112" s="119"/>
      <c r="B112" s="523"/>
      <c r="C112" s="120"/>
      <c r="D112" s="119"/>
      <c r="E112" s="119"/>
      <c r="F112" s="119"/>
      <c r="G112" s="119"/>
      <c r="H112" s="119"/>
      <c r="I112" s="119"/>
      <c r="J112" s="119"/>
      <c r="K112" s="119"/>
      <c r="L112" s="121"/>
      <c r="M112" s="121"/>
      <c r="N112" s="121"/>
      <c r="O112" s="119"/>
      <c r="P112" s="119"/>
    </row>
    <row r="113" spans="1:16" s="95" customFormat="1" ht="18.75" x14ac:dyDescent="0.3">
      <c r="A113" s="119"/>
      <c r="B113" s="523"/>
      <c r="C113" s="120"/>
      <c r="D113" s="119"/>
      <c r="E113" s="119"/>
      <c r="F113" s="119"/>
      <c r="G113" s="119"/>
      <c r="H113" s="119"/>
      <c r="I113" s="119"/>
      <c r="J113" s="119"/>
      <c r="K113" s="119"/>
      <c r="L113" s="121"/>
      <c r="M113" s="121"/>
      <c r="N113" s="121"/>
      <c r="O113" s="119"/>
      <c r="P113" s="119"/>
    </row>
    <row r="114" spans="1:16" s="95" customFormat="1" ht="18" customHeight="1" x14ac:dyDescent="0.3">
      <c r="A114" s="119"/>
      <c r="B114" s="523"/>
      <c r="C114" s="120"/>
      <c r="D114" s="119"/>
      <c r="E114" s="119"/>
      <c r="F114" s="119"/>
      <c r="G114" s="119"/>
      <c r="H114" s="119"/>
      <c r="I114" s="119"/>
      <c r="J114" s="119"/>
      <c r="K114" s="119"/>
      <c r="L114" s="121"/>
      <c r="M114" s="121"/>
      <c r="N114" s="121"/>
      <c r="O114" s="119"/>
      <c r="P114" s="119"/>
    </row>
    <row r="115" spans="1:16" s="95" customFormat="1" ht="18.75" hidden="1" x14ac:dyDescent="0.3">
      <c r="A115" s="119"/>
      <c r="B115" s="523"/>
      <c r="C115" s="120"/>
      <c r="D115" s="119"/>
      <c r="E115" s="119"/>
      <c r="F115" s="119"/>
      <c r="G115" s="119"/>
      <c r="H115" s="119"/>
      <c r="I115" s="119"/>
      <c r="J115" s="119"/>
      <c r="K115" s="119"/>
      <c r="L115" s="121"/>
      <c r="M115" s="121"/>
      <c r="N115" s="121"/>
      <c r="O115" s="119"/>
      <c r="P115" s="119"/>
    </row>
    <row r="116" spans="1:16" s="95" customFormat="1" ht="18.75" x14ac:dyDescent="0.2">
      <c r="A116" s="96"/>
      <c r="B116" s="126" t="str">
        <f>IF(Chinh!$C$37="","",Chinh!$C$37)</f>
        <v>…………</v>
      </c>
      <c r="C116" s="122"/>
      <c r="D116" s="96"/>
      <c r="E116" s="96"/>
      <c r="F116" s="96"/>
      <c r="G116" s="96"/>
      <c r="H116" s="96"/>
      <c r="I116" s="96"/>
      <c r="J116" s="96"/>
      <c r="K116" s="96"/>
      <c r="L116" s="126" t="str">
        <f>IF(Chinh!$L$37="","",Chinh!$L$37)</f>
        <v>………………..</v>
      </c>
      <c r="M116" s="123"/>
      <c r="N116" s="123"/>
      <c r="O116" s="96"/>
      <c r="P116" s="96"/>
    </row>
  </sheetData>
  <sheetProtection algorithmName="SHA-512" hashValue="W2WEge2+Ty+SSM72zu1iheVTJdyBvSF2i6XNukTYr10LZillQTdU9qRYW5UX7U5badXFHzgWUUo+TqwntmLruQ==" saltValue="j1Jjqty9dYWm+AaHrY5v0g==" spinCount="100000" sheet="1" objects="1" scenarios="1" formatCells="0" formatColumns="0" formatRows="0" sort="0" autoFilter="0"/>
  <mergeCells count="17">
    <mergeCell ref="A1:E1"/>
    <mergeCell ref="A2:E2"/>
    <mergeCell ref="F2:N2"/>
    <mergeCell ref="J3:K3"/>
    <mergeCell ref="A5:A6"/>
    <mergeCell ref="B5:B6"/>
    <mergeCell ref="C5:C6"/>
    <mergeCell ref="D5:D6"/>
    <mergeCell ref="E5:E6"/>
    <mergeCell ref="F5:F6"/>
    <mergeCell ref="P5:P6"/>
    <mergeCell ref="G5:H5"/>
    <mergeCell ref="I5:K5"/>
    <mergeCell ref="L5:L6"/>
    <mergeCell ref="M5:M6"/>
    <mergeCell ref="N5:N6"/>
    <mergeCell ref="O5:O6"/>
  </mergeCells>
  <conditionalFormatting sqref="A2:E2">
    <cfRule type="cellIs" dxfId="118" priority="5" stopIfTrue="1" operator="between">
      <formula>0</formula>
      <formula>0</formula>
    </cfRule>
  </conditionalFormatting>
  <conditionalFormatting sqref="G3">
    <cfRule type="cellIs" dxfId="117" priority="3" stopIfTrue="1" operator="between">
      <formula>"Còn lỗi!"</formula>
      <formula>"Còn lỗi!"</formula>
    </cfRule>
    <cfRule type="cellIs" dxfId="116" priority="4" stopIfTrue="1" operator="between">
      <formula>"Nhập liệu!"</formula>
      <formula>"Nhập liệu!"</formula>
    </cfRule>
  </conditionalFormatting>
  <conditionalFormatting sqref="L116">
    <cfRule type="cellIs" dxfId="115" priority="2" operator="between">
      <formula>""</formula>
      <formula>""</formula>
    </cfRule>
  </conditionalFormatting>
  <conditionalFormatting sqref="B116">
    <cfRule type="cellIs" dxfId="114" priority="1" operator="between">
      <formula>""</formula>
      <formula>""</formula>
    </cfRule>
  </conditionalFormatting>
  <dataValidations count="8">
    <dataValidation type="list" allowBlank="1" showInputMessage="1" showErrorMessage="1" sqref="JF8:JF107 WVR983048:WVR983147 WLV983048:WLV983147 WBZ983048:WBZ983147 VSD983048:VSD983147 VIH983048:VIH983147 UYL983048:UYL983147 UOP983048:UOP983147 UET983048:UET983147 TUX983048:TUX983147 TLB983048:TLB983147 TBF983048:TBF983147 SRJ983048:SRJ983147 SHN983048:SHN983147 RXR983048:RXR983147 RNV983048:RNV983147 RDZ983048:RDZ983147 QUD983048:QUD983147 QKH983048:QKH983147 QAL983048:QAL983147 PQP983048:PQP983147 PGT983048:PGT983147 OWX983048:OWX983147 ONB983048:ONB983147 ODF983048:ODF983147 NTJ983048:NTJ983147 NJN983048:NJN983147 MZR983048:MZR983147 MPV983048:MPV983147 MFZ983048:MFZ983147 LWD983048:LWD983147 LMH983048:LMH983147 LCL983048:LCL983147 KSP983048:KSP983147 KIT983048:KIT983147 JYX983048:JYX983147 JPB983048:JPB983147 JFF983048:JFF983147 IVJ983048:IVJ983147 ILN983048:ILN983147 IBR983048:IBR983147 HRV983048:HRV983147 HHZ983048:HHZ983147 GYD983048:GYD983147 GOH983048:GOH983147 GEL983048:GEL983147 FUP983048:FUP983147 FKT983048:FKT983147 FAX983048:FAX983147 ERB983048:ERB983147 EHF983048:EHF983147 DXJ983048:DXJ983147 DNN983048:DNN983147 DDR983048:DDR983147 CTV983048:CTV983147 CJZ983048:CJZ983147 CAD983048:CAD983147 BQH983048:BQH983147 BGL983048:BGL983147 AWP983048:AWP983147 AMT983048:AMT983147 ACX983048:ACX983147 TB983048:TB983147 JF983048:JF983147 J983048:J983147 WVR917512:WVR917611 WLV917512:WLV917611 WBZ917512:WBZ917611 VSD917512:VSD917611 VIH917512:VIH917611 UYL917512:UYL917611 UOP917512:UOP917611 UET917512:UET917611 TUX917512:TUX917611 TLB917512:TLB917611 TBF917512:TBF917611 SRJ917512:SRJ917611 SHN917512:SHN917611 RXR917512:RXR917611 RNV917512:RNV917611 RDZ917512:RDZ917611 QUD917512:QUD917611 QKH917512:QKH917611 QAL917512:QAL917611 PQP917512:PQP917611 PGT917512:PGT917611 OWX917512:OWX917611 ONB917512:ONB917611 ODF917512:ODF917611 NTJ917512:NTJ917611 NJN917512:NJN917611 MZR917512:MZR917611 MPV917512:MPV917611 MFZ917512:MFZ917611 LWD917512:LWD917611 LMH917512:LMH917611 LCL917512:LCL917611 KSP917512:KSP917611 KIT917512:KIT917611 JYX917512:JYX917611 JPB917512:JPB917611 JFF917512:JFF917611 IVJ917512:IVJ917611 ILN917512:ILN917611 IBR917512:IBR917611 HRV917512:HRV917611 HHZ917512:HHZ917611 GYD917512:GYD917611 GOH917512:GOH917611 GEL917512:GEL917611 FUP917512:FUP917611 FKT917512:FKT917611 FAX917512:FAX917611 ERB917512:ERB917611 EHF917512:EHF917611 DXJ917512:DXJ917611 DNN917512:DNN917611 DDR917512:DDR917611 CTV917512:CTV917611 CJZ917512:CJZ917611 CAD917512:CAD917611 BQH917512:BQH917611 BGL917512:BGL917611 AWP917512:AWP917611 AMT917512:AMT917611 ACX917512:ACX917611 TB917512:TB917611 JF917512:JF917611 J917512:J917611 WVR851976:WVR852075 WLV851976:WLV852075 WBZ851976:WBZ852075 VSD851976:VSD852075 VIH851976:VIH852075 UYL851976:UYL852075 UOP851976:UOP852075 UET851976:UET852075 TUX851976:TUX852075 TLB851976:TLB852075 TBF851976:TBF852075 SRJ851976:SRJ852075 SHN851976:SHN852075 RXR851976:RXR852075 RNV851976:RNV852075 RDZ851976:RDZ852075 QUD851976:QUD852075 QKH851976:QKH852075 QAL851976:QAL852075 PQP851976:PQP852075 PGT851976:PGT852075 OWX851976:OWX852075 ONB851976:ONB852075 ODF851976:ODF852075 NTJ851976:NTJ852075 NJN851976:NJN852075 MZR851976:MZR852075 MPV851976:MPV852075 MFZ851976:MFZ852075 LWD851976:LWD852075 LMH851976:LMH852075 LCL851976:LCL852075 KSP851976:KSP852075 KIT851976:KIT852075 JYX851976:JYX852075 JPB851976:JPB852075 JFF851976:JFF852075 IVJ851976:IVJ852075 ILN851976:ILN852075 IBR851976:IBR852075 HRV851976:HRV852075 HHZ851976:HHZ852075 GYD851976:GYD852075 GOH851976:GOH852075 GEL851976:GEL852075 FUP851976:FUP852075 FKT851976:FKT852075 FAX851976:FAX852075 ERB851976:ERB852075 EHF851976:EHF852075 DXJ851976:DXJ852075 DNN851976:DNN852075 DDR851976:DDR852075 CTV851976:CTV852075 CJZ851976:CJZ852075 CAD851976:CAD852075 BQH851976:BQH852075 BGL851976:BGL852075 AWP851976:AWP852075 AMT851976:AMT852075 ACX851976:ACX852075 TB851976:TB852075 JF851976:JF852075 J851976:J852075 WVR786440:WVR786539 WLV786440:WLV786539 WBZ786440:WBZ786539 VSD786440:VSD786539 VIH786440:VIH786539 UYL786440:UYL786539 UOP786440:UOP786539 UET786440:UET786539 TUX786440:TUX786539 TLB786440:TLB786539 TBF786440:TBF786539 SRJ786440:SRJ786539 SHN786440:SHN786539 RXR786440:RXR786539 RNV786440:RNV786539 RDZ786440:RDZ786539 QUD786440:QUD786539 QKH786440:QKH786539 QAL786440:QAL786539 PQP786440:PQP786539 PGT786440:PGT786539 OWX786440:OWX786539 ONB786440:ONB786539 ODF786440:ODF786539 NTJ786440:NTJ786539 NJN786440:NJN786539 MZR786440:MZR786539 MPV786440:MPV786539 MFZ786440:MFZ786539 LWD786440:LWD786539 LMH786440:LMH786539 LCL786440:LCL786539 KSP786440:KSP786539 KIT786440:KIT786539 JYX786440:JYX786539 JPB786440:JPB786539 JFF786440:JFF786539 IVJ786440:IVJ786539 ILN786440:ILN786539 IBR786440:IBR786539 HRV786440:HRV786539 HHZ786440:HHZ786539 GYD786440:GYD786539 GOH786440:GOH786539 GEL786440:GEL786539 FUP786440:FUP786539 FKT786440:FKT786539 FAX786440:FAX786539 ERB786440:ERB786539 EHF786440:EHF786539 DXJ786440:DXJ786539 DNN786440:DNN786539 DDR786440:DDR786539 CTV786440:CTV786539 CJZ786440:CJZ786539 CAD786440:CAD786539 BQH786440:BQH786539 BGL786440:BGL786539 AWP786440:AWP786539 AMT786440:AMT786539 ACX786440:ACX786539 TB786440:TB786539 JF786440:JF786539 J786440:J786539 WVR720904:WVR721003 WLV720904:WLV721003 WBZ720904:WBZ721003 VSD720904:VSD721003 VIH720904:VIH721003 UYL720904:UYL721003 UOP720904:UOP721003 UET720904:UET721003 TUX720904:TUX721003 TLB720904:TLB721003 TBF720904:TBF721003 SRJ720904:SRJ721003 SHN720904:SHN721003 RXR720904:RXR721003 RNV720904:RNV721003 RDZ720904:RDZ721003 QUD720904:QUD721003 QKH720904:QKH721003 QAL720904:QAL721003 PQP720904:PQP721003 PGT720904:PGT721003 OWX720904:OWX721003 ONB720904:ONB721003 ODF720904:ODF721003 NTJ720904:NTJ721003 NJN720904:NJN721003 MZR720904:MZR721003 MPV720904:MPV721003 MFZ720904:MFZ721003 LWD720904:LWD721003 LMH720904:LMH721003 LCL720904:LCL721003 KSP720904:KSP721003 KIT720904:KIT721003 JYX720904:JYX721003 JPB720904:JPB721003 JFF720904:JFF721003 IVJ720904:IVJ721003 ILN720904:ILN721003 IBR720904:IBR721003 HRV720904:HRV721003 HHZ720904:HHZ721003 GYD720904:GYD721003 GOH720904:GOH721003 GEL720904:GEL721003 FUP720904:FUP721003 FKT720904:FKT721003 FAX720904:FAX721003 ERB720904:ERB721003 EHF720904:EHF721003 DXJ720904:DXJ721003 DNN720904:DNN721003 DDR720904:DDR721003 CTV720904:CTV721003 CJZ720904:CJZ721003 CAD720904:CAD721003 BQH720904:BQH721003 BGL720904:BGL721003 AWP720904:AWP721003 AMT720904:AMT721003 ACX720904:ACX721003 TB720904:TB721003 JF720904:JF721003 J720904:J721003 WVR655368:WVR655467 WLV655368:WLV655467 WBZ655368:WBZ655467 VSD655368:VSD655467 VIH655368:VIH655467 UYL655368:UYL655467 UOP655368:UOP655467 UET655368:UET655467 TUX655368:TUX655467 TLB655368:TLB655467 TBF655368:TBF655467 SRJ655368:SRJ655467 SHN655368:SHN655467 RXR655368:RXR655467 RNV655368:RNV655467 RDZ655368:RDZ655467 QUD655368:QUD655467 QKH655368:QKH655467 QAL655368:QAL655467 PQP655368:PQP655467 PGT655368:PGT655467 OWX655368:OWX655467 ONB655368:ONB655467 ODF655368:ODF655467 NTJ655368:NTJ655467 NJN655368:NJN655467 MZR655368:MZR655467 MPV655368:MPV655467 MFZ655368:MFZ655467 LWD655368:LWD655467 LMH655368:LMH655467 LCL655368:LCL655467 KSP655368:KSP655467 KIT655368:KIT655467 JYX655368:JYX655467 JPB655368:JPB655467 JFF655368:JFF655467 IVJ655368:IVJ655467 ILN655368:ILN655467 IBR655368:IBR655467 HRV655368:HRV655467 HHZ655368:HHZ655467 GYD655368:GYD655467 GOH655368:GOH655467 GEL655368:GEL655467 FUP655368:FUP655467 FKT655368:FKT655467 FAX655368:FAX655467 ERB655368:ERB655467 EHF655368:EHF655467 DXJ655368:DXJ655467 DNN655368:DNN655467 DDR655368:DDR655467 CTV655368:CTV655467 CJZ655368:CJZ655467 CAD655368:CAD655467 BQH655368:BQH655467 BGL655368:BGL655467 AWP655368:AWP655467 AMT655368:AMT655467 ACX655368:ACX655467 TB655368:TB655467 JF655368:JF655467 J655368:J655467 WVR589832:WVR589931 WLV589832:WLV589931 WBZ589832:WBZ589931 VSD589832:VSD589931 VIH589832:VIH589931 UYL589832:UYL589931 UOP589832:UOP589931 UET589832:UET589931 TUX589832:TUX589931 TLB589832:TLB589931 TBF589832:TBF589931 SRJ589832:SRJ589931 SHN589832:SHN589931 RXR589832:RXR589931 RNV589832:RNV589931 RDZ589832:RDZ589931 QUD589832:QUD589931 QKH589832:QKH589931 QAL589832:QAL589931 PQP589832:PQP589931 PGT589832:PGT589931 OWX589832:OWX589931 ONB589832:ONB589931 ODF589832:ODF589931 NTJ589832:NTJ589931 NJN589832:NJN589931 MZR589832:MZR589931 MPV589832:MPV589931 MFZ589832:MFZ589931 LWD589832:LWD589931 LMH589832:LMH589931 LCL589832:LCL589931 KSP589832:KSP589931 KIT589832:KIT589931 JYX589832:JYX589931 JPB589832:JPB589931 JFF589832:JFF589931 IVJ589832:IVJ589931 ILN589832:ILN589931 IBR589832:IBR589931 HRV589832:HRV589931 HHZ589832:HHZ589931 GYD589832:GYD589931 GOH589832:GOH589931 GEL589832:GEL589931 FUP589832:FUP589931 FKT589832:FKT589931 FAX589832:FAX589931 ERB589832:ERB589931 EHF589832:EHF589931 DXJ589832:DXJ589931 DNN589832:DNN589931 DDR589832:DDR589931 CTV589832:CTV589931 CJZ589832:CJZ589931 CAD589832:CAD589931 BQH589832:BQH589931 BGL589832:BGL589931 AWP589832:AWP589931 AMT589832:AMT589931 ACX589832:ACX589931 TB589832:TB589931 JF589832:JF589931 J589832:J589931 WVR524296:WVR524395 WLV524296:WLV524395 WBZ524296:WBZ524395 VSD524296:VSD524395 VIH524296:VIH524395 UYL524296:UYL524395 UOP524296:UOP524395 UET524296:UET524395 TUX524296:TUX524395 TLB524296:TLB524395 TBF524296:TBF524395 SRJ524296:SRJ524395 SHN524296:SHN524395 RXR524296:RXR524395 RNV524296:RNV524395 RDZ524296:RDZ524395 QUD524296:QUD524395 QKH524296:QKH524395 QAL524296:QAL524395 PQP524296:PQP524395 PGT524296:PGT524395 OWX524296:OWX524395 ONB524296:ONB524395 ODF524296:ODF524395 NTJ524296:NTJ524395 NJN524296:NJN524395 MZR524296:MZR524395 MPV524296:MPV524395 MFZ524296:MFZ524395 LWD524296:LWD524395 LMH524296:LMH524395 LCL524296:LCL524395 KSP524296:KSP524395 KIT524296:KIT524395 JYX524296:JYX524395 JPB524296:JPB524395 JFF524296:JFF524395 IVJ524296:IVJ524395 ILN524296:ILN524395 IBR524296:IBR524395 HRV524296:HRV524395 HHZ524296:HHZ524395 GYD524296:GYD524395 GOH524296:GOH524395 GEL524296:GEL524395 FUP524296:FUP524395 FKT524296:FKT524395 FAX524296:FAX524395 ERB524296:ERB524395 EHF524296:EHF524395 DXJ524296:DXJ524395 DNN524296:DNN524395 DDR524296:DDR524395 CTV524296:CTV524395 CJZ524296:CJZ524395 CAD524296:CAD524395 BQH524296:BQH524395 BGL524296:BGL524395 AWP524296:AWP524395 AMT524296:AMT524395 ACX524296:ACX524395 TB524296:TB524395 JF524296:JF524395 J524296:J524395 WVR458760:WVR458859 WLV458760:WLV458859 WBZ458760:WBZ458859 VSD458760:VSD458859 VIH458760:VIH458859 UYL458760:UYL458859 UOP458760:UOP458859 UET458760:UET458859 TUX458760:TUX458859 TLB458760:TLB458859 TBF458760:TBF458859 SRJ458760:SRJ458859 SHN458760:SHN458859 RXR458760:RXR458859 RNV458760:RNV458859 RDZ458760:RDZ458859 QUD458760:QUD458859 QKH458760:QKH458859 QAL458760:QAL458859 PQP458760:PQP458859 PGT458760:PGT458859 OWX458760:OWX458859 ONB458760:ONB458859 ODF458760:ODF458859 NTJ458760:NTJ458859 NJN458760:NJN458859 MZR458760:MZR458859 MPV458760:MPV458859 MFZ458760:MFZ458859 LWD458760:LWD458859 LMH458760:LMH458859 LCL458760:LCL458859 KSP458760:KSP458859 KIT458760:KIT458859 JYX458760:JYX458859 JPB458760:JPB458859 JFF458760:JFF458859 IVJ458760:IVJ458859 ILN458760:ILN458859 IBR458760:IBR458859 HRV458760:HRV458859 HHZ458760:HHZ458859 GYD458760:GYD458859 GOH458760:GOH458859 GEL458760:GEL458859 FUP458760:FUP458859 FKT458760:FKT458859 FAX458760:FAX458859 ERB458760:ERB458859 EHF458760:EHF458859 DXJ458760:DXJ458859 DNN458760:DNN458859 DDR458760:DDR458859 CTV458760:CTV458859 CJZ458760:CJZ458859 CAD458760:CAD458859 BQH458760:BQH458859 BGL458760:BGL458859 AWP458760:AWP458859 AMT458760:AMT458859 ACX458760:ACX458859 TB458760:TB458859 JF458760:JF458859 J458760:J458859 WVR393224:WVR393323 WLV393224:WLV393323 WBZ393224:WBZ393323 VSD393224:VSD393323 VIH393224:VIH393323 UYL393224:UYL393323 UOP393224:UOP393323 UET393224:UET393323 TUX393224:TUX393323 TLB393224:TLB393323 TBF393224:TBF393323 SRJ393224:SRJ393323 SHN393224:SHN393323 RXR393224:RXR393323 RNV393224:RNV393323 RDZ393224:RDZ393323 QUD393224:QUD393323 QKH393224:QKH393323 QAL393224:QAL393323 PQP393224:PQP393323 PGT393224:PGT393323 OWX393224:OWX393323 ONB393224:ONB393323 ODF393224:ODF393323 NTJ393224:NTJ393323 NJN393224:NJN393323 MZR393224:MZR393323 MPV393224:MPV393323 MFZ393224:MFZ393323 LWD393224:LWD393323 LMH393224:LMH393323 LCL393224:LCL393323 KSP393224:KSP393323 KIT393224:KIT393323 JYX393224:JYX393323 JPB393224:JPB393323 JFF393224:JFF393323 IVJ393224:IVJ393323 ILN393224:ILN393323 IBR393224:IBR393323 HRV393224:HRV393323 HHZ393224:HHZ393323 GYD393224:GYD393323 GOH393224:GOH393323 GEL393224:GEL393323 FUP393224:FUP393323 FKT393224:FKT393323 FAX393224:FAX393323 ERB393224:ERB393323 EHF393224:EHF393323 DXJ393224:DXJ393323 DNN393224:DNN393323 DDR393224:DDR393323 CTV393224:CTV393323 CJZ393224:CJZ393323 CAD393224:CAD393323 BQH393224:BQH393323 BGL393224:BGL393323 AWP393224:AWP393323 AMT393224:AMT393323 ACX393224:ACX393323 TB393224:TB393323 JF393224:JF393323 J393224:J393323 WVR327688:WVR327787 WLV327688:WLV327787 WBZ327688:WBZ327787 VSD327688:VSD327787 VIH327688:VIH327787 UYL327688:UYL327787 UOP327688:UOP327787 UET327688:UET327787 TUX327688:TUX327787 TLB327688:TLB327787 TBF327688:TBF327787 SRJ327688:SRJ327787 SHN327688:SHN327787 RXR327688:RXR327787 RNV327688:RNV327787 RDZ327688:RDZ327787 QUD327688:QUD327787 QKH327688:QKH327787 QAL327688:QAL327787 PQP327688:PQP327787 PGT327688:PGT327787 OWX327688:OWX327787 ONB327688:ONB327787 ODF327688:ODF327787 NTJ327688:NTJ327787 NJN327688:NJN327787 MZR327688:MZR327787 MPV327688:MPV327787 MFZ327688:MFZ327787 LWD327688:LWD327787 LMH327688:LMH327787 LCL327688:LCL327787 KSP327688:KSP327787 KIT327688:KIT327787 JYX327688:JYX327787 JPB327688:JPB327787 JFF327688:JFF327787 IVJ327688:IVJ327787 ILN327688:ILN327787 IBR327688:IBR327787 HRV327688:HRV327787 HHZ327688:HHZ327787 GYD327688:GYD327787 GOH327688:GOH327787 GEL327688:GEL327787 FUP327688:FUP327787 FKT327688:FKT327787 FAX327688:FAX327787 ERB327688:ERB327787 EHF327688:EHF327787 DXJ327688:DXJ327787 DNN327688:DNN327787 DDR327688:DDR327787 CTV327688:CTV327787 CJZ327688:CJZ327787 CAD327688:CAD327787 BQH327688:BQH327787 BGL327688:BGL327787 AWP327688:AWP327787 AMT327688:AMT327787 ACX327688:ACX327787 TB327688:TB327787 JF327688:JF327787 J327688:J327787 WVR262152:WVR262251 WLV262152:WLV262251 WBZ262152:WBZ262251 VSD262152:VSD262251 VIH262152:VIH262251 UYL262152:UYL262251 UOP262152:UOP262251 UET262152:UET262251 TUX262152:TUX262251 TLB262152:TLB262251 TBF262152:TBF262251 SRJ262152:SRJ262251 SHN262152:SHN262251 RXR262152:RXR262251 RNV262152:RNV262251 RDZ262152:RDZ262251 QUD262152:QUD262251 QKH262152:QKH262251 QAL262152:QAL262251 PQP262152:PQP262251 PGT262152:PGT262251 OWX262152:OWX262251 ONB262152:ONB262251 ODF262152:ODF262251 NTJ262152:NTJ262251 NJN262152:NJN262251 MZR262152:MZR262251 MPV262152:MPV262251 MFZ262152:MFZ262251 LWD262152:LWD262251 LMH262152:LMH262251 LCL262152:LCL262251 KSP262152:KSP262251 KIT262152:KIT262251 JYX262152:JYX262251 JPB262152:JPB262251 JFF262152:JFF262251 IVJ262152:IVJ262251 ILN262152:ILN262251 IBR262152:IBR262251 HRV262152:HRV262251 HHZ262152:HHZ262251 GYD262152:GYD262251 GOH262152:GOH262251 GEL262152:GEL262251 FUP262152:FUP262251 FKT262152:FKT262251 FAX262152:FAX262251 ERB262152:ERB262251 EHF262152:EHF262251 DXJ262152:DXJ262251 DNN262152:DNN262251 DDR262152:DDR262251 CTV262152:CTV262251 CJZ262152:CJZ262251 CAD262152:CAD262251 BQH262152:BQH262251 BGL262152:BGL262251 AWP262152:AWP262251 AMT262152:AMT262251 ACX262152:ACX262251 TB262152:TB262251 JF262152:JF262251 J262152:J262251 WVR196616:WVR196715 WLV196616:WLV196715 WBZ196616:WBZ196715 VSD196616:VSD196715 VIH196616:VIH196715 UYL196616:UYL196715 UOP196616:UOP196715 UET196616:UET196715 TUX196616:TUX196715 TLB196616:TLB196715 TBF196616:TBF196715 SRJ196616:SRJ196715 SHN196616:SHN196715 RXR196616:RXR196715 RNV196616:RNV196715 RDZ196616:RDZ196715 QUD196616:QUD196715 QKH196616:QKH196715 QAL196616:QAL196715 PQP196616:PQP196715 PGT196616:PGT196715 OWX196616:OWX196715 ONB196616:ONB196715 ODF196616:ODF196715 NTJ196616:NTJ196715 NJN196616:NJN196715 MZR196616:MZR196715 MPV196616:MPV196715 MFZ196616:MFZ196715 LWD196616:LWD196715 LMH196616:LMH196715 LCL196616:LCL196715 KSP196616:KSP196715 KIT196616:KIT196715 JYX196616:JYX196715 JPB196616:JPB196715 JFF196616:JFF196715 IVJ196616:IVJ196715 ILN196616:ILN196715 IBR196616:IBR196715 HRV196616:HRV196715 HHZ196616:HHZ196715 GYD196616:GYD196715 GOH196616:GOH196715 GEL196616:GEL196715 FUP196616:FUP196715 FKT196616:FKT196715 FAX196616:FAX196715 ERB196616:ERB196715 EHF196616:EHF196715 DXJ196616:DXJ196715 DNN196616:DNN196715 DDR196616:DDR196715 CTV196616:CTV196715 CJZ196616:CJZ196715 CAD196616:CAD196715 BQH196616:BQH196715 BGL196616:BGL196715 AWP196616:AWP196715 AMT196616:AMT196715 ACX196616:ACX196715 TB196616:TB196715 JF196616:JF196715 J196616:J196715 WVR131080:WVR131179 WLV131080:WLV131179 WBZ131080:WBZ131179 VSD131080:VSD131179 VIH131080:VIH131179 UYL131080:UYL131179 UOP131080:UOP131179 UET131080:UET131179 TUX131080:TUX131179 TLB131080:TLB131179 TBF131080:TBF131179 SRJ131080:SRJ131179 SHN131080:SHN131179 RXR131080:RXR131179 RNV131080:RNV131179 RDZ131080:RDZ131179 QUD131080:QUD131179 QKH131080:QKH131179 QAL131080:QAL131179 PQP131080:PQP131179 PGT131080:PGT131179 OWX131080:OWX131179 ONB131080:ONB131179 ODF131080:ODF131179 NTJ131080:NTJ131179 NJN131080:NJN131179 MZR131080:MZR131179 MPV131080:MPV131179 MFZ131080:MFZ131179 LWD131080:LWD131179 LMH131080:LMH131179 LCL131080:LCL131179 KSP131080:KSP131179 KIT131080:KIT131179 JYX131080:JYX131179 JPB131080:JPB131179 JFF131080:JFF131179 IVJ131080:IVJ131179 ILN131080:ILN131179 IBR131080:IBR131179 HRV131080:HRV131179 HHZ131080:HHZ131179 GYD131080:GYD131179 GOH131080:GOH131179 GEL131080:GEL131179 FUP131080:FUP131179 FKT131080:FKT131179 FAX131080:FAX131179 ERB131080:ERB131179 EHF131080:EHF131179 DXJ131080:DXJ131179 DNN131080:DNN131179 DDR131080:DDR131179 CTV131080:CTV131179 CJZ131080:CJZ131179 CAD131080:CAD131179 BQH131080:BQH131179 BGL131080:BGL131179 AWP131080:AWP131179 AMT131080:AMT131179 ACX131080:ACX131179 TB131080:TB131179 JF131080:JF131179 J131080:J131179 WVR65544:WVR65643 WLV65544:WLV65643 WBZ65544:WBZ65643 VSD65544:VSD65643 VIH65544:VIH65643 UYL65544:UYL65643 UOP65544:UOP65643 UET65544:UET65643 TUX65544:TUX65643 TLB65544:TLB65643 TBF65544:TBF65643 SRJ65544:SRJ65643 SHN65544:SHN65643 RXR65544:RXR65643 RNV65544:RNV65643 RDZ65544:RDZ65643 QUD65544:QUD65643 QKH65544:QKH65643 QAL65544:QAL65643 PQP65544:PQP65643 PGT65544:PGT65643 OWX65544:OWX65643 ONB65544:ONB65643 ODF65544:ODF65643 NTJ65544:NTJ65643 NJN65544:NJN65643 MZR65544:MZR65643 MPV65544:MPV65643 MFZ65544:MFZ65643 LWD65544:LWD65643 LMH65544:LMH65643 LCL65544:LCL65643 KSP65544:KSP65643 KIT65544:KIT65643 JYX65544:JYX65643 JPB65544:JPB65643 JFF65544:JFF65643 IVJ65544:IVJ65643 ILN65544:ILN65643 IBR65544:IBR65643 HRV65544:HRV65643 HHZ65544:HHZ65643 GYD65544:GYD65643 GOH65544:GOH65643 GEL65544:GEL65643 FUP65544:FUP65643 FKT65544:FKT65643 FAX65544:FAX65643 ERB65544:ERB65643 EHF65544:EHF65643 DXJ65544:DXJ65643 DNN65544:DNN65643 DDR65544:DDR65643 CTV65544:CTV65643 CJZ65544:CJZ65643 CAD65544:CAD65643 BQH65544:BQH65643 BGL65544:BGL65643 AWP65544:AWP65643 AMT65544:AMT65643 ACX65544:ACX65643 TB65544:TB65643 JF65544:JF65643 J65544:J65643 WVR8:WVR107 WLV8:WLV107 WBZ8:WBZ107 VSD8:VSD107 VIH8:VIH107 UYL8:UYL107 UOP8:UOP107 UET8:UET107 TUX8:TUX107 TLB8:TLB107 TBF8:TBF107 SRJ8:SRJ107 SHN8:SHN107 RXR8:RXR107 RNV8:RNV107 RDZ8:RDZ107 QUD8:QUD107 QKH8:QKH107 QAL8:QAL107 PQP8:PQP107 PGT8:PGT107 OWX8:OWX107 ONB8:ONB107 ODF8:ODF107 NTJ8:NTJ107 NJN8:NJN107 MZR8:MZR107 MPV8:MPV107 MFZ8:MFZ107 LWD8:LWD107 LMH8:LMH107 LCL8:LCL107 KSP8:KSP107 KIT8:KIT107 JYX8:JYX107 JPB8:JPB107 JFF8:JFF107 IVJ8:IVJ107 ILN8:ILN107 IBR8:IBR107 HRV8:HRV107 HHZ8:HHZ107 GYD8:GYD107 GOH8:GOH107 GEL8:GEL107 FUP8:FUP107 FKT8:FKT107 FAX8:FAX107 ERB8:ERB107 EHF8:EHF107 DXJ8:DXJ107 DNN8:DNN107 DDR8:DDR107 CTV8:CTV107 CJZ8:CJZ107 CAD8:CAD107 BQH8:BQH107 BGL8:BGL107 AWP8:AWP107 AMT8:AMT107 ACX8:ACX107 TB8:TB107 J8:J107">
      <formula1>"Quản lý,GDMN,Y tế,TB-TV,Kế toán,Khác"</formula1>
    </dataValidation>
    <dataValidation type="list" allowBlank="1" showInputMessage="1" showErrorMessage="1" sqref="JB8:JB107 WVN983048:WVN983147 WLR983048:WLR983147 WBV983048:WBV983147 VRZ983048:VRZ983147 VID983048:VID983147 UYH983048:UYH983147 UOL983048:UOL983147 UEP983048:UEP983147 TUT983048:TUT983147 TKX983048:TKX983147 TBB983048:TBB983147 SRF983048:SRF983147 SHJ983048:SHJ983147 RXN983048:RXN983147 RNR983048:RNR983147 RDV983048:RDV983147 QTZ983048:QTZ983147 QKD983048:QKD983147 QAH983048:QAH983147 PQL983048:PQL983147 PGP983048:PGP983147 OWT983048:OWT983147 OMX983048:OMX983147 ODB983048:ODB983147 NTF983048:NTF983147 NJJ983048:NJJ983147 MZN983048:MZN983147 MPR983048:MPR983147 MFV983048:MFV983147 LVZ983048:LVZ983147 LMD983048:LMD983147 LCH983048:LCH983147 KSL983048:KSL983147 KIP983048:KIP983147 JYT983048:JYT983147 JOX983048:JOX983147 JFB983048:JFB983147 IVF983048:IVF983147 ILJ983048:ILJ983147 IBN983048:IBN983147 HRR983048:HRR983147 HHV983048:HHV983147 GXZ983048:GXZ983147 GOD983048:GOD983147 GEH983048:GEH983147 FUL983048:FUL983147 FKP983048:FKP983147 FAT983048:FAT983147 EQX983048:EQX983147 EHB983048:EHB983147 DXF983048:DXF983147 DNJ983048:DNJ983147 DDN983048:DDN983147 CTR983048:CTR983147 CJV983048:CJV983147 BZZ983048:BZZ983147 BQD983048:BQD983147 BGH983048:BGH983147 AWL983048:AWL983147 AMP983048:AMP983147 ACT983048:ACT983147 SX983048:SX983147 JB983048:JB983147 F983048:F983147 WVN917512:WVN917611 WLR917512:WLR917611 WBV917512:WBV917611 VRZ917512:VRZ917611 VID917512:VID917611 UYH917512:UYH917611 UOL917512:UOL917611 UEP917512:UEP917611 TUT917512:TUT917611 TKX917512:TKX917611 TBB917512:TBB917611 SRF917512:SRF917611 SHJ917512:SHJ917611 RXN917512:RXN917611 RNR917512:RNR917611 RDV917512:RDV917611 QTZ917512:QTZ917611 QKD917512:QKD917611 QAH917512:QAH917611 PQL917512:PQL917611 PGP917512:PGP917611 OWT917512:OWT917611 OMX917512:OMX917611 ODB917512:ODB917611 NTF917512:NTF917611 NJJ917512:NJJ917611 MZN917512:MZN917611 MPR917512:MPR917611 MFV917512:MFV917611 LVZ917512:LVZ917611 LMD917512:LMD917611 LCH917512:LCH917611 KSL917512:KSL917611 KIP917512:KIP917611 JYT917512:JYT917611 JOX917512:JOX917611 JFB917512:JFB917611 IVF917512:IVF917611 ILJ917512:ILJ917611 IBN917512:IBN917611 HRR917512:HRR917611 HHV917512:HHV917611 GXZ917512:GXZ917611 GOD917512:GOD917611 GEH917512:GEH917611 FUL917512:FUL917611 FKP917512:FKP917611 FAT917512:FAT917611 EQX917512:EQX917611 EHB917512:EHB917611 DXF917512:DXF917611 DNJ917512:DNJ917611 DDN917512:DDN917611 CTR917512:CTR917611 CJV917512:CJV917611 BZZ917512:BZZ917611 BQD917512:BQD917611 BGH917512:BGH917611 AWL917512:AWL917611 AMP917512:AMP917611 ACT917512:ACT917611 SX917512:SX917611 JB917512:JB917611 F917512:F917611 WVN851976:WVN852075 WLR851976:WLR852075 WBV851976:WBV852075 VRZ851976:VRZ852075 VID851976:VID852075 UYH851976:UYH852075 UOL851976:UOL852075 UEP851976:UEP852075 TUT851976:TUT852075 TKX851976:TKX852075 TBB851976:TBB852075 SRF851976:SRF852075 SHJ851976:SHJ852075 RXN851976:RXN852075 RNR851976:RNR852075 RDV851976:RDV852075 QTZ851976:QTZ852075 QKD851976:QKD852075 QAH851976:QAH852075 PQL851976:PQL852075 PGP851976:PGP852075 OWT851976:OWT852075 OMX851976:OMX852075 ODB851976:ODB852075 NTF851976:NTF852075 NJJ851976:NJJ852075 MZN851976:MZN852075 MPR851976:MPR852075 MFV851976:MFV852075 LVZ851976:LVZ852075 LMD851976:LMD852075 LCH851976:LCH852075 KSL851976:KSL852075 KIP851976:KIP852075 JYT851976:JYT852075 JOX851976:JOX852075 JFB851976:JFB852075 IVF851976:IVF852075 ILJ851976:ILJ852075 IBN851976:IBN852075 HRR851976:HRR852075 HHV851976:HHV852075 GXZ851976:GXZ852075 GOD851976:GOD852075 GEH851976:GEH852075 FUL851976:FUL852075 FKP851976:FKP852075 FAT851976:FAT852075 EQX851976:EQX852075 EHB851976:EHB852075 DXF851976:DXF852075 DNJ851976:DNJ852075 DDN851976:DDN852075 CTR851976:CTR852075 CJV851976:CJV852075 BZZ851976:BZZ852075 BQD851976:BQD852075 BGH851976:BGH852075 AWL851976:AWL852075 AMP851976:AMP852075 ACT851976:ACT852075 SX851976:SX852075 JB851976:JB852075 F851976:F852075 WVN786440:WVN786539 WLR786440:WLR786539 WBV786440:WBV786539 VRZ786440:VRZ786539 VID786440:VID786539 UYH786440:UYH786539 UOL786440:UOL786539 UEP786440:UEP786539 TUT786440:TUT786539 TKX786440:TKX786539 TBB786440:TBB786539 SRF786440:SRF786539 SHJ786440:SHJ786539 RXN786440:RXN786539 RNR786440:RNR786539 RDV786440:RDV786539 QTZ786440:QTZ786539 QKD786440:QKD786539 QAH786440:QAH786539 PQL786440:PQL786539 PGP786440:PGP786539 OWT786440:OWT786539 OMX786440:OMX786539 ODB786440:ODB786539 NTF786440:NTF786539 NJJ786440:NJJ786539 MZN786440:MZN786539 MPR786440:MPR786539 MFV786440:MFV786539 LVZ786440:LVZ786539 LMD786440:LMD786539 LCH786440:LCH786539 KSL786440:KSL786539 KIP786440:KIP786539 JYT786440:JYT786539 JOX786440:JOX786539 JFB786440:JFB786539 IVF786440:IVF786539 ILJ786440:ILJ786539 IBN786440:IBN786539 HRR786440:HRR786539 HHV786440:HHV786539 GXZ786440:GXZ786539 GOD786440:GOD786539 GEH786440:GEH786539 FUL786440:FUL786539 FKP786440:FKP786539 FAT786440:FAT786539 EQX786440:EQX786539 EHB786440:EHB786539 DXF786440:DXF786539 DNJ786440:DNJ786539 DDN786440:DDN786539 CTR786440:CTR786539 CJV786440:CJV786539 BZZ786440:BZZ786539 BQD786440:BQD786539 BGH786440:BGH786539 AWL786440:AWL786539 AMP786440:AMP786539 ACT786440:ACT786539 SX786440:SX786539 JB786440:JB786539 F786440:F786539 WVN720904:WVN721003 WLR720904:WLR721003 WBV720904:WBV721003 VRZ720904:VRZ721003 VID720904:VID721003 UYH720904:UYH721003 UOL720904:UOL721003 UEP720904:UEP721003 TUT720904:TUT721003 TKX720904:TKX721003 TBB720904:TBB721003 SRF720904:SRF721003 SHJ720904:SHJ721003 RXN720904:RXN721003 RNR720904:RNR721003 RDV720904:RDV721003 QTZ720904:QTZ721003 QKD720904:QKD721003 QAH720904:QAH721003 PQL720904:PQL721003 PGP720904:PGP721003 OWT720904:OWT721003 OMX720904:OMX721003 ODB720904:ODB721003 NTF720904:NTF721003 NJJ720904:NJJ721003 MZN720904:MZN721003 MPR720904:MPR721003 MFV720904:MFV721003 LVZ720904:LVZ721003 LMD720904:LMD721003 LCH720904:LCH721003 KSL720904:KSL721003 KIP720904:KIP721003 JYT720904:JYT721003 JOX720904:JOX721003 JFB720904:JFB721003 IVF720904:IVF721003 ILJ720904:ILJ721003 IBN720904:IBN721003 HRR720904:HRR721003 HHV720904:HHV721003 GXZ720904:GXZ721003 GOD720904:GOD721003 GEH720904:GEH721003 FUL720904:FUL721003 FKP720904:FKP721003 FAT720904:FAT721003 EQX720904:EQX721003 EHB720904:EHB721003 DXF720904:DXF721003 DNJ720904:DNJ721003 DDN720904:DDN721003 CTR720904:CTR721003 CJV720904:CJV721003 BZZ720904:BZZ721003 BQD720904:BQD721003 BGH720904:BGH721003 AWL720904:AWL721003 AMP720904:AMP721003 ACT720904:ACT721003 SX720904:SX721003 JB720904:JB721003 F720904:F721003 WVN655368:WVN655467 WLR655368:WLR655467 WBV655368:WBV655467 VRZ655368:VRZ655467 VID655368:VID655467 UYH655368:UYH655467 UOL655368:UOL655467 UEP655368:UEP655467 TUT655368:TUT655467 TKX655368:TKX655467 TBB655368:TBB655467 SRF655368:SRF655467 SHJ655368:SHJ655467 RXN655368:RXN655467 RNR655368:RNR655467 RDV655368:RDV655467 QTZ655368:QTZ655467 QKD655368:QKD655467 QAH655368:QAH655467 PQL655368:PQL655467 PGP655368:PGP655467 OWT655368:OWT655467 OMX655368:OMX655467 ODB655368:ODB655467 NTF655368:NTF655467 NJJ655368:NJJ655467 MZN655368:MZN655467 MPR655368:MPR655467 MFV655368:MFV655467 LVZ655368:LVZ655467 LMD655368:LMD655467 LCH655368:LCH655467 KSL655368:KSL655467 KIP655368:KIP655467 JYT655368:JYT655467 JOX655368:JOX655467 JFB655368:JFB655467 IVF655368:IVF655467 ILJ655368:ILJ655467 IBN655368:IBN655467 HRR655368:HRR655467 HHV655368:HHV655467 GXZ655368:GXZ655467 GOD655368:GOD655467 GEH655368:GEH655467 FUL655368:FUL655467 FKP655368:FKP655467 FAT655368:FAT655467 EQX655368:EQX655467 EHB655368:EHB655467 DXF655368:DXF655467 DNJ655368:DNJ655467 DDN655368:DDN655467 CTR655368:CTR655467 CJV655368:CJV655467 BZZ655368:BZZ655467 BQD655368:BQD655467 BGH655368:BGH655467 AWL655368:AWL655467 AMP655368:AMP655467 ACT655368:ACT655467 SX655368:SX655467 JB655368:JB655467 F655368:F655467 WVN589832:WVN589931 WLR589832:WLR589931 WBV589832:WBV589931 VRZ589832:VRZ589931 VID589832:VID589931 UYH589832:UYH589931 UOL589832:UOL589931 UEP589832:UEP589931 TUT589832:TUT589931 TKX589832:TKX589931 TBB589832:TBB589931 SRF589832:SRF589931 SHJ589832:SHJ589931 RXN589832:RXN589931 RNR589832:RNR589931 RDV589832:RDV589931 QTZ589832:QTZ589931 QKD589832:QKD589931 QAH589832:QAH589931 PQL589832:PQL589931 PGP589832:PGP589931 OWT589832:OWT589931 OMX589832:OMX589931 ODB589832:ODB589931 NTF589832:NTF589931 NJJ589832:NJJ589931 MZN589832:MZN589931 MPR589832:MPR589931 MFV589832:MFV589931 LVZ589832:LVZ589931 LMD589832:LMD589931 LCH589832:LCH589931 KSL589832:KSL589931 KIP589832:KIP589931 JYT589832:JYT589931 JOX589832:JOX589931 JFB589832:JFB589931 IVF589832:IVF589931 ILJ589832:ILJ589931 IBN589832:IBN589931 HRR589832:HRR589931 HHV589832:HHV589931 GXZ589832:GXZ589931 GOD589832:GOD589931 GEH589832:GEH589931 FUL589832:FUL589931 FKP589832:FKP589931 FAT589832:FAT589931 EQX589832:EQX589931 EHB589832:EHB589931 DXF589832:DXF589931 DNJ589832:DNJ589931 DDN589832:DDN589931 CTR589832:CTR589931 CJV589832:CJV589931 BZZ589832:BZZ589931 BQD589832:BQD589931 BGH589832:BGH589931 AWL589832:AWL589931 AMP589832:AMP589931 ACT589832:ACT589931 SX589832:SX589931 JB589832:JB589931 F589832:F589931 WVN524296:WVN524395 WLR524296:WLR524395 WBV524296:WBV524395 VRZ524296:VRZ524395 VID524296:VID524395 UYH524296:UYH524395 UOL524296:UOL524395 UEP524296:UEP524395 TUT524296:TUT524395 TKX524296:TKX524395 TBB524296:TBB524395 SRF524296:SRF524395 SHJ524296:SHJ524395 RXN524296:RXN524395 RNR524296:RNR524395 RDV524296:RDV524395 QTZ524296:QTZ524395 QKD524296:QKD524395 QAH524296:QAH524395 PQL524296:PQL524395 PGP524296:PGP524395 OWT524296:OWT524395 OMX524296:OMX524395 ODB524296:ODB524395 NTF524296:NTF524395 NJJ524296:NJJ524395 MZN524296:MZN524395 MPR524296:MPR524395 MFV524296:MFV524395 LVZ524296:LVZ524395 LMD524296:LMD524395 LCH524296:LCH524395 KSL524296:KSL524395 KIP524296:KIP524395 JYT524296:JYT524395 JOX524296:JOX524395 JFB524296:JFB524395 IVF524296:IVF524395 ILJ524296:ILJ524395 IBN524296:IBN524395 HRR524296:HRR524395 HHV524296:HHV524395 GXZ524296:GXZ524395 GOD524296:GOD524395 GEH524296:GEH524395 FUL524296:FUL524395 FKP524296:FKP524395 FAT524296:FAT524395 EQX524296:EQX524395 EHB524296:EHB524395 DXF524296:DXF524395 DNJ524296:DNJ524395 DDN524296:DDN524395 CTR524296:CTR524395 CJV524296:CJV524395 BZZ524296:BZZ524395 BQD524296:BQD524395 BGH524296:BGH524395 AWL524296:AWL524395 AMP524296:AMP524395 ACT524296:ACT524395 SX524296:SX524395 JB524296:JB524395 F524296:F524395 WVN458760:WVN458859 WLR458760:WLR458859 WBV458760:WBV458859 VRZ458760:VRZ458859 VID458760:VID458859 UYH458760:UYH458859 UOL458760:UOL458859 UEP458760:UEP458859 TUT458760:TUT458859 TKX458760:TKX458859 TBB458760:TBB458859 SRF458760:SRF458859 SHJ458760:SHJ458859 RXN458760:RXN458859 RNR458760:RNR458859 RDV458760:RDV458859 QTZ458760:QTZ458859 QKD458760:QKD458859 QAH458760:QAH458859 PQL458760:PQL458859 PGP458760:PGP458859 OWT458760:OWT458859 OMX458760:OMX458859 ODB458760:ODB458859 NTF458760:NTF458859 NJJ458760:NJJ458859 MZN458760:MZN458859 MPR458760:MPR458859 MFV458760:MFV458859 LVZ458760:LVZ458859 LMD458760:LMD458859 LCH458760:LCH458859 KSL458760:KSL458859 KIP458760:KIP458859 JYT458760:JYT458859 JOX458760:JOX458859 JFB458760:JFB458859 IVF458760:IVF458859 ILJ458760:ILJ458859 IBN458760:IBN458859 HRR458760:HRR458859 HHV458760:HHV458859 GXZ458760:GXZ458859 GOD458760:GOD458859 GEH458760:GEH458859 FUL458760:FUL458859 FKP458760:FKP458859 FAT458760:FAT458859 EQX458760:EQX458859 EHB458760:EHB458859 DXF458760:DXF458859 DNJ458760:DNJ458859 DDN458760:DDN458859 CTR458760:CTR458859 CJV458760:CJV458859 BZZ458760:BZZ458859 BQD458760:BQD458859 BGH458760:BGH458859 AWL458760:AWL458859 AMP458760:AMP458859 ACT458760:ACT458859 SX458760:SX458859 JB458760:JB458859 F458760:F458859 WVN393224:WVN393323 WLR393224:WLR393323 WBV393224:WBV393323 VRZ393224:VRZ393323 VID393224:VID393323 UYH393224:UYH393323 UOL393224:UOL393323 UEP393224:UEP393323 TUT393224:TUT393323 TKX393224:TKX393323 TBB393224:TBB393323 SRF393224:SRF393323 SHJ393224:SHJ393323 RXN393224:RXN393323 RNR393224:RNR393323 RDV393224:RDV393323 QTZ393224:QTZ393323 QKD393224:QKD393323 QAH393224:QAH393323 PQL393224:PQL393323 PGP393224:PGP393323 OWT393224:OWT393323 OMX393224:OMX393323 ODB393224:ODB393323 NTF393224:NTF393323 NJJ393224:NJJ393323 MZN393224:MZN393323 MPR393224:MPR393323 MFV393224:MFV393323 LVZ393224:LVZ393323 LMD393224:LMD393323 LCH393224:LCH393323 KSL393224:KSL393323 KIP393224:KIP393323 JYT393224:JYT393323 JOX393224:JOX393323 JFB393224:JFB393323 IVF393224:IVF393323 ILJ393224:ILJ393323 IBN393224:IBN393323 HRR393224:HRR393323 HHV393224:HHV393323 GXZ393224:GXZ393323 GOD393224:GOD393323 GEH393224:GEH393323 FUL393224:FUL393323 FKP393224:FKP393323 FAT393224:FAT393323 EQX393224:EQX393323 EHB393224:EHB393323 DXF393224:DXF393323 DNJ393224:DNJ393323 DDN393224:DDN393323 CTR393224:CTR393323 CJV393224:CJV393323 BZZ393224:BZZ393323 BQD393224:BQD393323 BGH393224:BGH393323 AWL393224:AWL393323 AMP393224:AMP393323 ACT393224:ACT393323 SX393224:SX393323 JB393224:JB393323 F393224:F393323 WVN327688:WVN327787 WLR327688:WLR327787 WBV327688:WBV327787 VRZ327688:VRZ327787 VID327688:VID327787 UYH327688:UYH327787 UOL327688:UOL327787 UEP327688:UEP327787 TUT327688:TUT327787 TKX327688:TKX327787 TBB327688:TBB327787 SRF327688:SRF327787 SHJ327688:SHJ327787 RXN327688:RXN327787 RNR327688:RNR327787 RDV327688:RDV327787 QTZ327688:QTZ327787 QKD327688:QKD327787 QAH327688:QAH327787 PQL327688:PQL327787 PGP327688:PGP327787 OWT327688:OWT327787 OMX327688:OMX327787 ODB327688:ODB327787 NTF327688:NTF327787 NJJ327688:NJJ327787 MZN327688:MZN327787 MPR327688:MPR327787 MFV327688:MFV327787 LVZ327688:LVZ327787 LMD327688:LMD327787 LCH327688:LCH327787 KSL327688:KSL327787 KIP327688:KIP327787 JYT327688:JYT327787 JOX327688:JOX327787 JFB327688:JFB327787 IVF327688:IVF327787 ILJ327688:ILJ327787 IBN327688:IBN327787 HRR327688:HRR327787 HHV327688:HHV327787 GXZ327688:GXZ327787 GOD327688:GOD327787 GEH327688:GEH327787 FUL327688:FUL327787 FKP327688:FKP327787 FAT327688:FAT327787 EQX327688:EQX327787 EHB327688:EHB327787 DXF327688:DXF327787 DNJ327688:DNJ327787 DDN327688:DDN327787 CTR327688:CTR327787 CJV327688:CJV327787 BZZ327688:BZZ327787 BQD327688:BQD327787 BGH327688:BGH327787 AWL327688:AWL327787 AMP327688:AMP327787 ACT327688:ACT327787 SX327688:SX327787 JB327688:JB327787 F327688:F327787 WVN262152:WVN262251 WLR262152:WLR262251 WBV262152:WBV262251 VRZ262152:VRZ262251 VID262152:VID262251 UYH262152:UYH262251 UOL262152:UOL262251 UEP262152:UEP262251 TUT262152:TUT262251 TKX262152:TKX262251 TBB262152:TBB262251 SRF262152:SRF262251 SHJ262152:SHJ262251 RXN262152:RXN262251 RNR262152:RNR262251 RDV262152:RDV262251 QTZ262152:QTZ262251 QKD262152:QKD262251 QAH262152:QAH262251 PQL262152:PQL262251 PGP262152:PGP262251 OWT262152:OWT262251 OMX262152:OMX262251 ODB262152:ODB262251 NTF262152:NTF262251 NJJ262152:NJJ262251 MZN262152:MZN262251 MPR262152:MPR262251 MFV262152:MFV262251 LVZ262152:LVZ262251 LMD262152:LMD262251 LCH262152:LCH262251 KSL262152:KSL262251 KIP262152:KIP262251 JYT262152:JYT262251 JOX262152:JOX262251 JFB262152:JFB262251 IVF262152:IVF262251 ILJ262152:ILJ262251 IBN262152:IBN262251 HRR262152:HRR262251 HHV262152:HHV262251 GXZ262152:GXZ262251 GOD262152:GOD262251 GEH262152:GEH262251 FUL262152:FUL262251 FKP262152:FKP262251 FAT262152:FAT262251 EQX262152:EQX262251 EHB262152:EHB262251 DXF262152:DXF262251 DNJ262152:DNJ262251 DDN262152:DDN262251 CTR262152:CTR262251 CJV262152:CJV262251 BZZ262152:BZZ262251 BQD262152:BQD262251 BGH262152:BGH262251 AWL262152:AWL262251 AMP262152:AMP262251 ACT262152:ACT262251 SX262152:SX262251 JB262152:JB262251 F262152:F262251 WVN196616:WVN196715 WLR196616:WLR196715 WBV196616:WBV196715 VRZ196616:VRZ196715 VID196616:VID196715 UYH196616:UYH196715 UOL196616:UOL196715 UEP196616:UEP196715 TUT196616:TUT196715 TKX196616:TKX196715 TBB196616:TBB196715 SRF196616:SRF196715 SHJ196616:SHJ196715 RXN196616:RXN196715 RNR196616:RNR196715 RDV196616:RDV196715 QTZ196616:QTZ196715 QKD196616:QKD196715 QAH196616:QAH196715 PQL196616:PQL196715 PGP196616:PGP196715 OWT196616:OWT196715 OMX196616:OMX196715 ODB196616:ODB196715 NTF196616:NTF196715 NJJ196616:NJJ196715 MZN196616:MZN196715 MPR196616:MPR196715 MFV196616:MFV196715 LVZ196616:LVZ196715 LMD196616:LMD196715 LCH196616:LCH196715 KSL196616:KSL196715 KIP196616:KIP196715 JYT196616:JYT196715 JOX196616:JOX196715 JFB196616:JFB196715 IVF196616:IVF196715 ILJ196616:ILJ196715 IBN196616:IBN196715 HRR196616:HRR196715 HHV196616:HHV196715 GXZ196616:GXZ196715 GOD196616:GOD196715 GEH196616:GEH196715 FUL196616:FUL196715 FKP196616:FKP196715 FAT196616:FAT196715 EQX196616:EQX196715 EHB196616:EHB196715 DXF196616:DXF196715 DNJ196616:DNJ196715 DDN196616:DDN196715 CTR196616:CTR196715 CJV196616:CJV196715 BZZ196616:BZZ196715 BQD196616:BQD196715 BGH196616:BGH196715 AWL196616:AWL196715 AMP196616:AMP196715 ACT196616:ACT196715 SX196616:SX196715 JB196616:JB196715 F196616:F196715 WVN131080:WVN131179 WLR131080:WLR131179 WBV131080:WBV131179 VRZ131080:VRZ131179 VID131080:VID131179 UYH131080:UYH131179 UOL131080:UOL131179 UEP131080:UEP131179 TUT131080:TUT131179 TKX131080:TKX131179 TBB131080:TBB131179 SRF131080:SRF131179 SHJ131080:SHJ131179 RXN131080:RXN131179 RNR131080:RNR131179 RDV131080:RDV131179 QTZ131080:QTZ131179 QKD131080:QKD131179 QAH131080:QAH131179 PQL131080:PQL131179 PGP131080:PGP131179 OWT131080:OWT131179 OMX131080:OMX131179 ODB131080:ODB131179 NTF131080:NTF131179 NJJ131080:NJJ131179 MZN131080:MZN131179 MPR131080:MPR131179 MFV131080:MFV131179 LVZ131080:LVZ131179 LMD131080:LMD131179 LCH131080:LCH131179 KSL131080:KSL131179 KIP131080:KIP131179 JYT131080:JYT131179 JOX131080:JOX131179 JFB131080:JFB131179 IVF131080:IVF131179 ILJ131080:ILJ131179 IBN131080:IBN131179 HRR131080:HRR131179 HHV131080:HHV131179 GXZ131080:GXZ131179 GOD131080:GOD131179 GEH131080:GEH131179 FUL131080:FUL131179 FKP131080:FKP131179 FAT131080:FAT131179 EQX131080:EQX131179 EHB131080:EHB131179 DXF131080:DXF131179 DNJ131080:DNJ131179 DDN131080:DDN131179 CTR131080:CTR131179 CJV131080:CJV131179 BZZ131080:BZZ131179 BQD131080:BQD131179 BGH131080:BGH131179 AWL131080:AWL131179 AMP131080:AMP131179 ACT131080:ACT131179 SX131080:SX131179 JB131080:JB131179 F131080:F131179 WVN65544:WVN65643 WLR65544:WLR65643 WBV65544:WBV65643 VRZ65544:VRZ65643 VID65544:VID65643 UYH65544:UYH65643 UOL65544:UOL65643 UEP65544:UEP65643 TUT65544:TUT65643 TKX65544:TKX65643 TBB65544:TBB65643 SRF65544:SRF65643 SHJ65544:SHJ65643 RXN65544:RXN65643 RNR65544:RNR65643 RDV65544:RDV65643 QTZ65544:QTZ65643 QKD65544:QKD65643 QAH65544:QAH65643 PQL65544:PQL65643 PGP65544:PGP65643 OWT65544:OWT65643 OMX65544:OMX65643 ODB65544:ODB65643 NTF65544:NTF65643 NJJ65544:NJJ65643 MZN65544:MZN65643 MPR65544:MPR65643 MFV65544:MFV65643 LVZ65544:LVZ65643 LMD65544:LMD65643 LCH65544:LCH65643 KSL65544:KSL65643 KIP65544:KIP65643 JYT65544:JYT65643 JOX65544:JOX65643 JFB65544:JFB65643 IVF65544:IVF65643 ILJ65544:ILJ65643 IBN65544:IBN65643 HRR65544:HRR65643 HHV65544:HHV65643 GXZ65544:GXZ65643 GOD65544:GOD65643 GEH65544:GEH65643 FUL65544:FUL65643 FKP65544:FKP65643 FAT65544:FAT65643 EQX65544:EQX65643 EHB65544:EHB65643 DXF65544:DXF65643 DNJ65544:DNJ65643 DDN65544:DDN65643 CTR65544:CTR65643 CJV65544:CJV65643 BZZ65544:BZZ65643 BQD65544:BQD65643 BGH65544:BGH65643 AWL65544:AWL65643 AMP65544:AMP65643 ACT65544:ACT65643 SX65544:SX65643 JB65544:JB65643 F65544:F65643 WVN8:WVN107 WLR8:WLR107 WBV8:WBV107 VRZ8:VRZ107 VID8:VID107 UYH8:UYH107 UOL8:UOL107 UEP8:UEP107 TUT8:TUT107 TKX8:TKX107 TBB8:TBB107 SRF8:SRF107 SHJ8:SHJ107 RXN8:RXN107 RNR8:RNR107 RDV8:RDV107 QTZ8:QTZ107 QKD8:QKD107 QAH8:QAH107 PQL8:PQL107 PGP8:PGP107 OWT8:OWT107 OMX8:OMX107 ODB8:ODB107 NTF8:NTF107 NJJ8:NJJ107 MZN8:MZN107 MPR8:MPR107 MFV8:MFV107 LVZ8:LVZ107 LMD8:LMD107 LCH8:LCH107 KSL8:KSL107 KIP8:KIP107 JYT8:JYT107 JOX8:JOX107 JFB8:JFB107 IVF8:IVF107 ILJ8:ILJ107 IBN8:IBN107 HRR8:HRR107 HHV8:HHV107 GXZ8:GXZ107 GOD8:GOD107 GEH8:GEH107 FUL8:FUL107 FKP8:FKP107 FAT8:FAT107 EQX8:EQX107 EHB8:EHB107 DXF8:DXF107 DNJ8:DNJ107 DDN8:DDN107 CTR8:CTR107 CJV8:CJV107 BZZ8:BZZ107 BQD8:BQD107 BGH8:BGH107 AWL8:AWL107 AMP8:AMP107 ACT8:ACT107 SX8:SX107 F8:F107">
      <formula1>"Quản lý,Văn Thư,Y tế,Kế toán,Dạy 5-6 tuổi,Dạy 4 -5 tuổi,Dạy 3-4 tuổi,Dạy Nhà trẻ,Cấp dưỡng,Bảo vệ,Phục vụ,Khác"</formula1>
    </dataValidation>
    <dataValidation type="list" allowBlank="1" showInputMessage="1" showErrorMessage="1" sqref="JA8:JA107 WVM983048:WVM983147 WLQ983048:WLQ983147 WBU983048:WBU983147 VRY983048:VRY983147 VIC983048:VIC983147 UYG983048:UYG983147 UOK983048:UOK983147 UEO983048:UEO983147 TUS983048:TUS983147 TKW983048:TKW983147 TBA983048:TBA983147 SRE983048:SRE983147 SHI983048:SHI983147 RXM983048:RXM983147 RNQ983048:RNQ983147 RDU983048:RDU983147 QTY983048:QTY983147 QKC983048:QKC983147 QAG983048:QAG983147 PQK983048:PQK983147 PGO983048:PGO983147 OWS983048:OWS983147 OMW983048:OMW983147 ODA983048:ODA983147 NTE983048:NTE983147 NJI983048:NJI983147 MZM983048:MZM983147 MPQ983048:MPQ983147 MFU983048:MFU983147 LVY983048:LVY983147 LMC983048:LMC983147 LCG983048:LCG983147 KSK983048:KSK983147 KIO983048:KIO983147 JYS983048:JYS983147 JOW983048:JOW983147 JFA983048:JFA983147 IVE983048:IVE983147 ILI983048:ILI983147 IBM983048:IBM983147 HRQ983048:HRQ983147 HHU983048:HHU983147 GXY983048:GXY983147 GOC983048:GOC983147 GEG983048:GEG983147 FUK983048:FUK983147 FKO983048:FKO983147 FAS983048:FAS983147 EQW983048:EQW983147 EHA983048:EHA983147 DXE983048:DXE983147 DNI983048:DNI983147 DDM983048:DDM983147 CTQ983048:CTQ983147 CJU983048:CJU983147 BZY983048:BZY983147 BQC983048:BQC983147 BGG983048:BGG983147 AWK983048:AWK983147 AMO983048:AMO983147 ACS983048:ACS983147 SW983048:SW983147 JA983048:JA983147 E983048:E983147 WVM917512:WVM917611 WLQ917512:WLQ917611 WBU917512:WBU917611 VRY917512:VRY917611 VIC917512:VIC917611 UYG917512:UYG917611 UOK917512:UOK917611 UEO917512:UEO917611 TUS917512:TUS917611 TKW917512:TKW917611 TBA917512:TBA917611 SRE917512:SRE917611 SHI917512:SHI917611 RXM917512:RXM917611 RNQ917512:RNQ917611 RDU917512:RDU917611 QTY917512:QTY917611 QKC917512:QKC917611 QAG917512:QAG917611 PQK917512:PQK917611 PGO917512:PGO917611 OWS917512:OWS917611 OMW917512:OMW917611 ODA917512:ODA917611 NTE917512:NTE917611 NJI917512:NJI917611 MZM917512:MZM917611 MPQ917512:MPQ917611 MFU917512:MFU917611 LVY917512:LVY917611 LMC917512:LMC917611 LCG917512:LCG917611 KSK917512:KSK917611 KIO917512:KIO917611 JYS917512:JYS917611 JOW917512:JOW917611 JFA917512:JFA917611 IVE917512:IVE917611 ILI917512:ILI917611 IBM917512:IBM917611 HRQ917512:HRQ917611 HHU917512:HHU917611 GXY917512:GXY917611 GOC917512:GOC917611 GEG917512:GEG917611 FUK917512:FUK917611 FKO917512:FKO917611 FAS917512:FAS917611 EQW917512:EQW917611 EHA917512:EHA917611 DXE917512:DXE917611 DNI917512:DNI917611 DDM917512:DDM917611 CTQ917512:CTQ917611 CJU917512:CJU917611 BZY917512:BZY917611 BQC917512:BQC917611 BGG917512:BGG917611 AWK917512:AWK917611 AMO917512:AMO917611 ACS917512:ACS917611 SW917512:SW917611 JA917512:JA917611 E917512:E917611 WVM851976:WVM852075 WLQ851976:WLQ852075 WBU851976:WBU852075 VRY851976:VRY852075 VIC851976:VIC852075 UYG851976:UYG852075 UOK851976:UOK852075 UEO851976:UEO852075 TUS851976:TUS852075 TKW851976:TKW852075 TBA851976:TBA852075 SRE851976:SRE852075 SHI851976:SHI852075 RXM851976:RXM852075 RNQ851976:RNQ852075 RDU851976:RDU852075 QTY851976:QTY852075 QKC851976:QKC852075 QAG851976:QAG852075 PQK851976:PQK852075 PGO851976:PGO852075 OWS851976:OWS852075 OMW851976:OMW852075 ODA851976:ODA852075 NTE851976:NTE852075 NJI851976:NJI852075 MZM851976:MZM852075 MPQ851976:MPQ852075 MFU851976:MFU852075 LVY851976:LVY852075 LMC851976:LMC852075 LCG851976:LCG852075 KSK851976:KSK852075 KIO851976:KIO852075 JYS851976:JYS852075 JOW851976:JOW852075 JFA851976:JFA852075 IVE851976:IVE852075 ILI851976:ILI852075 IBM851976:IBM852075 HRQ851976:HRQ852075 HHU851976:HHU852075 GXY851976:GXY852075 GOC851976:GOC852075 GEG851976:GEG852075 FUK851976:FUK852075 FKO851976:FKO852075 FAS851976:FAS852075 EQW851976:EQW852075 EHA851976:EHA852075 DXE851976:DXE852075 DNI851976:DNI852075 DDM851976:DDM852075 CTQ851976:CTQ852075 CJU851976:CJU852075 BZY851976:BZY852075 BQC851976:BQC852075 BGG851976:BGG852075 AWK851976:AWK852075 AMO851976:AMO852075 ACS851976:ACS852075 SW851976:SW852075 JA851976:JA852075 E851976:E852075 WVM786440:WVM786539 WLQ786440:WLQ786539 WBU786440:WBU786539 VRY786440:VRY786539 VIC786440:VIC786539 UYG786440:UYG786539 UOK786440:UOK786539 UEO786440:UEO786539 TUS786440:TUS786539 TKW786440:TKW786539 TBA786440:TBA786539 SRE786440:SRE786539 SHI786440:SHI786539 RXM786440:RXM786539 RNQ786440:RNQ786539 RDU786440:RDU786539 QTY786440:QTY786539 QKC786440:QKC786539 QAG786440:QAG786539 PQK786440:PQK786539 PGO786440:PGO786539 OWS786440:OWS786539 OMW786440:OMW786539 ODA786440:ODA786539 NTE786440:NTE786539 NJI786440:NJI786539 MZM786440:MZM786539 MPQ786440:MPQ786539 MFU786440:MFU786539 LVY786440:LVY786539 LMC786440:LMC786539 LCG786440:LCG786539 KSK786440:KSK786539 KIO786440:KIO786539 JYS786440:JYS786539 JOW786440:JOW786539 JFA786440:JFA786539 IVE786440:IVE786539 ILI786440:ILI786539 IBM786440:IBM786539 HRQ786440:HRQ786539 HHU786440:HHU786539 GXY786440:GXY786539 GOC786440:GOC786539 GEG786440:GEG786539 FUK786440:FUK786539 FKO786440:FKO786539 FAS786440:FAS786539 EQW786440:EQW786539 EHA786440:EHA786539 DXE786440:DXE786539 DNI786440:DNI786539 DDM786440:DDM786539 CTQ786440:CTQ786539 CJU786440:CJU786539 BZY786440:BZY786539 BQC786440:BQC786539 BGG786440:BGG786539 AWK786440:AWK786539 AMO786440:AMO786539 ACS786440:ACS786539 SW786440:SW786539 JA786440:JA786539 E786440:E786539 WVM720904:WVM721003 WLQ720904:WLQ721003 WBU720904:WBU721003 VRY720904:VRY721003 VIC720904:VIC721003 UYG720904:UYG721003 UOK720904:UOK721003 UEO720904:UEO721003 TUS720904:TUS721003 TKW720904:TKW721003 TBA720904:TBA721003 SRE720904:SRE721003 SHI720904:SHI721003 RXM720904:RXM721003 RNQ720904:RNQ721003 RDU720904:RDU721003 QTY720904:QTY721003 QKC720904:QKC721003 QAG720904:QAG721003 PQK720904:PQK721003 PGO720904:PGO721003 OWS720904:OWS721003 OMW720904:OMW721003 ODA720904:ODA721003 NTE720904:NTE721003 NJI720904:NJI721003 MZM720904:MZM721003 MPQ720904:MPQ721003 MFU720904:MFU721003 LVY720904:LVY721003 LMC720904:LMC721003 LCG720904:LCG721003 KSK720904:KSK721003 KIO720904:KIO721003 JYS720904:JYS721003 JOW720904:JOW721003 JFA720904:JFA721003 IVE720904:IVE721003 ILI720904:ILI721003 IBM720904:IBM721003 HRQ720904:HRQ721003 HHU720904:HHU721003 GXY720904:GXY721003 GOC720904:GOC721003 GEG720904:GEG721003 FUK720904:FUK721003 FKO720904:FKO721003 FAS720904:FAS721003 EQW720904:EQW721003 EHA720904:EHA721003 DXE720904:DXE721003 DNI720904:DNI721003 DDM720904:DDM721003 CTQ720904:CTQ721003 CJU720904:CJU721003 BZY720904:BZY721003 BQC720904:BQC721003 BGG720904:BGG721003 AWK720904:AWK721003 AMO720904:AMO721003 ACS720904:ACS721003 SW720904:SW721003 JA720904:JA721003 E720904:E721003 WVM655368:WVM655467 WLQ655368:WLQ655467 WBU655368:WBU655467 VRY655368:VRY655467 VIC655368:VIC655467 UYG655368:UYG655467 UOK655368:UOK655467 UEO655368:UEO655467 TUS655368:TUS655467 TKW655368:TKW655467 TBA655368:TBA655467 SRE655368:SRE655467 SHI655368:SHI655467 RXM655368:RXM655467 RNQ655368:RNQ655467 RDU655368:RDU655467 QTY655368:QTY655467 QKC655368:QKC655467 QAG655368:QAG655467 PQK655368:PQK655467 PGO655368:PGO655467 OWS655368:OWS655467 OMW655368:OMW655467 ODA655368:ODA655467 NTE655368:NTE655467 NJI655368:NJI655467 MZM655368:MZM655467 MPQ655368:MPQ655467 MFU655368:MFU655467 LVY655368:LVY655467 LMC655368:LMC655467 LCG655368:LCG655467 KSK655368:KSK655467 KIO655368:KIO655467 JYS655368:JYS655467 JOW655368:JOW655467 JFA655368:JFA655467 IVE655368:IVE655467 ILI655368:ILI655467 IBM655368:IBM655467 HRQ655368:HRQ655467 HHU655368:HHU655467 GXY655368:GXY655467 GOC655368:GOC655467 GEG655368:GEG655467 FUK655368:FUK655467 FKO655368:FKO655467 FAS655368:FAS655467 EQW655368:EQW655467 EHA655368:EHA655467 DXE655368:DXE655467 DNI655368:DNI655467 DDM655368:DDM655467 CTQ655368:CTQ655467 CJU655368:CJU655467 BZY655368:BZY655467 BQC655368:BQC655467 BGG655368:BGG655467 AWK655368:AWK655467 AMO655368:AMO655467 ACS655368:ACS655467 SW655368:SW655467 JA655368:JA655467 E655368:E655467 WVM589832:WVM589931 WLQ589832:WLQ589931 WBU589832:WBU589931 VRY589832:VRY589931 VIC589832:VIC589931 UYG589832:UYG589931 UOK589832:UOK589931 UEO589832:UEO589931 TUS589832:TUS589931 TKW589832:TKW589931 TBA589832:TBA589931 SRE589832:SRE589931 SHI589832:SHI589931 RXM589832:RXM589931 RNQ589832:RNQ589931 RDU589832:RDU589931 QTY589832:QTY589931 QKC589832:QKC589931 QAG589832:QAG589931 PQK589832:PQK589931 PGO589832:PGO589931 OWS589832:OWS589931 OMW589832:OMW589931 ODA589832:ODA589931 NTE589832:NTE589931 NJI589832:NJI589931 MZM589832:MZM589931 MPQ589832:MPQ589931 MFU589832:MFU589931 LVY589832:LVY589931 LMC589832:LMC589931 LCG589832:LCG589931 KSK589832:KSK589931 KIO589832:KIO589931 JYS589832:JYS589931 JOW589832:JOW589931 JFA589832:JFA589931 IVE589832:IVE589931 ILI589832:ILI589931 IBM589832:IBM589931 HRQ589832:HRQ589931 HHU589832:HHU589931 GXY589832:GXY589931 GOC589832:GOC589931 GEG589832:GEG589931 FUK589832:FUK589931 FKO589832:FKO589931 FAS589832:FAS589931 EQW589832:EQW589931 EHA589832:EHA589931 DXE589832:DXE589931 DNI589832:DNI589931 DDM589832:DDM589931 CTQ589832:CTQ589931 CJU589832:CJU589931 BZY589832:BZY589931 BQC589832:BQC589931 BGG589832:BGG589931 AWK589832:AWK589931 AMO589832:AMO589931 ACS589832:ACS589931 SW589832:SW589931 JA589832:JA589931 E589832:E589931 WVM524296:WVM524395 WLQ524296:WLQ524395 WBU524296:WBU524395 VRY524296:VRY524395 VIC524296:VIC524395 UYG524296:UYG524395 UOK524296:UOK524395 UEO524296:UEO524395 TUS524296:TUS524395 TKW524296:TKW524395 TBA524296:TBA524395 SRE524296:SRE524395 SHI524296:SHI524395 RXM524296:RXM524395 RNQ524296:RNQ524395 RDU524296:RDU524395 QTY524296:QTY524395 QKC524296:QKC524395 QAG524296:QAG524395 PQK524296:PQK524395 PGO524296:PGO524395 OWS524296:OWS524395 OMW524296:OMW524395 ODA524296:ODA524395 NTE524296:NTE524395 NJI524296:NJI524395 MZM524296:MZM524395 MPQ524296:MPQ524395 MFU524296:MFU524395 LVY524296:LVY524395 LMC524296:LMC524395 LCG524296:LCG524395 KSK524296:KSK524395 KIO524296:KIO524395 JYS524296:JYS524395 JOW524296:JOW524395 JFA524296:JFA524395 IVE524296:IVE524395 ILI524296:ILI524395 IBM524296:IBM524395 HRQ524296:HRQ524395 HHU524296:HHU524395 GXY524296:GXY524395 GOC524296:GOC524395 GEG524296:GEG524395 FUK524296:FUK524395 FKO524296:FKO524395 FAS524296:FAS524395 EQW524296:EQW524395 EHA524296:EHA524395 DXE524296:DXE524395 DNI524296:DNI524395 DDM524296:DDM524395 CTQ524296:CTQ524395 CJU524296:CJU524395 BZY524296:BZY524395 BQC524296:BQC524395 BGG524296:BGG524395 AWK524296:AWK524395 AMO524296:AMO524395 ACS524296:ACS524395 SW524296:SW524395 JA524296:JA524395 E524296:E524395 WVM458760:WVM458859 WLQ458760:WLQ458859 WBU458760:WBU458859 VRY458760:VRY458859 VIC458760:VIC458859 UYG458760:UYG458859 UOK458760:UOK458859 UEO458760:UEO458859 TUS458760:TUS458859 TKW458760:TKW458859 TBA458760:TBA458859 SRE458760:SRE458859 SHI458760:SHI458859 RXM458760:RXM458859 RNQ458760:RNQ458859 RDU458760:RDU458859 QTY458760:QTY458859 QKC458760:QKC458859 QAG458760:QAG458859 PQK458760:PQK458859 PGO458760:PGO458859 OWS458760:OWS458859 OMW458760:OMW458859 ODA458760:ODA458859 NTE458760:NTE458859 NJI458760:NJI458859 MZM458760:MZM458859 MPQ458760:MPQ458859 MFU458760:MFU458859 LVY458760:LVY458859 LMC458760:LMC458859 LCG458760:LCG458859 KSK458760:KSK458859 KIO458760:KIO458859 JYS458760:JYS458859 JOW458760:JOW458859 JFA458760:JFA458859 IVE458760:IVE458859 ILI458760:ILI458859 IBM458760:IBM458859 HRQ458760:HRQ458859 HHU458760:HHU458859 GXY458760:GXY458859 GOC458760:GOC458859 GEG458760:GEG458859 FUK458760:FUK458859 FKO458760:FKO458859 FAS458760:FAS458859 EQW458760:EQW458859 EHA458760:EHA458859 DXE458760:DXE458859 DNI458760:DNI458859 DDM458760:DDM458859 CTQ458760:CTQ458859 CJU458760:CJU458859 BZY458760:BZY458859 BQC458760:BQC458859 BGG458760:BGG458859 AWK458760:AWK458859 AMO458760:AMO458859 ACS458760:ACS458859 SW458760:SW458859 JA458760:JA458859 E458760:E458859 WVM393224:WVM393323 WLQ393224:WLQ393323 WBU393224:WBU393323 VRY393224:VRY393323 VIC393224:VIC393323 UYG393224:UYG393323 UOK393224:UOK393323 UEO393224:UEO393323 TUS393224:TUS393323 TKW393224:TKW393323 TBA393224:TBA393323 SRE393224:SRE393323 SHI393224:SHI393323 RXM393224:RXM393323 RNQ393224:RNQ393323 RDU393224:RDU393323 QTY393224:QTY393323 QKC393224:QKC393323 QAG393224:QAG393323 PQK393224:PQK393323 PGO393224:PGO393323 OWS393224:OWS393323 OMW393224:OMW393323 ODA393224:ODA393323 NTE393224:NTE393323 NJI393224:NJI393323 MZM393224:MZM393323 MPQ393224:MPQ393323 MFU393224:MFU393323 LVY393224:LVY393323 LMC393224:LMC393323 LCG393224:LCG393323 KSK393224:KSK393323 KIO393224:KIO393323 JYS393224:JYS393323 JOW393224:JOW393323 JFA393224:JFA393323 IVE393224:IVE393323 ILI393224:ILI393323 IBM393224:IBM393323 HRQ393224:HRQ393323 HHU393224:HHU393323 GXY393224:GXY393323 GOC393224:GOC393323 GEG393224:GEG393323 FUK393224:FUK393323 FKO393224:FKO393323 FAS393224:FAS393323 EQW393224:EQW393323 EHA393224:EHA393323 DXE393224:DXE393323 DNI393224:DNI393323 DDM393224:DDM393323 CTQ393224:CTQ393323 CJU393224:CJU393323 BZY393224:BZY393323 BQC393224:BQC393323 BGG393224:BGG393323 AWK393224:AWK393323 AMO393224:AMO393323 ACS393224:ACS393323 SW393224:SW393323 JA393224:JA393323 E393224:E393323 WVM327688:WVM327787 WLQ327688:WLQ327787 WBU327688:WBU327787 VRY327688:VRY327787 VIC327688:VIC327787 UYG327688:UYG327787 UOK327688:UOK327787 UEO327688:UEO327787 TUS327688:TUS327787 TKW327688:TKW327787 TBA327688:TBA327787 SRE327688:SRE327787 SHI327688:SHI327787 RXM327688:RXM327787 RNQ327688:RNQ327787 RDU327688:RDU327787 QTY327688:QTY327787 QKC327688:QKC327787 QAG327688:QAG327787 PQK327688:PQK327787 PGO327688:PGO327787 OWS327688:OWS327787 OMW327688:OMW327787 ODA327688:ODA327787 NTE327688:NTE327787 NJI327688:NJI327787 MZM327688:MZM327787 MPQ327688:MPQ327787 MFU327688:MFU327787 LVY327688:LVY327787 LMC327688:LMC327787 LCG327688:LCG327787 KSK327688:KSK327787 KIO327688:KIO327787 JYS327688:JYS327787 JOW327688:JOW327787 JFA327688:JFA327787 IVE327688:IVE327787 ILI327688:ILI327787 IBM327688:IBM327787 HRQ327688:HRQ327787 HHU327688:HHU327787 GXY327688:GXY327787 GOC327688:GOC327787 GEG327688:GEG327787 FUK327688:FUK327787 FKO327688:FKO327787 FAS327688:FAS327787 EQW327688:EQW327787 EHA327688:EHA327787 DXE327688:DXE327787 DNI327688:DNI327787 DDM327688:DDM327787 CTQ327688:CTQ327787 CJU327688:CJU327787 BZY327688:BZY327787 BQC327688:BQC327787 BGG327688:BGG327787 AWK327688:AWK327787 AMO327688:AMO327787 ACS327688:ACS327787 SW327688:SW327787 JA327688:JA327787 E327688:E327787 WVM262152:WVM262251 WLQ262152:WLQ262251 WBU262152:WBU262251 VRY262152:VRY262251 VIC262152:VIC262251 UYG262152:UYG262251 UOK262152:UOK262251 UEO262152:UEO262251 TUS262152:TUS262251 TKW262152:TKW262251 TBA262152:TBA262251 SRE262152:SRE262251 SHI262152:SHI262251 RXM262152:RXM262251 RNQ262152:RNQ262251 RDU262152:RDU262251 QTY262152:QTY262251 QKC262152:QKC262251 QAG262152:QAG262251 PQK262152:PQK262251 PGO262152:PGO262251 OWS262152:OWS262251 OMW262152:OMW262251 ODA262152:ODA262251 NTE262152:NTE262251 NJI262152:NJI262251 MZM262152:MZM262251 MPQ262152:MPQ262251 MFU262152:MFU262251 LVY262152:LVY262251 LMC262152:LMC262251 LCG262152:LCG262251 KSK262152:KSK262251 KIO262152:KIO262251 JYS262152:JYS262251 JOW262152:JOW262251 JFA262152:JFA262251 IVE262152:IVE262251 ILI262152:ILI262251 IBM262152:IBM262251 HRQ262152:HRQ262251 HHU262152:HHU262251 GXY262152:GXY262251 GOC262152:GOC262251 GEG262152:GEG262251 FUK262152:FUK262251 FKO262152:FKO262251 FAS262152:FAS262251 EQW262152:EQW262251 EHA262152:EHA262251 DXE262152:DXE262251 DNI262152:DNI262251 DDM262152:DDM262251 CTQ262152:CTQ262251 CJU262152:CJU262251 BZY262152:BZY262251 BQC262152:BQC262251 BGG262152:BGG262251 AWK262152:AWK262251 AMO262152:AMO262251 ACS262152:ACS262251 SW262152:SW262251 JA262152:JA262251 E262152:E262251 WVM196616:WVM196715 WLQ196616:WLQ196715 WBU196616:WBU196715 VRY196616:VRY196715 VIC196616:VIC196715 UYG196616:UYG196715 UOK196616:UOK196715 UEO196616:UEO196715 TUS196616:TUS196715 TKW196616:TKW196715 TBA196616:TBA196715 SRE196616:SRE196715 SHI196616:SHI196715 RXM196616:RXM196715 RNQ196616:RNQ196715 RDU196616:RDU196715 QTY196616:QTY196715 QKC196616:QKC196715 QAG196616:QAG196715 PQK196616:PQK196715 PGO196616:PGO196715 OWS196616:OWS196715 OMW196616:OMW196715 ODA196616:ODA196715 NTE196616:NTE196715 NJI196616:NJI196715 MZM196616:MZM196715 MPQ196616:MPQ196715 MFU196616:MFU196715 LVY196616:LVY196715 LMC196616:LMC196715 LCG196616:LCG196715 KSK196616:KSK196715 KIO196616:KIO196715 JYS196616:JYS196715 JOW196616:JOW196715 JFA196616:JFA196715 IVE196616:IVE196715 ILI196616:ILI196715 IBM196616:IBM196715 HRQ196616:HRQ196715 HHU196616:HHU196715 GXY196616:GXY196715 GOC196616:GOC196715 GEG196616:GEG196715 FUK196616:FUK196715 FKO196616:FKO196715 FAS196616:FAS196715 EQW196616:EQW196715 EHA196616:EHA196715 DXE196616:DXE196715 DNI196616:DNI196715 DDM196616:DDM196715 CTQ196616:CTQ196715 CJU196616:CJU196715 BZY196616:BZY196715 BQC196616:BQC196715 BGG196616:BGG196715 AWK196616:AWK196715 AMO196616:AMO196715 ACS196616:ACS196715 SW196616:SW196715 JA196616:JA196715 E196616:E196715 WVM131080:WVM131179 WLQ131080:WLQ131179 WBU131080:WBU131179 VRY131080:VRY131179 VIC131080:VIC131179 UYG131080:UYG131179 UOK131080:UOK131179 UEO131080:UEO131179 TUS131080:TUS131179 TKW131080:TKW131179 TBA131080:TBA131179 SRE131080:SRE131179 SHI131080:SHI131179 RXM131080:RXM131179 RNQ131080:RNQ131179 RDU131080:RDU131179 QTY131080:QTY131179 QKC131080:QKC131179 QAG131080:QAG131179 PQK131080:PQK131179 PGO131080:PGO131179 OWS131080:OWS131179 OMW131080:OMW131179 ODA131080:ODA131179 NTE131080:NTE131179 NJI131080:NJI131179 MZM131080:MZM131179 MPQ131080:MPQ131179 MFU131080:MFU131179 LVY131080:LVY131179 LMC131080:LMC131179 LCG131080:LCG131179 KSK131080:KSK131179 KIO131080:KIO131179 JYS131080:JYS131179 JOW131080:JOW131179 JFA131080:JFA131179 IVE131080:IVE131179 ILI131080:ILI131179 IBM131080:IBM131179 HRQ131080:HRQ131179 HHU131080:HHU131179 GXY131080:GXY131179 GOC131080:GOC131179 GEG131080:GEG131179 FUK131080:FUK131179 FKO131080:FKO131179 FAS131080:FAS131179 EQW131080:EQW131179 EHA131080:EHA131179 DXE131080:DXE131179 DNI131080:DNI131179 DDM131080:DDM131179 CTQ131080:CTQ131179 CJU131080:CJU131179 BZY131080:BZY131179 BQC131080:BQC131179 BGG131080:BGG131179 AWK131080:AWK131179 AMO131080:AMO131179 ACS131080:ACS131179 SW131080:SW131179 JA131080:JA131179 E131080:E131179 WVM65544:WVM65643 WLQ65544:WLQ65643 WBU65544:WBU65643 VRY65544:VRY65643 VIC65544:VIC65643 UYG65544:UYG65643 UOK65544:UOK65643 UEO65544:UEO65643 TUS65544:TUS65643 TKW65544:TKW65643 TBA65544:TBA65643 SRE65544:SRE65643 SHI65544:SHI65643 RXM65544:RXM65643 RNQ65544:RNQ65643 RDU65544:RDU65643 QTY65544:QTY65643 QKC65544:QKC65643 QAG65544:QAG65643 PQK65544:PQK65643 PGO65544:PGO65643 OWS65544:OWS65643 OMW65544:OMW65643 ODA65544:ODA65643 NTE65544:NTE65643 NJI65544:NJI65643 MZM65544:MZM65643 MPQ65544:MPQ65643 MFU65544:MFU65643 LVY65544:LVY65643 LMC65544:LMC65643 LCG65544:LCG65643 KSK65544:KSK65643 KIO65544:KIO65643 JYS65544:JYS65643 JOW65544:JOW65643 JFA65544:JFA65643 IVE65544:IVE65643 ILI65544:ILI65643 IBM65544:IBM65643 HRQ65544:HRQ65643 HHU65544:HHU65643 GXY65544:GXY65643 GOC65544:GOC65643 GEG65544:GEG65643 FUK65544:FUK65643 FKO65544:FKO65643 FAS65544:FAS65643 EQW65544:EQW65643 EHA65544:EHA65643 DXE65544:DXE65643 DNI65544:DNI65643 DDM65544:DDM65643 CTQ65544:CTQ65643 CJU65544:CJU65643 BZY65544:BZY65643 BQC65544:BQC65643 BGG65544:BGG65643 AWK65544:AWK65643 AMO65544:AMO65643 ACS65544:ACS65643 SW65544:SW65643 JA65544:JA65643 E65544:E65643 WVM8:WVM107 WLQ8:WLQ107 WBU8:WBU107 VRY8:VRY107 VIC8:VIC107 UYG8:UYG107 UOK8:UOK107 UEO8:UEO107 TUS8:TUS107 TKW8:TKW107 TBA8:TBA107 SRE8:SRE107 SHI8:SHI107 RXM8:RXM107 RNQ8:RNQ107 RDU8:RDU107 QTY8:QTY107 QKC8:QKC107 QAG8:QAG107 PQK8:PQK107 PGO8:PGO107 OWS8:OWS107 OMW8:OMW107 ODA8:ODA107 NTE8:NTE107 NJI8:NJI107 MZM8:MZM107 MPQ8:MPQ107 MFU8:MFU107 LVY8:LVY107 LMC8:LMC107 LCG8:LCG107 KSK8:KSK107 KIO8:KIO107 JYS8:JYS107 JOW8:JOW107 JFA8:JFA107 IVE8:IVE107 ILI8:ILI107 IBM8:IBM107 HRQ8:HRQ107 HHU8:HHU107 GXY8:GXY107 GOC8:GOC107 GEG8:GEG107 FUK8:FUK107 FKO8:FKO107 FAS8:FAS107 EQW8:EQW107 EHA8:EHA107 DXE8:DXE107 DNI8:DNI107 DDM8:DDM107 CTQ8:CTQ107 CJU8:CJU107 BZY8:BZY107 BQC8:BQC107 BGG8:BGG107 AWK8:AWK107 AMO8:AMO107 ACS8:ACS107 SW8:SW107">
      <formula1>"Hiệu trưởng,P.hiệu trưởng,Giáo viên,Tổng PT,Nhân viên"</formula1>
    </dataValidation>
    <dataValidation type="list" allowBlank="1" showInputMessage="1" showErrorMessage="1" sqref="JG8:JG107 WVS983048:WVS983147 WLW983048:WLW983147 WCA983048:WCA983147 VSE983048:VSE983147 VII983048:VII983147 UYM983048:UYM983147 UOQ983048:UOQ983147 UEU983048:UEU983147 TUY983048:TUY983147 TLC983048:TLC983147 TBG983048:TBG983147 SRK983048:SRK983147 SHO983048:SHO983147 RXS983048:RXS983147 RNW983048:RNW983147 REA983048:REA983147 QUE983048:QUE983147 QKI983048:QKI983147 QAM983048:QAM983147 PQQ983048:PQQ983147 PGU983048:PGU983147 OWY983048:OWY983147 ONC983048:ONC983147 ODG983048:ODG983147 NTK983048:NTK983147 NJO983048:NJO983147 MZS983048:MZS983147 MPW983048:MPW983147 MGA983048:MGA983147 LWE983048:LWE983147 LMI983048:LMI983147 LCM983048:LCM983147 KSQ983048:KSQ983147 KIU983048:KIU983147 JYY983048:JYY983147 JPC983048:JPC983147 JFG983048:JFG983147 IVK983048:IVK983147 ILO983048:ILO983147 IBS983048:IBS983147 HRW983048:HRW983147 HIA983048:HIA983147 GYE983048:GYE983147 GOI983048:GOI983147 GEM983048:GEM983147 FUQ983048:FUQ983147 FKU983048:FKU983147 FAY983048:FAY983147 ERC983048:ERC983147 EHG983048:EHG983147 DXK983048:DXK983147 DNO983048:DNO983147 DDS983048:DDS983147 CTW983048:CTW983147 CKA983048:CKA983147 CAE983048:CAE983147 BQI983048:BQI983147 BGM983048:BGM983147 AWQ983048:AWQ983147 AMU983048:AMU983147 ACY983048:ACY983147 TC983048:TC983147 JG983048:JG983147 K983048:K983147 WVS917512:WVS917611 WLW917512:WLW917611 WCA917512:WCA917611 VSE917512:VSE917611 VII917512:VII917611 UYM917512:UYM917611 UOQ917512:UOQ917611 UEU917512:UEU917611 TUY917512:TUY917611 TLC917512:TLC917611 TBG917512:TBG917611 SRK917512:SRK917611 SHO917512:SHO917611 RXS917512:RXS917611 RNW917512:RNW917611 REA917512:REA917611 QUE917512:QUE917611 QKI917512:QKI917611 QAM917512:QAM917611 PQQ917512:PQQ917611 PGU917512:PGU917611 OWY917512:OWY917611 ONC917512:ONC917611 ODG917512:ODG917611 NTK917512:NTK917611 NJO917512:NJO917611 MZS917512:MZS917611 MPW917512:MPW917611 MGA917512:MGA917611 LWE917512:LWE917611 LMI917512:LMI917611 LCM917512:LCM917611 KSQ917512:KSQ917611 KIU917512:KIU917611 JYY917512:JYY917611 JPC917512:JPC917611 JFG917512:JFG917611 IVK917512:IVK917611 ILO917512:ILO917611 IBS917512:IBS917611 HRW917512:HRW917611 HIA917512:HIA917611 GYE917512:GYE917611 GOI917512:GOI917611 GEM917512:GEM917611 FUQ917512:FUQ917611 FKU917512:FKU917611 FAY917512:FAY917611 ERC917512:ERC917611 EHG917512:EHG917611 DXK917512:DXK917611 DNO917512:DNO917611 DDS917512:DDS917611 CTW917512:CTW917611 CKA917512:CKA917611 CAE917512:CAE917611 BQI917512:BQI917611 BGM917512:BGM917611 AWQ917512:AWQ917611 AMU917512:AMU917611 ACY917512:ACY917611 TC917512:TC917611 JG917512:JG917611 K917512:K917611 WVS851976:WVS852075 WLW851976:WLW852075 WCA851976:WCA852075 VSE851976:VSE852075 VII851976:VII852075 UYM851976:UYM852075 UOQ851976:UOQ852075 UEU851976:UEU852075 TUY851976:TUY852075 TLC851976:TLC852075 TBG851976:TBG852075 SRK851976:SRK852075 SHO851976:SHO852075 RXS851976:RXS852075 RNW851976:RNW852075 REA851976:REA852075 QUE851976:QUE852075 QKI851976:QKI852075 QAM851976:QAM852075 PQQ851976:PQQ852075 PGU851976:PGU852075 OWY851976:OWY852075 ONC851976:ONC852075 ODG851976:ODG852075 NTK851976:NTK852075 NJO851976:NJO852075 MZS851976:MZS852075 MPW851976:MPW852075 MGA851976:MGA852075 LWE851976:LWE852075 LMI851976:LMI852075 LCM851976:LCM852075 KSQ851976:KSQ852075 KIU851976:KIU852075 JYY851976:JYY852075 JPC851976:JPC852075 JFG851976:JFG852075 IVK851976:IVK852075 ILO851976:ILO852075 IBS851976:IBS852075 HRW851976:HRW852075 HIA851976:HIA852075 GYE851976:GYE852075 GOI851976:GOI852075 GEM851976:GEM852075 FUQ851976:FUQ852075 FKU851976:FKU852075 FAY851976:FAY852075 ERC851976:ERC852075 EHG851976:EHG852075 DXK851976:DXK852075 DNO851976:DNO852075 DDS851976:DDS852075 CTW851976:CTW852075 CKA851976:CKA852075 CAE851976:CAE852075 BQI851976:BQI852075 BGM851976:BGM852075 AWQ851976:AWQ852075 AMU851976:AMU852075 ACY851976:ACY852075 TC851976:TC852075 JG851976:JG852075 K851976:K852075 WVS786440:WVS786539 WLW786440:WLW786539 WCA786440:WCA786539 VSE786440:VSE786539 VII786440:VII786539 UYM786440:UYM786539 UOQ786440:UOQ786539 UEU786440:UEU786539 TUY786440:TUY786539 TLC786440:TLC786539 TBG786440:TBG786539 SRK786440:SRK786539 SHO786440:SHO786539 RXS786440:RXS786539 RNW786440:RNW786539 REA786440:REA786539 QUE786440:QUE786539 QKI786440:QKI786539 QAM786440:QAM786539 PQQ786440:PQQ786539 PGU786440:PGU786539 OWY786440:OWY786539 ONC786440:ONC786539 ODG786440:ODG786539 NTK786440:NTK786539 NJO786440:NJO786539 MZS786440:MZS786539 MPW786440:MPW786539 MGA786440:MGA786539 LWE786440:LWE786539 LMI786440:LMI786539 LCM786440:LCM786539 KSQ786440:KSQ786539 KIU786440:KIU786539 JYY786440:JYY786539 JPC786440:JPC786539 JFG786440:JFG786539 IVK786440:IVK786539 ILO786440:ILO786539 IBS786440:IBS786539 HRW786440:HRW786539 HIA786440:HIA786539 GYE786440:GYE786539 GOI786440:GOI786539 GEM786440:GEM786539 FUQ786440:FUQ786539 FKU786440:FKU786539 FAY786440:FAY786539 ERC786440:ERC786539 EHG786440:EHG786539 DXK786440:DXK786539 DNO786440:DNO786539 DDS786440:DDS786539 CTW786440:CTW786539 CKA786440:CKA786539 CAE786440:CAE786539 BQI786440:BQI786539 BGM786440:BGM786539 AWQ786440:AWQ786539 AMU786440:AMU786539 ACY786440:ACY786539 TC786440:TC786539 JG786440:JG786539 K786440:K786539 WVS720904:WVS721003 WLW720904:WLW721003 WCA720904:WCA721003 VSE720904:VSE721003 VII720904:VII721003 UYM720904:UYM721003 UOQ720904:UOQ721003 UEU720904:UEU721003 TUY720904:TUY721003 TLC720904:TLC721003 TBG720904:TBG721003 SRK720904:SRK721003 SHO720904:SHO721003 RXS720904:RXS721003 RNW720904:RNW721003 REA720904:REA721003 QUE720904:QUE721003 QKI720904:QKI721003 QAM720904:QAM721003 PQQ720904:PQQ721003 PGU720904:PGU721003 OWY720904:OWY721003 ONC720904:ONC721003 ODG720904:ODG721003 NTK720904:NTK721003 NJO720904:NJO721003 MZS720904:MZS721003 MPW720904:MPW721003 MGA720904:MGA721003 LWE720904:LWE721003 LMI720904:LMI721003 LCM720904:LCM721003 KSQ720904:KSQ721003 KIU720904:KIU721003 JYY720904:JYY721003 JPC720904:JPC721003 JFG720904:JFG721003 IVK720904:IVK721003 ILO720904:ILO721003 IBS720904:IBS721003 HRW720904:HRW721003 HIA720904:HIA721003 GYE720904:GYE721003 GOI720904:GOI721003 GEM720904:GEM721003 FUQ720904:FUQ721003 FKU720904:FKU721003 FAY720904:FAY721003 ERC720904:ERC721003 EHG720904:EHG721003 DXK720904:DXK721003 DNO720904:DNO721003 DDS720904:DDS721003 CTW720904:CTW721003 CKA720904:CKA721003 CAE720904:CAE721003 BQI720904:BQI721003 BGM720904:BGM721003 AWQ720904:AWQ721003 AMU720904:AMU721003 ACY720904:ACY721003 TC720904:TC721003 JG720904:JG721003 K720904:K721003 WVS655368:WVS655467 WLW655368:WLW655467 WCA655368:WCA655467 VSE655368:VSE655467 VII655368:VII655467 UYM655368:UYM655467 UOQ655368:UOQ655467 UEU655368:UEU655467 TUY655368:TUY655467 TLC655368:TLC655467 TBG655368:TBG655467 SRK655368:SRK655467 SHO655368:SHO655467 RXS655368:RXS655467 RNW655368:RNW655467 REA655368:REA655467 QUE655368:QUE655467 QKI655368:QKI655467 QAM655368:QAM655467 PQQ655368:PQQ655467 PGU655368:PGU655467 OWY655368:OWY655467 ONC655368:ONC655467 ODG655368:ODG655467 NTK655368:NTK655467 NJO655368:NJO655467 MZS655368:MZS655467 MPW655368:MPW655467 MGA655368:MGA655467 LWE655368:LWE655467 LMI655368:LMI655467 LCM655368:LCM655467 KSQ655368:KSQ655467 KIU655368:KIU655467 JYY655368:JYY655467 JPC655368:JPC655467 JFG655368:JFG655467 IVK655368:IVK655467 ILO655368:ILO655467 IBS655368:IBS655467 HRW655368:HRW655467 HIA655368:HIA655467 GYE655368:GYE655467 GOI655368:GOI655467 GEM655368:GEM655467 FUQ655368:FUQ655467 FKU655368:FKU655467 FAY655368:FAY655467 ERC655368:ERC655467 EHG655368:EHG655467 DXK655368:DXK655467 DNO655368:DNO655467 DDS655368:DDS655467 CTW655368:CTW655467 CKA655368:CKA655467 CAE655368:CAE655467 BQI655368:BQI655467 BGM655368:BGM655467 AWQ655368:AWQ655467 AMU655368:AMU655467 ACY655368:ACY655467 TC655368:TC655467 JG655368:JG655467 K655368:K655467 WVS589832:WVS589931 WLW589832:WLW589931 WCA589832:WCA589931 VSE589832:VSE589931 VII589832:VII589931 UYM589832:UYM589931 UOQ589832:UOQ589931 UEU589832:UEU589931 TUY589832:TUY589931 TLC589832:TLC589931 TBG589832:TBG589931 SRK589832:SRK589931 SHO589832:SHO589931 RXS589832:RXS589931 RNW589832:RNW589931 REA589832:REA589931 QUE589832:QUE589931 QKI589832:QKI589931 QAM589832:QAM589931 PQQ589832:PQQ589931 PGU589832:PGU589931 OWY589832:OWY589931 ONC589832:ONC589931 ODG589832:ODG589931 NTK589832:NTK589931 NJO589832:NJO589931 MZS589832:MZS589931 MPW589832:MPW589931 MGA589832:MGA589931 LWE589832:LWE589931 LMI589832:LMI589931 LCM589832:LCM589931 KSQ589832:KSQ589931 KIU589832:KIU589931 JYY589832:JYY589931 JPC589832:JPC589931 JFG589832:JFG589931 IVK589832:IVK589931 ILO589832:ILO589931 IBS589832:IBS589931 HRW589832:HRW589931 HIA589832:HIA589931 GYE589832:GYE589931 GOI589832:GOI589931 GEM589832:GEM589931 FUQ589832:FUQ589931 FKU589832:FKU589931 FAY589832:FAY589931 ERC589832:ERC589931 EHG589832:EHG589931 DXK589832:DXK589931 DNO589832:DNO589931 DDS589832:DDS589931 CTW589832:CTW589931 CKA589832:CKA589931 CAE589832:CAE589931 BQI589832:BQI589931 BGM589832:BGM589931 AWQ589832:AWQ589931 AMU589832:AMU589931 ACY589832:ACY589931 TC589832:TC589931 JG589832:JG589931 K589832:K589931 WVS524296:WVS524395 WLW524296:WLW524395 WCA524296:WCA524395 VSE524296:VSE524395 VII524296:VII524395 UYM524296:UYM524395 UOQ524296:UOQ524395 UEU524296:UEU524395 TUY524296:TUY524395 TLC524296:TLC524395 TBG524296:TBG524395 SRK524296:SRK524395 SHO524296:SHO524395 RXS524296:RXS524395 RNW524296:RNW524395 REA524296:REA524395 QUE524296:QUE524395 QKI524296:QKI524395 QAM524296:QAM524395 PQQ524296:PQQ524395 PGU524296:PGU524395 OWY524296:OWY524395 ONC524296:ONC524395 ODG524296:ODG524395 NTK524296:NTK524395 NJO524296:NJO524395 MZS524296:MZS524395 MPW524296:MPW524395 MGA524296:MGA524395 LWE524296:LWE524395 LMI524296:LMI524395 LCM524296:LCM524395 KSQ524296:KSQ524395 KIU524296:KIU524395 JYY524296:JYY524395 JPC524296:JPC524395 JFG524296:JFG524395 IVK524296:IVK524395 ILO524296:ILO524395 IBS524296:IBS524395 HRW524296:HRW524395 HIA524296:HIA524395 GYE524296:GYE524395 GOI524296:GOI524395 GEM524296:GEM524395 FUQ524296:FUQ524395 FKU524296:FKU524395 FAY524296:FAY524395 ERC524296:ERC524395 EHG524296:EHG524395 DXK524296:DXK524395 DNO524296:DNO524395 DDS524296:DDS524395 CTW524296:CTW524395 CKA524296:CKA524395 CAE524296:CAE524395 BQI524296:BQI524395 BGM524296:BGM524395 AWQ524296:AWQ524395 AMU524296:AMU524395 ACY524296:ACY524395 TC524296:TC524395 JG524296:JG524395 K524296:K524395 WVS458760:WVS458859 WLW458760:WLW458859 WCA458760:WCA458859 VSE458760:VSE458859 VII458760:VII458859 UYM458760:UYM458859 UOQ458760:UOQ458859 UEU458760:UEU458859 TUY458760:TUY458859 TLC458760:TLC458859 TBG458760:TBG458859 SRK458760:SRK458859 SHO458760:SHO458859 RXS458760:RXS458859 RNW458760:RNW458859 REA458760:REA458859 QUE458760:QUE458859 QKI458760:QKI458859 QAM458760:QAM458859 PQQ458760:PQQ458859 PGU458760:PGU458859 OWY458760:OWY458859 ONC458760:ONC458859 ODG458760:ODG458859 NTK458760:NTK458859 NJO458760:NJO458859 MZS458760:MZS458859 MPW458760:MPW458859 MGA458760:MGA458859 LWE458760:LWE458859 LMI458760:LMI458859 LCM458760:LCM458859 KSQ458760:KSQ458859 KIU458760:KIU458859 JYY458760:JYY458859 JPC458760:JPC458859 JFG458760:JFG458859 IVK458760:IVK458859 ILO458760:ILO458859 IBS458760:IBS458859 HRW458760:HRW458859 HIA458760:HIA458859 GYE458760:GYE458859 GOI458760:GOI458859 GEM458760:GEM458859 FUQ458760:FUQ458859 FKU458760:FKU458859 FAY458760:FAY458859 ERC458760:ERC458859 EHG458760:EHG458859 DXK458760:DXK458859 DNO458760:DNO458859 DDS458760:DDS458859 CTW458760:CTW458859 CKA458760:CKA458859 CAE458760:CAE458859 BQI458760:BQI458859 BGM458760:BGM458859 AWQ458760:AWQ458859 AMU458760:AMU458859 ACY458760:ACY458859 TC458760:TC458859 JG458760:JG458859 K458760:K458859 WVS393224:WVS393323 WLW393224:WLW393323 WCA393224:WCA393323 VSE393224:VSE393323 VII393224:VII393323 UYM393224:UYM393323 UOQ393224:UOQ393323 UEU393224:UEU393323 TUY393224:TUY393323 TLC393224:TLC393323 TBG393224:TBG393323 SRK393224:SRK393323 SHO393224:SHO393323 RXS393224:RXS393323 RNW393224:RNW393323 REA393224:REA393323 QUE393224:QUE393323 QKI393224:QKI393323 QAM393224:QAM393323 PQQ393224:PQQ393323 PGU393224:PGU393323 OWY393224:OWY393323 ONC393224:ONC393323 ODG393224:ODG393323 NTK393224:NTK393323 NJO393224:NJO393323 MZS393224:MZS393323 MPW393224:MPW393323 MGA393224:MGA393323 LWE393224:LWE393323 LMI393224:LMI393323 LCM393224:LCM393323 KSQ393224:KSQ393323 KIU393224:KIU393323 JYY393224:JYY393323 JPC393224:JPC393323 JFG393224:JFG393323 IVK393224:IVK393323 ILO393224:ILO393323 IBS393224:IBS393323 HRW393224:HRW393323 HIA393224:HIA393323 GYE393224:GYE393323 GOI393224:GOI393323 GEM393224:GEM393323 FUQ393224:FUQ393323 FKU393224:FKU393323 FAY393224:FAY393323 ERC393224:ERC393323 EHG393224:EHG393323 DXK393224:DXK393323 DNO393224:DNO393323 DDS393224:DDS393323 CTW393224:CTW393323 CKA393224:CKA393323 CAE393224:CAE393323 BQI393224:BQI393323 BGM393224:BGM393323 AWQ393224:AWQ393323 AMU393224:AMU393323 ACY393224:ACY393323 TC393224:TC393323 JG393224:JG393323 K393224:K393323 WVS327688:WVS327787 WLW327688:WLW327787 WCA327688:WCA327787 VSE327688:VSE327787 VII327688:VII327787 UYM327688:UYM327787 UOQ327688:UOQ327787 UEU327688:UEU327787 TUY327688:TUY327787 TLC327688:TLC327787 TBG327688:TBG327787 SRK327688:SRK327787 SHO327688:SHO327787 RXS327688:RXS327787 RNW327688:RNW327787 REA327688:REA327787 QUE327688:QUE327787 QKI327688:QKI327787 QAM327688:QAM327787 PQQ327688:PQQ327787 PGU327688:PGU327787 OWY327688:OWY327787 ONC327688:ONC327787 ODG327688:ODG327787 NTK327688:NTK327787 NJO327688:NJO327787 MZS327688:MZS327787 MPW327688:MPW327787 MGA327688:MGA327787 LWE327688:LWE327787 LMI327688:LMI327787 LCM327688:LCM327787 KSQ327688:KSQ327787 KIU327688:KIU327787 JYY327688:JYY327787 JPC327688:JPC327787 JFG327688:JFG327787 IVK327688:IVK327787 ILO327688:ILO327787 IBS327688:IBS327787 HRW327688:HRW327787 HIA327688:HIA327787 GYE327688:GYE327787 GOI327688:GOI327787 GEM327688:GEM327787 FUQ327688:FUQ327787 FKU327688:FKU327787 FAY327688:FAY327787 ERC327688:ERC327787 EHG327688:EHG327787 DXK327688:DXK327787 DNO327688:DNO327787 DDS327688:DDS327787 CTW327688:CTW327787 CKA327688:CKA327787 CAE327688:CAE327787 BQI327688:BQI327787 BGM327688:BGM327787 AWQ327688:AWQ327787 AMU327688:AMU327787 ACY327688:ACY327787 TC327688:TC327787 JG327688:JG327787 K327688:K327787 WVS262152:WVS262251 WLW262152:WLW262251 WCA262152:WCA262251 VSE262152:VSE262251 VII262152:VII262251 UYM262152:UYM262251 UOQ262152:UOQ262251 UEU262152:UEU262251 TUY262152:TUY262251 TLC262152:TLC262251 TBG262152:TBG262251 SRK262152:SRK262251 SHO262152:SHO262251 RXS262152:RXS262251 RNW262152:RNW262251 REA262152:REA262251 QUE262152:QUE262251 QKI262152:QKI262251 QAM262152:QAM262251 PQQ262152:PQQ262251 PGU262152:PGU262251 OWY262152:OWY262251 ONC262152:ONC262251 ODG262152:ODG262251 NTK262152:NTK262251 NJO262152:NJO262251 MZS262152:MZS262251 MPW262152:MPW262251 MGA262152:MGA262251 LWE262152:LWE262251 LMI262152:LMI262251 LCM262152:LCM262251 KSQ262152:KSQ262251 KIU262152:KIU262251 JYY262152:JYY262251 JPC262152:JPC262251 JFG262152:JFG262251 IVK262152:IVK262251 ILO262152:ILO262251 IBS262152:IBS262251 HRW262152:HRW262251 HIA262152:HIA262251 GYE262152:GYE262251 GOI262152:GOI262251 GEM262152:GEM262251 FUQ262152:FUQ262251 FKU262152:FKU262251 FAY262152:FAY262251 ERC262152:ERC262251 EHG262152:EHG262251 DXK262152:DXK262251 DNO262152:DNO262251 DDS262152:DDS262251 CTW262152:CTW262251 CKA262152:CKA262251 CAE262152:CAE262251 BQI262152:BQI262251 BGM262152:BGM262251 AWQ262152:AWQ262251 AMU262152:AMU262251 ACY262152:ACY262251 TC262152:TC262251 JG262152:JG262251 K262152:K262251 WVS196616:WVS196715 WLW196616:WLW196715 WCA196616:WCA196715 VSE196616:VSE196715 VII196616:VII196715 UYM196616:UYM196715 UOQ196616:UOQ196715 UEU196616:UEU196715 TUY196616:TUY196715 TLC196616:TLC196715 TBG196616:TBG196715 SRK196616:SRK196715 SHO196616:SHO196715 RXS196616:RXS196715 RNW196616:RNW196715 REA196616:REA196715 QUE196616:QUE196715 QKI196616:QKI196715 QAM196616:QAM196715 PQQ196616:PQQ196715 PGU196616:PGU196715 OWY196616:OWY196715 ONC196616:ONC196715 ODG196616:ODG196715 NTK196616:NTK196715 NJO196616:NJO196715 MZS196616:MZS196715 MPW196616:MPW196715 MGA196616:MGA196715 LWE196616:LWE196715 LMI196616:LMI196715 LCM196616:LCM196715 KSQ196616:KSQ196715 KIU196616:KIU196715 JYY196616:JYY196715 JPC196616:JPC196715 JFG196616:JFG196715 IVK196616:IVK196715 ILO196616:ILO196715 IBS196616:IBS196715 HRW196616:HRW196715 HIA196616:HIA196715 GYE196616:GYE196715 GOI196616:GOI196715 GEM196616:GEM196715 FUQ196616:FUQ196715 FKU196616:FKU196715 FAY196616:FAY196715 ERC196616:ERC196715 EHG196616:EHG196715 DXK196616:DXK196715 DNO196616:DNO196715 DDS196616:DDS196715 CTW196616:CTW196715 CKA196616:CKA196715 CAE196616:CAE196715 BQI196616:BQI196715 BGM196616:BGM196715 AWQ196616:AWQ196715 AMU196616:AMU196715 ACY196616:ACY196715 TC196616:TC196715 JG196616:JG196715 K196616:K196715 WVS131080:WVS131179 WLW131080:WLW131179 WCA131080:WCA131179 VSE131080:VSE131179 VII131080:VII131179 UYM131080:UYM131179 UOQ131080:UOQ131179 UEU131080:UEU131179 TUY131080:TUY131179 TLC131080:TLC131179 TBG131080:TBG131179 SRK131080:SRK131179 SHO131080:SHO131179 RXS131080:RXS131179 RNW131080:RNW131179 REA131080:REA131179 QUE131080:QUE131179 QKI131080:QKI131179 QAM131080:QAM131179 PQQ131080:PQQ131179 PGU131080:PGU131179 OWY131080:OWY131179 ONC131080:ONC131179 ODG131080:ODG131179 NTK131080:NTK131179 NJO131080:NJO131179 MZS131080:MZS131179 MPW131080:MPW131179 MGA131080:MGA131179 LWE131080:LWE131179 LMI131080:LMI131179 LCM131080:LCM131179 KSQ131080:KSQ131179 KIU131080:KIU131179 JYY131080:JYY131179 JPC131080:JPC131179 JFG131080:JFG131179 IVK131080:IVK131179 ILO131080:ILO131179 IBS131080:IBS131179 HRW131080:HRW131179 HIA131080:HIA131179 GYE131080:GYE131179 GOI131080:GOI131179 GEM131080:GEM131179 FUQ131080:FUQ131179 FKU131080:FKU131179 FAY131080:FAY131179 ERC131080:ERC131179 EHG131080:EHG131179 DXK131080:DXK131179 DNO131080:DNO131179 DDS131080:DDS131179 CTW131080:CTW131179 CKA131080:CKA131179 CAE131080:CAE131179 BQI131080:BQI131179 BGM131080:BGM131179 AWQ131080:AWQ131179 AMU131080:AMU131179 ACY131080:ACY131179 TC131080:TC131179 JG131080:JG131179 K131080:K131179 WVS65544:WVS65643 WLW65544:WLW65643 WCA65544:WCA65643 VSE65544:VSE65643 VII65544:VII65643 UYM65544:UYM65643 UOQ65544:UOQ65643 UEU65544:UEU65643 TUY65544:TUY65643 TLC65544:TLC65643 TBG65544:TBG65643 SRK65544:SRK65643 SHO65544:SHO65643 RXS65544:RXS65643 RNW65544:RNW65643 REA65544:REA65643 QUE65544:QUE65643 QKI65544:QKI65643 QAM65544:QAM65643 PQQ65544:PQQ65643 PGU65544:PGU65643 OWY65544:OWY65643 ONC65544:ONC65643 ODG65544:ODG65643 NTK65544:NTK65643 NJO65544:NJO65643 MZS65544:MZS65643 MPW65544:MPW65643 MGA65544:MGA65643 LWE65544:LWE65643 LMI65544:LMI65643 LCM65544:LCM65643 KSQ65544:KSQ65643 KIU65544:KIU65643 JYY65544:JYY65643 JPC65544:JPC65643 JFG65544:JFG65643 IVK65544:IVK65643 ILO65544:ILO65643 IBS65544:IBS65643 HRW65544:HRW65643 HIA65544:HIA65643 GYE65544:GYE65643 GOI65544:GOI65643 GEM65544:GEM65643 FUQ65544:FUQ65643 FKU65544:FKU65643 FAY65544:FAY65643 ERC65544:ERC65643 EHG65544:EHG65643 DXK65544:DXK65643 DNO65544:DNO65643 DDS65544:DDS65643 CTW65544:CTW65643 CKA65544:CKA65643 CAE65544:CAE65643 BQI65544:BQI65643 BGM65544:BGM65643 AWQ65544:AWQ65643 AMU65544:AMU65643 ACY65544:ACY65643 TC65544:TC65643 JG65544:JG65643 K65544:K65643 WVS8:WVS107 WLW8:WLW107 WCA8:WCA107 VSE8:VSE107 VII8:VII107 UYM8:UYM107 UOQ8:UOQ107 UEU8:UEU107 TUY8:TUY107 TLC8:TLC107 TBG8:TBG107 SRK8:SRK107 SHO8:SHO107 RXS8:RXS107 RNW8:RNW107 REA8:REA107 QUE8:QUE107 QKI8:QKI107 QAM8:QAM107 PQQ8:PQQ107 PGU8:PGU107 OWY8:OWY107 ONC8:ONC107 ODG8:ODG107 NTK8:NTK107 NJO8:NJO107 MZS8:MZS107 MPW8:MPW107 MGA8:MGA107 LWE8:LWE107 LMI8:LMI107 LCM8:LCM107 KSQ8:KSQ107 KIU8:KIU107 JYY8:JYY107 JPC8:JPC107 JFG8:JFG107 IVK8:IVK107 ILO8:ILO107 IBS8:IBS107 HRW8:HRW107 HIA8:HIA107 GYE8:GYE107 GOI8:GOI107 GEM8:GEM107 FUQ8:FUQ107 FKU8:FKU107 FAY8:FAY107 ERC8:ERC107 EHG8:EHG107 DXK8:DXK107 DNO8:DNO107 DDS8:DDS107 CTW8:CTW107 CKA8:CKA107 CAE8:CAE107 BQI8:BQI107 BGM8:BGM107 AWQ8:AWQ107 AMU8:AMU107 ACY8:ACY107 TC8:TC107 K8:K107">
      <formula1>"Chính quy,Từ xa,Tại chức,VH-VL,Khác"</formula1>
    </dataValidation>
    <dataValidation type="list" allowBlank="1" showInputMessage="1" showErrorMessage="1" sqref="JE8:JE107 WVQ983048:WVQ983147 WLU983048:WLU983147 WBY983048:WBY983147 VSC983048:VSC983147 VIG983048:VIG983147 UYK983048:UYK983147 UOO983048:UOO983147 UES983048:UES983147 TUW983048:TUW983147 TLA983048:TLA983147 TBE983048:TBE983147 SRI983048:SRI983147 SHM983048:SHM983147 RXQ983048:RXQ983147 RNU983048:RNU983147 RDY983048:RDY983147 QUC983048:QUC983147 QKG983048:QKG983147 QAK983048:QAK983147 PQO983048:PQO983147 PGS983048:PGS983147 OWW983048:OWW983147 ONA983048:ONA983147 ODE983048:ODE983147 NTI983048:NTI983147 NJM983048:NJM983147 MZQ983048:MZQ983147 MPU983048:MPU983147 MFY983048:MFY983147 LWC983048:LWC983147 LMG983048:LMG983147 LCK983048:LCK983147 KSO983048:KSO983147 KIS983048:KIS983147 JYW983048:JYW983147 JPA983048:JPA983147 JFE983048:JFE983147 IVI983048:IVI983147 ILM983048:ILM983147 IBQ983048:IBQ983147 HRU983048:HRU983147 HHY983048:HHY983147 GYC983048:GYC983147 GOG983048:GOG983147 GEK983048:GEK983147 FUO983048:FUO983147 FKS983048:FKS983147 FAW983048:FAW983147 ERA983048:ERA983147 EHE983048:EHE983147 DXI983048:DXI983147 DNM983048:DNM983147 DDQ983048:DDQ983147 CTU983048:CTU983147 CJY983048:CJY983147 CAC983048:CAC983147 BQG983048:BQG983147 BGK983048:BGK983147 AWO983048:AWO983147 AMS983048:AMS983147 ACW983048:ACW983147 TA983048:TA983147 JE983048:JE983147 I983048:I983147 WVQ917512:WVQ917611 WLU917512:WLU917611 WBY917512:WBY917611 VSC917512:VSC917611 VIG917512:VIG917611 UYK917512:UYK917611 UOO917512:UOO917611 UES917512:UES917611 TUW917512:TUW917611 TLA917512:TLA917611 TBE917512:TBE917611 SRI917512:SRI917611 SHM917512:SHM917611 RXQ917512:RXQ917611 RNU917512:RNU917611 RDY917512:RDY917611 QUC917512:QUC917611 QKG917512:QKG917611 QAK917512:QAK917611 PQO917512:PQO917611 PGS917512:PGS917611 OWW917512:OWW917611 ONA917512:ONA917611 ODE917512:ODE917611 NTI917512:NTI917611 NJM917512:NJM917611 MZQ917512:MZQ917611 MPU917512:MPU917611 MFY917512:MFY917611 LWC917512:LWC917611 LMG917512:LMG917611 LCK917512:LCK917611 KSO917512:KSO917611 KIS917512:KIS917611 JYW917512:JYW917611 JPA917512:JPA917611 JFE917512:JFE917611 IVI917512:IVI917611 ILM917512:ILM917611 IBQ917512:IBQ917611 HRU917512:HRU917611 HHY917512:HHY917611 GYC917512:GYC917611 GOG917512:GOG917611 GEK917512:GEK917611 FUO917512:FUO917611 FKS917512:FKS917611 FAW917512:FAW917611 ERA917512:ERA917611 EHE917512:EHE917611 DXI917512:DXI917611 DNM917512:DNM917611 DDQ917512:DDQ917611 CTU917512:CTU917611 CJY917512:CJY917611 CAC917512:CAC917611 BQG917512:BQG917611 BGK917512:BGK917611 AWO917512:AWO917611 AMS917512:AMS917611 ACW917512:ACW917611 TA917512:TA917611 JE917512:JE917611 I917512:I917611 WVQ851976:WVQ852075 WLU851976:WLU852075 WBY851976:WBY852075 VSC851976:VSC852075 VIG851976:VIG852075 UYK851976:UYK852075 UOO851976:UOO852075 UES851976:UES852075 TUW851976:TUW852075 TLA851976:TLA852075 TBE851976:TBE852075 SRI851976:SRI852075 SHM851976:SHM852075 RXQ851976:RXQ852075 RNU851976:RNU852075 RDY851976:RDY852075 QUC851976:QUC852075 QKG851976:QKG852075 QAK851976:QAK852075 PQO851976:PQO852075 PGS851976:PGS852075 OWW851976:OWW852075 ONA851976:ONA852075 ODE851976:ODE852075 NTI851976:NTI852075 NJM851976:NJM852075 MZQ851976:MZQ852075 MPU851976:MPU852075 MFY851976:MFY852075 LWC851976:LWC852075 LMG851976:LMG852075 LCK851976:LCK852075 KSO851976:KSO852075 KIS851976:KIS852075 JYW851976:JYW852075 JPA851976:JPA852075 JFE851976:JFE852075 IVI851976:IVI852075 ILM851976:ILM852075 IBQ851976:IBQ852075 HRU851976:HRU852075 HHY851976:HHY852075 GYC851976:GYC852075 GOG851976:GOG852075 GEK851976:GEK852075 FUO851976:FUO852075 FKS851976:FKS852075 FAW851976:FAW852075 ERA851976:ERA852075 EHE851976:EHE852075 DXI851976:DXI852075 DNM851976:DNM852075 DDQ851976:DDQ852075 CTU851976:CTU852075 CJY851976:CJY852075 CAC851976:CAC852075 BQG851976:BQG852075 BGK851976:BGK852075 AWO851976:AWO852075 AMS851976:AMS852075 ACW851976:ACW852075 TA851976:TA852075 JE851976:JE852075 I851976:I852075 WVQ786440:WVQ786539 WLU786440:WLU786539 WBY786440:WBY786539 VSC786440:VSC786539 VIG786440:VIG786539 UYK786440:UYK786539 UOO786440:UOO786539 UES786440:UES786539 TUW786440:TUW786539 TLA786440:TLA786539 TBE786440:TBE786539 SRI786440:SRI786539 SHM786440:SHM786539 RXQ786440:RXQ786539 RNU786440:RNU786539 RDY786440:RDY786539 QUC786440:QUC786539 QKG786440:QKG786539 QAK786440:QAK786539 PQO786440:PQO786539 PGS786440:PGS786539 OWW786440:OWW786539 ONA786440:ONA786539 ODE786440:ODE786539 NTI786440:NTI786539 NJM786440:NJM786539 MZQ786440:MZQ786539 MPU786440:MPU786539 MFY786440:MFY786539 LWC786440:LWC786539 LMG786440:LMG786539 LCK786440:LCK786539 KSO786440:KSO786539 KIS786440:KIS786539 JYW786440:JYW786539 JPA786440:JPA786539 JFE786440:JFE786539 IVI786440:IVI786539 ILM786440:ILM786539 IBQ786440:IBQ786539 HRU786440:HRU786539 HHY786440:HHY786539 GYC786440:GYC786539 GOG786440:GOG786539 GEK786440:GEK786539 FUO786440:FUO786539 FKS786440:FKS786539 FAW786440:FAW786539 ERA786440:ERA786539 EHE786440:EHE786539 DXI786440:DXI786539 DNM786440:DNM786539 DDQ786440:DDQ786539 CTU786440:CTU786539 CJY786440:CJY786539 CAC786440:CAC786539 BQG786440:BQG786539 BGK786440:BGK786539 AWO786440:AWO786539 AMS786440:AMS786539 ACW786440:ACW786539 TA786440:TA786539 JE786440:JE786539 I786440:I786539 WVQ720904:WVQ721003 WLU720904:WLU721003 WBY720904:WBY721003 VSC720904:VSC721003 VIG720904:VIG721003 UYK720904:UYK721003 UOO720904:UOO721003 UES720904:UES721003 TUW720904:TUW721003 TLA720904:TLA721003 TBE720904:TBE721003 SRI720904:SRI721003 SHM720904:SHM721003 RXQ720904:RXQ721003 RNU720904:RNU721003 RDY720904:RDY721003 QUC720904:QUC721003 QKG720904:QKG721003 QAK720904:QAK721003 PQO720904:PQO721003 PGS720904:PGS721003 OWW720904:OWW721003 ONA720904:ONA721003 ODE720904:ODE721003 NTI720904:NTI721003 NJM720904:NJM721003 MZQ720904:MZQ721003 MPU720904:MPU721003 MFY720904:MFY721003 LWC720904:LWC721003 LMG720904:LMG721003 LCK720904:LCK721003 KSO720904:KSO721003 KIS720904:KIS721003 JYW720904:JYW721003 JPA720904:JPA721003 JFE720904:JFE721003 IVI720904:IVI721003 ILM720904:ILM721003 IBQ720904:IBQ721003 HRU720904:HRU721003 HHY720904:HHY721003 GYC720904:GYC721003 GOG720904:GOG721003 GEK720904:GEK721003 FUO720904:FUO721003 FKS720904:FKS721003 FAW720904:FAW721003 ERA720904:ERA721003 EHE720904:EHE721003 DXI720904:DXI721003 DNM720904:DNM721003 DDQ720904:DDQ721003 CTU720904:CTU721003 CJY720904:CJY721003 CAC720904:CAC721003 BQG720904:BQG721003 BGK720904:BGK721003 AWO720904:AWO721003 AMS720904:AMS721003 ACW720904:ACW721003 TA720904:TA721003 JE720904:JE721003 I720904:I721003 WVQ655368:WVQ655467 WLU655368:WLU655467 WBY655368:WBY655467 VSC655368:VSC655467 VIG655368:VIG655467 UYK655368:UYK655467 UOO655368:UOO655467 UES655368:UES655467 TUW655368:TUW655467 TLA655368:TLA655467 TBE655368:TBE655467 SRI655368:SRI655467 SHM655368:SHM655467 RXQ655368:RXQ655467 RNU655368:RNU655467 RDY655368:RDY655467 QUC655368:QUC655467 QKG655368:QKG655467 QAK655368:QAK655467 PQO655368:PQO655467 PGS655368:PGS655467 OWW655368:OWW655467 ONA655368:ONA655467 ODE655368:ODE655467 NTI655368:NTI655467 NJM655368:NJM655467 MZQ655368:MZQ655467 MPU655368:MPU655467 MFY655368:MFY655467 LWC655368:LWC655467 LMG655368:LMG655467 LCK655368:LCK655467 KSO655368:KSO655467 KIS655368:KIS655467 JYW655368:JYW655467 JPA655368:JPA655467 JFE655368:JFE655467 IVI655368:IVI655467 ILM655368:ILM655467 IBQ655368:IBQ655467 HRU655368:HRU655467 HHY655368:HHY655467 GYC655368:GYC655467 GOG655368:GOG655467 GEK655368:GEK655467 FUO655368:FUO655467 FKS655368:FKS655467 FAW655368:FAW655467 ERA655368:ERA655467 EHE655368:EHE655467 DXI655368:DXI655467 DNM655368:DNM655467 DDQ655368:DDQ655467 CTU655368:CTU655467 CJY655368:CJY655467 CAC655368:CAC655467 BQG655368:BQG655467 BGK655368:BGK655467 AWO655368:AWO655467 AMS655368:AMS655467 ACW655368:ACW655467 TA655368:TA655467 JE655368:JE655467 I655368:I655467 WVQ589832:WVQ589931 WLU589832:WLU589931 WBY589832:WBY589931 VSC589832:VSC589931 VIG589832:VIG589931 UYK589832:UYK589931 UOO589832:UOO589931 UES589832:UES589931 TUW589832:TUW589931 TLA589832:TLA589931 TBE589832:TBE589931 SRI589832:SRI589931 SHM589832:SHM589931 RXQ589832:RXQ589931 RNU589832:RNU589931 RDY589832:RDY589931 QUC589832:QUC589931 QKG589832:QKG589931 QAK589832:QAK589931 PQO589832:PQO589931 PGS589832:PGS589931 OWW589832:OWW589931 ONA589832:ONA589931 ODE589832:ODE589931 NTI589832:NTI589931 NJM589832:NJM589931 MZQ589832:MZQ589931 MPU589832:MPU589931 MFY589832:MFY589931 LWC589832:LWC589931 LMG589832:LMG589931 LCK589832:LCK589931 KSO589832:KSO589931 KIS589832:KIS589931 JYW589832:JYW589931 JPA589832:JPA589931 JFE589832:JFE589931 IVI589832:IVI589931 ILM589832:ILM589931 IBQ589832:IBQ589931 HRU589832:HRU589931 HHY589832:HHY589931 GYC589832:GYC589931 GOG589832:GOG589931 GEK589832:GEK589931 FUO589832:FUO589931 FKS589832:FKS589931 FAW589832:FAW589931 ERA589832:ERA589931 EHE589832:EHE589931 DXI589832:DXI589931 DNM589832:DNM589931 DDQ589832:DDQ589931 CTU589832:CTU589931 CJY589832:CJY589931 CAC589832:CAC589931 BQG589832:BQG589931 BGK589832:BGK589931 AWO589832:AWO589931 AMS589832:AMS589931 ACW589832:ACW589931 TA589832:TA589931 JE589832:JE589931 I589832:I589931 WVQ524296:WVQ524395 WLU524296:WLU524395 WBY524296:WBY524395 VSC524296:VSC524395 VIG524296:VIG524395 UYK524296:UYK524395 UOO524296:UOO524395 UES524296:UES524395 TUW524296:TUW524395 TLA524296:TLA524395 TBE524296:TBE524395 SRI524296:SRI524395 SHM524296:SHM524395 RXQ524296:RXQ524395 RNU524296:RNU524395 RDY524296:RDY524395 QUC524296:QUC524395 QKG524296:QKG524395 QAK524296:QAK524395 PQO524296:PQO524395 PGS524296:PGS524395 OWW524296:OWW524395 ONA524296:ONA524395 ODE524296:ODE524395 NTI524296:NTI524395 NJM524296:NJM524395 MZQ524296:MZQ524395 MPU524296:MPU524395 MFY524296:MFY524395 LWC524296:LWC524395 LMG524296:LMG524395 LCK524296:LCK524395 KSO524296:KSO524395 KIS524296:KIS524395 JYW524296:JYW524395 JPA524296:JPA524395 JFE524296:JFE524395 IVI524296:IVI524395 ILM524296:ILM524395 IBQ524296:IBQ524395 HRU524296:HRU524395 HHY524296:HHY524395 GYC524296:GYC524395 GOG524296:GOG524395 GEK524296:GEK524395 FUO524296:FUO524395 FKS524296:FKS524395 FAW524296:FAW524395 ERA524296:ERA524395 EHE524296:EHE524395 DXI524296:DXI524395 DNM524296:DNM524395 DDQ524296:DDQ524395 CTU524296:CTU524395 CJY524296:CJY524395 CAC524296:CAC524395 BQG524296:BQG524395 BGK524296:BGK524395 AWO524296:AWO524395 AMS524296:AMS524395 ACW524296:ACW524395 TA524296:TA524395 JE524296:JE524395 I524296:I524395 WVQ458760:WVQ458859 WLU458760:WLU458859 WBY458760:WBY458859 VSC458760:VSC458859 VIG458760:VIG458859 UYK458760:UYK458859 UOO458760:UOO458859 UES458760:UES458859 TUW458760:TUW458859 TLA458760:TLA458859 TBE458760:TBE458859 SRI458760:SRI458859 SHM458760:SHM458859 RXQ458760:RXQ458859 RNU458760:RNU458859 RDY458760:RDY458859 QUC458760:QUC458859 QKG458760:QKG458859 QAK458760:QAK458859 PQO458760:PQO458859 PGS458760:PGS458859 OWW458760:OWW458859 ONA458760:ONA458859 ODE458760:ODE458859 NTI458760:NTI458859 NJM458760:NJM458859 MZQ458760:MZQ458859 MPU458760:MPU458859 MFY458760:MFY458859 LWC458760:LWC458859 LMG458760:LMG458859 LCK458760:LCK458859 KSO458760:KSO458859 KIS458760:KIS458859 JYW458760:JYW458859 JPA458760:JPA458859 JFE458760:JFE458859 IVI458760:IVI458859 ILM458760:ILM458859 IBQ458760:IBQ458859 HRU458760:HRU458859 HHY458760:HHY458859 GYC458760:GYC458859 GOG458760:GOG458859 GEK458760:GEK458859 FUO458760:FUO458859 FKS458760:FKS458859 FAW458760:FAW458859 ERA458760:ERA458859 EHE458760:EHE458859 DXI458760:DXI458859 DNM458760:DNM458859 DDQ458760:DDQ458859 CTU458760:CTU458859 CJY458760:CJY458859 CAC458760:CAC458859 BQG458760:BQG458859 BGK458760:BGK458859 AWO458760:AWO458859 AMS458760:AMS458859 ACW458760:ACW458859 TA458760:TA458859 JE458760:JE458859 I458760:I458859 WVQ393224:WVQ393323 WLU393224:WLU393323 WBY393224:WBY393323 VSC393224:VSC393323 VIG393224:VIG393323 UYK393224:UYK393323 UOO393224:UOO393323 UES393224:UES393323 TUW393224:TUW393323 TLA393224:TLA393323 TBE393224:TBE393323 SRI393224:SRI393323 SHM393224:SHM393323 RXQ393224:RXQ393323 RNU393224:RNU393323 RDY393224:RDY393323 QUC393224:QUC393323 QKG393224:QKG393323 QAK393224:QAK393323 PQO393224:PQO393323 PGS393224:PGS393323 OWW393224:OWW393323 ONA393224:ONA393323 ODE393224:ODE393323 NTI393224:NTI393323 NJM393224:NJM393323 MZQ393224:MZQ393323 MPU393224:MPU393323 MFY393224:MFY393323 LWC393224:LWC393323 LMG393224:LMG393323 LCK393224:LCK393323 KSO393224:KSO393323 KIS393224:KIS393323 JYW393224:JYW393323 JPA393224:JPA393323 JFE393224:JFE393323 IVI393224:IVI393323 ILM393224:ILM393323 IBQ393224:IBQ393323 HRU393224:HRU393323 HHY393224:HHY393323 GYC393224:GYC393323 GOG393224:GOG393323 GEK393224:GEK393323 FUO393224:FUO393323 FKS393224:FKS393323 FAW393224:FAW393323 ERA393224:ERA393323 EHE393224:EHE393323 DXI393224:DXI393323 DNM393224:DNM393323 DDQ393224:DDQ393323 CTU393224:CTU393323 CJY393224:CJY393323 CAC393224:CAC393323 BQG393224:BQG393323 BGK393224:BGK393323 AWO393224:AWO393323 AMS393224:AMS393323 ACW393224:ACW393323 TA393224:TA393323 JE393224:JE393323 I393224:I393323 WVQ327688:WVQ327787 WLU327688:WLU327787 WBY327688:WBY327787 VSC327688:VSC327787 VIG327688:VIG327787 UYK327688:UYK327787 UOO327688:UOO327787 UES327688:UES327787 TUW327688:TUW327787 TLA327688:TLA327787 TBE327688:TBE327787 SRI327688:SRI327787 SHM327688:SHM327787 RXQ327688:RXQ327787 RNU327688:RNU327787 RDY327688:RDY327787 QUC327688:QUC327787 QKG327688:QKG327787 QAK327688:QAK327787 PQO327688:PQO327787 PGS327688:PGS327787 OWW327688:OWW327787 ONA327688:ONA327787 ODE327688:ODE327787 NTI327688:NTI327787 NJM327688:NJM327787 MZQ327688:MZQ327787 MPU327688:MPU327787 MFY327688:MFY327787 LWC327688:LWC327787 LMG327688:LMG327787 LCK327688:LCK327787 KSO327688:KSO327787 KIS327688:KIS327787 JYW327688:JYW327787 JPA327688:JPA327787 JFE327688:JFE327787 IVI327688:IVI327787 ILM327688:ILM327787 IBQ327688:IBQ327787 HRU327688:HRU327787 HHY327688:HHY327787 GYC327688:GYC327787 GOG327688:GOG327787 GEK327688:GEK327787 FUO327688:FUO327787 FKS327688:FKS327787 FAW327688:FAW327787 ERA327688:ERA327787 EHE327688:EHE327787 DXI327688:DXI327787 DNM327688:DNM327787 DDQ327688:DDQ327787 CTU327688:CTU327787 CJY327688:CJY327787 CAC327688:CAC327787 BQG327688:BQG327787 BGK327688:BGK327787 AWO327688:AWO327787 AMS327688:AMS327787 ACW327688:ACW327787 TA327688:TA327787 JE327688:JE327787 I327688:I327787 WVQ262152:WVQ262251 WLU262152:WLU262251 WBY262152:WBY262251 VSC262152:VSC262251 VIG262152:VIG262251 UYK262152:UYK262251 UOO262152:UOO262251 UES262152:UES262251 TUW262152:TUW262251 TLA262152:TLA262251 TBE262152:TBE262251 SRI262152:SRI262251 SHM262152:SHM262251 RXQ262152:RXQ262251 RNU262152:RNU262251 RDY262152:RDY262251 QUC262152:QUC262251 QKG262152:QKG262251 QAK262152:QAK262251 PQO262152:PQO262251 PGS262152:PGS262251 OWW262152:OWW262251 ONA262152:ONA262251 ODE262152:ODE262251 NTI262152:NTI262251 NJM262152:NJM262251 MZQ262152:MZQ262251 MPU262152:MPU262251 MFY262152:MFY262251 LWC262152:LWC262251 LMG262152:LMG262251 LCK262152:LCK262251 KSO262152:KSO262251 KIS262152:KIS262251 JYW262152:JYW262251 JPA262152:JPA262251 JFE262152:JFE262251 IVI262152:IVI262251 ILM262152:ILM262251 IBQ262152:IBQ262251 HRU262152:HRU262251 HHY262152:HHY262251 GYC262152:GYC262251 GOG262152:GOG262251 GEK262152:GEK262251 FUO262152:FUO262251 FKS262152:FKS262251 FAW262152:FAW262251 ERA262152:ERA262251 EHE262152:EHE262251 DXI262152:DXI262251 DNM262152:DNM262251 DDQ262152:DDQ262251 CTU262152:CTU262251 CJY262152:CJY262251 CAC262152:CAC262251 BQG262152:BQG262251 BGK262152:BGK262251 AWO262152:AWO262251 AMS262152:AMS262251 ACW262152:ACW262251 TA262152:TA262251 JE262152:JE262251 I262152:I262251 WVQ196616:WVQ196715 WLU196616:WLU196715 WBY196616:WBY196715 VSC196616:VSC196715 VIG196616:VIG196715 UYK196616:UYK196715 UOO196616:UOO196715 UES196616:UES196715 TUW196616:TUW196715 TLA196616:TLA196715 TBE196616:TBE196715 SRI196616:SRI196715 SHM196616:SHM196715 RXQ196616:RXQ196715 RNU196616:RNU196715 RDY196616:RDY196715 QUC196616:QUC196715 QKG196616:QKG196715 QAK196616:QAK196715 PQO196616:PQO196715 PGS196616:PGS196715 OWW196616:OWW196715 ONA196616:ONA196715 ODE196616:ODE196715 NTI196616:NTI196715 NJM196616:NJM196715 MZQ196616:MZQ196715 MPU196616:MPU196715 MFY196616:MFY196715 LWC196616:LWC196715 LMG196616:LMG196715 LCK196616:LCK196715 KSO196616:KSO196715 KIS196616:KIS196715 JYW196616:JYW196715 JPA196616:JPA196715 JFE196616:JFE196715 IVI196616:IVI196715 ILM196616:ILM196715 IBQ196616:IBQ196715 HRU196616:HRU196715 HHY196616:HHY196715 GYC196616:GYC196715 GOG196616:GOG196715 GEK196616:GEK196715 FUO196616:FUO196715 FKS196616:FKS196715 FAW196616:FAW196715 ERA196616:ERA196715 EHE196616:EHE196715 DXI196616:DXI196715 DNM196616:DNM196715 DDQ196616:DDQ196715 CTU196616:CTU196715 CJY196616:CJY196715 CAC196616:CAC196715 BQG196616:BQG196715 BGK196616:BGK196715 AWO196616:AWO196715 AMS196616:AMS196715 ACW196616:ACW196715 TA196616:TA196715 JE196616:JE196715 I196616:I196715 WVQ131080:WVQ131179 WLU131080:WLU131179 WBY131080:WBY131179 VSC131080:VSC131179 VIG131080:VIG131179 UYK131080:UYK131179 UOO131080:UOO131179 UES131080:UES131179 TUW131080:TUW131179 TLA131080:TLA131179 TBE131080:TBE131179 SRI131080:SRI131179 SHM131080:SHM131179 RXQ131080:RXQ131179 RNU131080:RNU131179 RDY131080:RDY131179 QUC131080:QUC131179 QKG131080:QKG131179 QAK131080:QAK131179 PQO131080:PQO131179 PGS131080:PGS131179 OWW131080:OWW131179 ONA131080:ONA131179 ODE131080:ODE131179 NTI131080:NTI131179 NJM131080:NJM131179 MZQ131080:MZQ131179 MPU131080:MPU131179 MFY131080:MFY131179 LWC131080:LWC131179 LMG131080:LMG131179 LCK131080:LCK131179 KSO131080:KSO131179 KIS131080:KIS131179 JYW131080:JYW131179 JPA131080:JPA131179 JFE131080:JFE131179 IVI131080:IVI131179 ILM131080:ILM131179 IBQ131080:IBQ131179 HRU131080:HRU131179 HHY131080:HHY131179 GYC131080:GYC131179 GOG131080:GOG131179 GEK131080:GEK131179 FUO131080:FUO131179 FKS131080:FKS131179 FAW131080:FAW131179 ERA131080:ERA131179 EHE131080:EHE131179 DXI131080:DXI131179 DNM131080:DNM131179 DDQ131080:DDQ131179 CTU131080:CTU131179 CJY131080:CJY131179 CAC131080:CAC131179 BQG131080:BQG131179 BGK131080:BGK131179 AWO131080:AWO131179 AMS131080:AMS131179 ACW131080:ACW131179 TA131080:TA131179 JE131080:JE131179 I131080:I131179 WVQ65544:WVQ65643 WLU65544:WLU65643 WBY65544:WBY65643 VSC65544:VSC65643 VIG65544:VIG65643 UYK65544:UYK65643 UOO65544:UOO65643 UES65544:UES65643 TUW65544:TUW65643 TLA65544:TLA65643 TBE65544:TBE65643 SRI65544:SRI65643 SHM65544:SHM65643 RXQ65544:RXQ65643 RNU65544:RNU65643 RDY65544:RDY65643 QUC65544:QUC65643 QKG65544:QKG65643 QAK65544:QAK65643 PQO65544:PQO65643 PGS65544:PGS65643 OWW65544:OWW65643 ONA65544:ONA65643 ODE65544:ODE65643 NTI65544:NTI65643 NJM65544:NJM65643 MZQ65544:MZQ65643 MPU65544:MPU65643 MFY65544:MFY65643 LWC65544:LWC65643 LMG65544:LMG65643 LCK65544:LCK65643 KSO65544:KSO65643 KIS65544:KIS65643 JYW65544:JYW65643 JPA65544:JPA65643 JFE65544:JFE65643 IVI65544:IVI65643 ILM65544:ILM65643 IBQ65544:IBQ65643 HRU65544:HRU65643 HHY65544:HHY65643 GYC65544:GYC65643 GOG65544:GOG65643 GEK65544:GEK65643 FUO65544:FUO65643 FKS65544:FKS65643 FAW65544:FAW65643 ERA65544:ERA65643 EHE65544:EHE65643 DXI65544:DXI65643 DNM65544:DNM65643 DDQ65544:DDQ65643 CTU65544:CTU65643 CJY65544:CJY65643 CAC65544:CAC65643 BQG65544:BQG65643 BGK65544:BGK65643 AWO65544:AWO65643 AMS65544:AMS65643 ACW65544:ACW65643 TA65544:TA65643 JE65544:JE65643 I65544:I65643 WVQ8:WVQ107 WLU8:WLU107 WBY8:WBY107 VSC8:VSC107 VIG8:VIG107 UYK8:UYK107 UOO8:UOO107 UES8:UES107 TUW8:TUW107 TLA8:TLA107 TBE8:TBE107 SRI8:SRI107 SHM8:SHM107 RXQ8:RXQ107 RNU8:RNU107 RDY8:RDY107 QUC8:QUC107 QKG8:QKG107 QAK8:QAK107 PQO8:PQO107 PGS8:PGS107 OWW8:OWW107 ONA8:ONA107 ODE8:ODE107 NTI8:NTI107 NJM8:NJM107 MZQ8:MZQ107 MPU8:MPU107 MFY8:MFY107 LWC8:LWC107 LMG8:LMG107 LCK8:LCK107 KSO8:KSO107 KIS8:KIS107 JYW8:JYW107 JPA8:JPA107 JFE8:JFE107 IVI8:IVI107 ILM8:ILM107 IBQ8:IBQ107 HRU8:HRU107 HHY8:HHY107 GYC8:GYC107 GOG8:GOG107 GEK8:GEK107 FUO8:FUO107 FKS8:FKS107 FAW8:FAW107 ERA8:ERA107 EHE8:EHE107 DXI8:DXI107 DNM8:DNM107 DDQ8:DDQ107 CTU8:CTU107 CJY8:CJY107 CAC8:CAC107 BQG8:BQG107 BGK8:BGK107 AWO8:AWO107 AMS8:AMS107 ACW8:ACW107 TA8:TA107 I8:I107">
      <formula1>"Trên ĐH,Đại học,Cao đẳng,Trung cấp,Khác"</formula1>
    </dataValidation>
    <dataValidation type="list" allowBlank="1" showInputMessage="1" showErrorMessage="1" sqref="WVL983048:WVL983147 WLP983048:WLP983147 WBT983048:WBT983147 VRX983048:VRX983147 VIB983048:VIB983147 UYF983048:UYF983147 UOJ983048:UOJ983147 UEN983048:UEN983147 TUR983048:TUR983147 TKV983048:TKV983147 TAZ983048:TAZ983147 SRD983048:SRD983147 SHH983048:SHH983147 RXL983048:RXL983147 RNP983048:RNP983147 RDT983048:RDT983147 QTX983048:QTX983147 QKB983048:QKB983147 QAF983048:QAF983147 PQJ983048:PQJ983147 PGN983048:PGN983147 OWR983048:OWR983147 OMV983048:OMV983147 OCZ983048:OCZ983147 NTD983048:NTD983147 NJH983048:NJH983147 MZL983048:MZL983147 MPP983048:MPP983147 MFT983048:MFT983147 LVX983048:LVX983147 LMB983048:LMB983147 LCF983048:LCF983147 KSJ983048:KSJ983147 KIN983048:KIN983147 JYR983048:JYR983147 JOV983048:JOV983147 JEZ983048:JEZ983147 IVD983048:IVD983147 ILH983048:ILH983147 IBL983048:IBL983147 HRP983048:HRP983147 HHT983048:HHT983147 GXX983048:GXX983147 GOB983048:GOB983147 GEF983048:GEF983147 FUJ983048:FUJ983147 FKN983048:FKN983147 FAR983048:FAR983147 EQV983048:EQV983147 EGZ983048:EGZ983147 DXD983048:DXD983147 DNH983048:DNH983147 DDL983048:DDL983147 CTP983048:CTP983147 CJT983048:CJT983147 BZX983048:BZX983147 BQB983048:BQB983147 BGF983048:BGF983147 AWJ983048:AWJ983147 AMN983048:AMN983147 ACR983048:ACR983147 SV983048:SV983147 IZ983048:IZ983147 D983048:D983147 WVL917512:WVL917611 WLP917512:WLP917611 WBT917512:WBT917611 VRX917512:VRX917611 VIB917512:VIB917611 UYF917512:UYF917611 UOJ917512:UOJ917611 UEN917512:UEN917611 TUR917512:TUR917611 TKV917512:TKV917611 TAZ917512:TAZ917611 SRD917512:SRD917611 SHH917512:SHH917611 RXL917512:RXL917611 RNP917512:RNP917611 RDT917512:RDT917611 QTX917512:QTX917611 QKB917512:QKB917611 QAF917512:QAF917611 PQJ917512:PQJ917611 PGN917512:PGN917611 OWR917512:OWR917611 OMV917512:OMV917611 OCZ917512:OCZ917611 NTD917512:NTD917611 NJH917512:NJH917611 MZL917512:MZL917611 MPP917512:MPP917611 MFT917512:MFT917611 LVX917512:LVX917611 LMB917512:LMB917611 LCF917512:LCF917611 KSJ917512:KSJ917611 KIN917512:KIN917611 JYR917512:JYR917611 JOV917512:JOV917611 JEZ917512:JEZ917611 IVD917512:IVD917611 ILH917512:ILH917611 IBL917512:IBL917611 HRP917512:HRP917611 HHT917512:HHT917611 GXX917512:GXX917611 GOB917512:GOB917611 GEF917512:GEF917611 FUJ917512:FUJ917611 FKN917512:FKN917611 FAR917512:FAR917611 EQV917512:EQV917611 EGZ917512:EGZ917611 DXD917512:DXD917611 DNH917512:DNH917611 DDL917512:DDL917611 CTP917512:CTP917611 CJT917512:CJT917611 BZX917512:BZX917611 BQB917512:BQB917611 BGF917512:BGF917611 AWJ917512:AWJ917611 AMN917512:AMN917611 ACR917512:ACR917611 SV917512:SV917611 IZ917512:IZ917611 D917512:D917611 WVL851976:WVL852075 WLP851976:WLP852075 WBT851976:WBT852075 VRX851976:VRX852075 VIB851976:VIB852075 UYF851976:UYF852075 UOJ851976:UOJ852075 UEN851976:UEN852075 TUR851976:TUR852075 TKV851976:TKV852075 TAZ851976:TAZ852075 SRD851976:SRD852075 SHH851976:SHH852075 RXL851976:RXL852075 RNP851976:RNP852075 RDT851976:RDT852075 QTX851976:QTX852075 QKB851976:QKB852075 QAF851976:QAF852075 PQJ851976:PQJ852075 PGN851976:PGN852075 OWR851976:OWR852075 OMV851976:OMV852075 OCZ851976:OCZ852075 NTD851976:NTD852075 NJH851976:NJH852075 MZL851976:MZL852075 MPP851976:MPP852075 MFT851976:MFT852075 LVX851976:LVX852075 LMB851976:LMB852075 LCF851976:LCF852075 KSJ851976:KSJ852075 KIN851976:KIN852075 JYR851976:JYR852075 JOV851976:JOV852075 JEZ851976:JEZ852075 IVD851976:IVD852075 ILH851976:ILH852075 IBL851976:IBL852075 HRP851976:HRP852075 HHT851976:HHT852075 GXX851976:GXX852075 GOB851976:GOB852075 GEF851976:GEF852075 FUJ851976:FUJ852075 FKN851976:FKN852075 FAR851976:FAR852075 EQV851976:EQV852075 EGZ851976:EGZ852075 DXD851976:DXD852075 DNH851976:DNH852075 DDL851976:DDL852075 CTP851976:CTP852075 CJT851976:CJT852075 BZX851976:BZX852075 BQB851976:BQB852075 BGF851976:BGF852075 AWJ851976:AWJ852075 AMN851976:AMN852075 ACR851976:ACR852075 SV851976:SV852075 IZ851976:IZ852075 D851976:D852075 WVL786440:WVL786539 WLP786440:WLP786539 WBT786440:WBT786539 VRX786440:VRX786539 VIB786440:VIB786539 UYF786440:UYF786539 UOJ786440:UOJ786539 UEN786440:UEN786539 TUR786440:TUR786539 TKV786440:TKV786539 TAZ786440:TAZ786539 SRD786440:SRD786539 SHH786440:SHH786539 RXL786440:RXL786539 RNP786440:RNP786539 RDT786440:RDT786539 QTX786440:QTX786539 QKB786440:QKB786539 QAF786440:QAF786539 PQJ786440:PQJ786539 PGN786440:PGN786539 OWR786440:OWR786539 OMV786440:OMV786539 OCZ786440:OCZ786539 NTD786440:NTD786539 NJH786440:NJH786539 MZL786440:MZL786539 MPP786440:MPP786539 MFT786440:MFT786539 LVX786440:LVX786539 LMB786440:LMB786539 LCF786440:LCF786539 KSJ786440:KSJ786539 KIN786440:KIN786539 JYR786440:JYR786539 JOV786440:JOV786539 JEZ786440:JEZ786539 IVD786440:IVD786539 ILH786440:ILH786539 IBL786440:IBL786539 HRP786440:HRP786539 HHT786440:HHT786539 GXX786440:GXX786539 GOB786440:GOB786539 GEF786440:GEF786539 FUJ786440:FUJ786539 FKN786440:FKN786539 FAR786440:FAR786539 EQV786440:EQV786539 EGZ786440:EGZ786539 DXD786440:DXD786539 DNH786440:DNH786539 DDL786440:DDL786539 CTP786440:CTP786539 CJT786440:CJT786539 BZX786440:BZX786539 BQB786440:BQB786539 BGF786440:BGF786539 AWJ786440:AWJ786539 AMN786440:AMN786539 ACR786440:ACR786539 SV786440:SV786539 IZ786440:IZ786539 D786440:D786539 WVL720904:WVL721003 WLP720904:WLP721003 WBT720904:WBT721003 VRX720904:VRX721003 VIB720904:VIB721003 UYF720904:UYF721003 UOJ720904:UOJ721003 UEN720904:UEN721003 TUR720904:TUR721003 TKV720904:TKV721003 TAZ720904:TAZ721003 SRD720904:SRD721003 SHH720904:SHH721003 RXL720904:RXL721003 RNP720904:RNP721003 RDT720904:RDT721003 QTX720904:QTX721003 QKB720904:QKB721003 QAF720904:QAF721003 PQJ720904:PQJ721003 PGN720904:PGN721003 OWR720904:OWR721003 OMV720904:OMV721003 OCZ720904:OCZ721003 NTD720904:NTD721003 NJH720904:NJH721003 MZL720904:MZL721003 MPP720904:MPP721003 MFT720904:MFT721003 LVX720904:LVX721003 LMB720904:LMB721003 LCF720904:LCF721003 KSJ720904:KSJ721003 KIN720904:KIN721003 JYR720904:JYR721003 JOV720904:JOV721003 JEZ720904:JEZ721003 IVD720904:IVD721003 ILH720904:ILH721003 IBL720904:IBL721003 HRP720904:HRP721003 HHT720904:HHT721003 GXX720904:GXX721003 GOB720904:GOB721003 GEF720904:GEF721003 FUJ720904:FUJ721003 FKN720904:FKN721003 FAR720904:FAR721003 EQV720904:EQV721003 EGZ720904:EGZ721003 DXD720904:DXD721003 DNH720904:DNH721003 DDL720904:DDL721003 CTP720904:CTP721003 CJT720904:CJT721003 BZX720904:BZX721003 BQB720904:BQB721003 BGF720904:BGF721003 AWJ720904:AWJ721003 AMN720904:AMN721003 ACR720904:ACR721003 SV720904:SV721003 IZ720904:IZ721003 D720904:D721003 WVL655368:WVL655467 WLP655368:WLP655467 WBT655368:WBT655467 VRX655368:VRX655467 VIB655368:VIB655467 UYF655368:UYF655467 UOJ655368:UOJ655467 UEN655368:UEN655467 TUR655368:TUR655467 TKV655368:TKV655467 TAZ655368:TAZ655467 SRD655368:SRD655467 SHH655368:SHH655467 RXL655368:RXL655467 RNP655368:RNP655467 RDT655368:RDT655467 QTX655368:QTX655467 QKB655368:QKB655467 QAF655368:QAF655467 PQJ655368:PQJ655467 PGN655368:PGN655467 OWR655368:OWR655467 OMV655368:OMV655467 OCZ655368:OCZ655467 NTD655368:NTD655467 NJH655368:NJH655467 MZL655368:MZL655467 MPP655368:MPP655467 MFT655368:MFT655467 LVX655368:LVX655467 LMB655368:LMB655467 LCF655368:LCF655467 KSJ655368:KSJ655467 KIN655368:KIN655467 JYR655368:JYR655467 JOV655368:JOV655467 JEZ655368:JEZ655467 IVD655368:IVD655467 ILH655368:ILH655467 IBL655368:IBL655467 HRP655368:HRP655467 HHT655368:HHT655467 GXX655368:GXX655467 GOB655368:GOB655467 GEF655368:GEF655467 FUJ655368:FUJ655467 FKN655368:FKN655467 FAR655368:FAR655467 EQV655368:EQV655467 EGZ655368:EGZ655467 DXD655368:DXD655467 DNH655368:DNH655467 DDL655368:DDL655467 CTP655368:CTP655467 CJT655368:CJT655467 BZX655368:BZX655467 BQB655368:BQB655467 BGF655368:BGF655467 AWJ655368:AWJ655467 AMN655368:AMN655467 ACR655368:ACR655467 SV655368:SV655467 IZ655368:IZ655467 D655368:D655467 WVL589832:WVL589931 WLP589832:WLP589931 WBT589832:WBT589931 VRX589832:VRX589931 VIB589832:VIB589931 UYF589832:UYF589931 UOJ589832:UOJ589931 UEN589832:UEN589931 TUR589832:TUR589931 TKV589832:TKV589931 TAZ589832:TAZ589931 SRD589832:SRD589931 SHH589832:SHH589931 RXL589832:RXL589931 RNP589832:RNP589931 RDT589832:RDT589931 QTX589832:QTX589931 QKB589832:QKB589931 QAF589832:QAF589931 PQJ589832:PQJ589931 PGN589832:PGN589931 OWR589832:OWR589931 OMV589832:OMV589931 OCZ589832:OCZ589931 NTD589832:NTD589931 NJH589832:NJH589931 MZL589832:MZL589931 MPP589832:MPP589931 MFT589832:MFT589931 LVX589832:LVX589931 LMB589832:LMB589931 LCF589832:LCF589931 KSJ589832:KSJ589931 KIN589832:KIN589931 JYR589832:JYR589931 JOV589832:JOV589931 JEZ589832:JEZ589931 IVD589832:IVD589931 ILH589832:ILH589931 IBL589832:IBL589931 HRP589832:HRP589931 HHT589832:HHT589931 GXX589832:GXX589931 GOB589832:GOB589931 GEF589832:GEF589931 FUJ589832:FUJ589931 FKN589832:FKN589931 FAR589832:FAR589931 EQV589832:EQV589931 EGZ589832:EGZ589931 DXD589832:DXD589931 DNH589832:DNH589931 DDL589832:DDL589931 CTP589832:CTP589931 CJT589832:CJT589931 BZX589832:BZX589931 BQB589832:BQB589931 BGF589832:BGF589931 AWJ589832:AWJ589931 AMN589832:AMN589931 ACR589832:ACR589931 SV589832:SV589931 IZ589832:IZ589931 D589832:D589931 WVL524296:WVL524395 WLP524296:WLP524395 WBT524296:WBT524395 VRX524296:VRX524395 VIB524296:VIB524395 UYF524296:UYF524395 UOJ524296:UOJ524395 UEN524296:UEN524395 TUR524296:TUR524395 TKV524296:TKV524395 TAZ524296:TAZ524395 SRD524296:SRD524395 SHH524296:SHH524395 RXL524296:RXL524395 RNP524296:RNP524395 RDT524296:RDT524395 QTX524296:QTX524395 QKB524296:QKB524395 QAF524296:QAF524395 PQJ524296:PQJ524395 PGN524296:PGN524395 OWR524296:OWR524395 OMV524296:OMV524395 OCZ524296:OCZ524395 NTD524296:NTD524395 NJH524296:NJH524395 MZL524296:MZL524395 MPP524296:MPP524395 MFT524296:MFT524395 LVX524296:LVX524395 LMB524296:LMB524395 LCF524296:LCF524395 KSJ524296:KSJ524395 KIN524296:KIN524395 JYR524296:JYR524395 JOV524296:JOV524395 JEZ524296:JEZ524395 IVD524296:IVD524395 ILH524296:ILH524395 IBL524296:IBL524395 HRP524296:HRP524395 HHT524296:HHT524395 GXX524296:GXX524395 GOB524296:GOB524395 GEF524296:GEF524395 FUJ524296:FUJ524395 FKN524296:FKN524395 FAR524296:FAR524395 EQV524296:EQV524395 EGZ524296:EGZ524395 DXD524296:DXD524395 DNH524296:DNH524395 DDL524296:DDL524395 CTP524296:CTP524395 CJT524296:CJT524395 BZX524296:BZX524395 BQB524296:BQB524395 BGF524296:BGF524395 AWJ524296:AWJ524395 AMN524296:AMN524395 ACR524296:ACR524395 SV524296:SV524395 IZ524296:IZ524395 D524296:D524395 WVL458760:WVL458859 WLP458760:WLP458859 WBT458760:WBT458859 VRX458760:VRX458859 VIB458760:VIB458859 UYF458760:UYF458859 UOJ458760:UOJ458859 UEN458760:UEN458859 TUR458760:TUR458859 TKV458760:TKV458859 TAZ458760:TAZ458859 SRD458760:SRD458859 SHH458760:SHH458859 RXL458760:RXL458859 RNP458760:RNP458859 RDT458760:RDT458859 QTX458760:QTX458859 QKB458760:QKB458859 QAF458760:QAF458859 PQJ458760:PQJ458859 PGN458760:PGN458859 OWR458760:OWR458859 OMV458760:OMV458859 OCZ458760:OCZ458859 NTD458760:NTD458859 NJH458760:NJH458859 MZL458760:MZL458859 MPP458760:MPP458859 MFT458760:MFT458859 LVX458760:LVX458859 LMB458760:LMB458859 LCF458760:LCF458859 KSJ458760:KSJ458859 KIN458760:KIN458859 JYR458760:JYR458859 JOV458760:JOV458859 JEZ458760:JEZ458859 IVD458760:IVD458859 ILH458760:ILH458859 IBL458760:IBL458859 HRP458760:HRP458859 HHT458760:HHT458859 GXX458760:GXX458859 GOB458760:GOB458859 GEF458760:GEF458859 FUJ458760:FUJ458859 FKN458760:FKN458859 FAR458760:FAR458859 EQV458760:EQV458859 EGZ458760:EGZ458859 DXD458760:DXD458859 DNH458760:DNH458859 DDL458760:DDL458859 CTP458760:CTP458859 CJT458760:CJT458859 BZX458760:BZX458859 BQB458760:BQB458859 BGF458760:BGF458859 AWJ458760:AWJ458859 AMN458760:AMN458859 ACR458760:ACR458859 SV458760:SV458859 IZ458760:IZ458859 D458760:D458859 WVL393224:WVL393323 WLP393224:WLP393323 WBT393224:WBT393323 VRX393224:VRX393323 VIB393224:VIB393323 UYF393224:UYF393323 UOJ393224:UOJ393323 UEN393224:UEN393323 TUR393224:TUR393323 TKV393224:TKV393323 TAZ393224:TAZ393323 SRD393224:SRD393323 SHH393224:SHH393323 RXL393224:RXL393323 RNP393224:RNP393323 RDT393224:RDT393323 QTX393224:QTX393323 QKB393224:QKB393323 QAF393224:QAF393323 PQJ393224:PQJ393323 PGN393224:PGN393323 OWR393224:OWR393323 OMV393224:OMV393323 OCZ393224:OCZ393323 NTD393224:NTD393323 NJH393224:NJH393323 MZL393224:MZL393323 MPP393224:MPP393323 MFT393224:MFT393323 LVX393224:LVX393323 LMB393224:LMB393323 LCF393224:LCF393323 KSJ393224:KSJ393323 KIN393224:KIN393323 JYR393224:JYR393323 JOV393224:JOV393323 JEZ393224:JEZ393323 IVD393224:IVD393323 ILH393224:ILH393323 IBL393224:IBL393323 HRP393224:HRP393323 HHT393224:HHT393323 GXX393224:GXX393323 GOB393224:GOB393323 GEF393224:GEF393323 FUJ393224:FUJ393323 FKN393224:FKN393323 FAR393224:FAR393323 EQV393224:EQV393323 EGZ393224:EGZ393323 DXD393224:DXD393323 DNH393224:DNH393323 DDL393224:DDL393323 CTP393224:CTP393323 CJT393224:CJT393323 BZX393224:BZX393323 BQB393224:BQB393323 BGF393224:BGF393323 AWJ393224:AWJ393323 AMN393224:AMN393323 ACR393224:ACR393323 SV393224:SV393323 IZ393224:IZ393323 D393224:D393323 WVL327688:WVL327787 WLP327688:WLP327787 WBT327688:WBT327787 VRX327688:VRX327787 VIB327688:VIB327787 UYF327688:UYF327787 UOJ327688:UOJ327787 UEN327688:UEN327787 TUR327688:TUR327787 TKV327688:TKV327787 TAZ327688:TAZ327787 SRD327688:SRD327787 SHH327688:SHH327787 RXL327688:RXL327787 RNP327688:RNP327787 RDT327688:RDT327787 QTX327688:QTX327787 QKB327688:QKB327787 QAF327688:QAF327787 PQJ327688:PQJ327787 PGN327688:PGN327787 OWR327688:OWR327787 OMV327688:OMV327787 OCZ327688:OCZ327787 NTD327688:NTD327787 NJH327688:NJH327787 MZL327688:MZL327787 MPP327688:MPP327787 MFT327688:MFT327787 LVX327688:LVX327787 LMB327688:LMB327787 LCF327688:LCF327787 KSJ327688:KSJ327787 KIN327688:KIN327787 JYR327688:JYR327787 JOV327688:JOV327787 JEZ327688:JEZ327787 IVD327688:IVD327787 ILH327688:ILH327787 IBL327688:IBL327787 HRP327688:HRP327787 HHT327688:HHT327787 GXX327688:GXX327787 GOB327688:GOB327787 GEF327688:GEF327787 FUJ327688:FUJ327787 FKN327688:FKN327787 FAR327688:FAR327787 EQV327688:EQV327787 EGZ327688:EGZ327787 DXD327688:DXD327787 DNH327688:DNH327787 DDL327688:DDL327787 CTP327688:CTP327787 CJT327688:CJT327787 BZX327688:BZX327787 BQB327688:BQB327787 BGF327688:BGF327787 AWJ327688:AWJ327787 AMN327688:AMN327787 ACR327688:ACR327787 SV327688:SV327787 IZ327688:IZ327787 D327688:D327787 WVL262152:WVL262251 WLP262152:WLP262251 WBT262152:WBT262251 VRX262152:VRX262251 VIB262152:VIB262251 UYF262152:UYF262251 UOJ262152:UOJ262251 UEN262152:UEN262251 TUR262152:TUR262251 TKV262152:TKV262251 TAZ262152:TAZ262251 SRD262152:SRD262251 SHH262152:SHH262251 RXL262152:RXL262251 RNP262152:RNP262251 RDT262152:RDT262251 QTX262152:QTX262251 QKB262152:QKB262251 QAF262152:QAF262251 PQJ262152:PQJ262251 PGN262152:PGN262251 OWR262152:OWR262251 OMV262152:OMV262251 OCZ262152:OCZ262251 NTD262152:NTD262251 NJH262152:NJH262251 MZL262152:MZL262251 MPP262152:MPP262251 MFT262152:MFT262251 LVX262152:LVX262251 LMB262152:LMB262251 LCF262152:LCF262251 KSJ262152:KSJ262251 KIN262152:KIN262251 JYR262152:JYR262251 JOV262152:JOV262251 JEZ262152:JEZ262251 IVD262152:IVD262251 ILH262152:ILH262251 IBL262152:IBL262251 HRP262152:HRP262251 HHT262152:HHT262251 GXX262152:GXX262251 GOB262152:GOB262251 GEF262152:GEF262251 FUJ262152:FUJ262251 FKN262152:FKN262251 FAR262152:FAR262251 EQV262152:EQV262251 EGZ262152:EGZ262251 DXD262152:DXD262251 DNH262152:DNH262251 DDL262152:DDL262251 CTP262152:CTP262251 CJT262152:CJT262251 BZX262152:BZX262251 BQB262152:BQB262251 BGF262152:BGF262251 AWJ262152:AWJ262251 AMN262152:AMN262251 ACR262152:ACR262251 SV262152:SV262251 IZ262152:IZ262251 D262152:D262251 WVL196616:WVL196715 WLP196616:WLP196715 WBT196616:WBT196715 VRX196616:VRX196715 VIB196616:VIB196715 UYF196616:UYF196715 UOJ196616:UOJ196715 UEN196616:UEN196715 TUR196616:TUR196715 TKV196616:TKV196715 TAZ196616:TAZ196715 SRD196616:SRD196715 SHH196616:SHH196715 RXL196616:RXL196715 RNP196616:RNP196715 RDT196616:RDT196715 QTX196616:QTX196715 QKB196616:QKB196715 QAF196616:QAF196715 PQJ196616:PQJ196715 PGN196616:PGN196715 OWR196616:OWR196715 OMV196616:OMV196715 OCZ196616:OCZ196715 NTD196616:NTD196715 NJH196616:NJH196715 MZL196616:MZL196715 MPP196616:MPP196715 MFT196616:MFT196715 LVX196616:LVX196715 LMB196616:LMB196715 LCF196616:LCF196715 KSJ196616:KSJ196715 KIN196616:KIN196715 JYR196616:JYR196715 JOV196616:JOV196715 JEZ196616:JEZ196715 IVD196616:IVD196715 ILH196616:ILH196715 IBL196616:IBL196715 HRP196616:HRP196715 HHT196616:HHT196715 GXX196616:GXX196715 GOB196616:GOB196715 GEF196616:GEF196715 FUJ196616:FUJ196715 FKN196616:FKN196715 FAR196616:FAR196715 EQV196616:EQV196715 EGZ196616:EGZ196715 DXD196616:DXD196715 DNH196616:DNH196715 DDL196616:DDL196715 CTP196616:CTP196715 CJT196616:CJT196715 BZX196616:BZX196715 BQB196616:BQB196715 BGF196616:BGF196715 AWJ196616:AWJ196715 AMN196616:AMN196715 ACR196616:ACR196715 SV196616:SV196715 IZ196616:IZ196715 D196616:D196715 WVL131080:WVL131179 WLP131080:WLP131179 WBT131080:WBT131179 VRX131080:VRX131179 VIB131080:VIB131179 UYF131080:UYF131179 UOJ131080:UOJ131179 UEN131080:UEN131179 TUR131080:TUR131179 TKV131080:TKV131179 TAZ131080:TAZ131179 SRD131080:SRD131179 SHH131080:SHH131179 RXL131080:RXL131179 RNP131080:RNP131179 RDT131080:RDT131179 QTX131080:QTX131179 QKB131080:QKB131179 QAF131080:QAF131179 PQJ131080:PQJ131179 PGN131080:PGN131179 OWR131080:OWR131179 OMV131080:OMV131179 OCZ131080:OCZ131179 NTD131080:NTD131179 NJH131080:NJH131179 MZL131080:MZL131179 MPP131080:MPP131179 MFT131080:MFT131179 LVX131080:LVX131179 LMB131080:LMB131179 LCF131080:LCF131179 KSJ131080:KSJ131179 KIN131080:KIN131179 JYR131080:JYR131179 JOV131080:JOV131179 JEZ131080:JEZ131179 IVD131080:IVD131179 ILH131080:ILH131179 IBL131080:IBL131179 HRP131080:HRP131179 HHT131080:HHT131179 GXX131080:GXX131179 GOB131080:GOB131179 GEF131080:GEF131179 FUJ131080:FUJ131179 FKN131080:FKN131179 FAR131080:FAR131179 EQV131080:EQV131179 EGZ131080:EGZ131179 DXD131080:DXD131179 DNH131080:DNH131179 DDL131080:DDL131179 CTP131080:CTP131179 CJT131080:CJT131179 BZX131080:BZX131179 BQB131080:BQB131179 BGF131080:BGF131179 AWJ131080:AWJ131179 AMN131080:AMN131179 ACR131080:ACR131179 SV131080:SV131179 IZ131080:IZ131179 D131080:D131179 WVL65544:WVL65643 WLP65544:WLP65643 WBT65544:WBT65643 VRX65544:VRX65643 VIB65544:VIB65643 UYF65544:UYF65643 UOJ65544:UOJ65643 UEN65544:UEN65643 TUR65544:TUR65643 TKV65544:TKV65643 TAZ65544:TAZ65643 SRD65544:SRD65643 SHH65544:SHH65643 RXL65544:RXL65643 RNP65544:RNP65643 RDT65544:RDT65643 QTX65544:QTX65643 QKB65544:QKB65643 QAF65544:QAF65643 PQJ65544:PQJ65643 PGN65544:PGN65643 OWR65544:OWR65643 OMV65544:OMV65643 OCZ65544:OCZ65643 NTD65544:NTD65643 NJH65544:NJH65643 MZL65544:MZL65643 MPP65544:MPP65643 MFT65544:MFT65643 LVX65544:LVX65643 LMB65544:LMB65643 LCF65544:LCF65643 KSJ65544:KSJ65643 KIN65544:KIN65643 JYR65544:JYR65643 JOV65544:JOV65643 JEZ65544:JEZ65643 IVD65544:IVD65643 ILH65544:ILH65643 IBL65544:IBL65643 HRP65544:HRP65643 HHT65544:HHT65643 GXX65544:GXX65643 GOB65544:GOB65643 GEF65544:GEF65643 FUJ65544:FUJ65643 FKN65544:FKN65643 FAR65544:FAR65643 EQV65544:EQV65643 EGZ65544:EGZ65643 DXD65544:DXD65643 DNH65544:DNH65643 DDL65544:DDL65643 CTP65544:CTP65643 CJT65544:CJT65643 BZX65544:BZX65643 BQB65544:BQB65643 BGF65544:BGF65643 AWJ65544:AWJ65643 AMN65544:AMN65643 ACR65544:ACR65643 SV65544:SV65643 IZ65544:IZ65643 D65544:D65643 WVL8:WVL107 WLP8:WLP107 WBT8:WBT107 VRX8:VRX107 VIB8:VIB107 UYF8:UYF107 UOJ8:UOJ107 UEN8:UEN107 TUR8:TUR107 TKV8:TKV107 TAZ8:TAZ107 SRD8:SRD107 SHH8:SHH107 RXL8:RXL107 RNP8:RNP107 RDT8:RDT107 QTX8:QTX107 QKB8:QKB107 QAF8:QAF107 PQJ8:PQJ107 PGN8:PGN107 OWR8:OWR107 OMV8:OMV107 OCZ8:OCZ107 NTD8:NTD107 NJH8:NJH107 MZL8:MZL107 MPP8:MPP107 MFT8:MFT107 LVX8:LVX107 LMB8:LMB107 LCF8:LCF107 KSJ8:KSJ107 KIN8:KIN107 JYR8:JYR107 JOV8:JOV107 JEZ8:JEZ107 IVD8:IVD107 ILH8:ILH107 IBL8:IBL107 HRP8:HRP107 HHT8:HHT107 GXX8:GXX107 GOB8:GOB107 GEF8:GEF107 FUJ8:FUJ107 FKN8:FKN107 FAR8:FAR107 EQV8:EQV107 EGZ8:EGZ107 DXD8:DXD107 DNH8:DNH107 DDL8:DDL107 CTP8:CTP107 CJT8:CJT107 BZX8:BZX107 BQB8:BQB107 BGF8:BGF107 AWJ8:AWJ107 AMN8:AMN107 ACR8:ACR107 SV8:SV107 IZ8:IZ107 JH8:JI107 WVT983048:WVU983147 WLX983048:WLY983147 WCB983048:WCC983147 VSF983048:VSG983147 VIJ983048:VIK983147 UYN983048:UYO983147 UOR983048:UOS983147 UEV983048:UEW983147 TUZ983048:TVA983147 TLD983048:TLE983147 TBH983048:TBI983147 SRL983048:SRM983147 SHP983048:SHQ983147 RXT983048:RXU983147 RNX983048:RNY983147 REB983048:REC983147 QUF983048:QUG983147 QKJ983048:QKK983147 QAN983048:QAO983147 PQR983048:PQS983147 PGV983048:PGW983147 OWZ983048:OXA983147 OND983048:ONE983147 ODH983048:ODI983147 NTL983048:NTM983147 NJP983048:NJQ983147 MZT983048:MZU983147 MPX983048:MPY983147 MGB983048:MGC983147 LWF983048:LWG983147 LMJ983048:LMK983147 LCN983048:LCO983147 KSR983048:KSS983147 KIV983048:KIW983147 JYZ983048:JZA983147 JPD983048:JPE983147 JFH983048:JFI983147 IVL983048:IVM983147 ILP983048:ILQ983147 IBT983048:IBU983147 HRX983048:HRY983147 HIB983048:HIC983147 GYF983048:GYG983147 GOJ983048:GOK983147 GEN983048:GEO983147 FUR983048:FUS983147 FKV983048:FKW983147 FAZ983048:FBA983147 ERD983048:ERE983147 EHH983048:EHI983147 DXL983048:DXM983147 DNP983048:DNQ983147 DDT983048:DDU983147 CTX983048:CTY983147 CKB983048:CKC983147 CAF983048:CAG983147 BQJ983048:BQK983147 BGN983048:BGO983147 AWR983048:AWS983147 AMV983048:AMW983147 ACZ983048:ADA983147 TD983048:TE983147 JH983048:JI983147 L983048:M983147 WVT917512:WVU917611 WLX917512:WLY917611 WCB917512:WCC917611 VSF917512:VSG917611 VIJ917512:VIK917611 UYN917512:UYO917611 UOR917512:UOS917611 UEV917512:UEW917611 TUZ917512:TVA917611 TLD917512:TLE917611 TBH917512:TBI917611 SRL917512:SRM917611 SHP917512:SHQ917611 RXT917512:RXU917611 RNX917512:RNY917611 REB917512:REC917611 QUF917512:QUG917611 QKJ917512:QKK917611 QAN917512:QAO917611 PQR917512:PQS917611 PGV917512:PGW917611 OWZ917512:OXA917611 OND917512:ONE917611 ODH917512:ODI917611 NTL917512:NTM917611 NJP917512:NJQ917611 MZT917512:MZU917611 MPX917512:MPY917611 MGB917512:MGC917611 LWF917512:LWG917611 LMJ917512:LMK917611 LCN917512:LCO917611 KSR917512:KSS917611 KIV917512:KIW917611 JYZ917512:JZA917611 JPD917512:JPE917611 JFH917512:JFI917611 IVL917512:IVM917611 ILP917512:ILQ917611 IBT917512:IBU917611 HRX917512:HRY917611 HIB917512:HIC917611 GYF917512:GYG917611 GOJ917512:GOK917611 GEN917512:GEO917611 FUR917512:FUS917611 FKV917512:FKW917611 FAZ917512:FBA917611 ERD917512:ERE917611 EHH917512:EHI917611 DXL917512:DXM917611 DNP917512:DNQ917611 DDT917512:DDU917611 CTX917512:CTY917611 CKB917512:CKC917611 CAF917512:CAG917611 BQJ917512:BQK917611 BGN917512:BGO917611 AWR917512:AWS917611 AMV917512:AMW917611 ACZ917512:ADA917611 TD917512:TE917611 JH917512:JI917611 L917512:M917611 WVT851976:WVU852075 WLX851976:WLY852075 WCB851976:WCC852075 VSF851976:VSG852075 VIJ851976:VIK852075 UYN851976:UYO852075 UOR851976:UOS852075 UEV851976:UEW852075 TUZ851976:TVA852075 TLD851976:TLE852075 TBH851976:TBI852075 SRL851976:SRM852075 SHP851976:SHQ852075 RXT851976:RXU852075 RNX851976:RNY852075 REB851976:REC852075 QUF851976:QUG852075 QKJ851976:QKK852075 QAN851976:QAO852075 PQR851976:PQS852075 PGV851976:PGW852075 OWZ851976:OXA852075 OND851976:ONE852075 ODH851976:ODI852075 NTL851976:NTM852075 NJP851976:NJQ852075 MZT851976:MZU852075 MPX851976:MPY852075 MGB851976:MGC852075 LWF851976:LWG852075 LMJ851976:LMK852075 LCN851976:LCO852075 KSR851976:KSS852075 KIV851976:KIW852075 JYZ851976:JZA852075 JPD851976:JPE852075 JFH851976:JFI852075 IVL851976:IVM852075 ILP851976:ILQ852075 IBT851976:IBU852075 HRX851976:HRY852075 HIB851976:HIC852075 GYF851976:GYG852075 GOJ851976:GOK852075 GEN851976:GEO852075 FUR851976:FUS852075 FKV851976:FKW852075 FAZ851976:FBA852075 ERD851976:ERE852075 EHH851976:EHI852075 DXL851976:DXM852075 DNP851976:DNQ852075 DDT851976:DDU852075 CTX851976:CTY852075 CKB851976:CKC852075 CAF851976:CAG852075 BQJ851976:BQK852075 BGN851976:BGO852075 AWR851976:AWS852075 AMV851976:AMW852075 ACZ851976:ADA852075 TD851976:TE852075 JH851976:JI852075 L851976:M852075 WVT786440:WVU786539 WLX786440:WLY786539 WCB786440:WCC786539 VSF786440:VSG786539 VIJ786440:VIK786539 UYN786440:UYO786539 UOR786440:UOS786539 UEV786440:UEW786539 TUZ786440:TVA786539 TLD786440:TLE786539 TBH786440:TBI786539 SRL786440:SRM786539 SHP786440:SHQ786539 RXT786440:RXU786539 RNX786440:RNY786539 REB786440:REC786539 QUF786440:QUG786539 QKJ786440:QKK786539 QAN786440:QAO786539 PQR786440:PQS786539 PGV786440:PGW786539 OWZ786440:OXA786539 OND786440:ONE786539 ODH786440:ODI786539 NTL786440:NTM786539 NJP786440:NJQ786539 MZT786440:MZU786539 MPX786440:MPY786539 MGB786440:MGC786539 LWF786440:LWG786539 LMJ786440:LMK786539 LCN786440:LCO786539 KSR786440:KSS786539 KIV786440:KIW786539 JYZ786440:JZA786539 JPD786440:JPE786539 JFH786440:JFI786539 IVL786440:IVM786539 ILP786440:ILQ786539 IBT786440:IBU786539 HRX786440:HRY786539 HIB786440:HIC786539 GYF786440:GYG786539 GOJ786440:GOK786539 GEN786440:GEO786539 FUR786440:FUS786539 FKV786440:FKW786539 FAZ786440:FBA786539 ERD786440:ERE786539 EHH786440:EHI786539 DXL786440:DXM786539 DNP786440:DNQ786539 DDT786440:DDU786539 CTX786440:CTY786539 CKB786440:CKC786539 CAF786440:CAG786539 BQJ786440:BQK786539 BGN786440:BGO786539 AWR786440:AWS786539 AMV786440:AMW786539 ACZ786440:ADA786539 TD786440:TE786539 JH786440:JI786539 L786440:M786539 WVT720904:WVU721003 WLX720904:WLY721003 WCB720904:WCC721003 VSF720904:VSG721003 VIJ720904:VIK721003 UYN720904:UYO721003 UOR720904:UOS721003 UEV720904:UEW721003 TUZ720904:TVA721003 TLD720904:TLE721003 TBH720904:TBI721003 SRL720904:SRM721003 SHP720904:SHQ721003 RXT720904:RXU721003 RNX720904:RNY721003 REB720904:REC721003 QUF720904:QUG721003 QKJ720904:QKK721003 QAN720904:QAO721003 PQR720904:PQS721003 PGV720904:PGW721003 OWZ720904:OXA721003 OND720904:ONE721003 ODH720904:ODI721003 NTL720904:NTM721003 NJP720904:NJQ721003 MZT720904:MZU721003 MPX720904:MPY721003 MGB720904:MGC721003 LWF720904:LWG721003 LMJ720904:LMK721003 LCN720904:LCO721003 KSR720904:KSS721003 KIV720904:KIW721003 JYZ720904:JZA721003 JPD720904:JPE721003 JFH720904:JFI721003 IVL720904:IVM721003 ILP720904:ILQ721003 IBT720904:IBU721003 HRX720904:HRY721003 HIB720904:HIC721003 GYF720904:GYG721003 GOJ720904:GOK721003 GEN720904:GEO721003 FUR720904:FUS721003 FKV720904:FKW721003 FAZ720904:FBA721003 ERD720904:ERE721003 EHH720904:EHI721003 DXL720904:DXM721003 DNP720904:DNQ721003 DDT720904:DDU721003 CTX720904:CTY721003 CKB720904:CKC721003 CAF720904:CAG721003 BQJ720904:BQK721003 BGN720904:BGO721003 AWR720904:AWS721003 AMV720904:AMW721003 ACZ720904:ADA721003 TD720904:TE721003 JH720904:JI721003 L720904:M721003 WVT655368:WVU655467 WLX655368:WLY655467 WCB655368:WCC655467 VSF655368:VSG655467 VIJ655368:VIK655467 UYN655368:UYO655467 UOR655368:UOS655467 UEV655368:UEW655467 TUZ655368:TVA655467 TLD655368:TLE655467 TBH655368:TBI655467 SRL655368:SRM655467 SHP655368:SHQ655467 RXT655368:RXU655467 RNX655368:RNY655467 REB655368:REC655467 QUF655368:QUG655467 QKJ655368:QKK655467 QAN655368:QAO655467 PQR655368:PQS655467 PGV655368:PGW655467 OWZ655368:OXA655467 OND655368:ONE655467 ODH655368:ODI655467 NTL655368:NTM655467 NJP655368:NJQ655467 MZT655368:MZU655467 MPX655368:MPY655467 MGB655368:MGC655467 LWF655368:LWG655467 LMJ655368:LMK655467 LCN655368:LCO655467 KSR655368:KSS655467 KIV655368:KIW655467 JYZ655368:JZA655467 JPD655368:JPE655467 JFH655368:JFI655467 IVL655368:IVM655467 ILP655368:ILQ655467 IBT655368:IBU655467 HRX655368:HRY655467 HIB655368:HIC655467 GYF655368:GYG655467 GOJ655368:GOK655467 GEN655368:GEO655467 FUR655368:FUS655467 FKV655368:FKW655467 FAZ655368:FBA655467 ERD655368:ERE655467 EHH655368:EHI655467 DXL655368:DXM655467 DNP655368:DNQ655467 DDT655368:DDU655467 CTX655368:CTY655467 CKB655368:CKC655467 CAF655368:CAG655467 BQJ655368:BQK655467 BGN655368:BGO655467 AWR655368:AWS655467 AMV655368:AMW655467 ACZ655368:ADA655467 TD655368:TE655467 JH655368:JI655467 L655368:M655467 WVT589832:WVU589931 WLX589832:WLY589931 WCB589832:WCC589931 VSF589832:VSG589931 VIJ589832:VIK589931 UYN589832:UYO589931 UOR589832:UOS589931 UEV589832:UEW589931 TUZ589832:TVA589931 TLD589832:TLE589931 TBH589832:TBI589931 SRL589832:SRM589931 SHP589832:SHQ589931 RXT589832:RXU589931 RNX589832:RNY589931 REB589832:REC589931 QUF589832:QUG589931 QKJ589832:QKK589931 QAN589832:QAO589931 PQR589832:PQS589931 PGV589832:PGW589931 OWZ589832:OXA589931 OND589832:ONE589931 ODH589832:ODI589931 NTL589832:NTM589931 NJP589832:NJQ589931 MZT589832:MZU589931 MPX589832:MPY589931 MGB589832:MGC589931 LWF589832:LWG589931 LMJ589832:LMK589931 LCN589832:LCO589931 KSR589832:KSS589931 KIV589832:KIW589931 JYZ589832:JZA589931 JPD589832:JPE589931 JFH589832:JFI589931 IVL589832:IVM589931 ILP589832:ILQ589931 IBT589832:IBU589931 HRX589832:HRY589931 HIB589832:HIC589931 GYF589832:GYG589931 GOJ589832:GOK589931 GEN589832:GEO589931 FUR589832:FUS589931 FKV589832:FKW589931 FAZ589832:FBA589931 ERD589832:ERE589931 EHH589832:EHI589931 DXL589832:DXM589931 DNP589832:DNQ589931 DDT589832:DDU589931 CTX589832:CTY589931 CKB589832:CKC589931 CAF589832:CAG589931 BQJ589832:BQK589931 BGN589832:BGO589931 AWR589832:AWS589931 AMV589832:AMW589931 ACZ589832:ADA589931 TD589832:TE589931 JH589832:JI589931 L589832:M589931 WVT524296:WVU524395 WLX524296:WLY524395 WCB524296:WCC524395 VSF524296:VSG524395 VIJ524296:VIK524395 UYN524296:UYO524395 UOR524296:UOS524395 UEV524296:UEW524395 TUZ524296:TVA524395 TLD524296:TLE524395 TBH524296:TBI524395 SRL524296:SRM524395 SHP524296:SHQ524395 RXT524296:RXU524395 RNX524296:RNY524395 REB524296:REC524395 QUF524296:QUG524395 QKJ524296:QKK524395 QAN524296:QAO524395 PQR524296:PQS524395 PGV524296:PGW524395 OWZ524296:OXA524395 OND524296:ONE524395 ODH524296:ODI524395 NTL524296:NTM524395 NJP524296:NJQ524395 MZT524296:MZU524395 MPX524296:MPY524395 MGB524296:MGC524395 LWF524296:LWG524395 LMJ524296:LMK524395 LCN524296:LCO524395 KSR524296:KSS524395 KIV524296:KIW524395 JYZ524296:JZA524395 JPD524296:JPE524395 JFH524296:JFI524395 IVL524296:IVM524395 ILP524296:ILQ524395 IBT524296:IBU524395 HRX524296:HRY524395 HIB524296:HIC524395 GYF524296:GYG524395 GOJ524296:GOK524395 GEN524296:GEO524395 FUR524296:FUS524395 FKV524296:FKW524395 FAZ524296:FBA524395 ERD524296:ERE524395 EHH524296:EHI524395 DXL524296:DXM524395 DNP524296:DNQ524395 DDT524296:DDU524395 CTX524296:CTY524395 CKB524296:CKC524395 CAF524296:CAG524395 BQJ524296:BQK524395 BGN524296:BGO524395 AWR524296:AWS524395 AMV524296:AMW524395 ACZ524296:ADA524395 TD524296:TE524395 JH524296:JI524395 L524296:M524395 WVT458760:WVU458859 WLX458760:WLY458859 WCB458760:WCC458859 VSF458760:VSG458859 VIJ458760:VIK458859 UYN458760:UYO458859 UOR458760:UOS458859 UEV458760:UEW458859 TUZ458760:TVA458859 TLD458760:TLE458859 TBH458760:TBI458859 SRL458760:SRM458859 SHP458760:SHQ458859 RXT458760:RXU458859 RNX458760:RNY458859 REB458760:REC458859 QUF458760:QUG458859 QKJ458760:QKK458859 QAN458760:QAO458859 PQR458760:PQS458859 PGV458760:PGW458859 OWZ458760:OXA458859 OND458760:ONE458859 ODH458760:ODI458859 NTL458760:NTM458859 NJP458760:NJQ458859 MZT458760:MZU458859 MPX458760:MPY458859 MGB458760:MGC458859 LWF458760:LWG458859 LMJ458760:LMK458859 LCN458760:LCO458859 KSR458760:KSS458859 KIV458760:KIW458859 JYZ458760:JZA458859 JPD458760:JPE458859 JFH458760:JFI458859 IVL458760:IVM458859 ILP458760:ILQ458859 IBT458760:IBU458859 HRX458760:HRY458859 HIB458760:HIC458859 GYF458760:GYG458859 GOJ458760:GOK458859 GEN458760:GEO458859 FUR458760:FUS458859 FKV458760:FKW458859 FAZ458760:FBA458859 ERD458760:ERE458859 EHH458760:EHI458859 DXL458760:DXM458859 DNP458760:DNQ458859 DDT458760:DDU458859 CTX458760:CTY458859 CKB458760:CKC458859 CAF458760:CAG458859 BQJ458760:BQK458859 BGN458760:BGO458859 AWR458760:AWS458859 AMV458760:AMW458859 ACZ458760:ADA458859 TD458760:TE458859 JH458760:JI458859 L458760:M458859 WVT393224:WVU393323 WLX393224:WLY393323 WCB393224:WCC393323 VSF393224:VSG393323 VIJ393224:VIK393323 UYN393224:UYO393323 UOR393224:UOS393323 UEV393224:UEW393323 TUZ393224:TVA393323 TLD393224:TLE393323 TBH393224:TBI393323 SRL393224:SRM393323 SHP393224:SHQ393323 RXT393224:RXU393323 RNX393224:RNY393323 REB393224:REC393323 QUF393224:QUG393323 QKJ393224:QKK393323 QAN393224:QAO393323 PQR393224:PQS393323 PGV393224:PGW393323 OWZ393224:OXA393323 OND393224:ONE393323 ODH393224:ODI393323 NTL393224:NTM393323 NJP393224:NJQ393323 MZT393224:MZU393323 MPX393224:MPY393323 MGB393224:MGC393323 LWF393224:LWG393323 LMJ393224:LMK393323 LCN393224:LCO393323 KSR393224:KSS393323 KIV393224:KIW393323 JYZ393224:JZA393323 JPD393224:JPE393323 JFH393224:JFI393323 IVL393224:IVM393323 ILP393224:ILQ393323 IBT393224:IBU393323 HRX393224:HRY393323 HIB393224:HIC393323 GYF393224:GYG393323 GOJ393224:GOK393323 GEN393224:GEO393323 FUR393224:FUS393323 FKV393224:FKW393323 FAZ393224:FBA393323 ERD393224:ERE393323 EHH393224:EHI393323 DXL393224:DXM393323 DNP393224:DNQ393323 DDT393224:DDU393323 CTX393224:CTY393323 CKB393224:CKC393323 CAF393224:CAG393323 BQJ393224:BQK393323 BGN393224:BGO393323 AWR393224:AWS393323 AMV393224:AMW393323 ACZ393224:ADA393323 TD393224:TE393323 JH393224:JI393323 L393224:M393323 WVT327688:WVU327787 WLX327688:WLY327787 WCB327688:WCC327787 VSF327688:VSG327787 VIJ327688:VIK327787 UYN327688:UYO327787 UOR327688:UOS327787 UEV327688:UEW327787 TUZ327688:TVA327787 TLD327688:TLE327787 TBH327688:TBI327787 SRL327688:SRM327787 SHP327688:SHQ327787 RXT327688:RXU327787 RNX327688:RNY327787 REB327688:REC327787 QUF327688:QUG327787 QKJ327688:QKK327787 QAN327688:QAO327787 PQR327688:PQS327787 PGV327688:PGW327787 OWZ327688:OXA327787 OND327688:ONE327787 ODH327688:ODI327787 NTL327688:NTM327787 NJP327688:NJQ327787 MZT327688:MZU327787 MPX327688:MPY327787 MGB327688:MGC327787 LWF327688:LWG327787 LMJ327688:LMK327787 LCN327688:LCO327787 KSR327688:KSS327787 KIV327688:KIW327787 JYZ327688:JZA327787 JPD327688:JPE327787 JFH327688:JFI327787 IVL327688:IVM327787 ILP327688:ILQ327787 IBT327688:IBU327787 HRX327688:HRY327787 HIB327688:HIC327787 GYF327688:GYG327787 GOJ327688:GOK327787 GEN327688:GEO327787 FUR327688:FUS327787 FKV327688:FKW327787 FAZ327688:FBA327787 ERD327688:ERE327787 EHH327688:EHI327787 DXL327688:DXM327787 DNP327688:DNQ327787 DDT327688:DDU327787 CTX327688:CTY327787 CKB327688:CKC327787 CAF327688:CAG327787 BQJ327688:BQK327787 BGN327688:BGO327787 AWR327688:AWS327787 AMV327688:AMW327787 ACZ327688:ADA327787 TD327688:TE327787 JH327688:JI327787 L327688:M327787 WVT262152:WVU262251 WLX262152:WLY262251 WCB262152:WCC262251 VSF262152:VSG262251 VIJ262152:VIK262251 UYN262152:UYO262251 UOR262152:UOS262251 UEV262152:UEW262251 TUZ262152:TVA262251 TLD262152:TLE262251 TBH262152:TBI262251 SRL262152:SRM262251 SHP262152:SHQ262251 RXT262152:RXU262251 RNX262152:RNY262251 REB262152:REC262251 QUF262152:QUG262251 QKJ262152:QKK262251 QAN262152:QAO262251 PQR262152:PQS262251 PGV262152:PGW262251 OWZ262152:OXA262251 OND262152:ONE262251 ODH262152:ODI262251 NTL262152:NTM262251 NJP262152:NJQ262251 MZT262152:MZU262251 MPX262152:MPY262251 MGB262152:MGC262251 LWF262152:LWG262251 LMJ262152:LMK262251 LCN262152:LCO262251 KSR262152:KSS262251 KIV262152:KIW262251 JYZ262152:JZA262251 JPD262152:JPE262251 JFH262152:JFI262251 IVL262152:IVM262251 ILP262152:ILQ262251 IBT262152:IBU262251 HRX262152:HRY262251 HIB262152:HIC262251 GYF262152:GYG262251 GOJ262152:GOK262251 GEN262152:GEO262251 FUR262152:FUS262251 FKV262152:FKW262251 FAZ262152:FBA262251 ERD262152:ERE262251 EHH262152:EHI262251 DXL262152:DXM262251 DNP262152:DNQ262251 DDT262152:DDU262251 CTX262152:CTY262251 CKB262152:CKC262251 CAF262152:CAG262251 BQJ262152:BQK262251 BGN262152:BGO262251 AWR262152:AWS262251 AMV262152:AMW262251 ACZ262152:ADA262251 TD262152:TE262251 JH262152:JI262251 L262152:M262251 WVT196616:WVU196715 WLX196616:WLY196715 WCB196616:WCC196715 VSF196616:VSG196715 VIJ196616:VIK196715 UYN196616:UYO196715 UOR196616:UOS196715 UEV196616:UEW196715 TUZ196616:TVA196715 TLD196616:TLE196715 TBH196616:TBI196715 SRL196616:SRM196715 SHP196616:SHQ196715 RXT196616:RXU196715 RNX196616:RNY196715 REB196616:REC196715 QUF196616:QUG196715 QKJ196616:QKK196715 QAN196616:QAO196715 PQR196616:PQS196715 PGV196616:PGW196715 OWZ196616:OXA196715 OND196616:ONE196715 ODH196616:ODI196715 NTL196616:NTM196715 NJP196616:NJQ196715 MZT196616:MZU196715 MPX196616:MPY196715 MGB196616:MGC196715 LWF196616:LWG196715 LMJ196616:LMK196715 LCN196616:LCO196715 KSR196616:KSS196715 KIV196616:KIW196715 JYZ196616:JZA196715 JPD196616:JPE196715 JFH196616:JFI196715 IVL196616:IVM196715 ILP196616:ILQ196715 IBT196616:IBU196715 HRX196616:HRY196715 HIB196616:HIC196715 GYF196616:GYG196715 GOJ196616:GOK196715 GEN196616:GEO196715 FUR196616:FUS196715 FKV196616:FKW196715 FAZ196616:FBA196715 ERD196616:ERE196715 EHH196616:EHI196715 DXL196616:DXM196715 DNP196616:DNQ196715 DDT196616:DDU196715 CTX196616:CTY196715 CKB196616:CKC196715 CAF196616:CAG196715 BQJ196616:BQK196715 BGN196616:BGO196715 AWR196616:AWS196715 AMV196616:AMW196715 ACZ196616:ADA196715 TD196616:TE196715 JH196616:JI196715 L196616:M196715 WVT131080:WVU131179 WLX131080:WLY131179 WCB131080:WCC131179 VSF131080:VSG131179 VIJ131080:VIK131179 UYN131080:UYO131179 UOR131080:UOS131179 UEV131080:UEW131179 TUZ131080:TVA131179 TLD131080:TLE131179 TBH131080:TBI131179 SRL131080:SRM131179 SHP131080:SHQ131179 RXT131080:RXU131179 RNX131080:RNY131179 REB131080:REC131179 QUF131080:QUG131179 QKJ131080:QKK131179 QAN131080:QAO131179 PQR131080:PQS131179 PGV131080:PGW131179 OWZ131080:OXA131179 OND131080:ONE131179 ODH131080:ODI131179 NTL131080:NTM131179 NJP131080:NJQ131179 MZT131080:MZU131179 MPX131080:MPY131179 MGB131080:MGC131179 LWF131080:LWG131179 LMJ131080:LMK131179 LCN131080:LCO131179 KSR131080:KSS131179 KIV131080:KIW131179 JYZ131080:JZA131179 JPD131080:JPE131179 JFH131080:JFI131179 IVL131080:IVM131179 ILP131080:ILQ131179 IBT131080:IBU131179 HRX131080:HRY131179 HIB131080:HIC131179 GYF131080:GYG131179 GOJ131080:GOK131179 GEN131080:GEO131179 FUR131080:FUS131179 FKV131080:FKW131179 FAZ131080:FBA131179 ERD131080:ERE131179 EHH131080:EHI131179 DXL131080:DXM131179 DNP131080:DNQ131179 DDT131080:DDU131179 CTX131080:CTY131179 CKB131080:CKC131179 CAF131080:CAG131179 BQJ131080:BQK131179 BGN131080:BGO131179 AWR131080:AWS131179 AMV131080:AMW131179 ACZ131080:ADA131179 TD131080:TE131179 JH131080:JI131179 L131080:M131179 WVT65544:WVU65643 WLX65544:WLY65643 WCB65544:WCC65643 VSF65544:VSG65643 VIJ65544:VIK65643 UYN65544:UYO65643 UOR65544:UOS65643 UEV65544:UEW65643 TUZ65544:TVA65643 TLD65544:TLE65643 TBH65544:TBI65643 SRL65544:SRM65643 SHP65544:SHQ65643 RXT65544:RXU65643 RNX65544:RNY65643 REB65544:REC65643 QUF65544:QUG65643 QKJ65544:QKK65643 QAN65544:QAO65643 PQR65544:PQS65643 PGV65544:PGW65643 OWZ65544:OXA65643 OND65544:ONE65643 ODH65544:ODI65643 NTL65544:NTM65643 NJP65544:NJQ65643 MZT65544:MZU65643 MPX65544:MPY65643 MGB65544:MGC65643 LWF65544:LWG65643 LMJ65544:LMK65643 LCN65544:LCO65643 KSR65544:KSS65643 KIV65544:KIW65643 JYZ65544:JZA65643 JPD65544:JPE65643 JFH65544:JFI65643 IVL65544:IVM65643 ILP65544:ILQ65643 IBT65544:IBU65643 HRX65544:HRY65643 HIB65544:HIC65643 GYF65544:GYG65643 GOJ65544:GOK65643 GEN65544:GEO65643 FUR65544:FUS65643 FKV65544:FKW65643 FAZ65544:FBA65643 ERD65544:ERE65643 EHH65544:EHI65643 DXL65544:DXM65643 DNP65544:DNQ65643 DDT65544:DDU65643 CTX65544:CTY65643 CKB65544:CKC65643 CAF65544:CAG65643 BQJ65544:BQK65643 BGN65544:BGO65643 AWR65544:AWS65643 AMV65544:AMW65643 ACZ65544:ADA65643 TD65544:TE65643 JH65544:JI65643 L65544:M65643 WVT8:WVU107 WLX8:WLY107 WCB8:WCC107 VSF8:VSG107 VIJ8:VIK107 UYN8:UYO107 UOR8:UOS107 UEV8:UEW107 TUZ8:TVA107 TLD8:TLE107 TBH8:TBI107 SRL8:SRM107 SHP8:SHQ107 RXT8:RXU107 RNX8:RNY107 REB8:REC107 QUF8:QUG107 QKJ8:QKK107 QAN8:QAO107 PQR8:PQS107 PGV8:PGW107 OWZ8:OXA107 OND8:ONE107 ODH8:ODI107 NTL8:NTM107 NJP8:NJQ107 MZT8:MZU107 MPX8:MPY107 MGB8:MGC107 LWF8:LWG107 LMJ8:LMK107 LCN8:LCO107 KSR8:KSS107 KIV8:KIW107 JYZ8:JZA107 JPD8:JPE107 JFH8:JFI107 IVL8:IVM107 ILP8:ILQ107 IBT8:IBU107 HRX8:HRY107 HIB8:HIC107 GYF8:GYG107 GOJ8:GOK107 GEN8:GEO107 FUR8:FUS107 FKV8:FKW107 FAZ8:FBA107 ERD8:ERE107 EHH8:EHI107 DXL8:DXM107 DNP8:DNQ107 DDT8:DDU107 CTX8:CTY107 CKB8:CKC107 CAF8:CAG107 BQJ8:BQK107 BGN8:BGO107 AWR8:AWS107 AMV8:AMW107 ACZ8:ADA107 TD8:TE107 D8:D107 L8:M107">
      <formula1>"X"</formula1>
    </dataValidation>
    <dataValidation type="list" allowBlank="1" showInputMessage="1" showErrorMessage="1" sqref="JK8:JK107 WVW983048:WVW983147 WMA983048:WMA983147 WCE983048:WCE983147 VSI983048:VSI983147 VIM983048:VIM983147 UYQ983048:UYQ983147 UOU983048:UOU983147 UEY983048:UEY983147 TVC983048:TVC983147 TLG983048:TLG983147 TBK983048:TBK983147 SRO983048:SRO983147 SHS983048:SHS983147 RXW983048:RXW983147 ROA983048:ROA983147 REE983048:REE983147 QUI983048:QUI983147 QKM983048:QKM983147 QAQ983048:QAQ983147 PQU983048:PQU983147 PGY983048:PGY983147 OXC983048:OXC983147 ONG983048:ONG983147 ODK983048:ODK983147 NTO983048:NTO983147 NJS983048:NJS983147 MZW983048:MZW983147 MQA983048:MQA983147 MGE983048:MGE983147 LWI983048:LWI983147 LMM983048:LMM983147 LCQ983048:LCQ983147 KSU983048:KSU983147 KIY983048:KIY983147 JZC983048:JZC983147 JPG983048:JPG983147 JFK983048:JFK983147 IVO983048:IVO983147 ILS983048:ILS983147 IBW983048:IBW983147 HSA983048:HSA983147 HIE983048:HIE983147 GYI983048:GYI983147 GOM983048:GOM983147 GEQ983048:GEQ983147 FUU983048:FUU983147 FKY983048:FKY983147 FBC983048:FBC983147 ERG983048:ERG983147 EHK983048:EHK983147 DXO983048:DXO983147 DNS983048:DNS983147 DDW983048:DDW983147 CUA983048:CUA983147 CKE983048:CKE983147 CAI983048:CAI983147 BQM983048:BQM983147 BGQ983048:BGQ983147 AWU983048:AWU983147 AMY983048:AMY983147 ADC983048:ADC983147 TG983048:TG983147 JK983048:JK983147 O983048:O983147 WVW917512:WVW917611 WMA917512:WMA917611 WCE917512:WCE917611 VSI917512:VSI917611 VIM917512:VIM917611 UYQ917512:UYQ917611 UOU917512:UOU917611 UEY917512:UEY917611 TVC917512:TVC917611 TLG917512:TLG917611 TBK917512:TBK917611 SRO917512:SRO917611 SHS917512:SHS917611 RXW917512:RXW917611 ROA917512:ROA917611 REE917512:REE917611 QUI917512:QUI917611 QKM917512:QKM917611 QAQ917512:QAQ917611 PQU917512:PQU917611 PGY917512:PGY917611 OXC917512:OXC917611 ONG917512:ONG917611 ODK917512:ODK917611 NTO917512:NTO917611 NJS917512:NJS917611 MZW917512:MZW917611 MQA917512:MQA917611 MGE917512:MGE917611 LWI917512:LWI917611 LMM917512:LMM917611 LCQ917512:LCQ917611 KSU917512:KSU917611 KIY917512:KIY917611 JZC917512:JZC917611 JPG917512:JPG917611 JFK917512:JFK917611 IVO917512:IVO917611 ILS917512:ILS917611 IBW917512:IBW917611 HSA917512:HSA917611 HIE917512:HIE917611 GYI917512:GYI917611 GOM917512:GOM917611 GEQ917512:GEQ917611 FUU917512:FUU917611 FKY917512:FKY917611 FBC917512:FBC917611 ERG917512:ERG917611 EHK917512:EHK917611 DXO917512:DXO917611 DNS917512:DNS917611 DDW917512:DDW917611 CUA917512:CUA917611 CKE917512:CKE917611 CAI917512:CAI917611 BQM917512:BQM917611 BGQ917512:BGQ917611 AWU917512:AWU917611 AMY917512:AMY917611 ADC917512:ADC917611 TG917512:TG917611 JK917512:JK917611 O917512:O917611 WVW851976:WVW852075 WMA851976:WMA852075 WCE851976:WCE852075 VSI851976:VSI852075 VIM851976:VIM852075 UYQ851976:UYQ852075 UOU851976:UOU852075 UEY851976:UEY852075 TVC851976:TVC852075 TLG851976:TLG852075 TBK851976:TBK852075 SRO851976:SRO852075 SHS851976:SHS852075 RXW851976:RXW852075 ROA851976:ROA852075 REE851976:REE852075 QUI851976:QUI852075 QKM851976:QKM852075 QAQ851976:QAQ852075 PQU851976:PQU852075 PGY851976:PGY852075 OXC851976:OXC852075 ONG851976:ONG852075 ODK851976:ODK852075 NTO851976:NTO852075 NJS851976:NJS852075 MZW851976:MZW852075 MQA851976:MQA852075 MGE851976:MGE852075 LWI851976:LWI852075 LMM851976:LMM852075 LCQ851976:LCQ852075 KSU851976:KSU852075 KIY851976:KIY852075 JZC851976:JZC852075 JPG851976:JPG852075 JFK851976:JFK852075 IVO851976:IVO852075 ILS851976:ILS852075 IBW851976:IBW852075 HSA851976:HSA852075 HIE851976:HIE852075 GYI851976:GYI852075 GOM851976:GOM852075 GEQ851976:GEQ852075 FUU851976:FUU852075 FKY851976:FKY852075 FBC851976:FBC852075 ERG851976:ERG852075 EHK851976:EHK852075 DXO851976:DXO852075 DNS851976:DNS852075 DDW851976:DDW852075 CUA851976:CUA852075 CKE851976:CKE852075 CAI851976:CAI852075 BQM851976:BQM852075 BGQ851976:BGQ852075 AWU851976:AWU852075 AMY851976:AMY852075 ADC851976:ADC852075 TG851976:TG852075 JK851976:JK852075 O851976:O852075 WVW786440:WVW786539 WMA786440:WMA786539 WCE786440:WCE786539 VSI786440:VSI786539 VIM786440:VIM786539 UYQ786440:UYQ786539 UOU786440:UOU786539 UEY786440:UEY786539 TVC786440:TVC786539 TLG786440:TLG786539 TBK786440:TBK786539 SRO786440:SRO786539 SHS786440:SHS786539 RXW786440:RXW786539 ROA786440:ROA786539 REE786440:REE786539 QUI786440:QUI786539 QKM786440:QKM786539 QAQ786440:QAQ786539 PQU786440:PQU786539 PGY786440:PGY786539 OXC786440:OXC786539 ONG786440:ONG786539 ODK786440:ODK786539 NTO786440:NTO786539 NJS786440:NJS786539 MZW786440:MZW786539 MQA786440:MQA786539 MGE786440:MGE786539 LWI786440:LWI786539 LMM786440:LMM786539 LCQ786440:LCQ786539 KSU786440:KSU786539 KIY786440:KIY786539 JZC786440:JZC786539 JPG786440:JPG786539 JFK786440:JFK786539 IVO786440:IVO786539 ILS786440:ILS786539 IBW786440:IBW786539 HSA786440:HSA786539 HIE786440:HIE786539 GYI786440:GYI786539 GOM786440:GOM786539 GEQ786440:GEQ786539 FUU786440:FUU786539 FKY786440:FKY786539 FBC786440:FBC786539 ERG786440:ERG786539 EHK786440:EHK786539 DXO786440:DXO786539 DNS786440:DNS786539 DDW786440:DDW786539 CUA786440:CUA786539 CKE786440:CKE786539 CAI786440:CAI786539 BQM786440:BQM786539 BGQ786440:BGQ786539 AWU786440:AWU786539 AMY786440:AMY786539 ADC786440:ADC786539 TG786440:TG786539 JK786440:JK786539 O786440:O786539 WVW720904:WVW721003 WMA720904:WMA721003 WCE720904:WCE721003 VSI720904:VSI721003 VIM720904:VIM721003 UYQ720904:UYQ721003 UOU720904:UOU721003 UEY720904:UEY721003 TVC720904:TVC721003 TLG720904:TLG721003 TBK720904:TBK721003 SRO720904:SRO721003 SHS720904:SHS721003 RXW720904:RXW721003 ROA720904:ROA721003 REE720904:REE721003 QUI720904:QUI721003 QKM720904:QKM721003 QAQ720904:QAQ721003 PQU720904:PQU721003 PGY720904:PGY721003 OXC720904:OXC721003 ONG720904:ONG721003 ODK720904:ODK721003 NTO720904:NTO721003 NJS720904:NJS721003 MZW720904:MZW721003 MQA720904:MQA721003 MGE720904:MGE721003 LWI720904:LWI721003 LMM720904:LMM721003 LCQ720904:LCQ721003 KSU720904:KSU721003 KIY720904:KIY721003 JZC720904:JZC721003 JPG720904:JPG721003 JFK720904:JFK721003 IVO720904:IVO721003 ILS720904:ILS721003 IBW720904:IBW721003 HSA720904:HSA721003 HIE720904:HIE721003 GYI720904:GYI721003 GOM720904:GOM721003 GEQ720904:GEQ721003 FUU720904:FUU721003 FKY720904:FKY721003 FBC720904:FBC721003 ERG720904:ERG721003 EHK720904:EHK721003 DXO720904:DXO721003 DNS720904:DNS721003 DDW720904:DDW721003 CUA720904:CUA721003 CKE720904:CKE721003 CAI720904:CAI721003 BQM720904:BQM721003 BGQ720904:BGQ721003 AWU720904:AWU721003 AMY720904:AMY721003 ADC720904:ADC721003 TG720904:TG721003 JK720904:JK721003 O720904:O721003 WVW655368:WVW655467 WMA655368:WMA655467 WCE655368:WCE655467 VSI655368:VSI655467 VIM655368:VIM655467 UYQ655368:UYQ655467 UOU655368:UOU655467 UEY655368:UEY655467 TVC655368:TVC655467 TLG655368:TLG655467 TBK655368:TBK655467 SRO655368:SRO655467 SHS655368:SHS655467 RXW655368:RXW655467 ROA655368:ROA655467 REE655368:REE655467 QUI655368:QUI655467 QKM655368:QKM655467 QAQ655368:QAQ655467 PQU655368:PQU655467 PGY655368:PGY655467 OXC655368:OXC655467 ONG655368:ONG655467 ODK655368:ODK655467 NTO655368:NTO655467 NJS655368:NJS655467 MZW655368:MZW655467 MQA655368:MQA655467 MGE655368:MGE655467 LWI655368:LWI655467 LMM655368:LMM655467 LCQ655368:LCQ655467 KSU655368:KSU655467 KIY655368:KIY655467 JZC655368:JZC655467 JPG655368:JPG655467 JFK655368:JFK655467 IVO655368:IVO655467 ILS655368:ILS655467 IBW655368:IBW655467 HSA655368:HSA655467 HIE655368:HIE655467 GYI655368:GYI655467 GOM655368:GOM655467 GEQ655368:GEQ655467 FUU655368:FUU655467 FKY655368:FKY655467 FBC655368:FBC655467 ERG655368:ERG655467 EHK655368:EHK655467 DXO655368:DXO655467 DNS655368:DNS655467 DDW655368:DDW655467 CUA655368:CUA655467 CKE655368:CKE655467 CAI655368:CAI655467 BQM655368:BQM655467 BGQ655368:BGQ655467 AWU655368:AWU655467 AMY655368:AMY655467 ADC655368:ADC655467 TG655368:TG655467 JK655368:JK655467 O655368:O655467 WVW589832:WVW589931 WMA589832:WMA589931 WCE589832:WCE589931 VSI589832:VSI589931 VIM589832:VIM589931 UYQ589832:UYQ589931 UOU589832:UOU589931 UEY589832:UEY589931 TVC589832:TVC589931 TLG589832:TLG589931 TBK589832:TBK589931 SRO589832:SRO589931 SHS589832:SHS589931 RXW589832:RXW589931 ROA589832:ROA589931 REE589832:REE589931 QUI589832:QUI589931 QKM589832:QKM589931 QAQ589832:QAQ589931 PQU589832:PQU589931 PGY589832:PGY589931 OXC589832:OXC589931 ONG589832:ONG589931 ODK589832:ODK589931 NTO589832:NTO589931 NJS589832:NJS589931 MZW589832:MZW589931 MQA589832:MQA589931 MGE589832:MGE589931 LWI589832:LWI589931 LMM589832:LMM589931 LCQ589832:LCQ589931 KSU589832:KSU589931 KIY589832:KIY589931 JZC589832:JZC589931 JPG589832:JPG589931 JFK589832:JFK589931 IVO589832:IVO589931 ILS589832:ILS589931 IBW589832:IBW589931 HSA589832:HSA589931 HIE589832:HIE589931 GYI589832:GYI589931 GOM589832:GOM589931 GEQ589832:GEQ589931 FUU589832:FUU589931 FKY589832:FKY589931 FBC589832:FBC589931 ERG589832:ERG589931 EHK589832:EHK589931 DXO589832:DXO589931 DNS589832:DNS589931 DDW589832:DDW589931 CUA589832:CUA589931 CKE589832:CKE589931 CAI589832:CAI589931 BQM589832:BQM589931 BGQ589832:BGQ589931 AWU589832:AWU589931 AMY589832:AMY589931 ADC589832:ADC589931 TG589832:TG589931 JK589832:JK589931 O589832:O589931 WVW524296:WVW524395 WMA524296:WMA524395 WCE524296:WCE524395 VSI524296:VSI524395 VIM524296:VIM524395 UYQ524296:UYQ524395 UOU524296:UOU524395 UEY524296:UEY524395 TVC524296:TVC524395 TLG524296:TLG524395 TBK524296:TBK524395 SRO524296:SRO524395 SHS524296:SHS524395 RXW524296:RXW524395 ROA524296:ROA524395 REE524296:REE524395 QUI524296:QUI524395 QKM524296:QKM524395 QAQ524296:QAQ524395 PQU524296:PQU524395 PGY524296:PGY524395 OXC524296:OXC524395 ONG524296:ONG524395 ODK524296:ODK524395 NTO524296:NTO524395 NJS524296:NJS524395 MZW524296:MZW524395 MQA524296:MQA524395 MGE524296:MGE524395 LWI524296:LWI524395 LMM524296:LMM524395 LCQ524296:LCQ524395 KSU524296:KSU524395 KIY524296:KIY524395 JZC524296:JZC524395 JPG524296:JPG524395 JFK524296:JFK524395 IVO524296:IVO524395 ILS524296:ILS524395 IBW524296:IBW524395 HSA524296:HSA524395 HIE524296:HIE524395 GYI524296:GYI524395 GOM524296:GOM524395 GEQ524296:GEQ524395 FUU524296:FUU524395 FKY524296:FKY524395 FBC524296:FBC524395 ERG524296:ERG524395 EHK524296:EHK524395 DXO524296:DXO524395 DNS524296:DNS524395 DDW524296:DDW524395 CUA524296:CUA524395 CKE524296:CKE524395 CAI524296:CAI524395 BQM524296:BQM524395 BGQ524296:BGQ524395 AWU524296:AWU524395 AMY524296:AMY524395 ADC524296:ADC524395 TG524296:TG524395 JK524296:JK524395 O524296:O524395 WVW458760:WVW458859 WMA458760:WMA458859 WCE458760:WCE458859 VSI458760:VSI458859 VIM458760:VIM458859 UYQ458760:UYQ458859 UOU458760:UOU458859 UEY458760:UEY458859 TVC458760:TVC458859 TLG458760:TLG458859 TBK458760:TBK458859 SRO458760:SRO458859 SHS458760:SHS458859 RXW458760:RXW458859 ROA458760:ROA458859 REE458760:REE458859 QUI458760:QUI458859 QKM458760:QKM458859 QAQ458760:QAQ458859 PQU458760:PQU458859 PGY458760:PGY458859 OXC458760:OXC458859 ONG458760:ONG458859 ODK458760:ODK458859 NTO458760:NTO458859 NJS458760:NJS458859 MZW458760:MZW458859 MQA458760:MQA458859 MGE458760:MGE458859 LWI458760:LWI458859 LMM458760:LMM458859 LCQ458760:LCQ458859 KSU458760:KSU458859 KIY458760:KIY458859 JZC458760:JZC458859 JPG458760:JPG458859 JFK458760:JFK458859 IVO458760:IVO458859 ILS458760:ILS458859 IBW458760:IBW458859 HSA458760:HSA458859 HIE458760:HIE458859 GYI458760:GYI458859 GOM458760:GOM458859 GEQ458760:GEQ458859 FUU458760:FUU458859 FKY458760:FKY458859 FBC458760:FBC458859 ERG458760:ERG458859 EHK458760:EHK458859 DXO458760:DXO458859 DNS458760:DNS458859 DDW458760:DDW458859 CUA458760:CUA458859 CKE458760:CKE458859 CAI458760:CAI458859 BQM458760:BQM458859 BGQ458760:BGQ458859 AWU458760:AWU458859 AMY458760:AMY458859 ADC458760:ADC458859 TG458760:TG458859 JK458760:JK458859 O458760:O458859 WVW393224:WVW393323 WMA393224:WMA393323 WCE393224:WCE393323 VSI393224:VSI393323 VIM393224:VIM393323 UYQ393224:UYQ393323 UOU393224:UOU393323 UEY393224:UEY393323 TVC393224:TVC393323 TLG393224:TLG393323 TBK393224:TBK393323 SRO393224:SRO393323 SHS393224:SHS393323 RXW393224:RXW393323 ROA393224:ROA393323 REE393224:REE393323 QUI393224:QUI393323 QKM393224:QKM393323 QAQ393224:QAQ393323 PQU393224:PQU393323 PGY393224:PGY393323 OXC393224:OXC393323 ONG393224:ONG393323 ODK393224:ODK393323 NTO393224:NTO393323 NJS393224:NJS393323 MZW393224:MZW393323 MQA393224:MQA393323 MGE393224:MGE393323 LWI393224:LWI393323 LMM393224:LMM393323 LCQ393224:LCQ393323 KSU393224:KSU393323 KIY393224:KIY393323 JZC393224:JZC393323 JPG393224:JPG393323 JFK393224:JFK393323 IVO393224:IVO393323 ILS393224:ILS393323 IBW393224:IBW393323 HSA393224:HSA393323 HIE393224:HIE393323 GYI393224:GYI393323 GOM393224:GOM393323 GEQ393224:GEQ393323 FUU393224:FUU393323 FKY393224:FKY393323 FBC393224:FBC393323 ERG393224:ERG393323 EHK393224:EHK393323 DXO393224:DXO393323 DNS393224:DNS393323 DDW393224:DDW393323 CUA393224:CUA393323 CKE393224:CKE393323 CAI393224:CAI393323 BQM393224:BQM393323 BGQ393224:BGQ393323 AWU393224:AWU393323 AMY393224:AMY393323 ADC393224:ADC393323 TG393224:TG393323 JK393224:JK393323 O393224:O393323 WVW327688:WVW327787 WMA327688:WMA327787 WCE327688:WCE327787 VSI327688:VSI327787 VIM327688:VIM327787 UYQ327688:UYQ327787 UOU327688:UOU327787 UEY327688:UEY327787 TVC327688:TVC327787 TLG327688:TLG327787 TBK327688:TBK327787 SRO327688:SRO327787 SHS327688:SHS327787 RXW327688:RXW327787 ROA327688:ROA327787 REE327688:REE327787 QUI327688:QUI327787 QKM327688:QKM327787 QAQ327688:QAQ327787 PQU327688:PQU327787 PGY327688:PGY327787 OXC327688:OXC327787 ONG327688:ONG327787 ODK327688:ODK327787 NTO327688:NTO327787 NJS327688:NJS327787 MZW327688:MZW327787 MQA327688:MQA327787 MGE327688:MGE327787 LWI327688:LWI327787 LMM327688:LMM327787 LCQ327688:LCQ327787 KSU327688:KSU327787 KIY327688:KIY327787 JZC327688:JZC327787 JPG327688:JPG327787 JFK327688:JFK327787 IVO327688:IVO327787 ILS327688:ILS327787 IBW327688:IBW327787 HSA327688:HSA327787 HIE327688:HIE327787 GYI327688:GYI327787 GOM327688:GOM327787 GEQ327688:GEQ327787 FUU327688:FUU327787 FKY327688:FKY327787 FBC327688:FBC327787 ERG327688:ERG327787 EHK327688:EHK327787 DXO327688:DXO327787 DNS327688:DNS327787 DDW327688:DDW327787 CUA327688:CUA327787 CKE327688:CKE327787 CAI327688:CAI327787 BQM327688:BQM327787 BGQ327688:BGQ327787 AWU327688:AWU327787 AMY327688:AMY327787 ADC327688:ADC327787 TG327688:TG327787 JK327688:JK327787 O327688:O327787 WVW262152:WVW262251 WMA262152:WMA262251 WCE262152:WCE262251 VSI262152:VSI262251 VIM262152:VIM262251 UYQ262152:UYQ262251 UOU262152:UOU262251 UEY262152:UEY262251 TVC262152:TVC262251 TLG262152:TLG262251 TBK262152:TBK262251 SRO262152:SRO262251 SHS262152:SHS262251 RXW262152:RXW262251 ROA262152:ROA262251 REE262152:REE262251 QUI262152:QUI262251 QKM262152:QKM262251 QAQ262152:QAQ262251 PQU262152:PQU262251 PGY262152:PGY262251 OXC262152:OXC262251 ONG262152:ONG262251 ODK262152:ODK262251 NTO262152:NTO262251 NJS262152:NJS262251 MZW262152:MZW262251 MQA262152:MQA262251 MGE262152:MGE262251 LWI262152:LWI262251 LMM262152:LMM262251 LCQ262152:LCQ262251 KSU262152:KSU262251 KIY262152:KIY262251 JZC262152:JZC262251 JPG262152:JPG262251 JFK262152:JFK262251 IVO262152:IVO262251 ILS262152:ILS262251 IBW262152:IBW262251 HSA262152:HSA262251 HIE262152:HIE262251 GYI262152:GYI262251 GOM262152:GOM262251 GEQ262152:GEQ262251 FUU262152:FUU262251 FKY262152:FKY262251 FBC262152:FBC262251 ERG262152:ERG262251 EHK262152:EHK262251 DXO262152:DXO262251 DNS262152:DNS262251 DDW262152:DDW262251 CUA262152:CUA262251 CKE262152:CKE262251 CAI262152:CAI262251 BQM262152:BQM262251 BGQ262152:BGQ262251 AWU262152:AWU262251 AMY262152:AMY262251 ADC262152:ADC262251 TG262152:TG262251 JK262152:JK262251 O262152:O262251 WVW196616:WVW196715 WMA196616:WMA196715 WCE196616:WCE196715 VSI196616:VSI196715 VIM196616:VIM196715 UYQ196616:UYQ196715 UOU196616:UOU196715 UEY196616:UEY196715 TVC196616:TVC196715 TLG196616:TLG196715 TBK196616:TBK196715 SRO196616:SRO196715 SHS196616:SHS196715 RXW196616:RXW196715 ROA196616:ROA196715 REE196616:REE196715 QUI196616:QUI196715 QKM196616:QKM196715 QAQ196616:QAQ196715 PQU196616:PQU196715 PGY196616:PGY196715 OXC196616:OXC196715 ONG196616:ONG196715 ODK196616:ODK196715 NTO196616:NTO196715 NJS196616:NJS196715 MZW196616:MZW196715 MQA196616:MQA196715 MGE196616:MGE196715 LWI196616:LWI196715 LMM196616:LMM196715 LCQ196616:LCQ196715 KSU196616:KSU196715 KIY196616:KIY196715 JZC196616:JZC196715 JPG196616:JPG196715 JFK196616:JFK196715 IVO196616:IVO196715 ILS196616:ILS196715 IBW196616:IBW196715 HSA196616:HSA196715 HIE196616:HIE196715 GYI196616:GYI196715 GOM196616:GOM196715 GEQ196616:GEQ196715 FUU196616:FUU196715 FKY196616:FKY196715 FBC196616:FBC196715 ERG196616:ERG196715 EHK196616:EHK196715 DXO196616:DXO196715 DNS196616:DNS196715 DDW196616:DDW196715 CUA196616:CUA196715 CKE196616:CKE196715 CAI196616:CAI196715 BQM196616:BQM196715 BGQ196616:BGQ196715 AWU196616:AWU196715 AMY196616:AMY196715 ADC196616:ADC196715 TG196616:TG196715 JK196616:JK196715 O196616:O196715 WVW131080:WVW131179 WMA131080:WMA131179 WCE131080:WCE131179 VSI131080:VSI131179 VIM131080:VIM131179 UYQ131080:UYQ131179 UOU131080:UOU131179 UEY131080:UEY131179 TVC131080:TVC131179 TLG131080:TLG131179 TBK131080:TBK131179 SRO131080:SRO131179 SHS131080:SHS131179 RXW131080:RXW131179 ROA131080:ROA131179 REE131080:REE131179 QUI131080:QUI131179 QKM131080:QKM131179 QAQ131080:QAQ131179 PQU131080:PQU131179 PGY131080:PGY131179 OXC131080:OXC131179 ONG131080:ONG131179 ODK131080:ODK131179 NTO131080:NTO131179 NJS131080:NJS131179 MZW131080:MZW131179 MQA131080:MQA131179 MGE131080:MGE131179 LWI131080:LWI131179 LMM131080:LMM131179 LCQ131080:LCQ131179 KSU131080:KSU131179 KIY131080:KIY131179 JZC131080:JZC131179 JPG131080:JPG131179 JFK131080:JFK131179 IVO131080:IVO131179 ILS131080:ILS131179 IBW131080:IBW131179 HSA131080:HSA131179 HIE131080:HIE131179 GYI131080:GYI131179 GOM131080:GOM131179 GEQ131080:GEQ131179 FUU131080:FUU131179 FKY131080:FKY131179 FBC131080:FBC131179 ERG131080:ERG131179 EHK131080:EHK131179 DXO131080:DXO131179 DNS131080:DNS131179 DDW131080:DDW131179 CUA131080:CUA131179 CKE131080:CKE131179 CAI131080:CAI131179 BQM131080:BQM131179 BGQ131080:BGQ131179 AWU131080:AWU131179 AMY131080:AMY131179 ADC131080:ADC131179 TG131080:TG131179 JK131080:JK131179 O131080:O131179 WVW65544:WVW65643 WMA65544:WMA65643 WCE65544:WCE65643 VSI65544:VSI65643 VIM65544:VIM65643 UYQ65544:UYQ65643 UOU65544:UOU65643 UEY65544:UEY65643 TVC65544:TVC65643 TLG65544:TLG65643 TBK65544:TBK65643 SRO65544:SRO65643 SHS65544:SHS65643 RXW65544:RXW65643 ROA65544:ROA65643 REE65544:REE65643 QUI65544:QUI65643 QKM65544:QKM65643 QAQ65544:QAQ65643 PQU65544:PQU65643 PGY65544:PGY65643 OXC65544:OXC65643 ONG65544:ONG65643 ODK65544:ODK65643 NTO65544:NTO65643 NJS65544:NJS65643 MZW65544:MZW65643 MQA65544:MQA65643 MGE65544:MGE65643 LWI65544:LWI65643 LMM65544:LMM65643 LCQ65544:LCQ65643 KSU65544:KSU65643 KIY65544:KIY65643 JZC65544:JZC65643 JPG65544:JPG65643 JFK65544:JFK65643 IVO65544:IVO65643 ILS65544:ILS65643 IBW65544:IBW65643 HSA65544:HSA65643 HIE65544:HIE65643 GYI65544:GYI65643 GOM65544:GOM65643 GEQ65544:GEQ65643 FUU65544:FUU65643 FKY65544:FKY65643 FBC65544:FBC65643 ERG65544:ERG65643 EHK65544:EHK65643 DXO65544:DXO65643 DNS65544:DNS65643 DDW65544:DDW65643 CUA65544:CUA65643 CKE65544:CKE65643 CAI65544:CAI65643 BQM65544:BQM65643 BGQ65544:BGQ65643 AWU65544:AWU65643 AMY65544:AMY65643 ADC65544:ADC65643 TG65544:TG65643 JK65544:JK65643 O65544:O65643 WVW8:WVW107 WMA8:WMA107 WCE8:WCE107 VSI8:VSI107 VIM8:VIM107 UYQ8:UYQ107 UOU8:UOU107 UEY8:UEY107 TVC8:TVC107 TLG8:TLG107 TBK8:TBK107 SRO8:SRO107 SHS8:SHS107 RXW8:RXW107 ROA8:ROA107 REE8:REE107 QUI8:QUI107 QKM8:QKM107 QAQ8:QAQ107 PQU8:PQU107 PGY8:PGY107 OXC8:OXC107 ONG8:ONG107 ODK8:ODK107 NTO8:NTO107 NJS8:NJS107 MZW8:MZW107 MQA8:MQA107 MGE8:MGE107 LWI8:LWI107 LMM8:LMM107 LCQ8:LCQ107 KSU8:KSU107 KIY8:KIY107 JZC8:JZC107 JPG8:JPG107 JFK8:JFK107 IVO8:IVO107 ILS8:ILS107 IBW8:IBW107 HSA8:HSA107 HIE8:HIE107 GYI8:GYI107 GOM8:GOM107 GEQ8:GEQ107 FUU8:FUU107 FKY8:FKY107 FBC8:FBC107 ERG8:ERG107 EHK8:EHK107 DXO8:DXO107 DNS8:DNS107 DDW8:DDW107 CUA8:CUA107 CKE8:CKE107 CAI8:CAI107 BQM8:BQM107 BGQ8:BGQ107 AWU8:AWU107 AMY8:AMY107 ADC8:ADC107 TG8:TG107 O8:O107">
      <formula1>"Tốt,Khá,Đạt,C.Đạt,/"</formula1>
    </dataValidation>
    <dataValidation type="list" allowBlank="1" showInputMessage="1" showErrorMessage="1" sqref="E8:E107">
      <formula1>"Hiệu trưởng,P.Hiệu trưởng,Giáo viên,Nhân viên"</formula1>
    </dataValidation>
  </dataValidations>
  <pageMargins left="3.937007874015748E-2" right="3.937007874015748E-2" top="0.39370078740157483" bottom="0.39370078740157483" header="0.19685039370078741" footer="0.19685039370078741"/>
  <pageSetup paperSize="9" scale="8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02"/>
  <sheetViews>
    <sheetView topLeftCell="O1" workbookViewId="0">
      <selection activeCell="U12" sqref="U12"/>
    </sheetView>
  </sheetViews>
  <sheetFormatPr defaultColWidth="18.75" defaultRowHeight="15.75" x14ac:dyDescent="0.25"/>
  <cols>
    <col min="1" max="1" width="32.75" hidden="1" customWidth="1"/>
    <col min="2" max="3" width="15" hidden="1" customWidth="1"/>
    <col min="4" max="4" width="12.375" hidden="1" customWidth="1"/>
    <col min="5" max="5" width="40" hidden="1" customWidth="1"/>
    <col min="6" max="8" width="18.75" style="518" hidden="1" customWidth="1"/>
    <col min="9" max="9" width="18.75" hidden="1" customWidth="1"/>
    <col min="10" max="10" width="1.75" hidden="1" customWidth="1"/>
    <col min="11" max="11" width="3.875" hidden="1" customWidth="1"/>
    <col min="12" max="12" width="18.75" hidden="1" customWidth="1"/>
    <col min="13" max="13" width="37.75" hidden="1" customWidth="1"/>
    <col min="14" max="14" width="33.375" style="518" hidden="1" customWidth="1"/>
  </cols>
  <sheetData>
    <row r="1" spans="1:14" x14ac:dyDescent="0.25">
      <c r="A1" s="2" t="s">
        <v>0</v>
      </c>
      <c r="B1" s="3" t="s">
        <v>1</v>
      </c>
      <c r="C1" s="3" t="s">
        <v>863</v>
      </c>
      <c r="D1" s="3" t="s">
        <v>2</v>
      </c>
      <c r="E1" s="2" t="s">
        <v>3</v>
      </c>
      <c r="F1" s="517" t="s">
        <v>1</v>
      </c>
      <c r="G1" s="517" t="s">
        <v>11</v>
      </c>
      <c r="H1" s="517" t="s">
        <v>561</v>
      </c>
      <c r="I1" s="517" t="s">
        <v>654</v>
      </c>
      <c r="J1" s="517">
        <v>1</v>
      </c>
      <c r="K1">
        <v>1</v>
      </c>
      <c r="L1" s="521" t="s">
        <v>863</v>
      </c>
      <c r="M1" s="582" t="s">
        <v>3</v>
      </c>
      <c r="N1" s="521" t="s">
        <v>869</v>
      </c>
    </row>
    <row r="2" spans="1:14" x14ac:dyDescent="0.25">
      <c r="A2" s="2" t="s">
        <v>4</v>
      </c>
      <c r="B2" s="3" t="s">
        <v>5</v>
      </c>
      <c r="C2" s="3" t="s">
        <v>864</v>
      </c>
      <c r="D2" s="3" t="s">
        <v>6</v>
      </c>
      <c r="E2" s="2" t="s">
        <v>10</v>
      </c>
      <c r="F2" s="517" t="s">
        <v>1</v>
      </c>
      <c r="G2" s="517" t="s">
        <v>16</v>
      </c>
      <c r="H2" s="517" t="s">
        <v>562</v>
      </c>
      <c r="I2" s="517" t="s">
        <v>655</v>
      </c>
      <c r="J2" s="516">
        <v>1</v>
      </c>
      <c r="K2">
        <v>2</v>
      </c>
      <c r="L2" s="521" t="s">
        <v>863</v>
      </c>
      <c r="M2" s="582" t="s">
        <v>10</v>
      </c>
      <c r="N2" s="521" t="s">
        <v>869</v>
      </c>
    </row>
    <row r="3" spans="1:14" x14ac:dyDescent="0.25">
      <c r="A3" s="2" t="s">
        <v>7</v>
      </c>
      <c r="B3" s="3" t="s">
        <v>8</v>
      </c>
      <c r="C3" s="3" t="s">
        <v>28</v>
      </c>
      <c r="D3" s="3" t="s">
        <v>9</v>
      </c>
      <c r="E3" s="2" t="s">
        <v>15</v>
      </c>
      <c r="F3" s="517" t="s">
        <v>1</v>
      </c>
      <c r="G3" s="517" t="s">
        <v>21</v>
      </c>
      <c r="H3" s="517" t="s">
        <v>563</v>
      </c>
      <c r="I3" s="517" t="s">
        <v>656</v>
      </c>
      <c r="J3" s="517">
        <v>1</v>
      </c>
      <c r="K3">
        <v>3</v>
      </c>
      <c r="L3" s="521" t="s">
        <v>863</v>
      </c>
      <c r="M3" s="582" t="s">
        <v>15</v>
      </c>
      <c r="N3" s="521" t="s">
        <v>869</v>
      </c>
    </row>
    <row r="4" spans="1:14" x14ac:dyDescent="0.25">
      <c r="A4" s="2" t="s">
        <v>12</v>
      </c>
      <c r="B4" s="3" t="s">
        <v>13</v>
      </c>
      <c r="C4" s="3" t="s">
        <v>42</v>
      </c>
      <c r="D4" s="3" t="s">
        <v>14</v>
      </c>
      <c r="E4" s="2" t="s">
        <v>20</v>
      </c>
      <c r="F4" s="519" t="s">
        <v>5</v>
      </c>
      <c r="G4" s="519" t="s">
        <v>26</v>
      </c>
      <c r="H4" s="519" t="s">
        <v>564</v>
      </c>
      <c r="I4" s="519" t="s">
        <v>657</v>
      </c>
      <c r="J4" s="516">
        <v>1</v>
      </c>
      <c r="K4">
        <v>4</v>
      </c>
      <c r="L4" s="521" t="s">
        <v>863</v>
      </c>
      <c r="M4" s="582" t="s">
        <v>20</v>
      </c>
      <c r="N4" s="521" t="s">
        <v>869</v>
      </c>
    </row>
    <row r="5" spans="1:14" x14ac:dyDescent="0.25">
      <c r="A5" s="2" t="s">
        <v>17</v>
      </c>
      <c r="B5" s="3" t="s">
        <v>18</v>
      </c>
      <c r="C5" s="3" t="s">
        <v>865</v>
      </c>
      <c r="D5" s="3" t="s">
        <v>19</v>
      </c>
      <c r="E5" s="2" t="s">
        <v>25</v>
      </c>
      <c r="F5" s="519" t="s">
        <v>5</v>
      </c>
      <c r="G5" s="519" t="s">
        <v>31</v>
      </c>
      <c r="H5" s="519" t="s">
        <v>565</v>
      </c>
      <c r="I5" s="519" t="s">
        <v>658</v>
      </c>
      <c r="J5" s="517">
        <v>1</v>
      </c>
      <c r="K5">
        <v>5</v>
      </c>
      <c r="L5" s="521" t="s">
        <v>863</v>
      </c>
      <c r="M5" s="582" t="s">
        <v>25</v>
      </c>
      <c r="N5" s="521" t="s">
        <v>869</v>
      </c>
    </row>
    <row r="6" spans="1:14" x14ac:dyDescent="0.25">
      <c r="A6" s="2" t="s">
        <v>22</v>
      </c>
      <c r="B6" s="3" t="s">
        <v>23</v>
      </c>
      <c r="C6" s="3"/>
      <c r="D6" s="3" t="s">
        <v>24</v>
      </c>
      <c r="E6" s="2" t="s">
        <v>30</v>
      </c>
      <c r="F6" s="519" t="s">
        <v>5</v>
      </c>
      <c r="G6" s="519" t="s">
        <v>36</v>
      </c>
      <c r="H6" s="519" t="s">
        <v>566</v>
      </c>
      <c r="I6" s="519" t="s">
        <v>659</v>
      </c>
      <c r="J6" s="516">
        <v>1</v>
      </c>
      <c r="K6">
        <v>6</v>
      </c>
      <c r="L6" s="521" t="s">
        <v>863</v>
      </c>
      <c r="M6" s="582" t="s">
        <v>531</v>
      </c>
      <c r="N6" s="521" t="s">
        <v>869</v>
      </c>
    </row>
    <row r="7" spans="1:14" x14ac:dyDescent="0.25">
      <c r="A7" s="2" t="s">
        <v>27</v>
      </c>
      <c r="B7" s="3" t="s">
        <v>28</v>
      </c>
      <c r="C7" s="3"/>
      <c r="D7" s="3" t="s">
        <v>29</v>
      </c>
      <c r="E7" s="2" t="s">
        <v>35</v>
      </c>
      <c r="F7" s="519" t="s">
        <v>5</v>
      </c>
      <c r="G7" s="519" t="s">
        <v>40</v>
      </c>
      <c r="H7" s="519" t="s">
        <v>567</v>
      </c>
      <c r="I7" s="530" t="s">
        <v>742</v>
      </c>
      <c r="J7" s="517">
        <v>1</v>
      </c>
      <c r="K7">
        <v>7</v>
      </c>
      <c r="L7" s="521" t="s">
        <v>863</v>
      </c>
      <c r="M7" s="582" t="s">
        <v>532</v>
      </c>
      <c r="N7" s="521" t="s">
        <v>869</v>
      </c>
    </row>
    <row r="8" spans="1:14" x14ac:dyDescent="0.25">
      <c r="A8" s="2" t="s">
        <v>32</v>
      </c>
      <c r="B8" s="3" t="s">
        <v>33</v>
      </c>
      <c r="C8" s="3"/>
      <c r="D8" s="3" t="s">
        <v>34</v>
      </c>
      <c r="E8" s="2" t="s">
        <v>39</v>
      </c>
      <c r="F8" s="519" t="s">
        <v>5</v>
      </c>
      <c r="G8" s="519" t="s">
        <v>45</v>
      </c>
      <c r="H8" s="519" t="s">
        <v>568</v>
      </c>
      <c r="I8" s="519" t="s">
        <v>661</v>
      </c>
      <c r="J8" s="516">
        <v>1</v>
      </c>
      <c r="K8">
        <v>8</v>
      </c>
      <c r="L8" s="521" t="s">
        <v>863</v>
      </c>
      <c r="M8" s="582" t="s">
        <v>647</v>
      </c>
      <c r="N8" s="521" t="s">
        <v>869</v>
      </c>
    </row>
    <row r="9" spans="1:14" x14ac:dyDescent="0.25">
      <c r="A9" s="2" t="s">
        <v>37</v>
      </c>
      <c r="B9" s="3" t="s">
        <v>38</v>
      </c>
      <c r="C9" s="3"/>
      <c r="D9" s="3" t="s">
        <v>529</v>
      </c>
      <c r="E9" s="2" t="s">
        <v>44</v>
      </c>
      <c r="F9" s="519" t="s">
        <v>5</v>
      </c>
      <c r="G9" s="519" t="s">
        <v>49</v>
      </c>
      <c r="H9" s="519" t="s">
        <v>569</v>
      </c>
      <c r="I9" s="519" t="s">
        <v>662</v>
      </c>
      <c r="J9" s="517">
        <v>1</v>
      </c>
      <c r="K9">
        <v>9</v>
      </c>
      <c r="L9" s="521" t="s">
        <v>863</v>
      </c>
      <c r="M9" s="582" t="s">
        <v>867</v>
      </c>
      <c r="N9" s="521" t="s">
        <v>869</v>
      </c>
    </row>
    <row r="10" spans="1:14" x14ac:dyDescent="0.25">
      <c r="A10" s="2" t="s">
        <v>41</v>
      </c>
      <c r="B10" s="3" t="s">
        <v>42</v>
      </c>
      <c r="C10" s="3"/>
      <c r="D10" s="3" t="s">
        <v>43</v>
      </c>
      <c r="E10" s="2" t="s">
        <v>48</v>
      </c>
      <c r="F10" s="519" t="s">
        <v>5</v>
      </c>
      <c r="G10" s="519" t="s">
        <v>54</v>
      </c>
      <c r="H10" s="519" t="s">
        <v>570</v>
      </c>
      <c r="I10" s="519" t="s">
        <v>663</v>
      </c>
      <c r="J10" s="516">
        <v>1</v>
      </c>
      <c r="K10">
        <v>10</v>
      </c>
      <c r="L10" s="521" t="s">
        <v>863</v>
      </c>
      <c r="M10" s="582" t="s">
        <v>554</v>
      </c>
      <c r="N10" s="521" t="s">
        <v>869</v>
      </c>
    </row>
    <row r="11" spans="1:14" x14ac:dyDescent="0.25">
      <c r="A11" s="2" t="s">
        <v>46</v>
      </c>
      <c r="B11" s="3" t="s">
        <v>47</v>
      </c>
      <c r="C11" s="3"/>
      <c r="D11" s="3" t="s">
        <v>526</v>
      </c>
      <c r="E11" s="2" t="s">
        <v>53</v>
      </c>
      <c r="F11" s="519" t="s">
        <v>5</v>
      </c>
      <c r="G11" s="519" t="s">
        <v>57</v>
      </c>
      <c r="H11" s="519" t="s">
        <v>571</v>
      </c>
      <c r="I11" s="519" t="s">
        <v>664</v>
      </c>
      <c r="J11" s="517">
        <v>1</v>
      </c>
      <c r="K11">
        <v>11</v>
      </c>
      <c r="L11" s="521" t="s">
        <v>863</v>
      </c>
      <c r="M11" s="582" t="s">
        <v>134</v>
      </c>
      <c r="N11" s="521" t="s">
        <v>869</v>
      </c>
    </row>
    <row r="12" spans="1:14" x14ac:dyDescent="0.25">
      <c r="A12" s="2" t="s">
        <v>50</v>
      </c>
      <c r="B12" s="3" t="s">
        <v>51</v>
      </c>
      <c r="C12" s="3"/>
      <c r="D12" s="3" t="s">
        <v>52</v>
      </c>
      <c r="E12" s="2" t="s">
        <v>61</v>
      </c>
      <c r="F12" s="519" t="s">
        <v>5</v>
      </c>
      <c r="G12" s="519" t="s">
        <v>62</v>
      </c>
      <c r="H12" s="519" t="s">
        <v>572</v>
      </c>
      <c r="I12" s="519" t="s">
        <v>665</v>
      </c>
      <c r="J12" s="516">
        <v>1</v>
      </c>
      <c r="K12">
        <v>12</v>
      </c>
      <c r="L12" s="521" t="s">
        <v>863</v>
      </c>
      <c r="M12" s="582" t="s">
        <v>137</v>
      </c>
      <c r="N12" s="521" t="s">
        <v>869</v>
      </c>
    </row>
    <row r="13" spans="1:14" x14ac:dyDescent="0.25">
      <c r="A13" s="2" t="s">
        <v>58</v>
      </c>
      <c r="B13" s="3" t="s">
        <v>55</v>
      </c>
      <c r="C13" s="3"/>
      <c r="D13" s="3" t="s">
        <v>56</v>
      </c>
      <c r="E13" s="2" t="s">
        <v>66</v>
      </c>
      <c r="F13" s="519" t="s">
        <v>5</v>
      </c>
      <c r="G13" s="519" t="s">
        <v>67</v>
      </c>
      <c r="H13" s="519" t="s">
        <v>573</v>
      </c>
      <c r="I13" s="519" t="s">
        <v>666</v>
      </c>
      <c r="J13" s="517">
        <v>1</v>
      </c>
      <c r="K13">
        <v>13</v>
      </c>
      <c r="L13" s="521" t="s">
        <v>863</v>
      </c>
      <c r="M13" s="583" t="s">
        <v>30</v>
      </c>
      <c r="N13" s="521" t="s">
        <v>870</v>
      </c>
    </row>
    <row r="14" spans="1:14" x14ac:dyDescent="0.25">
      <c r="A14" s="2" t="s">
        <v>63</v>
      </c>
      <c r="B14" s="3" t="s">
        <v>59</v>
      </c>
      <c r="C14" s="3"/>
      <c r="D14" s="3" t="s">
        <v>60</v>
      </c>
      <c r="E14" s="2" t="s">
        <v>71</v>
      </c>
      <c r="F14" s="519" t="s">
        <v>5</v>
      </c>
      <c r="G14" s="519" t="s">
        <v>72</v>
      </c>
      <c r="H14" s="519" t="s">
        <v>574</v>
      </c>
      <c r="I14" s="519" t="s">
        <v>667</v>
      </c>
      <c r="J14" s="516">
        <v>1</v>
      </c>
      <c r="K14">
        <v>14</v>
      </c>
      <c r="L14" s="521" t="s">
        <v>863</v>
      </c>
      <c r="M14" s="583" t="s">
        <v>35</v>
      </c>
      <c r="N14" s="521" t="s">
        <v>870</v>
      </c>
    </row>
    <row r="15" spans="1:14" x14ac:dyDescent="0.25">
      <c r="A15" s="2" t="s">
        <v>68</v>
      </c>
      <c r="B15" s="3" t="s">
        <v>64</v>
      </c>
      <c r="C15" s="3"/>
      <c r="D15" s="3" t="s">
        <v>65</v>
      </c>
      <c r="E15" s="2" t="s">
        <v>76</v>
      </c>
      <c r="F15" s="517" t="s">
        <v>8</v>
      </c>
      <c r="G15" s="517" t="s">
        <v>77</v>
      </c>
      <c r="H15" s="517" t="s">
        <v>575</v>
      </c>
      <c r="I15" s="517" t="s">
        <v>668</v>
      </c>
      <c r="J15" s="517">
        <v>1</v>
      </c>
      <c r="K15">
        <v>15</v>
      </c>
      <c r="L15" s="521" t="s">
        <v>863</v>
      </c>
      <c r="M15" s="583" t="s">
        <v>61</v>
      </c>
      <c r="N15" s="521" t="s">
        <v>870</v>
      </c>
    </row>
    <row r="16" spans="1:14" x14ac:dyDescent="0.25">
      <c r="A16" s="2" t="s">
        <v>73</v>
      </c>
      <c r="B16" s="3" t="s">
        <v>69</v>
      </c>
      <c r="C16" s="3"/>
      <c r="D16" s="3" t="s">
        <v>70</v>
      </c>
      <c r="E16" s="2" t="s">
        <v>80</v>
      </c>
      <c r="F16" s="517" t="s">
        <v>8</v>
      </c>
      <c r="G16" s="517" t="s">
        <v>84</v>
      </c>
      <c r="H16" s="517" t="s">
        <v>576</v>
      </c>
      <c r="I16" s="517" t="s">
        <v>669</v>
      </c>
      <c r="J16" s="516">
        <v>1</v>
      </c>
      <c r="K16">
        <v>16</v>
      </c>
      <c r="L16" s="521" t="s">
        <v>863</v>
      </c>
      <c r="M16" s="583" t="s">
        <v>66</v>
      </c>
      <c r="N16" s="521" t="s">
        <v>870</v>
      </c>
    </row>
    <row r="17" spans="1:14" x14ac:dyDescent="0.25">
      <c r="A17" s="2" t="s">
        <v>78</v>
      </c>
      <c r="B17" s="3" t="s">
        <v>74</v>
      </c>
      <c r="C17" s="3"/>
      <c r="D17" s="3" t="s">
        <v>75</v>
      </c>
      <c r="E17" s="2" t="s">
        <v>83</v>
      </c>
      <c r="F17" s="517" t="s">
        <v>8</v>
      </c>
      <c r="G17" s="517" t="s">
        <v>88</v>
      </c>
      <c r="H17" s="517" t="s">
        <v>577</v>
      </c>
      <c r="I17" s="517" t="s">
        <v>670</v>
      </c>
      <c r="J17" s="517">
        <v>1</v>
      </c>
      <c r="K17">
        <v>17</v>
      </c>
      <c r="L17" s="521" t="s">
        <v>863</v>
      </c>
      <c r="M17" s="583" t="s">
        <v>533</v>
      </c>
      <c r="N17" s="521" t="s">
        <v>870</v>
      </c>
    </row>
    <row r="18" spans="1:14" x14ac:dyDescent="0.25">
      <c r="A18" s="2" t="s">
        <v>81</v>
      </c>
      <c r="B18" s="1"/>
      <c r="C18" s="1"/>
      <c r="D18" s="3" t="s">
        <v>79</v>
      </c>
      <c r="E18" s="2" t="s">
        <v>87</v>
      </c>
      <c r="F18" s="517" t="s">
        <v>8</v>
      </c>
      <c r="G18" s="517" t="s">
        <v>90</v>
      </c>
      <c r="H18" s="517" t="s">
        <v>578</v>
      </c>
      <c r="I18" s="517" t="s">
        <v>671</v>
      </c>
      <c r="J18" s="516">
        <v>1</v>
      </c>
      <c r="K18">
        <v>18</v>
      </c>
      <c r="L18" s="521" t="s">
        <v>863</v>
      </c>
      <c r="M18" s="583" t="s">
        <v>648</v>
      </c>
      <c r="N18" s="521" t="s">
        <v>870</v>
      </c>
    </row>
    <row r="19" spans="1:14" x14ac:dyDescent="0.25">
      <c r="A19" s="2" t="s">
        <v>85</v>
      </c>
      <c r="B19" s="1"/>
      <c r="C19" s="1"/>
      <c r="D19" s="3" t="s">
        <v>82</v>
      </c>
      <c r="E19" s="2" t="s">
        <v>554</v>
      </c>
      <c r="F19" s="517" t="s">
        <v>8</v>
      </c>
      <c r="G19" s="517" t="s">
        <v>93</v>
      </c>
      <c r="H19" s="517" t="s">
        <v>579</v>
      </c>
      <c r="I19" s="517" t="s">
        <v>672</v>
      </c>
      <c r="J19" s="517">
        <v>1</v>
      </c>
      <c r="K19">
        <v>19</v>
      </c>
      <c r="L19" s="521" t="s">
        <v>863</v>
      </c>
      <c r="M19" s="583" t="s">
        <v>538</v>
      </c>
      <c r="N19" s="521" t="s">
        <v>870</v>
      </c>
    </row>
    <row r="20" spans="1:14" x14ac:dyDescent="0.25">
      <c r="A20" s="2" t="s">
        <v>91</v>
      </c>
      <c r="B20" s="1"/>
      <c r="C20" s="1"/>
      <c r="D20" s="3" t="s">
        <v>86</v>
      </c>
      <c r="E20" s="2" t="s">
        <v>531</v>
      </c>
      <c r="F20" s="517" t="s">
        <v>8</v>
      </c>
      <c r="G20" s="517" t="s">
        <v>97</v>
      </c>
      <c r="H20" s="517" t="s">
        <v>580</v>
      </c>
      <c r="I20" s="517" t="s">
        <v>673</v>
      </c>
      <c r="J20" s="516">
        <v>1</v>
      </c>
      <c r="K20">
        <v>20</v>
      </c>
      <c r="L20" s="521" t="s">
        <v>863</v>
      </c>
      <c r="M20" s="583" t="s">
        <v>539</v>
      </c>
      <c r="N20" s="521" t="s">
        <v>870</v>
      </c>
    </row>
    <row r="21" spans="1:14" x14ac:dyDescent="0.25">
      <c r="A21" s="2" t="s">
        <v>94</v>
      </c>
      <c r="B21" s="1"/>
      <c r="C21" s="1"/>
      <c r="D21" s="3" t="s">
        <v>89</v>
      </c>
      <c r="E21" s="2" t="s">
        <v>532</v>
      </c>
      <c r="F21" s="517" t="s">
        <v>8</v>
      </c>
      <c r="G21" s="517" t="s">
        <v>98</v>
      </c>
      <c r="H21" s="517" t="s">
        <v>581</v>
      </c>
      <c r="I21" s="517" t="s">
        <v>674</v>
      </c>
      <c r="J21" s="517">
        <v>1</v>
      </c>
      <c r="K21">
        <v>21</v>
      </c>
      <c r="L21" s="521" t="s">
        <v>863</v>
      </c>
      <c r="M21" s="583" t="s">
        <v>147</v>
      </c>
      <c r="N21" s="521" t="s">
        <v>870</v>
      </c>
    </row>
    <row r="22" spans="1:14" x14ac:dyDescent="0.25">
      <c r="A22" s="2" t="s">
        <v>758</v>
      </c>
      <c r="B22" s="1"/>
      <c r="C22" s="1"/>
      <c r="D22" s="3" t="s">
        <v>92</v>
      </c>
      <c r="E22" s="2" t="s">
        <v>647</v>
      </c>
      <c r="F22" s="519" t="s">
        <v>13</v>
      </c>
      <c r="G22" s="519" t="s">
        <v>99</v>
      </c>
      <c r="H22" s="519" t="s">
        <v>582</v>
      </c>
      <c r="I22" s="519" t="s">
        <v>675</v>
      </c>
      <c r="J22" s="516">
        <v>1</v>
      </c>
      <c r="K22">
        <v>22</v>
      </c>
      <c r="L22" s="521" t="s">
        <v>864</v>
      </c>
      <c r="M22" s="583" t="s">
        <v>141</v>
      </c>
      <c r="N22" s="521" t="s">
        <v>870</v>
      </c>
    </row>
    <row r="23" spans="1:14" x14ac:dyDescent="0.25">
      <c r="A23" s="2" t="s">
        <v>100</v>
      </c>
      <c r="B23" s="1"/>
      <c r="C23" s="1"/>
      <c r="D23" s="3" t="s">
        <v>95</v>
      </c>
      <c r="E23" s="2" t="s">
        <v>533</v>
      </c>
      <c r="F23" s="519" t="s">
        <v>13</v>
      </c>
      <c r="G23" s="519" t="s">
        <v>101</v>
      </c>
      <c r="H23" s="519" t="s">
        <v>583</v>
      </c>
      <c r="I23" s="519" t="s">
        <v>676</v>
      </c>
      <c r="J23" s="517">
        <v>1</v>
      </c>
      <c r="K23">
        <v>23</v>
      </c>
      <c r="L23" s="521" t="s">
        <v>864</v>
      </c>
      <c r="M23" s="519" t="s">
        <v>39</v>
      </c>
      <c r="N23" s="521" t="s">
        <v>871</v>
      </c>
    </row>
    <row r="24" spans="1:14" x14ac:dyDescent="0.25">
      <c r="A24" s="2" t="s">
        <v>102</v>
      </c>
      <c r="B24" s="1"/>
      <c r="C24" s="1"/>
      <c r="D24" s="3" t="s">
        <v>96</v>
      </c>
      <c r="E24" s="2" t="s">
        <v>534</v>
      </c>
      <c r="F24" s="519" t="s">
        <v>13</v>
      </c>
      <c r="G24" s="519" t="s">
        <v>103</v>
      </c>
      <c r="H24" s="519" t="s">
        <v>584</v>
      </c>
      <c r="I24" s="519" t="s">
        <v>677</v>
      </c>
      <c r="J24" s="516">
        <v>1</v>
      </c>
      <c r="K24">
        <v>24</v>
      </c>
      <c r="L24" s="521" t="s">
        <v>864</v>
      </c>
      <c r="M24" s="519" t="s">
        <v>44</v>
      </c>
      <c r="N24" s="521" t="s">
        <v>871</v>
      </c>
    </row>
    <row r="25" spans="1:14" x14ac:dyDescent="0.25">
      <c r="A25" s="2" t="s">
        <v>104</v>
      </c>
      <c r="B25" s="1"/>
      <c r="C25" s="1"/>
      <c r="D25" s="1"/>
      <c r="E25" s="2" t="s">
        <v>535</v>
      </c>
      <c r="F25" s="519" t="s">
        <v>13</v>
      </c>
      <c r="G25" s="519" t="s">
        <v>105</v>
      </c>
      <c r="H25" s="519" t="s">
        <v>585</v>
      </c>
      <c r="I25" s="519" t="s">
        <v>678</v>
      </c>
      <c r="J25" s="517">
        <v>1</v>
      </c>
      <c r="K25">
        <v>25</v>
      </c>
      <c r="L25" s="521" t="s">
        <v>864</v>
      </c>
      <c r="M25" s="519" t="s">
        <v>48</v>
      </c>
      <c r="N25" s="521" t="s">
        <v>871</v>
      </c>
    </row>
    <row r="26" spans="1:14" x14ac:dyDescent="0.25">
      <c r="A26" s="2" t="s">
        <v>106</v>
      </c>
      <c r="B26" s="1"/>
      <c r="C26" s="1"/>
      <c r="D26" s="1"/>
      <c r="E26" s="2" t="s">
        <v>536</v>
      </c>
      <c r="F26" s="517" t="s">
        <v>23</v>
      </c>
      <c r="G26" s="517" t="s">
        <v>205</v>
      </c>
      <c r="H26" s="517" t="s">
        <v>641</v>
      </c>
      <c r="I26" s="517" t="s">
        <v>679</v>
      </c>
      <c r="J26" s="516">
        <v>1</v>
      </c>
      <c r="K26">
        <v>26</v>
      </c>
      <c r="L26" s="521" t="s">
        <v>864</v>
      </c>
      <c r="M26" s="519" t="s">
        <v>534</v>
      </c>
      <c r="N26" s="521" t="s">
        <v>871</v>
      </c>
    </row>
    <row r="27" spans="1:14" x14ac:dyDescent="0.25">
      <c r="A27" s="2" t="s">
        <v>108</v>
      </c>
      <c r="B27" s="1"/>
      <c r="C27" s="1"/>
      <c r="D27" s="1"/>
      <c r="E27" s="2" t="s">
        <v>537</v>
      </c>
      <c r="F27" s="517" t="s">
        <v>23</v>
      </c>
      <c r="G27" s="517" t="s">
        <v>206</v>
      </c>
      <c r="H27" s="517" t="s">
        <v>642</v>
      </c>
      <c r="I27" s="517" t="s">
        <v>680</v>
      </c>
      <c r="J27" s="517">
        <v>1</v>
      </c>
      <c r="K27">
        <v>27</v>
      </c>
      <c r="L27" s="521" t="s">
        <v>864</v>
      </c>
      <c r="M27" s="519" t="s">
        <v>535</v>
      </c>
      <c r="N27" s="521" t="s">
        <v>871</v>
      </c>
    </row>
    <row r="28" spans="1:14" x14ac:dyDescent="0.25">
      <c r="A28" s="2" t="s">
        <v>110</v>
      </c>
      <c r="B28" s="1"/>
      <c r="C28" s="1"/>
      <c r="D28" s="1"/>
      <c r="E28" s="2" t="s">
        <v>538</v>
      </c>
      <c r="F28" s="517" t="s">
        <v>23</v>
      </c>
      <c r="G28" s="517" t="s">
        <v>207</v>
      </c>
      <c r="H28" s="517" t="s">
        <v>643</v>
      </c>
      <c r="I28" s="517" t="s">
        <v>681</v>
      </c>
      <c r="J28" s="516">
        <v>1</v>
      </c>
      <c r="K28">
        <v>28</v>
      </c>
      <c r="L28" s="521" t="s">
        <v>864</v>
      </c>
      <c r="M28" s="519" t="s">
        <v>536</v>
      </c>
      <c r="N28" s="521" t="s">
        <v>871</v>
      </c>
    </row>
    <row r="29" spans="1:14" x14ac:dyDescent="0.25">
      <c r="A29" s="2" t="s">
        <v>112</v>
      </c>
      <c r="B29" s="1"/>
      <c r="C29" s="1"/>
      <c r="D29" s="1"/>
      <c r="E29" s="2" t="s">
        <v>539</v>
      </c>
      <c r="F29" s="517" t="s">
        <v>23</v>
      </c>
      <c r="G29" s="517" t="s">
        <v>208</v>
      </c>
      <c r="H29" s="517" t="s">
        <v>644</v>
      </c>
      <c r="I29" s="517" t="s">
        <v>682</v>
      </c>
      <c r="J29" s="517">
        <v>1</v>
      </c>
      <c r="K29">
        <v>29</v>
      </c>
      <c r="L29" s="521" t="s">
        <v>864</v>
      </c>
      <c r="M29" s="519" t="s">
        <v>144</v>
      </c>
      <c r="N29" s="521" t="s">
        <v>871</v>
      </c>
    </row>
    <row r="30" spans="1:14" x14ac:dyDescent="0.25">
      <c r="A30" s="2" t="s">
        <v>114</v>
      </c>
      <c r="B30" s="1"/>
      <c r="C30" s="1"/>
      <c r="D30" s="1"/>
      <c r="E30" s="2" t="s">
        <v>540</v>
      </c>
      <c r="F30" s="517" t="s">
        <v>23</v>
      </c>
      <c r="G30" s="517" t="s">
        <v>209</v>
      </c>
      <c r="H30" s="517" t="s">
        <v>645</v>
      </c>
      <c r="I30" s="517" t="s">
        <v>683</v>
      </c>
      <c r="J30" s="516">
        <v>1</v>
      </c>
      <c r="K30">
        <v>30</v>
      </c>
      <c r="L30" s="521" t="s">
        <v>864</v>
      </c>
      <c r="M30" s="582" t="s">
        <v>53</v>
      </c>
      <c r="N30" s="521" t="s">
        <v>872</v>
      </c>
    </row>
    <row r="31" spans="1:14" x14ac:dyDescent="0.25">
      <c r="A31" s="2" t="s">
        <v>116</v>
      </c>
      <c r="B31" s="1"/>
      <c r="C31" s="1"/>
      <c r="D31" s="1"/>
      <c r="E31" s="2" t="s">
        <v>541</v>
      </c>
      <c r="F31" s="517" t="s">
        <v>23</v>
      </c>
      <c r="G31" s="517" t="s">
        <v>210</v>
      </c>
      <c r="H31" s="517" t="s">
        <v>646</v>
      </c>
      <c r="I31" s="517" t="s">
        <v>684</v>
      </c>
      <c r="J31" s="517">
        <v>1</v>
      </c>
      <c r="K31">
        <v>31</v>
      </c>
      <c r="L31" s="521" t="s">
        <v>864</v>
      </c>
      <c r="M31" s="582" t="s">
        <v>71</v>
      </c>
      <c r="N31" s="521" t="s">
        <v>872</v>
      </c>
    </row>
    <row r="32" spans="1:14" x14ac:dyDescent="0.25">
      <c r="A32" s="2" t="s">
        <v>118</v>
      </c>
      <c r="B32" s="1"/>
      <c r="C32" s="1"/>
      <c r="D32" s="1"/>
      <c r="E32" s="2" t="s">
        <v>542</v>
      </c>
      <c r="F32" s="519" t="s">
        <v>18</v>
      </c>
      <c r="G32" s="519" t="s">
        <v>163</v>
      </c>
      <c r="H32" s="519" t="s">
        <v>611</v>
      </c>
      <c r="I32" s="519" t="s">
        <v>685</v>
      </c>
      <c r="J32" s="516">
        <v>1</v>
      </c>
      <c r="K32">
        <v>32</v>
      </c>
      <c r="L32" s="521" t="s">
        <v>864</v>
      </c>
      <c r="M32" s="582" t="s">
        <v>537</v>
      </c>
      <c r="N32" s="521" t="s">
        <v>872</v>
      </c>
    </row>
    <row r="33" spans="1:14" x14ac:dyDescent="0.25">
      <c r="A33" s="2" t="s">
        <v>120</v>
      </c>
      <c r="B33" s="1"/>
      <c r="C33" s="1"/>
      <c r="D33" s="1"/>
      <c r="E33" s="2" t="s">
        <v>543</v>
      </c>
      <c r="F33" s="519" t="s">
        <v>18</v>
      </c>
      <c r="G33" s="519" t="s">
        <v>164</v>
      </c>
      <c r="H33" s="519" t="s">
        <v>612</v>
      </c>
      <c r="I33" s="519" t="s">
        <v>686</v>
      </c>
      <c r="J33" s="517">
        <v>1</v>
      </c>
      <c r="K33">
        <v>33</v>
      </c>
      <c r="L33" s="521" t="s">
        <v>864</v>
      </c>
      <c r="M33" s="582" t="s">
        <v>540</v>
      </c>
      <c r="N33" s="521" t="s">
        <v>872</v>
      </c>
    </row>
    <row r="34" spans="1:14" x14ac:dyDescent="0.25">
      <c r="A34" s="2" t="s">
        <v>868</v>
      </c>
      <c r="B34" s="1"/>
      <c r="C34" s="1"/>
      <c r="D34" s="1"/>
      <c r="E34" s="2" t="s">
        <v>867</v>
      </c>
      <c r="F34" s="519" t="s">
        <v>18</v>
      </c>
      <c r="G34" s="519" t="s">
        <v>165</v>
      </c>
      <c r="H34" s="519" t="s">
        <v>613</v>
      </c>
      <c r="I34" s="519" t="s">
        <v>687</v>
      </c>
      <c r="J34" s="516">
        <v>1</v>
      </c>
      <c r="K34">
        <v>34</v>
      </c>
      <c r="L34" s="521" t="s">
        <v>864</v>
      </c>
      <c r="M34" s="582" t="s">
        <v>541</v>
      </c>
      <c r="N34" s="521" t="s">
        <v>872</v>
      </c>
    </row>
    <row r="35" spans="1:14" x14ac:dyDescent="0.25">
      <c r="A35" s="2" t="s">
        <v>759</v>
      </c>
      <c r="B35" s="1"/>
      <c r="C35" s="1"/>
      <c r="D35" s="1"/>
      <c r="E35" s="2" t="s">
        <v>124</v>
      </c>
      <c r="F35" s="519" t="s">
        <v>18</v>
      </c>
      <c r="G35" s="519" t="s">
        <v>166</v>
      </c>
      <c r="H35" s="519" t="s">
        <v>614</v>
      </c>
      <c r="I35" s="519" t="s">
        <v>688</v>
      </c>
      <c r="J35" s="517">
        <v>1</v>
      </c>
      <c r="K35">
        <v>35</v>
      </c>
      <c r="L35" s="521" t="s">
        <v>864</v>
      </c>
      <c r="M35" s="582" t="s">
        <v>150</v>
      </c>
      <c r="N35" s="521" t="s">
        <v>872</v>
      </c>
    </row>
    <row r="36" spans="1:14" x14ac:dyDescent="0.25">
      <c r="A36" s="2" t="s">
        <v>760</v>
      </c>
      <c r="B36" s="1"/>
      <c r="C36" s="1"/>
      <c r="D36" s="1"/>
      <c r="E36" s="2" t="s">
        <v>127</v>
      </c>
      <c r="F36" s="519" t="s">
        <v>18</v>
      </c>
      <c r="G36" s="519" t="s">
        <v>167</v>
      </c>
      <c r="H36" s="519" t="s">
        <v>615</v>
      </c>
      <c r="I36" s="519" t="s">
        <v>689</v>
      </c>
      <c r="J36" s="516">
        <v>1</v>
      </c>
      <c r="K36">
        <v>36</v>
      </c>
      <c r="L36" s="521" t="s">
        <v>864</v>
      </c>
      <c r="M36" s="2" t="s">
        <v>76</v>
      </c>
      <c r="N36" s="521" t="s">
        <v>873</v>
      </c>
    </row>
    <row r="37" spans="1:14" x14ac:dyDescent="0.25">
      <c r="A37" s="2" t="s">
        <v>123</v>
      </c>
      <c r="B37" s="1"/>
      <c r="C37" s="1"/>
      <c r="D37" s="1"/>
      <c r="E37" s="2" t="s">
        <v>130</v>
      </c>
      <c r="F37" s="519" t="s">
        <v>18</v>
      </c>
      <c r="G37" s="519" t="s">
        <v>168</v>
      </c>
      <c r="H37" s="519" t="s">
        <v>616</v>
      </c>
      <c r="I37" s="519" t="s">
        <v>690</v>
      </c>
      <c r="J37" s="517">
        <v>1</v>
      </c>
      <c r="K37">
        <v>37</v>
      </c>
      <c r="L37" s="521" t="s">
        <v>864</v>
      </c>
      <c r="M37" s="2" t="s">
        <v>80</v>
      </c>
      <c r="N37" s="521" t="s">
        <v>873</v>
      </c>
    </row>
    <row r="38" spans="1:14" x14ac:dyDescent="0.25">
      <c r="A38" s="2" t="s">
        <v>126</v>
      </c>
      <c r="B38" s="1"/>
      <c r="C38" s="1"/>
      <c r="D38" s="1"/>
      <c r="E38" s="2" t="s">
        <v>648</v>
      </c>
      <c r="F38" s="517" t="s">
        <v>33</v>
      </c>
      <c r="G38" s="517" t="s">
        <v>107</v>
      </c>
      <c r="H38" s="517" t="s">
        <v>586</v>
      </c>
      <c r="I38" s="517" t="s">
        <v>691</v>
      </c>
      <c r="J38" s="516">
        <v>1</v>
      </c>
      <c r="K38">
        <v>38</v>
      </c>
      <c r="L38" s="521" t="s">
        <v>28</v>
      </c>
      <c r="M38" s="2" t="s">
        <v>83</v>
      </c>
      <c r="N38" s="521" t="s">
        <v>873</v>
      </c>
    </row>
    <row r="39" spans="1:14" x14ac:dyDescent="0.25">
      <c r="A39" s="2" t="s">
        <v>129</v>
      </c>
      <c r="B39" s="1"/>
      <c r="C39" s="1"/>
      <c r="D39" s="1"/>
      <c r="E39" s="2" t="s">
        <v>134</v>
      </c>
      <c r="F39" s="517" t="s">
        <v>33</v>
      </c>
      <c r="G39" s="517" t="s">
        <v>109</v>
      </c>
      <c r="H39" s="517" t="s">
        <v>587</v>
      </c>
      <c r="I39" s="517" t="s">
        <v>692</v>
      </c>
      <c r="J39" s="517">
        <v>1</v>
      </c>
      <c r="K39">
        <v>39</v>
      </c>
      <c r="L39" s="521" t="s">
        <v>28</v>
      </c>
      <c r="M39" s="2" t="s">
        <v>87</v>
      </c>
      <c r="N39" s="521" t="s">
        <v>873</v>
      </c>
    </row>
    <row r="40" spans="1:14" x14ac:dyDescent="0.25">
      <c r="A40" s="2" t="s">
        <v>133</v>
      </c>
      <c r="B40" s="1"/>
      <c r="C40" s="1"/>
      <c r="D40" s="1"/>
      <c r="E40" s="2" t="s">
        <v>137</v>
      </c>
      <c r="F40" s="517" t="s">
        <v>33</v>
      </c>
      <c r="G40" s="517" t="s">
        <v>111</v>
      </c>
      <c r="H40" s="517" t="s">
        <v>588</v>
      </c>
      <c r="I40" s="517" t="s">
        <v>693</v>
      </c>
      <c r="J40" s="516">
        <v>1</v>
      </c>
      <c r="K40">
        <v>40</v>
      </c>
      <c r="L40" s="521" t="s">
        <v>28</v>
      </c>
      <c r="M40" s="2" t="s">
        <v>542</v>
      </c>
      <c r="N40" s="521" t="s">
        <v>873</v>
      </c>
    </row>
    <row r="41" spans="1:14" x14ac:dyDescent="0.25">
      <c r="A41" s="2" t="s">
        <v>136</v>
      </c>
      <c r="B41" s="1"/>
      <c r="C41" s="1"/>
      <c r="D41" s="1"/>
      <c r="E41" s="2" t="s">
        <v>141</v>
      </c>
      <c r="F41" s="517" t="s">
        <v>33</v>
      </c>
      <c r="G41" s="517" t="s">
        <v>113</v>
      </c>
      <c r="H41" s="517" t="s">
        <v>589</v>
      </c>
      <c r="I41" s="517" t="s">
        <v>694</v>
      </c>
      <c r="J41" s="517">
        <v>1</v>
      </c>
      <c r="K41">
        <v>41</v>
      </c>
      <c r="L41" s="521" t="s">
        <v>28</v>
      </c>
      <c r="M41" s="2" t="s">
        <v>543</v>
      </c>
      <c r="N41" s="521" t="s">
        <v>873</v>
      </c>
    </row>
    <row r="42" spans="1:14" x14ac:dyDescent="0.25">
      <c r="A42" s="2" t="s">
        <v>140</v>
      </c>
      <c r="B42" s="1"/>
      <c r="C42" s="1"/>
      <c r="D42" s="1"/>
      <c r="E42" s="2" t="s">
        <v>144</v>
      </c>
      <c r="F42" s="517" t="s">
        <v>33</v>
      </c>
      <c r="G42" s="517" t="s">
        <v>115</v>
      </c>
      <c r="H42" s="517" t="s">
        <v>590</v>
      </c>
      <c r="I42" s="517" t="s">
        <v>695</v>
      </c>
      <c r="J42" s="516">
        <v>1</v>
      </c>
      <c r="K42">
        <v>42</v>
      </c>
      <c r="L42" s="521" t="s">
        <v>28</v>
      </c>
      <c r="M42" s="2" t="s">
        <v>124</v>
      </c>
      <c r="N42" s="521" t="s">
        <v>873</v>
      </c>
    </row>
    <row r="43" spans="1:14" x14ac:dyDescent="0.25">
      <c r="A43" s="2" t="s">
        <v>143</v>
      </c>
      <c r="B43" s="1"/>
      <c r="C43" s="1"/>
      <c r="D43" s="1"/>
      <c r="E43" s="2" t="s">
        <v>147</v>
      </c>
      <c r="F43" s="517" t="s">
        <v>33</v>
      </c>
      <c r="G43" s="517" t="s">
        <v>117</v>
      </c>
      <c r="H43" s="517" t="s">
        <v>591</v>
      </c>
      <c r="I43" s="517" t="s">
        <v>696</v>
      </c>
      <c r="J43" s="517">
        <v>1</v>
      </c>
      <c r="K43">
        <v>43</v>
      </c>
      <c r="L43" s="521" t="s">
        <v>28</v>
      </c>
      <c r="M43" s="2" t="s">
        <v>127</v>
      </c>
      <c r="N43" s="521" t="s">
        <v>873</v>
      </c>
    </row>
    <row r="44" spans="1:14" x14ac:dyDescent="0.25">
      <c r="A44" s="2" t="s">
        <v>146</v>
      </c>
      <c r="B44" s="1"/>
      <c r="C44" s="1"/>
      <c r="D44" s="1"/>
      <c r="E44" s="2" t="s">
        <v>150</v>
      </c>
      <c r="F44" s="517" t="s">
        <v>33</v>
      </c>
      <c r="G44" s="517" t="s">
        <v>119</v>
      </c>
      <c r="H44" s="517" t="s">
        <v>592</v>
      </c>
      <c r="I44" s="517" t="s">
        <v>697</v>
      </c>
      <c r="J44" s="516">
        <v>1</v>
      </c>
      <c r="K44">
        <v>44</v>
      </c>
      <c r="L44" s="521" t="s">
        <v>28</v>
      </c>
      <c r="M44" s="2" t="s">
        <v>130</v>
      </c>
      <c r="N44" s="521" t="s">
        <v>873</v>
      </c>
    </row>
    <row r="45" spans="1:14" x14ac:dyDescent="0.25">
      <c r="A45" s="2" t="s">
        <v>149</v>
      </c>
      <c r="B45" s="1"/>
      <c r="C45" s="1"/>
      <c r="D45" s="1"/>
      <c r="E45" s="2" t="s">
        <v>153</v>
      </c>
      <c r="F45" s="519" t="s">
        <v>28</v>
      </c>
      <c r="G45" s="519" t="s">
        <v>121</v>
      </c>
      <c r="H45" s="519" t="s">
        <v>593</v>
      </c>
      <c r="I45" s="519" t="s">
        <v>698</v>
      </c>
      <c r="J45" s="517">
        <v>1</v>
      </c>
      <c r="K45">
        <v>45</v>
      </c>
      <c r="L45" s="521" t="s">
        <v>28</v>
      </c>
      <c r="M45" s="2" t="s">
        <v>153</v>
      </c>
      <c r="N45" s="521" t="s">
        <v>873</v>
      </c>
    </row>
    <row r="46" spans="1:14" x14ac:dyDescent="0.25">
      <c r="A46" s="2" t="s">
        <v>152</v>
      </c>
      <c r="B46" s="1"/>
      <c r="C46" s="1"/>
      <c r="D46" s="1"/>
      <c r="E46" s="2" t="s">
        <v>156</v>
      </c>
      <c r="F46" s="519" t="s">
        <v>28</v>
      </c>
      <c r="G46" s="519" t="s">
        <v>122</v>
      </c>
      <c r="H46" s="519" t="s">
        <v>594</v>
      </c>
      <c r="I46" s="519" t="s">
        <v>699</v>
      </c>
      <c r="J46" s="516">
        <v>1</v>
      </c>
      <c r="K46">
        <v>46</v>
      </c>
      <c r="L46" s="521" t="s">
        <v>28</v>
      </c>
      <c r="M46" s="2" t="s">
        <v>156</v>
      </c>
      <c r="N46" s="521" t="s">
        <v>873</v>
      </c>
    </row>
    <row r="47" spans="1:14" x14ac:dyDescent="0.25">
      <c r="A47" s="2" t="s">
        <v>155</v>
      </c>
      <c r="B47" s="1"/>
      <c r="C47" s="1"/>
      <c r="D47" s="1"/>
      <c r="E47" s="2" t="s">
        <v>159</v>
      </c>
      <c r="F47" s="519" t="s">
        <v>28</v>
      </c>
      <c r="G47" s="519" t="s">
        <v>125</v>
      </c>
      <c r="H47" s="519" t="s">
        <v>595</v>
      </c>
      <c r="I47" s="519" t="s">
        <v>700</v>
      </c>
      <c r="J47" s="517">
        <v>1</v>
      </c>
      <c r="K47">
        <v>47</v>
      </c>
      <c r="L47" s="521" t="s">
        <v>28</v>
      </c>
      <c r="M47" s="2" t="s">
        <v>159</v>
      </c>
      <c r="N47" s="521" t="s">
        <v>873</v>
      </c>
    </row>
    <row r="48" spans="1:14" x14ac:dyDescent="0.25">
      <c r="A48" s="2" t="s">
        <v>158</v>
      </c>
      <c r="B48" s="1"/>
      <c r="C48" s="1"/>
      <c r="D48" s="1"/>
      <c r="E48" s="2"/>
      <c r="F48" s="519" t="s">
        <v>28</v>
      </c>
      <c r="G48" s="519" t="s">
        <v>128</v>
      </c>
      <c r="H48" s="519" t="s">
        <v>596</v>
      </c>
      <c r="I48" s="519" t="s">
        <v>701</v>
      </c>
      <c r="J48" s="516">
        <v>1</v>
      </c>
      <c r="K48">
        <v>48</v>
      </c>
      <c r="L48" s="521" t="s">
        <v>28</v>
      </c>
    </row>
    <row r="49" spans="1:12" x14ac:dyDescent="0.25">
      <c r="A49" s="2"/>
      <c r="B49" s="1"/>
      <c r="C49" s="1"/>
      <c r="D49" s="1"/>
      <c r="E49" s="2"/>
      <c r="F49" s="519" t="s">
        <v>28</v>
      </c>
      <c r="G49" s="519" t="s">
        <v>131</v>
      </c>
      <c r="H49" s="519" t="s">
        <v>597</v>
      </c>
      <c r="I49" s="519" t="s">
        <v>702</v>
      </c>
      <c r="J49" s="517">
        <v>1</v>
      </c>
      <c r="K49">
        <v>49</v>
      </c>
      <c r="L49" s="521" t="s">
        <v>28</v>
      </c>
    </row>
    <row r="50" spans="1:12" x14ac:dyDescent="0.25">
      <c r="A50" s="2"/>
      <c r="B50" s="1"/>
      <c r="C50" s="1"/>
      <c r="D50" s="1"/>
      <c r="E50" s="2"/>
      <c r="F50" s="519" t="s">
        <v>28</v>
      </c>
      <c r="G50" s="519" t="s">
        <v>132</v>
      </c>
      <c r="H50" s="519" t="s">
        <v>598</v>
      </c>
      <c r="I50" s="519" t="s">
        <v>703</v>
      </c>
      <c r="J50" s="516">
        <v>1</v>
      </c>
      <c r="K50">
        <v>50</v>
      </c>
      <c r="L50" s="521" t="s">
        <v>28</v>
      </c>
    </row>
    <row r="51" spans="1:12" x14ac:dyDescent="0.25">
      <c r="A51" s="2"/>
      <c r="B51" s="1"/>
      <c r="C51" s="1"/>
      <c r="D51" s="1"/>
      <c r="E51" s="2"/>
      <c r="F51" s="519" t="s">
        <v>28</v>
      </c>
      <c r="G51" s="519" t="s">
        <v>135</v>
      </c>
      <c r="H51" s="519" t="s">
        <v>599</v>
      </c>
      <c r="I51" s="519" t="s">
        <v>704</v>
      </c>
      <c r="J51" s="517">
        <v>1</v>
      </c>
      <c r="K51">
        <v>51</v>
      </c>
      <c r="L51" s="521" t="s">
        <v>28</v>
      </c>
    </row>
    <row r="52" spans="1:12" x14ac:dyDescent="0.25">
      <c r="A52" s="2"/>
      <c r="B52" s="1"/>
      <c r="C52" s="1"/>
      <c r="D52" s="1"/>
      <c r="E52" s="2"/>
      <c r="F52" s="519" t="s">
        <v>28</v>
      </c>
      <c r="G52" s="519" t="s">
        <v>138</v>
      </c>
      <c r="H52" s="519" t="s">
        <v>600</v>
      </c>
      <c r="I52" s="519" t="s">
        <v>705</v>
      </c>
      <c r="J52" s="516">
        <v>1</v>
      </c>
      <c r="K52">
        <v>52</v>
      </c>
      <c r="L52" s="521" t="s">
        <v>28</v>
      </c>
    </row>
    <row r="53" spans="1:12" x14ac:dyDescent="0.25">
      <c r="A53" s="2"/>
      <c r="B53" s="1"/>
      <c r="C53" s="1"/>
      <c r="D53" s="1"/>
      <c r="E53" s="2"/>
      <c r="F53" s="519" t="s">
        <v>28</v>
      </c>
      <c r="G53" s="519" t="s">
        <v>139</v>
      </c>
      <c r="H53" s="519" t="s">
        <v>601</v>
      </c>
      <c r="I53" s="519" t="s">
        <v>706</v>
      </c>
      <c r="J53" s="517">
        <v>1</v>
      </c>
      <c r="K53">
        <v>53</v>
      </c>
      <c r="L53" s="521" t="s">
        <v>28</v>
      </c>
    </row>
    <row r="54" spans="1:12" x14ac:dyDescent="0.25">
      <c r="A54" s="2"/>
      <c r="B54" s="1"/>
      <c r="C54" s="1"/>
      <c r="D54" s="1"/>
      <c r="E54" s="2"/>
      <c r="F54" s="517" t="s">
        <v>38</v>
      </c>
      <c r="G54" s="517" t="s">
        <v>142</v>
      </c>
      <c r="H54" s="517" t="s">
        <v>602</v>
      </c>
      <c r="I54" s="517" t="s">
        <v>707</v>
      </c>
      <c r="J54" s="516">
        <v>1</v>
      </c>
      <c r="K54">
        <v>54</v>
      </c>
      <c r="L54" s="521" t="s">
        <v>28</v>
      </c>
    </row>
    <row r="55" spans="1:12" x14ac:dyDescent="0.25">
      <c r="A55" s="2"/>
      <c r="B55" s="1"/>
      <c r="C55" s="1"/>
      <c r="D55" s="1"/>
      <c r="E55" s="2"/>
      <c r="F55" s="517" t="s">
        <v>38</v>
      </c>
      <c r="G55" s="517" t="s">
        <v>145</v>
      </c>
      <c r="H55" s="517" t="s">
        <v>603</v>
      </c>
      <c r="I55" s="517" t="s">
        <v>708</v>
      </c>
      <c r="J55" s="517">
        <v>1</v>
      </c>
      <c r="K55">
        <v>55</v>
      </c>
      <c r="L55" s="521" t="s">
        <v>28</v>
      </c>
    </row>
    <row r="56" spans="1:12" x14ac:dyDescent="0.25">
      <c r="A56" s="2"/>
      <c r="B56" s="1"/>
      <c r="C56" s="1"/>
      <c r="D56" s="1"/>
      <c r="E56" s="2"/>
      <c r="F56" s="517" t="s">
        <v>38</v>
      </c>
      <c r="G56" s="517" t="s">
        <v>148</v>
      </c>
      <c r="H56" s="517" t="s">
        <v>604</v>
      </c>
      <c r="I56" s="517" t="s">
        <v>709</v>
      </c>
      <c r="J56" s="516">
        <v>1</v>
      </c>
      <c r="K56">
        <v>56</v>
      </c>
      <c r="L56" s="521" t="s">
        <v>28</v>
      </c>
    </row>
    <row r="57" spans="1:12" x14ac:dyDescent="0.25">
      <c r="A57" s="2"/>
      <c r="B57" s="1"/>
      <c r="C57" s="1"/>
      <c r="D57" s="1"/>
      <c r="E57" s="2"/>
      <c r="F57" s="517" t="s">
        <v>38</v>
      </c>
      <c r="G57" s="517" t="s">
        <v>151</v>
      </c>
      <c r="H57" s="517" t="s">
        <v>605</v>
      </c>
      <c r="I57" s="517" t="s">
        <v>710</v>
      </c>
      <c r="J57" s="517">
        <v>1</v>
      </c>
      <c r="K57">
        <v>57</v>
      </c>
      <c r="L57" s="521" t="s">
        <v>28</v>
      </c>
    </row>
    <row r="58" spans="1:12" x14ac:dyDescent="0.25">
      <c r="A58" s="1"/>
      <c r="B58" s="1"/>
      <c r="C58" s="1"/>
      <c r="D58" s="1"/>
      <c r="E58" s="2"/>
      <c r="F58" s="517" t="s">
        <v>38</v>
      </c>
      <c r="G58" s="517" t="s">
        <v>154</v>
      </c>
      <c r="H58" s="517" t="s">
        <v>606</v>
      </c>
      <c r="I58" s="517" t="s">
        <v>711</v>
      </c>
      <c r="J58" s="516">
        <v>1</v>
      </c>
      <c r="K58">
        <v>58</v>
      </c>
      <c r="L58" s="521" t="s">
        <v>28</v>
      </c>
    </row>
    <row r="59" spans="1:12" x14ac:dyDescent="0.25">
      <c r="A59" s="1"/>
      <c r="B59" s="1"/>
      <c r="C59" s="1"/>
      <c r="D59" s="1"/>
      <c r="E59" s="2"/>
      <c r="F59" s="517" t="s">
        <v>38</v>
      </c>
      <c r="G59" s="517" t="s">
        <v>157</v>
      </c>
      <c r="H59" s="517" t="s">
        <v>607</v>
      </c>
      <c r="I59" s="517" t="s">
        <v>712</v>
      </c>
      <c r="J59" s="517">
        <v>1</v>
      </c>
      <c r="K59">
        <v>59</v>
      </c>
      <c r="L59" s="521" t="s">
        <v>28</v>
      </c>
    </row>
    <row r="60" spans="1:12" x14ac:dyDescent="0.25">
      <c r="A60" s="1"/>
      <c r="B60" s="1"/>
      <c r="C60" s="1"/>
      <c r="D60" s="1"/>
      <c r="E60" s="2"/>
      <c r="F60" s="517" t="s">
        <v>38</v>
      </c>
      <c r="G60" s="517" t="s">
        <v>160</v>
      </c>
      <c r="H60" s="517" t="s">
        <v>608</v>
      </c>
      <c r="I60" s="517" t="s">
        <v>713</v>
      </c>
      <c r="J60" s="516">
        <v>1</v>
      </c>
      <c r="K60">
        <v>60</v>
      </c>
      <c r="L60" s="521" t="s">
        <v>28</v>
      </c>
    </row>
    <row r="61" spans="1:12" x14ac:dyDescent="0.25">
      <c r="A61" s="1"/>
      <c r="B61" s="1"/>
      <c r="C61" s="1"/>
      <c r="D61" s="1"/>
      <c r="E61" s="2"/>
      <c r="F61" s="517" t="s">
        <v>38</v>
      </c>
      <c r="G61" s="517" t="s">
        <v>161</v>
      </c>
      <c r="H61" s="517" t="s">
        <v>609</v>
      </c>
      <c r="I61" s="517" t="s">
        <v>714</v>
      </c>
      <c r="J61" s="517">
        <v>1</v>
      </c>
      <c r="K61">
        <v>61</v>
      </c>
      <c r="L61" s="521" t="s">
        <v>28</v>
      </c>
    </row>
    <row r="62" spans="1:12" x14ac:dyDescent="0.25">
      <c r="A62" s="1"/>
      <c r="B62" s="1"/>
      <c r="C62" s="1"/>
      <c r="D62" s="1"/>
      <c r="E62" s="2"/>
      <c r="F62" s="517" t="s">
        <v>38</v>
      </c>
      <c r="G62" s="517" t="s">
        <v>162</v>
      </c>
      <c r="H62" s="517" t="s">
        <v>610</v>
      </c>
      <c r="I62" s="517" t="s">
        <v>715</v>
      </c>
      <c r="J62" s="516">
        <v>1</v>
      </c>
      <c r="K62">
        <v>62</v>
      </c>
      <c r="L62" s="521" t="s">
        <v>28</v>
      </c>
    </row>
    <row r="63" spans="1:12" x14ac:dyDescent="0.25">
      <c r="A63" s="1"/>
      <c r="B63" s="1"/>
      <c r="C63" s="1"/>
      <c r="D63" s="1"/>
      <c r="E63" s="2"/>
      <c r="F63" s="519" t="s">
        <v>42</v>
      </c>
      <c r="G63" s="519" t="s">
        <v>169</v>
      </c>
      <c r="H63" s="519" t="s">
        <v>761</v>
      </c>
      <c r="I63" s="519" t="s">
        <v>170</v>
      </c>
      <c r="J63" s="517">
        <v>1</v>
      </c>
      <c r="K63">
        <v>63</v>
      </c>
      <c r="L63" s="519" t="s">
        <v>42</v>
      </c>
    </row>
    <row r="64" spans="1:12" x14ac:dyDescent="0.25">
      <c r="A64" s="1"/>
      <c r="B64" s="1"/>
      <c r="C64" s="1"/>
      <c r="D64" s="1"/>
      <c r="E64" s="2"/>
      <c r="F64" s="519" t="s">
        <v>42</v>
      </c>
      <c r="G64" s="519" t="s">
        <v>171</v>
      </c>
      <c r="H64" s="519" t="s">
        <v>762</v>
      </c>
      <c r="I64" s="519" t="s">
        <v>172</v>
      </c>
      <c r="J64" s="516">
        <v>1</v>
      </c>
      <c r="K64">
        <v>64</v>
      </c>
      <c r="L64" s="519" t="s">
        <v>42</v>
      </c>
    </row>
    <row r="65" spans="5:12" x14ac:dyDescent="0.25">
      <c r="E65" s="2"/>
      <c r="F65" s="519" t="s">
        <v>42</v>
      </c>
      <c r="G65" s="519" t="s">
        <v>173</v>
      </c>
      <c r="H65" s="519" t="s">
        <v>763</v>
      </c>
      <c r="I65" s="519" t="s">
        <v>174</v>
      </c>
      <c r="J65" s="517">
        <v>1</v>
      </c>
      <c r="K65">
        <v>65</v>
      </c>
      <c r="L65" s="519" t="s">
        <v>42</v>
      </c>
    </row>
    <row r="66" spans="5:12" x14ac:dyDescent="0.25">
      <c r="E66" s="1"/>
      <c r="F66" s="519" t="s">
        <v>42</v>
      </c>
      <c r="G66" s="519" t="s">
        <v>175</v>
      </c>
      <c r="H66" s="519" t="s">
        <v>764</v>
      </c>
      <c r="I66" s="519" t="s">
        <v>176</v>
      </c>
      <c r="J66" s="516">
        <v>1</v>
      </c>
      <c r="K66">
        <v>66</v>
      </c>
      <c r="L66" s="519" t="s">
        <v>42</v>
      </c>
    </row>
    <row r="67" spans="5:12" x14ac:dyDescent="0.25">
      <c r="E67" s="1"/>
      <c r="F67" s="519" t="s">
        <v>42</v>
      </c>
      <c r="G67" s="519" t="s">
        <v>177</v>
      </c>
      <c r="H67" s="519" t="s">
        <v>765</v>
      </c>
      <c r="I67" s="519" t="s">
        <v>617</v>
      </c>
      <c r="J67" s="517">
        <v>1</v>
      </c>
      <c r="K67">
        <v>67</v>
      </c>
      <c r="L67" s="519" t="s">
        <v>42</v>
      </c>
    </row>
    <row r="68" spans="5:12" x14ac:dyDescent="0.25">
      <c r="E68" s="1"/>
      <c r="F68" s="519" t="s">
        <v>42</v>
      </c>
      <c r="G68" s="519" t="s">
        <v>618</v>
      </c>
      <c r="H68" s="519" t="s">
        <v>766</v>
      </c>
      <c r="I68" s="519" t="s">
        <v>178</v>
      </c>
      <c r="J68" s="516">
        <v>1</v>
      </c>
      <c r="K68">
        <v>68</v>
      </c>
      <c r="L68" s="519" t="s">
        <v>42</v>
      </c>
    </row>
    <row r="69" spans="5:12" x14ac:dyDescent="0.25">
      <c r="E69" s="1"/>
      <c r="F69" s="519" t="s">
        <v>42</v>
      </c>
      <c r="G69" s="519" t="s">
        <v>619</v>
      </c>
      <c r="H69" s="519" t="s">
        <v>767</v>
      </c>
      <c r="I69" s="519" t="s">
        <v>179</v>
      </c>
      <c r="J69" s="517">
        <v>1</v>
      </c>
      <c r="K69">
        <v>69</v>
      </c>
      <c r="L69" s="519" t="s">
        <v>42</v>
      </c>
    </row>
    <row r="70" spans="5:12" x14ac:dyDescent="0.25">
      <c r="E70" s="1"/>
      <c r="F70" s="519" t="s">
        <v>42</v>
      </c>
      <c r="G70" s="519" t="s">
        <v>620</v>
      </c>
      <c r="H70" s="519" t="s">
        <v>768</v>
      </c>
      <c r="I70" s="519" t="s">
        <v>180</v>
      </c>
      <c r="J70" s="516">
        <v>1</v>
      </c>
      <c r="K70">
        <v>70</v>
      </c>
      <c r="L70" s="519" t="s">
        <v>42</v>
      </c>
    </row>
    <row r="71" spans="5:12" x14ac:dyDescent="0.25">
      <c r="E71" s="1"/>
      <c r="F71" s="519" t="s">
        <v>42</v>
      </c>
      <c r="G71" s="519" t="s">
        <v>621</v>
      </c>
      <c r="H71" s="519" t="s">
        <v>769</v>
      </c>
      <c r="I71" s="519" t="s">
        <v>181</v>
      </c>
      <c r="J71" s="517">
        <v>1</v>
      </c>
      <c r="K71">
        <v>71</v>
      </c>
      <c r="L71" s="519" t="s">
        <v>42</v>
      </c>
    </row>
    <row r="72" spans="5:12" x14ac:dyDescent="0.25">
      <c r="E72" s="1"/>
      <c r="F72" s="517" t="s">
        <v>47</v>
      </c>
      <c r="G72" s="517" t="s">
        <v>182</v>
      </c>
      <c r="H72" s="517" t="s">
        <v>622</v>
      </c>
      <c r="I72" s="517" t="s">
        <v>716</v>
      </c>
      <c r="J72" s="516">
        <v>1</v>
      </c>
      <c r="K72">
        <v>72</v>
      </c>
      <c r="L72" s="519" t="s">
        <v>42</v>
      </c>
    </row>
    <row r="73" spans="5:12" x14ac:dyDescent="0.25">
      <c r="E73" s="1"/>
      <c r="F73" s="517" t="s">
        <v>47</v>
      </c>
      <c r="G73" s="517" t="s">
        <v>183</v>
      </c>
      <c r="H73" s="517" t="s">
        <v>623</v>
      </c>
      <c r="I73" s="517" t="s">
        <v>717</v>
      </c>
      <c r="J73" s="517">
        <v>1</v>
      </c>
      <c r="K73">
        <v>73</v>
      </c>
      <c r="L73" s="519" t="s">
        <v>42</v>
      </c>
    </row>
    <row r="74" spans="5:12" x14ac:dyDescent="0.25">
      <c r="E74" s="1"/>
      <c r="F74" s="517" t="s">
        <v>47</v>
      </c>
      <c r="G74" s="517" t="s">
        <v>184</v>
      </c>
      <c r="H74" s="517" t="s">
        <v>624</v>
      </c>
      <c r="I74" s="517" t="s">
        <v>718</v>
      </c>
      <c r="J74" s="516">
        <v>1</v>
      </c>
      <c r="K74">
        <v>74</v>
      </c>
      <c r="L74" s="519" t="s">
        <v>42</v>
      </c>
    </row>
    <row r="75" spans="5:12" x14ac:dyDescent="0.25">
      <c r="E75" s="1"/>
      <c r="F75" s="517" t="s">
        <v>47</v>
      </c>
      <c r="G75" s="517" t="s">
        <v>185</v>
      </c>
      <c r="H75" s="517" t="s">
        <v>625</v>
      </c>
      <c r="I75" s="517" t="s">
        <v>719</v>
      </c>
      <c r="J75" s="517">
        <v>1</v>
      </c>
      <c r="K75">
        <v>75</v>
      </c>
      <c r="L75" s="519" t="s">
        <v>42</v>
      </c>
    </row>
    <row r="76" spans="5:12" x14ac:dyDescent="0.25">
      <c r="E76" s="1"/>
      <c r="F76" s="517" t="s">
        <v>47</v>
      </c>
      <c r="G76" s="517" t="s">
        <v>186</v>
      </c>
      <c r="H76" s="517" t="s">
        <v>567</v>
      </c>
      <c r="I76" s="517" t="s">
        <v>660</v>
      </c>
      <c r="J76" s="516">
        <v>1</v>
      </c>
      <c r="K76">
        <v>76</v>
      </c>
      <c r="L76" s="519" t="s">
        <v>42</v>
      </c>
    </row>
    <row r="77" spans="5:12" x14ac:dyDescent="0.25">
      <c r="E77" s="1"/>
      <c r="F77" s="517" t="s">
        <v>47</v>
      </c>
      <c r="G77" s="517" t="s">
        <v>187</v>
      </c>
      <c r="H77" s="517" t="s">
        <v>626</v>
      </c>
      <c r="I77" s="517" t="s">
        <v>720</v>
      </c>
      <c r="J77" s="517">
        <v>1</v>
      </c>
      <c r="K77">
        <v>77</v>
      </c>
      <c r="L77" s="519" t="s">
        <v>42</v>
      </c>
    </row>
    <row r="78" spans="5:12" x14ac:dyDescent="0.25">
      <c r="E78" s="1"/>
      <c r="F78" s="517" t="s">
        <v>47</v>
      </c>
      <c r="G78" s="517" t="s">
        <v>188</v>
      </c>
      <c r="H78" s="517" t="s">
        <v>627</v>
      </c>
      <c r="I78" s="517" t="s">
        <v>721</v>
      </c>
      <c r="J78" s="516">
        <v>1</v>
      </c>
      <c r="K78">
        <v>78</v>
      </c>
      <c r="L78" s="519" t="s">
        <v>42</v>
      </c>
    </row>
    <row r="79" spans="5:12" x14ac:dyDescent="0.25">
      <c r="E79" s="1"/>
      <c r="F79" s="519" t="s">
        <v>51</v>
      </c>
      <c r="G79" s="519" t="s">
        <v>189</v>
      </c>
      <c r="H79" s="519" t="s">
        <v>628</v>
      </c>
      <c r="I79" s="519" t="s">
        <v>722</v>
      </c>
      <c r="J79" s="517">
        <v>1</v>
      </c>
      <c r="K79">
        <v>79</v>
      </c>
      <c r="L79" s="558" t="s">
        <v>865</v>
      </c>
    </row>
    <row r="80" spans="5:12" x14ac:dyDescent="0.25">
      <c r="E80" s="1"/>
      <c r="F80" s="519" t="s">
        <v>51</v>
      </c>
      <c r="G80" s="519" t="s">
        <v>190</v>
      </c>
      <c r="H80" s="519" t="s">
        <v>629</v>
      </c>
      <c r="I80" s="519" t="s">
        <v>723</v>
      </c>
      <c r="J80" s="516">
        <v>1</v>
      </c>
      <c r="K80">
        <v>80</v>
      </c>
      <c r="L80" s="558" t="s">
        <v>865</v>
      </c>
    </row>
    <row r="81" spans="6:12" x14ac:dyDescent="0.25">
      <c r="F81" s="519" t="s">
        <v>51</v>
      </c>
      <c r="G81" s="519" t="s">
        <v>191</v>
      </c>
      <c r="H81" s="519" t="s">
        <v>630</v>
      </c>
      <c r="I81" s="519" t="s">
        <v>724</v>
      </c>
      <c r="J81" s="517">
        <v>1</v>
      </c>
      <c r="K81">
        <v>81</v>
      </c>
      <c r="L81" s="558" t="s">
        <v>865</v>
      </c>
    </row>
    <row r="82" spans="6:12" x14ac:dyDescent="0.25">
      <c r="F82" s="519" t="s">
        <v>51</v>
      </c>
      <c r="G82" s="519" t="s">
        <v>192</v>
      </c>
      <c r="H82" s="519" t="s">
        <v>631</v>
      </c>
      <c r="I82" s="519" t="s">
        <v>725</v>
      </c>
      <c r="J82" s="516">
        <v>1</v>
      </c>
      <c r="K82">
        <v>82</v>
      </c>
      <c r="L82" s="558" t="s">
        <v>865</v>
      </c>
    </row>
    <row r="83" spans="6:12" x14ac:dyDescent="0.25">
      <c r="F83" s="519" t="s">
        <v>51</v>
      </c>
      <c r="G83" s="519" t="s">
        <v>193</v>
      </c>
      <c r="H83" s="519" t="s">
        <v>632</v>
      </c>
      <c r="I83" s="519" t="s">
        <v>726</v>
      </c>
      <c r="J83" s="517">
        <v>1</v>
      </c>
      <c r="K83">
        <v>83</v>
      </c>
      <c r="L83" s="558" t="s">
        <v>865</v>
      </c>
    </row>
    <row r="84" spans="6:12" x14ac:dyDescent="0.25">
      <c r="F84" s="519" t="s">
        <v>51</v>
      </c>
      <c r="G84" s="519" t="s">
        <v>194</v>
      </c>
      <c r="H84" s="519" t="s">
        <v>633</v>
      </c>
      <c r="I84" s="519" t="s">
        <v>727</v>
      </c>
      <c r="J84" s="516">
        <v>1</v>
      </c>
      <c r="K84">
        <v>84</v>
      </c>
      <c r="L84" s="558" t="s">
        <v>865</v>
      </c>
    </row>
    <row r="85" spans="6:12" x14ac:dyDescent="0.25">
      <c r="F85" s="517" t="s">
        <v>55</v>
      </c>
      <c r="G85" s="517" t="s">
        <v>195</v>
      </c>
      <c r="H85" s="517" t="s">
        <v>634</v>
      </c>
      <c r="I85" s="517" t="s">
        <v>728</v>
      </c>
      <c r="J85" s="517">
        <v>1</v>
      </c>
      <c r="K85">
        <v>85</v>
      </c>
      <c r="L85" s="558" t="s">
        <v>865</v>
      </c>
    </row>
    <row r="86" spans="6:12" x14ac:dyDescent="0.25">
      <c r="F86" s="517" t="s">
        <v>55</v>
      </c>
      <c r="G86" s="517" t="s">
        <v>196</v>
      </c>
      <c r="H86" s="517" t="s">
        <v>858</v>
      </c>
      <c r="I86" s="517" t="s">
        <v>859</v>
      </c>
      <c r="J86" s="516">
        <v>1</v>
      </c>
      <c r="K86">
        <v>86</v>
      </c>
      <c r="L86" s="558" t="s">
        <v>865</v>
      </c>
    </row>
    <row r="87" spans="6:12" x14ac:dyDescent="0.25">
      <c r="F87" s="517" t="s">
        <v>55</v>
      </c>
      <c r="G87" s="517" t="s">
        <v>197</v>
      </c>
      <c r="H87" s="517" t="s">
        <v>635</v>
      </c>
      <c r="I87" s="517" t="s">
        <v>729</v>
      </c>
      <c r="J87" s="517">
        <v>1</v>
      </c>
      <c r="K87">
        <v>87</v>
      </c>
      <c r="L87" s="558" t="s">
        <v>865</v>
      </c>
    </row>
    <row r="88" spans="6:12" x14ac:dyDescent="0.25">
      <c r="F88" s="517" t="s">
        <v>55</v>
      </c>
      <c r="G88" s="517" t="s">
        <v>198</v>
      </c>
      <c r="H88" s="517" t="s">
        <v>636</v>
      </c>
      <c r="I88" s="517" t="s">
        <v>730</v>
      </c>
      <c r="J88" s="516">
        <v>1</v>
      </c>
      <c r="K88">
        <v>88</v>
      </c>
      <c r="L88" s="558" t="s">
        <v>865</v>
      </c>
    </row>
    <row r="89" spans="6:12" x14ac:dyDescent="0.25">
      <c r="F89" s="519" t="s">
        <v>59</v>
      </c>
      <c r="G89" s="519" t="s">
        <v>202</v>
      </c>
      <c r="H89" s="519" t="s">
        <v>640</v>
      </c>
      <c r="I89" s="519" t="s">
        <v>731</v>
      </c>
      <c r="J89" s="517">
        <v>1</v>
      </c>
      <c r="K89">
        <v>89</v>
      </c>
      <c r="L89" s="558" t="s">
        <v>865</v>
      </c>
    </row>
    <row r="90" spans="6:12" x14ac:dyDescent="0.25">
      <c r="F90" s="519" t="s">
        <v>59</v>
      </c>
      <c r="G90" s="519" t="s">
        <v>203</v>
      </c>
      <c r="H90" s="519" t="s">
        <v>204</v>
      </c>
      <c r="I90" s="519" t="s">
        <v>204</v>
      </c>
      <c r="J90" s="516">
        <v>1</v>
      </c>
      <c r="K90">
        <v>90</v>
      </c>
      <c r="L90" s="558" t="s">
        <v>865</v>
      </c>
    </row>
    <row r="91" spans="6:12" x14ac:dyDescent="0.25">
      <c r="F91" s="517" t="s">
        <v>64</v>
      </c>
      <c r="G91" s="517" t="s">
        <v>199</v>
      </c>
      <c r="H91" s="517" t="s">
        <v>637</v>
      </c>
      <c r="I91" s="517" t="s">
        <v>732</v>
      </c>
      <c r="J91" s="517">
        <v>1</v>
      </c>
      <c r="K91">
        <v>91</v>
      </c>
      <c r="L91" s="558" t="s">
        <v>865</v>
      </c>
    </row>
    <row r="92" spans="6:12" x14ac:dyDescent="0.25">
      <c r="F92" s="517" t="s">
        <v>64</v>
      </c>
      <c r="G92" s="517" t="s">
        <v>200</v>
      </c>
      <c r="H92" s="517" t="s">
        <v>638</v>
      </c>
      <c r="I92" s="517" t="s">
        <v>733</v>
      </c>
      <c r="J92" s="516">
        <v>1</v>
      </c>
      <c r="K92">
        <v>92</v>
      </c>
      <c r="L92" s="558" t="s">
        <v>865</v>
      </c>
    </row>
    <row r="93" spans="6:12" x14ac:dyDescent="0.25">
      <c r="F93" s="517" t="s">
        <v>64</v>
      </c>
      <c r="G93" s="517" t="s">
        <v>201</v>
      </c>
      <c r="H93" s="517" t="s">
        <v>639</v>
      </c>
      <c r="I93" s="517" t="s">
        <v>734</v>
      </c>
      <c r="J93" s="517">
        <v>1</v>
      </c>
      <c r="K93">
        <v>93</v>
      </c>
      <c r="L93" s="558" t="s">
        <v>865</v>
      </c>
    </row>
    <row r="94" spans="6:12" x14ac:dyDescent="0.25">
      <c r="F94" s="517" t="s">
        <v>69</v>
      </c>
      <c r="G94" s="517"/>
      <c r="I94" s="521" t="s">
        <v>736</v>
      </c>
      <c r="J94" s="516">
        <v>2</v>
      </c>
      <c r="K94">
        <v>94</v>
      </c>
      <c r="L94" s="517" t="s">
        <v>69</v>
      </c>
    </row>
    <row r="95" spans="6:12" x14ac:dyDescent="0.25">
      <c r="F95" s="517" t="s">
        <v>69</v>
      </c>
      <c r="G95" s="517"/>
      <c r="I95" s="521" t="s">
        <v>735</v>
      </c>
      <c r="J95" s="516">
        <v>2</v>
      </c>
      <c r="K95">
        <v>95</v>
      </c>
      <c r="L95" s="517" t="s">
        <v>69</v>
      </c>
    </row>
    <row r="96" spans="6:12" x14ac:dyDescent="0.25">
      <c r="F96" s="517" t="s">
        <v>69</v>
      </c>
      <c r="I96" s="521" t="s">
        <v>739</v>
      </c>
      <c r="J96" s="516">
        <v>2</v>
      </c>
      <c r="K96">
        <v>96</v>
      </c>
      <c r="L96" s="517" t="s">
        <v>69</v>
      </c>
    </row>
    <row r="97" spans="6:12" x14ac:dyDescent="0.25">
      <c r="F97" s="517" t="s">
        <v>69</v>
      </c>
      <c r="I97" s="521" t="s">
        <v>740</v>
      </c>
      <c r="J97" s="516">
        <v>2</v>
      </c>
      <c r="K97">
        <v>98</v>
      </c>
      <c r="L97" s="517" t="s">
        <v>69</v>
      </c>
    </row>
    <row r="98" spans="6:12" x14ac:dyDescent="0.25">
      <c r="F98" s="517" t="s">
        <v>69</v>
      </c>
      <c r="I98" s="521" t="s">
        <v>738</v>
      </c>
      <c r="J98" s="516">
        <v>2</v>
      </c>
      <c r="K98">
        <v>99</v>
      </c>
      <c r="L98" s="517" t="s">
        <v>69</v>
      </c>
    </row>
    <row r="99" spans="6:12" x14ac:dyDescent="0.25">
      <c r="F99" s="517" t="s">
        <v>69</v>
      </c>
      <c r="I99" s="521" t="s">
        <v>737</v>
      </c>
      <c r="J99" s="516">
        <v>2</v>
      </c>
      <c r="K99">
        <v>100</v>
      </c>
      <c r="L99" s="517" t="s">
        <v>69</v>
      </c>
    </row>
    <row r="100" spans="6:12" x14ac:dyDescent="0.25">
      <c r="F100" s="517" t="s">
        <v>69</v>
      </c>
      <c r="I100" s="521" t="s">
        <v>860</v>
      </c>
      <c r="J100" s="516">
        <v>2</v>
      </c>
      <c r="K100">
        <v>101</v>
      </c>
      <c r="L100" s="517" t="s">
        <v>69</v>
      </c>
    </row>
    <row r="101" spans="6:12" x14ac:dyDescent="0.25">
      <c r="F101" s="518" t="s">
        <v>74</v>
      </c>
      <c r="I101" s="521" t="s">
        <v>741</v>
      </c>
      <c r="K101">
        <v>102</v>
      </c>
      <c r="L101" s="518" t="s">
        <v>74</v>
      </c>
    </row>
    <row r="102" spans="6:12" x14ac:dyDescent="0.25">
      <c r="F102" s="518" t="s">
        <v>74</v>
      </c>
      <c r="I102" s="521" t="s">
        <v>770</v>
      </c>
      <c r="K102">
        <v>103</v>
      </c>
      <c r="L102" s="518" t="s">
        <v>74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T38"/>
  <sheetViews>
    <sheetView showGridLines="0" tabSelected="1" topLeftCell="A4" workbookViewId="0">
      <selection sqref="A1:F1"/>
    </sheetView>
  </sheetViews>
  <sheetFormatPr defaultRowHeight="15.75" x14ac:dyDescent="0.25"/>
  <cols>
    <col min="1" max="2" width="8.125" style="63" customWidth="1"/>
    <col min="3" max="3" width="10.25" style="63" customWidth="1"/>
    <col min="4" max="4" width="12.25" style="63" customWidth="1"/>
    <col min="5" max="5" width="6.25" style="63" customWidth="1"/>
    <col min="6" max="8" width="8.125" style="63" customWidth="1"/>
    <col min="9" max="9" width="12.25" style="63" customWidth="1"/>
    <col min="10" max="10" width="6.375" style="63" customWidth="1"/>
    <col min="11" max="13" width="8.125" style="63" customWidth="1"/>
    <col min="14" max="14" width="12.25" style="63" customWidth="1"/>
    <col min="15" max="15" width="4.125" style="63" customWidth="1"/>
    <col min="16" max="16" width="4" style="63" customWidth="1"/>
    <col min="17" max="17" width="9.25" style="63" customWidth="1"/>
    <col min="18" max="20" width="8.125" style="63" customWidth="1"/>
    <col min="21" max="16384" width="9" style="63"/>
  </cols>
  <sheetData>
    <row r="1" spans="1:20" x14ac:dyDescent="0.25">
      <c r="A1" s="836" t="str">
        <f>CONCATENATE(IF(A2=phu!M1,phu!N1,""),IF(A2=phu!M2,phu!N2,""),IF(A2=phu!M3,phu!N3,""),IF(A2=phu!M4,phu!N4,""),IF(A2=phu!M5,phu!N5,""),IF(A2=phu!M6,phu!N6,""),IF(A2=phu!M7,phu!N7,""),IF(A2=phu!M8,phu!N8,""),IF(A2=phu!M9,phu!N9,""),IF(A2=phu!M10,phu!N10,""),IF(A2=phu!M11,phu!N11,""),IF(A2=phu!M12,phu!N12,""),IF(A2=phu!M13,phu!N13,""),IF(A2=phu!M14,phu!N14,""),IF(A2=phu!M15,phu!N15,""),IF(A2=phu!M16,phu!N16,""),IF(A2=phu!M17,phu!N17,""),IF(A2=phu!M18,phu!N18,""),IF(A2=phu!M19,phu!N19,""),IF(A2=phu!M20,phu!N20,""),IF(A2=phu!M21,phu!N21,""),IF(A2=phu!M22,phu!N22,""),IF(A2=phu!M23,phu!N23,""),IF(A2=phu!M24,phu!N24,""),IF(A2=phu!M25,phu!N25,""),IF(A2=phu!M26,phu!N26,""),IF(A2=phu!M27,phu!N27,""),IF(A2=phu!M28,phu!N28,""),IF(A2=phu!M29,phu!N29,""),IF(A2=phu!M30,phu!N30,""),IF(A2=phu!M31,phu!N31,""),IF(A2=phu!M32,phu!N32,""),IF(A2=phu!M33,phu!N33,""),IF(A2=phu!M34,phu!N34,""),IF(A2=phu!M35,phu!N35,""),IF(A2=phu!M36,phu!N36,""),IF(A2=phu!M37,phu!N37,""),IF(A2=phu!M38,phu!N38,""),IF(A2=phu!M39,phu!N39,""),IF(A2=phu!M40,phu!N40,""),IF(A2=phu!M41,phu!N41,""),IF(A2=phu!M42,phu!N42,""),IF(A2=phu!M43,phu!N43,""),IF(A2=phu!M44,phu!N44,""),IF(A2=phu!M45,phu!N45,""),IF(A2=phu!M46,phu!N46,""),IF(A2=phu!M47,phu!N47,""))</f>
        <v>UBND PHƯỜNG CAM LINH</v>
      </c>
      <c r="B1" s="836"/>
      <c r="C1" s="836"/>
      <c r="D1" s="836"/>
      <c r="E1" s="836"/>
      <c r="F1" s="836"/>
      <c r="K1" s="559" t="s">
        <v>857</v>
      </c>
      <c r="Q1" s="62" t="s">
        <v>250</v>
      </c>
    </row>
    <row r="2" spans="1:20" x14ac:dyDescent="0.25">
      <c r="A2" s="585" t="s">
        <v>144</v>
      </c>
      <c r="B2" s="585"/>
      <c r="C2" s="585"/>
      <c r="D2" s="585"/>
      <c r="E2" s="585"/>
      <c r="F2" s="585"/>
      <c r="K2" s="559" t="s">
        <v>211</v>
      </c>
      <c r="Q2" s="485" t="s">
        <v>251</v>
      </c>
    </row>
    <row r="3" spans="1:20" ht="15" customHeight="1" x14ac:dyDescent="0.25">
      <c r="K3" s="559"/>
      <c r="Q3" s="485" t="s">
        <v>252</v>
      </c>
    </row>
    <row r="4" spans="1:20" x14ac:dyDescent="0.25">
      <c r="A4" s="586" t="s">
        <v>212</v>
      </c>
      <c r="B4" s="586"/>
      <c r="C4" s="586"/>
      <c r="D4" s="586"/>
      <c r="E4" s="586"/>
      <c r="F4" s="586"/>
      <c r="G4" s="586"/>
      <c r="H4" s="586"/>
      <c r="I4" s="586"/>
      <c r="J4" s="586"/>
      <c r="K4" s="586"/>
      <c r="L4" s="586"/>
      <c r="M4" s="586"/>
      <c r="N4" s="586"/>
      <c r="Q4" s="484">
        <f>IF(H5="","",VALUE(LEFT(H5,4)))</f>
        <v>2025</v>
      </c>
    </row>
    <row r="5" spans="1:20" ht="19.5" customHeight="1" x14ac:dyDescent="0.3">
      <c r="G5" s="4" t="s">
        <v>213</v>
      </c>
      <c r="H5" s="587" t="s">
        <v>866</v>
      </c>
      <c r="I5" s="587"/>
      <c r="O5" s="209"/>
      <c r="P5" s="62" t="s">
        <v>558</v>
      </c>
    </row>
    <row r="6" spans="1:20" ht="12.75" customHeight="1" x14ac:dyDescent="0.25">
      <c r="O6" s="373" t="s">
        <v>455</v>
      </c>
      <c r="P6" s="374" t="s">
        <v>456</v>
      </c>
      <c r="R6" s="209"/>
    </row>
    <row r="7" spans="1:20" ht="14.25" customHeight="1" x14ac:dyDescent="0.25">
      <c r="A7" s="372" t="str">
        <f>IF(AND(D9="Báo cáo!",D12="Hoàn thành!",D15="Hoàn thành!",D18="Hoàn thành!",D21="Hoàn thành!",D24="Hoàn thành!",D27="Hoàn thành!"),"Chốt số liệu!",IF(OR(D12="Còn lỗi!",D15="Còn lỗi!",D18="Còn lỗi!",D21="Còn lỗi!",D24="Còn lỗi!",D27="Còn lỗi!"),"Chưa hoàn thành!","Nhập liệu theo cấp học!"))</f>
        <v>Nhập liệu theo cấp học!</v>
      </c>
      <c r="F7" s="372" t="str">
        <f>IF(AND(I9="Báo cáo!",I12="Hoàn thành!",I15="Hoàn thành!",I18="Hoàn thành!",I21="Hoàn thành!",I24="Hoàn thành!",I27="Hoàn thành!"),"Chốt số liệu!",IF(OR(I12="Còn lỗi!",I15="Còn lỗi!",I18="Còn lỗi!",I21="Còn lỗi!",I24="Còn lỗi!",I27="Còn lỗi!"),"Chưa hoàn thành!","Nhập liệu theo cấp học!"))</f>
        <v>Nhập liệu theo cấp học!</v>
      </c>
      <c r="K7" s="372" t="str">
        <f>IF(AND(N9="Báo cáo!",N12="Hoàn thành!",N15="Hoàn thành!",N18="Hoàn thành!",N21="Hoàn thành!",N24="Hoàn thành!",N27="Hoàn thành!"),"Chốt số liệu!",IF(OR(N12="Còn lỗi!",N15="Còn lỗi!",N18="Còn lỗi!",N21="Còn lỗi!",N24="Còn lỗi!",N27="Còn lỗi!"),"Chưa hoàn thành!","Nhập liệu theo cấp học!"))</f>
        <v>Chốt số liệu!</v>
      </c>
      <c r="O7" s="373" t="s">
        <v>455</v>
      </c>
      <c r="P7" s="374" t="s">
        <v>457</v>
      </c>
      <c r="R7" s="209"/>
    </row>
    <row r="8" spans="1:20" ht="16.5" x14ac:dyDescent="0.25">
      <c r="A8" s="508"/>
      <c r="B8" s="508"/>
      <c r="C8" s="508"/>
      <c r="D8" s="508"/>
      <c r="E8" s="508"/>
      <c r="F8" s="508"/>
      <c r="G8" s="508"/>
      <c r="H8" s="508"/>
      <c r="I8" s="508"/>
      <c r="J8" s="508"/>
      <c r="K8" s="508"/>
      <c r="L8" s="508"/>
      <c r="M8" s="508"/>
      <c r="N8" s="508"/>
      <c r="O8" s="373" t="s">
        <v>455</v>
      </c>
      <c r="P8" s="374" t="s">
        <v>458</v>
      </c>
      <c r="R8" s="209"/>
    </row>
    <row r="9" spans="1:20" ht="16.5" x14ac:dyDescent="0.25">
      <c r="A9" s="508"/>
      <c r="B9" s="508"/>
      <c r="C9" s="508"/>
      <c r="D9" s="588" t="str">
        <f>IF(OR($A$2="TRƯỜNG MẦM NON CAM THÀNH NAM",$A$2="TRƯỜNG MẦM NON CAM NGHĨA",$A$2="TRƯỜNG MẦM NON TRƯỜNG SA",$A$2="TRƯỜNG MẦM NON CĂN CỨ CAM RANH",$A$2="TRƯỜNG MẦM NON CAM PHÚC BẮC",$A$2="TRƯỜNG MẦM NON CAM PHÚC NAM",$A$2="TRƯỜNG MẦM NON CAM PHÚ",$A$2="TRƯỜNG MẦM NON CAM THUẬN",$A$2="TRƯỜNG MẦM NON CAM LỘC",N6,$A$2="TRƯỜNG MẦM NON HOA MAI",$A$2="TRƯỜNG MẦM NON 2/4",$A$2="TRƯỜNG MẦM NON CAM LINH",$A$2="TRƯỜNG MẦM NON CAM LỢI",$A$2="TRƯỜNG MẦM NON BA NGÒI",$A$2="TRƯỜNG MẦM NON CAM PHƯỚC ĐÔNG",$A$2="TRƯỜNG MẦM NON CAM THỊNH ĐÔNG",$A$2="TRƯỜNG MẦM NON CAM THỊNH TÂY",$A$2="TRƯỜNG MẦM NON CAM LẬP",$A$2="TRƯỜNG MẦM NON CAM BÌNH"),"Báo cáo!","")</f>
        <v/>
      </c>
      <c r="E9" s="508"/>
      <c r="F9" s="508"/>
      <c r="G9" s="508"/>
      <c r="H9" s="508"/>
      <c r="I9" s="588" t="str">
        <f>IF(OR(A2="TRƯỜNG TH&amp;THCS CAM THÀNH NAM",A2="TRƯỜNG TIỂU HỌC CAM NGHĨA 1",A2="TRƯỜNG TIỂU HỌC CAM NGHĨA 2",A2="TRƯỜNG TIỂU HỌC CĂN CỨ CAM RANH",,A2="TRƯỜNG TIỂU HỌC CAM PHÚC BẮC",A2="TRƯỜNG TH&amp;THCS CAM PHÚC NAM",A2="TRƯỜNG TIỂU HỌC CAM PHÚ",A2="TRƯỜNG TIỂU HỌC CAM THUẬN",A2="TRƯỜNG TIỂU HỌC CAM LỘC 1",A2="TRƯỜNG TIỂU HỌC CAM LỘC 2",A2="TRƯỜNG TIỂU HỌC CAM LINH",A2="TRƯỜNG TIỂU HỌC CAM LỢI",A2="TRƯỜNG TIỂU HỌC BA NGÒI",A2="TRƯỜNG TIỂU HỌC CAM PHƯỚC ĐÔNG 1",A2="TRƯỜNG TIỂU HỌC CAM PHƯỚC ĐÔNG 2",A2="TRƯỜNG TIỂU HỌC CAM THỊNH ĐÔNG",A2="TRƯỜNG TIỂU HỌC CAM THỊNH TÂY",A2="TRƯỜNG TH&amp;THCS CAM LẬP",A2="TRƯỜNG TH&amp;THCS BÌNH HƯNG",A2="TRƯỜNG TH&amp;THCS BÌNH BA",A2="TRƯỜNG TH&amp;THCS CAM THÀNH NAM"),"Báo cáo!","")</f>
        <v/>
      </c>
      <c r="J9" s="508"/>
      <c r="K9" s="508"/>
      <c r="L9" s="508"/>
      <c r="M9" s="508"/>
      <c r="N9" s="588" t="str">
        <f>IF(OR($A$2="TRƯỜNG TH&amp;THCS CAM THÀNH NAM",$A$2="TRƯỜNG THCS NGUYỄN VĂN TRỖI",$A$2="TRƯỜNG THCS NGUYỄN THỊ MINH KHAI",$A$2="TRƯỜNG TH&amp;THCS CAM PHÚC NAM",$A$2="TRƯỜNG THCS TRẦN PHÚ",$A$2="TRƯỜNG THCS LÊ HỒNG PHONG",$A$2="TRƯỜNG THCS NGUYỄN TRỌNG KỶ",$A$2="TRƯỜNG THCS NGUYỄN DU",$A$2="TRƯỜNG THCS NGUYỄN KHUYẾN",$A$2="TRƯỜNG THCS CAM THỊNH TÂY",$A$2="TRƯỜNG PTDT NỘI TRÚ CAM RANH",$A$2="TRƯỜNG TH&amp;THCS CAM LẬP",$A$2="TRƯỜNG TH&amp;THCS BÌNH HƯNG",$A$2="TRƯỜNG TH&amp;THCS BÌNH BA"),"Báo cáo!","")</f>
        <v>Báo cáo!</v>
      </c>
      <c r="O9" s="373" t="s">
        <v>455</v>
      </c>
      <c r="P9" s="374" t="s">
        <v>459</v>
      </c>
      <c r="R9" s="209"/>
    </row>
    <row r="10" spans="1:20" ht="16.5" x14ac:dyDescent="0.25">
      <c r="A10" s="508"/>
      <c r="B10" s="508"/>
      <c r="C10" s="508"/>
      <c r="D10" s="588"/>
      <c r="E10" s="508"/>
      <c r="F10" s="508"/>
      <c r="G10" s="508"/>
      <c r="H10" s="508"/>
      <c r="I10" s="588"/>
      <c r="J10" s="508"/>
      <c r="K10" s="508"/>
      <c r="L10" s="508"/>
      <c r="M10" s="508"/>
      <c r="N10" s="588"/>
      <c r="O10" s="373" t="s">
        <v>455</v>
      </c>
      <c r="P10" s="374" t="s">
        <v>460</v>
      </c>
      <c r="R10" s="209"/>
    </row>
    <row r="11" spans="1:20" ht="16.5" x14ac:dyDescent="0.25">
      <c r="A11" s="508"/>
      <c r="B11" s="508"/>
      <c r="C11" s="508"/>
      <c r="D11" s="508"/>
      <c r="E11" s="508"/>
      <c r="F11" s="508"/>
      <c r="G11" s="508"/>
      <c r="H11" s="508"/>
      <c r="I11" s="508"/>
      <c r="J11" s="508"/>
      <c r="K11" s="508"/>
      <c r="L11" s="508"/>
      <c r="M11" s="508"/>
      <c r="N11" s="508"/>
      <c r="O11" s="373" t="s">
        <v>455</v>
      </c>
      <c r="P11" s="374" t="s">
        <v>461</v>
      </c>
      <c r="R11" s="209"/>
    </row>
    <row r="12" spans="1:20" ht="16.5" x14ac:dyDescent="0.25">
      <c r="A12" s="508"/>
      <c r="B12" s="508"/>
      <c r="C12" s="508"/>
      <c r="D12" s="589" t="str">
        <f>IF(AND(D9&lt;&gt;"",MN!L2="Hoàn thành!"),"Hoàn thành!",IF(AND(D9&lt;&gt;"",MN!L2="Còn lỗi!"),"Còn lỗi!","Nhập liệu!"))</f>
        <v>Nhập liệu!</v>
      </c>
      <c r="E12" s="508"/>
      <c r="F12" s="508"/>
      <c r="G12" s="508"/>
      <c r="H12" s="508"/>
      <c r="I12" s="590" t="str">
        <f>IF(AND(I9&lt;&gt;"",TH!P2="Hoàn thành!"),"Hoàn thành!",IF(OR(AND(I9&lt;&gt;"",TH!P2="Còn lỗi!"),AND(I9&lt;&gt;"",TH!P2="Có HS học trước tuổi!")),"Còn lỗi!","Nhập liệu!"))</f>
        <v>Nhập liệu!</v>
      </c>
      <c r="J12" s="508"/>
      <c r="K12" s="508"/>
      <c r="L12" s="508"/>
      <c r="M12" s="508"/>
      <c r="N12" s="590" t="str">
        <f>IF(AND(N9&lt;&gt;"",THCS!P2="Hoàn thành!"),"Hoàn thành!",IF(OR(AND(N9&lt;&gt;"",THCS!P2="Còn lỗi!"),AND(N9&lt;&gt;"",THCS!P2="Có HS học trước tuổi!")),"Còn lỗi!","Nhập liệu!"))</f>
        <v>Hoàn thành!</v>
      </c>
      <c r="O12" s="373" t="s">
        <v>455</v>
      </c>
      <c r="P12" s="374" t="s">
        <v>462</v>
      </c>
      <c r="R12" s="209"/>
    </row>
    <row r="13" spans="1:20" x14ac:dyDescent="0.25">
      <c r="A13" s="508"/>
      <c r="B13" s="508"/>
      <c r="C13" s="508"/>
      <c r="D13" s="589"/>
      <c r="E13" s="508"/>
      <c r="F13" s="508"/>
      <c r="G13" s="508"/>
      <c r="H13" s="508"/>
      <c r="I13" s="590"/>
      <c r="J13" s="508"/>
      <c r="K13" s="508"/>
      <c r="L13" s="508"/>
      <c r="M13" s="508"/>
      <c r="N13" s="590"/>
      <c r="O13" s="837" t="str">
        <f>"hvptran.cr@khanhhoa.edu.vn "&amp;" -ĐT:0935451967"</f>
        <v>hvptran.cr@khanhhoa.edu.vn  -ĐT:0935451967</v>
      </c>
      <c r="P13" s="838"/>
      <c r="Q13" s="839"/>
      <c r="R13" s="839"/>
      <c r="S13" s="839"/>
      <c r="T13" s="839"/>
    </row>
    <row r="14" spans="1:20" ht="9.75" customHeight="1" x14ac:dyDescent="0.25">
      <c r="A14" s="508"/>
      <c r="B14" s="508"/>
      <c r="C14" s="508"/>
      <c r="D14" s="508"/>
      <c r="E14" s="508"/>
      <c r="F14" s="508"/>
      <c r="G14" s="508"/>
      <c r="H14" s="508"/>
      <c r="I14" s="508"/>
      <c r="J14" s="508"/>
      <c r="K14" s="508"/>
      <c r="L14" s="508"/>
      <c r="M14" s="508"/>
      <c r="N14" s="508"/>
      <c r="R14" s="209"/>
    </row>
    <row r="15" spans="1:20" x14ac:dyDescent="0.25">
      <c r="A15" s="508"/>
      <c r="B15" s="508"/>
      <c r="C15" s="508"/>
      <c r="D15" s="589" t="str">
        <f>'DS-CBGVNV-MN'!G3</f>
        <v>Nhập liệu!</v>
      </c>
      <c r="E15" s="508"/>
      <c r="F15" s="508"/>
      <c r="G15" s="508"/>
      <c r="H15" s="508"/>
      <c r="I15" s="590" t="str">
        <f>'DS-CBGVNV-TH'!G3</f>
        <v>Nhập liệu!</v>
      </c>
      <c r="J15" s="508"/>
      <c r="K15" s="508"/>
      <c r="L15" s="508"/>
      <c r="M15" s="508"/>
      <c r="N15" s="590" t="str">
        <f>'DS-CBGVNV-THCS'!G3</f>
        <v>Hoàn thành!</v>
      </c>
      <c r="P15" s="515" t="s">
        <v>883</v>
      </c>
    </row>
    <row r="16" spans="1:20" x14ac:dyDescent="0.25">
      <c r="A16" s="508"/>
      <c r="B16" s="508"/>
      <c r="C16" s="508"/>
      <c r="D16" s="589"/>
      <c r="E16" s="508"/>
      <c r="F16" s="508"/>
      <c r="G16" s="508"/>
      <c r="H16" s="508"/>
      <c r="I16" s="590"/>
      <c r="J16" s="508"/>
      <c r="K16" s="508"/>
      <c r="L16" s="508"/>
      <c r="M16" s="508"/>
      <c r="N16" s="590"/>
    </row>
    <row r="17" spans="1:19" ht="11.25" customHeight="1" x14ac:dyDescent="0.25">
      <c r="A17" s="508"/>
      <c r="B17" s="508"/>
      <c r="C17" s="508"/>
      <c r="D17" s="508"/>
      <c r="E17" s="508"/>
      <c r="F17" s="508"/>
      <c r="G17" s="508"/>
      <c r="H17" s="508"/>
      <c r="I17" s="508"/>
      <c r="J17" s="508"/>
      <c r="K17" s="508"/>
      <c r="L17" s="508"/>
      <c r="M17" s="508"/>
      <c r="N17" s="508"/>
    </row>
    <row r="18" spans="1:19" x14ac:dyDescent="0.25">
      <c r="A18" s="508"/>
      <c r="B18" s="508"/>
      <c r="C18" s="508"/>
      <c r="D18" s="589" t="str">
        <f>'TKe-CSVC-MN'!J3</f>
        <v>Nhập liệu!</v>
      </c>
      <c r="E18" s="508"/>
      <c r="F18" s="508"/>
      <c r="G18" s="508"/>
      <c r="H18" s="508"/>
      <c r="I18" s="590" t="str">
        <f>'TKe-CSVC'!G3</f>
        <v>Nhập liệu!</v>
      </c>
      <c r="J18" s="508"/>
      <c r="K18" s="508"/>
      <c r="L18" s="508"/>
      <c r="M18" s="508"/>
      <c r="N18" s="590" t="str">
        <f>'TKe-CSVC-THCS'!G3</f>
        <v>Hoàn thành!</v>
      </c>
      <c r="P18" s="522"/>
      <c r="Q18" s="522"/>
      <c r="R18" s="522"/>
      <c r="S18" s="522"/>
    </row>
    <row r="19" spans="1:19" x14ac:dyDescent="0.25">
      <c r="A19" s="508"/>
      <c r="B19" s="508"/>
      <c r="C19" s="508"/>
      <c r="D19" s="589"/>
      <c r="E19" s="508"/>
      <c r="F19" s="508"/>
      <c r="G19" s="508"/>
      <c r="H19" s="508"/>
      <c r="I19" s="590"/>
      <c r="J19" s="508"/>
      <c r="K19" s="508"/>
      <c r="L19" s="508"/>
      <c r="M19" s="508"/>
      <c r="N19" s="590"/>
      <c r="P19" s="536"/>
      <c r="R19" s="534"/>
      <c r="S19" s="534"/>
    </row>
    <row r="20" spans="1:19" ht="15.75" customHeight="1" x14ac:dyDescent="0.25">
      <c r="A20" s="508"/>
      <c r="B20" s="508"/>
      <c r="C20" s="509" t="str">
        <f>IF(AND(D9&lt;&gt;"",'TKe-CBGVNV-MN'!V1='TKe-CSVC-MN'!W1),"Có "&amp;'TKe-CBGVNV-MN'!V1 &amp;" Điểm tư thục!",IF(AND(D9&lt;&gt;"",'TKe-CBGVNV-MN'!V1&lt;&gt;'TKe-CSVC-MN'!W1),"Kiểm tra lại điểm tư thục!",""))</f>
        <v/>
      </c>
      <c r="D20" s="508"/>
      <c r="E20" s="508"/>
      <c r="F20" s="508"/>
      <c r="G20" s="508"/>
      <c r="H20" s="508"/>
      <c r="I20" s="508"/>
      <c r="J20" s="508"/>
      <c r="K20" s="508"/>
      <c r="L20" s="508"/>
      <c r="M20" s="508"/>
      <c r="N20" s="508"/>
      <c r="P20" s="537"/>
      <c r="R20" s="535"/>
      <c r="S20" s="535"/>
    </row>
    <row r="21" spans="1:19" x14ac:dyDescent="0.25">
      <c r="A21" s="508"/>
      <c r="B21" s="508"/>
      <c r="C21" s="508"/>
      <c r="D21" s="589" t="str">
        <f>'TKe HSMN'!M3</f>
        <v>Nhập liệu!</v>
      </c>
      <c r="E21" s="508"/>
      <c r="F21" s="508"/>
      <c r="G21" s="508"/>
      <c r="H21" s="508"/>
      <c r="I21" s="590" t="str">
        <f>'TKe HSTH'!M3</f>
        <v>Nhập liệu!</v>
      </c>
      <c r="J21" s="508"/>
      <c r="K21" s="508"/>
      <c r="L21" s="508"/>
      <c r="M21" s="508"/>
      <c r="N21" s="590" t="str">
        <f>'TKe HSTHCS'!M3</f>
        <v>Hoàn thành!</v>
      </c>
    </row>
    <row r="22" spans="1:19" x14ac:dyDescent="0.25">
      <c r="A22" s="508"/>
      <c r="B22" s="508"/>
      <c r="C22" s="508"/>
      <c r="D22" s="589"/>
      <c r="E22" s="508"/>
      <c r="F22" s="508"/>
      <c r="G22" s="508"/>
      <c r="H22" s="508"/>
      <c r="I22" s="590"/>
      <c r="J22" s="508"/>
      <c r="K22" s="508"/>
      <c r="L22" s="508"/>
      <c r="M22" s="508"/>
      <c r="N22" s="590"/>
    </row>
    <row r="23" spans="1:19" ht="10.5" customHeight="1" x14ac:dyDescent="0.25">
      <c r="A23" s="508"/>
      <c r="B23" s="508"/>
      <c r="C23" s="508"/>
      <c r="D23" s="508"/>
      <c r="E23" s="508"/>
      <c r="F23" s="508"/>
      <c r="G23" s="508"/>
      <c r="H23" s="508"/>
      <c r="I23" s="508"/>
      <c r="J23" s="508"/>
      <c r="K23" s="508"/>
      <c r="L23" s="508"/>
      <c r="M23" s="508"/>
      <c r="N23" s="508"/>
    </row>
    <row r="24" spans="1:19" x14ac:dyDescent="0.25">
      <c r="A24" s="508"/>
      <c r="B24" s="508"/>
      <c r="C24" s="508"/>
      <c r="D24" s="589" t="str">
        <f>IF($D$9&lt;&gt;"",'TKe-CBGVNV-MN'!I3,"Nhập liệu!")</f>
        <v>Nhập liệu!</v>
      </c>
      <c r="E24" s="508"/>
      <c r="F24" s="508"/>
      <c r="G24" s="508"/>
      <c r="H24" s="508"/>
      <c r="I24" s="590" t="str">
        <f>IF(I9&lt;&gt;"",'TKe-CBGVNV-TH'!$G$3,"Nhập liệu!")</f>
        <v>Nhập liệu!</v>
      </c>
      <c r="J24" s="508"/>
      <c r="K24" s="508"/>
      <c r="L24" s="508"/>
      <c r="M24" s="508"/>
      <c r="N24" s="590" t="str">
        <f>'TKe-CBGVNV-THCS'!G4</f>
        <v>Hoàn thành!</v>
      </c>
    </row>
    <row r="25" spans="1:19" x14ac:dyDescent="0.25">
      <c r="A25" s="508"/>
      <c r="B25" s="508"/>
      <c r="C25" s="508"/>
      <c r="D25" s="589"/>
      <c r="E25" s="508"/>
      <c r="F25" s="508"/>
      <c r="G25" s="508"/>
      <c r="H25" s="508"/>
      <c r="I25" s="590"/>
      <c r="J25" s="508"/>
      <c r="K25" s="508"/>
      <c r="L25" s="508"/>
      <c r="M25" s="508"/>
      <c r="N25" s="590"/>
    </row>
    <row r="26" spans="1:19" ht="18" customHeight="1" x14ac:dyDescent="0.25">
      <c r="A26" s="508"/>
      <c r="B26" s="508"/>
      <c r="C26" s="509" t="str">
        <f>IF(AND(D9&lt;&gt;"",'TKe-CBGVNV-MN'!V1='TKe-CSVC-MN'!W1),"Có "&amp;'TKe-CBGVNV-MN'!V1 &amp;" Điểm tư thục!",IF(AND(D9&lt;&gt;"",'TKe-CBGVNV-MN'!V1&lt;&gt;'TKe-CSVC-MN'!W1),"Kiểm tra lại điểm tư thục!",""))</f>
        <v/>
      </c>
      <c r="D26" s="508"/>
      <c r="E26" s="508"/>
      <c r="F26" s="508"/>
      <c r="G26" s="508"/>
      <c r="H26" s="508"/>
      <c r="I26" s="508"/>
      <c r="J26" s="508"/>
      <c r="K26" s="508"/>
      <c r="L26" s="508"/>
      <c r="M26" s="508"/>
      <c r="N26" s="508"/>
    </row>
    <row r="27" spans="1:19" x14ac:dyDescent="0.25">
      <c r="A27" s="508"/>
      <c r="B27" s="508"/>
      <c r="C27" s="508"/>
      <c r="D27" s="589" t="str">
        <f>IF(AND(D9&lt;&gt;"",TuoiMN!K2="Hoàn thành!"),"Hoàn thành!",IF(AND(D9&lt;&gt;"",TuoiMN!K2="Còn lỗi!"),"Còn lỗi!","Nhập liệu!"))</f>
        <v>Nhập liệu!</v>
      </c>
      <c r="E27" s="508"/>
      <c r="F27" s="508"/>
      <c r="G27" s="508"/>
      <c r="H27" s="508"/>
      <c r="I27" s="590" t="str">
        <f>IF(AND(I9&lt;&gt;"",TuoiTH!M2="Hoàn thành!"),"Hoàn thành!",IF(AND(I9&lt;&gt;"",TuoiTH!M2="Còn lỗi!"),"Còn lỗi!","Nhập liệu!"))</f>
        <v>Nhập liệu!</v>
      </c>
      <c r="J27" s="508"/>
      <c r="K27" s="508"/>
      <c r="L27" s="508"/>
      <c r="M27" s="508"/>
      <c r="N27" s="590" t="str">
        <f>IF(AND($N$9&lt;&gt;"",TuoiTHCS!L2="Hoàn thành!"),"Hoàn thành!",IF(AND($N$9&lt;&gt;"",TuoiTHCS!L2="Còn lỗi!"),"Còn lỗi!","Nhập liệu!"))</f>
        <v>Hoàn thành!</v>
      </c>
    </row>
    <row r="28" spans="1:19" x14ac:dyDescent="0.25">
      <c r="A28" s="508"/>
      <c r="B28" s="508"/>
      <c r="C28" s="508"/>
      <c r="D28" s="589"/>
      <c r="E28" s="508"/>
      <c r="F28" s="508"/>
      <c r="G28" s="508"/>
      <c r="H28" s="508"/>
      <c r="I28" s="590"/>
      <c r="J28" s="508"/>
      <c r="K28" s="508"/>
      <c r="L28" s="508"/>
      <c r="M28" s="508"/>
      <c r="N28" s="590"/>
    </row>
    <row r="29" spans="1:19" x14ac:dyDescent="0.25">
      <c r="A29" s="508"/>
      <c r="B29" s="508"/>
      <c r="C29" s="508"/>
      <c r="D29" s="508"/>
      <c r="E29" s="508"/>
      <c r="F29" s="508"/>
      <c r="G29" s="508"/>
      <c r="H29" s="508"/>
      <c r="I29" s="508"/>
      <c r="J29" s="508"/>
      <c r="K29" s="508"/>
      <c r="L29" s="508"/>
      <c r="M29" s="508"/>
      <c r="N29" s="508"/>
    </row>
    <row r="30" spans="1:19" ht="10.5" customHeight="1" x14ac:dyDescent="0.25">
      <c r="A30" s="508"/>
      <c r="B30" s="508"/>
      <c r="C30" s="508"/>
      <c r="D30" s="508"/>
      <c r="E30" s="508"/>
      <c r="F30" s="508"/>
      <c r="G30" s="508"/>
      <c r="H30" s="508"/>
      <c r="I30" s="508"/>
      <c r="J30" s="508"/>
      <c r="K30" s="508"/>
      <c r="L30" s="508"/>
      <c r="M30" s="508"/>
      <c r="N30" s="508"/>
    </row>
    <row r="31" spans="1:19" x14ac:dyDescent="0.25">
      <c r="A31" s="508"/>
      <c r="B31" s="508"/>
      <c r="C31" s="508"/>
      <c r="D31" s="508"/>
      <c r="E31" s="508"/>
      <c r="F31" s="508"/>
      <c r="G31" s="508"/>
      <c r="H31" s="508"/>
      <c r="I31" s="591" t="str">
        <f>IF(I9&lt;&gt;"",BH!N2,"Nhập liệu!")</f>
        <v>Nhập liệu!</v>
      </c>
      <c r="J31" s="508"/>
      <c r="K31" s="508"/>
      <c r="L31" s="508"/>
      <c r="M31" s="508"/>
      <c r="N31" s="591" t="str">
        <f>IF(N9&lt;&gt;"",BH!N2,"Nhập liệu!")</f>
        <v>Không có HS Chuyển đi(hoặc Bỏ học)</v>
      </c>
    </row>
    <row r="32" spans="1:19" ht="19.5" customHeight="1" x14ac:dyDescent="0.25">
      <c r="A32" s="508"/>
      <c r="B32" s="508"/>
      <c r="C32" s="508"/>
      <c r="D32" s="508"/>
      <c r="E32" s="508"/>
      <c r="F32" s="508"/>
      <c r="G32" s="508"/>
      <c r="H32" s="508"/>
      <c r="I32" s="591"/>
      <c r="J32" s="508"/>
      <c r="K32" s="508"/>
      <c r="L32" s="508"/>
      <c r="M32" s="508"/>
      <c r="N32" s="591"/>
    </row>
    <row r="33" spans="1:14" ht="11.25" customHeight="1" x14ac:dyDescent="0.25">
      <c r="A33" s="508"/>
      <c r="B33" s="508"/>
      <c r="C33" s="508"/>
      <c r="D33" s="508"/>
      <c r="E33" s="508"/>
      <c r="F33" s="508"/>
      <c r="G33" s="508"/>
      <c r="H33" s="508"/>
      <c r="I33" s="508"/>
      <c r="J33" s="508"/>
      <c r="K33" s="508"/>
      <c r="L33" s="508"/>
      <c r="M33" s="508"/>
      <c r="N33" s="508"/>
    </row>
    <row r="34" spans="1:14" ht="16.5" x14ac:dyDescent="0.25">
      <c r="A34" s="510"/>
      <c r="B34" s="510"/>
      <c r="C34" s="510"/>
      <c r="D34" s="510"/>
      <c r="E34" s="510"/>
      <c r="F34" s="510"/>
      <c r="G34" s="511"/>
      <c r="H34" s="512"/>
      <c r="I34" s="510"/>
      <c r="J34" s="510"/>
      <c r="K34" s="510"/>
      <c r="L34" s="513" t="s">
        <v>367</v>
      </c>
      <c r="M34" s="510"/>
      <c r="N34" s="510"/>
    </row>
    <row r="35" spans="1:14" x14ac:dyDescent="0.25">
      <c r="A35" s="510"/>
      <c r="B35" s="510"/>
      <c r="C35" s="512" t="s">
        <v>319</v>
      </c>
      <c r="D35" s="510"/>
      <c r="E35" s="510"/>
      <c r="F35" s="510"/>
      <c r="G35" s="512"/>
      <c r="H35" s="510"/>
      <c r="I35" s="510"/>
      <c r="J35" s="510"/>
      <c r="K35" s="510"/>
      <c r="L35" s="512" t="s">
        <v>296</v>
      </c>
      <c r="M35" s="510"/>
      <c r="N35" s="510"/>
    </row>
    <row r="36" spans="1:14" x14ac:dyDescent="0.25">
      <c r="A36" s="510"/>
      <c r="B36" s="510"/>
      <c r="C36" s="510"/>
      <c r="D36" s="510"/>
      <c r="E36" s="510"/>
      <c r="F36" s="510"/>
      <c r="G36" s="511"/>
      <c r="H36" s="510"/>
      <c r="I36" s="510"/>
      <c r="J36" s="510"/>
      <c r="K36" s="510"/>
      <c r="L36" s="510"/>
      <c r="M36" s="510"/>
      <c r="N36" s="510"/>
    </row>
    <row r="37" spans="1:14" x14ac:dyDescent="0.25">
      <c r="A37" s="510"/>
      <c r="B37" s="510"/>
      <c r="C37" s="512" t="s">
        <v>365</v>
      </c>
      <c r="D37" s="514"/>
      <c r="E37" s="514"/>
      <c r="F37" s="514"/>
      <c r="G37" s="514"/>
      <c r="H37" s="514"/>
      <c r="I37" s="514"/>
      <c r="J37" s="514"/>
      <c r="K37" s="514"/>
      <c r="L37" s="512" t="s">
        <v>366</v>
      </c>
      <c r="M37" s="514"/>
      <c r="N37" s="510"/>
    </row>
    <row r="38" spans="1:14" x14ac:dyDescent="0.25">
      <c r="A38" s="209"/>
      <c r="B38" s="209"/>
      <c r="C38" s="209"/>
      <c r="D38" s="209"/>
      <c r="E38" s="209"/>
      <c r="F38" s="209"/>
      <c r="G38" s="209"/>
      <c r="H38" s="209"/>
      <c r="I38" s="209"/>
      <c r="J38" s="209"/>
      <c r="K38" s="209"/>
      <c r="L38" s="209"/>
      <c r="M38" s="209"/>
      <c r="N38" s="209"/>
    </row>
  </sheetData>
  <sheetProtection algorithmName="SHA-512" hashValue="MVFz1vujmYTWRvoSrvwUogWVl+VXMsPFpbb3ppxEYqeQkfJdLvxh6na7c4vY9+UxBeUpW/VfniZam1HZ8VlFmQ==" saltValue="pP//WNwHilhOVI+04L3o0g==" spinCount="100000" sheet="1" formatCells="0" formatColumns="0" formatRows="0"/>
  <mergeCells count="27">
    <mergeCell ref="N27:N28"/>
    <mergeCell ref="I31:I32"/>
    <mergeCell ref="N12:N13"/>
    <mergeCell ref="N15:N16"/>
    <mergeCell ref="N18:N19"/>
    <mergeCell ref="N21:N22"/>
    <mergeCell ref="N24:N25"/>
    <mergeCell ref="I27:I28"/>
    <mergeCell ref="I12:I13"/>
    <mergeCell ref="I15:I16"/>
    <mergeCell ref="I18:I19"/>
    <mergeCell ref="I21:I22"/>
    <mergeCell ref="I24:I25"/>
    <mergeCell ref="N31:N32"/>
    <mergeCell ref="D27:D28"/>
    <mergeCell ref="D12:D13"/>
    <mergeCell ref="D15:D16"/>
    <mergeCell ref="D18:D19"/>
    <mergeCell ref="D21:D22"/>
    <mergeCell ref="D24:D25"/>
    <mergeCell ref="A1:F1"/>
    <mergeCell ref="A2:F2"/>
    <mergeCell ref="A4:N4"/>
    <mergeCell ref="H5:I5"/>
    <mergeCell ref="D9:D10"/>
    <mergeCell ref="N9:N10"/>
    <mergeCell ref="I9:I10"/>
  </mergeCells>
  <conditionalFormatting sqref="H5">
    <cfRule type="cellIs" dxfId="113" priority="57" stopIfTrue="1" operator="between">
      <formula>""</formula>
      <formula>""</formula>
    </cfRule>
  </conditionalFormatting>
  <conditionalFormatting sqref="L37 C37">
    <cfRule type="cellIs" dxfId="112" priority="56" stopIfTrue="1" operator="between">
      <formula>""</formula>
      <formula>""</formula>
    </cfRule>
  </conditionalFormatting>
  <conditionalFormatting sqref="D12:D13 D15:D16 D18:D19 D21:D22 D24:D25 D27:D28 I12:I13 I15:I16 I18:I19 I21:I22 I24:I25 I27:I28 N12:N13 N15:N16 N18:N19 N21:N22 N24:N25 N27:N28 I31:I32 N31:N32">
    <cfRule type="cellIs" dxfId="111" priority="54" stopIfTrue="1" operator="between">
      <formula>"Nhập liệu!"</formula>
      <formula>"Nhập liệu!"</formula>
    </cfRule>
    <cfRule type="cellIs" dxfId="110" priority="55" stopIfTrue="1" operator="between">
      <formula>"Hoàn thành!"</formula>
      <formula>"Hoàn thành!"</formula>
    </cfRule>
  </conditionalFormatting>
  <conditionalFormatting sqref="L37 C37">
    <cfRule type="cellIs" dxfId="109" priority="43" stopIfTrue="1" operator="between">
      <formula>"…………."</formula>
      <formula>"…………."</formula>
    </cfRule>
  </conditionalFormatting>
  <conditionalFormatting sqref="F7 K7 A7">
    <cfRule type="cellIs" dxfId="108" priority="21" stopIfTrue="1" operator="between">
      <formula>"Chốt số liệu!"</formula>
      <formula>"Chốt số liệu!"</formula>
    </cfRule>
  </conditionalFormatting>
  <conditionalFormatting sqref="F7">
    <cfRule type="cellIs" dxfId="107" priority="2" operator="between">
      <formula>"Chưa hoàn thành!"</formula>
      <formula>"Chưa hoàn thành!"</formula>
    </cfRule>
  </conditionalFormatting>
  <conditionalFormatting sqref="A2:F2">
    <cfRule type="cellIs" dxfId="106" priority="1" operator="between">
      <formula>0</formula>
      <formula>0</formula>
    </cfRule>
  </conditionalFormatting>
  <dataValidations count="2">
    <dataValidation type="list" allowBlank="1" showInputMessage="1" showErrorMessage="1" sqref="A2">
      <formula1>Truong</formula1>
    </dataValidation>
    <dataValidation type="list" allowBlank="1" showInputMessage="1" showErrorMessage="1" sqref="H5:I5">
      <formula1>"2021-2022,2022-2023,2023-2024,2024-2025,2025-2026,2026-2027,2027-2028,2028-2029,2029-2030"</formula1>
    </dataValidation>
  </dataValidations>
  <pageMargins left="0.2" right="0.2" top="0.2" bottom="0.2" header="0.2" footer="0.2"/>
  <pageSetup paperSize="9"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C3399"/>
  </sheetPr>
  <dimension ref="A1:X32"/>
  <sheetViews>
    <sheetView showGridLines="0" workbookViewId="0">
      <pane xSplit="22" ySplit="8" topLeftCell="W9" activePane="bottomRight" state="frozen"/>
      <selection pane="topRight" activeCell="W1" sqref="W1"/>
      <selection pane="bottomLeft" activeCell="A9" sqref="A9"/>
      <selection pane="bottomRight" activeCell="A11" sqref="A11:B11"/>
    </sheetView>
  </sheetViews>
  <sheetFormatPr defaultRowHeight="12.75" customHeight="1" x14ac:dyDescent="0.2"/>
  <cols>
    <col min="1" max="1" width="3.75" style="129" customWidth="1"/>
    <col min="2" max="2" width="18.375" style="129" customWidth="1"/>
    <col min="3" max="3" width="6.375" style="129" customWidth="1"/>
    <col min="4" max="4" width="5.75" style="129" customWidth="1"/>
    <col min="5" max="5" width="6.25" style="129" customWidth="1"/>
    <col min="6" max="6" width="7.875" style="129" customWidth="1"/>
    <col min="7" max="7" width="5.375" style="129" customWidth="1"/>
    <col min="8" max="10" width="6.375" style="129" customWidth="1"/>
    <col min="11" max="11" width="5.375" style="129" customWidth="1"/>
    <col min="12" max="12" width="5.75" style="129" customWidth="1"/>
    <col min="13" max="13" width="5.625" style="129" customWidth="1"/>
    <col min="14" max="14" width="6.375" style="129" customWidth="1"/>
    <col min="15" max="15" width="6.5" style="129" customWidth="1"/>
    <col min="16" max="16" width="5.375" style="129" customWidth="1"/>
    <col min="17" max="17" width="7.25" style="129" customWidth="1"/>
    <col min="18" max="18" width="6.375" style="129" customWidth="1"/>
    <col min="19" max="20" width="5.375" style="129" customWidth="1"/>
    <col min="21" max="21" width="6" style="144" customWidth="1"/>
    <col min="22" max="22" width="3.625" style="148" hidden="1" customWidth="1"/>
    <col min="23" max="23" width="15.5" style="144" customWidth="1"/>
    <col min="24" max="256" width="9" style="144"/>
    <col min="257" max="257" width="4.375" style="144" customWidth="1"/>
    <col min="258" max="258" width="14.75" style="144" customWidth="1"/>
    <col min="259" max="263" width="6.375" style="144" customWidth="1"/>
    <col min="264" max="264" width="5.75" style="144" customWidth="1"/>
    <col min="265" max="267" width="6.375" style="144" customWidth="1"/>
    <col min="268" max="268" width="6.5" style="144" customWidth="1"/>
    <col min="269" max="276" width="6.375" style="144" customWidth="1"/>
    <col min="277" max="277" width="6" style="144" customWidth="1"/>
    <col min="278" max="278" width="0" style="144" hidden="1" customWidth="1"/>
    <col min="279" max="279" width="15.5" style="144" customWidth="1"/>
    <col min="280" max="512" width="9" style="144"/>
    <col min="513" max="513" width="4.375" style="144" customWidth="1"/>
    <col min="514" max="514" width="14.75" style="144" customWidth="1"/>
    <col min="515" max="519" width="6.375" style="144" customWidth="1"/>
    <col min="520" max="520" width="5.75" style="144" customWidth="1"/>
    <col min="521" max="523" width="6.375" style="144" customWidth="1"/>
    <col min="524" max="524" width="6.5" style="144" customWidth="1"/>
    <col min="525" max="532" width="6.375" style="144" customWidth="1"/>
    <col min="533" max="533" width="6" style="144" customWidth="1"/>
    <col min="534" max="534" width="0" style="144" hidden="1" customWidth="1"/>
    <col min="535" max="535" width="15.5" style="144" customWidth="1"/>
    <col min="536" max="768" width="9" style="144"/>
    <col min="769" max="769" width="4.375" style="144" customWidth="1"/>
    <col min="770" max="770" width="14.75" style="144" customWidth="1"/>
    <col min="771" max="775" width="6.375" style="144" customWidth="1"/>
    <col min="776" max="776" width="5.75" style="144" customWidth="1"/>
    <col min="777" max="779" width="6.375" style="144" customWidth="1"/>
    <col min="780" max="780" width="6.5" style="144" customWidth="1"/>
    <col min="781" max="788" width="6.375" style="144" customWidth="1"/>
    <col min="789" max="789" width="6" style="144" customWidth="1"/>
    <col min="790" max="790" width="0" style="144" hidden="1" customWidth="1"/>
    <col min="791" max="791" width="15.5" style="144" customWidth="1"/>
    <col min="792" max="1024" width="9" style="144"/>
    <col min="1025" max="1025" width="4.375" style="144" customWidth="1"/>
    <col min="1026" max="1026" width="14.75" style="144" customWidth="1"/>
    <col min="1027" max="1031" width="6.375" style="144" customWidth="1"/>
    <col min="1032" max="1032" width="5.75" style="144" customWidth="1"/>
    <col min="1033" max="1035" width="6.375" style="144" customWidth="1"/>
    <col min="1036" max="1036" width="6.5" style="144" customWidth="1"/>
    <col min="1037" max="1044" width="6.375" style="144" customWidth="1"/>
    <col min="1045" max="1045" width="6" style="144" customWidth="1"/>
    <col min="1046" max="1046" width="0" style="144" hidden="1" customWidth="1"/>
    <col min="1047" max="1047" width="15.5" style="144" customWidth="1"/>
    <col min="1048" max="1280" width="9" style="144"/>
    <col min="1281" max="1281" width="4.375" style="144" customWidth="1"/>
    <col min="1282" max="1282" width="14.75" style="144" customWidth="1"/>
    <col min="1283" max="1287" width="6.375" style="144" customWidth="1"/>
    <col min="1288" max="1288" width="5.75" style="144" customWidth="1"/>
    <col min="1289" max="1291" width="6.375" style="144" customWidth="1"/>
    <col min="1292" max="1292" width="6.5" style="144" customWidth="1"/>
    <col min="1293" max="1300" width="6.375" style="144" customWidth="1"/>
    <col min="1301" max="1301" width="6" style="144" customWidth="1"/>
    <col min="1302" max="1302" width="0" style="144" hidden="1" customWidth="1"/>
    <col min="1303" max="1303" width="15.5" style="144" customWidth="1"/>
    <col min="1304" max="1536" width="9" style="144"/>
    <col min="1537" max="1537" width="4.375" style="144" customWidth="1"/>
    <col min="1538" max="1538" width="14.75" style="144" customWidth="1"/>
    <col min="1539" max="1543" width="6.375" style="144" customWidth="1"/>
    <col min="1544" max="1544" width="5.75" style="144" customWidth="1"/>
    <col min="1545" max="1547" width="6.375" style="144" customWidth="1"/>
    <col min="1548" max="1548" width="6.5" style="144" customWidth="1"/>
    <col min="1549" max="1556" width="6.375" style="144" customWidth="1"/>
    <col min="1557" max="1557" width="6" style="144" customWidth="1"/>
    <col min="1558" max="1558" width="0" style="144" hidden="1" customWidth="1"/>
    <col min="1559" max="1559" width="15.5" style="144" customWidth="1"/>
    <col min="1560" max="1792" width="9" style="144"/>
    <col min="1793" max="1793" width="4.375" style="144" customWidth="1"/>
    <col min="1794" max="1794" width="14.75" style="144" customWidth="1"/>
    <col min="1795" max="1799" width="6.375" style="144" customWidth="1"/>
    <col min="1800" max="1800" width="5.75" style="144" customWidth="1"/>
    <col min="1801" max="1803" width="6.375" style="144" customWidth="1"/>
    <col min="1804" max="1804" width="6.5" style="144" customWidth="1"/>
    <col min="1805" max="1812" width="6.375" style="144" customWidth="1"/>
    <col min="1813" max="1813" width="6" style="144" customWidth="1"/>
    <col min="1814" max="1814" width="0" style="144" hidden="1" customWidth="1"/>
    <col min="1815" max="1815" width="15.5" style="144" customWidth="1"/>
    <col min="1816" max="2048" width="9" style="144"/>
    <col min="2049" max="2049" width="4.375" style="144" customWidth="1"/>
    <col min="2050" max="2050" width="14.75" style="144" customWidth="1"/>
    <col min="2051" max="2055" width="6.375" style="144" customWidth="1"/>
    <col min="2056" max="2056" width="5.75" style="144" customWidth="1"/>
    <col min="2057" max="2059" width="6.375" style="144" customWidth="1"/>
    <col min="2060" max="2060" width="6.5" style="144" customWidth="1"/>
    <col min="2061" max="2068" width="6.375" style="144" customWidth="1"/>
    <col min="2069" max="2069" width="6" style="144" customWidth="1"/>
    <col min="2070" max="2070" width="0" style="144" hidden="1" customWidth="1"/>
    <col min="2071" max="2071" width="15.5" style="144" customWidth="1"/>
    <col min="2072" max="2304" width="9" style="144"/>
    <col min="2305" max="2305" width="4.375" style="144" customWidth="1"/>
    <col min="2306" max="2306" width="14.75" style="144" customWidth="1"/>
    <col min="2307" max="2311" width="6.375" style="144" customWidth="1"/>
    <col min="2312" max="2312" width="5.75" style="144" customWidth="1"/>
    <col min="2313" max="2315" width="6.375" style="144" customWidth="1"/>
    <col min="2316" max="2316" width="6.5" style="144" customWidth="1"/>
    <col min="2317" max="2324" width="6.375" style="144" customWidth="1"/>
    <col min="2325" max="2325" width="6" style="144" customWidth="1"/>
    <col min="2326" max="2326" width="0" style="144" hidden="1" customWidth="1"/>
    <col min="2327" max="2327" width="15.5" style="144" customWidth="1"/>
    <col min="2328" max="2560" width="9" style="144"/>
    <col min="2561" max="2561" width="4.375" style="144" customWidth="1"/>
    <col min="2562" max="2562" width="14.75" style="144" customWidth="1"/>
    <col min="2563" max="2567" width="6.375" style="144" customWidth="1"/>
    <col min="2568" max="2568" width="5.75" style="144" customWidth="1"/>
    <col min="2569" max="2571" width="6.375" style="144" customWidth="1"/>
    <col min="2572" max="2572" width="6.5" style="144" customWidth="1"/>
    <col min="2573" max="2580" width="6.375" style="144" customWidth="1"/>
    <col min="2581" max="2581" width="6" style="144" customWidth="1"/>
    <col min="2582" max="2582" width="0" style="144" hidden="1" customWidth="1"/>
    <col min="2583" max="2583" width="15.5" style="144" customWidth="1"/>
    <col min="2584" max="2816" width="9" style="144"/>
    <col min="2817" max="2817" width="4.375" style="144" customWidth="1"/>
    <col min="2818" max="2818" width="14.75" style="144" customWidth="1"/>
    <col min="2819" max="2823" width="6.375" style="144" customWidth="1"/>
    <col min="2824" max="2824" width="5.75" style="144" customWidth="1"/>
    <col min="2825" max="2827" width="6.375" style="144" customWidth="1"/>
    <col min="2828" max="2828" width="6.5" style="144" customWidth="1"/>
    <col min="2829" max="2836" width="6.375" style="144" customWidth="1"/>
    <col min="2837" max="2837" width="6" style="144" customWidth="1"/>
    <col min="2838" max="2838" width="0" style="144" hidden="1" customWidth="1"/>
    <col min="2839" max="2839" width="15.5" style="144" customWidth="1"/>
    <col min="2840" max="3072" width="9" style="144"/>
    <col min="3073" max="3073" width="4.375" style="144" customWidth="1"/>
    <col min="3074" max="3074" width="14.75" style="144" customWidth="1"/>
    <col min="3075" max="3079" width="6.375" style="144" customWidth="1"/>
    <col min="3080" max="3080" width="5.75" style="144" customWidth="1"/>
    <col min="3081" max="3083" width="6.375" style="144" customWidth="1"/>
    <col min="3084" max="3084" width="6.5" style="144" customWidth="1"/>
    <col min="3085" max="3092" width="6.375" style="144" customWidth="1"/>
    <col min="3093" max="3093" width="6" style="144" customWidth="1"/>
    <col min="3094" max="3094" width="0" style="144" hidden="1" customWidth="1"/>
    <col min="3095" max="3095" width="15.5" style="144" customWidth="1"/>
    <col min="3096" max="3328" width="9" style="144"/>
    <col min="3329" max="3329" width="4.375" style="144" customWidth="1"/>
    <col min="3330" max="3330" width="14.75" style="144" customWidth="1"/>
    <col min="3331" max="3335" width="6.375" style="144" customWidth="1"/>
    <col min="3336" max="3336" width="5.75" style="144" customWidth="1"/>
    <col min="3337" max="3339" width="6.375" style="144" customWidth="1"/>
    <col min="3340" max="3340" width="6.5" style="144" customWidth="1"/>
    <col min="3341" max="3348" width="6.375" style="144" customWidth="1"/>
    <col min="3349" max="3349" width="6" style="144" customWidth="1"/>
    <col min="3350" max="3350" width="0" style="144" hidden="1" customWidth="1"/>
    <col min="3351" max="3351" width="15.5" style="144" customWidth="1"/>
    <col min="3352" max="3584" width="9" style="144"/>
    <col min="3585" max="3585" width="4.375" style="144" customWidth="1"/>
    <col min="3586" max="3586" width="14.75" style="144" customWidth="1"/>
    <col min="3587" max="3591" width="6.375" style="144" customWidth="1"/>
    <col min="3592" max="3592" width="5.75" style="144" customWidth="1"/>
    <col min="3593" max="3595" width="6.375" style="144" customWidth="1"/>
    <col min="3596" max="3596" width="6.5" style="144" customWidth="1"/>
    <col min="3597" max="3604" width="6.375" style="144" customWidth="1"/>
    <col min="3605" max="3605" width="6" style="144" customWidth="1"/>
    <col min="3606" max="3606" width="0" style="144" hidden="1" customWidth="1"/>
    <col min="3607" max="3607" width="15.5" style="144" customWidth="1"/>
    <col min="3608" max="3840" width="9" style="144"/>
    <col min="3841" max="3841" width="4.375" style="144" customWidth="1"/>
    <col min="3842" max="3842" width="14.75" style="144" customWidth="1"/>
    <col min="3843" max="3847" width="6.375" style="144" customWidth="1"/>
    <col min="3848" max="3848" width="5.75" style="144" customWidth="1"/>
    <col min="3849" max="3851" width="6.375" style="144" customWidth="1"/>
    <col min="3852" max="3852" width="6.5" style="144" customWidth="1"/>
    <col min="3853" max="3860" width="6.375" style="144" customWidth="1"/>
    <col min="3861" max="3861" width="6" style="144" customWidth="1"/>
    <col min="3862" max="3862" width="0" style="144" hidden="1" customWidth="1"/>
    <col min="3863" max="3863" width="15.5" style="144" customWidth="1"/>
    <col min="3864" max="4096" width="9" style="144"/>
    <col min="4097" max="4097" width="4.375" style="144" customWidth="1"/>
    <col min="4098" max="4098" width="14.75" style="144" customWidth="1"/>
    <col min="4099" max="4103" width="6.375" style="144" customWidth="1"/>
    <col min="4104" max="4104" width="5.75" style="144" customWidth="1"/>
    <col min="4105" max="4107" width="6.375" style="144" customWidth="1"/>
    <col min="4108" max="4108" width="6.5" style="144" customWidth="1"/>
    <col min="4109" max="4116" width="6.375" style="144" customWidth="1"/>
    <col min="4117" max="4117" width="6" style="144" customWidth="1"/>
    <col min="4118" max="4118" width="0" style="144" hidden="1" customWidth="1"/>
    <col min="4119" max="4119" width="15.5" style="144" customWidth="1"/>
    <col min="4120" max="4352" width="9" style="144"/>
    <col min="4353" max="4353" width="4.375" style="144" customWidth="1"/>
    <col min="4354" max="4354" width="14.75" style="144" customWidth="1"/>
    <col min="4355" max="4359" width="6.375" style="144" customWidth="1"/>
    <col min="4360" max="4360" width="5.75" style="144" customWidth="1"/>
    <col min="4361" max="4363" width="6.375" style="144" customWidth="1"/>
    <col min="4364" max="4364" width="6.5" style="144" customWidth="1"/>
    <col min="4365" max="4372" width="6.375" style="144" customWidth="1"/>
    <col min="4373" max="4373" width="6" style="144" customWidth="1"/>
    <col min="4374" max="4374" width="0" style="144" hidden="1" customWidth="1"/>
    <col min="4375" max="4375" width="15.5" style="144" customWidth="1"/>
    <col min="4376" max="4608" width="9" style="144"/>
    <col min="4609" max="4609" width="4.375" style="144" customWidth="1"/>
    <col min="4610" max="4610" width="14.75" style="144" customWidth="1"/>
    <col min="4611" max="4615" width="6.375" style="144" customWidth="1"/>
    <col min="4616" max="4616" width="5.75" style="144" customWidth="1"/>
    <col min="4617" max="4619" width="6.375" style="144" customWidth="1"/>
    <col min="4620" max="4620" width="6.5" style="144" customWidth="1"/>
    <col min="4621" max="4628" width="6.375" style="144" customWidth="1"/>
    <col min="4629" max="4629" width="6" style="144" customWidth="1"/>
    <col min="4630" max="4630" width="0" style="144" hidden="1" customWidth="1"/>
    <col min="4631" max="4631" width="15.5" style="144" customWidth="1"/>
    <col min="4632" max="4864" width="9" style="144"/>
    <col min="4865" max="4865" width="4.375" style="144" customWidth="1"/>
    <col min="4866" max="4866" width="14.75" style="144" customWidth="1"/>
    <col min="4867" max="4871" width="6.375" style="144" customWidth="1"/>
    <col min="4872" max="4872" width="5.75" style="144" customWidth="1"/>
    <col min="4873" max="4875" width="6.375" style="144" customWidth="1"/>
    <col min="4876" max="4876" width="6.5" style="144" customWidth="1"/>
    <col min="4877" max="4884" width="6.375" style="144" customWidth="1"/>
    <col min="4885" max="4885" width="6" style="144" customWidth="1"/>
    <col min="4886" max="4886" width="0" style="144" hidden="1" customWidth="1"/>
    <col min="4887" max="4887" width="15.5" style="144" customWidth="1"/>
    <col min="4888" max="5120" width="9" style="144"/>
    <col min="5121" max="5121" width="4.375" style="144" customWidth="1"/>
    <col min="5122" max="5122" width="14.75" style="144" customWidth="1"/>
    <col min="5123" max="5127" width="6.375" style="144" customWidth="1"/>
    <col min="5128" max="5128" width="5.75" style="144" customWidth="1"/>
    <col min="5129" max="5131" width="6.375" style="144" customWidth="1"/>
    <col min="5132" max="5132" width="6.5" style="144" customWidth="1"/>
    <col min="5133" max="5140" width="6.375" style="144" customWidth="1"/>
    <col min="5141" max="5141" width="6" style="144" customWidth="1"/>
    <col min="5142" max="5142" width="0" style="144" hidden="1" customWidth="1"/>
    <col min="5143" max="5143" width="15.5" style="144" customWidth="1"/>
    <col min="5144" max="5376" width="9" style="144"/>
    <col min="5377" max="5377" width="4.375" style="144" customWidth="1"/>
    <col min="5378" max="5378" width="14.75" style="144" customWidth="1"/>
    <col min="5379" max="5383" width="6.375" style="144" customWidth="1"/>
    <col min="5384" max="5384" width="5.75" style="144" customWidth="1"/>
    <col min="5385" max="5387" width="6.375" style="144" customWidth="1"/>
    <col min="5388" max="5388" width="6.5" style="144" customWidth="1"/>
    <col min="5389" max="5396" width="6.375" style="144" customWidth="1"/>
    <col min="5397" max="5397" width="6" style="144" customWidth="1"/>
    <col min="5398" max="5398" width="0" style="144" hidden="1" customWidth="1"/>
    <col min="5399" max="5399" width="15.5" style="144" customWidth="1"/>
    <col min="5400" max="5632" width="9" style="144"/>
    <col min="5633" max="5633" width="4.375" style="144" customWidth="1"/>
    <col min="5634" max="5634" width="14.75" style="144" customWidth="1"/>
    <col min="5635" max="5639" width="6.375" style="144" customWidth="1"/>
    <col min="5640" max="5640" width="5.75" style="144" customWidth="1"/>
    <col min="5641" max="5643" width="6.375" style="144" customWidth="1"/>
    <col min="5644" max="5644" width="6.5" style="144" customWidth="1"/>
    <col min="5645" max="5652" width="6.375" style="144" customWidth="1"/>
    <col min="5653" max="5653" width="6" style="144" customWidth="1"/>
    <col min="5654" max="5654" width="0" style="144" hidden="1" customWidth="1"/>
    <col min="5655" max="5655" width="15.5" style="144" customWidth="1"/>
    <col min="5656" max="5888" width="9" style="144"/>
    <col min="5889" max="5889" width="4.375" style="144" customWidth="1"/>
    <col min="5890" max="5890" width="14.75" style="144" customWidth="1"/>
    <col min="5891" max="5895" width="6.375" style="144" customWidth="1"/>
    <col min="5896" max="5896" width="5.75" style="144" customWidth="1"/>
    <col min="5897" max="5899" width="6.375" style="144" customWidth="1"/>
    <col min="5900" max="5900" width="6.5" style="144" customWidth="1"/>
    <col min="5901" max="5908" width="6.375" style="144" customWidth="1"/>
    <col min="5909" max="5909" width="6" style="144" customWidth="1"/>
    <col min="5910" max="5910" width="0" style="144" hidden="1" customWidth="1"/>
    <col min="5911" max="5911" width="15.5" style="144" customWidth="1"/>
    <col min="5912" max="6144" width="9" style="144"/>
    <col min="6145" max="6145" width="4.375" style="144" customWidth="1"/>
    <col min="6146" max="6146" width="14.75" style="144" customWidth="1"/>
    <col min="6147" max="6151" width="6.375" style="144" customWidth="1"/>
    <col min="6152" max="6152" width="5.75" style="144" customWidth="1"/>
    <col min="6153" max="6155" width="6.375" style="144" customWidth="1"/>
    <col min="6156" max="6156" width="6.5" style="144" customWidth="1"/>
    <col min="6157" max="6164" width="6.375" style="144" customWidth="1"/>
    <col min="6165" max="6165" width="6" style="144" customWidth="1"/>
    <col min="6166" max="6166" width="0" style="144" hidden="1" customWidth="1"/>
    <col min="6167" max="6167" width="15.5" style="144" customWidth="1"/>
    <col min="6168" max="6400" width="9" style="144"/>
    <col min="6401" max="6401" width="4.375" style="144" customWidth="1"/>
    <col min="6402" max="6402" width="14.75" style="144" customWidth="1"/>
    <col min="6403" max="6407" width="6.375" style="144" customWidth="1"/>
    <col min="6408" max="6408" width="5.75" style="144" customWidth="1"/>
    <col min="6409" max="6411" width="6.375" style="144" customWidth="1"/>
    <col min="6412" max="6412" width="6.5" style="144" customWidth="1"/>
    <col min="6413" max="6420" width="6.375" style="144" customWidth="1"/>
    <col min="6421" max="6421" width="6" style="144" customWidth="1"/>
    <col min="6422" max="6422" width="0" style="144" hidden="1" customWidth="1"/>
    <col min="6423" max="6423" width="15.5" style="144" customWidth="1"/>
    <col min="6424" max="6656" width="9" style="144"/>
    <col min="6657" max="6657" width="4.375" style="144" customWidth="1"/>
    <col min="6658" max="6658" width="14.75" style="144" customWidth="1"/>
    <col min="6659" max="6663" width="6.375" style="144" customWidth="1"/>
    <col min="6664" max="6664" width="5.75" style="144" customWidth="1"/>
    <col min="6665" max="6667" width="6.375" style="144" customWidth="1"/>
    <col min="6668" max="6668" width="6.5" style="144" customWidth="1"/>
    <col min="6669" max="6676" width="6.375" style="144" customWidth="1"/>
    <col min="6677" max="6677" width="6" style="144" customWidth="1"/>
    <col min="6678" max="6678" width="0" style="144" hidden="1" customWidth="1"/>
    <col min="6679" max="6679" width="15.5" style="144" customWidth="1"/>
    <col min="6680" max="6912" width="9" style="144"/>
    <col min="6913" max="6913" width="4.375" style="144" customWidth="1"/>
    <col min="6914" max="6914" width="14.75" style="144" customWidth="1"/>
    <col min="6915" max="6919" width="6.375" style="144" customWidth="1"/>
    <col min="6920" max="6920" width="5.75" style="144" customWidth="1"/>
    <col min="6921" max="6923" width="6.375" style="144" customWidth="1"/>
    <col min="6924" max="6924" width="6.5" style="144" customWidth="1"/>
    <col min="6925" max="6932" width="6.375" style="144" customWidth="1"/>
    <col min="6933" max="6933" width="6" style="144" customWidth="1"/>
    <col min="6934" max="6934" width="0" style="144" hidden="1" customWidth="1"/>
    <col min="6935" max="6935" width="15.5" style="144" customWidth="1"/>
    <col min="6936" max="7168" width="9" style="144"/>
    <col min="7169" max="7169" width="4.375" style="144" customWidth="1"/>
    <col min="7170" max="7170" width="14.75" style="144" customWidth="1"/>
    <col min="7171" max="7175" width="6.375" style="144" customWidth="1"/>
    <col min="7176" max="7176" width="5.75" style="144" customWidth="1"/>
    <col min="7177" max="7179" width="6.375" style="144" customWidth="1"/>
    <col min="7180" max="7180" width="6.5" style="144" customWidth="1"/>
    <col min="7181" max="7188" width="6.375" style="144" customWidth="1"/>
    <col min="7189" max="7189" width="6" style="144" customWidth="1"/>
    <col min="7190" max="7190" width="0" style="144" hidden="1" customWidth="1"/>
    <col min="7191" max="7191" width="15.5" style="144" customWidth="1"/>
    <col min="7192" max="7424" width="9" style="144"/>
    <col min="7425" max="7425" width="4.375" style="144" customWidth="1"/>
    <col min="7426" max="7426" width="14.75" style="144" customWidth="1"/>
    <col min="7427" max="7431" width="6.375" style="144" customWidth="1"/>
    <col min="7432" max="7432" width="5.75" style="144" customWidth="1"/>
    <col min="7433" max="7435" width="6.375" style="144" customWidth="1"/>
    <col min="7436" max="7436" width="6.5" style="144" customWidth="1"/>
    <col min="7437" max="7444" width="6.375" style="144" customWidth="1"/>
    <col min="7445" max="7445" width="6" style="144" customWidth="1"/>
    <col min="7446" max="7446" width="0" style="144" hidden="1" customWidth="1"/>
    <col min="7447" max="7447" width="15.5" style="144" customWidth="1"/>
    <col min="7448" max="7680" width="9" style="144"/>
    <col min="7681" max="7681" width="4.375" style="144" customWidth="1"/>
    <col min="7682" max="7682" width="14.75" style="144" customWidth="1"/>
    <col min="7683" max="7687" width="6.375" style="144" customWidth="1"/>
    <col min="7688" max="7688" width="5.75" style="144" customWidth="1"/>
    <col min="7689" max="7691" width="6.375" style="144" customWidth="1"/>
    <col min="7692" max="7692" width="6.5" style="144" customWidth="1"/>
    <col min="7693" max="7700" width="6.375" style="144" customWidth="1"/>
    <col min="7701" max="7701" width="6" style="144" customWidth="1"/>
    <col min="7702" max="7702" width="0" style="144" hidden="1" customWidth="1"/>
    <col min="7703" max="7703" width="15.5" style="144" customWidth="1"/>
    <col min="7704" max="7936" width="9" style="144"/>
    <col min="7937" max="7937" width="4.375" style="144" customWidth="1"/>
    <col min="7938" max="7938" width="14.75" style="144" customWidth="1"/>
    <col min="7939" max="7943" width="6.375" style="144" customWidth="1"/>
    <col min="7944" max="7944" width="5.75" style="144" customWidth="1"/>
    <col min="7945" max="7947" width="6.375" style="144" customWidth="1"/>
    <col min="7948" max="7948" width="6.5" style="144" customWidth="1"/>
    <col min="7949" max="7956" width="6.375" style="144" customWidth="1"/>
    <col min="7957" max="7957" width="6" style="144" customWidth="1"/>
    <col min="7958" max="7958" width="0" style="144" hidden="1" customWidth="1"/>
    <col min="7959" max="7959" width="15.5" style="144" customWidth="1"/>
    <col min="7960" max="8192" width="9" style="144"/>
    <col min="8193" max="8193" width="4.375" style="144" customWidth="1"/>
    <col min="8194" max="8194" width="14.75" style="144" customWidth="1"/>
    <col min="8195" max="8199" width="6.375" style="144" customWidth="1"/>
    <col min="8200" max="8200" width="5.75" style="144" customWidth="1"/>
    <col min="8201" max="8203" width="6.375" style="144" customWidth="1"/>
    <col min="8204" max="8204" width="6.5" style="144" customWidth="1"/>
    <col min="8205" max="8212" width="6.375" style="144" customWidth="1"/>
    <col min="8213" max="8213" width="6" style="144" customWidth="1"/>
    <col min="8214" max="8214" width="0" style="144" hidden="1" customWidth="1"/>
    <col min="8215" max="8215" width="15.5" style="144" customWidth="1"/>
    <col min="8216" max="8448" width="9" style="144"/>
    <col min="8449" max="8449" width="4.375" style="144" customWidth="1"/>
    <col min="8450" max="8450" width="14.75" style="144" customWidth="1"/>
    <col min="8451" max="8455" width="6.375" style="144" customWidth="1"/>
    <col min="8456" max="8456" width="5.75" style="144" customWidth="1"/>
    <col min="8457" max="8459" width="6.375" style="144" customWidth="1"/>
    <col min="8460" max="8460" width="6.5" style="144" customWidth="1"/>
    <col min="8461" max="8468" width="6.375" style="144" customWidth="1"/>
    <col min="8469" max="8469" width="6" style="144" customWidth="1"/>
    <col min="8470" max="8470" width="0" style="144" hidden="1" customWidth="1"/>
    <col min="8471" max="8471" width="15.5" style="144" customWidth="1"/>
    <col min="8472" max="8704" width="9" style="144"/>
    <col min="8705" max="8705" width="4.375" style="144" customWidth="1"/>
    <col min="8706" max="8706" width="14.75" style="144" customWidth="1"/>
    <col min="8707" max="8711" width="6.375" style="144" customWidth="1"/>
    <col min="8712" max="8712" width="5.75" style="144" customWidth="1"/>
    <col min="8713" max="8715" width="6.375" style="144" customWidth="1"/>
    <col min="8716" max="8716" width="6.5" style="144" customWidth="1"/>
    <col min="8717" max="8724" width="6.375" style="144" customWidth="1"/>
    <col min="8725" max="8725" width="6" style="144" customWidth="1"/>
    <col min="8726" max="8726" width="0" style="144" hidden="1" customWidth="1"/>
    <col min="8727" max="8727" width="15.5" style="144" customWidth="1"/>
    <col min="8728" max="8960" width="9" style="144"/>
    <col min="8961" max="8961" width="4.375" style="144" customWidth="1"/>
    <col min="8962" max="8962" width="14.75" style="144" customWidth="1"/>
    <col min="8963" max="8967" width="6.375" style="144" customWidth="1"/>
    <col min="8968" max="8968" width="5.75" style="144" customWidth="1"/>
    <col min="8969" max="8971" width="6.375" style="144" customWidth="1"/>
    <col min="8972" max="8972" width="6.5" style="144" customWidth="1"/>
    <col min="8973" max="8980" width="6.375" style="144" customWidth="1"/>
    <col min="8981" max="8981" width="6" style="144" customWidth="1"/>
    <col min="8982" max="8982" width="0" style="144" hidden="1" customWidth="1"/>
    <col min="8983" max="8983" width="15.5" style="144" customWidth="1"/>
    <col min="8984" max="9216" width="9" style="144"/>
    <col min="9217" max="9217" width="4.375" style="144" customWidth="1"/>
    <col min="9218" max="9218" width="14.75" style="144" customWidth="1"/>
    <col min="9219" max="9223" width="6.375" style="144" customWidth="1"/>
    <col min="9224" max="9224" width="5.75" style="144" customWidth="1"/>
    <col min="9225" max="9227" width="6.375" style="144" customWidth="1"/>
    <col min="9228" max="9228" width="6.5" style="144" customWidth="1"/>
    <col min="9229" max="9236" width="6.375" style="144" customWidth="1"/>
    <col min="9237" max="9237" width="6" style="144" customWidth="1"/>
    <col min="9238" max="9238" width="0" style="144" hidden="1" customWidth="1"/>
    <col min="9239" max="9239" width="15.5" style="144" customWidth="1"/>
    <col min="9240" max="9472" width="9" style="144"/>
    <col min="9473" max="9473" width="4.375" style="144" customWidth="1"/>
    <col min="9474" max="9474" width="14.75" style="144" customWidth="1"/>
    <col min="9475" max="9479" width="6.375" style="144" customWidth="1"/>
    <col min="9480" max="9480" width="5.75" style="144" customWidth="1"/>
    <col min="9481" max="9483" width="6.375" style="144" customWidth="1"/>
    <col min="9484" max="9484" width="6.5" style="144" customWidth="1"/>
    <col min="9485" max="9492" width="6.375" style="144" customWidth="1"/>
    <col min="9493" max="9493" width="6" style="144" customWidth="1"/>
    <col min="9494" max="9494" width="0" style="144" hidden="1" customWidth="1"/>
    <col min="9495" max="9495" width="15.5" style="144" customWidth="1"/>
    <col min="9496" max="9728" width="9" style="144"/>
    <col min="9729" max="9729" width="4.375" style="144" customWidth="1"/>
    <col min="9730" max="9730" width="14.75" style="144" customWidth="1"/>
    <col min="9731" max="9735" width="6.375" style="144" customWidth="1"/>
    <col min="9736" max="9736" width="5.75" style="144" customWidth="1"/>
    <col min="9737" max="9739" width="6.375" style="144" customWidth="1"/>
    <col min="9740" max="9740" width="6.5" style="144" customWidth="1"/>
    <col min="9741" max="9748" width="6.375" style="144" customWidth="1"/>
    <col min="9749" max="9749" width="6" style="144" customWidth="1"/>
    <col min="9750" max="9750" width="0" style="144" hidden="1" customWidth="1"/>
    <col min="9751" max="9751" width="15.5" style="144" customWidth="1"/>
    <col min="9752" max="9984" width="9" style="144"/>
    <col min="9985" max="9985" width="4.375" style="144" customWidth="1"/>
    <col min="9986" max="9986" width="14.75" style="144" customWidth="1"/>
    <col min="9987" max="9991" width="6.375" style="144" customWidth="1"/>
    <col min="9992" max="9992" width="5.75" style="144" customWidth="1"/>
    <col min="9993" max="9995" width="6.375" style="144" customWidth="1"/>
    <col min="9996" max="9996" width="6.5" style="144" customWidth="1"/>
    <col min="9997" max="10004" width="6.375" style="144" customWidth="1"/>
    <col min="10005" max="10005" width="6" style="144" customWidth="1"/>
    <col min="10006" max="10006" width="0" style="144" hidden="1" customWidth="1"/>
    <col min="10007" max="10007" width="15.5" style="144" customWidth="1"/>
    <col min="10008" max="10240" width="9" style="144"/>
    <col min="10241" max="10241" width="4.375" style="144" customWidth="1"/>
    <col min="10242" max="10242" width="14.75" style="144" customWidth="1"/>
    <col min="10243" max="10247" width="6.375" style="144" customWidth="1"/>
    <col min="10248" max="10248" width="5.75" style="144" customWidth="1"/>
    <col min="10249" max="10251" width="6.375" style="144" customWidth="1"/>
    <col min="10252" max="10252" width="6.5" style="144" customWidth="1"/>
    <col min="10253" max="10260" width="6.375" style="144" customWidth="1"/>
    <col min="10261" max="10261" width="6" style="144" customWidth="1"/>
    <col min="10262" max="10262" width="0" style="144" hidden="1" customWidth="1"/>
    <col min="10263" max="10263" width="15.5" style="144" customWidth="1"/>
    <col min="10264" max="10496" width="9" style="144"/>
    <col min="10497" max="10497" width="4.375" style="144" customWidth="1"/>
    <col min="10498" max="10498" width="14.75" style="144" customWidth="1"/>
    <col min="10499" max="10503" width="6.375" style="144" customWidth="1"/>
    <col min="10504" max="10504" width="5.75" style="144" customWidth="1"/>
    <col min="10505" max="10507" width="6.375" style="144" customWidth="1"/>
    <col min="10508" max="10508" width="6.5" style="144" customWidth="1"/>
    <col min="10509" max="10516" width="6.375" style="144" customWidth="1"/>
    <col min="10517" max="10517" width="6" style="144" customWidth="1"/>
    <col min="10518" max="10518" width="0" style="144" hidden="1" customWidth="1"/>
    <col min="10519" max="10519" width="15.5" style="144" customWidth="1"/>
    <col min="10520" max="10752" width="9" style="144"/>
    <col min="10753" max="10753" width="4.375" style="144" customWidth="1"/>
    <col min="10754" max="10754" width="14.75" style="144" customWidth="1"/>
    <col min="10755" max="10759" width="6.375" style="144" customWidth="1"/>
    <col min="10760" max="10760" width="5.75" style="144" customWidth="1"/>
    <col min="10761" max="10763" width="6.375" style="144" customWidth="1"/>
    <col min="10764" max="10764" width="6.5" style="144" customWidth="1"/>
    <col min="10765" max="10772" width="6.375" style="144" customWidth="1"/>
    <col min="10773" max="10773" width="6" style="144" customWidth="1"/>
    <col min="10774" max="10774" width="0" style="144" hidden="1" customWidth="1"/>
    <col min="10775" max="10775" width="15.5" style="144" customWidth="1"/>
    <col min="10776" max="11008" width="9" style="144"/>
    <col min="11009" max="11009" width="4.375" style="144" customWidth="1"/>
    <col min="11010" max="11010" width="14.75" style="144" customWidth="1"/>
    <col min="11011" max="11015" width="6.375" style="144" customWidth="1"/>
    <col min="11016" max="11016" width="5.75" style="144" customWidth="1"/>
    <col min="11017" max="11019" width="6.375" style="144" customWidth="1"/>
    <col min="11020" max="11020" width="6.5" style="144" customWidth="1"/>
    <col min="11021" max="11028" width="6.375" style="144" customWidth="1"/>
    <col min="11029" max="11029" width="6" style="144" customWidth="1"/>
    <col min="11030" max="11030" width="0" style="144" hidden="1" customWidth="1"/>
    <col min="11031" max="11031" width="15.5" style="144" customWidth="1"/>
    <col min="11032" max="11264" width="9" style="144"/>
    <col min="11265" max="11265" width="4.375" style="144" customWidth="1"/>
    <col min="11266" max="11266" width="14.75" style="144" customWidth="1"/>
    <col min="11267" max="11271" width="6.375" style="144" customWidth="1"/>
    <col min="11272" max="11272" width="5.75" style="144" customWidth="1"/>
    <col min="11273" max="11275" width="6.375" style="144" customWidth="1"/>
    <col min="11276" max="11276" width="6.5" style="144" customWidth="1"/>
    <col min="11277" max="11284" width="6.375" style="144" customWidth="1"/>
    <col min="11285" max="11285" width="6" style="144" customWidth="1"/>
    <col min="11286" max="11286" width="0" style="144" hidden="1" customWidth="1"/>
    <col min="11287" max="11287" width="15.5" style="144" customWidth="1"/>
    <col min="11288" max="11520" width="9" style="144"/>
    <col min="11521" max="11521" width="4.375" style="144" customWidth="1"/>
    <col min="11522" max="11522" width="14.75" style="144" customWidth="1"/>
    <col min="11523" max="11527" width="6.375" style="144" customWidth="1"/>
    <col min="11528" max="11528" width="5.75" style="144" customWidth="1"/>
    <col min="11529" max="11531" width="6.375" style="144" customWidth="1"/>
    <col min="11532" max="11532" width="6.5" style="144" customWidth="1"/>
    <col min="11533" max="11540" width="6.375" style="144" customWidth="1"/>
    <col min="11541" max="11541" width="6" style="144" customWidth="1"/>
    <col min="11542" max="11542" width="0" style="144" hidden="1" customWidth="1"/>
    <col min="11543" max="11543" width="15.5" style="144" customWidth="1"/>
    <col min="11544" max="11776" width="9" style="144"/>
    <col min="11777" max="11777" width="4.375" style="144" customWidth="1"/>
    <col min="11778" max="11778" width="14.75" style="144" customWidth="1"/>
    <col min="11779" max="11783" width="6.375" style="144" customWidth="1"/>
    <col min="11784" max="11784" width="5.75" style="144" customWidth="1"/>
    <col min="11785" max="11787" width="6.375" style="144" customWidth="1"/>
    <col min="11788" max="11788" width="6.5" style="144" customWidth="1"/>
    <col min="11789" max="11796" width="6.375" style="144" customWidth="1"/>
    <col min="11797" max="11797" width="6" style="144" customWidth="1"/>
    <col min="11798" max="11798" width="0" style="144" hidden="1" customWidth="1"/>
    <col min="11799" max="11799" width="15.5" style="144" customWidth="1"/>
    <col min="11800" max="12032" width="9" style="144"/>
    <col min="12033" max="12033" width="4.375" style="144" customWidth="1"/>
    <col min="12034" max="12034" width="14.75" style="144" customWidth="1"/>
    <col min="12035" max="12039" width="6.375" style="144" customWidth="1"/>
    <col min="12040" max="12040" width="5.75" style="144" customWidth="1"/>
    <col min="12041" max="12043" width="6.375" style="144" customWidth="1"/>
    <col min="12044" max="12044" width="6.5" style="144" customWidth="1"/>
    <col min="12045" max="12052" width="6.375" style="144" customWidth="1"/>
    <col min="12053" max="12053" width="6" style="144" customWidth="1"/>
    <col min="12054" max="12054" width="0" style="144" hidden="1" customWidth="1"/>
    <col min="12055" max="12055" width="15.5" style="144" customWidth="1"/>
    <col min="12056" max="12288" width="9" style="144"/>
    <col min="12289" max="12289" width="4.375" style="144" customWidth="1"/>
    <col min="12290" max="12290" width="14.75" style="144" customWidth="1"/>
    <col min="12291" max="12295" width="6.375" style="144" customWidth="1"/>
    <col min="12296" max="12296" width="5.75" style="144" customWidth="1"/>
    <col min="12297" max="12299" width="6.375" style="144" customWidth="1"/>
    <col min="12300" max="12300" width="6.5" style="144" customWidth="1"/>
    <col min="12301" max="12308" width="6.375" style="144" customWidth="1"/>
    <col min="12309" max="12309" width="6" style="144" customWidth="1"/>
    <col min="12310" max="12310" width="0" style="144" hidden="1" customWidth="1"/>
    <col min="12311" max="12311" width="15.5" style="144" customWidth="1"/>
    <col min="12312" max="12544" width="9" style="144"/>
    <col min="12545" max="12545" width="4.375" style="144" customWidth="1"/>
    <col min="12546" max="12546" width="14.75" style="144" customWidth="1"/>
    <col min="12547" max="12551" width="6.375" style="144" customWidth="1"/>
    <col min="12552" max="12552" width="5.75" style="144" customWidth="1"/>
    <col min="12553" max="12555" width="6.375" style="144" customWidth="1"/>
    <col min="12556" max="12556" width="6.5" style="144" customWidth="1"/>
    <col min="12557" max="12564" width="6.375" style="144" customWidth="1"/>
    <col min="12565" max="12565" width="6" style="144" customWidth="1"/>
    <col min="12566" max="12566" width="0" style="144" hidden="1" customWidth="1"/>
    <col min="12567" max="12567" width="15.5" style="144" customWidth="1"/>
    <col min="12568" max="12800" width="9" style="144"/>
    <col min="12801" max="12801" width="4.375" style="144" customWidth="1"/>
    <col min="12802" max="12802" width="14.75" style="144" customWidth="1"/>
    <col min="12803" max="12807" width="6.375" style="144" customWidth="1"/>
    <col min="12808" max="12808" width="5.75" style="144" customWidth="1"/>
    <col min="12809" max="12811" width="6.375" style="144" customWidth="1"/>
    <col min="12812" max="12812" width="6.5" style="144" customWidth="1"/>
    <col min="12813" max="12820" width="6.375" style="144" customWidth="1"/>
    <col min="12821" max="12821" width="6" style="144" customWidth="1"/>
    <col min="12822" max="12822" width="0" style="144" hidden="1" customWidth="1"/>
    <col min="12823" max="12823" width="15.5" style="144" customWidth="1"/>
    <col min="12824" max="13056" width="9" style="144"/>
    <col min="13057" max="13057" width="4.375" style="144" customWidth="1"/>
    <col min="13058" max="13058" width="14.75" style="144" customWidth="1"/>
    <col min="13059" max="13063" width="6.375" style="144" customWidth="1"/>
    <col min="13064" max="13064" width="5.75" style="144" customWidth="1"/>
    <col min="13065" max="13067" width="6.375" style="144" customWidth="1"/>
    <col min="13068" max="13068" width="6.5" style="144" customWidth="1"/>
    <col min="13069" max="13076" width="6.375" style="144" customWidth="1"/>
    <col min="13077" max="13077" width="6" style="144" customWidth="1"/>
    <col min="13078" max="13078" width="0" style="144" hidden="1" customWidth="1"/>
    <col min="13079" max="13079" width="15.5" style="144" customWidth="1"/>
    <col min="13080" max="13312" width="9" style="144"/>
    <col min="13313" max="13313" width="4.375" style="144" customWidth="1"/>
    <col min="13314" max="13314" width="14.75" style="144" customWidth="1"/>
    <col min="13315" max="13319" width="6.375" style="144" customWidth="1"/>
    <col min="13320" max="13320" width="5.75" style="144" customWidth="1"/>
    <col min="13321" max="13323" width="6.375" style="144" customWidth="1"/>
    <col min="13324" max="13324" width="6.5" style="144" customWidth="1"/>
    <col min="13325" max="13332" width="6.375" style="144" customWidth="1"/>
    <col min="13333" max="13333" width="6" style="144" customWidth="1"/>
    <col min="13334" max="13334" width="0" style="144" hidden="1" customWidth="1"/>
    <col min="13335" max="13335" width="15.5" style="144" customWidth="1"/>
    <col min="13336" max="13568" width="9" style="144"/>
    <col min="13569" max="13569" width="4.375" style="144" customWidth="1"/>
    <col min="13570" max="13570" width="14.75" style="144" customWidth="1"/>
    <col min="13571" max="13575" width="6.375" style="144" customWidth="1"/>
    <col min="13576" max="13576" width="5.75" style="144" customWidth="1"/>
    <col min="13577" max="13579" width="6.375" style="144" customWidth="1"/>
    <col min="13580" max="13580" width="6.5" style="144" customWidth="1"/>
    <col min="13581" max="13588" width="6.375" style="144" customWidth="1"/>
    <col min="13589" max="13589" width="6" style="144" customWidth="1"/>
    <col min="13590" max="13590" width="0" style="144" hidden="1" customWidth="1"/>
    <col min="13591" max="13591" width="15.5" style="144" customWidth="1"/>
    <col min="13592" max="13824" width="9" style="144"/>
    <col min="13825" max="13825" width="4.375" style="144" customWidth="1"/>
    <col min="13826" max="13826" width="14.75" style="144" customWidth="1"/>
    <col min="13827" max="13831" width="6.375" style="144" customWidth="1"/>
    <col min="13832" max="13832" width="5.75" style="144" customWidth="1"/>
    <col min="13833" max="13835" width="6.375" style="144" customWidth="1"/>
    <col min="13836" max="13836" width="6.5" style="144" customWidth="1"/>
    <col min="13837" max="13844" width="6.375" style="144" customWidth="1"/>
    <col min="13845" max="13845" width="6" style="144" customWidth="1"/>
    <col min="13846" max="13846" width="0" style="144" hidden="1" customWidth="1"/>
    <col min="13847" max="13847" width="15.5" style="144" customWidth="1"/>
    <col min="13848" max="14080" width="9" style="144"/>
    <col min="14081" max="14081" width="4.375" style="144" customWidth="1"/>
    <col min="14082" max="14082" width="14.75" style="144" customWidth="1"/>
    <col min="14083" max="14087" width="6.375" style="144" customWidth="1"/>
    <col min="14088" max="14088" width="5.75" style="144" customWidth="1"/>
    <col min="14089" max="14091" width="6.375" style="144" customWidth="1"/>
    <col min="14092" max="14092" width="6.5" style="144" customWidth="1"/>
    <col min="14093" max="14100" width="6.375" style="144" customWidth="1"/>
    <col min="14101" max="14101" width="6" style="144" customWidth="1"/>
    <col min="14102" max="14102" width="0" style="144" hidden="1" customWidth="1"/>
    <col min="14103" max="14103" width="15.5" style="144" customWidth="1"/>
    <col min="14104" max="14336" width="9" style="144"/>
    <col min="14337" max="14337" width="4.375" style="144" customWidth="1"/>
    <col min="14338" max="14338" width="14.75" style="144" customWidth="1"/>
    <col min="14339" max="14343" width="6.375" style="144" customWidth="1"/>
    <col min="14344" max="14344" width="5.75" style="144" customWidth="1"/>
    <col min="14345" max="14347" width="6.375" style="144" customWidth="1"/>
    <col min="14348" max="14348" width="6.5" style="144" customWidth="1"/>
    <col min="14349" max="14356" width="6.375" style="144" customWidth="1"/>
    <col min="14357" max="14357" width="6" style="144" customWidth="1"/>
    <col min="14358" max="14358" width="0" style="144" hidden="1" customWidth="1"/>
    <col min="14359" max="14359" width="15.5" style="144" customWidth="1"/>
    <col min="14360" max="14592" width="9" style="144"/>
    <col min="14593" max="14593" width="4.375" style="144" customWidth="1"/>
    <col min="14594" max="14594" width="14.75" style="144" customWidth="1"/>
    <col min="14595" max="14599" width="6.375" style="144" customWidth="1"/>
    <col min="14600" max="14600" width="5.75" style="144" customWidth="1"/>
    <col min="14601" max="14603" width="6.375" style="144" customWidth="1"/>
    <col min="14604" max="14604" width="6.5" style="144" customWidth="1"/>
    <col min="14605" max="14612" width="6.375" style="144" customWidth="1"/>
    <col min="14613" max="14613" width="6" style="144" customWidth="1"/>
    <col min="14614" max="14614" width="0" style="144" hidden="1" customWidth="1"/>
    <col min="14615" max="14615" width="15.5" style="144" customWidth="1"/>
    <col min="14616" max="14848" width="9" style="144"/>
    <col min="14849" max="14849" width="4.375" style="144" customWidth="1"/>
    <col min="14850" max="14850" width="14.75" style="144" customWidth="1"/>
    <col min="14851" max="14855" width="6.375" style="144" customWidth="1"/>
    <col min="14856" max="14856" width="5.75" style="144" customWidth="1"/>
    <col min="14857" max="14859" width="6.375" style="144" customWidth="1"/>
    <col min="14860" max="14860" width="6.5" style="144" customWidth="1"/>
    <col min="14861" max="14868" width="6.375" style="144" customWidth="1"/>
    <col min="14869" max="14869" width="6" style="144" customWidth="1"/>
    <col min="14870" max="14870" width="0" style="144" hidden="1" customWidth="1"/>
    <col min="14871" max="14871" width="15.5" style="144" customWidth="1"/>
    <col min="14872" max="15104" width="9" style="144"/>
    <col min="15105" max="15105" width="4.375" style="144" customWidth="1"/>
    <col min="15106" max="15106" width="14.75" style="144" customWidth="1"/>
    <col min="15107" max="15111" width="6.375" style="144" customWidth="1"/>
    <col min="15112" max="15112" width="5.75" style="144" customWidth="1"/>
    <col min="15113" max="15115" width="6.375" style="144" customWidth="1"/>
    <col min="15116" max="15116" width="6.5" style="144" customWidth="1"/>
    <col min="15117" max="15124" width="6.375" style="144" customWidth="1"/>
    <col min="15125" max="15125" width="6" style="144" customWidth="1"/>
    <col min="15126" max="15126" width="0" style="144" hidden="1" customWidth="1"/>
    <col min="15127" max="15127" width="15.5" style="144" customWidth="1"/>
    <col min="15128" max="15360" width="9" style="144"/>
    <col min="15361" max="15361" width="4.375" style="144" customWidth="1"/>
    <col min="15362" max="15362" width="14.75" style="144" customWidth="1"/>
    <col min="15363" max="15367" width="6.375" style="144" customWidth="1"/>
    <col min="15368" max="15368" width="5.75" style="144" customWidth="1"/>
    <col min="15369" max="15371" width="6.375" style="144" customWidth="1"/>
    <col min="15372" max="15372" width="6.5" style="144" customWidth="1"/>
    <col min="15373" max="15380" width="6.375" style="144" customWidth="1"/>
    <col min="15381" max="15381" width="6" style="144" customWidth="1"/>
    <col min="15382" max="15382" width="0" style="144" hidden="1" customWidth="1"/>
    <col min="15383" max="15383" width="15.5" style="144" customWidth="1"/>
    <col min="15384" max="15616" width="9" style="144"/>
    <col min="15617" max="15617" width="4.375" style="144" customWidth="1"/>
    <col min="15618" max="15618" width="14.75" style="144" customWidth="1"/>
    <col min="15619" max="15623" width="6.375" style="144" customWidth="1"/>
    <col min="15624" max="15624" width="5.75" style="144" customWidth="1"/>
    <col min="15625" max="15627" width="6.375" style="144" customWidth="1"/>
    <col min="15628" max="15628" width="6.5" style="144" customWidth="1"/>
    <col min="15629" max="15636" width="6.375" style="144" customWidth="1"/>
    <col min="15637" max="15637" width="6" style="144" customWidth="1"/>
    <col min="15638" max="15638" width="0" style="144" hidden="1" customWidth="1"/>
    <col min="15639" max="15639" width="15.5" style="144" customWidth="1"/>
    <col min="15640" max="15872" width="9" style="144"/>
    <col min="15873" max="15873" width="4.375" style="144" customWidth="1"/>
    <col min="15874" max="15874" width="14.75" style="144" customWidth="1"/>
    <col min="15875" max="15879" width="6.375" style="144" customWidth="1"/>
    <col min="15880" max="15880" width="5.75" style="144" customWidth="1"/>
    <col min="15881" max="15883" width="6.375" style="144" customWidth="1"/>
    <col min="15884" max="15884" width="6.5" style="144" customWidth="1"/>
    <col min="15885" max="15892" width="6.375" style="144" customWidth="1"/>
    <col min="15893" max="15893" width="6" style="144" customWidth="1"/>
    <col min="15894" max="15894" width="0" style="144" hidden="1" customWidth="1"/>
    <col min="15895" max="15895" width="15.5" style="144" customWidth="1"/>
    <col min="15896" max="16128" width="9" style="144"/>
    <col min="16129" max="16129" width="4.375" style="144" customWidth="1"/>
    <col min="16130" max="16130" width="14.75" style="144" customWidth="1"/>
    <col min="16131" max="16135" width="6.375" style="144" customWidth="1"/>
    <col min="16136" max="16136" width="5.75" style="144" customWidth="1"/>
    <col min="16137" max="16139" width="6.375" style="144" customWidth="1"/>
    <col min="16140" max="16140" width="6.5" style="144" customWidth="1"/>
    <col min="16141" max="16148" width="6.375" style="144" customWidth="1"/>
    <col min="16149" max="16149" width="6" style="144" customWidth="1"/>
    <col min="16150" max="16150" width="0" style="144" hidden="1" customWidth="1"/>
    <col min="16151" max="16151" width="15.5" style="144" customWidth="1"/>
    <col min="16152" max="16384" width="9" style="144"/>
  </cols>
  <sheetData>
    <row r="1" spans="1:23" s="129" customFormat="1" ht="22.5" customHeight="1" x14ac:dyDescent="0.25">
      <c r="A1" s="635" t="s">
        <v>297</v>
      </c>
      <c r="B1" s="635"/>
      <c r="C1" s="636" t="s">
        <v>298</v>
      </c>
      <c r="D1" s="636"/>
      <c r="E1" s="636"/>
      <c r="F1" s="636"/>
      <c r="G1" s="636"/>
      <c r="H1" s="636"/>
      <c r="I1" s="636"/>
      <c r="J1" s="636"/>
      <c r="K1" s="636"/>
      <c r="L1" s="636"/>
      <c r="M1" s="636"/>
      <c r="N1" s="636"/>
      <c r="O1" s="636"/>
      <c r="P1" s="636"/>
      <c r="Q1" s="636"/>
      <c r="R1" s="636"/>
      <c r="S1" s="127"/>
      <c r="U1" s="203" t="s">
        <v>299</v>
      </c>
      <c r="V1" s="500">
        <f>VALUE(COUNTA(V12:V23)-COUNTIF(V12:V23,"Nhập liệu!"))</f>
        <v>0</v>
      </c>
      <c r="W1" s="128"/>
    </row>
    <row r="2" spans="1:23" s="132" customFormat="1" ht="17.25" customHeight="1" x14ac:dyDescent="0.25">
      <c r="A2" s="635" t="s">
        <v>300</v>
      </c>
      <c r="B2" s="635"/>
      <c r="C2" s="130"/>
      <c r="D2" s="130"/>
      <c r="E2" s="130"/>
      <c r="F2" s="130"/>
      <c r="G2" s="130"/>
      <c r="H2" s="130"/>
      <c r="I2" s="130"/>
      <c r="J2" s="204" t="str">
        <f>'TKe HSMN'!$Q$2&amp;" "&amp;'TKe HSMN'!$R$2</f>
        <v>(Tính đến thời điểm tháng 9 năm 2025)</v>
      </c>
      <c r="K2" s="130"/>
      <c r="L2" s="130"/>
      <c r="M2" s="130"/>
      <c r="N2" s="130"/>
      <c r="O2" s="130"/>
      <c r="P2" s="130"/>
      <c r="Q2" s="130"/>
      <c r="R2" s="130"/>
      <c r="S2" s="130"/>
      <c r="T2" s="130"/>
      <c r="U2" s="131"/>
    </row>
    <row r="3" spans="1:23" s="132" customFormat="1" ht="18.75" customHeight="1" x14ac:dyDescent="0.3">
      <c r="A3" s="208" t="s">
        <v>363</v>
      </c>
      <c r="B3" s="208"/>
      <c r="C3" s="482">
        <f>IF(Chinh!$D$9="",0,(CONCATENATE(IF(Chinh!$A$2="TRƯỜNG MẦM NON CAM THÀNH NAM",phu!$C$1,""),IF(Chinh!$A$2="TRƯỜNG MẦM NON CAM NGHĨA",phu!$C$1,""),IF(Chinh!$A$2="TRƯỜNG MẦM NON TRƯỜNG SA",phu!$C$1,""),IF(Chinh!$A$2="TRƯỜNG MẦM NON CĂN CỨ CAM RANH",phu!$C$1,""),IF(Chinh!$A$2="TRƯỜNG MẦM NON CAM PHÚC BẮC",phu!$C$1,""),IF(Chinh!$A$2="TRƯỜNG MẦM NON CAM PHÚC NAM",phu!$C$2,""),IF(Chinh!$A$2="TRƯỜNG MẦM NON CAM PHÚ",phu!$C$2,""),IF(Chinh!$A$2="TRƯỜNG MẦM NON CAM THUẬN",phu!$C$3,""),IF(Chinh!$A$2="TRƯỜNG MẦM NON HOA MAI",phu!$C$2,""),IF(Chinh!$A$2="TRƯỜNG MẦM NON 2/4",phu!$C$2,""),IF(Chinh!$A$2="TRƯỜNG MẦM NON CAM LINH",phu!$C$3,""),IF(Chinh!$A$2="TRƯỜNG MẦM NON CAM LỢI",phu!$C$3,""),IF(Chinh!$A$2="TRƯỜNG MẦM NON BA NGÒI",phu!$C$4,""),IF(Chinh!$A$2="TRƯỜNG MẦM NON CAM PHƯỚC ĐÔNG",phu!$C$4,""),IF(Chinh!$A$2="TRƯỜNG MẦM NON CAM THỊNH ĐÔNG",phu!$C$5,""),IF(Chinh!$A$2="TRƯỜNG MẦM NON CAM THỊNH TÂY",phu!$C$5,""),IF(Chinh!$A$2="TRƯỜNG MẦM NON CAM LẬP",phu!$C$5,""),IF(Chinh!$A$2="TRƯỜNG MẦM NON CAM BÌNH",phu!$C$5,""))))</f>
        <v>0</v>
      </c>
      <c r="D3" s="133"/>
      <c r="E3" s="134"/>
      <c r="F3" s="134"/>
      <c r="G3" s="134"/>
      <c r="H3" s="134"/>
      <c r="I3" s="637" t="str">
        <f>IF(OR(V11="Không có GV dạy MG 5 tuổi",V11="Còn lỗi!"),"Còn lỗi!",IF(V11="Hoàn thành!","Hoàn thành!",IF(V11="Nhập liệu!","Nhập liệu!")))</f>
        <v>Hoàn thành!</v>
      </c>
      <c r="J3" s="637"/>
      <c r="K3" s="135" t="str">
        <f>IF(AND(Chinh!D9&lt;&gt;"",'TKe-CBGVNV-MN'!V1=0,COUNTA(MN!R6:R785)=0),"Địa phương không có điểm tư thục!",IF(AND(Chinh!D9&lt;&gt;"",V1&gt;0),"Địa phương có "&amp;'TKe-CBGVNV-MN'!V1&amp;" điểm tư thục!",""))</f>
        <v/>
      </c>
      <c r="L3" s="136"/>
      <c r="M3" s="137"/>
      <c r="N3" s="131"/>
      <c r="O3" s="131"/>
      <c r="P3" s="131"/>
      <c r="Q3" s="131"/>
      <c r="R3" s="131"/>
      <c r="S3" s="131"/>
      <c r="T3" s="131"/>
      <c r="U3" s="131"/>
      <c r="W3" s="138"/>
    </row>
    <row r="4" spans="1:23" s="132" customFormat="1" ht="18.75" customHeight="1" x14ac:dyDescent="0.25">
      <c r="A4" s="139"/>
      <c r="B4" s="134"/>
      <c r="C4" s="133"/>
      <c r="D4" s="133"/>
      <c r="E4" s="134"/>
      <c r="F4" s="134"/>
      <c r="G4" s="134"/>
      <c r="H4" s="134"/>
      <c r="I4" s="134"/>
      <c r="J4" s="134"/>
      <c r="K4" s="134"/>
      <c r="L4" s="140"/>
      <c r="M4" s="131"/>
      <c r="N4" s="131"/>
      <c r="O4" s="131"/>
      <c r="P4" s="131"/>
      <c r="Q4" s="131"/>
      <c r="R4" s="131"/>
      <c r="S4" s="131"/>
      <c r="T4" s="131"/>
      <c r="U4" s="131"/>
    </row>
    <row r="5" spans="1:23" s="142" customFormat="1" ht="20.25" customHeight="1" x14ac:dyDescent="0.2">
      <c r="A5" s="639" t="s">
        <v>214</v>
      </c>
      <c r="B5" s="639" t="s">
        <v>301</v>
      </c>
      <c r="C5" s="640" t="s">
        <v>302</v>
      </c>
      <c r="D5" s="640"/>
      <c r="E5" s="640"/>
      <c r="F5" s="640"/>
      <c r="G5" s="640"/>
      <c r="H5" s="640"/>
      <c r="I5" s="640"/>
      <c r="J5" s="640"/>
      <c r="K5" s="640"/>
      <c r="L5" s="640"/>
      <c r="M5" s="640"/>
      <c r="N5" s="640" t="s">
        <v>303</v>
      </c>
      <c r="O5" s="640"/>
      <c r="P5" s="640"/>
      <c r="Q5" s="640"/>
      <c r="R5" s="640"/>
      <c r="S5" s="640"/>
      <c r="T5" s="640"/>
      <c r="U5" s="640"/>
      <c r="V5" s="141"/>
    </row>
    <row r="6" spans="1:23" s="142" customFormat="1" ht="27.75" customHeight="1" x14ac:dyDescent="0.2">
      <c r="A6" s="639"/>
      <c r="B6" s="639"/>
      <c r="C6" s="639" t="s">
        <v>238</v>
      </c>
      <c r="D6" s="639" t="s">
        <v>304</v>
      </c>
      <c r="E6" s="639" t="s">
        <v>305</v>
      </c>
      <c r="F6" s="639"/>
      <c r="G6" s="639" t="s">
        <v>306</v>
      </c>
      <c r="H6" s="639"/>
      <c r="I6" s="639"/>
      <c r="J6" s="639" t="s">
        <v>291</v>
      </c>
      <c r="K6" s="639"/>
      <c r="L6" s="639"/>
      <c r="M6" s="562" t="s">
        <v>294</v>
      </c>
      <c r="N6" s="639" t="s">
        <v>322</v>
      </c>
      <c r="O6" s="639" t="s">
        <v>304</v>
      </c>
      <c r="P6" s="639" t="s">
        <v>307</v>
      </c>
      <c r="Q6" s="639"/>
      <c r="R6" s="639" t="s">
        <v>308</v>
      </c>
      <c r="S6" s="639" t="s">
        <v>285</v>
      </c>
      <c r="T6" s="639"/>
      <c r="U6" s="639" t="s">
        <v>309</v>
      </c>
      <c r="V6" s="141"/>
    </row>
    <row r="7" spans="1:23" s="142" customFormat="1" ht="69" customHeight="1" x14ac:dyDescent="0.2">
      <c r="A7" s="639"/>
      <c r="B7" s="639"/>
      <c r="C7" s="639"/>
      <c r="D7" s="639"/>
      <c r="E7" s="562" t="s">
        <v>322</v>
      </c>
      <c r="F7" s="562" t="s">
        <v>310</v>
      </c>
      <c r="G7" s="562" t="s">
        <v>322</v>
      </c>
      <c r="H7" s="562" t="s">
        <v>288</v>
      </c>
      <c r="I7" s="562" t="s">
        <v>311</v>
      </c>
      <c r="J7" s="562" t="s">
        <v>322</v>
      </c>
      <c r="K7" s="562" t="s">
        <v>312</v>
      </c>
      <c r="L7" s="562" t="s">
        <v>313</v>
      </c>
      <c r="M7" s="562" t="s">
        <v>322</v>
      </c>
      <c r="N7" s="639"/>
      <c r="O7" s="639"/>
      <c r="P7" s="562" t="s">
        <v>322</v>
      </c>
      <c r="Q7" s="562" t="s">
        <v>310</v>
      </c>
      <c r="R7" s="639"/>
      <c r="S7" s="562" t="s">
        <v>314</v>
      </c>
      <c r="T7" s="562" t="s">
        <v>315</v>
      </c>
      <c r="U7" s="639"/>
      <c r="V7" s="141"/>
    </row>
    <row r="8" spans="1:23" s="129" customFormat="1" ht="27.75" customHeight="1" x14ac:dyDescent="0.2">
      <c r="A8" s="538">
        <v>1</v>
      </c>
      <c r="B8" s="538">
        <v>2</v>
      </c>
      <c r="C8" s="538" t="s">
        <v>316</v>
      </c>
      <c r="D8" s="538">
        <v>4</v>
      </c>
      <c r="E8" s="538">
        <v>5</v>
      </c>
      <c r="F8" s="538">
        <v>6</v>
      </c>
      <c r="G8" s="538">
        <v>7</v>
      </c>
      <c r="H8" s="538"/>
      <c r="I8" s="538">
        <v>8</v>
      </c>
      <c r="J8" s="538">
        <v>9</v>
      </c>
      <c r="K8" s="538">
        <v>10</v>
      </c>
      <c r="L8" s="538">
        <v>11</v>
      </c>
      <c r="M8" s="538">
        <v>12</v>
      </c>
      <c r="N8" s="538">
        <v>13</v>
      </c>
      <c r="O8" s="538">
        <v>14</v>
      </c>
      <c r="P8" s="538">
        <v>15</v>
      </c>
      <c r="Q8" s="538">
        <v>16</v>
      </c>
      <c r="R8" s="538">
        <v>17</v>
      </c>
      <c r="S8" s="538">
        <v>18</v>
      </c>
      <c r="T8" s="538">
        <v>19</v>
      </c>
      <c r="U8" s="538">
        <v>20</v>
      </c>
      <c r="V8" s="132"/>
    </row>
    <row r="9" spans="1:23" s="129" customFormat="1" ht="45" customHeight="1" x14ac:dyDescent="0.2">
      <c r="A9" s="197">
        <v>1</v>
      </c>
      <c r="B9" s="212">
        <f>IF(Chinh!D9&lt;&gt;"",Chinh!$A$2,0)</f>
        <v>0</v>
      </c>
      <c r="C9" s="487">
        <f>G9+J9+M9</f>
        <v>7</v>
      </c>
      <c r="D9" s="199">
        <v>6</v>
      </c>
      <c r="E9" s="199">
        <v>1</v>
      </c>
      <c r="F9" s="199">
        <v>1</v>
      </c>
      <c r="G9" s="198">
        <f>H9+I9</f>
        <v>2</v>
      </c>
      <c r="H9" s="198">
        <f>COUNTIF('DS-CBGVNV-MN'!$E$8:$E$1500,"Hiệu trưởng")</f>
        <v>1</v>
      </c>
      <c r="I9" s="198">
        <f>COUNTIF('DS-CBGVNV-MN'!$E$8:$E$1500,"P.hiệu trưởng")</f>
        <v>1</v>
      </c>
      <c r="J9" s="198">
        <f>COUNTIF('DS-CBGVNV-MN'!$E$8:$E$1500,"Giáo viên")</f>
        <v>2</v>
      </c>
      <c r="K9" s="198">
        <f>SUMPRODUCT(--('DS-CBGVNV-MN'!$E$8:$E$1500="Giáo viên"),--('DS-CBGVNV-MN'!$N$8:$N$1500&lt;&gt;"Kinh"))</f>
        <v>1</v>
      </c>
      <c r="L9" s="834">
        <f>IF(OR(J9=0,('TKe-CSVC-MN'!E9+'TKe-CSVC-MN'!H9)=0),0,J9/('TKe-CSVC-MN'!E9+'TKe-CSVC-MN'!H9))</f>
        <v>0.66666666666666663</v>
      </c>
      <c r="M9" s="198">
        <f>COUNTIF('DS-CBGVNV-MN'!$E$8:$E$150,"Nhân viên")</f>
        <v>3</v>
      </c>
      <c r="N9" s="198">
        <f>COUNTIF('DS-CBGVNV-MN'!F8:F107,"Dạy 5-6 tuổi")</f>
        <v>1</v>
      </c>
      <c r="O9" s="199">
        <v>1</v>
      </c>
      <c r="P9" s="199">
        <v>0</v>
      </c>
      <c r="Q9" s="199">
        <v>0</v>
      </c>
      <c r="R9" s="198">
        <f>IF(OR(N9="",'TKe-CSVC-MN'!E9=""),0,N9/'TKe-CSVC-MN'!E9)</f>
        <v>1</v>
      </c>
      <c r="S9" s="198">
        <f>SUMPRODUCT(--('DS-CBGVNV-MN'!$E$8:$E$15000="Giáo viên"),--('DS-CBGVNV-MN'!F8:F15000="Dạy 5-6 tuổi"),--('DS-CBGVNV-MN'!$I$8:$I$15000="Cao đẳng"))</f>
        <v>0</v>
      </c>
      <c r="T9" s="198">
        <f>SUMPRODUCT(--('DS-CBGVNV-MN'!$E$8:$E$15000="Giáo viên"),--('DS-CBGVNV-MN'!F8:F15000="Dạy 5-6 tuổi"),--('DS-CBGVNV-MN'!$I$8:$I$15000="Đại học"))</f>
        <v>1</v>
      </c>
      <c r="U9" s="198">
        <f>SUMPRODUCT(--('DS-CBGVNV-MN'!$E$8:$E$15000="Giáo viên"),--('DS-CBGVNV-MN'!$F$8:$F$15000="Dạy 5-6 tuổi"),--('DS-CBGVNV-MN'!$O$8:$O$15000="Tốt"))+SUMPRODUCT(--('DS-CBGVNV-MN'!$E$8:$E$15000="Giáo viên"),--('DS-CBGVNV-MN'!$F$8:$F$15000="Dạy 5-6 tuổi"),--('DS-CBGVNV-MN'!$O$8:$O$15000="Khá"))+SUMPRODUCT(--('DS-CBGVNV-MN'!$E$8:$E$15000="Giáo viên"),--('DS-CBGVNV-MN'!$F$8:$F$15000="Dạy 5-6 tuổi"),--('DS-CBGVNV-MN'!$O$8:$O$15000="Đạt"))</f>
        <v>1</v>
      </c>
      <c r="V9" s="143" t="str">
        <f>IF(OR(AND(Chinh!$D$9="",'TKe-CBGVNV-MN'!C9=0),AND(Chinh!$D$9&lt;&gt;"",'TKe-CBGVNV-MN'!C9=0,'TKe-CBGVNV-MN'!E9="",'TKe-CBGVNV-MN'!F9="")),"Nhập liệu!",IF(OR(N9&gt;J9,U9&gt;J9),"Còn lỗi!",IF(AND(J9&gt;0,N9=""),"Không có GV dạy MG 5 tuổi",IF(OR(AND(C9&gt;0,OR(D9="",E9="",F9="")),AND(N9&gt;0,OR(O9="",P9="",Q9="",S9="",T9="",U9=""))),"Còn lỗi!","Hoàn thành!"))))</f>
        <v>Hoàn thành!</v>
      </c>
    </row>
    <row r="10" spans="1:23" s="129" customFormat="1" ht="24.75" customHeight="1" x14ac:dyDescent="0.2">
      <c r="A10" s="197">
        <v>2</v>
      </c>
      <c r="B10" s="200"/>
      <c r="C10" s="199"/>
      <c r="D10" s="199"/>
      <c r="E10" s="199"/>
      <c r="F10" s="199"/>
      <c r="G10" s="199"/>
      <c r="H10" s="199"/>
      <c r="I10" s="199"/>
      <c r="J10" s="199"/>
      <c r="K10" s="199"/>
      <c r="L10" s="834" t="str">
        <f>IF(OR(J10=0,('TKe-CSVC-MN'!E10+'TKe-CSVC-MN'!H10)=0),"",J10/('TKe-CSVC-MN'!E10+'TKe-CSVC-MN'!H10))</f>
        <v/>
      </c>
      <c r="M10" s="199"/>
      <c r="N10" s="199"/>
      <c r="O10" s="199"/>
      <c r="P10" s="199"/>
      <c r="Q10" s="199"/>
      <c r="R10" s="198" t="str">
        <f>IF(OR(N10="",'[4]TKe-CSVC-MN'!E10=""),"",N10/'[4]TKe-CSVC-MN'!E10)</f>
        <v/>
      </c>
      <c r="S10" s="199"/>
      <c r="T10" s="199"/>
      <c r="U10" s="199"/>
      <c r="V10" s="138"/>
    </row>
    <row r="11" spans="1:23" s="129" customFormat="1" ht="24.75" customHeight="1" x14ac:dyDescent="0.2">
      <c r="A11" s="638" t="s">
        <v>317</v>
      </c>
      <c r="B11" s="638"/>
      <c r="C11" s="201">
        <f>G11+J11+M11</f>
        <v>7</v>
      </c>
      <c r="D11" s="201">
        <f t="shared" ref="D11:J11" si="0">SUM(D9:D10)</f>
        <v>6</v>
      </c>
      <c r="E11" s="201">
        <f t="shared" si="0"/>
        <v>1</v>
      </c>
      <c r="F11" s="201">
        <f t="shared" si="0"/>
        <v>1</v>
      </c>
      <c r="G11" s="201">
        <f t="shared" si="0"/>
        <v>2</v>
      </c>
      <c r="H11" s="201">
        <f t="shared" si="0"/>
        <v>1</v>
      </c>
      <c r="I11" s="201">
        <f t="shared" si="0"/>
        <v>1</v>
      </c>
      <c r="J11" s="201">
        <f t="shared" si="0"/>
        <v>2</v>
      </c>
      <c r="K11" s="201">
        <f>SUM(K9:K10)</f>
        <v>1</v>
      </c>
      <c r="L11" s="834">
        <f>IF(OR(J11=0,('TKe-CSVC-MN'!E11+'TKe-CSVC-MN'!H11)=0),"",J11/('TKe-CSVC-MN'!E11+'TKe-CSVC-MN'!H11))</f>
        <v>0.66666666666666663</v>
      </c>
      <c r="M11" s="201">
        <f>SUM(M9:M10)</f>
        <v>3</v>
      </c>
      <c r="N11" s="201">
        <f>SUM(N9:N10)</f>
        <v>1</v>
      </c>
      <c r="O11" s="201">
        <f>SUM(O9:O10)</f>
        <v>1</v>
      </c>
      <c r="P11" s="201">
        <f>SUM(P9:P10)</f>
        <v>0</v>
      </c>
      <c r="Q11" s="201">
        <f>SUM(Q9:Q10)</f>
        <v>0</v>
      </c>
      <c r="R11" s="201">
        <f>IF(OR(N11=0,'TKe-CSVC-MN'!E11=0),"",N11/'TKe-CSVC-MN'!E11)</f>
        <v>1</v>
      </c>
      <c r="S11" s="201">
        <f>SUM(S9:S10)</f>
        <v>0</v>
      </c>
      <c r="T11" s="201">
        <f>SUM(T9:T10)</f>
        <v>1</v>
      </c>
      <c r="U11" s="201">
        <f>SUM(U9:U10)</f>
        <v>1</v>
      </c>
      <c r="V11" s="143" t="str">
        <f>IF(V9="Nhập liệu!","Nhập liệu!",IF(V9="Hoàn thành!","Hoàn thành!",IF(V9="Không có GV dạy MG 5 tuổi","Không có GV dạy MG 5 tuổi","Còn lỗi!")))</f>
        <v>Hoàn thành!</v>
      </c>
    </row>
    <row r="12" spans="1:23" s="129" customFormat="1" ht="20.25" customHeight="1" x14ac:dyDescent="0.2">
      <c r="A12" s="197">
        <v>1</v>
      </c>
      <c r="B12" s="197" t="s">
        <v>555</v>
      </c>
      <c r="C12" s="198">
        <f t="shared" ref="C12:C23" si="1">G12+J12+M12</f>
        <v>0</v>
      </c>
      <c r="D12" s="199"/>
      <c r="E12" s="199"/>
      <c r="F12" s="199"/>
      <c r="G12" s="199"/>
      <c r="H12" s="199"/>
      <c r="I12" s="199"/>
      <c r="J12" s="199"/>
      <c r="K12" s="199"/>
      <c r="L12" s="198" t="str">
        <f>IF(OR(J12=0,('TKe-CSVC-MN'!E12+'TKe-CSVC-MN'!H12)=0),"",J12/('TKe-CSVC-MN'!E12+'TKe-CSVC-MN'!H12))</f>
        <v/>
      </c>
      <c r="M12" s="199"/>
      <c r="N12" s="199"/>
      <c r="O12" s="199"/>
      <c r="P12" s="199"/>
      <c r="Q12" s="199"/>
      <c r="R12" s="199">
        <v>0</v>
      </c>
      <c r="S12" s="199">
        <v>0</v>
      </c>
      <c r="T12" s="199">
        <v>0</v>
      </c>
      <c r="U12" s="199">
        <v>0</v>
      </c>
      <c r="V12" s="143" t="str">
        <f>IF(OR(AND(C12=0,D12="",E12="",F12="",N12="",O12="",P12="",Q12="",S12=0,T12=0,U12=0),AND(C12&gt;0,D12="",E12="",F12="",N12="",O12="",P12="",Q12="",S12+T12&gt;0,U12&gt;0),Chinh!$D$9=""),"Nhập liệu!",IF(OR(N12&gt;J12,U12&gt;J12),"Còn lỗi!",IF(AND(J12&gt;0,N12=""),"Không có GV dạy MG 5 tuổi",IF(OR(AND(C12&gt;0,OR(D12="",E12="",F12="")),AND(N12&gt;0,OR(O12="",P12="",Q12="",S12="",T12="",U12=""))),"Còn lỗi!","Hoàn thành!"))))</f>
        <v>Nhập liệu!</v>
      </c>
    </row>
    <row r="13" spans="1:23" s="129" customFormat="1" ht="20.25" customHeight="1" x14ac:dyDescent="0.2">
      <c r="A13" s="197">
        <v>2</v>
      </c>
      <c r="B13" s="197" t="s">
        <v>556</v>
      </c>
      <c r="C13" s="198">
        <f t="shared" si="1"/>
        <v>0</v>
      </c>
      <c r="D13" s="199"/>
      <c r="E13" s="199"/>
      <c r="F13" s="199"/>
      <c r="G13" s="199"/>
      <c r="H13" s="199"/>
      <c r="I13" s="199"/>
      <c r="J13" s="199"/>
      <c r="K13" s="199"/>
      <c r="L13" s="198" t="str">
        <f>IF(OR(J13=0,('TKe-CSVC-MN'!E13+'TKe-CSVC-MN'!H13)=0),"",J13/('TKe-CSVC-MN'!E13+'TKe-CSVC-MN'!H13))</f>
        <v/>
      </c>
      <c r="M13" s="199"/>
      <c r="N13" s="199"/>
      <c r="O13" s="199"/>
      <c r="P13" s="199"/>
      <c r="Q13" s="199"/>
      <c r="R13" s="199"/>
      <c r="S13" s="199"/>
      <c r="T13" s="199"/>
      <c r="U13" s="199"/>
      <c r="V13" s="143" t="str">
        <f>IF(OR(AND(C13=0,D13="",E13="",F13="",N13="",O13="",P13="",Q13="",S13=0,T13=0,U13=0),AND(C13&gt;0,D13="",E13="",F13="",N13="",O13="",P13="",Q13="",S13+T13&gt;0,U13&gt;0),Chinh!$D$9=""),"Nhập liệu!",IF(OR(N13&gt;J13,U13&gt;J13),"Còn lỗi!",IF(AND(J13&gt;0,N13=""),"Không có GV dạy MG 5 tuổi",IF(OR(AND(C13&gt;0,OR(D13="",E13="",F13="")),AND(N13&gt;0,OR(O13="",P13="",Q13="",S13="",T13="",U13=""))),"Còn lỗi!","Hoàn thành!"))))</f>
        <v>Nhập liệu!</v>
      </c>
    </row>
    <row r="14" spans="1:23" s="129" customFormat="1" ht="20.25" customHeight="1" x14ac:dyDescent="0.2">
      <c r="A14" s="197">
        <v>3</v>
      </c>
      <c r="B14" s="197" t="s">
        <v>557</v>
      </c>
      <c r="C14" s="198">
        <f t="shared" si="1"/>
        <v>0</v>
      </c>
      <c r="D14" s="199"/>
      <c r="E14" s="199"/>
      <c r="F14" s="199"/>
      <c r="G14" s="199"/>
      <c r="H14" s="199"/>
      <c r="I14" s="199"/>
      <c r="J14" s="199"/>
      <c r="K14" s="199"/>
      <c r="L14" s="198" t="str">
        <f>IF(OR(J14=0,('TKe-CSVC-MN'!E14+'TKe-CSVC-MN'!H14)=0),"",J14/('TKe-CSVC-MN'!E14+'TKe-CSVC-MN'!H14))</f>
        <v/>
      </c>
      <c r="M14" s="199"/>
      <c r="N14" s="199"/>
      <c r="O14" s="199"/>
      <c r="P14" s="199"/>
      <c r="Q14" s="199"/>
      <c r="R14" s="199"/>
      <c r="S14" s="199"/>
      <c r="T14" s="199"/>
      <c r="U14" s="199"/>
      <c r="V14" s="143" t="str">
        <f>IF(OR(AND(C14=0,D14="",E14="",F14="",N14="",O14="",P14="",Q14="",S14=0,T14=0,U14=0),AND(C14&gt;0,D14="",E14="",F14="",N14="",O14="",P14="",Q14="",S14+T14&gt;0,U14&gt;0),Chinh!$D$9=""),"Nhập liệu!",IF(OR(N14&gt;J14,U14&gt;J14),"Còn lỗi!",IF(AND(J14&gt;0,N14=""),"Không có GV dạy MG 5 tuổi",IF(OR(AND(C14&gt;0,OR(D14="",E14="",F14="")),AND(N14&gt;0,OR(O14="",P14="",Q14="",S14="",T14="",U14=""))),"Còn lỗi!","Hoàn thành!"))))</f>
        <v>Nhập liệu!</v>
      </c>
    </row>
    <row r="15" spans="1:23" s="129" customFormat="1" ht="20.25" customHeight="1" x14ac:dyDescent="0.2">
      <c r="A15" s="197">
        <v>4</v>
      </c>
      <c r="B15" s="197" t="s">
        <v>323</v>
      </c>
      <c r="C15" s="198">
        <f t="shared" si="1"/>
        <v>0</v>
      </c>
      <c r="D15" s="199"/>
      <c r="E15" s="199"/>
      <c r="F15" s="199"/>
      <c r="G15" s="199"/>
      <c r="H15" s="199"/>
      <c r="I15" s="199"/>
      <c r="J15" s="199"/>
      <c r="K15" s="199"/>
      <c r="L15" s="198" t="str">
        <f>IF(OR(J15=0,('TKe-CSVC-MN'!E15+'TKe-CSVC-MN'!H15)=0),"",J15/('TKe-CSVC-MN'!E15+'TKe-CSVC-MN'!H15))</f>
        <v/>
      </c>
      <c r="M15" s="199"/>
      <c r="N15" s="199"/>
      <c r="O15" s="199"/>
      <c r="P15" s="199"/>
      <c r="Q15" s="199"/>
      <c r="R15" s="199"/>
      <c r="S15" s="199"/>
      <c r="T15" s="199"/>
      <c r="U15" s="199"/>
      <c r="V15" s="143" t="str">
        <f>IF(OR(AND(C15=0,D15="",E15="",F15="",N15="",O15="",P15="",Q15="",S15=0,T15=0,U15=0),AND(C15&gt;0,D15="",E15="",F15="",N15="",O15="",P15="",Q15="",S15+T15&gt;0,U15&gt;0),Chinh!$D$9=""),"Nhập liệu!",IF(OR(N15&gt;J15,U15&gt;J15),"Còn lỗi!",IF(AND(J15&gt;0,N15=""),"Không có GV dạy MG 5 tuổi",IF(OR(AND(C15&gt;0,OR(D15="",E15="",F15="")),AND(N15&gt;0,OR(O15="",P15="",Q15="",S15="",T15="",U15=""))),"Còn lỗi!","Hoàn thành!"))))</f>
        <v>Nhập liệu!</v>
      </c>
    </row>
    <row r="16" spans="1:23" s="129" customFormat="1" ht="20.25" customHeight="1" x14ac:dyDescent="0.2">
      <c r="A16" s="197">
        <v>5</v>
      </c>
      <c r="B16" s="197" t="s">
        <v>324</v>
      </c>
      <c r="C16" s="198">
        <f t="shared" si="1"/>
        <v>0</v>
      </c>
      <c r="D16" s="199"/>
      <c r="E16" s="199"/>
      <c r="F16" s="199"/>
      <c r="G16" s="199"/>
      <c r="H16" s="199"/>
      <c r="I16" s="199"/>
      <c r="J16" s="199"/>
      <c r="K16" s="199"/>
      <c r="L16" s="198" t="str">
        <f>IF(OR(J16=0,('TKe-CSVC-MN'!E16+'TKe-CSVC-MN'!H16)=0),"",J16/('TKe-CSVC-MN'!E16+'TKe-CSVC-MN'!H16))</f>
        <v/>
      </c>
      <c r="M16" s="199"/>
      <c r="N16" s="199"/>
      <c r="O16" s="199"/>
      <c r="P16" s="199"/>
      <c r="Q16" s="199"/>
      <c r="R16" s="199"/>
      <c r="S16" s="199"/>
      <c r="T16" s="199"/>
      <c r="U16" s="199"/>
      <c r="V16" s="143" t="str">
        <f>IF(OR(AND(C16=0,D16="",E16="",F16="",N16="",O16="",P16="",Q16="",S16=0,T16=0,U16=0),AND(C16&gt;0,D16="",E16="",F16="",N16="",O16="",P16="",Q16="",S16+T16&gt;0,U16&gt;0),Chinh!$D$9=""),"Nhập liệu!",IF(OR(N16&gt;J16,U16&gt;J16),"Còn lỗi!",IF(AND(J16&gt;0,N16=""),"Không có GV dạy MG 5 tuổi",IF(OR(AND(C16&gt;0,OR(D16="",E16="",F16="")),AND(N16&gt;0,OR(O16="",P16="",Q16="",S16="",T16="",U16=""))),"Còn lỗi!","Hoàn thành!"))))</f>
        <v>Nhập liệu!</v>
      </c>
    </row>
    <row r="17" spans="1:24" s="129" customFormat="1" ht="20.25" customHeight="1" x14ac:dyDescent="0.2">
      <c r="A17" s="197">
        <v>6</v>
      </c>
      <c r="B17" s="197" t="s">
        <v>325</v>
      </c>
      <c r="C17" s="198">
        <f t="shared" si="1"/>
        <v>0</v>
      </c>
      <c r="D17" s="199"/>
      <c r="E17" s="199"/>
      <c r="F17" s="199"/>
      <c r="G17" s="199"/>
      <c r="H17" s="199"/>
      <c r="I17" s="199"/>
      <c r="J17" s="199"/>
      <c r="K17" s="199"/>
      <c r="L17" s="198" t="str">
        <f>IF(OR(J17=0,('TKe-CSVC-MN'!E17+'TKe-CSVC-MN'!H17)=0),"",J17/('TKe-CSVC-MN'!E17+'TKe-CSVC-MN'!H17))</f>
        <v/>
      </c>
      <c r="M17" s="199"/>
      <c r="N17" s="199"/>
      <c r="O17" s="199"/>
      <c r="P17" s="199"/>
      <c r="Q17" s="199"/>
      <c r="R17" s="199"/>
      <c r="S17" s="199"/>
      <c r="T17" s="199"/>
      <c r="U17" s="199"/>
      <c r="V17" s="143" t="str">
        <f>IF(OR(AND(C17=0,D17="",E17="",F17="",N17="",O17="",P17="",Q17="",S17=0,T17=0,U17=0),AND(C17&gt;0,D17="",E17="",F17="",N17="",O17="",P17="",Q17="",S17+T17&gt;0,U17&gt;0),Chinh!$D$9=""),"Nhập liệu!",IF(OR(N17&gt;J17,U17&gt;J17),"Còn lỗi!",IF(AND(J17&gt;0,N17=""),"Không có GV dạy MG 5 tuổi",IF(OR(AND(C17&gt;0,OR(D17="",E17="",F17="")),AND(N17&gt;0,OR(O17="",P17="",Q17="",S17="",T17="",U17=""))),"Còn lỗi!","Hoàn thành!"))))</f>
        <v>Nhập liệu!</v>
      </c>
    </row>
    <row r="18" spans="1:24" s="129" customFormat="1" ht="20.25" customHeight="1" x14ac:dyDescent="0.2">
      <c r="A18" s="197">
        <v>7</v>
      </c>
      <c r="B18" s="197" t="s">
        <v>326</v>
      </c>
      <c r="C18" s="198">
        <f t="shared" si="1"/>
        <v>0</v>
      </c>
      <c r="D18" s="199"/>
      <c r="E18" s="199"/>
      <c r="F18" s="199"/>
      <c r="G18" s="199"/>
      <c r="H18" s="199"/>
      <c r="I18" s="199"/>
      <c r="J18" s="199"/>
      <c r="K18" s="199"/>
      <c r="L18" s="198" t="str">
        <f>IF(OR(J18=0,('TKe-CSVC-MN'!E18+'TKe-CSVC-MN'!H18)=0),"",J18/('TKe-CSVC-MN'!E18+'TKe-CSVC-MN'!H18))</f>
        <v/>
      </c>
      <c r="M18" s="199"/>
      <c r="N18" s="199"/>
      <c r="O18" s="199"/>
      <c r="P18" s="199"/>
      <c r="Q18" s="199"/>
      <c r="R18" s="199"/>
      <c r="S18" s="199"/>
      <c r="T18" s="199"/>
      <c r="U18" s="199"/>
      <c r="V18" s="143" t="str">
        <f>IF(OR(AND(C18=0,D18="",E18="",F18="",N18="",O18="",P18="",Q18="",S18=0,T18=0,U18=0),AND(C18&gt;0,D18="",E18="",F18="",N18="",O18="",P18="",Q18="",S18+T18&gt;0,U18&gt;0),Chinh!$D$9=""),"Nhập liệu!",IF(OR(N18&gt;J18,U18&gt;J18),"Còn lỗi!",IF(AND(J18&gt;0,N18=""),"Không có GV dạy MG 5 tuổi",IF(OR(AND(C18&gt;0,OR(D18="",E18="",F18="")),AND(N18&gt;0,OR(O18="",P18="",Q18="",S18="",T18="",U18=""))),"Còn lỗi!","Hoàn thành!"))))</f>
        <v>Nhập liệu!</v>
      </c>
    </row>
    <row r="19" spans="1:24" s="129" customFormat="1" ht="20.25" customHeight="1" x14ac:dyDescent="0.2">
      <c r="A19" s="197">
        <v>8</v>
      </c>
      <c r="B19" s="197" t="s">
        <v>327</v>
      </c>
      <c r="C19" s="198">
        <f t="shared" si="1"/>
        <v>0</v>
      </c>
      <c r="D19" s="199"/>
      <c r="E19" s="199"/>
      <c r="F19" s="199"/>
      <c r="G19" s="199"/>
      <c r="H19" s="199"/>
      <c r="I19" s="199"/>
      <c r="J19" s="199"/>
      <c r="K19" s="199"/>
      <c r="L19" s="198" t="str">
        <f>IF(OR(J19=0,('TKe-CSVC-MN'!E19+'TKe-CSVC-MN'!H19)=0),"",J19/('TKe-CSVC-MN'!E19+'TKe-CSVC-MN'!H19))</f>
        <v/>
      </c>
      <c r="M19" s="199"/>
      <c r="N19" s="199"/>
      <c r="O19" s="199"/>
      <c r="P19" s="199"/>
      <c r="Q19" s="199"/>
      <c r="R19" s="199"/>
      <c r="S19" s="199"/>
      <c r="T19" s="199"/>
      <c r="U19" s="199"/>
      <c r="V19" s="143" t="str">
        <f>IF(OR(AND(C19=0,D19="",E19="",F19="",N19="",O19="",P19="",Q19="",S19=0,T19=0,U19=0),AND(C19&gt;0,D19="",E19="",F19="",N19="",O19="",P19="",Q19="",S19+T19&gt;0,U19&gt;0),Chinh!$D$9=""),"Nhập liệu!",IF(OR(N19&gt;J19,U19&gt;J19),"Còn lỗi!",IF(AND(J19&gt;0,N19=""),"Không có GV dạy MG 5 tuổi",IF(OR(AND(C19&gt;0,OR(D19="",E19="",F19="")),AND(N19&gt;0,OR(O19="",P19="",Q19="",S19="",T19="",U19=""))),"Còn lỗi!","Hoàn thành!"))))</f>
        <v>Nhập liệu!</v>
      </c>
    </row>
    <row r="20" spans="1:24" s="129" customFormat="1" ht="20.25" customHeight="1" x14ac:dyDescent="0.2">
      <c r="A20" s="197">
        <v>9</v>
      </c>
      <c r="B20" s="197" t="s">
        <v>328</v>
      </c>
      <c r="C20" s="198">
        <f t="shared" si="1"/>
        <v>0</v>
      </c>
      <c r="D20" s="199"/>
      <c r="E20" s="199"/>
      <c r="F20" s="199"/>
      <c r="G20" s="199"/>
      <c r="H20" s="199"/>
      <c r="I20" s="199"/>
      <c r="J20" s="199"/>
      <c r="K20" s="199"/>
      <c r="L20" s="198" t="str">
        <f>IF(OR(J20=0,('TKe-CSVC-MN'!E20+'TKe-CSVC-MN'!H20)=0),"",J20/('TKe-CSVC-MN'!E20+'TKe-CSVC-MN'!H20))</f>
        <v/>
      </c>
      <c r="M20" s="199"/>
      <c r="N20" s="199"/>
      <c r="O20" s="199"/>
      <c r="P20" s="199"/>
      <c r="Q20" s="199"/>
      <c r="R20" s="199"/>
      <c r="S20" s="199"/>
      <c r="T20" s="199"/>
      <c r="U20" s="199"/>
      <c r="V20" s="143" t="str">
        <f>IF(OR(AND(C20=0,D20="",E20="",F20="",N20="",O20="",P20="",Q20="",S20=0,T20=0,U20=0),AND(C20&gt;0,D20="",E20="",F20="",N20="",O20="",P20="",Q20="",S20+T20&gt;0,U20&gt;0),Chinh!$D$9=""),"Nhập liệu!",IF(OR(N20&gt;J20,U20&gt;J20),"Còn lỗi!",IF(AND(J20&gt;0,N20=""),"Không có GV dạy MG 5 tuổi",IF(OR(AND(C20&gt;0,OR(D20="",E20="",F20="")),AND(N20&gt;0,OR(O20="",P20="",Q20="",S20="",T20="",U20=""))),"Còn lỗi!","Hoàn thành!"))))</f>
        <v>Nhập liệu!</v>
      </c>
    </row>
    <row r="21" spans="1:24" s="129" customFormat="1" ht="20.25" customHeight="1" x14ac:dyDescent="0.2">
      <c r="A21" s="197">
        <v>10</v>
      </c>
      <c r="B21" s="197" t="s">
        <v>329</v>
      </c>
      <c r="C21" s="198">
        <f t="shared" si="1"/>
        <v>0</v>
      </c>
      <c r="D21" s="199"/>
      <c r="E21" s="199"/>
      <c r="F21" s="199"/>
      <c r="G21" s="199"/>
      <c r="H21" s="199"/>
      <c r="I21" s="199"/>
      <c r="J21" s="199"/>
      <c r="K21" s="199"/>
      <c r="L21" s="198" t="str">
        <f>IF(OR(J21=0,('TKe-CSVC-MN'!E21+'TKe-CSVC-MN'!H21)=0),"",J21/('TKe-CSVC-MN'!E21+'TKe-CSVC-MN'!H21))</f>
        <v/>
      </c>
      <c r="M21" s="199"/>
      <c r="N21" s="199"/>
      <c r="O21" s="199"/>
      <c r="P21" s="199"/>
      <c r="Q21" s="199"/>
      <c r="R21" s="199"/>
      <c r="S21" s="199"/>
      <c r="T21" s="199"/>
      <c r="U21" s="199"/>
      <c r="V21" s="143" t="str">
        <f>IF(OR(AND(C21=0,D21="",E21="",F21="",N21="",O21="",P21="",Q21="",S21=0,T21=0,U21=0),AND(C21&gt;0,D21="",E21="",F21="",N21="",O21="",P21="",Q21="",S21+T21&gt;0,U21&gt;0),Chinh!$D$9=""),"Nhập liệu!",IF(OR(N21&gt;J21,U21&gt;J21),"Còn lỗi!",IF(AND(J21&gt;0,N21=""),"Không có GV dạy MG 5 tuổi",IF(OR(AND(C21&gt;0,OR(D21="",E21="",F21="")),AND(N21&gt;0,OR(O21="",P21="",Q21="",S21="",T21="",U21=""))),"Còn lỗi!","Hoàn thành!"))))</f>
        <v>Nhập liệu!</v>
      </c>
    </row>
    <row r="22" spans="1:24" s="129" customFormat="1" ht="20.25" customHeight="1" x14ac:dyDescent="0.2">
      <c r="A22" s="197">
        <v>11</v>
      </c>
      <c r="B22" s="197" t="s">
        <v>330</v>
      </c>
      <c r="C22" s="198">
        <f t="shared" si="1"/>
        <v>0</v>
      </c>
      <c r="D22" s="199"/>
      <c r="E22" s="199"/>
      <c r="F22" s="199"/>
      <c r="G22" s="199"/>
      <c r="H22" s="199"/>
      <c r="I22" s="199"/>
      <c r="J22" s="199"/>
      <c r="K22" s="199"/>
      <c r="L22" s="198" t="str">
        <f>IF(OR(J22=0,('TKe-CSVC-MN'!E22+'TKe-CSVC-MN'!H22)=0),"",J22/('TKe-CSVC-MN'!E22+'TKe-CSVC-MN'!H22))</f>
        <v/>
      </c>
      <c r="M22" s="199"/>
      <c r="N22" s="199"/>
      <c r="O22" s="199"/>
      <c r="P22" s="199"/>
      <c r="Q22" s="199"/>
      <c r="R22" s="199"/>
      <c r="S22" s="199"/>
      <c r="T22" s="199"/>
      <c r="U22" s="199"/>
      <c r="V22" s="143" t="str">
        <f>IF(OR(AND(C22=0,D22="",E22="",F22="",N22="",O22="",P22="",Q22="",S22=0,T22=0,U22=0),AND(C22&gt;0,D22="",E22="",F22="",N22="",O22="",P22="",Q22="",S22+T22&gt;0,U22&gt;0),Chinh!$D$9=""),"Nhập liệu!",IF(OR(N22&gt;J22,U22&gt;J22),"Còn lỗi!",IF(AND(J22&gt;0,N22=""),"Không có GV dạy MG 5 tuổi",IF(OR(AND(C22&gt;0,OR(D22="",E22="",F22="")),AND(N22&gt;0,OR(O22="",P22="",Q22="",S22="",T22="",U22=""))),"Còn lỗi!","Hoàn thành!"))))</f>
        <v>Nhập liệu!</v>
      </c>
    </row>
    <row r="23" spans="1:24" s="129" customFormat="1" ht="20.25" customHeight="1" x14ac:dyDescent="0.2">
      <c r="A23" s="197">
        <v>12</v>
      </c>
      <c r="B23" s="197" t="s">
        <v>331</v>
      </c>
      <c r="C23" s="198">
        <f t="shared" si="1"/>
        <v>0</v>
      </c>
      <c r="D23" s="199"/>
      <c r="E23" s="199"/>
      <c r="F23" s="199"/>
      <c r="G23" s="199"/>
      <c r="H23" s="199"/>
      <c r="I23" s="199"/>
      <c r="J23" s="199"/>
      <c r="K23" s="199"/>
      <c r="L23" s="198" t="str">
        <f>IF(OR(J23=0,('TKe-CSVC-MN'!E23+'TKe-CSVC-MN'!H23)=0),"",J23/('TKe-CSVC-MN'!E23+'TKe-CSVC-MN'!H23))</f>
        <v/>
      </c>
      <c r="M23" s="199"/>
      <c r="N23" s="199"/>
      <c r="O23" s="199"/>
      <c r="P23" s="199"/>
      <c r="Q23" s="199"/>
      <c r="R23" s="199"/>
      <c r="S23" s="199"/>
      <c r="T23" s="199"/>
      <c r="U23" s="199"/>
      <c r="V23" s="143" t="str">
        <f>IF(OR(AND(C23=0,D23="",E23="",F23="",N23="",O23="",P23="",Q23="",S23=0,T23=0,U23=0),AND(C23&gt;0,D23="",E23="",F23="",N23="",O23="",P23="",Q23="",S23+T23&gt;0,U23&gt;0),Chinh!$D$9=""),"Nhập liệu!",IF(OR(N23&gt;J23,U23&gt;J23),"Còn lỗi!",IF(AND(J23&gt;0,N23=""),"Không có GV dạy MG 5 tuổi",IF(OR(AND(C23&gt;0,OR(D23="",E23="",F23="")),AND(N23&gt;0,OR(O23="",P23="",Q23="",S23="",T23="",U23=""))),"Còn lỗi!","Hoàn thành!"))))</f>
        <v>Nhập liệu!</v>
      </c>
    </row>
    <row r="24" spans="1:24" ht="20.25" customHeight="1" x14ac:dyDescent="0.2">
      <c r="A24" s="202"/>
      <c r="B24" s="202" t="s">
        <v>318</v>
      </c>
      <c r="C24" s="201">
        <f>SUM(C12:C23)</f>
        <v>0</v>
      </c>
      <c r="D24" s="201">
        <f t="shared" ref="D24:M24" si="2">SUM(D12:D23)</f>
        <v>0</v>
      </c>
      <c r="E24" s="201">
        <f t="shared" si="2"/>
        <v>0</v>
      </c>
      <c r="F24" s="201">
        <f t="shared" si="2"/>
        <v>0</v>
      </c>
      <c r="G24" s="201">
        <f t="shared" si="2"/>
        <v>0</v>
      </c>
      <c r="H24" s="201">
        <f t="shared" si="2"/>
        <v>0</v>
      </c>
      <c r="I24" s="201">
        <f t="shared" si="2"/>
        <v>0</v>
      </c>
      <c r="J24" s="201">
        <f t="shared" si="2"/>
        <v>0</v>
      </c>
      <c r="K24" s="201">
        <f t="shared" si="2"/>
        <v>0</v>
      </c>
      <c r="L24" s="198" t="str">
        <f>IF(OR(J24=0,('TKe-CSVC-MN'!E24+'TKe-CSVC-MN'!H24)=0),"",J24/('TKe-CSVC-MN'!E24+'TKe-CSVC-MN'!H24))</f>
        <v/>
      </c>
      <c r="M24" s="201">
        <f t="shared" si="2"/>
        <v>0</v>
      </c>
      <c r="N24" s="201">
        <f>SUM(N12:N23)</f>
        <v>0</v>
      </c>
      <c r="O24" s="201">
        <f>SUM(O12:O23)</f>
        <v>0</v>
      </c>
      <c r="P24" s="201">
        <f>SUM(P12:P23)</f>
        <v>0</v>
      </c>
      <c r="Q24" s="201">
        <f>SUM(Q12:Q23)</f>
        <v>0</v>
      </c>
      <c r="R24" s="201" t="str">
        <f>IF(OR(N24=0,'TKe-CSVC-MN'!E24=0),"",N24/'TKe-CSVC-MN'!E24)</f>
        <v/>
      </c>
      <c r="S24" s="201">
        <f>SUM(S12:S23)</f>
        <v>0</v>
      </c>
      <c r="T24" s="201">
        <f>SUM(T12:T23)</f>
        <v>0</v>
      </c>
      <c r="U24" s="201">
        <f>SUM(U12:U23)</f>
        <v>0</v>
      </c>
      <c r="V24" s="138"/>
    </row>
    <row r="25" spans="1:24" ht="12.75" customHeight="1" x14ac:dyDescent="0.25">
      <c r="A25" s="145"/>
      <c r="B25" s="145"/>
      <c r="C25" s="145"/>
      <c r="D25" s="145"/>
      <c r="E25" s="145"/>
      <c r="F25" s="145"/>
      <c r="G25" s="145"/>
      <c r="H25" s="145"/>
      <c r="I25" s="145"/>
      <c r="J25" s="145"/>
      <c r="K25" s="145"/>
      <c r="L25" s="145"/>
      <c r="M25" s="145"/>
      <c r="N25" s="145"/>
      <c r="O25" s="145"/>
      <c r="P25" s="146"/>
      <c r="Q25" s="145"/>
      <c r="R25" s="145"/>
      <c r="S25" s="147"/>
      <c r="T25" s="147"/>
      <c r="U25" s="147"/>
    </row>
    <row r="26" spans="1:24" s="152" customFormat="1" ht="15" customHeight="1" x14ac:dyDescent="0.25">
      <c r="A26" s="149"/>
      <c r="B26" s="149"/>
      <c r="C26" s="149"/>
      <c r="D26" s="149"/>
      <c r="E26" s="149"/>
      <c r="F26" s="149"/>
      <c r="G26" s="149"/>
      <c r="H26" s="149"/>
      <c r="I26" s="149"/>
      <c r="J26" s="149"/>
      <c r="K26" s="149"/>
      <c r="L26" s="149"/>
      <c r="M26" s="149"/>
      <c r="N26" s="149"/>
      <c r="O26" s="641" t="s">
        <v>361</v>
      </c>
      <c r="P26" s="641"/>
      <c r="Q26" s="641"/>
      <c r="R26" s="641"/>
      <c r="S26" s="641"/>
      <c r="T26" s="641"/>
      <c r="U26" s="641"/>
      <c r="V26" s="150"/>
      <c r="W26" s="151"/>
      <c r="X26" s="151"/>
    </row>
    <row r="27" spans="1:24" s="152" customFormat="1" ht="15" customHeight="1" x14ac:dyDescent="0.25">
      <c r="A27" s="149"/>
      <c r="B27" s="153" t="s">
        <v>319</v>
      </c>
      <c r="C27" s="154"/>
      <c r="D27" s="154"/>
      <c r="E27" s="149"/>
      <c r="G27" s="211" t="s">
        <v>320</v>
      </c>
      <c r="H27" s="149"/>
      <c r="I27" s="149"/>
      <c r="J27" s="149"/>
      <c r="K27" s="149"/>
      <c r="L27" s="149"/>
      <c r="M27" s="149"/>
      <c r="N27" s="149"/>
      <c r="O27" s="149"/>
      <c r="P27" s="153" t="s">
        <v>321</v>
      </c>
      <c r="Q27" s="154"/>
      <c r="R27" s="154"/>
      <c r="S27" s="154"/>
      <c r="T27" s="154"/>
      <c r="U27" s="154"/>
      <c r="V27" s="150"/>
    </row>
    <row r="28" spans="1:24" ht="14.25" customHeight="1" x14ac:dyDescent="0.2">
      <c r="A28" s="155"/>
      <c r="B28" s="155"/>
      <c r="C28" s="155"/>
      <c r="D28" s="155"/>
      <c r="E28" s="155"/>
      <c r="F28" s="155"/>
      <c r="G28" s="155"/>
      <c r="H28" s="155"/>
      <c r="I28" s="155"/>
      <c r="J28" s="155"/>
      <c r="K28" s="155"/>
      <c r="L28" s="155"/>
      <c r="M28" s="155"/>
      <c r="N28" s="155"/>
      <c r="O28" s="155"/>
      <c r="P28" s="155"/>
      <c r="Q28" s="155"/>
      <c r="R28" s="155"/>
      <c r="S28" s="155"/>
      <c r="T28" s="155"/>
      <c r="U28" s="156"/>
    </row>
    <row r="29" spans="1:24" ht="14.25" customHeight="1" x14ac:dyDescent="0.2">
      <c r="A29" s="155"/>
      <c r="B29" s="155"/>
      <c r="C29" s="155"/>
      <c r="D29" s="155"/>
      <c r="E29" s="155"/>
      <c r="F29" s="155"/>
      <c r="G29" s="155"/>
      <c r="H29" s="155"/>
      <c r="I29" s="155"/>
      <c r="J29" s="155"/>
      <c r="K29" s="155"/>
      <c r="L29" s="155"/>
      <c r="M29" s="155"/>
      <c r="N29" s="155"/>
      <c r="O29" s="155"/>
      <c r="P29" s="155"/>
      <c r="Q29" s="155"/>
      <c r="R29" s="155"/>
      <c r="S29" s="155"/>
      <c r="T29" s="155"/>
      <c r="U29" s="156"/>
    </row>
    <row r="30" spans="1:24" ht="14.25" customHeight="1" x14ac:dyDescent="0.2">
      <c r="A30" s="155"/>
      <c r="B30" s="155"/>
      <c r="C30" s="155"/>
      <c r="D30" s="155"/>
      <c r="E30" s="155"/>
      <c r="F30" s="155"/>
      <c r="G30" s="155"/>
      <c r="H30" s="155"/>
      <c r="I30" s="155"/>
      <c r="J30" s="155"/>
      <c r="K30" s="155"/>
      <c r="L30" s="155"/>
      <c r="M30" s="155"/>
      <c r="N30" s="155"/>
      <c r="O30" s="155"/>
      <c r="P30" s="155"/>
      <c r="Q30" s="155"/>
      <c r="R30" s="155"/>
      <c r="S30" s="155"/>
      <c r="T30" s="155"/>
      <c r="U30" s="156"/>
    </row>
    <row r="31" spans="1:24" ht="14.25" customHeight="1" x14ac:dyDescent="0.2"/>
    <row r="32" spans="1:24" ht="14.25" customHeight="1" x14ac:dyDescent="0.25">
      <c r="B32" s="216" t="str">
        <f>IF(Chinh!$C$37="","",Chinh!$C$37)</f>
        <v>…………</v>
      </c>
      <c r="G32" s="216" t="str">
        <f>IF(Chinh!$L$37="","",Chinh!$L$37)</f>
        <v>………………..</v>
      </c>
      <c r="Q32" s="210"/>
    </row>
  </sheetData>
  <sheetProtection algorithmName="SHA-512" hashValue="T1u5iVAqXmPGy6UCi5T0Z73T+uR4cgSEetZPwvxERQCvuKl6eW1HKd0xc46UXWgc3snT/vP5eop8t4MeNLYMxA==" saltValue="gjfHx4vQQ3nfh542jvJ/Yw==" spinCount="100000" sheet="1" objects="1" scenarios="1" formatCells="0" formatColumns="0" formatRows="0" insertRows="0"/>
  <mergeCells count="21">
    <mergeCell ref="O26:U26"/>
    <mergeCell ref="O6:O7"/>
    <mergeCell ref="P6:Q6"/>
    <mergeCell ref="R6:R7"/>
    <mergeCell ref="S6:T6"/>
    <mergeCell ref="U6:U7"/>
    <mergeCell ref="A1:B1"/>
    <mergeCell ref="C1:R1"/>
    <mergeCell ref="A2:B2"/>
    <mergeCell ref="I3:J3"/>
    <mergeCell ref="A11:B11"/>
    <mergeCell ref="A5:A7"/>
    <mergeCell ref="B5:B7"/>
    <mergeCell ref="C5:M5"/>
    <mergeCell ref="N5:U5"/>
    <mergeCell ref="C6:C7"/>
    <mergeCell ref="D6:D7"/>
    <mergeCell ref="E6:F6"/>
    <mergeCell ref="G6:I6"/>
    <mergeCell ref="J6:L6"/>
    <mergeCell ref="N6:N7"/>
  </mergeCells>
  <conditionalFormatting sqref="B9:B10 A9:A20 A21:B24 B12:B23">
    <cfRule type="cellIs" dxfId="105" priority="21" stopIfTrue="1" operator="between">
      <formula>0</formula>
      <formula>0</formula>
    </cfRule>
  </conditionalFormatting>
  <conditionalFormatting sqref="I3">
    <cfRule type="cellIs" dxfId="104" priority="19" stopIfTrue="1" operator="between">
      <formula>"Còn lỗi!"</formula>
      <formula>"Còn lỗi!"</formula>
    </cfRule>
    <cfRule type="cellIs" dxfId="103" priority="20" stopIfTrue="1" operator="between">
      <formula>"Nhập liệu!"</formula>
      <formula>"Nhập liệu!"</formula>
    </cfRule>
  </conditionalFormatting>
  <conditionalFormatting sqref="V9:V24">
    <cfRule type="cellIs" dxfId="102" priority="18" stopIfTrue="1" operator="between">
      <formula>"Không có GV dạy MG 5 tuổi"</formula>
      <formula>"Không có GV dạy MG 5 tuổi"</formula>
    </cfRule>
  </conditionalFormatting>
  <conditionalFormatting sqref="B9:B10 A9:A20 A21:B24 C11:U24 B12:B23">
    <cfRule type="cellIs" dxfId="101" priority="17" stopIfTrue="1" operator="between">
      <formula>0</formula>
      <formula>0</formula>
    </cfRule>
  </conditionalFormatting>
  <conditionalFormatting sqref="D9:F9 P9:Q9">
    <cfRule type="cellIs" dxfId="100" priority="1" operator="between">
      <formula>""</formula>
      <formula>""</formula>
    </cfRule>
    <cfRule type="cellIs" dxfId="99" priority="16" stopIfTrue="1" operator="between">
      <formula>""""""</formula>
      <formula>""</formula>
    </cfRule>
  </conditionalFormatting>
  <conditionalFormatting sqref="B32">
    <cfRule type="cellIs" dxfId="98" priority="15" stopIfTrue="1" operator="between">
      <formula>"…………."</formula>
      <formula>"…………."</formula>
    </cfRule>
  </conditionalFormatting>
  <conditionalFormatting sqref="B32">
    <cfRule type="cellIs" dxfId="97" priority="14" stopIfTrue="1" operator="between">
      <formula>""</formula>
      <formula>""</formula>
    </cfRule>
  </conditionalFormatting>
  <conditionalFormatting sqref="G32">
    <cfRule type="cellIs" dxfId="96" priority="11" stopIfTrue="1" operator="between">
      <formula>"…………."</formula>
      <formula>"…………."</formula>
    </cfRule>
  </conditionalFormatting>
  <conditionalFormatting sqref="G32">
    <cfRule type="cellIs" dxfId="95" priority="10" stopIfTrue="1" operator="between">
      <formula>""</formula>
      <formula>""</formula>
    </cfRule>
  </conditionalFormatting>
  <conditionalFormatting sqref="G32">
    <cfRule type="cellIs" dxfId="94" priority="9" stopIfTrue="1" operator="between">
      <formula>""</formula>
      <formula>""</formula>
    </cfRule>
  </conditionalFormatting>
  <conditionalFormatting sqref="G32">
    <cfRule type="cellIs" dxfId="93" priority="8" stopIfTrue="1" operator="between">
      <formula>""</formula>
      <formula>""</formula>
    </cfRule>
  </conditionalFormatting>
  <conditionalFormatting sqref="Q32">
    <cfRule type="cellIs" dxfId="92" priority="7" stopIfTrue="1" operator="between">
      <formula>"…………."</formula>
      <formula>"…………."</formula>
    </cfRule>
  </conditionalFormatting>
  <conditionalFormatting sqref="Q32">
    <cfRule type="cellIs" dxfId="91" priority="6" stopIfTrue="1" operator="between">
      <formula>""</formula>
      <formula>""</formula>
    </cfRule>
  </conditionalFormatting>
  <conditionalFormatting sqref="Q32">
    <cfRule type="cellIs" dxfId="90" priority="5" stopIfTrue="1" operator="between">
      <formula>""</formula>
      <formula>""</formula>
    </cfRule>
  </conditionalFormatting>
  <conditionalFormatting sqref="Q32">
    <cfRule type="cellIs" dxfId="89" priority="4" stopIfTrue="1" operator="between">
      <formula>""</formula>
      <formula>""</formula>
    </cfRule>
  </conditionalFormatting>
  <conditionalFormatting sqref="C9:U9">
    <cfRule type="cellIs" dxfId="88" priority="3" operator="between">
      <formula>0</formula>
      <formula>0</formula>
    </cfRule>
  </conditionalFormatting>
  <conditionalFormatting sqref="O9">
    <cfRule type="cellIs" dxfId="87" priority="2" stopIfTrue="1" operator="between">
      <formula>""""""</formula>
      <formula>""</formula>
    </cfRule>
  </conditionalFormatting>
  <printOptions horizontalCentered="1"/>
  <pageMargins left="0.2" right="0.2" top="0.39370078740157499" bottom="0.39370078740157499" header="0.39370078740157499" footer="0.39370078740157499"/>
  <pageSetup paperSize="9" scale="90"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3399"/>
  </sheetPr>
  <dimension ref="A1:Z34"/>
  <sheetViews>
    <sheetView showGridLines="0" workbookViewId="0">
      <selection activeCell="E9" sqref="E9"/>
    </sheetView>
  </sheetViews>
  <sheetFormatPr defaultRowHeight="12.75" customHeight="1" x14ac:dyDescent="0.2"/>
  <cols>
    <col min="1" max="1" width="3.625" style="160" customWidth="1"/>
    <col min="2" max="2" width="19.5" style="194" customWidth="1"/>
    <col min="3" max="3" width="5.25" style="160" customWidth="1"/>
    <col min="4" max="4" width="5.75" style="160" customWidth="1"/>
    <col min="5" max="5" width="5.5" style="160" customWidth="1"/>
    <col min="6" max="7" width="5.5" style="195" customWidth="1"/>
    <col min="8" max="8" width="5.375" style="160" customWidth="1"/>
    <col min="9" max="9" width="6" style="160" customWidth="1"/>
    <col min="10" max="10" width="4.875" style="160" customWidth="1"/>
    <col min="11" max="11" width="4.375" style="160" customWidth="1"/>
    <col min="12" max="12" width="6" style="160" customWidth="1"/>
    <col min="13" max="13" width="4.125" style="160" customWidth="1"/>
    <col min="14" max="14" width="6" style="160" customWidth="1"/>
    <col min="15" max="15" width="4.25" style="160" customWidth="1"/>
    <col min="16" max="16" width="6.875" style="160" customWidth="1"/>
    <col min="17" max="17" width="4.875" style="160" customWidth="1"/>
    <col min="18" max="18" width="5.5" style="160" customWidth="1"/>
    <col min="19" max="19" width="4.625" style="160" customWidth="1"/>
    <col min="20" max="20" width="4" style="160" customWidth="1"/>
    <col min="21" max="21" width="5" style="160" customWidth="1"/>
    <col min="22" max="22" width="5.75" style="160" customWidth="1"/>
    <col min="23" max="23" width="3.5" style="171" hidden="1" customWidth="1"/>
    <col min="24" max="24" width="0" style="160" hidden="1" customWidth="1"/>
    <col min="25" max="256" width="9" style="160"/>
    <col min="257" max="257" width="3.625" style="160" customWidth="1"/>
    <col min="258" max="258" width="18.25" style="160" customWidth="1"/>
    <col min="259" max="259" width="5.25" style="160" customWidth="1"/>
    <col min="260" max="260" width="5.75" style="160" customWidth="1"/>
    <col min="261" max="263" width="5.5" style="160" customWidth="1"/>
    <col min="264" max="264" width="5.375" style="160" customWidth="1"/>
    <col min="265" max="265" width="6" style="160" customWidth="1"/>
    <col min="266" max="266" width="4.875" style="160" customWidth="1"/>
    <col min="267" max="267" width="4.375" style="160" customWidth="1"/>
    <col min="268" max="268" width="6" style="160" customWidth="1"/>
    <col min="269" max="269" width="4.125" style="160" customWidth="1"/>
    <col min="270" max="270" width="6" style="160" customWidth="1"/>
    <col min="271" max="271" width="4.25" style="160" customWidth="1"/>
    <col min="272" max="272" width="6.5" style="160" customWidth="1"/>
    <col min="273" max="273" width="4.875" style="160" customWidth="1"/>
    <col min="274" max="274" width="5.5" style="160" customWidth="1"/>
    <col min="275" max="275" width="4.625" style="160" customWidth="1"/>
    <col min="276" max="276" width="4" style="160" customWidth="1"/>
    <col min="277" max="277" width="4.5" style="160" customWidth="1"/>
    <col min="278" max="278" width="5.125" style="160" customWidth="1"/>
    <col min="279" max="279" width="0" style="160" hidden="1" customWidth="1"/>
    <col min="280" max="512" width="9" style="160"/>
    <col min="513" max="513" width="3.625" style="160" customWidth="1"/>
    <col min="514" max="514" width="18.25" style="160" customWidth="1"/>
    <col min="515" max="515" width="5.25" style="160" customWidth="1"/>
    <col min="516" max="516" width="5.75" style="160" customWidth="1"/>
    <col min="517" max="519" width="5.5" style="160" customWidth="1"/>
    <col min="520" max="520" width="5.375" style="160" customWidth="1"/>
    <col min="521" max="521" width="6" style="160" customWidth="1"/>
    <col min="522" max="522" width="4.875" style="160" customWidth="1"/>
    <col min="523" max="523" width="4.375" style="160" customWidth="1"/>
    <col min="524" max="524" width="6" style="160" customWidth="1"/>
    <col min="525" max="525" width="4.125" style="160" customWidth="1"/>
    <col min="526" max="526" width="6" style="160" customWidth="1"/>
    <col min="527" max="527" width="4.25" style="160" customWidth="1"/>
    <col min="528" max="528" width="6.5" style="160" customWidth="1"/>
    <col min="529" max="529" width="4.875" style="160" customWidth="1"/>
    <col min="530" max="530" width="5.5" style="160" customWidth="1"/>
    <col min="531" max="531" width="4.625" style="160" customWidth="1"/>
    <col min="532" max="532" width="4" style="160" customWidth="1"/>
    <col min="533" max="533" width="4.5" style="160" customWidth="1"/>
    <col min="534" max="534" width="5.125" style="160" customWidth="1"/>
    <col min="535" max="535" width="0" style="160" hidden="1" customWidth="1"/>
    <col min="536" max="768" width="9" style="160"/>
    <col min="769" max="769" width="3.625" style="160" customWidth="1"/>
    <col min="770" max="770" width="18.25" style="160" customWidth="1"/>
    <col min="771" max="771" width="5.25" style="160" customWidth="1"/>
    <col min="772" max="772" width="5.75" style="160" customWidth="1"/>
    <col min="773" max="775" width="5.5" style="160" customWidth="1"/>
    <col min="776" max="776" width="5.375" style="160" customWidth="1"/>
    <col min="777" max="777" width="6" style="160" customWidth="1"/>
    <col min="778" max="778" width="4.875" style="160" customWidth="1"/>
    <col min="779" max="779" width="4.375" style="160" customWidth="1"/>
    <col min="780" max="780" width="6" style="160" customWidth="1"/>
    <col min="781" max="781" width="4.125" style="160" customWidth="1"/>
    <col min="782" max="782" width="6" style="160" customWidth="1"/>
    <col min="783" max="783" width="4.25" style="160" customWidth="1"/>
    <col min="784" max="784" width="6.5" style="160" customWidth="1"/>
    <col min="785" max="785" width="4.875" style="160" customWidth="1"/>
    <col min="786" max="786" width="5.5" style="160" customWidth="1"/>
    <col min="787" max="787" width="4.625" style="160" customWidth="1"/>
    <col min="788" max="788" width="4" style="160" customWidth="1"/>
    <col min="789" max="789" width="4.5" style="160" customWidth="1"/>
    <col min="790" max="790" width="5.125" style="160" customWidth="1"/>
    <col min="791" max="791" width="0" style="160" hidden="1" customWidth="1"/>
    <col min="792" max="1024" width="9" style="160"/>
    <col min="1025" max="1025" width="3.625" style="160" customWidth="1"/>
    <col min="1026" max="1026" width="18.25" style="160" customWidth="1"/>
    <col min="1027" max="1027" width="5.25" style="160" customWidth="1"/>
    <col min="1028" max="1028" width="5.75" style="160" customWidth="1"/>
    <col min="1029" max="1031" width="5.5" style="160" customWidth="1"/>
    <col min="1032" max="1032" width="5.375" style="160" customWidth="1"/>
    <col min="1033" max="1033" width="6" style="160" customWidth="1"/>
    <col min="1034" max="1034" width="4.875" style="160" customWidth="1"/>
    <col min="1035" max="1035" width="4.375" style="160" customWidth="1"/>
    <col min="1036" max="1036" width="6" style="160" customWidth="1"/>
    <col min="1037" max="1037" width="4.125" style="160" customWidth="1"/>
    <col min="1038" max="1038" width="6" style="160" customWidth="1"/>
    <col min="1039" max="1039" width="4.25" style="160" customWidth="1"/>
    <col min="1040" max="1040" width="6.5" style="160" customWidth="1"/>
    <col min="1041" max="1041" width="4.875" style="160" customWidth="1"/>
    <col min="1042" max="1042" width="5.5" style="160" customWidth="1"/>
    <col min="1043" max="1043" width="4.625" style="160" customWidth="1"/>
    <col min="1044" max="1044" width="4" style="160" customWidth="1"/>
    <col min="1045" max="1045" width="4.5" style="160" customWidth="1"/>
    <col min="1046" max="1046" width="5.125" style="160" customWidth="1"/>
    <col min="1047" max="1047" width="0" style="160" hidden="1" customWidth="1"/>
    <col min="1048" max="1280" width="9" style="160"/>
    <col min="1281" max="1281" width="3.625" style="160" customWidth="1"/>
    <col min="1282" max="1282" width="18.25" style="160" customWidth="1"/>
    <col min="1283" max="1283" width="5.25" style="160" customWidth="1"/>
    <col min="1284" max="1284" width="5.75" style="160" customWidth="1"/>
    <col min="1285" max="1287" width="5.5" style="160" customWidth="1"/>
    <col min="1288" max="1288" width="5.375" style="160" customWidth="1"/>
    <col min="1289" max="1289" width="6" style="160" customWidth="1"/>
    <col min="1290" max="1290" width="4.875" style="160" customWidth="1"/>
    <col min="1291" max="1291" width="4.375" style="160" customWidth="1"/>
    <col min="1292" max="1292" width="6" style="160" customWidth="1"/>
    <col min="1293" max="1293" width="4.125" style="160" customWidth="1"/>
    <col min="1294" max="1294" width="6" style="160" customWidth="1"/>
    <col min="1295" max="1295" width="4.25" style="160" customWidth="1"/>
    <col min="1296" max="1296" width="6.5" style="160" customWidth="1"/>
    <col min="1297" max="1297" width="4.875" style="160" customWidth="1"/>
    <col min="1298" max="1298" width="5.5" style="160" customWidth="1"/>
    <col min="1299" max="1299" width="4.625" style="160" customWidth="1"/>
    <col min="1300" max="1300" width="4" style="160" customWidth="1"/>
    <col min="1301" max="1301" width="4.5" style="160" customWidth="1"/>
    <col min="1302" max="1302" width="5.125" style="160" customWidth="1"/>
    <col min="1303" max="1303" width="0" style="160" hidden="1" customWidth="1"/>
    <col min="1304" max="1536" width="9" style="160"/>
    <col min="1537" max="1537" width="3.625" style="160" customWidth="1"/>
    <col min="1538" max="1538" width="18.25" style="160" customWidth="1"/>
    <col min="1539" max="1539" width="5.25" style="160" customWidth="1"/>
    <col min="1540" max="1540" width="5.75" style="160" customWidth="1"/>
    <col min="1541" max="1543" width="5.5" style="160" customWidth="1"/>
    <col min="1544" max="1544" width="5.375" style="160" customWidth="1"/>
    <col min="1545" max="1545" width="6" style="160" customWidth="1"/>
    <col min="1546" max="1546" width="4.875" style="160" customWidth="1"/>
    <col min="1547" max="1547" width="4.375" style="160" customWidth="1"/>
    <col min="1548" max="1548" width="6" style="160" customWidth="1"/>
    <col min="1549" max="1549" width="4.125" style="160" customWidth="1"/>
    <col min="1550" max="1550" width="6" style="160" customWidth="1"/>
    <col min="1551" max="1551" width="4.25" style="160" customWidth="1"/>
    <col min="1552" max="1552" width="6.5" style="160" customWidth="1"/>
    <col min="1553" max="1553" width="4.875" style="160" customWidth="1"/>
    <col min="1554" max="1554" width="5.5" style="160" customWidth="1"/>
    <col min="1555" max="1555" width="4.625" style="160" customWidth="1"/>
    <col min="1556" max="1556" width="4" style="160" customWidth="1"/>
    <col min="1557" max="1557" width="4.5" style="160" customWidth="1"/>
    <col min="1558" max="1558" width="5.125" style="160" customWidth="1"/>
    <col min="1559" max="1559" width="0" style="160" hidden="1" customWidth="1"/>
    <col min="1560" max="1792" width="9" style="160"/>
    <col min="1793" max="1793" width="3.625" style="160" customWidth="1"/>
    <col min="1794" max="1794" width="18.25" style="160" customWidth="1"/>
    <col min="1795" max="1795" width="5.25" style="160" customWidth="1"/>
    <col min="1796" max="1796" width="5.75" style="160" customWidth="1"/>
    <col min="1797" max="1799" width="5.5" style="160" customWidth="1"/>
    <col min="1800" max="1800" width="5.375" style="160" customWidth="1"/>
    <col min="1801" max="1801" width="6" style="160" customWidth="1"/>
    <col min="1802" max="1802" width="4.875" style="160" customWidth="1"/>
    <col min="1803" max="1803" width="4.375" style="160" customWidth="1"/>
    <col min="1804" max="1804" width="6" style="160" customWidth="1"/>
    <col min="1805" max="1805" width="4.125" style="160" customWidth="1"/>
    <col min="1806" max="1806" width="6" style="160" customWidth="1"/>
    <col min="1807" max="1807" width="4.25" style="160" customWidth="1"/>
    <col min="1808" max="1808" width="6.5" style="160" customWidth="1"/>
    <col min="1809" max="1809" width="4.875" style="160" customWidth="1"/>
    <col min="1810" max="1810" width="5.5" style="160" customWidth="1"/>
    <col min="1811" max="1811" width="4.625" style="160" customWidth="1"/>
    <col min="1812" max="1812" width="4" style="160" customWidth="1"/>
    <col min="1813" max="1813" width="4.5" style="160" customWidth="1"/>
    <col min="1814" max="1814" width="5.125" style="160" customWidth="1"/>
    <col min="1815" max="1815" width="0" style="160" hidden="1" customWidth="1"/>
    <col min="1816" max="2048" width="9" style="160"/>
    <col min="2049" max="2049" width="3.625" style="160" customWidth="1"/>
    <col min="2050" max="2050" width="18.25" style="160" customWidth="1"/>
    <col min="2051" max="2051" width="5.25" style="160" customWidth="1"/>
    <col min="2052" max="2052" width="5.75" style="160" customWidth="1"/>
    <col min="2053" max="2055" width="5.5" style="160" customWidth="1"/>
    <col min="2056" max="2056" width="5.375" style="160" customWidth="1"/>
    <col min="2057" max="2057" width="6" style="160" customWidth="1"/>
    <col min="2058" max="2058" width="4.875" style="160" customWidth="1"/>
    <col min="2059" max="2059" width="4.375" style="160" customWidth="1"/>
    <col min="2060" max="2060" width="6" style="160" customWidth="1"/>
    <col min="2061" max="2061" width="4.125" style="160" customWidth="1"/>
    <col min="2062" max="2062" width="6" style="160" customWidth="1"/>
    <col min="2063" max="2063" width="4.25" style="160" customWidth="1"/>
    <col min="2064" max="2064" width="6.5" style="160" customWidth="1"/>
    <col min="2065" max="2065" width="4.875" style="160" customWidth="1"/>
    <col min="2066" max="2066" width="5.5" style="160" customWidth="1"/>
    <col min="2067" max="2067" width="4.625" style="160" customWidth="1"/>
    <col min="2068" max="2068" width="4" style="160" customWidth="1"/>
    <col min="2069" max="2069" width="4.5" style="160" customWidth="1"/>
    <col min="2070" max="2070" width="5.125" style="160" customWidth="1"/>
    <col min="2071" max="2071" width="0" style="160" hidden="1" customWidth="1"/>
    <col min="2072" max="2304" width="9" style="160"/>
    <col min="2305" max="2305" width="3.625" style="160" customWidth="1"/>
    <col min="2306" max="2306" width="18.25" style="160" customWidth="1"/>
    <col min="2307" max="2307" width="5.25" style="160" customWidth="1"/>
    <col min="2308" max="2308" width="5.75" style="160" customWidth="1"/>
    <col min="2309" max="2311" width="5.5" style="160" customWidth="1"/>
    <col min="2312" max="2312" width="5.375" style="160" customWidth="1"/>
    <col min="2313" max="2313" width="6" style="160" customWidth="1"/>
    <col min="2314" max="2314" width="4.875" style="160" customWidth="1"/>
    <col min="2315" max="2315" width="4.375" style="160" customWidth="1"/>
    <col min="2316" max="2316" width="6" style="160" customWidth="1"/>
    <col min="2317" max="2317" width="4.125" style="160" customWidth="1"/>
    <col min="2318" max="2318" width="6" style="160" customWidth="1"/>
    <col min="2319" max="2319" width="4.25" style="160" customWidth="1"/>
    <col min="2320" max="2320" width="6.5" style="160" customWidth="1"/>
    <col min="2321" max="2321" width="4.875" style="160" customWidth="1"/>
    <col min="2322" max="2322" width="5.5" style="160" customWidth="1"/>
    <col min="2323" max="2323" width="4.625" style="160" customWidth="1"/>
    <col min="2324" max="2324" width="4" style="160" customWidth="1"/>
    <col min="2325" max="2325" width="4.5" style="160" customWidth="1"/>
    <col min="2326" max="2326" width="5.125" style="160" customWidth="1"/>
    <col min="2327" max="2327" width="0" style="160" hidden="1" customWidth="1"/>
    <col min="2328" max="2560" width="9" style="160"/>
    <col min="2561" max="2561" width="3.625" style="160" customWidth="1"/>
    <col min="2562" max="2562" width="18.25" style="160" customWidth="1"/>
    <col min="2563" max="2563" width="5.25" style="160" customWidth="1"/>
    <col min="2564" max="2564" width="5.75" style="160" customWidth="1"/>
    <col min="2565" max="2567" width="5.5" style="160" customWidth="1"/>
    <col min="2568" max="2568" width="5.375" style="160" customWidth="1"/>
    <col min="2569" max="2569" width="6" style="160" customWidth="1"/>
    <col min="2570" max="2570" width="4.875" style="160" customWidth="1"/>
    <col min="2571" max="2571" width="4.375" style="160" customWidth="1"/>
    <col min="2572" max="2572" width="6" style="160" customWidth="1"/>
    <col min="2573" max="2573" width="4.125" style="160" customWidth="1"/>
    <col min="2574" max="2574" width="6" style="160" customWidth="1"/>
    <col min="2575" max="2575" width="4.25" style="160" customWidth="1"/>
    <col min="2576" max="2576" width="6.5" style="160" customWidth="1"/>
    <col min="2577" max="2577" width="4.875" style="160" customWidth="1"/>
    <col min="2578" max="2578" width="5.5" style="160" customWidth="1"/>
    <col min="2579" max="2579" width="4.625" style="160" customWidth="1"/>
    <col min="2580" max="2580" width="4" style="160" customWidth="1"/>
    <col min="2581" max="2581" width="4.5" style="160" customWidth="1"/>
    <col min="2582" max="2582" width="5.125" style="160" customWidth="1"/>
    <col min="2583" max="2583" width="0" style="160" hidden="1" customWidth="1"/>
    <col min="2584" max="2816" width="9" style="160"/>
    <col min="2817" max="2817" width="3.625" style="160" customWidth="1"/>
    <col min="2818" max="2818" width="18.25" style="160" customWidth="1"/>
    <col min="2819" max="2819" width="5.25" style="160" customWidth="1"/>
    <col min="2820" max="2820" width="5.75" style="160" customWidth="1"/>
    <col min="2821" max="2823" width="5.5" style="160" customWidth="1"/>
    <col min="2824" max="2824" width="5.375" style="160" customWidth="1"/>
    <col min="2825" max="2825" width="6" style="160" customWidth="1"/>
    <col min="2826" max="2826" width="4.875" style="160" customWidth="1"/>
    <col min="2827" max="2827" width="4.375" style="160" customWidth="1"/>
    <col min="2828" max="2828" width="6" style="160" customWidth="1"/>
    <col min="2829" max="2829" width="4.125" style="160" customWidth="1"/>
    <col min="2830" max="2830" width="6" style="160" customWidth="1"/>
    <col min="2831" max="2831" width="4.25" style="160" customWidth="1"/>
    <col min="2832" max="2832" width="6.5" style="160" customWidth="1"/>
    <col min="2833" max="2833" width="4.875" style="160" customWidth="1"/>
    <col min="2834" max="2834" width="5.5" style="160" customWidth="1"/>
    <col min="2835" max="2835" width="4.625" style="160" customWidth="1"/>
    <col min="2836" max="2836" width="4" style="160" customWidth="1"/>
    <col min="2837" max="2837" width="4.5" style="160" customWidth="1"/>
    <col min="2838" max="2838" width="5.125" style="160" customWidth="1"/>
    <col min="2839" max="2839" width="0" style="160" hidden="1" customWidth="1"/>
    <col min="2840" max="3072" width="9" style="160"/>
    <col min="3073" max="3073" width="3.625" style="160" customWidth="1"/>
    <col min="3074" max="3074" width="18.25" style="160" customWidth="1"/>
    <col min="3075" max="3075" width="5.25" style="160" customWidth="1"/>
    <col min="3076" max="3076" width="5.75" style="160" customWidth="1"/>
    <col min="3077" max="3079" width="5.5" style="160" customWidth="1"/>
    <col min="3080" max="3080" width="5.375" style="160" customWidth="1"/>
    <col min="3081" max="3081" width="6" style="160" customWidth="1"/>
    <col min="3082" max="3082" width="4.875" style="160" customWidth="1"/>
    <col min="3083" max="3083" width="4.375" style="160" customWidth="1"/>
    <col min="3084" max="3084" width="6" style="160" customWidth="1"/>
    <col min="3085" max="3085" width="4.125" style="160" customWidth="1"/>
    <col min="3086" max="3086" width="6" style="160" customWidth="1"/>
    <col min="3087" max="3087" width="4.25" style="160" customWidth="1"/>
    <col min="3088" max="3088" width="6.5" style="160" customWidth="1"/>
    <col min="3089" max="3089" width="4.875" style="160" customWidth="1"/>
    <col min="3090" max="3090" width="5.5" style="160" customWidth="1"/>
    <col min="3091" max="3091" width="4.625" style="160" customWidth="1"/>
    <col min="3092" max="3092" width="4" style="160" customWidth="1"/>
    <col min="3093" max="3093" width="4.5" style="160" customWidth="1"/>
    <col min="3094" max="3094" width="5.125" style="160" customWidth="1"/>
    <col min="3095" max="3095" width="0" style="160" hidden="1" customWidth="1"/>
    <col min="3096" max="3328" width="9" style="160"/>
    <col min="3329" max="3329" width="3.625" style="160" customWidth="1"/>
    <col min="3330" max="3330" width="18.25" style="160" customWidth="1"/>
    <col min="3331" max="3331" width="5.25" style="160" customWidth="1"/>
    <col min="3332" max="3332" width="5.75" style="160" customWidth="1"/>
    <col min="3333" max="3335" width="5.5" style="160" customWidth="1"/>
    <col min="3336" max="3336" width="5.375" style="160" customWidth="1"/>
    <col min="3337" max="3337" width="6" style="160" customWidth="1"/>
    <col min="3338" max="3338" width="4.875" style="160" customWidth="1"/>
    <col min="3339" max="3339" width="4.375" style="160" customWidth="1"/>
    <col min="3340" max="3340" width="6" style="160" customWidth="1"/>
    <col min="3341" max="3341" width="4.125" style="160" customWidth="1"/>
    <col min="3342" max="3342" width="6" style="160" customWidth="1"/>
    <col min="3343" max="3343" width="4.25" style="160" customWidth="1"/>
    <col min="3344" max="3344" width="6.5" style="160" customWidth="1"/>
    <col min="3345" max="3345" width="4.875" style="160" customWidth="1"/>
    <col min="3346" max="3346" width="5.5" style="160" customWidth="1"/>
    <col min="3347" max="3347" width="4.625" style="160" customWidth="1"/>
    <col min="3348" max="3348" width="4" style="160" customWidth="1"/>
    <col min="3349" max="3349" width="4.5" style="160" customWidth="1"/>
    <col min="3350" max="3350" width="5.125" style="160" customWidth="1"/>
    <col min="3351" max="3351" width="0" style="160" hidden="1" customWidth="1"/>
    <col min="3352" max="3584" width="9" style="160"/>
    <col min="3585" max="3585" width="3.625" style="160" customWidth="1"/>
    <col min="3586" max="3586" width="18.25" style="160" customWidth="1"/>
    <col min="3587" max="3587" width="5.25" style="160" customWidth="1"/>
    <col min="3588" max="3588" width="5.75" style="160" customWidth="1"/>
    <col min="3589" max="3591" width="5.5" style="160" customWidth="1"/>
    <col min="3592" max="3592" width="5.375" style="160" customWidth="1"/>
    <col min="3593" max="3593" width="6" style="160" customWidth="1"/>
    <col min="3594" max="3594" width="4.875" style="160" customWidth="1"/>
    <col min="3595" max="3595" width="4.375" style="160" customWidth="1"/>
    <col min="3596" max="3596" width="6" style="160" customWidth="1"/>
    <col min="3597" max="3597" width="4.125" style="160" customWidth="1"/>
    <col min="3598" max="3598" width="6" style="160" customWidth="1"/>
    <col min="3599" max="3599" width="4.25" style="160" customWidth="1"/>
    <col min="3600" max="3600" width="6.5" style="160" customWidth="1"/>
    <col min="3601" max="3601" width="4.875" style="160" customWidth="1"/>
    <col min="3602" max="3602" width="5.5" style="160" customWidth="1"/>
    <col min="3603" max="3603" width="4.625" style="160" customWidth="1"/>
    <col min="3604" max="3604" width="4" style="160" customWidth="1"/>
    <col min="3605" max="3605" width="4.5" style="160" customWidth="1"/>
    <col min="3606" max="3606" width="5.125" style="160" customWidth="1"/>
    <col min="3607" max="3607" width="0" style="160" hidden="1" customWidth="1"/>
    <col min="3608" max="3840" width="9" style="160"/>
    <col min="3841" max="3841" width="3.625" style="160" customWidth="1"/>
    <col min="3842" max="3842" width="18.25" style="160" customWidth="1"/>
    <col min="3843" max="3843" width="5.25" style="160" customWidth="1"/>
    <col min="3844" max="3844" width="5.75" style="160" customWidth="1"/>
    <col min="3845" max="3847" width="5.5" style="160" customWidth="1"/>
    <col min="3848" max="3848" width="5.375" style="160" customWidth="1"/>
    <col min="3849" max="3849" width="6" style="160" customWidth="1"/>
    <col min="3850" max="3850" width="4.875" style="160" customWidth="1"/>
    <col min="3851" max="3851" width="4.375" style="160" customWidth="1"/>
    <col min="3852" max="3852" width="6" style="160" customWidth="1"/>
    <col min="3853" max="3853" width="4.125" style="160" customWidth="1"/>
    <col min="3854" max="3854" width="6" style="160" customWidth="1"/>
    <col min="3855" max="3855" width="4.25" style="160" customWidth="1"/>
    <col min="3856" max="3856" width="6.5" style="160" customWidth="1"/>
    <col min="3857" max="3857" width="4.875" style="160" customWidth="1"/>
    <col min="3858" max="3858" width="5.5" style="160" customWidth="1"/>
    <col min="3859" max="3859" width="4.625" style="160" customWidth="1"/>
    <col min="3860" max="3860" width="4" style="160" customWidth="1"/>
    <col min="3861" max="3861" width="4.5" style="160" customWidth="1"/>
    <col min="3862" max="3862" width="5.125" style="160" customWidth="1"/>
    <col min="3863" max="3863" width="0" style="160" hidden="1" customWidth="1"/>
    <col min="3864" max="4096" width="9" style="160"/>
    <col min="4097" max="4097" width="3.625" style="160" customWidth="1"/>
    <col min="4098" max="4098" width="18.25" style="160" customWidth="1"/>
    <col min="4099" max="4099" width="5.25" style="160" customWidth="1"/>
    <col min="4100" max="4100" width="5.75" style="160" customWidth="1"/>
    <col min="4101" max="4103" width="5.5" style="160" customWidth="1"/>
    <col min="4104" max="4104" width="5.375" style="160" customWidth="1"/>
    <col min="4105" max="4105" width="6" style="160" customWidth="1"/>
    <col min="4106" max="4106" width="4.875" style="160" customWidth="1"/>
    <col min="4107" max="4107" width="4.375" style="160" customWidth="1"/>
    <col min="4108" max="4108" width="6" style="160" customWidth="1"/>
    <col min="4109" max="4109" width="4.125" style="160" customWidth="1"/>
    <col min="4110" max="4110" width="6" style="160" customWidth="1"/>
    <col min="4111" max="4111" width="4.25" style="160" customWidth="1"/>
    <col min="4112" max="4112" width="6.5" style="160" customWidth="1"/>
    <col min="4113" max="4113" width="4.875" style="160" customWidth="1"/>
    <col min="4114" max="4114" width="5.5" style="160" customWidth="1"/>
    <col min="4115" max="4115" width="4.625" style="160" customWidth="1"/>
    <col min="4116" max="4116" width="4" style="160" customWidth="1"/>
    <col min="4117" max="4117" width="4.5" style="160" customWidth="1"/>
    <col min="4118" max="4118" width="5.125" style="160" customWidth="1"/>
    <col min="4119" max="4119" width="0" style="160" hidden="1" customWidth="1"/>
    <col min="4120" max="4352" width="9" style="160"/>
    <col min="4353" max="4353" width="3.625" style="160" customWidth="1"/>
    <col min="4354" max="4354" width="18.25" style="160" customWidth="1"/>
    <col min="4355" max="4355" width="5.25" style="160" customWidth="1"/>
    <col min="4356" max="4356" width="5.75" style="160" customWidth="1"/>
    <col min="4357" max="4359" width="5.5" style="160" customWidth="1"/>
    <col min="4360" max="4360" width="5.375" style="160" customWidth="1"/>
    <col min="4361" max="4361" width="6" style="160" customWidth="1"/>
    <col min="4362" max="4362" width="4.875" style="160" customWidth="1"/>
    <col min="4363" max="4363" width="4.375" style="160" customWidth="1"/>
    <col min="4364" max="4364" width="6" style="160" customWidth="1"/>
    <col min="4365" max="4365" width="4.125" style="160" customWidth="1"/>
    <col min="4366" max="4366" width="6" style="160" customWidth="1"/>
    <col min="4367" max="4367" width="4.25" style="160" customWidth="1"/>
    <col min="4368" max="4368" width="6.5" style="160" customWidth="1"/>
    <col min="4369" max="4369" width="4.875" style="160" customWidth="1"/>
    <col min="4370" max="4370" width="5.5" style="160" customWidth="1"/>
    <col min="4371" max="4371" width="4.625" style="160" customWidth="1"/>
    <col min="4372" max="4372" width="4" style="160" customWidth="1"/>
    <col min="4373" max="4373" width="4.5" style="160" customWidth="1"/>
    <col min="4374" max="4374" width="5.125" style="160" customWidth="1"/>
    <col min="4375" max="4375" width="0" style="160" hidden="1" customWidth="1"/>
    <col min="4376" max="4608" width="9" style="160"/>
    <col min="4609" max="4609" width="3.625" style="160" customWidth="1"/>
    <col min="4610" max="4610" width="18.25" style="160" customWidth="1"/>
    <col min="4611" max="4611" width="5.25" style="160" customWidth="1"/>
    <col min="4612" max="4612" width="5.75" style="160" customWidth="1"/>
    <col min="4613" max="4615" width="5.5" style="160" customWidth="1"/>
    <col min="4616" max="4616" width="5.375" style="160" customWidth="1"/>
    <col min="4617" max="4617" width="6" style="160" customWidth="1"/>
    <col min="4618" max="4618" width="4.875" style="160" customWidth="1"/>
    <col min="4619" max="4619" width="4.375" style="160" customWidth="1"/>
    <col min="4620" max="4620" width="6" style="160" customWidth="1"/>
    <col min="4621" max="4621" width="4.125" style="160" customWidth="1"/>
    <col min="4622" max="4622" width="6" style="160" customWidth="1"/>
    <col min="4623" max="4623" width="4.25" style="160" customWidth="1"/>
    <col min="4624" max="4624" width="6.5" style="160" customWidth="1"/>
    <col min="4625" max="4625" width="4.875" style="160" customWidth="1"/>
    <col min="4626" max="4626" width="5.5" style="160" customWidth="1"/>
    <col min="4627" max="4627" width="4.625" style="160" customWidth="1"/>
    <col min="4628" max="4628" width="4" style="160" customWidth="1"/>
    <col min="4629" max="4629" width="4.5" style="160" customWidth="1"/>
    <col min="4630" max="4630" width="5.125" style="160" customWidth="1"/>
    <col min="4631" max="4631" width="0" style="160" hidden="1" customWidth="1"/>
    <col min="4632" max="4864" width="9" style="160"/>
    <col min="4865" max="4865" width="3.625" style="160" customWidth="1"/>
    <col min="4866" max="4866" width="18.25" style="160" customWidth="1"/>
    <col min="4867" max="4867" width="5.25" style="160" customWidth="1"/>
    <col min="4868" max="4868" width="5.75" style="160" customWidth="1"/>
    <col min="4869" max="4871" width="5.5" style="160" customWidth="1"/>
    <col min="4872" max="4872" width="5.375" style="160" customWidth="1"/>
    <col min="4873" max="4873" width="6" style="160" customWidth="1"/>
    <col min="4874" max="4874" width="4.875" style="160" customWidth="1"/>
    <col min="4875" max="4875" width="4.375" style="160" customWidth="1"/>
    <col min="4876" max="4876" width="6" style="160" customWidth="1"/>
    <col min="4877" max="4877" width="4.125" style="160" customWidth="1"/>
    <col min="4878" max="4878" width="6" style="160" customWidth="1"/>
    <col min="4879" max="4879" width="4.25" style="160" customWidth="1"/>
    <col min="4880" max="4880" width="6.5" style="160" customWidth="1"/>
    <col min="4881" max="4881" width="4.875" style="160" customWidth="1"/>
    <col min="4882" max="4882" width="5.5" style="160" customWidth="1"/>
    <col min="4883" max="4883" width="4.625" style="160" customWidth="1"/>
    <col min="4884" max="4884" width="4" style="160" customWidth="1"/>
    <col min="4885" max="4885" width="4.5" style="160" customWidth="1"/>
    <col min="4886" max="4886" width="5.125" style="160" customWidth="1"/>
    <col min="4887" max="4887" width="0" style="160" hidden="1" customWidth="1"/>
    <col min="4888" max="5120" width="9" style="160"/>
    <col min="5121" max="5121" width="3.625" style="160" customWidth="1"/>
    <col min="5122" max="5122" width="18.25" style="160" customWidth="1"/>
    <col min="5123" max="5123" width="5.25" style="160" customWidth="1"/>
    <col min="5124" max="5124" width="5.75" style="160" customWidth="1"/>
    <col min="5125" max="5127" width="5.5" style="160" customWidth="1"/>
    <col min="5128" max="5128" width="5.375" style="160" customWidth="1"/>
    <col min="5129" max="5129" width="6" style="160" customWidth="1"/>
    <col min="5130" max="5130" width="4.875" style="160" customWidth="1"/>
    <col min="5131" max="5131" width="4.375" style="160" customWidth="1"/>
    <col min="5132" max="5132" width="6" style="160" customWidth="1"/>
    <col min="5133" max="5133" width="4.125" style="160" customWidth="1"/>
    <col min="5134" max="5134" width="6" style="160" customWidth="1"/>
    <col min="5135" max="5135" width="4.25" style="160" customWidth="1"/>
    <col min="5136" max="5136" width="6.5" style="160" customWidth="1"/>
    <col min="5137" max="5137" width="4.875" style="160" customWidth="1"/>
    <col min="5138" max="5138" width="5.5" style="160" customWidth="1"/>
    <col min="5139" max="5139" width="4.625" style="160" customWidth="1"/>
    <col min="5140" max="5140" width="4" style="160" customWidth="1"/>
    <col min="5141" max="5141" width="4.5" style="160" customWidth="1"/>
    <col min="5142" max="5142" width="5.125" style="160" customWidth="1"/>
    <col min="5143" max="5143" width="0" style="160" hidden="1" customWidth="1"/>
    <col min="5144" max="5376" width="9" style="160"/>
    <col min="5377" max="5377" width="3.625" style="160" customWidth="1"/>
    <col min="5378" max="5378" width="18.25" style="160" customWidth="1"/>
    <col min="5379" max="5379" width="5.25" style="160" customWidth="1"/>
    <col min="5380" max="5380" width="5.75" style="160" customWidth="1"/>
    <col min="5381" max="5383" width="5.5" style="160" customWidth="1"/>
    <col min="5384" max="5384" width="5.375" style="160" customWidth="1"/>
    <col min="5385" max="5385" width="6" style="160" customWidth="1"/>
    <col min="5386" max="5386" width="4.875" style="160" customWidth="1"/>
    <col min="5387" max="5387" width="4.375" style="160" customWidth="1"/>
    <col min="5388" max="5388" width="6" style="160" customWidth="1"/>
    <col min="5389" max="5389" width="4.125" style="160" customWidth="1"/>
    <col min="5390" max="5390" width="6" style="160" customWidth="1"/>
    <col min="5391" max="5391" width="4.25" style="160" customWidth="1"/>
    <col min="5392" max="5392" width="6.5" style="160" customWidth="1"/>
    <col min="5393" max="5393" width="4.875" style="160" customWidth="1"/>
    <col min="5394" max="5394" width="5.5" style="160" customWidth="1"/>
    <col min="5395" max="5395" width="4.625" style="160" customWidth="1"/>
    <col min="5396" max="5396" width="4" style="160" customWidth="1"/>
    <col min="5397" max="5397" width="4.5" style="160" customWidth="1"/>
    <col min="5398" max="5398" width="5.125" style="160" customWidth="1"/>
    <col min="5399" max="5399" width="0" style="160" hidden="1" customWidth="1"/>
    <col min="5400" max="5632" width="9" style="160"/>
    <col min="5633" max="5633" width="3.625" style="160" customWidth="1"/>
    <col min="5634" max="5634" width="18.25" style="160" customWidth="1"/>
    <col min="5635" max="5635" width="5.25" style="160" customWidth="1"/>
    <col min="5636" max="5636" width="5.75" style="160" customWidth="1"/>
    <col min="5637" max="5639" width="5.5" style="160" customWidth="1"/>
    <col min="5640" max="5640" width="5.375" style="160" customWidth="1"/>
    <col min="5641" max="5641" width="6" style="160" customWidth="1"/>
    <col min="5642" max="5642" width="4.875" style="160" customWidth="1"/>
    <col min="5643" max="5643" width="4.375" style="160" customWidth="1"/>
    <col min="5644" max="5644" width="6" style="160" customWidth="1"/>
    <col min="5645" max="5645" width="4.125" style="160" customWidth="1"/>
    <col min="5646" max="5646" width="6" style="160" customWidth="1"/>
    <col min="5647" max="5647" width="4.25" style="160" customWidth="1"/>
    <col min="5648" max="5648" width="6.5" style="160" customWidth="1"/>
    <col min="5649" max="5649" width="4.875" style="160" customWidth="1"/>
    <col min="5650" max="5650" width="5.5" style="160" customWidth="1"/>
    <col min="5651" max="5651" width="4.625" style="160" customWidth="1"/>
    <col min="5652" max="5652" width="4" style="160" customWidth="1"/>
    <col min="5653" max="5653" width="4.5" style="160" customWidth="1"/>
    <col min="5654" max="5654" width="5.125" style="160" customWidth="1"/>
    <col min="5655" max="5655" width="0" style="160" hidden="1" customWidth="1"/>
    <col min="5656" max="5888" width="9" style="160"/>
    <col min="5889" max="5889" width="3.625" style="160" customWidth="1"/>
    <col min="5890" max="5890" width="18.25" style="160" customWidth="1"/>
    <col min="5891" max="5891" width="5.25" style="160" customWidth="1"/>
    <col min="5892" max="5892" width="5.75" style="160" customWidth="1"/>
    <col min="5893" max="5895" width="5.5" style="160" customWidth="1"/>
    <col min="5896" max="5896" width="5.375" style="160" customWidth="1"/>
    <col min="5897" max="5897" width="6" style="160" customWidth="1"/>
    <col min="5898" max="5898" width="4.875" style="160" customWidth="1"/>
    <col min="5899" max="5899" width="4.375" style="160" customWidth="1"/>
    <col min="5900" max="5900" width="6" style="160" customWidth="1"/>
    <col min="5901" max="5901" width="4.125" style="160" customWidth="1"/>
    <col min="5902" max="5902" width="6" style="160" customWidth="1"/>
    <col min="5903" max="5903" width="4.25" style="160" customWidth="1"/>
    <col min="5904" max="5904" width="6.5" style="160" customWidth="1"/>
    <col min="5905" max="5905" width="4.875" style="160" customWidth="1"/>
    <col min="5906" max="5906" width="5.5" style="160" customWidth="1"/>
    <col min="5907" max="5907" width="4.625" style="160" customWidth="1"/>
    <col min="5908" max="5908" width="4" style="160" customWidth="1"/>
    <col min="5909" max="5909" width="4.5" style="160" customWidth="1"/>
    <col min="5910" max="5910" width="5.125" style="160" customWidth="1"/>
    <col min="5911" max="5911" width="0" style="160" hidden="1" customWidth="1"/>
    <col min="5912" max="6144" width="9" style="160"/>
    <col min="6145" max="6145" width="3.625" style="160" customWidth="1"/>
    <col min="6146" max="6146" width="18.25" style="160" customWidth="1"/>
    <col min="6147" max="6147" width="5.25" style="160" customWidth="1"/>
    <col min="6148" max="6148" width="5.75" style="160" customWidth="1"/>
    <col min="6149" max="6151" width="5.5" style="160" customWidth="1"/>
    <col min="6152" max="6152" width="5.375" style="160" customWidth="1"/>
    <col min="6153" max="6153" width="6" style="160" customWidth="1"/>
    <col min="6154" max="6154" width="4.875" style="160" customWidth="1"/>
    <col min="6155" max="6155" width="4.375" style="160" customWidth="1"/>
    <col min="6156" max="6156" width="6" style="160" customWidth="1"/>
    <col min="6157" max="6157" width="4.125" style="160" customWidth="1"/>
    <col min="6158" max="6158" width="6" style="160" customWidth="1"/>
    <col min="6159" max="6159" width="4.25" style="160" customWidth="1"/>
    <col min="6160" max="6160" width="6.5" style="160" customWidth="1"/>
    <col min="6161" max="6161" width="4.875" style="160" customWidth="1"/>
    <col min="6162" max="6162" width="5.5" style="160" customWidth="1"/>
    <col min="6163" max="6163" width="4.625" style="160" customWidth="1"/>
    <col min="6164" max="6164" width="4" style="160" customWidth="1"/>
    <col min="6165" max="6165" width="4.5" style="160" customWidth="1"/>
    <col min="6166" max="6166" width="5.125" style="160" customWidth="1"/>
    <col min="6167" max="6167" width="0" style="160" hidden="1" customWidth="1"/>
    <col min="6168" max="6400" width="9" style="160"/>
    <col min="6401" max="6401" width="3.625" style="160" customWidth="1"/>
    <col min="6402" max="6402" width="18.25" style="160" customWidth="1"/>
    <col min="6403" max="6403" width="5.25" style="160" customWidth="1"/>
    <col min="6404" max="6404" width="5.75" style="160" customWidth="1"/>
    <col min="6405" max="6407" width="5.5" style="160" customWidth="1"/>
    <col min="6408" max="6408" width="5.375" style="160" customWidth="1"/>
    <col min="6409" max="6409" width="6" style="160" customWidth="1"/>
    <col min="6410" max="6410" width="4.875" style="160" customWidth="1"/>
    <col min="6411" max="6411" width="4.375" style="160" customWidth="1"/>
    <col min="6412" max="6412" width="6" style="160" customWidth="1"/>
    <col min="6413" max="6413" width="4.125" style="160" customWidth="1"/>
    <col min="6414" max="6414" width="6" style="160" customWidth="1"/>
    <col min="6415" max="6415" width="4.25" style="160" customWidth="1"/>
    <col min="6416" max="6416" width="6.5" style="160" customWidth="1"/>
    <col min="6417" max="6417" width="4.875" style="160" customWidth="1"/>
    <col min="6418" max="6418" width="5.5" style="160" customWidth="1"/>
    <col min="6419" max="6419" width="4.625" style="160" customWidth="1"/>
    <col min="6420" max="6420" width="4" style="160" customWidth="1"/>
    <col min="6421" max="6421" width="4.5" style="160" customWidth="1"/>
    <col min="6422" max="6422" width="5.125" style="160" customWidth="1"/>
    <col min="6423" max="6423" width="0" style="160" hidden="1" customWidth="1"/>
    <col min="6424" max="6656" width="9" style="160"/>
    <col min="6657" max="6657" width="3.625" style="160" customWidth="1"/>
    <col min="6658" max="6658" width="18.25" style="160" customWidth="1"/>
    <col min="6659" max="6659" width="5.25" style="160" customWidth="1"/>
    <col min="6660" max="6660" width="5.75" style="160" customWidth="1"/>
    <col min="6661" max="6663" width="5.5" style="160" customWidth="1"/>
    <col min="6664" max="6664" width="5.375" style="160" customWidth="1"/>
    <col min="6665" max="6665" width="6" style="160" customWidth="1"/>
    <col min="6666" max="6666" width="4.875" style="160" customWidth="1"/>
    <col min="6667" max="6667" width="4.375" style="160" customWidth="1"/>
    <col min="6668" max="6668" width="6" style="160" customWidth="1"/>
    <col min="6669" max="6669" width="4.125" style="160" customWidth="1"/>
    <col min="6670" max="6670" width="6" style="160" customWidth="1"/>
    <col min="6671" max="6671" width="4.25" style="160" customWidth="1"/>
    <col min="6672" max="6672" width="6.5" style="160" customWidth="1"/>
    <col min="6673" max="6673" width="4.875" style="160" customWidth="1"/>
    <col min="6674" max="6674" width="5.5" style="160" customWidth="1"/>
    <col min="6675" max="6675" width="4.625" style="160" customWidth="1"/>
    <col min="6676" max="6676" width="4" style="160" customWidth="1"/>
    <col min="6677" max="6677" width="4.5" style="160" customWidth="1"/>
    <col min="6678" max="6678" width="5.125" style="160" customWidth="1"/>
    <col min="6679" max="6679" width="0" style="160" hidden="1" customWidth="1"/>
    <col min="6680" max="6912" width="9" style="160"/>
    <col min="6913" max="6913" width="3.625" style="160" customWidth="1"/>
    <col min="6914" max="6914" width="18.25" style="160" customWidth="1"/>
    <col min="6915" max="6915" width="5.25" style="160" customWidth="1"/>
    <col min="6916" max="6916" width="5.75" style="160" customWidth="1"/>
    <col min="6917" max="6919" width="5.5" style="160" customWidth="1"/>
    <col min="6920" max="6920" width="5.375" style="160" customWidth="1"/>
    <col min="6921" max="6921" width="6" style="160" customWidth="1"/>
    <col min="6922" max="6922" width="4.875" style="160" customWidth="1"/>
    <col min="6923" max="6923" width="4.375" style="160" customWidth="1"/>
    <col min="6924" max="6924" width="6" style="160" customWidth="1"/>
    <col min="6925" max="6925" width="4.125" style="160" customWidth="1"/>
    <col min="6926" max="6926" width="6" style="160" customWidth="1"/>
    <col min="6927" max="6927" width="4.25" style="160" customWidth="1"/>
    <col min="6928" max="6928" width="6.5" style="160" customWidth="1"/>
    <col min="6929" max="6929" width="4.875" style="160" customWidth="1"/>
    <col min="6930" max="6930" width="5.5" style="160" customWidth="1"/>
    <col min="6931" max="6931" width="4.625" style="160" customWidth="1"/>
    <col min="6932" max="6932" width="4" style="160" customWidth="1"/>
    <col min="6933" max="6933" width="4.5" style="160" customWidth="1"/>
    <col min="6934" max="6934" width="5.125" style="160" customWidth="1"/>
    <col min="6935" max="6935" width="0" style="160" hidden="1" customWidth="1"/>
    <col min="6936" max="7168" width="9" style="160"/>
    <col min="7169" max="7169" width="3.625" style="160" customWidth="1"/>
    <col min="7170" max="7170" width="18.25" style="160" customWidth="1"/>
    <col min="7171" max="7171" width="5.25" style="160" customWidth="1"/>
    <col min="7172" max="7172" width="5.75" style="160" customWidth="1"/>
    <col min="7173" max="7175" width="5.5" style="160" customWidth="1"/>
    <col min="7176" max="7176" width="5.375" style="160" customWidth="1"/>
    <col min="7177" max="7177" width="6" style="160" customWidth="1"/>
    <col min="7178" max="7178" width="4.875" style="160" customWidth="1"/>
    <col min="7179" max="7179" width="4.375" style="160" customWidth="1"/>
    <col min="7180" max="7180" width="6" style="160" customWidth="1"/>
    <col min="7181" max="7181" width="4.125" style="160" customWidth="1"/>
    <col min="7182" max="7182" width="6" style="160" customWidth="1"/>
    <col min="7183" max="7183" width="4.25" style="160" customWidth="1"/>
    <col min="7184" max="7184" width="6.5" style="160" customWidth="1"/>
    <col min="7185" max="7185" width="4.875" style="160" customWidth="1"/>
    <col min="7186" max="7186" width="5.5" style="160" customWidth="1"/>
    <col min="7187" max="7187" width="4.625" style="160" customWidth="1"/>
    <col min="7188" max="7188" width="4" style="160" customWidth="1"/>
    <col min="7189" max="7189" width="4.5" style="160" customWidth="1"/>
    <col min="7190" max="7190" width="5.125" style="160" customWidth="1"/>
    <col min="7191" max="7191" width="0" style="160" hidden="1" customWidth="1"/>
    <col min="7192" max="7424" width="9" style="160"/>
    <col min="7425" max="7425" width="3.625" style="160" customWidth="1"/>
    <col min="7426" max="7426" width="18.25" style="160" customWidth="1"/>
    <col min="7427" max="7427" width="5.25" style="160" customWidth="1"/>
    <col min="7428" max="7428" width="5.75" style="160" customWidth="1"/>
    <col min="7429" max="7431" width="5.5" style="160" customWidth="1"/>
    <col min="7432" max="7432" width="5.375" style="160" customWidth="1"/>
    <col min="7433" max="7433" width="6" style="160" customWidth="1"/>
    <col min="7434" max="7434" width="4.875" style="160" customWidth="1"/>
    <col min="7435" max="7435" width="4.375" style="160" customWidth="1"/>
    <col min="7436" max="7436" width="6" style="160" customWidth="1"/>
    <col min="7437" max="7437" width="4.125" style="160" customWidth="1"/>
    <col min="7438" max="7438" width="6" style="160" customWidth="1"/>
    <col min="7439" max="7439" width="4.25" style="160" customWidth="1"/>
    <col min="7440" max="7440" width="6.5" style="160" customWidth="1"/>
    <col min="7441" max="7441" width="4.875" style="160" customWidth="1"/>
    <col min="7442" max="7442" width="5.5" style="160" customWidth="1"/>
    <col min="7443" max="7443" width="4.625" style="160" customWidth="1"/>
    <col min="7444" max="7444" width="4" style="160" customWidth="1"/>
    <col min="7445" max="7445" width="4.5" style="160" customWidth="1"/>
    <col min="7446" max="7446" width="5.125" style="160" customWidth="1"/>
    <col min="7447" max="7447" width="0" style="160" hidden="1" customWidth="1"/>
    <col min="7448" max="7680" width="9" style="160"/>
    <col min="7681" max="7681" width="3.625" style="160" customWidth="1"/>
    <col min="7682" max="7682" width="18.25" style="160" customWidth="1"/>
    <col min="7683" max="7683" width="5.25" style="160" customWidth="1"/>
    <col min="7684" max="7684" width="5.75" style="160" customWidth="1"/>
    <col min="7685" max="7687" width="5.5" style="160" customWidth="1"/>
    <col min="7688" max="7688" width="5.375" style="160" customWidth="1"/>
    <col min="7689" max="7689" width="6" style="160" customWidth="1"/>
    <col min="7690" max="7690" width="4.875" style="160" customWidth="1"/>
    <col min="7691" max="7691" width="4.375" style="160" customWidth="1"/>
    <col min="7692" max="7692" width="6" style="160" customWidth="1"/>
    <col min="7693" max="7693" width="4.125" style="160" customWidth="1"/>
    <col min="7694" max="7694" width="6" style="160" customWidth="1"/>
    <col min="7695" max="7695" width="4.25" style="160" customWidth="1"/>
    <col min="7696" max="7696" width="6.5" style="160" customWidth="1"/>
    <col min="7697" max="7697" width="4.875" style="160" customWidth="1"/>
    <col min="7698" max="7698" width="5.5" style="160" customWidth="1"/>
    <col min="7699" max="7699" width="4.625" style="160" customWidth="1"/>
    <col min="7700" max="7700" width="4" style="160" customWidth="1"/>
    <col min="7701" max="7701" width="4.5" style="160" customWidth="1"/>
    <col min="7702" max="7702" width="5.125" style="160" customWidth="1"/>
    <col min="7703" max="7703" width="0" style="160" hidden="1" customWidth="1"/>
    <col min="7704" max="7936" width="9" style="160"/>
    <col min="7937" max="7937" width="3.625" style="160" customWidth="1"/>
    <col min="7938" max="7938" width="18.25" style="160" customWidth="1"/>
    <col min="7939" max="7939" width="5.25" style="160" customWidth="1"/>
    <col min="7940" max="7940" width="5.75" style="160" customWidth="1"/>
    <col min="7941" max="7943" width="5.5" style="160" customWidth="1"/>
    <col min="7944" max="7944" width="5.375" style="160" customWidth="1"/>
    <col min="7945" max="7945" width="6" style="160" customWidth="1"/>
    <col min="7946" max="7946" width="4.875" style="160" customWidth="1"/>
    <col min="7947" max="7947" width="4.375" style="160" customWidth="1"/>
    <col min="7948" max="7948" width="6" style="160" customWidth="1"/>
    <col min="7949" max="7949" width="4.125" style="160" customWidth="1"/>
    <col min="7950" max="7950" width="6" style="160" customWidth="1"/>
    <col min="7951" max="7951" width="4.25" style="160" customWidth="1"/>
    <col min="7952" max="7952" width="6.5" style="160" customWidth="1"/>
    <col min="7953" max="7953" width="4.875" style="160" customWidth="1"/>
    <col min="7954" max="7954" width="5.5" style="160" customWidth="1"/>
    <col min="7955" max="7955" width="4.625" style="160" customWidth="1"/>
    <col min="7956" max="7956" width="4" style="160" customWidth="1"/>
    <col min="7957" max="7957" width="4.5" style="160" customWidth="1"/>
    <col min="7958" max="7958" width="5.125" style="160" customWidth="1"/>
    <col min="7959" max="7959" width="0" style="160" hidden="1" customWidth="1"/>
    <col min="7960" max="8192" width="9" style="160"/>
    <col min="8193" max="8193" width="3.625" style="160" customWidth="1"/>
    <col min="8194" max="8194" width="18.25" style="160" customWidth="1"/>
    <col min="8195" max="8195" width="5.25" style="160" customWidth="1"/>
    <col min="8196" max="8196" width="5.75" style="160" customWidth="1"/>
    <col min="8197" max="8199" width="5.5" style="160" customWidth="1"/>
    <col min="8200" max="8200" width="5.375" style="160" customWidth="1"/>
    <col min="8201" max="8201" width="6" style="160" customWidth="1"/>
    <col min="8202" max="8202" width="4.875" style="160" customWidth="1"/>
    <col min="8203" max="8203" width="4.375" style="160" customWidth="1"/>
    <col min="8204" max="8204" width="6" style="160" customWidth="1"/>
    <col min="8205" max="8205" width="4.125" style="160" customWidth="1"/>
    <col min="8206" max="8206" width="6" style="160" customWidth="1"/>
    <col min="8207" max="8207" width="4.25" style="160" customWidth="1"/>
    <col min="8208" max="8208" width="6.5" style="160" customWidth="1"/>
    <col min="8209" max="8209" width="4.875" style="160" customWidth="1"/>
    <col min="8210" max="8210" width="5.5" style="160" customWidth="1"/>
    <col min="8211" max="8211" width="4.625" style="160" customWidth="1"/>
    <col min="8212" max="8212" width="4" style="160" customWidth="1"/>
    <col min="8213" max="8213" width="4.5" style="160" customWidth="1"/>
    <col min="8214" max="8214" width="5.125" style="160" customWidth="1"/>
    <col min="8215" max="8215" width="0" style="160" hidden="1" customWidth="1"/>
    <col min="8216" max="8448" width="9" style="160"/>
    <col min="8449" max="8449" width="3.625" style="160" customWidth="1"/>
    <col min="8450" max="8450" width="18.25" style="160" customWidth="1"/>
    <col min="8451" max="8451" width="5.25" style="160" customWidth="1"/>
    <col min="8452" max="8452" width="5.75" style="160" customWidth="1"/>
    <col min="8453" max="8455" width="5.5" style="160" customWidth="1"/>
    <col min="8456" max="8456" width="5.375" style="160" customWidth="1"/>
    <col min="8457" max="8457" width="6" style="160" customWidth="1"/>
    <col min="8458" max="8458" width="4.875" style="160" customWidth="1"/>
    <col min="8459" max="8459" width="4.375" style="160" customWidth="1"/>
    <col min="8460" max="8460" width="6" style="160" customWidth="1"/>
    <col min="8461" max="8461" width="4.125" style="160" customWidth="1"/>
    <col min="8462" max="8462" width="6" style="160" customWidth="1"/>
    <col min="8463" max="8463" width="4.25" style="160" customWidth="1"/>
    <col min="8464" max="8464" width="6.5" style="160" customWidth="1"/>
    <col min="8465" max="8465" width="4.875" style="160" customWidth="1"/>
    <col min="8466" max="8466" width="5.5" style="160" customWidth="1"/>
    <col min="8467" max="8467" width="4.625" style="160" customWidth="1"/>
    <col min="8468" max="8468" width="4" style="160" customWidth="1"/>
    <col min="8469" max="8469" width="4.5" style="160" customWidth="1"/>
    <col min="8470" max="8470" width="5.125" style="160" customWidth="1"/>
    <col min="8471" max="8471" width="0" style="160" hidden="1" customWidth="1"/>
    <col min="8472" max="8704" width="9" style="160"/>
    <col min="8705" max="8705" width="3.625" style="160" customWidth="1"/>
    <col min="8706" max="8706" width="18.25" style="160" customWidth="1"/>
    <col min="8707" max="8707" width="5.25" style="160" customWidth="1"/>
    <col min="8708" max="8708" width="5.75" style="160" customWidth="1"/>
    <col min="8709" max="8711" width="5.5" style="160" customWidth="1"/>
    <col min="8712" max="8712" width="5.375" style="160" customWidth="1"/>
    <col min="8713" max="8713" width="6" style="160" customWidth="1"/>
    <col min="8714" max="8714" width="4.875" style="160" customWidth="1"/>
    <col min="8715" max="8715" width="4.375" style="160" customWidth="1"/>
    <col min="8716" max="8716" width="6" style="160" customWidth="1"/>
    <col min="8717" max="8717" width="4.125" style="160" customWidth="1"/>
    <col min="8718" max="8718" width="6" style="160" customWidth="1"/>
    <col min="8719" max="8719" width="4.25" style="160" customWidth="1"/>
    <col min="8720" max="8720" width="6.5" style="160" customWidth="1"/>
    <col min="8721" max="8721" width="4.875" style="160" customWidth="1"/>
    <col min="8722" max="8722" width="5.5" style="160" customWidth="1"/>
    <col min="8723" max="8723" width="4.625" style="160" customWidth="1"/>
    <col min="8724" max="8724" width="4" style="160" customWidth="1"/>
    <col min="8725" max="8725" width="4.5" style="160" customWidth="1"/>
    <col min="8726" max="8726" width="5.125" style="160" customWidth="1"/>
    <col min="8727" max="8727" width="0" style="160" hidden="1" customWidth="1"/>
    <col min="8728" max="8960" width="9" style="160"/>
    <col min="8961" max="8961" width="3.625" style="160" customWidth="1"/>
    <col min="8962" max="8962" width="18.25" style="160" customWidth="1"/>
    <col min="8963" max="8963" width="5.25" style="160" customWidth="1"/>
    <col min="8964" max="8964" width="5.75" style="160" customWidth="1"/>
    <col min="8965" max="8967" width="5.5" style="160" customWidth="1"/>
    <col min="8968" max="8968" width="5.375" style="160" customWidth="1"/>
    <col min="8969" max="8969" width="6" style="160" customWidth="1"/>
    <col min="8970" max="8970" width="4.875" style="160" customWidth="1"/>
    <col min="8971" max="8971" width="4.375" style="160" customWidth="1"/>
    <col min="8972" max="8972" width="6" style="160" customWidth="1"/>
    <col min="8973" max="8973" width="4.125" style="160" customWidth="1"/>
    <col min="8974" max="8974" width="6" style="160" customWidth="1"/>
    <col min="8975" max="8975" width="4.25" style="160" customWidth="1"/>
    <col min="8976" max="8976" width="6.5" style="160" customWidth="1"/>
    <col min="8977" max="8977" width="4.875" style="160" customWidth="1"/>
    <col min="8978" max="8978" width="5.5" style="160" customWidth="1"/>
    <col min="8979" max="8979" width="4.625" style="160" customWidth="1"/>
    <col min="8980" max="8980" width="4" style="160" customWidth="1"/>
    <col min="8981" max="8981" width="4.5" style="160" customWidth="1"/>
    <col min="8982" max="8982" width="5.125" style="160" customWidth="1"/>
    <col min="8983" max="8983" width="0" style="160" hidden="1" customWidth="1"/>
    <col min="8984" max="9216" width="9" style="160"/>
    <col min="9217" max="9217" width="3.625" style="160" customWidth="1"/>
    <col min="9218" max="9218" width="18.25" style="160" customWidth="1"/>
    <col min="9219" max="9219" width="5.25" style="160" customWidth="1"/>
    <col min="9220" max="9220" width="5.75" style="160" customWidth="1"/>
    <col min="9221" max="9223" width="5.5" style="160" customWidth="1"/>
    <col min="9224" max="9224" width="5.375" style="160" customWidth="1"/>
    <col min="9225" max="9225" width="6" style="160" customWidth="1"/>
    <col min="9226" max="9226" width="4.875" style="160" customWidth="1"/>
    <col min="9227" max="9227" width="4.375" style="160" customWidth="1"/>
    <col min="9228" max="9228" width="6" style="160" customWidth="1"/>
    <col min="9229" max="9229" width="4.125" style="160" customWidth="1"/>
    <col min="9230" max="9230" width="6" style="160" customWidth="1"/>
    <col min="9231" max="9231" width="4.25" style="160" customWidth="1"/>
    <col min="9232" max="9232" width="6.5" style="160" customWidth="1"/>
    <col min="9233" max="9233" width="4.875" style="160" customWidth="1"/>
    <col min="9234" max="9234" width="5.5" style="160" customWidth="1"/>
    <col min="9235" max="9235" width="4.625" style="160" customWidth="1"/>
    <col min="9236" max="9236" width="4" style="160" customWidth="1"/>
    <col min="9237" max="9237" width="4.5" style="160" customWidth="1"/>
    <col min="9238" max="9238" width="5.125" style="160" customWidth="1"/>
    <col min="9239" max="9239" width="0" style="160" hidden="1" customWidth="1"/>
    <col min="9240" max="9472" width="9" style="160"/>
    <col min="9473" max="9473" width="3.625" style="160" customWidth="1"/>
    <col min="9474" max="9474" width="18.25" style="160" customWidth="1"/>
    <col min="9475" max="9475" width="5.25" style="160" customWidth="1"/>
    <col min="9476" max="9476" width="5.75" style="160" customWidth="1"/>
    <col min="9477" max="9479" width="5.5" style="160" customWidth="1"/>
    <col min="9480" max="9480" width="5.375" style="160" customWidth="1"/>
    <col min="9481" max="9481" width="6" style="160" customWidth="1"/>
    <col min="9482" max="9482" width="4.875" style="160" customWidth="1"/>
    <col min="9483" max="9483" width="4.375" style="160" customWidth="1"/>
    <col min="9484" max="9484" width="6" style="160" customWidth="1"/>
    <col min="9485" max="9485" width="4.125" style="160" customWidth="1"/>
    <col min="9486" max="9486" width="6" style="160" customWidth="1"/>
    <col min="9487" max="9487" width="4.25" style="160" customWidth="1"/>
    <col min="9488" max="9488" width="6.5" style="160" customWidth="1"/>
    <col min="9489" max="9489" width="4.875" style="160" customWidth="1"/>
    <col min="9490" max="9490" width="5.5" style="160" customWidth="1"/>
    <col min="9491" max="9491" width="4.625" style="160" customWidth="1"/>
    <col min="9492" max="9492" width="4" style="160" customWidth="1"/>
    <col min="9493" max="9493" width="4.5" style="160" customWidth="1"/>
    <col min="9494" max="9494" width="5.125" style="160" customWidth="1"/>
    <col min="9495" max="9495" width="0" style="160" hidden="1" customWidth="1"/>
    <col min="9496" max="9728" width="9" style="160"/>
    <col min="9729" max="9729" width="3.625" style="160" customWidth="1"/>
    <col min="9730" max="9730" width="18.25" style="160" customWidth="1"/>
    <col min="9731" max="9731" width="5.25" style="160" customWidth="1"/>
    <col min="9732" max="9732" width="5.75" style="160" customWidth="1"/>
    <col min="9733" max="9735" width="5.5" style="160" customWidth="1"/>
    <col min="9736" max="9736" width="5.375" style="160" customWidth="1"/>
    <col min="9737" max="9737" width="6" style="160" customWidth="1"/>
    <col min="9738" max="9738" width="4.875" style="160" customWidth="1"/>
    <col min="9739" max="9739" width="4.375" style="160" customWidth="1"/>
    <col min="9740" max="9740" width="6" style="160" customWidth="1"/>
    <col min="9741" max="9741" width="4.125" style="160" customWidth="1"/>
    <col min="9742" max="9742" width="6" style="160" customWidth="1"/>
    <col min="9743" max="9743" width="4.25" style="160" customWidth="1"/>
    <col min="9744" max="9744" width="6.5" style="160" customWidth="1"/>
    <col min="9745" max="9745" width="4.875" style="160" customWidth="1"/>
    <col min="9746" max="9746" width="5.5" style="160" customWidth="1"/>
    <col min="9747" max="9747" width="4.625" style="160" customWidth="1"/>
    <col min="9748" max="9748" width="4" style="160" customWidth="1"/>
    <col min="9749" max="9749" width="4.5" style="160" customWidth="1"/>
    <col min="9750" max="9750" width="5.125" style="160" customWidth="1"/>
    <col min="9751" max="9751" width="0" style="160" hidden="1" customWidth="1"/>
    <col min="9752" max="9984" width="9" style="160"/>
    <col min="9985" max="9985" width="3.625" style="160" customWidth="1"/>
    <col min="9986" max="9986" width="18.25" style="160" customWidth="1"/>
    <col min="9987" max="9987" width="5.25" style="160" customWidth="1"/>
    <col min="9988" max="9988" width="5.75" style="160" customWidth="1"/>
    <col min="9989" max="9991" width="5.5" style="160" customWidth="1"/>
    <col min="9992" max="9992" width="5.375" style="160" customWidth="1"/>
    <col min="9993" max="9993" width="6" style="160" customWidth="1"/>
    <col min="9994" max="9994" width="4.875" style="160" customWidth="1"/>
    <col min="9995" max="9995" width="4.375" style="160" customWidth="1"/>
    <col min="9996" max="9996" width="6" style="160" customWidth="1"/>
    <col min="9997" max="9997" width="4.125" style="160" customWidth="1"/>
    <col min="9998" max="9998" width="6" style="160" customWidth="1"/>
    <col min="9999" max="9999" width="4.25" style="160" customWidth="1"/>
    <col min="10000" max="10000" width="6.5" style="160" customWidth="1"/>
    <col min="10001" max="10001" width="4.875" style="160" customWidth="1"/>
    <col min="10002" max="10002" width="5.5" style="160" customWidth="1"/>
    <col min="10003" max="10003" width="4.625" style="160" customWidth="1"/>
    <col min="10004" max="10004" width="4" style="160" customWidth="1"/>
    <col min="10005" max="10005" width="4.5" style="160" customWidth="1"/>
    <col min="10006" max="10006" width="5.125" style="160" customWidth="1"/>
    <col min="10007" max="10007" width="0" style="160" hidden="1" customWidth="1"/>
    <col min="10008" max="10240" width="9" style="160"/>
    <col min="10241" max="10241" width="3.625" style="160" customWidth="1"/>
    <col min="10242" max="10242" width="18.25" style="160" customWidth="1"/>
    <col min="10243" max="10243" width="5.25" style="160" customWidth="1"/>
    <col min="10244" max="10244" width="5.75" style="160" customWidth="1"/>
    <col min="10245" max="10247" width="5.5" style="160" customWidth="1"/>
    <col min="10248" max="10248" width="5.375" style="160" customWidth="1"/>
    <col min="10249" max="10249" width="6" style="160" customWidth="1"/>
    <col min="10250" max="10250" width="4.875" style="160" customWidth="1"/>
    <col min="10251" max="10251" width="4.375" style="160" customWidth="1"/>
    <col min="10252" max="10252" width="6" style="160" customWidth="1"/>
    <col min="10253" max="10253" width="4.125" style="160" customWidth="1"/>
    <col min="10254" max="10254" width="6" style="160" customWidth="1"/>
    <col min="10255" max="10255" width="4.25" style="160" customWidth="1"/>
    <col min="10256" max="10256" width="6.5" style="160" customWidth="1"/>
    <col min="10257" max="10257" width="4.875" style="160" customWidth="1"/>
    <col min="10258" max="10258" width="5.5" style="160" customWidth="1"/>
    <col min="10259" max="10259" width="4.625" style="160" customWidth="1"/>
    <col min="10260" max="10260" width="4" style="160" customWidth="1"/>
    <col min="10261" max="10261" width="4.5" style="160" customWidth="1"/>
    <col min="10262" max="10262" width="5.125" style="160" customWidth="1"/>
    <col min="10263" max="10263" width="0" style="160" hidden="1" customWidth="1"/>
    <col min="10264" max="10496" width="9" style="160"/>
    <col min="10497" max="10497" width="3.625" style="160" customWidth="1"/>
    <col min="10498" max="10498" width="18.25" style="160" customWidth="1"/>
    <col min="10499" max="10499" width="5.25" style="160" customWidth="1"/>
    <col min="10500" max="10500" width="5.75" style="160" customWidth="1"/>
    <col min="10501" max="10503" width="5.5" style="160" customWidth="1"/>
    <col min="10504" max="10504" width="5.375" style="160" customWidth="1"/>
    <col min="10505" max="10505" width="6" style="160" customWidth="1"/>
    <col min="10506" max="10506" width="4.875" style="160" customWidth="1"/>
    <col min="10507" max="10507" width="4.375" style="160" customWidth="1"/>
    <col min="10508" max="10508" width="6" style="160" customWidth="1"/>
    <col min="10509" max="10509" width="4.125" style="160" customWidth="1"/>
    <col min="10510" max="10510" width="6" style="160" customWidth="1"/>
    <col min="10511" max="10511" width="4.25" style="160" customWidth="1"/>
    <col min="10512" max="10512" width="6.5" style="160" customWidth="1"/>
    <col min="10513" max="10513" width="4.875" style="160" customWidth="1"/>
    <col min="10514" max="10514" width="5.5" style="160" customWidth="1"/>
    <col min="10515" max="10515" width="4.625" style="160" customWidth="1"/>
    <col min="10516" max="10516" width="4" style="160" customWidth="1"/>
    <col min="10517" max="10517" width="4.5" style="160" customWidth="1"/>
    <col min="10518" max="10518" width="5.125" style="160" customWidth="1"/>
    <col min="10519" max="10519" width="0" style="160" hidden="1" customWidth="1"/>
    <col min="10520" max="10752" width="9" style="160"/>
    <col min="10753" max="10753" width="3.625" style="160" customWidth="1"/>
    <col min="10754" max="10754" width="18.25" style="160" customWidth="1"/>
    <col min="10755" max="10755" width="5.25" style="160" customWidth="1"/>
    <col min="10756" max="10756" width="5.75" style="160" customWidth="1"/>
    <col min="10757" max="10759" width="5.5" style="160" customWidth="1"/>
    <col min="10760" max="10760" width="5.375" style="160" customWidth="1"/>
    <col min="10761" max="10761" width="6" style="160" customWidth="1"/>
    <col min="10762" max="10762" width="4.875" style="160" customWidth="1"/>
    <col min="10763" max="10763" width="4.375" style="160" customWidth="1"/>
    <col min="10764" max="10764" width="6" style="160" customWidth="1"/>
    <col min="10765" max="10765" width="4.125" style="160" customWidth="1"/>
    <col min="10766" max="10766" width="6" style="160" customWidth="1"/>
    <col min="10767" max="10767" width="4.25" style="160" customWidth="1"/>
    <col min="10768" max="10768" width="6.5" style="160" customWidth="1"/>
    <col min="10769" max="10769" width="4.875" style="160" customWidth="1"/>
    <col min="10770" max="10770" width="5.5" style="160" customWidth="1"/>
    <col min="10771" max="10771" width="4.625" style="160" customWidth="1"/>
    <col min="10772" max="10772" width="4" style="160" customWidth="1"/>
    <col min="10773" max="10773" width="4.5" style="160" customWidth="1"/>
    <col min="10774" max="10774" width="5.125" style="160" customWidth="1"/>
    <col min="10775" max="10775" width="0" style="160" hidden="1" customWidth="1"/>
    <col min="10776" max="11008" width="9" style="160"/>
    <col min="11009" max="11009" width="3.625" style="160" customWidth="1"/>
    <col min="11010" max="11010" width="18.25" style="160" customWidth="1"/>
    <col min="11011" max="11011" width="5.25" style="160" customWidth="1"/>
    <col min="11012" max="11012" width="5.75" style="160" customWidth="1"/>
    <col min="11013" max="11015" width="5.5" style="160" customWidth="1"/>
    <col min="11016" max="11016" width="5.375" style="160" customWidth="1"/>
    <col min="11017" max="11017" width="6" style="160" customWidth="1"/>
    <col min="11018" max="11018" width="4.875" style="160" customWidth="1"/>
    <col min="11019" max="11019" width="4.375" style="160" customWidth="1"/>
    <col min="11020" max="11020" width="6" style="160" customWidth="1"/>
    <col min="11021" max="11021" width="4.125" style="160" customWidth="1"/>
    <col min="11022" max="11022" width="6" style="160" customWidth="1"/>
    <col min="11023" max="11023" width="4.25" style="160" customWidth="1"/>
    <col min="11024" max="11024" width="6.5" style="160" customWidth="1"/>
    <col min="11025" max="11025" width="4.875" style="160" customWidth="1"/>
    <col min="11026" max="11026" width="5.5" style="160" customWidth="1"/>
    <col min="11027" max="11027" width="4.625" style="160" customWidth="1"/>
    <col min="11028" max="11028" width="4" style="160" customWidth="1"/>
    <col min="11029" max="11029" width="4.5" style="160" customWidth="1"/>
    <col min="11030" max="11030" width="5.125" style="160" customWidth="1"/>
    <col min="11031" max="11031" width="0" style="160" hidden="1" customWidth="1"/>
    <col min="11032" max="11264" width="9" style="160"/>
    <col min="11265" max="11265" width="3.625" style="160" customWidth="1"/>
    <col min="11266" max="11266" width="18.25" style="160" customWidth="1"/>
    <col min="11267" max="11267" width="5.25" style="160" customWidth="1"/>
    <col min="11268" max="11268" width="5.75" style="160" customWidth="1"/>
    <col min="11269" max="11271" width="5.5" style="160" customWidth="1"/>
    <col min="11272" max="11272" width="5.375" style="160" customWidth="1"/>
    <col min="11273" max="11273" width="6" style="160" customWidth="1"/>
    <col min="11274" max="11274" width="4.875" style="160" customWidth="1"/>
    <col min="11275" max="11275" width="4.375" style="160" customWidth="1"/>
    <col min="11276" max="11276" width="6" style="160" customWidth="1"/>
    <col min="11277" max="11277" width="4.125" style="160" customWidth="1"/>
    <col min="11278" max="11278" width="6" style="160" customWidth="1"/>
    <col min="11279" max="11279" width="4.25" style="160" customWidth="1"/>
    <col min="11280" max="11280" width="6.5" style="160" customWidth="1"/>
    <col min="11281" max="11281" width="4.875" style="160" customWidth="1"/>
    <col min="11282" max="11282" width="5.5" style="160" customWidth="1"/>
    <col min="11283" max="11283" width="4.625" style="160" customWidth="1"/>
    <col min="11284" max="11284" width="4" style="160" customWidth="1"/>
    <col min="11285" max="11285" width="4.5" style="160" customWidth="1"/>
    <col min="11286" max="11286" width="5.125" style="160" customWidth="1"/>
    <col min="11287" max="11287" width="0" style="160" hidden="1" customWidth="1"/>
    <col min="11288" max="11520" width="9" style="160"/>
    <col min="11521" max="11521" width="3.625" style="160" customWidth="1"/>
    <col min="11522" max="11522" width="18.25" style="160" customWidth="1"/>
    <col min="11523" max="11523" width="5.25" style="160" customWidth="1"/>
    <col min="11524" max="11524" width="5.75" style="160" customWidth="1"/>
    <col min="11525" max="11527" width="5.5" style="160" customWidth="1"/>
    <col min="11528" max="11528" width="5.375" style="160" customWidth="1"/>
    <col min="11529" max="11529" width="6" style="160" customWidth="1"/>
    <col min="11530" max="11530" width="4.875" style="160" customWidth="1"/>
    <col min="11531" max="11531" width="4.375" style="160" customWidth="1"/>
    <col min="11532" max="11532" width="6" style="160" customWidth="1"/>
    <col min="11533" max="11533" width="4.125" style="160" customWidth="1"/>
    <col min="11534" max="11534" width="6" style="160" customWidth="1"/>
    <col min="11535" max="11535" width="4.25" style="160" customWidth="1"/>
    <col min="11536" max="11536" width="6.5" style="160" customWidth="1"/>
    <col min="11537" max="11537" width="4.875" style="160" customWidth="1"/>
    <col min="11538" max="11538" width="5.5" style="160" customWidth="1"/>
    <col min="11539" max="11539" width="4.625" style="160" customWidth="1"/>
    <col min="11540" max="11540" width="4" style="160" customWidth="1"/>
    <col min="11541" max="11541" width="4.5" style="160" customWidth="1"/>
    <col min="11542" max="11542" width="5.125" style="160" customWidth="1"/>
    <col min="11543" max="11543" width="0" style="160" hidden="1" customWidth="1"/>
    <col min="11544" max="11776" width="9" style="160"/>
    <col min="11777" max="11777" width="3.625" style="160" customWidth="1"/>
    <col min="11778" max="11778" width="18.25" style="160" customWidth="1"/>
    <col min="11779" max="11779" width="5.25" style="160" customWidth="1"/>
    <col min="11780" max="11780" width="5.75" style="160" customWidth="1"/>
    <col min="11781" max="11783" width="5.5" style="160" customWidth="1"/>
    <col min="11784" max="11784" width="5.375" style="160" customWidth="1"/>
    <col min="11785" max="11785" width="6" style="160" customWidth="1"/>
    <col min="11786" max="11786" width="4.875" style="160" customWidth="1"/>
    <col min="11787" max="11787" width="4.375" style="160" customWidth="1"/>
    <col min="11788" max="11788" width="6" style="160" customWidth="1"/>
    <col min="11789" max="11789" width="4.125" style="160" customWidth="1"/>
    <col min="11790" max="11790" width="6" style="160" customWidth="1"/>
    <col min="11791" max="11791" width="4.25" style="160" customWidth="1"/>
    <col min="11792" max="11792" width="6.5" style="160" customWidth="1"/>
    <col min="11793" max="11793" width="4.875" style="160" customWidth="1"/>
    <col min="11794" max="11794" width="5.5" style="160" customWidth="1"/>
    <col min="11795" max="11795" width="4.625" style="160" customWidth="1"/>
    <col min="11796" max="11796" width="4" style="160" customWidth="1"/>
    <col min="11797" max="11797" width="4.5" style="160" customWidth="1"/>
    <col min="11798" max="11798" width="5.125" style="160" customWidth="1"/>
    <col min="11799" max="11799" width="0" style="160" hidden="1" customWidth="1"/>
    <col min="11800" max="12032" width="9" style="160"/>
    <col min="12033" max="12033" width="3.625" style="160" customWidth="1"/>
    <col min="12034" max="12034" width="18.25" style="160" customWidth="1"/>
    <col min="12035" max="12035" width="5.25" style="160" customWidth="1"/>
    <col min="12036" max="12036" width="5.75" style="160" customWidth="1"/>
    <col min="12037" max="12039" width="5.5" style="160" customWidth="1"/>
    <col min="12040" max="12040" width="5.375" style="160" customWidth="1"/>
    <col min="12041" max="12041" width="6" style="160" customWidth="1"/>
    <col min="12042" max="12042" width="4.875" style="160" customWidth="1"/>
    <col min="12043" max="12043" width="4.375" style="160" customWidth="1"/>
    <col min="12044" max="12044" width="6" style="160" customWidth="1"/>
    <col min="12045" max="12045" width="4.125" style="160" customWidth="1"/>
    <col min="12046" max="12046" width="6" style="160" customWidth="1"/>
    <col min="12047" max="12047" width="4.25" style="160" customWidth="1"/>
    <col min="12048" max="12048" width="6.5" style="160" customWidth="1"/>
    <col min="12049" max="12049" width="4.875" style="160" customWidth="1"/>
    <col min="12050" max="12050" width="5.5" style="160" customWidth="1"/>
    <col min="12051" max="12051" width="4.625" style="160" customWidth="1"/>
    <col min="12052" max="12052" width="4" style="160" customWidth="1"/>
    <col min="12053" max="12053" width="4.5" style="160" customWidth="1"/>
    <col min="12054" max="12054" width="5.125" style="160" customWidth="1"/>
    <col min="12055" max="12055" width="0" style="160" hidden="1" customWidth="1"/>
    <col min="12056" max="12288" width="9" style="160"/>
    <col min="12289" max="12289" width="3.625" style="160" customWidth="1"/>
    <col min="12290" max="12290" width="18.25" style="160" customWidth="1"/>
    <col min="12291" max="12291" width="5.25" style="160" customWidth="1"/>
    <col min="12292" max="12292" width="5.75" style="160" customWidth="1"/>
    <col min="12293" max="12295" width="5.5" style="160" customWidth="1"/>
    <col min="12296" max="12296" width="5.375" style="160" customWidth="1"/>
    <col min="12297" max="12297" width="6" style="160" customWidth="1"/>
    <col min="12298" max="12298" width="4.875" style="160" customWidth="1"/>
    <col min="12299" max="12299" width="4.375" style="160" customWidth="1"/>
    <col min="12300" max="12300" width="6" style="160" customWidth="1"/>
    <col min="12301" max="12301" width="4.125" style="160" customWidth="1"/>
    <col min="12302" max="12302" width="6" style="160" customWidth="1"/>
    <col min="12303" max="12303" width="4.25" style="160" customWidth="1"/>
    <col min="12304" max="12304" width="6.5" style="160" customWidth="1"/>
    <col min="12305" max="12305" width="4.875" style="160" customWidth="1"/>
    <col min="12306" max="12306" width="5.5" style="160" customWidth="1"/>
    <col min="12307" max="12307" width="4.625" style="160" customWidth="1"/>
    <col min="12308" max="12308" width="4" style="160" customWidth="1"/>
    <col min="12309" max="12309" width="4.5" style="160" customWidth="1"/>
    <col min="12310" max="12310" width="5.125" style="160" customWidth="1"/>
    <col min="12311" max="12311" width="0" style="160" hidden="1" customWidth="1"/>
    <col min="12312" max="12544" width="9" style="160"/>
    <col min="12545" max="12545" width="3.625" style="160" customWidth="1"/>
    <col min="12546" max="12546" width="18.25" style="160" customWidth="1"/>
    <col min="12547" max="12547" width="5.25" style="160" customWidth="1"/>
    <col min="12548" max="12548" width="5.75" style="160" customWidth="1"/>
    <col min="12549" max="12551" width="5.5" style="160" customWidth="1"/>
    <col min="12552" max="12552" width="5.375" style="160" customWidth="1"/>
    <col min="12553" max="12553" width="6" style="160" customWidth="1"/>
    <col min="12554" max="12554" width="4.875" style="160" customWidth="1"/>
    <col min="12555" max="12555" width="4.375" style="160" customWidth="1"/>
    <col min="12556" max="12556" width="6" style="160" customWidth="1"/>
    <col min="12557" max="12557" width="4.125" style="160" customWidth="1"/>
    <col min="12558" max="12558" width="6" style="160" customWidth="1"/>
    <col min="12559" max="12559" width="4.25" style="160" customWidth="1"/>
    <col min="12560" max="12560" width="6.5" style="160" customWidth="1"/>
    <col min="12561" max="12561" width="4.875" style="160" customWidth="1"/>
    <col min="12562" max="12562" width="5.5" style="160" customWidth="1"/>
    <col min="12563" max="12563" width="4.625" style="160" customWidth="1"/>
    <col min="12564" max="12564" width="4" style="160" customWidth="1"/>
    <col min="12565" max="12565" width="4.5" style="160" customWidth="1"/>
    <col min="12566" max="12566" width="5.125" style="160" customWidth="1"/>
    <col min="12567" max="12567" width="0" style="160" hidden="1" customWidth="1"/>
    <col min="12568" max="12800" width="9" style="160"/>
    <col min="12801" max="12801" width="3.625" style="160" customWidth="1"/>
    <col min="12802" max="12802" width="18.25" style="160" customWidth="1"/>
    <col min="12803" max="12803" width="5.25" style="160" customWidth="1"/>
    <col min="12804" max="12804" width="5.75" style="160" customWidth="1"/>
    <col min="12805" max="12807" width="5.5" style="160" customWidth="1"/>
    <col min="12808" max="12808" width="5.375" style="160" customWidth="1"/>
    <col min="12809" max="12809" width="6" style="160" customWidth="1"/>
    <col min="12810" max="12810" width="4.875" style="160" customWidth="1"/>
    <col min="12811" max="12811" width="4.375" style="160" customWidth="1"/>
    <col min="12812" max="12812" width="6" style="160" customWidth="1"/>
    <col min="12813" max="12813" width="4.125" style="160" customWidth="1"/>
    <col min="12814" max="12814" width="6" style="160" customWidth="1"/>
    <col min="12815" max="12815" width="4.25" style="160" customWidth="1"/>
    <col min="12816" max="12816" width="6.5" style="160" customWidth="1"/>
    <col min="12817" max="12817" width="4.875" style="160" customWidth="1"/>
    <col min="12818" max="12818" width="5.5" style="160" customWidth="1"/>
    <col min="12819" max="12819" width="4.625" style="160" customWidth="1"/>
    <col min="12820" max="12820" width="4" style="160" customWidth="1"/>
    <col min="12821" max="12821" width="4.5" style="160" customWidth="1"/>
    <col min="12822" max="12822" width="5.125" style="160" customWidth="1"/>
    <col min="12823" max="12823" width="0" style="160" hidden="1" customWidth="1"/>
    <col min="12824" max="13056" width="9" style="160"/>
    <col min="13057" max="13057" width="3.625" style="160" customWidth="1"/>
    <col min="13058" max="13058" width="18.25" style="160" customWidth="1"/>
    <col min="13059" max="13059" width="5.25" style="160" customWidth="1"/>
    <col min="13060" max="13060" width="5.75" style="160" customWidth="1"/>
    <col min="13061" max="13063" width="5.5" style="160" customWidth="1"/>
    <col min="13064" max="13064" width="5.375" style="160" customWidth="1"/>
    <col min="13065" max="13065" width="6" style="160" customWidth="1"/>
    <col min="13066" max="13066" width="4.875" style="160" customWidth="1"/>
    <col min="13067" max="13067" width="4.375" style="160" customWidth="1"/>
    <col min="13068" max="13068" width="6" style="160" customWidth="1"/>
    <col min="13069" max="13069" width="4.125" style="160" customWidth="1"/>
    <col min="13070" max="13070" width="6" style="160" customWidth="1"/>
    <col min="13071" max="13071" width="4.25" style="160" customWidth="1"/>
    <col min="13072" max="13072" width="6.5" style="160" customWidth="1"/>
    <col min="13073" max="13073" width="4.875" style="160" customWidth="1"/>
    <col min="13074" max="13074" width="5.5" style="160" customWidth="1"/>
    <col min="13075" max="13075" width="4.625" style="160" customWidth="1"/>
    <col min="13076" max="13076" width="4" style="160" customWidth="1"/>
    <col min="13077" max="13077" width="4.5" style="160" customWidth="1"/>
    <col min="13078" max="13078" width="5.125" style="160" customWidth="1"/>
    <col min="13079" max="13079" width="0" style="160" hidden="1" customWidth="1"/>
    <col min="13080" max="13312" width="9" style="160"/>
    <col min="13313" max="13313" width="3.625" style="160" customWidth="1"/>
    <col min="13314" max="13314" width="18.25" style="160" customWidth="1"/>
    <col min="13315" max="13315" width="5.25" style="160" customWidth="1"/>
    <col min="13316" max="13316" width="5.75" style="160" customWidth="1"/>
    <col min="13317" max="13319" width="5.5" style="160" customWidth="1"/>
    <col min="13320" max="13320" width="5.375" style="160" customWidth="1"/>
    <col min="13321" max="13321" width="6" style="160" customWidth="1"/>
    <col min="13322" max="13322" width="4.875" style="160" customWidth="1"/>
    <col min="13323" max="13323" width="4.375" style="160" customWidth="1"/>
    <col min="13324" max="13324" width="6" style="160" customWidth="1"/>
    <col min="13325" max="13325" width="4.125" style="160" customWidth="1"/>
    <col min="13326" max="13326" width="6" style="160" customWidth="1"/>
    <col min="13327" max="13327" width="4.25" style="160" customWidth="1"/>
    <col min="13328" max="13328" width="6.5" style="160" customWidth="1"/>
    <col min="13329" max="13329" width="4.875" style="160" customWidth="1"/>
    <col min="13330" max="13330" width="5.5" style="160" customWidth="1"/>
    <col min="13331" max="13331" width="4.625" style="160" customWidth="1"/>
    <col min="13332" max="13332" width="4" style="160" customWidth="1"/>
    <col min="13333" max="13333" width="4.5" style="160" customWidth="1"/>
    <col min="13334" max="13334" width="5.125" style="160" customWidth="1"/>
    <col min="13335" max="13335" width="0" style="160" hidden="1" customWidth="1"/>
    <col min="13336" max="13568" width="9" style="160"/>
    <col min="13569" max="13569" width="3.625" style="160" customWidth="1"/>
    <col min="13570" max="13570" width="18.25" style="160" customWidth="1"/>
    <col min="13571" max="13571" width="5.25" style="160" customWidth="1"/>
    <col min="13572" max="13572" width="5.75" style="160" customWidth="1"/>
    <col min="13573" max="13575" width="5.5" style="160" customWidth="1"/>
    <col min="13576" max="13576" width="5.375" style="160" customWidth="1"/>
    <col min="13577" max="13577" width="6" style="160" customWidth="1"/>
    <col min="13578" max="13578" width="4.875" style="160" customWidth="1"/>
    <col min="13579" max="13579" width="4.375" style="160" customWidth="1"/>
    <col min="13580" max="13580" width="6" style="160" customWidth="1"/>
    <col min="13581" max="13581" width="4.125" style="160" customWidth="1"/>
    <col min="13582" max="13582" width="6" style="160" customWidth="1"/>
    <col min="13583" max="13583" width="4.25" style="160" customWidth="1"/>
    <col min="13584" max="13584" width="6.5" style="160" customWidth="1"/>
    <col min="13585" max="13585" width="4.875" style="160" customWidth="1"/>
    <col min="13586" max="13586" width="5.5" style="160" customWidth="1"/>
    <col min="13587" max="13587" width="4.625" style="160" customWidth="1"/>
    <col min="13588" max="13588" width="4" style="160" customWidth="1"/>
    <col min="13589" max="13589" width="4.5" style="160" customWidth="1"/>
    <col min="13590" max="13590" width="5.125" style="160" customWidth="1"/>
    <col min="13591" max="13591" width="0" style="160" hidden="1" customWidth="1"/>
    <col min="13592" max="13824" width="9" style="160"/>
    <col min="13825" max="13825" width="3.625" style="160" customWidth="1"/>
    <col min="13826" max="13826" width="18.25" style="160" customWidth="1"/>
    <col min="13827" max="13827" width="5.25" style="160" customWidth="1"/>
    <col min="13828" max="13828" width="5.75" style="160" customWidth="1"/>
    <col min="13829" max="13831" width="5.5" style="160" customWidth="1"/>
    <col min="13832" max="13832" width="5.375" style="160" customWidth="1"/>
    <col min="13833" max="13833" width="6" style="160" customWidth="1"/>
    <col min="13834" max="13834" width="4.875" style="160" customWidth="1"/>
    <col min="13835" max="13835" width="4.375" style="160" customWidth="1"/>
    <col min="13836" max="13836" width="6" style="160" customWidth="1"/>
    <col min="13837" max="13837" width="4.125" style="160" customWidth="1"/>
    <col min="13838" max="13838" width="6" style="160" customWidth="1"/>
    <col min="13839" max="13839" width="4.25" style="160" customWidth="1"/>
    <col min="13840" max="13840" width="6.5" style="160" customWidth="1"/>
    <col min="13841" max="13841" width="4.875" style="160" customWidth="1"/>
    <col min="13842" max="13842" width="5.5" style="160" customWidth="1"/>
    <col min="13843" max="13843" width="4.625" style="160" customWidth="1"/>
    <col min="13844" max="13844" width="4" style="160" customWidth="1"/>
    <col min="13845" max="13845" width="4.5" style="160" customWidth="1"/>
    <col min="13846" max="13846" width="5.125" style="160" customWidth="1"/>
    <col min="13847" max="13847" width="0" style="160" hidden="1" customWidth="1"/>
    <col min="13848" max="14080" width="9" style="160"/>
    <col min="14081" max="14081" width="3.625" style="160" customWidth="1"/>
    <col min="14082" max="14082" width="18.25" style="160" customWidth="1"/>
    <col min="14083" max="14083" width="5.25" style="160" customWidth="1"/>
    <col min="14084" max="14084" width="5.75" style="160" customWidth="1"/>
    <col min="14085" max="14087" width="5.5" style="160" customWidth="1"/>
    <col min="14088" max="14088" width="5.375" style="160" customWidth="1"/>
    <col min="14089" max="14089" width="6" style="160" customWidth="1"/>
    <col min="14090" max="14090" width="4.875" style="160" customWidth="1"/>
    <col min="14091" max="14091" width="4.375" style="160" customWidth="1"/>
    <col min="14092" max="14092" width="6" style="160" customWidth="1"/>
    <col min="14093" max="14093" width="4.125" style="160" customWidth="1"/>
    <col min="14094" max="14094" width="6" style="160" customWidth="1"/>
    <col min="14095" max="14095" width="4.25" style="160" customWidth="1"/>
    <col min="14096" max="14096" width="6.5" style="160" customWidth="1"/>
    <col min="14097" max="14097" width="4.875" style="160" customWidth="1"/>
    <col min="14098" max="14098" width="5.5" style="160" customWidth="1"/>
    <col min="14099" max="14099" width="4.625" style="160" customWidth="1"/>
    <col min="14100" max="14100" width="4" style="160" customWidth="1"/>
    <col min="14101" max="14101" width="4.5" style="160" customWidth="1"/>
    <col min="14102" max="14102" width="5.125" style="160" customWidth="1"/>
    <col min="14103" max="14103" width="0" style="160" hidden="1" customWidth="1"/>
    <col min="14104" max="14336" width="9" style="160"/>
    <col min="14337" max="14337" width="3.625" style="160" customWidth="1"/>
    <col min="14338" max="14338" width="18.25" style="160" customWidth="1"/>
    <col min="14339" max="14339" width="5.25" style="160" customWidth="1"/>
    <col min="14340" max="14340" width="5.75" style="160" customWidth="1"/>
    <col min="14341" max="14343" width="5.5" style="160" customWidth="1"/>
    <col min="14344" max="14344" width="5.375" style="160" customWidth="1"/>
    <col min="14345" max="14345" width="6" style="160" customWidth="1"/>
    <col min="14346" max="14346" width="4.875" style="160" customWidth="1"/>
    <col min="14347" max="14347" width="4.375" style="160" customWidth="1"/>
    <col min="14348" max="14348" width="6" style="160" customWidth="1"/>
    <col min="14349" max="14349" width="4.125" style="160" customWidth="1"/>
    <col min="14350" max="14350" width="6" style="160" customWidth="1"/>
    <col min="14351" max="14351" width="4.25" style="160" customWidth="1"/>
    <col min="14352" max="14352" width="6.5" style="160" customWidth="1"/>
    <col min="14353" max="14353" width="4.875" style="160" customWidth="1"/>
    <col min="14354" max="14354" width="5.5" style="160" customWidth="1"/>
    <col min="14355" max="14355" width="4.625" style="160" customWidth="1"/>
    <col min="14356" max="14356" width="4" style="160" customWidth="1"/>
    <col min="14357" max="14357" width="4.5" style="160" customWidth="1"/>
    <col min="14358" max="14358" width="5.125" style="160" customWidth="1"/>
    <col min="14359" max="14359" width="0" style="160" hidden="1" customWidth="1"/>
    <col min="14360" max="14592" width="9" style="160"/>
    <col min="14593" max="14593" width="3.625" style="160" customWidth="1"/>
    <col min="14594" max="14594" width="18.25" style="160" customWidth="1"/>
    <col min="14595" max="14595" width="5.25" style="160" customWidth="1"/>
    <col min="14596" max="14596" width="5.75" style="160" customWidth="1"/>
    <col min="14597" max="14599" width="5.5" style="160" customWidth="1"/>
    <col min="14600" max="14600" width="5.375" style="160" customWidth="1"/>
    <col min="14601" max="14601" width="6" style="160" customWidth="1"/>
    <col min="14602" max="14602" width="4.875" style="160" customWidth="1"/>
    <col min="14603" max="14603" width="4.375" style="160" customWidth="1"/>
    <col min="14604" max="14604" width="6" style="160" customWidth="1"/>
    <col min="14605" max="14605" width="4.125" style="160" customWidth="1"/>
    <col min="14606" max="14606" width="6" style="160" customWidth="1"/>
    <col min="14607" max="14607" width="4.25" style="160" customWidth="1"/>
    <col min="14608" max="14608" width="6.5" style="160" customWidth="1"/>
    <col min="14609" max="14609" width="4.875" style="160" customWidth="1"/>
    <col min="14610" max="14610" width="5.5" style="160" customWidth="1"/>
    <col min="14611" max="14611" width="4.625" style="160" customWidth="1"/>
    <col min="14612" max="14612" width="4" style="160" customWidth="1"/>
    <col min="14613" max="14613" width="4.5" style="160" customWidth="1"/>
    <col min="14614" max="14614" width="5.125" style="160" customWidth="1"/>
    <col min="14615" max="14615" width="0" style="160" hidden="1" customWidth="1"/>
    <col min="14616" max="14848" width="9" style="160"/>
    <col min="14849" max="14849" width="3.625" style="160" customWidth="1"/>
    <col min="14850" max="14850" width="18.25" style="160" customWidth="1"/>
    <col min="14851" max="14851" width="5.25" style="160" customWidth="1"/>
    <col min="14852" max="14852" width="5.75" style="160" customWidth="1"/>
    <col min="14853" max="14855" width="5.5" style="160" customWidth="1"/>
    <col min="14856" max="14856" width="5.375" style="160" customWidth="1"/>
    <col min="14857" max="14857" width="6" style="160" customWidth="1"/>
    <col min="14858" max="14858" width="4.875" style="160" customWidth="1"/>
    <col min="14859" max="14859" width="4.375" style="160" customWidth="1"/>
    <col min="14860" max="14860" width="6" style="160" customWidth="1"/>
    <col min="14861" max="14861" width="4.125" style="160" customWidth="1"/>
    <col min="14862" max="14862" width="6" style="160" customWidth="1"/>
    <col min="14863" max="14863" width="4.25" style="160" customWidth="1"/>
    <col min="14864" max="14864" width="6.5" style="160" customWidth="1"/>
    <col min="14865" max="14865" width="4.875" style="160" customWidth="1"/>
    <col min="14866" max="14866" width="5.5" style="160" customWidth="1"/>
    <col min="14867" max="14867" width="4.625" style="160" customWidth="1"/>
    <col min="14868" max="14868" width="4" style="160" customWidth="1"/>
    <col min="14869" max="14869" width="4.5" style="160" customWidth="1"/>
    <col min="14870" max="14870" width="5.125" style="160" customWidth="1"/>
    <col min="14871" max="14871" width="0" style="160" hidden="1" customWidth="1"/>
    <col min="14872" max="15104" width="9" style="160"/>
    <col min="15105" max="15105" width="3.625" style="160" customWidth="1"/>
    <col min="15106" max="15106" width="18.25" style="160" customWidth="1"/>
    <col min="15107" max="15107" width="5.25" style="160" customWidth="1"/>
    <col min="15108" max="15108" width="5.75" style="160" customWidth="1"/>
    <col min="15109" max="15111" width="5.5" style="160" customWidth="1"/>
    <col min="15112" max="15112" width="5.375" style="160" customWidth="1"/>
    <col min="15113" max="15113" width="6" style="160" customWidth="1"/>
    <col min="15114" max="15114" width="4.875" style="160" customWidth="1"/>
    <col min="15115" max="15115" width="4.375" style="160" customWidth="1"/>
    <col min="15116" max="15116" width="6" style="160" customWidth="1"/>
    <col min="15117" max="15117" width="4.125" style="160" customWidth="1"/>
    <col min="15118" max="15118" width="6" style="160" customWidth="1"/>
    <col min="15119" max="15119" width="4.25" style="160" customWidth="1"/>
    <col min="15120" max="15120" width="6.5" style="160" customWidth="1"/>
    <col min="15121" max="15121" width="4.875" style="160" customWidth="1"/>
    <col min="15122" max="15122" width="5.5" style="160" customWidth="1"/>
    <col min="15123" max="15123" width="4.625" style="160" customWidth="1"/>
    <col min="15124" max="15124" width="4" style="160" customWidth="1"/>
    <col min="15125" max="15125" width="4.5" style="160" customWidth="1"/>
    <col min="15126" max="15126" width="5.125" style="160" customWidth="1"/>
    <col min="15127" max="15127" width="0" style="160" hidden="1" customWidth="1"/>
    <col min="15128" max="15360" width="9" style="160"/>
    <col min="15361" max="15361" width="3.625" style="160" customWidth="1"/>
    <col min="15362" max="15362" width="18.25" style="160" customWidth="1"/>
    <col min="15363" max="15363" width="5.25" style="160" customWidth="1"/>
    <col min="15364" max="15364" width="5.75" style="160" customWidth="1"/>
    <col min="15365" max="15367" width="5.5" style="160" customWidth="1"/>
    <col min="15368" max="15368" width="5.375" style="160" customWidth="1"/>
    <col min="15369" max="15369" width="6" style="160" customWidth="1"/>
    <col min="15370" max="15370" width="4.875" style="160" customWidth="1"/>
    <col min="15371" max="15371" width="4.375" style="160" customWidth="1"/>
    <col min="15372" max="15372" width="6" style="160" customWidth="1"/>
    <col min="15373" max="15373" width="4.125" style="160" customWidth="1"/>
    <col min="15374" max="15374" width="6" style="160" customWidth="1"/>
    <col min="15375" max="15375" width="4.25" style="160" customWidth="1"/>
    <col min="15376" max="15376" width="6.5" style="160" customWidth="1"/>
    <col min="15377" max="15377" width="4.875" style="160" customWidth="1"/>
    <col min="15378" max="15378" width="5.5" style="160" customWidth="1"/>
    <col min="15379" max="15379" width="4.625" style="160" customWidth="1"/>
    <col min="15380" max="15380" width="4" style="160" customWidth="1"/>
    <col min="15381" max="15381" width="4.5" style="160" customWidth="1"/>
    <col min="15382" max="15382" width="5.125" style="160" customWidth="1"/>
    <col min="15383" max="15383" width="0" style="160" hidden="1" customWidth="1"/>
    <col min="15384" max="15616" width="9" style="160"/>
    <col min="15617" max="15617" width="3.625" style="160" customWidth="1"/>
    <col min="15618" max="15618" width="18.25" style="160" customWidth="1"/>
    <col min="15619" max="15619" width="5.25" style="160" customWidth="1"/>
    <col min="15620" max="15620" width="5.75" style="160" customWidth="1"/>
    <col min="15621" max="15623" width="5.5" style="160" customWidth="1"/>
    <col min="15624" max="15624" width="5.375" style="160" customWidth="1"/>
    <col min="15625" max="15625" width="6" style="160" customWidth="1"/>
    <col min="15626" max="15626" width="4.875" style="160" customWidth="1"/>
    <col min="15627" max="15627" width="4.375" style="160" customWidth="1"/>
    <col min="15628" max="15628" width="6" style="160" customWidth="1"/>
    <col min="15629" max="15629" width="4.125" style="160" customWidth="1"/>
    <col min="15630" max="15630" width="6" style="160" customWidth="1"/>
    <col min="15631" max="15631" width="4.25" style="160" customWidth="1"/>
    <col min="15632" max="15632" width="6.5" style="160" customWidth="1"/>
    <col min="15633" max="15633" width="4.875" style="160" customWidth="1"/>
    <col min="15634" max="15634" width="5.5" style="160" customWidth="1"/>
    <col min="15635" max="15635" width="4.625" style="160" customWidth="1"/>
    <col min="15636" max="15636" width="4" style="160" customWidth="1"/>
    <col min="15637" max="15637" width="4.5" style="160" customWidth="1"/>
    <col min="15638" max="15638" width="5.125" style="160" customWidth="1"/>
    <col min="15639" max="15639" width="0" style="160" hidden="1" customWidth="1"/>
    <col min="15640" max="15872" width="9" style="160"/>
    <col min="15873" max="15873" width="3.625" style="160" customWidth="1"/>
    <col min="15874" max="15874" width="18.25" style="160" customWidth="1"/>
    <col min="15875" max="15875" width="5.25" style="160" customWidth="1"/>
    <col min="15876" max="15876" width="5.75" style="160" customWidth="1"/>
    <col min="15877" max="15879" width="5.5" style="160" customWidth="1"/>
    <col min="15880" max="15880" width="5.375" style="160" customWidth="1"/>
    <col min="15881" max="15881" width="6" style="160" customWidth="1"/>
    <col min="15882" max="15882" width="4.875" style="160" customWidth="1"/>
    <col min="15883" max="15883" width="4.375" style="160" customWidth="1"/>
    <col min="15884" max="15884" width="6" style="160" customWidth="1"/>
    <col min="15885" max="15885" width="4.125" style="160" customWidth="1"/>
    <col min="15886" max="15886" width="6" style="160" customWidth="1"/>
    <col min="15887" max="15887" width="4.25" style="160" customWidth="1"/>
    <col min="15888" max="15888" width="6.5" style="160" customWidth="1"/>
    <col min="15889" max="15889" width="4.875" style="160" customWidth="1"/>
    <col min="15890" max="15890" width="5.5" style="160" customWidth="1"/>
    <col min="15891" max="15891" width="4.625" style="160" customWidth="1"/>
    <col min="15892" max="15892" width="4" style="160" customWidth="1"/>
    <col min="15893" max="15893" width="4.5" style="160" customWidth="1"/>
    <col min="15894" max="15894" width="5.125" style="160" customWidth="1"/>
    <col min="15895" max="15895" width="0" style="160" hidden="1" customWidth="1"/>
    <col min="15896" max="16128" width="9" style="160"/>
    <col min="16129" max="16129" width="3.625" style="160" customWidth="1"/>
    <col min="16130" max="16130" width="18.25" style="160" customWidth="1"/>
    <col min="16131" max="16131" width="5.25" style="160" customWidth="1"/>
    <col min="16132" max="16132" width="5.75" style="160" customWidth="1"/>
    <col min="16133" max="16135" width="5.5" style="160" customWidth="1"/>
    <col min="16136" max="16136" width="5.375" style="160" customWidth="1"/>
    <col min="16137" max="16137" width="6" style="160" customWidth="1"/>
    <col min="16138" max="16138" width="4.875" style="160" customWidth="1"/>
    <col min="16139" max="16139" width="4.375" style="160" customWidth="1"/>
    <col min="16140" max="16140" width="6" style="160" customWidth="1"/>
    <col min="16141" max="16141" width="4.125" style="160" customWidth="1"/>
    <col min="16142" max="16142" width="6" style="160" customWidth="1"/>
    <col min="16143" max="16143" width="4.25" style="160" customWidth="1"/>
    <col min="16144" max="16144" width="6.5" style="160" customWidth="1"/>
    <col min="16145" max="16145" width="4.875" style="160" customWidth="1"/>
    <col min="16146" max="16146" width="5.5" style="160" customWidth="1"/>
    <col min="16147" max="16147" width="4.625" style="160" customWidth="1"/>
    <col min="16148" max="16148" width="4" style="160" customWidth="1"/>
    <col min="16149" max="16149" width="4.5" style="160" customWidth="1"/>
    <col min="16150" max="16150" width="5.125" style="160" customWidth="1"/>
    <col min="16151" max="16151" width="0" style="160" hidden="1" customWidth="1"/>
    <col min="16152" max="16384" width="9" style="160"/>
  </cols>
  <sheetData>
    <row r="1" spans="1:26" ht="21" customHeight="1" x14ac:dyDescent="0.25">
      <c r="A1" s="649" t="s">
        <v>297</v>
      </c>
      <c r="B1" s="649"/>
      <c r="C1" s="157"/>
      <c r="D1" s="650" t="s">
        <v>332</v>
      </c>
      <c r="E1" s="650"/>
      <c r="F1" s="650"/>
      <c r="G1" s="650"/>
      <c r="H1" s="650"/>
      <c r="I1" s="650"/>
      <c r="J1" s="650"/>
      <c r="K1" s="650"/>
      <c r="L1" s="650"/>
      <c r="M1" s="650"/>
      <c r="N1" s="650"/>
      <c r="O1" s="650"/>
      <c r="P1" s="650"/>
      <c r="Q1" s="650"/>
      <c r="R1" s="650"/>
      <c r="S1" s="650"/>
      <c r="T1" s="157"/>
      <c r="U1" s="157"/>
      <c r="V1" s="158" t="s">
        <v>333</v>
      </c>
      <c r="W1" s="159">
        <f>VALUE(COUNTA(W12:W23)-COUNTIF(W12:W23,"Nhập liệu!"))</f>
        <v>0</v>
      </c>
    </row>
    <row r="2" spans="1:26" s="163" customFormat="1" ht="17.25" customHeight="1" x14ac:dyDescent="0.25">
      <c r="A2" s="649" t="s">
        <v>300</v>
      </c>
      <c r="B2" s="649"/>
      <c r="C2" s="161"/>
      <c r="D2" s="196"/>
      <c r="E2" s="196"/>
      <c r="F2" s="196"/>
      <c r="G2" s="196"/>
      <c r="H2" s="196"/>
      <c r="I2" s="196"/>
      <c r="J2" s="218" t="str">
        <f>'TKe HSMN'!$Q$2&amp;" "&amp;'TKe HSMN'!$R$2</f>
        <v>(Tính đến thời điểm tháng 9 năm 2025)</v>
      </c>
      <c r="K2" s="196"/>
      <c r="L2" s="196"/>
      <c r="M2" s="196"/>
      <c r="N2" s="196"/>
      <c r="O2" s="196"/>
      <c r="P2" s="196"/>
      <c r="Q2" s="196"/>
      <c r="R2" s="196"/>
      <c r="S2" s="196"/>
      <c r="T2" s="161"/>
      <c r="U2" s="161"/>
      <c r="V2" s="161"/>
      <c r="W2" s="162"/>
    </row>
    <row r="3" spans="1:26" s="163" customFormat="1" ht="18.75" customHeight="1" x14ac:dyDescent="0.25">
      <c r="A3" s="206" t="s">
        <v>362</v>
      </c>
      <c r="B3" s="206"/>
      <c r="C3" s="481">
        <f>'TKe-CBGVNV-MN'!C3</f>
        <v>0</v>
      </c>
      <c r="D3" s="165"/>
      <c r="E3" s="166"/>
      <c r="F3" s="164"/>
      <c r="G3" s="164"/>
      <c r="H3" s="164"/>
      <c r="I3" s="164"/>
      <c r="J3" s="651" t="str">
        <f>IF(AND(W9="Nhập liệu!",W10="Nhập liệu!"),"Nhập liệu!",IF(OR(W9="er",W10="er"),"Còn lỗi!","Hoàn thành!"))</f>
        <v>Nhập liệu!</v>
      </c>
      <c r="K3" s="651"/>
      <c r="L3" s="651"/>
      <c r="M3" s="167" t="str">
        <f>IF(COUNTIF(W12:W23,"Nhập liệu!")=12,"",IF(COUNTA(W12:W23)-COUNTIF(W12:W23,"Nhập liệu!"&lt;12),"Có "&amp;COUNTA(W12:W23)-COUNTIF(W12:W23,"Nhập liệu!")&amp;" điểm tư thục","Địa phương không có điểm tư thục!"))</f>
        <v/>
      </c>
      <c r="N3" s="165"/>
      <c r="O3" s="165"/>
      <c r="P3" s="165"/>
      <c r="Q3" s="165"/>
      <c r="R3" s="165"/>
      <c r="S3" s="165"/>
      <c r="T3" s="165"/>
      <c r="U3" s="165"/>
      <c r="V3" s="165"/>
      <c r="W3" s="162"/>
    </row>
    <row r="4" spans="1:26" s="163" customFormat="1" ht="18.75" customHeight="1" x14ac:dyDescent="0.25">
      <c r="A4" s="168"/>
      <c r="B4" s="169"/>
      <c r="C4" s="164"/>
      <c r="D4" s="166"/>
      <c r="E4" s="166"/>
      <c r="F4" s="164"/>
      <c r="G4" s="164"/>
      <c r="H4" s="164"/>
      <c r="I4" s="164"/>
      <c r="J4" s="164"/>
      <c r="K4" s="164"/>
      <c r="L4" s="164"/>
      <c r="M4" s="170"/>
      <c r="N4" s="165"/>
      <c r="O4" s="165"/>
      <c r="P4" s="165"/>
      <c r="Q4" s="165"/>
      <c r="R4" s="165"/>
      <c r="S4" s="165"/>
      <c r="T4" s="165"/>
      <c r="U4" s="165"/>
      <c r="V4" s="165"/>
      <c r="W4" s="162"/>
    </row>
    <row r="5" spans="1:26" ht="33" customHeight="1" x14ac:dyDescent="0.2">
      <c r="A5" s="659" t="s">
        <v>214</v>
      </c>
      <c r="B5" s="659" t="s">
        <v>334</v>
      </c>
      <c r="C5" s="647" t="s">
        <v>335</v>
      </c>
      <c r="D5" s="647" t="s">
        <v>336</v>
      </c>
      <c r="E5" s="642" t="s">
        <v>337</v>
      </c>
      <c r="F5" s="643"/>
      <c r="G5" s="643"/>
      <c r="H5" s="644"/>
      <c r="I5" s="642" t="s">
        <v>338</v>
      </c>
      <c r="J5" s="643"/>
      <c r="K5" s="643"/>
      <c r="L5" s="643"/>
      <c r="M5" s="643"/>
      <c r="N5" s="643"/>
      <c r="O5" s="643"/>
      <c r="P5" s="643"/>
      <c r="Q5" s="644"/>
      <c r="R5" s="647" t="s">
        <v>339</v>
      </c>
      <c r="S5" s="647" t="s">
        <v>340</v>
      </c>
      <c r="T5" s="647" t="s">
        <v>341</v>
      </c>
      <c r="U5" s="645" t="s">
        <v>342</v>
      </c>
      <c r="V5" s="646"/>
      <c r="Z5" s="205"/>
    </row>
    <row r="6" spans="1:26" ht="36.75" customHeight="1" x14ac:dyDescent="0.2">
      <c r="A6" s="659"/>
      <c r="B6" s="659"/>
      <c r="C6" s="655"/>
      <c r="D6" s="655"/>
      <c r="E6" s="656" t="s">
        <v>343</v>
      </c>
      <c r="F6" s="657"/>
      <c r="G6" s="658"/>
      <c r="H6" s="655" t="s">
        <v>344</v>
      </c>
      <c r="I6" s="647" t="s">
        <v>238</v>
      </c>
      <c r="J6" s="647" t="s">
        <v>345</v>
      </c>
      <c r="K6" s="645" t="s">
        <v>346</v>
      </c>
      <c r="L6" s="646"/>
      <c r="M6" s="645" t="s">
        <v>347</v>
      </c>
      <c r="N6" s="646"/>
      <c r="O6" s="645" t="s">
        <v>348</v>
      </c>
      <c r="P6" s="646"/>
      <c r="Q6" s="647" t="s">
        <v>349</v>
      </c>
      <c r="R6" s="648"/>
      <c r="S6" s="648"/>
      <c r="T6" s="655"/>
      <c r="U6" s="565" t="s">
        <v>350</v>
      </c>
      <c r="V6" s="565" t="s">
        <v>351</v>
      </c>
    </row>
    <row r="7" spans="1:26" ht="82.5" customHeight="1" x14ac:dyDescent="0.2">
      <c r="A7" s="659"/>
      <c r="B7" s="659"/>
      <c r="C7" s="648"/>
      <c r="D7" s="648"/>
      <c r="E7" s="563" t="s">
        <v>352</v>
      </c>
      <c r="F7" s="563" t="s">
        <v>353</v>
      </c>
      <c r="G7" s="565" t="s">
        <v>354</v>
      </c>
      <c r="H7" s="648"/>
      <c r="I7" s="648"/>
      <c r="J7" s="648"/>
      <c r="K7" s="565" t="s">
        <v>254</v>
      </c>
      <c r="L7" s="565" t="s">
        <v>355</v>
      </c>
      <c r="M7" s="564" t="s">
        <v>254</v>
      </c>
      <c r="N7" s="565" t="s">
        <v>355</v>
      </c>
      <c r="O7" s="564" t="s">
        <v>254</v>
      </c>
      <c r="P7" s="565" t="s">
        <v>355</v>
      </c>
      <c r="Q7" s="648"/>
      <c r="R7" s="172" t="s">
        <v>356</v>
      </c>
      <c r="S7" s="172" t="s">
        <v>356</v>
      </c>
      <c r="T7" s="565" t="s">
        <v>356</v>
      </c>
      <c r="U7" s="172" t="s">
        <v>356</v>
      </c>
      <c r="V7" s="172" t="s">
        <v>356</v>
      </c>
    </row>
    <row r="8" spans="1:26" ht="34.5" customHeight="1" x14ac:dyDescent="0.2">
      <c r="A8" s="173">
        <v>1</v>
      </c>
      <c r="B8" s="173">
        <v>2</v>
      </c>
      <c r="C8" s="173">
        <v>3</v>
      </c>
      <c r="D8" s="173">
        <v>4</v>
      </c>
      <c r="E8" s="173">
        <v>5</v>
      </c>
      <c r="F8" s="173">
        <v>6</v>
      </c>
      <c r="G8" s="173">
        <v>7</v>
      </c>
      <c r="H8" s="173">
        <v>8</v>
      </c>
      <c r="I8" s="174" t="s">
        <v>357</v>
      </c>
      <c r="J8" s="173" t="s">
        <v>358</v>
      </c>
      <c r="K8" s="173">
        <v>11</v>
      </c>
      <c r="L8" s="173">
        <v>12</v>
      </c>
      <c r="M8" s="173">
        <v>13</v>
      </c>
      <c r="N8" s="173">
        <v>14</v>
      </c>
      <c r="O8" s="173">
        <v>15</v>
      </c>
      <c r="P8" s="173">
        <v>16</v>
      </c>
      <c r="Q8" s="173">
        <v>17</v>
      </c>
      <c r="R8" s="173">
        <v>18</v>
      </c>
      <c r="S8" s="173">
        <v>19</v>
      </c>
      <c r="T8" s="173">
        <v>20</v>
      </c>
      <c r="U8" s="173">
        <v>21</v>
      </c>
      <c r="V8" s="173">
        <v>22</v>
      </c>
    </row>
    <row r="9" spans="1:26" ht="36.75" customHeight="1" x14ac:dyDescent="0.2">
      <c r="A9" s="175">
        <v>1</v>
      </c>
      <c r="B9" s="213">
        <f>IF(Chinh!$D$9&lt;&gt;"",Chinh!$A$2,0)</f>
        <v>0</v>
      </c>
      <c r="C9" s="175">
        <v>1</v>
      </c>
      <c r="D9" s="175">
        <v>4</v>
      </c>
      <c r="E9" s="175">
        <v>1</v>
      </c>
      <c r="F9" s="175"/>
      <c r="G9" s="175">
        <v>1</v>
      </c>
      <c r="H9" s="175">
        <v>2</v>
      </c>
      <c r="I9" s="176">
        <f>K9+M9+O9</f>
        <v>2</v>
      </c>
      <c r="J9" s="176">
        <f>IF(OR(I9=0,E9=0),"",ROUND(I9/E9,"1"))</f>
        <v>2</v>
      </c>
      <c r="K9" s="175">
        <v>1</v>
      </c>
      <c r="L9" s="175">
        <v>120</v>
      </c>
      <c r="M9" s="175">
        <v>1</v>
      </c>
      <c r="N9" s="175">
        <v>120</v>
      </c>
      <c r="O9" s="175">
        <v>0</v>
      </c>
      <c r="P9" s="175">
        <v>0</v>
      </c>
      <c r="Q9" s="175">
        <v>1</v>
      </c>
      <c r="R9" s="175">
        <v>1</v>
      </c>
      <c r="S9" s="175">
        <v>1</v>
      </c>
      <c r="T9" s="175">
        <v>1</v>
      </c>
      <c r="U9" s="175">
        <v>1</v>
      </c>
      <c r="V9" s="175">
        <v>1</v>
      </c>
      <c r="W9" s="159" t="str">
        <f>IF(OR(B9=0,AND(D9="",E9="",G9="",H9="",I9=0,L9="",N9="",P9="",Q9="",R9="",S9="",T9="",U9="",V9="")),"Nhập liệu!",IF(OR(B9=0,D9="",E9="",G9="",H9="",I9=0,L9="",N9="",P9="",Q9="",R9="",S9="",T9="",U9="",V9=""),"er","Hoàn thành!"))</f>
        <v>Nhập liệu!</v>
      </c>
      <c r="Z9" s="171"/>
    </row>
    <row r="10" spans="1:26" ht="30.75" customHeight="1" x14ac:dyDescent="0.2">
      <c r="A10" s="175">
        <v>2</v>
      </c>
      <c r="B10" s="177"/>
      <c r="C10" s="175"/>
      <c r="D10" s="175"/>
      <c r="E10" s="175"/>
      <c r="F10" s="175"/>
      <c r="G10" s="175"/>
      <c r="H10" s="175"/>
      <c r="I10" s="175"/>
      <c r="J10" s="176" t="str">
        <f t="shared" ref="J10:J23" si="0">IF(OR(I10=0,E10=0),"",ROUND(I10/E10,"1"))</f>
        <v/>
      </c>
      <c r="K10" s="175"/>
      <c r="L10" s="175"/>
      <c r="M10" s="175"/>
      <c r="N10" s="175"/>
      <c r="O10" s="175"/>
      <c r="P10" s="175"/>
      <c r="Q10" s="175"/>
      <c r="R10" s="175"/>
      <c r="S10" s="175"/>
      <c r="T10" s="175"/>
      <c r="U10" s="175"/>
      <c r="V10" s="175"/>
      <c r="W10" s="159" t="str">
        <f>IF(OR(B10=0,AND(D10="",E10="",G10="",H10="",I10=0,L10="",N10="",P10="",Q10="",R10="",S10="",T10="",U10="",V10="")),"Nhập liệu!",IF(OR(B10=0,D10="",E10="",G10="",H10="",I10=0,L10="",N10="",P10="",Q10="",R10="",S10="",T10="",U10="",V10=""),"er","Hoàn thành!"))</f>
        <v>Nhập liệu!</v>
      </c>
      <c r="Z10" s="171"/>
    </row>
    <row r="11" spans="1:26" ht="29.25" customHeight="1" x14ac:dyDescent="0.2">
      <c r="A11" s="652" t="s">
        <v>359</v>
      </c>
      <c r="B11" s="653"/>
      <c r="C11" s="178">
        <f>SUM(C9:C10)</f>
        <v>1</v>
      </c>
      <c r="D11" s="178">
        <f t="shared" ref="D11:I11" si="1">SUM(D9:D10)</f>
        <v>4</v>
      </c>
      <c r="E11" s="178">
        <f t="shared" si="1"/>
        <v>1</v>
      </c>
      <c r="F11" s="178">
        <f t="shared" si="1"/>
        <v>0</v>
      </c>
      <c r="G11" s="178">
        <f t="shared" si="1"/>
        <v>1</v>
      </c>
      <c r="H11" s="178">
        <f t="shared" si="1"/>
        <v>2</v>
      </c>
      <c r="I11" s="178">
        <f t="shared" si="1"/>
        <v>2</v>
      </c>
      <c r="J11" s="178">
        <f>IF(OR(I11=0,E11=0),"",ROUND(I11/E11,"1"))</f>
        <v>2</v>
      </c>
      <c r="K11" s="178">
        <f t="shared" ref="K11:V11" si="2">SUM(K9:K10)</f>
        <v>1</v>
      </c>
      <c r="L11" s="178">
        <f t="shared" si="2"/>
        <v>120</v>
      </c>
      <c r="M11" s="178">
        <f t="shared" si="2"/>
        <v>1</v>
      </c>
      <c r="N11" s="178">
        <f t="shared" si="2"/>
        <v>120</v>
      </c>
      <c r="O11" s="178">
        <f t="shared" si="2"/>
        <v>0</v>
      </c>
      <c r="P11" s="178">
        <f t="shared" si="2"/>
        <v>0</v>
      </c>
      <c r="Q11" s="178">
        <f t="shared" si="2"/>
        <v>1</v>
      </c>
      <c r="R11" s="178">
        <f t="shared" si="2"/>
        <v>1</v>
      </c>
      <c r="S11" s="178">
        <f t="shared" si="2"/>
        <v>1</v>
      </c>
      <c r="T11" s="178">
        <f t="shared" si="2"/>
        <v>1</v>
      </c>
      <c r="U11" s="178">
        <f t="shared" si="2"/>
        <v>1</v>
      </c>
      <c r="V11" s="178">
        <f t="shared" si="2"/>
        <v>1</v>
      </c>
      <c r="W11" s="159" t="str">
        <f>IF(AND(W9="Nhập liệu!",W10="Nhập liệu!"),"Nhập liệu!",IF(OR(AND(W9="Hoàn thành!",W10="Nhập liệu!"),AND(W9="Hoàn thành!",W10="Hoàn thành!")),"Hoàn thành!","er"))</f>
        <v>Nhập liệu!</v>
      </c>
      <c r="Z11" s="171"/>
    </row>
    <row r="12" spans="1:26" ht="27.75" customHeight="1" x14ac:dyDescent="0.2">
      <c r="A12" s="175">
        <v>1</v>
      </c>
      <c r="B12" s="179" t="str">
        <f>'TKe-CBGVNV-MN'!B12</f>
        <v>Điểm Tư thục 1</v>
      </c>
      <c r="C12" s="175"/>
      <c r="D12" s="175"/>
      <c r="E12" s="175"/>
      <c r="F12" s="175"/>
      <c r="G12" s="175"/>
      <c r="H12" s="175"/>
      <c r="I12" s="176">
        <f>K12+M12+O12</f>
        <v>0</v>
      </c>
      <c r="J12" s="180" t="str">
        <f t="shared" si="0"/>
        <v/>
      </c>
      <c r="K12" s="175"/>
      <c r="L12" s="175"/>
      <c r="M12" s="175"/>
      <c r="N12" s="175"/>
      <c r="O12" s="175"/>
      <c r="P12" s="175"/>
      <c r="Q12" s="175"/>
      <c r="R12" s="175"/>
      <c r="S12" s="175"/>
      <c r="T12" s="175"/>
      <c r="U12" s="175"/>
      <c r="V12" s="175"/>
      <c r="W12" s="159" t="str">
        <f>IF(COUNTA(C12:V12)=2,"Nhập liệu!","")</f>
        <v>Nhập liệu!</v>
      </c>
    </row>
    <row r="13" spans="1:26" ht="27.75" customHeight="1" x14ac:dyDescent="0.2">
      <c r="A13" s="175">
        <v>2</v>
      </c>
      <c r="B13" s="179" t="str">
        <f>'TKe-CBGVNV-MN'!B13</f>
        <v>Điểm Tư thục 2</v>
      </c>
      <c r="C13" s="175"/>
      <c r="D13" s="175"/>
      <c r="E13" s="175"/>
      <c r="F13" s="175"/>
      <c r="G13" s="175"/>
      <c r="H13" s="175"/>
      <c r="I13" s="176">
        <f t="shared" ref="I13:I24" si="3">K13+M13+O13</f>
        <v>0</v>
      </c>
      <c r="J13" s="180" t="str">
        <f t="shared" si="0"/>
        <v/>
      </c>
      <c r="K13" s="175"/>
      <c r="L13" s="175"/>
      <c r="M13" s="175"/>
      <c r="N13" s="175"/>
      <c r="O13" s="175"/>
      <c r="P13" s="175"/>
      <c r="Q13" s="175"/>
      <c r="R13" s="175"/>
      <c r="S13" s="175"/>
      <c r="T13" s="175"/>
      <c r="U13" s="175"/>
      <c r="V13" s="175"/>
      <c r="W13" s="159" t="str">
        <f t="shared" ref="W13:W23" si="4">IF(COUNTA(C13:V13)=2,"Nhập liệu!","")</f>
        <v>Nhập liệu!</v>
      </c>
    </row>
    <row r="14" spans="1:26" ht="27.75" customHeight="1" x14ac:dyDescent="0.2">
      <c r="A14" s="175">
        <v>3</v>
      </c>
      <c r="B14" s="179" t="str">
        <f>'TKe-CBGVNV-MN'!B14</f>
        <v>Điểm Tư thục 3</v>
      </c>
      <c r="C14" s="175"/>
      <c r="D14" s="175"/>
      <c r="E14" s="175"/>
      <c r="F14" s="175"/>
      <c r="G14" s="175"/>
      <c r="H14" s="175"/>
      <c r="I14" s="176">
        <f t="shared" si="3"/>
        <v>0</v>
      </c>
      <c r="J14" s="180" t="str">
        <f t="shared" si="0"/>
        <v/>
      </c>
      <c r="K14" s="175"/>
      <c r="L14" s="175"/>
      <c r="M14" s="175"/>
      <c r="N14" s="175"/>
      <c r="O14" s="175"/>
      <c r="P14" s="175"/>
      <c r="Q14" s="175"/>
      <c r="R14" s="175"/>
      <c r="S14" s="175"/>
      <c r="T14" s="175"/>
      <c r="U14" s="175"/>
      <c r="V14" s="175"/>
      <c r="W14" s="159" t="str">
        <f t="shared" si="4"/>
        <v>Nhập liệu!</v>
      </c>
    </row>
    <row r="15" spans="1:26" ht="27.75" customHeight="1" x14ac:dyDescent="0.2">
      <c r="A15" s="175">
        <v>4</v>
      </c>
      <c r="B15" s="179" t="str">
        <f>'TKe-CBGVNV-MN'!B15</f>
        <v>Điểm Tư thục 4</v>
      </c>
      <c r="C15" s="175"/>
      <c r="D15" s="175"/>
      <c r="E15" s="175"/>
      <c r="F15" s="175"/>
      <c r="G15" s="175"/>
      <c r="H15" s="175"/>
      <c r="I15" s="176">
        <f t="shared" si="3"/>
        <v>0</v>
      </c>
      <c r="J15" s="180" t="str">
        <f t="shared" si="0"/>
        <v/>
      </c>
      <c r="K15" s="175"/>
      <c r="L15" s="175"/>
      <c r="M15" s="175"/>
      <c r="N15" s="175"/>
      <c r="O15" s="175"/>
      <c r="P15" s="175"/>
      <c r="Q15" s="175"/>
      <c r="R15" s="175"/>
      <c r="S15" s="175"/>
      <c r="T15" s="175"/>
      <c r="U15" s="175"/>
      <c r="V15" s="175"/>
      <c r="W15" s="159" t="str">
        <f t="shared" si="4"/>
        <v>Nhập liệu!</v>
      </c>
    </row>
    <row r="16" spans="1:26" ht="27.75" customHeight="1" x14ac:dyDescent="0.2">
      <c r="A16" s="175">
        <v>5</v>
      </c>
      <c r="B16" s="179" t="str">
        <f>'TKe-CBGVNV-MN'!B16</f>
        <v>Điểm Tư thục 5</v>
      </c>
      <c r="C16" s="175"/>
      <c r="D16" s="175"/>
      <c r="E16" s="175"/>
      <c r="F16" s="175"/>
      <c r="G16" s="175"/>
      <c r="H16" s="175"/>
      <c r="I16" s="176">
        <f t="shared" si="3"/>
        <v>0</v>
      </c>
      <c r="J16" s="180" t="str">
        <f t="shared" si="0"/>
        <v/>
      </c>
      <c r="K16" s="175"/>
      <c r="L16" s="175"/>
      <c r="M16" s="175"/>
      <c r="N16" s="175"/>
      <c r="O16" s="175"/>
      <c r="P16" s="175"/>
      <c r="Q16" s="175"/>
      <c r="R16" s="175"/>
      <c r="S16" s="175"/>
      <c r="T16" s="175"/>
      <c r="U16" s="175"/>
      <c r="V16" s="175"/>
      <c r="W16" s="159" t="str">
        <f t="shared" si="4"/>
        <v>Nhập liệu!</v>
      </c>
    </row>
    <row r="17" spans="1:23" ht="27.75" customHeight="1" x14ac:dyDescent="0.2">
      <c r="A17" s="175">
        <v>6</v>
      </c>
      <c r="B17" s="179" t="str">
        <f>'TKe-CBGVNV-MN'!B17</f>
        <v>Điểm Tư thục 6</v>
      </c>
      <c r="C17" s="175"/>
      <c r="D17" s="175"/>
      <c r="E17" s="175"/>
      <c r="F17" s="175"/>
      <c r="G17" s="175"/>
      <c r="H17" s="175"/>
      <c r="I17" s="176">
        <f t="shared" si="3"/>
        <v>0</v>
      </c>
      <c r="J17" s="180" t="str">
        <f t="shared" si="0"/>
        <v/>
      </c>
      <c r="K17" s="175"/>
      <c r="L17" s="175"/>
      <c r="M17" s="175"/>
      <c r="N17" s="175"/>
      <c r="O17" s="175"/>
      <c r="P17" s="175"/>
      <c r="Q17" s="175"/>
      <c r="R17" s="175"/>
      <c r="S17" s="175"/>
      <c r="T17" s="175"/>
      <c r="U17" s="175"/>
      <c r="V17" s="175"/>
      <c r="W17" s="159" t="str">
        <f t="shared" si="4"/>
        <v>Nhập liệu!</v>
      </c>
    </row>
    <row r="18" spans="1:23" ht="27.75" customHeight="1" x14ac:dyDescent="0.2">
      <c r="A18" s="175">
        <v>7</v>
      </c>
      <c r="B18" s="179" t="str">
        <f>'TKe-CBGVNV-MN'!B18</f>
        <v>Điểm Tư thục 7</v>
      </c>
      <c r="C18" s="175"/>
      <c r="D18" s="175"/>
      <c r="E18" s="175"/>
      <c r="F18" s="175"/>
      <c r="G18" s="175"/>
      <c r="H18" s="175"/>
      <c r="I18" s="176">
        <f t="shared" si="3"/>
        <v>0</v>
      </c>
      <c r="J18" s="180" t="str">
        <f t="shared" si="0"/>
        <v/>
      </c>
      <c r="K18" s="175"/>
      <c r="L18" s="175"/>
      <c r="M18" s="175"/>
      <c r="N18" s="175"/>
      <c r="O18" s="175"/>
      <c r="P18" s="175"/>
      <c r="Q18" s="175"/>
      <c r="R18" s="175"/>
      <c r="S18" s="175"/>
      <c r="T18" s="175"/>
      <c r="U18" s="175"/>
      <c r="V18" s="175"/>
      <c r="W18" s="159" t="str">
        <f t="shared" si="4"/>
        <v>Nhập liệu!</v>
      </c>
    </row>
    <row r="19" spans="1:23" ht="27.75" customHeight="1" x14ac:dyDescent="0.2">
      <c r="A19" s="175">
        <v>8</v>
      </c>
      <c r="B19" s="179" t="str">
        <f>'TKe-CBGVNV-MN'!B19</f>
        <v>Điểm Tư thục 8</v>
      </c>
      <c r="C19" s="175"/>
      <c r="D19" s="175"/>
      <c r="E19" s="175"/>
      <c r="F19" s="175"/>
      <c r="G19" s="175"/>
      <c r="H19" s="175"/>
      <c r="I19" s="176">
        <f t="shared" si="3"/>
        <v>0</v>
      </c>
      <c r="J19" s="180" t="str">
        <f t="shared" si="0"/>
        <v/>
      </c>
      <c r="K19" s="175"/>
      <c r="L19" s="175"/>
      <c r="M19" s="175"/>
      <c r="N19" s="175"/>
      <c r="O19" s="175"/>
      <c r="P19" s="175"/>
      <c r="Q19" s="175"/>
      <c r="R19" s="175"/>
      <c r="S19" s="175"/>
      <c r="T19" s="175"/>
      <c r="U19" s="175"/>
      <c r="V19" s="175"/>
      <c r="W19" s="159" t="str">
        <f t="shared" si="4"/>
        <v>Nhập liệu!</v>
      </c>
    </row>
    <row r="20" spans="1:23" ht="27.75" customHeight="1" x14ac:dyDescent="0.2">
      <c r="A20" s="175">
        <v>9</v>
      </c>
      <c r="B20" s="179" t="str">
        <f>'TKe-CBGVNV-MN'!B20</f>
        <v>Điểm Tư thục 9</v>
      </c>
      <c r="C20" s="175"/>
      <c r="D20" s="175"/>
      <c r="E20" s="175"/>
      <c r="F20" s="175"/>
      <c r="G20" s="175"/>
      <c r="H20" s="175"/>
      <c r="I20" s="176">
        <f t="shared" si="3"/>
        <v>0</v>
      </c>
      <c r="J20" s="180" t="str">
        <f t="shared" si="0"/>
        <v/>
      </c>
      <c r="K20" s="175"/>
      <c r="L20" s="175"/>
      <c r="M20" s="175"/>
      <c r="N20" s="175"/>
      <c r="O20" s="175"/>
      <c r="P20" s="175"/>
      <c r="Q20" s="175"/>
      <c r="R20" s="175"/>
      <c r="S20" s="175"/>
      <c r="T20" s="175"/>
      <c r="U20" s="175"/>
      <c r="V20" s="175"/>
      <c r="W20" s="159" t="str">
        <f t="shared" si="4"/>
        <v>Nhập liệu!</v>
      </c>
    </row>
    <row r="21" spans="1:23" ht="27.75" customHeight="1" x14ac:dyDescent="0.2">
      <c r="A21" s="175">
        <v>10</v>
      </c>
      <c r="B21" s="179" t="str">
        <f>'TKe-CBGVNV-MN'!B21</f>
        <v>Điểm Tư thục 10</v>
      </c>
      <c r="C21" s="175"/>
      <c r="D21" s="175"/>
      <c r="E21" s="175"/>
      <c r="F21" s="175"/>
      <c r="G21" s="175"/>
      <c r="H21" s="175"/>
      <c r="I21" s="176">
        <f t="shared" si="3"/>
        <v>0</v>
      </c>
      <c r="J21" s="180" t="str">
        <f t="shared" si="0"/>
        <v/>
      </c>
      <c r="K21" s="175"/>
      <c r="L21" s="175"/>
      <c r="M21" s="175"/>
      <c r="N21" s="175"/>
      <c r="O21" s="175"/>
      <c r="P21" s="175"/>
      <c r="Q21" s="175"/>
      <c r="R21" s="175"/>
      <c r="S21" s="175"/>
      <c r="T21" s="175"/>
      <c r="U21" s="175"/>
      <c r="V21" s="175"/>
      <c r="W21" s="159" t="str">
        <f t="shared" si="4"/>
        <v>Nhập liệu!</v>
      </c>
    </row>
    <row r="22" spans="1:23" ht="27.75" customHeight="1" x14ac:dyDescent="0.2">
      <c r="A22" s="175">
        <v>11</v>
      </c>
      <c r="B22" s="179" t="str">
        <f>'TKe-CBGVNV-MN'!B22</f>
        <v>Điểm Tư thục 11</v>
      </c>
      <c r="C22" s="175"/>
      <c r="D22" s="175"/>
      <c r="E22" s="175"/>
      <c r="F22" s="175"/>
      <c r="G22" s="175"/>
      <c r="H22" s="175"/>
      <c r="I22" s="176">
        <f t="shared" si="3"/>
        <v>0</v>
      </c>
      <c r="J22" s="180" t="str">
        <f t="shared" si="0"/>
        <v/>
      </c>
      <c r="K22" s="175"/>
      <c r="L22" s="175"/>
      <c r="M22" s="175"/>
      <c r="N22" s="175"/>
      <c r="O22" s="175"/>
      <c r="P22" s="175"/>
      <c r="Q22" s="175"/>
      <c r="R22" s="175"/>
      <c r="S22" s="175"/>
      <c r="T22" s="175"/>
      <c r="U22" s="175"/>
      <c r="V22" s="175"/>
      <c r="W22" s="159" t="str">
        <f t="shared" si="4"/>
        <v>Nhập liệu!</v>
      </c>
    </row>
    <row r="23" spans="1:23" ht="27.75" customHeight="1" x14ac:dyDescent="0.2">
      <c r="A23" s="175">
        <v>12</v>
      </c>
      <c r="B23" s="179" t="str">
        <f>'TKe-CBGVNV-MN'!B23</f>
        <v>Điểm Tư thục 12</v>
      </c>
      <c r="C23" s="175"/>
      <c r="D23" s="175"/>
      <c r="E23" s="175"/>
      <c r="F23" s="175"/>
      <c r="G23" s="175"/>
      <c r="H23" s="175"/>
      <c r="I23" s="176">
        <f t="shared" si="3"/>
        <v>0</v>
      </c>
      <c r="J23" s="180" t="str">
        <f t="shared" si="0"/>
        <v/>
      </c>
      <c r="K23" s="175"/>
      <c r="L23" s="175"/>
      <c r="M23" s="175"/>
      <c r="N23" s="175"/>
      <c r="O23" s="175"/>
      <c r="P23" s="175"/>
      <c r="Q23" s="175"/>
      <c r="R23" s="175"/>
      <c r="S23" s="175"/>
      <c r="T23" s="175"/>
      <c r="U23" s="175"/>
      <c r="V23" s="175"/>
      <c r="W23" s="159" t="str">
        <f t="shared" si="4"/>
        <v>Nhập liệu!</v>
      </c>
    </row>
    <row r="24" spans="1:23" ht="36.75" customHeight="1" x14ac:dyDescent="0.2">
      <c r="A24" s="181"/>
      <c r="B24" s="182" t="s">
        <v>360</v>
      </c>
      <c r="C24" s="178">
        <f>SUM(C12:C23)</f>
        <v>0</v>
      </c>
      <c r="D24" s="178">
        <f t="shared" ref="D24:V24" si="5">SUM(D12:D23)</f>
        <v>0</v>
      </c>
      <c r="E24" s="178">
        <f t="shared" si="5"/>
        <v>0</v>
      </c>
      <c r="F24" s="178">
        <f t="shared" si="5"/>
        <v>0</v>
      </c>
      <c r="G24" s="178">
        <f t="shared" si="5"/>
        <v>0</v>
      </c>
      <c r="H24" s="178">
        <f t="shared" si="5"/>
        <v>0</v>
      </c>
      <c r="I24" s="178">
        <f t="shared" si="3"/>
        <v>0</v>
      </c>
      <c r="J24" s="178" t="str">
        <f>IF(OR(I24=0,E24=0),"",ROUND(I24/E24,"1"))</f>
        <v/>
      </c>
      <c r="K24" s="178">
        <f t="shared" si="5"/>
        <v>0</v>
      </c>
      <c r="L24" s="178">
        <f t="shared" si="5"/>
        <v>0</v>
      </c>
      <c r="M24" s="178">
        <f t="shared" si="5"/>
        <v>0</v>
      </c>
      <c r="N24" s="178">
        <f t="shared" si="5"/>
        <v>0</v>
      </c>
      <c r="O24" s="178">
        <f t="shared" si="5"/>
        <v>0</v>
      </c>
      <c r="P24" s="178">
        <f t="shared" si="5"/>
        <v>0</v>
      </c>
      <c r="Q24" s="178">
        <f t="shared" si="5"/>
        <v>0</v>
      </c>
      <c r="R24" s="178">
        <f t="shared" si="5"/>
        <v>0</v>
      </c>
      <c r="S24" s="178">
        <f t="shared" si="5"/>
        <v>0</v>
      </c>
      <c r="T24" s="178">
        <f t="shared" si="5"/>
        <v>0</v>
      </c>
      <c r="U24" s="178">
        <f t="shared" si="5"/>
        <v>0</v>
      </c>
      <c r="V24" s="178">
        <f t="shared" si="5"/>
        <v>0</v>
      </c>
    </row>
    <row r="25" spans="1:23" ht="12.75" customHeight="1" x14ac:dyDescent="0.25">
      <c r="A25" s="183"/>
      <c r="B25" s="184"/>
      <c r="C25" s="183"/>
      <c r="D25" s="183"/>
      <c r="E25" s="183"/>
      <c r="F25" s="185"/>
      <c r="G25" s="185"/>
      <c r="H25" s="183"/>
      <c r="I25" s="183"/>
      <c r="J25" s="183"/>
      <c r="K25" s="183"/>
      <c r="L25" s="183"/>
      <c r="M25" s="183"/>
      <c r="N25" s="183"/>
      <c r="O25" s="183"/>
      <c r="P25" s="183"/>
      <c r="Q25" s="183"/>
      <c r="R25" s="183"/>
      <c r="S25" s="183"/>
      <c r="T25" s="183"/>
      <c r="U25" s="183"/>
      <c r="V25" s="183"/>
    </row>
    <row r="26" spans="1:23" s="96" customFormat="1" ht="15" customHeight="1" x14ac:dyDescent="0.25">
      <c r="A26" s="186"/>
      <c r="B26" s="187"/>
      <c r="C26" s="187"/>
      <c r="D26" s="187"/>
      <c r="E26" s="187"/>
      <c r="F26" s="187"/>
      <c r="G26" s="187"/>
      <c r="H26" s="187"/>
      <c r="I26" s="187"/>
      <c r="J26" s="187"/>
      <c r="K26" s="187"/>
      <c r="L26" s="187"/>
      <c r="M26" s="187"/>
      <c r="N26" s="187"/>
      <c r="O26" s="187"/>
      <c r="P26" s="219" t="str">
        <f>C3&amp;", "</f>
        <v xml:space="preserve">0, </v>
      </c>
      <c r="Q26" s="215" t="s">
        <v>364</v>
      </c>
      <c r="R26" s="215"/>
      <c r="S26" s="215"/>
      <c r="T26" s="215"/>
      <c r="U26" s="215"/>
      <c r="V26" s="215"/>
      <c r="W26" s="188"/>
    </row>
    <row r="27" spans="1:23" s="96" customFormat="1" ht="15" customHeight="1" x14ac:dyDescent="0.25">
      <c r="A27" s="187"/>
      <c r="B27" s="189" t="s">
        <v>319</v>
      </c>
      <c r="C27" s="190"/>
      <c r="D27" s="190"/>
      <c r="E27" s="190"/>
      <c r="F27" s="190"/>
      <c r="G27" s="187"/>
      <c r="I27" s="207" t="s">
        <v>320</v>
      </c>
      <c r="J27" s="187"/>
      <c r="K27" s="187"/>
      <c r="L27" s="187"/>
      <c r="M27" s="187"/>
      <c r="N27" s="187"/>
      <c r="O27" s="654" t="s">
        <v>321</v>
      </c>
      <c r="P27" s="654"/>
      <c r="Q27" s="654"/>
      <c r="R27" s="654"/>
      <c r="S27" s="654"/>
      <c r="T27" s="654"/>
      <c r="U27" s="654"/>
      <c r="V27" s="654"/>
      <c r="W27" s="188"/>
    </row>
    <row r="28" spans="1:23" ht="14.25" customHeight="1" x14ac:dyDescent="0.25">
      <c r="A28" s="183"/>
      <c r="B28" s="183"/>
      <c r="C28" s="183"/>
      <c r="D28" s="185"/>
      <c r="E28" s="185"/>
      <c r="F28" s="183"/>
      <c r="G28" s="183"/>
      <c r="H28" s="183"/>
      <c r="I28" s="183"/>
      <c r="J28" s="183"/>
      <c r="K28" s="183"/>
      <c r="L28" s="183"/>
      <c r="M28" s="183"/>
      <c r="N28" s="183"/>
      <c r="O28" s="183"/>
      <c r="P28" s="183"/>
      <c r="Q28" s="183"/>
      <c r="R28" s="183"/>
      <c r="S28" s="183"/>
      <c r="T28" s="183"/>
      <c r="U28" s="183"/>
    </row>
    <row r="29" spans="1:23" ht="14.25" customHeight="1" x14ac:dyDescent="0.25">
      <c r="A29" s="183"/>
      <c r="B29" s="184"/>
      <c r="C29" s="183"/>
      <c r="D29" s="183"/>
      <c r="E29" s="183"/>
      <c r="F29" s="185"/>
      <c r="G29" s="183"/>
      <c r="H29" s="183"/>
      <c r="I29" s="183"/>
      <c r="J29" s="183"/>
      <c r="K29" s="183"/>
      <c r="L29" s="183"/>
      <c r="M29" s="183"/>
      <c r="N29" s="183"/>
      <c r="O29" s="183"/>
      <c r="P29" s="183"/>
      <c r="Q29" s="183"/>
      <c r="R29" s="183"/>
      <c r="S29" s="183"/>
      <c r="T29" s="183"/>
      <c r="U29" s="183"/>
    </row>
    <row r="30" spans="1:23" ht="14.25" customHeight="1" x14ac:dyDescent="0.2">
      <c r="A30" s="191"/>
      <c r="B30" s="192"/>
      <c r="C30" s="191"/>
      <c r="D30" s="191"/>
      <c r="E30" s="191"/>
      <c r="F30" s="193"/>
      <c r="G30" s="191"/>
      <c r="H30" s="191"/>
      <c r="I30" s="191"/>
      <c r="J30" s="191"/>
      <c r="K30" s="191"/>
      <c r="L30" s="191"/>
      <c r="M30" s="191"/>
      <c r="N30" s="191"/>
      <c r="O30" s="191"/>
      <c r="P30" s="191"/>
      <c r="Q30" s="191"/>
      <c r="R30" s="191"/>
      <c r="S30" s="191"/>
      <c r="T30" s="191"/>
      <c r="U30" s="191"/>
    </row>
    <row r="31" spans="1:23" ht="14.25" customHeight="1" x14ac:dyDescent="0.2">
      <c r="A31" s="191"/>
      <c r="B31" s="192"/>
      <c r="C31" s="191"/>
      <c r="D31" s="191"/>
      <c r="E31" s="191"/>
      <c r="F31" s="193"/>
      <c r="G31" s="191"/>
      <c r="H31" s="191"/>
      <c r="I31" s="191"/>
      <c r="J31" s="191"/>
      <c r="K31" s="191"/>
      <c r="L31" s="191"/>
      <c r="M31" s="191"/>
      <c r="N31" s="191"/>
      <c r="O31" s="191"/>
      <c r="P31" s="191"/>
      <c r="Q31" s="191"/>
      <c r="R31" s="191"/>
      <c r="S31" s="191"/>
      <c r="T31" s="191"/>
      <c r="U31" s="191"/>
    </row>
    <row r="32" spans="1:23" ht="14.25" customHeight="1" x14ac:dyDescent="0.25">
      <c r="A32" s="191"/>
      <c r="B32" s="214" t="str">
        <f>IF(Chinh!$C$37="","",Chinh!$C$37)</f>
        <v>…………</v>
      </c>
      <c r="C32" s="191"/>
      <c r="D32" s="191"/>
      <c r="E32" s="191"/>
      <c r="F32" s="193"/>
      <c r="G32" s="191"/>
      <c r="H32" s="191"/>
      <c r="I32" s="214" t="str">
        <f>IF(Chinh!$D$9&lt;&gt;"",Chinh!$L$37,"")</f>
        <v/>
      </c>
      <c r="J32" s="191"/>
      <c r="K32" s="191"/>
      <c r="L32" s="191"/>
      <c r="M32" s="191"/>
      <c r="N32" s="191"/>
      <c r="O32" s="191"/>
      <c r="P32" s="191"/>
      <c r="Q32" s="191"/>
      <c r="R32" s="217"/>
      <c r="S32" s="191"/>
      <c r="T32" s="191"/>
      <c r="U32" s="191"/>
    </row>
    <row r="33" spans="1:22" s="171" customFormat="1" ht="12.75" customHeight="1" x14ac:dyDescent="0.25">
      <c r="A33" s="191"/>
      <c r="B33" s="217"/>
      <c r="C33" s="191"/>
      <c r="D33" s="191"/>
      <c r="E33" s="191"/>
      <c r="F33" s="193"/>
      <c r="G33" s="193"/>
      <c r="H33" s="191"/>
      <c r="I33" s="191"/>
      <c r="J33" s="191"/>
      <c r="K33" s="191"/>
      <c r="L33" s="191"/>
      <c r="M33" s="191"/>
      <c r="N33" s="191"/>
      <c r="O33" s="191"/>
      <c r="P33" s="191"/>
      <c r="Q33" s="191"/>
      <c r="R33" s="191"/>
      <c r="S33" s="191"/>
      <c r="T33" s="191"/>
      <c r="U33" s="191"/>
      <c r="V33" s="191"/>
    </row>
    <row r="34" spans="1:22" s="171" customFormat="1" ht="12.75" customHeight="1" x14ac:dyDescent="0.2">
      <c r="A34" s="191"/>
      <c r="B34" s="192"/>
      <c r="C34" s="191"/>
      <c r="D34" s="191"/>
      <c r="E34" s="191"/>
      <c r="F34" s="193"/>
      <c r="G34" s="193"/>
      <c r="H34" s="191"/>
      <c r="I34" s="191"/>
      <c r="J34" s="191"/>
      <c r="K34" s="191"/>
      <c r="L34" s="191"/>
      <c r="M34" s="191"/>
      <c r="N34" s="191"/>
      <c r="O34" s="191"/>
      <c r="P34" s="191"/>
      <c r="Q34" s="191"/>
      <c r="R34" s="191"/>
      <c r="S34" s="191"/>
      <c r="T34" s="191"/>
      <c r="U34" s="191"/>
      <c r="V34" s="191"/>
    </row>
  </sheetData>
  <sheetProtection algorithmName="SHA-512" hashValue="3CTX3htuJNiDMVdrZJ+zlAYOf/h48RjRKgZXW5WzjKB21pNZhIkTtU38HZvOnKQwm7vEJcaEWxT8L6PP6ll8xA==" saltValue="/GaaeKfFoYTRRRYdM08LHA==" spinCount="100000" sheet="1" objects="1" scenarios="1" formatCells="0" formatColumns="0" formatRows="0" insertRows="0"/>
  <mergeCells count="24">
    <mergeCell ref="A11:B11"/>
    <mergeCell ref="O27:V27"/>
    <mergeCell ref="R5:R6"/>
    <mergeCell ref="S5:S6"/>
    <mergeCell ref="T5:T6"/>
    <mergeCell ref="U5:V5"/>
    <mergeCell ref="E6:G6"/>
    <mergeCell ref="H6:H7"/>
    <mergeCell ref="I6:I7"/>
    <mergeCell ref="J6:J7"/>
    <mergeCell ref="K6:L6"/>
    <mergeCell ref="M6:N6"/>
    <mergeCell ref="A5:A7"/>
    <mergeCell ref="B5:B7"/>
    <mergeCell ref="C5:C7"/>
    <mergeCell ref="D5:D7"/>
    <mergeCell ref="E5:H5"/>
    <mergeCell ref="I5:Q5"/>
    <mergeCell ref="O6:P6"/>
    <mergeCell ref="Q6:Q7"/>
    <mergeCell ref="A1:B1"/>
    <mergeCell ref="D1:S1"/>
    <mergeCell ref="A2:B2"/>
    <mergeCell ref="J3:L3"/>
  </mergeCells>
  <conditionalFormatting sqref="C9:C24 B9:B10 D11:I11 K11:V11 A9:A24 I9:I10 I12:I24 K24:V24 D24:H24 B12:B24">
    <cfRule type="cellIs" dxfId="86" priority="5" stopIfTrue="1" operator="between">
      <formula>0</formula>
      <formula>0</formula>
    </cfRule>
  </conditionalFormatting>
  <conditionalFormatting sqref="I24">
    <cfRule type="cellIs" dxfId="85" priority="4" stopIfTrue="1" operator="between">
      <formula>0</formula>
      <formula>0</formula>
    </cfRule>
  </conditionalFormatting>
  <conditionalFormatting sqref="J3">
    <cfRule type="cellIs" dxfId="84" priority="2" stopIfTrue="1" operator="between">
      <formula>"Còn lỗi!"</formula>
      <formula>"Còn lỗi!"</formula>
    </cfRule>
    <cfRule type="cellIs" dxfId="83" priority="3" stopIfTrue="1" operator="between">
      <formula>"Nhập liệu!"</formula>
      <formula>"Nhập liệu!"</formula>
    </cfRule>
  </conditionalFormatting>
  <conditionalFormatting sqref="C3">
    <cfRule type="cellIs" dxfId="82" priority="1" operator="between">
      <formula>0</formula>
      <formula>0</formula>
    </cfRule>
  </conditionalFormatting>
  <printOptions horizontalCentered="1"/>
  <pageMargins left="3.9370078740157501E-2" right="3.9370078740157501E-2" top="7.8740157480315001E-2" bottom="3.9370078740157501E-2" header="7.8740157480315001E-2" footer="7.8740157480315001E-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A1758"/>
  <sheetViews>
    <sheetView showGridLines="0" showZeros="0" workbookViewId="0">
      <pane xSplit="5" ySplit="5" topLeftCell="F6" activePane="bottomRight" state="frozen"/>
      <selection pane="topRight" activeCell="F1" sqref="F1"/>
      <selection pane="bottomLeft" activeCell="A6" sqref="A6"/>
      <selection pane="bottomRight" activeCell="E9" sqref="E9"/>
    </sheetView>
  </sheetViews>
  <sheetFormatPr defaultRowHeight="15" x14ac:dyDescent="0.25"/>
  <cols>
    <col min="1" max="1" width="5.125" style="230" customWidth="1"/>
    <col min="2" max="2" width="3.625" style="230" customWidth="1"/>
    <col min="3" max="3" width="4.125" style="265" customWidth="1"/>
    <col min="4" max="4" width="17.375" style="225" customWidth="1"/>
    <col min="5" max="5" width="7.5" style="233" customWidth="1"/>
    <col min="6" max="6" width="4.5" style="266" customWidth="1"/>
    <col min="7" max="7" width="4.875" style="266" customWidth="1"/>
    <col min="8" max="8" width="5.125" style="266" customWidth="1"/>
    <col min="9" max="9" width="4.25" style="267" customWidth="1"/>
    <col min="10" max="10" width="6.375" style="267" customWidth="1"/>
    <col min="11" max="11" width="3.625" style="267" customWidth="1"/>
    <col min="12" max="12" width="4" style="267" customWidth="1"/>
    <col min="13" max="13" width="12.375" style="230" customWidth="1"/>
    <col min="14" max="14" width="13.375" style="545" customWidth="1"/>
    <col min="15" max="15" width="13.875" style="545" customWidth="1"/>
    <col min="16" max="16" width="15.875" style="225" customWidth="1"/>
    <col min="17" max="18" width="16.125" style="225" customWidth="1"/>
    <col min="19" max="19" width="15.5" style="225" customWidth="1"/>
    <col min="20" max="20" width="7.375" style="225" customWidth="1"/>
    <col min="21" max="21" width="9" style="226" customWidth="1"/>
    <col min="22" max="22" width="12.125" style="226" customWidth="1"/>
    <col min="23" max="23" width="11.375" style="226" customWidth="1"/>
    <col min="24" max="24" width="3.375" style="225" hidden="1" customWidth="1"/>
    <col min="25" max="25" width="3" style="227" customWidth="1"/>
    <col min="26" max="26" width="4.125" style="229" hidden="1" customWidth="1"/>
    <col min="27" max="27" width="3.25" style="227" customWidth="1"/>
    <col min="28" max="28" width="17.375" style="224" customWidth="1"/>
    <col min="29" max="260" width="9" style="224"/>
    <col min="261" max="261" width="5.125" style="224" customWidth="1"/>
    <col min="262" max="262" width="3.625" style="224" customWidth="1"/>
    <col min="263" max="263" width="4.125" style="224" customWidth="1"/>
    <col min="264" max="264" width="17.375" style="224" customWidth="1"/>
    <col min="265" max="265" width="7.5" style="224" customWidth="1"/>
    <col min="266" max="266" width="4.5" style="224" customWidth="1"/>
    <col min="267" max="267" width="4.875" style="224" customWidth="1"/>
    <col min="268" max="268" width="5.125" style="224" customWidth="1"/>
    <col min="269" max="269" width="4.25" style="224" customWidth="1"/>
    <col min="270" max="270" width="6.375" style="224" customWidth="1"/>
    <col min="271" max="271" width="4" style="224" customWidth="1"/>
    <col min="272" max="272" width="12.375" style="224" customWidth="1"/>
    <col min="273" max="273" width="13.375" style="224" customWidth="1"/>
    <col min="274" max="274" width="15.875" style="224" customWidth="1"/>
    <col min="275" max="276" width="16.125" style="224" customWidth="1"/>
    <col min="277" max="277" width="15.5" style="224" customWidth="1"/>
    <col min="278" max="279" width="9" style="224" customWidth="1"/>
    <col min="280" max="280" width="6.375" style="224" customWidth="1"/>
    <col min="281" max="283" width="0" style="224" hidden="1" customWidth="1"/>
    <col min="284" max="284" width="17.375" style="224" customWidth="1"/>
    <col min="285" max="516" width="9" style="224"/>
    <col min="517" max="517" width="5.125" style="224" customWidth="1"/>
    <col min="518" max="518" width="3.625" style="224" customWidth="1"/>
    <col min="519" max="519" width="4.125" style="224" customWidth="1"/>
    <col min="520" max="520" width="17.375" style="224" customWidth="1"/>
    <col min="521" max="521" width="7.5" style="224" customWidth="1"/>
    <col min="522" max="522" width="4.5" style="224" customWidth="1"/>
    <col min="523" max="523" width="4.875" style="224" customWidth="1"/>
    <col min="524" max="524" width="5.125" style="224" customWidth="1"/>
    <col min="525" max="525" width="4.25" style="224" customWidth="1"/>
    <col min="526" max="526" width="6.375" style="224" customWidth="1"/>
    <col min="527" max="527" width="4" style="224" customWidth="1"/>
    <col min="528" max="528" width="12.375" style="224" customWidth="1"/>
    <col min="529" max="529" width="13.375" style="224" customWidth="1"/>
    <col min="530" max="530" width="15.875" style="224" customWidth="1"/>
    <col min="531" max="532" width="16.125" style="224" customWidth="1"/>
    <col min="533" max="533" width="15.5" style="224" customWidth="1"/>
    <col min="534" max="535" width="9" style="224" customWidth="1"/>
    <col min="536" max="536" width="6.375" style="224" customWidth="1"/>
    <col min="537" max="539" width="0" style="224" hidden="1" customWidth="1"/>
    <col min="540" max="540" width="17.375" style="224" customWidth="1"/>
    <col min="541" max="772" width="9" style="224"/>
    <col min="773" max="773" width="5.125" style="224" customWidth="1"/>
    <col min="774" max="774" width="3.625" style="224" customWidth="1"/>
    <col min="775" max="775" width="4.125" style="224" customWidth="1"/>
    <col min="776" max="776" width="17.375" style="224" customWidth="1"/>
    <col min="777" max="777" width="7.5" style="224" customWidth="1"/>
    <col min="778" max="778" width="4.5" style="224" customWidth="1"/>
    <col min="779" max="779" width="4.875" style="224" customWidth="1"/>
    <col min="780" max="780" width="5.125" style="224" customWidth="1"/>
    <col min="781" max="781" width="4.25" style="224" customWidth="1"/>
    <col min="782" max="782" width="6.375" style="224" customWidth="1"/>
    <col min="783" max="783" width="4" style="224" customWidth="1"/>
    <col min="784" max="784" width="12.375" style="224" customWidth="1"/>
    <col min="785" max="785" width="13.375" style="224" customWidth="1"/>
    <col min="786" max="786" width="15.875" style="224" customWidth="1"/>
    <col min="787" max="788" width="16.125" style="224" customWidth="1"/>
    <col min="789" max="789" width="15.5" style="224" customWidth="1"/>
    <col min="790" max="791" width="9" style="224" customWidth="1"/>
    <col min="792" max="792" width="6.375" style="224" customWidth="1"/>
    <col min="793" max="795" width="0" style="224" hidden="1" customWidth="1"/>
    <col min="796" max="796" width="17.375" style="224" customWidth="1"/>
    <col min="797" max="1028" width="9" style="224"/>
    <col min="1029" max="1029" width="5.125" style="224" customWidth="1"/>
    <col min="1030" max="1030" width="3.625" style="224" customWidth="1"/>
    <col min="1031" max="1031" width="4.125" style="224" customWidth="1"/>
    <col min="1032" max="1032" width="17.375" style="224" customWidth="1"/>
    <col min="1033" max="1033" width="7.5" style="224" customWidth="1"/>
    <col min="1034" max="1034" width="4.5" style="224" customWidth="1"/>
    <col min="1035" max="1035" width="4.875" style="224" customWidth="1"/>
    <col min="1036" max="1036" width="5.125" style="224" customWidth="1"/>
    <col min="1037" max="1037" width="4.25" style="224" customWidth="1"/>
    <col min="1038" max="1038" width="6.375" style="224" customWidth="1"/>
    <col min="1039" max="1039" width="4" style="224" customWidth="1"/>
    <col min="1040" max="1040" width="12.375" style="224" customWidth="1"/>
    <col min="1041" max="1041" width="13.375" style="224" customWidth="1"/>
    <col min="1042" max="1042" width="15.875" style="224" customWidth="1"/>
    <col min="1043" max="1044" width="16.125" style="224" customWidth="1"/>
    <col min="1045" max="1045" width="15.5" style="224" customWidth="1"/>
    <col min="1046" max="1047" width="9" style="224" customWidth="1"/>
    <col min="1048" max="1048" width="6.375" style="224" customWidth="1"/>
    <col min="1049" max="1051" width="0" style="224" hidden="1" customWidth="1"/>
    <col min="1052" max="1052" width="17.375" style="224" customWidth="1"/>
    <col min="1053" max="1284" width="9" style="224"/>
    <col min="1285" max="1285" width="5.125" style="224" customWidth="1"/>
    <col min="1286" max="1286" width="3.625" style="224" customWidth="1"/>
    <col min="1287" max="1287" width="4.125" style="224" customWidth="1"/>
    <col min="1288" max="1288" width="17.375" style="224" customWidth="1"/>
    <col min="1289" max="1289" width="7.5" style="224" customWidth="1"/>
    <col min="1290" max="1290" width="4.5" style="224" customWidth="1"/>
    <col min="1291" max="1291" width="4.875" style="224" customWidth="1"/>
    <col min="1292" max="1292" width="5.125" style="224" customWidth="1"/>
    <col min="1293" max="1293" width="4.25" style="224" customWidth="1"/>
    <col min="1294" max="1294" width="6.375" style="224" customWidth="1"/>
    <col min="1295" max="1295" width="4" style="224" customWidth="1"/>
    <col min="1296" max="1296" width="12.375" style="224" customWidth="1"/>
    <col min="1297" max="1297" width="13.375" style="224" customWidth="1"/>
    <col min="1298" max="1298" width="15.875" style="224" customWidth="1"/>
    <col min="1299" max="1300" width="16.125" style="224" customWidth="1"/>
    <col min="1301" max="1301" width="15.5" style="224" customWidth="1"/>
    <col min="1302" max="1303" width="9" style="224" customWidth="1"/>
    <col min="1304" max="1304" width="6.375" style="224" customWidth="1"/>
    <col min="1305" max="1307" width="0" style="224" hidden="1" customWidth="1"/>
    <col min="1308" max="1308" width="17.375" style="224" customWidth="1"/>
    <col min="1309" max="1540" width="9" style="224"/>
    <col min="1541" max="1541" width="5.125" style="224" customWidth="1"/>
    <col min="1542" max="1542" width="3.625" style="224" customWidth="1"/>
    <col min="1543" max="1543" width="4.125" style="224" customWidth="1"/>
    <col min="1544" max="1544" width="17.375" style="224" customWidth="1"/>
    <col min="1545" max="1545" width="7.5" style="224" customWidth="1"/>
    <col min="1546" max="1546" width="4.5" style="224" customWidth="1"/>
    <col min="1547" max="1547" width="4.875" style="224" customWidth="1"/>
    <col min="1548" max="1548" width="5.125" style="224" customWidth="1"/>
    <col min="1549" max="1549" width="4.25" style="224" customWidth="1"/>
    <col min="1550" max="1550" width="6.375" style="224" customWidth="1"/>
    <col min="1551" max="1551" width="4" style="224" customWidth="1"/>
    <col min="1552" max="1552" width="12.375" style="224" customWidth="1"/>
    <col min="1553" max="1553" width="13.375" style="224" customWidth="1"/>
    <col min="1554" max="1554" width="15.875" style="224" customWidth="1"/>
    <col min="1555" max="1556" width="16.125" style="224" customWidth="1"/>
    <col min="1557" max="1557" width="15.5" style="224" customWidth="1"/>
    <col min="1558" max="1559" width="9" style="224" customWidth="1"/>
    <col min="1560" max="1560" width="6.375" style="224" customWidth="1"/>
    <col min="1561" max="1563" width="0" style="224" hidden="1" customWidth="1"/>
    <col min="1564" max="1564" width="17.375" style="224" customWidth="1"/>
    <col min="1565" max="1796" width="9" style="224"/>
    <col min="1797" max="1797" width="5.125" style="224" customWidth="1"/>
    <col min="1798" max="1798" width="3.625" style="224" customWidth="1"/>
    <col min="1799" max="1799" width="4.125" style="224" customWidth="1"/>
    <col min="1800" max="1800" width="17.375" style="224" customWidth="1"/>
    <col min="1801" max="1801" width="7.5" style="224" customWidth="1"/>
    <col min="1802" max="1802" width="4.5" style="224" customWidth="1"/>
    <col min="1803" max="1803" width="4.875" style="224" customWidth="1"/>
    <col min="1804" max="1804" width="5.125" style="224" customWidth="1"/>
    <col min="1805" max="1805" width="4.25" style="224" customWidth="1"/>
    <col min="1806" max="1806" width="6.375" style="224" customWidth="1"/>
    <col min="1807" max="1807" width="4" style="224" customWidth="1"/>
    <col min="1808" max="1808" width="12.375" style="224" customWidth="1"/>
    <col min="1809" max="1809" width="13.375" style="224" customWidth="1"/>
    <col min="1810" max="1810" width="15.875" style="224" customWidth="1"/>
    <col min="1811" max="1812" width="16.125" style="224" customWidth="1"/>
    <col min="1813" max="1813" width="15.5" style="224" customWidth="1"/>
    <col min="1814" max="1815" width="9" style="224" customWidth="1"/>
    <col min="1816" max="1816" width="6.375" style="224" customWidth="1"/>
    <col min="1817" max="1819" width="0" style="224" hidden="1" customWidth="1"/>
    <col min="1820" max="1820" width="17.375" style="224" customWidth="1"/>
    <col min="1821" max="2052" width="9" style="224"/>
    <col min="2053" max="2053" width="5.125" style="224" customWidth="1"/>
    <col min="2054" max="2054" width="3.625" style="224" customWidth="1"/>
    <col min="2055" max="2055" width="4.125" style="224" customWidth="1"/>
    <col min="2056" max="2056" width="17.375" style="224" customWidth="1"/>
    <col min="2057" max="2057" width="7.5" style="224" customWidth="1"/>
    <col min="2058" max="2058" width="4.5" style="224" customWidth="1"/>
    <col min="2059" max="2059" width="4.875" style="224" customWidth="1"/>
    <col min="2060" max="2060" width="5.125" style="224" customWidth="1"/>
    <col min="2061" max="2061" width="4.25" style="224" customWidth="1"/>
    <col min="2062" max="2062" width="6.375" style="224" customWidth="1"/>
    <col min="2063" max="2063" width="4" style="224" customWidth="1"/>
    <col min="2064" max="2064" width="12.375" style="224" customWidth="1"/>
    <col min="2065" max="2065" width="13.375" style="224" customWidth="1"/>
    <col min="2066" max="2066" width="15.875" style="224" customWidth="1"/>
    <col min="2067" max="2068" width="16.125" style="224" customWidth="1"/>
    <col min="2069" max="2069" width="15.5" style="224" customWidth="1"/>
    <col min="2070" max="2071" width="9" style="224" customWidth="1"/>
    <col min="2072" max="2072" width="6.375" style="224" customWidth="1"/>
    <col min="2073" max="2075" width="0" style="224" hidden="1" customWidth="1"/>
    <col min="2076" max="2076" width="17.375" style="224" customWidth="1"/>
    <col min="2077" max="2308" width="9" style="224"/>
    <col min="2309" max="2309" width="5.125" style="224" customWidth="1"/>
    <col min="2310" max="2310" width="3.625" style="224" customWidth="1"/>
    <col min="2311" max="2311" width="4.125" style="224" customWidth="1"/>
    <col min="2312" max="2312" width="17.375" style="224" customWidth="1"/>
    <col min="2313" max="2313" width="7.5" style="224" customWidth="1"/>
    <col min="2314" max="2314" width="4.5" style="224" customWidth="1"/>
    <col min="2315" max="2315" width="4.875" style="224" customWidth="1"/>
    <col min="2316" max="2316" width="5.125" style="224" customWidth="1"/>
    <col min="2317" max="2317" width="4.25" style="224" customWidth="1"/>
    <col min="2318" max="2318" width="6.375" style="224" customWidth="1"/>
    <col min="2319" max="2319" width="4" style="224" customWidth="1"/>
    <col min="2320" max="2320" width="12.375" style="224" customWidth="1"/>
    <col min="2321" max="2321" width="13.375" style="224" customWidth="1"/>
    <col min="2322" max="2322" width="15.875" style="224" customWidth="1"/>
    <col min="2323" max="2324" width="16.125" style="224" customWidth="1"/>
    <col min="2325" max="2325" width="15.5" style="224" customWidth="1"/>
    <col min="2326" max="2327" width="9" style="224" customWidth="1"/>
    <col min="2328" max="2328" width="6.375" style="224" customWidth="1"/>
    <col min="2329" max="2331" width="0" style="224" hidden="1" customWidth="1"/>
    <col min="2332" max="2332" width="17.375" style="224" customWidth="1"/>
    <col min="2333" max="2564" width="9" style="224"/>
    <col min="2565" max="2565" width="5.125" style="224" customWidth="1"/>
    <col min="2566" max="2566" width="3.625" style="224" customWidth="1"/>
    <col min="2567" max="2567" width="4.125" style="224" customWidth="1"/>
    <col min="2568" max="2568" width="17.375" style="224" customWidth="1"/>
    <col min="2569" max="2569" width="7.5" style="224" customWidth="1"/>
    <col min="2570" max="2570" width="4.5" style="224" customWidth="1"/>
    <col min="2571" max="2571" width="4.875" style="224" customWidth="1"/>
    <col min="2572" max="2572" width="5.125" style="224" customWidth="1"/>
    <col min="2573" max="2573" width="4.25" style="224" customWidth="1"/>
    <col min="2574" max="2574" width="6.375" style="224" customWidth="1"/>
    <col min="2575" max="2575" width="4" style="224" customWidth="1"/>
    <col min="2576" max="2576" width="12.375" style="224" customWidth="1"/>
    <col min="2577" max="2577" width="13.375" style="224" customWidth="1"/>
    <col min="2578" max="2578" width="15.875" style="224" customWidth="1"/>
    <col min="2579" max="2580" width="16.125" style="224" customWidth="1"/>
    <col min="2581" max="2581" width="15.5" style="224" customWidth="1"/>
    <col min="2582" max="2583" width="9" style="224" customWidth="1"/>
    <col min="2584" max="2584" width="6.375" style="224" customWidth="1"/>
    <col min="2585" max="2587" width="0" style="224" hidden="1" customWidth="1"/>
    <col min="2588" max="2588" width="17.375" style="224" customWidth="1"/>
    <col min="2589" max="2820" width="9" style="224"/>
    <col min="2821" max="2821" width="5.125" style="224" customWidth="1"/>
    <col min="2822" max="2822" width="3.625" style="224" customWidth="1"/>
    <col min="2823" max="2823" width="4.125" style="224" customWidth="1"/>
    <col min="2824" max="2824" width="17.375" style="224" customWidth="1"/>
    <col min="2825" max="2825" width="7.5" style="224" customWidth="1"/>
    <col min="2826" max="2826" width="4.5" style="224" customWidth="1"/>
    <col min="2827" max="2827" width="4.875" style="224" customWidth="1"/>
    <col min="2828" max="2828" width="5.125" style="224" customWidth="1"/>
    <col min="2829" max="2829" width="4.25" style="224" customWidth="1"/>
    <col min="2830" max="2830" width="6.375" style="224" customWidth="1"/>
    <col min="2831" max="2831" width="4" style="224" customWidth="1"/>
    <col min="2832" max="2832" width="12.375" style="224" customWidth="1"/>
    <col min="2833" max="2833" width="13.375" style="224" customWidth="1"/>
    <col min="2834" max="2834" width="15.875" style="224" customWidth="1"/>
    <col min="2835" max="2836" width="16.125" style="224" customWidth="1"/>
    <col min="2837" max="2837" width="15.5" style="224" customWidth="1"/>
    <col min="2838" max="2839" width="9" style="224" customWidth="1"/>
    <col min="2840" max="2840" width="6.375" style="224" customWidth="1"/>
    <col min="2841" max="2843" width="0" style="224" hidden="1" customWidth="1"/>
    <col min="2844" max="2844" width="17.375" style="224" customWidth="1"/>
    <col min="2845" max="3076" width="9" style="224"/>
    <col min="3077" max="3077" width="5.125" style="224" customWidth="1"/>
    <col min="3078" max="3078" width="3.625" style="224" customWidth="1"/>
    <col min="3079" max="3079" width="4.125" style="224" customWidth="1"/>
    <col min="3080" max="3080" width="17.375" style="224" customWidth="1"/>
    <col min="3081" max="3081" width="7.5" style="224" customWidth="1"/>
    <col min="3082" max="3082" width="4.5" style="224" customWidth="1"/>
    <col min="3083" max="3083" width="4.875" style="224" customWidth="1"/>
    <col min="3084" max="3084" width="5.125" style="224" customWidth="1"/>
    <col min="3085" max="3085" width="4.25" style="224" customWidth="1"/>
    <col min="3086" max="3086" width="6.375" style="224" customWidth="1"/>
    <col min="3087" max="3087" width="4" style="224" customWidth="1"/>
    <col min="3088" max="3088" width="12.375" style="224" customWidth="1"/>
    <col min="3089" max="3089" width="13.375" style="224" customWidth="1"/>
    <col min="3090" max="3090" width="15.875" style="224" customWidth="1"/>
    <col min="3091" max="3092" width="16.125" style="224" customWidth="1"/>
    <col min="3093" max="3093" width="15.5" style="224" customWidth="1"/>
    <col min="3094" max="3095" width="9" style="224" customWidth="1"/>
    <col min="3096" max="3096" width="6.375" style="224" customWidth="1"/>
    <col min="3097" max="3099" width="0" style="224" hidden="1" customWidth="1"/>
    <col min="3100" max="3100" width="17.375" style="224" customWidth="1"/>
    <col min="3101" max="3332" width="9" style="224"/>
    <col min="3333" max="3333" width="5.125" style="224" customWidth="1"/>
    <col min="3334" max="3334" width="3.625" style="224" customWidth="1"/>
    <col min="3335" max="3335" width="4.125" style="224" customWidth="1"/>
    <col min="3336" max="3336" width="17.375" style="224" customWidth="1"/>
    <col min="3337" max="3337" width="7.5" style="224" customWidth="1"/>
    <col min="3338" max="3338" width="4.5" style="224" customWidth="1"/>
    <col min="3339" max="3339" width="4.875" style="224" customWidth="1"/>
    <col min="3340" max="3340" width="5.125" style="224" customWidth="1"/>
    <col min="3341" max="3341" width="4.25" style="224" customWidth="1"/>
    <col min="3342" max="3342" width="6.375" style="224" customWidth="1"/>
    <col min="3343" max="3343" width="4" style="224" customWidth="1"/>
    <col min="3344" max="3344" width="12.375" style="224" customWidth="1"/>
    <col min="3345" max="3345" width="13.375" style="224" customWidth="1"/>
    <col min="3346" max="3346" width="15.875" style="224" customWidth="1"/>
    <col min="3347" max="3348" width="16.125" style="224" customWidth="1"/>
    <col min="3349" max="3349" width="15.5" style="224" customWidth="1"/>
    <col min="3350" max="3351" width="9" style="224" customWidth="1"/>
    <col min="3352" max="3352" width="6.375" style="224" customWidth="1"/>
    <col min="3353" max="3355" width="0" style="224" hidden="1" customWidth="1"/>
    <col min="3356" max="3356" width="17.375" style="224" customWidth="1"/>
    <col min="3357" max="3588" width="9" style="224"/>
    <col min="3589" max="3589" width="5.125" style="224" customWidth="1"/>
    <col min="3590" max="3590" width="3.625" style="224" customWidth="1"/>
    <col min="3591" max="3591" width="4.125" style="224" customWidth="1"/>
    <col min="3592" max="3592" width="17.375" style="224" customWidth="1"/>
    <col min="3593" max="3593" width="7.5" style="224" customWidth="1"/>
    <col min="3594" max="3594" width="4.5" style="224" customWidth="1"/>
    <col min="3595" max="3595" width="4.875" style="224" customWidth="1"/>
    <col min="3596" max="3596" width="5.125" style="224" customWidth="1"/>
    <col min="3597" max="3597" width="4.25" style="224" customWidth="1"/>
    <col min="3598" max="3598" width="6.375" style="224" customWidth="1"/>
    <col min="3599" max="3599" width="4" style="224" customWidth="1"/>
    <col min="3600" max="3600" width="12.375" style="224" customWidth="1"/>
    <col min="3601" max="3601" width="13.375" style="224" customWidth="1"/>
    <col min="3602" max="3602" width="15.875" style="224" customWidth="1"/>
    <col min="3603" max="3604" width="16.125" style="224" customWidth="1"/>
    <col min="3605" max="3605" width="15.5" style="224" customWidth="1"/>
    <col min="3606" max="3607" width="9" style="224" customWidth="1"/>
    <col min="3608" max="3608" width="6.375" style="224" customWidth="1"/>
    <col min="3609" max="3611" width="0" style="224" hidden="1" customWidth="1"/>
    <col min="3612" max="3612" width="17.375" style="224" customWidth="1"/>
    <col min="3613" max="3844" width="9" style="224"/>
    <col min="3845" max="3845" width="5.125" style="224" customWidth="1"/>
    <col min="3846" max="3846" width="3.625" style="224" customWidth="1"/>
    <col min="3847" max="3847" width="4.125" style="224" customWidth="1"/>
    <col min="3848" max="3848" width="17.375" style="224" customWidth="1"/>
    <col min="3849" max="3849" width="7.5" style="224" customWidth="1"/>
    <col min="3850" max="3850" width="4.5" style="224" customWidth="1"/>
    <col min="3851" max="3851" width="4.875" style="224" customWidth="1"/>
    <col min="3852" max="3852" width="5.125" style="224" customWidth="1"/>
    <col min="3853" max="3853" width="4.25" style="224" customWidth="1"/>
    <col min="3854" max="3854" width="6.375" style="224" customWidth="1"/>
    <col min="3855" max="3855" width="4" style="224" customWidth="1"/>
    <col min="3856" max="3856" width="12.375" style="224" customWidth="1"/>
    <col min="3857" max="3857" width="13.375" style="224" customWidth="1"/>
    <col min="3858" max="3858" width="15.875" style="224" customWidth="1"/>
    <col min="3859" max="3860" width="16.125" style="224" customWidth="1"/>
    <col min="3861" max="3861" width="15.5" style="224" customWidth="1"/>
    <col min="3862" max="3863" width="9" style="224" customWidth="1"/>
    <col min="3864" max="3864" width="6.375" style="224" customWidth="1"/>
    <col min="3865" max="3867" width="0" style="224" hidden="1" customWidth="1"/>
    <col min="3868" max="3868" width="17.375" style="224" customWidth="1"/>
    <col min="3869" max="4100" width="9" style="224"/>
    <col min="4101" max="4101" width="5.125" style="224" customWidth="1"/>
    <col min="4102" max="4102" width="3.625" style="224" customWidth="1"/>
    <col min="4103" max="4103" width="4.125" style="224" customWidth="1"/>
    <col min="4104" max="4104" width="17.375" style="224" customWidth="1"/>
    <col min="4105" max="4105" width="7.5" style="224" customWidth="1"/>
    <col min="4106" max="4106" width="4.5" style="224" customWidth="1"/>
    <col min="4107" max="4107" width="4.875" style="224" customWidth="1"/>
    <col min="4108" max="4108" width="5.125" style="224" customWidth="1"/>
    <col min="4109" max="4109" width="4.25" style="224" customWidth="1"/>
    <col min="4110" max="4110" width="6.375" style="224" customWidth="1"/>
    <col min="4111" max="4111" width="4" style="224" customWidth="1"/>
    <col min="4112" max="4112" width="12.375" style="224" customWidth="1"/>
    <col min="4113" max="4113" width="13.375" style="224" customWidth="1"/>
    <col min="4114" max="4114" width="15.875" style="224" customWidth="1"/>
    <col min="4115" max="4116" width="16.125" style="224" customWidth="1"/>
    <col min="4117" max="4117" width="15.5" style="224" customWidth="1"/>
    <col min="4118" max="4119" width="9" style="224" customWidth="1"/>
    <col min="4120" max="4120" width="6.375" style="224" customWidth="1"/>
    <col min="4121" max="4123" width="0" style="224" hidden="1" customWidth="1"/>
    <col min="4124" max="4124" width="17.375" style="224" customWidth="1"/>
    <col min="4125" max="4356" width="9" style="224"/>
    <col min="4357" max="4357" width="5.125" style="224" customWidth="1"/>
    <col min="4358" max="4358" width="3.625" style="224" customWidth="1"/>
    <col min="4359" max="4359" width="4.125" style="224" customWidth="1"/>
    <col min="4360" max="4360" width="17.375" style="224" customWidth="1"/>
    <col min="4361" max="4361" width="7.5" style="224" customWidth="1"/>
    <col min="4362" max="4362" width="4.5" style="224" customWidth="1"/>
    <col min="4363" max="4363" width="4.875" style="224" customWidth="1"/>
    <col min="4364" max="4364" width="5.125" style="224" customWidth="1"/>
    <col min="4365" max="4365" width="4.25" style="224" customWidth="1"/>
    <col min="4366" max="4366" width="6.375" style="224" customWidth="1"/>
    <col min="4367" max="4367" width="4" style="224" customWidth="1"/>
    <col min="4368" max="4368" width="12.375" style="224" customWidth="1"/>
    <col min="4369" max="4369" width="13.375" style="224" customWidth="1"/>
    <col min="4370" max="4370" width="15.875" style="224" customWidth="1"/>
    <col min="4371" max="4372" width="16.125" style="224" customWidth="1"/>
    <col min="4373" max="4373" width="15.5" style="224" customWidth="1"/>
    <col min="4374" max="4375" width="9" style="224" customWidth="1"/>
    <col min="4376" max="4376" width="6.375" style="224" customWidth="1"/>
    <col min="4377" max="4379" width="0" style="224" hidden="1" customWidth="1"/>
    <col min="4380" max="4380" width="17.375" style="224" customWidth="1"/>
    <col min="4381" max="4612" width="9" style="224"/>
    <col min="4613" max="4613" width="5.125" style="224" customWidth="1"/>
    <col min="4614" max="4614" width="3.625" style="224" customWidth="1"/>
    <col min="4615" max="4615" width="4.125" style="224" customWidth="1"/>
    <col min="4616" max="4616" width="17.375" style="224" customWidth="1"/>
    <col min="4617" max="4617" width="7.5" style="224" customWidth="1"/>
    <col min="4618" max="4618" width="4.5" style="224" customWidth="1"/>
    <col min="4619" max="4619" width="4.875" style="224" customWidth="1"/>
    <col min="4620" max="4620" width="5.125" style="224" customWidth="1"/>
    <col min="4621" max="4621" width="4.25" style="224" customWidth="1"/>
    <col min="4622" max="4622" width="6.375" style="224" customWidth="1"/>
    <col min="4623" max="4623" width="4" style="224" customWidth="1"/>
    <col min="4624" max="4624" width="12.375" style="224" customWidth="1"/>
    <col min="4625" max="4625" width="13.375" style="224" customWidth="1"/>
    <col min="4626" max="4626" width="15.875" style="224" customWidth="1"/>
    <col min="4627" max="4628" width="16.125" style="224" customWidth="1"/>
    <col min="4629" max="4629" width="15.5" style="224" customWidth="1"/>
    <col min="4630" max="4631" width="9" style="224" customWidth="1"/>
    <col min="4632" max="4632" width="6.375" style="224" customWidth="1"/>
    <col min="4633" max="4635" width="0" style="224" hidden="1" customWidth="1"/>
    <col min="4636" max="4636" width="17.375" style="224" customWidth="1"/>
    <col min="4637" max="4868" width="9" style="224"/>
    <col min="4869" max="4869" width="5.125" style="224" customWidth="1"/>
    <col min="4870" max="4870" width="3.625" style="224" customWidth="1"/>
    <col min="4871" max="4871" width="4.125" style="224" customWidth="1"/>
    <col min="4872" max="4872" width="17.375" style="224" customWidth="1"/>
    <col min="4873" max="4873" width="7.5" style="224" customWidth="1"/>
    <col min="4874" max="4874" width="4.5" style="224" customWidth="1"/>
    <col min="4875" max="4875" width="4.875" style="224" customWidth="1"/>
    <col min="4876" max="4876" width="5.125" style="224" customWidth="1"/>
    <col min="4877" max="4877" width="4.25" style="224" customWidth="1"/>
    <col min="4878" max="4878" width="6.375" style="224" customWidth="1"/>
    <col min="4879" max="4879" width="4" style="224" customWidth="1"/>
    <col min="4880" max="4880" width="12.375" style="224" customWidth="1"/>
    <col min="4881" max="4881" width="13.375" style="224" customWidth="1"/>
    <col min="4882" max="4882" width="15.875" style="224" customWidth="1"/>
    <col min="4883" max="4884" width="16.125" style="224" customWidth="1"/>
    <col min="4885" max="4885" width="15.5" style="224" customWidth="1"/>
    <col min="4886" max="4887" width="9" style="224" customWidth="1"/>
    <col min="4888" max="4888" width="6.375" style="224" customWidth="1"/>
    <col min="4889" max="4891" width="0" style="224" hidden="1" customWidth="1"/>
    <col min="4892" max="4892" width="17.375" style="224" customWidth="1"/>
    <col min="4893" max="5124" width="9" style="224"/>
    <col min="5125" max="5125" width="5.125" style="224" customWidth="1"/>
    <col min="5126" max="5126" width="3.625" style="224" customWidth="1"/>
    <col min="5127" max="5127" width="4.125" style="224" customWidth="1"/>
    <col min="5128" max="5128" width="17.375" style="224" customWidth="1"/>
    <col min="5129" max="5129" width="7.5" style="224" customWidth="1"/>
    <col min="5130" max="5130" width="4.5" style="224" customWidth="1"/>
    <col min="5131" max="5131" width="4.875" style="224" customWidth="1"/>
    <col min="5132" max="5132" width="5.125" style="224" customWidth="1"/>
    <col min="5133" max="5133" width="4.25" style="224" customWidth="1"/>
    <col min="5134" max="5134" width="6.375" style="224" customWidth="1"/>
    <col min="5135" max="5135" width="4" style="224" customWidth="1"/>
    <col min="5136" max="5136" width="12.375" style="224" customWidth="1"/>
    <col min="5137" max="5137" width="13.375" style="224" customWidth="1"/>
    <col min="5138" max="5138" width="15.875" style="224" customWidth="1"/>
    <col min="5139" max="5140" width="16.125" style="224" customWidth="1"/>
    <col min="5141" max="5141" width="15.5" style="224" customWidth="1"/>
    <col min="5142" max="5143" width="9" style="224" customWidth="1"/>
    <col min="5144" max="5144" width="6.375" style="224" customWidth="1"/>
    <col min="5145" max="5147" width="0" style="224" hidden="1" customWidth="1"/>
    <col min="5148" max="5148" width="17.375" style="224" customWidth="1"/>
    <col min="5149" max="5380" width="9" style="224"/>
    <col min="5381" max="5381" width="5.125" style="224" customWidth="1"/>
    <col min="5382" max="5382" width="3.625" style="224" customWidth="1"/>
    <col min="5383" max="5383" width="4.125" style="224" customWidth="1"/>
    <col min="5384" max="5384" width="17.375" style="224" customWidth="1"/>
    <col min="5385" max="5385" width="7.5" style="224" customWidth="1"/>
    <col min="5386" max="5386" width="4.5" style="224" customWidth="1"/>
    <col min="5387" max="5387" width="4.875" style="224" customWidth="1"/>
    <col min="5388" max="5388" width="5.125" style="224" customWidth="1"/>
    <col min="5389" max="5389" width="4.25" style="224" customWidth="1"/>
    <col min="5390" max="5390" width="6.375" style="224" customWidth="1"/>
    <col min="5391" max="5391" width="4" style="224" customWidth="1"/>
    <col min="5392" max="5392" width="12.375" style="224" customWidth="1"/>
    <col min="5393" max="5393" width="13.375" style="224" customWidth="1"/>
    <col min="5394" max="5394" width="15.875" style="224" customWidth="1"/>
    <col min="5395" max="5396" width="16.125" style="224" customWidth="1"/>
    <col min="5397" max="5397" width="15.5" style="224" customWidth="1"/>
    <col min="5398" max="5399" width="9" style="224" customWidth="1"/>
    <col min="5400" max="5400" width="6.375" style="224" customWidth="1"/>
    <col min="5401" max="5403" width="0" style="224" hidden="1" customWidth="1"/>
    <col min="5404" max="5404" width="17.375" style="224" customWidth="1"/>
    <col min="5405" max="5636" width="9" style="224"/>
    <col min="5637" max="5637" width="5.125" style="224" customWidth="1"/>
    <col min="5638" max="5638" width="3.625" style="224" customWidth="1"/>
    <col min="5639" max="5639" width="4.125" style="224" customWidth="1"/>
    <col min="5640" max="5640" width="17.375" style="224" customWidth="1"/>
    <col min="5641" max="5641" width="7.5" style="224" customWidth="1"/>
    <col min="5642" max="5642" width="4.5" style="224" customWidth="1"/>
    <col min="5643" max="5643" width="4.875" style="224" customWidth="1"/>
    <col min="5644" max="5644" width="5.125" style="224" customWidth="1"/>
    <col min="5645" max="5645" width="4.25" style="224" customWidth="1"/>
    <col min="5646" max="5646" width="6.375" style="224" customWidth="1"/>
    <col min="5647" max="5647" width="4" style="224" customWidth="1"/>
    <col min="5648" max="5648" width="12.375" style="224" customWidth="1"/>
    <col min="5649" max="5649" width="13.375" style="224" customWidth="1"/>
    <col min="5650" max="5650" width="15.875" style="224" customWidth="1"/>
    <col min="5651" max="5652" width="16.125" style="224" customWidth="1"/>
    <col min="5653" max="5653" width="15.5" style="224" customWidth="1"/>
    <col min="5654" max="5655" width="9" style="224" customWidth="1"/>
    <col min="5656" max="5656" width="6.375" style="224" customWidth="1"/>
    <col min="5657" max="5659" width="0" style="224" hidden="1" customWidth="1"/>
    <col min="5660" max="5660" width="17.375" style="224" customWidth="1"/>
    <col min="5661" max="5892" width="9" style="224"/>
    <col min="5893" max="5893" width="5.125" style="224" customWidth="1"/>
    <col min="5894" max="5894" width="3.625" style="224" customWidth="1"/>
    <col min="5895" max="5895" width="4.125" style="224" customWidth="1"/>
    <col min="5896" max="5896" width="17.375" style="224" customWidth="1"/>
    <col min="5897" max="5897" width="7.5" style="224" customWidth="1"/>
    <col min="5898" max="5898" width="4.5" style="224" customWidth="1"/>
    <col min="5899" max="5899" width="4.875" style="224" customWidth="1"/>
    <col min="5900" max="5900" width="5.125" style="224" customWidth="1"/>
    <col min="5901" max="5901" width="4.25" style="224" customWidth="1"/>
    <col min="5902" max="5902" width="6.375" style="224" customWidth="1"/>
    <col min="5903" max="5903" width="4" style="224" customWidth="1"/>
    <col min="5904" max="5904" width="12.375" style="224" customWidth="1"/>
    <col min="5905" max="5905" width="13.375" style="224" customWidth="1"/>
    <col min="5906" max="5906" width="15.875" style="224" customWidth="1"/>
    <col min="5907" max="5908" width="16.125" style="224" customWidth="1"/>
    <col min="5909" max="5909" width="15.5" style="224" customWidth="1"/>
    <col min="5910" max="5911" width="9" style="224" customWidth="1"/>
    <col min="5912" max="5912" width="6.375" style="224" customWidth="1"/>
    <col min="5913" max="5915" width="0" style="224" hidden="1" customWidth="1"/>
    <col min="5916" max="5916" width="17.375" style="224" customWidth="1"/>
    <col min="5917" max="6148" width="9" style="224"/>
    <col min="6149" max="6149" width="5.125" style="224" customWidth="1"/>
    <col min="6150" max="6150" width="3.625" style="224" customWidth="1"/>
    <col min="6151" max="6151" width="4.125" style="224" customWidth="1"/>
    <col min="6152" max="6152" width="17.375" style="224" customWidth="1"/>
    <col min="6153" max="6153" width="7.5" style="224" customWidth="1"/>
    <col min="6154" max="6154" width="4.5" style="224" customWidth="1"/>
    <col min="6155" max="6155" width="4.875" style="224" customWidth="1"/>
    <col min="6156" max="6156" width="5.125" style="224" customWidth="1"/>
    <col min="6157" max="6157" width="4.25" style="224" customWidth="1"/>
    <col min="6158" max="6158" width="6.375" style="224" customWidth="1"/>
    <col min="6159" max="6159" width="4" style="224" customWidth="1"/>
    <col min="6160" max="6160" width="12.375" style="224" customWidth="1"/>
    <col min="6161" max="6161" width="13.375" style="224" customWidth="1"/>
    <col min="6162" max="6162" width="15.875" style="224" customWidth="1"/>
    <col min="6163" max="6164" width="16.125" style="224" customWidth="1"/>
    <col min="6165" max="6165" width="15.5" style="224" customWidth="1"/>
    <col min="6166" max="6167" width="9" style="224" customWidth="1"/>
    <col min="6168" max="6168" width="6.375" style="224" customWidth="1"/>
    <col min="6169" max="6171" width="0" style="224" hidden="1" customWidth="1"/>
    <col min="6172" max="6172" width="17.375" style="224" customWidth="1"/>
    <col min="6173" max="6404" width="9" style="224"/>
    <col min="6405" max="6405" width="5.125" style="224" customWidth="1"/>
    <col min="6406" max="6406" width="3.625" style="224" customWidth="1"/>
    <col min="6407" max="6407" width="4.125" style="224" customWidth="1"/>
    <col min="6408" max="6408" width="17.375" style="224" customWidth="1"/>
    <col min="6409" max="6409" width="7.5" style="224" customWidth="1"/>
    <col min="6410" max="6410" width="4.5" style="224" customWidth="1"/>
    <col min="6411" max="6411" width="4.875" style="224" customWidth="1"/>
    <col min="6412" max="6412" width="5.125" style="224" customWidth="1"/>
    <col min="6413" max="6413" width="4.25" style="224" customWidth="1"/>
    <col min="6414" max="6414" width="6.375" style="224" customWidth="1"/>
    <col min="6415" max="6415" width="4" style="224" customWidth="1"/>
    <col min="6416" max="6416" width="12.375" style="224" customWidth="1"/>
    <col min="6417" max="6417" width="13.375" style="224" customWidth="1"/>
    <col min="6418" max="6418" width="15.875" style="224" customWidth="1"/>
    <col min="6419" max="6420" width="16.125" style="224" customWidth="1"/>
    <col min="6421" max="6421" width="15.5" style="224" customWidth="1"/>
    <col min="6422" max="6423" width="9" style="224" customWidth="1"/>
    <col min="6424" max="6424" width="6.375" style="224" customWidth="1"/>
    <col min="6425" max="6427" width="0" style="224" hidden="1" customWidth="1"/>
    <col min="6428" max="6428" width="17.375" style="224" customWidth="1"/>
    <col min="6429" max="6660" width="9" style="224"/>
    <col min="6661" max="6661" width="5.125" style="224" customWidth="1"/>
    <col min="6662" max="6662" width="3.625" style="224" customWidth="1"/>
    <col min="6663" max="6663" width="4.125" style="224" customWidth="1"/>
    <col min="6664" max="6664" width="17.375" style="224" customWidth="1"/>
    <col min="6665" max="6665" width="7.5" style="224" customWidth="1"/>
    <col min="6666" max="6666" width="4.5" style="224" customWidth="1"/>
    <col min="6667" max="6667" width="4.875" style="224" customWidth="1"/>
    <col min="6668" max="6668" width="5.125" style="224" customWidth="1"/>
    <col min="6669" max="6669" width="4.25" style="224" customWidth="1"/>
    <col min="6670" max="6670" width="6.375" style="224" customWidth="1"/>
    <col min="6671" max="6671" width="4" style="224" customWidth="1"/>
    <col min="6672" max="6672" width="12.375" style="224" customWidth="1"/>
    <col min="6673" max="6673" width="13.375" style="224" customWidth="1"/>
    <col min="6674" max="6674" width="15.875" style="224" customWidth="1"/>
    <col min="6675" max="6676" width="16.125" style="224" customWidth="1"/>
    <col min="6677" max="6677" width="15.5" style="224" customWidth="1"/>
    <col min="6678" max="6679" width="9" style="224" customWidth="1"/>
    <col min="6680" max="6680" width="6.375" style="224" customWidth="1"/>
    <col min="6681" max="6683" width="0" style="224" hidden="1" customWidth="1"/>
    <col min="6684" max="6684" width="17.375" style="224" customWidth="1"/>
    <col min="6685" max="6916" width="9" style="224"/>
    <col min="6917" max="6917" width="5.125" style="224" customWidth="1"/>
    <col min="6918" max="6918" width="3.625" style="224" customWidth="1"/>
    <col min="6919" max="6919" width="4.125" style="224" customWidth="1"/>
    <col min="6920" max="6920" width="17.375" style="224" customWidth="1"/>
    <col min="6921" max="6921" width="7.5" style="224" customWidth="1"/>
    <col min="6922" max="6922" width="4.5" style="224" customWidth="1"/>
    <col min="6923" max="6923" width="4.875" style="224" customWidth="1"/>
    <col min="6924" max="6924" width="5.125" style="224" customWidth="1"/>
    <col min="6925" max="6925" width="4.25" style="224" customWidth="1"/>
    <col min="6926" max="6926" width="6.375" style="224" customWidth="1"/>
    <col min="6927" max="6927" width="4" style="224" customWidth="1"/>
    <col min="6928" max="6928" width="12.375" style="224" customWidth="1"/>
    <col min="6929" max="6929" width="13.375" style="224" customWidth="1"/>
    <col min="6930" max="6930" width="15.875" style="224" customWidth="1"/>
    <col min="6931" max="6932" width="16.125" style="224" customWidth="1"/>
    <col min="6933" max="6933" width="15.5" style="224" customWidth="1"/>
    <col min="6934" max="6935" width="9" style="224" customWidth="1"/>
    <col min="6936" max="6936" width="6.375" style="224" customWidth="1"/>
    <col min="6937" max="6939" width="0" style="224" hidden="1" customWidth="1"/>
    <col min="6940" max="6940" width="17.375" style="224" customWidth="1"/>
    <col min="6941" max="7172" width="9" style="224"/>
    <col min="7173" max="7173" width="5.125" style="224" customWidth="1"/>
    <col min="7174" max="7174" width="3.625" style="224" customWidth="1"/>
    <col min="7175" max="7175" width="4.125" style="224" customWidth="1"/>
    <col min="7176" max="7176" width="17.375" style="224" customWidth="1"/>
    <col min="7177" max="7177" width="7.5" style="224" customWidth="1"/>
    <col min="7178" max="7178" width="4.5" style="224" customWidth="1"/>
    <col min="7179" max="7179" width="4.875" style="224" customWidth="1"/>
    <col min="7180" max="7180" width="5.125" style="224" customWidth="1"/>
    <col min="7181" max="7181" width="4.25" style="224" customWidth="1"/>
    <col min="7182" max="7182" width="6.375" style="224" customWidth="1"/>
    <col min="7183" max="7183" width="4" style="224" customWidth="1"/>
    <col min="7184" max="7184" width="12.375" style="224" customWidth="1"/>
    <col min="7185" max="7185" width="13.375" style="224" customWidth="1"/>
    <col min="7186" max="7186" width="15.875" style="224" customWidth="1"/>
    <col min="7187" max="7188" width="16.125" style="224" customWidth="1"/>
    <col min="7189" max="7189" width="15.5" style="224" customWidth="1"/>
    <col min="7190" max="7191" width="9" style="224" customWidth="1"/>
    <col min="7192" max="7192" width="6.375" style="224" customWidth="1"/>
    <col min="7193" max="7195" width="0" style="224" hidden="1" customWidth="1"/>
    <col min="7196" max="7196" width="17.375" style="224" customWidth="1"/>
    <col min="7197" max="7428" width="9" style="224"/>
    <col min="7429" max="7429" width="5.125" style="224" customWidth="1"/>
    <col min="7430" max="7430" width="3.625" style="224" customWidth="1"/>
    <col min="7431" max="7431" width="4.125" style="224" customWidth="1"/>
    <col min="7432" max="7432" width="17.375" style="224" customWidth="1"/>
    <col min="7433" max="7433" width="7.5" style="224" customWidth="1"/>
    <col min="7434" max="7434" width="4.5" style="224" customWidth="1"/>
    <col min="7435" max="7435" width="4.875" style="224" customWidth="1"/>
    <col min="7436" max="7436" width="5.125" style="224" customWidth="1"/>
    <col min="7437" max="7437" width="4.25" style="224" customWidth="1"/>
    <col min="7438" max="7438" width="6.375" style="224" customWidth="1"/>
    <col min="7439" max="7439" width="4" style="224" customWidth="1"/>
    <col min="7440" max="7440" width="12.375" style="224" customWidth="1"/>
    <col min="7441" max="7441" width="13.375" style="224" customWidth="1"/>
    <col min="7442" max="7442" width="15.875" style="224" customWidth="1"/>
    <col min="7443" max="7444" width="16.125" style="224" customWidth="1"/>
    <col min="7445" max="7445" width="15.5" style="224" customWidth="1"/>
    <col min="7446" max="7447" width="9" style="224" customWidth="1"/>
    <col min="7448" max="7448" width="6.375" style="224" customWidth="1"/>
    <col min="7449" max="7451" width="0" style="224" hidden="1" customWidth="1"/>
    <col min="7452" max="7452" width="17.375" style="224" customWidth="1"/>
    <col min="7453" max="7684" width="9" style="224"/>
    <col min="7685" max="7685" width="5.125" style="224" customWidth="1"/>
    <col min="7686" max="7686" width="3.625" style="224" customWidth="1"/>
    <col min="7687" max="7687" width="4.125" style="224" customWidth="1"/>
    <col min="7688" max="7688" width="17.375" style="224" customWidth="1"/>
    <col min="7689" max="7689" width="7.5" style="224" customWidth="1"/>
    <col min="7690" max="7690" width="4.5" style="224" customWidth="1"/>
    <col min="7691" max="7691" width="4.875" style="224" customWidth="1"/>
    <col min="7692" max="7692" width="5.125" style="224" customWidth="1"/>
    <col min="7693" max="7693" width="4.25" style="224" customWidth="1"/>
    <col min="7694" max="7694" width="6.375" style="224" customWidth="1"/>
    <col min="7695" max="7695" width="4" style="224" customWidth="1"/>
    <col min="7696" max="7696" width="12.375" style="224" customWidth="1"/>
    <col min="7697" max="7697" width="13.375" style="224" customWidth="1"/>
    <col min="7698" max="7698" width="15.875" style="224" customWidth="1"/>
    <col min="7699" max="7700" width="16.125" style="224" customWidth="1"/>
    <col min="7701" max="7701" width="15.5" style="224" customWidth="1"/>
    <col min="7702" max="7703" width="9" style="224" customWidth="1"/>
    <col min="7704" max="7704" width="6.375" style="224" customWidth="1"/>
    <col min="7705" max="7707" width="0" style="224" hidden="1" customWidth="1"/>
    <col min="7708" max="7708" width="17.375" style="224" customWidth="1"/>
    <col min="7709" max="7940" width="9" style="224"/>
    <col min="7941" max="7941" width="5.125" style="224" customWidth="1"/>
    <col min="7942" max="7942" width="3.625" style="224" customWidth="1"/>
    <col min="7943" max="7943" width="4.125" style="224" customWidth="1"/>
    <col min="7944" max="7944" width="17.375" style="224" customWidth="1"/>
    <col min="7945" max="7945" width="7.5" style="224" customWidth="1"/>
    <col min="7946" max="7946" width="4.5" style="224" customWidth="1"/>
    <col min="7947" max="7947" width="4.875" style="224" customWidth="1"/>
    <col min="7948" max="7948" width="5.125" style="224" customWidth="1"/>
    <col min="7949" max="7949" width="4.25" style="224" customWidth="1"/>
    <col min="7950" max="7950" width="6.375" style="224" customWidth="1"/>
    <col min="7951" max="7951" width="4" style="224" customWidth="1"/>
    <col min="7952" max="7952" width="12.375" style="224" customWidth="1"/>
    <col min="7953" max="7953" width="13.375" style="224" customWidth="1"/>
    <col min="7954" max="7954" width="15.875" style="224" customWidth="1"/>
    <col min="7955" max="7956" width="16.125" style="224" customWidth="1"/>
    <col min="7957" max="7957" width="15.5" style="224" customWidth="1"/>
    <col min="7958" max="7959" width="9" style="224" customWidth="1"/>
    <col min="7960" max="7960" width="6.375" style="224" customWidth="1"/>
    <col min="7961" max="7963" width="0" style="224" hidden="1" customWidth="1"/>
    <col min="7964" max="7964" width="17.375" style="224" customWidth="1"/>
    <col min="7965" max="8196" width="9" style="224"/>
    <col min="8197" max="8197" width="5.125" style="224" customWidth="1"/>
    <col min="8198" max="8198" width="3.625" style="224" customWidth="1"/>
    <col min="8199" max="8199" width="4.125" style="224" customWidth="1"/>
    <col min="8200" max="8200" width="17.375" style="224" customWidth="1"/>
    <col min="8201" max="8201" width="7.5" style="224" customWidth="1"/>
    <col min="8202" max="8202" width="4.5" style="224" customWidth="1"/>
    <col min="8203" max="8203" width="4.875" style="224" customWidth="1"/>
    <col min="8204" max="8204" width="5.125" style="224" customWidth="1"/>
    <col min="8205" max="8205" width="4.25" style="224" customWidth="1"/>
    <col min="8206" max="8206" width="6.375" style="224" customWidth="1"/>
    <col min="8207" max="8207" width="4" style="224" customWidth="1"/>
    <col min="8208" max="8208" width="12.375" style="224" customWidth="1"/>
    <col min="8209" max="8209" width="13.375" style="224" customWidth="1"/>
    <col min="8210" max="8210" width="15.875" style="224" customWidth="1"/>
    <col min="8211" max="8212" width="16.125" style="224" customWidth="1"/>
    <col min="8213" max="8213" width="15.5" style="224" customWidth="1"/>
    <col min="8214" max="8215" width="9" style="224" customWidth="1"/>
    <col min="8216" max="8216" width="6.375" style="224" customWidth="1"/>
    <col min="8217" max="8219" width="0" style="224" hidden="1" customWidth="1"/>
    <col min="8220" max="8220" width="17.375" style="224" customWidth="1"/>
    <col min="8221" max="8452" width="9" style="224"/>
    <col min="8453" max="8453" width="5.125" style="224" customWidth="1"/>
    <col min="8454" max="8454" width="3.625" style="224" customWidth="1"/>
    <col min="8455" max="8455" width="4.125" style="224" customWidth="1"/>
    <col min="8456" max="8456" width="17.375" style="224" customWidth="1"/>
    <col min="8457" max="8457" width="7.5" style="224" customWidth="1"/>
    <col min="8458" max="8458" width="4.5" style="224" customWidth="1"/>
    <col min="8459" max="8459" width="4.875" style="224" customWidth="1"/>
    <col min="8460" max="8460" width="5.125" style="224" customWidth="1"/>
    <col min="8461" max="8461" width="4.25" style="224" customWidth="1"/>
    <col min="8462" max="8462" width="6.375" style="224" customWidth="1"/>
    <col min="8463" max="8463" width="4" style="224" customWidth="1"/>
    <col min="8464" max="8464" width="12.375" style="224" customWidth="1"/>
    <col min="8465" max="8465" width="13.375" style="224" customWidth="1"/>
    <col min="8466" max="8466" width="15.875" style="224" customWidth="1"/>
    <col min="8467" max="8468" width="16.125" style="224" customWidth="1"/>
    <col min="8469" max="8469" width="15.5" style="224" customWidth="1"/>
    <col min="8470" max="8471" width="9" style="224" customWidth="1"/>
    <col min="8472" max="8472" width="6.375" style="224" customWidth="1"/>
    <col min="8473" max="8475" width="0" style="224" hidden="1" customWidth="1"/>
    <col min="8476" max="8476" width="17.375" style="224" customWidth="1"/>
    <col min="8477" max="8708" width="9" style="224"/>
    <col min="8709" max="8709" width="5.125" style="224" customWidth="1"/>
    <col min="8710" max="8710" width="3.625" style="224" customWidth="1"/>
    <col min="8711" max="8711" width="4.125" style="224" customWidth="1"/>
    <col min="8712" max="8712" width="17.375" style="224" customWidth="1"/>
    <col min="8713" max="8713" width="7.5" style="224" customWidth="1"/>
    <col min="8714" max="8714" width="4.5" style="224" customWidth="1"/>
    <col min="8715" max="8715" width="4.875" style="224" customWidth="1"/>
    <col min="8716" max="8716" width="5.125" style="224" customWidth="1"/>
    <col min="8717" max="8717" width="4.25" style="224" customWidth="1"/>
    <col min="8718" max="8718" width="6.375" style="224" customWidth="1"/>
    <col min="8719" max="8719" width="4" style="224" customWidth="1"/>
    <col min="8720" max="8720" width="12.375" style="224" customWidth="1"/>
    <col min="8721" max="8721" width="13.375" style="224" customWidth="1"/>
    <col min="8722" max="8722" width="15.875" style="224" customWidth="1"/>
    <col min="8723" max="8724" width="16.125" style="224" customWidth="1"/>
    <col min="8725" max="8725" width="15.5" style="224" customWidth="1"/>
    <col min="8726" max="8727" width="9" style="224" customWidth="1"/>
    <col min="8728" max="8728" width="6.375" style="224" customWidth="1"/>
    <col min="8729" max="8731" width="0" style="224" hidden="1" customWidth="1"/>
    <col min="8732" max="8732" width="17.375" style="224" customWidth="1"/>
    <col min="8733" max="8964" width="9" style="224"/>
    <col min="8965" max="8965" width="5.125" style="224" customWidth="1"/>
    <col min="8966" max="8966" width="3.625" style="224" customWidth="1"/>
    <col min="8967" max="8967" width="4.125" style="224" customWidth="1"/>
    <col min="8968" max="8968" width="17.375" style="224" customWidth="1"/>
    <col min="8969" max="8969" width="7.5" style="224" customWidth="1"/>
    <col min="8970" max="8970" width="4.5" style="224" customWidth="1"/>
    <col min="8971" max="8971" width="4.875" style="224" customWidth="1"/>
    <col min="8972" max="8972" width="5.125" style="224" customWidth="1"/>
    <col min="8973" max="8973" width="4.25" style="224" customWidth="1"/>
    <col min="8974" max="8974" width="6.375" style="224" customWidth="1"/>
    <col min="8975" max="8975" width="4" style="224" customWidth="1"/>
    <col min="8976" max="8976" width="12.375" style="224" customWidth="1"/>
    <col min="8977" max="8977" width="13.375" style="224" customWidth="1"/>
    <col min="8978" max="8978" width="15.875" style="224" customWidth="1"/>
    <col min="8979" max="8980" width="16.125" style="224" customWidth="1"/>
    <col min="8981" max="8981" width="15.5" style="224" customWidth="1"/>
    <col min="8982" max="8983" width="9" style="224" customWidth="1"/>
    <col min="8984" max="8984" width="6.375" style="224" customWidth="1"/>
    <col min="8985" max="8987" width="0" style="224" hidden="1" customWidth="1"/>
    <col min="8988" max="8988" width="17.375" style="224" customWidth="1"/>
    <col min="8989" max="9220" width="9" style="224"/>
    <col min="9221" max="9221" width="5.125" style="224" customWidth="1"/>
    <col min="9222" max="9222" width="3.625" style="224" customWidth="1"/>
    <col min="9223" max="9223" width="4.125" style="224" customWidth="1"/>
    <col min="9224" max="9224" width="17.375" style="224" customWidth="1"/>
    <col min="9225" max="9225" width="7.5" style="224" customWidth="1"/>
    <col min="9226" max="9226" width="4.5" style="224" customWidth="1"/>
    <col min="9227" max="9227" width="4.875" style="224" customWidth="1"/>
    <col min="9228" max="9228" width="5.125" style="224" customWidth="1"/>
    <col min="9229" max="9229" width="4.25" style="224" customWidth="1"/>
    <col min="9230" max="9230" width="6.375" style="224" customWidth="1"/>
    <col min="9231" max="9231" width="4" style="224" customWidth="1"/>
    <col min="9232" max="9232" width="12.375" style="224" customWidth="1"/>
    <col min="9233" max="9233" width="13.375" style="224" customWidth="1"/>
    <col min="9234" max="9234" width="15.875" style="224" customWidth="1"/>
    <col min="9235" max="9236" width="16.125" style="224" customWidth="1"/>
    <col min="9237" max="9237" width="15.5" style="224" customWidth="1"/>
    <col min="9238" max="9239" width="9" style="224" customWidth="1"/>
    <col min="9240" max="9240" width="6.375" style="224" customWidth="1"/>
    <col min="9241" max="9243" width="0" style="224" hidden="1" customWidth="1"/>
    <col min="9244" max="9244" width="17.375" style="224" customWidth="1"/>
    <col min="9245" max="9476" width="9" style="224"/>
    <col min="9477" max="9477" width="5.125" style="224" customWidth="1"/>
    <col min="9478" max="9478" width="3.625" style="224" customWidth="1"/>
    <col min="9479" max="9479" width="4.125" style="224" customWidth="1"/>
    <col min="9480" max="9480" width="17.375" style="224" customWidth="1"/>
    <col min="9481" max="9481" width="7.5" style="224" customWidth="1"/>
    <col min="9482" max="9482" width="4.5" style="224" customWidth="1"/>
    <col min="9483" max="9483" width="4.875" style="224" customWidth="1"/>
    <col min="9484" max="9484" width="5.125" style="224" customWidth="1"/>
    <col min="9485" max="9485" width="4.25" style="224" customWidth="1"/>
    <col min="9486" max="9486" width="6.375" style="224" customWidth="1"/>
    <col min="9487" max="9487" width="4" style="224" customWidth="1"/>
    <col min="9488" max="9488" width="12.375" style="224" customWidth="1"/>
    <col min="9489" max="9489" width="13.375" style="224" customWidth="1"/>
    <col min="9490" max="9490" width="15.875" style="224" customWidth="1"/>
    <col min="9491" max="9492" width="16.125" style="224" customWidth="1"/>
    <col min="9493" max="9493" width="15.5" style="224" customWidth="1"/>
    <col min="9494" max="9495" width="9" style="224" customWidth="1"/>
    <col min="9496" max="9496" width="6.375" style="224" customWidth="1"/>
    <col min="9497" max="9499" width="0" style="224" hidden="1" customWidth="1"/>
    <col min="9500" max="9500" width="17.375" style="224" customWidth="1"/>
    <col min="9501" max="9732" width="9" style="224"/>
    <col min="9733" max="9733" width="5.125" style="224" customWidth="1"/>
    <col min="9734" max="9734" width="3.625" style="224" customWidth="1"/>
    <col min="9735" max="9735" width="4.125" style="224" customWidth="1"/>
    <col min="9736" max="9736" width="17.375" style="224" customWidth="1"/>
    <col min="9737" max="9737" width="7.5" style="224" customWidth="1"/>
    <col min="9738" max="9738" width="4.5" style="224" customWidth="1"/>
    <col min="9739" max="9739" width="4.875" style="224" customWidth="1"/>
    <col min="9740" max="9740" width="5.125" style="224" customWidth="1"/>
    <col min="9741" max="9741" width="4.25" style="224" customWidth="1"/>
    <col min="9742" max="9742" width="6.375" style="224" customWidth="1"/>
    <col min="9743" max="9743" width="4" style="224" customWidth="1"/>
    <col min="9744" max="9744" width="12.375" style="224" customWidth="1"/>
    <col min="9745" max="9745" width="13.375" style="224" customWidth="1"/>
    <col min="9746" max="9746" width="15.875" style="224" customWidth="1"/>
    <col min="9747" max="9748" width="16.125" style="224" customWidth="1"/>
    <col min="9749" max="9749" width="15.5" style="224" customWidth="1"/>
    <col min="9750" max="9751" width="9" style="224" customWidth="1"/>
    <col min="9752" max="9752" width="6.375" style="224" customWidth="1"/>
    <col min="9753" max="9755" width="0" style="224" hidden="1" customWidth="1"/>
    <col min="9756" max="9756" width="17.375" style="224" customWidth="1"/>
    <col min="9757" max="9988" width="9" style="224"/>
    <col min="9989" max="9989" width="5.125" style="224" customWidth="1"/>
    <col min="9990" max="9990" width="3.625" style="224" customWidth="1"/>
    <col min="9991" max="9991" width="4.125" style="224" customWidth="1"/>
    <col min="9992" max="9992" width="17.375" style="224" customWidth="1"/>
    <col min="9993" max="9993" width="7.5" style="224" customWidth="1"/>
    <col min="9994" max="9994" width="4.5" style="224" customWidth="1"/>
    <col min="9995" max="9995" width="4.875" style="224" customWidth="1"/>
    <col min="9996" max="9996" width="5.125" style="224" customWidth="1"/>
    <col min="9997" max="9997" width="4.25" style="224" customWidth="1"/>
    <col min="9998" max="9998" width="6.375" style="224" customWidth="1"/>
    <col min="9999" max="9999" width="4" style="224" customWidth="1"/>
    <col min="10000" max="10000" width="12.375" style="224" customWidth="1"/>
    <col min="10001" max="10001" width="13.375" style="224" customWidth="1"/>
    <col min="10002" max="10002" width="15.875" style="224" customWidth="1"/>
    <col min="10003" max="10004" width="16.125" style="224" customWidth="1"/>
    <col min="10005" max="10005" width="15.5" style="224" customWidth="1"/>
    <col min="10006" max="10007" width="9" style="224" customWidth="1"/>
    <col min="10008" max="10008" width="6.375" style="224" customWidth="1"/>
    <col min="10009" max="10011" width="0" style="224" hidden="1" customWidth="1"/>
    <col min="10012" max="10012" width="17.375" style="224" customWidth="1"/>
    <col min="10013" max="10244" width="9" style="224"/>
    <col min="10245" max="10245" width="5.125" style="224" customWidth="1"/>
    <col min="10246" max="10246" width="3.625" style="224" customWidth="1"/>
    <col min="10247" max="10247" width="4.125" style="224" customWidth="1"/>
    <col min="10248" max="10248" width="17.375" style="224" customWidth="1"/>
    <col min="10249" max="10249" width="7.5" style="224" customWidth="1"/>
    <col min="10250" max="10250" width="4.5" style="224" customWidth="1"/>
    <col min="10251" max="10251" width="4.875" style="224" customWidth="1"/>
    <col min="10252" max="10252" width="5.125" style="224" customWidth="1"/>
    <col min="10253" max="10253" width="4.25" style="224" customWidth="1"/>
    <col min="10254" max="10254" width="6.375" style="224" customWidth="1"/>
    <col min="10255" max="10255" width="4" style="224" customWidth="1"/>
    <col min="10256" max="10256" width="12.375" style="224" customWidth="1"/>
    <col min="10257" max="10257" width="13.375" style="224" customWidth="1"/>
    <col min="10258" max="10258" width="15.875" style="224" customWidth="1"/>
    <col min="10259" max="10260" width="16.125" style="224" customWidth="1"/>
    <col min="10261" max="10261" width="15.5" style="224" customWidth="1"/>
    <col min="10262" max="10263" width="9" style="224" customWidth="1"/>
    <col min="10264" max="10264" width="6.375" style="224" customWidth="1"/>
    <col min="10265" max="10267" width="0" style="224" hidden="1" customWidth="1"/>
    <col min="10268" max="10268" width="17.375" style="224" customWidth="1"/>
    <col min="10269" max="10500" width="9" style="224"/>
    <col min="10501" max="10501" width="5.125" style="224" customWidth="1"/>
    <col min="10502" max="10502" width="3.625" style="224" customWidth="1"/>
    <col min="10503" max="10503" width="4.125" style="224" customWidth="1"/>
    <col min="10504" max="10504" width="17.375" style="224" customWidth="1"/>
    <col min="10505" max="10505" width="7.5" style="224" customWidth="1"/>
    <col min="10506" max="10506" width="4.5" style="224" customWidth="1"/>
    <col min="10507" max="10507" width="4.875" style="224" customWidth="1"/>
    <col min="10508" max="10508" width="5.125" style="224" customWidth="1"/>
    <col min="10509" max="10509" width="4.25" style="224" customWidth="1"/>
    <col min="10510" max="10510" width="6.375" style="224" customWidth="1"/>
    <col min="10511" max="10511" width="4" style="224" customWidth="1"/>
    <col min="10512" max="10512" width="12.375" style="224" customWidth="1"/>
    <col min="10513" max="10513" width="13.375" style="224" customWidth="1"/>
    <col min="10514" max="10514" width="15.875" style="224" customWidth="1"/>
    <col min="10515" max="10516" width="16.125" style="224" customWidth="1"/>
    <col min="10517" max="10517" width="15.5" style="224" customWidth="1"/>
    <col min="10518" max="10519" width="9" style="224" customWidth="1"/>
    <col min="10520" max="10520" width="6.375" style="224" customWidth="1"/>
    <col min="10521" max="10523" width="0" style="224" hidden="1" customWidth="1"/>
    <col min="10524" max="10524" width="17.375" style="224" customWidth="1"/>
    <col min="10525" max="10756" width="9" style="224"/>
    <col min="10757" max="10757" width="5.125" style="224" customWidth="1"/>
    <col min="10758" max="10758" width="3.625" style="224" customWidth="1"/>
    <col min="10759" max="10759" width="4.125" style="224" customWidth="1"/>
    <col min="10760" max="10760" width="17.375" style="224" customWidth="1"/>
    <col min="10761" max="10761" width="7.5" style="224" customWidth="1"/>
    <col min="10762" max="10762" width="4.5" style="224" customWidth="1"/>
    <col min="10763" max="10763" width="4.875" style="224" customWidth="1"/>
    <col min="10764" max="10764" width="5.125" style="224" customWidth="1"/>
    <col min="10765" max="10765" width="4.25" style="224" customWidth="1"/>
    <col min="10766" max="10766" width="6.375" style="224" customWidth="1"/>
    <col min="10767" max="10767" width="4" style="224" customWidth="1"/>
    <col min="10768" max="10768" width="12.375" style="224" customWidth="1"/>
    <col min="10769" max="10769" width="13.375" style="224" customWidth="1"/>
    <col min="10770" max="10770" width="15.875" style="224" customWidth="1"/>
    <col min="10771" max="10772" width="16.125" style="224" customWidth="1"/>
    <col min="10773" max="10773" width="15.5" style="224" customWidth="1"/>
    <col min="10774" max="10775" width="9" style="224" customWidth="1"/>
    <col min="10776" max="10776" width="6.375" style="224" customWidth="1"/>
    <col min="10777" max="10779" width="0" style="224" hidden="1" customWidth="1"/>
    <col min="10780" max="10780" width="17.375" style="224" customWidth="1"/>
    <col min="10781" max="11012" width="9" style="224"/>
    <col min="11013" max="11013" width="5.125" style="224" customWidth="1"/>
    <col min="11014" max="11014" width="3.625" style="224" customWidth="1"/>
    <col min="11015" max="11015" width="4.125" style="224" customWidth="1"/>
    <col min="11016" max="11016" width="17.375" style="224" customWidth="1"/>
    <col min="11017" max="11017" width="7.5" style="224" customWidth="1"/>
    <col min="11018" max="11018" width="4.5" style="224" customWidth="1"/>
    <col min="11019" max="11019" width="4.875" style="224" customWidth="1"/>
    <col min="11020" max="11020" width="5.125" style="224" customWidth="1"/>
    <col min="11021" max="11021" width="4.25" style="224" customWidth="1"/>
    <col min="11022" max="11022" width="6.375" style="224" customWidth="1"/>
    <col min="11023" max="11023" width="4" style="224" customWidth="1"/>
    <col min="11024" max="11024" width="12.375" style="224" customWidth="1"/>
    <col min="11025" max="11025" width="13.375" style="224" customWidth="1"/>
    <col min="11026" max="11026" width="15.875" style="224" customWidth="1"/>
    <col min="11027" max="11028" width="16.125" style="224" customWidth="1"/>
    <col min="11029" max="11029" width="15.5" style="224" customWidth="1"/>
    <col min="11030" max="11031" width="9" style="224" customWidth="1"/>
    <col min="11032" max="11032" width="6.375" style="224" customWidth="1"/>
    <col min="11033" max="11035" width="0" style="224" hidden="1" customWidth="1"/>
    <col min="11036" max="11036" width="17.375" style="224" customWidth="1"/>
    <col min="11037" max="11268" width="9" style="224"/>
    <col min="11269" max="11269" width="5.125" style="224" customWidth="1"/>
    <col min="11270" max="11270" width="3.625" style="224" customWidth="1"/>
    <col min="11271" max="11271" width="4.125" style="224" customWidth="1"/>
    <col min="11272" max="11272" width="17.375" style="224" customWidth="1"/>
    <col min="11273" max="11273" width="7.5" style="224" customWidth="1"/>
    <col min="11274" max="11274" width="4.5" style="224" customWidth="1"/>
    <col min="11275" max="11275" width="4.875" style="224" customWidth="1"/>
    <col min="11276" max="11276" width="5.125" style="224" customWidth="1"/>
    <col min="11277" max="11277" width="4.25" style="224" customWidth="1"/>
    <col min="11278" max="11278" width="6.375" style="224" customWidth="1"/>
    <col min="11279" max="11279" width="4" style="224" customWidth="1"/>
    <col min="11280" max="11280" width="12.375" style="224" customWidth="1"/>
    <col min="11281" max="11281" width="13.375" style="224" customWidth="1"/>
    <col min="11282" max="11282" width="15.875" style="224" customWidth="1"/>
    <col min="11283" max="11284" width="16.125" style="224" customWidth="1"/>
    <col min="11285" max="11285" width="15.5" style="224" customWidth="1"/>
    <col min="11286" max="11287" width="9" style="224" customWidth="1"/>
    <col min="11288" max="11288" width="6.375" style="224" customWidth="1"/>
    <col min="11289" max="11291" width="0" style="224" hidden="1" customWidth="1"/>
    <col min="11292" max="11292" width="17.375" style="224" customWidth="1"/>
    <col min="11293" max="11524" width="9" style="224"/>
    <col min="11525" max="11525" width="5.125" style="224" customWidth="1"/>
    <col min="11526" max="11526" width="3.625" style="224" customWidth="1"/>
    <col min="11527" max="11527" width="4.125" style="224" customWidth="1"/>
    <col min="11528" max="11528" width="17.375" style="224" customWidth="1"/>
    <col min="11529" max="11529" width="7.5" style="224" customWidth="1"/>
    <col min="11530" max="11530" width="4.5" style="224" customWidth="1"/>
    <col min="11531" max="11531" width="4.875" style="224" customWidth="1"/>
    <col min="11532" max="11532" width="5.125" style="224" customWidth="1"/>
    <col min="11533" max="11533" width="4.25" style="224" customWidth="1"/>
    <col min="11534" max="11534" width="6.375" style="224" customWidth="1"/>
    <col min="11535" max="11535" width="4" style="224" customWidth="1"/>
    <col min="11536" max="11536" width="12.375" style="224" customWidth="1"/>
    <col min="11537" max="11537" width="13.375" style="224" customWidth="1"/>
    <col min="11538" max="11538" width="15.875" style="224" customWidth="1"/>
    <col min="11539" max="11540" width="16.125" style="224" customWidth="1"/>
    <col min="11541" max="11541" width="15.5" style="224" customWidth="1"/>
    <col min="11542" max="11543" width="9" style="224" customWidth="1"/>
    <col min="11544" max="11544" width="6.375" style="224" customWidth="1"/>
    <col min="11545" max="11547" width="0" style="224" hidden="1" customWidth="1"/>
    <col min="11548" max="11548" width="17.375" style="224" customWidth="1"/>
    <col min="11549" max="11780" width="9" style="224"/>
    <col min="11781" max="11781" width="5.125" style="224" customWidth="1"/>
    <col min="11782" max="11782" width="3.625" style="224" customWidth="1"/>
    <col min="11783" max="11783" width="4.125" style="224" customWidth="1"/>
    <col min="11784" max="11784" width="17.375" style="224" customWidth="1"/>
    <col min="11785" max="11785" width="7.5" style="224" customWidth="1"/>
    <col min="11786" max="11786" width="4.5" style="224" customWidth="1"/>
    <col min="11787" max="11787" width="4.875" style="224" customWidth="1"/>
    <col min="11788" max="11788" width="5.125" style="224" customWidth="1"/>
    <col min="11789" max="11789" width="4.25" style="224" customWidth="1"/>
    <col min="11790" max="11790" width="6.375" style="224" customWidth="1"/>
    <col min="11791" max="11791" width="4" style="224" customWidth="1"/>
    <col min="11792" max="11792" width="12.375" style="224" customWidth="1"/>
    <col min="11793" max="11793" width="13.375" style="224" customWidth="1"/>
    <col min="11794" max="11794" width="15.875" style="224" customWidth="1"/>
    <col min="11795" max="11796" width="16.125" style="224" customWidth="1"/>
    <col min="11797" max="11797" width="15.5" style="224" customWidth="1"/>
    <col min="11798" max="11799" width="9" style="224" customWidth="1"/>
    <col min="11800" max="11800" width="6.375" style="224" customWidth="1"/>
    <col min="11801" max="11803" width="0" style="224" hidden="1" customWidth="1"/>
    <col min="11804" max="11804" width="17.375" style="224" customWidth="1"/>
    <col min="11805" max="12036" width="9" style="224"/>
    <col min="12037" max="12037" width="5.125" style="224" customWidth="1"/>
    <col min="12038" max="12038" width="3.625" style="224" customWidth="1"/>
    <col min="12039" max="12039" width="4.125" style="224" customWidth="1"/>
    <col min="12040" max="12040" width="17.375" style="224" customWidth="1"/>
    <col min="12041" max="12041" width="7.5" style="224" customWidth="1"/>
    <col min="12042" max="12042" width="4.5" style="224" customWidth="1"/>
    <col min="12043" max="12043" width="4.875" style="224" customWidth="1"/>
    <col min="12044" max="12044" width="5.125" style="224" customWidth="1"/>
    <col min="12045" max="12045" width="4.25" style="224" customWidth="1"/>
    <col min="12046" max="12046" width="6.375" style="224" customWidth="1"/>
    <col min="12047" max="12047" width="4" style="224" customWidth="1"/>
    <col min="12048" max="12048" width="12.375" style="224" customWidth="1"/>
    <col min="12049" max="12049" width="13.375" style="224" customWidth="1"/>
    <col min="12050" max="12050" width="15.875" style="224" customWidth="1"/>
    <col min="12051" max="12052" width="16.125" style="224" customWidth="1"/>
    <col min="12053" max="12053" width="15.5" style="224" customWidth="1"/>
    <col min="12054" max="12055" width="9" style="224" customWidth="1"/>
    <col min="12056" max="12056" width="6.375" style="224" customWidth="1"/>
    <col min="12057" max="12059" width="0" style="224" hidden="1" customWidth="1"/>
    <col min="12060" max="12060" width="17.375" style="224" customWidth="1"/>
    <col min="12061" max="12292" width="9" style="224"/>
    <col min="12293" max="12293" width="5.125" style="224" customWidth="1"/>
    <col min="12294" max="12294" width="3.625" style="224" customWidth="1"/>
    <col min="12295" max="12295" width="4.125" style="224" customWidth="1"/>
    <col min="12296" max="12296" width="17.375" style="224" customWidth="1"/>
    <col min="12297" max="12297" width="7.5" style="224" customWidth="1"/>
    <col min="12298" max="12298" width="4.5" style="224" customWidth="1"/>
    <col min="12299" max="12299" width="4.875" style="224" customWidth="1"/>
    <col min="12300" max="12300" width="5.125" style="224" customWidth="1"/>
    <col min="12301" max="12301" width="4.25" style="224" customWidth="1"/>
    <col min="12302" max="12302" width="6.375" style="224" customWidth="1"/>
    <col min="12303" max="12303" width="4" style="224" customWidth="1"/>
    <col min="12304" max="12304" width="12.375" style="224" customWidth="1"/>
    <col min="12305" max="12305" width="13.375" style="224" customWidth="1"/>
    <col min="12306" max="12306" width="15.875" style="224" customWidth="1"/>
    <col min="12307" max="12308" width="16.125" style="224" customWidth="1"/>
    <col min="12309" max="12309" width="15.5" style="224" customWidth="1"/>
    <col min="12310" max="12311" width="9" style="224" customWidth="1"/>
    <col min="12312" max="12312" width="6.375" style="224" customWidth="1"/>
    <col min="12313" max="12315" width="0" style="224" hidden="1" customWidth="1"/>
    <col min="12316" max="12316" width="17.375" style="224" customWidth="1"/>
    <col min="12317" max="12548" width="9" style="224"/>
    <col min="12549" max="12549" width="5.125" style="224" customWidth="1"/>
    <col min="12550" max="12550" width="3.625" style="224" customWidth="1"/>
    <col min="12551" max="12551" width="4.125" style="224" customWidth="1"/>
    <col min="12552" max="12552" width="17.375" style="224" customWidth="1"/>
    <col min="12553" max="12553" width="7.5" style="224" customWidth="1"/>
    <col min="12554" max="12554" width="4.5" style="224" customWidth="1"/>
    <col min="12555" max="12555" width="4.875" style="224" customWidth="1"/>
    <col min="12556" max="12556" width="5.125" style="224" customWidth="1"/>
    <col min="12557" max="12557" width="4.25" style="224" customWidth="1"/>
    <col min="12558" max="12558" width="6.375" style="224" customWidth="1"/>
    <col min="12559" max="12559" width="4" style="224" customWidth="1"/>
    <col min="12560" max="12560" width="12.375" style="224" customWidth="1"/>
    <col min="12561" max="12561" width="13.375" style="224" customWidth="1"/>
    <col min="12562" max="12562" width="15.875" style="224" customWidth="1"/>
    <col min="12563" max="12564" width="16.125" style="224" customWidth="1"/>
    <col min="12565" max="12565" width="15.5" style="224" customWidth="1"/>
    <col min="12566" max="12567" width="9" style="224" customWidth="1"/>
    <col min="12568" max="12568" width="6.375" style="224" customWidth="1"/>
    <col min="12569" max="12571" width="0" style="224" hidden="1" customWidth="1"/>
    <col min="12572" max="12572" width="17.375" style="224" customWidth="1"/>
    <col min="12573" max="12804" width="9" style="224"/>
    <col min="12805" max="12805" width="5.125" style="224" customWidth="1"/>
    <col min="12806" max="12806" width="3.625" style="224" customWidth="1"/>
    <col min="12807" max="12807" width="4.125" style="224" customWidth="1"/>
    <col min="12808" max="12808" width="17.375" style="224" customWidth="1"/>
    <col min="12809" max="12809" width="7.5" style="224" customWidth="1"/>
    <col min="12810" max="12810" width="4.5" style="224" customWidth="1"/>
    <col min="12811" max="12811" width="4.875" style="224" customWidth="1"/>
    <col min="12812" max="12812" width="5.125" style="224" customWidth="1"/>
    <col min="12813" max="12813" width="4.25" style="224" customWidth="1"/>
    <col min="12814" max="12814" width="6.375" style="224" customWidth="1"/>
    <col min="12815" max="12815" width="4" style="224" customWidth="1"/>
    <col min="12816" max="12816" width="12.375" style="224" customWidth="1"/>
    <col min="12817" max="12817" width="13.375" style="224" customWidth="1"/>
    <col min="12818" max="12818" width="15.875" style="224" customWidth="1"/>
    <col min="12819" max="12820" width="16.125" style="224" customWidth="1"/>
    <col min="12821" max="12821" width="15.5" style="224" customWidth="1"/>
    <col min="12822" max="12823" width="9" style="224" customWidth="1"/>
    <col min="12824" max="12824" width="6.375" style="224" customWidth="1"/>
    <col min="12825" max="12827" width="0" style="224" hidden="1" customWidth="1"/>
    <col min="12828" max="12828" width="17.375" style="224" customWidth="1"/>
    <col min="12829" max="13060" width="9" style="224"/>
    <col min="13061" max="13061" width="5.125" style="224" customWidth="1"/>
    <col min="13062" max="13062" width="3.625" style="224" customWidth="1"/>
    <col min="13063" max="13063" width="4.125" style="224" customWidth="1"/>
    <col min="13064" max="13064" width="17.375" style="224" customWidth="1"/>
    <col min="13065" max="13065" width="7.5" style="224" customWidth="1"/>
    <col min="13066" max="13066" width="4.5" style="224" customWidth="1"/>
    <col min="13067" max="13067" width="4.875" style="224" customWidth="1"/>
    <col min="13068" max="13068" width="5.125" style="224" customWidth="1"/>
    <col min="13069" max="13069" width="4.25" style="224" customWidth="1"/>
    <col min="13070" max="13070" width="6.375" style="224" customWidth="1"/>
    <col min="13071" max="13071" width="4" style="224" customWidth="1"/>
    <col min="13072" max="13072" width="12.375" style="224" customWidth="1"/>
    <col min="13073" max="13073" width="13.375" style="224" customWidth="1"/>
    <col min="13074" max="13074" width="15.875" style="224" customWidth="1"/>
    <col min="13075" max="13076" width="16.125" style="224" customWidth="1"/>
    <col min="13077" max="13077" width="15.5" style="224" customWidth="1"/>
    <col min="13078" max="13079" width="9" style="224" customWidth="1"/>
    <col min="13080" max="13080" width="6.375" style="224" customWidth="1"/>
    <col min="13081" max="13083" width="0" style="224" hidden="1" customWidth="1"/>
    <col min="13084" max="13084" width="17.375" style="224" customWidth="1"/>
    <col min="13085" max="13316" width="9" style="224"/>
    <col min="13317" max="13317" width="5.125" style="224" customWidth="1"/>
    <col min="13318" max="13318" width="3.625" style="224" customWidth="1"/>
    <col min="13319" max="13319" width="4.125" style="224" customWidth="1"/>
    <col min="13320" max="13320" width="17.375" style="224" customWidth="1"/>
    <col min="13321" max="13321" width="7.5" style="224" customWidth="1"/>
    <col min="13322" max="13322" width="4.5" style="224" customWidth="1"/>
    <col min="13323" max="13323" width="4.875" style="224" customWidth="1"/>
    <col min="13324" max="13324" width="5.125" style="224" customWidth="1"/>
    <col min="13325" max="13325" width="4.25" style="224" customWidth="1"/>
    <col min="13326" max="13326" width="6.375" style="224" customWidth="1"/>
    <col min="13327" max="13327" width="4" style="224" customWidth="1"/>
    <col min="13328" max="13328" width="12.375" style="224" customWidth="1"/>
    <col min="13329" max="13329" width="13.375" style="224" customWidth="1"/>
    <col min="13330" max="13330" width="15.875" style="224" customWidth="1"/>
    <col min="13331" max="13332" width="16.125" style="224" customWidth="1"/>
    <col min="13333" max="13333" width="15.5" style="224" customWidth="1"/>
    <col min="13334" max="13335" width="9" style="224" customWidth="1"/>
    <col min="13336" max="13336" width="6.375" style="224" customWidth="1"/>
    <col min="13337" max="13339" width="0" style="224" hidden="1" customWidth="1"/>
    <col min="13340" max="13340" width="17.375" style="224" customWidth="1"/>
    <col min="13341" max="13572" width="9" style="224"/>
    <col min="13573" max="13573" width="5.125" style="224" customWidth="1"/>
    <col min="13574" max="13574" width="3.625" style="224" customWidth="1"/>
    <col min="13575" max="13575" width="4.125" style="224" customWidth="1"/>
    <col min="13576" max="13576" width="17.375" style="224" customWidth="1"/>
    <col min="13577" max="13577" width="7.5" style="224" customWidth="1"/>
    <col min="13578" max="13578" width="4.5" style="224" customWidth="1"/>
    <col min="13579" max="13579" width="4.875" style="224" customWidth="1"/>
    <col min="13580" max="13580" width="5.125" style="224" customWidth="1"/>
    <col min="13581" max="13581" width="4.25" style="224" customWidth="1"/>
    <col min="13582" max="13582" width="6.375" style="224" customWidth="1"/>
    <col min="13583" max="13583" width="4" style="224" customWidth="1"/>
    <col min="13584" max="13584" width="12.375" style="224" customWidth="1"/>
    <col min="13585" max="13585" width="13.375" style="224" customWidth="1"/>
    <col min="13586" max="13586" width="15.875" style="224" customWidth="1"/>
    <col min="13587" max="13588" width="16.125" style="224" customWidth="1"/>
    <col min="13589" max="13589" width="15.5" style="224" customWidth="1"/>
    <col min="13590" max="13591" width="9" style="224" customWidth="1"/>
    <col min="13592" max="13592" width="6.375" style="224" customWidth="1"/>
    <col min="13593" max="13595" width="0" style="224" hidden="1" customWidth="1"/>
    <col min="13596" max="13596" width="17.375" style="224" customWidth="1"/>
    <col min="13597" max="13828" width="9" style="224"/>
    <col min="13829" max="13829" width="5.125" style="224" customWidth="1"/>
    <col min="13830" max="13830" width="3.625" style="224" customWidth="1"/>
    <col min="13831" max="13831" width="4.125" style="224" customWidth="1"/>
    <col min="13832" max="13832" width="17.375" style="224" customWidth="1"/>
    <col min="13833" max="13833" width="7.5" style="224" customWidth="1"/>
    <col min="13834" max="13834" width="4.5" style="224" customWidth="1"/>
    <col min="13835" max="13835" width="4.875" style="224" customWidth="1"/>
    <col min="13836" max="13836" width="5.125" style="224" customWidth="1"/>
    <col min="13837" max="13837" width="4.25" style="224" customWidth="1"/>
    <col min="13838" max="13838" width="6.375" style="224" customWidth="1"/>
    <col min="13839" max="13839" width="4" style="224" customWidth="1"/>
    <col min="13840" max="13840" width="12.375" style="224" customWidth="1"/>
    <col min="13841" max="13841" width="13.375" style="224" customWidth="1"/>
    <col min="13842" max="13842" width="15.875" style="224" customWidth="1"/>
    <col min="13843" max="13844" width="16.125" style="224" customWidth="1"/>
    <col min="13845" max="13845" width="15.5" style="224" customWidth="1"/>
    <col min="13846" max="13847" width="9" style="224" customWidth="1"/>
    <col min="13848" max="13848" width="6.375" style="224" customWidth="1"/>
    <col min="13849" max="13851" width="0" style="224" hidden="1" customWidth="1"/>
    <col min="13852" max="13852" width="17.375" style="224" customWidth="1"/>
    <col min="13853" max="14084" width="9" style="224"/>
    <col min="14085" max="14085" width="5.125" style="224" customWidth="1"/>
    <col min="14086" max="14086" width="3.625" style="224" customWidth="1"/>
    <col min="14087" max="14087" width="4.125" style="224" customWidth="1"/>
    <col min="14088" max="14088" width="17.375" style="224" customWidth="1"/>
    <col min="14089" max="14089" width="7.5" style="224" customWidth="1"/>
    <col min="14090" max="14090" width="4.5" style="224" customWidth="1"/>
    <col min="14091" max="14091" width="4.875" style="224" customWidth="1"/>
    <col min="14092" max="14092" width="5.125" style="224" customWidth="1"/>
    <col min="14093" max="14093" width="4.25" style="224" customWidth="1"/>
    <col min="14094" max="14094" width="6.375" style="224" customWidth="1"/>
    <col min="14095" max="14095" width="4" style="224" customWidth="1"/>
    <col min="14096" max="14096" width="12.375" style="224" customWidth="1"/>
    <col min="14097" max="14097" width="13.375" style="224" customWidth="1"/>
    <col min="14098" max="14098" width="15.875" style="224" customWidth="1"/>
    <col min="14099" max="14100" width="16.125" style="224" customWidth="1"/>
    <col min="14101" max="14101" width="15.5" style="224" customWidth="1"/>
    <col min="14102" max="14103" width="9" style="224" customWidth="1"/>
    <col min="14104" max="14104" width="6.375" style="224" customWidth="1"/>
    <col min="14105" max="14107" width="0" style="224" hidden="1" customWidth="1"/>
    <col min="14108" max="14108" width="17.375" style="224" customWidth="1"/>
    <col min="14109" max="14340" width="9" style="224"/>
    <col min="14341" max="14341" width="5.125" style="224" customWidth="1"/>
    <col min="14342" max="14342" width="3.625" style="224" customWidth="1"/>
    <col min="14343" max="14343" width="4.125" style="224" customWidth="1"/>
    <col min="14344" max="14344" width="17.375" style="224" customWidth="1"/>
    <col min="14345" max="14345" width="7.5" style="224" customWidth="1"/>
    <col min="14346" max="14346" width="4.5" style="224" customWidth="1"/>
    <col min="14347" max="14347" width="4.875" style="224" customWidth="1"/>
    <col min="14348" max="14348" width="5.125" style="224" customWidth="1"/>
    <col min="14349" max="14349" width="4.25" style="224" customWidth="1"/>
    <col min="14350" max="14350" width="6.375" style="224" customWidth="1"/>
    <col min="14351" max="14351" width="4" style="224" customWidth="1"/>
    <col min="14352" max="14352" width="12.375" style="224" customWidth="1"/>
    <col min="14353" max="14353" width="13.375" style="224" customWidth="1"/>
    <col min="14354" max="14354" width="15.875" style="224" customWidth="1"/>
    <col min="14355" max="14356" width="16.125" style="224" customWidth="1"/>
    <col min="14357" max="14357" width="15.5" style="224" customWidth="1"/>
    <col min="14358" max="14359" width="9" style="224" customWidth="1"/>
    <col min="14360" max="14360" width="6.375" style="224" customWidth="1"/>
    <col min="14361" max="14363" width="0" style="224" hidden="1" customWidth="1"/>
    <col min="14364" max="14364" width="17.375" style="224" customWidth="1"/>
    <col min="14365" max="14596" width="9" style="224"/>
    <col min="14597" max="14597" width="5.125" style="224" customWidth="1"/>
    <col min="14598" max="14598" width="3.625" style="224" customWidth="1"/>
    <col min="14599" max="14599" width="4.125" style="224" customWidth="1"/>
    <col min="14600" max="14600" width="17.375" style="224" customWidth="1"/>
    <col min="14601" max="14601" width="7.5" style="224" customWidth="1"/>
    <col min="14602" max="14602" width="4.5" style="224" customWidth="1"/>
    <col min="14603" max="14603" width="4.875" style="224" customWidth="1"/>
    <col min="14604" max="14604" width="5.125" style="224" customWidth="1"/>
    <col min="14605" max="14605" width="4.25" style="224" customWidth="1"/>
    <col min="14606" max="14606" width="6.375" style="224" customWidth="1"/>
    <col min="14607" max="14607" width="4" style="224" customWidth="1"/>
    <col min="14608" max="14608" width="12.375" style="224" customWidth="1"/>
    <col min="14609" max="14609" width="13.375" style="224" customWidth="1"/>
    <col min="14610" max="14610" width="15.875" style="224" customWidth="1"/>
    <col min="14611" max="14612" width="16.125" style="224" customWidth="1"/>
    <col min="14613" max="14613" width="15.5" style="224" customWidth="1"/>
    <col min="14614" max="14615" width="9" style="224" customWidth="1"/>
    <col min="14616" max="14616" width="6.375" style="224" customWidth="1"/>
    <col min="14617" max="14619" width="0" style="224" hidden="1" customWidth="1"/>
    <col min="14620" max="14620" width="17.375" style="224" customWidth="1"/>
    <col min="14621" max="14852" width="9" style="224"/>
    <col min="14853" max="14853" width="5.125" style="224" customWidth="1"/>
    <col min="14854" max="14854" width="3.625" style="224" customWidth="1"/>
    <col min="14855" max="14855" width="4.125" style="224" customWidth="1"/>
    <col min="14856" max="14856" width="17.375" style="224" customWidth="1"/>
    <col min="14857" max="14857" width="7.5" style="224" customWidth="1"/>
    <col min="14858" max="14858" width="4.5" style="224" customWidth="1"/>
    <col min="14859" max="14859" width="4.875" style="224" customWidth="1"/>
    <col min="14860" max="14860" width="5.125" style="224" customWidth="1"/>
    <col min="14861" max="14861" width="4.25" style="224" customWidth="1"/>
    <col min="14862" max="14862" width="6.375" style="224" customWidth="1"/>
    <col min="14863" max="14863" width="4" style="224" customWidth="1"/>
    <col min="14864" max="14864" width="12.375" style="224" customWidth="1"/>
    <col min="14865" max="14865" width="13.375" style="224" customWidth="1"/>
    <col min="14866" max="14866" width="15.875" style="224" customWidth="1"/>
    <col min="14867" max="14868" width="16.125" style="224" customWidth="1"/>
    <col min="14869" max="14869" width="15.5" style="224" customWidth="1"/>
    <col min="14870" max="14871" width="9" style="224" customWidth="1"/>
    <col min="14872" max="14872" width="6.375" style="224" customWidth="1"/>
    <col min="14873" max="14875" width="0" style="224" hidden="1" customWidth="1"/>
    <col min="14876" max="14876" width="17.375" style="224" customWidth="1"/>
    <col min="14877" max="15108" width="9" style="224"/>
    <col min="15109" max="15109" width="5.125" style="224" customWidth="1"/>
    <col min="15110" max="15110" width="3.625" style="224" customWidth="1"/>
    <col min="15111" max="15111" width="4.125" style="224" customWidth="1"/>
    <col min="15112" max="15112" width="17.375" style="224" customWidth="1"/>
    <col min="15113" max="15113" width="7.5" style="224" customWidth="1"/>
    <col min="15114" max="15114" width="4.5" style="224" customWidth="1"/>
    <col min="15115" max="15115" width="4.875" style="224" customWidth="1"/>
    <col min="15116" max="15116" width="5.125" style="224" customWidth="1"/>
    <col min="15117" max="15117" width="4.25" style="224" customWidth="1"/>
    <col min="15118" max="15118" width="6.375" style="224" customWidth="1"/>
    <col min="15119" max="15119" width="4" style="224" customWidth="1"/>
    <col min="15120" max="15120" width="12.375" style="224" customWidth="1"/>
    <col min="15121" max="15121" width="13.375" style="224" customWidth="1"/>
    <col min="15122" max="15122" width="15.875" style="224" customWidth="1"/>
    <col min="15123" max="15124" width="16.125" style="224" customWidth="1"/>
    <col min="15125" max="15125" width="15.5" style="224" customWidth="1"/>
    <col min="15126" max="15127" width="9" style="224" customWidth="1"/>
    <col min="15128" max="15128" width="6.375" style="224" customWidth="1"/>
    <col min="15129" max="15131" width="0" style="224" hidden="1" customWidth="1"/>
    <col min="15132" max="15132" width="17.375" style="224" customWidth="1"/>
    <col min="15133" max="15364" width="9" style="224"/>
    <col min="15365" max="15365" width="5.125" style="224" customWidth="1"/>
    <col min="15366" max="15366" width="3.625" style="224" customWidth="1"/>
    <col min="15367" max="15367" width="4.125" style="224" customWidth="1"/>
    <col min="15368" max="15368" width="17.375" style="224" customWidth="1"/>
    <col min="15369" max="15369" width="7.5" style="224" customWidth="1"/>
    <col min="15370" max="15370" width="4.5" style="224" customWidth="1"/>
    <col min="15371" max="15371" width="4.875" style="224" customWidth="1"/>
    <col min="15372" max="15372" width="5.125" style="224" customWidth="1"/>
    <col min="15373" max="15373" width="4.25" style="224" customWidth="1"/>
    <col min="15374" max="15374" width="6.375" style="224" customWidth="1"/>
    <col min="15375" max="15375" width="4" style="224" customWidth="1"/>
    <col min="15376" max="15376" width="12.375" style="224" customWidth="1"/>
    <col min="15377" max="15377" width="13.375" style="224" customWidth="1"/>
    <col min="15378" max="15378" width="15.875" style="224" customWidth="1"/>
    <col min="15379" max="15380" width="16.125" style="224" customWidth="1"/>
    <col min="15381" max="15381" width="15.5" style="224" customWidth="1"/>
    <col min="15382" max="15383" width="9" style="224" customWidth="1"/>
    <col min="15384" max="15384" width="6.375" style="224" customWidth="1"/>
    <col min="15385" max="15387" width="0" style="224" hidden="1" customWidth="1"/>
    <col min="15388" max="15388" width="17.375" style="224" customWidth="1"/>
    <col min="15389" max="15620" width="9" style="224"/>
    <col min="15621" max="15621" width="5.125" style="224" customWidth="1"/>
    <col min="15622" max="15622" width="3.625" style="224" customWidth="1"/>
    <col min="15623" max="15623" width="4.125" style="224" customWidth="1"/>
    <col min="15624" max="15624" width="17.375" style="224" customWidth="1"/>
    <col min="15625" max="15625" width="7.5" style="224" customWidth="1"/>
    <col min="15626" max="15626" width="4.5" style="224" customWidth="1"/>
    <col min="15627" max="15627" width="4.875" style="224" customWidth="1"/>
    <col min="15628" max="15628" width="5.125" style="224" customWidth="1"/>
    <col min="15629" max="15629" width="4.25" style="224" customWidth="1"/>
    <col min="15630" max="15630" width="6.375" style="224" customWidth="1"/>
    <col min="15631" max="15631" width="4" style="224" customWidth="1"/>
    <col min="15632" max="15632" width="12.375" style="224" customWidth="1"/>
    <col min="15633" max="15633" width="13.375" style="224" customWidth="1"/>
    <col min="15634" max="15634" width="15.875" style="224" customWidth="1"/>
    <col min="15635" max="15636" width="16.125" style="224" customWidth="1"/>
    <col min="15637" max="15637" width="15.5" style="224" customWidth="1"/>
    <col min="15638" max="15639" width="9" style="224" customWidth="1"/>
    <col min="15640" max="15640" width="6.375" style="224" customWidth="1"/>
    <col min="15641" max="15643" width="0" style="224" hidden="1" customWidth="1"/>
    <col min="15644" max="15644" width="17.375" style="224" customWidth="1"/>
    <col min="15645" max="15876" width="9" style="224"/>
    <col min="15877" max="15877" width="5.125" style="224" customWidth="1"/>
    <col min="15878" max="15878" width="3.625" style="224" customWidth="1"/>
    <col min="15879" max="15879" width="4.125" style="224" customWidth="1"/>
    <col min="15880" max="15880" width="17.375" style="224" customWidth="1"/>
    <col min="15881" max="15881" width="7.5" style="224" customWidth="1"/>
    <col min="15882" max="15882" width="4.5" style="224" customWidth="1"/>
    <col min="15883" max="15883" width="4.875" style="224" customWidth="1"/>
    <col min="15884" max="15884" width="5.125" style="224" customWidth="1"/>
    <col min="15885" max="15885" width="4.25" style="224" customWidth="1"/>
    <col min="15886" max="15886" width="6.375" style="224" customWidth="1"/>
    <col min="15887" max="15887" width="4" style="224" customWidth="1"/>
    <col min="15888" max="15888" width="12.375" style="224" customWidth="1"/>
    <col min="15889" max="15889" width="13.375" style="224" customWidth="1"/>
    <col min="15890" max="15890" width="15.875" style="224" customWidth="1"/>
    <col min="15891" max="15892" width="16.125" style="224" customWidth="1"/>
    <col min="15893" max="15893" width="15.5" style="224" customWidth="1"/>
    <col min="15894" max="15895" width="9" style="224" customWidth="1"/>
    <col min="15896" max="15896" width="6.375" style="224" customWidth="1"/>
    <col min="15897" max="15899" width="0" style="224" hidden="1" customWidth="1"/>
    <col min="15900" max="15900" width="17.375" style="224" customWidth="1"/>
    <col min="15901" max="16132" width="9" style="224"/>
    <col min="16133" max="16133" width="5.125" style="224" customWidth="1"/>
    <col min="16134" max="16134" width="3.625" style="224" customWidth="1"/>
    <col min="16135" max="16135" width="4.125" style="224" customWidth="1"/>
    <col min="16136" max="16136" width="17.375" style="224" customWidth="1"/>
    <col min="16137" max="16137" width="7.5" style="224" customWidth="1"/>
    <col min="16138" max="16138" width="4.5" style="224" customWidth="1"/>
    <col min="16139" max="16139" width="4.875" style="224" customWidth="1"/>
    <col min="16140" max="16140" width="5.125" style="224" customWidth="1"/>
    <col min="16141" max="16141" width="4.25" style="224" customWidth="1"/>
    <col min="16142" max="16142" width="6.375" style="224" customWidth="1"/>
    <col min="16143" max="16143" width="4" style="224" customWidth="1"/>
    <col min="16144" max="16144" width="12.375" style="224" customWidth="1"/>
    <col min="16145" max="16145" width="13.375" style="224" customWidth="1"/>
    <col min="16146" max="16146" width="15.875" style="224" customWidth="1"/>
    <col min="16147" max="16148" width="16.125" style="224" customWidth="1"/>
    <col min="16149" max="16149" width="15.5" style="224" customWidth="1"/>
    <col min="16150" max="16151" width="9" style="224" customWidth="1"/>
    <col min="16152" max="16152" width="6.375" style="224" customWidth="1"/>
    <col min="16153" max="16155" width="0" style="224" hidden="1" customWidth="1"/>
    <col min="16156" max="16156" width="17.375" style="224" customWidth="1"/>
    <col min="16157" max="16384" width="9" style="224"/>
  </cols>
  <sheetData>
    <row r="1" spans="1:27" ht="18.75" x14ac:dyDescent="0.3">
      <c r="A1" s="808" t="str">
        <f>Chinh!$A$1</f>
        <v>UBND PHƯỜNG CAM LINH</v>
      </c>
      <c r="B1" s="808"/>
      <c r="C1" s="808"/>
      <c r="D1" s="808"/>
      <c r="E1" s="808"/>
      <c r="F1" s="220"/>
      <c r="G1" s="220"/>
      <c r="H1" s="507" t="str">
        <f>"DANH SÁCH HỌC SINH TIỂU HỌC TOÀN TRƯỜNG NĂM HỌC "&amp;Chinh!$H$5</f>
        <v>DANH SÁCH HỌC SINH TIỂU HỌC TOÀN TRƯỜNG NĂM HỌC 2025-2026</v>
      </c>
      <c r="I1" s="222"/>
      <c r="J1" s="223"/>
      <c r="K1" s="223"/>
      <c r="L1" s="223"/>
      <c r="M1" s="231"/>
      <c r="P1" s="224"/>
      <c r="Q1" s="224"/>
      <c r="Z1" s="228">
        <f>VALUE(LEFT(Chinh!$H$5,4))</f>
        <v>2025</v>
      </c>
    </row>
    <row r="2" spans="1:27" ht="15.75" x14ac:dyDescent="0.25">
      <c r="A2" s="618" t="str">
        <f>IF(Chinh!$I$9="","",Chinh!$A$2)</f>
        <v/>
      </c>
      <c r="B2" s="618"/>
      <c r="C2" s="618"/>
      <c r="D2" s="618"/>
      <c r="E2" s="618"/>
      <c r="F2" s="220"/>
      <c r="G2" s="220"/>
      <c r="H2" s="220"/>
      <c r="I2" s="222"/>
      <c r="J2" s="223"/>
      <c r="K2" s="223"/>
      <c r="L2" s="223"/>
      <c r="M2" s="231"/>
      <c r="N2" s="546"/>
      <c r="O2" s="546"/>
      <c r="P2" s="660" t="str">
        <f>IF(COUNTIF(Y6:$Y$2500,"er")&gt;0,"Còn lỗi!",IF(COUNTIF(AA6:$AA$2500,"er")&gt;0,"Có HS học trước tuổi!",IF(AND(COUNTA($E$6:$E$2500)&gt;0,COUNTIF(Y6:$Y$2500,"er")=0,A2&lt;&gt;""),"Hoàn thành!","Nhập danh sách học sinh!")))</f>
        <v>Nhập danh sách học sinh!</v>
      </c>
      <c r="Q2" s="660"/>
    </row>
    <row r="3" spans="1:27" ht="24" customHeight="1" x14ac:dyDescent="0.25">
      <c r="B3" s="231"/>
      <c r="C3" s="232"/>
      <c r="D3" s="224"/>
      <c r="F3" s="220"/>
      <c r="G3" s="220"/>
      <c r="H3" s="498" t="str">
        <f>"Tổng số"&amp;" "&amp;COUNTA($E$6:$E$15000)&amp;" "&amp;"học sinh"</f>
        <v>Tổng số 4 học sinh</v>
      </c>
      <c r="I3" s="220"/>
      <c r="J3" s="223"/>
      <c r="K3" s="223"/>
      <c r="L3" s="223"/>
      <c r="M3" s="232"/>
      <c r="N3" s="547"/>
      <c r="O3" s="547"/>
      <c r="P3" s="220"/>
      <c r="Q3" s="220"/>
      <c r="R3" s="220"/>
      <c r="S3" s="220"/>
      <c r="T3" s="220"/>
    </row>
    <row r="4" spans="1:27" ht="22.5" customHeight="1" x14ac:dyDescent="0.25">
      <c r="A4" s="661" t="s">
        <v>214</v>
      </c>
      <c r="B4" s="662" t="s">
        <v>215</v>
      </c>
      <c r="C4" s="664" t="s">
        <v>368</v>
      </c>
      <c r="D4" s="665" t="s">
        <v>217</v>
      </c>
      <c r="E4" s="666" t="s">
        <v>218</v>
      </c>
      <c r="F4" s="668" t="s">
        <v>369</v>
      </c>
      <c r="G4" s="669"/>
      <c r="H4" s="670"/>
      <c r="I4" s="671" t="s">
        <v>370</v>
      </c>
      <c r="J4" s="661" t="s">
        <v>371</v>
      </c>
      <c r="K4" s="604" t="s">
        <v>378</v>
      </c>
      <c r="L4" s="671" t="s">
        <v>372</v>
      </c>
      <c r="M4" s="672" t="s">
        <v>221</v>
      </c>
      <c r="N4" s="673"/>
      <c r="O4" s="673"/>
      <c r="P4" s="674"/>
      <c r="Q4" s="675" t="s">
        <v>222</v>
      </c>
      <c r="R4" s="675" t="s">
        <v>223</v>
      </c>
      <c r="S4" s="676" t="s">
        <v>373</v>
      </c>
      <c r="T4" s="676" t="s">
        <v>552</v>
      </c>
      <c r="U4" s="664" t="s">
        <v>224</v>
      </c>
      <c r="V4" s="664" t="s">
        <v>544</v>
      </c>
      <c r="W4" s="678" t="s">
        <v>232</v>
      </c>
    </row>
    <row r="5" spans="1:27" ht="30.75" customHeight="1" x14ac:dyDescent="0.25">
      <c r="A5" s="661"/>
      <c r="B5" s="663"/>
      <c r="C5" s="664"/>
      <c r="D5" s="665"/>
      <c r="E5" s="667"/>
      <c r="F5" s="234" t="s">
        <v>225</v>
      </c>
      <c r="G5" s="234" t="s">
        <v>226</v>
      </c>
      <c r="H5" s="234" t="s">
        <v>227</v>
      </c>
      <c r="I5" s="671"/>
      <c r="J5" s="661"/>
      <c r="K5" s="604"/>
      <c r="L5" s="671"/>
      <c r="M5" s="235" t="s">
        <v>374</v>
      </c>
      <c r="N5" s="527" t="s">
        <v>861</v>
      </c>
      <c r="O5" s="581" t="s">
        <v>862</v>
      </c>
      <c r="P5" s="236" t="s">
        <v>229</v>
      </c>
      <c r="Q5" s="675"/>
      <c r="R5" s="675"/>
      <c r="S5" s="677"/>
      <c r="T5" s="677"/>
      <c r="U5" s="679"/>
      <c r="V5" s="679"/>
      <c r="W5" s="679"/>
    </row>
    <row r="6" spans="1:27" ht="18" customHeight="1" x14ac:dyDescent="0.25">
      <c r="A6" s="237" t="str">
        <f>IF(AND(D6="",E6=""),"","001")</f>
        <v>001</v>
      </c>
      <c r="B6" s="238">
        <f>IF(C6="","",VALUE(LEFT(C6,1)))</f>
        <v>4</v>
      </c>
      <c r="C6" s="239" t="s">
        <v>777</v>
      </c>
      <c r="D6" s="240" t="s">
        <v>778</v>
      </c>
      <c r="E6" s="241" t="s">
        <v>468</v>
      </c>
      <c r="F6" s="242">
        <v>4</v>
      </c>
      <c r="G6" s="242">
        <v>5</v>
      </c>
      <c r="H6" s="243">
        <v>2015</v>
      </c>
      <c r="I6" s="239"/>
      <c r="J6" s="239" t="s">
        <v>772</v>
      </c>
      <c r="K6" s="269"/>
      <c r="L6" s="239"/>
      <c r="M6" s="239" t="s">
        <v>742</v>
      </c>
      <c r="N6" s="539" t="str">
        <f>CONCATENATE(IF(OR(M6=phu!$I$1,M6=phu!$I$2,M6=phu!$I$3),"Cam Thành Nam",""),IF(OR(M6=phu!$I$4,M6=phu!$I$5,M6=phu!$I$6,M6=phu!$I$7,M6=phu!$I$8,M6=phu!$I$9,M6=phu!$I$10,M6=phu!$I$11,M6=phu!$I$12,M6=phu!$I$13,M6=phu!$I$14),"Cam Nghĩa",""),IF(OR(M6=phu!$I$15,M6=phu!$I$16,M6=phu!$I$17,M6=phu!$I$18,M6=phu!$I$19,M6=phu!$I$20,M6=phu!$I$21),"Cam Phúc Bắc",""),IF(OR(M6=phu!$I$22,M6=phu!$I$23,M6=phu!$I$24,M6=phu!$I$25),"Cam Phúc Nam",""),IF(OR(M6=phu!$I$26,M6=phu!$I$27,M6=phu!$I$28,M6=phu!$I$29,M6=phu!$I$30,M6=phu!$I$31),"Cam Phú",""),IF(OR(M6=phu!$I$32,M6=phu!$I$33,M6=phu!$I$34,M6=phu!$I$35,M6=phu!$I$36,M6=phu!$I$37),"Cam Lộc",""),IF(OR(M6=phu!$I$38,M6=phu!$I$39,M6=phu!$I$40,M6=phu!$I$41,M6=phu!$I$42,M6=phu!$I$43,M6=phu!$I$44),"Cam Thuận",""),IF(OR(M6=phu!$I$45,M6=phu!$I$46,M6=phu!$I$47,M6=phu!$I$48,M6=phu!$I$49,M6=phu!$I$50,M6=phu!$I$51,M6=phu!$I$52,M6=phu!$I$53),"Cam Linh",""),IF(OR(M6=phu!$I$54,M6=phu!$I$55,M6=phu!$I$56,M6=phu!$I$57,M6=phu!$I$58,M6=phu!$I$59,M6=phu!$I$60,M6=phu!$I$61,M6=phu!$I$62),"Cam Lợi",""),IF(OR(M6=phu!$I$63,M6=phu!$I$64,M6=phu!$I$65,M6=phu!$I$66,M6=phu!$I$67,M6=phu!$I$68,M6=phu!$I$69,M6=phu!$I$70,M6=phu!$I$71),"Ba Ngòi",""),IF(OR(M6=phu!$I$72,M6=phu!$I$73,M6=phu!$I$74,M6=phu!$I$75,M6=phu!$I$76,M6=phu!$I$77,M6=phu!$I$78),"Cam Phước Đông",""),IF(OR(M6=phu!$I$79,M6=phu!$I$80,M6=phu!$I$81,M6=phu!$I$82,M6=phu!$I$83,M6=phu!$I$84),"Cam Thịnh Đông",""),IF(OR(M6=phu!$I$85,M6=phu!$I$86,M6=phu!$I$87,M6=phu!$I$88),"Cam Thịnh Tây",""),IF(OR(M6=phu!$I$89,M6=phu!$I$90),"Cam Lập",""),IF(OR(M6=phu!$I$91,M6=phu!$I$92,M6=phu!$I$93),"Cam Bình",""),IF(OR(M6=phu!$I$94,M6=phu!$I$95,M6=phu!$I$96,M6=phu!$I$97,M6=phu!$I$98,M6=phu!$I$99,M6=phu!$I$100),"Huyện khác",""),IF(OR(M6=phu!$I$101,M6=phu!$I$102),"Tỉnh khác",""))</f>
        <v>Cam Nghĩa</v>
      </c>
      <c r="O6" s="813" t="str">
        <f>CONCATENATE(IF(OR(N6="Cam Thành Nam",N6="Cam Nghĩa",N6="Cam Phúc Bắc"),"Bắc Cam Ranh",""),IF(OR(N6="Cam Phúc Nam",N6="Cam Phú",N6="Cam Lộc"),"Cam Ranh",""),IF(OR(N6="Cam Thuận",N6="Cam Linh",N6="Cam Lợi"),"Cam Linh",""),IF(OR(N6="Ba Ngòi",N6="Cam Phước Đông"),"Ba Ngòi",""),IF(OR(N6="Cam Thịnh Đông",N6="Cam Thịnh Tây",N6="Cam Lập",N6="Cam Bình"),"Nam Cam Ranh",""),IF(N6="Huyện khác","Huyện khác",""),IF(N6="Tỉnh khác","Tỉnh khác",""))</f>
        <v>Bắc Cam Ranh</v>
      </c>
      <c r="P6" s="244" t="s">
        <v>779</v>
      </c>
      <c r="Q6" s="244" t="s">
        <v>779</v>
      </c>
      <c r="R6" s="244" t="s">
        <v>780</v>
      </c>
      <c r="S6" s="244"/>
      <c r="T6" s="244"/>
      <c r="U6" s="244" t="s">
        <v>781</v>
      </c>
      <c r="V6" s="244" t="s">
        <v>782</v>
      </c>
      <c r="W6" s="244" t="s">
        <v>783</v>
      </c>
      <c r="X6" s="245" t="s">
        <v>375</v>
      </c>
      <c r="Y6" s="246" t="str">
        <f>IF(OR(AND(B6="",C6="",D6="",E6="",F6="",G6="",H6="",I6="",J6="",L6="",M6="",N6="",P6="",Q6="",R6="",S6=""),AND(B6&lt;&gt;"",C6&lt;&gt;"",D6&lt;&gt;"",E6&lt;&gt;"",F6&lt;&gt;"",G6&lt;&gt;"",H6&lt;&gt;"",J6&lt;&gt;"",M6&lt;&gt;"",N6&lt;&gt;"",P6&lt;&gt;"",OR(AND(Q6&lt;&gt;"",R6=""),AND(Q6="",R6&lt;&gt;""),AND(Q6&lt;&gt;"",R6&lt;&gt;"")),OR(AND(K6="X",T6&lt;&gt;""),AND(K6="",T6="")))),"","er")</f>
        <v/>
      </c>
      <c r="Z6" s="247">
        <f t="shared" ref="Z6:Z69" si="0">IF(H6="","",$Z$1-H6)</f>
        <v>10</v>
      </c>
      <c r="AA6" s="246" t="str">
        <f>IF(OR(AND(Z6=5,B6&gt;0),AND(Z6=6,B6&gt;1),AND(Z6=7,B6&gt;2),AND(Z6=8,B6&gt;3),AND(Z6=9,B6&gt;4),AND(Z6=10,B6&gt;5),AND(Z6=5,B6=0,L6="x"),AND(Z6=6,B6=1,L6="X"),AND(Z6=7,B6=2,L6="x"),AND(Z6=8,B6=3,L6="x"),AND(Z6=9,B6=4,L6="x"),AND(Z6=10,B6=5,L6="x")),"er","")</f>
        <v/>
      </c>
    </row>
    <row r="7" spans="1:27" ht="18" customHeight="1" x14ac:dyDescent="0.25">
      <c r="A7" s="248">
        <f>IF(OR(A6="",B7="",C7="",D7="",E7=""),"",A6+1)</f>
        <v>2</v>
      </c>
      <c r="B7" s="249">
        <f>IF(C7="","",VALUE(LEFT(C7,1)))</f>
        <v>3</v>
      </c>
      <c r="C7" s="250" t="s">
        <v>771</v>
      </c>
      <c r="D7" s="251" t="s">
        <v>650</v>
      </c>
      <c r="E7" s="241" t="s">
        <v>651</v>
      </c>
      <c r="F7" s="252">
        <v>1</v>
      </c>
      <c r="G7" s="252">
        <v>12</v>
      </c>
      <c r="H7" s="253">
        <v>2016</v>
      </c>
      <c r="I7" s="250" t="s">
        <v>652</v>
      </c>
      <c r="J7" s="250" t="s">
        <v>772</v>
      </c>
      <c r="K7" s="270"/>
      <c r="L7" s="250"/>
      <c r="M7" s="250" t="s">
        <v>660</v>
      </c>
      <c r="N7" s="532" t="str">
        <f>CONCATENATE(IF(OR(M7=phu!$I$1,M7=phu!$I$2,M7=phu!$I$3),"Cam Thành Nam",""),IF(OR(M7=phu!$I$4,M7=phu!$I$5,M7=phu!$I$6,M7=phu!$I$7,M7=phu!$I$8,M7=phu!$I$9,M7=phu!$I$10,M7=phu!$I$11,M7=phu!$I$12,M7=phu!$I$13,M7=phu!$I$14),"Cam Nghĩa",""),IF(OR(M7=phu!$I$15,M7=phu!$I$16,M7=phu!$I$17,M7=phu!$I$18,M7=phu!$I$19,M7=phu!$I$20,M7=phu!$I$21),"Cam Phúc Bắc",""),IF(OR(M7=phu!$I$22,M7=phu!$I$23,M7=phu!$I$24,M7=phu!$I$25),"Cam Phúc Nam",""),IF(OR(M7=phu!$I$26,M7=phu!$I$27,M7=phu!$I$28,M7=phu!$I$29,M7=phu!$I$30,M7=phu!$I$31),"Cam Phú",""),IF(OR(M7=phu!$I$32,M7=phu!$I$33,M7=phu!$I$34,M7=phu!$I$35,M7=phu!$I$36,M7=phu!$I$37),"Cam Lộc",""),IF(OR(M7=phu!$I$38,M7=phu!$I$39,M7=phu!$I$40,M7=phu!$I$41,M7=phu!$I$42,M7=phu!$I$43,M7=phu!$I$44),"Cam Thuận",""),IF(OR(M7=phu!$I$45,M7=phu!$I$46,M7=phu!$I$47,M7=phu!$I$48,M7=phu!$I$49,M7=phu!$I$50,M7=phu!$I$51,M7=phu!$I$52,M7=phu!$I$53),"Cam Linh",""),IF(OR(M7=phu!$I$54,M7=phu!$I$55,M7=phu!$I$56,M7=phu!$I$57,M7=phu!$I$58,M7=phu!$I$59,M7=phu!$I$60,M7=phu!$I$61,M7=phu!$I$62),"Cam Lợi",""),IF(OR(M7=phu!$I$63,M7=phu!$I$64,M7=phu!$I$65,M7=phu!$I$66,M7=phu!$I$67,M7=phu!$I$68,M7=phu!$I$69,M7=phu!$I$70,M7=phu!$I$71),"Ba Ngòi",""),IF(OR(M7=phu!$I$72,M7=phu!$I$73,M7=phu!$I$74,M7=phu!$I$75,M7=phu!$I$76,M7=phu!$I$77,M7=phu!$I$78),"Cam Phước Đông",""),IF(OR(M7=phu!$I$79,M7=phu!$I$80,M7=phu!$I$81,M7=phu!$I$82,M7=phu!$I$83,M7=phu!$I$84),"Cam Thịnh Đông",""),IF(OR(M7=phu!$I$85,M7=phu!$I$86,M7=phu!$I$87,M7=phu!$I$88),"Cam Thịnh Tây",""),IF(OR(M7=phu!$I$89,M7=phu!$I$90),"Cam Lập",""),IF(OR(M7=phu!$I$91,M7=phu!$I$92,M7=phu!$I$93),"Cam Bình",""),IF(OR(M7=phu!$I$94,M7=phu!$I$95,M7=phu!$I$96,M7=phu!$I$97,M7=phu!$I$98,M7=phu!$I$99,M7=phu!$I$100),"Huyện khác",""),IF(OR(M7=phu!$I$101,M7=phu!$I$102),"Tỉnh khác",""))</f>
        <v>Cam Phước Đông</v>
      </c>
      <c r="O7" s="814" t="str">
        <f t="shared" ref="O7:O70" si="1">CONCATENATE(IF(OR(N7="Cam Thành Nam",N7="Cam Nghĩa",N7="Cam Phúc Bắc"),"Bắc Cam Ranh",""),IF(OR(N7="Cam Phúc Nam",N7="Cam Phú",N7="Cam Lộc"),"Cam Ranh",""),IF(OR(N7="Cam Thuận",N7="Cam Linh",N7="Cam Lợi"),"Cam Linh",""),IF(OR(N7="Ba Ngòi",N7="Cam Phước Đông"),"Ba Ngòi",""),IF(OR(N7="Cam Thịnh Đông",N7="Cam Thịnh Tây",N7="Cam Lập",N7="Cam Bình"),"Nam Cam Ranh",""),IF(N7="Huyện khác","Huyện khác",""),IF(N7="Tỉnh khác","Tỉnh khác",""))</f>
        <v>Ba Ngòi</v>
      </c>
      <c r="P7" s="254" t="s">
        <v>743</v>
      </c>
      <c r="Q7" s="254" t="s">
        <v>743</v>
      </c>
      <c r="R7" s="254" t="s">
        <v>773</v>
      </c>
      <c r="S7" s="254"/>
      <c r="T7" s="254"/>
      <c r="U7" s="254" t="s">
        <v>774</v>
      </c>
      <c r="V7" s="254" t="s">
        <v>775</v>
      </c>
      <c r="W7" s="254" t="s">
        <v>776</v>
      </c>
      <c r="Y7" s="246" t="str">
        <f t="shared" ref="Y7:Y70" si="2">IF(OR(AND(B7="",C7="",D7="",E7="",F7="",G7="",H7="",I7="",J7="",L7="",M7="",N7="",P7="",Q7="",R7="",S7=""),AND(B7&lt;&gt;"",C7&lt;&gt;"",D7&lt;&gt;"",E7&lt;&gt;"",F7&lt;&gt;"",G7&lt;&gt;"",H7&lt;&gt;"",J7&lt;&gt;"",M7&lt;&gt;"",N7&lt;&gt;"",P7&lt;&gt;"",OR(AND(Q7&lt;&gt;"",R7=""),AND(Q7="",R7&lt;&gt;""),AND(Q7&lt;&gt;"",R7&lt;&gt;"")),OR(AND(K7="X",T7&lt;&gt;""),AND(K7="",T7="")))),"","er")</f>
        <v/>
      </c>
      <c r="Z7" s="247">
        <f t="shared" si="0"/>
        <v>9</v>
      </c>
      <c r="AA7" s="246" t="str">
        <f t="shared" ref="AA7:AA70" si="3">IF(OR(AND(Z7=5,B7&gt;0),AND(Z7=6,B7&gt;1),AND(Z7=7,B7&gt;2),AND(Z7=8,B7&gt;3),AND(Z7=9,B7&gt;4),AND(Z7=10,B7&gt;5),AND(Z7=5,B7=0,L7="X"),AND(Z7=6,B7=1,L7="X"),AND(Z7=7,B7=2,L7="X"),AND(Z7=8,B7=3,L7="X"),AND(Z7=9,B7=4,L7="X"),AND(Z7=10,B7=5,L7="X")),"er","")</f>
        <v/>
      </c>
    </row>
    <row r="8" spans="1:27" ht="18" customHeight="1" x14ac:dyDescent="0.25">
      <c r="A8" s="248">
        <f t="shared" ref="A8:A71" si="4">IF(OR(A7="",B8="",C8="",D8="",E8=""),"",A7+1)</f>
        <v>3</v>
      </c>
      <c r="B8" s="249">
        <f t="shared" ref="B8:B71" si="5">IF(C8="","",VALUE(LEFT(C8,1)))</f>
        <v>5</v>
      </c>
      <c r="C8" s="250" t="s">
        <v>786</v>
      </c>
      <c r="D8" s="251" t="s">
        <v>784</v>
      </c>
      <c r="E8" s="241" t="s">
        <v>785</v>
      </c>
      <c r="F8" s="252">
        <v>5</v>
      </c>
      <c r="G8" s="252">
        <v>5</v>
      </c>
      <c r="H8" s="253">
        <v>2014</v>
      </c>
      <c r="I8" s="250"/>
      <c r="J8" s="250" t="s">
        <v>752</v>
      </c>
      <c r="K8" s="270" t="s">
        <v>652</v>
      </c>
      <c r="L8" s="250"/>
      <c r="M8" s="250" t="s">
        <v>702</v>
      </c>
      <c r="N8" s="553" t="str">
        <f>CONCATENATE(IF(OR(M8=phu!$I$1,M8=phu!$I$2,M8=phu!$I$3),"Cam Thành Nam",""),IF(OR(M8=phu!$I$4,M8=phu!$I$5,M8=phu!$I$6,M8=phu!$I$7,M8=phu!$I$8,M8=phu!$I$9,M8=phu!$I$10,M8=phu!$I$11,M8=phu!$I$12,M8=phu!$I$13,M8=phu!$I$14),"Cam Nghĩa",""),IF(OR(M8=phu!$I$15,M8=phu!$I$16,M8=phu!$I$17,M8=phu!$I$18,M8=phu!$I$19,M8=phu!$I$20,M8=phu!$I$21),"Cam Phúc Bắc",""),IF(OR(M8=phu!$I$22,M8=phu!$I$23,M8=phu!$I$24,M8=phu!$I$25),"Cam Phúc Nam",""),IF(OR(M8=phu!$I$26,M8=phu!$I$27,M8=phu!$I$28,M8=phu!$I$29,M8=phu!$I$30,M8=phu!$I$31),"Cam Phú",""),IF(OR(M8=phu!$I$32,M8=phu!$I$33,M8=phu!$I$34,M8=phu!$I$35,M8=phu!$I$36,M8=phu!$I$37),"Cam Lộc",""),IF(OR(M8=phu!$I$38,M8=phu!$I$39,M8=phu!$I$40,M8=phu!$I$41,M8=phu!$I$42,M8=phu!$I$43,M8=phu!$I$44),"Cam Thuận",""),IF(OR(M8=phu!$I$45,M8=phu!$I$46,M8=phu!$I$47,M8=phu!$I$48,M8=phu!$I$49,M8=phu!$I$50,M8=phu!$I$51,M8=phu!$I$52,M8=phu!$I$53),"Cam Linh",""),IF(OR(M8=phu!$I$54,M8=phu!$I$55,M8=phu!$I$56,M8=phu!$I$57,M8=phu!$I$58,M8=phu!$I$59,M8=phu!$I$60,M8=phu!$I$61,M8=phu!$I$62),"Cam Lợi",""),IF(OR(M8=phu!$I$63,M8=phu!$I$64,M8=phu!$I$65,M8=phu!$I$66,M8=phu!$I$67,M8=phu!$I$68,M8=phu!$I$69,M8=phu!$I$70,M8=phu!$I$71),"Ba Ngòi",""),IF(OR(M8=phu!$I$72,M8=phu!$I$73,M8=phu!$I$74,M8=phu!$I$75,M8=phu!$I$76,M8=phu!$I$77,M8=phu!$I$78),"Cam Phước Đông",""),IF(OR(M8=phu!$I$79,M8=phu!$I$80,M8=phu!$I$81,M8=phu!$I$82,M8=phu!$I$83,M8=phu!$I$84),"Cam Thịnh Đông",""),IF(OR(M8=phu!$I$85,M8=phu!$I$86,M8=phu!$I$87,M8=phu!$I$88),"Cam Thịnh Tây",""),IF(OR(M8=phu!$I$89,M8=phu!$I$90),"Cam Lập",""),IF(OR(M8=phu!$I$91,M8=phu!$I$92,M8=phu!$I$93),"Cam Bình",""),IF(OR(M8=phu!$I$94,M8=phu!$I$95,M8=phu!$I$96,M8=phu!$I$97,M8=phu!$I$98,M8=phu!$I$99,M8=phu!$I$100),"Huyện khác",""),IF(OR(M8=phu!$I$101,M8=phu!$I$102),"Tỉnh khác",""))</f>
        <v>Cam Linh</v>
      </c>
      <c r="O8" s="814" t="str">
        <f t="shared" si="1"/>
        <v>Cam Linh</v>
      </c>
      <c r="P8" s="254" t="s">
        <v>787</v>
      </c>
      <c r="Q8" s="254" t="s">
        <v>787</v>
      </c>
      <c r="R8" s="254" t="s">
        <v>788</v>
      </c>
      <c r="S8" s="254"/>
      <c r="T8" s="254" t="s">
        <v>748</v>
      </c>
      <c r="U8" s="254" t="s">
        <v>789</v>
      </c>
      <c r="V8" s="254" t="s">
        <v>790</v>
      </c>
      <c r="W8" s="254" t="s">
        <v>791</v>
      </c>
      <c r="Y8" s="246" t="str">
        <f t="shared" si="2"/>
        <v/>
      </c>
      <c r="Z8" s="247">
        <f t="shared" si="0"/>
        <v>11</v>
      </c>
      <c r="AA8" s="246" t="str">
        <f t="shared" si="3"/>
        <v/>
      </c>
    </row>
    <row r="9" spans="1:27" ht="18" customHeight="1" x14ac:dyDescent="0.25">
      <c r="A9" s="248">
        <f t="shared" si="4"/>
        <v>4</v>
      </c>
      <c r="B9" s="249">
        <f t="shared" si="5"/>
        <v>5</v>
      </c>
      <c r="C9" s="250" t="s">
        <v>792</v>
      </c>
      <c r="D9" s="251" t="s">
        <v>784</v>
      </c>
      <c r="E9" s="241" t="s">
        <v>785</v>
      </c>
      <c r="F9" s="252">
        <v>5</v>
      </c>
      <c r="G9" s="252">
        <v>5</v>
      </c>
      <c r="H9" s="253">
        <v>2014</v>
      </c>
      <c r="I9" s="250"/>
      <c r="J9" s="250" t="s">
        <v>752</v>
      </c>
      <c r="K9" s="270" t="s">
        <v>652</v>
      </c>
      <c r="L9" s="250"/>
      <c r="M9" s="250" t="s">
        <v>741</v>
      </c>
      <c r="N9" s="553" t="str">
        <f>CONCATENATE(IF(OR(M9=phu!$I$1,M9=phu!$I$2,M9=phu!$I$3),"Cam Thành Nam",""),IF(OR(M9=phu!$I$4,M9=phu!$I$5,M9=phu!$I$6,M9=phu!$I$7,M9=phu!$I$8,M9=phu!$I$9,M9=phu!$I$10,M9=phu!$I$11,M9=phu!$I$12,M9=phu!$I$13,M9=phu!$I$14),"Cam Nghĩa",""),IF(OR(M9=phu!$I$15,M9=phu!$I$16,M9=phu!$I$17,M9=phu!$I$18,M9=phu!$I$19,M9=phu!$I$20,M9=phu!$I$21),"Cam Phúc Bắc",""),IF(OR(M9=phu!$I$22,M9=phu!$I$23,M9=phu!$I$24,M9=phu!$I$25),"Cam Phúc Nam",""),IF(OR(M9=phu!$I$26,M9=phu!$I$27,M9=phu!$I$28,M9=phu!$I$29,M9=phu!$I$30,M9=phu!$I$31),"Cam Phú",""),IF(OR(M9=phu!$I$32,M9=phu!$I$33,M9=phu!$I$34,M9=phu!$I$35,M9=phu!$I$36,M9=phu!$I$37),"Cam Lộc",""),IF(OR(M9=phu!$I$38,M9=phu!$I$39,M9=phu!$I$40,M9=phu!$I$41,M9=phu!$I$42,M9=phu!$I$43,M9=phu!$I$44),"Cam Thuận",""),IF(OR(M9=phu!$I$45,M9=phu!$I$46,M9=phu!$I$47,M9=phu!$I$48,M9=phu!$I$49,M9=phu!$I$50,M9=phu!$I$51,M9=phu!$I$52,M9=phu!$I$53),"Cam Linh",""),IF(OR(M9=phu!$I$54,M9=phu!$I$55,M9=phu!$I$56,M9=phu!$I$57,M9=phu!$I$58,M9=phu!$I$59,M9=phu!$I$60,M9=phu!$I$61,M9=phu!$I$62),"Cam Lợi",""),IF(OR(M9=phu!$I$63,M9=phu!$I$64,M9=phu!$I$65,M9=phu!$I$66,M9=phu!$I$67,M9=phu!$I$68,M9=phu!$I$69,M9=phu!$I$70,M9=phu!$I$71),"Ba Ngòi",""),IF(OR(M9=phu!$I$72,M9=phu!$I$73,M9=phu!$I$74,M9=phu!$I$75,M9=phu!$I$76,M9=phu!$I$77,M9=phu!$I$78),"Cam Phước Đông",""),IF(OR(M9=phu!$I$79,M9=phu!$I$80,M9=phu!$I$81,M9=phu!$I$82,M9=phu!$I$83,M9=phu!$I$84),"Cam Thịnh Đông",""),IF(OR(M9=phu!$I$85,M9=phu!$I$86,M9=phu!$I$87,M9=phu!$I$88),"Cam Thịnh Tây",""),IF(OR(M9=phu!$I$89,M9=phu!$I$90),"Cam Lập",""),IF(OR(M9=phu!$I$91,M9=phu!$I$92,M9=phu!$I$93),"Cam Bình",""),IF(OR(M9=phu!$I$94,M9=phu!$I$95,M9=phu!$I$96,M9=phu!$I$97,M9=phu!$I$98,M9=phu!$I$99,M9=phu!$I$100),"Huyện khác",""),IF(OR(M9=phu!$I$101,M9=phu!$I$102),"Tỉnh khác",""))</f>
        <v>Tỉnh khác</v>
      </c>
      <c r="O9" s="814" t="str">
        <f t="shared" si="1"/>
        <v>Tỉnh khác</v>
      </c>
      <c r="P9" s="254" t="s">
        <v>787</v>
      </c>
      <c r="Q9" s="254" t="s">
        <v>787</v>
      </c>
      <c r="R9" s="254" t="s">
        <v>788</v>
      </c>
      <c r="S9" s="254"/>
      <c r="T9" s="254" t="s">
        <v>748</v>
      </c>
      <c r="U9" s="254" t="s">
        <v>793</v>
      </c>
      <c r="V9" s="254" t="s">
        <v>790</v>
      </c>
      <c r="W9" s="254" t="s">
        <v>794</v>
      </c>
      <c r="Y9" s="246" t="str">
        <f t="shared" si="2"/>
        <v/>
      </c>
      <c r="Z9" s="247">
        <f t="shared" si="0"/>
        <v>11</v>
      </c>
      <c r="AA9" s="246" t="str">
        <f t="shared" si="3"/>
        <v/>
      </c>
    </row>
    <row r="10" spans="1:27" ht="18" customHeight="1" x14ac:dyDescent="0.25">
      <c r="A10" s="248" t="str">
        <f t="shared" si="4"/>
        <v/>
      </c>
      <c r="B10" s="249" t="str">
        <f t="shared" si="5"/>
        <v/>
      </c>
      <c r="C10" s="250"/>
      <c r="D10" s="251"/>
      <c r="E10" s="241"/>
      <c r="F10" s="252"/>
      <c r="G10" s="252"/>
      <c r="H10" s="253"/>
      <c r="I10" s="250"/>
      <c r="J10" s="250"/>
      <c r="K10" s="270"/>
      <c r="L10" s="250"/>
      <c r="M10" s="250"/>
      <c r="N10" s="553" t="str">
        <f>CONCATENATE(IF(OR(M10=phu!$I$1,M10=phu!$I$2,M10=phu!$I$3),"Cam Thành Nam",""),IF(OR(M10=phu!$I$4,M10=phu!$I$5,M10=phu!$I$6,M10=phu!$I$7,M10=phu!$I$8,M10=phu!$I$9,M10=phu!$I$10,M10=phu!$I$11,M10=phu!$I$12,M10=phu!$I$13,M10=phu!$I$14),"Cam Nghĩa",""),IF(OR(M10=phu!$I$15,M10=phu!$I$16,M10=phu!$I$17,M10=phu!$I$18,M10=phu!$I$19,M10=phu!$I$20,M10=phu!$I$21),"Cam Phúc Bắc",""),IF(OR(M10=phu!$I$22,M10=phu!$I$23,M10=phu!$I$24,M10=phu!$I$25),"Cam Phúc Nam",""),IF(OR(M10=phu!$I$26,M10=phu!$I$27,M10=phu!$I$28,M10=phu!$I$29,M10=phu!$I$30,M10=phu!$I$31),"Cam Phú",""),IF(OR(M10=phu!$I$32,M10=phu!$I$33,M10=phu!$I$34,M10=phu!$I$35,M10=phu!$I$36,M10=phu!$I$37),"Cam Lộc",""),IF(OR(M10=phu!$I$38,M10=phu!$I$39,M10=phu!$I$40,M10=phu!$I$41,M10=phu!$I$42,M10=phu!$I$43,M10=phu!$I$44),"Cam Thuận",""),IF(OR(M10=phu!$I$45,M10=phu!$I$46,M10=phu!$I$47,M10=phu!$I$48,M10=phu!$I$49,M10=phu!$I$50,M10=phu!$I$51,M10=phu!$I$52,M10=phu!$I$53),"Cam Linh",""),IF(OR(M10=phu!$I$54,M10=phu!$I$55,M10=phu!$I$56,M10=phu!$I$57,M10=phu!$I$58,M10=phu!$I$59,M10=phu!$I$60,M10=phu!$I$61,M10=phu!$I$62),"Cam Lợi",""),IF(OR(M10=phu!$I$63,M10=phu!$I$64,M10=phu!$I$65,M10=phu!$I$66,M10=phu!$I$67,M10=phu!$I$68,M10=phu!$I$69,M10=phu!$I$70,M10=phu!$I$71),"Ba Ngòi",""),IF(OR(M10=phu!$I$72,M10=phu!$I$73,M10=phu!$I$74,M10=phu!$I$75,M10=phu!$I$76,M10=phu!$I$77,M10=phu!$I$78),"Cam Phước Đông",""),IF(OR(M10=phu!$I$79,M10=phu!$I$80,M10=phu!$I$81,M10=phu!$I$82,M10=phu!$I$83,M10=phu!$I$84),"Cam Thịnh Đông",""),IF(OR(M10=phu!$I$85,M10=phu!$I$86,M10=phu!$I$87,M10=phu!$I$88),"Cam Thịnh Tây",""),IF(OR(M10=phu!$I$89,M10=phu!$I$90),"Cam Lập",""),IF(OR(M10=phu!$I$91,M10=phu!$I$92,M10=phu!$I$93),"Cam Bình",""),IF(OR(M10=phu!$I$94,M10=phu!$I$95,M10=phu!$I$96,M10=phu!$I$97,M10=phu!$I$98,M10=phu!$I$99,M10=phu!$I$100),"Huyện khác",""),IF(OR(M10=phu!$I$101,M10=phu!$I$102),"Tỉnh khác",""))</f>
        <v/>
      </c>
      <c r="O10" s="814" t="str">
        <f t="shared" si="1"/>
        <v/>
      </c>
      <c r="P10" s="254"/>
      <c r="Q10" s="254"/>
      <c r="R10" s="254"/>
      <c r="S10" s="254"/>
      <c r="T10" s="254"/>
      <c r="U10" s="254"/>
      <c r="V10" s="254"/>
      <c r="W10" s="254"/>
      <c r="Y10" s="246" t="str">
        <f t="shared" si="2"/>
        <v/>
      </c>
      <c r="Z10" s="247" t="str">
        <f t="shared" si="0"/>
        <v/>
      </c>
      <c r="AA10" s="246" t="str">
        <f t="shared" si="3"/>
        <v/>
      </c>
    </row>
    <row r="11" spans="1:27" ht="18" customHeight="1" x14ac:dyDescent="0.25">
      <c r="A11" s="248" t="str">
        <f t="shared" si="4"/>
        <v/>
      </c>
      <c r="B11" s="249" t="str">
        <f t="shared" si="5"/>
        <v/>
      </c>
      <c r="C11" s="250"/>
      <c r="D11" s="251"/>
      <c r="E11" s="241"/>
      <c r="F11" s="252"/>
      <c r="G11" s="252"/>
      <c r="H11" s="253"/>
      <c r="I11" s="250"/>
      <c r="J11" s="250"/>
      <c r="K11" s="270"/>
      <c r="L11" s="250"/>
      <c r="M11" s="250"/>
      <c r="N11" s="553" t="str">
        <f>CONCATENATE(IF(OR(M11=phu!$I$1,M11=phu!$I$2,M11=phu!$I$3),"Cam Thành Nam",""),IF(OR(M11=phu!$I$4,M11=phu!$I$5,M11=phu!$I$6,M11=phu!$I$7,M11=phu!$I$8,M11=phu!$I$9,M11=phu!$I$10,M11=phu!$I$11,M11=phu!$I$12,M11=phu!$I$13,M11=phu!$I$14),"Cam Nghĩa",""),IF(OR(M11=phu!$I$15,M11=phu!$I$16,M11=phu!$I$17,M11=phu!$I$18,M11=phu!$I$19,M11=phu!$I$20,M11=phu!$I$21),"Cam Phúc Bắc",""),IF(OR(M11=phu!$I$22,M11=phu!$I$23,M11=phu!$I$24,M11=phu!$I$25),"Cam Phúc Nam",""),IF(OR(M11=phu!$I$26,M11=phu!$I$27,M11=phu!$I$28,M11=phu!$I$29,M11=phu!$I$30,M11=phu!$I$31),"Cam Phú",""),IF(OR(M11=phu!$I$32,M11=phu!$I$33,M11=phu!$I$34,M11=phu!$I$35,M11=phu!$I$36,M11=phu!$I$37),"Cam Lộc",""),IF(OR(M11=phu!$I$38,M11=phu!$I$39,M11=phu!$I$40,M11=phu!$I$41,M11=phu!$I$42,M11=phu!$I$43,M11=phu!$I$44),"Cam Thuận",""),IF(OR(M11=phu!$I$45,M11=phu!$I$46,M11=phu!$I$47,M11=phu!$I$48,M11=phu!$I$49,M11=phu!$I$50,M11=phu!$I$51,M11=phu!$I$52,M11=phu!$I$53),"Cam Linh",""),IF(OR(M11=phu!$I$54,M11=phu!$I$55,M11=phu!$I$56,M11=phu!$I$57,M11=phu!$I$58,M11=phu!$I$59,M11=phu!$I$60,M11=phu!$I$61,M11=phu!$I$62),"Cam Lợi",""),IF(OR(M11=phu!$I$63,M11=phu!$I$64,M11=phu!$I$65,M11=phu!$I$66,M11=phu!$I$67,M11=phu!$I$68,M11=phu!$I$69,M11=phu!$I$70,M11=phu!$I$71),"Ba Ngòi",""),IF(OR(M11=phu!$I$72,M11=phu!$I$73,M11=phu!$I$74,M11=phu!$I$75,M11=phu!$I$76,M11=phu!$I$77,M11=phu!$I$78),"Cam Phước Đông",""),IF(OR(M11=phu!$I$79,M11=phu!$I$80,M11=phu!$I$81,M11=phu!$I$82,M11=phu!$I$83,M11=phu!$I$84),"Cam Thịnh Đông",""),IF(OR(M11=phu!$I$85,M11=phu!$I$86,M11=phu!$I$87,M11=phu!$I$88),"Cam Thịnh Tây",""),IF(OR(M11=phu!$I$89,M11=phu!$I$90),"Cam Lập",""),IF(OR(M11=phu!$I$91,M11=phu!$I$92,M11=phu!$I$93),"Cam Bình",""),IF(OR(M11=phu!$I$94,M11=phu!$I$95,M11=phu!$I$96,M11=phu!$I$97,M11=phu!$I$98,M11=phu!$I$99,M11=phu!$I$100),"Huyện khác",""),IF(OR(M11=phu!$I$101,M11=phu!$I$102),"Tỉnh khác",""))</f>
        <v/>
      </c>
      <c r="O11" s="814" t="str">
        <f t="shared" si="1"/>
        <v/>
      </c>
      <c r="P11" s="254"/>
      <c r="Q11" s="254"/>
      <c r="R11" s="254"/>
      <c r="S11" s="254"/>
      <c r="T11" s="254"/>
      <c r="U11" s="254"/>
      <c r="V11" s="254"/>
      <c r="W11" s="254"/>
      <c r="Y11" s="246" t="str">
        <f t="shared" si="2"/>
        <v/>
      </c>
      <c r="Z11" s="247" t="str">
        <f t="shared" si="0"/>
        <v/>
      </c>
      <c r="AA11" s="246" t="str">
        <f t="shared" si="3"/>
        <v/>
      </c>
    </row>
    <row r="12" spans="1:27" ht="18" customHeight="1" x14ac:dyDescent="0.25">
      <c r="A12" s="248" t="str">
        <f t="shared" si="4"/>
        <v/>
      </c>
      <c r="B12" s="249" t="str">
        <f t="shared" si="5"/>
        <v/>
      </c>
      <c r="C12" s="250"/>
      <c r="D12" s="251"/>
      <c r="E12" s="241"/>
      <c r="F12" s="252"/>
      <c r="G12" s="255"/>
      <c r="H12" s="253"/>
      <c r="I12" s="250"/>
      <c r="J12" s="250"/>
      <c r="K12" s="270"/>
      <c r="L12" s="250"/>
      <c r="M12" s="250"/>
      <c r="N12" s="553" t="str">
        <f>CONCATENATE(IF(OR(M12=phu!$I$1,M12=phu!$I$2,M12=phu!$I$3),"Cam Thành Nam",""),IF(OR(M12=phu!$I$4,M12=phu!$I$5,M12=phu!$I$6,M12=phu!$I$7,M12=phu!$I$8,M12=phu!$I$9,M12=phu!$I$10,M12=phu!$I$11,M12=phu!$I$12,M12=phu!$I$13,M12=phu!$I$14),"Cam Nghĩa",""),IF(OR(M12=phu!$I$15,M12=phu!$I$16,M12=phu!$I$17,M12=phu!$I$18,M12=phu!$I$19,M12=phu!$I$20,M12=phu!$I$21),"Cam Phúc Bắc",""),IF(OR(M12=phu!$I$22,M12=phu!$I$23,M12=phu!$I$24,M12=phu!$I$25),"Cam Phúc Nam",""),IF(OR(M12=phu!$I$26,M12=phu!$I$27,M12=phu!$I$28,M12=phu!$I$29,M12=phu!$I$30,M12=phu!$I$31),"Cam Phú",""),IF(OR(M12=phu!$I$32,M12=phu!$I$33,M12=phu!$I$34,M12=phu!$I$35,M12=phu!$I$36,M12=phu!$I$37),"Cam Lộc",""),IF(OR(M12=phu!$I$38,M12=phu!$I$39,M12=phu!$I$40,M12=phu!$I$41,M12=phu!$I$42,M12=phu!$I$43,M12=phu!$I$44),"Cam Thuận",""),IF(OR(M12=phu!$I$45,M12=phu!$I$46,M12=phu!$I$47,M12=phu!$I$48,M12=phu!$I$49,M12=phu!$I$50,M12=phu!$I$51,M12=phu!$I$52,M12=phu!$I$53),"Cam Linh",""),IF(OR(M12=phu!$I$54,M12=phu!$I$55,M12=phu!$I$56,M12=phu!$I$57,M12=phu!$I$58,M12=phu!$I$59,M12=phu!$I$60,M12=phu!$I$61,M12=phu!$I$62),"Cam Lợi",""),IF(OR(M12=phu!$I$63,M12=phu!$I$64,M12=phu!$I$65,M12=phu!$I$66,M12=phu!$I$67,M12=phu!$I$68,M12=phu!$I$69,M12=phu!$I$70,M12=phu!$I$71),"Ba Ngòi",""),IF(OR(M12=phu!$I$72,M12=phu!$I$73,M12=phu!$I$74,M12=phu!$I$75,M12=phu!$I$76,M12=phu!$I$77,M12=phu!$I$78),"Cam Phước Đông",""),IF(OR(M12=phu!$I$79,M12=phu!$I$80,M12=phu!$I$81,M12=phu!$I$82,M12=phu!$I$83,M12=phu!$I$84),"Cam Thịnh Đông",""),IF(OR(M12=phu!$I$85,M12=phu!$I$86,M12=phu!$I$87,M12=phu!$I$88),"Cam Thịnh Tây",""),IF(OR(M12=phu!$I$89,M12=phu!$I$90),"Cam Lập",""),IF(OR(M12=phu!$I$91,M12=phu!$I$92,M12=phu!$I$93),"Cam Bình",""),IF(OR(M12=phu!$I$94,M12=phu!$I$95,M12=phu!$I$96,M12=phu!$I$97,M12=phu!$I$98,M12=phu!$I$99,M12=phu!$I$100),"Huyện khác",""),IF(OR(M12=phu!$I$101,M12=phu!$I$102),"Tỉnh khác",""))</f>
        <v/>
      </c>
      <c r="O12" s="814" t="str">
        <f t="shared" si="1"/>
        <v/>
      </c>
      <c r="P12" s="254"/>
      <c r="Q12" s="254"/>
      <c r="R12" s="254"/>
      <c r="S12" s="254"/>
      <c r="T12" s="254"/>
      <c r="U12" s="254"/>
      <c r="V12" s="254"/>
      <c r="W12" s="254"/>
      <c r="Y12" s="246" t="str">
        <f t="shared" si="2"/>
        <v/>
      </c>
      <c r="Z12" s="247" t="str">
        <f t="shared" si="0"/>
        <v/>
      </c>
      <c r="AA12" s="246" t="str">
        <f t="shared" si="3"/>
        <v/>
      </c>
    </row>
    <row r="13" spans="1:27" ht="18" customHeight="1" x14ac:dyDescent="0.25">
      <c r="A13" s="248" t="str">
        <f t="shared" si="4"/>
        <v/>
      </c>
      <c r="B13" s="249" t="str">
        <f t="shared" si="5"/>
        <v/>
      </c>
      <c r="C13" s="250"/>
      <c r="D13" s="251"/>
      <c r="E13" s="241"/>
      <c r="F13" s="252"/>
      <c r="G13" s="255"/>
      <c r="H13" s="253"/>
      <c r="I13" s="250"/>
      <c r="J13" s="250"/>
      <c r="K13" s="270"/>
      <c r="L13" s="250"/>
      <c r="M13" s="250"/>
      <c r="N13" s="553" t="str">
        <f>CONCATENATE(IF(OR(M13=phu!$I$1,M13=phu!$I$2,M13=phu!$I$3),"Cam Thành Nam",""),IF(OR(M13=phu!$I$4,M13=phu!$I$5,M13=phu!$I$6,M13=phu!$I$7,M13=phu!$I$8,M13=phu!$I$9,M13=phu!$I$10,M13=phu!$I$11,M13=phu!$I$12,M13=phu!$I$13,M13=phu!$I$14),"Cam Nghĩa",""),IF(OR(M13=phu!$I$15,M13=phu!$I$16,M13=phu!$I$17,M13=phu!$I$18,M13=phu!$I$19,M13=phu!$I$20,M13=phu!$I$21),"Cam Phúc Bắc",""),IF(OR(M13=phu!$I$22,M13=phu!$I$23,M13=phu!$I$24,M13=phu!$I$25),"Cam Phúc Nam",""),IF(OR(M13=phu!$I$26,M13=phu!$I$27,M13=phu!$I$28,M13=phu!$I$29,M13=phu!$I$30,M13=phu!$I$31),"Cam Phú",""),IF(OR(M13=phu!$I$32,M13=phu!$I$33,M13=phu!$I$34,M13=phu!$I$35,M13=phu!$I$36,M13=phu!$I$37),"Cam Lộc",""),IF(OR(M13=phu!$I$38,M13=phu!$I$39,M13=phu!$I$40,M13=phu!$I$41,M13=phu!$I$42,M13=phu!$I$43,M13=phu!$I$44),"Cam Thuận",""),IF(OR(M13=phu!$I$45,M13=phu!$I$46,M13=phu!$I$47,M13=phu!$I$48,M13=phu!$I$49,M13=phu!$I$50,M13=phu!$I$51,M13=phu!$I$52,M13=phu!$I$53),"Cam Linh",""),IF(OR(M13=phu!$I$54,M13=phu!$I$55,M13=phu!$I$56,M13=phu!$I$57,M13=phu!$I$58,M13=phu!$I$59,M13=phu!$I$60,M13=phu!$I$61,M13=phu!$I$62),"Cam Lợi",""),IF(OR(M13=phu!$I$63,M13=phu!$I$64,M13=phu!$I$65,M13=phu!$I$66,M13=phu!$I$67,M13=phu!$I$68,M13=phu!$I$69,M13=phu!$I$70,M13=phu!$I$71),"Ba Ngòi",""),IF(OR(M13=phu!$I$72,M13=phu!$I$73,M13=phu!$I$74,M13=phu!$I$75,M13=phu!$I$76,M13=phu!$I$77,M13=phu!$I$78),"Cam Phước Đông",""),IF(OR(M13=phu!$I$79,M13=phu!$I$80,M13=phu!$I$81,M13=phu!$I$82,M13=phu!$I$83,M13=phu!$I$84),"Cam Thịnh Đông",""),IF(OR(M13=phu!$I$85,M13=phu!$I$86,M13=phu!$I$87,M13=phu!$I$88),"Cam Thịnh Tây",""),IF(OR(M13=phu!$I$89,M13=phu!$I$90),"Cam Lập",""),IF(OR(M13=phu!$I$91,M13=phu!$I$92,M13=phu!$I$93),"Cam Bình",""),IF(OR(M13=phu!$I$94,M13=phu!$I$95,M13=phu!$I$96,M13=phu!$I$97,M13=phu!$I$98,M13=phu!$I$99,M13=phu!$I$100),"Huyện khác",""),IF(OR(M13=phu!$I$101,M13=phu!$I$102),"Tỉnh khác",""))</f>
        <v/>
      </c>
      <c r="O13" s="814" t="str">
        <f t="shared" si="1"/>
        <v/>
      </c>
      <c r="P13" s="254"/>
      <c r="Q13" s="254"/>
      <c r="R13" s="254"/>
      <c r="S13" s="254"/>
      <c r="T13" s="254"/>
      <c r="U13" s="254"/>
      <c r="V13" s="254"/>
      <c r="W13" s="254"/>
      <c r="Y13" s="246" t="str">
        <f t="shared" si="2"/>
        <v/>
      </c>
      <c r="Z13" s="247" t="str">
        <f t="shared" si="0"/>
        <v/>
      </c>
      <c r="AA13" s="246" t="str">
        <f t="shared" si="3"/>
        <v/>
      </c>
    </row>
    <row r="14" spans="1:27" ht="18" customHeight="1" x14ac:dyDescent="0.25">
      <c r="A14" s="248" t="str">
        <f t="shared" si="4"/>
        <v/>
      </c>
      <c r="B14" s="249" t="str">
        <f t="shared" si="5"/>
        <v/>
      </c>
      <c r="C14" s="250"/>
      <c r="D14" s="251"/>
      <c r="E14" s="241"/>
      <c r="F14" s="252"/>
      <c r="G14" s="255"/>
      <c r="H14" s="253"/>
      <c r="I14" s="250"/>
      <c r="J14" s="250"/>
      <c r="K14" s="270"/>
      <c r="L14" s="250"/>
      <c r="M14" s="250"/>
      <c r="N14" s="553" t="str">
        <f>CONCATENATE(IF(OR(M14=phu!$I$1,M14=phu!$I$2,M14=phu!$I$3),"Cam Thành Nam",""),IF(OR(M14=phu!$I$4,M14=phu!$I$5,M14=phu!$I$6,M14=phu!$I$7,M14=phu!$I$8,M14=phu!$I$9,M14=phu!$I$10,M14=phu!$I$11,M14=phu!$I$12,M14=phu!$I$13,M14=phu!$I$14),"Cam Nghĩa",""),IF(OR(M14=phu!$I$15,M14=phu!$I$16,M14=phu!$I$17,M14=phu!$I$18,M14=phu!$I$19,M14=phu!$I$20,M14=phu!$I$21),"Cam Phúc Bắc",""),IF(OR(M14=phu!$I$22,M14=phu!$I$23,M14=phu!$I$24,M14=phu!$I$25),"Cam Phúc Nam",""),IF(OR(M14=phu!$I$26,M14=phu!$I$27,M14=phu!$I$28,M14=phu!$I$29,M14=phu!$I$30,M14=phu!$I$31),"Cam Phú",""),IF(OR(M14=phu!$I$32,M14=phu!$I$33,M14=phu!$I$34,M14=phu!$I$35,M14=phu!$I$36,M14=phu!$I$37),"Cam Lộc",""),IF(OR(M14=phu!$I$38,M14=phu!$I$39,M14=phu!$I$40,M14=phu!$I$41,M14=phu!$I$42,M14=phu!$I$43,M14=phu!$I$44),"Cam Thuận",""),IF(OR(M14=phu!$I$45,M14=phu!$I$46,M14=phu!$I$47,M14=phu!$I$48,M14=phu!$I$49,M14=phu!$I$50,M14=phu!$I$51,M14=phu!$I$52,M14=phu!$I$53),"Cam Linh",""),IF(OR(M14=phu!$I$54,M14=phu!$I$55,M14=phu!$I$56,M14=phu!$I$57,M14=phu!$I$58,M14=phu!$I$59,M14=phu!$I$60,M14=phu!$I$61,M14=phu!$I$62),"Cam Lợi",""),IF(OR(M14=phu!$I$63,M14=phu!$I$64,M14=phu!$I$65,M14=phu!$I$66,M14=phu!$I$67,M14=phu!$I$68,M14=phu!$I$69,M14=phu!$I$70,M14=phu!$I$71),"Ba Ngòi",""),IF(OR(M14=phu!$I$72,M14=phu!$I$73,M14=phu!$I$74,M14=phu!$I$75,M14=phu!$I$76,M14=phu!$I$77,M14=phu!$I$78),"Cam Phước Đông",""),IF(OR(M14=phu!$I$79,M14=phu!$I$80,M14=phu!$I$81,M14=phu!$I$82,M14=phu!$I$83,M14=phu!$I$84),"Cam Thịnh Đông",""),IF(OR(M14=phu!$I$85,M14=phu!$I$86,M14=phu!$I$87,M14=phu!$I$88),"Cam Thịnh Tây",""),IF(OR(M14=phu!$I$89,M14=phu!$I$90),"Cam Lập",""),IF(OR(M14=phu!$I$91,M14=phu!$I$92,M14=phu!$I$93),"Cam Bình",""),IF(OR(M14=phu!$I$94,M14=phu!$I$95,M14=phu!$I$96,M14=phu!$I$97,M14=phu!$I$98,M14=phu!$I$99,M14=phu!$I$100),"Huyện khác",""),IF(OR(M14=phu!$I$101,M14=phu!$I$102),"Tỉnh khác",""))</f>
        <v/>
      </c>
      <c r="O14" s="814" t="str">
        <f t="shared" si="1"/>
        <v/>
      </c>
      <c r="P14" s="254"/>
      <c r="Q14" s="254"/>
      <c r="R14" s="254"/>
      <c r="S14" s="254"/>
      <c r="T14" s="254"/>
      <c r="U14" s="254"/>
      <c r="V14" s="254"/>
      <c r="W14" s="254"/>
      <c r="Y14" s="246" t="str">
        <f t="shared" si="2"/>
        <v/>
      </c>
      <c r="Z14" s="247" t="str">
        <f t="shared" si="0"/>
        <v/>
      </c>
      <c r="AA14" s="246" t="str">
        <f t="shared" si="3"/>
        <v/>
      </c>
    </row>
    <row r="15" spans="1:27" ht="18" customHeight="1" x14ac:dyDescent="0.25">
      <c r="A15" s="248" t="str">
        <f t="shared" si="4"/>
        <v/>
      </c>
      <c r="B15" s="249" t="str">
        <f t="shared" si="5"/>
        <v/>
      </c>
      <c r="C15" s="250"/>
      <c r="D15" s="251"/>
      <c r="E15" s="241"/>
      <c r="F15" s="252"/>
      <c r="G15" s="255"/>
      <c r="H15" s="253"/>
      <c r="I15" s="250"/>
      <c r="J15" s="250"/>
      <c r="K15" s="270"/>
      <c r="L15" s="250"/>
      <c r="M15" s="250"/>
      <c r="N15" s="553" t="str">
        <f>CONCATENATE(IF(OR(M15=phu!$I$1,M15=phu!$I$2,M15=phu!$I$3),"Cam Thành Nam",""),IF(OR(M15=phu!$I$4,M15=phu!$I$5,M15=phu!$I$6,M15=phu!$I$7,M15=phu!$I$8,M15=phu!$I$9,M15=phu!$I$10,M15=phu!$I$11,M15=phu!$I$12,M15=phu!$I$13,M15=phu!$I$14),"Cam Nghĩa",""),IF(OR(M15=phu!$I$15,M15=phu!$I$16,M15=phu!$I$17,M15=phu!$I$18,M15=phu!$I$19,M15=phu!$I$20,M15=phu!$I$21),"Cam Phúc Bắc",""),IF(OR(M15=phu!$I$22,M15=phu!$I$23,M15=phu!$I$24,M15=phu!$I$25),"Cam Phúc Nam",""),IF(OR(M15=phu!$I$26,M15=phu!$I$27,M15=phu!$I$28,M15=phu!$I$29,M15=phu!$I$30,M15=phu!$I$31),"Cam Phú",""),IF(OR(M15=phu!$I$32,M15=phu!$I$33,M15=phu!$I$34,M15=phu!$I$35,M15=phu!$I$36,M15=phu!$I$37),"Cam Lộc",""),IF(OR(M15=phu!$I$38,M15=phu!$I$39,M15=phu!$I$40,M15=phu!$I$41,M15=phu!$I$42,M15=phu!$I$43,M15=phu!$I$44),"Cam Thuận",""),IF(OR(M15=phu!$I$45,M15=phu!$I$46,M15=phu!$I$47,M15=phu!$I$48,M15=phu!$I$49,M15=phu!$I$50,M15=phu!$I$51,M15=phu!$I$52,M15=phu!$I$53),"Cam Linh",""),IF(OR(M15=phu!$I$54,M15=phu!$I$55,M15=phu!$I$56,M15=phu!$I$57,M15=phu!$I$58,M15=phu!$I$59,M15=phu!$I$60,M15=phu!$I$61,M15=phu!$I$62),"Cam Lợi",""),IF(OR(M15=phu!$I$63,M15=phu!$I$64,M15=phu!$I$65,M15=phu!$I$66,M15=phu!$I$67,M15=phu!$I$68,M15=phu!$I$69,M15=phu!$I$70,M15=phu!$I$71),"Ba Ngòi",""),IF(OR(M15=phu!$I$72,M15=phu!$I$73,M15=phu!$I$74,M15=phu!$I$75,M15=phu!$I$76,M15=phu!$I$77,M15=phu!$I$78),"Cam Phước Đông",""),IF(OR(M15=phu!$I$79,M15=phu!$I$80,M15=phu!$I$81,M15=phu!$I$82,M15=phu!$I$83,M15=phu!$I$84),"Cam Thịnh Đông",""),IF(OR(M15=phu!$I$85,M15=phu!$I$86,M15=phu!$I$87,M15=phu!$I$88),"Cam Thịnh Tây",""),IF(OR(M15=phu!$I$89,M15=phu!$I$90),"Cam Lập",""),IF(OR(M15=phu!$I$91,M15=phu!$I$92,M15=phu!$I$93),"Cam Bình",""),IF(OR(M15=phu!$I$94,M15=phu!$I$95,M15=phu!$I$96,M15=phu!$I$97,M15=phu!$I$98,M15=phu!$I$99,M15=phu!$I$100),"Huyện khác",""),IF(OR(M15=phu!$I$101,M15=phu!$I$102),"Tỉnh khác",""))</f>
        <v/>
      </c>
      <c r="O15" s="814" t="str">
        <f t="shared" si="1"/>
        <v/>
      </c>
      <c r="P15" s="254"/>
      <c r="Q15" s="254"/>
      <c r="R15" s="254"/>
      <c r="S15" s="254"/>
      <c r="T15" s="254"/>
      <c r="U15" s="254"/>
      <c r="V15" s="254"/>
      <c r="W15" s="254"/>
      <c r="Y15" s="246" t="str">
        <f t="shared" si="2"/>
        <v/>
      </c>
      <c r="Z15" s="247" t="str">
        <f t="shared" si="0"/>
        <v/>
      </c>
      <c r="AA15" s="246" t="str">
        <f t="shared" si="3"/>
        <v/>
      </c>
    </row>
    <row r="16" spans="1:27" ht="18" customHeight="1" x14ac:dyDescent="0.25">
      <c r="A16" s="248" t="str">
        <f t="shared" si="4"/>
        <v/>
      </c>
      <c r="B16" s="249" t="str">
        <f t="shared" si="5"/>
        <v/>
      </c>
      <c r="C16" s="250"/>
      <c r="D16" s="251"/>
      <c r="E16" s="241"/>
      <c r="F16" s="252"/>
      <c r="G16" s="255"/>
      <c r="H16" s="253"/>
      <c r="I16" s="250"/>
      <c r="J16" s="250"/>
      <c r="K16" s="270"/>
      <c r="L16" s="250"/>
      <c r="M16" s="250"/>
      <c r="N16" s="553" t="str">
        <f>CONCATENATE(IF(OR(M16=phu!$I$1,M16=phu!$I$2,M16=phu!$I$3),"Cam Thành Nam",""),IF(OR(M16=phu!$I$4,M16=phu!$I$5,M16=phu!$I$6,M16=phu!$I$7,M16=phu!$I$8,M16=phu!$I$9,M16=phu!$I$10,M16=phu!$I$11,M16=phu!$I$12,M16=phu!$I$13,M16=phu!$I$14),"Cam Nghĩa",""),IF(OR(M16=phu!$I$15,M16=phu!$I$16,M16=phu!$I$17,M16=phu!$I$18,M16=phu!$I$19,M16=phu!$I$20,M16=phu!$I$21),"Cam Phúc Bắc",""),IF(OR(M16=phu!$I$22,M16=phu!$I$23,M16=phu!$I$24,M16=phu!$I$25),"Cam Phúc Nam",""),IF(OR(M16=phu!$I$26,M16=phu!$I$27,M16=phu!$I$28,M16=phu!$I$29,M16=phu!$I$30,M16=phu!$I$31),"Cam Phú",""),IF(OR(M16=phu!$I$32,M16=phu!$I$33,M16=phu!$I$34,M16=phu!$I$35,M16=phu!$I$36,M16=phu!$I$37),"Cam Lộc",""),IF(OR(M16=phu!$I$38,M16=phu!$I$39,M16=phu!$I$40,M16=phu!$I$41,M16=phu!$I$42,M16=phu!$I$43,M16=phu!$I$44),"Cam Thuận",""),IF(OR(M16=phu!$I$45,M16=phu!$I$46,M16=phu!$I$47,M16=phu!$I$48,M16=phu!$I$49,M16=phu!$I$50,M16=phu!$I$51,M16=phu!$I$52,M16=phu!$I$53),"Cam Linh",""),IF(OR(M16=phu!$I$54,M16=phu!$I$55,M16=phu!$I$56,M16=phu!$I$57,M16=phu!$I$58,M16=phu!$I$59,M16=phu!$I$60,M16=phu!$I$61,M16=phu!$I$62),"Cam Lợi",""),IF(OR(M16=phu!$I$63,M16=phu!$I$64,M16=phu!$I$65,M16=phu!$I$66,M16=phu!$I$67,M16=phu!$I$68,M16=phu!$I$69,M16=phu!$I$70,M16=phu!$I$71),"Ba Ngòi",""),IF(OR(M16=phu!$I$72,M16=phu!$I$73,M16=phu!$I$74,M16=phu!$I$75,M16=phu!$I$76,M16=phu!$I$77,M16=phu!$I$78),"Cam Phước Đông",""),IF(OR(M16=phu!$I$79,M16=phu!$I$80,M16=phu!$I$81,M16=phu!$I$82,M16=phu!$I$83,M16=phu!$I$84),"Cam Thịnh Đông",""),IF(OR(M16=phu!$I$85,M16=phu!$I$86,M16=phu!$I$87,M16=phu!$I$88),"Cam Thịnh Tây",""),IF(OR(M16=phu!$I$89,M16=phu!$I$90),"Cam Lập",""),IF(OR(M16=phu!$I$91,M16=phu!$I$92,M16=phu!$I$93),"Cam Bình",""),IF(OR(M16=phu!$I$94,M16=phu!$I$95,M16=phu!$I$96,M16=phu!$I$97,M16=phu!$I$98,M16=phu!$I$99,M16=phu!$I$100),"Huyện khác",""),IF(OR(M16=phu!$I$101,M16=phu!$I$102),"Tỉnh khác",""))</f>
        <v/>
      </c>
      <c r="O16" s="814" t="str">
        <f t="shared" si="1"/>
        <v/>
      </c>
      <c r="P16" s="254"/>
      <c r="Q16" s="254"/>
      <c r="R16" s="254"/>
      <c r="S16" s="254"/>
      <c r="T16" s="254"/>
      <c r="U16" s="254"/>
      <c r="V16" s="254"/>
      <c r="W16" s="254"/>
      <c r="Y16" s="246" t="str">
        <f t="shared" si="2"/>
        <v/>
      </c>
      <c r="Z16" s="247" t="str">
        <f t="shared" si="0"/>
        <v/>
      </c>
      <c r="AA16" s="246" t="str">
        <f t="shared" si="3"/>
        <v/>
      </c>
    </row>
    <row r="17" spans="1:27" ht="18" customHeight="1" x14ac:dyDescent="0.25">
      <c r="A17" s="248" t="str">
        <f t="shared" si="4"/>
        <v/>
      </c>
      <c r="B17" s="249" t="str">
        <f t="shared" si="5"/>
        <v/>
      </c>
      <c r="C17" s="250"/>
      <c r="D17" s="251"/>
      <c r="E17" s="241"/>
      <c r="F17" s="252"/>
      <c r="G17" s="255"/>
      <c r="H17" s="253"/>
      <c r="I17" s="250"/>
      <c r="J17" s="250"/>
      <c r="K17" s="270"/>
      <c r="L17" s="250"/>
      <c r="M17" s="250"/>
      <c r="N17" s="553" t="str">
        <f>CONCATENATE(IF(OR(M17=phu!$I$1,M17=phu!$I$2,M17=phu!$I$3),"Cam Thành Nam",""),IF(OR(M17=phu!$I$4,M17=phu!$I$5,M17=phu!$I$6,M17=phu!$I$7,M17=phu!$I$8,M17=phu!$I$9,M17=phu!$I$10,M17=phu!$I$11,M17=phu!$I$12,M17=phu!$I$13,M17=phu!$I$14),"Cam Nghĩa",""),IF(OR(M17=phu!$I$15,M17=phu!$I$16,M17=phu!$I$17,M17=phu!$I$18,M17=phu!$I$19,M17=phu!$I$20,M17=phu!$I$21),"Cam Phúc Bắc",""),IF(OR(M17=phu!$I$22,M17=phu!$I$23,M17=phu!$I$24,M17=phu!$I$25),"Cam Phúc Nam",""),IF(OR(M17=phu!$I$26,M17=phu!$I$27,M17=phu!$I$28,M17=phu!$I$29,M17=phu!$I$30,M17=phu!$I$31),"Cam Phú",""),IF(OR(M17=phu!$I$32,M17=phu!$I$33,M17=phu!$I$34,M17=phu!$I$35,M17=phu!$I$36,M17=phu!$I$37),"Cam Lộc",""),IF(OR(M17=phu!$I$38,M17=phu!$I$39,M17=phu!$I$40,M17=phu!$I$41,M17=phu!$I$42,M17=phu!$I$43,M17=phu!$I$44),"Cam Thuận",""),IF(OR(M17=phu!$I$45,M17=phu!$I$46,M17=phu!$I$47,M17=phu!$I$48,M17=phu!$I$49,M17=phu!$I$50,M17=phu!$I$51,M17=phu!$I$52,M17=phu!$I$53),"Cam Linh",""),IF(OR(M17=phu!$I$54,M17=phu!$I$55,M17=phu!$I$56,M17=phu!$I$57,M17=phu!$I$58,M17=phu!$I$59,M17=phu!$I$60,M17=phu!$I$61,M17=phu!$I$62),"Cam Lợi",""),IF(OR(M17=phu!$I$63,M17=phu!$I$64,M17=phu!$I$65,M17=phu!$I$66,M17=phu!$I$67,M17=phu!$I$68,M17=phu!$I$69,M17=phu!$I$70,M17=phu!$I$71),"Ba Ngòi",""),IF(OR(M17=phu!$I$72,M17=phu!$I$73,M17=phu!$I$74,M17=phu!$I$75,M17=phu!$I$76,M17=phu!$I$77,M17=phu!$I$78),"Cam Phước Đông",""),IF(OR(M17=phu!$I$79,M17=phu!$I$80,M17=phu!$I$81,M17=phu!$I$82,M17=phu!$I$83,M17=phu!$I$84),"Cam Thịnh Đông",""),IF(OR(M17=phu!$I$85,M17=phu!$I$86,M17=phu!$I$87,M17=phu!$I$88),"Cam Thịnh Tây",""),IF(OR(M17=phu!$I$89,M17=phu!$I$90),"Cam Lập",""),IF(OR(M17=phu!$I$91,M17=phu!$I$92,M17=phu!$I$93),"Cam Bình",""),IF(OR(M17=phu!$I$94,M17=phu!$I$95,M17=phu!$I$96,M17=phu!$I$97,M17=phu!$I$98,M17=phu!$I$99,M17=phu!$I$100),"Huyện khác",""),IF(OR(M17=phu!$I$101,M17=phu!$I$102),"Tỉnh khác",""))</f>
        <v/>
      </c>
      <c r="O17" s="814" t="str">
        <f t="shared" si="1"/>
        <v/>
      </c>
      <c r="P17" s="254"/>
      <c r="Q17" s="254"/>
      <c r="R17" s="254"/>
      <c r="S17" s="254"/>
      <c r="T17" s="254"/>
      <c r="U17" s="254"/>
      <c r="V17" s="254"/>
      <c r="W17" s="254"/>
      <c r="Y17" s="246" t="str">
        <f t="shared" si="2"/>
        <v/>
      </c>
      <c r="Z17" s="247" t="str">
        <f t="shared" si="0"/>
        <v/>
      </c>
      <c r="AA17" s="246" t="str">
        <f t="shared" si="3"/>
        <v/>
      </c>
    </row>
    <row r="18" spans="1:27" ht="18" customHeight="1" x14ac:dyDescent="0.25">
      <c r="A18" s="248" t="str">
        <f t="shared" si="4"/>
        <v/>
      </c>
      <c r="B18" s="249" t="str">
        <f t="shared" si="5"/>
        <v/>
      </c>
      <c r="C18" s="250"/>
      <c r="D18" s="251"/>
      <c r="E18" s="241"/>
      <c r="F18" s="252"/>
      <c r="G18" s="255"/>
      <c r="H18" s="253"/>
      <c r="I18" s="250"/>
      <c r="J18" s="250"/>
      <c r="K18" s="270"/>
      <c r="L18" s="250"/>
      <c r="M18" s="250"/>
      <c r="N18" s="553" t="str">
        <f>CONCATENATE(IF(OR(M18=phu!$I$1,M18=phu!$I$2,M18=phu!$I$3),"Cam Thành Nam",""),IF(OR(M18=phu!$I$4,M18=phu!$I$5,M18=phu!$I$6,M18=phu!$I$7,M18=phu!$I$8,M18=phu!$I$9,M18=phu!$I$10,M18=phu!$I$11,M18=phu!$I$12,M18=phu!$I$13,M18=phu!$I$14),"Cam Nghĩa",""),IF(OR(M18=phu!$I$15,M18=phu!$I$16,M18=phu!$I$17,M18=phu!$I$18,M18=phu!$I$19,M18=phu!$I$20,M18=phu!$I$21),"Cam Phúc Bắc",""),IF(OR(M18=phu!$I$22,M18=phu!$I$23,M18=phu!$I$24,M18=phu!$I$25),"Cam Phúc Nam",""),IF(OR(M18=phu!$I$26,M18=phu!$I$27,M18=phu!$I$28,M18=phu!$I$29,M18=phu!$I$30,M18=phu!$I$31),"Cam Phú",""),IF(OR(M18=phu!$I$32,M18=phu!$I$33,M18=phu!$I$34,M18=phu!$I$35,M18=phu!$I$36,M18=phu!$I$37),"Cam Lộc",""),IF(OR(M18=phu!$I$38,M18=phu!$I$39,M18=phu!$I$40,M18=phu!$I$41,M18=phu!$I$42,M18=phu!$I$43,M18=phu!$I$44),"Cam Thuận",""),IF(OR(M18=phu!$I$45,M18=phu!$I$46,M18=phu!$I$47,M18=phu!$I$48,M18=phu!$I$49,M18=phu!$I$50,M18=phu!$I$51,M18=phu!$I$52,M18=phu!$I$53),"Cam Linh",""),IF(OR(M18=phu!$I$54,M18=phu!$I$55,M18=phu!$I$56,M18=phu!$I$57,M18=phu!$I$58,M18=phu!$I$59,M18=phu!$I$60,M18=phu!$I$61,M18=phu!$I$62),"Cam Lợi",""),IF(OR(M18=phu!$I$63,M18=phu!$I$64,M18=phu!$I$65,M18=phu!$I$66,M18=phu!$I$67,M18=phu!$I$68,M18=phu!$I$69,M18=phu!$I$70,M18=phu!$I$71),"Ba Ngòi",""),IF(OR(M18=phu!$I$72,M18=phu!$I$73,M18=phu!$I$74,M18=phu!$I$75,M18=phu!$I$76,M18=phu!$I$77,M18=phu!$I$78),"Cam Phước Đông",""),IF(OR(M18=phu!$I$79,M18=phu!$I$80,M18=phu!$I$81,M18=phu!$I$82,M18=phu!$I$83,M18=phu!$I$84),"Cam Thịnh Đông",""),IF(OR(M18=phu!$I$85,M18=phu!$I$86,M18=phu!$I$87,M18=phu!$I$88),"Cam Thịnh Tây",""),IF(OR(M18=phu!$I$89,M18=phu!$I$90),"Cam Lập",""),IF(OR(M18=phu!$I$91,M18=phu!$I$92,M18=phu!$I$93),"Cam Bình",""),IF(OR(M18=phu!$I$94,M18=phu!$I$95,M18=phu!$I$96,M18=phu!$I$97,M18=phu!$I$98,M18=phu!$I$99,M18=phu!$I$100),"Huyện khác",""),IF(OR(M18=phu!$I$101,M18=phu!$I$102),"Tỉnh khác",""))</f>
        <v/>
      </c>
      <c r="O18" s="814" t="str">
        <f t="shared" si="1"/>
        <v/>
      </c>
      <c r="P18" s="254"/>
      <c r="Q18" s="254"/>
      <c r="R18" s="254"/>
      <c r="S18" s="254"/>
      <c r="T18" s="254"/>
      <c r="U18" s="254"/>
      <c r="V18" s="254"/>
      <c r="W18" s="254"/>
      <c r="Y18" s="246" t="str">
        <f t="shared" si="2"/>
        <v/>
      </c>
      <c r="Z18" s="247" t="str">
        <f t="shared" si="0"/>
        <v/>
      </c>
      <c r="AA18" s="246" t="str">
        <f t="shared" si="3"/>
        <v/>
      </c>
    </row>
    <row r="19" spans="1:27" ht="18" customHeight="1" x14ac:dyDescent="0.25">
      <c r="A19" s="248" t="str">
        <f t="shared" si="4"/>
        <v/>
      </c>
      <c r="B19" s="249" t="str">
        <f t="shared" si="5"/>
        <v/>
      </c>
      <c r="C19" s="250"/>
      <c r="D19" s="251"/>
      <c r="E19" s="241"/>
      <c r="F19" s="252"/>
      <c r="G19" s="255"/>
      <c r="H19" s="253"/>
      <c r="I19" s="250"/>
      <c r="J19" s="250"/>
      <c r="K19" s="270"/>
      <c r="L19" s="250"/>
      <c r="M19" s="250"/>
      <c r="N19" s="553" t="str">
        <f>CONCATENATE(IF(OR(M19=phu!$I$1,M19=phu!$I$2,M19=phu!$I$3),"Cam Thành Nam",""),IF(OR(M19=phu!$I$4,M19=phu!$I$5,M19=phu!$I$6,M19=phu!$I$7,M19=phu!$I$8,M19=phu!$I$9,M19=phu!$I$10,M19=phu!$I$11,M19=phu!$I$12,M19=phu!$I$13,M19=phu!$I$14),"Cam Nghĩa",""),IF(OR(M19=phu!$I$15,M19=phu!$I$16,M19=phu!$I$17,M19=phu!$I$18,M19=phu!$I$19,M19=phu!$I$20,M19=phu!$I$21),"Cam Phúc Bắc",""),IF(OR(M19=phu!$I$22,M19=phu!$I$23,M19=phu!$I$24,M19=phu!$I$25),"Cam Phúc Nam",""),IF(OR(M19=phu!$I$26,M19=phu!$I$27,M19=phu!$I$28,M19=phu!$I$29,M19=phu!$I$30,M19=phu!$I$31),"Cam Phú",""),IF(OR(M19=phu!$I$32,M19=phu!$I$33,M19=phu!$I$34,M19=phu!$I$35,M19=phu!$I$36,M19=phu!$I$37),"Cam Lộc",""),IF(OR(M19=phu!$I$38,M19=phu!$I$39,M19=phu!$I$40,M19=phu!$I$41,M19=phu!$I$42,M19=phu!$I$43,M19=phu!$I$44),"Cam Thuận",""),IF(OR(M19=phu!$I$45,M19=phu!$I$46,M19=phu!$I$47,M19=phu!$I$48,M19=phu!$I$49,M19=phu!$I$50,M19=phu!$I$51,M19=phu!$I$52,M19=phu!$I$53),"Cam Linh",""),IF(OR(M19=phu!$I$54,M19=phu!$I$55,M19=phu!$I$56,M19=phu!$I$57,M19=phu!$I$58,M19=phu!$I$59,M19=phu!$I$60,M19=phu!$I$61,M19=phu!$I$62),"Cam Lợi",""),IF(OR(M19=phu!$I$63,M19=phu!$I$64,M19=phu!$I$65,M19=phu!$I$66,M19=phu!$I$67,M19=phu!$I$68,M19=phu!$I$69,M19=phu!$I$70,M19=phu!$I$71),"Ba Ngòi",""),IF(OR(M19=phu!$I$72,M19=phu!$I$73,M19=phu!$I$74,M19=phu!$I$75,M19=phu!$I$76,M19=phu!$I$77,M19=phu!$I$78),"Cam Phước Đông",""),IF(OR(M19=phu!$I$79,M19=phu!$I$80,M19=phu!$I$81,M19=phu!$I$82,M19=phu!$I$83,M19=phu!$I$84),"Cam Thịnh Đông",""),IF(OR(M19=phu!$I$85,M19=phu!$I$86,M19=phu!$I$87,M19=phu!$I$88),"Cam Thịnh Tây",""),IF(OR(M19=phu!$I$89,M19=phu!$I$90),"Cam Lập",""),IF(OR(M19=phu!$I$91,M19=phu!$I$92,M19=phu!$I$93),"Cam Bình",""),IF(OR(M19=phu!$I$94,M19=phu!$I$95,M19=phu!$I$96,M19=phu!$I$97,M19=phu!$I$98,M19=phu!$I$99,M19=phu!$I$100),"Huyện khác",""),IF(OR(M19=phu!$I$101,M19=phu!$I$102),"Tỉnh khác",""))</f>
        <v/>
      </c>
      <c r="O19" s="814" t="str">
        <f t="shared" si="1"/>
        <v/>
      </c>
      <c r="P19" s="254"/>
      <c r="Q19" s="254"/>
      <c r="R19" s="254"/>
      <c r="S19" s="254"/>
      <c r="T19" s="254"/>
      <c r="U19" s="254"/>
      <c r="V19" s="254"/>
      <c r="W19" s="254"/>
      <c r="Y19" s="246" t="str">
        <f t="shared" si="2"/>
        <v/>
      </c>
      <c r="Z19" s="247" t="str">
        <f t="shared" si="0"/>
        <v/>
      </c>
      <c r="AA19" s="246" t="str">
        <f t="shared" si="3"/>
        <v/>
      </c>
    </row>
    <row r="20" spans="1:27" ht="18" customHeight="1" x14ac:dyDescent="0.25">
      <c r="A20" s="248" t="str">
        <f t="shared" si="4"/>
        <v/>
      </c>
      <c r="B20" s="249" t="str">
        <f t="shared" si="5"/>
        <v/>
      </c>
      <c r="C20" s="250"/>
      <c r="D20" s="251"/>
      <c r="E20" s="241"/>
      <c r="F20" s="252"/>
      <c r="G20" s="255"/>
      <c r="H20" s="253"/>
      <c r="I20" s="250"/>
      <c r="J20" s="250"/>
      <c r="K20" s="270"/>
      <c r="L20" s="250"/>
      <c r="M20" s="250"/>
      <c r="N20" s="553" t="str">
        <f>CONCATENATE(IF(OR(M20=phu!$I$1,M20=phu!$I$2,M20=phu!$I$3),"Cam Thành Nam",""),IF(OR(M20=phu!$I$4,M20=phu!$I$5,M20=phu!$I$6,M20=phu!$I$7,M20=phu!$I$8,M20=phu!$I$9,M20=phu!$I$10,M20=phu!$I$11,M20=phu!$I$12,M20=phu!$I$13,M20=phu!$I$14),"Cam Nghĩa",""),IF(OR(M20=phu!$I$15,M20=phu!$I$16,M20=phu!$I$17,M20=phu!$I$18,M20=phu!$I$19,M20=phu!$I$20,M20=phu!$I$21),"Cam Phúc Bắc",""),IF(OR(M20=phu!$I$22,M20=phu!$I$23,M20=phu!$I$24,M20=phu!$I$25),"Cam Phúc Nam",""),IF(OR(M20=phu!$I$26,M20=phu!$I$27,M20=phu!$I$28,M20=phu!$I$29,M20=phu!$I$30,M20=phu!$I$31),"Cam Phú",""),IF(OR(M20=phu!$I$32,M20=phu!$I$33,M20=phu!$I$34,M20=phu!$I$35,M20=phu!$I$36,M20=phu!$I$37),"Cam Lộc",""),IF(OR(M20=phu!$I$38,M20=phu!$I$39,M20=phu!$I$40,M20=phu!$I$41,M20=phu!$I$42,M20=phu!$I$43,M20=phu!$I$44),"Cam Thuận",""),IF(OR(M20=phu!$I$45,M20=phu!$I$46,M20=phu!$I$47,M20=phu!$I$48,M20=phu!$I$49,M20=phu!$I$50,M20=phu!$I$51,M20=phu!$I$52,M20=phu!$I$53),"Cam Linh",""),IF(OR(M20=phu!$I$54,M20=phu!$I$55,M20=phu!$I$56,M20=phu!$I$57,M20=phu!$I$58,M20=phu!$I$59,M20=phu!$I$60,M20=phu!$I$61,M20=phu!$I$62),"Cam Lợi",""),IF(OR(M20=phu!$I$63,M20=phu!$I$64,M20=phu!$I$65,M20=phu!$I$66,M20=phu!$I$67,M20=phu!$I$68,M20=phu!$I$69,M20=phu!$I$70,M20=phu!$I$71),"Ba Ngòi",""),IF(OR(M20=phu!$I$72,M20=phu!$I$73,M20=phu!$I$74,M20=phu!$I$75,M20=phu!$I$76,M20=phu!$I$77,M20=phu!$I$78),"Cam Phước Đông",""),IF(OR(M20=phu!$I$79,M20=phu!$I$80,M20=phu!$I$81,M20=phu!$I$82,M20=phu!$I$83,M20=phu!$I$84),"Cam Thịnh Đông",""),IF(OR(M20=phu!$I$85,M20=phu!$I$86,M20=phu!$I$87,M20=phu!$I$88),"Cam Thịnh Tây",""),IF(OR(M20=phu!$I$89,M20=phu!$I$90),"Cam Lập",""),IF(OR(M20=phu!$I$91,M20=phu!$I$92,M20=phu!$I$93),"Cam Bình",""),IF(OR(M20=phu!$I$94,M20=phu!$I$95,M20=phu!$I$96,M20=phu!$I$97,M20=phu!$I$98,M20=phu!$I$99,M20=phu!$I$100),"Huyện khác",""),IF(OR(M20=phu!$I$101,M20=phu!$I$102),"Tỉnh khác",""))</f>
        <v/>
      </c>
      <c r="O20" s="814" t="str">
        <f t="shared" si="1"/>
        <v/>
      </c>
      <c r="P20" s="254"/>
      <c r="Q20" s="254"/>
      <c r="R20" s="254"/>
      <c r="S20" s="254"/>
      <c r="T20" s="254"/>
      <c r="U20" s="254"/>
      <c r="V20" s="254"/>
      <c r="W20" s="254"/>
      <c r="Y20" s="246" t="str">
        <f t="shared" si="2"/>
        <v/>
      </c>
      <c r="Z20" s="247" t="str">
        <f t="shared" si="0"/>
        <v/>
      </c>
      <c r="AA20" s="246" t="str">
        <f t="shared" si="3"/>
        <v/>
      </c>
    </row>
    <row r="21" spans="1:27" ht="18" customHeight="1" x14ac:dyDescent="0.25">
      <c r="A21" s="248" t="str">
        <f t="shared" si="4"/>
        <v/>
      </c>
      <c r="B21" s="249" t="str">
        <f t="shared" si="5"/>
        <v/>
      </c>
      <c r="C21" s="250"/>
      <c r="D21" s="251"/>
      <c r="E21" s="241"/>
      <c r="F21" s="252"/>
      <c r="G21" s="255"/>
      <c r="H21" s="253"/>
      <c r="I21" s="250"/>
      <c r="J21" s="250"/>
      <c r="K21" s="270"/>
      <c r="L21" s="250"/>
      <c r="M21" s="250"/>
      <c r="N21" s="553" t="str">
        <f>CONCATENATE(IF(OR(M21=phu!$I$1,M21=phu!$I$2,M21=phu!$I$3),"Cam Thành Nam",""),IF(OR(M21=phu!$I$4,M21=phu!$I$5,M21=phu!$I$6,M21=phu!$I$7,M21=phu!$I$8,M21=phu!$I$9,M21=phu!$I$10,M21=phu!$I$11,M21=phu!$I$12,M21=phu!$I$13,M21=phu!$I$14),"Cam Nghĩa",""),IF(OR(M21=phu!$I$15,M21=phu!$I$16,M21=phu!$I$17,M21=phu!$I$18,M21=phu!$I$19,M21=phu!$I$20,M21=phu!$I$21),"Cam Phúc Bắc",""),IF(OR(M21=phu!$I$22,M21=phu!$I$23,M21=phu!$I$24,M21=phu!$I$25),"Cam Phúc Nam",""),IF(OR(M21=phu!$I$26,M21=phu!$I$27,M21=phu!$I$28,M21=phu!$I$29,M21=phu!$I$30,M21=phu!$I$31),"Cam Phú",""),IF(OR(M21=phu!$I$32,M21=phu!$I$33,M21=phu!$I$34,M21=phu!$I$35,M21=phu!$I$36,M21=phu!$I$37),"Cam Lộc",""),IF(OR(M21=phu!$I$38,M21=phu!$I$39,M21=phu!$I$40,M21=phu!$I$41,M21=phu!$I$42,M21=phu!$I$43,M21=phu!$I$44),"Cam Thuận",""),IF(OR(M21=phu!$I$45,M21=phu!$I$46,M21=phu!$I$47,M21=phu!$I$48,M21=phu!$I$49,M21=phu!$I$50,M21=phu!$I$51,M21=phu!$I$52,M21=phu!$I$53),"Cam Linh",""),IF(OR(M21=phu!$I$54,M21=phu!$I$55,M21=phu!$I$56,M21=phu!$I$57,M21=phu!$I$58,M21=phu!$I$59,M21=phu!$I$60,M21=phu!$I$61,M21=phu!$I$62),"Cam Lợi",""),IF(OR(M21=phu!$I$63,M21=phu!$I$64,M21=phu!$I$65,M21=phu!$I$66,M21=phu!$I$67,M21=phu!$I$68,M21=phu!$I$69,M21=phu!$I$70,M21=phu!$I$71),"Ba Ngòi",""),IF(OR(M21=phu!$I$72,M21=phu!$I$73,M21=phu!$I$74,M21=phu!$I$75,M21=phu!$I$76,M21=phu!$I$77,M21=phu!$I$78),"Cam Phước Đông",""),IF(OR(M21=phu!$I$79,M21=phu!$I$80,M21=phu!$I$81,M21=phu!$I$82,M21=phu!$I$83,M21=phu!$I$84),"Cam Thịnh Đông",""),IF(OR(M21=phu!$I$85,M21=phu!$I$86,M21=phu!$I$87,M21=phu!$I$88),"Cam Thịnh Tây",""),IF(OR(M21=phu!$I$89,M21=phu!$I$90),"Cam Lập",""),IF(OR(M21=phu!$I$91,M21=phu!$I$92,M21=phu!$I$93),"Cam Bình",""),IF(OR(M21=phu!$I$94,M21=phu!$I$95,M21=phu!$I$96,M21=phu!$I$97,M21=phu!$I$98,M21=phu!$I$99,M21=phu!$I$100),"Huyện khác",""),IF(OR(M21=phu!$I$101,M21=phu!$I$102),"Tỉnh khác",""))</f>
        <v/>
      </c>
      <c r="O21" s="814" t="str">
        <f t="shared" si="1"/>
        <v/>
      </c>
      <c r="P21" s="254"/>
      <c r="Q21" s="254"/>
      <c r="R21" s="254"/>
      <c r="S21" s="254"/>
      <c r="T21" s="254"/>
      <c r="U21" s="254"/>
      <c r="V21" s="254"/>
      <c r="W21" s="254"/>
      <c r="Y21" s="246" t="str">
        <f t="shared" si="2"/>
        <v/>
      </c>
      <c r="Z21" s="247" t="str">
        <f t="shared" si="0"/>
        <v/>
      </c>
      <c r="AA21" s="246" t="str">
        <f t="shared" si="3"/>
        <v/>
      </c>
    </row>
    <row r="22" spans="1:27" ht="18" customHeight="1" x14ac:dyDescent="0.25">
      <c r="A22" s="248" t="str">
        <f t="shared" si="4"/>
        <v/>
      </c>
      <c r="B22" s="249" t="str">
        <f t="shared" si="5"/>
        <v/>
      </c>
      <c r="C22" s="250"/>
      <c r="D22" s="251"/>
      <c r="E22" s="241"/>
      <c r="F22" s="252"/>
      <c r="G22" s="255"/>
      <c r="H22" s="253"/>
      <c r="I22" s="250"/>
      <c r="J22" s="250"/>
      <c r="K22" s="270"/>
      <c r="L22" s="250"/>
      <c r="M22" s="250"/>
      <c r="N22" s="553" t="str">
        <f>CONCATENATE(IF(OR(M22=phu!$I$1,M22=phu!$I$2,M22=phu!$I$3),"Cam Thành Nam",""),IF(OR(M22=phu!$I$4,M22=phu!$I$5,M22=phu!$I$6,M22=phu!$I$7,M22=phu!$I$8,M22=phu!$I$9,M22=phu!$I$10,M22=phu!$I$11,M22=phu!$I$12,M22=phu!$I$13,M22=phu!$I$14),"Cam Nghĩa",""),IF(OR(M22=phu!$I$15,M22=phu!$I$16,M22=phu!$I$17,M22=phu!$I$18,M22=phu!$I$19,M22=phu!$I$20,M22=phu!$I$21),"Cam Phúc Bắc",""),IF(OR(M22=phu!$I$22,M22=phu!$I$23,M22=phu!$I$24,M22=phu!$I$25),"Cam Phúc Nam",""),IF(OR(M22=phu!$I$26,M22=phu!$I$27,M22=phu!$I$28,M22=phu!$I$29,M22=phu!$I$30,M22=phu!$I$31),"Cam Phú",""),IF(OR(M22=phu!$I$32,M22=phu!$I$33,M22=phu!$I$34,M22=phu!$I$35,M22=phu!$I$36,M22=phu!$I$37),"Cam Lộc",""),IF(OR(M22=phu!$I$38,M22=phu!$I$39,M22=phu!$I$40,M22=phu!$I$41,M22=phu!$I$42,M22=phu!$I$43,M22=phu!$I$44),"Cam Thuận",""),IF(OR(M22=phu!$I$45,M22=phu!$I$46,M22=phu!$I$47,M22=phu!$I$48,M22=phu!$I$49,M22=phu!$I$50,M22=phu!$I$51,M22=phu!$I$52,M22=phu!$I$53),"Cam Linh",""),IF(OR(M22=phu!$I$54,M22=phu!$I$55,M22=phu!$I$56,M22=phu!$I$57,M22=phu!$I$58,M22=phu!$I$59,M22=phu!$I$60,M22=phu!$I$61,M22=phu!$I$62),"Cam Lợi",""),IF(OR(M22=phu!$I$63,M22=phu!$I$64,M22=phu!$I$65,M22=phu!$I$66,M22=phu!$I$67,M22=phu!$I$68,M22=phu!$I$69,M22=phu!$I$70,M22=phu!$I$71),"Ba Ngòi",""),IF(OR(M22=phu!$I$72,M22=phu!$I$73,M22=phu!$I$74,M22=phu!$I$75,M22=phu!$I$76,M22=phu!$I$77,M22=phu!$I$78),"Cam Phước Đông",""),IF(OR(M22=phu!$I$79,M22=phu!$I$80,M22=phu!$I$81,M22=phu!$I$82,M22=phu!$I$83,M22=phu!$I$84),"Cam Thịnh Đông",""),IF(OR(M22=phu!$I$85,M22=phu!$I$86,M22=phu!$I$87,M22=phu!$I$88),"Cam Thịnh Tây",""),IF(OR(M22=phu!$I$89,M22=phu!$I$90),"Cam Lập",""),IF(OR(M22=phu!$I$91,M22=phu!$I$92,M22=phu!$I$93),"Cam Bình",""),IF(OR(M22=phu!$I$94,M22=phu!$I$95,M22=phu!$I$96,M22=phu!$I$97,M22=phu!$I$98,M22=phu!$I$99,M22=phu!$I$100),"Huyện khác",""),IF(OR(M22=phu!$I$101,M22=phu!$I$102),"Tỉnh khác",""))</f>
        <v/>
      </c>
      <c r="O22" s="814" t="str">
        <f t="shared" si="1"/>
        <v/>
      </c>
      <c r="P22" s="254"/>
      <c r="Q22" s="254"/>
      <c r="R22" s="254"/>
      <c r="S22" s="254"/>
      <c r="T22" s="254"/>
      <c r="U22" s="254"/>
      <c r="V22" s="254"/>
      <c r="W22" s="254"/>
      <c r="Y22" s="246" t="str">
        <f t="shared" si="2"/>
        <v/>
      </c>
      <c r="Z22" s="247" t="str">
        <f t="shared" si="0"/>
        <v/>
      </c>
      <c r="AA22" s="246" t="str">
        <f t="shared" si="3"/>
        <v/>
      </c>
    </row>
    <row r="23" spans="1:27" ht="18" customHeight="1" x14ac:dyDescent="0.25">
      <c r="A23" s="248" t="str">
        <f t="shared" si="4"/>
        <v/>
      </c>
      <c r="B23" s="249" t="str">
        <f t="shared" si="5"/>
        <v/>
      </c>
      <c r="C23" s="250"/>
      <c r="D23" s="251"/>
      <c r="E23" s="241"/>
      <c r="F23" s="252"/>
      <c r="G23" s="252"/>
      <c r="H23" s="253"/>
      <c r="I23" s="250"/>
      <c r="J23" s="250"/>
      <c r="K23" s="270"/>
      <c r="L23" s="250"/>
      <c r="M23" s="250"/>
      <c r="N23" s="553" t="str">
        <f>CONCATENATE(IF(OR(M23=phu!$I$1,M23=phu!$I$2,M23=phu!$I$3),"Cam Thành Nam",""),IF(OR(M23=phu!$I$4,M23=phu!$I$5,M23=phu!$I$6,M23=phu!$I$7,M23=phu!$I$8,M23=phu!$I$9,M23=phu!$I$10,M23=phu!$I$11,M23=phu!$I$12,M23=phu!$I$13,M23=phu!$I$14),"Cam Nghĩa",""),IF(OR(M23=phu!$I$15,M23=phu!$I$16,M23=phu!$I$17,M23=phu!$I$18,M23=phu!$I$19,M23=phu!$I$20,M23=phu!$I$21),"Cam Phúc Bắc",""),IF(OR(M23=phu!$I$22,M23=phu!$I$23,M23=phu!$I$24,M23=phu!$I$25),"Cam Phúc Nam",""),IF(OR(M23=phu!$I$26,M23=phu!$I$27,M23=phu!$I$28,M23=phu!$I$29,M23=phu!$I$30,M23=phu!$I$31),"Cam Phú",""),IF(OR(M23=phu!$I$32,M23=phu!$I$33,M23=phu!$I$34,M23=phu!$I$35,M23=phu!$I$36,M23=phu!$I$37),"Cam Lộc",""),IF(OR(M23=phu!$I$38,M23=phu!$I$39,M23=phu!$I$40,M23=phu!$I$41,M23=phu!$I$42,M23=phu!$I$43,M23=phu!$I$44),"Cam Thuận",""),IF(OR(M23=phu!$I$45,M23=phu!$I$46,M23=phu!$I$47,M23=phu!$I$48,M23=phu!$I$49,M23=phu!$I$50,M23=phu!$I$51,M23=phu!$I$52,M23=phu!$I$53),"Cam Linh",""),IF(OR(M23=phu!$I$54,M23=phu!$I$55,M23=phu!$I$56,M23=phu!$I$57,M23=phu!$I$58,M23=phu!$I$59,M23=phu!$I$60,M23=phu!$I$61,M23=phu!$I$62),"Cam Lợi",""),IF(OR(M23=phu!$I$63,M23=phu!$I$64,M23=phu!$I$65,M23=phu!$I$66,M23=phu!$I$67,M23=phu!$I$68,M23=phu!$I$69,M23=phu!$I$70,M23=phu!$I$71),"Ba Ngòi",""),IF(OR(M23=phu!$I$72,M23=phu!$I$73,M23=phu!$I$74,M23=phu!$I$75,M23=phu!$I$76,M23=phu!$I$77,M23=phu!$I$78),"Cam Phước Đông",""),IF(OR(M23=phu!$I$79,M23=phu!$I$80,M23=phu!$I$81,M23=phu!$I$82,M23=phu!$I$83,M23=phu!$I$84),"Cam Thịnh Đông",""),IF(OR(M23=phu!$I$85,M23=phu!$I$86,M23=phu!$I$87,M23=phu!$I$88),"Cam Thịnh Tây",""),IF(OR(M23=phu!$I$89,M23=phu!$I$90),"Cam Lập",""),IF(OR(M23=phu!$I$91,M23=phu!$I$92,M23=phu!$I$93),"Cam Bình",""),IF(OR(M23=phu!$I$94,M23=phu!$I$95,M23=phu!$I$96,M23=phu!$I$97,M23=phu!$I$98,M23=phu!$I$99,M23=phu!$I$100),"Huyện khác",""),IF(OR(M23=phu!$I$101,M23=phu!$I$102),"Tỉnh khác",""))</f>
        <v/>
      </c>
      <c r="O23" s="815" t="str">
        <f t="shared" si="1"/>
        <v/>
      </c>
      <c r="P23" s="256"/>
      <c r="Q23" s="256"/>
      <c r="R23" s="256"/>
      <c r="S23" s="254"/>
      <c r="T23" s="254"/>
      <c r="U23" s="254"/>
      <c r="V23" s="254"/>
      <c r="W23" s="254"/>
      <c r="Y23" s="246" t="str">
        <f t="shared" si="2"/>
        <v/>
      </c>
      <c r="Z23" s="247" t="str">
        <f t="shared" si="0"/>
        <v/>
      </c>
      <c r="AA23" s="246" t="str">
        <f t="shared" si="3"/>
        <v/>
      </c>
    </row>
    <row r="24" spans="1:27" ht="18" customHeight="1" x14ac:dyDescent="0.25">
      <c r="A24" s="248" t="str">
        <f t="shared" si="4"/>
        <v/>
      </c>
      <c r="B24" s="249" t="str">
        <f t="shared" si="5"/>
        <v/>
      </c>
      <c r="C24" s="250"/>
      <c r="D24" s="251"/>
      <c r="E24" s="241"/>
      <c r="F24" s="252"/>
      <c r="G24" s="252"/>
      <c r="H24" s="253"/>
      <c r="I24" s="250"/>
      <c r="J24" s="250"/>
      <c r="K24" s="270"/>
      <c r="L24" s="250"/>
      <c r="M24" s="250"/>
      <c r="N24" s="553" t="str">
        <f>CONCATENATE(IF(OR(M24=phu!$I$1,M24=phu!$I$2,M24=phu!$I$3),"Cam Thành Nam",""),IF(OR(M24=phu!$I$4,M24=phu!$I$5,M24=phu!$I$6,M24=phu!$I$7,M24=phu!$I$8,M24=phu!$I$9,M24=phu!$I$10,M24=phu!$I$11,M24=phu!$I$12,M24=phu!$I$13,M24=phu!$I$14),"Cam Nghĩa",""),IF(OR(M24=phu!$I$15,M24=phu!$I$16,M24=phu!$I$17,M24=phu!$I$18,M24=phu!$I$19,M24=phu!$I$20,M24=phu!$I$21),"Cam Phúc Bắc",""),IF(OR(M24=phu!$I$22,M24=phu!$I$23,M24=phu!$I$24,M24=phu!$I$25),"Cam Phúc Nam",""),IF(OR(M24=phu!$I$26,M24=phu!$I$27,M24=phu!$I$28,M24=phu!$I$29,M24=phu!$I$30,M24=phu!$I$31),"Cam Phú",""),IF(OR(M24=phu!$I$32,M24=phu!$I$33,M24=phu!$I$34,M24=phu!$I$35,M24=phu!$I$36,M24=phu!$I$37),"Cam Lộc",""),IF(OR(M24=phu!$I$38,M24=phu!$I$39,M24=phu!$I$40,M24=phu!$I$41,M24=phu!$I$42,M24=phu!$I$43,M24=phu!$I$44),"Cam Thuận",""),IF(OR(M24=phu!$I$45,M24=phu!$I$46,M24=phu!$I$47,M24=phu!$I$48,M24=phu!$I$49,M24=phu!$I$50,M24=phu!$I$51,M24=phu!$I$52,M24=phu!$I$53),"Cam Linh",""),IF(OR(M24=phu!$I$54,M24=phu!$I$55,M24=phu!$I$56,M24=phu!$I$57,M24=phu!$I$58,M24=phu!$I$59,M24=phu!$I$60,M24=phu!$I$61,M24=phu!$I$62),"Cam Lợi",""),IF(OR(M24=phu!$I$63,M24=phu!$I$64,M24=phu!$I$65,M24=phu!$I$66,M24=phu!$I$67,M24=phu!$I$68,M24=phu!$I$69,M24=phu!$I$70,M24=phu!$I$71),"Ba Ngòi",""),IF(OR(M24=phu!$I$72,M24=phu!$I$73,M24=phu!$I$74,M24=phu!$I$75,M24=phu!$I$76,M24=phu!$I$77,M24=phu!$I$78),"Cam Phước Đông",""),IF(OR(M24=phu!$I$79,M24=phu!$I$80,M24=phu!$I$81,M24=phu!$I$82,M24=phu!$I$83,M24=phu!$I$84),"Cam Thịnh Đông",""),IF(OR(M24=phu!$I$85,M24=phu!$I$86,M24=phu!$I$87,M24=phu!$I$88),"Cam Thịnh Tây",""),IF(OR(M24=phu!$I$89,M24=phu!$I$90),"Cam Lập",""),IF(OR(M24=phu!$I$91,M24=phu!$I$92,M24=phu!$I$93),"Cam Bình",""),IF(OR(M24=phu!$I$94,M24=phu!$I$95,M24=phu!$I$96,M24=phu!$I$97,M24=phu!$I$98,M24=phu!$I$99,M24=phu!$I$100),"Huyện khác",""),IF(OR(M24=phu!$I$101,M24=phu!$I$102),"Tỉnh khác",""))</f>
        <v/>
      </c>
      <c r="O24" s="815" t="str">
        <f t="shared" si="1"/>
        <v/>
      </c>
      <c r="P24" s="256"/>
      <c r="Q24" s="256"/>
      <c r="R24" s="256"/>
      <c r="S24" s="254"/>
      <c r="T24" s="254"/>
      <c r="U24" s="254"/>
      <c r="V24" s="254"/>
      <c r="W24" s="254"/>
      <c r="Y24" s="246" t="str">
        <f t="shared" si="2"/>
        <v/>
      </c>
      <c r="Z24" s="247" t="str">
        <f t="shared" si="0"/>
        <v/>
      </c>
      <c r="AA24" s="246" t="str">
        <f t="shared" si="3"/>
        <v/>
      </c>
    </row>
    <row r="25" spans="1:27" ht="18" customHeight="1" x14ac:dyDescent="0.25">
      <c r="A25" s="248" t="str">
        <f t="shared" si="4"/>
        <v/>
      </c>
      <c r="B25" s="249" t="str">
        <f t="shared" si="5"/>
        <v/>
      </c>
      <c r="C25" s="250"/>
      <c r="D25" s="251"/>
      <c r="E25" s="241"/>
      <c r="F25" s="252"/>
      <c r="G25" s="252"/>
      <c r="H25" s="253"/>
      <c r="I25" s="250"/>
      <c r="J25" s="250"/>
      <c r="K25" s="270"/>
      <c r="L25" s="250"/>
      <c r="M25" s="250"/>
      <c r="N25" s="553" t="str">
        <f>CONCATENATE(IF(OR(M25=phu!$I$1,M25=phu!$I$2,M25=phu!$I$3),"Cam Thành Nam",""),IF(OR(M25=phu!$I$4,M25=phu!$I$5,M25=phu!$I$6,M25=phu!$I$7,M25=phu!$I$8,M25=phu!$I$9,M25=phu!$I$10,M25=phu!$I$11,M25=phu!$I$12,M25=phu!$I$13,M25=phu!$I$14),"Cam Nghĩa",""),IF(OR(M25=phu!$I$15,M25=phu!$I$16,M25=phu!$I$17,M25=phu!$I$18,M25=phu!$I$19,M25=phu!$I$20,M25=phu!$I$21),"Cam Phúc Bắc",""),IF(OR(M25=phu!$I$22,M25=phu!$I$23,M25=phu!$I$24,M25=phu!$I$25),"Cam Phúc Nam",""),IF(OR(M25=phu!$I$26,M25=phu!$I$27,M25=phu!$I$28,M25=phu!$I$29,M25=phu!$I$30,M25=phu!$I$31),"Cam Phú",""),IF(OR(M25=phu!$I$32,M25=phu!$I$33,M25=phu!$I$34,M25=phu!$I$35,M25=phu!$I$36,M25=phu!$I$37),"Cam Lộc",""),IF(OR(M25=phu!$I$38,M25=phu!$I$39,M25=phu!$I$40,M25=phu!$I$41,M25=phu!$I$42,M25=phu!$I$43,M25=phu!$I$44),"Cam Thuận",""),IF(OR(M25=phu!$I$45,M25=phu!$I$46,M25=phu!$I$47,M25=phu!$I$48,M25=phu!$I$49,M25=phu!$I$50,M25=phu!$I$51,M25=phu!$I$52,M25=phu!$I$53),"Cam Linh",""),IF(OR(M25=phu!$I$54,M25=phu!$I$55,M25=phu!$I$56,M25=phu!$I$57,M25=phu!$I$58,M25=phu!$I$59,M25=phu!$I$60,M25=phu!$I$61,M25=phu!$I$62),"Cam Lợi",""),IF(OR(M25=phu!$I$63,M25=phu!$I$64,M25=phu!$I$65,M25=phu!$I$66,M25=phu!$I$67,M25=phu!$I$68,M25=phu!$I$69,M25=phu!$I$70,M25=phu!$I$71),"Ba Ngòi",""),IF(OR(M25=phu!$I$72,M25=phu!$I$73,M25=phu!$I$74,M25=phu!$I$75,M25=phu!$I$76,M25=phu!$I$77,M25=phu!$I$78),"Cam Phước Đông",""),IF(OR(M25=phu!$I$79,M25=phu!$I$80,M25=phu!$I$81,M25=phu!$I$82,M25=phu!$I$83,M25=phu!$I$84),"Cam Thịnh Đông",""),IF(OR(M25=phu!$I$85,M25=phu!$I$86,M25=phu!$I$87,M25=phu!$I$88),"Cam Thịnh Tây",""),IF(OR(M25=phu!$I$89,M25=phu!$I$90),"Cam Lập",""),IF(OR(M25=phu!$I$91,M25=phu!$I$92,M25=phu!$I$93),"Cam Bình",""),IF(OR(M25=phu!$I$94,M25=phu!$I$95,M25=phu!$I$96,M25=phu!$I$97,M25=phu!$I$98,M25=phu!$I$99,M25=phu!$I$100),"Huyện khác",""),IF(OR(M25=phu!$I$101,M25=phu!$I$102),"Tỉnh khác",""))</f>
        <v/>
      </c>
      <c r="O25" s="815" t="str">
        <f t="shared" si="1"/>
        <v/>
      </c>
      <c r="P25" s="256"/>
      <c r="Q25" s="256"/>
      <c r="R25" s="256"/>
      <c r="S25" s="254"/>
      <c r="T25" s="254"/>
      <c r="U25" s="254"/>
      <c r="V25" s="254"/>
      <c r="W25" s="254"/>
      <c r="Y25" s="246" t="str">
        <f t="shared" si="2"/>
        <v/>
      </c>
      <c r="Z25" s="247" t="str">
        <f t="shared" si="0"/>
        <v/>
      </c>
      <c r="AA25" s="246" t="str">
        <f t="shared" si="3"/>
        <v/>
      </c>
    </row>
    <row r="26" spans="1:27" ht="18" customHeight="1" x14ac:dyDescent="0.25">
      <c r="A26" s="248" t="str">
        <f t="shared" si="4"/>
        <v/>
      </c>
      <c r="B26" s="249" t="str">
        <f t="shared" si="5"/>
        <v/>
      </c>
      <c r="C26" s="250"/>
      <c r="D26" s="251"/>
      <c r="E26" s="241"/>
      <c r="F26" s="252"/>
      <c r="G26" s="252"/>
      <c r="H26" s="253"/>
      <c r="I26" s="250"/>
      <c r="J26" s="250"/>
      <c r="K26" s="270"/>
      <c r="L26" s="250"/>
      <c r="M26" s="250"/>
      <c r="N26" s="553" t="str">
        <f>CONCATENATE(IF(OR(M26=phu!$I$1,M26=phu!$I$2,M26=phu!$I$3),"Cam Thành Nam",""),IF(OR(M26=phu!$I$4,M26=phu!$I$5,M26=phu!$I$6,M26=phu!$I$7,M26=phu!$I$8,M26=phu!$I$9,M26=phu!$I$10,M26=phu!$I$11,M26=phu!$I$12,M26=phu!$I$13,M26=phu!$I$14),"Cam Nghĩa",""),IF(OR(M26=phu!$I$15,M26=phu!$I$16,M26=phu!$I$17,M26=phu!$I$18,M26=phu!$I$19,M26=phu!$I$20,M26=phu!$I$21),"Cam Phúc Bắc",""),IF(OR(M26=phu!$I$22,M26=phu!$I$23,M26=phu!$I$24,M26=phu!$I$25),"Cam Phúc Nam",""),IF(OR(M26=phu!$I$26,M26=phu!$I$27,M26=phu!$I$28,M26=phu!$I$29,M26=phu!$I$30,M26=phu!$I$31),"Cam Phú",""),IF(OR(M26=phu!$I$32,M26=phu!$I$33,M26=phu!$I$34,M26=phu!$I$35,M26=phu!$I$36,M26=phu!$I$37),"Cam Lộc",""),IF(OR(M26=phu!$I$38,M26=phu!$I$39,M26=phu!$I$40,M26=phu!$I$41,M26=phu!$I$42,M26=phu!$I$43,M26=phu!$I$44),"Cam Thuận",""),IF(OR(M26=phu!$I$45,M26=phu!$I$46,M26=phu!$I$47,M26=phu!$I$48,M26=phu!$I$49,M26=phu!$I$50,M26=phu!$I$51,M26=phu!$I$52,M26=phu!$I$53),"Cam Linh",""),IF(OR(M26=phu!$I$54,M26=phu!$I$55,M26=phu!$I$56,M26=phu!$I$57,M26=phu!$I$58,M26=phu!$I$59,M26=phu!$I$60,M26=phu!$I$61,M26=phu!$I$62),"Cam Lợi",""),IF(OR(M26=phu!$I$63,M26=phu!$I$64,M26=phu!$I$65,M26=phu!$I$66,M26=phu!$I$67,M26=phu!$I$68,M26=phu!$I$69,M26=phu!$I$70,M26=phu!$I$71),"Ba Ngòi",""),IF(OR(M26=phu!$I$72,M26=phu!$I$73,M26=phu!$I$74,M26=phu!$I$75,M26=phu!$I$76,M26=phu!$I$77,M26=phu!$I$78),"Cam Phước Đông",""),IF(OR(M26=phu!$I$79,M26=phu!$I$80,M26=phu!$I$81,M26=phu!$I$82,M26=phu!$I$83,M26=phu!$I$84),"Cam Thịnh Đông",""),IF(OR(M26=phu!$I$85,M26=phu!$I$86,M26=phu!$I$87,M26=phu!$I$88),"Cam Thịnh Tây",""),IF(OR(M26=phu!$I$89,M26=phu!$I$90),"Cam Lập",""),IF(OR(M26=phu!$I$91,M26=phu!$I$92,M26=phu!$I$93),"Cam Bình",""),IF(OR(M26=phu!$I$94,M26=phu!$I$95,M26=phu!$I$96,M26=phu!$I$97,M26=phu!$I$98,M26=phu!$I$99,M26=phu!$I$100),"Huyện khác",""),IF(OR(M26=phu!$I$101,M26=phu!$I$102),"Tỉnh khác",""))</f>
        <v/>
      </c>
      <c r="O26" s="815" t="str">
        <f t="shared" si="1"/>
        <v/>
      </c>
      <c r="P26" s="256"/>
      <c r="Q26" s="256"/>
      <c r="R26" s="256"/>
      <c r="S26" s="254"/>
      <c r="T26" s="254"/>
      <c r="U26" s="254"/>
      <c r="V26" s="254"/>
      <c r="W26" s="254"/>
      <c r="Y26" s="246" t="str">
        <f t="shared" si="2"/>
        <v/>
      </c>
      <c r="Z26" s="247" t="str">
        <f t="shared" si="0"/>
        <v/>
      </c>
      <c r="AA26" s="246" t="str">
        <f t="shared" si="3"/>
        <v/>
      </c>
    </row>
    <row r="27" spans="1:27" ht="18" customHeight="1" x14ac:dyDescent="0.25">
      <c r="A27" s="248" t="str">
        <f t="shared" si="4"/>
        <v/>
      </c>
      <c r="B27" s="249" t="str">
        <f t="shared" si="5"/>
        <v/>
      </c>
      <c r="C27" s="250"/>
      <c r="D27" s="251"/>
      <c r="E27" s="241"/>
      <c r="F27" s="252"/>
      <c r="G27" s="252"/>
      <c r="H27" s="253"/>
      <c r="I27" s="250"/>
      <c r="J27" s="250"/>
      <c r="K27" s="270"/>
      <c r="L27" s="250"/>
      <c r="M27" s="250"/>
      <c r="N27" s="553" t="str">
        <f>CONCATENATE(IF(OR(M27=phu!$I$1,M27=phu!$I$2,M27=phu!$I$3),"Cam Thành Nam",""),IF(OR(M27=phu!$I$4,M27=phu!$I$5,M27=phu!$I$6,M27=phu!$I$7,M27=phu!$I$8,M27=phu!$I$9,M27=phu!$I$10,M27=phu!$I$11,M27=phu!$I$12,M27=phu!$I$13,M27=phu!$I$14),"Cam Nghĩa",""),IF(OR(M27=phu!$I$15,M27=phu!$I$16,M27=phu!$I$17,M27=phu!$I$18,M27=phu!$I$19,M27=phu!$I$20,M27=phu!$I$21),"Cam Phúc Bắc",""),IF(OR(M27=phu!$I$22,M27=phu!$I$23,M27=phu!$I$24,M27=phu!$I$25),"Cam Phúc Nam",""),IF(OR(M27=phu!$I$26,M27=phu!$I$27,M27=phu!$I$28,M27=phu!$I$29,M27=phu!$I$30,M27=phu!$I$31),"Cam Phú",""),IF(OR(M27=phu!$I$32,M27=phu!$I$33,M27=phu!$I$34,M27=phu!$I$35,M27=phu!$I$36,M27=phu!$I$37),"Cam Lộc",""),IF(OR(M27=phu!$I$38,M27=phu!$I$39,M27=phu!$I$40,M27=phu!$I$41,M27=phu!$I$42,M27=phu!$I$43,M27=phu!$I$44),"Cam Thuận",""),IF(OR(M27=phu!$I$45,M27=phu!$I$46,M27=phu!$I$47,M27=phu!$I$48,M27=phu!$I$49,M27=phu!$I$50,M27=phu!$I$51,M27=phu!$I$52,M27=phu!$I$53),"Cam Linh",""),IF(OR(M27=phu!$I$54,M27=phu!$I$55,M27=phu!$I$56,M27=phu!$I$57,M27=phu!$I$58,M27=phu!$I$59,M27=phu!$I$60,M27=phu!$I$61,M27=phu!$I$62),"Cam Lợi",""),IF(OR(M27=phu!$I$63,M27=phu!$I$64,M27=phu!$I$65,M27=phu!$I$66,M27=phu!$I$67,M27=phu!$I$68,M27=phu!$I$69,M27=phu!$I$70,M27=phu!$I$71),"Ba Ngòi",""),IF(OR(M27=phu!$I$72,M27=phu!$I$73,M27=phu!$I$74,M27=phu!$I$75,M27=phu!$I$76,M27=phu!$I$77,M27=phu!$I$78),"Cam Phước Đông",""),IF(OR(M27=phu!$I$79,M27=phu!$I$80,M27=phu!$I$81,M27=phu!$I$82,M27=phu!$I$83,M27=phu!$I$84),"Cam Thịnh Đông",""),IF(OR(M27=phu!$I$85,M27=phu!$I$86,M27=phu!$I$87,M27=phu!$I$88),"Cam Thịnh Tây",""),IF(OR(M27=phu!$I$89,M27=phu!$I$90),"Cam Lập",""),IF(OR(M27=phu!$I$91,M27=phu!$I$92,M27=phu!$I$93),"Cam Bình",""),IF(OR(M27=phu!$I$94,M27=phu!$I$95,M27=phu!$I$96,M27=phu!$I$97,M27=phu!$I$98,M27=phu!$I$99,M27=phu!$I$100),"Huyện khác",""),IF(OR(M27=phu!$I$101,M27=phu!$I$102),"Tỉnh khác",""))</f>
        <v/>
      </c>
      <c r="O27" s="815" t="str">
        <f t="shared" si="1"/>
        <v/>
      </c>
      <c r="P27" s="256"/>
      <c r="Q27" s="256"/>
      <c r="R27" s="256"/>
      <c r="S27" s="254"/>
      <c r="T27" s="254"/>
      <c r="U27" s="254"/>
      <c r="V27" s="254"/>
      <c r="W27" s="254"/>
      <c r="Y27" s="246" t="str">
        <f t="shared" si="2"/>
        <v/>
      </c>
      <c r="Z27" s="247" t="str">
        <f t="shared" si="0"/>
        <v/>
      </c>
      <c r="AA27" s="246" t="str">
        <f t="shared" si="3"/>
        <v/>
      </c>
    </row>
    <row r="28" spans="1:27" ht="18" customHeight="1" x14ac:dyDescent="0.25">
      <c r="A28" s="248" t="str">
        <f t="shared" si="4"/>
        <v/>
      </c>
      <c r="B28" s="249" t="str">
        <f t="shared" si="5"/>
        <v/>
      </c>
      <c r="C28" s="250"/>
      <c r="D28" s="251"/>
      <c r="E28" s="241"/>
      <c r="F28" s="252"/>
      <c r="G28" s="252"/>
      <c r="H28" s="253"/>
      <c r="I28" s="250"/>
      <c r="J28" s="250"/>
      <c r="K28" s="270"/>
      <c r="L28" s="250"/>
      <c r="M28" s="250"/>
      <c r="N28" s="553" t="str">
        <f>CONCATENATE(IF(OR(M28=phu!$I$1,M28=phu!$I$2,M28=phu!$I$3),"Cam Thành Nam",""),IF(OR(M28=phu!$I$4,M28=phu!$I$5,M28=phu!$I$6,M28=phu!$I$7,M28=phu!$I$8,M28=phu!$I$9,M28=phu!$I$10,M28=phu!$I$11,M28=phu!$I$12,M28=phu!$I$13,M28=phu!$I$14),"Cam Nghĩa",""),IF(OR(M28=phu!$I$15,M28=phu!$I$16,M28=phu!$I$17,M28=phu!$I$18,M28=phu!$I$19,M28=phu!$I$20,M28=phu!$I$21),"Cam Phúc Bắc",""),IF(OR(M28=phu!$I$22,M28=phu!$I$23,M28=phu!$I$24,M28=phu!$I$25),"Cam Phúc Nam",""),IF(OR(M28=phu!$I$26,M28=phu!$I$27,M28=phu!$I$28,M28=phu!$I$29,M28=phu!$I$30,M28=phu!$I$31),"Cam Phú",""),IF(OR(M28=phu!$I$32,M28=phu!$I$33,M28=phu!$I$34,M28=phu!$I$35,M28=phu!$I$36,M28=phu!$I$37),"Cam Lộc",""),IF(OR(M28=phu!$I$38,M28=phu!$I$39,M28=phu!$I$40,M28=phu!$I$41,M28=phu!$I$42,M28=phu!$I$43,M28=phu!$I$44),"Cam Thuận",""),IF(OR(M28=phu!$I$45,M28=phu!$I$46,M28=phu!$I$47,M28=phu!$I$48,M28=phu!$I$49,M28=phu!$I$50,M28=phu!$I$51,M28=phu!$I$52,M28=phu!$I$53),"Cam Linh",""),IF(OR(M28=phu!$I$54,M28=phu!$I$55,M28=phu!$I$56,M28=phu!$I$57,M28=phu!$I$58,M28=phu!$I$59,M28=phu!$I$60,M28=phu!$I$61,M28=phu!$I$62),"Cam Lợi",""),IF(OR(M28=phu!$I$63,M28=phu!$I$64,M28=phu!$I$65,M28=phu!$I$66,M28=phu!$I$67,M28=phu!$I$68,M28=phu!$I$69,M28=phu!$I$70,M28=phu!$I$71),"Ba Ngòi",""),IF(OR(M28=phu!$I$72,M28=phu!$I$73,M28=phu!$I$74,M28=phu!$I$75,M28=phu!$I$76,M28=phu!$I$77,M28=phu!$I$78),"Cam Phước Đông",""),IF(OR(M28=phu!$I$79,M28=phu!$I$80,M28=phu!$I$81,M28=phu!$I$82,M28=phu!$I$83,M28=phu!$I$84),"Cam Thịnh Đông",""),IF(OR(M28=phu!$I$85,M28=phu!$I$86,M28=phu!$I$87,M28=phu!$I$88),"Cam Thịnh Tây",""),IF(OR(M28=phu!$I$89,M28=phu!$I$90),"Cam Lập",""),IF(OR(M28=phu!$I$91,M28=phu!$I$92,M28=phu!$I$93),"Cam Bình",""),IF(OR(M28=phu!$I$94,M28=phu!$I$95,M28=phu!$I$96,M28=phu!$I$97,M28=phu!$I$98,M28=phu!$I$99,M28=phu!$I$100),"Huyện khác",""),IF(OR(M28=phu!$I$101,M28=phu!$I$102),"Tỉnh khác",""))</f>
        <v/>
      </c>
      <c r="O28" s="815" t="str">
        <f t="shared" si="1"/>
        <v/>
      </c>
      <c r="P28" s="256"/>
      <c r="Q28" s="256"/>
      <c r="R28" s="256"/>
      <c r="S28" s="254"/>
      <c r="T28" s="254"/>
      <c r="U28" s="254"/>
      <c r="V28" s="254"/>
      <c r="W28" s="254"/>
      <c r="Y28" s="246" t="str">
        <f t="shared" si="2"/>
        <v/>
      </c>
      <c r="Z28" s="247" t="str">
        <f t="shared" si="0"/>
        <v/>
      </c>
      <c r="AA28" s="246" t="str">
        <f t="shared" si="3"/>
        <v/>
      </c>
    </row>
    <row r="29" spans="1:27" ht="18" customHeight="1" x14ac:dyDescent="0.25">
      <c r="A29" s="248" t="str">
        <f t="shared" si="4"/>
        <v/>
      </c>
      <c r="B29" s="249" t="str">
        <f t="shared" si="5"/>
        <v/>
      </c>
      <c r="C29" s="250"/>
      <c r="D29" s="251"/>
      <c r="E29" s="241"/>
      <c r="F29" s="252"/>
      <c r="G29" s="252"/>
      <c r="H29" s="253"/>
      <c r="I29" s="250"/>
      <c r="J29" s="250"/>
      <c r="K29" s="270"/>
      <c r="L29" s="250"/>
      <c r="M29" s="250"/>
      <c r="N29" s="553" t="str">
        <f>CONCATENATE(IF(OR(M29=phu!$I$1,M29=phu!$I$2,M29=phu!$I$3),"Cam Thành Nam",""),IF(OR(M29=phu!$I$4,M29=phu!$I$5,M29=phu!$I$6,M29=phu!$I$7,M29=phu!$I$8,M29=phu!$I$9,M29=phu!$I$10,M29=phu!$I$11,M29=phu!$I$12,M29=phu!$I$13,M29=phu!$I$14),"Cam Nghĩa",""),IF(OR(M29=phu!$I$15,M29=phu!$I$16,M29=phu!$I$17,M29=phu!$I$18,M29=phu!$I$19,M29=phu!$I$20,M29=phu!$I$21),"Cam Phúc Bắc",""),IF(OR(M29=phu!$I$22,M29=phu!$I$23,M29=phu!$I$24,M29=phu!$I$25),"Cam Phúc Nam",""),IF(OR(M29=phu!$I$26,M29=phu!$I$27,M29=phu!$I$28,M29=phu!$I$29,M29=phu!$I$30,M29=phu!$I$31),"Cam Phú",""),IF(OR(M29=phu!$I$32,M29=phu!$I$33,M29=phu!$I$34,M29=phu!$I$35,M29=phu!$I$36,M29=phu!$I$37),"Cam Lộc",""),IF(OR(M29=phu!$I$38,M29=phu!$I$39,M29=phu!$I$40,M29=phu!$I$41,M29=phu!$I$42,M29=phu!$I$43,M29=phu!$I$44),"Cam Thuận",""),IF(OR(M29=phu!$I$45,M29=phu!$I$46,M29=phu!$I$47,M29=phu!$I$48,M29=phu!$I$49,M29=phu!$I$50,M29=phu!$I$51,M29=phu!$I$52,M29=phu!$I$53),"Cam Linh",""),IF(OR(M29=phu!$I$54,M29=phu!$I$55,M29=phu!$I$56,M29=phu!$I$57,M29=phu!$I$58,M29=phu!$I$59,M29=phu!$I$60,M29=phu!$I$61,M29=phu!$I$62),"Cam Lợi",""),IF(OR(M29=phu!$I$63,M29=phu!$I$64,M29=phu!$I$65,M29=phu!$I$66,M29=phu!$I$67,M29=phu!$I$68,M29=phu!$I$69,M29=phu!$I$70,M29=phu!$I$71),"Ba Ngòi",""),IF(OR(M29=phu!$I$72,M29=phu!$I$73,M29=phu!$I$74,M29=phu!$I$75,M29=phu!$I$76,M29=phu!$I$77,M29=phu!$I$78),"Cam Phước Đông",""),IF(OR(M29=phu!$I$79,M29=phu!$I$80,M29=phu!$I$81,M29=phu!$I$82,M29=phu!$I$83,M29=phu!$I$84),"Cam Thịnh Đông",""),IF(OR(M29=phu!$I$85,M29=phu!$I$86,M29=phu!$I$87,M29=phu!$I$88),"Cam Thịnh Tây",""),IF(OR(M29=phu!$I$89,M29=phu!$I$90),"Cam Lập",""),IF(OR(M29=phu!$I$91,M29=phu!$I$92,M29=phu!$I$93),"Cam Bình",""),IF(OR(M29=phu!$I$94,M29=phu!$I$95,M29=phu!$I$96,M29=phu!$I$97,M29=phu!$I$98,M29=phu!$I$99,M29=phu!$I$100),"Huyện khác",""),IF(OR(M29=phu!$I$101,M29=phu!$I$102),"Tỉnh khác",""))</f>
        <v/>
      </c>
      <c r="O29" s="815" t="str">
        <f t="shared" si="1"/>
        <v/>
      </c>
      <c r="P29" s="256"/>
      <c r="Q29" s="256"/>
      <c r="R29" s="256"/>
      <c r="S29" s="254"/>
      <c r="T29" s="254"/>
      <c r="U29" s="254"/>
      <c r="V29" s="254"/>
      <c r="W29" s="254"/>
      <c r="Y29" s="246" t="str">
        <f t="shared" si="2"/>
        <v/>
      </c>
      <c r="Z29" s="247" t="str">
        <f t="shared" si="0"/>
        <v/>
      </c>
      <c r="AA29" s="246" t="str">
        <f t="shared" si="3"/>
        <v/>
      </c>
    </row>
    <row r="30" spans="1:27" ht="18" customHeight="1" x14ac:dyDescent="0.25">
      <c r="A30" s="248" t="str">
        <f t="shared" si="4"/>
        <v/>
      </c>
      <c r="B30" s="249" t="str">
        <f t="shared" si="5"/>
        <v/>
      </c>
      <c r="C30" s="250"/>
      <c r="D30" s="251"/>
      <c r="E30" s="241"/>
      <c r="F30" s="252"/>
      <c r="G30" s="252"/>
      <c r="H30" s="253"/>
      <c r="I30" s="250"/>
      <c r="J30" s="250"/>
      <c r="K30" s="270"/>
      <c r="L30" s="250"/>
      <c r="M30" s="250"/>
      <c r="N30" s="553" t="str">
        <f>CONCATENATE(IF(OR(M30=phu!$I$1,M30=phu!$I$2,M30=phu!$I$3),"Cam Thành Nam",""),IF(OR(M30=phu!$I$4,M30=phu!$I$5,M30=phu!$I$6,M30=phu!$I$7,M30=phu!$I$8,M30=phu!$I$9,M30=phu!$I$10,M30=phu!$I$11,M30=phu!$I$12,M30=phu!$I$13,M30=phu!$I$14),"Cam Nghĩa",""),IF(OR(M30=phu!$I$15,M30=phu!$I$16,M30=phu!$I$17,M30=phu!$I$18,M30=phu!$I$19,M30=phu!$I$20,M30=phu!$I$21),"Cam Phúc Bắc",""),IF(OR(M30=phu!$I$22,M30=phu!$I$23,M30=phu!$I$24,M30=phu!$I$25),"Cam Phúc Nam",""),IF(OR(M30=phu!$I$26,M30=phu!$I$27,M30=phu!$I$28,M30=phu!$I$29,M30=phu!$I$30,M30=phu!$I$31),"Cam Phú",""),IF(OR(M30=phu!$I$32,M30=phu!$I$33,M30=phu!$I$34,M30=phu!$I$35,M30=phu!$I$36,M30=phu!$I$37),"Cam Lộc",""),IF(OR(M30=phu!$I$38,M30=phu!$I$39,M30=phu!$I$40,M30=phu!$I$41,M30=phu!$I$42,M30=phu!$I$43,M30=phu!$I$44),"Cam Thuận",""),IF(OR(M30=phu!$I$45,M30=phu!$I$46,M30=phu!$I$47,M30=phu!$I$48,M30=phu!$I$49,M30=phu!$I$50,M30=phu!$I$51,M30=phu!$I$52,M30=phu!$I$53),"Cam Linh",""),IF(OR(M30=phu!$I$54,M30=phu!$I$55,M30=phu!$I$56,M30=phu!$I$57,M30=phu!$I$58,M30=phu!$I$59,M30=phu!$I$60,M30=phu!$I$61,M30=phu!$I$62),"Cam Lợi",""),IF(OR(M30=phu!$I$63,M30=phu!$I$64,M30=phu!$I$65,M30=phu!$I$66,M30=phu!$I$67,M30=phu!$I$68,M30=phu!$I$69,M30=phu!$I$70,M30=phu!$I$71),"Ba Ngòi",""),IF(OR(M30=phu!$I$72,M30=phu!$I$73,M30=phu!$I$74,M30=phu!$I$75,M30=phu!$I$76,M30=phu!$I$77,M30=phu!$I$78),"Cam Phước Đông",""),IF(OR(M30=phu!$I$79,M30=phu!$I$80,M30=phu!$I$81,M30=phu!$I$82,M30=phu!$I$83,M30=phu!$I$84),"Cam Thịnh Đông",""),IF(OR(M30=phu!$I$85,M30=phu!$I$86,M30=phu!$I$87,M30=phu!$I$88),"Cam Thịnh Tây",""),IF(OR(M30=phu!$I$89,M30=phu!$I$90),"Cam Lập",""),IF(OR(M30=phu!$I$91,M30=phu!$I$92,M30=phu!$I$93),"Cam Bình",""),IF(OR(M30=phu!$I$94,M30=phu!$I$95,M30=phu!$I$96,M30=phu!$I$97,M30=phu!$I$98,M30=phu!$I$99,M30=phu!$I$100),"Huyện khác",""),IF(OR(M30=phu!$I$101,M30=phu!$I$102),"Tỉnh khác",""))</f>
        <v/>
      </c>
      <c r="O30" s="815" t="str">
        <f t="shared" si="1"/>
        <v/>
      </c>
      <c r="P30" s="256"/>
      <c r="Q30" s="256"/>
      <c r="R30" s="256"/>
      <c r="S30" s="254"/>
      <c r="T30" s="254"/>
      <c r="U30" s="254"/>
      <c r="V30" s="254"/>
      <c r="W30" s="254"/>
      <c r="Y30" s="246" t="str">
        <f t="shared" si="2"/>
        <v/>
      </c>
      <c r="Z30" s="247" t="str">
        <f t="shared" si="0"/>
        <v/>
      </c>
      <c r="AA30" s="246" t="str">
        <f t="shared" si="3"/>
        <v/>
      </c>
    </row>
    <row r="31" spans="1:27" ht="18" customHeight="1" x14ac:dyDescent="0.25">
      <c r="A31" s="248" t="str">
        <f t="shared" si="4"/>
        <v/>
      </c>
      <c r="B31" s="249" t="str">
        <f t="shared" si="5"/>
        <v/>
      </c>
      <c r="C31" s="250"/>
      <c r="D31" s="251"/>
      <c r="E31" s="241"/>
      <c r="F31" s="252"/>
      <c r="G31" s="252"/>
      <c r="H31" s="253"/>
      <c r="I31" s="250"/>
      <c r="J31" s="250"/>
      <c r="K31" s="270"/>
      <c r="L31" s="250"/>
      <c r="M31" s="250"/>
      <c r="N31" s="553" t="str">
        <f>CONCATENATE(IF(OR(M31=phu!$I$1,M31=phu!$I$2,M31=phu!$I$3),"Cam Thành Nam",""),IF(OR(M31=phu!$I$4,M31=phu!$I$5,M31=phu!$I$6,M31=phu!$I$7,M31=phu!$I$8,M31=phu!$I$9,M31=phu!$I$10,M31=phu!$I$11,M31=phu!$I$12,M31=phu!$I$13,M31=phu!$I$14),"Cam Nghĩa",""),IF(OR(M31=phu!$I$15,M31=phu!$I$16,M31=phu!$I$17,M31=phu!$I$18,M31=phu!$I$19,M31=phu!$I$20,M31=phu!$I$21),"Cam Phúc Bắc",""),IF(OR(M31=phu!$I$22,M31=phu!$I$23,M31=phu!$I$24,M31=phu!$I$25),"Cam Phúc Nam",""),IF(OR(M31=phu!$I$26,M31=phu!$I$27,M31=phu!$I$28,M31=phu!$I$29,M31=phu!$I$30,M31=phu!$I$31),"Cam Phú",""),IF(OR(M31=phu!$I$32,M31=phu!$I$33,M31=phu!$I$34,M31=phu!$I$35,M31=phu!$I$36,M31=phu!$I$37),"Cam Lộc",""),IF(OR(M31=phu!$I$38,M31=phu!$I$39,M31=phu!$I$40,M31=phu!$I$41,M31=phu!$I$42,M31=phu!$I$43,M31=phu!$I$44),"Cam Thuận",""),IF(OR(M31=phu!$I$45,M31=phu!$I$46,M31=phu!$I$47,M31=phu!$I$48,M31=phu!$I$49,M31=phu!$I$50,M31=phu!$I$51,M31=phu!$I$52,M31=phu!$I$53),"Cam Linh",""),IF(OR(M31=phu!$I$54,M31=phu!$I$55,M31=phu!$I$56,M31=phu!$I$57,M31=phu!$I$58,M31=phu!$I$59,M31=phu!$I$60,M31=phu!$I$61,M31=phu!$I$62),"Cam Lợi",""),IF(OR(M31=phu!$I$63,M31=phu!$I$64,M31=phu!$I$65,M31=phu!$I$66,M31=phu!$I$67,M31=phu!$I$68,M31=phu!$I$69,M31=phu!$I$70,M31=phu!$I$71),"Ba Ngòi",""),IF(OR(M31=phu!$I$72,M31=phu!$I$73,M31=phu!$I$74,M31=phu!$I$75,M31=phu!$I$76,M31=phu!$I$77,M31=phu!$I$78),"Cam Phước Đông",""),IF(OR(M31=phu!$I$79,M31=phu!$I$80,M31=phu!$I$81,M31=phu!$I$82,M31=phu!$I$83,M31=phu!$I$84),"Cam Thịnh Đông",""),IF(OR(M31=phu!$I$85,M31=phu!$I$86,M31=phu!$I$87,M31=phu!$I$88),"Cam Thịnh Tây",""),IF(OR(M31=phu!$I$89,M31=phu!$I$90),"Cam Lập",""),IF(OR(M31=phu!$I$91,M31=phu!$I$92,M31=phu!$I$93),"Cam Bình",""),IF(OR(M31=phu!$I$94,M31=phu!$I$95,M31=phu!$I$96,M31=phu!$I$97,M31=phu!$I$98,M31=phu!$I$99,M31=phu!$I$100),"Huyện khác",""),IF(OR(M31=phu!$I$101,M31=phu!$I$102),"Tỉnh khác",""))</f>
        <v/>
      </c>
      <c r="O31" s="815" t="str">
        <f t="shared" si="1"/>
        <v/>
      </c>
      <c r="P31" s="256"/>
      <c r="Q31" s="256"/>
      <c r="R31" s="256"/>
      <c r="S31" s="254"/>
      <c r="T31" s="254"/>
      <c r="U31" s="254"/>
      <c r="V31" s="254"/>
      <c r="W31" s="254"/>
      <c r="Y31" s="246" t="str">
        <f t="shared" si="2"/>
        <v/>
      </c>
      <c r="Z31" s="247" t="str">
        <f t="shared" si="0"/>
        <v/>
      </c>
      <c r="AA31" s="246" t="str">
        <f t="shared" si="3"/>
        <v/>
      </c>
    </row>
    <row r="32" spans="1:27" ht="18" customHeight="1" x14ac:dyDescent="0.25">
      <c r="A32" s="248" t="str">
        <f t="shared" si="4"/>
        <v/>
      </c>
      <c r="B32" s="249" t="str">
        <f t="shared" si="5"/>
        <v/>
      </c>
      <c r="C32" s="250"/>
      <c r="D32" s="251"/>
      <c r="E32" s="241"/>
      <c r="F32" s="252"/>
      <c r="G32" s="252"/>
      <c r="H32" s="253"/>
      <c r="I32" s="250"/>
      <c r="J32" s="250"/>
      <c r="K32" s="270"/>
      <c r="L32" s="250"/>
      <c r="M32" s="250"/>
      <c r="N32" s="553" t="str">
        <f>CONCATENATE(IF(OR(M32=phu!$I$1,M32=phu!$I$2,M32=phu!$I$3),"Cam Thành Nam",""),IF(OR(M32=phu!$I$4,M32=phu!$I$5,M32=phu!$I$6,M32=phu!$I$7,M32=phu!$I$8,M32=phu!$I$9,M32=phu!$I$10,M32=phu!$I$11,M32=phu!$I$12,M32=phu!$I$13,M32=phu!$I$14),"Cam Nghĩa",""),IF(OR(M32=phu!$I$15,M32=phu!$I$16,M32=phu!$I$17,M32=phu!$I$18,M32=phu!$I$19,M32=phu!$I$20,M32=phu!$I$21),"Cam Phúc Bắc",""),IF(OR(M32=phu!$I$22,M32=phu!$I$23,M32=phu!$I$24,M32=phu!$I$25),"Cam Phúc Nam",""),IF(OR(M32=phu!$I$26,M32=phu!$I$27,M32=phu!$I$28,M32=phu!$I$29,M32=phu!$I$30,M32=phu!$I$31),"Cam Phú",""),IF(OR(M32=phu!$I$32,M32=phu!$I$33,M32=phu!$I$34,M32=phu!$I$35,M32=phu!$I$36,M32=phu!$I$37),"Cam Lộc",""),IF(OR(M32=phu!$I$38,M32=phu!$I$39,M32=phu!$I$40,M32=phu!$I$41,M32=phu!$I$42,M32=phu!$I$43,M32=phu!$I$44),"Cam Thuận",""),IF(OR(M32=phu!$I$45,M32=phu!$I$46,M32=phu!$I$47,M32=phu!$I$48,M32=phu!$I$49,M32=phu!$I$50,M32=phu!$I$51,M32=phu!$I$52,M32=phu!$I$53),"Cam Linh",""),IF(OR(M32=phu!$I$54,M32=phu!$I$55,M32=phu!$I$56,M32=phu!$I$57,M32=phu!$I$58,M32=phu!$I$59,M32=phu!$I$60,M32=phu!$I$61,M32=phu!$I$62),"Cam Lợi",""),IF(OR(M32=phu!$I$63,M32=phu!$I$64,M32=phu!$I$65,M32=phu!$I$66,M32=phu!$I$67,M32=phu!$I$68,M32=phu!$I$69,M32=phu!$I$70,M32=phu!$I$71),"Ba Ngòi",""),IF(OR(M32=phu!$I$72,M32=phu!$I$73,M32=phu!$I$74,M32=phu!$I$75,M32=phu!$I$76,M32=phu!$I$77,M32=phu!$I$78),"Cam Phước Đông",""),IF(OR(M32=phu!$I$79,M32=phu!$I$80,M32=phu!$I$81,M32=phu!$I$82,M32=phu!$I$83,M32=phu!$I$84),"Cam Thịnh Đông",""),IF(OR(M32=phu!$I$85,M32=phu!$I$86,M32=phu!$I$87,M32=phu!$I$88),"Cam Thịnh Tây",""),IF(OR(M32=phu!$I$89,M32=phu!$I$90),"Cam Lập",""),IF(OR(M32=phu!$I$91,M32=phu!$I$92,M32=phu!$I$93),"Cam Bình",""),IF(OR(M32=phu!$I$94,M32=phu!$I$95,M32=phu!$I$96,M32=phu!$I$97,M32=phu!$I$98,M32=phu!$I$99,M32=phu!$I$100),"Huyện khác",""),IF(OR(M32=phu!$I$101,M32=phu!$I$102),"Tỉnh khác",""))</f>
        <v/>
      </c>
      <c r="O32" s="815" t="str">
        <f t="shared" si="1"/>
        <v/>
      </c>
      <c r="P32" s="256"/>
      <c r="Q32" s="256"/>
      <c r="R32" s="256"/>
      <c r="S32" s="254"/>
      <c r="T32" s="254"/>
      <c r="U32" s="254"/>
      <c r="V32" s="254"/>
      <c r="W32" s="254"/>
      <c r="Y32" s="246" t="str">
        <f t="shared" si="2"/>
        <v/>
      </c>
      <c r="Z32" s="247" t="str">
        <f t="shared" si="0"/>
        <v/>
      </c>
      <c r="AA32" s="246" t="str">
        <f t="shared" si="3"/>
        <v/>
      </c>
    </row>
    <row r="33" spans="1:27" ht="18" customHeight="1" x14ac:dyDescent="0.25">
      <c r="A33" s="248" t="str">
        <f t="shared" si="4"/>
        <v/>
      </c>
      <c r="B33" s="249" t="str">
        <f t="shared" si="5"/>
        <v/>
      </c>
      <c r="C33" s="250"/>
      <c r="D33" s="251"/>
      <c r="E33" s="241"/>
      <c r="F33" s="252"/>
      <c r="G33" s="252"/>
      <c r="H33" s="253"/>
      <c r="I33" s="250"/>
      <c r="J33" s="250"/>
      <c r="K33" s="270"/>
      <c r="L33" s="250"/>
      <c r="M33" s="250"/>
      <c r="N33" s="553" t="str">
        <f>CONCATENATE(IF(OR(M33=phu!$I$1,M33=phu!$I$2,M33=phu!$I$3),"Cam Thành Nam",""),IF(OR(M33=phu!$I$4,M33=phu!$I$5,M33=phu!$I$6,M33=phu!$I$7,M33=phu!$I$8,M33=phu!$I$9,M33=phu!$I$10,M33=phu!$I$11,M33=phu!$I$12,M33=phu!$I$13,M33=phu!$I$14),"Cam Nghĩa",""),IF(OR(M33=phu!$I$15,M33=phu!$I$16,M33=phu!$I$17,M33=phu!$I$18,M33=phu!$I$19,M33=phu!$I$20,M33=phu!$I$21),"Cam Phúc Bắc",""),IF(OR(M33=phu!$I$22,M33=phu!$I$23,M33=phu!$I$24,M33=phu!$I$25),"Cam Phúc Nam",""),IF(OR(M33=phu!$I$26,M33=phu!$I$27,M33=phu!$I$28,M33=phu!$I$29,M33=phu!$I$30,M33=phu!$I$31),"Cam Phú",""),IF(OR(M33=phu!$I$32,M33=phu!$I$33,M33=phu!$I$34,M33=phu!$I$35,M33=phu!$I$36,M33=phu!$I$37),"Cam Lộc",""),IF(OR(M33=phu!$I$38,M33=phu!$I$39,M33=phu!$I$40,M33=phu!$I$41,M33=phu!$I$42,M33=phu!$I$43,M33=phu!$I$44),"Cam Thuận",""),IF(OR(M33=phu!$I$45,M33=phu!$I$46,M33=phu!$I$47,M33=phu!$I$48,M33=phu!$I$49,M33=phu!$I$50,M33=phu!$I$51,M33=phu!$I$52,M33=phu!$I$53),"Cam Linh",""),IF(OR(M33=phu!$I$54,M33=phu!$I$55,M33=phu!$I$56,M33=phu!$I$57,M33=phu!$I$58,M33=phu!$I$59,M33=phu!$I$60,M33=phu!$I$61,M33=phu!$I$62),"Cam Lợi",""),IF(OR(M33=phu!$I$63,M33=phu!$I$64,M33=phu!$I$65,M33=phu!$I$66,M33=phu!$I$67,M33=phu!$I$68,M33=phu!$I$69,M33=phu!$I$70,M33=phu!$I$71),"Ba Ngòi",""),IF(OR(M33=phu!$I$72,M33=phu!$I$73,M33=phu!$I$74,M33=phu!$I$75,M33=phu!$I$76,M33=phu!$I$77,M33=phu!$I$78),"Cam Phước Đông",""),IF(OR(M33=phu!$I$79,M33=phu!$I$80,M33=phu!$I$81,M33=phu!$I$82,M33=phu!$I$83,M33=phu!$I$84),"Cam Thịnh Đông",""),IF(OR(M33=phu!$I$85,M33=phu!$I$86,M33=phu!$I$87,M33=phu!$I$88),"Cam Thịnh Tây",""),IF(OR(M33=phu!$I$89,M33=phu!$I$90),"Cam Lập",""),IF(OR(M33=phu!$I$91,M33=phu!$I$92,M33=phu!$I$93),"Cam Bình",""),IF(OR(M33=phu!$I$94,M33=phu!$I$95,M33=phu!$I$96,M33=phu!$I$97,M33=phu!$I$98,M33=phu!$I$99,M33=phu!$I$100),"Huyện khác",""),IF(OR(M33=phu!$I$101,M33=phu!$I$102),"Tỉnh khác",""))</f>
        <v/>
      </c>
      <c r="O33" s="815" t="str">
        <f t="shared" si="1"/>
        <v/>
      </c>
      <c r="P33" s="256"/>
      <c r="Q33" s="256"/>
      <c r="R33" s="256"/>
      <c r="S33" s="254"/>
      <c r="T33" s="254"/>
      <c r="U33" s="254"/>
      <c r="V33" s="254"/>
      <c r="W33" s="254"/>
      <c r="Y33" s="246" t="str">
        <f t="shared" si="2"/>
        <v/>
      </c>
      <c r="Z33" s="247" t="str">
        <f t="shared" si="0"/>
        <v/>
      </c>
      <c r="AA33" s="246" t="str">
        <f t="shared" si="3"/>
        <v/>
      </c>
    </row>
    <row r="34" spans="1:27" ht="18" customHeight="1" x14ac:dyDescent="0.25">
      <c r="A34" s="248" t="str">
        <f t="shared" si="4"/>
        <v/>
      </c>
      <c r="B34" s="249" t="str">
        <f t="shared" si="5"/>
        <v/>
      </c>
      <c r="C34" s="250"/>
      <c r="D34" s="251"/>
      <c r="E34" s="241"/>
      <c r="F34" s="252"/>
      <c r="G34" s="252"/>
      <c r="H34" s="253"/>
      <c r="I34" s="250"/>
      <c r="J34" s="250"/>
      <c r="K34" s="270"/>
      <c r="L34" s="250"/>
      <c r="M34" s="250"/>
      <c r="N34" s="553" t="str">
        <f>CONCATENATE(IF(OR(M34=phu!$I$1,M34=phu!$I$2,M34=phu!$I$3),"Cam Thành Nam",""),IF(OR(M34=phu!$I$4,M34=phu!$I$5,M34=phu!$I$6,M34=phu!$I$7,M34=phu!$I$8,M34=phu!$I$9,M34=phu!$I$10,M34=phu!$I$11,M34=phu!$I$12,M34=phu!$I$13,M34=phu!$I$14),"Cam Nghĩa",""),IF(OR(M34=phu!$I$15,M34=phu!$I$16,M34=phu!$I$17,M34=phu!$I$18,M34=phu!$I$19,M34=phu!$I$20,M34=phu!$I$21),"Cam Phúc Bắc",""),IF(OR(M34=phu!$I$22,M34=phu!$I$23,M34=phu!$I$24,M34=phu!$I$25),"Cam Phúc Nam",""),IF(OR(M34=phu!$I$26,M34=phu!$I$27,M34=phu!$I$28,M34=phu!$I$29,M34=phu!$I$30,M34=phu!$I$31),"Cam Phú",""),IF(OR(M34=phu!$I$32,M34=phu!$I$33,M34=phu!$I$34,M34=phu!$I$35,M34=phu!$I$36,M34=phu!$I$37),"Cam Lộc",""),IF(OR(M34=phu!$I$38,M34=phu!$I$39,M34=phu!$I$40,M34=phu!$I$41,M34=phu!$I$42,M34=phu!$I$43,M34=phu!$I$44),"Cam Thuận",""),IF(OR(M34=phu!$I$45,M34=phu!$I$46,M34=phu!$I$47,M34=phu!$I$48,M34=phu!$I$49,M34=phu!$I$50,M34=phu!$I$51,M34=phu!$I$52,M34=phu!$I$53),"Cam Linh",""),IF(OR(M34=phu!$I$54,M34=phu!$I$55,M34=phu!$I$56,M34=phu!$I$57,M34=phu!$I$58,M34=phu!$I$59,M34=phu!$I$60,M34=phu!$I$61,M34=phu!$I$62),"Cam Lợi",""),IF(OR(M34=phu!$I$63,M34=phu!$I$64,M34=phu!$I$65,M34=phu!$I$66,M34=phu!$I$67,M34=phu!$I$68,M34=phu!$I$69,M34=phu!$I$70,M34=phu!$I$71),"Ba Ngòi",""),IF(OR(M34=phu!$I$72,M34=phu!$I$73,M34=phu!$I$74,M34=phu!$I$75,M34=phu!$I$76,M34=phu!$I$77,M34=phu!$I$78),"Cam Phước Đông",""),IF(OR(M34=phu!$I$79,M34=phu!$I$80,M34=phu!$I$81,M34=phu!$I$82,M34=phu!$I$83,M34=phu!$I$84),"Cam Thịnh Đông",""),IF(OR(M34=phu!$I$85,M34=phu!$I$86,M34=phu!$I$87,M34=phu!$I$88),"Cam Thịnh Tây",""),IF(OR(M34=phu!$I$89,M34=phu!$I$90),"Cam Lập",""),IF(OR(M34=phu!$I$91,M34=phu!$I$92,M34=phu!$I$93),"Cam Bình",""),IF(OR(M34=phu!$I$94,M34=phu!$I$95,M34=phu!$I$96,M34=phu!$I$97,M34=phu!$I$98,M34=phu!$I$99,M34=phu!$I$100),"Huyện khác",""),IF(OR(M34=phu!$I$101,M34=phu!$I$102),"Tỉnh khác",""))</f>
        <v/>
      </c>
      <c r="O34" s="815" t="str">
        <f t="shared" si="1"/>
        <v/>
      </c>
      <c r="P34" s="256"/>
      <c r="Q34" s="256"/>
      <c r="R34" s="256"/>
      <c r="S34" s="254"/>
      <c r="T34" s="254"/>
      <c r="U34" s="254"/>
      <c r="V34" s="254"/>
      <c r="W34" s="254"/>
      <c r="Y34" s="246" t="str">
        <f t="shared" si="2"/>
        <v/>
      </c>
      <c r="Z34" s="247" t="str">
        <f t="shared" si="0"/>
        <v/>
      </c>
      <c r="AA34" s="246" t="str">
        <f t="shared" si="3"/>
        <v/>
      </c>
    </row>
    <row r="35" spans="1:27" ht="18" customHeight="1" x14ac:dyDescent="0.25">
      <c r="A35" s="248" t="str">
        <f t="shared" si="4"/>
        <v/>
      </c>
      <c r="B35" s="249" t="str">
        <f t="shared" si="5"/>
        <v/>
      </c>
      <c r="C35" s="250"/>
      <c r="D35" s="251"/>
      <c r="E35" s="241"/>
      <c r="F35" s="252"/>
      <c r="G35" s="252"/>
      <c r="H35" s="253"/>
      <c r="I35" s="250"/>
      <c r="J35" s="250"/>
      <c r="K35" s="270"/>
      <c r="L35" s="250"/>
      <c r="M35" s="250"/>
      <c r="N35" s="553" t="str">
        <f>CONCATENATE(IF(OR(M35=phu!$I$1,M35=phu!$I$2,M35=phu!$I$3),"Cam Thành Nam",""),IF(OR(M35=phu!$I$4,M35=phu!$I$5,M35=phu!$I$6,M35=phu!$I$7,M35=phu!$I$8,M35=phu!$I$9,M35=phu!$I$10,M35=phu!$I$11,M35=phu!$I$12,M35=phu!$I$13,M35=phu!$I$14),"Cam Nghĩa",""),IF(OR(M35=phu!$I$15,M35=phu!$I$16,M35=phu!$I$17,M35=phu!$I$18,M35=phu!$I$19,M35=phu!$I$20,M35=phu!$I$21),"Cam Phúc Bắc",""),IF(OR(M35=phu!$I$22,M35=phu!$I$23,M35=phu!$I$24,M35=phu!$I$25),"Cam Phúc Nam",""),IF(OR(M35=phu!$I$26,M35=phu!$I$27,M35=phu!$I$28,M35=phu!$I$29,M35=phu!$I$30,M35=phu!$I$31),"Cam Phú",""),IF(OR(M35=phu!$I$32,M35=phu!$I$33,M35=phu!$I$34,M35=phu!$I$35,M35=phu!$I$36,M35=phu!$I$37),"Cam Lộc",""),IF(OR(M35=phu!$I$38,M35=phu!$I$39,M35=phu!$I$40,M35=phu!$I$41,M35=phu!$I$42,M35=phu!$I$43,M35=phu!$I$44),"Cam Thuận",""),IF(OR(M35=phu!$I$45,M35=phu!$I$46,M35=phu!$I$47,M35=phu!$I$48,M35=phu!$I$49,M35=phu!$I$50,M35=phu!$I$51,M35=phu!$I$52,M35=phu!$I$53),"Cam Linh",""),IF(OR(M35=phu!$I$54,M35=phu!$I$55,M35=phu!$I$56,M35=phu!$I$57,M35=phu!$I$58,M35=phu!$I$59,M35=phu!$I$60,M35=phu!$I$61,M35=phu!$I$62),"Cam Lợi",""),IF(OR(M35=phu!$I$63,M35=phu!$I$64,M35=phu!$I$65,M35=phu!$I$66,M35=phu!$I$67,M35=phu!$I$68,M35=phu!$I$69,M35=phu!$I$70,M35=phu!$I$71),"Ba Ngòi",""),IF(OR(M35=phu!$I$72,M35=phu!$I$73,M35=phu!$I$74,M35=phu!$I$75,M35=phu!$I$76,M35=phu!$I$77,M35=phu!$I$78),"Cam Phước Đông",""),IF(OR(M35=phu!$I$79,M35=phu!$I$80,M35=phu!$I$81,M35=phu!$I$82,M35=phu!$I$83,M35=phu!$I$84),"Cam Thịnh Đông",""),IF(OR(M35=phu!$I$85,M35=phu!$I$86,M35=phu!$I$87,M35=phu!$I$88),"Cam Thịnh Tây",""),IF(OR(M35=phu!$I$89,M35=phu!$I$90),"Cam Lập",""),IF(OR(M35=phu!$I$91,M35=phu!$I$92,M35=phu!$I$93),"Cam Bình",""),IF(OR(M35=phu!$I$94,M35=phu!$I$95,M35=phu!$I$96,M35=phu!$I$97,M35=phu!$I$98,M35=phu!$I$99,M35=phu!$I$100),"Huyện khác",""),IF(OR(M35=phu!$I$101,M35=phu!$I$102),"Tỉnh khác",""))</f>
        <v/>
      </c>
      <c r="O35" s="815" t="str">
        <f t="shared" si="1"/>
        <v/>
      </c>
      <c r="P35" s="256"/>
      <c r="Q35" s="256"/>
      <c r="R35" s="256"/>
      <c r="S35" s="254"/>
      <c r="T35" s="254"/>
      <c r="U35" s="254"/>
      <c r="V35" s="254"/>
      <c r="W35" s="254"/>
      <c r="Y35" s="246" t="str">
        <f t="shared" si="2"/>
        <v/>
      </c>
      <c r="Z35" s="247" t="str">
        <f t="shared" si="0"/>
        <v/>
      </c>
      <c r="AA35" s="246" t="str">
        <f t="shared" si="3"/>
        <v/>
      </c>
    </row>
    <row r="36" spans="1:27" ht="18" customHeight="1" x14ac:dyDescent="0.25">
      <c r="A36" s="248" t="str">
        <f t="shared" si="4"/>
        <v/>
      </c>
      <c r="B36" s="249" t="str">
        <f t="shared" si="5"/>
        <v/>
      </c>
      <c r="C36" s="250"/>
      <c r="D36" s="251"/>
      <c r="E36" s="241"/>
      <c r="F36" s="252"/>
      <c r="G36" s="252"/>
      <c r="H36" s="253"/>
      <c r="I36" s="250"/>
      <c r="J36" s="250"/>
      <c r="K36" s="270"/>
      <c r="L36" s="250"/>
      <c r="M36" s="250"/>
      <c r="N36" s="553" t="str">
        <f>CONCATENATE(IF(OR(M36=phu!$I$1,M36=phu!$I$2,M36=phu!$I$3),"Cam Thành Nam",""),IF(OR(M36=phu!$I$4,M36=phu!$I$5,M36=phu!$I$6,M36=phu!$I$7,M36=phu!$I$8,M36=phu!$I$9,M36=phu!$I$10,M36=phu!$I$11,M36=phu!$I$12,M36=phu!$I$13,M36=phu!$I$14),"Cam Nghĩa",""),IF(OR(M36=phu!$I$15,M36=phu!$I$16,M36=phu!$I$17,M36=phu!$I$18,M36=phu!$I$19,M36=phu!$I$20,M36=phu!$I$21),"Cam Phúc Bắc",""),IF(OR(M36=phu!$I$22,M36=phu!$I$23,M36=phu!$I$24,M36=phu!$I$25),"Cam Phúc Nam",""),IF(OR(M36=phu!$I$26,M36=phu!$I$27,M36=phu!$I$28,M36=phu!$I$29,M36=phu!$I$30,M36=phu!$I$31),"Cam Phú",""),IF(OR(M36=phu!$I$32,M36=phu!$I$33,M36=phu!$I$34,M36=phu!$I$35,M36=phu!$I$36,M36=phu!$I$37),"Cam Lộc",""),IF(OR(M36=phu!$I$38,M36=phu!$I$39,M36=phu!$I$40,M36=phu!$I$41,M36=phu!$I$42,M36=phu!$I$43,M36=phu!$I$44),"Cam Thuận",""),IF(OR(M36=phu!$I$45,M36=phu!$I$46,M36=phu!$I$47,M36=phu!$I$48,M36=phu!$I$49,M36=phu!$I$50,M36=phu!$I$51,M36=phu!$I$52,M36=phu!$I$53),"Cam Linh",""),IF(OR(M36=phu!$I$54,M36=phu!$I$55,M36=phu!$I$56,M36=phu!$I$57,M36=phu!$I$58,M36=phu!$I$59,M36=phu!$I$60,M36=phu!$I$61,M36=phu!$I$62),"Cam Lợi",""),IF(OR(M36=phu!$I$63,M36=phu!$I$64,M36=phu!$I$65,M36=phu!$I$66,M36=phu!$I$67,M36=phu!$I$68,M36=phu!$I$69,M36=phu!$I$70,M36=phu!$I$71),"Ba Ngòi",""),IF(OR(M36=phu!$I$72,M36=phu!$I$73,M36=phu!$I$74,M36=phu!$I$75,M36=phu!$I$76,M36=phu!$I$77,M36=phu!$I$78),"Cam Phước Đông",""),IF(OR(M36=phu!$I$79,M36=phu!$I$80,M36=phu!$I$81,M36=phu!$I$82,M36=phu!$I$83,M36=phu!$I$84),"Cam Thịnh Đông",""),IF(OR(M36=phu!$I$85,M36=phu!$I$86,M36=phu!$I$87,M36=phu!$I$88),"Cam Thịnh Tây",""),IF(OR(M36=phu!$I$89,M36=phu!$I$90),"Cam Lập",""),IF(OR(M36=phu!$I$91,M36=phu!$I$92,M36=phu!$I$93),"Cam Bình",""),IF(OR(M36=phu!$I$94,M36=phu!$I$95,M36=phu!$I$96,M36=phu!$I$97,M36=phu!$I$98,M36=phu!$I$99,M36=phu!$I$100),"Huyện khác",""),IF(OR(M36=phu!$I$101,M36=phu!$I$102),"Tỉnh khác",""))</f>
        <v/>
      </c>
      <c r="O36" s="815" t="str">
        <f t="shared" si="1"/>
        <v/>
      </c>
      <c r="P36" s="256"/>
      <c r="Q36" s="256"/>
      <c r="R36" s="256"/>
      <c r="S36" s="254"/>
      <c r="T36" s="254"/>
      <c r="U36" s="254"/>
      <c r="V36" s="254"/>
      <c r="W36" s="254"/>
      <c r="Y36" s="246" t="str">
        <f t="shared" si="2"/>
        <v/>
      </c>
      <c r="Z36" s="247" t="str">
        <f t="shared" si="0"/>
        <v/>
      </c>
      <c r="AA36" s="246" t="str">
        <f t="shared" si="3"/>
        <v/>
      </c>
    </row>
    <row r="37" spans="1:27" ht="18" customHeight="1" x14ac:dyDescent="0.25">
      <c r="A37" s="248" t="str">
        <f t="shared" si="4"/>
        <v/>
      </c>
      <c r="B37" s="249" t="str">
        <f t="shared" si="5"/>
        <v/>
      </c>
      <c r="C37" s="250"/>
      <c r="D37" s="251"/>
      <c r="E37" s="241"/>
      <c r="F37" s="252"/>
      <c r="G37" s="252"/>
      <c r="H37" s="253"/>
      <c r="I37" s="250"/>
      <c r="J37" s="250"/>
      <c r="K37" s="270"/>
      <c r="L37" s="250"/>
      <c r="M37" s="250"/>
      <c r="N37" s="553" t="str">
        <f>CONCATENATE(IF(OR(M37=phu!$I$1,M37=phu!$I$2,M37=phu!$I$3),"Cam Thành Nam",""),IF(OR(M37=phu!$I$4,M37=phu!$I$5,M37=phu!$I$6,M37=phu!$I$7,M37=phu!$I$8,M37=phu!$I$9,M37=phu!$I$10,M37=phu!$I$11,M37=phu!$I$12,M37=phu!$I$13,M37=phu!$I$14),"Cam Nghĩa",""),IF(OR(M37=phu!$I$15,M37=phu!$I$16,M37=phu!$I$17,M37=phu!$I$18,M37=phu!$I$19,M37=phu!$I$20,M37=phu!$I$21),"Cam Phúc Bắc",""),IF(OR(M37=phu!$I$22,M37=phu!$I$23,M37=phu!$I$24,M37=phu!$I$25),"Cam Phúc Nam",""),IF(OR(M37=phu!$I$26,M37=phu!$I$27,M37=phu!$I$28,M37=phu!$I$29,M37=phu!$I$30,M37=phu!$I$31),"Cam Phú",""),IF(OR(M37=phu!$I$32,M37=phu!$I$33,M37=phu!$I$34,M37=phu!$I$35,M37=phu!$I$36,M37=phu!$I$37),"Cam Lộc",""),IF(OR(M37=phu!$I$38,M37=phu!$I$39,M37=phu!$I$40,M37=phu!$I$41,M37=phu!$I$42,M37=phu!$I$43,M37=phu!$I$44),"Cam Thuận",""),IF(OR(M37=phu!$I$45,M37=phu!$I$46,M37=phu!$I$47,M37=phu!$I$48,M37=phu!$I$49,M37=phu!$I$50,M37=phu!$I$51,M37=phu!$I$52,M37=phu!$I$53),"Cam Linh",""),IF(OR(M37=phu!$I$54,M37=phu!$I$55,M37=phu!$I$56,M37=phu!$I$57,M37=phu!$I$58,M37=phu!$I$59,M37=phu!$I$60,M37=phu!$I$61,M37=phu!$I$62),"Cam Lợi",""),IF(OR(M37=phu!$I$63,M37=phu!$I$64,M37=phu!$I$65,M37=phu!$I$66,M37=phu!$I$67,M37=phu!$I$68,M37=phu!$I$69,M37=phu!$I$70,M37=phu!$I$71),"Ba Ngòi",""),IF(OR(M37=phu!$I$72,M37=phu!$I$73,M37=phu!$I$74,M37=phu!$I$75,M37=phu!$I$76,M37=phu!$I$77,M37=phu!$I$78),"Cam Phước Đông",""),IF(OR(M37=phu!$I$79,M37=phu!$I$80,M37=phu!$I$81,M37=phu!$I$82,M37=phu!$I$83,M37=phu!$I$84),"Cam Thịnh Đông",""),IF(OR(M37=phu!$I$85,M37=phu!$I$86,M37=phu!$I$87,M37=phu!$I$88),"Cam Thịnh Tây",""),IF(OR(M37=phu!$I$89,M37=phu!$I$90),"Cam Lập",""),IF(OR(M37=phu!$I$91,M37=phu!$I$92,M37=phu!$I$93),"Cam Bình",""),IF(OR(M37=phu!$I$94,M37=phu!$I$95,M37=phu!$I$96,M37=phu!$I$97,M37=phu!$I$98,M37=phu!$I$99,M37=phu!$I$100),"Huyện khác",""),IF(OR(M37=phu!$I$101,M37=phu!$I$102),"Tỉnh khác",""))</f>
        <v/>
      </c>
      <c r="O37" s="815" t="str">
        <f t="shared" si="1"/>
        <v/>
      </c>
      <c r="P37" s="256"/>
      <c r="Q37" s="256"/>
      <c r="R37" s="256"/>
      <c r="S37" s="254"/>
      <c r="T37" s="254"/>
      <c r="U37" s="254"/>
      <c r="V37" s="254"/>
      <c r="W37" s="254"/>
      <c r="Y37" s="246" t="str">
        <f t="shared" si="2"/>
        <v/>
      </c>
      <c r="Z37" s="247" t="str">
        <f t="shared" si="0"/>
        <v/>
      </c>
      <c r="AA37" s="246" t="str">
        <f t="shared" si="3"/>
        <v/>
      </c>
    </row>
    <row r="38" spans="1:27" ht="18" customHeight="1" x14ac:dyDescent="0.25">
      <c r="A38" s="248" t="str">
        <f t="shared" si="4"/>
        <v/>
      </c>
      <c r="B38" s="249" t="str">
        <f t="shared" si="5"/>
        <v/>
      </c>
      <c r="C38" s="250"/>
      <c r="D38" s="251"/>
      <c r="E38" s="241"/>
      <c r="F38" s="252"/>
      <c r="G38" s="252"/>
      <c r="H38" s="253"/>
      <c r="I38" s="250"/>
      <c r="J38" s="250"/>
      <c r="K38" s="270"/>
      <c r="L38" s="250"/>
      <c r="M38" s="250"/>
      <c r="N38" s="553" t="str">
        <f>CONCATENATE(IF(OR(M38=phu!$I$1,M38=phu!$I$2,M38=phu!$I$3),"Cam Thành Nam",""),IF(OR(M38=phu!$I$4,M38=phu!$I$5,M38=phu!$I$6,M38=phu!$I$7,M38=phu!$I$8,M38=phu!$I$9,M38=phu!$I$10,M38=phu!$I$11,M38=phu!$I$12,M38=phu!$I$13,M38=phu!$I$14),"Cam Nghĩa",""),IF(OR(M38=phu!$I$15,M38=phu!$I$16,M38=phu!$I$17,M38=phu!$I$18,M38=phu!$I$19,M38=phu!$I$20,M38=phu!$I$21),"Cam Phúc Bắc",""),IF(OR(M38=phu!$I$22,M38=phu!$I$23,M38=phu!$I$24,M38=phu!$I$25),"Cam Phúc Nam",""),IF(OR(M38=phu!$I$26,M38=phu!$I$27,M38=phu!$I$28,M38=phu!$I$29,M38=phu!$I$30,M38=phu!$I$31),"Cam Phú",""),IF(OR(M38=phu!$I$32,M38=phu!$I$33,M38=phu!$I$34,M38=phu!$I$35,M38=phu!$I$36,M38=phu!$I$37),"Cam Lộc",""),IF(OR(M38=phu!$I$38,M38=phu!$I$39,M38=phu!$I$40,M38=phu!$I$41,M38=phu!$I$42,M38=phu!$I$43,M38=phu!$I$44),"Cam Thuận",""),IF(OR(M38=phu!$I$45,M38=phu!$I$46,M38=phu!$I$47,M38=phu!$I$48,M38=phu!$I$49,M38=phu!$I$50,M38=phu!$I$51,M38=phu!$I$52,M38=phu!$I$53),"Cam Linh",""),IF(OR(M38=phu!$I$54,M38=phu!$I$55,M38=phu!$I$56,M38=phu!$I$57,M38=phu!$I$58,M38=phu!$I$59,M38=phu!$I$60,M38=phu!$I$61,M38=phu!$I$62),"Cam Lợi",""),IF(OR(M38=phu!$I$63,M38=phu!$I$64,M38=phu!$I$65,M38=phu!$I$66,M38=phu!$I$67,M38=phu!$I$68,M38=phu!$I$69,M38=phu!$I$70,M38=phu!$I$71),"Ba Ngòi",""),IF(OR(M38=phu!$I$72,M38=phu!$I$73,M38=phu!$I$74,M38=phu!$I$75,M38=phu!$I$76,M38=phu!$I$77,M38=phu!$I$78),"Cam Phước Đông",""),IF(OR(M38=phu!$I$79,M38=phu!$I$80,M38=phu!$I$81,M38=phu!$I$82,M38=phu!$I$83,M38=phu!$I$84),"Cam Thịnh Đông",""),IF(OR(M38=phu!$I$85,M38=phu!$I$86,M38=phu!$I$87,M38=phu!$I$88),"Cam Thịnh Tây",""),IF(OR(M38=phu!$I$89,M38=phu!$I$90),"Cam Lập",""),IF(OR(M38=phu!$I$91,M38=phu!$I$92,M38=phu!$I$93),"Cam Bình",""),IF(OR(M38=phu!$I$94,M38=phu!$I$95,M38=phu!$I$96,M38=phu!$I$97,M38=phu!$I$98,M38=phu!$I$99,M38=phu!$I$100),"Huyện khác",""),IF(OR(M38=phu!$I$101,M38=phu!$I$102),"Tỉnh khác",""))</f>
        <v/>
      </c>
      <c r="O38" s="815" t="str">
        <f t="shared" si="1"/>
        <v/>
      </c>
      <c r="P38" s="256"/>
      <c r="Q38" s="256"/>
      <c r="R38" s="256"/>
      <c r="S38" s="254"/>
      <c r="T38" s="254"/>
      <c r="U38" s="254"/>
      <c r="V38" s="254"/>
      <c r="W38" s="254"/>
      <c r="Y38" s="246" t="str">
        <f t="shared" si="2"/>
        <v/>
      </c>
      <c r="Z38" s="247" t="str">
        <f t="shared" si="0"/>
        <v/>
      </c>
      <c r="AA38" s="246" t="str">
        <f t="shared" si="3"/>
        <v/>
      </c>
    </row>
    <row r="39" spans="1:27" ht="18" customHeight="1" x14ac:dyDescent="0.25">
      <c r="A39" s="248" t="str">
        <f t="shared" si="4"/>
        <v/>
      </c>
      <c r="B39" s="249" t="str">
        <f t="shared" si="5"/>
        <v/>
      </c>
      <c r="C39" s="250"/>
      <c r="D39" s="251"/>
      <c r="E39" s="241"/>
      <c r="F39" s="252"/>
      <c r="G39" s="252"/>
      <c r="H39" s="253"/>
      <c r="I39" s="250"/>
      <c r="J39" s="250"/>
      <c r="K39" s="270"/>
      <c r="L39" s="250"/>
      <c r="M39" s="250"/>
      <c r="N39" s="553" t="str">
        <f>CONCATENATE(IF(OR(M39=phu!$I$1,M39=phu!$I$2,M39=phu!$I$3),"Cam Thành Nam",""),IF(OR(M39=phu!$I$4,M39=phu!$I$5,M39=phu!$I$6,M39=phu!$I$7,M39=phu!$I$8,M39=phu!$I$9,M39=phu!$I$10,M39=phu!$I$11,M39=phu!$I$12,M39=phu!$I$13,M39=phu!$I$14),"Cam Nghĩa",""),IF(OR(M39=phu!$I$15,M39=phu!$I$16,M39=phu!$I$17,M39=phu!$I$18,M39=phu!$I$19,M39=phu!$I$20,M39=phu!$I$21),"Cam Phúc Bắc",""),IF(OR(M39=phu!$I$22,M39=phu!$I$23,M39=phu!$I$24,M39=phu!$I$25),"Cam Phúc Nam",""),IF(OR(M39=phu!$I$26,M39=phu!$I$27,M39=phu!$I$28,M39=phu!$I$29,M39=phu!$I$30,M39=phu!$I$31),"Cam Phú",""),IF(OR(M39=phu!$I$32,M39=phu!$I$33,M39=phu!$I$34,M39=phu!$I$35,M39=phu!$I$36,M39=phu!$I$37),"Cam Lộc",""),IF(OR(M39=phu!$I$38,M39=phu!$I$39,M39=phu!$I$40,M39=phu!$I$41,M39=phu!$I$42,M39=phu!$I$43,M39=phu!$I$44),"Cam Thuận",""),IF(OR(M39=phu!$I$45,M39=phu!$I$46,M39=phu!$I$47,M39=phu!$I$48,M39=phu!$I$49,M39=phu!$I$50,M39=phu!$I$51,M39=phu!$I$52,M39=phu!$I$53),"Cam Linh",""),IF(OR(M39=phu!$I$54,M39=phu!$I$55,M39=phu!$I$56,M39=phu!$I$57,M39=phu!$I$58,M39=phu!$I$59,M39=phu!$I$60,M39=phu!$I$61,M39=phu!$I$62),"Cam Lợi",""),IF(OR(M39=phu!$I$63,M39=phu!$I$64,M39=phu!$I$65,M39=phu!$I$66,M39=phu!$I$67,M39=phu!$I$68,M39=phu!$I$69,M39=phu!$I$70,M39=phu!$I$71),"Ba Ngòi",""),IF(OR(M39=phu!$I$72,M39=phu!$I$73,M39=phu!$I$74,M39=phu!$I$75,M39=phu!$I$76,M39=phu!$I$77,M39=phu!$I$78),"Cam Phước Đông",""),IF(OR(M39=phu!$I$79,M39=phu!$I$80,M39=phu!$I$81,M39=phu!$I$82,M39=phu!$I$83,M39=phu!$I$84),"Cam Thịnh Đông",""),IF(OR(M39=phu!$I$85,M39=phu!$I$86,M39=phu!$I$87,M39=phu!$I$88),"Cam Thịnh Tây",""),IF(OR(M39=phu!$I$89,M39=phu!$I$90),"Cam Lập",""),IF(OR(M39=phu!$I$91,M39=phu!$I$92,M39=phu!$I$93),"Cam Bình",""),IF(OR(M39=phu!$I$94,M39=phu!$I$95,M39=phu!$I$96,M39=phu!$I$97,M39=phu!$I$98,M39=phu!$I$99,M39=phu!$I$100),"Huyện khác",""),IF(OR(M39=phu!$I$101,M39=phu!$I$102),"Tỉnh khác",""))</f>
        <v/>
      </c>
      <c r="O39" s="815" t="str">
        <f t="shared" si="1"/>
        <v/>
      </c>
      <c r="P39" s="256"/>
      <c r="Q39" s="256"/>
      <c r="R39" s="256"/>
      <c r="S39" s="254"/>
      <c r="T39" s="254"/>
      <c r="U39" s="254"/>
      <c r="V39" s="254"/>
      <c r="W39" s="254"/>
      <c r="Y39" s="246" t="str">
        <f t="shared" si="2"/>
        <v/>
      </c>
      <c r="Z39" s="247" t="str">
        <f t="shared" si="0"/>
        <v/>
      </c>
      <c r="AA39" s="246" t="str">
        <f t="shared" si="3"/>
        <v/>
      </c>
    </row>
    <row r="40" spans="1:27" ht="18" customHeight="1" x14ac:dyDescent="0.25">
      <c r="A40" s="248" t="str">
        <f t="shared" si="4"/>
        <v/>
      </c>
      <c r="B40" s="249" t="str">
        <f t="shared" si="5"/>
        <v/>
      </c>
      <c r="C40" s="250"/>
      <c r="D40" s="251"/>
      <c r="E40" s="241"/>
      <c r="F40" s="252"/>
      <c r="G40" s="252"/>
      <c r="H40" s="253"/>
      <c r="I40" s="250"/>
      <c r="J40" s="250"/>
      <c r="K40" s="270"/>
      <c r="L40" s="250"/>
      <c r="M40" s="250"/>
      <c r="N40" s="553" t="str">
        <f>CONCATENATE(IF(OR(M40=phu!$I$1,M40=phu!$I$2,M40=phu!$I$3),"Cam Thành Nam",""),IF(OR(M40=phu!$I$4,M40=phu!$I$5,M40=phu!$I$6,M40=phu!$I$7,M40=phu!$I$8,M40=phu!$I$9,M40=phu!$I$10,M40=phu!$I$11,M40=phu!$I$12,M40=phu!$I$13,M40=phu!$I$14),"Cam Nghĩa",""),IF(OR(M40=phu!$I$15,M40=phu!$I$16,M40=phu!$I$17,M40=phu!$I$18,M40=phu!$I$19,M40=phu!$I$20,M40=phu!$I$21),"Cam Phúc Bắc",""),IF(OR(M40=phu!$I$22,M40=phu!$I$23,M40=phu!$I$24,M40=phu!$I$25),"Cam Phúc Nam",""),IF(OR(M40=phu!$I$26,M40=phu!$I$27,M40=phu!$I$28,M40=phu!$I$29,M40=phu!$I$30,M40=phu!$I$31),"Cam Phú",""),IF(OR(M40=phu!$I$32,M40=phu!$I$33,M40=phu!$I$34,M40=phu!$I$35,M40=phu!$I$36,M40=phu!$I$37),"Cam Lộc",""),IF(OR(M40=phu!$I$38,M40=phu!$I$39,M40=phu!$I$40,M40=phu!$I$41,M40=phu!$I$42,M40=phu!$I$43,M40=phu!$I$44),"Cam Thuận",""),IF(OR(M40=phu!$I$45,M40=phu!$I$46,M40=phu!$I$47,M40=phu!$I$48,M40=phu!$I$49,M40=phu!$I$50,M40=phu!$I$51,M40=phu!$I$52,M40=phu!$I$53),"Cam Linh",""),IF(OR(M40=phu!$I$54,M40=phu!$I$55,M40=phu!$I$56,M40=phu!$I$57,M40=phu!$I$58,M40=phu!$I$59,M40=phu!$I$60,M40=phu!$I$61,M40=phu!$I$62),"Cam Lợi",""),IF(OR(M40=phu!$I$63,M40=phu!$I$64,M40=phu!$I$65,M40=phu!$I$66,M40=phu!$I$67,M40=phu!$I$68,M40=phu!$I$69,M40=phu!$I$70,M40=phu!$I$71),"Ba Ngòi",""),IF(OR(M40=phu!$I$72,M40=phu!$I$73,M40=phu!$I$74,M40=phu!$I$75,M40=phu!$I$76,M40=phu!$I$77,M40=phu!$I$78),"Cam Phước Đông",""),IF(OR(M40=phu!$I$79,M40=phu!$I$80,M40=phu!$I$81,M40=phu!$I$82,M40=phu!$I$83,M40=phu!$I$84),"Cam Thịnh Đông",""),IF(OR(M40=phu!$I$85,M40=phu!$I$86,M40=phu!$I$87,M40=phu!$I$88),"Cam Thịnh Tây",""),IF(OR(M40=phu!$I$89,M40=phu!$I$90),"Cam Lập",""),IF(OR(M40=phu!$I$91,M40=phu!$I$92,M40=phu!$I$93),"Cam Bình",""),IF(OR(M40=phu!$I$94,M40=phu!$I$95,M40=phu!$I$96,M40=phu!$I$97,M40=phu!$I$98,M40=phu!$I$99,M40=phu!$I$100),"Huyện khác",""),IF(OR(M40=phu!$I$101,M40=phu!$I$102),"Tỉnh khác",""))</f>
        <v/>
      </c>
      <c r="O40" s="815" t="str">
        <f t="shared" si="1"/>
        <v/>
      </c>
      <c r="P40" s="256"/>
      <c r="Q40" s="256"/>
      <c r="R40" s="256"/>
      <c r="S40" s="254"/>
      <c r="T40" s="254"/>
      <c r="U40" s="254"/>
      <c r="V40" s="254"/>
      <c r="W40" s="254"/>
      <c r="Y40" s="246" t="str">
        <f t="shared" si="2"/>
        <v/>
      </c>
      <c r="Z40" s="247" t="str">
        <f t="shared" si="0"/>
        <v/>
      </c>
      <c r="AA40" s="246" t="str">
        <f t="shared" si="3"/>
        <v/>
      </c>
    </row>
    <row r="41" spans="1:27" ht="18" customHeight="1" x14ac:dyDescent="0.25">
      <c r="A41" s="248" t="str">
        <f t="shared" si="4"/>
        <v/>
      </c>
      <c r="B41" s="249" t="str">
        <f t="shared" si="5"/>
        <v/>
      </c>
      <c r="C41" s="250"/>
      <c r="D41" s="251"/>
      <c r="E41" s="241"/>
      <c r="F41" s="252"/>
      <c r="G41" s="252"/>
      <c r="H41" s="253"/>
      <c r="I41" s="250"/>
      <c r="J41" s="250"/>
      <c r="K41" s="270"/>
      <c r="L41" s="250"/>
      <c r="M41" s="250"/>
      <c r="N41" s="553" t="str">
        <f>CONCATENATE(IF(OR(M41=phu!$I$1,M41=phu!$I$2,M41=phu!$I$3),"Cam Thành Nam",""),IF(OR(M41=phu!$I$4,M41=phu!$I$5,M41=phu!$I$6,M41=phu!$I$7,M41=phu!$I$8,M41=phu!$I$9,M41=phu!$I$10,M41=phu!$I$11,M41=phu!$I$12,M41=phu!$I$13,M41=phu!$I$14),"Cam Nghĩa",""),IF(OR(M41=phu!$I$15,M41=phu!$I$16,M41=phu!$I$17,M41=phu!$I$18,M41=phu!$I$19,M41=phu!$I$20,M41=phu!$I$21),"Cam Phúc Bắc",""),IF(OR(M41=phu!$I$22,M41=phu!$I$23,M41=phu!$I$24,M41=phu!$I$25),"Cam Phúc Nam",""),IF(OR(M41=phu!$I$26,M41=phu!$I$27,M41=phu!$I$28,M41=phu!$I$29,M41=phu!$I$30,M41=phu!$I$31),"Cam Phú",""),IF(OR(M41=phu!$I$32,M41=phu!$I$33,M41=phu!$I$34,M41=phu!$I$35,M41=phu!$I$36,M41=phu!$I$37),"Cam Lộc",""),IF(OR(M41=phu!$I$38,M41=phu!$I$39,M41=phu!$I$40,M41=phu!$I$41,M41=phu!$I$42,M41=phu!$I$43,M41=phu!$I$44),"Cam Thuận",""),IF(OR(M41=phu!$I$45,M41=phu!$I$46,M41=phu!$I$47,M41=phu!$I$48,M41=phu!$I$49,M41=phu!$I$50,M41=phu!$I$51,M41=phu!$I$52,M41=phu!$I$53),"Cam Linh",""),IF(OR(M41=phu!$I$54,M41=phu!$I$55,M41=phu!$I$56,M41=phu!$I$57,M41=phu!$I$58,M41=phu!$I$59,M41=phu!$I$60,M41=phu!$I$61,M41=phu!$I$62),"Cam Lợi",""),IF(OR(M41=phu!$I$63,M41=phu!$I$64,M41=phu!$I$65,M41=phu!$I$66,M41=phu!$I$67,M41=phu!$I$68,M41=phu!$I$69,M41=phu!$I$70,M41=phu!$I$71),"Ba Ngòi",""),IF(OR(M41=phu!$I$72,M41=phu!$I$73,M41=phu!$I$74,M41=phu!$I$75,M41=phu!$I$76,M41=phu!$I$77,M41=phu!$I$78),"Cam Phước Đông",""),IF(OR(M41=phu!$I$79,M41=phu!$I$80,M41=phu!$I$81,M41=phu!$I$82,M41=phu!$I$83,M41=phu!$I$84),"Cam Thịnh Đông",""),IF(OR(M41=phu!$I$85,M41=phu!$I$86,M41=phu!$I$87,M41=phu!$I$88),"Cam Thịnh Tây",""),IF(OR(M41=phu!$I$89,M41=phu!$I$90),"Cam Lập",""),IF(OR(M41=phu!$I$91,M41=phu!$I$92,M41=phu!$I$93),"Cam Bình",""),IF(OR(M41=phu!$I$94,M41=phu!$I$95,M41=phu!$I$96,M41=phu!$I$97,M41=phu!$I$98,M41=phu!$I$99,M41=phu!$I$100),"Huyện khác",""),IF(OR(M41=phu!$I$101,M41=phu!$I$102),"Tỉnh khác",""))</f>
        <v/>
      </c>
      <c r="O41" s="815" t="str">
        <f t="shared" si="1"/>
        <v/>
      </c>
      <c r="P41" s="256"/>
      <c r="Q41" s="256"/>
      <c r="R41" s="256"/>
      <c r="S41" s="254"/>
      <c r="T41" s="254"/>
      <c r="U41" s="254"/>
      <c r="V41" s="254"/>
      <c r="W41" s="254"/>
      <c r="Y41" s="246" t="str">
        <f t="shared" si="2"/>
        <v/>
      </c>
      <c r="Z41" s="247" t="str">
        <f t="shared" si="0"/>
        <v/>
      </c>
      <c r="AA41" s="246" t="str">
        <f t="shared" si="3"/>
        <v/>
      </c>
    </row>
    <row r="42" spans="1:27" ht="18" customHeight="1" x14ac:dyDescent="0.25">
      <c r="A42" s="248" t="str">
        <f t="shared" si="4"/>
        <v/>
      </c>
      <c r="B42" s="249" t="str">
        <f t="shared" si="5"/>
        <v/>
      </c>
      <c r="C42" s="250"/>
      <c r="D42" s="251"/>
      <c r="E42" s="241"/>
      <c r="F42" s="252"/>
      <c r="G42" s="252"/>
      <c r="H42" s="253"/>
      <c r="I42" s="250"/>
      <c r="J42" s="250"/>
      <c r="K42" s="270"/>
      <c r="L42" s="250"/>
      <c r="M42" s="250"/>
      <c r="N42" s="553" t="str">
        <f>CONCATENATE(IF(OR(M42=phu!$I$1,M42=phu!$I$2,M42=phu!$I$3),"Cam Thành Nam",""),IF(OR(M42=phu!$I$4,M42=phu!$I$5,M42=phu!$I$6,M42=phu!$I$7,M42=phu!$I$8,M42=phu!$I$9,M42=phu!$I$10,M42=phu!$I$11,M42=phu!$I$12,M42=phu!$I$13,M42=phu!$I$14),"Cam Nghĩa",""),IF(OR(M42=phu!$I$15,M42=phu!$I$16,M42=phu!$I$17,M42=phu!$I$18,M42=phu!$I$19,M42=phu!$I$20,M42=phu!$I$21),"Cam Phúc Bắc",""),IF(OR(M42=phu!$I$22,M42=phu!$I$23,M42=phu!$I$24,M42=phu!$I$25),"Cam Phúc Nam",""),IF(OR(M42=phu!$I$26,M42=phu!$I$27,M42=phu!$I$28,M42=phu!$I$29,M42=phu!$I$30,M42=phu!$I$31),"Cam Phú",""),IF(OR(M42=phu!$I$32,M42=phu!$I$33,M42=phu!$I$34,M42=phu!$I$35,M42=phu!$I$36,M42=phu!$I$37),"Cam Lộc",""),IF(OR(M42=phu!$I$38,M42=phu!$I$39,M42=phu!$I$40,M42=phu!$I$41,M42=phu!$I$42,M42=phu!$I$43,M42=phu!$I$44),"Cam Thuận",""),IF(OR(M42=phu!$I$45,M42=phu!$I$46,M42=phu!$I$47,M42=phu!$I$48,M42=phu!$I$49,M42=phu!$I$50,M42=phu!$I$51,M42=phu!$I$52,M42=phu!$I$53),"Cam Linh",""),IF(OR(M42=phu!$I$54,M42=phu!$I$55,M42=phu!$I$56,M42=phu!$I$57,M42=phu!$I$58,M42=phu!$I$59,M42=phu!$I$60,M42=phu!$I$61,M42=phu!$I$62),"Cam Lợi",""),IF(OR(M42=phu!$I$63,M42=phu!$I$64,M42=phu!$I$65,M42=phu!$I$66,M42=phu!$I$67,M42=phu!$I$68,M42=phu!$I$69,M42=phu!$I$70,M42=phu!$I$71),"Ba Ngòi",""),IF(OR(M42=phu!$I$72,M42=phu!$I$73,M42=phu!$I$74,M42=phu!$I$75,M42=phu!$I$76,M42=phu!$I$77,M42=phu!$I$78),"Cam Phước Đông",""),IF(OR(M42=phu!$I$79,M42=phu!$I$80,M42=phu!$I$81,M42=phu!$I$82,M42=phu!$I$83,M42=phu!$I$84),"Cam Thịnh Đông",""),IF(OR(M42=phu!$I$85,M42=phu!$I$86,M42=phu!$I$87,M42=phu!$I$88),"Cam Thịnh Tây",""),IF(OR(M42=phu!$I$89,M42=phu!$I$90),"Cam Lập",""),IF(OR(M42=phu!$I$91,M42=phu!$I$92,M42=phu!$I$93),"Cam Bình",""),IF(OR(M42=phu!$I$94,M42=phu!$I$95,M42=phu!$I$96,M42=phu!$I$97,M42=phu!$I$98,M42=phu!$I$99,M42=phu!$I$100),"Huyện khác",""),IF(OR(M42=phu!$I$101,M42=phu!$I$102),"Tỉnh khác",""))</f>
        <v/>
      </c>
      <c r="O42" s="815" t="str">
        <f t="shared" si="1"/>
        <v/>
      </c>
      <c r="P42" s="256"/>
      <c r="Q42" s="256"/>
      <c r="R42" s="256"/>
      <c r="S42" s="254"/>
      <c r="T42" s="254"/>
      <c r="U42" s="254"/>
      <c r="V42" s="254"/>
      <c r="W42" s="254"/>
      <c r="Y42" s="246" t="str">
        <f t="shared" si="2"/>
        <v/>
      </c>
      <c r="Z42" s="247" t="str">
        <f t="shared" si="0"/>
        <v/>
      </c>
      <c r="AA42" s="246" t="str">
        <f t="shared" si="3"/>
        <v/>
      </c>
    </row>
    <row r="43" spans="1:27" ht="18" customHeight="1" x14ac:dyDescent="0.25">
      <c r="A43" s="248" t="str">
        <f t="shared" si="4"/>
        <v/>
      </c>
      <c r="B43" s="249" t="str">
        <f t="shared" si="5"/>
        <v/>
      </c>
      <c r="C43" s="250"/>
      <c r="D43" s="251"/>
      <c r="E43" s="241"/>
      <c r="F43" s="252"/>
      <c r="G43" s="252"/>
      <c r="H43" s="253"/>
      <c r="I43" s="250"/>
      <c r="J43" s="250"/>
      <c r="K43" s="270"/>
      <c r="L43" s="250"/>
      <c r="M43" s="250"/>
      <c r="N43" s="553" t="str">
        <f>CONCATENATE(IF(OR(M43=phu!$I$1,M43=phu!$I$2,M43=phu!$I$3),"Cam Thành Nam",""),IF(OR(M43=phu!$I$4,M43=phu!$I$5,M43=phu!$I$6,M43=phu!$I$7,M43=phu!$I$8,M43=phu!$I$9,M43=phu!$I$10,M43=phu!$I$11,M43=phu!$I$12,M43=phu!$I$13,M43=phu!$I$14),"Cam Nghĩa",""),IF(OR(M43=phu!$I$15,M43=phu!$I$16,M43=phu!$I$17,M43=phu!$I$18,M43=phu!$I$19,M43=phu!$I$20,M43=phu!$I$21),"Cam Phúc Bắc",""),IF(OR(M43=phu!$I$22,M43=phu!$I$23,M43=phu!$I$24,M43=phu!$I$25),"Cam Phúc Nam",""),IF(OR(M43=phu!$I$26,M43=phu!$I$27,M43=phu!$I$28,M43=phu!$I$29,M43=phu!$I$30,M43=phu!$I$31),"Cam Phú",""),IF(OR(M43=phu!$I$32,M43=phu!$I$33,M43=phu!$I$34,M43=phu!$I$35,M43=phu!$I$36,M43=phu!$I$37),"Cam Lộc",""),IF(OR(M43=phu!$I$38,M43=phu!$I$39,M43=phu!$I$40,M43=phu!$I$41,M43=phu!$I$42,M43=phu!$I$43,M43=phu!$I$44),"Cam Thuận",""),IF(OR(M43=phu!$I$45,M43=phu!$I$46,M43=phu!$I$47,M43=phu!$I$48,M43=phu!$I$49,M43=phu!$I$50,M43=phu!$I$51,M43=phu!$I$52,M43=phu!$I$53),"Cam Linh",""),IF(OR(M43=phu!$I$54,M43=phu!$I$55,M43=phu!$I$56,M43=phu!$I$57,M43=phu!$I$58,M43=phu!$I$59,M43=phu!$I$60,M43=phu!$I$61,M43=phu!$I$62),"Cam Lợi",""),IF(OR(M43=phu!$I$63,M43=phu!$I$64,M43=phu!$I$65,M43=phu!$I$66,M43=phu!$I$67,M43=phu!$I$68,M43=phu!$I$69,M43=phu!$I$70,M43=phu!$I$71),"Ba Ngòi",""),IF(OR(M43=phu!$I$72,M43=phu!$I$73,M43=phu!$I$74,M43=phu!$I$75,M43=phu!$I$76,M43=phu!$I$77,M43=phu!$I$78),"Cam Phước Đông",""),IF(OR(M43=phu!$I$79,M43=phu!$I$80,M43=phu!$I$81,M43=phu!$I$82,M43=phu!$I$83,M43=phu!$I$84),"Cam Thịnh Đông",""),IF(OR(M43=phu!$I$85,M43=phu!$I$86,M43=phu!$I$87,M43=phu!$I$88),"Cam Thịnh Tây",""),IF(OR(M43=phu!$I$89,M43=phu!$I$90),"Cam Lập",""),IF(OR(M43=phu!$I$91,M43=phu!$I$92,M43=phu!$I$93),"Cam Bình",""),IF(OR(M43=phu!$I$94,M43=phu!$I$95,M43=phu!$I$96,M43=phu!$I$97,M43=phu!$I$98,M43=phu!$I$99,M43=phu!$I$100),"Huyện khác",""),IF(OR(M43=phu!$I$101,M43=phu!$I$102),"Tỉnh khác",""))</f>
        <v/>
      </c>
      <c r="O43" s="815" t="str">
        <f t="shared" si="1"/>
        <v/>
      </c>
      <c r="P43" s="256"/>
      <c r="Q43" s="256"/>
      <c r="R43" s="256"/>
      <c r="S43" s="254"/>
      <c r="T43" s="254"/>
      <c r="U43" s="254"/>
      <c r="V43" s="254"/>
      <c r="W43" s="254"/>
      <c r="Y43" s="246" t="str">
        <f t="shared" si="2"/>
        <v/>
      </c>
      <c r="Z43" s="247" t="str">
        <f t="shared" si="0"/>
        <v/>
      </c>
      <c r="AA43" s="246" t="str">
        <f t="shared" si="3"/>
        <v/>
      </c>
    </row>
    <row r="44" spans="1:27" ht="18" customHeight="1" x14ac:dyDescent="0.25">
      <c r="A44" s="248" t="str">
        <f t="shared" si="4"/>
        <v/>
      </c>
      <c r="B44" s="249" t="str">
        <f t="shared" si="5"/>
        <v/>
      </c>
      <c r="C44" s="250"/>
      <c r="D44" s="251"/>
      <c r="E44" s="241"/>
      <c r="F44" s="252"/>
      <c r="G44" s="252"/>
      <c r="H44" s="253"/>
      <c r="I44" s="250"/>
      <c r="J44" s="250"/>
      <c r="K44" s="270"/>
      <c r="L44" s="250"/>
      <c r="M44" s="250"/>
      <c r="N44" s="553" t="str">
        <f>CONCATENATE(IF(OR(M44=phu!$I$1,M44=phu!$I$2,M44=phu!$I$3),"Cam Thành Nam",""),IF(OR(M44=phu!$I$4,M44=phu!$I$5,M44=phu!$I$6,M44=phu!$I$7,M44=phu!$I$8,M44=phu!$I$9,M44=phu!$I$10,M44=phu!$I$11,M44=phu!$I$12,M44=phu!$I$13,M44=phu!$I$14),"Cam Nghĩa",""),IF(OR(M44=phu!$I$15,M44=phu!$I$16,M44=phu!$I$17,M44=phu!$I$18,M44=phu!$I$19,M44=phu!$I$20,M44=phu!$I$21),"Cam Phúc Bắc",""),IF(OR(M44=phu!$I$22,M44=phu!$I$23,M44=phu!$I$24,M44=phu!$I$25),"Cam Phúc Nam",""),IF(OR(M44=phu!$I$26,M44=phu!$I$27,M44=phu!$I$28,M44=phu!$I$29,M44=phu!$I$30,M44=phu!$I$31),"Cam Phú",""),IF(OR(M44=phu!$I$32,M44=phu!$I$33,M44=phu!$I$34,M44=phu!$I$35,M44=phu!$I$36,M44=phu!$I$37),"Cam Lộc",""),IF(OR(M44=phu!$I$38,M44=phu!$I$39,M44=phu!$I$40,M44=phu!$I$41,M44=phu!$I$42,M44=phu!$I$43,M44=phu!$I$44),"Cam Thuận",""),IF(OR(M44=phu!$I$45,M44=phu!$I$46,M44=phu!$I$47,M44=phu!$I$48,M44=phu!$I$49,M44=phu!$I$50,M44=phu!$I$51,M44=phu!$I$52,M44=phu!$I$53),"Cam Linh",""),IF(OR(M44=phu!$I$54,M44=phu!$I$55,M44=phu!$I$56,M44=phu!$I$57,M44=phu!$I$58,M44=phu!$I$59,M44=phu!$I$60,M44=phu!$I$61,M44=phu!$I$62),"Cam Lợi",""),IF(OR(M44=phu!$I$63,M44=phu!$I$64,M44=phu!$I$65,M44=phu!$I$66,M44=phu!$I$67,M44=phu!$I$68,M44=phu!$I$69,M44=phu!$I$70,M44=phu!$I$71),"Ba Ngòi",""),IF(OR(M44=phu!$I$72,M44=phu!$I$73,M44=phu!$I$74,M44=phu!$I$75,M44=phu!$I$76,M44=phu!$I$77,M44=phu!$I$78),"Cam Phước Đông",""),IF(OR(M44=phu!$I$79,M44=phu!$I$80,M44=phu!$I$81,M44=phu!$I$82,M44=phu!$I$83,M44=phu!$I$84),"Cam Thịnh Đông",""),IF(OR(M44=phu!$I$85,M44=phu!$I$86,M44=phu!$I$87,M44=phu!$I$88),"Cam Thịnh Tây",""),IF(OR(M44=phu!$I$89,M44=phu!$I$90),"Cam Lập",""),IF(OR(M44=phu!$I$91,M44=phu!$I$92,M44=phu!$I$93),"Cam Bình",""),IF(OR(M44=phu!$I$94,M44=phu!$I$95,M44=phu!$I$96,M44=phu!$I$97,M44=phu!$I$98,M44=phu!$I$99,M44=phu!$I$100),"Huyện khác",""),IF(OR(M44=phu!$I$101,M44=phu!$I$102),"Tỉnh khác",""))</f>
        <v/>
      </c>
      <c r="O44" s="815" t="str">
        <f t="shared" si="1"/>
        <v/>
      </c>
      <c r="P44" s="256"/>
      <c r="Q44" s="256"/>
      <c r="R44" s="256"/>
      <c r="S44" s="254"/>
      <c r="T44" s="254"/>
      <c r="U44" s="254"/>
      <c r="V44" s="254"/>
      <c r="W44" s="254"/>
      <c r="Y44" s="246" t="str">
        <f t="shared" si="2"/>
        <v/>
      </c>
      <c r="Z44" s="247" t="str">
        <f t="shared" si="0"/>
        <v/>
      </c>
      <c r="AA44" s="246" t="str">
        <f t="shared" si="3"/>
        <v/>
      </c>
    </row>
    <row r="45" spans="1:27" ht="18" customHeight="1" x14ac:dyDescent="0.25">
      <c r="A45" s="248" t="str">
        <f t="shared" si="4"/>
        <v/>
      </c>
      <c r="B45" s="249" t="str">
        <f t="shared" si="5"/>
        <v/>
      </c>
      <c r="C45" s="250"/>
      <c r="D45" s="251"/>
      <c r="E45" s="241"/>
      <c r="F45" s="252"/>
      <c r="G45" s="252"/>
      <c r="H45" s="253"/>
      <c r="I45" s="250"/>
      <c r="J45" s="250"/>
      <c r="K45" s="270"/>
      <c r="L45" s="250"/>
      <c r="M45" s="250"/>
      <c r="N45" s="553" t="str">
        <f>CONCATENATE(IF(OR(M45=phu!$I$1,M45=phu!$I$2,M45=phu!$I$3),"Cam Thành Nam",""),IF(OR(M45=phu!$I$4,M45=phu!$I$5,M45=phu!$I$6,M45=phu!$I$7,M45=phu!$I$8,M45=phu!$I$9,M45=phu!$I$10,M45=phu!$I$11,M45=phu!$I$12,M45=phu!$I$13,M45=phu!$I$14),"Cam Nghĩa",""),IF(OR(M45=phu!$I$15,M45=phu!$I$16,M45=phu!$I$17,M45=phu!$I$18,M45=phu!$I$19,M45=phu!$I$20,M45=phu!$I$21),"Cam Phúc Bắc",""),IF(OR(M45=phu!$I$22,M45=phu!$I$23,M45=phu!$I$24,M45=phu!$I$25),"Cam Phúc Nam",""),IF(OR(M45=phu!$I$26,M45=phu!$I$27,M45=phu!$I$28,M45=phu!$I$29,M45=phu!$I$30,M45=phu!$I$31),"Cam Phú",""),IF(OR(M45=phu!$I$32,M45=phu!$I$33,M45=phu!$I$34,M45=phu!$I$35,M45=phu!$I$36,M45=phu!$I$37),"Cam Lộc",""),IF(OR(M45=phu!$I$38,M45=phu!$I$39,M45=phu!$I$40,M45=phu!$I$41,M45=phu!$I$42,M45=phu!$I$43,M45=phu!$I$44),"Cam Thuận",""),IF(OR(M45=phu!$I$45,M45=phu!$I$46,M45=phu!$I$47,M45=phu!$I$48,M45=phu!$I$49,M45=phu!$I$50,M45=phu!$I$51,M45=phu!$I$52,M45=phu!$I$53),"Cam Linh",""),IF(OR(M45=phu!$I$54,M45=phu!$I$55,M45=phu!$I$56,M45=phu!$I$57,M45=phu!$I$58,M45=phu!$I$59,M45=phu!$I$60,M45=phu!$I$61,M45=phu!$I$62),"Cam Lợi",""),IF(OR(M45=phu!$I$63,M45=phu!$I$64,M45=phu!$I$65,M45=phu!$I$66,M45=phu!$I$67,M45=phu!$I$68,M45=phu!$I$69,M45=phu!$I$70,M45=phu!$I$71),"Ba Ngòi",""),IF(OR(M45=phu!$I$72,M45=phu!$I$73,M45=phu!$I$74,M45=phu!$I$75,M45=phu!$I$76,M45=phu!$I$77,M45=phu!$I$78),"Cam Phước Đông",""),IF(OR(M45=phu!$I$79,M45=phu!$I$80,M45=phu!$I$81,M45=phu!$I$82,M45=phu!$I$83,M45=phu!$I$84),"Cam Thịnh Đông",""),IF(OR(M45=phu!$I$85,M45=phu!$I$86,M45=phu!$I$87,M45=phu!$I$88),"Cam Thịnh Tây",""),IF(OR(M45=phu!$I$89,M45=phu!$I$90),"Cam Lập",""),IF(OR(M45=phu!$I$91,M45=phu!$I$92,M45=phu!$I$93),"Cam Bình",""),IF(OR(M45=phu!$I$94,M45=phu!$I$95,M45=phu!$I$96,M45=phu!$I$97,M45=phu!$I$98,M45=phu!$I$99,M45=phu!$I$100),"Huyện khác",""),IF(OR(M45=phu!$I$101,M45=phu!$I$102),"Tỉnh khác",""))</f>
        <v/>
      </c>
      <c r="O45" s="815" t="str">
        <f t="shared" si="1"/>
        <v/>
      </c>
      <c r="P45" s="256"/>
      <c r="Q45" s="256"/>
      <c r="R45" s="256"/>
      <c r="S45" s="254"/>
      <c r="T45" s="254"/>
      <c r="U45" s="254"/>
      <c r="V45" s="254"/>
      <c r="W45" s="254"/>
      <c r="Y45" s="246" t="str">
        <f t="shared" si="2"/>
        <v/>
      </c>
      <c r="Z45" s="247" t="str">
        <f t="shared" si="0"/>
        <v/>
      </c>
      <c r="AA45" s="246" t="str">
        <f t="shared" si="3"/>
        <v/>
      </c>
    </row>
    <row r="46" spans="1:27" ht="18" customHeight="1" x14ac:dyDescent="0.25">
      <c r="A46" s="248" t="str">
        <f t="shared" si="4"/>
        <v/>
      </c>
      <c r="B46" s="249" t="str">
        <f t="shared" si="5"/>
        <v/>
      </c>
      <c r="C46" s="250"/>
      <c r="D46" s="251"/>
      <c r="E46" s="241"/>
      <c r="F46" s="252"/>
      <c r="G46" s="252"/>
      <c r="H46" s="253"/>
      <c r="I46" s="250"/>
      <c r="J46" s="250"/>
      <c r="K46" s="270"/>
      <c r="L46" s="250"/>
      <c r="M46" s="250"/>
      <c r="N46" s="553" t="str">
        <f>CONCATENATE(IF(OR(M46=phu!$I$1,M46=phu!$I$2,M46=phu!$I$3),"Cam Thành Nam",""),IF(OR(M46=phu!$I$4,M46=phu!$I$5,M46=phu!$I$6,M46=phu!$I$7,M46=phu!$I$8,M46=phu!$I$9,M46=phu!$I$10,M46=phu!$I$11,M46=phu!$I$12,M46=phu!$I$13,M46=phu!$I$14),"Cam Nghĩa",""),IF(OR(M46=phu!$I$15,M46=phu!$I$16,M46=phu!$I$17,M46=phu!$I$18,M46=phu!$I$19,M46=phu!$I$20,M46=phu!$I$21),"Cam Phúc Bắc",""),IF(OR(M46=phu!$I$22,M46=phu!$I$23,M46=phu!$I$24,M46=phu!$I$25),"Cam Phúc Nam",""),IF(OR(M46=phu!$I$26,M46=phu!$I$27,M46=phu!$I$28,M46=phu!$I$29,M46=phu!$I$30,M46=phu!$I$31),"Cam Phú",""),IF(OR(M46=phu!$I$32,M46=phu!$I$33,M46=phu!$I$34,M46=phu!$I$35,M46=phu!$I$36,M46=phu!$I$37),"Cam Lộc",""),IF(OR(M46=phu!$I$38,M46=phu!$I$39,M46=phu!$I$40,M46=phu!$I$41,M46=phu!$I$42,M46=phu!$I$43,M46=phu!$I$44),"Cam Thuận",""),IF(OR(M46=phu!$I$45,M46=phu!$I$46,M46=phu!$I$47,M46=phu!$I$48,M46=phu!$I$49,M46=phu!$I$50,M46=phu!$I$51,M46=phu!$I$52,M46=phu!$I$53),"Cam Linh",""),IF(OR(M46=phu!$I$54,M46=phu!$I$55,M46=phu!$I$56,M46=phu!$I$57,M46=phu!$I$58,M46=phu!$I$59,M46=phu!$I$60,M46=phu!$I$61,M46=phu!$I$62),"Cam Lợi",""),IF(OR(M46=phu!$I$63,M46=phu!$I$64,M46=phu!$I$65,M46=phu!$I$66,M46=phu!$I$67,M46=phu!$I$68,M46=phu!$I$69,M46=phu!$I$70,M46=phu!$I$71),"Ba Ngòi",""),IF(OR(M46=phu!$I$72,M46=phu!$I$73,M46=phu!$I$74,M46=phu!$I$75,M46=phu!$I$76,M46=phu!$I$77,M46=phu!$I$78),"Cam Phước Đông",""),IF(OR(M46=phu!$I$79,M46=phu!$I$80,M46=phu!$I$81,M46=phu!$I$82,M46=phu!$I$83,M46=phu!$I$84),"Cam Thịnh Đông",""),IF(OR(M46=phu!$I$85,M46=phu!$I$86,M46=phu!$I$87,M46=phu!$I$88),"Cam Thịnh Tây",""),IF(OR(M46=phu!$I$89,M46=phu!$I$90),"Cam Lập",""),IF(OR(M46=phu!$I$91,M46=phu!$I$92,M46=phu!$I$93),"Cam Bình",""),IF(OR(M46=phu!$I$94,M46=phu!$I$95,M46=phu!$I$96,M46=phu!$I$97,M46=phu!$I$98,M46=phu!$I$99,M46=phu!$I$100),"Huyện khác",""),IF(OR(M46=phu!$I$101,M46=phu!$I$102),"Tỉnh khác",""))</f>
        <v/>
      </c>
      <c r="O46" s="815" t="str">
        <f t="shared" si="1"/>
        <v/>
      </c>
      <c r="P46" s="256"/>
      <c r="Q46" s="256"/>
      <c r="R46" s="256"/>
      <c r="S46" s="254"/>
      <c r="T46" s="254"/>
      <c r="U46" s="254"/>
      <c r="V46" s="254"/>
      <c r="W46" s="254"/>
      <c r="Y46" s="246" t="str">
        <f t="shared" si="2"/>
        <v/>
      </c>
      <c r="Z46" s="247" t="str">
        <f t="shared" si="0"/>
        <v/>
      </c>
      <c r="AA46" s="246" t="str">
        <f t="shared" si="3"/>
        <v/>
      </c>
    </row>
    <row r="47" spans="1:27" ht="18" customHeight="1" x14ac:dyDescent="0.25">
      <c r="A47" s="248" t="str">
        <f t="shared" si="4"/>
        <v/>
      </c>
      <c r="B47" s="249" t="str">
        <f t="shared" si="5"/>
        <v/>
      </c>
      <c r="C47" s="250"/>
      <c r="D47" s="251"/>
      <c r="E47" s="241"/>
      <c r="F47" s="252"/>
      <c r="G47" s="252"/>
      <c r="H47" s="253"/>
      <c r="I47" s="250"/>
      <c r="J47" s="250"/>
      <c r="K47" s="270"/>
      <c r="L47" s="250"/>
      <c r="M47" s="250"/>
      <c r="N47" s="553" t="str">
        <f>CONCATENATE(IF(OR(M47=phu!$I$1,M47=phu!$I$2,M47=phu!$I$3),"Cam Thành Nam",""),IF(OR(M47=phu!$I$4,M47=phu!$I$5,M47=phu!$I$6,M47=phu!$I$7,M47=phu!$I$8,M47=phu!$I$9,M47=phu!$I$10,M47=phu!$I$11,M47=phu!$I$12,M47=phu!$I$13,M47=phu!$I$14),"Cam Nghĩa",""),IF(OR(M47=phu!$I$15,M47=phu!$I$16,M47=phu!$I$17,M47=phu!$I$18,M47=phu!$I$19,M47=phu!$I$20,M47=phu!$I$21),"Cam Phúc Bắc",""),IF(OR(M47=phu!$I$22,M47=phu!$I$23,M47=phu!$I$24,M47=phu!$I$25),"Cam Phúc Nam",""),IF(OR(M47=phu!$I$26,M47=phu!$I$27,M47=phu!$I$28,M47=phu!$I$29,M47=phu!$I$30,M47=phu!$I$31),"Cam Phú",""),IF(OR(M47=phu!$I$32,M47=phu!$I$33,M47=phu!$I$34,M47=phu!$I$35,M47=phu!$I$36,M47=phu!$I$37),"Cam Lộc",""),IF(OR(M47=phu!$I$38,M47=phu!$I$39,M47=phu!$I$40,M47=phu!$I$41,M47=phu!$I$42,M47=phu!$I$43,M47=phu!$I$44),"Cam Thuận",""),IF(OR(M47=phu!$I$45,M47=phu!$I$46,M47=phu!$I$47,M47=phu!$I$48,M47=phu!$I$49,M47=phu!$I$50,M47=phu!$I$51,M47=phu!$I$52,M47=phu!$I$53),"Cam Linh",""),IF(OR(M47=phu!$I$54,M47=phu!$I$55,M47=phu!$I$56,M47=phu!$I$57,M47=phu!$I$58,M47=phu!$I$59,M47=phu!$I$60,M47=phu!$I$61,M47=phu!$I$62),"Cam Lợi",""),IF(OR(M47=phu!$I$63,M47=phu!$I$64,M47=phu!$I$65,M47=phu!$I$66,M47=phu!$I$67,M47=phu!$I$68,M47=phu!$I$69,M47=phu!$I$70,M47=phu!$I$71),"Ba Ngòi",""),IF(OR(M47=phu!$I$72,M47=phu!$I$73,M47=phu!$I$74,M47=phu!$I$75,M47=phu!$I$76,M47=phu!$I$77,M47=phu!$I$78),"Cam Phước Đông",""),IF(OR(M47=phu!$I$79,M47=phu!$I$80,M47=phu!$I$81,M47=phu!$I$82,M47=phu!$I$83,M47=phu!$I$84),"Cam Thịnh Đông",""),IF(OR(M47=phu!$I$85,M47=phu!$I$86,M47=phu!$I$87,M47=phu!$I$88),"Cam Thịnh Tây",""),IF(OR(M47=phu!$I$89,M47=phu!$I$90),"Cam Lập",""),IF(OR(M47=phu!$I$91,M47=phu!$I$92,M47=phu!$I$93),"Cam Bình",""),IF(OR(M47=phu!$I$94,M47=phu!$I$95,M47=phu!$I$96,M47=phu!$I$97,M47=phu!$I$98,M47=phu!$I$99,M47=phu!$I$100),"Huyện khác",""),IF(OR(M47=phu!$I$101,M47=phu!$I$102),"Tỉnh khác",""))</f>
        <v/>
      </c>
      <c r="O47" s="815" t="str">
        <f t="shared" si="1"/>
        <v/>
      </c>
      <c r="P47" s="256"/>
      <c r="Q47" s="256"/>
      <c r="R47" s="256"/>
      <c r="S47" s="254"/>
      <c r="T47" s="254"/>
      <c r="U47" s="254"/>
      <c r="V47" s="254"/>
      <c r="W47" s="254"/>
      <c r="Y47" s="246" t="str">
        <f t="shared" si="2"/>
        <v/>
      </c>
      <c r="Z47" s="247" t="str">
        <f t="shared" si="0"/>
        <v/>
      </c>
      <c r="AA47" s="246" t="str">
        <f t="shared" si="3"/>
        <v/>
      </c>
    </row>
    <row r="48" spans="1:27" ht="18" customHeight="1" x14ac:dyDescent="0.25">
      <c r="A48" s="248" t="str">
        <f t="shared" si="4"/>
        <v/>
      </c>
      <c r="B48" s="249" t="str">
        <f t="shared" si="5"/>
        <v/>
      </c>
      <c r="C48" s="250"/>
      <c r="D48" s="251"/>
      <c r="E48" s="241"/>
      <c r="F48" s="252"/>
      <c r="G48" s="252"/>
      <c r="H48" s="253"/>
      <c r="I48" s="250"/>
      <c r="J48" s="250"/>
      <c r="K48" s="270"/>
      <c r="L48" s="250"/>
      <c r="M48" s="250"/>
      <c r="N48" s="553" t="str">
        <f>CONCATENATE(IF(OR(M48=phu!$I$1,M48=phu!$I$2,M48=phu!$I$3),"Cam Thành Nam",""),IF(OR(M48=phu!$I$4,M48=phu!$I$5,M48=phu!$I$6,M48=phu!$I$7,M48=phu!$I$8,M48=phu!$I$9,M48=phu!$I$10,M48=phu!$I$11,M48=phu!$I$12,M48=phu!$I$13,M48=phu!$I$14),"Cam Nghĩa",""),IF(OR(M48=phu!$I$15,M48=phu!$I$16,M48=phu!$I$17,M48=phu!$I$18,M48=phu!$I$19,M48=phu!$I$20,M48=phu!$I$21),"Cam Phúc Bắc",""),IF(OR(M48=phu!$I$22,M48=phu!$I$23,M48=phu!$I$24,M48=phu!$I$25),"Cam Phúc Nam",""),IF(OR(M48=phu!$I$26,M48=phu!$I$27,M48=phu!$I$28,M48=phu!$I$29,M48=phu!$I$30,M48=phu!$I$31),"Cam Phú",""),IF(OR(M48=phu!$I$32,M48=phu!$I$33,M48=phu!$I$34,M48=phu!$I$35,M48=phu!$I$36,M48=phu!$I$37),"Cam Lộc",""),IF(OR(M48=phu!$I$38,M48=phu!$I$39,M48=phu!$I$40,M48=phu!$I$41,M48=phu!$I$42,M48=phu!$I$43,M48=phu!$I$44),"Cam Thuận",""),IF(OR(M48=phu!$I$45,M48=phu!$I$46,M48=phu!$I$47,M48=phu!$I$48,M48=phu!$I$49,M48=phu!$I$50,M48=phu!$I$51,M48=phu!$I$52,M48=phu!$I$53),"Cam Linh",""),IF(OR(M48=phu!$I$54,M48=phu!$I$55,M48=phu!$I$56,M48=phu!$I$57,M48=phu!$I$58,M48=phu!$I$59,M48=phu!$I$60,M48=phu!$I$61,M48=phu!$I$62),"Cam Lợi",""),IF(OR(M48=phu!$I$63,M48=phu!$I$64,M48=phu!$I$65,M48=phu!$I$66,M48=phu!$I$67,M48=phu!$I$68,M48=phu!$I$69,M48=phu!$I$70,M48=phu!$I$71),"Ba Ngòi",""),IF(OR(M48=phu!$I$72,M48=phu!$I$73,M48=phu!$I$74,M48=phu!$I$75,M48=phu!$I$76,M48=phu!$I$77,M48=phu!$I$78),"Cam Phước Đông",""),IF(OR(M48=phu!$I$79,M48=phu!$I$80,M48=phu!$I$81,M48=phu!$I$82,M48=phu!$I$83,M48=phu!$I$84),"Cam Thịnh Đông",""),IF(OR(M48=phu!$I$85,M48=phu!$I$86,M48=phu!$I$87,M48=phu!$I$88),"Cam Thịnh Tây",""),IF(OR(M48=phu!$I$89,M48=phu!$I$90),"Cam Lập",""),IF(OR(M48=phu!$I$91,M48=phu!$I$92,M48=phu!$I$93),"Cam Bình",""),IF(OR(M48=phu!$I$94,M48=phu!$I$95,M48=phu!$I$96,M48=phu!$I$97,M48=phu!$I$98,M48=phu!$I$99,M48=phu!$I$100),"Huyện khác",""),IF(OR(M48=phu!$I$101,M48=phu!$I$102),"Tỉnh khác",""))</f>
        <v/>
      </c>
      <c r="O48" s="815" t="str">
        <f t="shared" si="1"/>
        <v/>
      </c>
      <c r="P48" s="256"/>
      <c r="Q48" s="256"/>
      <c r="R48" s="256"/>
      <c r="S48" s="254"/>
      <c r="T48" s="254"/>
      <c r="U48" s="254"/>
      <c r="V48" s="254"/>
      <c r="W48" s="254"/>
      <c r="Y48" s="246" t="str">
        <f t="shared" si="2"/>
        <v/>
      </c>
      <c r="Z48" s="247" t="str">
        <f t="shared" si="0"/>
        <v/>
      </c>
      <c r="AA48" s="246" t="str">
        <f t="shared" si="3"/>
        <v/>
      </c>
    </row>
    <row r="49" spans="1:27" ht="18" customHeight="1" x14ac:dyDescent="0.25">
      <c r="A49" s="248" t="str">
        <f t="shared" si="4"/>
        <v/>
      </c>
      <c r="B49" s="249" t="str">
        <f t="shared" si="5"/>
        <v/>
      </c>
      <c r="C49" s="250"/>
      <c r="D49" s="251"/>
      <c r="E49" s="241"/>
      <c r="F49" s="252"/>
      <c r="G49" s="252"/>
      <c r="H49" s="253"/>
      <c r="I49" s="250"/>
      <c r="J49" s="250"/>
      <c r="K49" s="270"/>
      <c r="L49" s="250"/>
      <c r="M49" s="250"/>
      <c r="N49" s="553" t="str">
        <f>CONCATENATE(IF(OR(M49=phu!$I$1,M49=phu!$I$2,M49=phu!$I$3),"Cam Thành Nam",""),IF(OR(M49=phu!$I$4,M49=phu!$I$5,M49=phu!$I$6,M49=phu!$I$7,M49=phu!$I$8,M49=phu!$I$9,M49=phu!$I$10,M49=phu!$I$11,M49=phu!$I$12,M49=phu!$I$13,M49=phu!$I$14),"Cam Nghĩa",""),IF(OR(M49=phu!$I$15,M49=phu!$I$16,M49=phu!$I$17,M49=phu!$I$18,M49=phu!$I$19,M49=phu!$I$20,M49=phu!$I$21),"Cam Phúc Bắc",""),IF(OR(M49=phu!$I$22,M49=phu!$I$23,M49=phu!$I$24,M49=phu!$I$25),"Cam Phúc Nam",""),IF(OR(M49=phu!$I$26,M49=phu!$I$27,M49=phu!$I$28,M49=phu!$I$29,M49=phu!$I$30,M49=phu!$I$31),"Cam Phú",""),IF(OR(M49=phu!$I$32,M49=phu!$I$33,M49=phu!$I$34,M49=phu!$I$35,M49=phu!$I$36,M49=phu!$I$37),"Cam Lộc",""),IF(OR(M49=phu!$I$38,M49=phu!$I$39,M49=phu!$I$40,M49=phu!$I$41,M49=phu!$I$42,M49=phu!$I$43,M49=phu!$I$44),"Cam Thuận",""),IF(OR(M49=phu!$I$45,M49=phu!$I$46,M49=phu!$I$47,M49=phu!$I$48,M49=phu!$I$49,M49=phu!$I$50,M49=phu!$I$51,M49=phu!$I$52,M49=phu!$I$53),"Cam Linh",""),IF(OR(M49=phu!$I$54,M49=phu!$I$55,M49=phu!$I$56,M49=phu!$I$57,M49=phu!$I$58,M49=phu!$I$59,M49=phu!$I$60,M49=phu!$I$61,M49=phu!$I$62),"Cam Lợi",""),IF(OR(M49=phu!$I$63,M49=phu!$I$64,M49=phu!$I$65,M49=phu!$I$66,M49=phu!$I$67,M49=phu!$I$68,M49=phu!$I$69,M49=phu!$I$70,M49=phu!$I$71),"Ba Ngòi",""),IF(OR(M49=phu!$I$72,M49=phu!$I$73,M49=phu!$I$74,M49=phu!$I$75,M49=phu!$I$76,M49=phu!$I$77,M49=phu!$I$78),"Cam Phước Đông",""),IF(OR(M49=phu!$I$79,M49=phu!$I$80,M49=phu!$I$81,M49=phu!$I$82,M49=phu!$I$83,M49=phu!$I$84),"Cam Thịnh Đông",""),IF(OR(M49=phu!$I$85,M49=phu!$I$86,M49=phu!$I$87,M49=phu!$I$88),"Cam Thịnh Tây",""),IF(OR(M49=phu!$I$89,M49=phu!$I$90),"Cam Lập",""),IF(OR(M49=phu!$I$91,M49=phu!$I$92,M49=phu!$I$93),"Cam Bình",""),IF(OR(M49=phu!$I$94,M49=phu!$I$95,M49=phu!$I$96,M49=phu!$I$97,M49=phu!$I$98,M49=phu!$I$99,M49=phu!$I$100),"Huyện khác",""),IF(OR(M49=phu!$I$101,M49=phu!$I$102),"Tỉnh khác",""))</f>
        <v/>
      </c>
      <c r="O49" s="815" t="str">
        <f t="shared" si="1"/>
        <v/>
      </c>
      <c r="P49" s="256"/>
      <c r="Q49" s="256"/>
      <c r="R49" s="256"/>
      <c r="S49" s="254"/>
      <c r="T49" s="254"/>
      <c r="U49" s="254"/>
      <c r="V49" s="254"/>
      <c r="W49" s="254"/>
      <c r="Y49" s="246" t="str">
        <f t="shared" si="2"/>
        <v/>
      </c>
      <c r="Z49" s="247" t="str">
        <f t="shared" si="0"/>
        <v/>
      </c>
      <c r="AA49" s="246" t="str">
        <f t="shared" si="3"/>
        <v/>
      </c>
    </row>
    <row r="50" spans="1:27" ht="18" customHeight="1" x14ac:dyDescent="0.25">
      <c r="A50" s="248" t="str">
        <f t="shared" si="4"/>
        <v/>
      </c>
      <c r="B50" s="249" t="str">
        <f t="shared" si="5"/>
        <v/>
      </c>
      <c r="C50" s="250"/>
      <c r="D50" s="251"/>
      <c r="E50" s="241"/>
      <c r="F50" s="252"/>
      <c r="G50" s="252"/>
      <c r="H50" s="253"/>
      <c r="I50" s="250"/>
      <c r="J50" s="250"/>
      <c r="K50" s="270"/>
      <c r="L50" s="250"/>
      <c r="M50" s="250"/>
      <c r="N50" s="553" t="str">
        <f>CONCATENATE(IF(OR(M50=phu!$I$1,M50=phu!$I$2,M50=phu!$I$3),"Cam Thành Nam",""),IF(OR(M50=phu!$I$4,M50=phu!$I$5,M50=phu!$I$6,M50=phu!$I$7,M50=phu!$I$8,M50=phu!$I$9,M50=phu!$I$10,M50=phu!$I$11,M50=phu!$I$12,M50=phu!$I$13,M50=phu!$I$14),"Cam Nghĩa",""),IF(OR(M50=phu!$I$15,M50=phu!$I$16,M50=phu!$I$17,M50=phu!$I$18,M50=phu!$I$19,M50=phu!$I$20,M50=phu!$I$21),"Cam Phúc Bắc",""),IF(OR(M50=phu!$I$22,M50=phu!$I$23,M50=phu!$I$24,M50=phu!$I$25),"Cam Phúc Nam",""),IF(OR(M50=phu!$I$26,M50=phu!$I$27,M50=phu!$I$28,M50=phu!$I$29,M50=phu!$I$30,M50=phu!$I$31),"Cam Phú",""),IF(OR(M50=phu!$I$32,M50=phu!$I$33,M50=phu!$I$34,M50=phu!$I$35,M50=phu!$I$36,M50=phu!$I$37),"Cam Lộc",""),IF(OR(M50=phu!$I$38,M50=phu!$I$39,M50=phu!$I$40,M50=phu!$I$41,M50=phu!$I$42,M50=phu!$I$43,M50=phu!$I$44),"Cam Thuận",""),IF(OR(M50=phu!$I$45,M50=phu!$I$46,M50=phu!$I$47,M50=phu!$I$48,M50=phu!$I$49,M50=phu!$I$50,M50=phu!$I$51,M50=phu!$I$52,M50=phu!$I$53),"Cam Linh",""),IF(OR(M50=phu!$I$54,M50=phu!$I$55,M50=phu!$I$56,M50=phu!$I$57,M50=phu!$I$58,M50=phu!$I$59,M50=phu!$I$60,M50=phu!$I$61,M50=phu!$I$62),"Cam Lợi",""),IF(OR(M50=phu!$I$63,M50=phu!$I$64,M50=phu!$I$65,M50=phu!$I$66,M50=phu!$I$67,M50=phu!$I$68,M50=phu!$I$69,M50=phu!$I$70,M50=phu!$I$71),"Ba Ngòi",""),IF(OR(M50=phu!$I$72,M50=phu!$I$73,M50=phu!$I$74,M50=phu!$I$75,M50=phu!$I$76,M50=phu!$I$77,M50=phu!$I$78),"Cam Phước Đông",""),IF(OR(M50=phu!$I$79,M50=phu!$I$80,M50=phu!$I$81,M50=phu!$I$82,M50=phu!$I$83,M50=phu!$I$84),"Cam Thịnh Đông",""),IF(OR(M50=phu!$I$85,M50=phu!$I$86,M50=phu!$I$87,M50=phu!$I$88),"Cam Thịnh Tây",""),IF(OR(M50=phu!$I$89,M50=phu!$I$90),"Cam Lập",""),IF(OR(M50=phu!$I$91,M50=phu!$I$92,M50=phu!$I$93),"Cam Bình",""),IF(OR(M50=phu!$I$94,M50=phu!$I$95,M50=phu!$I$96,M50=phu!$I$97,M50=phu!$I$98,M50=phu!$I$99,M50=phu!$I$100),"Huyện khác",""),IF(OR(M50=phu!$I$101,M50=phu!$I$102),"Tỉnh khác",""))</f>
        <v/>
      </c>
      <c r="O50" s="815" t="str">
        <f t="shared" si="1"/>
        <v/>
      </c>
      <c r="P50" s="256"/>
      <c r="Q50" s="256"/>
      <c r="R50" s="256"/>
      <c r="S50" s="254"/>
      <c r="T50" s="254"/>
      <c r="U50" s="254"/>
      <c r="V50" s="254"/>
      <c r="W50" s="254"/>
      <c r="Y50" s="246" t="str">
        <f t="shared" si="2"/>
        <v/>
      </c>
      <c r="Z50" s="247" t="str">
        <f t="shared" si="0"/>
        <v/>
      </c>
      <c r="AA50" s="246" t="str">
        <f t="shared" si="3"/>
        <v/>
      </c>
    </row>
    <row r="51" spans="1:27" ht="18" customHeight="1" x14ac:dyDescent="0.25">
      <c r="A51" s="248" t="str">
        <f t="shared" si="4"/>
        <v/>
      </c>
      <c r="B51" s="249" t="str">
        <f t="shared" si="5"/>
        <v/>
      </c>
      <c r="C51" s="250"/>
      <c r="D51" s="251"/>
      <c r="E51" s="241"/>
      <c r="F51" s="252"/>
      <c r="G51" s="252"/>
      <c r="H51" s="253"/>
      <c r="I51" s="250"/>
      <c r="J51" s="250"/>
      <c r="K51" s="270"/>
      <c r="L51" s="250"/>
      <c r="M51" s="250"/>
      <c r="N51" s="553" t="str">
        <f>CONCATENATE(IF(OR(M51=phu!$I$1,M51=phu!$I$2,M51=phu!$I$3),"Cam Thành Nam",""),IF(OR(M51=phu!$I$4,M51=phu!$I$5,M51=phu!$I$6,M51=phu!$I$7,M51=phu!$I$8,M51=phu!$I$9,M51=phu!$I$10,M51=phu!$I$11,M51=phu!$I$12,M51=phu!$I$13,M51=phu!$I$14),"Cam Nghĩa",""),IF(OR(M51=phu!$I$15,M51=phu!$I$16,M51=phu!$I$17,M51=phu!$I$18,M51=phu!$I$19,M51=phu!$I$20,M51=phu!$I$21),"Cam Phúc Bắc",""),IF(OR(M51=phu!$I$22,M51=phu!$I$23,M51=phu!$I$24,M51=phu!$I$25),"Cam Phúc Nam",""),IF(OR(M51=phu!$I$26,M51=phu!$I$27,M51=phu!$I$28,M51=phu!$I$29,M51=phu!$I$30,M51=phu!$I$31),"Cam Phú",""),IF(OR(M51=phu!$I$32,M51=phu!$I$33,M51=phu!$I$34,M51=phu!$I$35,M51=phu!$I$36,M51=phu!$I$37),"Cam Lộc",""),IF(OR(M51=phu!$I$38,M51=phu!$I$39,M51=phu!$I$40,M51=phu!$I$41,M51=phu!$I$42,M51=phu!$I$43,M51=phu!$I$44),"Cam Thuận",""),IF(OR(M51=phu!$I$45,M51=phu!$I$46,M51=phu!$I$47,M51=phu!$I$48,M51=phu!$I$49,M51=phu!$I$50,M51=phu!$I$51,M51=phu!$I$52,M51=phu!$I$53),"Cam Linh",""),IF(OR(M51=phu!$I$54,M51=phu!$I$55,M51=phu!$I$56,M51=phu!$I$57,M51=phu!$I$58,M51=phu!$I$59,M51=phu!$I$60,M51=phu!$I$61,M51=phu!$I$62),"Cam Lợi",""),IF(OR(M51=phu!$I$63,M51=phu!$I$64,M51=phu!$I$65,M51=phu!$I$66,M51=phu!$I$67,M51=phu!$I$68,M51=phu!$I$69,M51=phu!$I$70,M51=phu!$I$71),"Ba Ngòi",""),IF(OR(M51=phu!$I$72,M51=phu!$I$73,M51=phu!$I$74,M51=phu!$I$75,M51=phu!$I$76,M51=phu!$I$77,M51=phu!$I$78),"Cam Phước Đông",""),IF(OR(M51=phu!$I$79,M51=phu!$I$80,M51=phu!$I$81,M51=phu!$I$82,M51=phu!$I$83,M51=phu!$I$84),"Cam Thịnh Đông",""),IF(OR(M51=phu!$I$85,M51=phu!$I$86,M51=phu!$I$87,M51=phu!$I$88),"Cam Thịnh Tây",""),IF(OR(M51=phu!$I$89,M51=phu!$I$90),"Cam Lập",""),IF(OR(M51=phu!$I$91,M51=phu!$I$92,M51=phu!$I$93),"Cam Bình",""),IF(OR(M51=phu!$I$94,M51=phu!$I$95,M51=phu!$I$96,M51=phu!$I$97,M51=phu!$I$98,M51=phu!$I$99,M51=phu!$I$100),"Huyện khác",""),IF(OR(M51=phu!$I$101,M51=phu!$I$102),"Tỉnh khác",""))</f>
        <v/>
      </c>
      <c r="O51" s="814" t="str">
        <f t="shared" si="1"/>
        <v/>
      </c>
      <c r="P51" s="254"/>
      <c r="Q51" s="254"/>
      <c r="R51" s="254"/>
      <c r="S51" s="254"/>
      <c r="T51" s="254"/>
      <c r="U51" s="254"/>
      <c r="V51" s="254"/>
      <c r="W51" s="254"/>
      <c r="Y51" s="246" t="str">
        <f t="shared" si="2"/>
        <v/>
      </c>
      <c r="Z51" s="247" t="str">
        <f t="shared" si="0"/>
        <v/>
      </c>
      <c r="AA51" s="246" t="str">
        <f t="shared" si="3"/>
        <v/>
      </c>
    </row>
    <row r="52" spans="1:27" ht="18" customHeight="1" x14ac:dyDescent="0.25">
      <c r="A52" s="248" t="str">
        <f t="shared" si="4"/>
        <v/>
      </c>
      <c r="B52" s="249" t="str">
        <f t="shared" si="5"/>
        <v/>
      </c>
      <c r="C52" s="250"/>
      <c r="D52" s="251"/>
      <c r="E52" s="241"/>
      <c r="F52" s="252"/>
      <c r="G52" s="252"/>
      <c r="H52" s="253"/>
      <c r="I52" s="250"/>
      <c r="J52" s="250"/>
      <c r="K52" s="270"/>
      <c r="L52" s="250"/>
      <c r="M52" s="250"/>
      <c r="N52" s="553" t="str">
        <f>CONCATENATE(IF(OR(M52=phu!$I$1,M52=phu!$I$2,M52=phu!$I$3),"Cam Thành Nam",""),IF(OR(M52=phu!$I$4,M52=phu!$I$5,M52=phu!$I$6,M52=phu!$I$7,M52=phu!$I$8,M52=phu!$I$9,M52=phu!$I$10,M52=phu!$I$11,M52=phu!$I$12,M52=phu!$I$13,M52=phu!$I$14),"Cam Nghĩa",""),IF(OR(M52=phu!$I$15,M52=phu!$I$16,M52=phu!$I$17,M52=phu!$I$18,M52=phu!$I$19,M52=phu!$I$20,M52=phu!$I$21),"Cam Phúc Bắc",""),IF(OR(M52=phu!$I$22,M52=phu!$I$23,M52=phu!$I$24,M52=phu!$I$25),"Cam Phúc Nam",""),IF(OR(M52=phu!$I$26,M52=phu!$I$27,M52=phu!$I$28,M52=phu!$I$29,M52=phu!$I$30,M52=phu!$I$31),"Cam Phú",""),IF(OR(M52=phu!$I$32,M52=phu!$I$33,M52=phu!$I$34,M52=phu!$I$35,M52=phu!$I$36,M52=phu!$I$37),"Cam Lộc",""),IF(OR(M52=phu!$I$38,M52=phu!$I$39,M52=phu!$I$40,M52=phu!$I$41,M52=phu!$I$42,M52=phu!$I$43,M52=phu!$I$44),"Cam Thuận",""),IF(OR(M52=phu!$I$45,M52=phu!$I$46,M52=phu!$I$47,M52=phu!$I$48,M52=phu!$I$49,M52=phu!$I$50,M52=phu!$I$51,M52=phu!$I$52,M52=phu!$I$53),"Cam Linh",""),IF(OR(M52=phu!$I$54,M52=phu!$I$55,M52=phu!$I$56,M52=phu!$I$57,M52=phu!$I$58,M52=phu!$I$59,M52=phu!$I$60,M52=phu!$I$61,M52=phu!$I$62),"Cam Lợi",""),IF(OR(M52=phu!$I$63,M52=phu!$I$64,M52=phu!$I$65,M52=phu!$I$66,M52=phu!$I$67,M52=phu!$I$68,M52=phu!$I$69,M52=phu!$I$70,M52=phu!$I$71),"Ba Ngòi",""),IF(OR(M52=phu!$I$72,M52=phu!$I$73,M52=phu!$I$74,M52=phu!$I$75,M52=phu!$I$76,M52=phu!$I$77,M52=phu!$I$78),"Cam Phước Đông",""),IF(OR(M52=phu!$I$79,M52=phu!$I$80,M52=phu!$I$81,M52=phu!$I$82,M52=phu!$I$83,M52=phu!$I$84),"Cam Thịnh Đông",""),IF(OR(M52=phu!$I$85,M52=phu!$I$86,M52=phu!$I$87,M52=phu!$I$88),"Cam Thịnh Tây",""),IF(OR(M52=phu!$I$89,M52=phu!$I$90),"Cam Lập",""),IF(OR(M52=phu!$I$91,M52=phu!$I$92,M52=phu!$I$93),"Cam Bình",""),IF(OR(M52=phu!$I$94,M52=phu!$I$95,M52=phu!$I$96,M52=phu!$I$97,M52=phu!$I$98,M52=phu!$I$99,M52=phu!$I$100),"Huyện khác",""),IF(OR(M52=phu!$I$101,M52=phu!$I$102),"Tỉnh khác",""))</f>
        <v/>
      </c>
      <c r="O52" s="814" t="str">
        <f t="shared" si="1"/>
        <v/>
      </c>
      <c r="P52" s="254"/>
      <c r="Q52" s="254"/>
      <c r="R52" s="254"/>
      <c r="S52" s="254"/>
      <c r="T52" s="254"/>
      <c r="U52" s="254"/>
      <c r="V52" s="254"/>
      <c r="W52" s="254"/>
      <c r="Y52" s="246" t="str">
        <f t="shared" si="2"/>
        <v/>
      </c>
      <c r="Z52" s="247" t="str">
        <f t="shared" si="0"/>
        <v/>
      </c>
      <c r="AA52" s="246" t="str">
        <f t="shared" si="3"/>
        <v/>
      </c>
    </row>
    <row r="53" spans="1:27" ht="18" customHeight="1" x14ac:dyDescent="0.25">
      <c r="A53" s="248" t="str">
        <f t="shared" si="4"/>
        <v/>
      </c>
      <c r="B53" s="249" t="str">
        <f t="shared" si="5"/>
        <v/>
      </c>
      <c r="C53" s="250"/>
      <c r="D53" s="251"/>
      <c r="E53" s="241"/>
      <c r="F53" s="252"/>
      <c r="G53" s="252"/>
      <c r="H53" s="253"/>
      <c r="I53" s="250"/>
      <c r="J53" s="250"/>
      <c r="K53" s="270"/>
      <c r="L53" s="250"/>
      <c r="M53" s="250"/>
      <c r="N53" s="553" t="str">
        <f>CONCATENATE(IF(OR(M53=phu!$I$1,M53=phu!$I$2,M53=phu!$I$3),"Cam Thành Nam",""),IF(OR(M53=phu!$I$4,M53=phu!$I$5,M53=phu!$I$6,M53=phu!$I$7,M53=phu!$I$8,M53=phu!$I$9,M53=phu!$I$10,M53=phu!$I$11,M53=phu!$I$12,M53=phu!$I$13,M53=phu!$I$14),"Cam Nghĩa",""),IF(OR(M53=phu!$I$15,M53=phu!$I$16,M53=phu!$I$17,M53=phu!$I$18,M53=phu!$I$19,M53=phu!$I$20,M53=phu!$I$21),"Cam Phúc Bắc",""),IF(OR(M53=phu!$I$22,M53=phu!$I$23,M53=phu!$I$24,M53=phu!$I$25),"Cam Phúc Nam",""),IF(OR(M53=phu!$I$26,M53=phu!$I$27,M53=phu!$I$28,M53=phu!$I$29,M53=phu!$I$30,M53=phu!$I$31),"Cam Phú",""),IF(OR(M53=phu!$I$32,M53=phu!$I$33,M53=phu!$I$34,M53=phu!$I$35,M53=phu!$I$36,M53=phu!$I$37),"Cam Lộc",""),IF(OR(M53=phu!$I$38,M53=phu!$I$39,M53=phu!$I$40,M53=phu!$I$41,M53=phu!$I$42,M53=phu!$I$43,M53=phu!$I$44),"Cam Thuận",""),IF(OR(M53=phu!$I$45,M53=phu!$I$46,M53=phu!$I$47,M53=phu!$I$48,M53=phu!$I$49,M53=phu!$I$50,M53=phu!$I$51,M53=phu!$I$52,M53=phu!$I$53),"Cam Linh",""),IF(OR(M53=phu!$I$54,M53=phu!$I$55,M53=phu!$I$56,M53=phu!$I$57,M53=phu!$I$58,M53=phu!$I$59,M53=phu!$I$60,M53=phu!$I$61,M53=phu!$I$62),"Cam Lợi",""),IF(OR(M53=phu!$I$63,M53=phu!$I$64,M53=phu!$I$65,M53=phu!$I$66,M53=phu!$I$67,M53=phu!$I$68,M53=phu!$I$69,M53=phu!$I$70,M53=phu!$I$71),"Ba Ngòi",""),IF(OR(M53=phu!$I$72,M53=phu!$I$73,M53=phu!$I$74,M53=phu!$I$75,M53=phu!$I$76,M53=phu!$I$77,M53=phu!$I$78),"Cam Phước Đông",""),IF(OR(M53=phu!$I$79,M53=phu!$I$80,M53=phu!$I$81,M53=phu!$I$82,M53=phu!$I$83,M53=phu!$I$84),"Cam Thịnh Đông",""),IF(OR(M53=phu!$I$85,M53=phu!$I$86,M53=phu!$I$87,M53=phu!$I$88),"Cam Thịnh Tây",""),IF(OR(M53=phu!$I$89,M53=phu!$I$90),"Cam Lập",""),IF(OR(M53=phu!$I$91,M53=phu!$I$92,M53=phu!$I$93),"Cam Bình",""),IF(OR(M53=phu!$I$94,M53=phu!$I$95,M53=phu!$I$96,M53=phu!$I$97,M53=phu!$I$98,M53=phu!$I$99,M53=phu!$I$100),"Huyện khác",""),IF(OR(M53=phu!$I$101,M53=phu!$I$102),"Tỉnh khác",""))</f>
        <v/>
      </c>
      <c r="O53" s="814" t="str">
        <f t="shared" si="1"/>
        <v/>
      </c>
      <c r="P53" s="254"/>
      <c r="Q53" s="254"/>
      <c r="R53" s="254"/>
      <c r="S53" s="254"/>
      <c r="T53" s="254"/>
      <c r="U53" s="254"/>
      <c r="V53" s="254"/>
      <c r="W53" s="254"/>
      <c r="Y53" s="246" t="str">
        <f t="shared" si="2"/>
        <v/>
      </c>
      <c r="Z53" s="247" t="str">
        <f t="shared" si="0"/>
        <v/>
      </c>
      <c r="AA53" s="246" t="str">
        <f t="shared" si="3"/>
        <v/>
      </c>
    </row>
    <row r="54" spans="1:27" ht="18" customHeight="1" x14ac:dyDescent="0.25">
      <c r="A54" s="248" t="str">
        <f t="shared" si="4"/>
        <v/>
      </c>
      <c r="B54" s="249" t="str">
        <f t="shared" si="5"/>
        <v/>
      </c>
      <c r="C54" s="250"/>
      <c r="D54" s="251"/>
      <c r="E54" s="241"/>
      <c r="F54" s="252"/>
      <c r="G54" s="252"/>
      <c r="H54" s="253"/>
      <c r="I54" s="250"/>
      <c r="J54" s="250"/>
      <c r="K54" s="270"/>
      <c r="L54" s="250"/>
      <c r="M54" s="250"/>
      <c r="N54" s="553" t="str">
        <f>CONCATENATE(IF(OR(M54=phu!$I$1,M54=phu!$I$2,M54=phu!$I$3),"Cam Thành Nam",""),IF(OR(M54=phu!$I$4,M54=phu!$I$5,M54=phu!$I$6,M54=phu!$I$7,M54=phu!$I$8,M54=phu!$I$9,M54=phu!$I$10,M54=phu!$I$11,M54=phu!$I$12,M54=phu!$I$13,M54=phu!$I$14),"Cam Nghĩa",""),IF(OR(M54=phu!$I$15,M54=phu!$I$16,M54=phu!$I$17,M54=phu!$I$18,M54=phu!$I$19,M54=phu!$I$20,M54=phu!$I$21),"Cam Phúc Bắc",""),IF(OR(M54=phu!$I$22,M54=phu!$I$23,M54=phu!$I$24,M54=phu!$I$25),"Cam Phúc Nam",""),IF(OR(M54=phu!$I$26,M54=phu!$I$27,M54=phu!$I$28,M54=phu!$I$29,M54=phu!$I$30,M54=phu!$I$31),"Cam Phú",""),IF(OR(M54=phu!$I$32,M54=phu!$I$33,M54=phu!$I$34,M54=phu!$I$35,M54=phu!$I$36,M54=phu!$I$37),"Cam Lộc",""),IF(OR(M54=phu!$I$38,M54=phu!$I$39,M54=phu!$I$40,M54=phu!$I$41,M54=phu!$I$42,M54=phu!$I$43,M54=phu!$I$44),"Cam Thuận",""),IF(OR(M54=phu!$I$45,M54=phu!$I$46,M54=phu!$I$47,M54=phu!$I$48,M54=phu!$I$49,M54=phu!$I$50,M54=phu!$I$51,M54=phu!$I$52,M54=phu!$I$53),"Cam Linh",""),IF(OR(M54=phu!$I$54,M54=phu!$I$55,M54=phu!$I$56,M54=phu!$I$57,M54=phu!$I$58,M54=phu!$I$59,M54=phu!$I$60,M54=phu!$I$61,M54=phu!$I$62),"Cam Lợi",""),IF(OR(M54=phu!$I$63,M54=phu!$I$64,M54=phu!$I$65,M54=phu!$I$66,M54=phu!$I$67,M54=phu!$I$68,M54=phu!$I$69,M54=phu!$I$70,M54=phu!$I$71),"Ba Ngòi",""),IF(OR(M54=phu!$I$72,M54=phu!$I$73,M54=phu!$I$74,M54=phu!$I$75,M54=phu!$I$76,M54=phu!$I$77,M54=phu!$I$78),"Cam Phước Đông",""),IF(OR(M54=phu!$I$79,M54=phu!$I$80,M54=phu!$I$81,M54=phu!$I$82,M54=phu!$I$83,M54=phu!$I$84),"Cam Thịnh Đông",""),IF(OR(M54=phu!$I$85,M54=phu!$I$86,M54=phu!$I$87,M54=phu!$I$88),"Cam Thịnh Tây",""),IF(OR(M54=phu!$I$89,M54=phu!$I$90),"Cam Lập",""),IF(OR(M54=phu!$I$91,M54=phu!$I$92,M54=phu!$I$93),"Cam Bình",""),IF(OR(M54=phu!$I$94,M54=phu!$I$95,M54=phu!$I$96,M54=phu!$I$97,M54=phu!$I$98,M54=phu!$I$99,M54=phu!$I$100),"Huyện khác",""),IF(OR(M54=phu!$I$101,M54=phu!$I$102),"Tỉnh khác",""))</f>
        <v/>
      </c>
      <c r="O54" s="814" t="str">
        <f t="shared" si="1"/>
        <v/>
      </c>
      <c r="P54" s="254"/>
      <c r="Q54" s="254"/>
      <c r="R54" s="254"/>
      <c r="S54" s="254"/>
      <c r="T54" s="254"/>
      <c r="U54" s="254"/>
      <c r="V54" s="254"/>
      <c r="W54" s="254"/>
      <c r="Y54" s="246" t="str">
        <f t="shared" si="2"/>
        <v/>
      </c>
      <c r="Z54" s="247" t="str">
        <f t="shared" si="0"/>
        <v/>
      </c>
      <c r="AA54" s="246" t="str">
        <f t="shared" si="3"/>
        <v/>
      </c>
    </row>
    <row r="55" spans="1:27" ht="18" customHeight="1" x14ac:dyDescent="0.25">
      <c r="A55" s="248" t="str">
        <f t="shared" si="4"/>
        <v/>
      </c>
      <c r="B55" s="249" t="str">
        <f t="shared" si="5"/>
        <v/>
      </c>
      <c r="C55" s="250"/>
      <c r="D55" s="251"/>
      <c r="E55" s="241"/>
      <c r="F55" s="252"/>
      <c r="G55" s="252"/>
      <c r="H55" s="253"/>
      <c r="I55" s="250"/>
      <c r="J55" s="250"/>
      <c r="K55" s="270"/>
      <c r="L55" s="250"/>
      <c r="M55" s="250"/>
      <c r="N55" s="553" t="str">
        <f>CONCATENATE(IF(OR(M55=phu!$I$1,M55=phu!$I$2,M55=phu!$I$3),"Cam Thành Nam",""),IF(OR(M55=phu!$I$4,M55=phu!$I$5,M55=phu!$I$6,M55=phu!$I$7,M55=phu!$I$8,M55=phu!$I$9,M55=phu!$I$10,M55=phu!$I$11,M55=phu!$I$12,M55=phu!$I$13,M55=phu!$I$14),"Cam Nghĩa",""),IF(OR(M55=phu!$I$15,M55=phu!$I$16,M55=phu!$I$17,M55=phu!$I$18,M55=phu!$I$19,M55=phu!$I$20,M55=phu!$I$21),"Cam Phúc Bắc",""),IF(OR(M55=phu!$I$22,M55=phu!$I$23,M55=phu!$I$24,M55=phu!$I$25),"Cam Phúc Nam",""),IF(OR(M55=phu!$I$26,M55=phu!$I$27,M55=phu!$I$28,M55=phu!$I$29,M55=phu!$I$30,M55=phu!$I$31),"Cam Phú",""),IF(OR(M55=phu!$I$32,M55=phu!$I$33,M55=phu!$I$34,M55=phu!$I$35,M55=phu!$I$36,M55=phu!$I$37),"Cam Lộc",""),IF(OR(M55=phu!$I$38,M55=phu!$I$39,M55=phu!$I$40,M55=phu!$I$41,M55=phu!$I$42,M55=phu!$I$43,M55=phu!$I$44),"Cam Thuận",""),IF(OR(M55=phu!$I$45,M55=phu!$I$46,M55=phu!$I$47,M55=phu!$I$48,M55=phu!$I$49,M55=phu!$I$50,M55=phu!$I$51,M55=phu!$I$52,M55=phu!$I$53),"Cam Linh",""),IF(OR(M55=phu!$I$54,M55=phu!$I$55,M55=phu!$I$56,M55=phu!$I$57,M55=phu!$I$58,M55=phu!$I$59,M55=phu!$I$60,M55=phu!$I$61,M55=phu!$I$62),"Cam Lợi",""),IF(OR(M55=phu!$I$63,M55=phu!$I$64,M55=phu!$I$65,M55=phu!$I$66,M55=phu!$I$67,M55=phu!$I$68,M55=phu!$I$69,M55=phu!$I$70,M55=phu!$I$71),"Ba Ngòi",""),IF(OR(M55=phu!$I$72,M55=phu!$I$73,M55=phu!$I$74,M55=phu!$I$75,M55=phu!$I$76,M55=phu!$I$77,M55=phu!$I$78),"Cam Phước Đông",""),IF(OR(M55=phu!$I$79,M55=phu!$I$80,M55=phu!$I$81,M55=phu!$I$82,M55=phu!$I$83,M55=phu!$I$84),"Cam Thịnh Đông",""),IF(OR(M55=phu!$I$85,M55=phu!$I$86,M55=phu!$I$87,M55=phu!$I$88),"Cam Thịnh Tây",""),IF(OR(M55=phu!$I$89,M55=phu!$I$90),"Cam Lập",""),IF(OR(M55=phu!$I$91,M55=phu!$I$92,M55=phu!$I$93),"Cam Bình",""),IF(OR(M55=phu!$I$94,M55=phu!$I$95,M55=phu!$I$96,M55=phu!$I$97,M55=phu!$I$98,M55=phu!$I$99,M55=phu!$I$100),"Huyện khác",""),IF(OR(M55=phu!$I$101,M55=phu!$I$102),"Tỉnh khác",""))</f>
        <v/>
      </c>
      <c r="O55" s="814" t="str">
        <f t="shared" si="1"/>
        <v/>
      </c>
      <c r="P55" s="254"/>
      <c r="Q55" s="254"/>
      <c r="R55" s="254"/>
      <c r="S55" s="254"/>
      <c r="T55" s="254"/>
      <c r="U55" s="254"/>
      <c r="V55" s="254"/>
      <c r="W55" s="254"/>
      <c r="Y55" s="246" t="str">
        <f t="shared" si="2"/>
        <v/>
      </c>
      <c r="Z55" s="247" t="str">
        <f t="shared" si="0"/>
        <v/>
      </c>
      <c r="AA55" s="246" t="str">
        <f t="shared" si="3"/>
        <v/>
      </c>
    </row>
    <row r="56" spans="1:27" ht="18" customHeight="1" x14ac:dyDescent="0.25">
      <c r="A56" s="248" t="str">
        <f t="shared" si="4"/>
        <v/>
      </c>
      <c r="B56" s="249" t="str">
        <f t="shared" si="5"/>
        <v/>
      </c>
      <c r="C56" s="250"/>
      <c r="D56" s="251"/>
      <c r="E56" s="241"/>
      <c r="F56" s="252"/>
      <c r="G56" s="252"/>
      <c r="H56" s="253"/>
      <c r="I56" s="250"/>
      <c r="J56" s="250"/>
      <c r="K56" s="270"/>
      <c r="L56" s="250"/>
      <c r="M56" s="250"/>
      <c r="N56" s="553" t="str">
        <f>CONCATENATE(IF(OR(M56=phu!$I$1,M56=phu!$I$2,M56=phu!$I$3),"Cam Thành Nam",""),IF(OR(M56=phu!$I$4,M56=phu!$I$5,M56=phu!$I$6,M56=phu!$I$7,M56=phu!$I$8,M56=phu!$I$9,M56=phu!$I$10,M56=phu!$I$11,M56=phu!$I$12,M56=phu!$I$13,M56=phu!$I$14),"Cam Nghĩa",""),IF(OR(M56=phu!$I$15,M56=phu!$I$16,M56=phu!$I$17,M56=phu!$I$18,M56=phu!$I$19,M56=phu!$I$20,M56=phu!$I$21),"Cam Phúc Bắc",""),IF(OR(M56=phu!$I$22,M56=phu!$I$23,M56=phu!$I$24,M56=phu!$I$25),"Cam Phúc Nam",""),IF(OR(M56=phu!$I$26,M56=phu!$I$27,M56=phu!$I$28,M56=phu!$I$29,M56=phu!$I$30,M56=phu!$I$31),"Cam Phú",""),IF(OR(M56=phu!$I$32,M56=phu!$I$33,M56=phu!$I$34,M56=phu!$I$35,M56=phu!$I$36,M56=phu!$I$37),"Cam Lộc",""),IF(OR(M56=phu!$I$38,M56=phu!$I$39,M56=phu!$I$40,M56=phu!$I$41,M56=phu!$I$42,M56=phu!$I$43,M56=phu!$I$44),"Cam Thuận",""),IF(OR(M56=phu!$I$45,M56=phu!$I$46,M56=phu!$I$47,M56=phu!$I$48,M56=phu!$I$49,M56=phu!$I$50,M56=phu!$I$51,M56=phu!$I$52,M56=phu!$I$53),"Cam Linh",""),IF(OR(M56=phu!$I$54,M56=phu!$I$55,M56=phu!$I$56,M56=phu!$I$57,M56=phu!$I$58,M56=phu!$I$59,M56=phu!$I$60,M56=phu!$I$61,M56=phu!$I$62),"Cam Lợi",""),IF(OR(M56=phu!$I$63,M56=phu!$I$64,M56=phu!$I$65,M56=phu!$I$66,M56=phu!$I$67,M56=phu!$I$68,M56=phu!$I$69,M56=phu!$I$70,M56=phu!$I$71),"Ba Ngòi",""),IF(OR(M56=phu!$I$72,M56=phu!$I$73,M56=phu!$I$74,M56=phu!$I$75,M56=phu!$I$76,M56=phu!$I$77,M56=phu!$I$78),"Cam Phước Đông",""),IF(OR(M56=phu!$I$79,M56=phu!$I$80,M56=phu!$I$81,M56=phu!$I$82,M56=phu!$I$83,M56=phu!$I$84),"Cam Thịnh Đông",""),IF(OR(M56=phu!$I$85,M56=phu!$I$86,M56=phu!$I$87,M56=phu!$I$88),"Cam Thịnh Tây",""),IF(OR(M56=phu!$I$89,M56=phu!$I$90),"Cam Lập",""),IF(OR(M56=phu!$I$91,M56=phu!$I$92,M56=phu!$I$93),"Cam Bình",""),IF(OR(M56=phu!$I$94,M56=phu!$I$95,M56=phu!$I$96,M56=phu!$I$97,M56=phu!$I$98,M56=phu!$I$99,M56=phu!$I$100),"Huyện khác",""),IF(OR(M56=phu!$I$101,M56=phu!$I$102),"Tỉnh khác",""))</f>
        <v/>
      </c>
      <c r="O56" s="814" t="str">
        <f t="shared" si="1"/>
        <v/>
      </c>
      <c r="P56" s="254"/>
      <c r="Q56" s="254"/>
      <c r="R56" s="254"/>
      <c r="S56" s="254"/>
      <c r="T56" s="254"/>
      <c r="U56" s="254"/>
      <c r="V56" s="254"/>
      <c r="W56" s="254"/>
      <c r="Y56" s="246" t="str">
        <f t="shared" si="2"/>
        <v/>
      </c>
      <c r="Z56" s="247" t="str">
        <f t="shared" si="0"/>
        <v/>
      </c>
      <c r="AA56" s="246" t="str">
        <f t="shared" si="3"/>
        <v/>
      </c>
    </row>
    <row r="57" spans="1:27" ht="18" customHeight="1" x14ac:dyDescent="0.25">
      <c r="A57" s="248" t="str">
        <f t="shared" si="4"/>
        <v/>
      </c>
      <c r="B57" s="249" t="str">
        <f t="shared" si="5"/>
        <v/>
      </c>
      <c r="C57" s="250"/>
      <c r="D57" s="251"/>
      <c r="E57" s="241"/>
      <c r="F57" s="252"/>
      <c r="G57" s="252"/>
      <c r="H57" s="253"/>
      <c r="I57" s="250"/>
      <c r="J57" s="250"/>
      <c r="K57" s="270"/>
      <c r="L57" s="250"/>
      <c r="M57" s="250"/>
      <c r="N57" s="553" t="str">
        <f>CONCATENATE(IF(OR(M57=phu!$I$1,M57=phu!$I$2,M57=phu!$I$3),"Cam Thành Nam",""),IF(OR(M57=phu!$I$4,M57=phu!$I$5,M57=phu!$I$6,M57=phu!$I$7,M57=phu!$I$8,M57=phu!$I$9,M57=phu!$I$10,M57=phu!$I$11,M57=phu!$I$12,M57=phu!$I$13,M57=phu!$I$14),"Cam Nghĩa",""),IF(OR(M57=phu!$I$15,M57=phu!$I$16,M57=phu!$I$17,M57=phu!$I$18,M57=phu!$I$19,M57=phu!$I$20,M57=phu!$I$21),"Cam Phúc Bắc",""),IF(OR(M57=phu!$I$22,M57=phu!$I$23,M57=phu!$I$24,M57=phu!$I$25),"Cam Phúc Nam",""),IF(OR(M57=phu!$I$26,M57=phu!$I$27,M57=phu!$I$28,M57=phu!$I$29,M57=phu!$I$30,M57=phu!$I$31),"Cam Phú",""),IF(OR(M57=phu!$I$32,M57=phu!$I$33,M57=phu!$I$34,M57=phu!$I$35,M57=phu!$I$36,M57=phu!$I$37),"Cam Lộc",""),IF(OR(M57=phu!$I$38,M57=phu!$I$39,M57=phu!$I$40,M57=phu!$I$41,M57=phu!$I$42,M57=phu!$I$43,M57=phu!$I$44),"Cam Thuận",""),IF(OR(M57=phu!$I$45,M57=phu!$I$46,M57=phu!$I$47,M57=phu!$I$48,M57=phu!$I$49,M57=phu!$I$50,M57=phu!$I$51,M57=phu!$I$52,M57=phu!$I$53),"Cam Linh",""),IF(OR(M57=phu!$I$54,M57=phu!$I$55,M57=phu!$I$56,M57=phu!$I$57,M57=phu!$I$58,M57=phu!$I$59,M57=phu!$I$60,M57=phu!$I$61,M57=phu!$I$62),"Cam Lợi",""),IF(OR(M57=phu!$I$63,M57=phu!$I$64,M57=phu!$I$65,M57=phu!$I$66,M57=phu!$I$67,M57=phu!$I$68,M57=phu!$I$69,M57=phu!$I$70,M57=phu!$I$71),"Ba Ngòi",""),IF(OR(M57=phu!$I$72,M57=phu!$I$73,M57=phu!$I$74,M57=phu!$I$75,M57=phu!$I$76,M57=phu!$I$77,M57=phu!$I$78),"Cam Phước Đông",""),IF(OR(M57=phu!$I$79,M57=phu!$I$80,M57=phu!$I$81,M57=phu!$I$82,M57=phu!$I$83,M57=phu!$I$84),"Cam Thịnh Đông",""),IF(OR(M57=phu!$I$85,M57=phu!$I$86,M57=phu!$I$87,M57=phu!$I$88),"Cam Thịnh Tây",""),IF(OR(M57=phu!$I$89,M57=phu!$I$90),"Cam Lập",""),IF(OR(M57=phu!$I$91,M57=phu!$I$92,M57=phu!$I$93),"Cam Bình",""),IF(OR(M57=phu!$I$94,M57=phu!$I$95,M57=phu!$I$96,M57=phu!$I$97,M57=phu!$I$98,M57=phu!$I$99,M57=phu!$I$100),"Huyện khác",""),IF(OR(M57=phu!$I$101,M57=phu!$I$102),"Tỉnh khác",""))</f>
        <v/>
      </c>
      <c r="O57" s="814" t="str">
        <f t="shared" si="1"/>
        <v/>
      </c>
      <c r="P57" s="254"/>
      <c r="Q57" s="254"/>
      <c r="R57" s="254"/>
      <c r="S57" s="254"/>
      <c r="T57" s="254"/>
      <c r="U57" s="254"/>
      <c r="V57" s="254"/>
      <c r="W57" s="254"/>
      <c r="Y57" s="246" t="str">
        <f t="shared" si="2"/>
        <v/>
      </c>
      <c r="Z57" s="247" t="str">
        <f t="shared" si="0"/>
        <v/>
      </c>
      <c r="AA57" s="246" t="str">
        <f t="shared" si="3"/>
        <v/>
      </c>
    </row>
    <row r="58" spans="1:27" ht="18" customHeight="1" x14ac:dyDescent="0.25">
      <c r="A58" s="248" t="str">
        <f t="shared" si="4"/>
        <v/>
      </c>
      <c r="B58" s="249" t="str">
        <f t="shared" si="5"/>
        <v/>
      </c>
      <c r="C58" s="250"/>
      <c r="D58" s="251"/>
      <c r="E58" s="241"/>
      <c r="F58" s="252"/>
      <c r="G58" s="252"/>
      <c r="H58" s="253"/>
      <c r="I58" s="250"/>
      <c r="J58" s="250"/>
      <c r="K58" s="270"/>
      <c r="L58" s="250"/>
      <c r="M58" s="250"/>
      <c r="N58" s="553" t="str">
        <f>CONCATENATE(IF(OR(M58=phu!$I$1,M58=phu!$I$2,M58=phu!$I$3),"Cam Thành Nam",""),IF(OR(M58=phu!$I$4,M58=phu!$I$5,M58=phu!$I$6,M58=phu!$I$7,M58=phu!$I$8,M58=phu!$I$9,M58=phu!$I$10,M58=phu!$I$11,M58=phu!$I$12,M58=phu!$I$13,M58=phu!$I$14),"Cam Nghĩa",""),IF(OR(M58=phu!$I$15,M58=phu!$I$16,M58=phu!$I$17,M58=phu!$I$18,M58=phu!$I$19,M58=phu!$I$20,M58=phu!$I$21),"Cam Phúc Bắc",""),IF(OR(M58=phu!$I$22,M58=phu!$I$23,M58=phu!$I$24,M58=phu!$I$25),"Cam Phúc Nam",""),IF(OR(M58=phu!$I$26,M58=phu!$I$27,M58=phu!$I$28,M58=phu!$I$29,M58=phu!$I$30,M58=phu!$I$31),"Cam Phú",""),IF(OR(M58=phu!$I$32,M58=phu!$I$33,M58=phu!$I$34,M58=phu!$I$35,M58=phu!$I$36,M58=phu!$I$37),"Cam Lộc",""),IF(OR(M58=phu!$I$38,M58=phu!$I$39,M58=phu!$I$40,M58=phu!$I$41,M58=phu!$I$42,M58=phu!$I$43,M58=phu!$I$44),"Cam Thuận",""),IF(OR(M58=phu!$I$45,M58=phu!$I$46,M58=phu!$I$47,M58=phu!$I$48,M58=phu!$I$49,M58=phu!$I$50,M58=phu!$I$51,M58=phu!$I$52,M58=phu!$I$53),"Cam Linh",""),IF(OR(M58=phu!$I$54,M58=phu!$I$55,M58=phu!$I$56,M58=phu!$I$57,M58=phu!$I$58,M58=phu!$I$59,M58=phu!$I$60,M58=phu!$I$61,M58=phu!$I$62),"Cam Lợi",""),IF(OR(M58=phu!$I$63,M58=phu!$I$64,M58=phu!$I$65,M58=phu!$I$66,M58=phu!$I$67,M58=phu!$I$68,M58=phu!$I$69,M58=phu!$I$70,M58=phu!$I$71),"Ba Ngòi",""),IF(OR(M58=phu!$I$72,M58=phu!$I$73,M58=phu!$I$74,M58=phu!$I$75,M58=phu!$I$76,M58=phu!$I$77,M58=phu!$I$78),"Cam Phước Đông",""),IF(OR(M58=phu!$I$79,M58=phu!$I$80,M58=phu!$I$81,M58=phu!$I$82,M58=phu!$I$83,M58=phu!$I$84),"Cam Thịnh Đông",""),IF(OR(M58=phu!$I$85,M58=phu!$I$86,M58=phu!$I$87,M58=phu!$I$88),"Cam Thịnh Tây",""),IF(OR(M58=phu!$I$89,M58=phu!$I$90),"Cam Lập",""),IF(OR(M58=phu!$I$91,M58=phu!$I$92,M58=phu!$I$93),"Cam Bình",""),IF(OR(M58=phu!$I$94,M58=phu!$I$95,M58=phu!$I$96,M58=phu!$I$97,M58=phu!$I$98,M58=phu!$I$99,M58=phu!$I$100),"Huyện khác",""),IF(OR(M58=phu!$I$101,M58=phu!$I$102),"Tỉnh khác",""))</f>
        <v/>
      </c>
      <c r="O58" s="814" t="str">
        <f t="shared" si="1"/>
        <v/>
      </c>
      <c r="P58" s="254"/>
      <c r="Q58" s="254"/>
      <c r="R58" s="254"/>
      <c r="S58" s="254"/>
      <c r="T58" s="254"/>
      <c r="U58" s="254"/>
      <c r="V58" s="254"/>
      <c r="W58" s="254"/>
      <c r="Y58" s="246" t="str">
        <f t="shared" si="2"/>
        <v/>
      </c>
      <c r="Z58" s="247" t="str">
        <f t="shared" si="0"/>
        <v/>
      </c>
      <c r="AA58" s="246" t="str">
        <f t="shared" si="3"/>
        <v/>
      </c>
    </row>
    <row r="59" spans="1:27" ht="18" customHeight="1" x14ac:dyDescent="0.25">
      <c r="A59" s="248" t="str">
        <f t="shared" si="4"/>
        <v/>
      </c>
      <c r="B59" s="249" t="str">
        <f t="shared" si="5"/>
        <v/>
      </c>
      <c r="C59" s="250"/>
      <c r="D59" s="251"/>
      <c r="E59" s="241"/>
      <c r="F59" s="252"/>
      <c r="G59" s="252"/>
      <c r="H59" s="253"/>
      <c r="I59" s="250"/>
      <c r="J59" s="250"/>
      <c r="K59" s="270"/>
      <c r="L59" s="250"/>
      <c r="M59" s="250"/>
      <c r="N59" s="553" t="str">
        <f>CONCATENATE(IF(OR(M59=phu!$I$1,M59=phu!$I$2,M59=phu!$I$3),"Cam Thành Nam",""),IF(OR(M59=phu!$I$4,M59=phu!$I$5,M59=phu!$I$6,M59=phu!$I$7,M59=phu!$I$8,M59=phu!$I$9,M59=phu!$I$10,M59=phu!$I$11,M59=phu!$I$12,M59=phu!$I$13,M59=phu!$I$14),"Cam Nghĩa",""),IF(OR(M59=phu!$I$15,M59=phu!$I$16,M59=phu!$I$17,M59=phu!$I$18,M59=phu!$I$19,M59=phu!$I$20,M59=phu!$I$21),"Cam Phúc Bắc",""),IF(OR(M59=phu!$I$22,M59=phu!$I$23,M59=phu!$I$24,M59=phu!$I$25),"Cam Phúc Nam",""),IF(OR(M59=phu!$I$26,M59=phu!$I$27,M59=phu!$I$28,M59=phu!$I$29,M59=phu!$I$30,M59=phu!$I$31),"Cam Phú",""),IF(OR(M59=phu!$I$32,M59=phu!$I$33,M59=phu!$I$34,M59=phu!$I$35,M59=phu!$I$36,M59=phu!$I$37),"Cam Lộc",""),IF(OR(M59=phu!$I$38,M59=phu!$I$39,M59=phu!$I$40,M59=phu!$I$41,M59=phu!$I$42,M59=phu!$I$43,M59=phu!$I$44),"Cam Thuận",""),IF(OR(M59=phu!$I$45,M59=phu!$I$46,M59=phu!$I$47,M59=phu!$I$48,M59=phu!$I$49,M59=phu!$I$50,M59=phu!$I$51,M59=phu!$I$52,M59=phu!$I$53),"Cam Linh",""),IF(OR(M59=phu!$I$54,M59=phu!$I$55,M59=phu!$I$56,M59=phu!$I$57,M59=phu!$I$58,M59=phu!$I$59,M59=phu!$I$60,M59=phu!$I$61,M59=phu!$I$62),"Cam Lợi",""),IF(OR(M59=phu!$I$63,M59=phu!$I$64,M59=phu!$I$65,M59=phu!$I$66,M59=phu!$I$67,M59=phu!$I$68,M59=phu!$I$69,M59=phu!$I$70,M59=phu!$I$71),"Ba Ngòi",""),IF(OR(M59=phu!$I$72,M59=phu!$I$73,M59=phu!$I$74,M59=phu!$I$75,M59=phu!$I$76,M59=phu!$I$77,M59=phu!$I$78),"Cam Phước Đông",""),IF(OR(M59=phu!$I$79,M59=phu!$I$80,M59=phu!$I$81,M59=phu!$I$82,M59=phu!$I$83,M59=phu!$I$84),"Cam Thịnh Đông",""),IF(OR(M59=phu!$I$85,M59=phu!$I$86,M59=phu!$I$87,M59=phu!$I$88),"Cam Thịnh Tây",""),IF(OR(M59=phu!$I$89,M59=phu!$I$90),"Cam Lập",""),IF(OR(M59=phu!$I$91,M59=phu!$I$92,M59=phu!$I$93),"Cam Bình",""),IF(OR(M59=phu!$I$94,M59=phu!$I$95,M59=phu!$I$96,M59=phu!$I$97,M59=phu!$I$98,M59=phu!$I$99,M59=phu!$I$100),"Huyện khác",""),IF(OR(M59=phu!$I$101,M59=phu!$I$102),"Tỉnh khác",""))</f>
        <v/>
      </c>
      <c r="O59" s="814" t="str">
        <f t="shared" si="1"/>
        <v/>
      </c>
      <c r="P59" s="254"/>
      <c r="Q59" s="254"/>
      <c r="R59" s="254"/>
      <c r="S59" s="254"/>
      <c r="T59" s="254"/>
      <c r="U59" s="254"/>
      <c r="V59" s="254"/>
      <c r="W59" s="254"/>
      <c r="Y59" s="246" t="str">
        <f t="shared" si="2"/>
        <v/>
      </c>
      <c r="Z59" s="247" t="str">
        <f t="shared" si="0"/>
        <v/>
      </c>
      <c r="AA59" s="246" t="str">
        <f t="shared" si="3"/>
        <v/>
      </c>
    </row>
    <row r="60" spans="1:27" ht="18" customHeight="1" x14ac:dyDescent="0.25">
      <c r="A60" s="248" t="str">
        <f t="shared" si="4"/>
        <v/>
      </c>
      <c r="B60" s="249" t="str">
        <f t="shared" si="5"/>
        <v/>
      </c>
      <c r="C60" s="250"/>
      <c r="D60" s="251"/>
      <c r="E60" s="241"/>
      <c r="F60" s="252"/>
      <c r="G60" s="252"/>
      <c r="H60" s="253"/>
      <c r="I60" s="250"/>
      <c r="J60" s="250"/>
      <c r="K60" s="270"/>
      <c r="L60" s="250"/>
      <c r="M60" s="250"/>
      <c r="N60" s="553" t="str">
        <f>CONCATENATE(IF(OR(M60=phu!$I$1,M60=phu!$I$2,M60=phu!$I$3),"Cam Thành Nam",""),IF(OR(M60=phu!$I$4,M60=phu!$I$5,M60=phu!$I$6,M60=phu!$I$7,M60=phu!$I$8,M60=phu!$I$9,M60=phu!$I$10,M60=phu!$I$11,M60=phu!$I$12,M60=phu!$I$13,M60=phu!$I$14),"Cam Nghĩa",""),IF(OR(M60=phu!$I$15,M60=phu!$I$16,M60=phu!$I$17,M60=phu!$I$18,M60=phu!$I$19,M60=phu!$I$20,M60=phu!$I$21),"Cam Phúc Bắc",""),IF(OR(M60=phu!$I$22,M60=phu!$I$23,M60=phu!$I$24,M60=phu!$I$25),"Cam Phúc Nam",""),IF(OR(M60=phu!$I$26,M60=phu!$I$27,M60=phu!$I$28,M60=phu!$I$29,M60=phu!$I$30,M60=phu!$I$31),"Cam Phú",""),IF(OR(M60=phu!$I$32,M60=phu!$I$33,M60=phu!$I$34,M60=phu!$I$35,M60=phu!$I$36,M60=phu!$I$37),"Cam Lộc",""),IF(OR(M60=phu!$I$38,M60=phu!$I$39,M60=phu!$I$40,M60=phu!$I$41,M60=phu!$I$42,M60=phu!$I$43,M60=phu!$I$44),"Cam Thuận",""),IF(OR(M60=phu!$I$45,M60=phu!$I$46,M60=phu!$I$47,M60=phu!$I$48,M60=phu!$I$49,M60=phu!$I$50,M60=phu!$I$51,M60=phu!$I$52,M60=phu!$I$53),"Cam Linh",""),IF(OR(M60=phu!$I$54,M60=phu!$I$55,M60=phu!$I$56,M60=phu!$I$57,M60=phu!$I$58,M60=phu!$I$59,M60=phu!$I$60,M60=phu!$I$61,M60=phu!$I$62),"Cam Lợi",""),IF(OR(M60=phu!$I$63,M60=phu!$I$64,M60=phu!$I$65,M60=phu!$I$66,M60=phu!$I$67,M60=phu!$I$68,M60=phu!$I$69,M60=phu!$I$70,M60=phu!$I$71),"Ba Ngòi",""),IF(OR(M60=phu!$I$72,M60=phu!$I$73,M60=phu!$I$74,M60=phu!$I$75,M60=phu!$I$76,M60=phu!$I$77,M60=phu!$I$78),"Cam Phước Đông",""),IF(OR(M60=phu!$I$79,M60=phu!$I$80,M60=phu!$I$81,M60=phu!$I$82,M60=phu!$I$83,M60=phu!$I$84),"Cam Thịnh Đông",""),IF(OR(M60=phu!$I$85,M60=phu!$I$86,M60=phu!$I$87,M60=phu!$I$88),"Cam Thịnh Tây",""),IF(OR(M60=phu!$I$89,M60=phu!$I$90),"Cam Lập",""),IF(OR(M60=phu!$I$91,M60=phu!$I$92,M60=phu!$I$93),"Cam Bình",""),IF(OR(M60=phu!$I$94,M60=phu!$I$95,M60=phu!$I$96,M60=phu!$I$97,M60=phu!$I$98,M60=phu!$I$99,M60=phu!$I$100),"Huyện khác",""),IF(OR(M60=phu!$I$101,M60=phu!$I$102),"Tỉnh khác",""))</f>
        <v/>
      </c>
      <c r="O60" s="814" t="str">
        <f t="shared" si="1"/>
        <v/>
      </c>
      <c r="P60" s="254"/>
      <c r="Q60" s="254"/>
      <c r="R60" s="254"/>
      <c r="S60" s="254"/>
      <c r="T60" s="254"/>
      <c r="U60" s="254"/>
      <c r="V60" s="254"/>
      <c r="W60" s="254"/>
      <c r="Y60" s="246" t="str">
        <f t="shared" si="2"/>
        <v/>
      </c>
      <c r="Z60" s="247" t="str">
        <f t="shared" si="0"/>
        <v/>
      </c>
      <c r="AA60" s="246" t="str">
        <f t="shared" si="3"/>
        <v/>
      </c>
    </row>
    <row r="61" spans="1:27" ht="18" customHeight="1" x14ac:dyDescent="0.25">
      <c r="A61" s="248" t="str">
        <f t="shared" si="4"/>
        <v/>
      </c>
      <c r="B61" s="249" t="str">
        <f t="shared" si="5"/>
        <v/>
      </c>
      <c r="C61" s="250"/>
      <c r="D61" s="251"/>
      <c r="E61" s="241"/>
      <c r="F61" s="252"/>
      <c r="G61" s="252"/>
      <c r="H61" s="253"/>
      <c r="I61" s="250"/>
      <c r="J61" s="250"/>
      <c r="K61" s="270"/>
      <c r="L61" s="250"/>
      <c r="M61" s="250"/>
      <c r="N61" s="553" t="str">
        <f>CONCATENATE(IF(OR(M61=phu!$I$1,M61=phu!$I$2,M61=phu!$I$3),"Cam Thành Nam",""),IF(OR(M61=phu!$I$4,M61=phu!$I$5,M61=phu!$I$6,M61=phu!$I$7,M61=phu!$I$8,M61=phu!$I$9,M61=phu!$I$10,M61=phu!$I$11,M61=phu!$I$12,M61=phu!$I$13,M61=phu!$I$14),"Cam Nghĩa",""),IF(OR(M61=phu!$I$15,M61=phu!$I$16,M61=phu!$I$17,M61=phu!$I$18,M61=phu!$I$19,M61=phu!$I$20,M61=phu!$I$21),"Cam Phúc Bắc",""),IF(OR(M61=phu!$I$22,M61=phu!$I$23,M61=phu!$I$24,M61=phu!$I$25),"Cam Phúc Nam",""),IF(OR(M61=phu!$I$26,M61=phu!$I$27,M61=phu!$I$28,M61=phu!$I$29,M61=phu!$I$30,M61=phu!$I$31),"Cam Phú",""),IF(OR(M61=phu!$I$32,M61=phu!$I$33,M61=phu!$I$34,M61=phu!$I$35,M61=phu!$I$36,M61=phu!$I$37),"Cam Lộc",""),IF(OR(M61=phu!$I$38,M61=phu!$I$39,M61=phu!$I$40,M61=phu!$I$41,M61=phu!$I$42,M61=phu!$I$43,M61=phu!$I$44),"Cam Thuận",""),IF(OR(M61=phu!$I$45,M61=phu!$I$46,M61=phu!$I$47,M61=phu!$I$48,M61=phu!$I$49,M61=phu!$I$50,M61=phu!$I$51,M61=phu!$I$52,M61=phu!$I$53),"Cam Linh",""),IF(OR(M61=phu!$I$54,M61=phu!$I$55,M61=phu!$I$56,M61=phu!$I$57,M61=phu!$I$58,M61=phu!$I$59,M61=phu!$I$60,M61=phu!$I$61,M61=phu!$I$62),"Cam Lợi",""),IF(OR(M61=phu!$I$63,M61=phu!$I$64,M61=phu!$I$65,M61=phu!$I$66,M61=phu!$I$67,M61=phu!$I$68,M61=phu!$I$69,M61=phu!$I$70,M61=phu!$I$71),"Ba Ngòi",""),IF(OR(M61=phu!$I$72,M61=phu!$I$73,M61=phu!$I$74,M61=phu!$I$75,M61=phu!$I$76,M61=phu!$I$77,M61=phu!$I$78),"Cam Phước Đông",""),IF(OR(M61=phu!$I$79,M61=phu!$I$80,M61=phu!$I$81,M61=phu!$I$82,M61=phu!$I$83,M61=phu!$I$84),"Cam Thịnh Đông",""),IF(OR(M61=phu!$I$85,M61=phu!$I$86,M61=phu!$I$87,M61=phu!$I$88),"Cam Thịnh Tây",""),IF(OR(M61=phu!$I$89,M61=phu!$I$90),"Cam Lập",""),IF(OR(M61=phu!$I$91,M61=phu!$I$92,M61=phu!$I$93),"Cam Bình",""),IF(OR(M61=phu!$I$94,M61=phu!$I$95,M61=phu!$I$96,M61=phu!$I$97,M61=phu!$I$98,M61=phu!$I$99,M61=phu!$I$100),"Huyện khác",""),IF(OR(M61=phu!$I$101,M61=phu!$I$102),"Tỉnh khác",""))</f>
        <v/>
      </c>
      <c r="O61" s="814" t="str">
        <f t="shared" si="1"/>
        <v/>
      </c>
      <c r="P61" s="254"/>
      <c r="Q61" s="254"/>
      <c r="R61" s="254"/>
      <c r="S61" s="254"/>
      <c r="T61" s="254"/>
      <c r="U61" s="254"/>
      <c r="V61" s="254"/>
      <c r="W61" s="254"/>
      <c r="Y61" s="246" t="str">
        <f t="shared" si="2"/>
        <v/>
      </c>
      <c r="Z61" s="247" t="str">
        <f t="shared" si="0"/>
        <v/>
      </c>
      <c r="AA61" s="246" t="str">
        <f t="shared" si="3"/>
        <v/>
      </c>
    </row>
    <row r="62" spans="1:27" ht="18" customHeight="1" x14ac:dyDescent="0.25">
      <c r="A62" s="248" t="str">
        <f t="shared" si="4"/>
        <v/>
      </c>
      <c r="B62" s="249" t="str">
        <f t="shared" si="5"/>
        <v/>
      </c>
      <c r="C62" s="250"/>
      <c r="D62" s="251"/>
      <c r="E62" s="241"/>
      <c r="F62" s="252"/>
      <c r="G62" s="252"/>
      <c r="H62" s="253"/>
      <c r="I62" s="250"/>
      <c r="J62" s="250"/>
      <c r="K62" s="270"/>
      <c r="L62" s="250"/>
      <c r="M62" s="250"/>
      <c r="N62" s="553" t="str">
        <f>CONCATENATE(IF(OR(M62=phu!$I$1,M62=phu!$I$2,M62=phu!$I$3),"Cam Thành Nam",""),IF(OR(M62=phu!$I$4,M62=phu!$I$5,M62=phu!$I$6,M62=phu!$I$7,M62=phu!$I$8,M62=phu!$I$9,M62=phu!$I$10,M62=phu!$I$11,M62=phu!$I$12,M62=phu!$I$13,M62=phu!$I$14),"Cam Nghĩa",""),IF(OR(M62=phu!$I$15,M62=phu!$I$16,M62=phu!$I$17,M62=phu!$I$18,M62=phu!$I$19,M62=phu!$I$20,M62=phu!$I$21),"Cam Phúc Bắc",""),IF(OR(M62=phu!$I$22,M62=phu!$I$23,M62=phu!$I$24,M62=phu!$I$25),"Cam Phúc Nam",""),IF(OR(M62=phu!$I$26,M62=phu!$I$27,M62=phu!$I$28,M62=phu!$I$29,M62=phu!$I$30,M62=phu!$I$31),"Cam Phú",""),IF(OR(M62=phu!$I$32,M62=phu!$I$33,M62=phu!$I$34,M62=phu!$I$35,M62=phu!$I$36,M62=phu!$I$37),"Cam Lộc",""),IF(OR(M62=phu!$I$38,M62=phu!$I$39,M62=phu!$I$40,M62=phu!$I$41,M62=phu!$I$42,M62=phu!$I$43,M62=phu!$I$44),"Cam Thuận",""),IF(OR(M62=phu!$I$45,M62=phu!$I$46,M62=phu!$I$47,M62=phu!$I$48,M62=phu!$I$49,M62=phu!$I$50,M62=phu!$I$51,M62=phu!$I$52,M62=phu!$I$53),"Cam Linh",""),IF(OR(M62=phu!$I$54,M62=phu!$I$55,M62=phu!$I$56,M62=phu!$I$57,M62=phu!$I$58,M62=phu!$I$59,M62=phu!$I$60,M62=phu!$I$61,M62=phu!$I$62),"Cam Lợi",""),IF(OR(M62=phu!$I$63,M62=phu!$I$64,M62=phu!$I$65,M62=phu!$I$66,M62=phu!$I$67,M62=phu!$I$68,M62=phu!$I$69,M62=phu!$I$70,M62=phu!$I$71),"Ba Ngòi",""),IF(OR(M62=phu!$I$72,M62=phu!$I$73,M62=phu!$I$74,M62=phu!$I$75,M62=phu!$I$76,M62=phu!$I$77,M62=phu!$I$78),"Cam Phước Đông",""),IF(OR(M62=phu!$I$79,M62=phu!$I$80,M62=phu!$I$81,M62=phu!$I$82,M62=phu!$I$83,M62=phu!$I$84),"Cam Thịnh Đông",""),IF(OR(M62=phu!$I$85,M62=phu!$I$86,M62=phu!$I$87,M62=phu!$I$88),"Cam Thịnh Tây",""),IF(OR(M62=phu!$I$89,M62=phu!$I$90),"Cam Lập",""),IF(OR(M62=phu!$I$91,M62=phu!$I$92,M62=phu!$I$93),"Cam Bình",""),IF(OR(M62=phu!$I$94,M62=phu!$I$95,M62=phu!$I$96,M62=phu!$I$97,M62=phu!$I$98,M62=phu!$I$99,M62=phu!$I$100),"Huyện khác",""),IF(OR(M62=phu!$I$101,M62=phu!$I$102),"Tỉnh khác",""))</f>
        <v/>
      </c>
      <c r="O62" s="814" t="str">
        <f t="shared" si="1"/>
        <v/>
      </c>
      <c r="P62" s="254"/>
      <c r="Q62" s="254"/>
      <c r="R62" s="254"/>
      <c r="S62" s="254"/>
      <c r="T62" s="254"/>
      <c r="U62" s="254"/>
      <c r="V62" s="254"/>
      <c r="W62" s="254"/>
      <c r="Y62" s="246" t="str">
        <f t="shared" si="2"/>
        <v/>
      </c>
      <c r="Z62" s="247" t="str">
        <f t="shared" si="0"/>
        <v/>
      </c>
      <c r="AA62" s="246" t="str">
        <f t="shared" si="3"/>
        <v/>
      </c>
    </row>
    <row r="63" spans="1:27" ht="18" customHeight="1" x14ac:dyDescent="0.25">
      <c r="A63" s="248" t="str">
        <f t="shared" si="4"/>
        <v/>
      </c>
      <c r="B63" s="249" t="str">
        <f t="shared" si="5"/>
        <v/>
      </c>
      <c r="C63" s="250"/>
      <c r="D63" s="251"/>
      <c r="E63" s="241"/>
      <c r="F63" s="252"/>
      <c r="G63" s="252"/>
      <c r="H63" s="253"/>
      <c r="I63" s="250"/>
      <c r="J63" s="250"/>
      <c r="K63" s="270"/>
      <c r="L63" s="250"/>
      <c r="M63" s="250"/>
      <c r="N63" s="553" t="str">
        <f>CONCATENATE(IF(OR(M63=phu!$I$1,M63=phu!$I$2,M63=phu!$I$3),"Cam Thành Nam",""),IF(OR(M63=phu!$I$4,M63=phu!$I$5,M63=phu!$I$6,M63=phu!$I$7,M63=phu!$I$8,M63=phu!$I$9,M63=phu!$I$10,M63=phu!$I$11,M63=phu!$I$12,M63=phu!$I$13,M63=phu!$I$14),"Cam Nghĩa",""),IF(OR(M63=phu!$I$15,M63=phu!$I$16,M63=phu!$I$17,M63=phu!$I$18,M63=phu!$I$19,M63=phu!$I$20,M63=phu!$I$21),"Cam Phúc Bắc",""),IF(OR(M63=phu!$I$22,M63=phu!$I$23,M63=phu!$I$24,M63=phu!$I$25),"Cam Phúc Nam",""),IF(OR(M63=phu!$I$26,M63=phu!$I$27,M63=phu!$I$28,M63=phu!$I$29,M63=phu!$I$30,M63=phu!$I$31),"Cam Phú",""),IF(OR(M63=phu!$I$32,M63=phu!$I$33,M63=phu!$I$34,M63=phu!$I$35,M63=phu!$I$36,M63=phu!$I$37),"Cam Lộc",""),IF(OR(M63=phu!$I$38,M63=phu!$I$39,M63=phu!$I$40,M63=phu!$I$41,M63=phu!$I$42,M63=phu!$I$43,M63=phu!$I$44),"Cam Thuận",""),IF(OR(M63=phu!$I$45,M63=phu!$I$46,M63=phu!$I$47,M63=phu!$I$48,M63=phu!$I$49,M63=phu!$I$50,M63=phu!$I$51,M63=phu!$I$52,M63=phu!$I$53),"Cam Linh",""),IF(OR(M63=phu!$I$54,M63=phu!$I$55,M63=phu!$I$56,M63=phu!$I$57,M63=phu!$I$58,M63=phu!$I$59,M63=phu!$I$60,M63=phu!$I$61,M63=phu!$I$62),"Cam Lợi",""),IF(OR(M63=phu!$I$63,M63=phu!$I$64,M63=phu!$I$65,M63=phu!$I$66,M63=phu!$I$67,M63=phu!$I$68,M63=phu!$I$69,M63=phu!$I$70,M63=phu!$I$71),"Ba Ngòi",""),IF(OR(M63=phu!$I$72,M63=phu!$I$73,M63=phu!$I$74,M63=phu!$I$75,M63=phu!$I$76,M63=phu!$I$77,M63=phu!$I$78),"Cam Phước Đông",""),IF(OR(M63=phu!$I$79,M63=phu!$I$80,M63=phu!$I$81,M63=phu!$I$82,M63=phu!$I$83,M63=phu!$I$84),"Cam Thịnh Đông",""),IF(OR(M63=phu!$I$85,M63=phu!$I$86,M63=phu!$I$87,M63=phu!$I$88),"Cam Thịnh Tây",""),IF(OR(M63=phu!$I$89,M63=phu!$I$90),"Cam Lập",""),IF(OR(M63=phu!$I$91,M63=phu!$I$92,M63=phu!$I$93),"Cam Bình",""),IF(OR(M63=phu!$I$94,M63=phu!$I$95,M63=phu!$I$96,M63=phu!$I$97,M63=phu!$I$98,M63=phu!$I$99,M63=phu!$I$100),"Huyện khác",""),IF(OR(M63=phu!$I$101,M63=phu!$I$102),"Tỉnh khác",""))</f>
        <v/>
      </c>
      <c r="O63" s="814" t="str">
        <f t="shared" si="1"/>
        <v/>
      </c>
      <c r="P63" s="254"/>
      <c r="Q63" s="254"/>
      <c r="R63" s="254"/>
      <c r="S63" s="254"/>
      <c r="T63" s="254"/>
      <c r="U63" s="254"/>
      <c r="V63" s="254"/>
      <c r="W63" s="254"/>
      <c r="Y63" s="246" t="str">
        <f t="shared" si="2"/>
        <v/>
      </c>
      <c r="Z63" s="247" t="str">
        <f t="shared" si="0"/>
        <v/>
      </c>
      <c r="AA63" s="246" t="str">
        <f t="shared" si="3"/>
        <v/>
      </c>
    </row>
    <row r="64" spans="1:27" ht="18" customHeight="1" x14ac:dyDescent="0.25">
      <c r="A64" s="248" t="str">
        <f t="shared" si="4"/>
        <v/>
      </c>
      <c r="B64" s="249" t="str">
        <f t="shared" si="5"/>
        <v/>
      </c>
      <c r="C64" s="250"/>
      <c r="D64" s="251"/>
      <c r="E64" s="241"/>
      <c r="F64" s="252"/>
      <c r="G64" s="252"/>
      <c r="H64" s="253"/>
      <c r="I64" s="250"/>
      <c r="J64" s="250"/>
      <c r="K64" s="270"/>
      <c r="L64" s="250"/>
      <c r="M64" s="250"/>
      <c r="N64" s="553" t="str">
        <f>CONCATENATE(IF(OR(M64=phu!$I$1,M64=phu!$I$2,M64=phu!$I$3),"Cam Thành Nam",""),IF(OR(M64=phu!$I$4,M64=phu!$I$5,M64=phu!$I$6,M64=phu!$I$7,M64=phu!$I$8,M64=phu!$I$9,M64=phu!$I$10,M64=phu!$I$11,M64=phu!$I$12,M64=phu!$I$13,M64=phu!$I$14),"Cam Nghĩa",""),IF(OR(M64=phu!$I$15,M64=phu!$I$16,M64=phu!$I$17,M64=phu!$I$18,M64=phu!$I$19,M64=phu!$I$20,M64=phu!$I$21),"Cam Phúc Bắc",""),IF(OR(M64=phu!$I$22,M64=phu!$I$23,M64=phu!$I$24,M64=phu!$I$25),"Cam Phúc Nam",""),IF(OR(M64=phu!$I$26,M64=phu!$I$27,M64=phu!$I$28,M64=phu!$I$29,M64=phu!$I$30,M64=phu!$I$31),"Cam Phú",""),IF(OR(M64=phu!$I$32,M64=phu!$I$33,M64=phu!$I$34,M64=phu!$I$35,M64=phu!$I$36,M64=phu!$I$37),"Cam Lộc",""),IF(OR(M64=phu!$I$38,M64=phu!$I$39,M64=phu!$I$40,M64=phu!$I$41,M64=phu!$I$42,M64=phu!$I$43,M64=phu!$I$44),"Cam Thuận",""),IF(OR(M64=phu!$I$45,M64=phu!$I$46,M64=phu!$I$47,M64=phu!$I$48,M64=phu!$I$49,M64=phu!$I$50,M64=phu!$I$51,M64=phu!$I$52,M64=phu!$I$53),"Cam Linh",""),IF(OR(M64=phu!$I$54,M64=phu!$I$55,M64=phu!$I$56,M64=phu!$I$57,M64=phu!$I$58,M64=phu!$I$59,M64=phu!$I$60,M64=phu!$I$61,M64=phu!$I$62),"Cam Lợi",""),IF(OR(M64=phu!$I$63,M64=phu!$I$64,M64=phu!$I$65,M64=phu!$I$66,M64=phu!$I$67,M64=phu!$I$68,M64=phu!$I$69,M64=phu!$I$70,M64=phu!$I$71),"Ba Ngòi",""),IF(OR(M64=phu!$I$72,M64=phu!$I$73,M64=phu!$I$74,M64=phu!$I$75,M64=phu!$I$76,M64=phu!$I$77,M64=phu!$I$78),"Cam Phước Đông",""),IF(OR(M64=phu!$I$79,M64=phu!$I$80,M64=phu!$I$81,M64=phu!$I$82,M64=phu!$I$83,M64=phu!$I$84),"Cam Thịnh Đông",""),IF(OR(M64=phu!$I$85,M64=phu!$I$86,M64=phu!$I$87,M64=phu!$I$88),"Cam Thịnh Tây",""),IF(OR(M64=phu!$I$89,M64=phu!$I$90),"Cam Lập",""),IF(OR(M64=phu!$I$91,M64=phu!$I$92,M64=phu!$I$93),"Cam Bình",""),IF(OR(M64=phu!$I$94,M64=phu!$I$95,M64=phu!$I$96,M64=phu!$I$97,M64=phu!$I$98,M64=phu!$I$99,M64=phu!$I$100),"Huyện khác",""),IF(OR(M64=phu!$I$101,M64=phu!$I$102),"Tỉnh khác",""))</f>
        <v/>
      </c>
      <c r="O64" s="814" t="str">
        <f t="shared" si="1"/>
        <v/>
      </c>
      <c r="P64" s="254"/>
      <c r="Q64" s="254"/>
      <c r="R64" s="254"/>
      <c r="S64" s="254"/>
      <c r="T64" s="254"/>
      <c r="U64" s="254"/>
      <c r="V64" s="254"/>
      <c r="W64" s="254"/>
      <c r="Y64" s="246" t="str">
        <f t="shared" si="2"/>
        <v/>
      </c>
      <c r="Z64" s="247" t="str">
        <f t="shared" si="0"/>
        <v/>
      </c>
      <c r="AA64" s="246" t="str">
        <f t="shared" si="3"/>
        <v/>
      </c>
    </row>
    <row r="65" spans="1:27" ht="18" customHeight="1" x14ac:dyDescent="0.25">
      <c r="A65" s="248" t="str">
        <f t="shared" si="4"/>
        <v/>
      </c>
      <c r="B65" s="249" t="str">
        <f t="shared" si="5"/>
        <v/>
      </c>
      <c r="C65" s="250"/>
      <c r="D65" s="251"/>
      <c r="E65" s="241"/>
      <c r="F65" s="252"/>
      <c r="G65" s="252"/>
      <c r="H65" s="253"/>
      <c r="I65" s="250"/>
      <c r="J65" s="250"/>
      <c r="K65" s="270"/>
      <c r="L65" s="250"/>
      <c r="M65" s="250"/>
      <c r="N65" s="553" t="str">
        <f>CONCATENATE(IF(OR(M65=phu!$I$1,M65=phu!$I$2,M65=phu!$I$3),"Cam Thành Nam",""),IF(OR(M65=phu!$I$4,M65=phu!$I$5,M65=phu!$I$6,M65=phu!$I$7,M65=phu!$I$8,M65=phu!$I$9,M65=phu!$I$10,M65=phu!$I$11,M65=phu!$I$12,M65=phu!$I$13,M65=phu!$I$14),"Cam Nghĩa",""),IF(OR(M65=phu!$I$15,M65=phu!$I$16,M65=phu!$I$17,M65=phu!$I$18,M65=phu!$I$19,M65=phu!$I$20,M65=phu!$I$21),"Cam Phúc Bắc",""),IF(OR(M65=phu!$I$22,M65=phu!$I$23,M65=phu!$I$24,M65=phu!$I$25),"Cam Phúc Nam",""),IF(OR(M65=phu!$I$26,M65=phu!$I$27,M65=phu!$I$28,M65=phu!$I$29,M65=phu!$I$30,M65=phu!$I$31),"Cam Phú",""),IF(OR(M65=phu!$I$32,M65=phu!$I$33,M65=phu!$I$34,M65=phu!$I$35,M65=phu!$I$36,M65=phu!$I$37),"Cam Lộc",""),IF(OR(M65=phu!$I$38,M65=phu!$I$39,M65=phu!$I$40,M65=phu!$I$41,M65=phu!$I$42,M65=phu!$I$43,M65=phu!$I$44),"Cam Thuận",""),IF(OR(M65=phu!$I$45,M65=phu!$I$46,M65=phu!$I$47,M65=phu!$I$48,M65=phu!$I$49,M65=phu!$I$50,M65=phu!$I$51,M65=phu!$I$52,M65=phu!$I$53),"Cam Linh",""),IF(OR(M65=phu!$I$54,M65=phu!$I$55,M65=phu!$I$56,M65=phu!$I$57,M65=phu!$I$58,M65=phu!$I$59,M65=phu!$I$60,M65=phu!$I$61,M65=phu!$I$62),"Cam Lợi",""),IF(OR(M65=phu!$I$63,M65=phu!$I$64,M65=phu!$I$65,M65=phu!$I$66,M65=phu!$I$67,M65=phu!$I$68,M65=phu!$I$69,M65=phu!$I$70,M65=phu!$I$71),"Ba Ngòi",""),IF(OR(M65=phu!$I$72,M65=phu!$I$73,M65=phu!$I$74,M65=phu!$I$75,M65=phu!$I$76,M65=phu!$I$77,M65=phu!$I$78),"Cam Phước Đông",""),IF(OR(M65=phu!$I$79,M65=phu!$I$80,M65=phu!$I$81,M65=phu!$I$82,M65=phu!$I$83,M65=phu!$I$84),"Cam Thịnh Đông",""),IF(OR(M65=phu!$I$85,M65=phu!$I$86,M65=phu!$I$87,M65=phu!$I$88),"Cam Thịnh Tây",""),IF(OR(M65=phu!$I$89,M65=phu!$I$90),"Cam Lập",""),IF(OR(M65=phu!$I$91,M65=phu!$I$92,M65=phu!$I$93),"Cam Bình",""),IF(OR(M65=phu!$I$94,M65=phu!$I$95,M65=phu!$I$96,M65=phu!$I$97,M65=phu!$I$98,M65=phu!$I$99,M65=phu!$I$100),"Huyện khác",""),IF(OR(M65=phu!$I$101,M65=phu!$I$102),"Tỉnh khác",""))</f>
        <v/>
      </c>
      <c r="O65" s="814" t="str">
        <f t="shared" si="1"/>
        <v/>
      </c>
      <c r="P65" s="254"/>
      <c r="Q65" s="254"/>
      <c r="R65" s="254"/>
      <c r="S65" s="254"/>
      <c r="T65" s="254"/>
      <c r="U65" s="254"/>
      <c r="V65" s="254"/>
      <c r="W65" s="254"/>
      <c r="Y65" s="246" t="str">
        <f t="shared" si="2"/>
        <v/>
      </c>
      <c r="Z65" s="247" t="str">
        <f t="shared" si="0"/>
        <v/>
      </c>
      <c r="AA65" s="246" t="str">
        <f t="shared" si="3"/>
        <v/>
      </c>
    </row>
    <row r="66" spans="1:27" ht="18" customHeight="1" x14ac:dyDescent="0.25">
      <c r="A66" s="248" t="str">
        <f t="shared" si="4"/>
        <v/>
      </c>
      <c r="B66" s="249" t="str">
        <f t="shared" si="5"/>
        <v/>
      </c>
      <c r="C66" s="250"/>
      <c r="D66" s="251"/>
      <c r="E66" s="241"/>
      <c r="F66" s="252"/>
      <c r="G66" s="252"/>
      <c r="H66" s="253"/>
      <c r="I66" s="250"/>
      <c r="J66" s="250"/>
      <c r="K66" s="270"/>
      <c r="L66" s="250"/>
      <c r="M66" s="250"/>
      <c r="N66" s="553" t="str">
        <f>CONCATENATE(IF(OR(M66=phu!$I$1,M66=phu!$I$2,M66=phu!$I$3),"Cam Thành Nam",""),IF(OR(M66=phu!$I$4,M66=phu!$I$5,M66=phu!$I$6,M66=phu!$I$7,M66=phu!$I$8,M66=phu!$I$9,M66=phu!$I$10,M66=phu!$I$11,M66=phu!$I$12,M66=phu!$I$13,M66=phu!$I$14),"Cam Nghĩa",""),IF(OR(M66=phu!$I$15,M66=phu!$I$16,M66=phu!$I$17,M66=phu!$I$18,M66=phu!$I$19,M66=phu!$I$20,M66=phu!$I$21),"Cam Phúc Bắc",""),IF(OR(M66=phu!$I$22,M66=phu!$I$23,M66=phu!$I$24,M66=phu!$I$25),"Cam Phúc Nam",""),IF(OR(M66=phu!$I$26,M66=phu!$I$27,M66=phu!$I$28,M66=phu!$I$29,M66=phu!$I$30,M66=phu!$I$31),"Cam Phú",""),IF(OR(M66=phu!$I$32,M66=phu!$I$33,M66=phu!$I$34,M66=phu!$I$35,M66=phu!$I$36,M66=phu!$I$37),"Cam Lộc",""),IF(OR(M66=phu!$I$38,M66=phu!$I$39,M66=phu!$I$40,M66=phu!$I$41,M66=phu!$I$42,M66=phu!$I$43,M66=phu!$I$44),"Cam Thuận",""),IF(OR(M66=phu!$I$45,M66=phu!$I$46,M66=phu!$I$47,M66=phu!$I$48,M66=phu!$I$49,M66=phu!$I$50,M66=phu!$I$51,M66=phu!$I$52,M66=phu!$I$53),"Cam Linh",""),IF(OR(M66=phu!$I$54,M66=phu!$I$55,M66=phu!$I$56,M66=phu!$I$57,M66=phu!$I$58,M66=phu!$I$59,M66=phu!$I$60,M66=phu!$I$61,M66=phu!$I$62),"Cam Lợi",""),IF(OR(M66=phu!$I$63,M66=phu!$I$64,M66=phu!$I$65,M66=phu!$I$66,M66=phu!$I$67,M66=phu!$I$68,M66=phu!$I$69,M66=phu!$I$70,M66=phu!$I$71),"Ba Ngòi",""),IF(OR(M66=phu!$I$72,M66=phu!$I$73,M66=phu!$I$74,M66=phu!$I$75,M66=phu!$I$76,M66=phu!$I$77,M66=phu!$I$78),"Cam Phước Đông",""),IF(OR(M66=phu!$I$79,M66=phu!$I$80,M66=phu!$I$81,M66=phu!$I$82,M66=phu!$I$83,M66=phu!$I$84),"Cam Thịnh Đông",""),IF(OR(M66=phu!$I$85,M66=phu!$I$86,M66=phu!$I$87,M66=phu!$I$88),"Cam Thịnh Tây",""),IF(OR(M66=phu!$I$89,M66=phu!$I$90),"Cam Lập",""),IF(OR(M66=phu!$I$91,M66=phu!$I$92,M66=phu!$I$93),"Cam Bình",""),IF(OR(M66=phu!$I$94,M66=phu!$I$95,M66=phu!$I$96,M66=phu!$I$97,M66=phu!$I$98,M66=phu!$I$99,M66=phu!$I$100),"Huyện khác",""),IF(OR(M66=phu!$I$101,M66=phu!$I$102),"Tỉnh khác",""))</f>
        <v/>
      </c>
      <c r="O66" s="814" t="str">
        <f t="shared" si="1"/>
        <v/>
      </c>
      <c r="P66" s="254"/>
      <c r="Q66" s="254"/>
      <c r="R66" s="254"/>
      <c r="S66" s="254"/>
      <c r="T66" s="254"/>
      <c r="U66" s="254"/>
      <c r="V66" s="254"/>
      <c r="W66" s="254"/>
      <c r="Y66" s="246" t="str">
        <f t="shared" si="2"/>
        <v/>
      </c>
      <c r="Z66" s="247" t="str">
        <f t="shared" si="0"/>
        <v/>
      </c>
      <c r="AA66" s="246" t="str">
        <f t="shared" si="3"/>
        <v/>
      </c>
    </row>
    <row r="67" spans="1:27" ht="18" customHeight="1" x14ac:dyDescent="0.25">
      <c r="A67" s="248" t="str">
        <f t="shared" si="4"/>
        <v/>
      </c>
      <c r="B67" s="249" t="str">
        <f t="shared" si="5"/>
        <v/>
      </c>
      <c r="C67" s="250"/>
      <c r="D67" s="251"/>
      <c r="E67" s="241"/>
      <c r="F67" s="252"/>
      <c r="G67" s="252"/>
      <c r="H67" s="253"/>
      <c r="I67" s="250"/>
      <c r="J67" s="250"/>
      <c r="K67" s="270"/>
      <c r="L67" s="250"/>
      <c r="M67" s="250"/>
      <c r="N67" s="553" t="str">
        <f>CONCATENATE(IF(OR(M67=phu!$I$1,M67=phu!$I$2,M67=phu!$I$3),"Cam Thành Nam",""),IF(OR(M67=phu!$I$4,M67=phu!$I$5,M67=phu!$I$6,M67=phu!$I$7,M67=phu!$I$8,M67=phu!$I$9,M67=phu!$I$10,M67=phu!$I$11,M67=phu!$I$12,M67=phu!$I$13,M67=phu!$I$14),"Cam Nghĩa",""),IF(OR(M67=phu!$I$15,M67=phu!$I$16,M67=phu!$I$17,M67=phu!$I$18,M67=phu!$I$19,M67=phu!$I$20,M67=phu!$I$21),"Cam Phúc Bắc",""),IF(OR(M67=phu!$I$22,M67=phu!$I$23,M67=phu!$I$24,M67=phu!$I$25),"Cam Phúc Nam",""),IF(OR(M67=phu!$I$26,M67=phu!$I$27,M67=phu!$I$28,M67=phu!$I$29,M67=phu!$I$30,M67=phu!$I$31),"Cam Phú",""),IF(OR(M67=phu!$I$32,M67=phu!$I$33,M67=phu!$I$34,M67=phu!$I$35,M67=phu!$I$36,M67=phu!$I$37),"Cam Lộc",""),IF(OR(M67=phu!$I$38,M67=phu!$I$39,M67=phu!$I$40,M67=phu!$I$41,M67=phu!$I$42,M67=phu!$I$43,M67=phu!$I$44),"Cam Thuận",""),IF(OR(M67=phu!$I$45,M67=phu!$I$46,M67=phu!$I$47,M67=phu!$I$48,M67=phu!$I$49,M67=phu!$I$50,M67=phu!$I$51,M67=phu!$I$52,M67=phu!$I$53),"Cam Linh",""),IF(OR(M67=phu!$I$54,M67=phu!$I$55,M67=phu!$I$56,M67=phu!$I$57,M67=phu!$I$58,M67=phu!$I$59,M67=phu!$I$60,M67=phu!$I$61,M67=phu!$I$62),"Cam Lợi",""),IF(OR(M67=phu!$I$63,M67=phu!$I$64,M67=phu!$I$65,M67=phu!$I$66,M67=phu!$I$67,M67=phu!$I$68,M67=phu!$I$69,M67=phu!$I$70,M67=phu!$I$71),"Ba Ngòi",""),IF(OR(M67=phu!$I$72,M67=phu!$I$73,M67=phu!$I$74,M67=phu!$I$75,M67=phu!$I$76,M67=phu!$I$77,M67=phu!$I$78),"Cam Phước Đông",""),IF(OR(M67=phu!$I$79,M67=phu!$I$80,M67=phu!$I$81,M67=phu!$I$82,M67=phu!$I$83,M67=phu!$I$84),"Cam Thịnh Đông",""),IF(OR(M67=phu!$I$85,M67=phu!$I$86,M67=phu!$I$87,M67=phu!$I$88),"Cam Thịnh Tây",""),IF(OR(M67=phu!$I$89,M67=phu!$I$90),"Cam Lập",""),IF(OR(M67=phu!$I$91,M67=phu!$I$92,M67=phu!$I$93),"Cam Bình",""),IF(OR(M67=phu!$I$94,M67=phu!$I$95,M67=phu!$I$96,M67=phu!$I$97,M67=phu!$I$98,M67=phu!$I$99,M67=phu!$I$100),"Huyện khác",""),IF(OR(M67=phu!$I$101,M67=phu!$I$102),"Tỉnh khác",""))</f>
        <v/>
      </c>
      <c r="O67" s="814" t="str">
        <f t="shared" si="1"/>
        <v/>
      </c>
      <c r="P67" s="254"/>
      <c r="Q67" s="254"/>
      <c r="R67" s="254"/>
      <c r="S67" s="254"/>
      <c r="T67" s="254"/>
      <c r="U67" s="254"/>
      <c r="V67" s="254"/>
      <c r="W67" s="254"/>
      <c r="Y67" s="246" t="str">
        <f t="shared" si="2"/>
        <v/>
      </c>
      <c r="Z67" s="247" t="str">
        <f t="shared" si="0"/>
        <v/>
      </c>
      <c r="AA67" s="246" t="str">
        <f t="shared" si="3"/>
        <v/>
      </c>
    </row>
    <row r="68" spans="1:27" ht="18" customHeight="1" x14ac:dyDescent="0.25">
      <c r="A68" s="248" t="str">
        <f t="shared" si="4"/>
        <v/>
      </c>
      <c r="B68" s="249" t="str">
        <f t="shared" si="5"/>
        <v/>
      </c>
      <c r="C68" s="250"/>
      <c r="D68" s="251"/>
      <c r="E68" s="241"/>
      <c r="F68" s="252"/>
      <c r="G68" s="252"/>
      <c r="H68" s="253"/>
      <c r="I68" s="250"/>
      <c r="J68" s="250"/>
      <c r="K68" s="270"/>
      <c r="L68" s="250"/>
      <c r="M68" s="250"/>
      <c r="N68" s="553" t="str">
        <f>CONCATENATE(IF(OR(M68=phu!$I$1,M68=phu!$I$2,M68=phu!$I$3),"Cam Thành Nam",""),IF(OR(M68=phu!$I$4,M68=phu!$I$5,M68=phu!$I$6,M68=phu!$I$7,M68=phu!$I$8,M68=phu!$I$9,M68=phu!$I$10,M68=phu!$I$11,M68=phu!$I$12,M68=phu!$I$13,M68=phu!$I$14),"Cam Nghĩa",""),IF(OR(M68=phu!$I$15,M68=phu!$I$16,M68=phu!$I$17,M68=phu!$I$18,M68=phu!$I$19,M68=phu!$I$20,M68=phu!$I$21),"Cam Phúc Bắc",""),IF(OR(M68=phu!$I$22,M68=phu!$I$23,M68=phu!$I$24,M68=phu!$I$25),"Cam Phúc Nam",""),IF(OR(M68=phu!$I$26,M68=phu!$I$27,M68=phu!$I$28,M68=phu!$I$29,M68=phu!$I$30,M68=phu!$I$31),"Cam Phú",""),IF(OR(M68=phu!$I$32,M68=phu!$I$33,M68=phu!$I$34,M68=phu!$I$35,M68=phu!$I$36,M68=phu!$I$37),"Cam Lộc",""),IF(OR(M68=phu!$I$38,M68=phu!$I$39,M68=phu!$I$40,M68=phu!$I$41,M68=phu!$I$42,M68=phu!$I$43,M68=phu!$I$44),"Cam Thuận",""),IF(OR(M68=phu!$I$45,M68=phu!$I$46,M68=phu!$I$47,M68=phu!$I$48,M68=phu!$I$49,M68=phu!$I$50,M68=phu!$I$51,M68=phu!$I$52,M68=phu!$I$53),"Cam Linh",""),IF(OR(M68=phu!$I$54,M68=phu!$I$55,M68=phu!$I$56,M68=phu!$I$57,M68=phu!$I$58,M68=phu!$I$59,M68=phu!$I$60,M68=phu!$I$61,M68=phu!$I$62),"Cam Lợi",""),IF(OR(M68=phu!$I$63,M68=phu!$I$64,M68=phu!$I$65,M68=phu!$I$66,M68=phu!$I$67,M68=phu!$I$68,M68=phu!$I$69,M68=phu!$I$70,M68=phu!$I$71),"Ba Ngòi",""),IF(OR(M68=phu!$I$72,M68=phu!$I$73,M68=phu!$I$74,M68=phu!$I$75,M68=phu!$I$76,M68=phu!$I$77,M68=phu!$I$78),"Cam Phước Đông",""),IF(OR(M68=phu!$I$79,M68=phu!$I$80,M68=phu!$I$81,M68=phu!$I$82,M68=phu!$I$83,M68=phu!$I$84),"Cam Thịnh Đông",""),IF(OR(M68=phu!$I$85,M68=phu!$I$86,M68=phu!$I$87,M68=phu!$I$88),"Cam Thịnh Tây",""),IF(OR(M68=phu!$I$89,M68=phu!$I$90),"Cam Lập",""),IF(OR(M68=phu!$I$91,M68=phu!$I$92,M68=phu!$I$93),"Cam Bình",""),IF(OR(M68=phu!$I$94,M68=phu!$I$95,M68=phu!$I$96,M68=phu!$I$97,M68=phu!$I$98,M68=phu!$I$99,M68=phu!$I$100),"Huyện khác",""),IF(OR(M68=phu!$I$101,M68=phu!$I$102),"Tỉnh khác",""))</f>
        <v/>
      </c>
      <c r="O68" s="814" t="str">
        <f t="shared" si="1"/>
        <v/>
      </c>
      <c r="P68" s="254"/>
      <c r="Q68" s="254"/>
      <c r="R68" s="254"/>
      <c r="S68" s="254"/>
      <c r="T68" s="254"/>
      <c r="U68" s="254"/>
      <c r="V68" s="254"/>
      <c r="W68" s="254"/>
      <c r="Y68" s="246" t="str">
        <f t="shared" si="2"/>
        <v/>
      </c>
      <c r="Z68" s="247" t="str">
        <f t="shared" si="0"/>
        <v/>
      </c>
      <c r="AA68" s="246" t="str">
        <f t="shared" si="3"/>
        <v/>
      </c>
    </row>
    <row r="69" spans="1:27" ht="18" customHeight="1" x14ac:dyDescent="0.25">
      <c r="A69" s="248" t="str">
        <f t="shared" si="4"/>
        <v/>
      </c>
      <c r="B69" s="249" t="str">
        <f t="shared" si="5"/>
        <v/>
      </c>
      <c r="C69" s="250"/>
      <c r="D69" s="251"/>
      <c r="E69" s="241"/>
      <c r="F69" s="252"/>
      <c r="G69" s="252"/>
      <c r="H69" s="253"/>
      <c r="I69" s="250"/>
      <c r="J69" s="250"/>
      <c r="K69" s="270"/>
      <c r="L69" s="250"/>
      <c r="M69" s="250"/>
      <c r="N69" s="553" t="str">
        <f>CONCATENATE(IF(OR(M69=phu!$I$1,M69=phu!$I$2,M69=phu!$I$3),"Cam Thành Nam",""),IF(OR(M69=phu!$I$4,M69=phu!$I$5,M69=phu!$I$6,M69=phu!$I$7,M69=phu!$I$8,M69=phu!$I$9,M69=phu!$I$10,M69=phu!$I$11,M69=phu!$I$12,M69=phu!$I$13,M69=phu!$I$14),"Cam Nghĩa",""),IF(OR(M69=phu!$I$15,M69=phu!$I$16,M69=phu!$I$17,M69=phu!$I$18,M69=phu!$I$19,M69=phu!$I$20,M69=phu!$I$21),"Cam Phúc Bắc",""),IF(OR(M69=phu!$I$22,M69=phu!$I$23,M69=phu!$I$24,M69=phu!$I$25),"Cam Phúc Nam",""),IF(OR(M69=phu!$I$26,M69=phu!$I$27,M69=phu!$I$28,M69=phu!$I$29,M69=phu!$I$30,M69=phu!$I$31),"Cam Phú",""),IF(OR(M69=phu!$I$32,M69=phu!$I$33,M69=phu!$I$34,M69=phu!$I$35,M69=phu!$I$36,M69=phu!$I$37),"Cam Lộc",""),IF(OR(M69=phu!$I$38,M69=phu!$I$39,M69=phu!$I$40,M69=phu!$I$41,M69=phu!$I$42,M69=phu!$I$43,M69=phu!$I$44),"Cam Thuận",""),IF(OR(M69=phu!$I$45,M69=phu!$I$46,M69=phu!$I$47,M69=phu!$I$48,M69=phu!$I$49,M69=phu!$I$50,M69=phu!$I$51,M69=phu!$I$52,M69=phu!$I$53),"Cam Linh",""),IF(OR(M69=phu!$I$54,M69=phu!$I$55,M69=phu!$I$56,M69=phu!$I$57,M69=phu!$I$58,M69=phu!$I$59,M69=phu!$I$60,M69=phu!$I$61,M69=phu!$I$62),"Cam Lợi",""),IF(OR(M69=phu!$I$63,M69=phu!$I$64,M69=phu!$I$65,M69=phu!$I$66,M69=phu!$I$67,M69=phu!$I$68,M69=phu!$I$69,M69=phu!$I$70,M69=phu!$I$71),"Ba Ngòi",""),IF(OR(M69=phu!$I$72,M69=phu!$I$73,M69=phu!$I$74,M69=phu!$I$75,M69=phu!$I$76,M69=phu!$I$77,M69=phu!$I$78),"Cam Phước Đông",""),IF(OR(M69=phu!$I$79,M69=phu!$I$80,M69=phu!$I$81,M69=phu!$I$82,M69=phu!$I$83,M69=phu!$I$84),"Cam Thịnh Đông",""),IF(OR(M69=phu!$I$85,M69=phu!$I$86,M69=phu!$I$87,M69=phu!$I$88),"Cam Thịnh Tây",""),IF(OR(M69=phu!$I$89,M69=phu!$I$90),"Cam Lập",""),IF(OR(M69=phu!$I$91,M69=phu!$I$92,M69=phu!$I$93),"Cam Bình",""),IF(OR(M69=phu!$I$94,M69=phu!$I$95,M69=phu!$I$96,M69=phu!$I$97,M69=phu!$I$98,M69=phu!$I$99,M69=phu!$I$100),"Huyện khác",""),IF(OR(M69=phu!$I$101,M69=phu!$I$102),"Tỉnh khác",""))</f>
        <v/>
      </c>
      <c r="O69" s="815" t="str">
        <f t="shared" si="1"/>
        <v/>
      </c>
      <c r="P69" s="256"/>
      <c r="Q69" s="256"/>
      <c r="R69" s="256"/>
      <c r="S69" s="254"/>
      <c r="T69" s="254"/>
      <c r="U69" s="254"/>
      <c r="V69" s="254"/>
      <c r="W69" s="254"/>
      <c r="Y69" s="246" t="str">
        <f t="shared" si="2"/>
        <v/>
      </c>
      <c r="Z69" s="247" t="str">
        <f t="shared" si="0"/>
        <v/>
      </c>
      <c r="AA69" s="246" t="str">
        <f t="shared" si="3"/>
        <v/>
      </c>
    </row>
    <row r="70" spans="1:27" ht="18" customHeight="1" x14ac:dyDescent="0.25">
      <c r="A70" s="248" t="str">
        <f t="shared" si="4"/>
        <v/>
      </c>
      <c r="B70" s="249" t="str">
        <f t="shared" si="5"/>
        <v/>
      </c>
      <c r="C70" s="250"/>
      <c r="D70" s="251"/>
      <c r="E70" s="241"/>
      <c r="F70" s="252"/>
      <c r="G70" s="252"/>
      <c r="H70" s="253"/>
      <c r="I70" s="250"/>
      <c r="J70" s="250"/>
      <c r="K70" s="270"/>
      <c r="L70" s="250"/>
      <c r="M70" s="250"/>
      <c r="N70" s="553" t="str">
        <f>CONCATENATE(IF(OR(M70=phu!$I$1,M70=phu!$I$2,M70=phu!$I$3),"Cam Thành Nam",""),IF(OR(M70=phu!$I$4,M70=phu!$I$5,M70=phu!$I$6,M70=phu!$I$7,M70=phu!$I$8,M70=phu!$I$9,M70=phu!$I$10,M70=phu!$I$11,M70=phu!$I$12,M70=phu!$I$13,M70=phu!$I$14),"Cam Nghĩa",""),IF(OR(M70=phu!$I$15,M70=phu!$I$16,M70=phu!$I$17,M70=phu!$I$18,M70=phu!$I$19,M70=phu!$I$20,M70=phu!$I$21),"Cam Phúc Bắc",""),IF(OR(M70=phu!$I$22,M70=phu!$I$23,M70=phu!$I$24,M70=phu!$I$25),"Cam Phúc Nam",""),IF(OR(M70=phu!$I$26,M70=phu!$I$27,M70=phu!$I$28,M70=phu!$I$29,M70=phu!$I$30,M70=phu!$I$31),"Cam Phú",""),IF(OR(M70=phu!$I$32,M70=phu!$I$33,M70=phu!$I$34,M70=phu!$I$35,M70=phu!$I$36,M70=phu!$I$37),"Cam Lộc",""),IF(OR(M70=phu!$I$38,M70=phu!$I$39,M70=phu!$I$40,M70=phu!$I$41,M70=phu!$I$42,M70=phu!$I$43,M70=phu!$I$44),"Cam Thuận",""),IF(OR(M70=phu!$I$45,M70=phu!$I$46,M70=phu!$I$47,M70=phu!$I$48,M70=phu!$I$49,M70=phu!$I$50,M70=phu!$I$51,M70=phu!$I$52,M70=phu!$I$53),"Cam Linh",""),IF(OR(M70=phu!$I$54,M70=phu!$I$55,M70=phu!$I$56,M70=phu!$I$57,M70=phu!$I$58,M70=phu!$I$59,M70=phu!$I$60,M70=phu!$I$61,M70=phu!$I$62),"Cam Lợi",""),IF(OR(M70=phu!$I$63,M70=phu!$I$64,M70=phu!$I$65,M70=phu!$I$66,M70=phu!$I$67,M70=phu!$I$68,M70=phu!$I$69,M70=phu!$I$70,M70=phu!$I$71),"Ba Ngòi",""),IF(OR(M70=phu!$I$72,M70=phu!$I$73,M70=phu!$I$74,M70=phu!$I$75,M70=phu!$I$76,M70=phu!$I$77,M70=phu!$I$78),"Cam Phước Đông",""),IF(OR(M70=phu!$I$79,M70=phu!$I$80,M70=phu!$I$81,M70=phu!$I$82,M70=phu!$I$83,M70=phu!$I$84),"Cam Thịnh Đông",""),IF(OR(M70=phu!$I$85,M70=phu!$I$86,M70=phu!$I$87,M70=phu!$I$88),"Cam Thịnh Tây",""),IF(OR(M70=phu!$I$89,M70=phu!$I$90),"Cam Lập",""),IF(OR(M70=phu!$I$91,M70=phu!$I$92,M70=phu!$I$93),"Cam Bình",""),IF(OR(M70=phu!$I$94,M70=phu!$I$95,M70=phu!$I$96,M70=phu!$I$97,M70=phu!$I$98,M70=phu!$I$99,M70=phu!$I$100),"Huyện khác",""),IF(OR(M70=phu!$I$101,M70=phu!$I$102),"Tỉnh khác",""))</f>
        <v/>
      </c>
      <c r="O70" s="815" t="str">
        <f t="shared" si="1"/>
        <v/>
      </c>
      <c r="P70" s="256"/>
      <c r="Q70" s="256"/>
      <c r="R70" s="256"/>
      <c r="S70" s="254"/>
      <c r="T70" s="254"/>
      <c r="U70" s="254"/>
      <c r="V70" s="254"/>
      <c r="W70" s="254"/>
      <c r="Y70" s="246" t="str">
        <f t="shared" si="2"/>
        <v/>
      </c>
      <c r="Z70" s="247" t="str">
        <f t="shared" ref="Z70:Z133" si="6">IF(H70="","",$Z$1-H70)</f>
        <v/>
      </c>
      <c r="AA70" s="246" t="str">
        <f t="shared" si="3"/>
        <v/>
      </c>
    </row>
    <row r="71" spans="1:27" ht="18" customHeight="1" x14ac:dyDescent="0.25">
      <c r="A71" s="248" t="str">
        <f t="shared" si="4"/>
        <v/>
      </c>
      <c r="B71" s="249" t="str">
        <f t="shared" si="5"/>
        <v/>
      </c>
      <c r="C71" s="250"/>
      <c r="D71" s="251"/>
      <c r="E71" s="241"/>
      <c r="F71" s="252"/>
      <c r="G71" s="252"/>
      <c r="H71" s="253"/>
      <c r="I71" s="250"/>
      <c r="J71" s="250"/>
      <c r="K71" s="270"/>
      <c r="L71" s="250"/>
      <c r="M71" s="250"/>
      <c r="N71" s="553" t="str">
        <f>CONCATENATE(IF(OR(M71=phu!$I$1,M71=phu!$I$2,M71=phu!$I$3),"Cam Thành Nam",""),IF(OR(M71=phu!$I$4,M71=phu!$I$5,M71=phu!$I$6,M71=phu!$I$7,M71=phu!$I$8,M71=phu!$I$9,M71=phu!$I$10,M71=phu!$I$11,M71=phu!$I$12,M71=phu!$I$13,M71=phu!$I$14),"Cam Nghĩa",""),IF(OR(M71=phu!$I$15,M71=phu!$I$16,M71=phu!$I$17,M71=phu!$I$18,M71=phu!$I$19,M71=phu!$I$20,M71=phu!$I$21),"Cam Phúc Bắc",""),IF(OR(M71=phu!$I$22,M71=phu!$I$23,M71=phu!$I$24,M71=phu!$I$25),"Cam Phúc Nam",""),IF(OR(M71=phu!$I$26,M71=phu!$I$27,M71=phu!$I$28,M71=phu!$I$29,M71=phu!$I$30,M71=phu!$I$31),"Cam Phú",""),IF(OR(M71=phu!$I$32,M71=phu!$I$33,M71=phu!$I$34,M71=phu!$I$35,M71=phu!$I$36,M71=phu!$I$37),"Cam Lộc",""),IF(OR(M71=phu!$I$38,M71=phu!$I$39,M71=phu!$I$40,M71=phu!$I$41,M71=phu!$I$42,M71=phu!$I$43,M71=phu!$I$44),"Cam Thuận",""),IF(OR(M71=phu!$I$45,M71=phu!$I$46,M71=phu!$I$47,M71=phu!$I$48,M71=phu!$I$49,M71=phu!$I$50,M71=phu!$I$51,M71=phu!$I$52,M71=phu!$I$53),"Cam Linh",""),IF(OR(M71=phu!$I$54,M71=phu!$I$55,M71=phu!$I$56,M71=phu!$I$57,M71=phu!$I$58,M71=phu!$I$59,M71=phu!$I$60,M71=phu!$I$61,M71=phu!$I$62),"Cam Lợi",""),IF(OR(M71=phu!$I$63,M71=phu!$I$64,M71=phu!$I$65,M71=phu!$I$66,M71=phu!$I$67,M71=phu!$I$68,M71=phu!$I$69,M71=phu!$I$70,M71=phu!$I$71),"Ba Ngòi",""),IF(OR(M71=phu!$I$72,M71=phu!$I$73,M71=phu!$I$74,M71=phu!$I$75,M71=phu!$I$76,M71=phu!$I$77,M71=phu!$I$78),"Cam Phước Đông",""),IF(OR(M71=phu!$I$79,M71=phu!$I$80,M71=phu!$I$81,M71=phu!$I$82,M71=phu!$I$83,M71=phu!$I$84),"Cam Thịnh Đông",""),IF(OR(M71=phu!$I$85,M71=phu!$I$86,M71=phu!$I$87,M71=phu!$I$88),"Cam Thịnh Tây",""),IF(OR(M71=phu!$I$89,M71=phu!$I$90),"Cam Lập",""),IF(OR(M71=phu!$I$91,M71=phu!$I$92,M71=phu!$I$93),"Cam Bình",""),IF(OR(M71=phu!$I$94,M71=phu!$I$95,M71=phu!$I$96,M71=phu!$I$97,M71=phu!$I$98,M71=phu!$I$99,M71=phu!$I$100),"Huyện khác",""),IF(OR(M71=phu!$I$101,M71=phu!$I$102),"Tỉnh khác",""))</f>
        <v/>
      </c>
      <c r="O71" s="815" t="str">
        <f t="shared" ref="O71:O134" si="7">CONCATENATE(IF(OR(N71="Cam Thành Nam",N71="Cam Nghĩa",N71="Cam Phúc Bắc"),"Bắc Cam Ranh",""),IF(OR(N71="Cam Phúc Nam",N71="Cam Phú",N71="Cam Lộc"),"Cam Ranh",""),IF(OR(N71="Cam Thuận",N71="Cam Linh",N71="Cam Lợi"),"Cam Linh",""),IF(OR(N71="Ba Ngòi",N71="Cam Phước Đông"),"Ba Ngòi",""),IF(OR(N71="Cam Thịnh Đông",N71="Cam Thịnh Tây",N71="Cam Lập",N71="Cam Bình"),"Nam Cam Ranh",""),IF(N71="Huyện khác","Huyện khác",""),IF(N71="Tỉnh khác","Tỉnh khác",""))</f>
        <v/>
      </c>
      <c r="P71" s="256"/>
      <c r="Q71" s="256"/>
      <c r="R71" s="256"/>
      <c r="S71" s="254"/>
      <c r="T71" s="254"/>
      <c r="U71" s="254"/>
      <c r="V71" s="254"/>
      <c r="W71" s="254"/>
      <c r="Y71" s="246" t="str">
        <f t="shared" ref="Y71:Y134" si="8">IF(OR(AND(B71="",C71="",D71="",E71="",F71="",G71="",H71="",I71="",J71="",L71="",M71="",N71="",P71="",Q71="",R71="",S71=""),AND(B71&lt;&gt;"",C71&lt;&gt;"",D71&lt;&gt;"",E71&lt;&gt;"",F71&lt;&gt;"",G71&lt;&gt;"",H71&lt;&gt;"",J71&lt;&gt;"",M71&lt;&gt;"",N71&lt;&gt;"",P71&lt;&gt;"",OR(AND(Q71&lt;&gt;"",R71=""),AND(Q71="",R71&lt;&gt;""),AND(Q71&lt;&gt;"",R71&lt;&gt;"")),OR(AND(K71="X",T71&lt;&gt;""),AND(K71="",T71="")))),"","er")</f>
        <v/>
      </c>
      <c r="Z71" s="247" t="str">
        <f t="shared" si="6"/>
        <v/>
      </c>
      <c r="AA71" s="246" t="str">
        <f t="shared" ref="AA71:AA134" si="9">IF(OR(AND(Z71=5,B71&gt;0),AND(Z71=6,B71&gt;1),AND(Z71=7,B71&gt;2),AND(Z71=8,B71&gt;3),AND(Z71=9,B71&gt;4),AND(Z71=10,B71&gt;5),AND(Z71=5,B71=0,L71="X"),AND(Z71=6,B71=1,L71="X"),AND(Z71=7,B71=2,L71="X"),AND(Z71=8,B71=3,L71="X"),AND(Z71=9,B71=4,L71="X"),AND(Z71=10,B71=5,L71="X")),"er","")</f>
        <v/>
      </c>
    </row>
    <row r="72" spans="1:27" ht="18" customHeight="1" x14ac:dyDescent="0.25">
      <c r="A72" s="248" t="str">
        <f t="shared" ref="A72:A135" si="10">IF(OR(A71="",B72="",C72="",D72="",E72=""),"",A71+1)</f>
        <v/>
      </c>
      <c r="B72" s="249" t="str">
        <f t="shared" ref="B72:B135" si="11">IF(C72="","",VALUE(LEFT(C72,1)))</f>
        <v/>
      </c>
      <c r="C72" s="250"/>
      <c r="D72" s="251"/>
      <c r="E72" s="241"/>
      <c r="F72" s="252"/>
      <c r="G72" s="252"/>
      <c r="H72" s="253"/>
      <c r="I72" s="250"/>
      <c r="J72" s="250"/>
      <c r="K72" s="270"/>
      <c r="L72" s="250"/>
      <c r="M72" s="250"/>
      <c r="N72" s="553" t="str">
        <f>CONCATENATE(IF(OR(M72=phu!$I$1,M72=phu!$I$2,M72=phu!$I$3),"Cam Thành Nam",""),IF(OR(M72=phu!$I$4,M72=phu!$I$5,M72=phu!$I$6,M72=phu!$I$7,M72=phu!$I$8,M72=phu!$I$9,M72=phu!$I$10,M72=phu!$I$11,M72=phu!$I$12,M72=phu!$I$13,M72=phu!$I$14),"Cam Nghĩa",""),IF(OR(M72=phu!$I$15,M72=phu!$I$16,M72=phu!$I$17,M72=phu!$I$18,M72=phu!$I$19,M72=phu!$I$20,M72=phu!$I$21),"Cam Phúc Bắc",""),IF(OR(M72=phu!$I$22,M72=phu!$I$23,M72=phu!$I$24,M72=phu!$I$25),"Cam Phúc Nam",""),IF(OR(M72=phu!$I$26,M72=phu!$I$27,M72=phu!$I$28,M72=phu!$I$29,M72=phu!$I$30,M72=phu!$I$31),"Cam Phú",""),IF(OR(M72=phu!$I$32,M72=phu!$I$33,M72=phu!$I$34,M72=phu!$I$35,M72=phu!$I$36,M72=phu!$I$37),"Cam Lộc",""),IF(OR(M72=phu!$I$38,M72=phu!$I$39,M72=phu!$I$40,M72=phu!$I$41,M72=phu!$I$42,M72=phu!$I$43,M72=phu!$I$44),"Cam Thuận",""),IF(OR(M72=phu!$I$45,M72=phu!$I$46,M72=phu!$I$47,M72=phu!$I$48,M72=phu!$I$49,M72=phu!$I$50,M72=phu!$I$51,M72=phu!$I$52,M72=phu!$I$53),"Cam Linh",""),IF(OR(M72=phu!$I$54,M72=phu!$I$55,M72=phu!$I$56,M72=phu!$I$57,M72=phu!$I$58,M72=phu!$I$59,M72=phu!$I$60,M72=phu!$I$61,M72=phu!$I$62),"Cam Lợi",""),IF(OR(M72=phu!$I$63,M72=phu!$I$64,M72=phu!$I$65,M72=phu!$I$66,M72=phu!$I$67,M72=phu!$I$68,M72=phu!$I$69,M72=phu!$I$70,M72=phu!$I$71),"Ba Ngòi",""),IF(OR(M72=phu!$I$72,M72=phu!$I$73,M72=phu!$I$74,M72=phu!$I$75,M72=phu!$I$76,M72=phu!$I$77,M72=phu!$I$78),"Cam Phước Đông",""),IF(OR(M72=phu!$I$79,M72=phu!$I$80,M72=phu!$I$81,M72=phu!$I$82,M72=phu!$I$83,M72=phu!$I$84),"Cam Thịnh Đông",""),IF(OR(M72=phu!$I$85,M72=phu!$I$86,M72=phu!$I$87,M72=phu!$I$88),"Cam Thịnh Tây",""),IF(OR(M72=phu!$I$89,M72=phu!$I$90),"Cam Lập",""),IF(OR(M72=phu!$I$91,M72=phu!$I$92,M72=phu!$I$93),"Cam Bình",""),IF(OR(M72=phu!$I$94,M72=phu!$I$95,M72=phu!$I$96,M72=phu!$I$97,M72=phu!$I$98,M72=phu!$I$99,M72=phu!$I$100),"Huyện khác",""),IF(OR(M72=phu!$I$101,M72=phu!$I$102),"Tỉnh khác",""))</f>
        <v/>
      </c>
      <c r="O72" s="815" t="str">
        <f t="shared" si="7"/>
        <v/>
      </c>
      <c r="P72" s="256"/>
      <c r="Q72" s="256"/>
      <c r="R72" s="256"/>
      <c r="S72" s="254"/>
      <c r="T72" s="254"/>
      <c r="U72" s="254"/>
      <c r="V72" s="254"/>
      <c r="W72" s="254"/>
      <c r="Y72" s="246" t="str">
        <f t="shared" si="8"/>
        <v/>
      </c>
      <c r="Z72" s="247" t="str">
        <f t="shared" si="6"/>
        <v/>
      </c>
      <c r="AA72" s="246" t="str">
        <f t="shared" si="9"/>
        <v/>
      </c>
    </row>
    <row r="73" spans="1:27" ht="18" customHeight="1" x14ac:dyDescent="0.25">
      <c r="A73" s="248" t="str">
        <f t="shared" si="10"/>
        <v/>
      </c>
      <c r="B73" s="249" t="str">
        <f t="shared" si="11"/>
        <v/>
      </c>
      <c r="C73" s="250"/>
      <c r="D73" s="251"/>
      <c r="E73" s="241"/>
      <c r="F73" s="252"/>
      <c r="G73" s="252"/>
      <c r="H73" s="253"/>
      <c r="I73" s="250"/>
      <c r="J73" s="250"/>
      <c r="K73" s="270"/>
      <c r="L73" s="250"/>
      <c r="M73" s="250"/>
      <c r="N73" s="553" t="str">
        <f>CONCATENATE(IF(OR(M73=phu!$I$1,M73=phu!$I$2,M73=phu!$I$3),"Cam Thành Nam",""),IF(OR(M73=phu!$I$4,M73=phu!$I$5,M73=phu!$I$6,M73=phu!$I$7,M73=phu!$I$8,M73=phu!$I$9,M73=phu!$I$10,M73=phu!$I$11,M73=phu!$I$12,M73=phu!$I$13,M73=phu!$I$14),"Cam Nghĩa",""),IF(OR(M73=phu!$I$15,M73=phu!$I$16,M73=phu!$I$17,M73=phu!$I$18,M73=phu!$I$19,M73=phu!$I$20,M73=phu!$I$21),"Cam Phúc Bắc",""),IF(OR(M73=phu!$I$22,M73=phu!$I$23,M73=phu!$I$24,M73=phu!$I$25),"Cam Phúc Nam",""),IF(OR(M73=phu!$I$26,M73=phu!$I$27,M73=phu!$I$28,M73=phu!$I$29,M73=phu!$I$30,M73=phu!$I$31),"Cam Phú",""),IF(OR(M73=phu!$I$32,M73=phu!$I$33,M73=phu!$I$34,M73=phu!$I$35,M73=phu!$I$36,M73=phu!$I$37),"Cam Lộc",""),IF(OR(M73=phu!$I$38,M73=phu!$I$39,M73=phu!$I$40,M73=phu!$I$41,M73=phu!$I$42,M73=phu!$I$43,M73=phu!$I$44),"Cam Thuận",""),IF(OR(M73=phu!$I$45,M73=phu!$I$46,M73=phu!$I$47,M73=phu!$I$48,M73=phu!$I$49,M73=phu!$I$50,M73=phu!$I$51,M73=phu!$I$52,M73=phu!$I$53),"Cam Linh",""),IF(OR(M73=phu!$I$54,M73=phu!$I$55,M73=phu!$I$56,M73=phu!$I$57,M73=phu!$I$58,M73=phu!$I$59,M73=phu!$I$60,M73=phu!$I$61,M73=phu!$I$62),"Cam Lợi",""),IF(OR(M73=phu!$I$63,M73=phu!$I$64,M73=phu!$I$65,M73=phu!$I$66,M73=phu!$I$67,M73=phu!$I$68,M73=phu!$I$69,M73=phu!$I$70,M73=phu!$I$71),"Ba Ngòi",""),IF(OR(M73=phu!$I$72,M73=phu!$I$73,M73=phu!$I$74,M73=phu!$I$75,M73=phu!$I$76,M73=phu!$I$77,M73=phu!$I$78),"Cam Phước Đông",""),IF(OR(M73=phu!$I$79,M73=phu!$I$80,M73=phu!$I$81,M73=phu!$I$82,M73=phu!$I$83,M73=phu!$I$84),"Cam Thịnh Đông",""),IF(OR(M73=phu!$I$85,M73=phu!$I$86,M73=phu!$I$87,M73=phu!$I$88),"Cam Thịnh Tây",""),IF(OR(M73=phu!$I$89,M73=phu!$I$90),"Cam Lập",""),IF(OR(M73=phu!$I$91,M73=phu!$I$92,M73=phu!$I$93),"Cam Bình",""),IF(OR(M73=phu!$I$94,M73=phu!$I$95,M73=phu!$I$96,M73=phu!$I$97,M73=phu!$I$98,M73=phu!$I$99,M73=phu!$I$100),"Huyện khác",""),IF(OR(M73=phu!$I$101,M73=phu!$I$102),"Tỉnh khác",""))</f>
        <v/>
      </c>
      <c r="O73" s="815" t="str">
        <f t="shared" si="7"/>
        <v/>
      </c>
      <c r="P73" s="256"/>
      <c r="Q73" s="256"/>
      <c r="R73" s="256"/>
      <c r="S73" s="254"/>
      <c r="T73" s="254"/>
      <c r="U73" s="254"/>
      <c r="V73" s="254"/>
      <c r="W73" s="254"/>
      <c r="Y73" s="246" t="str">
        <f t="shared" si="8"/>
        <v/>
      </c>
      <c r="Z73" s="247" t="str">
        <f t="shared" si="6"/>
        <v/>
      </c>
      <c r="AA73" s="246" t="str">
        <f t="shared" si="9"/>
        <v/>
      </c>
    </row>
    <row r="74" spans="1:27" ht="18" customHeight="1" x14ac:dyDescent="0.25">
      <c r="A74" s="248" t="str">
        <f t="shared" si="10"/>
        <v/>
      </c>
      <c r="B74" s="249" t="str">
        <f t="shared" si="11"/>
        <v/>
      </c>
      <c r="C74" s="250"/>
      <c r="D74" s="251"/>
      <c r="E74" s="241"/>
      <c r="F74" s="252"/>
      <c r="G74" s="252"/>
      <c r="H74" s="253"/>
      <c r="I74" s="250"/>
      <c r="J74" s="250"/>
      <c r="K74" s="270"/>
      <c r="L74" s="250"/>
      <c r="M74" s="250"/>
      <c r="N74" s="553" t="str">
        <f>CONCATENATE(IF(OR(M74=phu!$I$1,M74=phu!$I$2,M74=phu!$I$3),"Cam Thành Nam",""),IF(OR(M74=phu!$I$4,M74=phu!$I$5,M74=phu!$I$6,M74=phu!$I$7,M74=phu!$I$8,M74=phu!$I$9,M74=phu!$I$10,M74=phu!$I$11,M74=phu!$I$12,M74=phu!$I$13,M74=phu!$I$14),"Cam Nghĩa",""),IF(OR(M74=phu!$I$15,M74=phu!$I$16,M74=phu!$I$17,M74=phu!$I$18,M74=phu!$I$19,M74=phu!$I$20,M74=phu!$I$21),"Cam Phúc Bắc",""),IF(OR(M74=phu!$I$22,M74=phu!$I$23,M74=phu!$I$24,M74=phu!$I$25),"Cam Phúc Nam",""),IF(OR(M74=phu!$I$26,M74=phu!$I$27,M74=phu!$I$28,M74=phu!$I$29,M74=phu!$I$30,M74=phu!$I$31),"Cam Phú",""),IF(OR(M74=phu!$I$32,M74=phu!$I$33,M74=phu!$I$34,M74=phu!$I$35,M74=phu!$I$36,M74=phu!$I$37),"Cam Lộc",""),IF(OR(M74=phu!$I$38,M74=phu!$I$39,M74=phu!$I$40,M74=phu!$I$41,M74=phu!$I$42,M74=phu!$I$43,M74=phu!$I$44),"Cam Thuận",""),IF(OR(M74=phu!$I$45,M74=phu!$I$46,M74=phu!$I$47,M74=phu!$I$48,M74=phu!$I$49,M74=phu!$I$50,M74=phu!$I$51,M74=phu!$I$52,M74=phu!$I$53),"Cam Linh",""),IF(OR(M74=phu!$I$54,M74=phu!$I$55,M74=phu!$I$56,M74=phu!$I$57,M74=phu!$I$58,M74=phu!$I$59,M74=phu!$I$60,M74=phu!$I$61,M74=phu!$I$62),"Cam Lợi",""),IF(OR(M74=phu!$I$63,M74=phu!$I$64,M74=phu!$I$65,M74=phu!$I$66,M74=phu!$I$67,M74=phu!$I$68,M74=phu!$I$69,M74=phu!$I$70,M74=phu!$I$71),"Ba Ngòi",""),IF(OR(M74=phu!$I$72,M74=phu!$I$73,M74=phu!$I$74,M74=phu!$I$75,M74=phu!$I$76,M74=phu!$I$77,M74=phu!$I$78),"Cam Phước Đông",""),IF(OR(M74=phu!$I$79,M74=phu!$I$80,M74=phu!$I$81,M74=phu!$I$82,M74=phu!$I$83,M74=phu!$I$84),"Cam Thịnh Đông",""),IF(OR(M74=phu!$I$85,M74=phu!$I$86,M74=phu!$I$87,M74=phu!$I$88),"Cam Thịnh Tây",""),IF(OR(M74=phu!$I$89,M74=phu!$I$90),"Cam Lập",""),IF(OR(M74=phu!$I$91,M74=phu!$I$92,M74=phu!$I$93),"Cam Bình",""),IF(OR(M74=phu!$I$94,M74=phu!$I$95,M74=phu!$I$96,M74=phu!$I$97,M74=phu!$I$98,M74=phu!$I$99,M74=phu!$I$100),"Huyện khác",""),IF(OR(M74=phu!$I$101,M74=phu!$I$102),"Tỉnh khác",""))</f>
        <v/>
      </c>
      <c r="O74" s="814" t="str">
        <f t="shared" si="7"/>
        <v/>
      </c>
      <c r="P74" s="254"/>
      <c r="Q74" s="254"/>
      <c r="R74" s="254"/>
      <c r="S74" s="254"/>
      <c r="T74" s="254"/>
      <c r="U74" s="254"/>
      <c r="V74" s="254"/>
      <c r="W74" s="254"/>
      <c r="Y74" s="246" t="str">
        <f t="shared" si="8"/>
        <v/>
      </c>
      <c r="Z74" s="247" t="str">
        <f t="shared" si="6"/>
        <v/>
      </c>
      <c r="AA74" s="246" t="str">
        <f t="shared" si="9"/>
        <v/>
      </c>
    </row>
    <row r="75" spans="1:27" ht="18" customHeight="1" x14ac:dyDescent="0.25">
      <c r="A75" s="248" t="str">
        <f t="shared" si="10"/>
        <v/>
      </c>
      <c r="B75" s="249" t="str">
        <f t="shared" si="11"/>
        <v/>
      </c>
      <c r="C75" s="250"/>
      <c r="D75" s="251"/>
      <c r="E75" s="241"/>
      <c r="F75" s="252"/>
      <c r="G75" s="252"/>
      <c r="H75" s="253"/>
      <c r="I75" s="250"/>
      <c r="J75" s="250"/>
      <c r="K75" s="270"/>
      <c r="L75" s="250"/>
      <c r="M75" s="250"/>
      <c r="N75" s="553" t="str">
        <f>CONCATENATE(IF(OR(M75=phu!$I$1,M75=phu!$I$2,M75=phu!$I$3),"Cam Thành Nam",""),IF(OR(M75=phu!$I$4,M75=phu!$I$5,M75=phu!$I$6,M75=phu!$I$7,M75=phu!$I$8,M75=phu!$I$9,M75=phu!$I$10,M75=phu!$I$11,M75=phu!$I$12,M75=phu!$I$13,M75=phu!$I$14),"Cam Nghĩa",""),IF(OR(M75=phu!$I$15,M75=phu!$I$16,M75=phu!$I$17,M75=phu!$I$18,M75=phu!$I$19,M75=phu!$I$20,M75=phu!$I$21),"Cam Phúc Bắc",""),IF(OR(M75=phu!$I$22,M75=phu!$I$23,M75=phu!$I$24,M75=phu!$I$25),"Cam Phúc Nam",""),IF(OR(M75=phu!$I$26,M75=phu!$I$27,M75=phu!$I$28,M75=phu!$I$29,M75=phu!$I$30,M75=phu!$I$31),"Cam Phú",""),IF(OR(M75=phu!$I$32,M75=phu!$I$33,M75=phu!$I$34,M75=phu!$I$35,M75=phu!$I$36,M75=phu!$I$37),"Cam Lộc",""),IF(OR(M75=phu!$I$38,M75=phu!$I$39,M75=phu!$I$40,M75=phu!$I$41,M75=phu!$I$42,M75=phu!$I$43,M75=phu!$I$44),"Cam Thuận",""),IF(OR(M75=phu!$I$45,M75=phu!$I$46,M75=phu!$I$47,M75=phu!$I$48,M75=phu!$I$49,M75=phu!$I$50,M75=phu!$I$51,M75=phu!$I$52,M75=phu!$I$53),"Cam Linh",""),IF(OR(M75=phu!$I$54,M75=phu!$I$55,M75=phu!$I$56,M75=phu!$I$57,M75=phu!$I$58,M75=phu!$I$59,M75=phu!$I$60,M75=phu!$I$61,M75=phu!$I$62),"Cam Lợi",""),IF(OR(M75=phu!$I$63,M75=phu!$I$64,M75=phu!$I$65,M75=phu!$I$66,M75=phu!$I$67,M75=phu!$I$68,M75=phu!$I$69,M75=phu!$I$70,M75=phu!$I$71),"Ba Ngòi",""),IF(OR(M75=phu!$I$72,M75=phu!$I$73,M75=phu!$I$74,M75=phu!$I$75,M75=phu!$I$76,M75=phu!$I$77,M75=phu!$I$78),"Cam Phước Đông",""),IF(OR(M75=phu!$I$79,M75=phu!$I$80,M75=phu!$I$81,M75=phu!$I$82,M75=phu!$I$83,M75=phu!$I$84),"Cam Thịnh Đông",""),IF(OR(M75=phu!$I$85,M75=phu!$I$86,M75=phu!$I$87,M75=phu!$I$88),"Cam Thịnh Tây",""),IF(OR(M75=phu!$I$89,M75=phu!$I$90),"Cam Lập",""),IF(OR(M75=phu!$I$91,M75=phu!$I$92,M75=phu!$I$93),"Cam Bình",""),IF(OR(M75=phu!$I$94,M75=phu!$I$95,M75=phu!$I$96,M75=phu!$I$97,M75=phu!$I$98,M75=phu!$I$99,M75=phu!$I$100),"Huyện khác",""),IF(OR(M75=phu!$I$101,M75=phu!$I$102),"Tỉnh khác",""))</f>
        <v/>
      </c>
      <c r="O75" s="815" t="str">
        <f t="shared" si="7"/>
        <v/>
      </c>
      <c r="P75" s="256"/>
      <c r="Q75" s="256"/>
      <c r="R75" s="256"/>
      <c r="S75" s="254"/>
      <c r="T75" s="254"/>
      <c r="U75" s="254"/>
      <c r="V75" s="254"/>
      <c r="W75" s="254"/>
      <c r="Y75" s="246" t="str">
        <f t="shared" si="8"/>
        <v/>
      </c>
      <c r="Z75" s="247" t="str">
        <f t="shared" si="6"/>
        <v/>
      </c>
      <c r="AA75" s="246" t="str">
        <f t="shared" si="9"/>
        <v/>
      </c>
    </row>
    <row r="76" spans="1:27" ht="18" customHeight="1" x14ac:dyDescent="0.25">
      <c r="A76" s="248" t="str">
        <f t="shared" si="10"/>
        <v/>
      </c>
      <c r="B76" s="249" t="str">
        <f t="shared" si="11"/>
        <v/>
      </c>
      <c r="C76" s="250"/>
      <c r="D76" s="251"/>
      <c r="E76" s="241"/>
      <c r="F76" s="252"/>
      <c r="G76" s="252"/>
      <c r="H76" s="253"/>
      <c r="I76" s="250"/>
      <c r="J76" s="250"/>
      <c r="K76" s="270"/>
      <c r="L76" s="250"/>
      <c r="M76" s="250"/>
      <c r="N76" s="553" t="str">
        <f>CONCATENATE(IF(OR(M76=phu!$I$1,M76=phu!$I$2,M76=phu!$I$3),"Cam Thành Nam",""),IF(OR(M76=phu!$I$4,M76=phu!$I$5,M76=phu!$I$6,M76=phu!$I$7,M76=phu!$I$8,M76=phu!$I$9,M76=phu!$I$10,M76=phu!$I$11,M76=phu!$I$12,M76=phu!$I$13,M76=phu!$I$14),"Cam Nghĩa",""),IF(OR(M76=phu!$I$15,M76=phu!$I$16,M76=phu!$I$17,M76=phu!$I$18,M76=phu!$I$19,M76=phu!$I$20,M76=phu!$I$21),"Cam Phúc Bắc",""),IF(OR(M76=phu!$I$22,M76=phu!$I$23,M76=phu!$I$24,M76=phu!$I$25),"Cam Phúc Nam",""),IF(OR(M76=phu!$I$26,M76=phu!$I$27,M76=phu!$I$28,M76=phu!$I$29,M76=phu!$I$30,M76=phu!$I$31),"Cam Phú",""),IF(OR(M76=phu!$I$32,M76=phu!$I$33,M76=phu!$I$34,M76=phu!$I$35,M76=phu!$I$36,M76=phu!$I$37),"Cam Lộc",""),IF(OR(M76=phu!$I$38,M76=phu!$I$39,M76=phu!$I$40,M76=phu!$I$41,M76=phu!$I$42,M76=phu!$I$43,M76=phu!$I$44),"Cam Thuận",""),IF(OR(M76=phu!$I$45,M76=phu!$I$46,M76=phu!$I$47,M76=phu!$I$48,M76=phu!$I$49,M76=phu!$I$50,M76=phu!$I$51,M76=phu!$I$52,M76=phu!$I$53),"Cam Linh",""),IF(OR(M76=phu!$I$54,M76=phu!$I$55,M76=phu!$I$56,M76=phu!$I$57,M76=phu!$I$58,M76=phu!$I$59,M76=phu!$I$60,M76=phu!$I$61,M76=phu!$I$62),"Cam Lợi",""),IF(OR(M76=phu!$I$63,M76=phu!$I$64,M76=phu!$I$65,M76=phu!$I$66,M76=phu!$I$67,M76=phu!$I$68,M76=phu!$I$69,M76=phu!$I$70,M76=phu!$I$71),"Ba Ngòi",""),IF(OR(M76=phu!$I$72,M76=phu!$I$73,M76=phu!$I$74,M76=phu!$I$75,M76=phu!$I$76,M76=phu!$I$77,M76=phu!$I$78),"Cam Phước Đông",""),IF(OR(M76=phu!$I$79,M76=phu!$I$80,M76=phu!$I$81,M76=phu!$I$82,M76=phu!$I$83,M76=phu!$I$84),"Cam Thịnh Đông",""),IF(OR(M76=phu!$I$85,M76=phu!$I$86,M76=phu!$I$87,M76=phu!$I$88),"Cam Thịnh Tây",""),IF(OR(M76=phu!$I$89,M76=phu!$I$90),"Cam Lập",""),IF(OR(M76=phu!$I$91,M76=phu!$I$92,M76=phu!$I$93),"Cam Bình",""),IF(OR(M76=phu!$I$94,M76=phu!$I$95,M76=phu!$I$96,M76=phu!$I$97,M76=phu!$I$98,M76=phu!$I$99,M76=phu!$I$100),"Huyện khác",""),IF(OR(M76=phu!$I$101,M76=phu!$I$102),"Tỉnh khác",""))</f>
        <v/>
      </c>
      <c r="O76" s="815" t="str">
        <f t="shared" si="7"/>
        <v/>
      </c>
      <c r="P76" s="256"/>
      <c r="Q76" s="256"/>
      <c r="R76" s="256"/>
      <c r="S76" s="254"/>
      <c r="T76" s="254"/>
      <c r="U76" s="254"/>
      <c r="V76" s="254"/>
      <c r="W76" s="254"/>
      <c r="Y76" s="246" t="str">
        <f t="shared" si="8"/>
        <v/>
      </c>
      <c r="Z76" s="247" t="str">
        <f t="shared" si="6"/>
        <v/>
      </c>
      <c r="AA76" s="246" t="str">
        <f t="shared" si="9"/>
        <v/>
      </c>
    </row>
    <row r="77" spans="1:27" ht="18" customHeight="1" x14ac:dyDescent="0.25">
      <c r="A77" s="248" t="str">
        <f t="shared" si="10"/>
        <v/>
      </c>
      <c r="B77" s="249" t="str">
        <f t="shared" si="11"/>
        <v/>
      </c>
      <c r="C77" s="250"/>
      <c r="D77" s="251"/>
      <c r="E77" s="241"/>
      <c r="F77" s="252"/>
      <c r="G77" s="252"/>
      <c r="H77" s="253"/>
      <c r="I77" s="250"/>
      <c r="J77" s="250"/>
      <c r="K77" s="270"/>
      <c r="L77" s="250"/>
      <c r="M77" s="250"/>
      <c r="N77" s="553" t="str">
        <f>CONCATENATE(IF(OR(M77=phu!$I$1,M77=phu!$I$2,M77=phu!$I$3),"Cam Thành Nam",""),IF(OR(M77=phu!$I$4,M77=phu!$I$5,M77=phu!$I$6,M77=phu!$I$7,M77=phu!$I$8,M77=phu!$I$9,M77=phu!$I$10,M77=phu!$I$11,M77=phu!$I$12,M77=phu!$I$13,M77=phu!$I$14),"Cam Nghĩa",""),IF(OR(M77=phu!$I$15,M77=phu!$I$16,M77=phu!$I$17,M77=phu!$I$18,M77=phu!$I$19,M77=phu!$I$20,M77=phu!$I$21),"Cam Phúc Bắc",""),IF(OR(M77=phu!$I$22,M77=phu!$I$23,M77=phu!$I$24,M77=phu!$I$25),"Cam Phúc Nam",""),IF(OR(M77=phu!$I$26,M77=phu!$I$27,M77=phu!$I$28,M77=phu!$I$29,M77=phu!$I$30,M77=phu!$I$31),"Cam Phú",""),IF(OR(M77=phu!$I$32,M77=phu!$I$33,M77=phu!$I$34,M77=phu!$I$35,M77=phu!$I$36,M77=phu!$I$37),"Cam Lộc",""),IF(OR(M77=phu!$I$38,M77=phu!$I$39,M77=phu!$I$40,M77=phu!$I$41,M77=phu!$I$42,M77=phu!$I$43,M77=phu!$I$44),"Cam Thuận",""),IF(OR(M77=phu!$I$45,M77=phu!$I$46,M77=phu!$I$47,M77=phu!$I$48,M77=phu!$I$49,M77=phu!$I$50,M77=phu!$I$51,M77=phu!$I$52,M77=phu!$I$53),"Cam Linh",""),IF(OR(M77=phu!$I$54,M77=phu!$I$55,M77=phu!$I$56,M77=phu!$I$57,M77=phu!$I$58,M77=phu!$I$59,M77=phu!$I$60,M77=phu!$I$61,M77=phu!$I$62),"Cam Lợi",""),IF(OR(M77=phu!$I$63,M77=phu!$I$64,M77=phu!$I$65,M77=phu!$I$66,M77=phu!$I$67,M77=phu!$I$68,M77=phu!$I$69,M77=phu!$I$70,M77=phu!$I$71),"Ba Ngòi",""),IF(OR(M77=phu!$I$72,M77=phu!$I$73,M77=phu!$I$74,M77=phu!$I$75,M77=phu!$I$76,M77=phu!$I$77,M77=phu!$I$78),"Cam Phước Đông",""),IF(OR(M77=phu!$I$79,M77=phu!$I$80,M77=phu!$I$81,M77=phu!$I$82,M77=phu!$I$83,M77=phu!$I$84),"Cam Thịnh Đông",""),IF(OR(M77=phu!$I$85,M77=phu!$I$86,M77=phu!$I$87,M77=phu!$I$88),"Cam Thịnh Tây",""),IF(OR(M77=phu!$I$89,M77=phu!$I$90),"Cam Lập",""),IF(OR(M77=phu!$I$91,M77=phu!$I$92,M77=phu!$I$93),"Cam Bình",""),IF(OR(M77=phu!$I$94,M77=phu!$I$95,M77=phu!$I$96,M77=phu!$I$97,M77=phu!$I$98,M77=phu!$I$99,M77=phu!$I$100),"Huyện khác",""),IF(OR(M77=phu!$I$101,M77=phu!$I$102),"Tỉnh khác",""))</f>
        <v/>
      </c>
      <c r="O77" s="814" t="str">
        <f t="shared" si="7"/>
        <v/>
      </c>
      <c r="P77" s="254"/>
      <c r="Q77" s="254"/>
      <c r="R77" s="254"/>
      <c r="S77" s="254"/>
      <c r="T77" s="254"/>
      <c r="U77" s="254"/>
      <c r="V77" s="254"/>
      <c r="W77" s="254"/>
      <c r="Y77" s="246" t="str">
        <f t="shared" si="8"/>
        <v/>
      </c>
      <c r="Z77" s="247" t="str">
        <f t="shared" si="6"/>
        <v/>
      </c>
      <c r="AA77" s="246" t="str">
        <f t="shared" si="9"/>
        <v/>
      </c>
    </row>
    <row r="78" spans="1:27" ht="18" customHeight="1" x14ac:dyDescent="0.25">
      <c r="A78" s="248" t="str">
        <f t="shared" si="10"/>
        <v/>
      </c>
      <c r="B78" s="249" t="str">
        <f t="shared" si="11"/>
        <v/>
      </c>
      <c r="C78" s="250"/>
      <c r="D78" s="251"/>
      <c r="E78" s="241"/>
      <c r="F78" s="252"/>
      <c r="G78" s="252"/>
      <c r="H78" s="253"/>
      <c r="I78" s="250"/>
      <c r="J78" s="250"/>
      <c r="K78" s="270"/>
      <c r="L78" s="250"/>
      <c r="M78" s="250"/>
      <c r="N78" s="553" t="str">
        <f>CONCATENATE(IF(OR(M78=phu!$I$1,M78=phu!$I$2,M78=phu!$I$3),"Cam Thành Nam",""),IF(OR(M78=phu!$I$4,M78=phu!$I$5,M78=phu!$I$6,M78=phu!$I$7,M78=phu!$I$8,M78=phu!$I$9,M78=phu!$I$10,M78=phu!$I$11,M78=phu!$I$12,M78=phu!$I$13,M78=phu!$I$14),"Cam Nghĩa",""),IF(OR(M78=phu!$I$15,M78=phu!$I$16,M78=phu!$I$17,M78=phu!$I$18,M78=phu!$I$19,M78=phu!$I$20,M78=phu!$I$21),"Cam Phúc Bắc",""),IF(OR(M78=phu!$I$22,M78=phu!$I$23,M78=phu!$I$24,M78=phu!$I$25),"Cam Phúc Nam",""),IF(OR(M78=phu!$I$26,M78=phu!$I$27,M78=phu!$I$28,M78=phu!$I$29,M78=phu!$I$30,M78=phu!$I$31),"Cam Phú",""),IF(OR(M78=phu!$I$32,M78=phu!$I$33,M78=phu!$I$34,M78=phu!$I$35,M78=phu!$I$36,M78=phu!$I$37),"Cam Lộc",""),IF(OR(M78=phu!$I$38,M78=phu!$I$39,M78=phu!$I$40,M78=phu!$I$41,M78=phu!$I$42,M78=phu!$I$43,M78=phu!$I$44),"Cam Thuận",""),IF(OR(M78=phu!$I$45,M78=phu!$I$46,M78=phu!$I$47,M78=phu!$I$48,M78=phu!$I$49,M78=phu!$I$50,M78=phu!$I$51,M78=phu!$I$52,M78=phu!$I$53),"Cam Linh",""),IF(OR(M78=phu!$I$54,M78=phu!$I$55,M78=phu!$I$56,M78=phu!$I$57,M78=phu!$I$58,M78=phu!$I$59,M78=phu!$I$60,M78=phu!$I$61,M78=phu!$I$62),"Cam Lợi",""),IF(OR(M78=phu!$I$63,M78=phu!$I$64,M78=phu!$I$65,M78=phu!$I$66,M78=phu!$I$67,M78=phu!$I$68,M78=phu!$I$69,M78=phu!$I$70,M78=phu!$I$71),"Ba Ngòi",""),IF(OR(M78=phu!$I$72,M78=phu!$I$73,M78=phu!$I$74,M78=phu!$I$75,M78=phu!$I$76,M78=phu!$I$77,M78=phu!$I$78),"Cam Phước Đông",""),IF(OR(M78=phu!$I$79,M78=phu!$I$80,M78=phu!$I$81,M78=phu!$I$82,M78=phu!$I$83,M78=phu!$I$84),"Cam Thịnh Đông",""),IF(OR(M78=phu!$I$85,M78=phu!$I$86,M78=phu!$I$87,M78=phu!$I$88),"Cam Thịnh Tây",""),IF(OR(M78=phu!$I$89,M78=phu!$I$90),"Cam Lập",""),IF(OR(M78=phu!$I$91,M78=phu!$I$92,M78=phu!$I$93),"Cam Bình",""),IF(OR(M78=phu!$I$94,M78=phu!$I$95,M78=phu!$I$96,M78=phu!$I$97,M78=phu!$I$98,M78=phu!$I$99,M78=phu!$I$100),"Huyện khác",""),IF(OR(M78=phu!$I$101,M78=phu!$I$102),"Tỉnh khác",""))</f>
        <v/>
      </c>
      <c r="O78" s="815" t="str">
        <f t="shared" si="7"/>
        <v/>
      </c>
      <c r="P78" s="256"/>
      <c r="Q78" s="256"/>
      <c r="R78" s="256"/>
      <c r="S78" s="254"/>
      <c r="T78" s="254"/>
      <c r="U78" s="254"/>
      <c r="V78" s="254"/>
      <c r="W78" s="254"/>
      <c r="Y78" s="246" t="str">
        <f t="shared" si="8"/>
        <v/>
      </c>
      <c r="Z78" s="247" t="str">
        <f t="shared" si="6"/>
        <v/>
      </c>
      <c r="AA78" s="246" t="str">
        <f t="shared" si="9"/>
        <v/>
      </c>
    </row>
    <row r="79" spans="1:27" ht="18" customHeight="1" x14ac:dyDescent="0.25">
      <c r="A79" s="248" t="str">
        <f t="shared" si="10"/>
        <v/>
      </c>
      <c r="B79" s="249" t="str">
        <f t="shared" si="11"/>
        <v/>
      </c>
      <c r="C79" s="250"/>
      <c r="D79" s="251"/>
      <c r="E79" s="241"/>
      <c r="F79" s="252"/>
      <c r="G79" s="252"/>
      <c r="H79" s="253"/>
      <c r="I79" s="250"/>
      <c r="J79" s="250"/>
      <c r="K79" s="270"/>
      <c r="L79" s="250"/>
      <c r="M79" s="250"/>
      <c r="N79" s="553" t="str">
        <f>CONCATENATE(IF(OR(M79=phu!$I$1,M79=phu!$I$2,M79=phu!$I$3),"Cam Thành Nam",""),IF(OR(M79=phu!$I$4,M79=phu!$I$5,M79=phu!$I$6,M79=phu!$I$7,M79=phu!$I$8,M79=phu!$I$9,M79=phu!$I$10,M79=phu!$I$11,M79=phu!$I$12,M79=phu!$I$13,M79=phu!$I$14),"Cam Nghĩa",""),IF(OR(M79=phu!$I$15,M79=phu!$I$16,M79=phu!$I$17,M79=phu!$I$18,M79=phu!$I$19,M79=phu!$I$20,M79=phu!$I$21),"Cam Phúc Bắc",""),IF(OR(M79=phu!$I$22,M79=phu!$I$23,M79=phu!$I$24,M79=phu!$I$25),"Cam Phúc Nam",""),IF(OR(M79=phu!$I$26,M79=phu!$I$27,M79=phu!$I$28,M79=phu!$I$29,M79=phu!$I$30,M79=phu!$I$31),"Cam Phú",""),IF(OR(M79=phu!$I$32,M79=phu!$I$33,M79=phu!$I$34,M79=phu!$I$35,M79=phu!$I$36,M79=phu!$I$37),"Cam Lộc",""),IF(OR(M79=phu!$I$38,M79=phu!$I$39,M79=phu!$I$40,M79=phu!$I$41,M79=phu!$I$42,M79=phu!$I$43,M79=phu!$I$44),"Cam Thuận",""),IF(OR(M79=phu!$I$45,M79=phu!$I$46,M79=phu!$I$47,M79=phu!$I$48,M79=phu!$I$49,M79=phu!$I$50,M79=phu!$I$51,M79=phu!$I$52,M79=phu!$I$53),"Cam Linh",""),IF(OR(M79=phu!$I$54,M79=phu!$I$55,M79=phu!$I$56,M79=phu!$I$57,M79=phu!$I$58,M79=phu!$I$59,M79=phu!$I$60,M79=phu!$I$61,M79=phu!$I$62),"Cam Lợi",""),IF(OR(M79=phu!$I$63,M79=phu!$I$64,M79=phu!$I$65,M79=phu!$I$66,M79=phu!$I$67,M79=phu!$I$68,M79=phu!$I$69,M79=phu!$I$70,M79=phu!$I$71),"Ba Ngòi",""),IF(OR(M79=phu!$I$72,M79=phu!$I$73,M79=phu!$I$74,M79=phu!$I$75,M79=phu!$I$76,M79=phu!$I$77,M79=phu!$I$78),"Cam Phước Đông",""),IF(OR(M79=phu!$I$79,M79=phu!$I$80,M79=phu!$I$81,M79=phu!$I$82,M79=phu!$I$83,M79=phu!$I$84),"Cam Thịnh Đông",""),IF(OR(M79=phu!$I$85,M79=phu!$I$86,M79=phu!$I$87,M79=phu!$I$88),"Cam Thịnh Tây",""),IF(OR(M79=phu!$I$89,M79=phu!$I$90),"Cam Lập",""),IF(OR(M79=phu!$I$91,M79=phu!$I$92,M79=phu!$I$93),"Cam Bình",""),IF(OR(M79=phu!$I$94,M79=phu!$I$95,M79=phu!$I$96,M79=phu!$I$97,M79=phu!$I$98,M79=phu!$I$99,M79=phu!$I$100),"Huyện khác",""),IF(OR(M79=phu!$I$101,M79=phu!$I$102),"Tỉnh khác",""))</f>
        <v/>
      </c>
      <c r="O79" s="814" t="str">
        <f t="shared" si="7"/>
        <v/>
      </c>
      <c r="P79" s="254"/>
      <c r="Q79" s="254"/>
      <c r="R79" s="254"/>
      <c r="S79" s="254"/>
      <c r="T79" s="254"/>
      <c r="U79" s="254"/>
      <c r="V79" s="254"/>
      <c r="W79" s="254"/>
      <c r="Y79" s="246" t="str">
        <f t="shared" si="8"/>
        <v/>
      </c>
      <c r="Z79" s="247" t="str">
        <f t="shared" si="6"/>
        <v/>
      </c>
      <c r="AA79" s="246" t="str">
        <f t="shared" si="9"/>
        <v/>
      </c>
    </row>
    <row r="80" spans="1:27" ht="18" customHeight="1" x14ac:dyDescent="0.25">
      <c r="A80" s="248" t="str">
        <f t="shared" si="10"/>
        <v/>
      </c>
      <c r="B80" s="249" t="str">
        <f t="shared" si="11"/>
        <v/>
      </c>
      <c r="C80" s="250"/>
      <c r="D80" s="251"/>
      <c r="E80" s="241"/>
      <c r="F80" s="252"/>
      <c r="G80" s="252"/>
      <c r="H80" s="253"/>
      <c r="I80" s="250"/>
      <c r="J80" s="250"/>
      <c r="K80" s="270"/>
      <c r="L80" s="250"/>
      <c r="M80" s="250"/>
      <c r="N80" s="553" t="str">
        <f>CONCATENATE(IF(OR(M80=phu!$I$1,M80=phu!$I$2,M80=phu!$I$3),"Cam Thành Nam",""),IF(OR(M80=phu!$I$4,M80=phu!$I$5,M80=phu!$I$6,M80=phu!$I$7,M80=phu!$I$8,M80=phu!$I$9,M80=phu!$I$10,M80=phu!$I$11,M80=phu!$I$12,M80=phu!$I$13,M80=phu!$I$14),"Cam Nghĩa",""),IF(OR(M80=phu!$I$15,M80=phu!$I$16,M80=phu!$I$17,M80=phu!$I$18,M80=phu!$I$19,M80=phu!$I$20,M80=phu!$I$21),"Cam Phúc Bắc",""),IF(OR(M80=phu!$I$22,M80=phu!$I$23,M80=phu!$I$24,M80=phu!$I$25),"Cam Phúc Nam",""),IF(OR(M80=phu!$I$26,M80=phu!$I$27,M80=phu!$I$28,M80=phu!$I$29,M80=phu!$I$30,M80=phu!$I$31),"Cam Phú",""),IF(OR(M80=phu!$I$32,M80=phu!$I$33,M80=phu!$I$34,M80=phu!$I$35,M80=phu!$I$36,M80=phu!$I$37),"Cam Lộc",""),IF(OR(M80=phu!$I$38,M80=phu!$I$39,M80=phu!$I$40,M80=phu!$I$41,M80=phu!$I$42,M80=phu!$I$43,M80=phu!$I$44),"Cam Thuận",""),IF(OR(M80=phu!$I$45,M80=phu!$I$46,M80=phu!$I$47,M80=phu!$I$48,M80=phu!$I$49,M80=phu!$I$50,M80=phu!$I$51,M80=phu!$I$52,M80=phu!$I$53),"Cam Linh",""),IF(OR(M80=phu!$I$54,M80=phu!$I$55,M80=phu!$I$56,M80=phu!$I$57,M80=phu!$I$58,M80=phu!$I$59,M80=phu!$I$60,M80=phu!$I$61,M80=phu!$I$62),"Cam Lợi",""),IF(OR(M80=phu!$I$63,M80=phu!$I$64,M80=phu!$I$65,M80=phu!$I$66,M80=phu!$I$67,M80=phu!$I$68,M80=phu!$I$69,M80=phu!$I$70,M80=phu!$I$71),"Ba Ngòi",""),IF(OR(M80=phu!$I$72,M80=phu!$I$73,M80=phu!$I$74,M80=phu!$I$75,M80=phu!$I$76,M80=phu!$I$77,M80=phu!$I$78),"Cam Phước Đông",""),IF(OR(M80=phu!$I$79,M80=phu!$I$80,M80=phu!$I$81,M80=phu!$I$82,M80=phu!$I$83,M80=phu!$I$84),"Cam Thịnh Đông",""),IF(OR(M80=phu!$I$85,M80=phu!$I$86,M80=phu!$I$87,M80=phu!$I$88),"Cam Thịnh Tây",""),IF(OR(M80=phu!$I$89,M80=phu!$I$90),"Cam Lập",""),IF(OR(M80=phu!$I$91,M80=phu!$I$92,M80=phu!$I$93),"Cam Bình",""),IF(OR(M80=phu!$I$94,M80=phu!$I$95,M80=phu!$I$96,M80=phu!$I$97,M80=phu!$I$98,M80=phu!$I$99,M80=phu!$I$100),"Huyện khác",""),IF(OR(M80=phu!$I$101,M80=phu!$I$102),"Tỉnh khác",""))</f>
        <v/>
      </c>
      <c r="O80" s="814" t="str">
        <f t="shared" si="7"/>
        <v/>
      </c>
      <c r="P80" s="254"/>
      <c r="Q80" s="254"/>
      <c r="R80" s="254"/>
      <c r="S80" s="254"/>
      <c r="T80" s="254"/>
      <c r="U80" s="254"/>
      <c r="V80" s="254"/>
      <c r="W80" s="254"/>
      <c r="Y80" s="246" t="str">
        <f t="shared" si="8"/>
        <v/>
      </c>
      <c r="Z80" s="247" t="str">
        <f t="shared" si="6"/>
        <v/>
      </c>
      <c r="AA80" s="246" t="str">
        <f t="shared" si="9"/>
        <v/>
      </c>
    </row>
    <row r="81" spans="1:27" ht="18" customHeight="1" x14ac:dyDescent="0.25">
      <c r="A81" s="248" t="str">
        <f t="shared" si="10"/>
        <v/>
      </c>
      <c r="B81" s="249" t="str">
        <f t="shared" si="11"/>
        <v/>
      </c>
      <c r="C81" s="250"/>
      <c r="D81" s="251"/>
      <c r="E81" s="241"/>
      <c r="F81" s="252"/>
      <c r="G81" s="252"/>
      <c r="H81" s="253"/>
      <c r="I81" s="250"/>
      <c r="J81" s="250"/>
      <c r="K81" s="270"/>
      <c r="L81" s="250"/>
      <c r="M81" s="250"/>
      <c r="N81" s="553" t="str">
        <f>CONCATENATE(IF(OR(M81=phu!$I$1,M81=phu!$I$2,M81=phu!$I$3),"Cam Thành Nam",""),IF(OR(M81=phu!$I$4,M81=phu!$I$5,M81=phu!$I$6,M81=phu!$I$7,M81=phu!$I$8,M81=phu!$I$9,M81=phu!$I$10,M81=phu!$I$11,M81=phu!$I$12,M81=phu!$I$13,M81=phu!$I$14),"Cam Nghĩa",""),IF(OR(M81=phu!$I$15,M81=phu!$I$16,M81=phu!$I$17,M81=phu!$I$18,M81=phu!$I$19,M81=phu!$I$20,M81=phu!$I$21),"Cam Phúc Bắc",""),IF(OR(M81=phu!$I$22,M81=phu!$I$23,M81=phu!$I$24,M81=phu!$I$25),"Cam Phúc Nam",""),IF(OR(M81=phu!$I$26,M81=phu!$I$27,M81=phu!$I$28,M81=phu!$I$29,M81=phu!$I$30,M81=phu!$I$31),"Cam Phú",""),IF(OR(M81=phu!$I$32,M81=phu!$I$33,M81=phu!$I$34,M81=phu!$I$35,M81=phu!$I$36,M81=phu!$I$37),"Cam Lộc",""),IF(OR(M81=phu!$I$38,M81=phu!$I$39,M81=phu!$I$40,M81=phu!$I$41,M81=phu!$I$42,M81=phu!$I$43,M81=phu!$I$44),"Cam Thuận",""),IF(OR(M81=phu!$I$45,M81=phu!$I$46,M81=phu!$I$47,M81=phu!$I$48,M81=phu!$I$49,M81=phu!$I$50,M81=phu!$I$51,M81=phu!$I$52,M81=phu!$I$53),"Cam Linh",""),IF(OR(M81=phu!$I$54,M81=phu!$I$55,M81=phu!$I$56,M81=phu!$I$57,M81=phu!$I$58,M81=phu!$I$59,M81=phu!$I$60,M81=phu!$I$61,M81=phu!$I$62),"Cam Lợi",""),IF(OR(M81=phu!$I$63,M81=phu!$I$64,M81=phu!$I$65,M81=phu!$I$66,M81=phu!$I$67,M81=phu!$I$68,M81=phu!$I$69,M81=phu!$I$70,M81=phu!$I$71),"Ba Ngòi",""),IF(OR(M81=phu!$I$72,M81=phu!$I$73,M81=phu!$I$74,M81=phu!$I$75,M81=phu!$I$76,M81=phu!$I$77,M81=phu!$I$78),"Cam Phước Đông",""),IF(OR(M81=phu!$I$79,M81=phu!$I$80,M81=phu!$I$81,M81=phu!$I$82,M81=phu!$I$83,M81=phu!$I$84),"Cam Thịnh Đông",""),IF(OR(M81=phu!$I$85,M81=phu!$I$86,M81=phu!$I$87,M81=phu!$I$88),"Cam Thịnh Tây",""),IF(OR(M81=phu!$I$89,M81=phu!$I$90),"Cam Lập",""),IF(OR(M81=phu!$I$91,M81=phu!$I$92,M81=phu!$I$93),"Cam Bình",""),IF(OR(M81=phu!$I$94,M81=phu!$I$95,M81=phu!$I$96,M81=phu!$I$97,M81=phu!$I$98,M81=phu!$I$99,M81=phu!$I$100),"Huyện khác",""),IF(OR(M81=phu!$I$101,M81=phu!$I$102),"Tỉnh khác",""))</f>
        <v/>
      </c>
      <c r="O81" s="815" t="str">
        <f t="shared" si="7"/>
        <v/>
      </c>
      <c r="P81" s="256"/>
      <c r="Q81" s="256"/>
      <c r="R81" s="256"/>
      <c r="S81" s="254"/>
      <c r="T81" s="254"/>
      <c r="U81" s="254"/>
      <c r="V81" s="254"/>
      <c r="W81" s="254"/>
      <c r="Y81" s="246" t="str">
        <f t="shared" si="8"/>
        <v/>
      </c>
      <c r="Z81" s="247" t="str">
        <f t="shared" si="6"/>
        <v/>
      </c>
      <c r="AA81" s="246" t="str">
        <f t="shared" si="9"/>
        <v/>
      </c>
    </row>
    <row r="82" spans="1:27" ht="18" customHeight="1" x14ac:dyDescent="0.25">
      <c r="A82" s="248" t="str">
        <f t="shared" si="10"/>
        <v/>
      </c>
      <c r="B82" s="249" t="str">
        <f t="shared" si="11"/>
        <v/>
      </c>
      <c r="C82" s="250"/>
      <c r="D82" s="251"/>
      <c r="E82" s="241"/>
      <c r="F82" s="252"/>
      <c r="G82" s="252"/>
      <c r="H82" s="253"/>
      <c r="I82" s="250"/>
      <c r="J82" s="250"/>
      <c r="K82" s="270"/>
      <c r="L82" s="250"/>
      <c r="M82" s="250"/>
      <c r="N82" s="553" t="str">
        <f>CONCATENATE(IF(OR(M82=phu!$I$1,M82=phu!$I$2,M82=phu!$I$3),"Cam Thành Nam",""),IF(OR(M82=phu!$I$4,M82=phu!$I$5,M82=phu!$I$6,M82=phu!$I$7,M82=phu!$I$8,M82=phu!$I$9,M82=phu!$I$10,M82=phu!$I$11,M82=phu!$I$12,M82=phu!$I$13,M82=phu!$I$14),"Cam Nghĩa",""),IF(OR(M82=phu!$I$15,M82=phu!$I$16,M82=phu!$I$17,M82=phu!$I$18,M82=phu!$I$19,M82=phu!$I$20,M82=phu!$I$21),"Cam Phúc Bắc",""),IF(OR(M82=phu!$I$22,M82=phu!$I$23,M82=phu!$I$24,M82=phu!$I$25),"Cam Phúc Nam",""),IF(OR(M82=phu!$I$26,M82=phu!$I$27,M82=phu!$I$28,M82=phu!$I$29,M82=phu!$I$30,M82=phu!$I$31),"Cam Phú",""),IF(OR(M82=phu!$I$32,M82=phu!$I$33,M82=phu!$I$34,M82=phu!$I$35,M82=phu!$I$36,M82=phu!$I$37),"Cam Lộc",""),IF(OR(M82=phu!$I$38,M82=phu!$I$39,M82=phu!$I$40,M82=phu!$I$41,M82=phu!$I$42,M82=phu!$I$43,M82=phu!$I$44),"Cam Thuận",""),IF(OR(M82=phu!$I$45,M82=phu!$I$46,M82=phu!$I$47,M82=phu!$I$48,M82=phu!$I$49,M82=phu!$I$50,M82=phu!$I$51,M82=phu!$I$52,M82=phu!$I$53),"Cam Linh",""),IF(OR(M82=phu!$I$54,M82=phu!$I$55,M82=phu!$I$56,M82=phu!$I$57,M82=phu!$I$58,M82=phu!$I$59,M82=phu!$I$60,M82=phu!$I$61,M82=phu!$I$62),"Cam Lợi",""),IF(OR(M82=phu!$I$63,M82=phu!$I$64,M82=phu!$I$65,M82=phu!$I$66,M82=phu!$I$67,M82=phu!$I$68,M82=phu!$I$69,M82=phu!$I$70,M82=phu!$I$71),"Ba Ngòi",""),IF(OR(M82=phu!$I$72,M82=phu!$I$73,M82=phu!$I$74,M82=phu!$I$75,M82=phu!$I$76,M82=phu!$I$77,M82=phu!$I$78),"Cam Phước Đông",""),IF(OR(M82=phu!$I$79,M82=phu!$I$80,M82=phu!$I$81,M82=phu!$I$82,M82=phu!$I$83,M82=phu!$I$84),"Cam Thịnh Đông",""),IF(OR(M82=phu!$I$85,M82=phu!$I$86,M82=phu!$I$87,M82=phu!$I$88),"Cam Thịnh Tây",""),IF(OR(M82=phu!$I$89,M82=phu!$I$90),"Cam Lập",""),IF(OR(M82=phu!$I$91,M82=phu!$I$92,M82=phu!$I$93),"Cam Bình",""),IF(OR(M82=phu!$I$94,M82=phu!$I$95,M82=phu!$I$96,M82=phu!$I$97,M82=phu!$I$98,M82=phu!$I$99,M82=phu!$I$100),"Huyện khác",""),IF(OR(M82=phu!$I$101,M82=phu!$I$102),"Tỉnh khác",""))</f>
        <v/>
      </c>
      <c r="O82" s="815" t="str">
        <f t="shared" si="7"/>
        <v/>
      </c>
      <c r="P82" s="256"/>
      <c r="Q82" s="256"/>
      <c r="R82" s="256"/>
      <c r="S82" s="254"/>
      <c r="T82" s="254"/>
      <c r="U82" s="254"/>
      <c r="V82" s="254"/>
      <c r="W82" s="254"/>
      <c r="Y82" s="246" t="str">
        <f t="shared" si="8"/>
        <v/>
      </c>
      <c r="Z82" s="247" t="str">
        <f t="shared" si="6"/>
        <v/>
      </c>
      <c r="AA82" s="246" t="str">
        <f t="shared" si="9"/>
        <v/>
      </c>
    </row>
    <row r="83" spans="1:27" ht="18" customHeight="1" x14ac:dyDescent="0.25">
      <c r="A83" s="248" t="str">
        <f t="shared" si="10"/>
        <v/>
      </c>
      <c r="B83" s="249" t="str">
        <f t="shared" si="11"/>
        <v/>
      </c>
      <c r="C83" s="250"/>
      <c r="D83" s="251"/>
      <c r="E83" s="241"/>
      <c r="F83" s="252"/>
      <c r="G83" s="252"/>
      <c r="H83" s="253"/>
      <c r="I83" s="250"/>
      <c r="J83" s="250"/>
      <c r="K83" s="270"/>
      <c r="L83" s="250"/>
      <c r="M83" s="250"/>
      <c r="N83" s="553" t="str">
        <f>CONCATENATE(IF(OR(M83=phu!$I$1,M83=phu!$I$2,M83=phu!$I$3),"Cam Thành Nam",""),IF(OR(M83=phu!$I$4,M83=phu!$I$5,M83=phu!$I$6,M83=phu!$I$7,M83=phu!$I$8,M83=phu!$I$9,M83=phu!$I$10,M83=phu!$I$11,M83=phu!$I$12,M83=phu!$I$13,M83=phu!$I$14),"Cam Nghĩa",""),IF(OR(M83=phu!$I$15,M83=phu!$I$16,M83=phu!$I$17,M83=phu!$I$18,M83=phu!$I$19,M83=phu!$I$20,M83=phu!$I$21),"Cam Phúc Bắc",""),IF(OR(M83=phu!$I$22,M83=phu!$I$23,M83=phu!$I$24,M83=phu!$I$25),"Cam Phúc Nam",""),IF(OR(M83=phu!$I$26,M83=phu!$I$27,M83=phu!$I$28,M83=phu!$I$29,M83=phu!$I$30,M83=phu!$I$31),"Cam Phú",""),IF(OR(M83=phu!$I$32,M83=phu!$I$33,M83=phu!$I$34,M83=phu!$I$35,M83=phu!$I$36,M83=phu!$I$37),"Cam Lộc",""),IF(OR(M83=phu!$I$38,M83=phu!$I$39,M83=phu!$I$40,M83=phu!$I$41,M83=phu!$I$42,M83=phu!$I$43,M83=phu!$I$44),"Cam Thuận",""),IF(OR(M83=phu!$I$45,M83=phu!$I$46,M83=phu!$I$47,M83=phu!$I$48,M83=phu!$I$49,M83=phu!$I$50,M83=phu!$I$51,M83=phu!$I$52,M83=phu!$I$53),"Cam Linh",""),IF(OR(M83=phu!$I$54,M83=phu!$I$55,M83=phu!$I$56,M83=phu!$I$57,M83=phu!$I$58,M83=phu!$I$59,M83=phu!$I$60,M83=phu!$I$61,M83=phu!$I$62),"Cam Lợi",""),IF(OR(M83=phu!$I$63,M83=phu!$I$64,M83=phu!$I$65,M83=phu!$I$66,M83=phu!$I$67,M83=phu!$I$68,M83=phu!$I$69,M83=phu!$I$70,M83=phu!$I$71),"Ba Ngòi",""),IF(OR(M83=phu!$I$72,M83=phu!$I$73,M83=phu!$I$74,M83=phu!$I$75,M83=phu!$I$76,M83=phu!$I$77,M83=phu!$I$78),"Cam Phước Đông",""),IF(OR(M83=phu!$I$79,M83=phu!$I$80,M83=phu!$I$81,M83=phu!$I$82,M83=phu!$I$83,M83=phu!$I$84),"Cam Thịnh Đông",""),IF(OR(M83=phu!$I$85,M83=phu!$I$86,M83=phu!$I$87,M83=phu!$I$88),"Cam Thịnh Tây",""),IF(OR(M83=phu!$I$89,M83=phu!$I$90),"Cam Lập",""),IF(OR(M83=phu!$I$91,M83=phu!$I$92,M83=phu!$I$93),"Cam Bình",""),IF(OR(M83=phu!$I$94,M83=phu!$I$95,M83=phu!$I$96,M83=phu!$I$97,M83=phu!$I$98,M83=phu!$I$99,M83=phu!$I$100),"Huyện khác",""),IF(OR(M83=phu!$I$101,M83=phu!$I$102),"Tỉnh khác",""))</f>
        <v/>
      </c>
      <c r="O83" s="815" t="str">
        <f t="shared" si="7"/>
        <v/>
      </c>
      <c r="P83" s="256"/>
      <c r="Q83" s="256"/>
      <c r="R83" s="256"/>
      <c r="S83" s="254"/>
      <c r="T83" s="254"/>
      <c r="U83" s="254"/>
      <c r="V83" s="254"/>
      <c r="W83" s="254"/>
      <c r="Y83" s="246" t="str">
        <f t="shared" si="8"/>
        <v/>
      </c>
      <c r="Z83" s="247" t="str">
        <f t="shared" si="6"/>
        <v/>
      </c>
      <c r="AA83" s="246" t="str">
        <f t="shared" si="9"/>
        <v/>
      </c>
    </row>
    <row r="84" spans="1:27" ht="18" customHeight="1" x14ac:dyDescent="0.25">
      <c r="A84" s="248" t="str">
        <f t="shared" si="10"/>
        <v/>
      </c>
      <c r="B84" s="249" t="str">
        <f t="shared" si="11"/>
        <v/>
      </c>
      <c r="C84" s="250"/>
      <c r="D84" s="251"/>
      <c r="E84" s="241"/>
      <c r="F84" s="252"/>
      <c r="G84" s="252"/>
      <c r="H84" s="253"/>
      <c r="I84" s="250"/>
      <c r="J84" s="250"/>
      <c r="K84" s="270"/>
      <c r="L84" s="250"/>
      <c r="M84" s="250"/>
      <c r="N84" s="553" t="str">
        <f>CONCATENATE(IF(OR(M84=phu!$I$1,M84=phu!$I$2,M84=phu!$I$3),"Cam Thành Nam",""),IF(OR(M84=phu!$I$4,M84=phu!$I$5,M84=phu!$I$6,M84=phu!$I$7,M84=phu!$I$8,M84=phu!$I$9,M84=phu!$I$10,M84=phu!$I$11,M84=phu!$I$12,M84=phu!$I$13,M84=phu!$I$14),"Cam Nghĩa",""),IF(OR(M84=phu!$I$15,M84=phu!$I$16,M84=phu!$I$17,M84=phu!$I$18,M84=phu!$I$19,M84=phu!$I$20,M84=phu!$I$21),"Cam Phúc Bắc",""),IF(OR(M84=phu!$I$22,M84=phu!$I$23,M84=phu!$I$24,M84=phu!$I$25),"Cam Phúc Nam",""),IF(OR(M84=phu!$I$26,M84=phu!$I$27,M84=phu!$I$28,M84=phu!$I$29,M84=phu!$I$30,M84=phu!$I$31),"Cam Phú",""),IF(OR(M84=phu!$I$32,M84=phu!$I$33,M84=phu!$I$34,M84=phu!$I$35,M84=phu!$I$36,M84=phu!$I$37),"Cam Lộc",""),IF(OR(M84=phu!$I$38,M84=phu!$I$39,M84=phu!$I$40,M84=phu!$I$41,M84=phu!$I$42,M84=phu!$I$43,M84=phu!$I$44),"Cam Thuận",""),IF(OR(M84=phu!$I$45,M84=phu!$I$46,M84=phu!$I$47,M84=phu!$I$48,M84=phu!$I$49,M84=phu!$I$50,M84=phu!$I$51,M84=phu!$I$52,M84=phu!$I$53),"Cam Linh",""),IF(OR(M84=phu!$I$54,M84=phu!$I$55,M84=phu!$I$56,M84=phu!$I$57,M84=phu!$I$58,M84=phu!$I$59,M84=phu!$I$60,M84=phu!$I$61,M84=phu!$I$62),"Cam Lợi",""),IF(OR(M84=phu!$I$63,M84=phu!$I$64,M84=phu!$I$65,M84=phu!$I$66,M84=phu!$I$67,M84=phu!$I$68,M84=phu!$I$69,M84=phu!$I$70,M84=phu!$I$71),"Ba Ngòi",""),IF(OR(M84=phu!$I$72,M84=phu!$I$73,M84=phu!$I$74,M84=phu!$I$75,M84=phu!$I$76,M84=phu!$I$77,M84=phu!$I$78),"Cam Phước Đông",""),IF(OR(M84=phu!$I$79,M84=phu!$I$80,M84=phu!$I$81,M84=phu!$I$82,M84=phu!$I$83,M84=phu!$I$84),"Cam Thịnh Đông",""),IF(OR(M84=phu!$I$85,M84=phu!$I$86,M84=phu!$I$87,M84=phu!$I$88),"Cam Thịnh Tây",""),IF(OR(M84=phu!$I$89,M84=phu!$I$90),"Cam Lập",""),IF(OR(M84=phu!$I$91,M84=phu!$I$92,M84=phu!$I$93),"Cam Bình",""),IF(OR(M84=phu!$I$94,M84=phu!$I$95,M84=phu!$I$96,M84=phu!$I$97,M84=phu!$I$98,M84=phu!$I$99,M84=phu!$I$100),"Huyện khác",""),IF(OR(M84=phu!$I$101,M84=phu!$I$102),"Tỉnh khác",""))</f>
        <v/>
      </c>
      <c r="O84" s="814" t="str">
        <f t="shared" si="7"/>
        <v/>
      </c>
      <c r="P84" s="254"/>
      <c r="Q84" s="254"/>
      <c r="R84" s="254"/>
      <c r="S84" s="254"/>
      <c r="T84" s="254"/>
      <c r="U84" s="254"/>
      <c r="V84" s="254"/>
      <c r="W84" s="254"/>
      <c r="Y84" s="246" t="str">
        <f t="shared" si="8"/>
        <v/>
      </c>
      <c r="Z84" s="247" t="str">
        <f t="shared" si="6"/>
        <v/>
      </c>
      <c r="AA84" s="246" t="str">
        <f t="shared" si="9"/>
        <v/>
      </c>
    </row>
    <row r="85" spans="1:27" ht="18" customHeight="1" x14ac:dyDescent="0.25">
      <c r="A85" s="248" t="str">
        <f t="shared" si="10"/>
        <v/>
      </c>
      <c r="B85" s="249" t="str">
        <f t="shared" si="11"/>
        <v/>
      </c>
      <c r="C85" s="250"/>
      <c r="D85" s="251"/>
      <c r="E85" s="241"/>
      <c r="F85" s="252"/>
      <c r="G85" s="252"/>
      <c r="H85" s="253"/>
      <c r="I85" s="250"/>
      <c r="J85" s="250"/>
      <c r="K85" s="270"/>
      <c r="L85" s="250"/>
      <c r="M85" s="250"/>
      <c r="N85" s="553" t="str">
        <f>CONCATENATE(IF(OR(M85=phu!$I$1,M85=phu!$I$2,M85=phu!$I$3),"Cam Thành Nam",""),IF(OR(M85=phu!$I$4,M85=phu!$I$5,M85=phu!$I$6,M85=phu!$I$7,M85=phu!$I$8,M85=phu!$I$9,M85=phu!$I$10,M85=phu!$I$11,M85=phu!$I$12,M85=phu!$I$13,M85=phu!$I$14),"Cam Nghĩa",""),IF(OR(M85=phu!$I$15,M85=phu!$I$16,M85=phu!$I$17,M85=phu!$I$18,M85=phu!$I$19,M85=phu!$I$20,M85=phu!$I$21),"Cam Phúc Bắc",""),IF(OR(M85=phu!$I$22,M85=phu!$I$23,M85=phu!$I$24,M85=phu!$I$25),"Cam Phúc Nam",""),IF(OR(M85=phu!$I$26,M85=phu!$I$27,M85=phu!$I$28,M85=phu!$I$29,M85=phu!$I$30,M85=phu!$I$31),"Cam Phú",""),IF(OR(M85=phu!$I$32,M85=phu!$I$33,M85=phu!$I$34,M85=phu!$I$35,M85=phu!$I$36,M85=phu!$I$37),"Cam Lộc",""),IF(OR(M85=phu!$I$38,M85=phu!$I$39,M85=phu!$I$40,M85=phu!$I$41,M85=phu!$I$42,M85=phu!$I$43,M85=phu!$I$44),"Cam Thuận",""),IF(OR(M85=phu!$I$45,M85=phu!$I$46,M85=phu!$I$47,M85=phu!$I$48,M85=phu!$I$49,M85=phu!$I$50,M85=phu!$I$51,M85=phu!$I$52,M85=phu!$I$53),"Cam Linh",""),IF(OR(M85=phu!$I$54,M85=phu!$I$55,M85=phu!$I$56,M85=phu!$I$57,M85=phu!$I$58,M85=phu!$I$59,M85=phu!$I$60,M85=phu!$I$61,M85=phu!$I$62),"Cam Lợi",""),IF(OR(M85=phu!$I$63,M85=phu!$I$64,M85=phu!$I$65,M85=phu!$I$66,M85=phu!$I$67,M85=phu!$I$68,M85=phu!$I$69,M85=phu!$I$70,M85=phu!$I$71),"Ba Ngòi",""),IF(OR(M85=phu!$I$72,M85=phu!$I$73,M85=phu!$I$74,M85=phu!$I$75,M85=phu!$I$76,M85=phu!$I$77,M85=phu!$I$78),"Cam Phước Đông",""),IF(OR(M85=phu!$I$79,M85=phu!$I$80,M85=phu!$I$81,M85=phu!$I$82,M85=phu!$I$83,M85=phu!$I$84),"Cam Thịnh Đông",""),IF(OR(M85=phu!$I$85,M85=phu!$I$86,M85=phu!$I$87,M85=phu!$I$88),"Cam Thịnh Tây",""),IF(OR(M85=phu!$I$89,M85=phu!$I$90),"Cam Lập",""),IF(OR(M85=phu!$I$91,M85=phu!$I$92,M85=phu!$I$93),"Cam Bình",""),IF(OR(M85=phu!$I$94,M85=phu!$I$95,M85=phu!$I$96,M85=phu!$I$97,M85=phu!$I$98,M85=phu!$I$99,M85=phu!$I$100),"Huyện khác",""),IF(OR(M85=phu!$I$101,M85=phu!$I$102),"Tỉnh khác",""))</f>
        <v/>
      </c>
      <c r="O85" s="815" t="str">
        <f t="shared" si="7"/>
        <v/>
      </c>
      <c r="P85" s="256"/>
      <c r="Q85" s="256"/>
      <c r="R85" s="256"/>
      <c r="S85" s="254"/>
      <c r="T85" s="254"/>
      <c r="U85" s="254"/>
      <c r="V85" s="254"/>
      <c r="W85" s="254"/>
      <c r="Y85" s="246" t="str">
        <f t="shared" si="8"/>
        <v/>
      </c>
      <c r="Z85" s="247" t="str">
        <f t="shared" si="6"/>
        <v/>
      </c>
      <c r="AA85" s="246" t="str">
        <f t="shared" si="9"/>
        <v/>
      </c>
    </row>
    <row r="86" spans="1:27" ht="18" customHeight="1" x14ac:dyDescent="0.25">
      <c r="A86" s="248" t="str">
        <f t="shared" si="10"/>
        <v/>
      </c>
      <c r="B86" s="249" t="str">
        <f t="shared" si="11"/>
        <v/>
      </c>
      <c r="C86" s="250"/>
      <c r="D86" s="251"/>
      <c r="E86" s="241"/>
      <c r="F86" s="252"/>
      <c r="G86" s="252"/>
      <c r="H86" s="253"/>
      <c r="I86" s="250"/>
      <c r="J86" s="250"/>
      <c r="K86" s="270"/>
      <c r="L86" s="250"/>
      <c r="M86" s="250"/>
      <c r="N86" s="553" t="str">
        <f>CONCATENATE(IF(OR(M86=phu!$I$1,M86=phu!$I$2,M86=phu!$I$3),"Cam Thành Nam",""),IF(OR(M86=phu!$I$4,M86=phu!$I$5,M86=phu!$I$6,M86=phu!$I$7,M86=phu!$I$8,M86=phu!$I$9,M86=phu!$I$10,M86=phu!$I$11,M86=phu!$I$12,M86=phu!$I$13,M86=phu!$I$14),"Cam Nghĩa",""),IF(OR(M86=phu!$I$15,M86=phu!$I$16,M86=phu!$I$17,M86=phu!$I$18,M86=phu!$I$19,M86=phu!$I$20,M86=phu!$I$21),"Cam Phúc Bắc",""),IF(OR(M86=phu!$I$22,M86=phu!$I$23,M86=phu!$I$24,M86=phu!$I$25),"Cam Phúc Nam",""),IF(OR(M86=phu!$I$26,M86=phu!$I$27,M86=phu!$I$28,M86=phu!$I$29,M86=phu!$I$30,M86=phu!$I$31),"Cam Phú",""),IF(OR(M86=phu!$I$32,M86=phu!$I$33,M86=phu!$I$34,M86=phu!$I$35,M86=phu!$I$36,M86=phu!$I$37),"Cam Lộc",""),IF(OR(M86=phu!$I$38,M86=phu!$I$39,M86=phu!$I$40,M86=phu!$I$41,M86=phu!$I$42,M86=phu!$I$43,M86=phu!$I$44),"Cam Thuận",""),IF(OR(M86=phu!$I$45,M86=phu!$I$46,M86=phu!$I$47,M86=phu!$I$48,M86=phu!$I$49,M86=phu!$I$50,M86=phu!$I$51,M86=phu!$I$52,M86=phu!$I$53),"Cam Linh",""),IF(OR(M86=phu!$I$54,M86=phu!$I$55,M86=phu!$I$56,M86=phu!$I$57,M86=phu!$I$58,M86=phu!$I$59,M86=phu!$I$60,M86=phu!$I$61,M86=phu!$I$62),"Cam Lợi",""),IF(OR(M86=phu!$I$63,M86=phu!$I$64,M86=phu!$I$65,M86=phu!$I$66,M86=phu!$I$67,M86=phu!$I$68,M86=phu!$I$69,M86=phu!$I$70,M86=phu!$I$71),"Ba Ngòi",""),IF(OR(M86=phu!$I$72,M86=phu!$I$73,M86=phu!$I$74,M86=phu!$I$75,M86=phu!$I$76,M86=phu!$I$77,M86=phu!$I$78),"Cam Phước Đông",""),IF(OR(M86=phu!$I$79,M86=phu!$I$80,M86=phu!$I$81,M86=phu!$I$82,M86=phu!$I$83,M86=phu!$I$84),"Cam Thịnh Đông",""),IF(OR(M86=phu!$I$85,M86=phu!$I$86,M86=phu!$I$87,M86=phu!$I$88),"Cam Thịnh Tây",""),IF(OR(M86=phu!$I$89,M86=phu!$I$90),"Cam Lập",""),IF(OR(M86=phu!$I$91,M86=phu!$I$92,M86=phu!$I$93),"Cam Bình",""),IF(OR(M86=phu!$I$94,M86=phu!$I$95,M86=phu!$I$96,M86=phu!$I$97,M86=phu!$I$98,M86=phu!$I$99,M86=phu!$I$100),"Huyện khác",""),IF(OR(M86=phu!$I$101,M86=phu!$I$102),"Tỉnh khác",""))</f>
        <v/>
      </c>
      <c r="O86" s="815" t="str">
        <f t="shared" si="7"/>
        <v/>
      </c>
      <c r="P86" s="256"/>
      <c r="Q86" s="256"/>
      <c r="R86" s="256"/>
      <c r="S86" s="254"/>
      <c r="T86" s="254"/>
      <c r="U86" s="254"/>
      <c r="V86" s="254"/>
      <c r="W86" s="254"/>
      <c r="Y86" s="246" t="str">
        <f t="shared" si="8"/>
        <v/>
      </c>
      <c r="Z86" s="247" t="str">
        <f t="shared" si="6"/>
        <v/>
      </c>
      <c r="AA86" s="246" t="str">
        <f t="shared" si="9"/>
        <v/>
      </c>
    </row>
    <row r="87" spans="1:27" ht="18" customHeight="1" x14ac:dyDescent="0.25">
      <c r="A87" s="248" t="str">
        <f t="shared" si="10"/>
        <v/>
      </c>
      <c r="B87" s="249" t="str">
        <f t="shared" si="11"/>
        <v/>
      </c>
      <c r="C87" s="250"/>
      <c r="D87" s="251"/>
      <c r="E87" s="241"/>
      <c r="F87" s="252"/>
      <c r="G87" s="252"/>
      <c r="H87" s="253"/>
      <c r="I87" s="250"/>
      <c r="J87" s="250"/>
      <c r="K87" s="270"/>
      <c r="L87" s="250"/>
      <c r="M87" s="250"/>
      <c r="N87" s="553" t="str">
        <f>CONCATENATE(IF(OR(M87=phu!$I$1,M87=phu!$I$2,M87=phu!$I$3),"Cam Thành Nam",""),IF(OR(M87=phu!$I$4,M87=phu!$I$5,M87=phu!$I$6,M87=phu!$I$7,M87=phu!$I$8,M87=phu!$I$9,M87=phu!$I$10,M87=phu!$I$11,M87=phu!$I$12,M87=phu!$I$13,M87=phu!$I$14),"Cam Nghĩa",""),IF(OR(M87=phu!$I$15,M87=phu!$I$16,M87=phu!$I$17,M87=phu!$I$18,M87=phu!$I$19,M87=phu!$I$20,M87=phu!$I$21),"Cam Phúc Bắc",""),IF(OR(M87=phu!$I$22,M87=phu!$I$23,M87=phu!$I$24,M87=phu!$I$25),"Cam Phúc Nam",""),IF(OR(M87=phu!$I$26,M87=phu!$I$27,M87=phu!$I$28,M87=phu!$I$29,M87=phu!$I$30,M87=phu!$I$31),"Cam Phú",""),IF(OR(M87=phu!$I$32,M87=phu!$I$33,M87=phu!$I$34,M87=phu!$I$35,M87=phu!$I$36,M87=phu!$I$37),"Cam Lộc",""),IF(OR(M87=phu!$I$38,M87=phu!$I$39,M87=phu!$I$40,M87=phu!$I$41,M87=phu!$I$42,M87=phu!$I$43,M87=phu!$I$44),"Cam Thuận",""),IF(OR(M87=phu!$I$45,M87=phu!$I$46,M87=phu!$I$47,M87=phu!$I$48,M87=phu!$I$49,M87=phu!$I$50,M87=phu!$I$51,M87=phu!$I$52,M87=phu!$I$53),"Cam Linh",""),IF(OR(M87=phu!$I$54,M87=phu!$I$55,M87=phu!$I$56,M87=phu!$I$57,M87=phu!$I$58,M87=phu!$I$59,M87=phu!$I$60,M87=phu!$I$61,M87=phu!$I$62),"Cam Lợi",""),IF(OR(M87=phu!$I$63,M87=phu!$I$64,M87=phu!$I$65,M87=phu!$I$66,M87=phu!$I$67,M87=phu!$I$68,M87=phu!$I$69,M87=phu!$I$70,M87=phu!$I$71),"Ba Ngòi",""),IF(OR(M87=phu!$I$72,M87=phu!$I$73,M87=phu!$I$74,M87=phu!$I$75,M87=phu!$I$76,M87=phu!$I$77,M87=phu!$I$78),"Cam Phước Đông",""),IF(OR(M87=phu!$I$79,M87=phu!$I$80,M87=phu!$I$81,M87=phu!$I$82,M87=phu!$I$83,M87=phu!$I$84),"Cam Thịnh Đông",""),IF(OR(M87=phu!$I$85,M87=phu!$I$86,M87=phu!$I$87,M87=phu!$I$88),"Cam Thịnh Tây",""),IF(OR(M87=phu!$I$89,M87=phu!$I$90),"Cam Lập",""),IF(OR(M87=phu!$I$91,M87=phu!$I$92,M87=phu!$I$93),"Cam Bình",""),IF(OR(M87=phu!$I$94,M87=phu!$I$95,M87=phu!$I$96,M87=phu!$I$97,M87=phu!$I$98,M87=phu!$I$99,M87=phu!$I$100),"Huyện khác",""),IF(OR(M87=phu!$I$101,M87=phu!$I$102),"Tỉnh khác",""))</f>
        <v/>
      </c>
      <c r="O87" s="814" t="str">
        <f t="shared" si="7"/>
        <v/>
      </c>
      <c r="P87" s="254"/>
      <c r="Q87" s="254"/>
      <c r="R87" s="254"/>
      <c r="S87" s="254"/>
      <c r="T87" s="254"/>
      <c r="U87" s="254"/>
      <c r="V87" s="254"/>
      <c r="W87" s="254"/>
      <c r="Y87" s="246" t="str">
        <f t="shared" si="8"/>
        <v/>
      </c>
      <c r="Z87" s="247" t="str">
        <f t="shared" si="6"/>
        <v/>
      </c>
      <c r="AA87" s="246" t="str">
        <f t="shared" si="9"/>
        <v/>
      </c>
    </row>
    <row r="88" spans="1:27" ht="18" customHeight="1" x14ac:dyDescent="0.25">
      <c r="A88" s="248" t="str">
        <f t="shared" si="10"/>
        <v/>
      </c>
      <c r="B88" s="249" t="str">
        <f t="shared" si="11"/>
        <v/>
      </c>
      <c r="C88" s="250"/>
      <c r="D88" s="251"/>
      <c r="E88" s="241"/>
      <c r="F88" s="252"/>
      <c r="G88" s="252"/>
      <c r="H88" s="253"/>
      <c r="I88" s="250"/>
      <c r="J88" s="250"/>
      <c r="K88" s="270"/>
      <c r="L88" s="250"/>
      <c r="M88" s="250"/>
      <c r="N88" s="553" t="str">
        <f>CONCATENATE(IF(OR(M88=phu!$I$1,M88=phu!$I$2,M88=phu!$I$3),"Cam Thành Nam",""),IF(OR(M88=phu!$I$4,M88=phu!$I$5,M88=phu!$I$6,M88=phu!$I$7,M88=phu!$I$8,M88=phu!$I$9,M88=phu!$I$10,M88=phu!$I$11,M88=phu!$I$12,M88=phu!$I$13,M88=phu!$I$14),"Cam Nghĩa",""),IF(OR(M88=phu!$I$15,M88=phu!$I$16,M88=phu!$I$17,M88=phu!$I$18,M88=phu!$I$19,M88=phu!$I$20,M88=phu!$I$21),"Cam Phúc Bắc",""),IF(OR(M88=phu!$I$22,M88=phu!$I$23,M88=phu!$I$24,M88=phu!$I$25),"Cam Phúc Nam",""),IF(OR(M88=phu!$I$26,M88=phu!$I$27,M88=phu!$I$28,M88=phu!$I$29,M88=phu!$I$30,M88=phu!$I$31),"Cam Phú",""),IF(OR(M88=phu!$I$32,M88=phu!$I$33,M88=phu!$I$34,M88=phu!$I$35,M88=phu!$I$36,M88=phu!$I$37),"Cam Lộc",""),IF(OR(M88=phu!$I$38,M88=phu!$I$39,M88=phu!$I$40,M88=phu!$I$41,M88=phu!$I$42,M88=phu!$I$43,M88=phu!$I$44),"Cam Thuận",""),IF(OR(M88=phu!$I$45,M88=phu!$I$46,M88=phu!$I$47,M88=phu!$I$48,M88=phu!$I$49,M88=phu!$I$50,M88=phu!$I$51,M88=phu!$I$52,M88=phu!$I$53),"Cam Linh",""),IF(OR(M88=phu!$I$54,M88=phu!$I$55,M88=phu!$I$56,M88=phu!$I$57,M88=phu!$I$58,M88=phu!$I$59,M88=phu!$I$60,M88=phu!$I$61,M88=phu!$I$62),"Cam Lợi",""),IF(OR(M88=phu!$I$63,M88=phu!$I$64,M88=phu!$I$65,M88=phu!$I$66,M88=phu!$I$67,M88=phu!$I$68,M88=phu!$I$69,M88=phu!$I$70,M88=phu!$I$71),"Ba Ngòi",""),IF(OR(M88=phu!$I$72,M88=phu!$I$73,M88=phu!$I$74,M88=phu!$I$75,M88=phu!$I$76,M88=phu!$I$77,M88=phu!$I$78),"Cam Phước Đông",""),IF(OR(M88=phu!$I$79,M88=phu!$I$80,M88=phu!$I$81,M88=phu!$I$82,M88=phu!$I$83,M88=phu!$I$84),"Cam Thịnh Đông",""),IF(OR(M88=phu!$I$85,M88=phu!$I$86,M88=phu!$I$87,M88=phu!$I$88),"Cam Thịnh Tây",""),IF(OR(M88=phu!$I$89,M88=phu!$I$90),"Cam Lập",""),IF(OR(M88=phu!$I$91,M88=phu!$I$92,M88=phu!$I$93),"Cam Bình",""),IF(OR(M88=phu!$I$94,M88=phu!$I$95,M88=phu!$I$96,M88=phu!$I$97,M88=phu!$I$98,M88=phu!$I$99,M88=phu!$I$100),"Huyện khác",""),IF(OR(M88=phu!$I$101,M88=phu!$I$102),"Tỉnh khác",""))</f>
        <v/>
      </c>
      <c r="O88" s="815" t="str">
        <f t="shared" si="7"/>
        <v/>
      </c>
      <c r="P88" s="256"/>
      <c r="Q88" s="256"/>
      <c r="R88" s="256"/>
      <c r="S88" s="254"/>
      <c r="T88" s="254"/>
      <c r="U88" s="254"/>
      <c r="V88" s="254"/>
      <c r="W88" s="254"/>
      <c r="Y88" s="246" t="str">
        <f t="shared" si="8"/>
        <v/>
      </c>
      <c r="Z88" s="247" t="str">
        <f t="shared" si="6"/>
        <v/>
      </c>
      <c r="AA88" s="246" t="str">
        <f t="shared" si="9"/>
        <v/>
      </c>
    </row>
    <row r="89" spans="1:27" ht="18" customHeight="1" x14ac:dyDescent="0.25">
      <c r="A89" s="248" t="str">
        <f t="shared" si="10"/>
        <v/>
      </c>
      <c r="B89" s="249" t="str">
        <f t="shared" si="11"/>
        <v/>
      </c>
      <c r="C89" s="250"/>
      <c r="D89" s="251"/>
      <c r="E89" s="241"/>
      <c r="F89" s="252"/>
      <c r="G89" s="252"/>
      <c r="H89" s="253"/>
      <c r="I89" s="250"/>
      <c r="J89" s="250"/>
      <c r="K89" s="270"/>
      <c r="L89" s="250"/>
      <c r="M89" s="250"/>
      <c r="N89" s="553" t="str">
        <f>CONCATENATE(IF(OR(M89=phu!$I$1,M89=phu!$I$2,M89=phu!$I$3),"Cam Thành Nam",""),IF(OR(M89=phu!$I$4,M89=phu!$I$5,M89=phu!$I$6,M89=phu!$I$7,M89=phu!$I$8,M89=phu!$I$9,M89=phu!$I$10,M89=phu!$I$11,M89=phu!$I$12,M89=phu!$I$13,M89=phu!$I$14),"Cam Nghĩa",""),IF(OR(M89=phu!$I$15,M89=phu!$I$16,M89=phu!$I$17,M89=phu!$I$18,M89=phu!$I$19,M89=phu!$I$20,M89=phu!$I$21),"Cam Phúc Bắc",""),IF(OR(M89=phu!$I$22,M89=phu!$I$23,M89=phu!$I$24,M89=phu!$I$25),"Cam Phúc Nam",""),IF(OR(M89=phu!$I$26,M89=phu!$I$27,M89=phu!$I$28,M89=phu!$I$29,M89=phu!$I$30,M89=phu!$I$31),"Cam Phú",""),IF(OR(M89=phu!$I$32,M89=phu!$I$33,M89=phu!$I$34,M89=phu!$I$35,M89=phu!$I$36,M89=phu!$I$37),"Cam Lộc",""),IF(OR(M89=phu!$I$38,M89=phu!$I$39,M89=phu!$I$40,M89=phu!$I$41,M89=phu!$I$42,M89=phu!$I$43,M89=phu!$I$44),"Cam Thuận",""),IF(OR(M89=phu!$I$45,M89=phu!$I$46,M89=phu!$I$47,M89=phu!$I$48,M89=phu!$I$49,M89=phu!$I$50,M89=phu!$I$51,M89=phu!$I$52,M89=phu!$I$53),"Cam Linh",""),IF(OR(M89=phu!$I$54,M89=phu!$I$55,M89=phu!$I$56,M89=phu!$I$57,M89=phu!$I$58,M89=phu!$I$59,M89=phu!$I$60,M89=phu!$I$61,M89=phu!$I$62),"Cam Lợi",""),IF(OR(M89=phu!$I$63,M89=phu!$I$64,M89=phu!$I$65,M89=phu!$I$66,M89=phu!$I$67,M89=phu!$I$68,M89=phu!$I$69,M89=phu!$I$70,M89=phu!$I$71),"Ba Ngòi",""),IF(OR(M89=phu!$I$72,M89=phu!$I$73,M89=phu!$I$74,M89=phu!$I$75,M89=phu!$I$76,M89=phu!$I$77,M89=phu!$I$78),"Cam Phước Đông",""),IF(OR(M89=phu!$I$79,M89=phu!$I$80,M89=phu!$I$81,M89=phu!$I$82,M89=phu!$I$83,M89=phu!$I$84),"Cam Thịnh Đông",""),IF(OR(M89=phu!$I$85,M89=phu!$I$86,M89=phu!$I$87,M89=phu!$I$88),"Cam Thịnh Tây",""),IF(OR(M89=phu!$I$89,M89=phu!$I$90),"Cam Lập",""),IF(OR(M89=phu!$I$91,M89=phu!$I$92,M89=phu!$I$93),"Cam Bình",""),IF(OR(M89=phu!$I$94,M89=phu!$I$95,M89=phu!$I$96,M89=phu!$I$97,M89=phu!$I$98,M89=phu!$I$99,M89=phu!$I$100),"Huyện khác",""),IF(OR(M89=phu!$I$101,M89=phu!$I$102),"Tỉnh khác",""))</f>
        <v/>
      </c>
      <c r="O89" s="815" t="str">
        <f t="shared" si="7"/>
        <v/>
      </c>
      <c r="P89" s="256"/>
      <c r="Q89" s="256"/>
      <c r="R89" s="256"/>
      <c r="S89" s="254"/>
      <c r="T89" s="254"/>
      <c r="U89" s="254"/>
      <c r="V89" s="254"/>
      <c r="W89" s="254"/>
      <c r="Y89" s="246" t="str">
        <f t="shared" si="8"/>
        <v/>
      </c>
      <c r="Z89" s="247" t="str">
        <f t="shared" si="6"/>
        <v/>
      </c>
      <c r="AA89" s="246" t="str">
        <f t="shared" si="9"/>
        <v/>
      </c>
    </row>
    <row r="90" spans="1:27" ht="18" customHeight="1" x14ac:dyDescent="0.25">
      <c r="A90" s="248" t="str">
        <f t="shared" si="10"/>
        <v/>
      </c>
      <c r="B90" s="249" t="str">
        <f t="shared" si="11"/>
        <v/>
      </c>
      <c r="C90" s="250"/>
      <c r="D90" s="251"/>
      <c r="E90" s="241"/>
      <c r="F90" s="252"/>
      <c r="G90" s="252"/>
      <c r="H90" s="253"/>
      <c r="I90" s="250"/>
      <c r="J90" s="250"/>
      <c r="K90" s="270"/>
      <c r="L90" s="250"/>
      <c r="M90" s="250"/>
      <c r="N90" s="553" t="str">
        <f>CONCATENATE(IF(OR(M90=phu!$I$1,M90=phu!$I$2,M90=phu!$I$3),"Cam Thành Nam",""),IF(OR(M90=phu!$I$4,M90=phu!$I$5,M90=phu!$I$6,M90=phu!$I$7,M90=phu!$I$8,M90=phu!$I$9,M90=phu!$I$10,M90=phu!$I$11,M90=phu!$I$12,M90=phu!$I$13,M90=phu!$I$14),"Cam Nghĩa",""),IF(OR(M90=phu!$I$15,M90=phu!$I$16,M90=phu!$I$17,M90=phu!$I$18,M90=phu!$I$19,M90=phu!$I$20,M90=phu!$I$21),"Cam Phúc Bắc",""),IF(OR(M90=phu!$I$22,M90=phu!$I$23,M90=phu!$I$24,M90=phu!$I$25),"Cam Phúc Nam",""),IF(OR(M90=phu!$I$26,M90=phu!$I$27,M90=phu!$I$28,M90=phu!$I$29,M90=phu!$I$30,M90=phu!$I$31),"Cam Phú",""),IF(OR(M90=phu!$I$32,M90=phu!$I$33,M90=phu!$I$34,M90=phu!$I$35,M90=phu!$I$36,M90=phu!$I$37),"Cam Lộc",""),IF(OR(M90=phu!$I$38,M90=phu!$I$39,M90=phu!$I$40,M90=phu!$I$41,M90=phu!$I$42,M90=phu!$I$43,M90=phu!$I$44),"Cam Thuận",""),IF(OR(M90=phu!$I$45,M90=phu!$I$46,M90=phu!$I$47,M90=phu!$I$48,M90=phu!$I$49,M90=phu!$I$50,M90=phu!$I$51,M90=phu!$I$52,M90=phu!$I$53),"Cam Linh",""),IF(OR(M90=phu!$I$54,M90=phu!$I$55,M90=phu!$I$56,M90=phu!$I$57,M90=phu!$I$58,M90=phu!$I$59,M90=phu!$I$60,M90=phu!$I$61,M90=phu!$I$62),"Cam Lợi",""),IF(OR(M90=phu!$I$63,M90=phu!$I$64,M90=phu!$I$65,M90=phu!$I$66,M90=phu!$I$67,M90=phu!$I$68,M90=phu!$I$69,M90=phu!$I$70,M90=phu!$I$71),"Ba Ngòi",""),IF(OR(M90=phu!$I$72,M90=phu!$I$73,M90=phu!$I$74,M90=phu!$I$75,M90=phu!$I$76,M90=phu!$I$77,M90=phu!$I$78),"Cam Phước Đông",""),IF(OR(M90=phu!$I$79,M90=phu!$I$80,M90=phu!$I$81,M90=phu!$I$82,M90=phu!$I$83,M90=phu!$I$84),"Cam Thịnh Đông",""),IF(OR(M90=phu!$I$85,M90=phu!$I$86,M90=phu!$I$87,M90=phu!$I$88),"Cam Thịnh Tây",""),IF(OR(M90=phu!$I$89,M90=phu!$I$90),"Cam Lập",""),IF(OR(M90=phu!$I$91,M90=phu!$I$92,M90=phu!$I$93),"Cam Bình",""),IF(OR(M90=phu!$I$94,M90=phu!$I$95,M90=phu!$I$96,M90=phu!$I$97,M90=phu!$I$98,M90=phu!$I$99,M90=phu!$I$100),"Huyện khác",""),IF(OR(M90=phu!$I$101,M90=phu!$I$102),"Tỉnh khác",""))</f>
        <v/>
      </c>
      <c r="O90" s="815" t="str">
        <f t="shared" si="7"/>
        <v/>
      </c>
      <c r="P90" s="256"/>
      <c r="Q90" s="256"/>
      <c r="R90" s="256"/>
      <c r="S90" s="254"/>
      <c r="T90" s="254"/>
      <c r="U90" s="254"/>
      <c r="V90" s="254"/>
      <c r="W90" s="254"/>
      <c r="Y90" s="246" t="str">
        <f t="shared" si="8"/>
        <v/>
      </c>
      <c r="Z90" s="247" t="str">
        <f t="shared" si="6"/>
        <v/>
      </c>
      <c r="AA90" s="246" t="str">
        <f t="shared" si="9"/>
        <v/>
      </c>
    </row>
    <row r="91" spans="1:27" ht="18" customHeight="1" x14ac:dyDescent="0.25">
      <c r="A91" s="248" t="str">
        <f t="shared" si="10"/>
        <v/>
      </c>
      <c r="B91" s="249" t="str">
        <f t="shared" si="11"/>
        <v/>
      </c>
      <c r="C91" s="250"/>
      <c r="D91" s="251"/>
      <c r="E91" s="241"/>
      <c r="F91" s="252"/>
      <c r="G91" s="252"/>
      <c r="H91" s="253"/>
      <c r="I91" s="250"/>
      <c r="J91" s="250"/>
      <c r="K91" s="270"/>
      <c r="L91" s="250"/>
      <c r="M91" s="250"/>
      <c r="N91" s="553" t="str">
        <f>CONCATENATE(IF(OR(M91=phu!$I$1,M91=phu!$I$2,M91=phu!$I$3),"Cam Thành Nam",""),IF(OR(M91=phu!$I$4,M91=phu!$I$5,M91=phu!$I$6,M91=phu!$I$7,M91=phu!$I$8,M91=phu!$I$9,M91=phu!$I$10,M91=phu!$I$11,M91=phu!$I$12,M91=phu!$I$13,M91=phu!$I$14),"Cam Nghĩa",""),IF(OR(M91=phu!$I$15,M91=phu!$I$16,M91=phu!$I$17,M91=phu!$I$18,M91=phu!$I$19,M91=phu!$I$20,M91=phu!$I$21),"Cam Phúc Bắc",""),IF(OR(M91=phu!$I$22,M91=phu!$I$23,M91=phu!$I$24,M91=phu!$I$25),"Cam Phúc Nam",""),IF(OR(M91=phu!$I$26,M91=phu!$I$27,M91=phu!$I$28,M91=phu!$I$29,M91=phu!$I$30,M91=phu!$I$31),"Cam Phú",""),IF(OR(M91=phu!$I$32,M91=phu!$I$33,M91=phu!$I$34,M91=phu!$I$35,M91=phu!$I$36,M91=phu!$I$37),"Cam Lộc",""),IF(OR(M91=phu!$I$38,M91=phu!$I$39,M91=phu!$I$40,M91=phu!$I$41,M91=phu!$I$42,M91=phu!$I$43,M91=phu!$I$44),"Cam Thuận",""),IF(OR(M91=phu!$I$45,M91=phu!$I$46,M91=phu!$I$47,M91=phu!$I$48,M91=phu!$I$49,M91=phu!$I$50,M91=phu!$I$51,M91=phu!$I$52,M91=phu!$I$53),"Cam Linh",""),IF(OR(M91=phu!$I$54,M91=phu!$I$55,M91=phu!$I$56,M91=phu!$I$57,M91=phu!$I$58,M91=phu!$I$59,M91=phu!$I$60,M91=phu!$I$61,M91=phu!$I$62),"Cam Lợi",""),IF(OR(M91=phu!$I$63,M91=phu!$I$64,M91=phu!$I$65,M91=phu!$I$66,M91=phu!$I$67,M91=phu!$I$68,M91=phu!$I$69,M91=phu!$I$70,M91=phu!$I$71),"Ba Ngòi",""),IF(OR(M91=phu!$I$72,M91=phu!$I$73,M91=phu!$I$74,M91=phu!$I$75,M91=phu!$I$76,M91=phu!$I$77,M91=phu!$I$78),"Cam Phước Đông",""),IF(OR(M91=phu!$I$79,M91=phu!$I$80,M91=phu!$I$81,M91=phu!$I$82,M91=phu!$I$83,M91=phu!$I$84),"Cam Thịnh Đông",""),IF(OR(M91=phu!$I$85,M91=phu!$I$86,M91=phu!$I$87,M91=phu!$I$88),"Cam Thịnh Tây",""),IF(OR(M91=phu!$I$89,M91=phu!$I$90),"Cam Lập",""),IF(OR(M91=phu!$I$91,M91=phu!$I$92,M91=phu!$I$93),"Cam Bình",""),IF(OR(M91=phu!$I$94,M91=phu!$I$95,M91=phu!$I$96,M91=phu!$I$97,M91=phu!$I$98,M91=phu!$I$99,M91=phu!$I$100),"Huyện khác",""),IF(OR(M91=phu!$I$101,M91=phu!$I$102),"Tỉnh khác",""))</f>
        <v/>
      </c>
      <c r="O91" s="815" t="str">
        <f t="shared" si="7"/>
        <v/>
      </c>
      <c r="P91" s="256"/>
      <c r="Q91" s="256"/>
      <c r="R91" s="256"/>
      <c r="S91" s="254"/>
      <c r="T91" s="254"/>
      <c r="U91" s="254"/>
      <c r="V91" s="254"/>
      <c r="W91" s="254"/>
      <c r="Y91" s="246" t="str">
        <f t="shared" si="8"/>
        <v/>
      </c>
      <c r="Z91" s="247" t="str">
        <f t="shared" si="6"/>
        <v/>
      </c>
      <c r="AA91" s="246" t="str">
        <f t="shared" si="9"/>
        <v/>
      </c>
    </row>
    <row r="92" spans="1:27" ht="18" customHeight="1" x14ac:dyDescent="0.25">
      <c r="A92" s="248" t="str">
        <f t="shared" si="10"/>
        <v/>
      </c>
      <c r="B92" s="249" t="str">
        <f t="shared" si="11"/>
        <v/>
      </c>
      <c r="C92" s="250"/>
      <c r="D92" s="251"/>
      <c r="E92" s="241"/>
      <c r="F92" s="252"/>
      <c r="G92" s="252"/>
      <c r="H92" s="253"/>
      <c r="I92" s="250"/>
      <c r="J92" s="250"/>
      <c r="K92" s="270"/>
      <c r="L92" s="250"/>
      <c r="M92" s="250"/>
      <c r="N92" s="553" t="str">
        <f>CONCATENATE(IF(OR(M92=phu!$I$1,M92=phu!$I$2,M92=phu!$I$3),"Cam Thành Nam",""),IF(OR(M92=phu!$I$4,M92=phu!$I$5,M92=phu!$I$6,M92=phu!$I$7,M92=phu!$I$8,M92=phu!$I$9,M92=phu!$I$10,M92=phu!$I$11,M92=phu!$I$12,M92=phu!$I$13,M92=phu!$I$14),"Cam Nghĩa",""),IF(OR(M92=phu!$I$15,M92=phu!$I$16,M92=phu!$I$17,M92=phu!$I$18,M92=phu!$I$19,M92=phu!$I$20,M92=phu!$I$21),"Cam Phúc Bắc",""),IF(OR(M92=phu!$I$22,M92=phu!$I$23,M92=phu!$I$24,M92=phu!$I$25),"Cam Phúc Nam",""),IF(OR(M92=phu!$I$26,M92=phu!$I$27,M92=phu!$I$28,M92=phu!$I$29,M92=phu!$I$30,M92=phu!$I$31),"Cam Phú",""),IF(OR(M92=phu!$I$32,M92=phu!$I$33,M92=phu!$I$34,M92=phu!$I$35,M92=phu!$I$36,M92=phu!$I$37),"Cam Lộc",""),IF(OR(M92=phu!$I$38,M92=phu!$I$39,M92=phu!$I$40,M92=phu!$I$41,M92=phu!$I$42,M92=phu!$I$43,M92=phu!$I$44),"Cam Thuận",""),IF(OR(M92=phu!$I$45,M92=phu!$I$46,M92=phu!$I$47,M92=phu!$I$48,M92=phu!$I$49,M92=phu!$I$50,M92=phu!$I$51,M92=phu!$I$52,M92=phu!$I$53),"Cam Linh",""),IF(OR(M92=phu!$I$54,M92=phu!$I$55,M92=phu!$I$56,M92=phu!$I$57,M92=phu!$I$58,M92=phu!$I$59,M92=phu!$I$60,M92=phu!$I$61,M92=phu!$I$62),"Cam Lợi",""),IF(OR(M92=phu!$I$63,M92=phu!$I$64,M92=phu!$I$65,M92=phu!$I$66,M92=phu!$I$67,M92=phu!$I$68,M92=phu!$I$69,M92=phu!$I$70,M92=phu!$I$71),"Ba Ngòi",""),IF(OR(M92=phu!$I$72,M92=phu!$I$73,M92=phu!$I$74,M92=phu!$I$75,M92=phu!$I$76,M92=phu!$I$77,M92=phu!$I$78),"Cam Phước Đông",""),IF(OR(M92=phu!$I$79,M92=phu!$I$80,M92=phu!$I$81,M92=phu!$I$82,M92=phu!$I$83,M92=phu!$I$84),"Cam Thịnh Đông",""),IF(OR(M92=phu!$I$85,M92=phu!$I$86,M92=phu!$I$87,M92=phu!$I$88),"Cam Thịnh Tây",""),IF(OR(M92=phu!$I$89,M92=phu!$I$90),"Cam Lập",""),IF(OR(M92=phu!$I$91,M92=phu!$I$92,M92=phu!$I$93),"Cam Bình",""),IF(OR(M92=phu!$I$94,M92=phu!$I$95,M92=phu!$I$96,M92=phu!$I$97,M92=phu!$I$98,M92=phu!$I$99,M92=phu!$I$100),"Huyện khác",""),IF(OR(M92=phu!$I$101,M92=phu!$I$102),"Tỉnh khác",""))</f>
        <v/>
      </c>
      <c r="O92" s="815" t="str">
        <f t="shared" si="7"/>
        <v/>
      </c>
      <c r="P92" s="256"/>
      <c r="Q92" s="256"/>
      <c r="R92" s="256"/>
      <c r="S92" s="254"/>
      <c r="T92" s="254"/>
      <c r="U92" s="254"/>
      <c r="V92" s="254"/>
      <c r="W92" s="254"/>
      <c r="Y92" s="246" t="str">
        <f t="shared" si="8"/>
        <v/>
      </c>
      <c r="Z92" s="247" t="str">
        <f t="shared" si="6"/>
        <v/>
      </c>
      <c r="AA92" s="246" t="str">
        <f t="shared" si="9"/>
        <v/>
      </c>
    </row>
    <row r="93" spans="1:27" ht="18" customHeight="1" x14ac:dyDescent="0.25">
      <c r="A93" s="248" t="str">
        <f t="shared" si="10"/>
        <v/>
      </c>
      <c r="B93" s="249" t="str">
        <f t="shared" si="11"/>
        <v/>
      </c>
      <c r="C93" s="250"/>
      <c r="D93" s="251"/>
      <c r="E93" s="241"/>
      <c r="F93" s="252"/>
      <c r="G93" s="252"/>
      <c r="H93" s="253"/>
      <c r="I93" s="250"/>
      <c r="J93" s="250"/>
      <c r="K93" s="270"/>
      <c r="L93" s="250"/>
      <c r="M93" s="250"/>
      <c r="N93" s="553" t="str">
        <f>CONCATENATE(IF(OR(M93=phu!$I$1,M93=phu!$I$2,M93=phu!$I$3),"Cam Thành Nam",""),IF(OR(M93=phu!$I$4,M93=phu!$I$5,M93=phu!$I$6,M93=phu!$I$7,M93=phu!$I$8,M93=phu!$I$9,M93=phu!$I$10,M93=phu!$I$11,M93=phu!$I$12,M93=phu!$I$13,M93=phu!$I$14),"Cam Nghĩa",""),IF(OR(M93=phu!$I$15,M93=phu!$I$16,M93=phu!$I$17,M93=phu!$I$18,M93=phu!$I$19,M93=phu!$I$20,M93=phu!$I$21),"Cam Phúc Bắc",""),IF(OR(M93=phu!$I$22,M93=phu!$I$23,M93=phu!$I$24,M93=phu!$I$25),"Cam Phúc Nam",""),IF(OR(M93=phu!$I$26,M93=phu!$I$27,M93=phu!$I$28,M93=phu!$I$29,M93=phu!$I$30,M93=phu!$I$31),"Cam Phú",""),IF(OR(M93=phu!$I$32,M93=phu!$I$33,M93=phu!$I$34,M93=phu!$I$35,M93=phu!$I$36,M93=phu!$I$37),"Cam Lộc",""),IF(OR(M93=phu!$I$38,M93=phu!$I$39,M93=phu!$I$40,M93=phu!$I$41,M93=phu!$I$42,M93=phu!$I$43,M93=phu!$I$44),"Cam Thuận",""),IF(OR(M93=phu!$I$45,M93=phu!$I$46,M93=phu!$I$47,M93=phu!$I$48,M93=phu!$I$49,M93=phu!$I$50,M93=phu!$I$51,M93=phu!$I$52,M93=phu!$I$53),"Cam Linh",""),IF(OR(M93=phu!$I$54,M93=phu!$I$55,M93=phu!$I$56,M93=phu!$I$57,M93=phu!$I$58,M93=phu!$I$59,M93=phu!$I$60,M93=phu!$I$61,M93=phu!$I$62),"Cam Lợi",""),IF(OR(M93=phu!$I$63,M93=phu!$I$64,M93=phu!$I$65,M93=phu!$I$66,M93=phu!$I$67,M93=phu!$I$68,M93=phu!$I$69,M93=phu!$I$70,M93=phu!$I$71),"Ba Ngòi",""),IF(OR(M93=phu!$I$72,M93=phu!$I$73,M93=phu!$I$74,M93=phu!$I$75,M93=phu!$I$76,M93=phu!$I$77,M93=phu!$I$78),"Cam Phước Đông",""),IF(OR(M93=phu!$I$79,M93=phu!$I$80,M93=phu!$I$81,M93=phu!$I$82,M93=phu!$I$83,M93=phu!$I$84),"Cam Thịnh Đông",""),IF(OR(M93=phu!$I$85,M93=phu!$I$86,M93=phu!$I$87,M93=phu!$I$88),"Cam Thịnh Tây",""),IF(OR(M93=phu!$I$89,M93=phu!$I$90),"Cam Lập",""),IF(OR(M93=phu!$I$91,M93=phu!$I$92,M93=phu!$I$93),"Cam Bình",""),IF(OR(M93=phu!$I$94,M93=phu!$I$95,M93=phu!$I$96,M93=phu!$I$97,M93=phu!$I$98,M93=phu!$I$99,M93=phu!$I$100),"Huyện khác",""),IF(OR(M93=phu!$I$101,M93=phu!$I$102),"Tỉnh khác",""))</f>
        <v/>
      </c>
      <c r="O93" s="815" t="str">
        <f t="shared" si="7"/>
        <v/>
      </c>
      <c r="P93" s="256"/>
      <c r="Q93" s="256"/>
      <c r="R93" s="256"/>
      <c r="S93" s="254"/>
      <c r="T93" s="254"/>
      <c r="U93" s="254"/>
      <c r="V93" s="254"/>
      <c r="W93" s="254"/>
      <c r="Y93" s="246" t="str">
        <f t="shared" si="8"/>
        <v/>
      </c>
      <c r="Z93" s="247" t="str">
        <f t="shared" si="6"/>
        <v/>
      </c>
      <c r="AA93" s="246" t="str">
        <f t="shared" si="9"/>
        <v/>
      </c>
    </row>
    <row r="94" spans="1:27" ht="18" customHeight="1" x14ac:dyDescent="0.25">
      <c r="A94" s="248" t="str">
        <f t="shared" si="10"/>
        <v/>
      </c>
      <c r="B94" s="249" t="str">
        <f t="shared" si="11"/>
        <v/>
      </c>
      <c r="C94" s="250"/>
      <c r="D94" s="251"/>
      <c r="E94" s="241"/>
      <c r="F94" s="252"/>
      <c r="G94" s="252"/>
      <c r="H94" s="253"/>
      <c r="I94" s="250"/>
      <c r="J94" s="250"/>
      <c r="K94" s="270"/>
      <c r="L94" s="250"/>
      <c r="M94" s="250"/>
      <c r="N94" s="553" t="str">
        <f>CONCATENATE(IF(OR(M94=phu!$I$1,M94=phu!$I$2,M94=phu!$I$3),"Cam Thành Nam",""),IF(OR(M94=phu!$I$4,M94=phu!$I$5,M94=phu!$I$6,M94=phu!$I$7,M94=phu!$I$8,M94=phu!$I$9,M94=phu!$I$10,M94=phu!$I$11,M94=phu!$I$12,M94=phu!$I$13,M94=phu!$I$14),"Cam Nghĩa",""),IF(OR(M94=phu!$I$15,M94=phu!$I$16,M94=phu!$I$17,M94=phu!$I$18,M94=phu!$I$19,M94=phu!$I$20,M94=phu!$I$21),"Cam Phúc Bắc",""),IF(OR(M94=phu!$I$22,M94=phu!$I$23,M94=phu!$I$24,M94=phu!$I$25),"Cam Phúc Nam",""),IF(OR(M94=phu!$I$26,M94=phu!$I$27,M94=phu!$I$28,M94=phu!$I$29,M94=phu!$I$30,M94=phu!$I$31),"Cam Phú",""),IF(OR(M94=phu!$I$32,M94=phu!$I$33,M94=phu!$I$34,M94=phu!$I$35,M94=phu!$I$36,M94=phu!$I$37),"Cam Lộc",""),IF(OR(M94=phu!$I$38,M94=phu!$I$39,M94=phu!$I$40,M94=phu!$I$41,M94=phu!$I$42,M94=phu!$I$43,M94=phu!$I$44),"Cam Thuận",""),IF(OR(M94=phu!$I$45,M94=phu!$I$46,M94=phu!$I$47,M94=phu!$I$48,M94=phu!$I$49,M94=phu!$I$50,M94=phu!$I$51,M94=phu!$I$52,M94=phu!$I$53),"Cam Linh",""),IF(OR(M94=phu!$I$54,M94=phu!$I$55,M94=phu!$I$56,M94=phu!$I$57,M94=phu!$I$58,M94=phu!$I$59,M94=phu!$I$60,M94=phu!$I$61,M94=phu!$I$62),"Cam Lợi",""),IF(OR(M94=phu!$I$63,M94=phu!$I$64,M94=phu!$I$65,M94=phu!$I$66,M94=phu!$I$67,M94=phu!$I$68,M94=phu!$I$69,M94=phu!$I$70,M94=phu!$I$71),"Ba Ngòi",""),IF(OR(M94=phu!$I$72,M94=phu!$I$73,M94=phu!$I$74,M94=phu!$I$75,M94=phu!$I$76,M94=phu!$I$77,M94=phu!$I$78),"Cam Phước Đông",""),IF(OR(M94=phu!$I$79,M94=phu!$I$80,M94=phu!$I$81,M94=phu!$I$82,M94=phu!$I$83,M94=phu!$I$84),"Cam Thịnh Đông",""),IF(OR(M94=phu!$I$85,M94=phu!$I$86,M94=phu!$I$87,M94=phu!$I$88),"Cam Thịnh Tây",""),IF(OR(M94=phu!$I$89,M94=phu!$I$90),"Cam Lập",""),IF(OR(M94=phu!$I$91,M94=phu!$I$92,M94=phu!$I$93),"Cam Bình",""),IF(OR(M94=phu!$I$94,M94=phu!$I$95,M94=phu!$I$96,M94=phu!$I$97,M94=phu!$I$98,M94=phu!$I$99,M94=phu!$I$100),"Huyện khác",""),IF(OR(M94=phu!$I$101,M94=phu!$I$102),"Tỉnh khác",""))</f>
        <v/>
      </c>
      <c r="O94" s="815" t="str">
        <f t="shared" si="7"/>
        <v/>
      </c>
      <c r="P94" s="256"/>
      <c r="Q94" s="256"/>
      <c r="R94" s="256"/>
      <c r="S94" s="254"/>
      <c r="T94" s="254"/>
      <c r="U94" s="254"/>
      <c r="V94" s="254"/>
      <c r="W94" s="254"/>
      <c r="Y94" s="246" t="str">
        <f t="shared" si="8"/>
        <v/>
      </c>
      <c r="Z94" s="247" t="str">
        <f t="shared" si="6"/>
        <v/>
      </c>
      <c r="AA94" s="246" t="str">
        <f t="shared" si="9"/>
        <v/>
      </c>
    </row>
    <row r="95" spans="1:27" ht="18" customHeight="1" x14ac:dyDescent="0.25">
      <c r="A95" s="248" t="str">
        <f t="shared" si="10"/>
        <v/>
      </c>
      <c r="B95" s="249" t="str">
        <f t="shared" si="11"/>
        <v/>
      </c>
      <c r="C95" s="250"/>
      <c r="D95" s="251"/>
      <c r="E95" s="241"/>
      <c r="F95" s="252"/>
      <c r="G95" s="252"/>
      <c r="H95" s="253"/>
      <c r="I95" s="250"/>
      <c r="J95" s="250"/>
      <c r="K95" s="270"/>
      <c r="L95" s="250"/>
      <c r="M95" s="250"/>
      <c r="N95" s="553" t="str">
        <f>CONCATENATE(IF(OR(M95=phu!$I$1,M95=phu!$I$2,M95=phu!$I$3),"Cam Thành Nam",""),IF(OR(M95=phu!$I$4,M95=phu!$I$5,M95=phu!$I$6,M95=phu!$I$7,M95=phu!$I$8,M95=phu!$I$9,M95=phu!$I$10,M95=phu!$I$11,M95=phu!$I$12,M95=phu!$I$13,M95=phu!$I$14),"Cam Nghĩa",""),IF(OR(M95=phu!$I$15,M95=phu!$I$16,M95=phu!$I$17,M95=phu!$I$18,M95=phu!$I$19,M95=phu!$I$20,M95=phu!$I$21),"Cam Phúc Bắc",""),IF(OR(M95=phu!$I$22,M95=phu!$I$23,M95=phu!$I$24,M95=phu!$I$25),"Cam Phúc Nam",""),IF(OR(M95=phu!$I$26,M95=phu!$I$27,M95=phu!$I$28,M95=phu!$I$29,M95=phu!$I$30,M95=phu!$I$31),"Cam Phú",""),IF(OR(M95=phu!$I$32,M95=phu!$I$33,M95=phu!$I$34,M95=phu!$I$35,M95=phu!$I$36,M95=phu!$I$37),"Cam Lộc",""),IF(OR(M95=phu!$I$38,M95=phu!$I$39,M95=phu!$I$40,M95=phu!$I$41,M95=phu!$I$42,M95=phu!$I$43,M95=phu!$I$44),"Cam Thuận",""),IF(OR(M95=phu!$I$45,M95=phu!$I$46,M95=phu!$I$47,M95=phu!$I$48,M95=phu!$I$49,M95=phu!$I$50,M95=phu!$I$51,M95=phu!$I$52,M95=phu!$I$53),"Cam Linh",""),IF(OR(M95=phu!$I$54,M95=phu!$I$55,M95=phu!$I$56,M95=phu!$I$57,M95=phu!$I$58,M95=phu!$I$59,M95=phu!$I$60,M95=phu!$I$61,M95=phu!$I$62),"Cam Lợi",""),IF(OR(M95=phu!$I$63,M95=phu!$I$64,M95=phu!$I$65,M95=phu!$I$66,M95=phu!$I$67,M95=phu!$I$68,M95=phu!$I$69,M95=phu!$I$70,M95=phu!$I$71),"Ba Ngòi",""),IF(OR(M95=phu!$I$72,M95=phu!$I$73,M95=phu!$I$74,M95=phu!$I$75,M95=phu!$I$76,M95=phu!$I$77,M95=phu!$I$78),"Cam Phước Đông",""),IF(OR(M95=phu!$I$79,M95=phu!$I$80,M95=phu!$I$81,M95=phu!$I$82,M95=phu!$I$83,M95=phu!$I$84),"Cam Thịnh Đông",""),IF(OR(M95=phu!$I$85,M95=phu!$I$86,M95=phu!$I$87,M95=phu!$I$88),"Cam Thịnh Tây",""),IF(OR(M95=phu!$I$89,M95=phu!$I$90),"Cam Lập",""),IF(OR(M95=phu!$I$91,M95=phu!$I$92,M95=phu!$I$93),"Cam Bình",""),IF(OR(M95=phu!$I$94,M95=phu!$I$95,M95=phu!$I$96,M95=phu!$I$97,M95=phu!$I$98,M95=phu!$I$99,M95=phu!$I$100),"Huyện khác",""),IF(OR(M95=phu!$I$101,M95=phu!$I$102),"Tỉnh khác",""))</f>
        <v/>
      </c>
      <c r="O95" s="815" t="str">
        <f t="shared" si="7"/>
        <v/>
      </c>
      <c r="P95" s="256"/>
      <c r="Q95" s="256"/>
      <c r="R95" s="256"/>
      <c r="S95" s="254"/>
      <c r="T95" s="254"/>
      <c r="U95" s="254"/>
      <c r="V95" s="254"/>
      <c r="W95" s="254"/>
      <c r="Y95" s="246" t="str">
        <f t="shared" si="8"/>
        <v/>
      </c>
      <c r="Z95" s="247" t="str">
        <f t="shared" si="6"/>
        <v/>
      </c>
      <c r="AA95" s="246" t="str">
        <f t="shared" si="9"/>
        <v/>
      </c>
    </row>
    <row r="96" spans="1:27" ht="18" customHeight="1" x14ac:dyDescent="0.25">
      <c r="A96" s="248" t="str">
        <f t="shared" si="10"/>
        <v/>
      </c>
      <c r="B96" s="249" t="str">
        <f t="shared" si="11"/>
        <v/>
      </c>
      <c r="C96" s="250"/>
      <c r="D96" s="251"/>
      <c r="E96" s="241"/>
      <c r="F96" s="252"/>
      <c r="G96" s="252"/>
      <c r="H96" s="253"/>
      <c r="I96" s="250"/>
      <c r="J96" s="250"/>
      <c r="K96" s="270"/>
      <c r="L96" s="250"/>
      <c r="M96" s="250"/>
      <c r="N96" s="553" t="str">
        <f>CONCATENATE(IF(OR(M96=phu!$I$1,M96=phu!$I$2,M96=phu!$I$3),"Cam Thành Nam",""),IF(OR(M96=phu!$I$4,M96=phu!$I$5,M96=phu!$I$6,M96=phu!$I$7,M96=phu!$I$8,M96=phu!$I$9,M96=phu!$I$10,M96=phu!$I$11,M96=phu!$I$12,M96=phu!$I$13,M96=phu!$I$14),"Cam Nghĩa",""),IF(OR(M96=phu!$I$15,M96=phu!$I$16,M96=phu!$I$17,M96=phu!$I$18,M96=phu!$I$19,M96=phu!$I$20,M96=phu!$I$21),"Cam Phúc Bắc",""),IF(OR(M96=phu!$I$22,M96=phu!$I$23,M96=phu!$I$24,M96=phu!$I$25),"Cam Phúc Nam",""),IF(OR(M96=phu!$I$26,M96=phu!$I$27,M96=phu!$I$28,M96=phu!$I$29,M96=phu!$I$30,M96=phu!$I$31),"Cam Phú",""),IF(OR(M96=phu!$I$32,M96=phu!$I$33,M96=phu!$I$34,M96=phu!$I$35,M96=phu!$I$36,M96=phu!$I$37),"Cam Lộc",""),IF(OR(M96=phu!$I$38,M96=phu!$I$39,M96=phu!$I$40,M96=phu!$I$41,M96=phu!$I$42,M96=phu!$I$43,M96=phu!$I$44),"Cam Thuận",""),IF(OR(M96=phu!$I$45,M96=phu!$I$46,M96=phu!$I$47,M96=phu!$I$48,M96=phu!$I$49,M96=phu!$I$50,M96=phu!$I$51,M96=phu!$I$52,M96=phu!$I$53),"Cam Linh",""),IF(OR(M96=phu!$I$54,M96=phu!$I$55,M96=phu!$I$56,M96=phu!$I$57,M96=phu!$I$58,M96=phu!$I$59,M96=phu!$I$60,M96=phu!$I$61,M96=phu!$I$62),"Cam Lợi",""),IF(OR(M96=phu!$I$63,M96=phu!$I$64,M96=phu!$I$65,M96=phu!$I$66,M96=phu!$I$67,M96=phu!$I$68,M96=phu!$I$69,M96=phu!$I$70,M96=phu!$I$71),"Ba Ngòi",""),IF(OR(M96=phu!$I$72,M96=phu!$I$73,M96=phu!$I$74,M96=phu!$I$75,M96=phu!$I$76,M96=phu!$I$77,M96=phu!$I$78),"Cam Phước Đông",""),IF(OR(M96=phu!$I$79,M96=phu!$I$80,M96=phu!$I$81,M96=phu!$I$82,M96=phu!$I$83,M96=phu!$I$84),"Cam Thịnh Đông",""),IF(OR(M96=phu!$I$85,M96=phu!$I$86,M96=phu!$I$87,M96=phu!$I$88),"Cam Thịnh Tây",""),IF(OR(M96=phu!$I$89,M96=phu!$I$90),"Cam Lập",""),IF(OR(M96=phu!$I$91,M96=phu!$I$92,M96=phu!$I$93),"Cam Bình",""),IF(OR(M96=phu!$I$94,M96=phu!$I$95,M96=phu!$I$96,M96=phu!$I$97,M96=phu!$I$98,M96=phu!$I$99,M96=phu!$I$100),"Huyện khác",""),IF(OR(M96=phu!$I$101,M96=phu!$I$102),"Tỉnh khác",""))</f>
        <v/>
      </c>
      <c r="O96" s="815" t="str">
        <f t="shared" si="7"/>
        <v/>
      </c>
      <c r="P96" s="256"/>
      <c r="Q96" s="256"/>
      <c r="R96" s="256"/>
      <c r="S96" s="254"/>
      <c r="T96" s="254"/>
      <c r="U96" s="254"/>
      <c r="V96" s="254"/>
      <c r="W96" s="254"/>
      <c r="Y96" s="246" t="str">
        <f t="shared" si="8"/>
        <v/>
      </c>
      <c r="Z96" s="247" t="str">
        <f t="shared" si="6"/>
        <v/>
      </c>
      <c r="AA96" s="246" t="str">
        <f t="shared" si="9"/>
        <v/>
      </c>
    </row>
    <row r="97" spans="1:27" ht="18" customHeight="1" x14ac:dyDescent="0.25">
      <c r="A97" s="248" t="str">
        <f t="shared" si="10"/>
        <v/>
      </c>
      <c r="B97" s="249" t="str">
        <f t="shared" si="11"/>
        <v/>
      </c>
      <c r="C97" s="250"/>
      <c r="D97" s="251"/>
      <c r="E97" s="241"/>
      <c r="F97" s="252"/>
      <c r="G97" s="252"/>
      <c r="H97" s="253"/>
      <c r="I97" s="250"/>
      <c r="J97" s="250"/>
      <c r="K97" s="270"/>
      <c r="L97" s="250"/>
      <c r="M97" s="250"/>
      <c r="N97" s="553" t="str">
        <f>CONCATENATE(IF(OR(M97=phu!$I$1,M97=phu!$I$2,M97=phu!$I$3),"Cam Thành Nam",""),IF(OR(M97=phu!$I$4,M97=phu!$I$5,M97=phu!$I$6,M97=phu!$I$7,M97=phu!$I$8,M97=phu!$I$9,M97=phu!$I$10,M97=phu!$I$11,M97=phu!$I$12,M97=phu!$I$13,M97=phu!$I$14),"Cam Nghĩa",""),IF(OR(M97=phu!$I$15,M97=phu!$I$16,M97=phu!$I$17,M97=phu!$I$18,M97=phu!$I$19,M97=phu!$I$20,M97=phu!$I$21),"Cam Phúc Bắc",""),IF(OR(M97=phu!$I$22,M97=phu!$I$23,M97=phu!$I$24,M97=phu!$I$25),"Cam Phúc Nam",""),IF(OR(M97=phu!$I$26,M97=phu!$I$27,M97=phu!$I$28,M97=phu!$I$29,M97=phu!$I$30,M97=phu!$I$31),"Cam Phú",""),IF(OR(M97=phu!$I$32,M97=phu!$I$33,M97=phu!$I$34,M97=phu!$I$35,M97=phu!$I$36,M97=phu!$I$37),"Cam Lộc",""),IF(OR(M97=phu!$I$38,M97=phu!$I$39,M97=phu!$I$40,M97=phu!$I$41,M97=phu!$I$42,M97=phu!$I$43,M97=phu!$I$44),"Cam Thuận",""),IF(OR(M97=phu!$I$45,M97=phu!$I$46,M97=phu!$I$47,M97=phu!$I$48,M97=phu!$I$49,M97=phu!$I$50,M97=phu!$I$51,M97=phu!$I$52,M97=phu!$I$53),"Cam Linh",""),IF(OR(M97=phu!$I$54,M97=phu!$I$55,M97=phu!$I$56,M97=phu!$I$57,M97=phu!$I$58,M97=phu!$I$59,M97=phu!$I$60,M97=phu!$I$61,M97=phu!$I$62),"Cam Lợi",""),IF(OR(M97=phu!$I$63,M97=phu!$I$64,M97=phu!$I$65,M97=phu!$I$66,M97=phu!$I$67,M97=phu!$I$68,M97=phu!$I$69,M97=phu!$I$70,M97=phu!$I$71),"Ba Ngòi",""),IF(OR(M97=phu!$I$72,M97=phu!$I$73,M97=phu!$I$74,M97=phu!$I$75,M97=phu!$I$76,M97=phu!$I$77,M97=phu!$I$78),"Cam Phước Đông",""),IF(OR(M97=phu!$I$79,M97=phu!$I$80,M97=phu!$I$81,M97=phu!$I$82,M97=phu!$I$83,M97=phu!$I$84),"Cam Thịnh Đông",""),IF(OR(M97=phu!$I$85,M97=phu!$I$86,M97=phu!$I$87,M97=phu!$I$88),"Cam Thịnh Tây",""),IF(OR(M97=phu!$I$89,M97=phu!$I$90),"Cam Lập",""),IF(OR(M97=phu!$I$91,M97=phu!$I$92,M97=phu!$I$93),"Cam Bình",""),IF(OR(M97=phu!$I$94,M97=phu!$I$95,M97=phu!$I$96,M97=phu!$I$97,M97=phu!$I$98,M97=phu!$I$99,M97=phu!$I$100),"Huyện khác",""),IF(OR(M97=phu!$I$101,M97=phu!$I$102),"Tỉnh khác",""))</f>
        <v/>
      </c>
      <c r="O97" s="815" t="str">
        <f t="shared" si="7"/>
        <v/>
      </c>
      <c r="P97" s="256"/>
      <c r="Q97" s="256"/>
      <c r="R97" s="256"/>
      <c r="S97" s="254"/>
      <c r="T97" s="254"/>
      <c r="U97" s="254"/>
      <c r="V97" s="254"/>
      <c r="W97" s="254"/>
      <c r="Y97" s="246" t="str">
        <f t="shared" si="8"/>
        <v/>
      </c>
      <c r="Z97" s="247" t="str">
        <f t="shared" si="6"/>
        <v/>
      </c>
      <c r="AA97" s="246" t="str">
        <f t="shared" si="9"/>
        <v/>
      </c>
    </row>
    <row r="98" spans="1:27" ht="18" customHeight="1" x14ac:dyDescent="0.25">
      <c r="A98" s="248" t="str">
        <f t="shared" si="10"/>
        <v/>
      </c>
      <c r="B98" s="249" t="str">
        <f t="shared" si="11"/>
        <v/>
      </c>
      <c r="C98" s="250"/>
      <c r="D98" s="251"/>
      <c r="E98" s="241"/>
      <c r="F98" s="252"/>
      <c r="G98" s="252"/>
      <c r="H98" s="253"/>
      <c r="I98" s="250"/>
      <c r="J98" s="250"/>
      <c r="K98" s="270"/>
      <c r="L98" s="250"/>
      <c r="M98" s="250"/>
      <c r="N98" s="553" t="str">
        <f>CONCATENATE(IF(OR(M98=phu!$I$1,M98=phu!$I$2,M98=phu!$I$3),"Cam Thành Nam",""),IF(OR(M98=phu!$I$4,M98=phu!$I$5,M98=phu!$I$6,M98=phu!$I$7,M98=phu!$I$8,M98=phu!$I$9,M98=phu!$I$10,M98=phu!$I$11,M98=phu!$I$12,M98=phu!$I$13,M98=phu!$I$14),"Cam Nghĩa",""),IF(OR(M98=phu!$I$15,M98=phu!$I$16,M98=phu!$I$17,M98=phu!$I$18,M98=phu!$I$19,M98=phu!$I$20,M98=phu!$I$21),"Cam Phúc Bắc",""),IF(OR(M98=phu!$I$22,M98=phu!$I$23,M98=phu!$I$24,M98=phu!$I$25),"Cam Phúc Nam",""),IF(OR(M98=phu!$I$26,M98=phu!$I$27,M98=phu!$I$28,M98=phu!$I$29,M98=phu!$I$30,M98=phu!$I$31),"Cam Phú",""),IF(OR(M98=phu!$I$32,M98=phu!$I$33,M98=phu!$I$34,M98=phu!$I$35,M98=phu!$I$36,M98=phu!$I$37),"Cam Lộc",""),IF(OR(M98=phu!$I$38,M98=phu!$I$39,M98=phu!$I$40,M98=phu!$I$41,M98=phu!$I$42,M98=phu!$I$43,M98=phu!$I$44),"Cam Thuận",""),IF(OR(M98=phu!$I$45,M98=phu!$I$46,M98=phu!$I$47,M98=phu!$I$48,M98=phu!$I$49,M98=phu!$I$50,M98=phu!$I$51,M98=phu!$I$52,M98=phu!$I$53),"Cam Linh",""),IF(OR(M98=phu!$I$54,M98=phu!$I$55,M98=phu!$I$56,M98=phu!$I$57,M98=phu!$I$58,M98=phu!$I$59,M98=phu!$I$60,M98=phu!$I$61,M98=phu!$I$62),"Cam Lợi",""),IF(OR(M98=phu!$I$63,M98=phu!$I$64,M98=phu!$I$65,M98=phu!$I$66,M98=phu!$I$67,M98=phu!$I$68,M98=phu!$I$69,M98=phu!$I$70,M98=phu!$I$71),"Ba Ngòi",""),IF(OR(M98=phu!$I$72,M98=phu!$I$73,M98=phu!$I$74,M98=phu!$I$75,M98=phu!$I$76,M98=phu!$I$77,M98=phu!$I$78),"Cam Phước Đông",""),IF(OR(M98=phu!$I$79,M98=phu!$I$80,M98=phu!$I$81,M98=phu!$I$82,M98=phu!$I$83,M98=phu!$I$84),"Cam Thịnh Đông",""),IF(OR(M98=phu!$I$85,M98=phu!$I$86,M98=phu!$I$87,M98=phu!$I$88),"Cam Thịnh Tây",""),IF(OR(M98=phu!$I$89,M98=phu!$I$90),"Cam Lập",""),IF(OR(M98=phu!$I$91,M98=phu!$I$92,M98=phu!$I$93),"Cam Bình",""),IF(OR(M98=phu!$I$94,M98=phu!$I$95,M98=phu!$I$96,M98=phu!$I$97,M98=phu!$I$98,M98=phu!$I$99,M98=phu!$I$100),"Huyện khác",""),IF(OR(M98=phu!$I$101,M98=phu!$I$102),"Tỉnh khác",""))</f>
        <v/>
      </c>
      <c r="O98" s="815" t="str">
        <f t="shared" si="7"/>
        <v/>
      </c>
      <c r="P98" s="256"/>
      <c r="Q98" s="256"/>
      <c r="R98" s="256"/>
      <c r="S98" s="254"/>
      <c r="T98" s="254"/>
      <c r="U98" s="254"/>
      <c r="V98" s="254"/>
      <c r="W98" s="254"/>
      <c r="Y98" s="246" t="str">
        <f t="shared" si="8"/>
        <v/>
      </c>
      <c r="Z98" s="247" t="str">
        <f t="shared" si="6"/>
        <v/>
      </c>
      <c r="AA98" s="246" t="str">
        <f t="shared" si="9"/>
        <v/>
      </c>
    </row>
    <row r="99" spans="1:27" ht="18" customHeight="1" x14ac:dyDescent="0.25">
      <c r="A99" s="248" t="str">
        <f t="shared" si="10"/>
        <v/>
      </c>
      <c r="B99" s="249" t="str">
        <f t="shared" si="11"/>
        <v/>
      </c>
      <c r="C99" s="250"/>
      <c r="D99" s="251"/>
      <c r="E99" s="241"/>
      <c r="F99" s="252"/>
      <c r="G99" s="252"/>
      <c r="H99" s="253"/>
      <c r="I99" s="250"/>
      <c r="J99" s="250"/>
      <c r="K99" s="270"/>
      <c r="L99" s="250"/>
      <c r="M99" s="250"/>
      <c r="N99" s="553" t="str">
        <f>CONCATENATE(IF(OR(M99=phu!$I$1,M99=phu!$I$2,M99=phu!$I$3),"Cam Thành Nam",""),IF(OR(M99=phu!$I$4,M99=phu!$I$5,M99=phu!$I$6,M99=phu!$I$7,M99=phu!$I$8,M99=phu!$I$9,M99=phu!$I$10,M99=phu!$I$11,M99=phu!$I$12,M99=phu!$I$13,M99=phu!$I$14),"Cam Nghĩa",""),IF(OR(M99=phu!$I$15,M99=phu!$I$16,M99=phu!$I$17,M99=phu!$I$18,M99=phu!$I$19,M99=phu!$I$20,M99=phu!$I$21),"Cam Phúc Bắc",""),IF(OR(M99=phu!$I$22,M99=phu!$I$23,M99=phu!$I$24,M99=phu!$I$25),"Cam Phúc Nam",""),IF(OR(M99=phu!$I$26,M99=phu!$I$27,M99=phu!$I$28,M99=phu!$I$29,M99=phu!$I$30,M99=phu!$I$31),"Cam Phú",""),IF(OR(M99=phu!$I$32,M99=phu!$I$33,M99=phu!$I$34,M99=phu!$I$35,M99=phu!$I$36,M99=phu!$I$37),"Cam Lộc",""),IF(OR(M99=phu!$I$38,M99=phu!$I$39,M99=phu!$I$40,M99=phu!$I$41,M99=phu!$I$42,M99=phu!$I$43,M99=phu!$I$44),"Cam Thuận",""),IF(OR(M99=phu!$I$45,M99=phu!$I$46,M99=phu!$I$47,M99=phu!$I$48,M99=phu!$I$49,M99=phu!$I$50,M99=phu!$I$51,M99=phu!$I$52,M99=phu!$I$53),"Cam Linh",""),IF(OR(M99=phu!$I$54,M99=phu!$I$55,M99=phu!$I$56,M99=phu!$I$57,M99=phu!$I$58,M99=phu!$I$59,M99=phu!$I$60,M99=phu!$I$61,M99=phu!$I$62),"Cam Lợi",""),IF(OR(M99=phu!$I$63,M99=phu!$I$64,M99=phu!$I$65,M99=phu!$I$66,M99=phu!$I$67,M99=phu!$I$68,M99=phu!$I$69,M99=phu!$I$70,M99=phu!$I$71),"Ba Ngòi",""),IF(OR(M99=phu!$I$72,M99=phu!$I$73,M99=phu!$I$74,M99=phu!$I$75,M99=phu!$I$76,M99=phu!$I$77,M99=phu!$I$78),"Cam Phước Đông",""),IF(OR(M99=phu!$I$79,M99=phu!$I$80,M99=phu!$I$81,M99=phu!$I$82,M99=phu!$I$83,M99=phu!$I$84),"Cam Thịnh Đông",""),IF(OR(M99=phu!$I$85,M99=phu!$I$86,M99=phu!$I$87,M99=phu!$I$88),"Cam Thịnh Tây",""),IF(OR(M99=phu!$I$89,M99=phu!$I$90),"Cam Lập",""),IF(OR(M99=phu!$I$91,M99=phu!$I$92,M99=phu!$I$93),"Cam Bình",""),IF(OR(M99=phu!$I$94,M99=phu!$I$95,M99=phu!$I$96,M99=phu!$I$97,M99=phu!$I$98,M99=phu!$I$99,M99=phu!$I$100),"Huyện khác",""),IF(OR(M99=phu!$I$101,M99=phu!$I$102),"Tỉnh khác",""))</f>
        <v/>
      </c>
      <c r="O99" s="815" t="str">
        <f t="shared" si="7"/>
        <v/>
      </c>
      <c r="P99" s="256"/>
      <c r="Q99" s="256"/>
      <c r="R99" s="256"/>
      <c r="S99" s="254"/>
      <c r="T99" s="254"/>
      <c r="U99" s="254"/>
      <c r="V99" s="254"/>
      <c r="W99" s="254"/>
      <c r="Y99" s="246" t="str">
        <f t="shared" si="8"/>
        <v/>
      </c>
      <c r="Z99" s="247" t="str">
        <f t="shared" si="6"/>
        <v/>
      </c>
      <c r="AA99" s="246" t="str">
        <f t="shared" si="9"/>
        <v/>
      </c>
    </row>
    <row r="100" spans="1:27" ht="18" customHeight="1" x14ac:dyDescent="0.25">
      <c r="A100" s="248" t="str">
        <f t="shared" si="10"/>
        <v/>
      </c>
      <c r="B100" s="249" t="str">
        <f t="shared" si="11"/>
        <v/>
      </c>
      <c r="C100" s="250"/>
      <c r="D100" s="251"/>
      <c r="E100" s="241"/>
      <c r="F100" s="252"/>
      <c r="G100" s="252"/>
      <c r="H100" s="253"/>
      <c r="I100" s="250"/>
      <c r="J100" s="250"/>
      <c r="K100" s="270"/>
      <c r="L100" s="250"/>
      <c r="M100" s="250"/>
      <c r="N100" s="553" t="str">
        <f>CONCATENATE(IF(OR(M100=phu!$I$1,M100=phu!$I$2,M100=phu!$I$3),"Cam Thành Nam",""),IF(OR(M100=phu!$I$4,M100=phu!$I$5,M100=phu!$I$6,M100=phu!$I$7,M100=phu!$I$8,M100=phu!$I$9,M100=phu!$I$10,M100=phu!$I$11,M100=phu!$I$12,M100=phu!$I$13,M100=phu!$I$14),"Cam Nghĩa",""),IF(OR(M100=phu!$I$15,M100=phu!$I$16,M100=phu!$I$17,M100=phu!$I$18,M100=phu!$I$19,M100=phu!$I$20,M100=phu!$I$21),"Cam Phúc Bắc",""),IF(OR(M100=phu!$I$22,M100=phu!$I$23,M100=phu!$I$24,M100=phu!$I$25),"Cam Phúc Nam",""),IF(OR(M100=phu!$I$26,M100=phu!$I$27,M100=phu!$I$28,M100=phu!$I$29,M100=phu!$I$30,M100=phu!$I$31),"Cam Phú",""),IF(OR(M100=phu!$I$32,M100=phu!$I$33,M100=phu!$I$34,M100=phu!$I$35,M100=phu!$I$36,M100=phu!$I$37),"Cam Lộc",""),IF(OR(M100=phu!$I$38,M100=phu!$I$39,M100=phu!$I$40,M100=phu!$I$41,M100=phu!$I$42,M100=phu!$I$43,M100=phu!$I$44),"Cam Thuận",""),IF(OR(M100=phu!$I$45,M100=phu!$I$46,M100=phu!$I$47,M100=phu!$I$48,M100=phu!$I$49,M100=phu!$I$50,M100=phu!$I$51,M100=phu!$I$52,M100=phu!$I$53),"Cam Linh",""),IF(OR(M100=phu!$I$54,M100=phu!$I$55,M100=phu!$I$56,M100=phu!$I$57,M100=phu!$I$58,M100=phu!$I$59,M100=phu!$I$60,M100=phu!$I$61,M100=phu!$I$62),"Cam Lợi",""),IF(OR(M100=phu!$I$63,M100=phu!$I$64,M100=phu!$I$65,M100=phu!$I$66,M100=phu!$I$67,M100=phu!$I$68,M100=phu!$I$69,M100=phu!$I$70,M100=phu!$I$71),"Ba Ngòi",""),IF(OR(M100=phu!$I$72,M100=phu!$I$73,M100=phu!$I$74,M100=phu!$I$75,M100=phu!$I$76,M100=phu!$I$77,M100=phu!$I$78),"Cam Phước Đông",""),IF(OR(M100=phu!$I$79,M100=phu!$I$80,M100=phu!$I$81,M100=phu!$I$82,M100=phu!$I$83,M100=phu!$I$84),"Cam Thịnh Đông",""),IF(OR(M100=phu!$I$85,M100=phu!$I$86,M100=phu!$I$87,M100=phu!$I$88),"Cam Thịnh Tây",""),IF(OR(M100=phu!$I$89,M100=phu!$I$90),"Cam Lập",""),IF(OR(M100=phu!$I$91,M100=phu!$I$92,M100=phu!$I$93),"Cam Bình",""),IF(OR(M100=phu!$I$94,M100=phu!$I$95,M100=phu!$I$96,M100=phu!$I$97,M100=phu!$I$98,M100=phu!$I$99,M100=phu!$I$100),"Huyện khác",""),IF(OR(M100=phu!$I$101,M100=phu!$I$102),"Tỉnh khác",""))</f>
        <v/>
      </c>
      <c r="O100" s="815" t="str">
        <f t="shared" si="7"/>
        <v/>
      </c>
      <c r="P100" s="256"/>
      <c r="Q100" s="256"/>
      <c r="R100" s="256"/>
      <c r="S100" s="254"/>
      <c r="T100" s="254"/>
      <c r="U100" s="254"/>
      <c r="V100" s="254"/>
      <c r="W100" s="254"/>
      <c r="Y100" s="246" t="str">
        <f t="shared" si="8"/>
        <v/>
      </c>
      <c r="Z100" s="247" t="str">
        <f t="shared" si="6"/>
        <v/>
      </c>
      <c r="AA100" s="246" t="str">
        <f t="shared" si="9"/>
        <v/>
      </c>
    </row>
    <row r="101" spans="1:27" ht="18" customHeight="1" x14ac:dyDescent="0.25">
      <c r="A101" s="248" t="str">
        <f t="shared" si="10"/>
        <v/>
      </c>
      <c r="B101" s="249" t="str">
        <f t="shared" si="11"/>
        <v/>
      </c>
      <c r="C101" s="250"/>
      <c r="D101" s="251"/>
      <c r="E101" s="241"/>
      <c r="F101" s="252"/>
      <c r="G101" s="252"/>
      <c r="H101" s="253"/>
      <c r="I101" s="250"/>
      <c r="J101" s="250"/>
      <c r="K101" s="270"/>
      <c r="L101" s="250"/>
      <c r="M101" s="250"/>
      <c r="N101" s="553" t="str">
        <f>CONCATENATE(IF(OR(M101=phu!$I$1,M101=phu!$I$2,M101=phu!$I$3),"Cam Thành Nam",""),IF(OR(M101=phu!$I$4,M101=phu!$I$5,M101=phu!$I$6,M101=phu!$I$7,M101=phu!$I$8,M101=phu!$I$9,M101=phu!$I$10,M101=phu!$I$11,M101=phu!$I$12,M101=phu!$I$13,M101=phu!$I$14),"Cam Nghĩa",""),IF(OR(M101=phu!$I$15,M101=phu!$I$16,M101=phu!$I$17,M101=phu!$I$18,M101=phu!$I$19,M101=phu!$I$20,M101=phu!$I$21),"Cam Phúc Bắc",""),IF(OR(M101=phu!$I$22,M101=phu!$I$23,M101=phu!$I$24,M101=phu!$I$25),"Cam Phúc Nam",""),IF(OR(M101=phu!$I$26,M101=phu!$I$27,M101=phu!$I$28,M101=phu!$I$29,M101=phu!$I$30,M101=phu!$I$31),"Cam Phú",""),IF(OR(M101=phu!$I$32,M101=phu!$I$33,M101=phu!$I$34,M101=phu!$I$35,M101=phu!$I$36,M101=phu!$I$37),"Cam Lộc",""),IF(OR(M101=phu!$I$38,M101=phu!$I$39,M101=phu!$I$40,M101=phu!$I$41,M101=phu!$I$42,M101=phu!$I$43,M101=phu!$I$44),"Cam Thuận",""),IF(OR(M101=phu!$I$45,M101=phu!$I$46,M101=phu!$I$47,M101=phu!$I$48,M101=phu!$I$49,M101=phu!$I$50,M101=phu!$I$51,M101=phu!$I$52,M101=phu!$I$53),"Cam Linh",""),IF(OR(M101=phu!$I$54,M101=phu!$I$55,M101=phu!$I$56,M101=phu!$I$57,M101=phu!$I$58,M101=phu!$I$59,M101=phu!$I$60,M101=phu!$I$61,M101=phu!$I$62),"Cam Lợi",""),IF(OR(M101=phu!$I$63,M101=phu!$I$64,M101=phu!$I$65,M101=phu!$I$66,M101=phu!$I$67,M101=phu!$I$68,M101=phu!$I$69,M101=phu!$I$70,M101=phu!$I$71),"Ba Ngòi",""),IF(OR(M101=phu!$I$72,M101=phu!$I$73,M101=phu!$I$74,M101=phu!$I$75,M101=phu!$I$76,M101=phu!$I$77,M101=phu!$I$78),"Cam Phước Đông",""),IF(OR(M101=phu!$I$79,M101=phu!$I$80,M101=phu!$I$81,M101=phu!$I$82,M101=phu!$I$83,M101=phu!$I$84),"Cam Thịnh Đông",""),IF(OR(M101=phu!$I$85,M101=phu!$I$86,M101=phu!$I$87,M101=phu!$I$88),"Cam Thịnh Tây",""),IF(OR(M101=phu!$I$89,M101=phu!$I$90),"Cam Lập",""),IF(OR(M101=phu!$I$91,M101=phu!$I$92,M101=phu!$I$93),"Cam Bình",""),IF(OR(M101=phu!$I$94,M101=phu!$I$95,M101=phu!$I$96,M101=phu!$I$97,M101=phu!$I$98,M101=phu!$I$99,M101=phu!$I$100),"Huyện khác",""),IF(OR(M101=phu!$I$101,M101=phu!$I$102),"Tỉnh khác",""))</f>
        <v/>
      </c>
      <c r="O101" s="815" t="str">
        <f t="shared" si="7"/>
        <v/>
      </c>
      <c r="P101" s="256"/>
      <c r="Q101" s="256"/>
      <c r="R101" s="256"/>
      <c r="S101" s="254"/>
      <c r="T101" s="254"/>
      <c r="U101" s="254"/>
      <c r="V101" s="254"/>
      <c r="W101" s="254"/>
      <c r="Y101" s="246" t="str">
        <f t="shared" si="8"/>
        <v/>
      </c>
      <c r="Z101" s="247" t="str">
        <f t="shared" si="6"/>
        <v/>
      </c>
      <c r="AA101" s="246" t="str">
        <f t="shared" si="9"/>
        <v/>
      </c>
    </row>
    <row r="102" spans="1:27" ht="18" customHeight="1" x14ac:dyDescent="0.25">
      <c r="A102" s="248" t="str">
        <f t="shared" si="10"/>
        <v/>
      </c>
      <c r="B102" s="249" t="str">
        <f t="shared" si="11"/>
        <v/>
      </c>
      <c r="C102" s="250"/>
      <c r="D102" s="251"/>
      <c r="E102" s="241"/>
      <c r="F102" s="252"/>
      <c r="G102" s="252"/>
      <c r="H102" s="253"/>
      <c r="I102" s="250"/>
      <c r="J102" s="250"/>
      <c r="K102" s="270"/>
      <c r="L102" s="250"/>
      <c r="M102" s="250"/>
      <c r="N102" s="553" t="str">
        <f>CONCATENATE(IF(OR(M102=phu!$I$1,M102=phu!$I$2,M102=phu!$I$3),"Cam Thành Nam",""),IF(OR(M102=phu!$I$4,M102=phu!$I$5,M102=phu!$I$6,M102=phu!$I$7,M102=phu!$I$8,M102=phu!$I$9,M102=phu!$I$10,M102=phu!$I$11,M102=phu!$I$12,M102=phu!$I$13,M102=phu!$I$14),"Cam Nghĩa",""),IF(OR(M102=phu!$I$15,M102=phu!$I$16,M102=phu!$I$17,M102=phu!$I$18,M102=phu!$I$19,M102=phu!$I$20,M102=phu!$I$21),"Cam Phúc Bắc",""),IF(OR(M102=phu!$I$22,M102=phu!$I$23,M102=phu!$I$24,M102=phu!$I$25),"Cam Phúc Nam",""),IF(OR(M102=phu!$I$26,M102=phu!$I$27,M102=phu!$I$28,M102=phu!$I$29,M102=phu!$I$30,M102=phu!$I$31),"Cam Phú",""),IF(OR(M102=phu!$I$32,M102=phu!$I$33,M102=phu!$I$34,M102=phu!$I$35,M102=phu!$I$36,M102=phu!$I$37),"Cam Lộc",""),IF(OR(M102=phu!$I$38,M102=phu!$I$39,M102=phu!$I$40,M102=phu!$I$41,M102=phu!$I$42,M102=phu!$I$43,M102=phu!$I$44),"Cam Thuận",""),IF(OR(M102=phu!$I$45,M102=phu!$I$46,M102=phu!$I$47,M102=phu!$I$48,M102=phu!$I$49,M102=phu!$I$50,M102=phu!$I$51,M102=phu!$I$52,M102=phu!$I$53),"Cam Linh",""),IF(OR(M102=phu!$I$54,M102=phu!$I$55,M102=phu!$I$56,M102=phu!$I$57,M102=phu!$I$58,M102=phu!$I$59,M102=phu!$I$60,M102=phu!$I$61,M102=phu!$I$62),"Cam Lợi",""),IF(OR(M102=phu!$I$63,M102=phu!$I$64,M102=phu!$I$65,M102=phu!$I$66,M102=phu!$I$67,M102=phu!$I$68,M102=phu!$I$69,M102=phu!$I$70,M102=phu!$I$71),"Ba Ngòi",""),IF(OR(M102=phu!$I$72,M102=phu!$I$73,M102=phu!$I$74,M102=phu!$I$75,M102=phu!$I$76,M102=phu!$I$77,M102=phu!$I$78),"Cam Phước Đông",""),IF(OR(M102=phu!$I$79,M102=phu!$I$80,M102=phu!$I$81,M102=phu!$I$82,M102=phu!$I$83,M102=phu!$I$84),"Cam Thịnh Đông",""),IF(OR(M102=phu!$I$85,M102=phu!$I$86,M102=phu!$I$87,M102=phu!$I$88),"Cam Thịnh Tây",""),IF(OR(M102=phu!$I$89,M102=phu!$I$90),"Cam Lập",""),IF(OR(M102=phu!$I$91,M102=phu!$I$92,M102=phu!$I$93),"Cam Bình",""),IF(OR(M102=phu!$I$94,M102=phu!$I$95,M102=phu!$I$96,M102=phu!$I$97,M102=phu!$I$98,M102=phu!$I$99,M102=phu!$I$100),"Huyện khác",""),IF(OR(M102=phu!$I$101,M102=phu!$I$102),"Tỉnh khác",""))</f>
        <v/>
      </c>
      <c r="O102" s="815" t="str">
        <f t="shared" si="7"/>
        <v/>
      </c>
      <c r="P102" s="256"/>
      <c r="Q102" s="256"/>
      <c r="R102" s="256"/>
      <c r="S102" s="254"/>
      <c r="T102" s="254"/>
      <c r="U102" s="254"/>
      <c r="V102" s="254"/>
      <c r="W102" s="254"/>
      <c r="Y102" s="246" t="str">
        <f t="shared" si="8"/>
        <v/>
      </c>
      <c r="Z102" s="247" t="str">
        <f t="shared" si="6"/>
        <v/>
      </c>
      <c r="AA102" s="246" t="str">
        <f t="shared" si="9"/>
        <v/>
      </c>
    </row>
    <row r="103" spans="1:27" ht="18" customHeight="1" x14ac:dyDescent="0.25">
      <c r="A103" s="248" t="str">
        <f t="shared" si="10"/>
        <v/>
      </c>
      <c r="B103" s="249" t="str">
        <f t="shared" si="11"/>
        <v/>
      </c>
      <c r="C103" s="250"/>
      <c r="D103" s="251"/>
      <c r="E103" s="241"/>
      <c r="F103" s="252"/>
      <c r="G103" s="252"/>
      <c r="H103" s="253"/>
      <c r="I103" s="250"/>
      <c r="J103" s="250"/>
      <c r="K103" s="270"/>
      <c r="L103" s="250"/>
      <c r="M103" s="250"/>
      <c r="N103" s="553" t="str">
        <f>CONCATENATE(IF(OR(M103=phu!$I$1,M103=phu!$I$2,M103=phu!$I$3),"Cam Thành Nam",""),IF(OR(M103=phu!$I$4,M103=phu!$I$5,M103=phu!$I$6,M103=phu!$I$7,M103=phu!$I$8,M103=phu!$I$9,M103=phu!$I$10,M103=phu!$I$11,M103=phu!$I$12,M103=phu!$I$13,M103=phu!$I$14),"Cam Nghĩa",""),IF(OR(M103=phu!$I$15,M103=phu!$I$16,M103=phu!$I$17,M103=phu!$I$18,M103=phu!$I$19,M103=phu!$I$20,M103=phu!$I$21),"Cam Phúc Bắc",""),IF(OR(M103=phu!$I$22,M103=phu!$I$23,M103=phu!$I$24,M103=phu!$I$25),"Cam Phúc Nam",""),IF(OR(M103=phu!$I$26,M103=phu!$I$27,M103=phu!$I$28,M103=phu!$I$29,M103=phu!$I$30,M103=phu!$I$31),"Cam Phú",""),IF(OR(M103=phu!$I$32,M103=phu!$I$33,M103=phu!$I$34,M103=phu!$I$35,M103=phu!$I$36,M103=phu!$I$37),"Cam Lộc",""),IF(OR(M103=phu!$I$38,M103=phu!$I$39,M103=phu!$I$40,M103=phu!$I$41,M103=phu!$I$42,M103=phu!$I$43,M103=phu!$I$44),"Cam Thuận",""),IF(OR(M103=phu!$I$45,M103=phu!$I$46,M103=phu!$I$47,M103=phu!$I$48,M103=phu!$I$49,M103=phu!$I$50,M103=phu!$I$51,M103=phu!$I$52,M103=phu!$I$53),"Cam Linh",""),IF(OR(M103=phu!$I$54,M103=phu!$I$55,M103=phu!$I$56,M103=phu!$I$57,M103=phu!$I$58,M103=phu!$I$59,M103=phu!$I$60,M103=phu!$I$61,M103=phu!$I$62),"Cam Lợi",""),IF(OR(M103=phu!$I$63,M103=phu!$I$64,M103=phu!$I$65,M103=phu!$I$66,M103=phu!$I$67,M103=phu!$I$68,M103=phu!$I$69,M103=phu!$I$70,M103=phu!$I$71),"Ba Ngòi",""),IF(OR(M103=phu!$I$72,M103=phu!$I$73,M103=phu!$I$74,M103=phu!$I$75,M103=phu!$I$76,M103=phu!$I$77,M103=phu!$I$78),"Cam Phước Đông",""),IF(OR(M103=phu!$I$79,M103=phu!$I$80,M103=phu!$I$81,M103=phu!$I$82,M103=phu!$I$83,M103=phu!$I$84),"Cam Thịnh Đông",""),IF(OR(M103=phu!$I$85,M103=phu!$I$86,M103=phu!$I$87,M103=phu!$I$88),"Cam Thịnh Tây",""),IF(OR(M103=phu!$I$89,M103=phu!$I$90),"Cam Lập",""),IF(OR(M103=phu!$I$91,M103=phu!$I$92,M103=phu!$I$93),"Cam Bình",""),IF(OR(M103=phu!$I$94,M103=phu!$I$95,M103=phu!$I$96,M103=phu!$I$97,M103=phu!$I$98,M103=phu!$I$99,M103=phu!$I$100),"Huyện khác",""),IF(OR(M103=phu!$I$101,M103=phu!$I$102),"Tỉnh khác",""))</f>
        <v/>
      </c>
      <c r="O103" s="814" t="str">
        <f t="shared" si="7"/>
        <v/>
      </c>
      <c r="P103" s="254"/>
      <c r="Q103" s="254"/>
      <c r="R103" s="254"/>
      <c r="S103" s="254"/>
      <c r="T103" s="254"/>
      <c r="U103" s="254"/>
      <c r="V103" s="254"/>
      <c r="W103" s="254"/>
      <c r="Y103" s="246" t="str">
        <f t="shared" si="8"/>
        <v/>
      </c>
      <c r="Z103" s="247" t="str">
        <f t="shared" si="6"/>
        <v/>
      </c>
      <c r="AA103" s="246" t="str">
        <f t="shared" si="9"/>
        <v/>
      </c>
    </row>
    <row r="104" spans="1:27" ht="18" customHeight="1" x14ac:dyDescent="0.25">
      <c r="A104" s="248" t="str">
        <f t="shared" si="10"/>
        <v/>
      </c>
      <c r="B104" s="249" t="str">
        <f t="shared" si="11"/>
        <v/>
      </c>
      <c r="C104" s="250"/>
      <c r="D104" s="251"/>
      <c r="E104" s="241"/>
      <c r="F104" s="252"/>
      <c r="G104" s="252"/>
      <c r="H104" s="253"/>
      <c r="I104" s="250"/>
      <c r="J104" s="250"/>
      <c r="K104" s="270"/>
      <c r="L104" s="250"/>
      <c r="M104" s="250"/>
      <c r="N104" s="553" t="str">
        <f>CONCATENATE(IF(OR(M104=phu!$I$1,M104=phu!$I$2,M104=phu!$I$3),"Cam Thành Nam",""),IF(OR(M104=phu!$I$4,M104=phu!$I$5,M104=phu!$I$6,M104=phu!$I$7,M104=phu!$I$8,M104=phu!$I$9,M104=phu!$I$10,M104=phu!$I$11,M104=phu!$I$12,M104=phu!$I$13,M104=phu!$I$14),"Cam Nghĩa",""),IF(OR(M104=phu!$I$15,M104=phu!$I$16,M104=phu!$I$17,M104=phu!$I$18,M104=phu!$I$19,M104=phu!$I$20,M104=phu!$I$21),"Cam Phúc Bắc",""),IF(OR(M104=phu!$I$22,M104=phu!$I$23,M104=phu!$I$24,M104=phu!$I$25),"Cam Phúc Nam",""),IF(OR(M104=phu!$I$26,M104=phu!$I$27,M104=phu!$I$28,M104=phu!$I$29,M104=phu!$I$30,M104=phu!$I$31),"Cam Phú",""),IF(OR(M104=phu!$I$32,M104=phu!$I$33,M104=phu!$I$34,M104=phu!$I$35,M104=phu!$I$36,M104=phu!$I$37),"Cam Lộc",""),IF(OR(M104=phu!$I$38,M104=phu!$I$39,M104=phu!$I$40,M104=phu!$I$41,M104=phu!$I$42,M104=phu!$I$43,M104=phu!$I$44),"Cam Thuận",""),IF(OR(M104=phu!$I$45,M104=phu!$I$46,M104=phu!$I$47,M104=phu!$I$48,M104=phu!$I$49,M104=phu!$I$50,M104=phu!$I$51,M104=phu!$I$52,M104=phu!$I$53),"Cam Linh",""),IF(OR(M104=phu!$I$54,M104=phu!$I$55,M104=phu!$I$56,M104=phu!$I$57,M104=phu!$I$58,M104=phu!$I$59,M104=phu!$I$60,M104=phu!$I$61,M104=phu!$I$62),"Cam Lợi",""),IF(OR(M104=phu!$I$63,M104=phu!$I$64,M104=phu!$I$65,M104=phu!$I$66,M104=phu!$I$67,M104=phu!$I$68,M104=phu!$I$69,M104=phu!$I$70,M104=phu!$I$71),"Ba Ngòi",""),IF(OR(M104=phu!$I$72,M104=phu!$I$73,M104=phu!$I$74,M104=phu!$I$75,M104=phu!$I$76,M104=phu!$I$77,M104=phu!$I$78),"Cam Phước Đông",""),IF(OR(M104=phu!$I$79,M104=phu!$I$80,M104=phu!$I$81,M104=phu!$I$82,M104=phu!$I$83,M104=phu!$I$84),"Cam Thịnh Đông",""),IF(OR(M104=phu!$I$85,M104=phu!$I$86,M104=phu!$I$87,M104=phu!$I$88),"Cam Thịnh Tây",""),IF(OR(M104=phu!$I$89,M104=phu!$I$90),"Cam Lập",""),IF(OR(M104=phu!$I$91,M104=phu!$I$92,M104=phu!$I$93),"Cam Bình",""),IF(OR(M104=phu!$I$94,M104=phu!$I$95,M104=phu!$I$96,M104=phu!$I$97,M104=phu!$I$98,M104=phu!$I$99,M104=phu!$I$100),"Huyện khác",""),IF(OR(M104=phu!$I$101,M104=phu!$I$102),"Tỉnh khác",""))</f>
        <v/>
      </c>
      <c r="O104" s="814" t="str">
        <f t="shared" si="7"/>
        <v/>
      </c>
      <c r="P104" s="254"/>
      <c r="Q104" s="254"/>
      <c r="R104" s="254"/>
      <c r="S104" s="254"/>
      <c r="T104" s="254"/>
      <c r="U104" s="254"/>
      <c r="V104" s="254"/>
      <c r="W104" s="254"/>
      <c r="Y104" s="246" t="str">
        <f t="shared" si="8"/>
        <v/>
      </c>
      <c r="Z104" s="247" t="str">
        <f t="shared" si="6"/>
        <v/>
      </c>
      <c r="AA104" s="246" t="str">
        <f t="shared" si="9"/>
        <v/>
      </c>
    </row>
    <row r="105" spans="1:27" ht="18" customHeight="1" x14ac:dyDescent="0.25">
      <c r="A105" s="248" t="str">
        <f t="shared" si="10"/>
        <v/>
      </c>
      <c r="B105" s="249" t="str">
        <f t="shared" si="11"/>
        <v/>
      </c>
      <c r="C105" s="250"/>
      <c r="D105" s="251"/>
      <c r="E105" s="241"/>
      <c r="F105" s="252"/>
      <c r="G105" s="252"/>
      <c r="H105" s="253"/>
      <c r="I105" s="250"/>
      <c r="J105" s="250"/>
      <c r="K105" s="270"/>
      <c r="L105" s="250"/>
      <c r="M105" s="250"/>
      <c r="N105" s="553" t="str">
        <f>CONCATENATE(IF(OR(M105=phu!$I$1,M105=phu!$I$2,M105=phu!$I$3),"Cam Thành Nam",""),IF(OR(M105=phu!$I$4,M105=phu!$I$5,M105=phu!$I$6,M105=phu!$I$7,M105=phu!$I$8,M105=phu!$I$9,M105=phu!$I$10,M105=phu!$I$11,M105=phu!$I$12,M105=phu!$I$13,M105=phu!$I$14),"Cam Nghĩa",""),IF(OR(M105=phu!$I$15,M105=phu!$I$16,M105=phu!$I$17,M105=phu!$I$18,M105=phu!$I$19,M105=phu!$I$20,M105=phu!$I$21),"Cam Phúc Bắc",""),IF(OR(M105=phu!$I$22,M105=phu!$I$23,M105=phu!$I$24,M105=phu!$I$25),"Cam Phúc Nam",""),IF(OR(M105=phu!$I$26,M105=phu!$I$27,M105=phu!$I$28,M105=phu!$I$29,M105=phu!$I$30,M105=phu!$I$31),"Cam Phú",""),IF(OR(M105=phu!$I$32,M105=phu!$I$33,M105=phu!$I$34,M105=phu!$I$35,M105=phu!$I$36,M105=phu!$I$37),"Cam Lộc",""),IF(OR(M105=phu!$I$38,M105=phu!$I$39,M105=phu!$I$40,M105=phu!$I$41,M105=phu!$I$42,M105=phu!$I$43,M105=phu!$I$44),"Cam Thuận",""),IF(OR(M105=phu!$I$45,M105=phu!$I$46,M105=phu!$I$47,M105=phu!$I$48,M105=phu!$I$49,M105=phu!$I$50,M105=phu!$I$51,M105=phu!$I$52,M105=phu!$I$53),"Cam Linh",""),IF(OR(M105=phu!$I$54,M105=phu!$I$55,M105=phu!$I$56,M105=phu!$I$57,M105=phu!$I$58,M105=phu!$I$59,M105=phu!$I$60,M105=phu!$I$61,M105=phu!$I$62),"Cam Lợi",""),IF(OR(M105=phu!$I$63,M105=phu!$I$64,M105=phu!$I$65,M105=phu!$I$66,M105=phu!$I$67,M105=phu!$I$68,M105=phu!$I$69,M105=phu!$I$70,M105=phu!$I$71),"Ba Ngòi",""),IF(OR(M105=phu!$I$72,M105=phu!$I$73,M105=phu!$I$74,M105=phu!$I$75,M105=phu!$I$76,M105=phu!$I$77,M105=phu!$I$78),"Cam Phước Đông",""),IF(OR(M105=phu!$I$79,M105=phu!$I$80,M105=phu!$I$81,M105=phu!$I$82,M105=phu!$I$83,M105=phu!$I$84),"Cam Thịnh Đông",""),IF(OR(M105=phu!$I$85,M105=phu!$I$86,M105=phu!$I$87,M105=phu!$I$88),"Cam Thịnh Tây",""),IF(OR(M105=phu!$I$89,M105=phu!$I$90),"Cam Lập",""),IF(OR(M105=phu!$I$91,M105=phu!$I$92,M105=phu!$I$93),"Cam Bình",""),IF(OR(M105=phu!$I$94,M105=phu!$I$95,M105=phu!$I$96,M105=phu!$I$97,M105=phu!$I$98,M105=phu!$I$99,M105=phu!$I$100),"Huyện khác",""),IF(OR(M105=phu!$I$101,M105=phu!$I$102),"Tỉnh khác",""))</f>
        <v/>
      </c>
      <c r="O105" s="814" t="str">
        <f t="shared" si="7"/>
        <v/>
      </c>
      <c r="P105" s="254"/>
      <c r="Q105" s="254"/>
      <c r="R105" s="254"/>
      <c r="S105" s="254"/>
      <c r="T105" s="254"/>
      <c r="U105" s="254"/>
      <c r="V105" s="254"/>
      <c r="W105" s="254"/>
      <c r="Y105" s="246" t="str">
        <f t="shared" si="8"/>
        <v/>
      </c>
      <c r="Z105" s="247" t="str">
        <f t="shared" si="6"/>
        <v/>
      </c>
      <c r="AA105" s="246" t="str">
        <f t="shared" si="9"/>
        <v/>
      </c>
    </row>
    <row r="106" spans="1:27" ht="18" customHeight="1" x14ac:dyDescent="0.25">
      <c r="A106" s="248" t="str">
        <f t="shared" si="10"/>
        <v/>
      </c>
      <c r="B106" s="249" t="str">
        <f t="shared" si="11"/>
        <v/>
      </c>
      <c r="C106" s="250"/>
      <c r="D106" s="251"/>
      <c r="E106" s="241"/>
      <c r="F106" s="252"/>
      <c r="G106" s="252"/>
      <c r="H106" s="253"/>
      <c r="I106" s="250"/>
      <c r="J106" s="250"/>
      <c r="K106" s="270"/>
      <c r="L106" s="250"/>
      <c r="M106" s="250"/>
      <c r="N106" s="553" t="str">
        <f>CONCATENATE(IF(OR(M106=phu!$I$1,M106=phu!$I$2,M106=phu!$I$3),"Cam Thành Nam",""),IF(OR(M106=phu!$I$4,M106=phu!$I$5,M106=phu!$I$6,M106=phu!$I$7,M106=phu!$I$8,M106=phu!$I$9,M106=phu!$I$10,M106=phu!$I$11,M106=phu!$I$12,M106=phu!$I$13,M106=phu!$I$14),"Cam Nghĩa",""),IF(OR(M106=phu!$I$15,M106=phu!$I$16,M106=phu!$I$17,M106=phu!$I$18,M106=phu!$I$19,M106=phu!$I$20,M106=phu!$I$21),"Cam Phúc Bắc",""),IF(OR(M106=phu!$I$22,M106=phu!$I$23,M106=phu!$I$24,M106=phu!$I$25),"Cam Phúc Nam",""),IF(OR(M106=phu!$I$26,M106=phu!$I$27,M106=phu!$I$28,M106=phu!$I$29,M106=phu!$I$30,M106=phu!$I$31),"Cam Phú",""),IF(OR(M106=phu!$I$32,M106=phu!$I$33,M106=phu!$I$34,M106=phu!$I$35,M106=phu!$I$36,M106=phu!$I$37),"Cam Lộc",""),IF(OR(M106=phu!$I$38,M106=phu!$I$39,M106=phu!$I$40,M106=phu!$I$41,M106=phu!$I$42,M106=phu!$I$43,M106=phu!$I$44),"Cam Thuận",""),IF(OR(M106=phu!$I$45,M106=phu!$I$46,M106=phu!$I$47,M106=phu!$I$48,M106=phu!$I$49,M106=phu!$I$50,M106=phu!$I$51,M106=phu!$I$52,M106=phu!$I$53),"Cam Linh",""),IF(OR(M106=phu!$I$54,M106=phu!$I$55,M106=phu!$I$56,M106=phu!$I$57,M106=phu!$I$58,M106=phu!$I$59,M106=phu!$I$60,M106=phu!$I$61,M106=phu!$I$62),"Cam Lợi",""),IF(OR(M106=phu!$I$63,M106=phu!$I$64,M106=phu!$I$65,M106=phu!$I$66,M106=phu!$I$67,M106=phu!$I$68,M106=phu!$I$69,M106=phu!$I$70,M106=phu!$I$71),"Ba Ngòi",""),IF(OR(M106=phu!$I$72,M106=phu!$I$73,M106=phu!$I$74,M106=phu!$I$75,M106=phu!$I$76,M106=phu!$I$77,M106=phu!$I$78),"Cam Phước Đông",""),IF(OR(M106=phu!$I$79,M106=phu!$I$80,M106=phu!$I$81,M106=phu!$I$82,M106=phu!$I$83,M106=phu!$I$84),"Cam Thịnh Đông",""),IF(OR(M106=phu!$I$85,M106=phu!$I$86,M106=phu!$I$87,M106=phu!$I$88),"Cam Thịnh Tây",""),IF(OR(M106=phu!$I$89,M106=phu!$I$90),"Cam Lập",""),IF(OR(M106=phu!$I$91,M106=phu!$I$92,M106=phu!$I$93),"Cam Bình",""),IF(OR(M106=phu!$I$94,M106=phu!$I$95,M106=phu!$I$96,M106=phu!$I$97,M106=phu!$I$98,M106=phu!$I$99,M106=phu!$I$100),"Huyện khác",""),IF(OR(M106=phu!$I$101,M106=phu!$I$102),"Tỉnh khác",""))</f>
        <v/>
      </c>
      <c r="O106" s="814" t="str">
        <f t="shared" si="7"/>
        <v/>
      </c>
      <c r="P106" s="254"/>
      <c r="Q106" s="254"/>
      <c r="R106" s="254"/>
      <c r="S106" s="254"/>
      <c r="T106" s="254"/>
      <c r="U106" s="254"/>
      <c r="V106" s="254"/>
      <c r="W106" s="254"/>
      <c r="Y106" s="246" t="str">
        <f t="shared" si="8"/>
        <v/>
      </c>
      <c r="Z106" s="247" t="str">
        <f t="shared" si="6"/>
        <v/>
      </c>
      <c r="AA106" s="246" t="str">
        <f t="shared" si="9"/>
        <v/>
      </c>
    </row>
    <row r="107" spans="1:27" ht="18" customHeight="1" x14ac:dyDescent="0.25">
      <c r="A107" s="248" t="str">
        <f t="shared" si="10"/>
        <v/>
      </c>
      <c r="B107" s="249" t="str">
        <f t="shared" si="11"/>
        <v/>
      </c>
      <c r="C107" s="250"/>
      <c r="D107" s="251"/>
      <c r="E107" s="241"/>
      <c r="F107" s="252"/>
      <c r="G107" s="252"/>
      <c r="H107" s="253"/>
      <c r="I107" s="250"/>
      <c r="J107" s="250"/>
      <c r="K107" s="270"/>
      <c r="L107" s="250"/>
      <c r="M107" s="250"/>
      <c r="N107" s="553" t="str">
        <f>CONCATENATE(IF(OR(M107=phu!$I$1,M107=phu!$I$2,M107=phu!$I$3),"Cam Thành Nam",""),IF(OR(M107=phu!$I$4,M107=phu!$I$5,M107=phu!$I$6,M107=phu!$I$7,M107=phu!$I$8,M107=phu!$I$9,M107=phu!$I$10,M107=phu!$I$11,M107=phu!$I$12,M107=phu!$I$13,M107=phu!$I$14),"Cam Nghĩa",""),IF(OR(M107=phu!$I$15,M107=phu!$I$16,M107=phu!$I$17,M107=phu!$I$18,M107=phu!$I$19,M107=phu!$I$20,M107=phu!$I$21),"Cam Phúc Bắc",""),IF(OR(M107=phu!$I$22,M107=phu!$I$23,M107=phu!$I$24,M107=phu!$I$25),"Cam Phúc Nam",""),IF(OR(M107=phu!$I$26,M107=phu!$I$27,M107=phu!$I$28,M107=phu!$I$29,M107=phu!$I$30,M107=phu!$I$31),"Cam Phú",""),IF(OR(M107=phu!$I$32,M107=phu!$I$33,M107=phu!$I$34,M107=phu!$I$35,M107=phu!$I$36,M107=phu!$I$37),"Cam Lộc",""),IF(OR(M107=phu!$I$38,M107=phu!$I$39,M107=phu!$I$40,M107=phu!$I$41,M107=phu!$I$42,M107=phu!$I$43,M107=phu!$I$44),"Cam Thuận",""),IF(OR(M107=phu!$I$45,M107=phu!$I$46,M107=phu!$I$47,M107=phu!$I$48,M107=phu!$I$49,M107=phu!$I$50,M107=phu!$I$51,M107=phu!$I$52,M107=phu!$I$53),"Cam Linh",""),IF(OR(M107=phu!$I$54,M107=phu!$I$55,M107=phu!$I$56,M107=phu!$I$57,M107=phu!$I$58,M107=phu!$I$59,M107=phu!$I$60,M107=phu!$I$61,M107=phu!$I$62),"Cam Lợi",""),IF(OR(M107=phu!$I$63,M107=phu!$I$64,M107=phu!$I$65,M107=phu!$I$66,M107=phu!$I$67,M107=phu!$I$68,M107=phu!$I$69,M107=phu!$I$70,M107=phu!$I$71),"Ba Ngòi",""),IF(OR(M107=phu!$I$72,M107=phu!$I$73,M107=phu!$I$74,M107=phu!$I$75,M107=phu!$I$76,M107=phu!$I$77,M107=phu!$I$78),"Cam Phước Đông",""),IF(OR(M107=phu!$I$79,M107=phu!$I$80,M107=phu!$I$81,M107=phu!$I$82,M107=phu!$I$83,M107=phu!$I$84),"Cam Thịnh Đông",""),IF(OR(M107=phu!$I$85,M107=phu!$I$86,M107=phu!$I$87,M107=phu!$I$88),"Cam Thịnh Tây",""),IF(OR(M107=phu!$I$89,M107=phu!$I$90),"Cam Lập",""),IF(OR(M107=phu!$I$91,M107=phu!$I$92,M107=phu!$I$93),"Cam Bình",""),IF(OR(M107=phu!$I$94,M107=phu!$I$95,M107=phu!$I$96,M107=phu!$I$97,M107=phu!$I$98,M107=phu!$I$99,M107=phu!$I$100),"Huyện khác",""),IF(OR(M107=phu!$I$101,M107=phu!$I$102),"Tỉnh khác",""))</f>
        <v/>
      </c>
      <c r="O107" s="814" t="str">
        <f t="shared" si="7"/>
        <v/>
      </c>
      <c r="P107" s="254"/>
      <c r="Q107" s="254"/>
      <c r="R107" s="254"/>
      <c r="S107" s="254"/>
      <c r="T107" s="254"/>
      <c r="U107" s="254"/>
      <c r="V107" s="254"/>
      <c r="W107" s="254"/>
      <c r="Y107" s="246" t="str">
        <f t="shared" si="8"/>
        <v/>
      </c>
      <c r="Z107" s="247" t="str">
        <f t="shared" si="6"/>
        <v/>
      </c>
      <c r="AA107" s="246" t="str">
        <f t="shared" si="9"/>
        <v/>
      </c>
    </row>
    <row r="108" spans="1:27" ht="18" customHeight="1" x14ac:dyDescent="0.25">
      <c r="A108" s="248" t="str">
        <f t="shared" si="10"/>
        <v/>
      </c>
      <c r="B108" s="249" t="str">
        <f t="shared" si="11"/>
        <v/>
      </c>
      <c r="C108" s="250"/>
      <c r="D108" s="251"/>
      <c r="E108" s="241"/>
      <c r="F108" s="252"/>
      <c r="G108" s="252"/>
      <c r="H108" s="253"/>
      <c r="I108" s="250"/>
      <c r="J108" s="250"/>
      <c r="K108" s="270"/>
      <c r="L108" s="250"/>
      <c r="M108" s="250"/>
      <c r="N108" s="553" t="str">
        <f>CONCATENATE(IF(OR(M108=phu!$I$1,M108=phu!$I$2,M108=phu!$I$3),"Cam Thành Nam",""),IF(OR(M108=phu!$I$4,M108=phu!$I$5,M108=phu!$I$6,M108=phu!$I$7,M108=phu!$I$8,M108=phu!$I$9,M108=phu!$I$10,M108=phu!$I$11,M108=phu!$I$12,M108=phu!$I$13,M108=phu!$I$14),"Cam Nghĩa",""),IF(OR(M108=phu!$I$15,M108=phu!$I$16,M108=phu!$I$17,M108=phu!$I$18,M108=phu!$I$19,M108=phu!$I$20,M108=phu!$I$21),"Cam Phúc Bắc",""),IF(OR(M108=phu!$I$22,M108=phu!$I$23,M108=phu!$I$24,M108=phu!$I$25),"Cam Phúc Nam",""),IF(OR(M108=phu!$I$26,M108=phu!$I$27,M108=phu!$I$28,M108=phu!$I$29,M108=phu!$I$30,M108=phu!$I$31),"Cam Phú",""),IF(OR(M108=phu!$I$32,M108=phu!$I$33,M108=phu!$I$34,M108=phu!$I$35,M108=phu!$I$36,M108=phu!$I$37),"Cam Lộc",""),IF(OR(M108=phu!$I$38,M108=phu!$I$39,M108=phu!$I$40,M108=phu!$I$41,M108=phu!$I$42,M108=phu!$I$43,M108=phu!$I$44),"Cam Thuận",""),IF(OR(M108=phu!$I$45,M108=phu!$I$46,M108=phu!$I$47,M108=phu!$I$48,M108=phu!$I$49,M108=phu!$I$50,M108=phu!$I$51,M108=phu!$I$52,M108=phu!$I$53),"Cam Linh",""),IF(OR(M108=phu!$I$54,M108=phu!$I$55,M108=phu!$I$56,M108=phu!$I$57,M108=phu!$I$58,M108=phu!$I$59,M108=phu!$I$60,M108=phu!$I$61,M108=phu!$I$62),"Cam Lợi",""),IF(OR(M108=phu!$I$63,M108=phu!$I$64,M108=phu!$I$65,M108=phu!$I$66,M108=phu!$I$67,M108=phu!$I$68,M108=phu!$I$69,M108=phu!$I$70,M108=phu!$I$71),"Ba Ngòi",""),IF(OR(M108=phu!$I$72,M108=phu!$I$73,M108=phu!$I$74,M108=phu!$I$75,M108=phu!$I$76,M108=phu!$I$77,M108=phu!$I$78),"Cam Phước Đông",""),IF(OR(M108=phu!$I$79,M108=phu!$I$80,M108=phu!$I$81,M108=phu!$I$82,M108=phu!$I$83,M108=phu!$I$84),"Cam Thịnh Đông",""),IF(OR(M108=phu!$I$85,M108=phu!$I$86,M108=phu!$I$87,M108=phu!$I$88),"Cam Thịnh Tây",""),IF(OR(M108=phu!$I$89,M108=phu!$I$90),"Cam Lập",""),IF(OR(M108=phu!$I$91,M108=phu!$I$92,M108=phu!$I$93),"Cam Bình",""),IF(OR(M108=phu!$I$94,M108=phu!$I$95,M108=phu!$I$96,M108=phu!$I$97,M108=phu!$I$98,M108=phu!$I$99,M108=phu!$I$100),"Huyện khác",""),IF(OR(M108=phu!$I$101,M108=phu!$I$102),"Tỉnh khác",""))</f>
        <v/>
      </c>
      <c r="O108" s="814" t="str">
        <f t="shared" si="7"/>
        <v/>
      </c>
      <c r="P108" s="254"/>
      <c r="Q108" s="254"/>
      <c r="R108" s="254"/>
      <c r="S108" s="254"/>
      <c r="T108" s="254"/>
      <c r="U108" s="254"/>
      <c r="V108" s="254"/>
      <c r="W108" s="254"/>
      <c r="Y108" s="246" t="str">
        <f t="shared" si="8"/>
        <v/>
      </c>
      <c r="Z108" s="247" t="str">
        <f t="shared" si="6"/>
        <v/>
      </c>
      <c r="AA108" s="246" t="str">
        <f t="shared" si="9"/>
        <v/>
      </c>
    </row>
    <row r="109" spans="1:27" ht="18" customHeight="1" x14ac:dyDescent="0.25">
      <c r="A109" s="248" t="str">
        <f t="shared" si="10"/>
        <v/>
      </c>
      <c r="B109" s="249" t="str">
        <f t="shared" si="11"/>
        <v/>
      </c>
      <c r="C109" s="250"/>
      <c r="D109" s="251"/>
      <c r="E109" s="241"/>
      <c r="F109" s="252"/>
      <c r="G109" s="252"/>
      <c r="H109" s="253"/>
      <c r="I109" s="250"/>
      <c r="J109" s="250"/>
      <c r="K109" s="270"/>
      <c r="L109" s="250"/>
      <c r="M109" s="250"/>
      <c r="N109" s="553" t="str">
        <f>CONCATENATE(IF(OR(M109=phu!$I$1,M109=phu!$I$2,M109=phu!$I$3),"Cam Thành Nam",""),IF(OR(M109=phu!$I$4,M109=phu!$I$5,M109=phu!$I$6,M109=phu!$I$7,M109=phu!$I$8,M109=phu!$I$9,M109=phu!$I$10,M109=phu!$I$11,M109=phu!$I$12,M109=phu!$I$13,M109=phu!$I$14),"Cam Nghĩa",""),IF(OR(M109=phu!$I$15,M109=phu!$I$16,M109=phu!$I$17,M109=phu!$I$18,M109=phu!$I$19,M109=phu!$I$20,M109=phu!$I$21),"Cam Phúc Bắc",""),IF(OR(M109=phu!$I$22,M109=phu!$I$23,M109=phu!$I$24,M109=phu!$I$25),"Cam Phúc Nam",""),IF(OR(M109=phu!$I$26,M109=phu!$I$27,M109=phu!$I$28,M109=phu!$I$29,M109=phu!$I$30,M109=phu!$I$31),"Cam Phú",""),IF(OR(M109=phu!$I$32,M109=phu!$I$33,M109=phu!$I$34,M109=phu!$I$35,M109=phu!$I$36,M109=phu!$I$37),"Cam Lộc",""),IF(OR(M109=phu!$I$38,M109=phu!$I$39,M109=phu!$I$40,M109=phu!$I$41,M109=phu!$I$42,M109=phu!$I$43,M109=phu!$I$44),"Cam Thuận",""),IF(OR(M109=phu!$I$45,M109=phu!$I$46,M109=phu!$I$47,M109=phu!$I$48,M109=phu!$I$49,M109=phu!$I$50,M109=phu!$I$51,M109=phu!$I$52,M109=phu!$I$53),"Cam Linh",""),IF(OR(M109=phu!$I$54,M109=phu!$I$55,M109=phu!$I$56,M109=phu!$I$57,M109=phu!$I$58,M109=phu!$I$59,M109=phu!$I$60,M109=phu!$I$61,M109=phu!$I$62),"Cam Lợi",""),IF(OR(M109=phu!$I$63,M109=phu!$I$64,M109=phu!$I$65,M109=phu!$I$66,M109=phu!$I$67,M109=phu!$I$68,M109=phu!$I$69,M109=phu!$I$70,M109=phu!$I$71),"Ba Ngòi",""),IF(OR(M109=phu!$I$72,M109=phu!$I$73,M109=phu!$I$74,M109=phu!$I$75,M109=phu!$I$76,M109=phu!$I$77,M109=phu!$I$78),"Cam Phước Đông",""),IF(OR(M109=phu!$I$79,M109=phu!$I$80,M109=phu!$I$81,M109=phu!$I$82,M109=phu!$I$83,M109=phu!$I$84),"Cam Thịnh Đông",""),IF(OR(M109=phu!$I$85,M109=phu!$I$86,M109=phu!$I$87,M109=phu!$I$88),"Cam Thịnh Tây",""),IF(OR(M109=phu!$I$89,M109=phu!$I$90),"Cam Lập",""),IF(OR(M109=phu!$I$91,M109=phu!$I$92,M109=phu!$I$93),"Cam Bình",""),IF(OR(M109=phu!$I$94,M109=phu!$I$95,M109=phu!$I$96,M109=phu!$I$97,M109=phu!$I$98,M109=phu!$I$99,M109=phu!$I$100),"Huyện khác",""),IF(OR(M109=phu!$I$101,M109=phu!$I$102),"Tỉnh khác",""))</f>
        <v/>
      </c>
      <c r="O109" s="814" t="str">
        <f t="shared" si="7"/>
        <v/>
      </c>
      <c r="P109" s="254"/>
      <c r="Q109" s="254"/>
      <c r="R109" s="254"/>
      <c r="S109" s="254"/>
      <c r="T109" s="254"/>
      <c r="U109" s="254"/>
      <c r="V109" s="254"/>
      <c r="W109" s="254"/>
      <c r="Y109" s="246" t="str">
        <f t="shared" si="8"/>
        <v/>
      </c>
      <c r="Z109" s="247" t="str">
        <f t="shared" si="6"/>
        <v/>
      </c>
      <c r="AA109" s="246" t="str">
        <f t="shared" si="9"/>
        <v/>
      </c>
    </row>
    <row r="110" spans="1:27" ht="18" customHeight="1" x14ac:dyDescent="0.25">
      <c r="A110" s="248" t="str">
        <f t="shared" si="10"/>
        <v/>
      </c>
      <c r="B110" s="249" t="str">
        <f t="shared" si="11"/>
        <v/>
      </c>
      <c r="C110" s="250"/>
      <c r="D110" s="251"/>
      <c r="E110" s="241"/>
      <c r="F110" s="252"/>
      <c r="G110" s="252"/>
      <c r="H110" s="253"/>
      <c r="I110" s="250"/>
      <c r="J110" s="250"/>
      <c r="K110" s="270"/>
      <c r="L110" s="250"/>
      <c r="M110" s="250"/>
      <c r="N110" s="553" t="str">
        <f>CONCATENATE(IF(OR(M110=phu!$I$1,M110=phu!$I$2,M110=phu!$I$3),"Cam Thành Nam",""),IF(OR(M110=phu!$I$4,M110=phu!$I$5,M110=phu!$I$6,M110=phu!$I$7,M110=phu!$I$8,M110=phu!$I$9,M110=phu!$I$10,M110=phu!$I$11,M110=phu!$I$12,M110=phu!$I$13,M110=phu!$I$14),"Cam Nghĩa",""),IF(OR(M110=phu!$I$15,M110=phu!$I$16,M110=phu!$I$17,M110=phu!$I$18,M110=phu!$I$19,M110=phu!$I$20,M110=phu!$I$21),"Cam Phúc Bắc",""),IF(OR(M110=phu!$I$22,M110=phu!$I$23,M110=phu!$I$24,M110=phu!$I$25),"Cam Phúc Nam",""),IF(OR(M110=phu!$I$26,M110=phu!$I$27,M110=phu!$I$28,M110=phu!$I$29,M110=phu!$I$30,M110=phu!$I$31),"Cam Phú",""),IF(OR(M110=phu!$I$32,M110=phu!$I$33,M110=phu!$I$34,M110=phu!$I$35,M110=phu!$I$36,M110=phu!$I$37),"Cam Lộc",""),IF(OR(M110=phu!$I$38,M110=phu!$I$39,M110=phu!$I$40,M110=phu!$I$41,M110=phu!$I$42,M110=phu!$I$43,M110=phu!$I$44),"Cam Thuận",""),IF(OR(M110=phu!$I$45,M110=phu!$I$46,M110=phu!$I$47,M110=phu!$I$48,M110=phu!$I$49,M110=phu!$I$50,M110=phu!$I$51,M110=phu!$I$52,M110=phu!$I$53),"Cam Linh",""),IF(OR(M110=phu!$I$54,M110=phu!$I$55,M110=phu!$I$56,M110=phu!$I$57,M110=phu!$I$58,M110=phu!$I$59,M110=phu!$I$60,M110=phu!$I$61,M110=phu!$I$62),"Cam Lợi",""),IF(OR(M110=phu!$I$63,M110=phu!$I$64,M110=phu!$I$65,M110=phu!$I$66,M110=phu!$I$67,M110=phu!$I$68,M110=phu!$I$69,M110=phu!$I$70,M110=phu!$I$71),"Ba Ngòi",""),IF(OR(M110=phu!$I$72,M110=phu!$I$73,M110=phu!$I$74,M110=phu!$I$75,M110=phu!$I$76,M110=phu!$I$77,M110=phu!$I$78),"Cam Phước Đông",""),IF(OR(M110=phu!$I$79,M110=phu!$I$80,M110=phu!$I$81,M110=phu!$I$82,M110=phu!$I$83,M110=phu!$I$84),"Cam Thịnh Đông",""),IF(OR(M110=phu!$I$85,M110=phu!$I$86,M110=phu!$I$87,M110=phu!$I$88),"Cam Thịnh Tây",""),IF(OR(M110=phu!$I$89,M110=phu!$I$90),"Cam Lập",""),IF(OR(M110=phu!$I$91,M110=phu!$I$92,M110=phu!$I$93),"Cam Bình",""),IF(OR(M110=phu!$I$94,M110=phu!$I$95,M110=phu!$I$96,M110=phu!$I$97,M110=phu!$I$98,M110=phu!$I$99,M110=phu!$I$100),"Huyện khác",""),IF(OR(M110=phu!$I$101,M110=phu!$I$102),"Tỉnh khác",""))</f>
        <v/>
      </c>
      <c r="O110" s="814" t="str">
        <f t="shared" si="7"/>
        <v/>
      </c>
      <c r="P110" s="254"/>
      <c r="Q110" s="254"/>
      <c r="R110" s="254"/>
      <c r="S110" s="254"/>
      <c r="T110" s="254"/>
      <c r="U110" s="254"/>
      <c r="V110" s="254"/>
      <c r="W110" s="254"/>
      <c r="Y110" s="246" t="str">
        <f t="shared" si="8"/>
        <v/>
      </c>
      <c r="Z110" s="247" t="str">
        <f t="shared" si="6"/>
        <v/>
      </c>
      <c r="AA110" s="246" t="str">
        <f t="shared" si="9"/>
        <v/>
      </c>
    </row>
    <row r="111" spans="1:27" ht="18" customHeight="1" x14ac:dyDescent="0.25">
      <c r="A111" s="248" t="str">
        <f t="shared" si="10"/>
        <v/>
      </c>
      <c r="B111" s="249" t="str">
        <f t="shared" si="11"/>
        <v/>
      </c>
      <c r="C111" s="250"/>
      <c r="D111" s="251"/>
      <c r="E111" s="241"/>
      <c r="F111" s="252"/>
      <c r="G111" s="252"/>
      <c r="H111" s="253"/>
      <c r="I111" s="250"/>
      <c r="J111" s="250"/>
      <c r="K111" s="270"/>
      <c r="L111" s="250"/>
      <c r="M111" s="250"/>
      <c r="N111" s="553" t="str">
        <f>CONCATENATE(IF(OR(M111=phu!$I$1,M111=phu!$I$2,M111=phu!$I$3),"Cam Thành Nam",""),IF(OR(M111=phu!$I$4,M111=phu!$I$5,M111=phu!$I$6,M111=phu!$I$7,M111=phu!$I$8,M111=phu!$I$9,M111=phu!$I$10,M111=phu!$I$11,M111=phu!$I$12,M111=phu!$I$13,M111=phu!$I$14),"Cam Nghĩa",""),IF(OR(M111=phu!$I$15,M111=phu!$I$16,M111=phu!$I$17,M111=phu!$I$18,M111=phu!$I$19,M111=phu!$I$20,M111=phu!$I$21),"Cam Phúc Bắc",""),IF(OR(M111=phu!$I$22,M111=phu!$I$23,M111=phu!$I$24,M111=phu!$I$25),"Cam Phúc Nam",""),IF(OR(M111=phu!$I$26,M111=phu!$I$27,M111=phu!$I$28,M111=phu!$I$29,M111=phu!$I$30,M111=phu!$I$31),"Cam Phú",""),IF(OR(M111=phu!$I$32,M111=phu!$I$33,M111=phu!$I$34,M111=phu!$I$35,M111=phu!$I$36,M111=phu!$I$37),"Cam Lộc",""),IF(OR(M111=phu!$I$38,M111=phu!$I$39,M111=phu!$I$40,M111=phu!$I$41,M111=phu!$I$42,M111=phu!$I$43,M111=phu!$I$44),"Cam Thuận",""),IF(OR(M111=phu!$I$45,M111=phu!$I$46,M111=phu!$I$47,M111=phu!$I$48,M111=phu!$I$49,M111=phu!$I$50,M111=phu!$I$51,M111=phu!$I$52,M111=phu!$I$53),"Cam Linh",""),IF(OR(M111=phu!$I$54,M111=phu!$I$55,M111=phu!$I$56,M111=phu!$I$57,M111=phu!$I$58,M111=phu!$I$59,M111=phu!$I$60,M111=phu!$I$61,M111=phu!$I$62),"Cam Lợi",""),IF(OR(M111=phu!$I$63,M111=phu!$I$64,M111=phu!$I$65,M111=phu!$I$66,M111=phu!$I$67,M111=phu!$I$68,M111=phu!$I$69,M111=phu!$I$70,M111=phu!$I$71),"Ba Ngòi",""),IF(OR(M111=phu!$I$72,M111=phu!$I$73,M111=phu!$I$74,M111=phu!$I$75,M111=phu!$I$76,M111=phu!$I$77,M111=phu!$I$78),"Cam Phước Đông",""),IF(OR(M111=phu!$I$79,M111=phu!$I$80,M111=phu!$I$81,M111=phu!$I$82,M111=phu!$I$83,M111=phu!$I$84),"Cam Thịnh Đông",""),IF(OR(M111=phu!$I$85,M111=phu!$I$86,M111=phu!$I$87,M111=phu!$I$88),"Cam Thịnh Tây",""),IF(OR(M111=phu!$I$89,M111=phu!$I$90),"Cam Lập",""),IF(OR(M111=phu!$I$91,M111=phu!$I$92,M111=phu!$I$93),"Cam Bình",""),IF(OR(M111=phu!$I$94,M111=phu!$I$95,M111=phu!$I$96,M111=phu!$I$97,M111=phu!$I$98,M111=phu!$I$99,M111=phu!$I$100),"Huyện khác",""),IF(OR(M111=phu!$I$101,M111=phu!$I$102),"Tỉnh khác",""))</f>
        <v/>
      </c>
      <c r="O111" s="814" t="str">
        <f t="shared" si="7"/>
        <v/>
      </c>
      <c r="P111" s="254"/>
      <c r="Q111" s="254"/>
      <c r="R111" s="254"/>
      <c r="S111" s="254"/>
      <c r="T111" s="254"/>
      <c r="U111" s="254"/>
      <c r="V111" s="254"/>
      <c r="W111" s="254"/>
      <c r="Y111" s="246" t="str">
        <f t="shared" si="8"/>
        <v/>
      </c>
      <c r="Z111" s="247" t="str">
        <f t="shared" si="6"/>
        <v/>
      </c>
      <c r="AA111" s="246" t="str">
        <f t="shared" si="9"/>
        <v/>
      </c>
    </row>
    <row r="112" spans="1:27" ht="18" customHeight="1" x14ac:dyDescent="0.25">
      <c r="A112" s="248" t="str">
        <f t="shared" si="10"/>
        <v/>
      </c>
      <c r="B112" s="249" t="str">
        <f t="shared" si="11"/>
        <v/>
      </c>
      <c r="C112" s="250"/>
      <c r="D112" s="251"/>
      <c r="E112" s="241"/>
      <c r="F112" s="252"/>
      <c r="G112" s="252"/>
      <c r="H112" s="253"/>
      <c r="I112" s="250"/>
      <c r="J112" s="250"/>
      <c r="K112" s="270"/>
      <c r="L112" s="250"/>
      <c r="M112" s="250"/>
      <c r="N112" s="553" t="str">
        <f>CONCATENATE(IF(OR(M112=phu!$I$1,M112=phu!$I$2,M112=phu!$I$3),"Cam Thành Nam",""),IF(OR(M112=phu!$I$4,M112=phu!$I$5,M112=phu!$I$6,M112=phu!$I$7,M112=phu!$I$8,M112=phu!$I$9,M112=phu!$I$10,M112=phu!$I$11,M112=phu!$I$12,M112=phu!$I$13,M112=phu!$I$14),"Cam Nghĩa",""),IF(OR(M112=phu!$I$15,M112=phu!$I$16,M112=phu!$I$17,M112=phu!$I$18,M112=phu!$I$19,M112=phu!$I$20,M112=phu!$I$21),"Cam Phúc Bắc",""),IF(OR(M112=phu!$I$22,M112=phu!$I$23,M112=phu!$I$24,M112=phu!$I$25),"Cam Phúc Nam",""),IF(OR(M112=phu!$I$26,M112=phu!$I$27,M112=phu!$I$28,M112=phu!$I$29,M112=phu!$I$30,M112=phu!$I$31),"Cam Phú",""),IF(OR(M112=phu!$I$32,M112=phu!$I$33,M112=phu!$I$34,M112=phu!$I$35,M112=phu!$I$36,M112=phu!$I$37),"Cam Lộc",""),IF(OR(M112=phu!$I$38,M112=phu!$I$39,M112=phu!$I$40,M112=phu!$I$41,M112=phu!$I$42,M112=phu!$I$43,M112=phu!$I$44),"Cam Thuận",""),IF(OR(M112=phu!$I$45,M112=phu!$I$46,M112=phu!$I$47,M112=phu!$I$48,M112=phu!$I$49,M112=phu!$I$50,M112=phu!$I$51,M112=phu!$I$52,M112=phu!$I$53),"Cam Linh",""),IF(OR(M112=phu!$I$54,M112=phu!$I$55,M112=phu!$I$56,M112=phu!$I$57,M112=phu!$I$58,M112=phu!$I$59,M112=phu!$I$60,M112=phu!$I$61,M112=phu!$I$62),"Cam Lợi",""),IF(OR(M112=phu!$I$63,M112=phu!$I$64,M112=phu!$I$65,M112=phu!$I$66,M112=phu!$I$67,M112=phu!$I$68,M112=phu!$I$69,M112=phu!$I$70,M112=phu!$I$71),"Ba Ngòi",""),IF(OR(M112=phu!$I$72,M112=phu!$I$73,M112=phu!$I$74,M112=phu!$I$75,M112=phu!$I$76,M112=phu!$I$77,M112=phu!$I$78),"Cam Phước Đông",""),IF(OR(M112=phu!$I$79,M112=phu!$I$80,M112=phu!$I$81,M112=phu!$I$82,M112=phu!$I$83,M112=phu!$I$84),"Cam Thịnh Đông",""),IF(OR(M112=phu!$I$85,M112=phu!$I$86,M112=phu!$I$87,M112=phu!$I$88),"Cam Thịnh Tây",""),IF(OR(M112=phu!$I$89,M112=phu!$I$90),"Cam Lập",""),IF(OR(M112=phu!$I$91,M112=phu!$I$92,M112=phu!$I$93),"Cam Bình",""),IF(OR(M112=phu!$I$94,M112=phu!$I$95,M112=phu!$I$96,M112=phu!$I$97,M112=phu!$I$98,M112=phu!$I$99,M112=phu!$I$100),"Huyện khác",""),IF(OR(M112=phu!$I$101,M112=phu!$I$102),"Tỉnh khác",""))</f>
        <v/>
      </c>
      <c r="O112" s="814" t="str">
        <f t="shared" si="7"/>
        <v/>
      </c>
      <c r="P112" s="254"/>
      <c r="Q112" s="254"/>
      <c r="R112" s="254"/>
      <c r="S112" s="254"/>
      <c r="T112" s="254"/>
      <c r="U112" s="254"/>
      <c r="V112" s="254"/>
      <c r="W112" s="254"/>
      <c r="Y112" s="246" t="str">
        <f t="shared" si="8"/>
        <v/>
      </c>
      <c r="Z112" s="247" t="str">
        <f t="shared" si="6"/>
        <v/>
      </c>
      <c r="AA112" s="246" t="str">
        <f t="shared" si="9"/>
        <v/>
      </c>
    </row>
    <row r="113" spans="1:27" ht="18" customHeight="1" x14ac:dyDescent="0.25">
      <c r="A113" s="248" t="str">
        <f t="shared" si="10"/>
        <v/>
      </c>
      <c r="B113" s="249" t="str">
        <f t="shared" si="11"/>
        <v/>
      </c>
      <c r="C113" s="250"/>
      <c r="D113" s="251"/>
      <c r="E113" s="241"/>
      <c r="F113" s="252"/>
      <c r="G113" s="252"/>
      <c r="H113" s="253"/>
      <c r="I113" s="250"/>
      <c r="J113" s="250"/>
      <c r="K113" s="270"/>
      <c r="L113" s="250"/>
      <c r="M113" s="250"/>
      <c r="N113" s="553" t="str">
        <f>CONCATENATE(IF(OR(M113=phu!$I$1,M113=phu!$I$2,M113=phu!$I$3),"Cam Thành Nam",""),IF(OR(M113=phu!$I$4,M113=phu!$I$5,M113=phu!$I$6,M113=phu!$I$7,M113=phu!$I$8,M113=phu!$I$9,M113=phu!$I$10,M113=phu!$I$11,M113=phu!$I$12,M113=phu!$I$13,M113=phu!$I$14),"Cam Nghĩa",""),IF(OR(M113=phu!$I$15,M113=phu!$I$16,M113=phu!$I$17,M113=phu!$I$18,M113=phu!$I$19,M113=phu!$I$20,M113=phu!$I$21),"Cam Phúc Bắc",""),IF(OR(M113=phu!$I$22,M113=phu!$I$23,M113=phu!$I$24,M113=phu!$I$25),"Cam Phúc Nam",""),IF(OR(M113=phu!$I$26,M113=phu!$I$27,M113=phu!$I$28,M113=phu!$I$29,M113=phu!$I$30,M113=phu!$I$31),"Cam Phú",""),IF(OR(M113=phu!$I$32,M113=phu!$I$33,M113=phu!$I$34,M113=phu!$I$35,M113=phu!$I$36,M113=phu!$I$37),"Cam Lộc",""),IF(OR(M113=phu!$I$38,M113=phu!$I$39,M113=phu!$I$40,M113=phu!$I$41,M113=phu!$I$42,M113=phu!$I$43,M113=phu!$I$44),"Cam Thuận",""),IF(OR(M113=phu!$I$45,M113=phu!$I$46,M113=phu!$I$47,M113=phu!$I$48,M113=phu!$I$49,M113=phu!$I$50,M113=phu!$I$51,M113=phu!$I$52,M113=phu!$I$53),"Cam Linh",""),IF(OR(M113=phu!$I$54,M113=phu!$I$55,M113=phu!$I$56,M113=phu!$I$57,M113=phu!$I$58,M113=phu!$I$59,M113=phu!$I$60,M113=phu!$I$61,M113=phu!$I$62),"Cam Lợi",""),IF(OR(M113=phu!$I$63,M113=phu!$I$64,M113=phu!$I$65,M113=phu!$I$66,M113=phu!$I$67,M113=phu!$I$68,M113=phu!$I$69,M113=phu!$I$70,M113=phu!$I$71),"Ba Ngòi",""),IF(OR(M113=phu!$I$72,M113=phu!$I$73,M113=phu!$I$74,M113=phu!$I$75,M113=phu!$I$76,M113=phu!$I$77,M113=phu!$I$78),"Cam Phước Đông",""),IF(OR(M113=phu!$I$79,M113=phu!$I$80,M113=phu!$I$81,M113=phu!$I$82,M113=phu!$I$83,M113=phu!$I$84),"Cam Thịnh Đông",""),IF(OR(M113=phu!$I$85,M113=phu!$I$86,M113=phu!$I$87,M113=phu!$I$88),"Cam Thịnh Tây",""),IF(OR(M113=phu!$I$89,M113=phu!$I$90),"Cam Lập",""),IF(OR(M113=phu!$I$91,M113=phu!$I$92,M113=phu!$I$93),"Cam Bình",""),IF(OR(M113=phu!$I$94,M113=phu!$I$95,M113=phu!$I$96,M113=phu!$I$97,M113=phu!$I$98,M113=phu!$I$99,M113=phu!$I$100),"Huyện khác",""),IF(OR(M113=phu!$I$101,M113=phu!$I$102),"Tỉnh khác",""))</f>
        <v/>
      </c>
      <c r="O113" s="814" t="str">
        <f t="shared" si="7"/>
        <v/>
      </c>
      <c r="P113" s="254"/>
      <c r="Q113" s="254"/>
      <c r="R113" s="254"/>
      <c r="S113" s="254"/>
      <c r="T113" s="254"/>
      <c r="U113" s="254"/>
      <c r="V113" s="254"/>
      <c r="W113" s="254"/>
      <c r="Y113" s="246" t="str">
        <f t="shared" si="8"/>
        <v/>
      </c>
      <c r="Z113" s="247" t="str">
        <f t="shared" si="6"/>
        <v/>
      </c>
      <c r="AA113" s="246" t="str">
        <f t="shared" si="9"/>
        <v/>
      </c>
    </row>
    <row r="114" spans="1:27" ht="18" customHeight="1" x14ac:dyDescent="0.25">
      <c r="A114" s="248" t="str">
        <f t="shared" si="10"/>
        <v/>
      </c>
      <c r="B114" s="249" t="str">
        <f t="shared" si="11"/>
        <v/>
      </c>
      <c r="C114" s="250"/>
      <c r="D114" s="251"/>
      <c r="E114" s="241"/>
      <c r="F114" s="252"/>
      <c r="G114" s="252"/>
      <c r="H114" s="253"/>
      <c r="I114" s="250"/>
      <c r="J114" s="250"/>
      <c r="K114" s="270"/>
      <c r="L114" s="250"/>
      <c r="M114" s="250"/>
      <c r="N114" s="553" t="str">
        <f>CONCATENATE(IF(OR(M114=phu!$I$1,M114=phu!$I$2,M114=phu!$I$3),"Cam Thành Nam",""),IF(OR(M114=phu!$I$4,M114=phu!$I$5,M114=phu!$I$6,M114=phu!$I$7,M114=phu!$I$8,M114=phu!$I$9,M114=phu!$I$10,M114=phu!$I$11,M114=phu!$I$12,M114=phu!$I$13,M114=phu!$I$14),"Cam Nghĩa",""),IF(OR(M114=phu!$I$15,M114=phu!$I$16,M114=phu!$I$17,M114=phu!$I$18,M114=phu!$I$19,M114=phu!$I$20,M114=phu!$I$21),"Cam Phúc Bắc",""),IF(OR(M114=phu!$I$22,M114=phu!$I$23,M114=phu!$I$24,M114=phu!$I$25),"Cam Phúc Nam",""),IF(OR(M114=phu!$I$26,M114=phu!$I$27,M114=phu!$I$28,M114=phu!$I$29,M114=phu!$I$30,M114=phu!$I$31),"Cam Phú",""),IF(OR(M114=phu!$I$32,M114=phu!$I$33,M114=phu!$I$34,M114=phu!$I$35,M114=phu!$I$36,M114=phu!$I$37),"Cam Lộc",""),IF(OR(M114=phu!$I$38,M114=phu!$I$39,M114=phu!$I$40,M114=phu!$I$41,M114=phu!$I$42,M114=phu!$I$43,M114=phu!$I$44),"Cam Thuận",""),IF(OR(M114=phu!$I$45,M114=phu!$I$46,M114=phu!$I$47,M114=phu!$I$48,M114=phu!$I$49,M114=phu!$I$50,M114=phu!$I$51,M114=phu!$I$52,M114=phu!$I$53),"Cam Linh",""),IF(OR(M114=phu!$I$54,M114=phu!$I$55,M114=phu!$I$56,M114=phu!$I$57,M114=phu!$I$58,M114=phu!$I$59,M114=phu!$I$60,M114=phu!$I$61,M114=phu!$I$62),"Cam Lợi",""),IF(OR(M114=phu!$I$63,M114=phu!$I$64,M114=phu!$I$65,M114=phu!$I$66,M114=phu!$I$67,M114=phu!$I$68,M114=phu!$I$69,M114=phu!$I$70,M114=phu!$I$71),"Ba Ngòi",""),IF(OR(M114=phu!$I$72,M114=phu!$I$73,M114=phu!$I$74,M114=phu!$I$75,M114=phu!$I$76,M114=phu!$I$77,M114=phu!$I$78),"Cam Phước Đông",""),IF(OR(M114=phu!$I$79,M114=phu!$I$80,M114=phu!$I$81,M114=phu!$I$82,M114=phu!$I$83,M114=phu!$I$84),"Cam Thịnh Đông",""),IF(OR(M114=phu!$I$85,M114=phu!$I$86,M114=phu!$I$87,M114=phu!$I$88),"Cam Thịnh Tây",""),IF(OR(M114=phu!$I$89,M114=phu!$I$90),"Cam Lập",""),IF(OR(M114=phu!$I$91,M114=phu!$I$92,M114=phu!$I$93),"Cam Bình",""),IF(OR(M114=phu!$I$94,M114=phu!$I$95,M114=phu!$I$96,M114=phu!$I$97,M114=phu!$I$98,M114=phu!$I$99,M114=phu!$I$100),"Huyện khác",""),IF(OR(M114=phu!$I$101,M114=phu!$I$102),"Tỉnh khác",""))</f>
        <v/>
      </c>
      <c r="O114" s="814" t="str">
        <f t="shared" si="7"/>
        <v/>
      </c>
      <c r="P114" s="254"/>
      <c r="Q114" s="254"/>
      <c r="R114" s="254"/>
      <c r="S114" s="254"/>
      <c r="T114" s="254"/>
      <c r="U114" s="254"/>
      <c r="V114" s="254"/>
      <c r="W114" s="254"/>
      <c r="Y114" s="246" t="str">
        <f t="shared" si="8"/>
        <v/>
      </c>
      <c r="Z114" s="247" t="str">
        <f t="shared" si="6"/>
        <v/>
      </c>
      <c r="AA114" s="246" t="str">
        <f t="shared" si="9"/>
        <v/>
      </c>
    </row>
    <row r="115" spans="1:27" ht="18" customHeight="1" x14ac:dyDescent="0.25">
      <c r="A115" s="248" t="str">
        <f t="shared" si="10"/>
        <v/>
      </c>
      <c r="B115" s="249" t="str">
        <f t="shared" si="11"/>
        <v/>
      </c>
      <c r="C115" s="250"/>
      <c r="D115" s="251"/>
      <c r="E115" s="241"/>
      <c r="F115" s="252"/>
      <c r="G115" s="252"/>
      <c r="H115" s="253"/>
      <c r="I115" s="250"/>
      <c r="J115" s="250"/>
      <c r="K115" s="270"/>
      <c r="L115" s="250"/>
      <c r="M115" s="250"/>
      <c r="N115" s="553" t="str">
        <f>CONCATENATE(IF(OR(M115=phu!$I$1,M115=phu!$I$2,M115=phu!$I$3),"Cam Thành Nam",""),IF(OR(M115=phu!$I$4,M115=phu!$I$5,M115=phu!$I$6,M115=phu!$I$7,M115=phu!$I$8,M115=phu!$I$9,M115=phu!$I$10,M115=phu!$I$11,M115=phu!$I$12,M115=phu!$I$13,M115=phu!$I$14),"Cam Nghĩa",""),IF(OR(M115=phu!$I$15,M115=phu!$I$16,M115=phu!$I$17,M115=phu!$I$18,M115=phu!$I$19,M115=phu!$I$20,M115=phu!$I$21),"Cam Phúc Bắc",""),IF(OR(M115=phu!$I$22,M115=phu!$I$23,M115=phu!$I$24,M115=phu!$I$25),"Cam Phúc Nam",""),IF(OR(M115=phu!$I$26,M115=phu!$I$27,M115=phu!$I$28,M115=phu!$I$29,M115=phu!$I$30,M115=phu!$I$31),"Cam Phú",""),IF(OR(M115=phu!$I$32,M115=phu!$I$33,M115=phu!$I$34,M115=phu!$I$35,M115=phu!$I$36,M115=phu!$I$37),"Cam Lộc",""),IF(OR(M115=phu!$I$38,M115=phu!$I$39,M115=phu!$I$40,M115=phu!$I$41,M115=phu!$I$42,M115=phu!$I$43,M115=phu!$I$44),"Cam Thuận",""),IF(OR(M115=phu!$I$45,M115=phu!$I$46,M115=phu!$I$47,M115=phu!$I$48,M115=phu!$I$49,M115=phu!$I$50,M115=phu!$I$51,M115=phu!$I$52,M115=phu!$I$53),"Cam Linh",""),IF(OR(M115=phu!$I$54,M115=phu!$I$55,M115=phu!$I$56,M115=phu!$I$57,M115=phu!$I$58,M115=phu!$I$59,M115=phu!$I$60,M115=phu!$I$61,M115=phu!$I$62),"Cam Lợi",""),IF(OR(M115=phu!$I$63,M115=phu!$I$64,M115=phu!$I$65,M115=phu!$I$66,M115=phu!$I$67,M115=phu!$I$68,M115=phu!$I$69,M115=phu!$I$70,M115=phu!$I$71),"Ba Ngòi",""),IF(OR(M115=phu!$I$72,M115=phu!$I$73,M115=phu!$I$74,M115=phu!$I$75,M115=phu!$I$76,M115=phu!$I$77,M115=phu!$I$78),"Cam Phước Đông",""),IF(OR(M115=phu!$I$79,M115=phu!$I$80,M115=phu!$I$81,M115=phu!$I$82,M115=phu!$I$83,M115=phu!$I$84),"Cam Thịnh Đông",""),IF(OR(M115=phu!$I$85,M115=phu!$I$86,M115=phu!$I$87,M115=phu!$I$88),"Cam Thịnh Tây",""),IF(OR(M115=phu!$I$89,M115=phu!$I$90),"Cam Lập",""),IF(OR(M115=phu!$I$91,M115=phu!$I$92,M115=phu!$I$93),"Cam Bình",""),IF(OR(M115=phu!$I$94,M115=phu!$I$95,M115=phu!$I$96,M115=phu!$I$97,M115=phu!$I$98,M115=phu!$I$99,M115=phu!$I$100),"Huyện khác",""),IF(OR(M115=phu!$I$101,M115=phu!$I$102),"Tỉnh khác",""))</f>
        <v/>
      </c>
      <c r="O115" s="814" t="str">
        <f t="shared" si="7"/>
        <v/>
      </c>
      <c r="P115" s="254"/>
      <c r="Q115" s="254"/>
      <c r="R115" s="254"/>
      <c r="S115" s="254"/>
      <c r="T115" s="254"/>
      <c r="U115" s="254"/>
      <c r="V115" s="254"/>
      <c r="W115" s="254"/>
      <c r="Y115" s="246" t="str">
        <f t="shared" si="8"/>
        <v/>
      </c>
      <c r="Z115" s="247" t="str">
        <f t="shared" si="6"/>
        <v/>
      </c>
      <c r="AA115" s="246" t="str">
        <f t="shared" si="9"/>
        <v/>
      </c>
    </row>
    <row r="116" spans="1:27" ht="18" customHeight="1" x14ac:dyDescent="0.25">
      <c r="A116" s="248" t="str">
        <f t="shared" si="10"/>
        <v/>
      </c>
      <c r="B116" s="249" t="str">
        <f t="shared" si="11"/>
        <v/>
      </c>
      <c r="C116" s="250"/>
      <c r="D116" s="251"/>
      <c r="E116" s="241"/>
      <c r="F116" s="252"/>
      <c r="G116" s="252"/>
      <c r="H116" s="253"/>
      <c r="I116" s="250"/>
      <c r="J116" s="250"/>
      <c r="K116" s="270"/>
      <c r="L116" s="250"/>
      <c r="M116" s="250"/>
      <c r="N116" s="553" t="str">
        <f>CONCATENATE(IF(OR(M116=phu!$I$1,M116=phu!$I$2,M116=phu!$I$3),"Cam Thành Nam",""),IF(OR(M116=phu!$I$4,M116=phu!$I$5,M116=phu!$I$6,M116=phu!$I$7,M116=phu!$I$8,M116=phu!$I$9,M116=phu!$I$10,M116=phu!$I$11,M116=phu!$I$12,M116=phu!$I$13,M116=phu!$I$14),"Cam Nghĩa",""),IF(OR(M116=phu!$I$15,M116=phu!$I$16,M116=phu!$I$17,M116=phu!$I$18,M116=phu!$I$19,M116=phu!$I$20,M116=phu!$I$21),"Cam Phúc Bắc",""),IF(OR(M116=phu!$I$22,M116=phu!$I$23,M116=phu!$I$24,M116=phu!$I$25),"Cam Phúc Nam",""),IF(OR(M116=phu!$I$26,M116=phu!$I$27,M116=phu!$I$28,M116=phu!$I$29,M116=phu!$I$30,M116=phu!$I$31),"Cam Phú",""),IF(OR(M116=phu!$I$32,M116=phu!$I$33,M116=phu!$I$34,M116=phu!$I$35,M116=phu!$I$36,M116=phu!$I$37),"Cam Lộc",""),IF(OR(M116=phu!$I$38,M116=phu!$I$39,M116=phu!$I$40,M116=phu!$I$41,M116=phu!$I$42,M116=phu!$I$43,M116=phu!$I$44),"Cam Thuận",""),IF(OR(M116=phu!$I$45,M116=phu!$I$46,M116=phu!$I$47,M116=phu!$I$48,M116=phu!$I$49,M116=phu!$I$50,M116=phu!$I$51,M116=phu!$I$52,M116=phu!$I$53),"Cam Linh",""),IF(OR(M116=phu!$I$54,M116=phu!$I$55,M116=phu!$I$56,M116=phu!$I$57,M116=phu!$I$58,M116=phu!$I$59,M116=phu!$I$60,M116=phu!$I$61,M116=phu!$I$62),"Cam Lợi",""),IF(OR(M116=phu!$I$63,M116=phu!$I$64,M116=phu!$I$65,M116=phu!$I$66,M116=phu!$I$67,M116=phu!$I$68,M116=phu!$I$69,M116=phu!$I$70,M116=phu!$I$71),"Ba Ngòi",""),IF(OR(M116=phu!$I$72,M116=phu!$I$73,M116=phu!$I$74,M116=phu!$I$75,M116=phu!$I$76,M116=phu!$I$77,M116=phu!$I$78),"Cam Phước Đông",""),IF(OR(M116=phu!$I$79,M116=phu!$I$80,M116=phu!$I$81,M116=phu!$I$82,M116=phu!$I$83,M116=phu!$I$84),"Cam Thịnh Đông",""),IF(OR(M116=phu!$I$85,M116=phu!$I$86,M116=phu!$I$87,M116=phu!$I$88),"Cam Thịnh Tây",""),IF(OR(M116=phu!$I$89,M116=phu!$I$90),"Cam Lập",""),IF(OR(M116=phu!$I$91,M116=phu!$I$92,M116=phu!$I$93),"Cam Bình",""),IF(OR(M116=phu!$I$94,M116=phu!$I$95,M116=phu!$I$96,M116=phu!$I$97,M116=phu!$I$98,M116=phu!$I$99,M116=phu!$I$100),"Huyện khác",""),IF(OR(M116=phu!$I$101,M116=phu!$I$102),"Tỉnh khác",""))</f>
        <v/>
      </c>
      <c r="O116" s="814" t="str">
        <f t="shared" si="7"/>
        <v/>
      </c>
      <c r="P116" s="254"/>
      <c r="Q116" s="254"/>
      <c r="R116" s="254"/>
      <c r="S116" s="254"/>
      <c r="T116" s="254"/>
      <c r="U116" s="254"/>
      <c r="V116" s="254"/>
      <c r="W116" s="254"/>
      <c r="Y116" s="246" t="str">
        <f t="shared" si="8"/>
        <v/>
      </c>
      <c r="Z116" s="247" t="str">
        <f t="shared" si="6"/>
        <v/>
      </c>
      <c r="AA116" s="246" t="str">
        <f t="shared" si="9"/>
        <v/>
      </c>
    </row>
    <row r="117" spans="1:27" ht="18" customHeight="1" x14ac:dyDescent="0.25">
      <c r="A117" s="248" t="str">
        <f t="shared" si="10"/>
        <v/>
      </c>
      <c r="B117" s="249" t="str">
        <f t="shared" si="11"/>
        <v/>
      </c>
      <c r="C117" s="250"/>
      <c r="D117" s="251"/>
      <c r="E117" s="241"/>
      <c r="F117" s="252"/>
      <c r="G117" s="252"/>
      <c r="H117" s="253"/>
      <c r="I117" s="250"/>
      <c r="J117" s="250"/>
      <c r="K117" s="270"/>
      <c r="L117" s="250"/>
      <c r="M117" s="250"/>
      <c r="N117" s="553" t="str">
        <f>CONCATENATE(IF(OR(M117=phu!$I$1,M117=phu!$I$2,M117=phu!$I$3),"Cam Thành Nam",""),IF(OR(M117=phu!$I$4,M117=phu!$I$5,M117=phu!$I$6,M117=phu!$I$7,M117=phu!$I$8,M117=phu!$I$9,M117=phu!$I$10,M117=phu!$I$11,M117=phu!$I$12,M117=phu!$I$13,M117=phu!$I$14),"Cam Nghĩa",""),IF(OR(M117=phu!$I$15,M117=phu!$I$16,M117=phu!$I$17,M117=phu!$I$18,M117=phu!$I$19,M117=phu!$I$20,M117=phu!$I$21),"Cam Phúc Bắc",""),IF(OR(M117=phu!$I$22,M117=phu!$I$23,M117=phu!$I$24,M117=phu!$I$25),"Cam Phúc Nam",""),IF(OR(M117=phu!$I$26,M117=phu!$I$27,M117=phu!$I$28,M117=phu!$I$29,M117=phu!$I$30,M117=phu!$I$31),"Cam Phú",""),IF(OR(M117=phu!$I$32,M117=phu!$I$33,M117=phu!$I$34,M117=phu!$I$35,M117=phu!$I$36,M117=phu!$I$37),"Cam Lộc",""),IF(OR(M117=phu!$I$38,M117=phu!$I$39,M117=phu!$I$40,M117=phu!$I$41,M117=phu!$I$42,M117=phu!$I$43,M117=phu!$I$44),"Cam Thuận",""),IF(OR(M117=phu!$I$45,M117=phu!$I$46,M117=phu!$I$47,M117=phu!$I$48,M117=phu!$I$49,M117=phu!$I$50,M117=phu!$I$51,M117=phu!$I$52,M117=phu!$I$53),"Cam Linh",""),IF(OR(M117=phu!$I$54,M117=phu!$I$55,M117=phu!$I$56,M117=phu!$I$57,M117=phu!$I$58,M117=phu!$I$59,M117=phu!$I$60,M117=phu!$I$61,M117=phu!$I$62),"Cam Lợi",""),IF(OR(M117=phu!$I$63,M117=phu!$I$64,M117=phu!$I$65,M117=phu!$I$66,M117=phu!$I$67,M117=phu!$I$68,M117=phu!$I$69,M117=phu!$I$70,M117=phu!$I$71),"Ba Ngòi",""),IF(OR(M117=phu!$I$72,M117=phu!$I$73,M117=phu!$I$74,M117=phu!$I$75,M117=phu!$I$76,M117=phu!$I$77,M117=phu!$I$78),"Cam Phước Đông",""),IF(OR(M117=phu!$I$79,M117=phu!$I$80,M117=phu!$I$81,M117=phu!$I$82,M117=phu!$I$83,M117=phu!$I$84),"Cam Thịnh Đông",""),IF(OR(M117=phu!$I$85,M117=phu!$I$86,M117=phu!$I$87,M117=phu!$I$88),"Cam Thịnh Tây",""),IF(OR(M117=phu!$I$89,M117=phu!$I$90),"Cam Lập",""),IF(OR(M117=phu!$I$91,M117=phu!$I$92,M117=phu!$I$93),"Cam Bình",""),IF(OR(M117=phu!$I$94,M117=phu!$I$95,M117=phu!$I$96,M117=phu!$I$97,M117=phu!$I$98,M117=phu!$I$99,M117=phu!$I$100),"Huyện khác",""),IF(OR(M117=phu!$I$101,M117=phu!$I$102),"Tỉnh khác",""))</f>
        <v/>
      </c>
      <c r="O117" s="814" t="str">
        <f t="shared" si="7"/>
        <v/>
      </c>
      <c r="P117" s="254"/>
      <c r="Q117" s="254"/>
      <c r="R117" s="254"/>
      <c r="S117" s="254"/>
      <c r="T117" s="254"/>
      <c r="U117" s="254"/>
      <c r="V117" s="254"/>
      <c r="W117" s="254"/>
      <c r="Y117" s="246" t="str">
        <f t="shared" si="8"/>
        <v/>
      </c>
      <c r="Z117" s="247" t="str">
        <f t="shared" si="6"/>
        <v/>
      </c>
      <c r="AA117" s="246" t="str">
        <f t="shared" si="9"/>
        <v/>
      </c>
    </row>
    <row r="118" spans="1:27" ht="18" customHeight="1" x14ac:dyDescent="0.25">
      <c r="A118" s="248" t="str">
        <f t="shared" si="10"/>
        <v/>
      </c>
      <c r="B118" s="249" t="str">
        <f t="shared" si="11"/>
        <v/>
      </c>
      <c r="C118" s="250"/>
      <c r="D118" s="251"/>
      <c r="E118" s="241"/>
      <c r="F118" s="252"/>
      <c r="G118" s="252"/>
      <c r="H118" s="253"/>
      <c r="I118" s="250"/>
      <c r="J118" s="250"/>
      <c r="K118" s="270"/>
      <c r="L118" s="250"/>
      <c r="M118" s="250"/>
      <c r="N118" s="553" t="str">
        <f>CONCATENATE(IF(OR(M118=phu!$I$1,M118=phu!$I$2,M118=phu!$I$3),"Cam Thành Nam",""),IF(OR(M118=phu!$I$4,M118=phu!$I$5,M118=phu!$I$6,M118=phu!$I$7,M118=phu!$I$8,M118=phu!$I$9,M118=phu!$I$10,M118=phu!$I$11,M118=phu!$I$12,M118=phu!$I$13,M118=phu!$I$14),"Cam Nghĩa",""),IF(OR(M118=phu!$I$15,M118=phu!$I$16,M118=phu!$I$17,M118=phu!$I$18,M118=phu!$I$19,M118=phu!$I$20,M118=phu!$I$21),"Cam Phúc Bắc",""),IF(OR(M118=phu!$I$22,M118=phu!$I$23,M118=phu!$I$24,M118=phu!$I$25),"Cam Phúc Nam",""),IF(OR(M118=phu!$I$26,M118=phu!$I$27,M118=phu!$I$28,M118=phu!$I$29,M118=phu!$I$30,M118=phu!$I$31),"Cam Phú",""),IF(OR(M118=phu!$I$32,M118=phu!$I$33,M118=phu!$I$34,M118=phu!$I$35,M118=phu!$I$36,M118=phu!$I$37),"Cam Lộc",""),IF(OR(M118=phu!$I$38,M118=phu!$I$39,M118=phu!$I$40,M118=phu!$I$41,M118=phu!$I$42,M118=phu!$I$43,M118=phu!$I$44),"Cam Thuận",""),IF(OR(M118=phu!$I$45,M118=phu!$I$46,M118=phu!$I$47,M118=phu!$I$48,M118=phu!$I$49,M118=phu!$I$50,M118=phu!$I$51,M118=phu!$I$52,M118=phu!$I$53),"Cam Linh",""),IF(OR(M118=phu!$I$54,M118=phu!$I$55,M118=phu!$I$56,M118=phu!$I$57,M118=phu!$I$58,M118=phu!$I$59,M118=phu!$I$60,M118=phu!$I$61,M118=phu!$I$62),"Cam Lợi",""),IF(OR(M118=phu!$I$63,M118=phu!$I$64,M118=phu!$I$65,M118=phu!$I$66,M118=phu!$I$67,M118=phu!$I$68,M118=phu!$I$69,M118=phu!$I$70,M118=phu!$I$71),"Ba Ngòi",""),IF(OR(M118=phu!$I$72,M118=phu!$I$73,M118=phu!$I$74,M118=phu!$I$75,M118=phu!$I$76,M118=phu!$I$77,M118=phu!$I$78),"Cam Phước Đông",""),IF(OR(M118=phu!$I$79,M118=phu!$I$80,M118=phu!$I$81,M118=phu!$I$82,M118=phu!$I$83,M118=phu!$I$84),"Cam Thịnh Đông",""),IF(OR(M118=phu!$I$85,M118=phu!$I$86,M118=phu!$I$87,M118=phu!$I$88),"Cam Thịnh Tây",""),IF(OR(M118=phu!$I$89,M118=phu!$I$90),"Cam Lập",""),IF(OR(M118=phu!$I$91,M118=phu!$I$92,M118=phu!$I$93),"Cam Bình",""),IF(OR(M118=phu!$I$94,M118=phu!$I$95,M118=phu!$I$96,M118=phu!$I$97,M118=phu!$I$98,M118=phu!$I$99,M118=phu!$I$100),"Huyện khác",""),IF(OR(M118=phu!$I$101,M118=phu!$I$102),"Tỉnh khác",""))</f>
        <v/>
      </c>
      <c r="O118" s="814" t="str">
        <f t="shared" si="7"/>
        <v/>
      </c>
      <c r="P118" s="254"/>
      <c r="Q118" s="254"/>
      <c r="R118" s="254"/>
      <c r="S118" s="254"/>
      <c r="T118" s="254"/>
      <c r="U118" s="254"/>
      <c r="V118" s="254"/>
      <c r="W118" s="254"/>
      <c r="Y118" s="246" t="str">
        <f t="shared" si="8"/>
        <v/>
      </c>
      <c r="Z118" s="247" t="str">
        <f t="shared" si="6"/>
        <v/>
      </c>
      <c r="AA118" s="246" t="str">
        <f t="shared" si="9"/>
        <v/>
      </c>
    </row>
    <row r="119" spans="1:27" ht="18" customHeight="1" x14ac:dyDescent="0.25">
      <c r="A119" s="248" t="str">
        <f t="shared" si="10"/>
        <v/>
      </c>
      <c r="B119" s="249" t="str">
        <f t="shared" si="11"/>
        <v/>
      </c>
      <c r="C119" s="250"/>
      <c r="D119" s="251"/>
      <c r="E119" s="241"/>
      <c r="F119" s="252"/>
      <c r="G119" s="252"/>
      <c r="H119" s="253"/>
      <c r="I119" s="250"/>
      <c r="J119" s="250"/>
      <c r="K119" s="270"/>
      <c r="L119" s="250"/>
      <c r="M119" s="250"/>
      <c r="N119" s="553" t="str">
        <f>CONCATENATE(IF(OR(M119=phu!$I$1,M119=phu!$I$2,M119=phu!$I$3),"Cam Thành Nam",""),IF(OR(M119=phu!$I$4,M119=phu!$I$5,M119=phu!$I$6,M119=phu!$I$7,M119=phu!$I$8,M119=phu!$I$9,M119=phu!$I$10,M119=phu!$I$11,M119=phu!$I$12,M119=phu!$I$13,M119=phu!$I$14),"Cam Nghĩa",""),IF(OR(M119=phu!$I$15,M119=phu!$I$16,M119=phu!$I$17,M119=phu!$I$18,M119=phu!$I$19,M119=phu!$I$20,M119=phu!$I$21),"Cam Phúc Bắc",""),IF(OR(M119=phu!$I$22,M119=phu!$I$23,M119=phu!$I$24,M119=phu!$I$25),"Cam Phúc Nam",""),IF(OR(M119=phu!$I$26,M119=phu!$I$27,M119=phu!$I$28,M119=phu!$I$29,M119=phu!$I$30,M119=phu!$I$31),"Cam Phú",""),IF(OR(M119=phu!$I$32,M119=phu!$I$33,M119=phu!$I$34,M119=phu!$I$35,M119=phu!$I$36,M119=phu!$I$37),"Cam Lộc",""),IF(OR(M119=phu!$I$38,M119=phu!$I$39,M119=phu!$I$40,M119=phu!$I$41,M119=phu!$I$42,M119=phu!$I$43,M119=phu!$I$44),"Cam Thuận",""),IF(OR(M119=phu!$I$45,M119=phu!$I$46,M119=phu!$I$47,M119=phu!$I$48,M119=phu!$I$49,M119=phu!$I$50,M119=phu!$I$51,M119=phu!$I$52,M119=phu!$I$53),"Cam Linh",""),IF(OR(M119=phu!$I$54,M119=phu!$I$55,M119=phu!$I$56,M119=phu!$I$57,M119=phu!$I$58,M119=phu!$I$59,M119=phu!$I$60,M119=phu!$I$61,M119=phu!$I$62),"Cam Lợi",""),IF(OR(M119=phu!$I$63,M119=phu!$I$64,M119=phu!$I$65,M119=phu!$I$66,M119=phu!$I$67,M119=phu!$I$68,M119=phu!$I$69,M119=phu!$I$70,M119=phu!$I$71),"Ba Ngòi",""),IF(OR(M119=phu!$I$72,M119=phu!$I$73,M119=phu!$I$74,M119=phu!$I$75,M119=phu!$I$76,M119=phu!$I$77,M119=phu!$I$78),"Cam Phước Đông",""),IF(OR(M119=phu!$I$79,M119=phu!$I$80,M119=phu!$I$81,M119=phu!$I$82,M119=phu!$I$83,M119=phu!$I$84),"Cam Thịnh Đông",""),IF(OR(M119=phu!$I$85,M119=phu!$I$86,M119=phu!$I$87,M119=phu!$I$88),"Cam Thịnh Tây",""),IF(OR(M119=phu!$I$89,M119=phu!$I$90),"Cam Lập",""),IF(OR(M119=phu!$I$91,M119=phu!$I$92,M119=phu!$I$93),"Cam Bình",""),IF(OR(M119=phu!$I$94,M119=phu!$I$95,M119=phu!$I$96,M119=phu!$I$97,M119=phu!$I$98,M119=phu!$I$99,M119=phu!$I$100),"Huyện khác",""),IF(OR(M119=phu!$I$101,M119=phu!$I$102),"Tỉnh khác",""))</f>
        <v/>
      </c>
      <c r="O119" s="814" t="str">
        <f t="shared" si="7"/>
        <v/>
      </c>
      <c r="P119" s="254"/>
      <c r="Q119" s="254"/>
      <c r="R119" s="254"/>
      <c r="S119" s="254"/>
      <c r="T119" s="254"/>
      <c r="U119" s="254"/>
      <c r="V119" s="254"/>
      <c r="W119" s="254"/>
      <c r="Y119" s="246" t="str">
        <f t="shared" si="8"/>
        <v/>
      </c>
      <c r="Z119" s="247" t="str">
        <f t="shared" si="6"/>
        <v/>
      </c>
      <c r="AA119" s="246" t="str">
        <f t="shared" si="9"/>
        <v/>
      </c>
    </row>
    <row r="120" spans="1:27" ht="18" customHeight="1" x14ac:dyDescent="0.25">
      <c r="A120" s="248" t="str">
        <f t="shared" si="10"/>
        <v/>
      </c>
      <c r="B120" s="249" t="str">
        <f t="shared" si="11"/>
        <v/>
      </c>
      <c r="C120" s="250"/>
      <c r="D120" s="251"/>
      <c r="E120" s="241"/>
      <c r="F120" s="252"/>
      <c r="G120" s="252"/>
      <c r="H120" s="253"/>
      <c r="I120" s="250"/>
      <c r="J120" s="250"/>
      <c r="K120" s="270"/>
      <c r="L120" s="250"/>
      <c r="M120" s="250"/>
      <c r="N120" s="553" t="str">
        <f>CONCATENATE(IF(OR(M120=phu!$I$1,M120=phu!$I$2,M120=phu!$I$3),"Cam Thành Nam",""),IF(OR(M120=phu!$I$4,M120=phu!$I$5,M120=phu!$I$6,M120=phu!$I$7,M120=phu!$I$8,M120=phu!$I$9,M120=phu!$I$10,M120=phu!$I$11,M120=phu!$I$12,M120=phu!$I$13,M120=phu!$I$14),"Cam Nghĩa",""),IF(OR(M120=phu!$I$15,M120=phu!$I$16,M120=phu!$I$17,M120=phu!$I$18,M120=phu!$I$19,M120=phu!$I$20,M120=phu!$I$21),"Cam Phúc Bắc",""),IF(OR(M120=phu!$I$22,M120=phu!$I$23,M120=phu!$I$24,M120=phu!$I$25),"Cam Phúc Nam",""),IF(OR(M120=phu!$I$26,M120=phu!$I$27,M120=phu!$I$28,M120=phu!$I$29,M120=phu!$I$30,M120=phu!$I$31),"Cam Phú",""),IF(OR(M120=phu!$I$32,M120=phu!$I$33,M120=phu!$I$34,M120=phu!$I$35,M120=phu!$I$36,M120=phu!$I$37),"Cam Lộc",""),IF(OR(M120=phu!$I$38,M120=phu!$I$39,M120=phu!$I$40,M120=phu!$I$41,M120=phu!$I$42,M120=phu!$I$43,M120=phu!$I$44),"Cam Thuận",""),IF(OR(M120=phu!$I$45,M120=phu!$I$46,M120=phu!$I$47,M120=phu!$I$48,M120=phu!$I$49,M120=phu!$I$50,M120=phu!$I$51,M120=phu!$I$52,M120=phu!$I$53),"Cam Linh",""),IF(OR(M120=phu!$I$54,M120=phu!$I$55,M120=phu!$I$56,M120=phu!$I$57,M120=phu!$I$58,M120=phu!$I$59,M120=phu!$I$60,M120=phu!$I$61,M120=phu!$I$62),"Cam Lợi",""),IF(OR(M120=phu!$I$63,M120=phu!$I$64,M120=phu!$I$65,M120=phu!$I$66,M120=phu!$I$67,M120=phu!$I$68,M120=phu!$I$69,M120=phu!$I$70,M120=phu!$I$71),"Ba Ngòi",""),IF(OR(M120=phu!$I$72,M120=phu!$I$73,M120=phu!$I$74,M120=phu!$I$75,M120=phu!$I$76,M120=phu!$I$77,M120=phu!$I$78),"Cam Phước Đông",""),IF(OR(M120=phu!$I$79,M120=phu!$I$80,M120=phu!$I$81,M120=phu!$I$82,M120=phu!$I$83,M120=phu!$I$84),"Cam Thịnh Đông",""),IF(OR(M120=phu!$I$85,M120=phu!$I$86,M120=phu!$I$87,M120=phu!$I$88),"Cam Thịnh Tây",""),IF(OR(M120=phu!$I$89,M120=phu!$I$90),"Cam Lập",""),IF(OR(M120=phu!$I$91,M120=phu!$I$92,M120=phu!$I$93),"Cam Bình",""),IF(OR(M120=phu!$I$94,M120=phu!$I$95,M120=phu!$I$96,M120=phu!$I$97,M120=phu!$I$98,M120=phu!$I$99,M120=phu!$I$100),"Huyện khác",""),IF(OR(M120=phu!$I$101,M120=phu!$I$102),"Tỉnh khác",""))</f>
        <v/>
      </c>
      <c r="O120" s="814" t="str">
        <f t="shared" si="7"/>
        <v/>
      </c>
      <c r="P120" s="254"/>
      <c r="Q120" s="254"/>
      <c r="R120" s="254"/>
      <c r="S120" s="254"/>
      <c r="T120" s="254"/>
      <c r="U120" s="254"/>
      <c r="V120" s="254"/>
      <c r="W120" s="254"/>
      <c r="Y120" s="246" t="str">
        <f t="shared" si="8"/>
        <v/>
      </c>
      <c r="Z120" s="247" t="str">
        <f t="shared" si="6"/>
        <v/>
      </c>
      <c r="AA120" s="246" t="str">
        <f t="shared" si="9"/>
        <v/>
      </c>
    </row>
    <row r="121" spans="1:27" ht="18" customHeight="1" x14ac:dyDescent="0.25">
      <c r="A121" s="248" t="str">
        <f t="shared" si="10"/>
        <v/>
      </c>
      <c r="B121" s="249" t="str">
        <f t="shared" si="11"/>
        <v/>
      </c>
      <c r="C121" s="250"/>
      <c r="D121" s="251"/>
      <c r="E121" s="241"/>
      <c r="F121" s="252"/>
      <c r="G121" s="252"/>
      <c r="H121" s="253"/>
      <c r="I121" s="250"/>
      <c r="J121" s="250"/>
      <c r="K121" s="270"/>
      <c r="L121" s="250"/>
      <c r="M121" s="250"/>
      <c r="N121" s="553" t="str">
        <f>CONCATENATE(IF(OR(M121=phu!$I$1,M121=phu!$I$2,M121=phu!$I$3),"Cam Thành Nam",""),IF(OR(M121=phu!$I$4,M121=phu!$I$5,M121=phu!$I$6,M121=phu!$I$7,M121=phu!$I$8,M121=phu!$I$9,M121=phu!$I$10,M121=phu!$I$11,M121=phu!$I$12,M121=phu!$I$13,M121=phu!$I$14),"Cam Nghĩa",""),IF(OR(M121=phu!$I$15,M121=phu!$I$16,M121=phu!$I$17,M121=phu!$I$18,M121=phu!$I$19,M121=phu!$I$20,M121=phu!$I$21),"Cam Phúc Bắc",""),IF(OR(M121=phu!$I$22,M121=phu!$I$23,M121=phu!$I$24,M121=phu!$I$25),"Cam Phúc Nam",""),IF(OR(M121=phu!$I$26,M121=phu!$I$27,M121=phu!$I$28,M121=phu!$I$29,M121=phu!$I$30,M121=phu!$I$31),"Cam Phú",""),IF(OR(M121=phu!$I$32,M121=phu!$I$33,M121=phu!$I$34,M121=phu!$I$35,M121=phu!$I$36,M121=phu!$I$37),"Cam Lộc",""),IF(OR(M121=phu!$I$38,M121=phu!$I$39,M121=phu!$I$40,M121=phu!$I$41,M121=phu!$I$42,M121=phu!$I$43,M121=phu!$I$44),"Cam Thuận",""),IF(OR(M121=phu!$I$45,M121=phu!$I$46,M121=phu!$I$47,M121=phu!$I$48,M121=phu!$I$49,M121=phu!$I$50,M121=phu!$I$51,M121=phu!$I$52,M121=phu!$I$53),"Cam Linh",""),IF(OR(M121=phu!$I$54,M121=phu!$I$55,M121=phu!$I$56,M121=phu!$I$57,M121=phu!$I$58,M121=phu!$I$59,M121=phu!$I$60,M121=phu!$I$61,M121=phu!$I$62),"Cam Lợi",""),IF(OR(M121=phu!$I$63,M121=phu!$I$64,M121=phu!$I$65,M121=phu!$I$66,M121=phu!$I$67,M121=phu!$I$68,M121=phu!$I$69,M121=phu!$I$70,M121=phu!$I$71),"Ba Ngòi",""),IF(OR(M121=phu!$I$72,M121=phu!$I$73,M121=phu!$I$74,M121=phu!$I$75,M121=phu!$I$76,M121=phu!$I$77,M121=phu!$I$78),"Cam Phước Đông",""),IF(OR(M121=phu!$I$79,M121=phu!$I$80,M121=phu!$I$81,M121=phu!$I$82,M121=phu!$I$83,M121=phu!$I$84),"Cam Thịnh Đông",""),IF(OR(M121=phu!$I$85,M121=phu!$I$86,M121=phu!$I$87,M121=phu!$I$88),"Cam Thịnh Tây",""),IF(OR(M121=phu!$I$89,M121=phu!$I$90),"Cam Lập",""),IF(OR(M121=phu!$I$91,M121=phu!$I$92,M121=phu!$I$93),"Cam Bình",""),IF(OR(M121=phu!$I$94,M121=phu!$I$95,M121=phu!$I$96,M121=phu!$I$97,M121=phu!$I$98,M121=phu!$I$99,M121=phu!$I$100),"Huyện khác",""),IF(OR(M121=phu!$I$101,M121=phu!$I$102),"Tỉnh khác",""))</f>
        <v/>
      </c>
      <c r="O121" s="814" t="str">
        <f t="shared" si="7"/>
        <v/>
      </c>
      <c r="P121" s="254"/>
      <c r="Q121" s="254"/>
      <c r="R121" s="254"/>
      <c r="S121" s="254"/>
      <c r="T121" s="254"/>
      <c r="U121" s="254"/>
      <c r="V121" s="254"/>
      <c r="W121" s="254"/>
      <c r="Y121" s="246" t="str">
        <f t="shared" si="8"/>
        <v/>
      </c>
      <c r="Z121" s="247" t="str">
        <f t="shared" si="6"/>
        <v/>
      </c>
      <c r="AA121" s="246" t="str">
        <f t="shared" si="9"/>
        <v/>
      </c>
    </row>
    <row r="122" spans="1:27" ht="18" customHeight="1" x14ac:dyDescent="0.25">
      <c r="A122" s="248" t="str">
        <f t="shared" si="10"/>
        <v/>
      </c>
      <c r="B122" s="249" t="str">
        <f t="shared" si="11"/>
        <v/>
      </c>
      <c r="C122" s="250"/>
      <c r="D122" s="251"/>
      <c r="E122" s="241"/>
      <c r="F122" s="252"/>
      <c r="G122" s="252"/>
      <c r="H122" s="253"/>
      <c r="I122" s="250"/>
      <c r="J122" s="250"/>
      <c r="K122" s="270"/>
      <c r="L122" s="250"/>
      <c r="M122" s="250"/>
      <c r="N122" s="553" t="str">
        <f>CONCATENATE(IF(OR(M122=phu!$I$1,M122=phu!$I$2,M122=phu!$I$3),"Cam Thành Nam",""),IF(OR(M122=phu!$I$4,M122=phu!$I$5,M122=phu!$I$6,M122=phu!$I$7,M122=phu!$I$8,M122=phu!$I$9,M122=phu!$I$10,M122=phu!$I$11,M122=phu!$I$12,M122=phu!$I$13,M122=phu!$I$14),"Cam Nghĩa",""),IF(OR(M122=phu!$I$15,M122=phu!$I$16,M122=phu!$I$17,M122=phu!$I$18,M122=phu!$I$19,M122=phu!$I$20,M122=phu!$I$21),"Cam Phúc Bắc",""),IF(OR(M122=phu!$I$22,M122=phu!$I$23,M122=phu!$I$24,M122=phu!$I$25),"Cam Phúc Nam",""),IF(OR(M122=phu!$I$26,M122=phu!$I$27,M122=phu!$I$28,M122=phu!$I$29,M122=phu!$I$30,M122=phu!$I$31),"Cam Phú",""),IF(OR(M122=phu!$I$32,M122=phu!$I$33,M122=phu!$I$34,M122=phu!$I$35,M122=phu!$I$36,M122=phu!$I$37),"Cam Lộc",""),IF(OR(M122=phu!$I$38,M122=phu!$I$39,M122=phu!$I$40,M122=phu!$I$41,M122=phu!$I$42,M122=phu!$I$43,M122=phu!$I$44),"Cam Thuận",""),IF(OR(M122=phu!$I$45,M122=phu!$I$46,M122=phu!$I$47,M122=phu!$I$48,M122=phu!$I$49,M122=phu!$I$50,M122=phu!$I$51,M122=phu!$I$52,M122=phu!$I$53),"Cam Linh",""),IF(OR(M122=phu!$I$54,M122=phu!$I$55,M122=phu!$I$56,M122=phu!$I$57,M122=phu!$I$58,M122=phu!$I$59,M122=phu!$I$60,M122=phu!$I$61,M122=phu!$I$62),"Cam Lợi",""),IF(OR(M122=phu!$I$63,M122=phu!$I$64,M122=phu!$I$65,M122=phu!$I$66,M122=phu!$I$67,M122=phu!$I$68,M122=phu!$I$69,M122=phu!$I$70,M122=phu!$I$71),"Ba Ngòi",""),IF(OR(M122=phu!$I$72,M122=phu!$I$73,M122=phu!$I$74,M122=phu!$I$75,M122=phu!$I$76,M122=phu!$I$77,M122=phu!$I$78),"Cam Phước Đông",""),IF(OR(M122=phu!$I$79,M122=phu!$I$80,M122=phu!$I$81,M122=phu!$I$82,M122=phu!$I$83,M122=phu!$I$84),"Cam Thịnh Đông",""),IF(OR(M122=phu!$I$85,M122=phu!$I$86,M122=phu!$I$87,M122=phu!$I$88),"Cam Thịnh Tây",""),IF(OR(M122=phu!$I$89,M122=phu!$I$90),"Cam Lập",""),IF(OR(M122=phu!$I$91,M122=phu!$I$92,M122=phu!$I$93),"Cam Bình",""),IF(OR(M122=phu!$I$94,M122=phu!$I$95,M122=phu!$I$96,M122=phu!$I$97,M122=phu!$I$98,M122=phu!$I$99,M122=phu!$I$100),"Huyện khác",""),IF(OR(M122=phu!$I$101,M122=phu!$I$102),"Tỉnh khác",""))</f>
        <v/>
      </c>
      <c r="O122" s="814" t="str">
        <f t="shared" si="7"/>
        <v/>
      </c>
      <c r="P122" s="254"/>
      <c r="Q122" s="254"/>
      <c r="R122" s="254"/>
      <c r="S122" s="254"/>
      <c r="T122" s="254"/>
      <c r="U122" s="254"/>
      <c r="V122" s="254"/>
      <c r="W122" s="254"/>
      <c r="Y122" s="246" t="str">
        <f t="shared" si="8"/>
        <v/>
      </c>
      <c r="Z122" s="247" t="str">
        <f t="shared" si="6"/>
        <v/>
      </c>
      <c r="AA122" s="246" t="str">
        <f t="shared" si="9"/>
        <v/>
      </c>
    </row>
    <row r="123" spans="1:27" ht="18" customHeight="1" x14ac:dyDescent="0.25">
      <c r="A123" s="248" t="str">
        <f t="shared" si="10"/>
        <v/>
      </c>
      <c r="B123" s="249" t="str">
        <f t="shared" si="11"/>
        <v/>
      </c>
      <c r="C123" s="250"/>
      <c r="D123" s="251"/>
      <c r="E123" s="241"/>
      <c r="F123" s="252"/>
      <c r="G123" s="252"/>
      <c r="H123" s="253"/>
      <c r="I123" s="250"/>
      <c r="J123" s="250"/>
      <c r="K123" s="270"/>
      <c r="L123" s="250"/>
      <c r="M123" s="250"/>
      <c r="N123" s="553" t="str">
        <f>CONCATENATE(IF(OR(M123=phu!$I$1,M123=phu!$I$2,M123=phu!$I$3),"Cam Thành Nam",""),IF(OR(M123=phu!$I$4,M123=phu!$I$5,M123=phu!$I$6,M123=phu!$I$7,M123=phu!$I$8,M123=phu!$I$9,M123=phu!$I$10,M123=phu!$I$11,M123=phu!$I$12,M123=phu!$I$13,M123=phu!$I$14),"Cam Nghĩa",""),IF(OR(M123=phu!$I$15,M123=phu!$I$16,M123=phu!$I$17,M123=phu!$I$18,M123=phu!$I$19,M123=phu!$I$20,M123=phu!$I$21),"Cam Phúc Bắc",""),IF(OR(M123=phu!$I$22,M123=phu!$I$23,M123=phu!$I$24,M123=phu!$I$25),"Cam Phúc Nam",""),IF(OR(M123=phu!$I$26,M123=phu!$I$27,M123=phu!$I$28,M123=phu!$I$29,M123=phu!$I$30,M123=phu!$I$31),"Cam Phú",""),IF(OR(M123=phu!$I$32,M123=phu!$I$33,M123=phu!$I$34,M123=phu!$I$35,M123=phu!$I$36,M123=phu!$I$37),"Cam Lộc",""),IF(OR(M123=phu!$I$38,M123=phu!$I$39,M123=phu!$I$40,M123=phu!$I$41,M123=phu!$I$42,M123=phu!$I$43,M123=phu!$I$44),"Cam Thuận",""),IF(OR(M123=phu!$I$45,M123=phu!$I$46,M123=phu!$I$47,M123=phu!$I$48,M123=phu!$I$49,M123=phu!$I$50,M123=phu!$I$51,M123=phu!$I$52,M123=phu!$I$53),"Cam Linh",""),IF(OR(M123=phu!$I$54,M123=phu!$I$55,M123=phu!$I$56,M123=phu!$I$57,M123=phu!$I$58,M123=phu!$I$59,M123=phu!$I$60,M123=phu!$I$61,M123=phu!$I$62),"Cam Lợi",""),IF(OR(M123=phu!$I$63,M123=phu!$I$64,M123=phu!$I$65,M123=phu!$I$66,M123=phu!$I$67,M123=phu!$I$68,M123=phu!$I$69,M123=phu!$I$70,M123=phu!$I$71),"Ba Ngòi",""),IF(OR(M123=phu!$I$72,M123=phu!$I$73,M123=phu!$I$74,M123=phu!$I$75,M123=phu!$I$76,M123=phu!$I$77,M123=phu!$I$78),"Cam Phước Đông",""),IF(OR(M123=phu!$I$79,M123=phu!$I$80,M123=phu!$I$81,M123=phu!$I$82,M123=phu!$I$83,M123=phu!$I$84),"Cam Thịnh Đông",""),IF(OR(M123=phu!$I$85,M123=phu!$I$86,M123=phu!$I$87,M123=phu!$I$88),"Cam Thịnh Tây",""),IF(OR(M123=phu!$I$89,M123=phu!$I$90),"Cam Lập",""),IF(OR(M123=phu!$I$91,M123=phu!$I$92,M123=phu!$I$93),"Cam Bình",""),IF(OR(M123=phu!$I$94,M123=phu!$I$95,M123=phu!$I$96,M123=phu!$I$97,M123=phu!$I$98,M123=phu!$I$99,M123=phu!$I$100),"Huyện khác",""),IF(OR(M123=phu!$I$101,M123=phu!$I$102),"Tỉnh khác",""))</f>
        <v/>
      </c>
      <c r="O123" s="814" t="str">
        <f t="shared" si="7"/>
        <v/>
      </c>
      <c r="P123" s="254"/>
      <c r="Q123" s="254"/>
      <c r="R123" s="254"/>
      <c r="S123" s="254"/>
      <c r="T123" s="254"/>
      <c r="U123" s="254"/>
      <c r="V123" s="254"/>
      <c r="W123" s="254"/>
      <c r="Y123" s="246" t="str">
        <f t="shared" si="8"/>
        <v/>
      </c>
      <c r="Z123" s="247" t="str">
        <f t="shared" si="6"/>
        <v/>
      </c>
      <c r="AA123" s="246" t="str">
        <f t="shared" si="9"/>
        <v/>
      </c>
    </row>
    <row r="124" spans="1:27" ht="18" customHeight="1" x14ac:dyDescent="0.25">
      <c r="A124" s="248" t="str">
        <f t="shared" si="10"/>
        <v/>
      </c>
      <c r="B124" s="249" t="str">
        <f t="shared" si="11"/>
        <v/>
      </c>
      <c r="C124" s="250"/>
      <c r="D124" s="251"/>
      <c r="E124" s="241"/>
      <c r="F124" s="252"/>
      <c r="G124" s="252"/>
      <c r="H124" s="253"/>
      <c r="I124" s="250"/>
      <c r="J124" s="250"/>
      <c r="K124" s="270"/>
      <c r="L124" s="250"/>
      <c r="M124" s="250"/>
      <c r="N124" s="553" t="str">
        <f>CONCATENATE(IF(OR(M124=phu!$I$1,M124=phu!$I$2,M124=phu!$I$3),"Cam Thành Nam",""),IF(OR(M124=phu!$I$4,M124=phu!$I$5,M124=phu!$I$6,M124=phu!$I$7,M124=phu!$I$8,M124=phu!$I$9,M124=phu!$I$10,M124=phu!$I$11,M124=phu!$I$12,M124=phu!$I$13,M124=phu!$I$14),"Cam Nghĩa",""),IF(OR(M124=phu!$I$15,M124=phu!$I$16,M124=phu!$I$17,M124=phu!$I$18,M124=phu!$I$19,M124=phu!$I$20,M124=phu!$I$21),"Cam Phúc Bắc",""),IF(OR(M124=phu!$I$22,M124=phu!$I$23,M124=phu!$I$24,M124=phu!$I$25),"Cam Phúc Nam",""),IF(OR(M124=phu!$I$26,M124=phu!$I$27,M124=phu!$I$28,M124=phu!$I$29,M124=phu!$I$30,M124=phu!$I$31),"Cam Phú",""),IF(OR(M124=phu!$I$32,M124=phu!$I$33,M124=phu!$I$34,M124=phu!$I$35,M124=phu!$I$36,M124=phu!$I$37),"Cam Lộc",""),IF(OR(M124=phu!$I$38,M124=phu!$I$39,M124=phu!$I$40,M124=phu!$I$41,M124=phu!$I$42,M124=phu!$I$43,M124=phu!$I$44),"Cam Thuận",""),IF(OR(M124=phu!$I$45,M124=phu!$I$46,M124=phu!$I$47,M124=phu!$I$48,M124=phu!$I$49,M124=phu!$I$50,M124=phu!$I$51,M124=phu!$I$52,M124=phu!$I$53),"Cam Linh",""),IF(OR(M124=phu!$I$54,M124=phu!$I$55,M124=phu!$I$56,M124=phu!$I$57,M124=phu!$I$58,M124=phu!$I$59,M124=phu!$I$60,M124=phu!$I$61,M124=phu!$I$62),"Cam Lợi",""),IF(OR(M124=phu!$I$63,M124=phu!$I$64,M124=phu!$I$65,M124=phu!$I$66,M124=phu!$I$67,M124=phu!$I$68,M124=phu!$I$69,M124=phu!$I$70,M124=phu!$I$71),"Ba Ngòi",""),IF(OR(M124=phu!$I$72,M124=phu!$I$73,M124=phu!$I$74,M124=phu!$I$75,M124=phu!$I$76,M124=phu!$I$77,M124=phu!$I$78),"Cam Phước Đông",""),IF(OR(M124=phu!$I$79,M124=phu!$I$80,M124=phu!$I$81,M124=phu!$I$82,M124=phu!$I$83,M124=phu!$I$84),"Cam Thịnh Đông",""),IF(OR(M124=phu!$I$85,M124=phu!$I$86,M124=phu!$I$87,M124=phu!$I$88),"Cam Thịnh Tây",""),IF(OR(M124=phu!$I$89,M124=phu!$I$90),"Cam Lập",""),IF(OR(M124=phu!$I$91,M124=phu!$I$92,M124=phu!$I$93),"Cam Bình",""),IF(OR(M124=phu!$I$94,M124=phu!$I$95,M124=phu!$I$96,M124=phu!$I$97,M124=phu!$I$98,M124=phu!$I$99,M124=phu!$I$100),"Huyện khác",""),IF(OR(M124=phu!$I$101,M124=phu!$I$102),"Tỉnh khác",""))</f>
        <v/>
      </c>
      <c r="O124" s="814" t="str">
        <f t="shared" si="7"/>
        <v/>
      </c>
      <c r="P124" s="254"/>
      <c r="Q124" s="254"/>
      <c r="R124" s="254"/>
      <c r="S124" s="254"/>
      <c r="T124" s="254"/>
      <c r="U124" s="254"/>
      <c r="V124" s="254"/>
      <c r="W124" s="254"/>
      <c r="Y124" s="246" t="str">
        <f t="shared" si="8"/>
        <v/>
      </c>
      <c r="Z124" s="247" t="str">
        <f t="shared" si="6"/>
        <v/>
      </c>
      <c r="AA124" s="246" t="str">
        <f t="shared" si="9"/>
        <v/>
      </c>
    </row>
    <row r="125" spans="1:27" ht="18" customHeight="1" x14ac:dyDescent="0.25">
      <c r="A125" s="248" t="str">
        <f t="shared" si="10"/>
        <v/>
      </c>
      <c r="B125" s="249" t="str">
        <f t="shared" si="11"/>
        <v/>
      </c>
      <c r="C125" s="250"/>
      <c r="D125" s="251"/>
      <c r="E125" s="241"/>
      <c r="F125" s="252"/>
      <c r="G125" s="252"/>
      <c r="H125" s="253"/>
      <c r="I125" s="250"/>
      <c r="J125" s="250"/>
      <c r="K125" s="270"/>
      <c r="L125" s="250"/>
      <c r="M125" s="250"/>
      <c r="N125" s="553" t="str">
        <f>CONCATENATE(IF(OR(M125=phu!$I$1,M125=phu!$I$2,M125=phu!$I$3),"Cam Thành Nam",""),IF(OR(M125=phu!$I$4,M125=phu!$I$5,M125=phu!$I$6,M125=phu!$I$7,M125=phu!$I$8,M125=phu!$I$9,M125=phu!$I$10,M125=phu!$I$11,M125=phu!$I$12,M125=phu!$I$13,M125=phu!$I$14),"Cam Nghĩa",""),IF(OR(M125=phu!$I$15,M125=phu!$I$16,M125=phu!$I$17,M125=phu!$I$18,M125=phu!$I$19,M125=phu!$I$20,M125=phu!$I$21),"Cam Phúc Bắc",""),IF(OR(M125=phu!$I$22,M125=phu!$I$23,M125=phu!$I$24,M125=phu!$I$25),"Cam Phúc Nam",""),IF(OR(M125=phu!$I$26,M125=phu!$I$27,M125=phu!$I$28,M125=phu!$I$29,M125=phu!$I$30,M125=phu!$I$31),"Cam Phú",""),IF(OR(M125=phu!$I$32,M125=phu!$I$33,M125=phu!$I$34,M125=phu!$I$35,M125=phu!$I$36,M125=phu!$I$37),"Cam Lộc",""),IF(OR(M125=phu!$I$38,M125=phu!$I$39,M125=phu!$I$40,M125=phu!$I$41,M125=phu!$I$42,M125=phu!$I$43,M125=phu!$I$44),"Cam Thuận",""),IF(OR(M125=phu!$I$45,M125=phu!$I$46,M125=phu!$I$47,M125=phu!$I$48,M125=phu!$I$49,M125=phu!$I$50,M125=phu!$I$51,M125=phu!$I$52,M125=phu!$I$53),"Cam Linh",""),IF(OR(M125=phu!$I$54,M125=phu!$I$55,M125=phu!$I$56,M125=phu!$I$57,M125=phu!$I$58,M125=phu!$I$59,M125=phu!$I$60,M125=phu!$I$61,M125=phu!$I$62),"Cam Lợi",""),IF(OR(M125=phu!$I$63,M125=phu!$I$64,M125=phu!$I$65,M125=phu!$I$66,M125=phu!$I$67,M125=phu!$I$68,M125=phu!$I$69,M125=phu!$I$70,M125=phu!$I$71),"Ba Ngòi",""),IF(OR(M125=phu!$I$72,M125=phu!$I$73,M125=phu!$I$74,M125=phu!$I$75,M125=phu!$I$76,M125=phu!$I$77,M125=phu!$I$78),"Cam Phước Đông",""),IF(OR(M125=phu!$I$79,M125=phu!$I$80,M125=phu!$I$81,M125=phu!$I$82,M125=phu!$I$83,M125=phu!$I$84),"Cam Thịnh Đông",""),IF(OR(M125=phu!$I$85,M125=phu!$I$86,M125=phu!$I$87,M125=phu!$I$88),"Cam Thịnh Tây",""),IF(OR(M125=phu!$I$89,M125=phu!$I$90),"Cam Lập",""),IF(OR(M125=phu!$I$91,M125=phu!$I$92,M125=phu!$I$93),"Cam Bình",""),IF(OR(M125=phu!$I$94,M125=phu!$I$95,M125=phu!$I$96,M125=phu!$I$97,M125=phu!$I$98,M125=phu!$I$99,M125=phu!$I$100),"Huyện khác",""),IF(OR(M125=phu!$I$101,M125=phu!$I$102),"Tỉnh khác",""))</f>
        <v/>
      </c>
      <c r="O125" s="814" t="str">
        <f t="shared" si="7"/>
        <v/>
      </c>
      <c r="P125" s="254"/>
      <c r="Q125" s="254"/>
      <c r="R125" s="254"/>
      <c r="S125" s="254"/>
      <c r="T125" s="254"/>
      <c r="U125" s="254"/>
      <c r="V125" s="254"/>
      <c r="W125" s="254"/>
      <c r="Y125" s="246" t="str">
        <f t="shared" si="8"/>
        <v/>
      </c>
      <c r="Z125" s="247" t="str">
        <f t="shared" si="6"/>
        <v/>
      </c>
      <c r="AA125" s="246" t="str">
        <f t="shared" si="9"/>
        <v/>
      </c>
    </row>
    <row r="126" spans="1:27" ht="18" customHeight="1" x14ac:dyDescent="0.25">
      <c r="A126" s="248" t="str">
        <f t="shared" si="10"/>
        <v/>
      </c>
      <c r="B126" s="249" t="str">
        <f t="shared" si="11"/>
        <v/>
      </c>
      <c r="C126" s="250"/>
      <c r="D126" s="251"/>
      <c r="E126" s="241"/>
      <c r="F126" s="252"/>
      <c r="G126" s="252"/>
      <c r="H126" s="253"/>
      <c r="I126" s="250"/>
      <c r="J126" s="250"/>
      <c r="K126" s="270"/>
      <c r="L126" s="250"/>
      <c r="M126" s="250"/>
      <c r="N126" s="553" t="str">
        <f>CONCATENATE(IF(OR(M126=phu!$I$1,M126=phu!$I$2,M126=phu!$I$3),"Cam Thành Nam",""),IF(OR(M126=phu!$I$4,M126=phu!$I$5,M126=phu!$I$6,M126=phu!$I$7,M126=phu!$I$8,M126=phu!$I$9,M126=phu!$I$10,M126=phu!$I$11,M126=phu!$I$12,M126=phu!$I$13,M126=phu!$I$14),"Cam Nghĩa",""),IF(OR(M126=phu!$I$15,M126=phu!$I$16,M126=phu!$I$17,M126=phu!$I$18,M126=phu!$I$19,M126=phu!$I$20,M126=phu!$I$21),"Cam Phúc Bắc",""),IF(OR(M126=phu!$I$22,M126=phu!$I$23,M126=phu!$I$24,M126=phu!$I$25),"Cam Phúc Nam",""),IF(OR(M126=phu!$I$26,M126=phu!$I$27,M126=phu!$I$28,M126=phu!$I$29,M126=phu!$I$30,M126=phu!$I$31),"Cam Phú",""),IF(OR(M126=phu!$I$32,M126=phu!$I$33,M126=phu!$I$34,M126=phu!$I$35,M126=phu!$I$36,M126=phu!$I$37),"Cam Lộc",""),IF(OR(M126=phu!$I$38,M126=phu!$I$39,M126=phu!$I$40,M126=phu!$I$41,M126=phu!$I$42,M126=phu!$I$43,M126=phu!$I$44),"Cam Thuận",""),IF(OR(M126=phu!$I$45,M126=phu!$I$46,M126=phu!$I$47,M126=phu!$I$48,M126=phu!$I$49,M126=phu!$I$50,M126=phu!$I$51,M126=phu!$I$52,M126=phu!$I$53),"Cam Linh",""),IF(OR(M126=phu!$I$54,M126=phu!$I$55,M126=phu!$I$56,M126=phu!$I$57,M126=phu!$I$58,M126=phu!$I$59,M126=phu!$I$60,M126=phu!$I$61,M126=phu!$I$62),"Cam Lợi",""),IF(OR(M126=phu!$I$63,M126=phu!$I$64,M126=phu!$I$65,M126=phu!$I$66,M126=phu!$I$67,M126=phu!$I$68,M126=phu!$I$69,M126=phu!$I$70,M126=phu!$I$71),"Ba Ngòi",""),IF(OR(M126=phu!$I$72,M126=phu!$I$73,M126=phu!$I$74,M126=phu!$I$75,M126=phu!$I$76,M126=phu!$I$77,M126=phu!$I$78),"Cam Phước Đông",""),IF(OR(M126=phu!$I$79,M126=phu!$I$80,M126=phu!$I$81,M126=phu!$I$82,M126=phu!$I$83,M126=phu!$I$84),"Cam Thịnh Đông",""),IF(OR(M126=phu!$I$85,M126=phu!$I$86,M126=phu!$I$87,M126=phu!$I$88),"Cam Thịnh Tây",""),IF(OR(M126=phu!$I$89,M126=phu!$I$90),"Cam Lập",""),IF(OR(M126=phu!$I$91,M126=phu!$I$92,M126=phu!$I$93),"Cam Bình",""),IF(OR(M126=phu!$I$94,M126=phu!$I$95,M126=phu!$I$96,M126=phu!$I$97,M126=phu!$I$98,M126=phu!$I$99,M126=phu!$I$100),"Huyện khác",""),IF(OR(M126=phu!$I$101,M126=phu!$I$102),"Tỉnh khác",""))</f>
        <v/>
      </c>
      <c r="O126" s="814" t="str">
        <f t="shared" si="7"/>
        <v/>
      </c>
      <c r="P126" s="254"/>
      <c r="Q126" s="254"/>
      <c r="R126" s="254"/>
      <c r="S126" s="254"/>
      <c r="T126" s="254"/>
      <c r="U126" s="254"/>
      <c r="V126" s="254"/>
      <c r="W126" s="254"/>
      <c r="Y126" s="246" t="str">
        <f t="shared" si="8"/>
        <v/>
      </c>
      <c r="Z126" s="247" t="str">
        <f t="shared" si="6"/>
        <v/>
      </c>
      <c r="AA126" s="246" t="str">
        <f t="shared" si="9"/>
        <v/>
      </c>
    </row>
    <row r="127" spans="1:27" ht="18" customHeight="1" x14ac:dyDescent="0.25">
      <c r="A127" s="248" t="str">
        <f t="shared" si="10"/>
        <v/>
      </c>
      <c r="B127" s="249" t="str">
        <f t="shared" si="11"/>
        <v/>
      </c>
      <c r="C127" s="250"/>
      <c r="D127" s="251"/>
      <c r="E127" s="241"/>
      <c r="F127" s="252"/>
      <c r="G127" s="252"/>
      <c r="H127" s="253"/>
      <c r="I127" s="250"/>
      <c r="J127" s="250"/>
      <c r="K127" s="270"/>
      <c r="L127" s="250"/>
      <c r="M127" s="250"/>
      <c r="N127" s="553" t="str">
        <f>CONCATENATE(IF(OR(M127=phu!$I$1,M127=phu!$I$2,M127=phu!$I$3),"Cam Thành Nam",""),IF(OR(M127=phu!$I$4,M127=phu!$I$5,M127=phu!$I$6,M127=phu!$I$7,M127=phu!$I$8,M127=phu!$I$9,M127=phu!$I$10,M127=phu!$I$11,M127=phu!$I$12,M127=phu!$I$13,M127=phu!$I$14),"Cam Nghĩa",""),IF(OR(M127=phu!$I$15,M127=phu!$I$16,M127=phu!$I$17,M127=phu!$I$18,M127=phu!$I$19,M127=phu!$I$20,M127=phu!$I$21),"Cam Phúc Bắc",""),IF(OR(M127=phu!$I$22,M127=phu!$I$23,M127=phu!$I$24,M127=phu!$I$25),"Cam Phúc Nam",""),IF(OR(M127=phu!$I$26,M127=phu!$I$27,M127=phu!$I$28,M127=phu!$I$29,M127=phu!$I$30,M127=phu!$I$31),"Cam Phú",""),IF(OR(M127=phu!$I$32,M127=phu!$I$33,M127=phu!$I$34,M127=phu!$I$35,M127=phu!$I$36,M127=phu!$I$37),"Cam Lộc",""),IF(OR(M127=phu!$I$38,M127=phu!$I$39,M127=phu!$I$40,M127=phu!$I$41,M127=phu!$I$42,M127=phu!$I$43,M127=phu!$I$44),"Cam Thuận",""),IF(OR(M127=phu!$I$45,M127=phu!$I$46,M127=phu!$I$47,M127=phu!$I$48,M127=phu!$I$49,M127=phu!$I$50,M127=phu!$I$51,M127=phu!$I$52,M127=phu!$I$53),"Cam Linh",""),IF(OR(M127=phu!$I$54,M127=phu!$I$55,M127=phu!$I$56,M127=phu!$I$57,M127=phu!$I$58,M127=phu!$I$59,M127=phu!$I$60,M127=phu!$I$61,M127=phu!$I$62),"Cam Lợi",""),IF(OR(M127=phu!$I$63,M127=phu!$I$64,M127=phu!$I$65,M127=phu!$I$66,M127=phu!$I$67,M127=phu!$I$68,M127=phu!$I$69,M127=phu!$I$70,M127=phu!$I$71),"Ba Ngòi",""),IF(OR(M127=phu!$I$72,M127=phu!$I$73,M127=phu!$I$74,M127=phu!$I$75,M127=phu!$I$76,M127=phu!$I$77,M127=phu!$I$78),"Cam Phước Đông",""),IF(OR(M127=phu!$I$79,M127=phu!$I$80,M127=phu!$I$81,M127=phu!$I$82,M127=phu!$I$83,M127=phu!$I$84),"Cam Thịnh Đông",""),IF(OR(M127=phu!$I$85,M127=phu!$I$86,M127=phu!$I$87,M127=phu!$I$88),"Cam Thịnh Tây",""),IF(OR(M127=phu!$I$89,M127=phu!$I$90),"Cam Lập",""),IF(OR(M127=phu!$I$91,M127=phu!$I$92,M127=phu!$I$93),"Cam Bình",""),IF(OR(M127=phu!$I$94,M127=phu!$I$95,M127=phu!$I$96,M127=phu!$I$97,M127=phu!$I$98,M127=phu!$I$99,M127=phu!$I$100),"Huyện khác",""),IF(OR(M127=phu!$I$101,M127=phu!$I$102),"Tỉnh khác",""))</f>
        <v/>
      </c>
      <c r="O127" s="814" t="str">
        <f t="shared" si="7"/>
        <v/>
      </c>
      <c r="P127" s="254"/>
      <c r="Q127" s="254"/>
      <c r="R127" s="254"/>
      <c r="S127" s="254"/>
      <c r="T127" s="254"/>
      <c r="U127" s="254"/>
      <c r="V127" s="254"/>
      <c r="W127" s="254"/>
      <c r="Y127" s="246" t="str">
        <f t="shared" si="8"/>
        <v/>
      </c>
      <c r="Z127" s="247" t="str">
        <f t="shared" si="6"/>
        <v/>
      </c>
      <c r="AA127" s="246" t="str">
        <f t="shared" si="9"/>
        <v/>
      </c>
    </row>
    <row r="128" spans="1:27" ht="18" customHeight="1" x14ac:dyDescent="0.25">
      <c r="A128" s="248" t="str">
        <f t="shared" si="10"/>
        <v/>
      </c>
      <c r="B128" s="249" t="str">
        <f t="shared" si="11"/>
        <v/>
      </c>
      <c r="C128" s="250"/>
      <c r="D128" s="251"/>
      <c r="E128" s="241"/>
      <c r="F128" s="252"/>
      <c r="G128" s="252"/>
      <c r="H128" s="253"/>
      <c r="I128" s="250"/>
      <c r="J128" s="250"/>
      <c r="K128" s="270"/>
      <c r="L128" s="250"/>
      <c r="M128" s="250"/>
      <c r="N128" s="553" t="str">
        <f>CONCATENATE(IF(OR(M128=phu!$I$1,M128=phu!$I$2,M128=phu!$I$3),"Cam Thành Nam",""),IF(OR(M128=phu!$I$4,M128=phu!$I$5,M128=phu!$I$6,M128=phu!$I$7,M128=phu!$I$8,M128=phu!$I$9,M128=phu!$I$10,M128=phu!$I$11,M128=phu!$I$12,M128=phu!$I$13,M128=phu!$I$14),"Cam Nghĩa",""),IF(OR(M128=phu!$I$15,M128=phu!$I$16,M128=phu!$I$17,M128=phu!$I$18,M128=phu!$I$19,M128=phu!$I$20,M128=phu!$I$21),"Cam Phúc Bắc",""),IF(OR(M128=phu!$I$22,M128=phu!$I$23,M128=phu!$I$24,M128=phu!$I$25),"Cam Phúc Nam",""),IF(OR(M128=phu!$I$26,M128=phu!$I$27,M128=phu!$I$28,M128=phu!$I$29,M128=phu!$I$30,M128=phu!$I$31),"Cam Phú",""),IF(OR(M128=phu!$I$32,M128=phu!$I$33,M128=phu!$I$34,M128=phu!$I$35,M128=phu!$I$36,M128=phu!$I$37),"Cam Lộc",""),IF(OR(M128=phu!$I$38,M128=phu!$I$39,M128=phu!$I$40,M128=phu!$I$41,M128=phu!$I$42,M128=phu!$I$43,M128=phu!$I$44),"Cam Thuận",""),IF(OR(M128=phu!$I$45,M128=phu!$I$46,M128=phu!$I$47,M128=phu!$I$48,M128=phu!$I$49,M128=phu!$I$50,M128=phu!$I$51,M128=phu!$I$52,M128=phu!$I$53),"Cam Linh",""),IF(OR(M128=phu!$I$54,M128=phu!$I$55,M128=phu!$I$56,M128=phu!$I$57,M128=phu!$I$58,M128=phu!$I$59,M128=phu!$I$60,M128=phu!$I$61,M128=phu!$I$62),"Cam Lợi",""),IF(OR(M128=phu!$I$63,M128=phu!$I$64,M128=phu!$I$65,M128=phu!$I$66,M128=phu!$I$67,M128=phu!$I$68,M128=phu!$I$69,M128=phu!$I$70,M128=phu!$I$71),"Ba Ngòi",""),IF(OR(M128=phu!$I$72,M128=phu!$I$73,M128=phu!$I$74,M128=phu!$I$75,M128=phu!$I$76,M128=phu!$I$77,M128=phu!$I$78),"Cam Phước Đông",""),IF(OR(M128=phu!$I$79,M128=phu!$I$80,M128=phu!$I$81,M128=phu!$I$82,M128=phu!$I$83,M128=phu!$I$84),"Cam Thịnh Đông",""),IF(OR(M128=phu!$I$85,M128=phu!$I$86,M128=phu!$I$87,M128=phu!$I$88),"Cam Thịnh Tây",""),IF(OR(M128=phu!$I$89,M128=phu!$I$90),"Cam Lập",""),IF(OR(M128=phu!$I$91,M128=phu!$I$92,M128=phu!$I$93),"Cam Bình",""),IF(OR(M128=phu!$I$94,M128=phu!$I$95,M128=phu!$I$96,M128=phu!$I$97,M128=phu!$I$98,M128=phu!$I$99,M128=phu!$I$100),"Huyện khác",""),IF(OR(M128=phu!$I$101,M128=phu!$I$102),"Tỉnh khác",""))</f>
        <v/>
      </c>
      <c r="O128" s="814" t="str">
        <f t="shared" si="7"/>
        <v/>
      </c>
      <c r="P128" s="254"/>
      <c r="Q128" s="254"/>
      <c r="R128" s="254"/>
      <c r="S128" s="254"/>
      <c r="T128" s="254"/>
      <c r="U128" s="254"/>
      <c r="V128" s="254"/>
      <c r="W128" s="254"/>
      <c r="Y128" s="246" t="str">
        <f t="shared" si="8"/>
        <v/>
      </c>
      <c r="Z128" s="247" t="str">
        <f t="shared" si="6"/>
        <v/>
      </c>
      <c r="AA128" s="246" t="str">
        <f t="shared" si="9"/>
        <v/>
      </c>
    </row>
    <row r="129" spans="1:27" ht="18" customHeight="1" x14ac:dyDescent="0.25">
      <c r="A129" s="248" t="str">
        <f t="shared" si="10"/>
        <v/>
      </c>
      <c r="B129" s="249" t="str">
        <f t="shared" si="11"/>
        <v/>
      </c>
      <c r="C129" s="250"/>
      <c r="D129" s="251"/>
      <c r="E129" s="241"/>
      <c r="F129" s="252"/>
      <c r="G129" s="252"/>
      <c r="H129" s="253"/>
      <c r="I129" s="250"/>
      <c r="J129" s="250"/>
      <c r="K129" s="270"/>
      <c r="L129" s="250"/>
      <c r="M129" s="250"/>
      <c r="N129" s="553" t="str">
        <f>CONCATENATE(IF(OR(M129=phu!$I$1,M129=phu!$I$2,M129=phu!$I$3),"Cam Thành Nam",""),IF(OR(M129=phu!$I$4,M129=phu!$I$5,M129=phu!$I$6,M129=phu!$I$7,M129=phu!$I$8,M129=phu!$I$9,M129=phu!$I$10,M129=phu!$I$11,M129=phu!$I$12,M129=phu!$I$13,M129=phu!$I$14),"Cam Nghĩa",""),IF(OR(M129=phu!$I$15,M129=phu!$I$16,M129=phu!$I$17,M129=phu!$I$18,M129=phu!$I$19,M129=phu!$I$20,M129=phu!$I$21),"Cam Phúc Bắc",""),IF(OR(M129=phu!$I$22,M129=phu!$I$23,M129=phu!$I$24,M129=phu!$I$25),"Cam Phúc Nam",""),IF(OR(M129=phu!$I$26,M129=phu!$I$27,M129=phu!$I$28,M129=phu!$I$29,M129=phu!$I$30,M129=phu!$I$31),"Cam Phú",""),IF(OR(M129=phu!$I$32,M129=phu!$I$33,M129=phu!$I$34,M129=phu!$I$35,M129=phu!$I$36,M129=phu!$I$37),"Cam Lộc",""),IF(OR(M129=phu!$I$38,M129=phu!$I$39,M129=phu!$I$40,M129=phu!$I$41,M129=phu!$I$42,M129=phu!$I$43,M129=phu!$I$44),"Cam Thuận",""),IF(OR(M129=phu!$I$45,M129=phu!$I$46,M129=phu!$I$47,M129=phu!$I$48,M129=phu!$I$49,M129=phu!$I$50,M129=phu!$I$51,M129=phu!$I$52,M129=phu!$I$53),"Cam Linh",""),IF(OR(M129=phu!$I$54,M129=phu!$I$55,M129=phu!$I$56,M129=phu!$I$57,M129=phu!$I$58,M129=phu!$I$59,M129=phu!$I$60,M129=phu!$I$61,M129=phu!$I$62),"Cam Lợi",""),IF(OR(M129=phu!$I$63,M129=phu!$I$64,M129=phu!$I$65,M129=phu!$I$66,M129=phu!$I$67,M129=phu!$I$68,M129=phu!$I$69,M129=phu!$I$70,M129=phu!$I$71),"Ba Ngòi",""),IF(OR(M129=phu!$I$72,M129=phu!$I$73,M129=phu!$I$74,M129=phu!$I$75,M129=phu!$I$76,M129=phu!$I$77,M129=phu!$I$78),"Cam Phước Đông",""),IF(OR(M129=phu!$I$79,M129=phu!$I$80,M129=phu!$I$81,M129=phu!$I$82,M129=phu!$I$83,M129=phu!$I$84),"Cam Thịnh Đông",""),IF(OR(M129=phu!$I$85,M129=phu!$I$86,M129=phu!$I$87,M129=phu!$I$88),"Cam Thịnh Tây",""),IF(OR(M129=phu!$I$89,M129=phu!$I$90),"Cam Lập",""),IF(OR(M129=phu!$I$91,M129=phu!$I$92,M129=phu!$I$93),"Cam Bình",""),IF(OR(M129=phu!$I$94,M129=phu!$I$95,M129=phu!$I$96,M129=phu!$I$97,M129=phu!$I$98,M129=phu!$I$99,M129=phu!$I$100),"Huyện khác",""),IF(OR(M129=phu!$I$101,M129=phu!$I$102),"Tỉnh khác",""))</f>
        <v/>
      </c>
      <c r="O129" s="814" t="str">
        <f t="shared" si="7"/>
        <v/>
      </c>
      <c r="P129" s="254"/>
      <c r="Q129" s="254"/>
      <c r="R129" s="254"/>
      <c r="S129" s="254"/>
      <c r="T129" s="254"/>
      <c r="U129" s="254"/>
      <c r="V129" s="254"/>
      <c r="W129" s="254"/>
      <c r="Y129" s="246" t="str">
        <f t="shared" si="8"/>
        <v/>
      </c>
      <c r="Z129" s="247" t="str">
        <f t="shared" si="6"/>
        <v/>
      </c>
      <c r="AA129" s="246" t="str">
        <f t="shared" si="9"/>
        <v/>
      </c>
    </row>
    <row r="130" spans="1:27" ht="18" customHeight="1" x14ac:dyDescent="0.25">
      <c r="A130" s="248" t="str">
        <f t="shared" si="10"/>
        <v/>
      </c>
      <c r="B130" s="249" t="str">
        <f t="shared" si="11"/>
        <v/>
      </c>
      <c r="C130" s="250"/>
      <c r="D130" s="251"/>
      <c r="E130" s="241"/>
      <c r="F130" s="252"/>
      <c r="G130" s="252"/>
      <c r="H130" s="253"/>
      <c r="I130" s="250"/>
      <c r="J130" s="250"/>
      <c r="K130" s="270"/>
      <c r="L130" s="250"/>
      <c r="M130" s="250"/>
      <c r="N130" s="553" t="str">
        <f>CONCATENATE(IF(OR(M130=phu!$I$1,M130=phu!$I$2,M130=phu!$I$3),"Cam Thành Nam",""),IF(OR(M130=phu!$I$4,M130=phu!$I$5,M130=phu!$I$6,M130=phu!$I$7,M130=phu!$I$8,M130=phu!$I$9,M130=phu!$I$10,M130=phu!$I$11,M130=phu!$I$12,M130=phu!$I$13,M130=phu!$I$14),"Cam Nghĩa",""),IF(OR(M130=phu!$I$15,M130=phu!$I$16,M130=phu!$I$17,M130=phu!$I$18,M130=phu!$I$19,M130=phu!$I$20,M130=phu!$I$21),"Cam Phúc Bắc",""),IF(OR(M130=phu!$I$22,M130=phu!$I$23,M130=phu!$I$24,M130=phu!$I$25),"Cam Phúc Nam",""),IF(OR(M130=phu!$I$26,M130=phu!$I$27,M130=phu!$I$28,M130=phu!$I$29,M130=phu!$I$30,M130=phu!$I$31),"Cam Phú",""),IF(OR(M130=phu!$I$32,M130=phu!$I$33,M130=phu!$I$34,M130=phu!$I$35,M130=phu!$I$36,M130=phu!$I$37),"Cam Lộc",""),IF(OR(M130=phu!$I$38,M130=phu!$I$39,M130=phu!$I$40,M130=phu!$I$41,M130=phu!$I$42,M130=phu!$I$43,M130=phu!$I$44),"Cam Thuận",""),IF(OR(M130=phu!$I$45,M130=phu!$I$46,M130=phu!$I$47,M130=phu!$I$48,M130=phu!$I$49,M130=phu!$I$50,M130=phu!$I$51,M130=phu!$I$52,M130=phu!$I$53),"Cam Linh",""),IF(OR(M130=phu!$I$54,M130=phu!$I$55,M130=phu!$I$56,M130=phu!$I$57,M130=phu!$I$58,M130=phu!$I$59,M130=phu!$I$60,M130=phu!$I$61,M130=phu!$I$62),"Cam Lợi",""),IF(OR(M130=phu!$I$63,M130=phu!$I$64,M130=phu!$I$65,M130=phu!$I$66,M130=phu!$I$67,M130=phu!$I$68,M130=phu!$I$69,M130=phu!$I$70,M130=phu!$I$71),"Ba Ngòi",""),IF(OR(M130=phu!$I$72,M130=phu!$I$73,M130=phu!$I$74,M130=phu!$I$75,M130=phu!$I$76,M130=phu!$I$77,M130=phu!$I$78),"Cam Phước Đông",""),IF(OR(M130=phu!$I$79,M130=phu!$I$80,M130=phu!$I$81,M130=phu!$I$82,M130=phu!$I$83,M130=phu!$I$84),"Cam Thịnh Đông",""),IF(OR(M130=phu!$I$85,M130=phu!$I$86,M130=phu!$I$87,M130=phu!$I$88),"Cam Thịnh Tây",""),IF(OR(M130=phu!$I$89,M130=phu!$I$90),"Cam Lập",""),IF(OR(M130=phu!$I$91,M130=phu!$I$92,M130=phu!$I$93),"Cam Bình",""),IF(OR(M130=phu!$I$94,M130=phu!$I$95,M130=phu!$I$96,M130=phu!$I$97,M130=phu!$I$98,M130=phu!$I$99,M130=phu!$I$100),"Huyện khác",""),IF(OR(M130=phu!$I$101,M130=phu!$I$102),"Tỉnh khác",""))</f>
        <v/>
      </c>
      <c r="O130" s="814" t="str">
        <f t="shared" si="7"/>
        <v/>
      </c>
      <c r="P130" s="254"/>
      <c r="Q130" s="254"/>
      <c r="R130" s="254"/>
      <c r="S130" s="254"/>
      <c r="T130" s="254"/>
      <c r="U130" s="254"/>
      <c r="V130" s="254"/>
      <c r="W130" s="254"/>
      <c r="Y130" s="246" t="str">
        <f t="shared" si="8"/>
        <v/>
      </c>
      <c r="Z130" s="247" t="str">
        <f t="shared" si="6"/>
        <v/>
      </c>
      <c r="AA130" s="246" t="str">
        <f t="shared" si="9"/>
        <v/>
      </c>
    </row>
    <row r="131" spans="1:27" ht="18" customHeight="1" x14ac:dyDescent="0.25">
      <c r="A131" s="248" t="str">
        <f t="shared" si="10"/>
        <v/>
      </c>
      <c r="B131" s="249" t="str">
        <f t="shared" si="11"/>
        <v/>
      </c>
      <c r="C131" s="250"/>
      <c r="D131" s="251"/>
      <c r="E131" s="241"/>
      <c r="F131" s="252"/>
      <c r="G131" s="252"/>
      <c r="H131" s="253"/>
      <c r="I131" s="250"/>
      <c r="J131" s="250"/>
      <c r="K131" s="270"/>
      <c r="L131" s="250"/>
      <c r="M131" s="250"/>
      <c r="N131" s="553" t="str">
        <f>CONCATENATE(IF(OR(M131=phu!$I$1,M131=phu!$I$2,M131=phu!$I$3),"Cam Thành Nam",""),IF(OR(M131=phu!$I$4,M131=phu!$I$5,M131=phu!$I$6,M131=phu!$I$7,M131=phu!$I$8,M131=phu!$I$9,M131=phu!$I$10,M131=phu!$I$11,M131=phu!$I$12,M131=phu!$I$13,M131=phu!$I$14),"Cam Nghĩa",""),IF(OR(M131=phu!$I$15,M131=phu!$I$16,M131=phu!$I$17,M131=phu!$I$18,M131=phu!$I$19,M131=phu!$I$20,M131=phu!$I$21),"Cam Phúc Bắc",""),IF(OR(M131=phu!$I$22,M131=phu!$I$23,M131=phu!$I$24,M131=phu!$I$25),"Cam Phúc Nam",""),IF(OR(M131=phu!$I$26,M131=phu!$I$27,M131=phu!$I$28,M131=phu!$I$29,M131=phu!$I$30,M131=phu!$I$31),"Cam Phú",""),IF(OR(M131=phu!$I$32,M131=phu!$I$33,M131=phu!$I$34,M131=phu!$I$35,M131=phu!$I$36,M131=phu!$I$37),"Cam Lộc",""),IF(OR(M131=phu!$I$38,M131=phu!$I$39,M131=phu!$I$40,M131=phu!$I$41,M131=phu!$I$42,M131=phu!$I$43,M131=phu!$I$44),"Cam Thuận",""),IF(OR(M131=phu!$I$45,M131=phu!$I$46,M131=phu!$I$47,M131=phu!$I$48,M131=phu!$I$49,M131=phu!$I$50,M131=phu!$I$51,M131=phu!$I$52,M131=phu!$I$53),"Cam Linh",""),IF(OR(M131=phu!$I$54,M131=phu!$I$55,M131=phu!$I$56,M131=phu!$I$57,M131=phu!$I$58,M131=phu!$I$59,M131=phu!$I$60,M131=phu!$I$61,M131=phu!$I$62),"Cam Lợi",""),IF(OR(M131=phu!$I$63,M131=phu!$I$64,M131=phu!$I$65,M131=phu!$I$66,M131=phu!$I$67,M131=phu!$I$68,M131=phu!$I$69,M131=phu!$I$70,M131=phu!$I$71),"Ba Ngòi",""),IF(OR(M131=phu!$I$72,M131=phu!$I$73,M131=phu!$I$74,M131=phu!$I$75,M131=phu!$I$76,M131=phu!$I$77,M131=phu!$I$78),"Cam Phước Đông",""),IF(OR(M131=phu!$I$79,M131=phu!$I$80,M131=phu!$I$81,M131=phu!$I$82,M131=phu!$I$83,M131=phu!$I$84),"Cam Thịnh Đông",""),IF(OR(M131=phu!$I$85,M131=phu!$I$86,M131=phu!$I$87,M131=phu!$I$88),"Cam Thịnh Tây",""),IF(OR(M131=phu!$I$89,M131=phu!$I$90),"Cam Lập",""),IF(OR(M131=phu!$I$91,M131=phu!$I$92,M131=phu!$I$93),"Cam Bình",""),IF(OR(M131=phu!$I$94,M131=phu!$I$95,M131=phu!$I$96,M131=phu!$I$97,M131=phu!$I$98,M131=phu!$I$99,M131=phu!$I$100),"Huyện khác",""),IF(OR(M131=phu!$I$101,M131=phu!$I$102),"Tỉnh khác",""))</f>
        <v/>
      </c>
      <c r="O131" s="814" t="str">
        <f t="shared" si="7"/>
        <v/>
      </c>
      <c r="P131" s="254"/>
      <c r="Q131" s="254"/>
      <c r="R131" s="254"/>
      <c r="S131" s="254"/>
      <c r="T131" s="254"/>
      <c r="U131" s="254"/>
      <c r="V131" s="254"/>
      <c r="W131" s="254"/>
      <c r="Y131" s="246" t="str">
        <f t="shared" si="8"/>
        <v/>
      </c>
      <c r="Z131" s="247" t="str">
        <f t="shared" si="6"/>
        <v/>
      </c>
      <c r="AA131" s="246" t="str">
        <f t="shared" si="9"/>
        <v/>
      </c>
    </row>
    <row r="132" spans="1:27" ht="18" customHeight="1" x14ac:dyDescent="0.25">
      <c r="A132" s="248" t="str">
        <f t="shared" si="10"/>
        <v/>
      </c>
      <c r="B132" s="249" t="str">
        <f t="shared" si="11"/>
        <v/>
      </c>
      <c r="C132" s="250"/>
      <c r="D132" s="251"/>
      <c r="E132" s="241"/>
      <c r="F132" s="252"/>
      <c r="G132" s="252"/>
      <c r="H132" s="253"/>
      <c r="I132" s="250"/>
      <c r="J132" s="250"/>
      <c r="K132" s="270"/>
      <c r="L132" s="250"/>
      <c r="M132" s="250"/>
      <c r="N132" s="553" t="str">
        <f>CONCATENATE(IF(OR(M132=phu!$I$1,M132=phu!$I$2,M132=phu!$I$3),"Cam Thành Nam",""),IF(OR(M132=phu!$I$4,M132=phu!$I$5,M132=phu!$I$6,M132=phu!$I$7,M132=phu!$I$8,M132=phu!$I$9,M132=phu!$I$10,M132=phu!$I$11,M132=phu!$I$12,M132=phu!$I$13,M132=phu!$I$14),"Cam Nghĩa",""),IF(OR(M132=phu!$I$15,M132=phu!$I$16,M132=phu!$I$17,M132=phu!$I$18,M132=phu!$I$19,M132=phu!$I$20,M132=phu!$I$21),"Cam Phúc Bắc",""),IF(OR(M132=phu!$I$22,M132=phu!$I$23,M132=phu!$I$24,M132=phu!$I$25),"Cam Phúc Nam",""),IF(OR(M132=phu!$I$26,M132=phu!$I$27,M132=phu!$I$28,M132=phu!$I$29,M132=phu!$I$30,M132=phu!$I$31),"Cam Phú",""),IF(OR(M132=phu!$I$32,M132=phu!$I$33,M132=phu!$I$34,M132=phu!$I$35,M132=phu!$I$36,M132=phu!$I$37),"Cam Lộc",""),IF(OR(M132=phu!$I$38,M132=phu!$I$39,M132=phu!$I$40,M132=phu!$I$41,M132=phu!$I$42,M132=phu!$I$43,M132=phu!$I$44),"Cam Thuận",""),IF(OR(M132=phu!$I$45,M132=phu!$I$46,M132=phu!$I$47,M132=phu!$I$48,M132=phu!$I$49,M132=phu!$I$50,M132=phu!$I$51,M132=phu!$I$52,M132=phu!$I$53),"Cam Linh",""),IF(OR(M132=phu!$I$54,M132=phu!$I$55,M132=phu!$I$56,M132=phu!$I$57,M132=phu!$I$58,M132=phu!$I$59,M132=phu!$I$60,M132=phu!$I$61,M132=phu!$I$62),"Cam Lợi",""),IF(OR(M132=phu!$I$63,M132=phu!$I$64,M132=phu!$I$65,M132=phu!$I$66,M132=phu!$I$67,M132=phu!$I$68,M132=phu!$I$69,M132=phu!$I$70,M132=phu!$I$71),"Ba Ngòi",""),IF(OR(M132=phu!$I$72,M132=phu!$I$73,M132=phu!$I$74,M132=phu!$I$75,M132=phu!$I$76,M132=phu!$I$77,M132=phu!$I$78),"Cam Phước Đông",""),IF(OR(M132=phu!$I$79,M132=phu!$I$80,M132=phu!$I$81,M132=phu!$I$82,M132=phu!$I$83,M132=phu!$I$84),"Cam Thịnh Đông",""),IF(OR(M132=phu!$I$85,M132=phu!$I$86,M132=phu!$I$87,M132=phu!$I$88),"Cam Thịnh Tây",""),IF(OR(M132=phu!$I$89,M132=phu!$I$90),"Cam Lập",""),IF(OR(M132=phu!$I$91,M132=phu!$I$92,M132=phu!$I$93),"Cam Bình",""),IF(OR(M132=phu!$I$94,M132=phu!$I$95,M132=phu!$I$96,M132=phu!$I$97,M132=phu!$I$98,M132=phu!$I$99,M132=phu!$I$100),"Huyện khác",""),IF(OR(M132=phu!$I$101,M132=phu!$I$102),"Tỉnh khác",""))</f>
        <v/>
      </c>
      <c r="O132" s="814" t="str">
        <f t="shared" si="7"/>
        <v/>
      </c>
      <c r="P132" s="254"/>
      <c r="Q132" s="254"/>
      <c r="R132" s="254"/>
      <c r="S132" s="254"/>
      <c r="T132" s="254"/>
      <c r="U132" s="254"/>
      <c r="V132" s="254"/>
      <c r="W132" s="254"/>
      <c r="Y132" s="246" t="str">
        <f t="shared" si="8"/>
        <v/>
      </c>
      <c r="Z132" s="247" t="str">
        <f t="shared" si="6"/>
        <v/>
      </c>
      <c r="AA132" s="246" t="str">
        <f t="shared" si="9"/>
        <v/>
      </c>
    </row>
    <row r="133" spans="1:27" ht="18" customHeight="1" x14ac:dyDescent="0.25">
      <c r="A133" s="248" t="str">
        <f t="shared" si="10"/>
        <v/>
      </c>
      <c r="B133" s="249" t="str">
        <f t="shared" si="11"/>
        <v/>
      </c>
      <c r="C133" s="250"/>
      <c r="D133" s="251"/>
      <c r="E133" s="241"/>
      <c r="F133" s="252"/>
      <c r="G133" s="252"/>
      <c r="H133" s="253"/>
      <c r="I133" s="250"/>
      <c r="J133" s="250"/>
      <c r="K133" s="270"/>
      <c r="L133" s="250"/>
      <c r="M133" s="250"/>
      <c r="N133" s="553" t="str">
        <f>CONCATENATE(IF(OR(M133=phu!$I$1,M133=phu!$I$2,M133=phu!$I$3),"Cam Thành Nam",""),IF(OR(M133=phu!$I$4,M133=phu!$I$5,M133=phu!$I$6,M133=phu!$I$7,M133=phu!$I$8,M133=phu!$I$9,M133=phu!$I$10,M133=phu!$I$11,M133=phu!$I$12,M133=phu!$I$13,M133=phu!$I$14),"Cam Nghĩa",""),IF(OR(M133=phu!$I$15,M133=phu!$I$16,M133=phu!$I$17,M133=phu!$I$18,M133=phu!$I$19,M133=phu!$I$20,M133=phu!$I$21),"Cam Phúc Bắc",""),IF(OR(M133=phu!$I$22,M133=phu!$I$23,M133=phu!$I$24,M133=phu!$I$25),"Cam Phúc Nam",""),IF(OR(M133=phu!$I$26,M133=phu!$I$27,M133=phu!$I$28,M133=phu!$I$29,M133=phu!$I$30,M133=phu!$I$31),"Cam Phú",""),IF(OR(M133=phu!$I$32,M133=phu!$I$33,M133=phu!$I$34,M133=phu!$I$35,M133=phu!$I$36,M133=phu!$I$37),"Cam Lộc",""),IF(OR(M133=phu!$I$38,M133=phu!$I$39,M133=phu!$I$40,M133=phu!$I$41,M133=phu!$I$42,M133=phu!$I$43,M133=phu!$I$44),"Cam Thuận",""),IF(OR(M133=phu!$I$45,M133=phu!$I$46,M133=phu!$I$47,M133=phu!$I$48,M133=phu!$I$49,M133=phu!$I$50,M133=phu!$I$51,M133=phu!$I$52,M133=phu!$I$53),"Cam Linh",""),IF(OR(M133=phu!$I$54,M133=phu!$I$55,M133=phu!$I$56,M133=phu!$I$57,M133=phu!$I$58,M133=phu!$I$59,M133=phu!$I$60,M133=phu!$I$61,M133=phu!$I$62),"Cam Lợi",""),IF(OR(M133=phu!$I$63,M133=phu!$I$64,M133=phu!$I$65,M133=phu!$I$66,M133=phu!$I$67,M133=phu!$I$68,M133=phu!$I$69,M133=phu!$I$70,M133=phu!$I$71),"Ba Ngòi",""),IF(OR(M133=phu!$I$72,M133=phu!$I$73,M133=phu!$I$74,M133=phu!$I$75,M133=phu!$I$76,M133=phu!$I$77,M133=phu!$I$78),"Cam Phước Đông",""),IF(OR(M133=phu!$I$79,M133=phu!$I$80,M133=phu!$I$81,M133=phu!$I$82,M133=phu!$I$83,M133=phu!$I$84),"Cam Thịnh Đông",""),IF(OR(M133=phu!$I$85,M133=phu!$I$86,M133=phu!$I$87,M133=phu!$I$88),"Cam Thịnh Tây",""),IF(OR(M133=phu!$I$89,M133=phu!$I$90),"Cam Lập",""),IF(OR(M133=phu!$I$91,M133=phu!$I$92,M133=phu!$I$93),"Cam Bình",""),IF(OR(M133=phu!$I$94,M133=phu!$I$95,M133=phu!$I$96,M133=phu!$I$97,M133=phu!$I$98,M133=phu!$I$99,M133=phu!$I$100),"Huyện khác",""),IF(OR(M133=phu!$I$101,M133=phu!$I$102),"Tỉnh khác",""))</f>
        <v/>
      </c>
      <c r="O133" s="814" t="str">
        <f t="shared" si="7"/>
        <v/>
      </c>
      <c r="P133" s="254"/>
      <c r="Q133" s="254"/>
      <c r="R133" s="254"/>
      <c r="S133" s="254"/>
      <c r="T133" s="254"/>
      <c r="U133" s="254"/>
      <c r="V133" s="254"/>
      <c r="W133" s="254"/>
      <c r="Y133" s="246" t="str">
        <f t="shared" si="8"/>
        <v/>
      </c>
      <c r="Z133" s="247" t="str">
        <f t="shared" si="6"/>
        <v/>
      </c>
      <c r="AA133" s="246" t="str">
        <f t="shared" si="9"/>
        <v/>
      </c>
    </row>
    <row r="134" spans="1:27" ht="18" customHeight="1" x14ac:dyDescent="0.25">
      <c r="A134" s="248" t="str">
        <f t="shared" si="10"/>
        <v/>
      </c>
      <c r="B134" s="249" t="str">
        <f t="shared" si="11"/>
        <v/>
      </c>
      <c r="C134" s="250"/>
      <c r="D134" s="251"/>
      <c r="E134" s="241"/>
      <c r="F134" s="252"/>
      <c r="G134" s="252"/>
      <c r="H134" s="253"/>
      <c r="I134" s="250"/>
      <c r="J134" s="250"/>
      <c r="K134" s="270"/>
      <c r="L134" s="250"/>
      <c r="M134" s="250"/>
      <c r="N134" s="553" t="str">
        <f>CONCATENATE(IF(OR(M134=phu!$I$1,M134=phu!$I$2,M134=phu!$I$3),"Cam Thành Nam",""),IF(OR(M134=phu!$I$4,M134=phu!$I$5,M134=phu!$I$6,M134=phu!$I$7,M134=phu!$I$8,M134=phu!$I$9,M134=phu!$I$10,M134=phu!$I$11,M134=phu!$I$12,M134=phu!$I$13,M134=phu!$I$14),"Cam Nghĩa",""),IF(OR(M134=phu!$I$15,M134=phu!$I$16,M134=phu!$I$17,M134=phu!$I$18,M134=phu!$I$19,M134=phu!$I$20,M134=phu!$I$21),"Cam Phúc Bắc",""),IF(OR(M134=phu!$I$22,M134=phu!$I$23,M134=phu!$I$24,M134=phu!$I$25),"Cam Phúc Nam",""),IF(OR(M134=phu!$I$26,M134=phu!$I$27,M134=phu!$I$28,M134=phu!$I$29,M134=phu!$I$30,M134=phu!$I$31),"Cam Phú",""),IF(OR(M134=phu!$I$32,M134=phu!$I$33,M134=phu!$I$34,M134=phu!$I$35,M134=phu!$I$36,M134=phu!$I$37),"Cam Lộc",""),IF(OR(M134=phu!$I$38,M134=phu!$I$39,M134=phu!$I$40,M134=phu!$I$41,M134=phu!$I$42,M134=phu!$I$43,M134=phu!$I$44),"Cam Thuận",""),IF(OR(M134=phu!$I$45,M134=phu!$I$46,M134=phu!$I$47,M134=phu!$I$48,M134=phu!$I$49,M134=phu!$I$50,M134=phu!$I$51,M134=phu!$I$52,M134=phu!$I$53),"Cam Linh",""),IF(OR(M134=phu!$I$54,M134=phu!$I$55,M134=phu!$I$56,M134=phu!$I$57,M134=phu!$I$58,M134=phu!$I$59,M134=phu!$I$60,M134=phu!$I$61,M134=phu!$I$62),"Cam Lợi",""),IF(OR(M134=phu!$I$63,M134=phu!$I$64,M134=phu!$I$65,M134=phu!$I$66,M134=phu!$I$67,M134=phu!$I$68,M134=phu!$I$69,M134=phu!$I$70,M134=phu!$I$71),"Ba Ngòi",""),IF(OR(M134=phu!$I$72,M134=phu!$I$73,M134=phu!$I$74,M134=phu!$I$75,M134=phu!$I$76,M134=phu!$I$77,M134=phu!$I$78),"Cam Phước Đông",""),IF(OR(M134=phu!$I$79,M134=phu!$I$80,M134=phu!$I$81,M134=phu!$I$82,M134=phu!$I$83,M134=phu!$I$84),"Cam Thịnh Đông",""),IF(OR(M134=phu!$I$85,M134=phu!$I$86,M134=phu!$I$87,M134=phu!$I$88),"Cam Thịnh Tây",""),IF(OR(M134=phu!$I$89,M134=phu!$I$90),"Cam Lập",""),IF(OR(M134=phu!$I$91,M134=phu!$I$92,M134=phu!$I$93),"Cam Bình",""),IF(OR(M134=phu!$I$94,M134=phu!$I$95,M134=phu!$I$96,M134=phu!$I$97,M134=phu!$I$98,M134=phu!$I$99,M134=phu!$I$100),"Huyện khác",""),IF(OR(M134=phu!$I$101,M134=phu!$I$102),"Tỉnh khác",""))</f>
        <v/>
      </c>
      <c r="O134" s="814" t="str">
        <f t="shared" si="7"/>
        <v/>
      </c>
      <c r="P134" s="254"/>
      <c r="Q134" s="254"/>
      <c r="R134" s="254"/>
      <c r="S134" s="254"/>
      <c r="T134" s="254"/>
      <c r="U134" s="254"/>
      <c r="V134" s="254"/>
      <c r="W134" s="254"/>
      <c r="Y134" s="246" t="str">
        <f t="shared" si="8"/>
        <v/>
      </c>
      <c r="Z134" s="247" t="str">
        <f t="shared" ref="Z134:Z197" si="12">IF(H134="","",$Z$1-H134)</f>
        <v/>
      </c>
      <c r="AA134" s="246" t="str">
        <f t="shared" si="9"/>
        <v/>
      </c>
    </row>
    <row r="135" spans="1:27" ht="18" customHeight="1" x14ac:dyDescent="0.25">
      <c r="A135" s="248" t="str">
        <f t="shared" si="10"/>
        <v/>
      </c>
      <c r="B135" s="249" t="str">
        <f t="shared" si="11"/>
        <v/>
      </c>
      <c r="C135" s="250"/>
      <c r="D135" s="251"/>
      <c r="E135" s="241"/>
      <c r="F135" s="252"/>
      <c r="G135" s="252"/>
      <c r="H135" s="253"/>
      <c r="I135" s="250"/>
      <c r="J135" s="250"/>
      <c r="K135" s="270"/>
      <c r="L135" s="250"/>
      <c r="M135" s="250"/>
      <c r="N135" s="553" t="str">
        <f>CONCATENATE(IF(OR(M135=phu!$I$1,M135=phu!$I$2,M135=phu!$I$3),"Cam Thành Nam",""),IF(OR(M135=phu!$I$4,M135=phu!$I$5,M135=phu!$I$6,M135=phu!$I$7,M135=phu!$I$8,M135=phu!$I$9,M135=phu!$I$10,M135=phu!$I$11,M135=phu!$I$12,M135=phu!$I$13,M135=phu!$I$14),"Cam Nghĩa",""),IF(OR(M135=phu!$I$15,M135=phu!$I$16,M135=phu!$I$17,M135=phu!$I$18,M135=phu!$I$19,M135=phu!$I$20,M135=phu!$I$21),"Cam Phúc Bắc",""),IF(OR(M135=phu!$I$22,M135=phu!$I$23,M135=phu!$I$24,M135=phu!$I$25),"Cam Phúc Nam",""),IF(OR(M135=phu!$I$26,M135=phu!$I$27,M135=phu!$I$28,M135=phu!$I$29,M135=phu!$I$30,M135=phu!$I$31),"Cam Phú",""),IF(OR(M135=phu!$I$32,M135=phu!$I$33,M135=phu!$I$34,M135=phu!$I$35,M135=phu!$I$36,M135=phu!$I$37),"Cam Lộc",""),IF(OR(M135=phu!$I$38,M135=phu!$I$39,M135=phu!$I$40,M135=phu!$I$41,M135=phu!$I$42,M135=phu!$I$43,M135=phu!$I$44),"Cam Thuận",""),IF(OR(M135=phu!$I$45,M135=phu!$I$46,M135=phu!$I$47,M135=phu!$I$48,M135=phu!$I$49,M135=phu!$I$50,M135=phu!$I$51,M135=phu!$I$52,M135=phu!$I$53),"Cam Linh",""),IF(OR(M135=phu!$I$54,M135=phu!$I$55,M135=phu!$I$56,M135=phu!$I$57,M135=phu!$I$58,M135=phu!$I$59,M135=phu!$I$60,M135=phu!$I$61,M135=phu!$I$62),"Cam Lợi",""),IF(OR(M135=phu!$I$63,M135=phu!$I$64,M135=phu!$I$65,M135=phu!$I$66,M135=phu!$I$67,M135=phu!$I$68,M135=phu!$I$69,M135=phu!$I$70,M135=phu!$I$71),"Ba Ngòi",""),IF(OR(M135=phu!$I$72,M135=phu!$I$73,M135=phu!$I$74,M135=phu!$I$75,M135=phu!$I$76,M135=phu!$I$77,M135=phu!$I$78),"Cam Phước Đông",""),IF(OR(M135=phu!$I$79,M135=phu!$I$80,M135=phu!$I$81,M135=phu!$I$82,M135=phu!$I$83,M135=phu!$I$84),"Cam Thịnh Đông",""),IF(OR(M135=phu!$I$85,M135=phu!$I$86,M135=phu!$I$87,M135=phu!$I$88),"Cam Thịnh Tây",""),IF(OR(M135=phu!$I$89,M135=phu!$I$90),"Cam Lập",""),IF(OR(M135=phu!$I$91,M135=phu!$I$92,M135=phu!$I$93),"Cam Bình",""),IF(OR(M135=phu!$I$94,M135=phu!$I$95,M135=phu!$I$96,M135=phu!$I$97,M135=phu!$I$98,M135=phu!$I$99,M135=phu!$I$100),"Huyện khác",""),IF(OR(M135=phu!$I$101,M135=phu!$I$102),"Tỉnh khác",""))</f>
        <v/>
      </c>
      <c r="O135" s="814" t="str">
        <f t="shared" ref="O135:O198" si="13">CONCATENATE(IF(OR(N135="Cam Thành Nam",N135="Cam Nghĩa",N135="Cam Phúc Bắc"),"Bắc Cam Ranh",""),IF(OR(N135="Cam Phúc Nam",N135="Cam Phú",N135="Cam Lộc"),"Cam Ranh",""),IF(OR(N135="Cam Thuận",N135="Cam Linh",N135="Cam Lợi"),"Cam Linh",""),IF(OR(N135="Ba Ngòi",N135="Cam Phước Đông"),"Ba Ngòi",""),IF(OR(N135="Cam Thịnh Đông",N135="Cam Thịnh Tây",N135="Cam Lập",N135="Cam Bình"),"Nam Cam Ranh",""),IF(N135="Huyện khác","Huyện khác",""),IF(N135="Tỉnh khác","Tỉnh khác",""))</f>
        <v/>
      </c>
      <c r="P135" s="254"/>
      <c r="Q135" s="254"/>
      <c r="R135" s="254"/>
      <c r="S135" s="254"/>
      <c r="T135" s="254"/>
      <c r="U135" s="254"/>
      <c r="V135" s="254"/>
      <c r="W135" s="254"/>
      <c r="Y135" s="246" t="str">
        <f t="shared" ref="Y135:Y198" si="14">IF(OR(AND(B135="",C135="",D135="",E135="",F135="",G135="",H135="",I135="",J135="",L135="",M135="",N135="",P135="",Q135="",R135="",S135=""),AND(B135&lt;&gt;"",C135&lt;&gt;"",D135&lt;&gt;"",E135&lt;&gt;"",F135&lt;&gt;"",G135&lt;&gt;"",H135&lt;&gt;"",J135&lt;&gt;"",M135&lt;&gt;"",N135&lt;&gt;"",P135&lt;&gt;"",OR(AND(Q135&lt;&gt;"",R135=""),AND(Q135="",R135&lt;&gt;""),AND(Q135&lt;&gt;"",R135&lt;&gt;"")),OR(AND(K135="X",T135&lt;&gt;""),AND(K135="",T135="")))),"","er")</f>
        <v/>
      </c>
      <c r="Z135" s="247" t="str">
        <f t="shared" si="12"/>
        <v/>
      </c>
      <c r="AA135" s="246" t="str">
        <f t="shared" ref="AA135:AA198" si="15">IF(OR(AND(Z135=5,B135&gt;0),AND(Z135=6,B135&gt;1),AND(Z135=7,B135&gt;2),AND(Z135=8,B135&gt;3),AND(Z135=9,B135&gt;4),AND(Z135=10,B135&gt;5),AND(Z135=5,B135=0,L135="X"),AND(Z135=6,B135=1,L135="X"),AND(Z135=7,B135=2,L135="X"),AND(Z135=8,B135=3,L135="X"),AND(Z135=9,B135=4,L135="X"),AND(Z135=10,B135=5,L135="X")),"er","")</f>
        <v/>
      </c>
    </row>
    <row r="136" spans="1:27" ht="18" customHeight="1" x14ac:dyDescent="0.25">
      <c r="A136" s="248" t="str">
        <f t="shared" ref="A136:A199" si="16">IF(OR(A135="",B136="",C136="",D136="",E136=""),"",A135+1)</f>
        <v/>
      </c>
      <c r="B136" s="249" t="str">
        <f t="shared" ref="B136:B199" si="17">IF(C136="","",VALUE(LEFT(C136,1)))</f>
        <v/>
      </c>
      <c r="C136" s="250"/>
      <c r="D136" s="251"/>
      <c r="E136" s="241"/>
      <c r="F136" s="252"/>
      <c r="G136" s="252"/>
      <c r="H136" s="253"/>
      <c r="I136" s="250"/>
      <c r="J136" s="250"/>
      <c r="K136" s="270"/>
      <c r="L136" s="250"/>
      <c r="M136" s="250"/>
      <c r="N136" s="553" t="str">
        <f>CONCATENATE(IF(OR(M136=phu!$I$1,M136=phu!$I$2,M136=phu!$I$3),"Cam Thành Nam",""),IF(OR(M136=phu!$I$4,M136=phu!$I$5,M136=phu!$I$6,M136=phu!$I$7,M136=phu!$I$8,M136=phu!$I$9,M136=phu!$I$10,M136=phu!$I$11,M136=phu!$I$12,M136=phu!$I$13,M136=phu!$I$14),"Cam Nghĩa",""),IF(OR(M136=phu!$I$15,M136=phu!$I$16,M136=phu!$I$17,M136=phu!$I$18,M136=phu!$I$19,M136=phu!$I$20,M136=phu!$I$21),"Cam Phúc Bắc",""),IF(OR(M136=phu!$I$22,M136=phu!$I$23,M136=phu!$I$24,M136=phu!$I$25),"Cam Phúc Nam",""),IF(OR(M136=phu!$I$26,M136=phu!$I$27,M136=phu!$I$28,M136=phu!$I$29,M136=phu!$I$30,M136=phu!$I$31),"Cam Phú",""),IF(OR(M136=phu!$I$32,M136=phu!$I$33,M136=phu!$I$34,M136=phu!$I$35,M136=phu!$I$36,M136=phu!$I$37),"Cam Lộc",""),IF(OR(M136=phu!$I$38,M136=phu!$I$39,M136=phu!$I$40,M136=phu!$I$41,M136=phu!$I$42,M136=phu!$I$43,M136=phu!$I$44),"Cam Thuận",""),IF(OR(M136=phu!$I$45,M136=phu!$I$46,M136=phu!$I$47,M136=phu!$I$48,M136=phu!$I$49,M136=phu!$I$50,M136=phu!$I$51,M136=phu!$I$52,M136=phu!$I$53),"Cam Linh",""),IF(OR(M136=phu!$I$54,M136=phu!$I$55,M136=phu!$I$56,M136=phu!$I$57,M136=phu!$I$58,M136=phu!$I$59,M136=phu!$I$60,M136=phu!$I$61,M136=phu!$I$62),"Cam Lợi",""),IF(OR(M136=phu!$I$63,M136=phu!$I$64,M136=phu!$I$65,M136=phu!$I$66,M136=phu!$I$67,M136=phu!$I$68,M136=phu!$I$69,M136=phu!$I$70,M136=phu!$I$71),"Ba Ngòi",""),IF(OR(M136=phu!$I$72,M136=phu!$I$73,M136=phu!$I$74,M136=phu!$I$75,M136=phu!$I$76,M136=phu!$I$77,M136=phu!$I$78),"Cam Phước Đông",""),IF(OR(M136=phu!$I$79,M136=phu!$I$80,M136=phu!$I$81,M136=phu!$I$82,M136=phu!$I$83,M136=phu!$I$84),"Cam Thịnh Đông",""),IF(OR(M136=phu!$I$85,M136=phu!$I$86,M136=phu!$I$87,M136=phu!$I$88),"Cam Thịnh Tây",""),IF(OR(M136=phu!$I$89,M136=phu!$I$90),"Cam Lập",""),IF(OR(M136=phu!$I$91,M136=phu!$I$92,M136=phu!$I$93),"Cam Bình",""),IF(OR(M136=phu!$I$94,M136=phu!$I$95,M136=phu!$I$96,M136=phu!$I$97,M136=phu!$I$98,M136=phu!$I$99,M136=phu!$I$100),"Huyện khác",""),IF(OR(M136=phu!$I$101,M136=phu!$I$102),"Tỉnh khác",""))</f>
        <v/>
      </c>
      <c r="O136" s="814" t="str">
        <f t="shared" si="13"/>
        <v/>
      </c>
      <c r="P136" s="254"/>
      <c r="Q136" s="254"/>
      <c r="R136" s="254"/>
      <c r="S136" s="254"/>
      <c r="T136" s="254"/>
      <c r="U136" s="254"/>
      <c r="V136" s="254"/>
      <c r="W136" s="254"/>
      <c r="Y136" s="246" t="str">
        <f t="shared" si="14"/>
        <v/>
      </c>
      <c r="Z136" s="247" t="str">
        <f t="shared" si="12"/>
        <v/>
      </c>
      <c r="AA136" s="246" t="str">
        <f t="shared" si="15"/>
        <v/>
      </c>
    </row>
    <row r="137" spans="1:27" ht="18" customHeight="1" x14ac:dyDescent="0.25">
      <c r="A137" s="248" t="str">
        <f t="shared" si="16"/>
        <v/>
      </c>
      <c r="B137" s="249" t="str">
        <f t="shared" si="17"/>
        <v/>
      </c>
      <c r="C137" s="250"/>
      <c r="D137" s="251"/>
      <c r="E137" s="241"/>
      <c r="F137" s="252"/>
      <c r="G137" s="252"/>
      <c r="H137" s="253"/>
      <c r="I137" s="250"/>
      <c r="J137" s="250"/>
      <c r="K137" s="270"/>
      <c r="L137" s="250"/>
      <c r="M137" s="250"/>
      <c r="N137" s="553" t="str">
        <f>CONCATENATE(IF(OR(M137=phu!$I$1,M137=phu!$I$2,M137=phu!$I$3),"Cam Thành Nam",""),IF(OR(M137=phu!$I$4,M137=phu!$I$5,M137=phu!$I$6,M137=phu!$I$7,M137=phu!$I$8,M137=phu!$I$9,M137=phu!$I$10,M137=phu!$I$11,M137=phu!$I$12,M137=phu!$I$13,M137=phu!$I$14),"Cam Nghĩa",""),IF(OR(M137=phu!$I$15,M137=phu!$I$16,M137=phu!$I$17,M137=phu!$I$18,M137=phu!$I$19,M137=phu!$I$20,M137=phu!$I$21),"Cam Phúc Bắc",""),IF(OR(M137=phu!$I$22,M137=phu!$I$23,M137=phu!$I$24,M137=phu!$I$25),"Cam Phúc Nam",""),IF(OR(M137=phu!$I$26,M137=phu!$I$27,M137=phu!$I$28,M137=phu!$I$29,M137=phu!$I$30,M137=phu!$I$31),"Cam Phú",""),IF(OR(M137=phu!$I$32,M137=phu!$I$33,M137=phu!$I$34,M137=phu!$I$35,M137=phu!$I$36,M137=phu!$I$37),"Cam Lộc",""),IF(OR(M137=phu!$I$38,M137=phu!$I$39,M137=phu!$I$40,M137=phu!$I$41,M137=phu!$I$42,M137=phu!$I$43,M137=phu!$I$44),"Cam Thuận",""),IF(OR(M137=phu!$I$45,M137=phu!$I$46,M137=phu!$I$47,M137=phu!$I$48,M137=phu!$I$49,M137=phu!$I$50,M137=phu!$I$51,M137=phu!$I$52,M137=phu!$I$53),"Cam Linh",""),IF(OR(M137=phu!$I$54,M137=phu!$I$55,M137=phu!$I$56,M137=phu!$I$57,M137=phu!$I$58,M137=phu!$I$59,M137=phu!$I$60,M137=phu!$I$61,M137=phu!$I$62),"Cam Lợi",""),IF(OR(M137=phu!$I$63,M137=phu!$I$64,M137=phu!$I$65,M137=phu!$I$66,M137=phu!$I$67,M137=phu!$I$68,M137=phu!$I$69,M137=phu!$I$70,M137=phu!$I$71),"Ba Ngòi",""),IF(OR(M137=phu!$I$72,M137=phu!$I$73,M137=phu!$I$74,M137=phu!$I$75,M137=phu!$I$76,M137=phu!$I$77,M137=phu!$I$78),"Cam Phước Đông",""),IF(OR(M137=phu!$I$79,M137=phu!$I$80,M137=phu!$I$81,M137=phu!$I$82,M137=phu!$I$83,M137=phu!$I$84),"Cam Thịnh Đông",""),IF(OR(M137=phu!$I$85,M137=phu!$I$86,M137=phu!$I$87,M137=phu!$I$88),"Cam Thịnh Tây",""),IF(OR(M137=phu!$I$89,M137=phu!$I$90),"Cam Lập",""),IF(OR(M137=phu!$I$91,M137=phu!$I$92,M137=phu!$I$93),"Cam Bình",""),IF(OR(M137=phu!$I$94,M137=phu!$I$95,M137=phu!$I$96,M137=phu!$I$97,M137=phu!$I$98,M137=phu!$I$99,M137=phu!$I$100),"Huyện khác",""),IF(OR(M137=phu!$I$101,M137=phu!$I$102),"Tỉnh khác",""))</f>
        <v/>
      </c>
      <c r="O137" s="814" t="str">
        <f t="shared" si="13"/>
        <v/>
      </c>
      <c r="P137" s="254"/>
      <c r="Q137" s="254"/>
      <c r="R137" s="254"/>
      <c r="S137" s="254"/>
      <c r="T137" s="254"/>
      <c r="U137" s="254"/>
      <c r="V137" s="254"/>
      <c r="W137" s="254"/>
      <c r="Y137" s="246" t="str">
        <f t="shared" si="14"/>
        <v/>
      </c>
      <c r="Z137" s="247" t="str">
        <f t="shared" si="12"/>
        <v/>
      </c>
      <c r="AA137" s="246" t="str">
        <f t="shared" si="15"/>
        <v/>
      </c>
    </row>
    <row r="138" spans="1:27" ht="18" customHeight="1" x14ac:dyDescent="0.25">
      <c r="A138" s="248" t="str">
        <f t="shared" si="16"/>
        <v/>
      </c>
      <c r="B138" s="249" t="str">
        <f t="shared" si="17"/>
        <v/>
      </c>
      <c r="C138" s="250"/>
      <c r="D138" s="251"/>
      <c r="E138" s="241"/>
      <c r="F138" s="252"/>
      <c r="G138" s="252"/>
      <c r="H138" s="253"/>
      <c r="I138" s="250"/>
      <c r="J138" s="250"/>
      <c r="K138" s="270"/>
      <c r="L138" s="250"/>
      <c r="M138" s="250"/>
      <c r="N138" s="553" t="str">
        <f>CONCATENATE(IF(OR(M138=phu!$I$1,M138=phu!$I$2,M138=phu!$I$3),"Cam Thành Nam",""),IF(OR(M138=phu!$I$4,M138=phu!$I$5,M138=phu!$I$6,M138=phu!$I$7,M138=phu!$I$8,M138=phu!$I$9,M138=phu!$I$10,M138=phu!$I$11,M138=phu!$I$12,M138=phu!$I$13,M138=phu!$I$14),"Cam Nghĩa",""),IF(OR(M138=phu!$I$15,M138=phu!$I$16,M138=phu!$I$17,M138=phu!$I$18,M138=phu!$I$19,M138=phu!$I$20,M138=phu!$I$21),"Cam Phúc Bắc",""),IF(OR(M138=phu!$I$22,M138=phu!$I$23,M138=phu!$I$24,M138=phu!$I$25),"Cam Phúc Nam",""),IF(OR(M138=phu!$I$26,M138=phu!$I$27,M138=phu!$I$28,M138=phu!$I$29,M138=phu!$I$30,M138=phu!$I$31),"Cam Phú",""),IF(OR(M138=phu!$I$32,M138=phu!$I$33,M138=phu!$I$34,M138=phu!$I$35,M138=phu!$I$36,M138=phu!$I$37),"Cam Lộc",""),IF(OR(M138=phu!$I$38,M138=phu!$I$39,M138=phu!$I$40,M138=phu!$I$41,M138=phu!$I$42,M138=phu!$I$43,M138=phu!$I$44),"Cam Thuận",""),IF(OR(M138=phu!$I$45,M138=phu!$I$46,M138=phu!$I$47,M138=phu!$I$48,M138=phu!$I$49,M138=phu!$I$50,M138=phu!$I$51,M138=phu!$I$52,M138=phu!$I$53),"Cam Linh",""),IF(OR(M138=phu!$I$54,M138=phu!$I$55,M138=phu!$I$56,M138=phu!$I$57,M138=phu!$I$58,M138=phu!$I$59,M138=phu!$I$60,M138=phu!$I$61,M138=phu!$I$62),"Cam Lợi",""),IF(OR(M138=phu!$I$63,M138=phu!$I$64,M138=phu!$I$65,M138=phu!$I$66,M138=phu!$I$67,M138=phu!$I$68,M138=phu!$I$69,M138=phu!$I$70,M138=phu!$I$71),"Ba Ngòi",""),IF(OR(M138=phu!$I$72,M138=phu!$I$73,M138=phu!$I$74,M138=phu!$I$75,M138=phu!$I$76,M138=phu!$I$77,M138=phu!$I$78),"Cam Phước Đông",""),IF(OR(M138=phu!$I$79,M138=phu!$I$80,M138=phu!$I$81,M138=phu!$I$82,M138=phu!$I$83,M138=phu!$I$84),"Cam Thịnh Đông",""),IF(OR(M138=phu!$I$85,M138=phu!$I$86,M138=phu!$I$87,M138=phu!$I$88),"Cam Thịnh Tây",""),IF(OR(M138=phu!$I$89,M138=phu!$I$90),"Cam Lập",""),IF(OR(M138=phu!$I$91,M138=phu!$I$92,M138=phu!$I$93),"Cam Bình",""),IF(OR(M138=phu!$I$94,M138=phu!$I$95,M138=phu!$I$96,M138=phu!$I$97,M138=phu!$I$98,M138=phu!$I$99,M138=phu!$I$100),"Huyện khác",""),IF(OR(M138=phu!$I$101,M138=phu!$I$102),"Tỉnh khác",""))</f>
        <v/>
      </c>
      <c r="O138" s="814" t="str">
        <f t="shared" si="13"/>
        <v/>
      </c>
      <c r="P138" s="254"/>
      <c r="Q138" s="254"/>
      <c r="R138" s="254"/>
      <c r="S138" s="254"/>
      <c r="T138" s="254"/>
      <c r="U138" s="254"/>
      <c r="V138" s="254"/>
      <c r="W138" s="254"/>
      <c r="Y138" s="246" t="str">
        <f t="shared" si="14"/>
        <v/>
      </c>
      <c r="Z138" s="247" t="str">
        <f t="shared" si="12"/>
        <v/>
      </c>
      <c r="AA138" s="246" t="str">
        <f t="shared" si="15"/>
        <v/>
      </c>
    </row>
    <row r="139" spans="1:27" ht="18" customHeight="1" x14ac:dyDescent="0.25">
      <c r="A139" s="248" t="str">
        <f t="shared" si="16"/>
        <v/>
      </c>
      <c r="B139" s="249" t="str">
        <f t="shared" si="17"/>
        <v/>
      </c>
      <c r="C139" s="250"/>
      <c r="D139" s="251"/>
      <c r="E139" s="241"/>
      <c r="F139" s="252"/>
      <c r="G139" s="252"/>
      <c r="H139" s="253"/>
      <c r="I139" s="250"/>
      <c r="J139" s="250"/>
      <c r="K139" s="270"/>
      <c r="L139" s="250"/>
      <c r="M139" s="250"/>
      <c r="N139" s="553" t="str">
        <f>CONCATENATE(IF(OR(M139=phu!$I$1,M139=phu!$I$2,M139=phu!$I$3),"Cam Thành Nam",""),IF(OR(M139=phu!$I$4,M139=phu!$I$5,M139=phu!$I$6,M139=phu!$I$7,M139=phu!$I$8,M139=phu!$I$9,M139=phu!$I$10,M139=phu!$I$11,M139=phu!$I$12,M139=phu!$I$13,M139=phu!$I$14),"Cam Nghĩa",""),IF(OR(M139=phu!$I$15,M139=phu!$I$16,M139=phu!$I$17,M139=phu!$I$18,M139=phu!$I$19,M139=phu!$I$20,M139=phu!$I$21),"Cam Phúc Bắc",""),IF(OR(M139=phu!$I$22,M139=phu!$I$23,M139=phu!$I$24,M139=phu!$I$25),"Cam Phúc Nam",""),IF(OR(M139=phu!$I$26,M139=phu!$I$27,M139=phu!$I$28,M139=phu!$I$29,M139=phu!$I$30,M139=phu!$I$31),"Cam Phú",""),IF(OR(M139=phu!$I$32,M139=phu!$I$33,M139=phu!$I$34,M139=phu!$I$35,M139=phu!$I$36,M139=phu!$I$37),"Cam Lộc",""),IF(OR(M139=phu!$I$38,M139=phu!$I$39,M139=phu!$I$40,M139=phu!$I$41,M139=phu!$I$42,M139=phu!$I$43,M139=phu!$I$44),"Cam Thuận",""),IF(OR(M139=phu!$I$45,M139=phu!$I$46,M139=phu!$I$47,M139=phu!$I$48,M139=phu!$I$49,M139=phu!$I$50,M139=phu!$I$51,M139=phu!$I$52,M139=phu!$I$53),"Cam Linh",""),IF(OR(M139=phu!$I$54,M139=phu!$I$55,M139=phu!$I$56,M139=phu!$I$57,M139=phu!$I$58,M139=phu!$I$59,M139=phu!$I$60,M139=phu!$I$61,M139=phu!$I$62),"Cam Lợi",""),IF(OR(M139=phu!$I$63,M139=phu!$I$64,M139=phu!$I$65,M139=phu!$I$66,M139=phu!$I$67,M139=phu!$I$68,M139=phu!$I$69,M139=phu!$I$70,M139=phu!$I$71),"Ba Ngòi",""),IF(OR(M139=phu!$I$72,M139=phu!$I$73,M139=phu!$I$74,M139=phu!$I$75,M139=phu!$I$76,M139=phu!$I$77,M139=phu!$I$78),"Cam Phước Đông",""),IF(OR(M139=phu!$I$79,M139=phu!$I$80,M139=phu!$I$81,M139=phu!$I$82,M139=phu!$I$83,M139=phu!$I$84),"Cam Thịnh Đông",""),IF(OR(M139=phu!$I$85,M139=phu!$I$86,M139=phu!$I$87,M139=phu!$I$88),"Cam Thịnh Tây",""),IF(OR(M139=phu!$I$89,M139=phu!$I$90),"Cam Lập",""),IF(OR(M139=phu!$I$91,M139=phu!$I$92,M139=phu!$I$93),"Cam Bình",""),IF(OR(M139=phu!$I$94,M139=phu!$I$95,M139=phu!$I$96,M139=phu!$I$97,M139=phu!$I$98,M139=phu!$I$99,M139=phu!$I$100),"Huyện khác",""),IF(OR(M139=phu!$I$101,M139=phu!$I$102),"Tỉnh khác",""))</f>
        <v/>
      </c>
      <c r="O139" s="814" t="str">
        <f t="shared" si="13"/>
        <v/>
      </c>
      <c r="P139" s="254"/>
      <c r="Q139" s="254"/>
      <c r="R139" s="254"/>
      <c r="S139" s="254"/>
      <c r="T139" s="254"/>
      <c r="U139" s="254"/>
      <c r="V139" s="254"/>
      <c r="W139" s="254"/>
      <c r="Y139" s="246" t="str">
        <f t="shared" si="14"/>
        <v/>
      </c>
      <c r="Z139" s="247" t="str">
        <f t="shared" si="12"/>
        <v/>
      </c>
      <c r="AA139" s="246" t="str">
        <f t="shared" si="15"/>
        <v/>
      </c>
    </row>
    <row r="140" spans="1:27" ht="18" customHeight="1" x14ac:dyDescent="0.25">
      <c r="A140" s="248" t="str">
        <f t="shared" si="16"/>
        <v/>
      </c>
      <c r="B140" s="249" t="str">
        <f t="shared" si="17"/>
        <v/>
      </c>
      <c r="C140" s="250"/>
      <c r="D140" s="251"/>
      <c r="E140" s="241"/>
      <c r="F140" s="252"/>
      <c r="G140" s="252"/>
      <c r="H140" s="253"/>
      <c r="I140" s="250"/>
      <c r="J140" s="250"/>
      <c r="K140" s="270"/>
      <c r="L140" s="250"/>
      <c r="M140" s="250"/>
      <c r="N140" s="553" t="str">
        <f>CONCATENATE(IF(OR(M140=phu!$I$1,M140=phu!$I$2,M140=phu!$I$3),"Cam Thành Nam",""),IF(OR(M140=phu!$I$4,M140=phu!$I$5,M140=phu!$I$6,M140=phu!$I$7,M140=phu!$I$8,M140=phu!$I$9,M140=phu!$I$10,M140=phu!$I$11,M140=phu!$I$12,M140=phu!$I$13,M140=phu!$I$14),"Cam Nghĩa",""),IF(OR(M140=phu!$I$15,M140=phu!$I$16,M140=phu!$I$17,M140=phu!$I$18,M140=phu!$I$19,M140=phu!$I$20,M140=phu!$I$21),"Cam Phúc Bắc",""),IF(OR(M140=phu!$I$22,M140=phu!$I$23,M140=phu!$I$24,M140=phu!$I$25),"Cam Phúc Nam",""),IF(OR(M140=phu!$I$26,M140=phu!$I$27,M140=phu!$I$28,M140=phu!$I$29,M140=phu!$I$30,M140=phu!$I$31),"Cam Phú",""),IF(OR(M140=phu!$I$32,M140=phu!$I$33,M140=phu!$I$34,M140=phu!$I$35,M140=phu!$I$36,M140=phu!$I$37),"Cam Lộc",""),IF(OR(M140=phu!$I$38,M140=phu!$I$39,M140=phu!$I$40,M140=phu!$I$41,M140=phu!$I$42,M140=phu!$I$43,M140=phu!$I$44),"Cam Thuận",""),IF(OR(M140=phu!$I$45,M140=phu!$I$46,M140=phu!$I$47,M140=phu!$I$48,M140=phu!$I$49,M140=phu!$I$50,M140=phu!$I$51,M140=phu!$I$52,M140=phu!$I$53),"Cam Linh",""),IF(OR(M140=phu!$I$54,M140=phu!$I$55,M140=phu!$I$56,M140=phu!$I$57,M140=phu!$I$58,M140=phu!$I$59,M140=phu!$I$60,M140=phu!$I$61,M140=phu!$I$62),"Cam Lợi",""),IF(OR(M140=phu!$I$63,M140=phu!$I$64,M140=phu!$I$65,M140=phu!$I$66,M140=phu!$I$67,M140=phu!$I$68,M140=phu!$I$69,M140=phu!$I$70,M140=phu!$I$71),"Ba Ngòi",""),IF(OR(M140=phu!$I$72,M140=phu!$I$73,M140=phu!$I$74,M140=phu!$I$75,M140=phu!$I$76,M140=phu!$I$77,M140=phu!$I$78),"Cam Phước Đông",""),IF(OR(M140=phu!$I$79,M140=phu!$I$80,M140=phu!$I$81,M140=phu!$I$82,M140=phu!$I$83,M140=phu!$I$84),"Cam Thịnh Đông",""),IF(OR(M140=phu!$I$85,M140=phu!$I$86,M140=phu!$I$87,M140=phu!$I$88),"Cam Thịnh Tây",""),IF(OR(M140=phu!$I$89,M140=phu!$I$90),"Cam Lập",""),IF(OR(M140=phu!$I$91,M140=phu!$I$92,M140=phu!$I$93),"Cam Bình",""),IF(OR(M140=phu!$I$94,M140=phu!$I$95,M140=phu!$I$96,M140=phu!$I$97,M140=phu!$I$98,M140=phu!$I$99,M140=phu!$I$100),"Huyện khác",""),IF(OR(M140=phu!$I$101,M140=phu!$I$102),"Tỉnh khác",""))</f>
        <v/>
      </c>
      <c r="O140" s="814" t="str">
        <f t="shared" si="13"/>
        <v/>
      </c>
      <c r="P140" s="254"/>
      <c r="Q140" s="254"/>
      <c r="R140" s="254"/>
      <c r="S140" s="254"/>
      <c r="T140" s="254"/>
      <c r="U140" s="254"/>
      <c r="V140" s="254"/>
      <c r="W140" s="254"/>
      <c r="Y140" s="246" t="str">
        <f t="shared" si="14"/>
        <v/>
      </c>
      <c r="Z140" s="247" t="str">
        <f t="shared" si="12"/>
        <v/>
      </c>
      <c r="AA140" s="246" t="str">
        <f t="shared" si="15"/>
        <v/>
      </c>
    </row>
    <row r="141" spans="1:27" ht="18" customHeight="1" x14ac:dyDescent="0.25">
      <c r="A141" s="248" t="str">
        <f t="shared" si="16"/>
        <v/>
      </c>
      <c r="B141" s="249" t="str">
        <f t="shared" si="17"/>
        <v/>
      </c>
      <c r="C141" s="250"/>
      <c r="D141" s="251"/>
      <c r="E141" s="241"/>
      <c r="F141" s="252"/>
      <c r="G141" s="252"/>
      <c r="H141" s="253"/>
      <c r="I141" s="250"/>
      <c r="J141" s="250"/>
      <c r="K141" s="270"/>
      <c r="L141" s="250"/>
      <c r="M141" s="250"/>
      <c r="N141" s="553" t="str">
        <f>CONCATENATE(IF(OR(M141=phu!$I$1,M141=phu!$I$2,M141=phu!$I$3),"Cam Thành Nam",""),IF(OR(M141=phu!$I$4,M141=phu!$I$5,M141=phu!$I$6,M141=phu!$I$7,M141=phu!$I$8,M141=phu!$I$9,M141=phu!$I$10,M141=phu!$I$11,M141=phu!$I$12,M141=phu!$I$13,M141=phu!$I$14),"Cam Nghĩa",""),IF(OR(M141=phu!$I$15,M141=phu!$I$16,M141=phu!$I$17,M141=phu!$I$18,M141=phu!$I$19,M141=phu!$I$20,M141=phu!$I$21),"Cam Phúc Bắc",""),IF(OR(M141=phu!$I$22,M141=phu!$I$23,M141=phu!$I$24,M141=phu!$I$25),"Cam Phúc Nam",""),IF(OR(M141=phu!$I$26,M141=phu!$I$27,M141=phu!$I$28,M141=phu!$I$29,M141=phu!$I$30,M141=phu!$I$31),"Cam Phú",""),IF(OR(M141=phu!$I$32,M141=phu!$I$33,M141=phu!$I$34,M141=phu!$I$35,M141=phu!$I$36,M141=phu!$I$37),"Cam Lộc",""),IF(OR(M141=phu!$I$38,M141=phu!$I$39,M141=phu!$I$40,M141=phu!$I$41,M141=phu!$I$42,M141=phu!$I$43,M141=phu!$I$44),"Cam Thuận",""),IF(OR(M141=phu!$I$45,M141=phu!$I$46,M141=phu!$I$47,M141=phu!$I$48,M141=phu!$I$49,M141=phu!$I$50,M141=phu!$I$51,M141=phu!$I$52,M141=phu!$I$53),"Cam Linh",""),IF(OR(M141=phu!$I$54,M141=phu!$I$55,M141=phu!$I$56,M141=phu!$I$57,M141=phu!$I$58,M141=phu!$I$59,M141=phu!$I$60,M141=phu!$I$61,M141=phu!$I$62),"Cam Lợi",""),IF(OR(M141=phu!$I$63,M141=phu!$I$64,M141=phu!$I$65,M141=phu!$I$66,M141=phu!$I$67,M141=phu!$I$68,M141=phu!$I$69,M141=phu!$I$70,M141=phu!$I$71),"Ba Ngòi",""),IF(OR(M141=phu!$I$72,M141=phu!$I$73,M141=phu!$I$74,M141=phu!$I$75,M141=phu!$I$76,M141=phu!$I$77,M141=phu!$I$78),"Cam Phước Đông",""),IF(OR(M141=phu!$I$79,M141=phu!$I$80,M141=phu!$I$81,M141=phu!$I$82,M141=phu!$I$83,M141=phu!$I$84),"Cam Thịnh Đông",""),IF(OR(M141=phu!$I$85,M141=phu!$I$86,M141=phu!$I$87,M141=phu!$I$88),"Cam Thịnh Tây",""),IF(OR(M141=phu!$I$89,M141=phu!$I$90),"Cam Lập",""),IF(OR(M141=phu!$I$91,M141=phu!$I$92,M141=phu!$I$93),"Cam Bình",""),IF(OR(M141=phu!$I$94,M141=phu!$I$95,M141=phu!$I$96,M141=phu!$I$97,M141=phu!$I$98,M141=phu!$I$99,M141=phu!$I$100),"Huyện khác",""),IF(OR(M141=phu!$I$101,M141=phu!$I$102),"Tỉnh khác",""))</f>
        <v/>
      </c>
      <c r="O141" s="814" t="str">
        <f t="shared" si="13"/>
        <v/>
      </c>
      <c r="P141" s="254"/>
      <c r="Q141" s="254"/>
      <c r="R141" s="254"/>
      <c r="S141" s="254"/>
      <c r="T141" s="254"/>
      <c r="U141" s="254"/>
      <c r="V141" s="254"/>
      <c r="W141" s="254"/>
      <c r="Y141" s="246" t="str">
        <f t="shared" si="14"/>
        <v/>
      </c>
      <c r="Z141" s="247" t="str">
        <f t="shared" si="12"/>
        <v/>
      </c>
      <c r="AA141" s="246" t="str">
        <f t="shared" si="15"/>
        <v/>
      </c>
    </row>
    <row r="142" spans="1:27" ht="18" customHeight="1" x14ac:dyDescent="0.25">
      <c r="A142" s="248" t="str">
        <f t="shared" si="16"/>
        <v/>
      </c>
      <c r="B142" s="249" t="str">
        <f t="shared" si="17"/>
        <v/>
      </c>
      <c r="C142" s="250"/>
      <c r="D142" s="251"/>
      <c r="E142" s="241"/>
      <c r="F142" s="252"/>
      <c r="G142" s="252"/>
      <c r="H142" s="253"/>
      <c r="I142" s="250"/>
      <c r="J142" s="250"/>
      <c r="K142" s="270"/>
      <c r="L142" s="250"/>
      <c r="M142" s="250"/>
      <c r="N142" s="553" t="str">
        <f>CONCATENATE(IF(OR(M142=phu!$I$1,M142=phu!$I$2,M142=phu!$I$3),"Cam Thành Nam",""),IF(OR(M142=phu!$I$4,M142=phu!$I$5,M142=phu!$I$6,M142=phu!$I$7,M142=phu!$I$8,M142=phu!$I$9,M142=phu!$I$10,M142=phu!$I$11,M142=phu!$I$12,M142=phu!$I$13,M142=phu!$I$14),"Cam Nghĩa",""),IF(OR(M142=phu!$I$15,M142=phu!$I$16,M142=phu!$I$17,M142=phu!$I$18,M142=phu!$I$19,M142=phu!$I$20,M142=phu!$I$21),"Cam Phúc Bắc",""),IF(OR(M142=phu!$I$22,M142=phu!$I$23,M142=phu!$I$24,M142=phu!$I$25),"Cam Phúc Nam",""),IF(OR(M142=phu!$I$26,M142=phu!$I$27,M142=phu!$I$28,M142=phu!$I$29,M142=phu!$I$30,M142=phu!$I$31),"Cam Phú",""),IF(OR(M142=phu!$I$32,M142=phu!$I$33,M142=phu!$I$34,M142=phu!$I$35,M142=phu!$I$36,M142=phu!$I$37),"Cam Lộc",""),IF(OR(M142=phu!$I$38,M142=phu!$I$39,M142=phu!$I$40,M142=phu!$I$41,M142=phu!$I$42,M142=phu!$I$43,M142=phu!$I$44),"Cam Thuận",""),IF(OR(M142=phu!$I$45,M142=phu!$I$46,M142=phu!$I$47,M142=phu!$I$48,M142=phu!$I$49,M142=phu!$I$50,M142=phu!$I$51,M142=phu!$I$52,M142=phu!$I$53),"Cam Linh",""),IF(OR(M142=phu!$I$54,M142=phu!$I$55,M142=phu!$I$56,M142=phu!$I$57,M142=phu!$I$58,M142=phu!$I$59,M142=phu!$I$60,M142=phu!$I$61,M142=phu!$I$62),"Cam Lợi",""),IF(OR(M142=phu!$I$63,M142=phu!$I$64,M142=phu!$I$65,M142=phu!$I$66,M142=phu!$I$67,M142=phu!$I$68,M142=phu!$I$69,M142=phu!$I$70,M142=phu!$I$71),"Ba Ngòi",""),IF(OR(M142=phu!$I$72,M142=phu!$I$73,M142=phu!$I$74,M142=phu!$I$75,M142=phu!$I$76,M142=phu!$I$77,M142=phu!$I$78),"Cam Phước Đông",""),IF(OR(M142=phu!$I$79,M142=phu!$I$80,M142=phu!$I$81,M142=phu!$I$82,M142=phu!$I$83,M142=phu!$I$84),"Cam Thịnh Đông",""),IF(OR(M142=phu!$I$85,M142=phu!$I$86,M142=phu!$I$87,M142=phu!$I$88),"Cam Thịnh Tây",""),IF(OR(M142=phu!$I$89,M142=phu!$I$90),"Cam Lập",""),IF(OR(M142=phu!$I$91,M142=phu!$I$92,M142=phu!$I$93),"Cam Bình",""),IF(OR(M142=phu!$I$94,M142=phu!$I$95,M142=phu!$I$96,M142=phu!$I$97,M142=phu!$I$98,M142=phu!$I$99,M142=phu!$I$100),"Huyện khác",""),IF(OR(M142=phu!$I$101,M142=phu!$I$102),"Tỉnh khác",""))</f>
        <v/>
      </c>
      <c r="O142" s="814" t="str">
        <f t="shared" si="13"/>
        <v/>
      </c>
      <c r="P142" s="254"/>
      <c r="Q142" s="254"/>
      <c r="R142" s="254"/>
      <c r="S142" s="254"/>
      <c r="T142" s="254"/>
      <c r="U142" s="254"/>
      <c r="V142" s="254"/>
      <c r="W142" s="254"/>
      <c r="Y142" s="246" t="str">
        <f t="shared" si="14"/>
        <v/>
      </c>
      <c r="Z142" s="247" t="str">
        <f t="shared" si="12"/>
        <v/>
      </c>
      <c r="AA142" s="246" t="str">
        <f t="shared" si="15"/>
        <v/>
      </c>
    </row>
    <row r="143" spans="1:27" ht="18" customHeight="1" x14ac:dyDescent="0.25">
      <c r="A143" s="248" t="str">
        <f t="shared" si="16"/>
        <v/>
      </c>
      <c r="B143" s="249" t="str">
        <f t="shared" si="17"/>
        <v/>
      </c>
      <c r="C143" s="250"/>
      <c r="D143" s="251"/>
      <c r="E143" s="241"/>
      <c r="F143" s="252"/>
      <c r="G143" s="252"/>
      <c r="H143" s="253"/>
      <c r="I143" s="250"/>
      <c r="J143" s="250"/>
      <c r="K143" s="270"/>
      <c r="L143" s="250"/>
      <c r="M143" s="250"/>
      <c r="N143" s="553" t="str">
        <f>CONCATENATE(IF(OR(M143=phu!$I$1,M143=phu!$I$2,M143=phu!$I$3),"Cam Thành Nam",""),IF(OR(M143=phu!$I$4,M143=phu!$I$5,M143=phu!$I$6,M143=phu!$I$7,M143=phu!$I$8,M143=phu!$I$9,M143=phu!$I$10,M143=phu!$I$11,M143=phu!$I$12,M143=phu!$I$13,M143=phu!$I$14),"Cam Nghĩa",""),IF(OR(M143=phu!$I$15,M143=phu!$I$16,M143=phu!$I$17,M143=phu!$I$18,M143=phu!$I$19,M143=phu!$I$20,M143=phu!$I$21),"Cam Phúc Bắc",""),IF(OR(M143=phu!$I$22,M143=phu!$I$23,M143=phu!$I$24,M143=phu!$I$25),"Cam Phúc Nam",""),IF(OR(M143=phu!$I$26,M143=phu!$I$27,M143=phu!$I$28,M143=phu!$I$29,M143=phu!$I$30,M143=phu!$I$31),"Cam Phú",""),IF(OR(M143=phu!$I$32,M143=phu!$I$33,M143=phu!$I$34,M143=phu!$I$35,M143=phu!$I$36,M143=phu!$I$37),"Cam Lộc",""),IF(OR(M143=phu!$I$38,M143=phu!$I$39,M143=phu!$I$40,M143=phu!$I$41,M143=phu!$I$42,M143=phu!$I$43,M143=phu!$I$44),"Cam Thuận",""),IF(OR(M143=phu!$I$45,M143=phu!$I$46,M143=phu!$I$47,M143=phu!$I$48,M143=phu!$I$49,M143=phu!$I$50,M143=phu!$I$51,M143=phu!$I$52,M143=phu!$I$53),"Cam Linh",""),IF(OR(M143=phu!$I$54,M143=phu!$I$55,M143=phu!$I$56,M143=phu!$I$57,M143=phu!$I$58,M143=phu!$I$59,M143=phu!$I$60,M143=phu!$I$61,M143=phu!$I$62),"Cam Lợi",""),IF(OR(M143=phu!$I$63,M143=phu!$I$64,M143=phu!$I$65,M143=phu!$I$66,M143=phu!$I$67,M143=phu!$I$68,M143=phu!$I$69,M143=phu!$I$70,M143=phu!$I$71),"Ba Ngòi",""),IF(OR(M143=phu!$I$72,M143=phu!$I$73,M143=phu!$I$74,M143=phu!$I$75,M143=phu!$I$76,M143=phu!$I$77,M143=phu!$I$78),"Cam Phước Đông",""),IF(OR(M143=phu!$I$79,M143=phu!$I$80,M143=phu!$I$81,M143=phu!$I$82,M143=phu!$I$83,M143=phu!$I$84),"Cam Thịnh Đông",""),IF(OR(M143=phu!$I$85,M143=phu!$I$86,M143=phu!$I$87,M143=phu!$I$88),"Cam Thịnh Tây",""),IF(OR(M143=phu!$I$89,M143=phu!$I$90),"Cam Lập",""),IF(OR(M143=phu!$I$91,M143=phu!$I$92,M143=phu!$I$93),"Cam Bình",""),IF(OR(M143=phu!$I$94,M143=phu!$I$95,M143=phu!$I$96,M143=phu!$I$97,M143=phu!$I$98,M143=phu!$I$99,M143=phu!$I$100),"Huyện khác",""),IF(OR(M143=phu!$I$101,M143=phu!$I$102),"Tỉnh khác",""))</f>
        <v/>
      </c>
      <c r="O143" s="814" t="str">
        <f t="shared" si="13"/>
        <v/>
      </c>
      <c r="P143" s="254"/>
      <c r="Q143" s="254"/>
      <c r="R143" s="254"/>
      <c r="S143" s="254"/>
      <c r="T143" s="254"/>
      <c r="U143" s="254"/>
      <c r="V143" s="254"/>
      <c r="W143" s="254"/>
      <c r="Y143" s="246" t="str">
        <f t="shared" si="14"/>
        <v/>
      </c>
      <c r="Z143" s="247" t="str">
        <f t="shared" si="12"/>
        <v/>
      </c>
      <c r="AA143" s="246" t="str">
        <f t="shared" si="15"/>
        <v/>
      </c>
    </row>
    <row r="144" spans="1:27" ht="18" customHeight="1" x14ac:dyDescent="0.25">
      <c r="A144" s="248" t="str">
        <f t="shared" si="16"/>
        <v/>
      </c>
      <c r="B144" s="249" t="str">
        <f t="shared" si="17"/>
        <v/>
      </c>
      <c r="C144" s="250"/>
      <c r="D144" s="251"/>
      <c r="E144" s="241"/>
      <c r="F144" s="252"/>
      <c r="G144" s="252"/>
      <c r="H144" s="253"/>
      <c r="I144" s="250"/>
      <c r="J144" s="250"/>
      <c r="K144" s="270"/>
      <c r="L144" s="250"/>
      <c r="M144" s="250"/>
      <c r="N144" s="553" t="str">
        <f>CONCATENATE(IF(OR(M144=phu!$I$1,M144=phu!$I$2,M144=phu!$I$3),"Cam Thành Nam",""),IF(OR(M144=phu!$I$4,M144=phu!$I$5,M144=phu!$I$6,M144=phu!$I$7,M144=phu!$I$8,M144=phu!$I$9,M144=phu!$I$10,M144=phu!$I$11,M144=phu!$I$12,M144=phu!$I$13,M144=phu!$I$14),"Cam Nghĩa",""),IF(OR(M144=phu!$I$15,M144=phu!$I$16,M144=phu!$I$17,M144=phu!$I$18,M144=phu!$I$19,M144=phu!$I$20,M144=phu!$I$21),"Cam Phúc Bắc",""),IF(OR(M144=phu!$I$22,M144=phu!$I$23,M144=phu!$I$24,M144=phu!$I$25),"Cam Phúc Nam",""),IF(OR(M144=phu!$I$26,M144=phu!$I$27,M144=phu!$I$28,M144=phu!$I$29,M144=phu!$I$30,M144=phu!$I$31),"Cam Phú",""),IF(OR(M144=phu!$I$32,M144=phu!$I$33,M144=phu!$I$34,M144=phu!$I$35,M144=phu!$I$36,M144=phu!$I$37),"Cam Lộc",""),IF(OR(M144=phu!$I$38,M144=phu!$I$39,M144=phu!$I$40,M144=phu!$I$41,M144=phu!$I$42,M144=phu!$I$43,M144=phu!$I$44),"Cam Thuận",""),IF(OR(M144=phu!$I$45,M144=phu!$I$46,M144=phu!$I$47,M144=phu!$I$48,M144=phu!$I$49,M144=phu!$I$50,M144=phu!$I$51,M144=phu!$I$52,M144=phu!$I$53),"Cam Linh",""),IF(OR(M144=phu!$I$54,M144=phu!$I$55,M144=phu!$I$56,M144=phu!$I$57,M144=phu!$I$58,M144=phu!$I$59,M144=phu!$I$60,M144=phu!$I$61,M144=phu!$I$62),"Cam Lợi",""),IF(OR(M144=phu!$I$63,M144=phu!$I$64,M144=phu!$I$65,M144=phu!$I$66,M144=phu!$I$67,M144=phu!$I$68,M144=phu!$I$69,M144=phu!$I$70,M144=phu!$I$71),"Ba Ngòi",""),IF(OR(M144=phu!$I$72,M144=phu!$I$73,M144=phu!$I$74,M144=phu!$I$75,M144=phu!$I$76,M144=phu!$I$77,M144=phu!$I$78),"Cam Phước Đông",""),IF(OR(M144=phu!$I$79,M144=phu!$I$80,M144=phu!$I$81,M144=phu!$I$82,M144=phu!$I$83,M144=phu!$I$84),"Cam Thịnh Đông",""),IF(OR(M144=phu!$I$85,M144=phu!$I$86,M144=phu!$I$87,M144=phu!$I$88),"Cam Thịnh Tây",""),IF(OR(M144=phu!$I$89,M144=phu!$I$90),"Cam Lập",""),IF(OR(M144=phu!$I$91,M144=phu!$I$92,M144=phu!$I$93),"Cam Bình",""),IF(OR(M144=phu!$I$94,M144=phu!$I$95,M144=phu!$I$96,M144=phu!$I$97,M144=phu!$I$98,M144=phu!$I$99,M144=phu!$I$100),"Huyện khác",""),IF(OR(M144=phu!$I$101,M144=phu!$I$102),"Tỉnh khác",""))</f>
        <v/>
      </c>
      <c r="O144" s="814" t="str">
        <f t="shared" si="13"/>
        <v/>
      </c>
      <c r="P144" s="254"/>
      <c r="Q144" s="254"/>
      <c r="R144" s="254"/>
      <c r="S144" s="254"/>
      <c r="T144" s="254"/>
      <c r="U144" s="254"/>
      <c r="V144" s="254"/>
      <c r="W144" s="254"/>
      <c r="Y144" s="246" t="str">
        <f t="shared" si="14"/>
        <v/>
      </c>
      <c r="Z144" s="247" t="str">
        <f t="shared" si="12"/>
        <v/>
      </c>
      <c r="AA144" s="246" t="str">
        <f t="shared" si="15"/>
        <v/>
      </c>
    </row>
    <row r="145" spans="1:27" ht="18" customHeight="1" x14ac:dyDescent="0.25">
      <c r="A145" s="248" t="str">
        <f t="shared" si="16"/>
        <v/>
      </c>
      <c r="B145" s="249" t="str">
        <f t="shared" si="17"/>
        <v/>
      </c>
      <c r="C145" s="250"/>
      <c r="D145" s="251"/>
      <c r="E145" s="241"/>
      <c r="F145" s="252"/>
      <c r="G145" s="252"/>
      <c r="H145" s="253"/>
      <c r="I145" s="250"/>
      <c r="J145" s="250"/>
      <c r="K145" s="270"/>
      <c r="L145" s="250"/>
      <c r="M145" s="250"/>
      <c r="N145" s="553" t="str">
        <f>CONCATENATE(IF(OR(M145=phu!$I$1,M145=phu!$I$2,M145=phu!$I$3),"Cam Thành Nam",""),IF(OR(M145=phu!$I$4,M145=phu!$I$5,M145=phu!$I$6,M145=phu!$I$7,M145=phu!$I$8,M145=phu!$I$9,M145=phu!$I$10,M145=phu!$I$11,M145=phu!$I$12,M145=phu!$I$13,M145=phu!$I$14),"Cam Nghĩa",""),IF(OR(M145=phu!$I$15,M145=phu!$I$16,M145=phu!$I$17,M145=phu!$I$18,M145=phu!$I$19,M145=phu!$I$20,M145=phu!$I$21),"Cam Phúc Bắc",""),IF(OR(M145=phu!$I$22,M145=phu!$I$23,M145=phu!$I$24,M145=phu!$I$25),"Cam Phúc Nam",""),IF(OR(M145=phu!$I$26,M145=phu!$I$27,M145=phu!$I$28,M145=phu!$I$29,M145=phu!$I$30,M145=phu!$I$31),"Cam Phú",""),IF(OR(M145=phu!$I$32,M145=phu!$I$33,M145=phu!$I$34,M145=phu!$I$35,M145=phu!$I$36,M145=phu!$I$37),"Cam Lộc",""),IF(OR(M145=phu!$I$38,M145=phu!$I$39,M145=phu!$I$40,M145=phu!$I$41,M145=phu!$I$42,M145=phu!$I$43,M145=phu!$I$44),"Cam Thuận",""),IF(OR(M145=phu!$I$45,M145=phu!$I$46,M145=phu!$I$47,M145=phu!$I$48,M145=phu!$I$49,M145=phu!$I$50,M145=phu!$I$51,M145=phu!$I$52,M145=phu!$I$53),"Cam Linh",""),IF(OR(M145=phu!$I$54,M145=phu!$I$55,M145=phu!$I$56,M145=phu!$I$57,M145=phu!$I$58,M145=phu!$I$59,M145=phu!$I$60,M145=phu!$I$61,M145=phu!$I$62),"Cam Lợi",""),IF(OR(M145=phu!$I$63,M145=phu!$I$64,M145=phu!$I$65,M145=phu!$I$66,M145=phu!$I$67,M145=phu!$I$68,M145=phu!$I$69,M145=phu!$I$70,M145=phu!$I$71),"Ba Ngòi",""),IF(OR(M145=phu!$I$72,M145=phu!$I$73,M145=phu!$I$74,M145=phu!$I$75,M145=phu!$I$76,M145=phu!$I$77,M145=phu!$I$78),"Cam Phước Đông",""),IF(OR(M145=phu!$I$79,M145=phu!$I$80,M145=phu!$I$81,M145=phu!$I$82,M145=phu!$I$83,M145=phu!$I$84),"Cam Thịnh Đông",""),IF(OR(M145=phu!$I$85,M145=phu!$I$86,M145=phu!$I$87,M145=phu!$I$88),"Cam Thịnh Tây",""),IF(OR(M145=phu!$I$89,M145=phu!$I$90),"Cam Lập",""),IF(OR(M145=phu!$I$91,M145=phu!$I$92,M145=phu!$I$93),"Cam Bình",""),IF(OR(M145=phu!$I$94,M145=phu!$I$95,M145=phu!$I$96,M145=phu!$I$97,M145=phu!$I$98,M145=phu!$I$99,M145=phu!$I$100),"Huyện khác",""),IF(OR(M145=phu!$I$101,M145=phu!$I$102),"Tỉnh khác",""))</f>
        <v/>
      </c>
      <c r="O145" s="814" t="str">
        <f t="shared" si="13"/>
        <v/>
      </c>
      <c r="P145" s="254"/>
      <c r="Q145" s="254"/>
      <c r="R145" s="254"/>
      <c r="S145" s="254"/>
      <c r="T145" s="254"/>
      <c r="U145" s="254"/>
      <c r="V145" s="254"/>
      <c r="W145" s="254"/>
      <c r="Y145" s="246" t="str">
        <f t="shared" si="14"/>
        <v/>
      </c>
      <c r="Z145" s="247" t="str">
        <f t="shared" si="12"/>
        <v/>
      </c>
      <c r="AA145" s="246" t="str">
        <f t="shared" si="15"/>
        <v/>
      </c>
    </row>
    <row r="146" spans="1:27" ht="18" customHeight="1" x14ac:dyDescent="0.25">
      <c r="A146" s="248" t="str">
        <f t="shared" si="16"/>
        <v/>
      </c>
      <c r="B146" s="249" t="str">
        <f t="shared" si="17"/>
        <v/>
      </c>
      <c r="C146" s="250"/>
      <c r="D146" s="251"/>
      <c r="E146" s="241"/>
      <c r="F146" s="252"/>
      <c r="G146" s="252"/>
      <c r="H146" s="253"/>
      <c r="I146" s="250"/>
      <c r="J146" s="250"/>
      <c r="K146" s="270"/>
      <c r="L146" s="250"/>
      <c r="M146" s="250"/>
      <c r="N146" s="553" t="str">
        <f>CONCATENATE(IF(OR(M146=phu!$I$1,M146=phu!$I$2,M146=phu!$I$3),"Cam Thành Nam",""),IF(OR(M146=phu!$I$4,M146=phu!$I$5,M146=phu!$I$6,M146=phu!$I$7,M146=phu!$I$8,M146=phu!$I$9,M146=phu!$I$10,M146=phu!$I$11,M146=phu!$I$12,M146=phu!$I$13,M146=phu!$I$14),"Cam Nghĩa",""),IF(OR(M146=phu!$I$15,M146=phu!$I$16,M146=phu!$I$17,M146=phu!$I$18,M146=phu!$I$19,M146=phu!$I$20,M146=phu!$I$21),"Cam Phúc Bắc",""),IF(OR(M146=phu!$I$22,M146=phu!$I$23,M146=phu!$I$24,M146=phu!$I$25),"Cam Phúc Nam",""),IF(OR(M146=phu!$I$26,M146=phu!$I$27,M146=phu!$I$28,M146=phu!$I$29,M146=phu!$I$30,M146=phu!$I$31),"Cam Phú",""),IF(OR(M146=phu!$I$32,M146=phu!$I$33,M146=phu!$I$34,M146=phu!$I$35,M146=phu!$I$36,M146=phu!$I$37),"Cam Lộc",""),IF(OR(M146=phu!$I$38,M146=phu!$I$39,M146=phu!$I$40,M146=phu!$I$41,M146=phu!$I$42,M146=phu!$I$43,M146=phu!$I$44),"Cam Thuận",""),IF(OR(M146=phu!$I$45,M146=phu!$I$46,M146=phu!$I$47,M146=phu!$I$48,M146=phu!$I$49,M146=phu!$I$50,M146=phu!$I$51,M146=phu!$I$52,M146=phu!$I$53),"Cam Linh",""),IF(OR(M146=phu!$I$54,M146=phu!$I$55,M146=phu!$I$56,M146=phu!$I$57,M146=phu!$I$58,M146=phu!$I$59,M146=phu!$I$60,M146=phu!$I$61,M146=phu!$I$62),"Cam Lợi",""),IF(OR(M146=phu!$I$63,M146=phu!$I$64,M146=phu!$I$65,M146=phu!$I$66,M146=phu!$I$67,M146=phu!$I$68,M146=phu!$I$69,M146=phu!$I$70,M146=phu!$I$71),"Ba Ngòi",""),IF(OR(M146=phu!$I$72,M146=phu!$I$73,M146=phu!$I$74,M146=phu!$I$75,M146=phu!$I$76,M146=phu!$I$77,M146=phu!$I$78),"Cam Phước Đông",""),IF(OR(M146=phu!$I$79,M146=phu!$I$80,M146=phu!$I$81,M146=phu!$I$82,M146=phu!$I$83,M146=phu!$I$84),"Cam Thịnh Đông",""),IF(OR(M146=phu!$I$85,M146=phu!$I$86,M146=phu!$I$87,M146=phu!$I$88),"Cam Thịnh Tây",""),IF(OR(M146=phu!$I$89,M146=phu!$I$90),"Cam Lập",""),IF(OR(M146=phu!$I$91,M146=phu!$I$92,M146=phu!$I$93),"Cam Bình",""),IF(OR(M146=phu!$I$94,M146=phu!$I$95,M146=phu!$I$96,M146=phu!$I$97,M146=phu!$I$98,M146=phu!$I$99,M146=phu!$I$100),"Huyện khác",""),IF(OR(M146=phu!$I$101,M146=phu!$I$102),"Tỉnh khác",""))</f>
        <v/>
      </c>
      <c r="O146" s="814" t="str">
        <f t="shared" si="13"/>
        <v/>
      </c>
      <c r="P146" s="254"/>
      <c r="Q146" s="254"/>
      <c r="R146" s="254"/>
      <c r="S146" s="254"/>
      <c r="T146" s="254"/>
      <c r="U146" s="254"/>
      <c r="V146" s="254"/>
      <c r="W146" s="254"/>
      <c r="Y146" s="246" t="str">
        <f t="shared" si="14"/>
        <v/>
      </c>
      <c r="Z146" s="247" t="str">
        <f t="shared" si="12"/>
        <v/>
      </c>
      <c r="AA146" s="246" t="str">
        <f t="shared" si="15"/>
        <v/>
      </c>
    </row>
    <row r="147" spans="1:27" ht="18" customHeight="1" x14ac:dyDescent="0.25">
      <c r="A147" s="248" t="str">
        <f t="shared" si="16"/>
        <v/>
      </c>
      <c r="B147" s="249" t="str">
        <f t="shared" si="17"/>
        <v/>
      </c>
      <c r="C147" s="250"/>
      <c r="D147" s="251"/>
      <c r="E147" s="241"/>
      <c r="F147" s="252"/>
      <c r="G147" s="252"/>
      <c r="H147" s="253"/>
      <c r="I147" s="250"/>
      <c r="J147" s="250"/>
      <c r="K147" s="270"/>
      <c r="L147" s="250"/>
      <c r="M147" s="250"/>
      <c r="N147" s="553" t="str">
        <f>CONCATENATE(IF(OR(M147=phu!$I$1,M147=phu!$I$2,M147=phu!$I$3),"Cam Thành Nam",""),IF(OR(M147=phu!$I$4,M147=phu!$I$5,M147=phu!$I$6,M147=phu!$I$7,M147=phu!$I$8,M147=phu!$I$9,M147=phu!$I$10,M147=phu!$I$11,M147=phu!$I$12,M147=phu!$I$13,M147=phu!$I$14),"Cam Nghĩa",""),IF(OR(M147=phu!$I$15,M147=phu!$I$16,M147=phu!$I$17,M147=phu!$I$18,M147=phu!$I$19,M147=phu!$I$20,M147=phu!$I$21),"Cam Phúc Bắc",""),IF(OR(M147=phu!$I$22,M147=phu!$I$23,M147=phu!$I$24,M147=phu!$I$25),"Cam Phúc Nam",""),IF(OR(M147=phu!$I$26,M147=phu!$I$27,M147=phu!$I$28,M147=phu!$I$29,M147=phu!$I$30,M147=phu!$I$31),"Cam Phú",""),IF(OR(M147=phu!$I$32,M147=phu!$I$33,M147=phu!$I$34,M147=phu!$I$35,M147=phu!$I$36,M147=phu!$I$37),"Cam Lộc",""),IF(OR(M147=phu!$I$38,M147=phu!$I$39,M147=phu!$I$40,M147=phu!$I$41,M147=phu!$I$42,M147=phu!$I$43,M147=phu!$I$44),"Cam Thuận",""),IF(OR(M147=phu!$I$45,M147=phu!$I$46,M147=phu!$I$47,M147=phu!$I$48,M147=phu!$I$49,M147=phu!$I$50,M147=phu!$I$51,M147=phu!$I$52,M147=phu!$I$53),"Cam Linh",""),IF(OR(M147=phu!$I$54,M147=phu!$I$55,M147=phu!$I$56,M147=phu!$I$57,M147=phu!$I$58,M147=phu!$I$59,M147=phu!$I$60,M147=phu!$I$61,M147=phu!$I$62),"Cam Lợi",""),IF(OR(M147=phu!$I$63,M147=phu!$I$64,M147=phu!$I$65,M147=phu!$I$66,M147=phu!$I$67,M147=phu!$I$68,M147=phu!$I$69,M147=phu!$I$70,M147=phu!$I$71),"Ba Ngòi",""),IF(OR(M147=phu!$I$72,M147=phu!$I$73,M147=phu!$I$74,M147=phu!$I$75,M147=phu!$I$76,M147=phu!$I$77,M147=phu!$I$78),"Cam Phước Đông",""),IF(OR(M147=phu!$I$79,M147=phu!$I$80,M147=phu!$I$81,M147=phu!$I$82,M147=phu!$I$83,M147=phu!$I$84),"Cam Thịnh Đông",""),IF(OR(M147=phu!$I$85,M147=phu!$I$86,M147=phu!$I$87,M147=phu!$I$88),"Cam Thịnh Tây",""),IF(OR(M147=phu!$I$89,M147=phu!$I$90),"Cam Lập",""),IF(OR(M147=phu!$I$91,M147=phu!$I$92,M147=phu!$I$93),"Cam Bình",""),IF(OR(M147=phu!$I$94,M147=phu!$I$95,M147=phu!$I$96,M147=phu!$I$97,M147=phu!$I$98,M147=phu!$I$99,M147=phu!$I$100),"Huyện khác",""),IF(OR(M147=phu!$I$101,M147=phu!$I$102),"Tỉnh khác",""))</f>
        <v/>
      </c>
      <c r="O147" s="814" t="str">
        <f t="shared" si="13"/>
        <v/>
      </c>
      <c r="P147" s="254"/>
      <c r="Q147" s="254"/>
      <c r="R147" s="254"/>
      <c r="S147" s="254"/>
      <c r="T147" s="254"/>
      <c r="U147" s="254"/>
      <c r="V147" s="254"/>
      <c r="W147" s="254"/>
      <c r="Y147" s="246" t="str">
        <f t="shared" si="14"/>
        <v/>
      </c>
      <c r="Z147" s="247" t="str">
        <f t="shared" si="12"/>
        <v/>
      </c>
      <c r="AA147" s="246" t="str">
        <f t="shared" si="15"/>
        <v/>
      </c>
    </row>
    <row r="148" spans="1:27" ht="18" customHeight="1" x14ac:dyDescent="0.25">
      <c r="A148" s="248" t="str">
        <f t="shared" si="16"/>
        <v/>
      </c>
      <c r="B148" s="249" t="str">
        <f t="shared" si="17"/>
        <v/>
      </c>
      <c r="C148" s="250"/>
      <c r="D148" s="251"/>
      <c r="E148" s="241"/>
      <c r="F148" s="252"/>
      <c r="G148" s="252"/>
      <c r="H148" s="253"/>
      <c r="I148" s="250"/>
      <c r="J148" s="250"/>
      <c r="K148" s="270"/>
      <c r="L148" s="250"/>
      <c r="M148" s="250"/>
      <c r="N148" s="553" t="str">
        <f>CONCATENATE(IF(OR(M148=phu!$I$1,M148=phu!$I$2,M148=phu!$I$3),"Cam Thành Nam",""),IF(OR(M148=phu!$I$4,M148=phu!$I$5,M148=phu!$I$6,M148=phu!$I$7,M148=phu!$I$8,M148=phu!$I$9,M148=phu!$I$10,M148=phu!$I$11,M148=phu!$I$12,M148=phu!$I$13,M148=phu!$I$14),"Cam Nghĩa",""),IF(OR(M148=phu!$I$15,M148=phu!$I$16,M148=phu!$I$17,M148=phu!$I$18,M148=phu!$I$19,M148=phu!$I$20,M148=phu!$I$21),"Cam Phúc Bắc",""),IF(OR(M148=phu!$I$22,M148=phu!$I$23,M148=phu!$I$24,M148=phu!$I$25),"Cam Phúc Nam",""),IF(OR(M148=phu!$I$26,M148=phu!$I$27,M148=phu!$I$28,M148=phu!$I$29,M148=phu!$I$30,M148=phu!$I$31),"Cam Phú",""),IF(OR(M148=phu!$I$32,M148=phu!$I$33,M148=phu!$I$34,M148=phu!$I$35,M148=phu!$I$36,M148=phu!$I$37),"Cam Lộc",""),IF(OR(M148=phu!$I$38,M148=phu!$I$39,M148=phu!$I$40,M148=phu!$I$41,M148=phu!$I$42,M148=phu!$I$43,M148=phu!$I$44),"Cam Thuận",""),IF(OR(M148=phu!$I$45,M148=phu!$I$46,M148=phu!$I$47,M148=phu!$I$48,M148=phu!$I$49,M148=phu!$I$50,M148=phu!$I$51,M148=phu!$I$52,M148=phu!$I$53),"Cam Linh",""),IF(OR(M148=phu!$I$54,M148=phu!$I$55,M148=phu!$I$56,M148=phu!$I$57,M148=phu!$I$58,M148=phu!$I$59,M148=phu!$I$60,M148=phu!$I$61,M148=phu!$I$62),"Cam Lợi",""),IF(OR(M148=phu!$I$63,M148=phu!$I$64,M148=phu!$I$65,M148=phu!$I$66,M148=phu!$I$67,M148=phu!$I$68,M148=phu!$I$69,M148=phu!$I$70,M148=phu!$I$71),"Ba Ngòi",""),IF(OR(M148=phu!$I$72,M148=phu!$I$73,M148=phu!$I$74,M148=phu!$I$75,M148=phu!$I$76,M148=phu!$I$77,M148=phu!$I$78),"Cam Phước Đông",""),IF(OR(M148=phu!$I$79,M148=phu!$I$80,M148=phu!$I$81,M148=phu!$I$82,M148=phu!$I$83,M148=phu!$I$84),"Cam Thịnh Đông",""),IF(OR(M148=phu!$I$85,M148=phu!$I$86,M148=phu!$I$87,M148=phu!$I$88),"Cam Thịnh Tây",""),IF(OR(M148=phu!$I$89,M148=phu!$I$90),"Cam Lập",""),IF(OR(M148=phu!$I$91,M148=phu!$I$92,M148=phu!$I$93),"Cam Bình",""),IF(OR(M148=phu!$I$94,M148=phu!$I$95,M148=phu!$I$96,M148=phu!$I$97,M148=phu!$I$98,M148=phu!$I$99,M148=phu!$I$100),"Huyện khác",""),IF(OR(M148=phu!$I$101,M148=phu!$I$102),"Tỉnh khác",""))</f>
        <v/>
      </c>
      <c r="O148" s="814" t="str">
        <f t="shared" si="13"/>
        <v/>
      </c>
      <c r="P148" s="254"/>
      <c r="Q148" s="254"/>
      <c r="R148" s="254"/>
      <c r="S148" s="254"/>
      <c r="T148" s="254"/>
      <c r="U148" s="254"/>
      <c r="V148" s="254"/>
      <c r="W148" s="254"/>
      <c r="Y148" s="246" t="str">
        <f t="shared" si="14"/>
        <v/>
      </c>
      <c r="Z148" s="247" t="str">
        <f t="shared" si="12"/>
        <v/>
      </c>
      <c r="AA148" s="246" t="str">
        <f t="shared" si="15"/>
        <v/>
      </c>
    </row>
    <row r="149" spans="1:27" ht="18" customHeight="1" x14ac:dyDescent="0.25">
      <c r="A149" s="248" t="str">
        <f t="shared" si="16"/>
        <v/>
      </c>
      <c r="B149" s="249" t="str">
        <f t="shared" si="17"/>
        <v/>
      </c>
      <c r="C149" s="250"/>
      <c r="D149" s="251"/>
      <c r="E149" s="241"/>
      <c r="F149" s="252"/>
      <c r="G149" s="252"/>
      <c r="H149" s="253"/>
      <c r="I149" s="250"/>
      <c r="J149" s="250"/>
      <c r="K149" s="270"/>
      <c r="L149" s="250"/>
      <c r="M149" s="250"/>
      <c r="N149" s="553" t="str">
        <f>CONCATENATE(IF(OR(M149=phu!$I$1,M149=phu!$I$2,M149=phu!$I$3),"Cam Thành Nam",""),IF(OR(M149=phu!$I$4,M149=phu!$I$5,M149=phu!$I$6,M149=phu!$I$7,M149=phu!$I$8,M149=phu!$I$9,M149=phu!$I$10,M149=phu!$I$11,M149=phu!$I$12,M149=phu!$I$13,M149=phu!$I$14),"Cam Nghĩa",""),IF(OR(M149=phu!$I$15,M149=phu!$I$16,M149=phu!$I$17,M149=phu!$I$18,M149=phu!$I$19,M149=phu!$I$20,M149=phu!$I$21),"Cam Phúc Bắc",""),IF(OR(M149=phu!$I$22,M149=phu!$I$23,M149=phu!$I$24,M149=phu!$I$25),"Cam Phúc Nam",""),IF(OR(M149=phu!$I$26,M149=phu!$I$27,M149=phu!$I$28,M149=phu!$I$29,M149=phu!$I$30,M149=phu!$I$31),"Cam Phú",""),IF(OR(M149=phu!$I$32,M149=phu!$I$33,M149=phu!$I$34,M149=phu!$I$35,M149=phu!$I$36,M149=phu!$I$37),"Cam Lộc",""),IF(OR(M149=phu!$I$38,M149=phu!$I$39,M149=phu!$I$40,M149=phu!$I$41,M149=phu!$I$42,M149=phu!$I$43,M149=phu!$I$44),"Cam Thuận",""),IF(OR(M149=phu!$I$45,M149=phu!$I$46,M149=phu!$I$47,M149=phu!$I$48,M149=phu!$I$49,M149=phu!$I$50,M149=phu!$I$51,M149=phu!$I$52,M149=phu!$I$53),"Cam Linh",""),IF(OR(M149=phu!$I$54,M149=phu!$I$55,M149=phu!$I$56,M149=phu!$I$57,M149=phu!$I$58,M149=phu!$I$59,M149=phu!$I$60,M149=phu!$I$61,M149=phu!$I$62),"Cam Lợi",""),IF(OR(M149=phu!$I$63,M149=phu!$I$64,M149=phu!$I$65,M149=phu!$I$66,M149=phu!$I$67,M149=phu!$I$68,M149=phu!$I$69,M149=phu!$I$70,M149=phu!$I$71),"Ba Ngòi",""),IF(OR(M149=phu!$I$72,M149=phu!$I$73,M149=phu!$I$74,M149=phu!$I$75,M149=phu!$I$76,M149=phu!$I$77,M149=phu!$I$78),"Cam Phước Đông",""),IF(OR(M149=phu!$I$79,M149=phu!$I$80,M149=phu!$I$81,M149=phu!$I$82,M149=phu!$I$83,M149=phu!$I$84),"Cam Thịnh Đông",""),IF(OR(M149=phu!$I$85,M149=phu!$I$86,M149=phu!$I$87,M149=phu!$I$88),"Cam Thịnh Tây",""),IF(OR(M149=phu!$I$89,M149=phu!$I$90),"Cam Lập",""),IF(OR(M149=phu!$I$91,M149=phu!$I$92,M149=phu!$I$93),"Cam Bình",""),IF(OR(M149=phu!$I$94,M149=phu!$I$95,M149=phu!$I$96,M149=phu!$I$97,M149=phu!$I$98,M149=phu!$I$99,M149=phu!$I$100),"Huyện khác",""),IF(OR(M149=phu!$I$101,M149=phu!$I$102),"Tỉnh khác",""))</f>
        <v/>
      </c>
      <c r="O149" s="814" t="str">
        <f t="shared" si="13"/>
        <v/>
      </c>
      <c r="P149" s="254"/>
      <c r="Q149" s="254"/>
      <c r="R149" s="254"/>
      <c r="S149" s="254"/>
      <c r="T149" s="254"/>
      <c r="U149" s="254"/>
      <c r="V149" s="254"/>
      <c r="W149" s="254"/>
      <c r="Y149" s="246" t="str">
        <f t="shared" si="14"/>
        <v/>
      </c>
      <c r="Z149" s="247" t="str">
        <f t="shared" si="12"/>
        <v/>
      </c>
      <c r="AA149" s="246" t="str">
        <f t="shared" si="15"/>
        <v/>
      </c>
    </row>
    <row r="150" spans="1:27" ht="18" customHeight="1" x14ac:dyDescent="0.25">
      <c r="A150" s="248" t="str">
        <f t="shared" si="16"/>
        <v/>
      </c>
      <c r="B150" s="249" t="str">
        <f t="shared" si="17"/>
        <v/>
      </c>
      <c r="C150" s="250"/>
      <c r="D150" s="251"/>
      <c r="E150" s="241"/>
      <c r="F150" s="252"/>
      <c r="G150" s="252"/>
      <c r="H150" s="253"/>
      <c r="I150" s="250"/>
      <c r="J150" s="250"/>
      <c r="K150" s="270"/>
      <c r="L150" s="250"/>
      <c r="M150" s="250"/>
      <c r="N150" s="553" t="str">
        <f>CONCATENATE(IF(OR(M150=phu!$I$1,M150=phu!$I$2,M150=phu!$I$3),"Cam Thành Nam",""),IF(OR(M150=phu!$I$4,M150=phu!$I$5,M150=phu!$I$6,M150=phu!$I$7,M150=phu!$I$8,M150=phu!$I$9,M150=phu!$I$10,M150=phu!$I$11,M150=phu!$I$12,M150=phu!$I$13,M150=phu!$I$14),"Cam Nghĩa",""),IF(OR(M150=phu!$I$15,M150=phu!$I$16,M150=phu!$I$17,M150=phu!$I$18,M150=phu!$I$19,M150=phu!$I$20,M150=phu!$I$21),"Cam Phúc Bắc",""),IF(OR(M150=phu!$I$22,M150=phu!$I$23,M150=phu!$I$24,M150=phu!$I$25),"Cam Phúc Nam",""),IF(OR(M150=phu!$I$26,M150=phu!$I$27,M150=phu!$I$28,M150=phu!$I$29,M150=phu!$I$30,M150=phu!$I$31),"Cam Phú",""),IF(OR(M150=phu!$I$32,M150=phu!$I$33,M150=phu!$I$34,M150=phu!$I$35,M150=phu!$I$36,M150=phu!$I$37),"Cam Lộc",""),IF(OR(M150=phu!$I$38,M150=phu!$I$39,M150=phu!$I$40,M150=phu!$I$41,M150=phu!$I$42,M150=phu!$I$43,M150=phu!$I$44),"Cam Thuận",""),IF(OR(M150=phu!$I$45,M150=phu!$I$46,M150=phu!$I$47,M150=phu!$I$48,M150=phu!$I$49,M150=phu!$I$50,M150=phu!$I$51,M150=phu!$I$52,M150=phu!$I$53),"Cam Linh",""),IF(OR(M150=phu!$I$54,M150=phu!$I$55,M150=phu!$I$56,M150=phu!$I$57,M150=phu!$I$58,M150=phu!$I$59,M150=phu!$I$60,M150=phu!$I$61,M150=phu!$I$62),"Cam Lợi",""),IF(OR(M150=phu!$I$63,M150=phu!$I$64,M150=phu!$I$65,M150=phu!$I$66,M150=phu!$I$67,M150=phu!$I$68,M150=phu!$I$69,M150=phu!$I$70,M150=phu!$I$71),"Ba Ngòi",""),IF(OR(M150=phu!$I$72,M150=phu!$I$73,M150=phu!$I$74,M150=phu!$I$75,M150=phu!$I$76,M150=phu!$I$77,M150=phu!$I$78),"Cam Phước Đông",""),IF(OR(M150=phu!$I$79,M150=phu!$I$80,M150=phu!$I$81,M150=phu!$I$82,M150=phu!$I$83,M150=phu!$I$84),"Cam Thịnh Đông",""),IF(OR(M150=phu!$I$85,M150=phu!$I$86,M150=phu!$I$87,M150=phu!$I$88),"Cam Thịnh Tây",""),IF(OR(M150=phu!$I$89,M150=phu!$I$90),"Cam Lập",""),IF(OR(M150=phu!$I$91,M150=phu!$I$92,M150=phu!$I$93),"Cam Bình",""),IF(OR(M150=phu!$I$94,M150=phu!$I$95,M150=phu!$I$96,M150=phu!$I$97,M150=phu!$I$98,M150=phu!$I$99,M150=phu!$I$100),"Huyện khác",""),IF(OR(M150=phu!$I$101,M150=phu!$I$102),"Tỉnh khác",""))</f>
        <v/>
      </c>
      <c r="O150" s="814" t="str">
        <f t="shared" si="13"/>
        <v/>
      </c>
      <c r="P150" s="254"/>
      <c r="Q150" s="254"/>
      <c r="R150" s="254"/>
      <c r="S150" s="254"/>
      <c r="T150" s="254"/>
      <c r="U150" s="254"/>
      <c r="V150" s="254"/>
      <c r="W150" s="254"/>
      <c r="Y150" s="246" t="str">
        <f t="shared" si="14"/>
        <v/>
      </c>
      <c r="Z150" s="247" t="str">
        <f t="shared" si="12"/>
        <v/>
      </c>
      <c r="AA150" s="246" t="str">
        <f t="shared" si="15"/>
        <v/>
      </c>
    </row>
    <row r="151" spans="1:27" ht="18" customHeight="1" x14ac:dyDescent="0.25">
      <c r="A151" s="248" t="str">
        <f t="shared" si="16"/>
        <v/>
      </c>
      <c r="B151" s="249" t="str">
        <f t="shared" si="17"/>
        <v/>
      </c>
      <c r="C151" s="250"/>
      <c r="D151" s="251"/>
      <c r="E151" s="241"/>
      <c r="F151" s="252"/>
      <c r="G151" s="252"/>
      <c r="H151" s="253"/>
      <c r="I151" s="250"/>
      <c r="J151" s="250"/>
      <c r="K151" s="270"/>
      <c r="L151" s="250"/>
      <c r="M151" s="250"/>
      <c r="N151" s="553" t="str">
        <f>CONCATENATE(IF(OR(M151=phu!$I$1,M151=phu!$I$2,M151=phu!$I$3),"Cam Thành Nam",""),IF(OR(M151=phu!$I$4,M151=phu!$I$5,M151=phu!$I$6,M151=phu!$I$7,M151=phu!$I$8,M151=phu!$I$9,M151=phu!$I$10,M151=phu!$I$11,M151=phu!$I$12,M151=phu!$I$13,M151=phu!$I$14),"Cam Nghĩa",""),IF(OR(M151=phu!$I$15,M151=phu!$I$16,M151=phu!$I$17,M151=phu!$I$18,M151=phu!$I$19,M151=phu!$I$20,M151=phu!$I$21),"Cam Phúc Bắc",""),IF(OR(M151=phu!$I$22,M151=phu!$I$23,M151=phu!$I$24,M151=phu!$I$25),"Cam Phúc Nam",""),IF(OR(M151=phu!$I$26,M151=phu!$I$27,M151=phu!$I$28,M151=phu!$I$29,M151=phu!$I$30,M151=phu!$I$31),"Cam Phú",""),IF(OR(M151=phu!$I$32,M151=phu!$I$33,M151=phu!$I$34,M151=phu!$I$35,M151=phu!$I$36,M151=phu!$I$37),"Cam Lộc",""),IF(OR(M151=phu!$I$38,M151=phu!$I$39,M151=phu!$I$40,M151=phu!$I$41,M151=phu!$I$42,M151=phu!$I$43,M151=phu!$I$44),"Cam Thuận",""),IF(OR(M151=phu!$I$45,M151=phu!$I$46,M151=phu!$I$47,M151=phu!$I$48,M151=phu!$I$49,M151=phu!$I$50,M151=phu!$I$51,M151=phu!$I$52,M151=phu!$I$53),"Cam Linh",""),IF(OR(M151=phu!$I$54,M151=phu!$I$55,M151=phu!$I$56,M151=phu!$I$57,M151=phu!$I$58,M151=phu!$I$59,M151=phu!$I$60,M151=phu!$I$61,M151=phu!$I$62),"Cam Lợi",""),IF(OR(M151=phu!$I$63,M151=phu!$I$64,M151=phu!$I$65,M151=phu!$I$66,M151=phu!$I$67,M151=phu!$I$68,M151=phu!$I$69,M151=phu!$I$70,M151=phu!$I$71),"Ba Ngòi",""),IF(OR(M151=phu!$I$72,M151=phu!$I$73,M151=phu!$I$74,M151=phu!$I$75,M151=phu!$I$76,M151=phu!$I$77,M151=phu!$I$78),"Cam Phước Đông",""),IF(OR(M151=phu!$I$79,M151=phu!$I$80,M151=phu!$I$81,M151=phu!$I$82,M151=phu!$I$83,M151=phu!$I$84),"Cam Thịnh Đông",""),IF(OR(M151=phu!$I$85,M151=phu!$I$86,M151=phu!$I$87,M151=phu!$I$88),"Cam Thịnh Tây",""),IF(OR(M151=phu!$I$89,M151=phu!$I$90),"Cam Lập",""),IF(OR(M151=phu!$I$91,M151=phu!$I$92,M151=phu!$I$93),"Cam Bình",""),IF(OR(M151=phu!$I$94,M151=phu!$I$95,M151=phu!$I$96,M151=phu!$I$97,M151=phu!$I$98,M151=phu!$I$99,M151=phu!$I$100),"Huyện khác",""),IF(OR(M151=phu!$I$101,M151=phu!$I$102),"Tỉnh khác",""))</f>
        <v/>
      </c>
      <c r="O151" s="814" t="str">
        <f t="shared" si="13"/>
        <v/>
      </c>
      <c r="P151" s="254"/>
      <c r="Q151" s="254"/>
      <c r="R151" s="254"/>
      <c r="S151" s="254"/>
      <c r="T151" s="254"/>
      <c r="U151" s="254"/>
      <c r="V151" s="254"/>
      <c r="W151" s="254"/>
      <c r="Y151" s="246" t="str">
        <f t="shared" si="14"/>
        <v/>
      </c>
      <c r="Z151" s="247" t="str">
        <f t="shared" si="12"/>
        <v/>
      </c>
      <c r="AA151" s="246" t="str">
        <f t="shared" si="15"/>
        <v/>
      </c>
    </row>
    <row r="152" spans="1:27" ht="18" customHeight="1" x14ac:dyDescent="0.25">
      <c r="A152" s="248" t="str">
        <f t="shared" si="16"/>
        <v/>
      </c>
      <c r="B152" s="249" t="str">
        <f t="shared" si="17"/>
        <v/>
      </c>
      <c r="C152" s="250"/>
      <c r="D152" s="251"/>
      <c r="E152" s="241"/>
      <c r="F152" s="252"/>
      <c r="G152" s="252"/>
      <c r="H152" s="253"/>
      <c r="I152" s="250"/>
      <c r="J152" s="250"/>
      <c r="K152" s="270"/>
      <c r="L152" s="250"/>
      <c r="M152" s="250"/>
      <c r="N152" s="553" t="str">
        <f>CONCATENATE(IF(OR(M152=phu!$I$1,M152=phu!$I$2,M152=phu!$I$3),"Cam Thành Nam",""),IF(OR(M152=phu!$I$4,M152=phu!$I$5,M152=phu!$I$6,M152=phu!$I$7,M152=phu!$I$8,M152=phu!$I$9,M152=phu!$I$10,M152=phu!$I$11,M152=phu!$I$12,M152=phu!$I$13,M152=phu!$I$14),"Cam Nghĩa",""),IF(OR(M152=phu!$I$15,M152=phu!$I$16,M152=phu!$I$17,M152=phu!$I$18,M152=phu!$I$19,M152=phu!$I$20,M152=phu!$I$21),"Cam Phúc Bắc",""),IF(OR(M152=phu!$I$22,M152=phu!$I$23,M152=phu!$I$24,M152=phu!$I$25),"Cam Phúc Nam",""),IF(OR(M152=phu!$I$26,M152=phu!$I$27,M152=phu!$I$28,M152=phu!$I$29,M152=phu!$I$30,M152=phu!$I$31),"Cam Phú",""),IF(OR(M152=phu!$I$32,M152=phu!$I$33,M152=phu!$I$34,M152=phu!$I$35,M152=phu!$I$36,M152=phu!$I$37),"Cam Lộc",""),IF(OR(M152=phu!$I$38,M152=phu!$I$39,M152=phu!$I$40,M152=phu!$I$41,M152=phu!$I$42,M152=phu!$I$43,M152=phu!$I$44),"Cam Thuận",""),IF(OR(M152=phu!$I$45,M152=phu!$I$46,M152=phu!$I$47,M152=phu!$I$48,M152=phu!$I$49,M152=phu!$I$50,M152=phu!$I$51,M152=phu!$I$52,M152=phu!$I$53),"Cam Linh",""),IF(OR(M152=phu!$I$54,M152=phu!$I$55,M152=phu!$I$56,M152=phu!$I$57,M152=phu!$I$58,M152=phu!$I$59,M152=phu!$I$60,M152=phu!$I$61,M152=phu!$I$62),"Cam Lợi",""),IF(OR(M152=phu!$I$63,M152=phu!$I$64,M152=phu!$I$65,M152=phu!$I$66,M152=phu!$I$67,M152=phu!$I$68,M152=phu!$I$69,M152=phu!$I$70,M152=phu!$I$71),"Ba Ngòi",""),IF(OR(M152=phu!$I$72,M152=phu!$I$73,M152=phu!$I$74,M152=phu!$I$75,M152=phu!$I$76,M152=phu!$I$77,M152=phu!$I$78),"Cam Phước Đông",""),IF(OR(M152=phu!$I$79,M152=phu!$I$80,M152=phu!$I$81,M152=phu!$I$82,M152=phu!$I$83,M152=phu!$I$84),"Cam Thịnh Đông",""),IF(OR(M152=phu!$I$85,M152=phu!$I$86,M152=phu!$I$87,M152=phu!$I$88),"Cam Thịnh Tây",""),IF(OR(M152=phu!$I$89,M152=phu!$I$90),"Cam Lập",""),IF(OR(M152=phu!$I$91,M152=phu!$I$92,M152=phu!$I$93),"Cam Bình",""),IF(OR(M152=phu!$I$94,M152=phu!$I$95,M152=phu!$I$96,M152=phu!$I$97,M152=phu!$I$98,M152=phu!$I$99,M152=phu!$I$100),"Huyện khác",""),IF(OR(M152=phu!$I$101,M152=phu!$I$102),"Tỉnh khác",""))</f>
        <v/>
      </c>
      <c r="O152" s="814" t="str">
        <f t="shared" si="13"/>
        <v/>
      </c>
      <c r="P152" s="254"/>
      <c r="Q152" s="254"/>
      <c r="R152" s="254"/>
      <c r="S152" s="254"/>
      <c r="T152" s="254"/>
      <c r="U152" s="254"/>
      <c r="V152" s="254"/>
      <c r="W152" s="254"/>
      <c r="Y152" s="246" t="str">
        <f t="shared" si="14"/>
        <v/>
      </c>
      <c r="Z152" s="247" t="str">
        <f t="shared" si="12"/>
        <v/>
      </c>
      <c r="AA152" s="246" t="str">
        <f t="shared" si="15"/>
        <v/>
      </c>
    </row>
    <row r="153" spans="1:27" ht="18" customHeight="1" x14ac:dyDescent="0.25">
      <c r="A153" s="248" t="str">
        <f t="shared" si="16"/>
        <v/>
      </c>
      <c r="B153" s="249" t="str">
        <f t="shared" si="17"/>
        <v/>
      </c>
      <c r="C153" s="250"/>
      <c r="D153" s="251"/>
      <c r="E153" s="241"/>
      <c r="F153" s="252"/>
      <c r="G153" s="252"/>
      <c r="H153" s="253"/>
      <c r="I153" s="250"/>
      <c r="J153" s="250"/>
      <c r="K153" s="270"/>
      <c r="L153" s="250"/>
      <c r="M153" s="250"/>
      <c r="N153" s="553" t="str">
        <f>CONCATENATE(IF(OR(M153=phu!$I$1,M153=phu!$I$2,M153=phu!$I$3),"Cam Thành Nam",""),IF(OR(M153=phu!$I$4,M153=phu!$I$5,M153=phu!$I$6,M153=phu!$I$7,M153=phu!$I$8,M153=phu!$I$9,M153=phu!$I$10,M153=phu!$I$11,M153=phu!$I$12,M153=phu!$I$13,M153=phu!$I$14),"Cam Nghĩa",""),IF(OR(M153=phu!$I$15,M153=phu!$I$16,M153=phu!$I$17,M153=phu!$I$18,M153=phu!$I$19,M153=phu!$I$20,M153=phu!$I$21),"Cam Phúc Bắc",""),IF(OR(M153=phu!$I$22,M153=phu!$I$23,M153=phu!$I$24,M153=phu!$I$25),"Cam Phúc Nam",""),IF(OR(M153=phu!$I$26,M153=phu!$I$27,M153=phu!$I$28,M153=phu!$I$29,M153=phu!$I$30,M153=phu!$I$31),"Cam Phú",""),IF(OR(M153=phu!$I$32,M153=phu!$I$33,M153=phu!$I$34,M153=phu!$I$35,M153=phu!$I$36,M153=phu!$I$37),"Cam Lộc",""),IF(OR(M153=phu!$I$38,M153=phu!$I$39,M153=phu!$I$40,M153=phu!$I$41,M153=phu!$I$42,M153=phu!$I$43,M153=phu!$I$44),"Cam Thuận",""),IF(OR(M153=phu!$I$45,M153=phu!$I$46,M153=phu!$I$47,M153=phu!$I$48,M153=phu!$I$49,M153=phu!$I$50,M153=phu!$I$51,M153=phu!$I$52,M153=phu!$I$53),"Cam Linh",""),IF(OR(M153=phu!$I$54,M153=phu!$I$55,M153=phu!$I$56,M153=phu!$I$57,M153=phu!$I$58,M153=phu!$I$59,M153=phu!$I$60,M153=phu!$I$61,M153=phu!$I$62),"Cam Lợi",""),IF(OR(M153=phu!$I$63,M153=phu!$I$64,M153=phu!$I$65,M153=phu!$I$66,M153=phu!$I$67,M153=phu!$I$68,M153=phu!$I$69,M153=phu!$I$70,M153=phu!$I$71),"Ba Ngòi",""),IF(OR(M153=phu!$I$72,M153=phu!$I$73,M153=phu!$I$74,M153=phu!$I$75,M153=phu!$I$76,M153=phu!$I$77,M153=phu!$I$78),"Cam Phước Đông",""),IF(OR(M153=phu!$I$79,M153=phu!$I$80,M153=phu!$I$81,M153=phu!$I$82,M153=phu!$I$83,M153=phu!$I$84),"Cam Thịnh Đông",""),IF(OR(M153=phu!$I$85,M153=phu!$I$86,M153=phu!$I$87,M153=phu!$I$88),"Cam Thịnh Tây",""),IF(OR(M153=phu!$I$89,M153=phu!$I$90),"Cam Lập",""),IF(OR(M153=phu!$I$91,M153=phu!$I$92,M153=phu!$I$93),"Cam Bình",""),IF(OR(M153=phu!$I$94,M153=phu!$I$95,M153=phu!$I$96,M153=phu!$I$97,M153=phu!$I$98,M153=phu!$I$99,M153=phu!$I$100),"Huyện khác",""),IF(OR(M153=phu!$I$101,M153=phu!$I$102),"Tỉnh khác",""))</f>
        <v/>
      </c>
      <c r="O153" s="814" t="str">
        <f t="shared" si="13"/>
        <v/>
      </c>
      <c r="P153" s="254"/>
      <c r="Q153" s="254"/>
      <c r="R153" s="254"/>
      <c r="S153" s="254"/>
      <c r="T153" s="254"/>
      <c r="U153" s="254"/>
      <c r="V153" s="254"/>
      <c r="W153" s="254"/>
      <c r="Y153" s="246" t="str">
        <f t="shared" si="14"/>
        <v/>
      </c>
      <c r="Z153" s="247" t="str">
        <f t="shared" si="12"/>
        <v/>
      </c>
      <c r="AA153" s="246" t="str">
        <f t="shared" si="15"/>
        <v/>
      </c>
    </row>
    <row r="154" spans="1:27" ht="18" customHeight="1" x14ac:dyDescent="0.25">
      <c r="A154" s="248" t="str">
        <f t="shared" si="16"/>
        <v/>
      </c>
      <c r="B154" s="249" t="str">
        <f t="shared" si="17"/>
        <v/>
      </c>
      <c r="C154" s="250"/>
      <c r="D154" s="251"/>
      <c r="E154" s="241"/>
      <c r="F154" s="252"/>
      <c r="G154" s="252"/>
      <c r="H154" s="253"/>
      <c r="I154" s="250"/>
      <c r="J154" s="250"/>
      <c r="K154" s="270"/>
      <c r="L154" s="250"/>
      <c r="M154" s="250"/>
      <c r="N154" s="553" t="str">
        <f>CONCATENATE(IF(OR(M154=phu!$I$1,M154=phu!$I$2,M154=phu!$I$3),"Cam Thành Nam",""),IF(OR(M154=phu!$I$4,M154=phu!$I$5,M154=phu!$I$6,M154=phu!$I$7,M154=phu!$I$8,M154=phu!$I$9,M154=phu!$I$10,M154=phu!$I$11,M154=phu!$I$12,M154=phu!$I$13,M154=phu!$I$14),"Cam Nghĩa",""),IF(OR(M154=phu!$I$15,M154=phu!$I$16,M154=phu!$I$17,M154=phu!$I$18,M154=phu!$I$19,M154=phu!$I$20,M154=phu!$I$21),"Cam Phúc Bắc",""),IF(OR(M154=phu!$I$22,M154=phu!$I$23,M154=phu!$I$24,M154=phu!$I$25),"Cam Phúc Nam",""),IF(OR(M154=phu!$I$26,M154=phu!$I$27,M154=phu!$I$28,M154=phu!$I$29,M154=phu!$I$30,M154=phu!$I$31),"Cam Phú",""),IF(OR(M154=phu!$I$32,M154=phu!$I$33,M154=phu!$I$34,M154=phu!$I$35,M154=phu!$I$36,M154=phu!$I$37),"Cam Lộc",""),IF(OR(M154=phu!$I$38,M154=phu!$I$39,M154=phu!$I$40,M154=phu!$I$41,M154=phu!$I$42,M154=phu!$I$43,M154=phu!$I$44),"Cam Thuận",""),IF(OR(M154=phu!$I$45,M154=phu!$I$46,M154=phu!$I$47,M154=phu!$I$48,M154=phu!$I$49,M154=phu!$I$50,M154=phu!$I$51,M154=phu!$I$52,M154=phu!$I$53),"Cam Linh",""),IF(OR(M154=phu!$I$54,M154=phu!$I$55,M154=phu!$I$56,M154=phu!$I$57,M154=phu!$I$58,M154=phu!$I$59,M154=phu!$I$60,M154=phu!$I$61,M154=phu!$I$62),"Cam Lợi",""),IF(OR(M154=phu!$I$63,M154=phu!$I$64,M154=phu!$I$65,M154=phu!$I$66,M154=phu!$I$67,M154=phu!$I$68,M154=phu!$I$69,M154=phu!$I$70,M154=phu!$I$71),"Ba Ngòi",""),IF(OR(M154=phu!$I$72,M154=phu!$I$73,M154=phu!$I$74,M154=phu!$I$75,M154=phu!$I$76,M154=phu!$I$77,M154=phu!$I$78),"Cam Phước Đông",""),IF(OR(M154=phu!$I$79,M154=phu!$I$80,M154=phu!$I$81,M154=phu!$I$82,M154=phu!$I$83,M154=phu!$I$84),"Cam Thịnh Đông",""),IF(OR(M154=phu!$I$85,M154=phu!$I$86,M154=phu!$I$87,M154=phu!$I$88),"Cam Thịnh Tây",""),IF(OR(M154=phu!$I$89,M154=phu!$I$90),"Cam Lập",""),IF(OR(M154=phu!$I$91,M154=phu!$I$92,M154=phu!$I$93),"Cam Bình",""),IF(OR(M154=phu!$I$94,M154=phu!$I$95,M154=phu!$I$96,M154=phu!$I$97,M154=phu!$I$98,M154=phu!$I$99,M154=phu!$I$100),"Huyện khác",""),IF(OR(M154=phu!$I$101,M154=phu!$I$102),"Tỉnh khác",""))</f>
        <v/>
      </c>
      <c r="O154" s="814" t="str">
        <f t="shared" si="13"/>
        <v/>
      </c>
      <c r="P154" s="254"/>
      <c r="Q154" s="254"/>
      <c r="R154" s="254"/>
      <c r="S154" s="254"/>
      <c r="T154" s="254"/>
      <c r="U154" s="254"/>
      <c r="V154" s="254"/>
      <c r="W154" s="254"/>
      <c r="Y154" s="246" t="str">
        <f t="shared" si="14"/>
        <v/>
      </c>
      <c r="Z154" s="247" t="str">
        <f t="shared" si="12"/>
        <v/>
      </c>
      <c r="AA154" s="246" t="str">
        <f t="shared" si="15"/>
        <v/>
      </c>
    </row>
    <row r="155" spans="1:27" ht="18" customHeight="1" x14ac:dyDescent="0.25">
      <c r="A155" s="248" t="str">
        <f t="shared" si="16"/>
        <v/>
      </c>
      <c r="B155" s="249" t="str">
        <f t="shared" si="17"/>
        <v/>
      </c>
      <c r="C155" s="250"/>
      <c r="D155" s="251"/>
      <c r="E155" s="241"/>
      <c r="F155" s="252"/>
      <c r="G155" s="252"/>
      <c r="H155" s="253"/>
      <c r="I155" s="250"/>
      <c r="J155" s="250"/>
      <c r="K155" s="270"/>
      <c r="L155" s="250"/>
      <c r="M155" s="250"/>
      <c r="N155" s="553" t="str">
        <f>CONCATENATE(IF(OR(M155=phu!$I$1,M155=phu!$I$2,M155=phu!$I$3),"Cam Thành Nam",""),IF(OR(M155=phu!$I$4,M155=phu!$I$5,M155=phu!$I$6,M155=phu!$I$7,M155=phu!$I$8,M155=phu!$I$9,M155=phu!$I$10,M155=phu!$I$11,M155=phu!$I$12,M155=phu!$I$13,M155=phu!$I$14),"Cam Nghĩa",""),IF(OR(M155=phu!$I$15,M155=phu!$I$16,M155=phu!$I$17,M155=phu!$I$18,M155=phu!$I$19,M155=phu!$I$20,M155=phu!$I$21),"Cam Phúc Bắc",""),IF(OR(M155=phu!$I$22,M155=phu!$I$23,M155=phu!$I$24,M155=phu!$I$25),"Cam Phúc Nam",""),IF(OR(M155=phu!$I$26,M155=phu!$I$27,M155=phu!$I$28,M155=phu!$I$29,M155=phu!$I$30,M155=phu!$I$31),"Cam Phú",""),IF(OR(M155=phu!$I$32,M155=phu!$I$33,M155=phu!$I$34,M155=phu!$I$35,M155=phu!$I$36,M155=phu!$I$37),"Cam Lộc",""),IF(OR(M155=phu!$I$38,M155=phu!$I$39,M155=phu!$I$40,M155=phu!$I$41,M155=phu!$I$42,M155=phu!$I$43,M155=phu!$I$44),"Cam Thuận",""),IF(OR(M155=phu!$I$45,M155=phu!$I$46,M155=phu!$I$47,M155=phu!$I$48,M155=phu!$I$49,M155=phu!$I$50,M155=phu!$I$51,M155=phu!$I$52,M155=phu!$I$53),"Cam Linh",""),IF(OR(M155=phu!$I$54,M155=phu!$I$55,M155=phu!$I$56,M155=phu!$I$57,M155=phu!$I$58,M155=phu!$I$59,M155=phu!$I$60,M155=phu!$I$61,M155=phu!$I$62),"Cam Lợi",""),IF(OR(M155=phu!$I$63,M155=phu!$I$64,M155=phu!$I$65,M155=phu!$I$66,M155=phu!$I$67,M155=phu!$I$68,M155=phu!$I$69,M155=phu!$I$70,M155=phu!$I$71),"Ba Ngòi",""),IF(OR(M155=phu!$I$72,M155=phu!$I$73,M155=phu!$I$74,M155=phu!$I$75,M155=phu!$I$76,M155=phu!$I$77,M155=phu!$I$78),"Cam Phước Đông",""),IF(OR(M155=phu!$I$79,M155=phu!$I$80,M155=phu!$I$81,M155=phu!$I$82,M155=phu!$I$83,M155=phu!$I$84),"Cam Thịnh Đông",""),IF(OR(M155=phu!$I$85,M155=phu!$I$86,M155=phu!$I$87,M155=phu!$I$88),"Cam Thịnh Tây",""),IF(OR(M155=phu!$I$89,M155=phu!$I$90),"Cam Lập",""),IF(OR(M155=phu!$I$91,M155=phu!$I$92,M155=phu!$I$93),"Cam Bình",""),IF(OR(M155=phu!$I$94,M155=phu!$I$95,M155=phu!$I$96,M155=phu!$I$97,M155=phu!$I$98,M155=phu!$I$99,M155=phu!$I$100),"Huyện khác",""),IF(OR(M155=phu!$I$101,M155=phu!$I$102),"Tỉnh khác",""))</f>
        <v/>
      </c>
      <c r="O155" s="814" t="str">
        <f t="shared" si="13"/>
        <v/>
      </c>
      <c r="P155" s="254"/>
      <c r="Q155" s="254"/>
      <c r="R155" s="254"/>
      <c r="S155" s="254"/>
      <c r="T155" s="254"/>
      <c r="U155" s="254"/>
      <c r="V155" s="254"/>
      <c r="W155" s="254"/>
      <c r="Y155" s="246" t="str">
        <f t="shared" si="14"/>
        <v/>
      </c>
      <c r="Z155" s="247" t="str">
        <f t="shared" si="12"/>
        <v/>
      </c>
      <c r="AA155" s="246" t="str">
        <f t="shared" si="15"/>
        <v/>
      </c>
    </row>
    <row r="156" spans="1:27" ht="18" customHeight="1" x14ac:dyDescent="0.25">
      <c r="A156" s="248" t="str">
        <f t="shared" si="16"/>
        <v/>
      </c>
      <c r="B156" s="249" t="str">
        <f t="shared" si="17"/>
        <v/>
      </c>
      <c r="C156" s="250"/>
      <c r="D156" s="251"/>
      <c r="E156" s="241"/>
      <c r="F156" s="252"/>
      <c r="G156" s="252"/>
      <c r="H156" s="253"/>
      <c r="I156" s="250"/>
      <c r="J156" s="250"/>
      <c r="K156" s="270"/>
      <c r="L156" s="250"/>
      <c r="M156" s="250"/>
      <c r="N156" s="553" t="str">
        <f>CONCATENATE(IF(OR(M156=phu!$I$1,M156=phu!$I$2,M156=phu!$I$3),"Cam Thành Nam",""),IF(OR(M156=phu!$I$4,M156=phu!$I$5,M156=phu!$I$6,M156=phu!$I$7,M156=phu!$I$8,M156=phu!$I$9,M156=phu!$I$10,M156=phu!$I$11,M156=phu!$I$12,M156=phu!$I$13,M156=phu!$I$14),"Cam Nghĩa",""),IF(OR(M156=phu!$I$15,M156=phu!$I$16,M156=phu!$I$17,M156=phu!$I$18,M156=phu!$I$19,M156=phu!$I$20,M156=phu!$I$21),"Cam Phúc Bắc",""),IF(OR(M156=phu!$I$22,M156=phu!$I$23,M156=phu!$I$24,M156=phu!$I$25),"Cam Phúc Nam",""),IF(OR(M156=phu!$I$26,M156=phu!$I$27,M156=phu!$I$28,M156=phu!$I$29,M156=phu!$I$30,M156=phu!$I$31),"Cam Phú",""),IF(OR(M156=phu!$I$32,M156=phu!$I$33,M156=phu!$I$34,M156=phu!$I$35,M156=phu!$I$36,M156=phu!$I$37),"Cam Lộc",""),IF(OR(M156=phu!$I$38,M156=phu!$I$39,M156=phu!$I$40,M156=phu!$I$41,M156=phu!$I$42,M156=phu!$I$43,M156=phu!$I$44),"Cam Thuận",""),IF(OR(M156=phu!$I$45,M156=phu!$I$46,M156=phu!$I$47,M156=phu!$I$48,M156=phu!$I$49,M156=phu!$I$50,M156=phu!$I$51,M156=phu!$I$52,M156=phu!$I$53),"Cam Linh",""),IF(OR(M156=phu!$I$54,M156=phu!$I$55,M156=phu!$I$56,M156=phu!$I$57,M156=phu!$I$58,M156=phu!$I$59,M156=phu!$I$60,M156=phu!$I$61,M156=phu!$I$62),"Cam Lợi",""),IF(OR(M156=phu!$I$63,M156=phu!$I$64,M156=phu!$I$65,M156=phu!$I$66,M156=phu!$I$67,M156=phu!$I$68,M156=phu!$I$69,M156=phu!$I$70,M156=phu!$I$71),"Ba Ngòi",""),IF(OR(M156=phu!$I$72,M156=phu!$I$73,M156=phu!$I$74,M156=phu!$I$75,M156=phu!$I$76,M156=phu!$I$77,M156=phu!$I$78),"Cam Phước Đông",""),IF(OR(M156=phu!$I$79,M156=phu!$I$80,M156=phu!$I$81,M156=phu!$I$82,M156=phu!$I$83,M156=phu!$I$84),"Cam Thịnh Đông",""),IF(OR(M156=phu!$I$85,M156=phu!$I$86,M156=phu!$I$87,M156=phu!$I$88),"Cam Thịnh Tây",""),IF(OR(M156=phu!$I$89,M156=phu!$I$90),"Cam Lập",""),IF(OR(M156=phu!$I$91,M156=phu!$I$92,M156=phu!$I$93),"Cam Bình",""),IF(OR(M156=phu!$I$94,M156=phu!$I$95,M156=phu!$I$96,M156=phu!$I$97,M156=phu!$I$98,M156=phu!$I$99,M156=phu!$I$100),"Huyện khác",""),IF(OR(M156=phu!$I$101,M156=phu!$I$102),"Tỉnh khác",""))</f>
        <v/>
      </c>
      <c r="O156" s="814" t="str">
        <f t="shared" si="13"/>
        <v/>
      </c>
      <c r="P156" s="254"/>
      <c r="Q156" s="254"/>
      <c r="R156" s="254"/>
      <c r="S156" s="254"/>
      <c r="T156" s="254"/>
      <c r="U156" s="254"/>
      <c r="V156" s="254"/>
      <c r="W156" s="254"/>
      <c r="Y156" s="246" t="str">
        <f t="shared" si="14"/>
        <v/>
      </c>
      <c r="Z156" s="247" t="str">
        <f t="shared" si="12"/>
        <v/>
      </c>
      <c r="AA156" s="246" t="str">
        <f t="shared" si="15"/>
        <v/>
      </c>
    </row>
    <row r="157" spans="1:27" ht="18" customHeight="1" x14ac:dyDescent="0.25">
      <c r="A157" s="248" t="str">
        <f t="shared" si="16"/>
        <v/>
      </c>
      <c r="B157" s="249" t="str">
        <f t="shared" si="17"/>
        <v/>
      </c>
      <c r="C157" s="250"/>
      <c r="D157" s="251"/>
      <c r="E157" s="241"/>
      <c r="F157" s="252"/>
      <c r="G157" s="252"/>
      <c r="H157" s="253"/>
      <c r="I157" s="250"/>
      <c r="J157" s="250"/>
      <c r="K157" s="270"/>
      <c r="L157" s="250"/>
      <c r="M157" s="250"/>
      <c r="N157" s="553" t="str">
        <f>CONCATENATE(IF(OR(M157=phu!$I$1,M157=phu!$I$2,M157=phu!$I$3),"Cam Thành Nam",""),IF(OR(M157=phu!$I$4,M157=phu!$I$5,M157=phu!$I$6,M157=phu!$I$7,M157=phu!$I$8,M157=phu!$I$9,M157=phu!$I$10,M157=phu!$I$11,M157=phu!$I$12,M157=phu!$I$13,M157=phu!$I$14),"Cam Nghĩa",""),IF(OR(M157=phu!$I$15,M157=phu!$I$16,M157=phu!$I$17,M157=phu!$I$18,M157=phu!$I$19,M157=phu!$I$20,M157=phu!$I$21),"Cam Phúc Bắc",""),IF(OR(M157=phu!$I$22,M157=phu!$I$23,M157=phu!$I$24,M157=phu!$I$25),"Cam Phúc Nam",""),IF(OR(M157=phu!$I$26,M157=phu!$I$27,M157=phu!$I$28,M157=phu!$I$29,M157=phu!$I$30,M157=phu!$I$31),"Cam Phú",""),IF(OR(M157=phu!$I$32,M157=phu!$I$33,M157=phu!$I$34,M157=phu!$I$35,M157=phu!$I$36,M157=phu!$I$37),"Cam Lộc",""),IF(OR(M157=phu!$I$38,M157=phu!$I$39,M157=phu!$I$40,M157=phu!$I$41,M157=phu!$I$42,M157=phu!$I$43,M157=phu!$I$44),"Cam Thuận",""),IF(OR(M157=phu!$I$45,M157=phu!$I$46,M157=phu!$I$47,M157=phu!$I$48,M157=phu!$I$49,M157=phu!$I$50,M157=phu!$I$51,M157=phu!$I$52,M157=phu!$I$53),"Cam Linh",""),IF(OR(M157=phu!$I$54,M157=phu!$I$55,M157=phu!$I$56,M157=phu!$I$57,M157=phu!$I$58,M157=phu!$I$59,M157=phu!$I$60,M157=phu!$I$61,M157=phu!$I$62),"Cam Lợi",""),IF(OR(M157=phu!$I$63,M157=phu!$I$64,M157=phu!$I$65,M157=phu!$I$66,M157=phu!$I$67,M157=phu!$I$68,M157=phu!$I$69,M157=phu!$I$70,M157=phu!$I$71),"Ba Ngòi",""),IF(OR(M157=phu!$I$72,M157=phu!$I$73,M157=phu!$I$74,M157=phu!$I$75,M157=phu!$I$76,M157=phu!$I$77,M157=phu!$I$78),"Cam Phước Đông",""),IF(OR(M157=phu!$I$79,M157=phu!$I$80,M157=phu!$I$81,M157=phu!$I$82,M157=phu!$I$83,M157=phu!$I$84),"Cam Thịnh Đông",""),IF(OR(M157=phu!$I$85,M157=phu!$I$86,M157=phu!$I$87,M157=phu!$I$88),"Cam Thịnh Tây",""),IF(OR(M157=phu!$I$89,M157=phu!$I$90),"Cam Lập",""),IF(OR(M157=phu!$I$91,M157=phu!$I$92,M157=phu!$I$93),"Cam Bình",""),IF(OR(M157=phu!$I$94,M157=phu!$I$95,M157=phu!$I$96,M157=phu!$I$97,M157=phu!$I$98,M157=phu!$I$99,M157=phu!$I$100),"Huyện khác",""),IF(OR(M157=phu!$I$101,M157=phu!$I$102),"Tỉnh khác",""))</f>
        <v/>
      </c>
      <c r="O157" s="814" t="str">
        <f t="shared" si="13"/>
        <v/>
      </c>
      <c r="P157" s="254"/>
      <c r="Q157" s="254"/>
      <c r="R157" s="254"/>
      <c r="S157" s="254"/>
      <c r="T157" s="254"/>
      <c r="U157" s="254"/>
      <c r="V157" s="254"/>
      <c r="W157" s="254"/>
      <c r="Y157" s="246" t="str">
        <f t="shared" si="14"/>
        <v/>
      </c>
      <c r="Z157" s="247" t="str">
        <f t="shared" si="12"/>
        <v/>
      </c>
      <c r="AA157" s="246" t="str">
        <f t="shared" si="15"/>
        <v/>
      </c>
    </row>
    <row r="158" spans="1:27" ht="18" customHeight="1" x14ac:dyDescent="0.25">
      <c r="A158" s="248" t="str">
        <f t="shared" si="16"/>
        <v/>
      </c>
      <c r="B158" s="249" t="str">
        <f t="shared" si="17"/>
        <v/>
      </c>
      <c r="C158" s="250"/>
      <c r="D158" s="251"/>
      <c r="E158" s="241"/>
      <c r="F158" s="252"/>
      <c r="G158" s="252"/>
      <c r="H158" s="253"/>
      <c r="I158" s="250"/>
      <c r="J158" s="250"/>
      <c r="K158" s="270"/>
      <c r="L158" s="250"/>
      <c r="M158" s="250"/>
      <c r="N158" s="553" t="str">
        <f>CONCATENATE(IF(OR(M158=phu!$I$1,M158=phu!$I$2,M158=phu!$I$3),"Cam Thành Nam",""),IF(OR(M158=phu!$I$4,M158=phu!$I$5,M158=phu!$I$6,M158=phu!$I$7,M158=phu!$I$8,M158=phu!$I$9,M158=phu!$I$10,M158=phu!$I$11,M158=phu!$I$12,M158=phu!$I$13,M158=phu!$I$14),"Cam Nghĩa",""),IF(OR(M158=phu!$I$15,M158=phu!$I$16,M158=phu!$I$17,M158=phu!$I$18,M158=phu!$I$19,M158=phu!$I$20,M158=phu!$I$21),"Cam Phúc Bắc",""),IF(OR(M158=phu!$I$22,M158=phu!$I$23,M158=phu!$I$24,M158=phu!$I$25),"Cam Phúc Nam",""),IF(OR(M158=phu!$I$26,M158=phu!$I$27,M158=phu!$I$28,M158=phu!$I$29,M158=phu!$I$30,M158=phu!$I$31),"Cam Phú",""),IF(OR(M158=phu!$I$32,M158=phu!$I$33,M158=phu!$I$34,M158=phu!$I$35,M158=phu!$I$36,M158=phu!$I$37),"Cam Lộc",""),IF(OR(M158=phu!$I$38,M158=phu!$I$39,M158=phu!$I$40,M158=phu!$I$41,M158=phu!$I$42,M158=phu!$I$43,M158=phu!$I$44),"Cam Thuận",""),IF(OR(M158=phu!$I$45,M158=phu!$I$46,M158=phu!$I$47,M158=phu!$I$48,M158=phu!$I$49,M158=phu!$I$50,M158=phu!$I$51,M158=phu!$I$52,M158=phu!$I$53),"Cam Linh",""),IF(OR(M158=phu!$I$54,M158=phu!$I$55,M158=phu!$I$56,M158=phu!$I$57,M158=phu!$I$58,M158=phu!$I$59,M158=phu!$I$60,M158=phu!$I$61,M158=phu!$I$62),"Cam Lợi",""),IF(OR(M158=phu!$I$63,M158=phu!$I$64,M158=phu!$I$65,M158=phu!$I$66,M158=phu!$I$67,M158=phu!$I$68,M158=phu!$I$69,M158=phu!$I$70,M158=phu!$I$71),"Ba Ngòi",""),IF(OR(M158=phu!$I$72,M158=phu!$I$73,M158=phu!$I$74,M158=phu!$I$75,M158=phu!$I$76,M158=phu!$I$77,M158=phu!$I$78),"Cam Phước Đông",""),IF(OR(M158=phu!$I$79,M158=phu!$I$80,M158=phu!$I$81,M158=phu!$I$82,M158=phu!$I$83,M158=phu!$I$84),"Cam Thịnh Đông",""),IF(OR(M158=phu!$I$85,M158=phu!$I$86,M158=phu!$I$87,M158=phu!$I$88),"Cam Thịnh Tây",""),IF(OR(M158=phu!$I$89,M158=phu!$I$90),"Cam Lập",""),IF(OR(M158=phu!$I$91,M158=phu!$I$92,M158=phu!$I$93),"Cam Bình",""),IF(OR(M158=phu!$I$94,M158=phu!$I$95,M158=phu!$I$96,M158=phu!$I$97,M158=phu!$I$98,M158=phu!$I$99,M158=phu!$I$100),"Huyện khác",""),IF(OR(M158=phu!$I$101,M158=phu!$I$102),"Tỉnh khác",""))</f>
        <v/>
      </c>
      <c r="O158" s="814" t="str">
        <f t="shared" si="13"/>
        <v/>
      </c>
      <c r="P158" s="254"/>
      <c r="Q158" s="254"/>
      <c r="R158" s="254"/>
      <c r="S158" s="254"/>
      <c r="T158" s="254"/>
      <c r="U158" s="254"/>
      <c r="V158" s="254"/>
      <c r="W158" s="254"/>
      <c r="Y158" s="246" t="str">
        <f t="shared" si="14"/>
        <v/>
      </c>
      <c r="Z158" s="247" t="str">
        <f t="shared" si="12"/>
        <v/>
      </c>
      <c r="AA158" s="246" t="str">
        <f t="shared" si="15"/>
        <v/>
      </c>
    </row>
    <row r="159" spans="1:27" ht="18" customHeight="1" x14ac:dyDescent="0.25">
      <c r="A159" s="248" t="str">
        <f t="shared" si="16"/>
        <v/>
      </c>
      <c r="B159" s="249" t="str">
        <f t="shared" si="17"/>
        <v/>
      </c>
      <c r="C159" s="250"/>
      <c r="D159" s="251"/>
      <c r="E159" s="241"/>
      <c r="F159" s="252"/>
      <c r="G159" s="252"/>
      <c r="H159" s="253"/>
      <c r="I159" s="250"/>
      <c r="J159" s="250"/>
      <c r="K159" s="270"/>
      <c r="L159" s="250"/>
      <c r="M159" s="250"/>
      <c r="N159" s="553" t="str">
        <f>CONCATENATE(IF(OR(M159=phu!$I$1,M159=phu!$I$2,M159=phu!$I$3),"Cam Thành Nam",""),IF(OR(M159=phu!$I$4,M159=phu!$I$5,M159=phu!$I$6,M159=phu!$I$7,M159=phu!$I$8,M159=phu!$I$9,M159=phu!$I$10,M159=phu!$I$11,M159=phu!$I$12,M159=phu!$I$13,M159=phu!$I$14),"Cam Nghĩa",""),IF(OR(M159=phu!$I$15,M159=phu!$I$16,M159=phu!$I$17,M159=phu!$I$18,M159=phu!$I$19,M159=phu!$I$20,M159=phu!$I$21),"Cam Phúc Bắc",""),IF(OR(M159=phu!$I$22,M159=phu!$I$23,M159=phu!$I$24,M159=phu!$I$25),"Cam Phúc Nam",""),IF(OR(M159=phu!$I$26,M159=phu!$I$27,M159=phu!$I$28,M159=phu!$I$29,M159=phu!$I$30,M159=phu!$I$31),"Cam Phú",""),IF(OR(M159=phu!$I$32,M159=phu!$I$33,M159=phu!$I$34,M159=phu!$I$35,M159=phu!$I$36,M159=phu!$I$37),"Cam Lộc",""),IF(OR(M159=phu!$I$38,M159=phu!$I$39,M159=phu!$I$40,M159=phu!$I$41,M159=phu!$I$42,M159=phu!$I$43,M159=phu!$I$44),"Cam Thuận",""),IF(OR(M159=phu!$I$45,M159=phu!$I$46,M159=phu!$I$47,M159=phu!$I$48,M159=phu!$I$49,M159=phu!$I$50,M159=phu!$I$51,M159=phu!$I$52,M159=phu!$I$53),"Cam Linh",""),IF(OR(M159=phu!$I$54,M159=phu!$I$55,M159=phu!$I$56,M159=phu!$I$57,M159=phu!$I$58,M159=phu!$I$59,M159=phu!$I$60,M159=phu!$I$61,M159=phu!$I$62),"Cam Lợi",""),IF(OR(M159=phu!$I$63,M159=phu!$I$64,M159=phu!$I$65,M159=phu!$I$66,M159=phu!$I$67,M159=phu!$I$68,M159=phu!$I$69,M159=phu!$I$70,M159=phu!$I$71),"Ba Ngòi",""),IF(OR(M159=phu!$I$72,M159=phu!$I$73,M159=phu!$I$74,M159=phu!$I$75,M159=phu!$I$76,M159=phu!$I$77,M159=phu!$I$78),"Cam Phước Đông",""),IF(OR(M159=phu!$I$79,M159=phu!$I$80,M159=phu!$I$81,M159=phu!$I$82,M159=phu!$I$83,M159=phu!$I$84),"Cam Thịnh Đông",""),IF(OR(M159=phu!$I$85,M159=phu!$I$86,M159=phu!$I$87,M159=phu!$I$88),"Cam Thịnh Tây",""),IF(OR(M159=phu!$I$89,M159=phu!$I$90),"Cam Lập",""),IF(OR(M159=phu!$I$91,M159=phu!$I$92,M159=phu!$I$93),"Cam Bình",""),IF(OR(M159=phu!$I$94,M159=phu!$I$95,M159=phu!$I$96,M159=phu!$I$97,M159=phu!$I$98,M159=phu!$I$99,M159=phu!$I$100),"Huyện khác",""),IF(OR(M159=phu!$I$101,M159=phu!$I$102),"Tỉnh khác",""))</f>
        <v/>
      </c>
      <c r="O159" s="814" t="str">
        <f t="shared" si="13"/>
        <v/>
      </c>
      <c r="P159" s="254"/>
      <c r="Q159" s="254"/>
      <c r="R159" s="254"/>
      <c r="S159" s="254"/>
      <c r="T159" s="254"/>
      <c r="U159" s="254"/>
      <c r="V159" s="254"/>
      <c r="W159" s="254"/>
      <c r="Y159" s="246" t="str">
        <f t="shared" si="14"/>
        <v/>
      </c>
      <c r="Z159" s="247" t="str">
        <f t="shared" si="12"/>
        <v/>
      </c>
      <c r="AA159" s="246" t="str">
        <f t="shared" si="15"/>
        <v/>
      </c>
    </row>
    <row r="160" spans="1:27" ht="18" customHeight="1" x14ac:dyDescent="0.25">
      <c r="A160" s="248" t="str">
        <f t="shared" si="16"/>
        <v/>
      </c>
      <c r="B160" s="249" t="str">
        <f t="shared" si="17"/>
        <v/>
      </c>
      <c r="C160" s="250"/>
      <c r="D160" s="251"/>
      <c r="E160" s="241"/>
      <c r="F160" s="252"/>
      <c r="G160" s="252"/>
      <c r="H160" s="253"/>
      <c r="I160" s="250"/>
      <c r="J160" s="250"/>
      <c r="K160" s="270"/>
      <c r="L160" s="250"/>
      <c r="M160" s="250"/>
      <c r="N160" s="553" t="str">
        <f>CONCATENATE(IF(OR(M160=phu!$I$1,M160=phu!$I$2,M160=phu!$I$3),"Cam Thành Nam",""),IF(OR(M160=phu!$I$4,M160=phu!$I$5,M160=phu!$I$6,M160=phu!$I$7,M160=phu!$I$8,M160=phu!$I$9,M160=phu!$I$10,M160=phu!$I$11,M160=phu!$I$12,M160=phu!$I$13,M160=phu!$I$14),"Cam Nghĩa",""),IF(OR(M160=phu!$I$15,M160=phu!$I$16,M160=phu!$I$17,M160=phu!$I$18,M160=phu!$I$19,M160=phu!$I$20,M160=phu!$I$21),"Cam Phúc Bắc",""),IF(OR(M160=phu!$I$22,M160=phu!$I$23,M160=phu!$I$24,M160=phu!$I$25),"Cam Phúc Nam",""),IF(OR(M160=phu!$I$26,M160=phu!$I$27,M160=phu!$I$28,M160=phu!$I$29,M160=phu!$I$30,M160=phu!$I$31),"Cam Phú",""),IF(OR(M160=phu!$I$32,M160=phu!$I$33,M160=phu!$I$34,M160=phu!$I$35,M160=phu!$I$36,M160=phu!$I$37),"Cam Lộc",""),IF(OR(M160=phu!$I$38,M160=phu!$I$39,M160=phu!$I$40,M160=phu!$I$41,M160=phu!$I$42,M160=phu!$I$43,M160=phu!$I$44),"Cam Thuận",""),IF(OR(M160=phu!$I$45,M160=phu!$I$46,M160=phu!$I$47,M160=phu!$I$48,M160=phu!$I$49,M160=phu!$I$50,M160=phu!$I$51,M160=phu!$I$52,M160=phu!$I$53),"Cam Linh",""),IF(OR(M160=phu!$I$54,M160=phu!$I$55,M160=phu!$I$56,M160=phu!$I$57,M160=phu!$I$58,M160=phu!$I$59,M160=phu!$I$60,M160=phu!$I$61,M160=phu!$I$62),"Cam Lợi",""),IF(OR(M160=phu!$I$63,M160=phu!$I$64,M160=phu!$I$65,M160=phu!$I$66,M160=phu!$I$67,M160=phu!$I$68,M160=phu!$I$69,M160=phu!$I$70,M160=phu!$I$71),"Ba Ngòi",""),IF(OR(M160=phu!$I$72,M160=phu!$I$73,M160=phu!$I$74,M160=phu!$I$75,M160=phu!$I$76,M160=phu!$I$77,M160=phu!$I$78),"Cam Phước Đông",""),IF(OR(M160=phu!$I$79,M160=phu!$I$80,M160=phu!$I$81,M160=phu!$I$82,M160=phu!$I$83,M160=phu!$I$84),"Cam Thịnh Đông",""),IF(OR(M160=phu!$I$85,M160=phu!$I$86,M160=phu!$I$87,M160=phu!$I$88),"Cam Thịnh Tây",""),IF(OR(M160=phu!$I$89,M160=phu!$I$90),"Cam Lập",""),IF(OR(M160=phu!$I$91,M160=phu!$I$92,M160=phu!$I$93),"Cam Bình",""),IF(OR(M160=phu!$I$94,M160=phu!$I$95,M160=phu!$I$96,M160=phu!$I$97,M160=phu!$I$98,M160=phu!$I$99,M160=phu!$I$100),"Huyện khác",""),IF(OR(M160=phu!$I$101,M160=phu!$I$102),"Tỉnh khác",""))</f>
        <v/>
      </c>
      <c r="O160" s="814" t="str">
        <f t="shared" si="13"/>
        <v/>
      </c>
      <c r="P160" s="254"/>
      <c r="Q160" s="254"/>
      <c r="R160" s="254"/>
      <c r="S160" s="254"/>
      <c r="T160" s="254"/>
      <c r="U160" s="254"/>
      <c r="V160" s="254"/>
      <c r="W160" s="254"/>
      <c r="Y160" s="246" t="str">
        <f t="shared" si="14"/>
        <v/>
      </c>
      <c r="Z160" s="247" t="str">
        <f t="shared" si="12"/>
        <v/>
      </c>
      <c r="AA160" s="246" t="str">
        <f t="shared" si="15"/>
        <v/>
      </c>
    </row>
    <row r="161" spans="1:27" ht="18" customHeight="1" x14ac:dyDescent="0.25">
      <c r="A161" s="248" t="str">
        <f t="shared" si="16"/>
        <v/>
      </c>
      <c r="B161" s="249" t="str">
        <f t="shared" si="17"/>
        <v/>
      </c>
      <c r="C161" s="250"/>
      <c r="D161" s="251"/>
      <c r="E161" s="241"/>
      <c r="F161" s="252"/>
      <c r="G161" s="252"/>
      <c r="H161" s="253"/>
      <c r="I161" s="250"/>
      <c r="J161" s="250"/>
      <c r="K161" s="270"/>
      <c r="L161" s="250"/>
      <c r="M161" s="250"/>
      <c r="N161" s="553" t="str">
        <f>CONCATENATE(IF(OR(M161=phu!$I$1,M161=phu!$I$2,M161=phu!$I$3),"Cam Thành Nam",""),IF(OR(M161=phu!$I$4,M161=phu!$I$5,M161=phu!$I$6,M161=phu!$I$7,M161=phu!$I$8,M161=phu!$I$9,M161=phu!$I$10,M161=phu!$I$11,M161=phu!$I$12,M161=phu!$I$13,M161=phu!$I$14),"Cam Nghĩa",""),IF(OR(M161=phu!$I$15,M161=phu!$I$16,M161=phu!$I$17,M161=phu!$I$18,M161=phu!$I$19,M161=phu!$I$20,M161=phu!$I$21),"Cam Phúc Bắc",""),IF(OR(M161=phu!$I$22,M161=phu!$I$23,M161=phu!$I$24,M161=phu!$I$25),"Cam Phúc Nam",""),IF(OR(M161=phu!$I$26,M161=phu!$I$27,M161=phu!$I$28,M161=phu!$I$29,M161=phu!$I$30,M161=phu!$I$31),"Cam Phú",""),IF(OR(M161=phu!$I$32,M161=phu!$I$33,M161=phu!$I$34,M161=phu!$I$35,M161=phu!$I$36,M161=phu!$I$37),"Cam Lộc",""),IF(OR(M161=phu!$I$38,M161=phu!$I$39,M161=phu!$I$40,M161=phu!$I$41,M161=phu!$I$42,M161=phu!$I$43,M161=phu!$I$44),"Cam Thuận",""),IF(OR(M161=phu!$I$45,M161=phu!$I$46,M161=phu!$I$47,M161=phu!$I$48,M161=phu!$I$49,M161=phu!$I$50,M161=phu!$I$51,M161=phu!$I$52,M161=phu!$I$53),"Cam Linh",""),IF(OR(M161=phu!$I$54,M161=phu!$I$55,M161=phu!$I$56,M161=phu!$I$57,M161=phu!$I$58,M161=phu!$I$59,M161=phu!$I$60,M161=phu!$I$61,M161=phu!$I$62),"Cam Lợi",""),IF(OR(M161=phu!$I$63,M161=phu!$I$64,M161=phu!$I$65,M161=phu!$I$66,M161=phu!$I$67,M161=phu!$I$68,M161=phu!$I$69,M161=phu!$I$70,M161=phu!$I$71),"Ba Ngòi",""),IF(OR(M161=phu!$I$72,M161=phu!$I$73,M161=phu!$I$74,M161=phu!$I$75,M161=phu!$I$76,M161=phu!$I$77,M161=phu!$I$78),"Cam Phước Đông",""),IF(OR(M161=phu!$I$79,M161=phu!$I$80,M161=phu!$I$81,M161=phu!$I$82,M161=phu!$I$83,M161=phu!$I$84),"Cam Thịnh Đông",""),IF(OR(M161=phu!$I$85,M161=phu!$I$86,M161=phu!$I$87,M161=phu!$I$88),"Cam Thịnh Tây",""),IF(OR(M161=phu!$I$89,M161=phu!$I$90),"Cam Lập",""),IF(OR(M161=phu!$I$91,M161=phu!$I$92,M161=phu!$I$93),"Cam Bình",""),IF(OR(M161=phu!$I$94,M161=phu!$I$95,M161=phu!$I$96,M161=phu!$I$97,M161=phu!$I$98,M161=phu!$I$99,M161=phu!$I$100),"Huyện khác",""),IF(OR(M161=phu!$I$101,M161=phu!$I$102),"Tỉnh khác",""))</f>
        <v/>
      </c>
      <c r="O161" s="814" t="str">
        <f t="shared" si="13"/>
        <v/>
      </c>
      <c r="P161" s="254"/>
      <c r="Q161" s="254"/>
      <c r="R161" s="254"/>
      <c r="S161" s="254"/>
      <c r="T161" s="254"/>
      <c r="U161" s="254"/>
      <c r="V161" s="254"/>
      <c r="W161" s="254"/>
      <c r="Y161" s="246" t="str">
        <f t="shared" si="14"/>
        <v/>
      </c>
      <c r="Z161" s="247" t="str">
        <f t="shared" si="12"/>
        <v/>
      </c>
      <c r="AA161" s="246" t="str">
        <f t="shared" si="15"/>
        <v/>
      </c>
    </row>
    <row r="162" spans="1:27" ht="18" customHeight="1" x14ac:dyDescent="0.25">
      <c r="A162" s="248" t="str">
        <f t="shared" si="16"/>
        <v/>
      </c>
      <c r="B162" s="249" t="str">
        <f t="shared" si="17"/>
        <v/>
      </c>
      <c r="C162" s="250"/>
      <c r="D162" s="251"/>
      <c r="E162" s="241"/>
      <c r="F162" s="252"/>
      <c r="G162" s="252"/>
      <c r="H162" s="253"/>
      <c r="I162" s="250"/>
      <c r="J162" s="250"/>
      <c r="K162" s="270"/>
      <c r="L162" s="250"/>
      <c r="M162" s="250"/>
      <c r="N162" s="553" t="str">
        <f>CONCATENATE(IF(OR(M162=phu!$I$1,M162=phu!$I$2,M162=phu!$I$3),"Cam Thành Nam",""),IF(OR(M162=phu!$I$4,M162=phu!$I$5,M162=phu!$I$6,M162=phu!$I$7,M162=phu!$I$8,M162=phu!$I$9,M162=phu!$I$10,M162=phu!$I$11,M162=phu!$I$12,M162=phu!$I$13,M162=phu!$I$14),"Cam Nghĩa",""),IF(OR(M162=phu!$I$15,M162=phu!$I$16,M162=phu!$I$17,M162=phu!$I$18,M162=phu!$I$19,M162=phu!$I$20,M162=phu!$I$21),"Cam Phúc Bắc",""),IF(OR(M162=phu!$I$22,M162=phu!$I$23,M162=phu!$I$24,M162=phu!$I$25),"Cam Phúc Nam",""),IF(OR(M162=phu!$I$26,M162=phu!$I$27,M162=phu!$I$28,M162=phu!$I$29,M162=phu!$I$30,M162=phu!$I$31),"Cam Phú",""),IF(OR(M162=phu!$I$32,M162=phu!$I$33,M162=phu!$I$34,M162=phu!$I$35,M162=phu!$I$36,M162=phu!$I$37),"Cam Lộc",""),IF(OR(M162=phu!$I$38,M162=phu!$I$39,M162=phu!$I$40,M162=phu!$I$41,M162=phu!$I$42,M162=phu!$I$43,M162=phu!$I$44),"Cam Thuận",""),IF(OR(M162=phu!$I$45,M162=phu!$I$46,M162=phu!$I$47,M162=phu!$I$48,M162=phu!$I$49,M162=phu!$I$50,M162=phu!$I$51,M162=phu!$I$52,M162=phu!$I$53),"Cam Linh",""),IF(OR(M162=phu!$I$54,M162=phu!$I$55,M162=phu!$I$56,M162=phu!$I$57,M162=phu!$I$58,M162=phu!$I$59,M162=phu!$I$60,M162=phu!$I$61,M162=phu!$I$62),"Cam Lợi",""),IF(OR(M162=phu!$I$63,M162=phu!$I$64,M162=phu!$I$65,M162=phu!$I$66,M162=phu!$I$67,M162=phu!$I$68,M162=phu!$I$69,M162=phu!$I$70,M162=phu!$I$71),"Ba Ngòi",""),IF(OR(M162=phu!$I$72,M162=phu!$I$73,M162=phu!$I$74,M162=phu!$I$75,M162=phu!$I$76,M162=phu!$I$77,M162=phu!$I$78),"Cam Phước Đông",""),IF(OR(M162=phu!$I$79,M162=phu!$I$80,M162=phu!$I$81,M162=phu!$I$82,M162=phu!$I$83,M162=phu!$I$84),"Cam Thịnh Đông",""),IF(OR(M162=phu!$I$85,M162=phu!$I$86,M162=phu!$I$87,M162=phu!$I$88),"Cam Thịnh Tây",""),IF(OR(M162=phu!$I$89,M162=phu!$I$90),"Cam Lập",""),IF(OR(M162=phu!$I$91,M162=phu!$I$92,M162=phu!$I$93),"Cam Bình",""),IF(OR(M162=phu!$I$94,M162=phu!$I$95,M162=phu!$I$96,M162=phu!$I$97,M162=phu!$I$98,M162=phu!$I$99,M162=phu!$I$100),"Huyện khác",""),IF(OR(M162=phu!$I$101,M162=phu!$I$102),"Tỉnh khác",""))</f>
        <v/>
      </c>
      <c r="O162" s="814" t="str">
        <f t="shared" si="13"/>
        <v/>
      </c>
      <c r="P162" s="254"/>
      <c r="Q162" s="254"/>
      <c r="R162" s="254"/>
      <c r="S162" s="254"/>
      <c r="T162" s="254"/>
      <c r="U162" s="254"/>
      <c r="V162" s="254"/>
      <c r="W162" s="254"/>
      <c r="Y162" s="246" t="str">
        <f t="shared" si="14"/>
        <v/>
      </c>
      <c r="Z162" s="247" t="str">
        <f t="shared" si="12"/>
        <v/>
      </c>
      <c r="AA162" s="246" t="str">
        <f t="shared" si="15"/>
        <v/>
      </c>
    </row>
    <row r="163" spans="1:27" ht="18" customHeight="1" x14ac:dyDescent="0.25">
      <c r="A163" s="248" t="str">
        <f t="shared" si="16"/>
        <v/>
      </c>
      <c r="B163" s="249" t="str">
        <f t="shared" si="17"/>
        <v/>
      </c>
      <c r="C163" s="250"/>
      <c r="D163" s="251"/>
      <c r="E163" s="241"/>
      <c r="F163" s="252"/>
      <c r="G163" s="252"/>
      <c r="H163" s="253"/>
      <c r="I163" s="250"/>
      <c r="J163" s="250"/>
      <c r="K163" s="270"/>
      <c r="L163" s="250"/>
      <c r="M163" s="250"/>
      <c r="N163" s="553" t="str">
        <f>CONCATENATE(IF(OR(M163=phu!$I$1,M163=phu!$I$2,M163=phu!$I$3),"Cam Thành Nam",""),IF(OR(M163=phu!$I$4,M163=phu!$I$5,M163=phu!$I$6,M163=phu!$I$7,M163=phu!$I$8,M163=phu!$I$9,M163=phu!$I$10,M163=phu!$I$11,M163=phu!$I$12,M163=phu!$I$13,M163=phu!$I$14),"Cam Nghĩa",""),IF(OR(M163=phu!$I$15,M163=phu!$I$16,M163=phu!$I$17,M163=phu!$I$18,M163=phu!$I$19,M163=phu!$I$20,M163=phu!$I$21),"Cam Phúc Bắc",""),IF(OR(M163=phu!$I$22,M163=phu!$I$23,M163=phu!$I$24,M163=phu!$I$25),"Cam Phúc Nam",""),IF(OR(M163=phu!$I$26,M163=phu!$I$27,M163=phu!$I$28,M163=phu!$I$29,M163=phu!$I$30,M163=phu!$I$31),"Cam Phú",""),IF(OR(M163=phu!$I$32,M163=phu!$I$33,M163=phu!$I$34,M163=phu!$I$35,M163=phu!$I$36,M163=phu!$I$37),"Cam Lộc",""),IF(OR(M163=phu!$I$38,M163=phu!$I$39,M163=phu!$I$40,M163=phu!$I$41,M163=phu!$I$42,M163=phu!$I$43,M163=phu!$I$44),"Cam Thuận",""),IF(OR(M163=phu!$I$45,M163=phu!$I$46,M163=phu!$I$47,M163=phu!$I$48,M163=phu!$I$49,M163=phu!$I$50,M163=phu!$I$51,M163=phu!$I$52,M163=phu!$I$53),"Cam Linh",""),IF(OR(M163=phu!$I$54,M163=phu!$I$55,M163=phu!$I$56,M163=phu!$I$57,M163=phu!$I$58,M163=phu!$I$59,M163=phu!$I$60,M163=phu!$I$61,M163=phu!$I$62),"Cam Lợi",""),IF(OR(M163=phu!$I$63,M163=phu!$I$64,M163=phu!$I$65,M163=phu!$I$66,M163=phu!$I$67,M163=phu!$I$68,M163=phu!$I$69,M163=phu!$I$70,M163=phu!$I$71),"Ba Ngòi",""),IF(OR(M163=phu!$I$72,M163=phu!$I$73,M163=phu!$I$74,M163=phu!$I$75,M163=phu!$I$76,M163=phu!$I$77,M163=phu!$I$78),"Cam Phước Đông",""),IF(OR(M163=phu!$I$79,M163=phu!$I$80,M163=phu!$I$81,M163=phu!$I$82,M163=phu!$I$83,M163=phu!$I$84),"Cam Thịnh Đông",""),IF(OR(M163=phu!$I$85,M163=phu!$I$86,M163=phu!$I$87,M163=phu!$I$88),"Cam Thịnh Tây",""),IF(OR(M163=phu!$I$89,M163=phu!$I$90),"Cam Lập",""),IF(OR(M163=phu!$I$91,M163=phu!$I$92,M163=phu!$I$93),"Cam Bình",""),IF(OR(M163=phu!$I$94,M163=phu!$I$95,M163=phu!$I$96,M163=phu!$I$97,M163=phu!$I$98,M163=phu!$I$99,M163=phu!$I$100),"Huyện khác",""),IF(OR(M163=phu!$I$101,M163=phu!$I$102),"Tỉnh khác",""))</f>
        <v/>
      </c>
      <c r="O163" s="814" t="str">
        <f t="shared" si="13"/>
        <v/>
      </c>
      <c r="P163" s="254"/>
      <c r="Q163" s="254"/>
      <c r="R163" s="254"/>
      <c r="S163" s="254"/>
      <c r="T163" s="254"/>
      <c r="U163" s="254"/>
      <c r="V163" s="254"/>
      <c r="W163" s="254"/>
      <c r="Y163" s="246" t="str">
        <f t="shared" si="14"/>
        <v/>
      </c>
      <c r="Z163" s="247" t="str">
        <f t="shared" si="12"/>
        <v/>
      </c>
      <c r="AA163" s="246" t="str">
        <f t="shared" si="15"/>
        <v/>
      </c>
    </row>
    <row r="164" spans="1:27" ht="18" customHeight="1" x14ac:dyDescent="0.25">
      <c r="A164" s="248" t="str">
        <f t="shared" si="16"/>
        <v/>
      </c>
      <c r="B164" s="249" t="str">
        <f t="shared" si="17"/>
        <v/>
      </c>
      <c r="C164" s="250"/>
      <c r="D164" s="251"/>
      <c r="E164" s="241"/>
      <c r="F164" s="252"/>
      <c r="G164" s="252"/>
      <c r="H164" s="253"/>
      <c r="I164" s="250"/>
      <c r="J164" s="250"/>
      <c r="K164" s="270"/>
      <c r="L164" s="250"/>
      <c r="M164" s="250"/>
      <c r="N164" s="553" t="str">
        <f>CONCATENATE(IF(OR(M164=phu!$I$1,M164=phu!$I$2,M164=phu!$I$3),"Cam Thành Nam",""),IF(OR(M164=phu!$I$4,M164=phu!$I$5,M164=phu!$I$6,M164=phu!$I$7,M164=phu!$I$8,M164=phu!$I$9,M164=phu!$I$10,M164=phu!$I$11,M164=phu!$I$12,M164=phu!$I$13,M164=phu!$I$14),"Cam Nghĩa",""),IF(OR(M164=phu!$I$15,M164=phu!$I$16,M164=phu!$I$17,M164=phu!$I$18,M164=phu!$I$19,M164=phu!$I$20,M164=phu!$I$21),"Cam Phúc Bắc",""),IF(OR(M164=phu!$I$22,M164=phu!$I$23,M164=phu!$I$24,M164=phu!$I$25),"Cam Phúc Nam",""),IF(OR(M164=phu!$I$26,M164=phu!$I$27,M164=phu!$I$28,M164=phu!$I$29,M164=phu!$I$30,M164=phu!$I$31),"Cam Phú",""),IF(OR(M164=phu!$I$32,M164=phu!$I$33,M164=phu!$I$34,M164=phu!$I$35,M164=phu!$I$36,M164=phu!$I$37),"Cam Lộc",""),IF(OR(M164=phu!$I$38,M164=phu!$I$39,M164=phu!$I$40,M164=phu!$I$41,M164=phu!$I$42,M164=phu!$I$43,M164=phu!$I$44),"Cam Thuận",""),IF(OR(M164=phu!$I$45,M164=phu!$I$46,M164=phu!$I$47,M164=phu!$I$48,M164=phu!$I$49,M164=phu!$I$50,M164=phu!$I$51,M164=phu!$I$52,M164=phu!$I$53),"Cam Linh",""),IF(OR(M164=phu!$I$54,M164=phu!$I$55,M164=phu!$I$56,M164=phu!$I$57,M164=phu!$I$58,M164=phu!$I$59,M164=phu!$I$60,M164=phu!$I$61,M164=phu!$I$62),"Cam Lợi",""),IF(OR(M164=phu!$I$63,M164=phu!$I$64,M164=phu!$I$65,M164=phu!$I$66,M164=phu!$I$67,M164=phu!$I$68,M164=phu!$I$69,M164=phu!$I$70,M164=phu!$I$71),"Ba Ngòi",""),IF(OR(M164=phu!$I$72,M164=phu!$I$73,M164=phu!$I$74,M164=phu!$I$75,M164=phu!$I$76,M164=phu!$I$77,M164=phu!$I$78),"Cam Phước Đông",""),IF(OR(M164=phu!$I$79,M164=phu!$I$80,M164=phu!$I$81,M164=phu!$I$82,M164=phu!$I$83,M164=phu!$I$84),"Cam Thịnh Đông",""),IF(OR(M164=phu!$I$85,M164=phu!$I$86,M164=phu!$I$87,M164=phu!$I$88),"Cam Thịnh Tây",""),IF(OR(M164=phu!$I$89,M164=phu!$I$90),"Cam Lập",""),IF(OR(M164=phu!$I$91,M164=phu!$I$92,M164=phu!$I$93),"Cam Bình",""),IF(OR(M164=phu!$I$94,M164=phu!$I$95,M164=phu!$I$96,M164=phu!$I$97,M164=phu!$I$98,M164=phu!$I$99,M164=phu!$I$100),"Huyện khác",""),IF(OR(M164=phu!$I$101,M164=phu!$I$102),"Tỉnh khác",""))</f>
        <v/>
      </c>
      <c r="O164" s="814" t="str">
        <f t="shared" si="13"/>
        <v/>
      </c>
      <c r="P164" s="254"/>
      <c r="Q164" s="254"/>
      <c r="R164" s="254"/>
      <c r="S164" s="254"/>
      <c r="T164" s="254"/>
      <c r="U164" s="254"/>
      <c r="V164" s="254"/>
      <c r="W164" s="254"/>
      <c r="Y164" s="246" t="str">
        <f t="shared" si="14"/>
        <v/>
      </c>
      <c r="Z164" s="247" t="str">
        <f t="shared" si="12"/>
        <v/>
      </c>
      <c r="AA164" s="246" t="str">
        <f t="shared" si="15"/>
        <v/>
      </c>
    </row>
    <row r="165" spans="1:27" ht="18" customHeight="1" x14ac:dyDescent="0.25">
      <c r="A165" s="248" t="str">
        <f t="shared" si="16"/>
        <v/>
      </c>
      <c r="B165" s="249" t="str">
        <f t="shared" si="17"/>
        <v/>
      </c>
      <c r="C165" s="250"/>
      <c r="D165" s="251"/>
      <c r="E165" s="241"/>
      <c r="F165" s="252"/>
      <c r="G165" s="252"/>
      <c r="H165" s="253"/>
      <c r="I165" s="250"/>
      <c r="J165" s="250"/>
      <c r="K165" s="270"/>
      <c r="L165" s="250"/>
      <c r="M165" s="250"/>
      <c r="N165" s="553" t="str">
        <f>CONCATENATE(IF(OR(M165=phu!$I$1,M165=phu!$I$2,M165=phu!$I$3),"Cam Thành Nam",""),IF(OR(M165=phu!$I$4,M165=phu!$I$5,M165=phu!$I$6,M165=phu!$I$7,M165=phu!$I$8,M165=phu!$I$9,M165=phu!$I$10,M165=phu!$I$11,M165=phu!$I$12,M165=phu!$I$13,M165=phu!$I$14),"Cam Nghĩa",""),IF(OR(M165=phu!$I$15,M165=phu!$I$16,M165=phu!$I$17,M165=phu!$I$18,M165=phu!$I$19,M165=phu!$I$20,M165=phu!$I$21),"Cam Phúc Bắc",""),IF(OR(M165=phu!$I$22,M165=phu!$I$23,M165=phu!$I$24,M165=phu!$I$25),"Cam Phúc Nam",""),IF(OR(M165=phu!$I$26,M165=phu!$I$27,M165=phu!$I$28,M165=phu!$I$29,M165=phu!$I$30,M165=phu!$I$31),"Cam Phú",""),IF(OR(M165=phu!$I$32,M165=phu!$I$33,M165=phu!$I$34,M165=phu!$I$35,M165=phu!$I$36,M165=phu!$I$37),"Cam Lộc",""),IF(OR(M165=phu!$I$38,M165=phu!$I$39,M165=phu!$I$40,M165=phu!$I$41,M165=phu!$I$42,M165=phu!$I$43,M165=phu!$I$44),"Cam Thuận",""),IF(OR(M165=phu!$I$45,M165=phu!$I$46,M165=phu!$I$47,M165=phu!$I$48,M165=phu!$I$49,M165=phu!$I$50,M165=phu!$I$51,M165=phu!$I$52,M165=phu!$I$53),"Cam Linh",""),IF(OR(M165=phu!$I$54,M165=phu!$I$55,M165=phu!$I$56,M165=phu!$I$57,M165=phu!$I$58,M165=phu!$I$59,M165=phu!$I$60,M165=phu!$I$61,M165=phu!$I$62),"Cam Lợi",""),IF(OR(M165=phu!$I$63,M165=phu!$I$64,M165=phu!$I$65,M165=phu!$I$66,M165=phu!$I$67,M165=phu!$I$68,M165=phu!$I$69,M165=phu!$I$70,M165=phu!$I$71),"Ba Ngòi",""),IF(OR(M165=phu!$I$72,M165=phu!$I$73,M165=phu!$I$74,M165=phu!$I$75,M165=phu!$I$76,M165=phu!$I$77,M165=phu!$I$78),"Cam Phước Đông",""),IF(OR(M165=phu!$I$79,M165=phu!$I$80,M165=phu!$I$81,M165=phu!$I$82,M165=phu!$I$83,M165=phu!$I$84),"Cam Thịnh Đông",""),IF(OR(M165=phu!$I$85,M165=phu!$I$86,M165=phu!$I$87,M165=phu!$I$88),"Cam Thịnh Tây",""),IF(OR(M165=phu!$I$89,M165=phu!$I$90),"Cam Lập",""),IF(OR(M165=phu!$I$91,M165=phu!$I$92,M165=phu!$I$93),"Cam Bình",""),IF(OR(M165=phu!$I$94,M165=phu!$I$95,M165=phu!$I$96,M165=phu!$I$97,M165=phu!$I$98,M165=phu!$I$99,M165=phu!$I$100),"Huyện khác",""),IF(OR(M165=phu!$I$101,M165=phu!$I$102),"Tỉnh khác",""))</f>
        <v/>
      </c>
      <c r="O165" s="814" t="str">
        <f t="shared" si="13"/>
        <v/>
      </c>
      <c r="P165" s="254"/>
      <c r="Q165" s="254"/>
      <c r="R165" s="254"/>
      <c r="S165" s="254"/>
      <c r="T165" s="254"/>
      <c r="U165" s="254"/>
      <c r="V165" s="254"/>
      <c r="W165" s="254"/>
      <c r="Y165" s="246" t="str">
        <f t="shared" si="14"/>
        <v/>
      </c>
      <c r="Z165" s="247" t="str">
        <f t="shared" si="12"/>
        <v/>
      </c>
      <c r="AA165" s="246" t="str">
        <f t="shared" si="15"/>
        <v/>
      </c>
    </row>
    <row r="166" spans="1:27" ht="18" customHeight="1" x14ac:dyDescent="0.25">
      <c r="A166" s="248" t="str">
        <f t="shared" si="16"/>
        <v/>
      </c>
      <c r="B166" s="249" t="str">
        <f t="shared" si="17"/>
        <v/>
      </c>
      <c r="C166" s="250"/>
      <c r="D166" s="251"/>
      <c r="E166" s="241"/>
      <c r="F166" s="252"/>
      <c r="G166" s="252"/>
      <c r="H166" s="253"/>
      <c r="I166" s="250"/>
      <c r="J166" s="250"/>
      <c r="K166" s="270"/>
      <c r="L166" s="250"/>
      <c r="M166" s="250"/>
      <c r="N166" s="553" t="str">
        <f>CONCATENATE(IF(OR(M166=phu!$I$1,M166=phu!$I$2,M166=phu!$I$3),"Cam Thành Nam",""),IF(OR(M166=phu!$I$4,M166=phu!$I$5,M166=phu!$I$6,M166=phu!$I$7,M166=phu!$I$8,M166=phu!$I$9,M166=phu!$I$10,M166=phu!$I$11,M166=phu!$I$12,M166=phu!$I$13,M166=phu!$I$14),"Cam Nghĩa",""),IF(OR(M166=phu!$I$15,M166=phu!$I$16,M166=phu!$I$17,M166=phu!$I$18,M166=phu!$I$19,M166=phu!$I$20,M166=phu!$I$21),"Cam Phúc Bắc",""),IF(OR(M166=phu!$I$22,M166=phu!$I$23,M166=phu!$I$24,M166=phu!$I$25),"Cam Phúc Nam",""),IF(OR(M166=phu!$I$26,M166=phu!$I$27,M166=phu!$I$28,M166=phu!$I$29,M166=phu!$I$30,M166=phu!$I$31),"Cam Phú",""),IF(OR(M166=phu!$I$32,M166=phu!$I$33,M166=phu!$I$34,M166=phu!$I$35,M166=phu!$I$36,M166=phu!$I$37),"Cam Lộc",""),IF(OR(M166=phu!$I$38,M166=phu!$I$39,M166=phu!$I$40,M166=phu!$I$41,M166=phu!$I$42,M166=phu!$I$43,M166=phu!$I$44),"Cam Thuận",""),IF(OR(M166=phu!$I$45,M166=phu!$I$46,M166=phu!$I$47,M166=phu!$I$48,M166=phu!$I$49,M166=phu!$I$50,M166=phu!$I$51,M166=phu!$I$52,M166=phu!$I$53),"Cam Linh",""),IF(OR(M166=phu!$I$54,M166=phu!$I$55,M166=phu!$I$56,M166=phu!$I$57,M166=phu!$I$58,M166=phu!$I$59,M166=phu!$I$60,M166=phu!$I$61,M166=phu!$I$62),"Cam Lợi",""),IF(OR(M166=phu!$I$63,M166=phu!$I$64,M166=phu!$I$65,M166=phu!$I$66,M166=phu!$I$67,M166=phu!$I$68,M166=phu!$I$69,M166=phu!$I$70,M166=phu!$I$71),"Ba Ngòi",""),IF(OR(M166=phu!$I$72,M166=phu!$I$73,M166=phu!$I$74,M166=phu!$I$75,M166=phu!$I$76,M166=phu!$I$77,M166=phu!$I$78),"Cam Phước Đông",""),IF(OR(M166=phu!$I$79,M166=phu!$I$80,M166=phu!$I$81,M166=phu!$I$82,M166=phu!$I$83,M166=phu!$I$84),"Cam Thịnh Đông",""),IF(OR(M166=phu!$I$85,M166=phu!$I$86,M166=phu!$I$87,M166=phu!$I$88),"Cam Thịnh Tây",""),IF(OR(M166=phu!$I$89,M166=phu!$I$90),"Cam Lập",""),IF(OR(M166=phu!$I$91,M166=phu!$I$92,M166=phu!$I$93),"Cam Bình",""),IF(OR(M166=phu!$I$94,M166=phu!$I$95,M166=phu!$I$96,M166=phu!$I$97,M166=phu!$I$98,M166=phu!$I$99,M166=phu!$I$100),"Huyện khác",""),IF(OR(M166=phu!$I$101,M166=phu!$I$102),"Tỉnh khác",""))</f>
        <v/>
      </c>
      <c r="O166" s="814" t="str">
        <f t="shared" si="13"/>
        <v/>
      </c>
      <c r="P166" s="254"/>
      <c r="Q166" s="254"/>
      <c r="R166" s="254"/>
      <c r="S166" s="254"/>
      <c r="T166" s="254"/>
      <c r="U166" s="254"/>
      <c r="V166" s="254"/>
      <c r="W166" s="254"/>
      <c r="Y166" s="246" t="str">
        <f t="shared" si="14"/>
        <v/>
      </c>
      <c r="Z166" s="247" t="str">
        <f t="shared" si="12"/>
        <v/>
      </c>
      <c r="AA166" s="246" t="str">
        <f t="shared" si="15"/>
        <v/>
      </c>
    </row>
    <row r="167" spans="1:27" ht="18" customHeight="1" x14ac:dyDescent="0.25">
      <c r="A167" s="248" t="str">
        <f t="shared" si="16"/>
        <v/>
      </c>
      <c r="B167" s="249" t="str">
        <f t="shared" si="17"/>
        <v/>
      </c>
      <c r="C167" s="250"/>
      <c r="D167" s="251"/>
      <c r="E167" s="241"/>
      <c r="F167" s="252"/>
      <c r="G167" s="252"/>
      <c r="H167" s="253"/>
      <c r="I167" s="250"/>
      <c r="J167" s="250"/>
      <c r="K167" s="270"/>
      <c r="L167" s="250"/>
      <c r="M167" s="250"/>
      <c r="N167" s="553" t="str">
        <f>CONCATENATE(IF(OR(M167=phu!$I$1,M167=phu!$I$2,M167=phu!$I$3),"Cam Thành Nam",""),IF(OR(M167=phu!$I$4,M167=phu!$I$5,M167=phu!$I$6,M167=phu!$I$7,M167=phu!$I$8,M167=phu!$I$9,M167=phu!$I$10,M167=phu!$I$11,M167=phu!$I$12,M167=phu!$I$13,M167=phu!$I$14),"Cam Nghĩa",""),IF(OR(M167=phu!$I$15,M167=phu!$I$16,M167=phu!$I$17,M167=phu!$I$18,M167=phu!$I$19,M167=phu!$I$20,M167=phu!$I$21),"Cam Phúc Bắc",""),IF(OR(M167=phu!$I$22,M167=phu!$I$23,M167=phu!$I$24,M167=phu!$I$25),"Cam Phúc Nam",""),IF(OR(M167=phu!$I$26,M167=phu!$I$27,M167=phu!$I$28,M167=phu!$I$29,M167=phu!$I$30,M167=phu!$I$31),"Cam Phú",""),IF(OR(M167=phu!$I$32,M167=phu!$I$33,M167=phu!$I$34,M167=phu!$I$35,M167=phu!$I$36,M167=phu!$I$37),"Cam Lộc",""),IF(OR(M167=phu!$I$38,M167=phu!$I$39,M167=phu!$I$40,M167=phu!$I$41,M167=phu!$I$42,M167=phu!$I$43,M167=phu!$I$44),"Cam Thuận",""),IF(OR(M167=phu!$I$45,M167=phu!$I$46,M167=phu!$I$47,M167=phu!$I$48,M167=phu!$I$49,M167=phu!$I$50,M167=phu!$I$51,M167=phu!$I$52,M167=phu!$I$53),"Cam Linh",""),IF(OR(M167=phu!$I$54,M167=phu!$I$55,M167=phu!$I$56,M167=phu!$I$57,M167=phu!$I$58,M167=phu!$I$59,M167=phu!$I$60,M167=phu!$I$61,M167=phu!$I$62),"Cam Lợi",""),IF(OR(M167=phu!$I$63,M167=phu!$I$64,M167=phu!$I$65,M167=phu!$I$66,M167=phu!$I$67,M167=phu!$I$68,M167=phu!$I$69,M167=phu!$I$70,M167=phu!$I$71),"Ba Ngòi",""),IF(OR(M167=phu!$I$72,M167=phu!$I$73,M167=phu!$I$74,M167=phu!$I$75,M167=phu!$I$76,M167=phu!$I$77,M167=phu!$I$78),"Cam Phước Đông",""),IF(OR(M167=phu!$I$79,M167=phu!$I$80,M167=phu!$I$81,M167=phu!$I$82,M167=phu!$I$83,M167=phu!$I$84),"Cam Thịnh Đông",""),IF(OR(M167=phu!$I$85,M167=phu!$I$86,M167=phu!$I$87,M167=phu!$I$88),"Cam Thịnh Tây",""),IF(OR(M167=phu!$I$89,M167=phu!$I$90),"Cam Lập",""),IF(OR(M167=phu!$I$91,M167=phu!$I$92,M167=phu!$I$93),"Cam Bình",""),IF(OR(M167=phu!$I$94,M167=phu!$I$95,M167=phu!$I$96,M167=phu!$I$97,M167=phu!$I$98,M167=phu!$I$99,M167=phu!$I$100),"Huyện khác",""),IF(OR(M167=phu!$I$101,M167=phu!$I$102),"Tỉnh khác",""))</f>
        <v/>
      </c>
      <c r="O167" s="814" t="str">
        <f t="shared" si="13"/>
        <v/>
      </c>
      <c r="P167" s="254"/>
      <c r="Q167" s="254"/>
      <c r="R167" s="254"/>
      <c r="S167" s="254"/>
      <c r="T167" s="254"/>
      <c r="U167" s="254"/>
      <c r="V167" s="254"/>
      <c r="W167" s="254"/>
      <c r="Y167" s="246" t="str">
        <f t="shared" si="14"/>
        <v/>
      </c>
      <c r="Z167" s="247" t="str">
        <f t="shared" si="12"/>
        <v/>
      </c>
      <c r="AA167" s="246" t="str">
        <f t="shared" si="15"/>
        <v/>
      </c>
    </row>
    <row r="168" spans="1:27" ht="18" customHeight="1" x14ac:dyDescent="0.25">
      <c r="A168" s="248" t="str">
        <f t="shared" si="16"/>
        <v/>
      </c>
      <c r="B168" s="249" t="str">
        <f t="shared" si="17"/>
        <v/>
      </c>
      <c r="C168" s="250"/>
      <c r="D168" s="251"/>
      <c r="E168" s="241"/>
      <c r="F168" s="252"/>
      <c r="G168" s="252"/>
      <c r="H168" s="253"/>
      <c r="I168" s="250"/>
      <c r="J168" s="250"/>
      <c r="K168" s="270"/>
      <c r="L168" s="250"/>
      <c r="M168" s="250"/>
      <c r="N168" s="553" t="str">
        <f>CONCATENATE(IF(OR(M168=phu!$I$1,M168=phu!$I$2,M168=phu!$I$3),"Cam Thành Nam",""),IF(OR(M168=phu!$I$4,M168=phu!$I$5,M168=phu!$I$6,M168=phu!$I$7,M168=phu!$I$8,M168=phu!$I$9,M168=phu!$I$10,M168=phu!$I$11,M168=phu!$I$12,M168=phu!$I$13,M168=phu!$I$14),"Cam Nghĩa",""),IF(OR(M168=phu!$I$15,M168=phu!$I$16,M168=phu!$I$17,M168=phu!$I$18,M168=phu!$I$19,M168=phu!$I$20,M168=phu!$I$21),"Cam Phúc Bắc",""),IF(OR(M168=phu!$I$22,M168=phu!$I$23,M168=phu!$I$24,M168=phu!$I$25),"Cam Phúc Nam",""),IF(OR(M168=phu!$I$26,M168=phu!$I$27,M168=phu!$I$28,M168=phu!$I$29,M168=phu!$I$30,M168=phu!$I$31),"Cam Phú",""),IF(OR(M168=phu!$I$32,M168=phu!$I$33,M168=phu!$I$34,M168=phu!$I$35,M168=phu!$I$36,M168=phu!$I$37),"Cam Lộc",""),IF(OR(M168=phu!$I$38,M168=phu!$I$39,M168=phu!$I$40,M168=phu!$I$41,M168=phu!$I$42,M168=phu!$I$43,M168=phu!$I$44),"Cam Thuận",""),IF(OR(M168=phu!$I$45,M168=phu!$I$46,M168=phu!$I$47,M168=phu!$I$48,M168=phu!$I$49,M168=phu!$I$50,M168=phu!$I$51,M168=phu!$I$52,M168=phu!$I$53),"Cam Linh",""),IF(OR(M168=phu!$I$54,M168=phu!$I$55,M168=phu!$I$56,M168=phu!$I$57,M168=phu!$I$58,M168=phu!$I$59,M168=phu!$I$60,M168=phu!$I$61,M168=phu!$I$62),"Cam Lợi",""),IF(OR(M168=phu!$I$63,M168=phu!$I$64,M168=phu!$I$65,M168=phu!$I$66,M168=phu!$I$67,M168=phu!$I$68,M168=phu!$I$69,M168=phu!$I$70,M168=phu!$I$71),"Ba Ngòi",""),IF(OR(M168=phu!$I$72,M168=phu!$I$73,M168=phu!$I$74,M168=phu!$I$75,M168=phu!$I$76,M168=phu!$I$77,M168=phu!$I$78),"Cam Phước Đông",""),IF(OR(M168=phu!$I$79,M168=phu!$I$80,M168=phu!$I$81,M168=phu!$I$82,M168=phu!$I$83,M168=phu!$I$84),"Cam Thịnh Đông",""),IF(OR(M168=phu!$I$85,M168=phu!$I$86,M168=phu!$I$87,M168=phu!$I$88),"Cam Thịnh Tây",""),IF(OR(M168=phu!$I$89,M168=phu!$I$90),"Cam Lập",""),IF(OR(M168=phu!$I$91,M168=phu!$I$92,M168=phu!$I$93),"Cam Bình",""),IF(OR(M168=phu!$I$94,M168=phu!$I$95,M168=phu!$I$96,M168=phu!$I$97,M168=phu!$I$98,M168=phu!$I$99,M168=phu!$I$100),"Huyện khác",""),IF(OR(M168=phu!$I$101,M168=phu!$I$102),"Tỉnh khác",""))</f>
        <v/>
      </c>
      <c r="O168" s="814" t="str">
        <f t="shared" si="13"/>
        <v/>
      </c>
      <c r="P168" s="254"/>
      <c r="Q168" s="254"/>
      <c r="R168" s="254"/>
      <c r="S168" s="254"/>
      <c r="T168" s="254"/>
      <c r="U168" s="254"/>
      <c r="V168" s="254"/>
      <c r="W168" s="254"/>
      <c r="Y168" s="246" t="str">
        <f t="shared" si="14"/>
        <v/>
      </c>
      <c r="Z168" s="247" t="str">
        <f t="shared" si="12"/>
        <v/>
      </c>
      <c r="AA168" s="246" t="str">
        <f t="shared" si="15"/>
        <v/>
      </c>
    </row>
    <row r="169" spans="1:27" ht="18" customHeight="1" x14ac:dyDescent="0.25">
      <c r="A169" s="248" t="str">
        <f t="shared" si="16"/>
        <v/>
      </c>
      <c r="B169" s="249" t="str">
        <f t="shared" si="17"/>
        <v/>
      </c>
      <c r="C169" s="250"/>
      <c r="D169" s="251"/>
      <c r="E169" s="241"/>
      <c r="F169" s="252"/>
      <c r="G169" s="252"/>
      <c r="H169" s="253"/>
      <c r="I169" s="250"/>
      <c r="J169" s="250"/>
      <c r="K169" s="270"/>
      <c r="L169" s="250"/>
      <c r="M169" s="250"/>
      <c r="N169" s="553" t="str">
        <f>CONCATENATE(IF(OR(M169=phu!$I$1,M169=phu!$I$2,M169=phu!$I$3),"Cam Thành Nam",""),IF(OR(M169=phu!$I$4,M169=phu!$I$5,M169=phu!$I$6,M169=phu!$I$7,M169=phu!$I$8,M169=phu!$I$9,M169=phu!$I$10,M169=phu!$I$11,M169=phu!$I$12,M169=phu!$I$13,M169=phu!$I$14),"Cam Nghĩa",""),IF(OR(M169=phu!$I$15,M169=phu!$I$16,M169=phu!$I$17,M169=phu!$I$18,M169=phu!$I$19,M169=phu!$I$20,M169=phu!$I$21),"Cam Phúc Bắc",""),IF(OR(M169=phu!$I$22,M169=phu!$I$23,M169=phu!$I$24,M169=phu!$I$25),"Cam Phúc Nam",""),IF(OR(M169=phu!$I$26,M169=phu!$I$27,M169=phu!$I$28,M169=phu!$I$29,M169=phu!$I$30,M169=phu!$I$31),"Cam Phú",""),IF(OR(M169=phu!$I$32,M169=phu!$I$33,M169=phu!$I$34,M169=phu!$I$35,M169=phu!$I$36,M169=phu!$I$37),"Cam Lộc",""),IF(OR(M169=phu!$I$38,M169=phu!$I$39,M169=phu!$I$40,M169=phu!$I$41,M169=phu!$I$42,M169=phu!$I$43,M169=phu!$I$44),"Cam Thuận",""),IF(OR(M169=phu!$I$45,M169=phu!$I$46,M169=phu!$I$47,M169=phu!$I$48,M169=phu!$I$49,M169=phu!$I$50,M169=phu!$I$51,M169=phu!$I$52,M169=phu!$I$53),"Cam Linh",""),IF(OR(M169=phu!$I$54,M169=phu!$I$55,M169=phu!$I$56,M169=phu!$I$57,M169=phu!$I$58,M169=phu!$I$59,M169=phu!$I$60,M169=phu!$I$61,M169=phu!$I$62),"Cam Lợi",""),IF(OR(M169=phu!$I$63,M169=phu!$I$64,M169=phu!$I$65,M169=phu!$I$66,M169=phu!$I$67,M169=phu!$I$68,M169=phu!$I$69,M169=phu!$I$70,M169=phu!$I$71),"Ba Ngòi",""),IF(OR(M169=phu!$I$72,M169=phu!$I$73,M169=phu!$I$74,M169=phu!$I$75,M169=phu!$I$76,M169=phu!$I$77,M169=phu!$I$78),"Cam Phước Đông",""),IF(OR(M169=phu!$I$79,M169=phu!$I$80,M169=phu!$I$81,M169=phu!$I$82,M169=phu!$I$83,M169=phu!$I$84),"Cam Thịnh Đông",""),IF(OR(M169=phu!$I$85,M169=phu!$I$86,M169=phu!$I$87,M169=phu!$I$88),"Cam Thịnh Tây",""),IF(OR(M169=phu!$I$89,M169=phu!$I$90),"Cam Lập",""),IF(OR(M169=phu!$I$91,M169=phu!$I$92,M169=phu!$I$93),"Cam Bình",""),IF(OR(M169=phu!$I$94,M169=phu!$I$95,M169=phu!$I$96,M169=phu!$I$97,M169=phu!$I$98,M169=phu!$I$99,M169=phu!$I$100),"Huyện khác",""),IF(OR(M169=phu!$I$101,M169=phu!$I$102),"Tỉnh khác",""))</f>
        <v/>
      </c>
      <c r="O169" s="814" t="str">
        <f t="shared" si="13"/>
        <v/>
      </c>
      <c r="P169" s="254"/>
      <c r="Q169" s="254"/>
      <c r="R169" s="254"/>
      <c r="S169" s="254"/>
      <c r="T169" s="254"/>
      <c r="U169" s="254"/>
      <c r="V169" s="254"/>
      <c r="W169" s="254"/>
      <c r="Y169" s="246" t="str">
        <f t="shared" si="14"/>
        <v/>
      </c>
      <c r="Z169" s="247" t="str">
        <f t="shared" si="12"/>
        <v/>
      </c>
      <c r="AA169" s="246" t="str">
        <f t="shared" si="15"/>
        <v/>
      </c>
    </row>
    <row r="170" spans="1:27" ht="18" customHeight="1" x14ac:dyDescent="0.25">
      <c r="A170" s="248" t="str">
        <f t="shared" si="16"/>
        <v/>
      </c>
      <c r="B170" s="249" t="str">
        <f t="shared" si="17"/>
        <v/>
      </c>
      <c r="C170" s="250"/>
      <c r="D170" s="251"/>
      <c r="E170" s="241"/>
      <c r="F170" s="252"/>
      <c r="G170" s="252"/>
      <c r="H170" s="253"/>
      <c r="I170" s="250"/>
      <c r="J170" s="250"/>
      <c r="K170" s="270"/>
      <c r="L170" s="250"/>
      <c r="M170" s="250"/>
      <c r="N170" s="553" t="str">
        <f>CONCATENATE(IF(OR(M170=phu!$I$1,M170=phu!$I$2,M170=phu!$I$3),"Cam Thành Nam",""),IF(OR(M170=phu!$I$4,M170=phu!$I$5,M170=phu!$I$6,M170=phu!$I$7,M170=phu!$I$8,M170=phu!$I$9,M170=phu!$I$10,M170=phu!$I$11,M170=phu!$I$12,M170=phu!$I$13,M170=phu!$I$14),"Cam Nghĩa",""),IF(OR(M170=phu!$I$15,M170=phu!$I$16,M170=phu!$I$17,M170=phu!$I$18,M170=phu!$I$19,M170=phu!$I$20,M170=phu!$I$21),"Cam Phúc Bắc",""),IF(OR(M170=phu!$I$22,M170=phu!$I$23,M170=phu!$I$24,M170=phu!$I$25),"Cam Phúc Nam",""),IF(OR(M170=phu!$I$26,M170=phu!$I$27,M170=phu!$I$28,M170=phu!$I$29,M170=phu!$I$30,M170=phu!$I$31),"Cam Phú",""),IF(OR(M170=phu!$I$32,M170=phu!$I$33,M170=phu!$I$34,M170=phu!$I$35,M170=phu!$I$36,M170=phu!$I$37),"Cam Lộc",""),IF(OR(M170=phu!$I$38,M170=phu!$I$39,M170=phu!$I$40,M170=phu!$I$41,M170=phu!$I$42,M170=phu!$I$43,M170=phu!$I$44),"Cam Thuận",""),IF(OR(M170=phu!$I$45,M170=phu!$I$46,M170=phu!$I$47,M170=phu!$I$48,M170=phu!$I$49,M170=phu!$I$50,M170=phu!$I$51,M170=phu!$I$52,M170=phu!$I$53),"Cam Linh",""),IF(OR(M170=phu!$I$54,M170=phu!$I$55,M170=phu!$I$56,M170=phu!$I$57,M170=phu!$I$58,M170=phu!$I$59,M170=phu!$I$60,M170=phu!$I$61,M170=phu!$I$62),"Cam Lợi",""),IF(OR(M170=phu!$I$63,M170=phu!$I$64,M170=phu!$I$65,M170=phu!$I$66,M170=phu!$I$67,M170=phu!$I$68,M170=phu!$I$69,M170=phu!$I$70,M170=phu!$I$71),"Ba Ngòi",""),IF(OR(M170=phu!$I$72,M170=phu!$I$73,M170=phu!$I$74,M170=phu!$I$75,M170=phu!$I$76,M170=phu!$I$77,M170=phu!$I$78),"Cam Phước Đông",""),IF(OR(M170=phu!$I$79,M170=phu!$I$80,M170=phu!$I$81,M170=phu!$I$82,M170=phu!$I$83,M170=phu!$I$84),"Cam Thịnh Đông",""),IF(OR(M170=phu!$I$85,M170=phu!$I$86,M170=phu!$I$87,M170=phu!$I$88),"Cam Thịnh Tây",""),IF(OR(M170=phu!$I$89,M170=phu!$I$90),"Cam Lập",""),IF(OR(M170=phu!$I$91,M170=phu!$I$92,M170=phu!$I$93),"Cam Bình",""),IF(OR(M170=phu!$I$94,M170=phu!$I$95,M170=phu!$I$96,M170=phu!$I$97,M170=phu!$I$98,M170=phu!$I$99,M170=phu!$I$100),"Huyện khác",""),IF(OR(M170=phu!$I$101,M170=phu!$I$102),"Tỉnh khác",""))</f>
        <v/>
      </c>
      <c r="O170" s="814" t="str">
        <f t="shared" si="13"/>
        <v/>
      </c>
      <c r="P170" s="254"/>
      <c r="Q170" s="254"/>
      <c r="R170" s="254"/>
      <c r="S170" s="254"/>
      <c r="T170" s="254"/>
      <c r="U170" s="254"/>
      <c r="V170" s="254"/>
      <c r="W170" s="254"/>
      <c r="Y170" s="246" t="str">
        <f t="shared" si="14"/>
        <v/>
      </c>
      <c r="Z170" s="247" t="str">
        <f t="shared" si="12"/>
        <v/>
      </c>
      <c r="AA170" s="246" t="str">
        <f t="shared" si="15"/>
        <v/>
      </c>
    </row>
    <row r="171" spans="1:27" ht="18" customHeight="1" x14ac:dyDescent="0.25">
      <c r="A171" s="248" t="str">
        <f t="shared" si="16"/>
        <v/>
      </c>
      <c r="B171" s="249" t="str">
        <f t="shared" si="17"/>
        <v/>
      </c>
      <c r="C171" s="250"/>
      <c r="D171" s="251"/>
      <c r="E171" s="241"/>
      <c r="F171" s="252"/>
      <c r="G171" s="252"/>
      <c r="H171" s="253"/>
      <c r="I171" s="250"/>
      <c r="J171" s="250"/>
      <c r="K171" s="270"/>
      <c r="L171" s="250"/>
      <c r="M171" s="250"/>
      <c r="N171" s="553" t="str">
        <f>CONCATENATE(IF(OR(M171=phu!$I$1,M171=phu!$I$2,M171=phu!$I$3),"Cam Thành Nam",""),IF(OR(M171=phu!$I$4,M171=phu!$I$5,M171=phu!$I$6,M171=phu!$I$7,M171=phu!$I$8,M171=phu!$I$9,M171=phu!$I$10,M171=phu!$I$11,M171=phu!$I$12,M171=phu!$I$13,M171=phu!$I$14),"Cam Nghĩa",""),IF(OR(M171=phu!$I$15,M171=phu!$I$16,M171=phu!$I$17,M171=phu!$I$18,M171=phu!$I$19,M171=phu!$I$20,M171=phu!$I$21),"Cam Phúc Bắc",""),IF(OR(M171=phu!$I$22,M171=phu!$I$23,M171=phu!$I$24,M171=phu!$I$25),"Cam Phúc Nam",""),IF(OR(M171=phu!$I$26,M171=phu!$I$27,M171=phu!$I$28,M171=phu!$I$29,M171=phu!$I$30,M171=phu!$I$31),"Cam Phú",""),IF(OR(M171=phu!$I$32,M171=phu!$I$33,M171=phu!$I$34,M171=phu!$I$35,M171=phu!$I$36,M171=phu!$I$37),"Cam Lộc",""),IF(OR(M171=phu!$I$38,M171=phu!$I$39,M171=phu!$I$40,M171=phu!$I$41,M171=phu!$I$42,M171=phu!$I$43,M171=phu!$I$44),"Cam Thuận",""),IF(OR(M171=phu!$I$45,M171=phu!$I$46,M171=phu!$I$47,M171=phu!$I$48,M171=phu!$I$49,M171=phu!$I$50,M171=phu!$I$51,M171=phu!$I$52,M171=phu!$I$53),"Cam Linh",""),IF(OR(M171=phu!$I$54,M171=phu!$I$55,M171=phu!$I$56,M171=phu!$I$57,M171=phu!$I$58,M171=phu!$I$59,M171=phu!$I$60,M171=phu!$I$61,M171=phu!$I$62),"Cam Lợi",""),IF(OR(M171=phu!$I$63,M171=phu!$I$64,M171=phu!$I$65,M171=phu!$I$66,M171=phu!$I$67,M171=phu!$I$68,M171=phu!$I$69,M171=phu!$I$70,M171=phu!$I$71),"Ba Ngòi",""),IF(OR(M171=phu!$I$72,M171=phu!$I$73,M171=phu!$I$74,M171=phu!$I$75,M171=phu!$I$76,M171=phu!$I$77,M171=phu!$I$78),"Cam Phước Đông",""),IF(OR(M171=phu!$I$79,M171=phu!$I$80,M171=phu!$I$81,M171=phu!$I$82,M171=phu!$I$83,M171=phu!$I$84),"Cam Thịnh Đông",""),IF(OR(M171=phu!$I$85,M171=phu!$I$86,M171=phu!$I$87,M171=phu!$I$88),"Cam Thịnh Tây",""),IF(OR(M171=phu!$I$89,M171=phu!$I$90),"Cam Lập",""),IF(OR(M171=phu!$I$91,M171=phu!$I$92,M171=phu!$I$93),"Cam Bình",""),IF(OR(M171=phu!$I$94,M171=phu!$I$95,M171=phu!$I$96,M171=phu!$I$97,M171=phu!$I$98,M171=phu!$I$99,M171=phu!$I$100),"Huyện khác",""),IF(OR(M171=phu!$I$101,M171=phu!$I$102),"Tỉnh khác",""))</f>
        <v/>
      </c>
      <c r="O171" s="814" t="str">
        <f t="shared" si="13"/>
        <v/>
      </c>
      <c r="P171" s="254"/>
      <c r="Q171" s="254"/>
      <c r="R171" s="254"/>
      <c r="S171" s="254"/>
      <c r="T171" s="254"/>
      <c r="U171" s="254"/>
      <c r="V171" s="254"/>
      <c r="W171" s="254"/>
      <c r="Y171" s="246" t="str">
        <f t="shared" si="14"/>
        <v/>
      </c>
      <c r="Z171" s="247" t="str">
        <f t="shared" si="12"/>
        <v/>
      </c>
      <c r="AA171" s="246" t="str">
        <f t="shared" si="15"/>
        <v/>
      </c>
    </row>
    <row r="172" spans="1:27" ht="18" customHeight="1" x14ac:dyDescent="0.25">
      <c r="A172" s="248" t="str">
        <f t="shared" si="16"/>
        <v/>
      </c>
      <c r="B172" s="249" t="str">
        <f t="shared" si="17"/>
        <v/>
      </c>
      <c r="C172" s="250"/>
      <c r="D172" s="251"/>
      <c r="E172" s="241"/>
      <c r="F172" s="252"/>
      <c r="G172" s="252"/>
      <c r="H172" s="253"/>
      <c r="I172" s="250"/>
      <c r="J172" s="250"/>
      <c r="K172" s="270"/>
      <c r="L172" s="250"/>
      <c r="M172" s="250"/>
      <c r="N172" s="553" t="str">
        <f>CONCATENATE(IF(OR(M172=phu!$I$1,M172=phu!$I$2,M172=phu!$I$3),"Cam Thành Nam",""),IF(OR(M172=phu!$I$4,M172=phu!$I$5,M172=phu!$I$6,M172=phu!$I$7,M172=phu!$I$8,M172=phu!$I$9,M172=phu!$I$10,M172=phu!$I$11,M172=phu!$I$12,M172=phu!$I$13,M172=phu!$I$14),"Cam Nghĩa",""),IF(OR(M172=phu!$I$15,M172=phu!$I$16,M172=phu!$I$17,M172=phu!$I$18,M172=phu!$I$19,M172=phu!$I$20,M172=phu!$I$21),"Cam Phúc Bắc",""),IF(OR(M172=phu!$I$22,M172=phu!$I$23,M172=phu!$I$24,M172=phu!$I$25),"Cam Phúc Nam",""),IF(OR(M172=phu!$I$26,M172=phu!$I$27,M172=phu!$I$28,M172=phu!$I$29,M172=phu!$I$30,M172=phu!$I$31),"Cam Phú",""),IF(OR(M172=phu!$I$32,M172=phu!$I$33,M172=phu!$I$34,M172=phu!$I$35,M172=phu!$I$36,M172=phu!$I$37),"Cam Lộc",""),IF(OR(M172=phu!$I$38,M172=phu!$I$39,M172=phu!$I$40,M172=phu!$I$41,M172=phu!$I$42,M172=phu!$I$43,M172=phu!$I$44),"Cam Thuận",""),IF(OR(M172=phu!$I$45,M172=phu!$I$46,M172=phu!$I$47,M172=phu!$I$48,M172=phu!$I$49,M172=phu!$I$50,M172=phu!$I$51,M172=phu!$I$52,M172=phu!$I$53),"Cam Linh",""),IF(OR(M172=phu!$I$54,M172=phu!$I$55,M172=phu!$I$56,M172=phu!$I$57,M172=phu!$I$58,M172=phu!$I$59,M172=phu!$I$60,M172=phu!$I$61,M172=phu!$I$62),"Cam Lợi",""),IF(OR(M172=phu!$I$63,M172=phu!$I$64,M172=phu!$I$65,M172=phu!$I$66,M172=phu!$I$67,M172=phu!$I$68,M172=phu!$I$69,M172=phu!$I$70,M172=phu!$I$71),"Ba Ngòi",""),IF(OR(M172=phu!$I$72,M172=phu!$I$73,M172=phu!$I$74,M172=phu!$I$75,M172=phu!$I$76,M172=phu!$I$77,M172=phu!$I$78),"Cam Phước Đông",""),IF(OR(M172=phu!$I$79,M172=phu!$I$80,M172=phu!$I$81,M172=phu!$I$82,M172=phu!$I$83,M172=phu!$I$84),"Cam Thịnh Đông",""),IF(OR(M172=phu!$I$85,M172=phu!$I$86,M172=phu!$I$87,M172=phu!$I$88),"Cam Thịnh Tây",""),IF(OR(M172=phu!$I$89,M172=phu!$I$90),"Cam Lập",""),IF(OR(M172=phu!$I$91,M172=phu!$I$92,M172=phu!$I$93),"Cam Bình",""),IF(OR(M172=phu!$I$94,M172=phu!$I$95,M172=phu!$I$96,M172=phu!$I$97,M172=phu!$I$98,M172=phu!$I$99,M172=phu!$I$100),"Huyện khác",""),IF(OR(M172=phu!$I$101,M172=phu!$I$102),"Tỉnh khác",""))</f>
        <v/>
      </c>
      <c r="O172" s="814" t="str">
        <f t="shared" si="13"/>
        <v/>
      </c>
      <c r="P172" s="254"/>
      <c r="Q172" s="254"/>
      <c r="R172" s="254"/>
      <c r="S172" s="254"/>
      <c r="T172" s="254"/>
      <c r="U172" s="254"/>
      <c r="V172" s="254"/>
      <c r="W172" s="254"/>
      <c r="Y172" s="246" t="str">
        <f t="shared" si="14"/>
        <v/>
      </c>
      <c r="Z172" s="247" t="str">
        <f t="shared" si="12"/>
        <v/>
      </c>
      <c r="AA172" s="246" t="str">
        <f t="shared" si="15"/>
        <v/>
      </c>
    </row>
    <row r="173" spans="1:27" ht="18" customHeight="1" x14ac:dyDescent="0.25">
      <c r="A173" s="248" t="str">
        <f t="shared" si="16"/>
        <v/>
      </c>
      <c r="B173" s="249" t="str">
        <f t="shared" si="17"/>
        <v/>
      </c>
      <c r="C173" s="250"/>
      <c r="D173" s="251"/>
      <c r="E173" s="241"/>
      <c r="F173" s="252"/>
      <c r="G173" s="252"/>
      <c r="H173" s="253"/>
      <c r="I173" s="250"/>
      <c r="J173" s="250"/>
      <c r="K173" s="270"/>
      <c r="L173" s="250"/>
      <c r="M173" s="250"/>
      <c r="N173" s="553" t="str">
        <f>CONCATENATE(IF(OR(M173=phu!$I$1,M173=phu!$I$2,M173=phu!$I$3),"Cam Thành Nam",""),IF(OR(M173=phu!$I$4,M173=phu!$I$5,M173=phu!$I$6,M173=phu!$I$7,M173=phu!$I$8,M173=phu!$I$9,M173=phu!$I$10,M173=phu!$I$11,M173=phu!$I$12,M173=phu!$I$13,M173=phu!$I$14),"Cam Nghĩa",""),IF(OR(M173=phu!$I$15,M173=phu!$I$16,M173=phu!$I$17,M173=phu!$I$18,M173=phu!$I$19,M173=phu!$I$20,M173=phu!$I$21),"Cam Phúc Bắc",""),IF(OR(M173=phu!$I$22,M173=phu!$I$23,M173=phu!$I$24,M173=phu!$I$25),"Cam Phúc Nam",""),IF(OR(M173=phu!$I$26,M173=phu!$I$27,M173=phu!$I$28,M173=phu!$I$29,M173=phu!$I$30,M173=phu!$I$31),"Cam Phú",""),IF(OR(M173=phu!$I$32,M173=phu!$I$33,M173=phu!$I$34,M173=phu!$I$35,M173=phu!$I$36,M173=phu!$I$37),"Cam Lộc",""),IF(OR(M173=phu!$I$38,M173=phu!$I$39,M173=phu!$I$40,M173=phu!$I$41,M173=phu!$I$42,M173=phu!$I$43,M173=phu!$I$44),"Cam Thuận",""),IF(OR(M173=phu!$I$45,M173=phu!$I$46,M173=phu!$I$47,M173=phu!$I$48,M173=phu!$I$49,M173=phu!$I$50,M173=phu!$I$51,M173=phu!$I$52,M173=phu!$I$53),"Cam Linh",""),IF(OR(M173=phu!$I$54,M173=phu!$I$55,M173=phu!$I$56,M173=phu!$I$57,M173=phu!$I$58,M173=phu!$I$59,M173=phu!$I$60,M173=phu!$I$61,M173=phu!$I$62),"Cam Lợi",""),IF(OR(M173=phu!$I$63,M173=phu!$I$64,M173=phu!$I$65,M173=phu!$I$66,M173=phu!$I$67,M173=phu!$I$68,M173=phu!$I$69,M173=phu!$I$70,M173=phu!$I$71),"Ba Ngòi",""),IF(OR(M173=phu!$I$72,M173=phu!$I$73,M173=phu!$I$74,M173=phu!$I$75,M173=phu!$I$76,M173=phu!$I$77,M173=phu!$I$78),"Cam Phước Đông",""),IF(OR(M173=phu!$I$79,M173=phu!$I$80,M173=phu!$I$81,M173=phu!$I$82,M173=phu!$I$83,M173=phu!$I$84),"Cam Thịnh Đông",""),IF(OR(M173=phu!$I$85,M173=phu!$I$86,M173=phu!$I$87,M173=phu!$I$88),"Cam Thịnh Tây",""),IF(OR(M173=phu!$I$89,M173=phu!$I$90),"Cam Lập",""),IF(OR(M173=phu!$I$91,M173=phu!$I$92,M173=phu!$I$93),"Cam Bình",""),IF(OR(M173=phu!$I$94,M173=phu!$I$95,M173=phu!$I$96,M173=phu!$I$97,M173=phu!$I$98,M173=phu!$I$99,M173=phu!$I$100),"Huyện khác",""),IF(OR(M173=phu!$I$101,M173=phu!$I$102),"Tỉnh khác",""))</f>
        <v/>
      </c>
      <c r="O173" s="814" t="str">
        <f t="shared" si="13"/>
        <v/>
      </c>
      <c r="P173" s="254"/>
      <c r="Q173" s="254"/>
      <c r="R173" s="254"/>
      <c r="S173" s="254"/>
      <c r="T173" s="254"/>
      <c r="U173" s="254"/>
      <c r="V173" s="254"/>
      <c r="W173" s="254"/>
      <c r="Y173" s="246" t="str">
        <f t="shared" si="14"/>
        <v/>
      </c>
      <c r="Z173" s="247" t="str">
        <f t="shared" si="12"/>
        <v/>
      </c>
      <c r="AA173" s="246" t="str">
        <f t="shared" si="15"/>
        <v/>
      </c>
    </row>
    <row r="174" spans="1:27" ht="18" customHeight="1" x14ac:dyDescent="0.25">
      <c r="A174" s="248" t="str">
        <f t="shared" si="16"/>
        <v/>
      </c>
      <c r="B174" s="249" t="str">
        <f t="shared" si="17"/>
        <v/>
      </c>
      <c r="C174" s="250"/>
      <c r="D174" s="251"/>
      <c r="E174" s="241"/>
      <c r="F174" s="252"/>
      <c r="G174" s="252"/>
      <c r="H174" s="253"/>
      <c r="I174" s="250"/>
      <c r="J174" s="250"/>
      <c r="K174" s="270"/>
      <c r="L174" s="250"/>
      <c r="M174" s="250"/>
      <c r="N174" s="553" t="str">
        <f>CONCATENATE(IF(OR(M174=phu!$I$1,M174=phu!$I$2,M174=phu!$I$3),"Cam Thành Nam",""),IF(OR(M174=phu!$I$4,M174=phu!$I$5,M174=phu!$I$6,M174=phu!$I$7,M174=phu!$I$8,M174=phu!$I$9,M174=phu!$I$10,M174=phu!$I$11,M174=phu!$I$12,M174=phu!$I$13,M174=phu!$I$14),"Cam Nghĩa",""),IF(OR(M174=phu!$I$15,M174=phu!$I$16,M174=phu!$I$17,M174=phu!$I$18,M174=phu!$I$19,M174=phu!$I$20,M174=phu!$I$21),"Cam Phúc Bắc",""),IF(OR(M174=phu!$I$22,M174=phu!$I$23,M174=phu!$I$24,M174=phu!$I$25),"Cam Phúc Nam",""),IF(OR(M174=phu!$I$26,M174=phu!$I$27,M174=phu!$I$28,M174=phu!$I$29,M174=phu!$I$30,M174=phu!$I$31),"Cam Phú",""),IF(OR(M174=phu!$I$32,M174=phu!$I$33,M174=phu!$I$34,M174=phu!$I$35,M174=phu!$I$36,M174=phu!$I$37),"Cam Lộc",""),IF(OR(M174=phu!$I$38,M174=phu!$I$39,M174=phu!$I$40,M174=phu!$I$41,M174=phu!$I$42,M174=phu!$I$43,M174=phu!$I$44),"Cam Thuận",""),IF(OR(M174=phu!$I$45,M174=phu!$I$46,M174=phu!$I$47,M174=phu!$I$48,M174=phu!$I$49,M174=phu!$I$50,M174=phu!$I$51,M174=phu!$I$52,M174=phu!$I$53),"Cam Linh",""),IF(OR(M174=phu!$I$54,M174=phu!$I$55,M174=phu!$I$56,M174=phu!$I$57,M174=phu!$I$58,M174=phu!$I$59,M174=phu!$I$60,M174=phu!$I$61,M174=phu!$I$62),"Cam Lợi",""),IF(OR(M174=phu!$I$63,M174=phu!$I$64,M174=phu!$I$65,M174=phu!$I$66,M174=phu!$I$67,M174=phu!$I$68,M174=phu!$I$69,M174=phu!$I$70,M174=phu!$I$71),"Ba Ngòi",""),IF(OR(M174=phu!$I$72,M174=phu!$I$73,M174=phu!$I$74,M174=phu!$I$75,M174=phu!$I$76,M174=phu!$I$77,M174=phu!$I$78),"Cam Phước Đông",""),IF(OR(M174=phu!$I$79,M174=phu!$I$80,M174=phu!$I$81,M174=phu!$I$82,M174=phu!$I$83,M174=phu!$I$84),"Cam Thịnh Đông",""),IF(OR(M174=phu!$I$85,M174=phu!$I$86,M174=phu!$I$87,M174=phu!$I$88),"Cam Thịnh Tây",""),IF(OR(M174=phu!$I$89,M174=phu!$I$90),"Cam Lập",""),IF(OR(M174=phu!$I$91,M174=phu!$I$92,M174=phu!$I$93),"Cam Bình",""),IF(OR(M174=phu!$I$94,M174=phu!$I$95,M174=phu!$I$96,M174=phu!$I$97,M174=phu!$I$98,M174=phu!$I$99,M174=phu!$I$100),"Huyện khác",""),IF(OR(M174=phu!$I$101,M174=phu!$I$102),"Tỉnh khác",""))</f>
        <v/>
      </c>
      <c r="O174" s="814" t="str">
        <f t="shared" si="13"/>
        <v/>
      </c>
      <c r="P174" s="254"/>
      <c r="Q174" s="254"/>
      <c r="R174" s="254"/>
      <c r="S174" s="254"/>
      <c r="T174" s="254"/>
      <c r="U174" s="254"/>
      <c r="V174" s="254"/>
      <c r="W174" s="254"/>
      <c r="Y174" s="246" t="str">
        <f t="shared" si="14"/>
        <v/>
      </c>
      <c r="Z174" s="247" t="str">
        <f t="shared" si="12"/>
        <v/>
      </c>
      <c r="AA174" s="246" t="str">
        <f t="shared" si="15"/>
        <v/>
      </c>
    </row>
    <row r="175" spans="1:27" ht="18" customHeight="1" x14ac:dyDescent="0.25">
      <c r="A175" s="248" t="str">
        <f t="shared" si="16"/>
        <v/>
      </c>
      <c r="B175" s="249" t="str">
        <f t="shared" si="17"/>
        <v/>
      </c>
      <c r="C175" s="250"/>
      <c r="D175" s="251"/>
      <c r="E175" s="241"/>
      <c r="F175" s="252"/>
      <c r="G175" s="252"/>
      <c r="H175" s="253"/>
      <c r="I175" s="250"/>
      <c r="J175" s="250"/>
      <c r="K175" s="270"/>
      <c r="L175" s="250"/>
      <c r="M175" s="250"/>
      <c r="N175" s="553" t="str">
        <f>CONCATENATE(IF(OR(M175=phu!$I$1,M175=phu!$I$2,M175=phu!$I$3),"Cam Thành Nam",""),IF(OR(M175=phu!$I$4,M175=phu!$I$5,M175=phu!$I$6,M175=phu!$I$7,M175=phu!$I$8,M175=phu!$I$9,M175=phu!$I$10,M175=phu!$I$11,M175=phu!$I$12,M175=phu!$I$13,M175=phu!$I$14),"Cam Nghĩa",""),IF(OR(M175=phu!$I$15,M175=phu!$I$16,M175=phu!$I$17,M175=phu!$I$18,M175=phu!$I$19,M175=phu!$I$20,M175=phu!$I$21),"Cam Phúc Bắc",""),IF(OR(M175=phu!$I$22,M175=phu!$I$23,M175=phu!$I$24,M175=phu!$I$25),"Cam Phúc Nam",""),IF(OR(M175=phu!$I$26,M175=phu!$I$27,M175=phu!$I$28,M175=phu!$I$29,M175=phu!$I$30,M175=phu!$I$31),"Cam Phú",""),IF(OR(M175=phu!$I$32,M175=phu!$I$33,M175=phu!$I$34,M175=phu!$I$35,M175=phu!$I$36,M175=phu!$I$37),"Cam Lộc",""),IF(OR(M175=phu!$I$38,M175=phu!$I$39,M175=phu!$I$40,M175=phu!$I$41,M175=phu!$I$42,M175=phu!$I$43,M175=phu!$I$44),"Cam Thuận",""),IF(OR(M175=phu!$I$45,M175=phu!$I$46,M175=phu!$I$47,M175=phu!$I$48,M175=phu!$I$49,M175=phu!$I$50,M175=phu!$I$51,M175=phu!$I$52,M175=phu!$I$53),"Cam Linh",""),IF(OR(M175=phu!$I$54,M175=phu!$I$55,M175=phu!$I$56,M175=phu!$I$57,M175=phu!$I$58,M175=phu!$I$59,M175=phu!$I$60,M175=phu!$I$61,M175=phu!$I$62),"Cam Lợi",""),IF(OR(M175=phu!$I$63,M175=phu!$I$64,M175=phu!$I$65,M175=phu!$I$66,M175=phu!$I$67,M175=phu!$I$68,M175=phu!$I$69,M175=phu!$I$70,M175=phu!$I$71),"Ba Ngòi",""),IF(OR(M175=phu!$I$72,M175=phu!$I$73,M175=phu!$I$74,M175=phu!$I$75,M175=phu!$I$76,M175=phu!$I$77,M175=phu!$I$78),"Cam Phước Đông",""),IF(OR(M175=phu!$I$79,M175=phu!$I$80,M175=phu!$I$81,M175=phu!$I$82,M175=phu!$I$83,M175=phu!$I$84),"Cam Thịnh Đông",""),IF(OR(M175=phu!$I$85,M175=phu!$I$86,M175=phu!$I$87,M175=phu!$I$88),"Cam Thịnh Tây",""),IF(OR(M175=phu!$I$89,M175=phu!$I$90),"Cam Lập",""),IF(OR(M175=phu!$I$91,M175=phu!$I$92,M175=phu!$I$93),"Cam Bình",""),IF(OR(M175=phu!$I$94,M175=phu!$I$95,M175=phu!$I$96,M175=phu!$I$97,M175=phu!$I$98,M175=phu!$I$99,M175=phu!$I$100),"Huyện khác",""),IF(OR(M175=phu!$I$101,M175=phu!$I$102),"Tỉnh khác",""))</f>
        <v/>
      </c>
      <c r="O175" s="814" t="str">
        <f t="shared" si="13"/>
        <v/>
      </c>
      <c r="P175" s="254"/>
      <c r="Q175" s="254"/>
      <c r="R175" s="254"/>
      <c r="S175" s="254"/>
      <c r="T175" s="254"/>
      <c r="U175" s="254"/>
      <c r="V175" s="254"/>
      <c r="W175" s="254"/>
      <c r="Y175" s="246" t="str">
        <f t="shared" si="14"/>
        <v/>
      </c>
      <c r="Z175" s="247" t="str">
        <f t="shared" si="12"/>
        <v/>
      </c>
      <c r="AA175" s="246" t="str">
        <f t="shared" si="15"/>
        <v/>
      </c>
    </row>
    <row r="176" spans="1:27" ht="18" customHeight="1" x14ac:dyDescent="0.25">
      <c r="A176" s="248" t="str">
        <f t="shared" si="16"/>
        <v/>
      </c>
      <c r="B176" s="249" t="str">
        <f t="shared" si="17"/>
        <v/>
      </c>
      <c r="C176" s="250"/>
      <c r="D176" s="251"/>
      <c r="E176" s="241"/>
      <c r="F176" s="252"/>
      <c r="G176" s="252"/>
      <c r="H176" s="253"/>
      <c r="I176" s="250"/>
      <c r="J176" s="250"/>
      <c r="K176" s="270"/>
      <c r="L176" s="250"/>
      <c r="M176" s="250"/>
      <c r="N176" s="553" t="str">
        <f>CONCATENATE(IF(OR(M176=phu!$I$1,M176=phu!$I$2,M176=phu!$I$3),"Cam Thành Nam",""),IF(OR(M176=phu!$I$4,M176=phu!$I$5,M176=phu!$I$6,M176=phu!$I$7,M176=phu!$I$8,M176=phu!$I$9,M176=phu!$I$10,M176=phu!$I$11,M176=phu!$I$12,M176=phu!$I$13,M176=phu!$I$14),"Cam Nghĩa",""),IF(OR(M176=phu!$I$15,M176=phu!$I$16,M176=phu!$I$17,M176=phu!$I$18,M176=phu!$I$19,M176=phu!$I$20,M176=phu!$I$21),"Cam Phúc Bắc",""),IF(OR(M176=phu!$I$22,M176=phu!$I$23,M176=phu!$I$24,M176=phu!$I$25),"Cam Phúc Nam",""),IF(OR(M176=phu!$I$26,M176=phu!$I$27,M176=phu!$I$28,M176=phu!$I$29,M176=phu!$I$30,M176=phu!$I$31),"Cam Phú",""),IF(OR(M176=phu!$I$32,M176=phu!$I$33,M176=phu!$I$34,M176=phu!$I$35,M176=phu!$I$36,M176=phu!$I$37),"Cam Lộc",""),IF(OR(M176=phu!$I$38,M176=phu!$I$39,M176=phu!$I$40,M176=phu!$I$41,M176=phu!$I$42,M176=phu!$I$43,M176=phu!$I$44),"Cam Thuận",""),IF(OR(M176=phu!$I$45,M176=phu!$I$46,M176=phu!$I$47,M176=phu!$I$48,M176=phu!$I$49,M176=phu!$I$50,M176=phu!$I$51,M176=phu!$I$52,M176=phu!$I$53),"Cam Linh",""),IF(OR(M176=phu!$I$54,M176=phu!$I$55,M176=phu!$I$56,M176=phu!$I$57,M176=phu!$I$58,M176=phu!$I$59,M176=phu!$I$60,M176=phu!$I$61,M176=phu!$I$62),"Cam Lợi",""),IF(OR(M176=phu!$I$63,M176=phu!$I$64,M176=phu!$I$65,M176=phu!$I$66,M176=phu!$I$67,M176=phu!$I$68,M176=phu!$I$69,M176=phu!$I$70,M176=phu!$I$71),"Ba Ngòi",""),IF(OR(M176=phu!$I$72,M176=phu!$I$73,M176=phu!$I$74,M176=phu!$I$75,M176=phu!$I$76,M176=phu!$I$77,M176=phu!$I$78),"Cam Phước Đông",""),IF(OR(M176=phu!$I$79,M176=phu!$I$80,M176=phu!$I$81,M176=phu!$I$82,M176=phu!$I$83,M176=phu!$I$84),"Cam Thịnh Đông",""),IF(OR(M176=phu!$I$85,M176=phu!$I$86,M176=phu!$I$87,M176=phu!$I$88),"Cam Thịnh Tây",""),IF(OR(M176=phu!$I$89,M176=phu!$I$90),"Cam Lập",""),IF(OR(M176=phu!$I$91,M176=phu!$I$92,M176=phu!$I$93),"Cam Bình",""),IF(OR(M176=phu!$I$94,M176=phu!$I$95,M176=phu!$I$96,M176=phu!$I$97,M176=phu!$I$98,M176=phu!$I$99,M176=phu!$I$100),"Huyện khác",""),IF(OR(M176=phu!$I$101,M176=phu!$I$102),"Tỉnh khác",""))</f>
        <v/>
      </c>
      <c r="O176" s="814" t="str">
        <f t="shared" si="13"/>
        <v/>
      </c>
      <c r="P176" s="254"/>
      <c r="Q176" s="254"/>
      <c r="R176" s="254"/>
      <c r="S176" s="254"/>
      <c r="T176" s="254"/>
      <c r="U176" s="254"/>
      <c r="V176" s="254"/>
      <c r="W176" s="254"/>
      <c r="Y176" s="246" t="str">
        <f t="shared" si="14"/>
        <v/>
      </c>
      <c r="Z176" s="247" t="str">
        <f t="shared" si="12"/>
        <v/>
      </c>
      <c r="AA176" s="246" t="str">
        <f t="shared" si="15"/>
        <v/>
      </c>
    </row>
    <row r="177" spans="1:27" ht="18" customHeight="1" x14ac:dyDescent="0.25">
      <c r="A177" s="248" t="str">
        <f t="shared" si="16"/>
        <v/>
      </c>
      <c r="B177" s="249" t="str">
        <f t="shared" si="17"/>
        <v/>
      </c>
      <c r="C177" s="250"/>
      <c r="D177" s="251"/>
      <c r="E177" s="241"/>
      <c r="F177" s="252"/>
      <c r="G177" s="252"/>
      <c r="H177" s="253"/>
      <c r="I177" s="250"/>
      <c r="J177" s="250"/>
      <c r="K177" s="270"/>
      <c r="L177" s="250"/>
      <c r="M177" s="250"/>
      <c r="N177" s="553" t="str">
        <f>CONCATENATE(IF(OR(M177=phu!$I$1,M177=phu!$I$2,M177=phu!$I$3),"Cam Thành Nam",""),IF(OR(M177=phu!$I$4,M177=phu!$I$5,M177=phu!$I$6,M177=phu!$I$7,M177=phu!$I$8,M177=phu!$I$9,M177=phu!$I$10,M177=phu!$I$11,M177=phu!$I$12,M177=phu!$I$13,M177=phu!$I$14),"Cam Nghĩa",""),IF(OR(M177=phu!$I$15,M177=phu!$I$16,M177=phu!$I$17,M177=phu!$I$18,M177=phu!$I$19,M177=phu!$I$20,M177=phu!$I$21),"Cam Phúc Bắc",""),IF(OR(M177=phu!$I$22,M177=phu!$I$23,M177=phu!$I$24,M177=phu!$I$25),"Cam Phúc Nam",""),IF(OR(M177=phu!$I$26,M177=phu!$I$27,M177=phu!$I$28,M177=phu!$I$29,M177=phu!$I$30,M177=phu!$I$31),"Cam Phú",""),IF(OR(M177=phu!$I$32,M177=phu!$I$33,M177=phu!$I$34,M177=phu!$I$35,M177=phu!$I$36,M177=phu!$I$37),"Cam Lộc",""),IF(OR(M177=phu!$I$38,M177=phu!$I$39,M177=phu!$I$40,M177=phu!$I$41,M177=phu!$I$42,M177=phu!$I$43,M177=phu!$I$44),"Cam Thuận",""),IF(OR(M177=phu!$I$45,M177=phu!$I$46,M177=phu!$I$47,M177=phu!$I$48,M177=phu!$I$49,M177=phu!$I$50,M177=phu!$I$51,M177=phu!$I$52,M177=phu!$I$53),"Cam Linh",""),IF(OR(M177=phu!$I$54,M177=phu!$I$55,M177=phu!$I$56,M177=phu!$I$57,M177=phu!$I$58,M177=phu!$I$59,M177=phu!$I$60,M177=phu!$I$61,M177=phu!$I$62),"Cam Lợi",""),IF(OR(M177=phu!$I$63,M177=phu!$I$64,M177=phu!$I$65,M177=phu!$I$66,M177=phu!$I$67,M177=phu!$I$68,M177=phu!$I$69,M177=phu!$I$70,M177=phu!$I$71),"Ba Ngòi",""),IF(OR(M177=phu!$I$72,M177=phu!$I$73,M177=phu!$I$74,M177=phu!$I$75,M177=phu!$I$76,M177=phu!$I$77,M177=phu!$I$78),"Cam Phước Đông",""),IF(OR(M177=phu!$I$79,M177=phu!$I$80,M177=phu!$I$81,M177=phu!$I$82,M177=phu!$I$83,M177=phu!$I$84),"Cam Thịnh Đông",""),IF(OR(M177=phu!$I$85,M177=phu!$I$86,M177=phu!$I$87,M177=phu!$I$88),"Cam Thịnh Tây",""),IF(OR(M177=phu!$I$89,M177=phu!$I$90),"Cam Lập",""),IF(OR(M177=phu!$I$91,M177=phu!$I$92,M177=phu!$I$93),"Cam Bình",""),IF(OR(M177=phu!$I$94,M177=phu!$I$95,M177=phu!$I$96,M177=phu!$I$97,M177=phu!$I$98,M177=phu!$I$99,M177=phu!$I$100),"Huyện khác",""),IF(OR(M177=phu!$I$101,M177=phu!$I$102),"Tỉnh khác",""))</f>
        <v/>
      </c>
      <c r="O177" s="814" t="str">
        <f t="shared" si="13"/>
        <v/>
      </c>
      <c r="P177" s="254"/>
      <c r="Q177" s="254"/>
      <c r="R177" s="254"/>
      <c r="S177" s="254"/>
      <c r="T177" s="254"/>
      <c r="U177" s="254"/>
      <c r="V177" s="254"/>
      <c r="W177" s="254"/>
      <c r="Y177" s="246" t="str">
        <f t="shared" si="14"/>
        <v/>
      </c>
      <c r="Z177" s="247" t="str">
        <f t="shared" si="12"/>
        <v/>
      </c>
      <c r="AA177" s="246" t="str">
        <f t="shared" si="15"/>
        <v/>
      </c>
    </row>
    <row r="178" spans="1:27" ht="18" customHeight="1" x14ac:dyDescent="0.25">
      <c r="A178" s="248" t="str">
        <f t="shared" si="16"/>
        <v/>
      </c>
      <c r="B178" s="249" t="str">
        <f t="shared" si="17"/>
        <v/>
      </c>
      <c r="C178" s="250"/>
      <c r="D178" s="251"/>
      <c r="E178" s="241"/>
      <c r="F178" s="252"/>
      <c r="G178" s="252"/>
      <c r="H178" s="253"/>
      <c r="I178" s="250"/>
      <c r="J178" s="250"/>
      <c r="K178" s="270"/>
      <c r="L178" s="250"/>
      <c r="M178" s="250"/>
      <c r="N178" s="553" t="str">
        <f>CONCATENATE(IF(OR(M178=phu!$I$1,M178=phu!$I$2,M178=phu!$I$3),"Cam Thành Nam",""),IF(OR(M178=phu!$I$4,M178=phu!$I$5,M178=phu!$I$6,M178=phu!$I$7,M178=phu!$I$8,M178=phu!$I$9,M178=phu!$I$10,M178=phu!$I$11,M178=phu!$I$12,M178=phu!$I$13,M178=phu!$I$14),"Cam Nghĩa",""),IF(OR(M178=phu!$I$15,M178=phu!$I$16,M178=phu!$I$17,M178=phu!$I$18,M178=phu!$I$19,M178=phu!$I$20,M178=phu!$I$21),"Cam Phúc Bắc",""),IF(OR(M178=phu!$I$22,M178=phu!$I$23,M178=phu!$I$24,M178=phu!$I$25),"Cam Phúc Nam",""),IF(OR(M178=phu!$I$26,M178=phu!$I$27,M178=phu!$I$28,M178=phu!$I$29,M178=phu!$I$30,M178=phu!$I$31),"Cam Phú",""),IF(OR(M178=phu!$I$32,M178=phu!$I$33,M178=phu!$I$34,M178=phu!$I$35,M178=phu!$I$36,M178=phu!$I$37),"Cam Lộc",""),IF(OR(M178=phu!$I$38,M178=phu!$I$39,M178=phu!$I$40,M178=phu!$I$41,M178=phu!$I$42,M178=phu!$I$43,M178=phu!$I$44),"Cam Thuận",""),IF(OR(M178=phu!$I$45,M178=phu!$I$46,M178=phu!$I$47,M178=phu!$I$48,M178=phu!$I$49,M178=phu!$I$50,M178=phu!$I$51,M178=phu!$I$52,M178=phu!$I$53),"Cam Linh",""),IF(OR(M178=phu!$I$54,M178=phu!$I$55,M178=phu!$I$56,M178=phu!$I$57,M178=phu!$I$58,M178=phu!$I$59,M178=phu!$I$60,M178=phu!$I$61,M178=phu!$I$62),"Cam Lợi",""),IF(OR(M178=phu!$I$63,M178=phu!$I$64,M178=phu!$I$65,M178=phu!$I$66,M178=phu!$I$67,M178=phu!$I$68,M178=phu!$I$69,M178=phu!$I$70,M178=phu!$I$71),"Ba Ngòi",""),IF(OR(M178=phu!$I$72,M178=phu!$I$73,M178=phu!$I$74,M178=phu!$I$75,M178=phu!$I$76,M178=phu!$I$77,M178=phu!$I$78),"Cam Phước Đông",""),IF(OR(M178=phu!$I$79,M178=phu!$I$80,M178=phu!$I$81,M178=phu!$I$82,M178=phu!$I$83,M178=phu!$I$84),"Cam Thịnh Đông",""),IF(OR(M178=phu!$I$85,M178=phu!$I$86,M178=phu!$I$87,M178=phu!$I$88),"Cam Thịnh Tây",""),IF(OR(M178=phu!$I$89,M178=phu!$I$90),"Cam Lập",""),IF(OR(M178=phu!$I$91,M178=phu!$I$92,M178=phu!$I$93),"Cam Bình",""),IF(OR(M178=phu!$I$94,M178=phu!$I$95,M178=phu!$I$96,M178=phu!$I$97,M178=phu!$I$98,M178=phu!$I$99,M178=phu!$I$100),"Huyện khác",""),IF(OR(M178=phu!$I$101,M178=phu!$I$102),"Tỉnh khác",""))</f>
        <v/>
      </c>
      <c r="O178" s="814" t="str">
        <f t="shared" si="13"/>
        <v/>
      </c>
      <c r="P178" s="254"/>
      <c r="Q178" s="254"/>
      <c r="R178" s="254"/>
      <c r="S178" s="254"/>
      <c r="T178" s="254"/>
      <c r="U178" s="254"/>
      <c r="V178" s="254"/>
      <c r="W178" s="254"/>
      <c r="Y178" s="246" t="str">
        <f t="shared" si="14"/>
        <v/>
      </c>
      <c r="Z178" s="247" t="str">
        <f t="shared" si="12"/>
        <v/>
      </c>
      <c r="AA178" s="246" t="str">
        <f t="shared" si="15"/>
        <v/>
      </c>
    </row>
    <row r="179" spans="1:27" ht="18" customHeight="1" x14ac:dyDescent="0.25">
      <c r="A179" s="248" t="str">
        <f t="shared" si="16"/>
        <v/>
      </c>
      <c r="B179" s="249" t="str">
        <f t="shared" si="17"/>
        <v/>
      </c>
      <c r="C179" s="250"/>
      <c r="D179" s="251"/>
      <c r="E179" s="241"/>
      <c r="F179" s="252"/>
      <c r="G179" s="252"/>
      <c r="H179" s="253"/>
      <c r="I179" s="250"/>
      <c r="J179" s="250"/>
      <c r="K179" s="270"/>
      <c r="L179" s="250"/>
      <c r="M179" s="250"/>
      <c r="N179" s="553" t="str">
        <f>CONCATENATE(IF(OR(M179=phu!$I$1,M179=phu!$I$2,M179=phu!$I$3),"Cam Thành Nam",""),IF(OR(M179=phu!$I$4,M179=phu!$I$5,M179=phu!$I$6,M179=phu!$I$7,M179=phu!$I$8,M179=phu!$I$9,M179=phu!$I$10,M179=phu!$I$11,M179=phu!$I$12,M179=phu!$I$13,M179=phu!$I$14),"Cam Nghĩa",""),IF(OR(M179=phu!$I$15,M179=phu!$I$16,M179=phu!$I$17,M179=phu!$I$18,M179=phu!$I$19,M179=phu!$I$20,M179=phu!$I$21),"Cam Phúc Bắc",""),IF(OR(M179=phu!$I$22,M179=phu!$I$23,M179=phu!$I$24,M179=phu!$I$25),"Cam Phúc Nam",""),IF(OR(M179=phu!$I$26,M179=phu!$I$27,M179=phu!$I$28,M179=phu!$I$29,M179=phu!$I$30,M179=phu!$I$31),"Cam Phú",""),IF(OR(M179=phu!$I$32,M179=phu!$I$33,M179=phu!$I$34,M179=phu!$I$35,M179=phu!$I$36,M179=phu!$I$37),"Cam Lộc",""),IF(OR(M179=phu!$I$38,M179=phu!$I$39,M179=phu!$I$40,M179=phu!$I$41,M179=phu!$I$42,M179=phu!$I$43,M179=phu!$I$44),"Cam Thuận",""),IF(OR(M179=phu!$I$45,M179=phu!$I$46,M179=phu!$I$47,M179=phu!$I$48,M179=phu!$I$49,M179=phu!$I$50,M179=phu!$I$51,M179=phu!$I$52,M179=phu!$I$53),"Cam Linh",""),IF(OR(M179=phu!$I$54,M179=phu!$I$55,M179=phu!$I$56,M179=phu!$I$57,M179=phu!$I$58,M179=phu!$I$59,M179=phu!$I$60,M179=phu!$I$61,M179=phu!$I$62),"Cam Lợi",""),IF(OR(M179=phu!$I$63,M179=phu!$I$64,M179=phu!$I$65,M179=phu!$I$66,M179=phu!$I$67,M179=phu!$I$68,M179=phu!$I$69,M179=phu!$I$70,M179=phu!$I$71),"Ba Ngòi",""),IF(OR(M179=phu!$I$72,M179=phu!$I$73,M179=phu!$I$74,M179=phu!$I$75,M179=phu!$I$76,M179=phu!$I$77,M179=phu!$I$78),"Cam Phước Đông",""),IF(OR(M179=phu!$I$79,M179=phu!$I$80,M179=phu!$I$81,M179=phu!$I$82,M179=phu!$I$83,M179=phu!$I$84),"Cam Thịnh Đông",""),IF(OR(M179=phu!$I$85,M179=phu!$I$86,M179=phu!$I$87,M179=phu!$I$88),"Cam Thịnh Tây",""),IF(OR(M179=phu!$I$89,M179=phu!$I$90),"Cam Lập",""),IF(OR(M179=phu!$I$91,M179=phu!$I$92,M179=phu!$I$93),"Cam Bình",""),IF(OR(M179=phu!$I$94,M179=phu!$I$95,M179=phu!$I$96,M179=phu!$I$97,M179=phu!$I$98,M179=phu!$I$99,M179=phu!$I$100),"Huyện khác",""),IF(OR(M179=phu!$I$101,M179=phu!$I$102),"Tỉnh khác",""))</f>
        <v/>
      </c>
      <c r="O179" s="814" t="str">
        <f t="shared" si="13"/>
        <v/>
      </c>
      <c r="P179" s="254"/>
      <c r="Q179" s="254"/>
      <c r="R179" s="254"/>
      <c r="S179" s="254"/>
      <c r="T179" s="254"/>
      <c r="U179" s="254"/>
      <c r="V179" s="254"/>
      <c r="W179" s="254"/>
      <c r="Y179" s="246" t="str">
        <f t="shared" si="14"/>
        <v/>
      </c>
      <c r="Z179" s="247" t="str">
        <f t="shared" si="12"/>
        <v/>
      </c>
      <c r="AA179" s="246" t="str">
        <f t="shared" si="15"/>
        <v/>
      </c>
    </row>
    <row r="180" spans="1:27" ht="18" customHeight="1" x14ac:dyDescent="0.25">
      <c r="A180" s="248" t="str">
        <f t="shared" si="16"/>
        <v/>
      </c>
      <c r="B180" s="249" t="str">
        <f t="shared" si="17"/>
        <v/>
      </c>
      <c r="C180" s="250"/>
      <c r="D180" s="251"/>
      <c r="E180" s="241"/>
      <c r="F180" s="252"/>
      <c r="G180" s="252"/>
      <c r="H180" s="253"/>
      <c r="I180" s="250"/>
      <c r="J180" s="250"/>
      <c r="K180" s="270"/>
      <c r="L180" s="250"/>
      <c r="M180" s="250"/>
      <c r="N180" s="553" t="str">
        <f>CONCATENATE(IF(OR(M180=phu!$I$1,M180=phu!$I$2,M180=phu!$I$3),"Cam Thành Nam",""),IF(OR(M180=phu!$I$4,M180=phu!$I$5,M180=phu!$I$6,M180=phu!$I$7,M180=phu!$I$8,M180=phu!$I$9,M180=phu!$I$10,M180=phu!$I$11,M180=phu!$I$12,M180=phu!$I$13,M180=phu!$I$14),"Cam Nghĩa",""),IF(OR(M180=phu!$I$15,M180=phu!$I$16,M180=phu!$I$17,M180=phu!$I$18,M180=phu!$I$19,M180=phu!$I$20,M180=phu!$I$21),"Cam Phúc Bắc",""),IF(OR(M180=phu!$I$22,M180=phu!$I$23,M180=phu!$I$24,M180=phu!$I$25),"Cam Phúc Nam",""),IF(OR(M180=phu!$I$26,M180=phu!$I$27,M180=phu!$I$28,M180=phu!$I$29,M180=phu!$I$30,M180=phu!$I$31),"Cam Phú",""),IF(OR(M180=phu!$I$32,M180=phu!$I$33,M180=phu!$I$34,M180=phu!$I$35,M180=phu!$I$36,M180=phu!$I$37),"Cam Lộc",""),IF(OR(M180=phu!$I$38,M180=phu!$I$39,M180=phu!$I$40,M180=phu!$I$41,M180=phu!$I$42,M180=phu!$I$43,M180=phu!$I$44),"Cam Thuận",""),IF(OR(M180=phu!$I$45,M180=phu!$I$46,M180=phu!$I$47,M180=phu!$I$48,M180=phu!$I$49,M180=phu!$I$50,M180=phu!$I$51,M180=phu!$I$52,M180=phu!$I$53),"Cam Linh",""),IF(OR(M180=phu!$I$54,M180=phu!$I$55,M180=phu!$I$56,M180=phu!$I$57,M180=phu!$I$58,M180=phu!$I$59,M180=phu!$I$60,M180=phu!$I$61,M180=phu!$I$62),"Cam Lợi",""),IF(OR(M180=phu!$I$63,M180=phu!$I$64,M180=phu!$I$65,M180=phu!$I$66,M180=phu!$I$67,M180=phu!$I$68,M180=phu!$I$69,M180=phu!$I$70,M180=phu!$I$71),"Ba Ngòi",""),IF(OR(M180=phu!$I$72,M180=phu!$I$73,M180=phu!$I$74,M180=phu!$I$75,M180=phu!$I$76,M180=phu!$I$77,M180=phu!$I$78),"Cam Phước Đông",""),IF(OR(M180=phu!$I$79,M180=phu!$I$80,M180=phu!$I$81,M180=phu!$I$82,M180=phu!$I$83,M180=phu!$I$84),"Cam Thịnh Đông",""),IF(OR(M180=phu!$I$85,M180=phu!$I$86,M180=phu!$I$87,M180=phu!$I$88),"Cam Thịnh Tây",""),IF(OR(M180=phu!$I$89,M180=phu!$I$90),"Cam Lập",""),IF(OR(M180=phu!$I$91,M180=phu!$I$92,M180=phu!$I$93),"Cam Bình",""),IF(OR(M180=phu!$I$94,M180=phu!$I$95,M180=phu!$I$96,M180=phu!$I$97,M180=phu!$I$98,M180=phu!$I$99,M180=phu!$I$100),"Huyện khác",""),IF(OR(M180=phu!$I$101,M180=phu!$I$102),"Tỉnh khác",""))</f>
        <v/>
      </c>
      <c r="O180" s="814" t="str">
        <f t="shared" si="13"/>
        <v/>
      </c>
      <c r="P180" s="254"/>
      <c r="Q180" s="254"/>
      <c r="R180" s="254"/>
      <c r="S180" s="254"/>
      <c r="T180" s="254"/>
      <c r="U180" s="254"/>
      <c r="V180" s="254"/>
      <c r="W180" s="254"/>
      <c r="Y180" s="246" t="str">
        <f t="shared" si="14"/>
        <v/>
      </c>
      <c r="Z180" s="247" t="str">
        <f t="shared" si="12"/>
        <v/>
      </c>
      <c r="AA180" s="246" t="str">
        <f t="shared" si="15"/>
        <v/>
      </c>
    </row>
    <row r="181" spans="1:27" ht="18" customHeight="1" x14ac:dyDescent="0.25">
      <c r="A181" s="248" t="str">
        <f t="shared" si="16"/>
        <v/>
      </c>
      <c r="B181" s="249" t="str">
        <f t="shared" si="17"/>
        <v/>
      </c>
      <c r="C181" s="250"/>
      <c r="D181" s="251"/>
      <c r="E181" s="241"/>
      <c r="F181" s="252"/>
      <c r="G181" s="252"/>
      <c r="H181" s="253"/>
      <c r="I181" s="250"/>
      <c r="J181" s="250"/>
      <c r="K181" s="270"/>
      <c r="L181" s="250"/>
      <c r="M181" s="250"/>
      <c r="N181" s="553" t="str">
        <f>CONCATENATE(IF(OR(M181=phu!$I$1,M181=phu!$I$2,M181=phu!$I$3),"Cam Thành Nam",""),IF(OR(M181=phu!$I$4,M181=phu!$I$5,M181=phu!$I$6,M181=phu!$I$7,M181=phu!$I$8,M181=phu!$I$9,M181=phu!$I$10,M181=phu!$I$11,M181=phu!$I$12,M181=phu!$I$13,M181=phu!$I$14),"Cam Nghĩa",""),IF(OR(M181=phu!$I$15,M181=phu!$I$16,M181=phu!$I$17,M181=phu!$I$18,M181=phu!$I$19,M181=phu!$I$20,M181=phu!$I$21),"Cam Phúc Bắc",""),IF(OR(M181=phu!$I$22,M181=phu!$I$23,M181=phu!$I$24,M181=phu!$I$25),"Cam Phúc Nam",""),IF(OR(M181=phu!$I$26,M181=phu!$I$27,M181=phu!$I$28,M181=phu!$I$29,M181=phu!$I$30,M181=phu!$I$31),"Cam Phú",""),IF(OR(M181=phu!$I$32,M181=phu!$I$33,M181=phu!$I$34,M181=phu!$I$35,M181=phu!$I$36,M181=phu!$I$37),"Cam Lộc",""),IF(OR(M181=phu!$I$38,M181=phu!$I$39,M181=phu!$I$40,M181=phu!$I$41,M181=phu!$I$42,M181=phu!$I$43,M181=phu!$I$44),"Cam Thuận",""),IF(OR(M181=phu!$I$45,M181=phu!$I$46,M181=phu!$I$47,M181=phu!$I$48,M181=phu!$I$49,M181=phu!$I$50,M181=phu!$I$51,M181=phu!$I$52,M181=phu!$I$53),"Cam Linh",""),IF(OR(M181=phu!$I$54,M181=phu!$I$55,M181=phu!$I$56,M181=phu!$I$57,M181=phu!$I$58,M181=phu!$I$59,M181=phu!$I$60,M181=phu!$I$61,M181=phu!$I$62),"Cam Lợi",""),IF(OR(M181=phu!$I$63,M181=phu!$I$64,M181=phu!$I$65,M181=phu!$I$66,M181=phu!$I$67,M181=phu!$I$68,M181=phu!$I$69,M181=phu!$I$70,M181=phu!$I$71),"Ba Ngòi",""),IF(OR(M181=phu!$I$72,M181=phu!$I$73,M181=phu!$I$74,M181=phu!$I$75,M181=phu!$I$76,M181=phu!$I$77,M181=phu!$I$78),"Cam Phước Đông",""),IF(OR(M181=phu!$I$79,M181=phu!$I$80,M181=phu!$I$81,M181=phu!$I$82,M181=phu!$I$83,M181=phu!$I$84),"Cam Thịnh Đông",""),IF(OR(M181=phu!$I$85,M181=phu!$I$86,M181=phu!$I$87,M181=phu!$I$88),"Cam Thịnh Tây",""),IF(OR(M181=phu!$I$89,M181=phu!$I$90),"Cam Lập",""),IF(OR(M181=phu!$I$91,M181=phu!$I$92,M181=phu!$I$93),"Cam Bình",""),IF(OR(M181=phu!$I$94,M181=phu!$I$95,M181=phu!$I$96,M181=phu!$I$97,M181=phu!$I$98,M181=phu!$I$99,M181=phu!$I$100),"Huyện khác",""),IF(OR(M181=phu!$I$101,M181=phu!$I$102),"Tỉnh khác",""))</f>
        <v/>
      </c>
      <c r="O181" s="814" t="str">
        <f t="shared" si="13"/>
        <v/>
      </c>
      <c r="P181" s="254"/>
      <c r="Q181" s="254"/>
      <c r="R181" s="254"/>
      <c r="S181" s="254"/>
      <c r="T181" s="254"/>
      <c r="U181" s="254"/>
      <c r="V181" s="254"/>
      <c r="W181" s="254"/>
      <c r="Y181" s="246" t="str">
        <f t="shared" si="14"/>
        <v/>
      </c>
      <c r="Z181" s="247" t="str">
        <f t="shared" si="12"/>
        <v/>
      </c>
      <c r="AA181" s="246" t="str">
        <f t="shared" si="15"/>
        <v/>
      </c>
    </row>
    <row r="182" spans="1:27" ht="18" customHeight="1" x14ac:dyDescent="0.25">
      <c r="A182" s="248" t="str">
        <f t="shared" si="16"/>
        <v/>
      </c>
      <c r="B182" s="249" t="str">
        <f t="shared" si="17"/>
        <v/>
      </c>
      <c r="C182" s="250"/>
      <c r="D182" s="251"/>
      <c r="E182" s="241"/>
      <c r="F182" s="252"/>
      <c r="G182" s="252"/>
      <c r="H182" s="253"/>
      <c r="I182" s="250"/>
      <c r="J182" s="250"/>
      <c r="K182" s="270"/>
      <c r="L182" s="250"/>
      <c r="M182" s="250"/>
      <c r="N182" s="553" t="str">
        <f>CONCATENATE(IF(OR(M182=phu!$I$1,M182=phu!$I$2,M182=phu!$I$3),"Cam Thành Nam",""),IF(OR(M182=phu!$I$4,M182=phu!$I$5,M182=phu!$I$6,M182=phu!$I$7,M182=phu!$I$8,M182=phu!$I$9,M182=phu!$I$10,M182=phu!$I$11,M182=phu!$I$12,M182=phu!$I$13,M182=phu!$I$14),"Cam Nghĩa",""),IF(OR(M182=phu!$I$15,M182=phu!$I$16,M182=phu!$I$17,M182=phu!$I$18,M182=phu!$I$19,M182=phu!$I$20,M182=phu!$I$21),"Cam Phúc Bắc",""),IF(OR(M182=phu!$I$22,M182=phu!$I$23,M182=phu!$I$24,M182=phu!$I$25),"Cam Phúc Nam",""),IF(OR(M182=phu!$I$26,M182=phu!$I$27,M182=phu!$I$28,M182=phu!$I$29,M182=phu!$I$30,M182=phu!$I$31),"Cam Phú",""),IF(OR(M182=phu!$I$32,M182=phu!$I$33,M182=phu!$I$34,M182=phu!$I$35,M182=phu!$I$36,M182=phu!$I$37),"Cam Lộc",""),IF(OR(M182=phu!$I$38,M182=phu!$I$39,M182=phu!$I$40,M182=phu!$I$41,M182=phu!$I$42,M182=phu!$I$43,M182=phu!$I$44),"Cam Thuận",""),IF(OR(M182=phu!$I$45,M182=phu!$I$46,M182=phu!$I$47,M182=phu!$I$48,M182=phu!$I$49,M182=phu!$I$50,M182=phu!$I$51,M182=phu!$I$52,M182=phu!$I$53),"Cam Linh",""),IF(OR(M182=phu!$I$54,M182=phu!$I$55,M182=phu!$I$56,M182=phu!$I$57,M182=phu!$I$58,M182=phu!$I$59,M182=phu!$I$60,M182=phu!$I$61,M182=phu!$I$62),"Cam Lợi",""),IF(OR(M182=phu!$I$63,M182=phu!$I$64,M182=phu!$I$65,M182=phu!$I$66,M182=phu!$I$67,M182=phu!$I$68,M182=phu!$I$69,M182=phu!$I$70,M182=phu!$I$71),"Ba Ngòi",""),IF(OR(M182=phu!$I$72,M182=phu!$I$73,M182=phu!$I$74,M182=phu!$I$75,M182=phu!$I$76,M182=phu!$I$77,M182=phu!$I$78),"Cam Phước Đông",""),IF(OR(M182=phu!$I$79,M182=phu!$I$80,M182=phu!$I$81,M182=phu!$I$82,M182=phu!$I$83,M182=phu!$I$84),"Cam Thịnh Đông",""),IF(OR(M182=phu!$I$85,M182=phu!$I$86,M182=phu!$I$87,M182=phu!$I$88),"Cam Thịnh Tây",""),IF(OR(M182=phu!$I$89,M182=phu!$I$90),"Cam Lập",""),IF(OR(M182=phu!$I$91,M182=phu!$I$92,M182=phu!$I$93),"Cam Bình",""),IF(OR(M182=phu!$I$94,M182=phu!$I$95,M182=phu!$I$96,M182=phu!$I$97,M182=phu!$I$98,M182=phu!$I$99,M182=phu!$I$100),"Huyện khác",""),IF(OR(M182=phu!$I$101,M182=phu!$I$102),"Tỉnh khác",""))</f>
        <v/>
      </c>
      <c r="O182" s="814" t="str">
        <f t="shared" si="13"/>
        <v/>
      </c>
      <c r="P182" s="254"/>
      <c r="Q182" s="254"/>
      <c r="R182" s="254"/>
      <c r="S182" s="254"/>
      <c r="T182" s="254"/>
      <c r="U182" s="254"/>
      <c r="V182" s="254"/>
      <c r="W182" s="254"/>
      <c r="Y182" s="246" t="str">
        <f t="shared" si="14"/>
        <v/>
      </c>
      <c r="Z182" s="247" t="str">
        <f t="shared" si="12"/>
        <v/>
      </c>
      <c r="AA182" s="246" t="str">
        <f t="shared" si="15"/>
        <v/>
      </c>
    </row>
    <row r="183" spans="1:27" ht="18" customHeight="1" x14ac:dyDescent="0.25">
      <c r="A183" s="248" t="str">
        <f t="shared" si="16"/>
        <v/>
      </c>
      <c r="B183" s="249" t="str">
        <f t="shared" si="17"/>
        <v/>
      </c>
      <c r="C183" s="250"/>
      <c r="D183" s="251"/>
      <c r="E183" s="241"/>
      <c r="F183" s="252"/>
      <c r="G183" s="252"/>
      <c r="H183" s="253"/>
      <c r="I183" s="250"/>
      <c r="J183" s="250"/>
      <c r="K183" s="270"/>
      <c r="L183" s="250"/>
      <c r="M183" s="250"/>
      <c r="N183" s="553" t="str">
        <f>CONCATENATE(IF(OR(M183=phu!$I$1,M183=phu!$I$2,M183=phu!$I$3),"Cam Thành Nam",""),IF(OR(M183=phu!$I$4,M183=phu!$I$5,M183=phu!$I$6,M183=phu!$I$7,M183=phu!$I$8,M183=phu!$I$9,M183=phu!$I$10,M183=phu!$I$11,M183=phu!$I$12,M183=phu!$I$13,M183=phu!$I$14),"Cam Nghĩa",""),IF(OR(M183=phu!$I$15,M183=phu!$I$16,M183=phu!$I$17,M183=phu!$I$18,M183=phu!$I$19,M183=phu!$I$20,M183=phu!$I$21),"Cam Phúc Bắc",""),IF(OR(M183=phu!$I$22,M183=phu!$I$23,M183=phu!$I$24,M183=phu!$I$25),"Cam Phúc Nam",""),IF(OR(M183=phu!$I$26,M183=phu!$I$27,M183=phu!$I$28,M183=phu!$I$29,M183=phu!$I$30,M183=phu!$I$31),"Cam Phú",""),IF(OR(M183=phu!$I$32,M183=phu!$I$33,M183=phu!$I$34,M183=phu!$I$35,M183=phu!$I$36,M183=phu!$I$37),"Cam Lộc",""),IF(OR(M183=phu!$I$38,M183=phu!$I$39,M183=phu!$I$40,M183=phu!$I$41,M183=phu!$I$42,M183=phu!$I$43,M183=phu!$I$44),"Cam Thuận",""),IF(OR(M183=phu!$I$45,M183=phu!$I$46,M183=phu!$I$47,M183=phu!$I$48,M183=phu!$I$49,M183=phu!$I$50,M183=phu!$I$51,M183=phu!$I$52,M183=phu!$I$53),"Cam Linh",""),IF(OR(M183=phu!$I$54,M183=phu!$I$55,M183=phu!$I$56,M183=phu!$I$57,M183=phu!$I$58,M183=phu!$I$59,M183=phu!$I$60,M183=phu!$I$61,M183=phu!$I$62),"Cam Lợi",""),IF(OR(M183=phu!$I$63,M183=phu!$I$64,M183=phu!$I$65,M183=phu!$I$66,M183=phu!$I$67,M183=phu!$I$68,M183=phu!$I$69,M183=phu!$I$70,M183=phu!$I$71),"Ba Ngòi",""),IF(OR(M183=phu!$I$72,M183=phu!$I$73,M183=phu!$I$74,M183=phu!$I$75,M183=phu!$I$76,M183=phu!$I$77,M183=phu!$I$78),"Cam Phước Đông",""),IF(OR(M183=phu!$I$79,M183=phu!$I$80,M183=phu!$I$81,M183=phu!$I$82,M183=phu!$I$83,M183=phu!$I$84),"Cam Thịnh Đông",""),IF(OR(M183=phu!$I$85,M183=phu!$I$86,M183=phu!$I$87,M183=phu!$I$88),"Cam Thịnh Tây",""),IF(OR(M183=phu!$I$89,M183=phu!$I$90),"Cam Lập",""),IF(OR(M183=phu!$I$91,M183=phu!$I$92,M183=phu!$I$93),"Cam Bình",""),IF(OR(M183=phu!$I$94,M183=phu!$I$95,M183=phu!$I$96,M183=phu!$I$97,M183=phu!$I$98,M183=phu!$I$99,M183=phu!$I$100),"Huyện khác",""),IF(OR(M183=phu!$I$101,M183=phu!$I$102),"Tỉnh khác",""))</f>
        <v/>
      </c>
      <c r="O183" s="814" t="str">
        <f t="shared" si="13"/>
        <v/>
      </c>
      <c r="P183" s="254"/>
      <c r="Q183" s="254"/>
      <c r="R183" s="254"/>
      <c r="S183" s="254"/>
      <c r="T183" s="254"/>
      <c r="U183" s="254"/>
      <c r="V183" s="254"/>
      <c r="W183" s="254"/>
      <c r="Y183" s="246" t="str">
        <f t="shared" si="14"/>
        <v/>
      </c>
      <c r="Z183" s="247" t="str">
        <f t="shared" si="12"/>
        <v/>
      </c>
      <c r="AA183" s="246" t="str">
        <f t="shared" si="15"/>
        <v/>
      </c>
    </row>
    <row r="184" spans="1:27" ht="18" customHeight="1" x14ac:dyDescent="0.25">
      <c r="A184" s="248" t="str">
        <f t="shared" si="16"/>
        <v/>
      </c>
      <c r="B184" s="249" t="str">
        <f t="shared" si="17"/>
        <v/>
      </c>
      <c r="C184" s="250"/>
      <c r="D184" s="251"/>
      <c r="E184" s="241"/>
      <c r="F184" s="252"/>
      <c r="G184" s="252"/>
      <c r="H184" s="253"/>
      <c r="I184" s="250"/>
      <c r="J184" s="250"/>
      <c r="K184" s="270"/>
      <c r="L184" s="250"/>
      <c r="M184" s="250"/>
      <c r="N184" s="553" t="str">
        <f>CONCATENATE(IF(OR(M184=phu!$I$1,M184=phu!$I$2,M184=phu!$I$3),"Cam Thành Nam",""),IF(OR(M184=phu!$I$4,M184=phu!$I$5,M184=phu!$I$6,M184=phu!$I$7,M184=phu!$I$8,M184=phu!$I$9,M184=phu!$I$10,M184=phu!$I$11,M184=phu!$I$12,M184=phu!$I$13,M184=phu!$I$14),"Cam Nghĩa",""),IF(OR(M184=phu!$I$15,M184=phu!$I$16,M184=phu!$I$17,M184=phu!$I$18,M184=phu!$I$19,M184=phu!$I$20,M184=phu!$I$21),"Cam Phúc Bắc",""),IF(OR(M184=phu!$I$22,M184=phu!$I$23,M184=phu!$I$24,M184=phu!$I$25),"Cam Phúc Nam",""),IF(OR(M184=phu!$I$26,M184=phu!$I$27,M184=phu!$I$28,M184=phu!$I$29,M184=phu!$I$30,M184=phu!$I$31),"Cam Phú",""),IF(OR(M184=phu!$I$32,M184=phu!$I$33,M184=phu!$I$34,M184=phu!$I$35,M184=phu!$I$36,M184=phu!$I$37),"Cam Lộc",""),IF(OR(M184=phu!$I$38,M184=phu!$I$39,M184=phu!$I$40,M184=phu!$I$41,M184=phu!$I$42,M184=phu!$I$43,M184=phu!$I$44),"Cam Thuận",""),IF(OR(M184=phu!$I$45,M184=phu!$I$46,M184=phu!$I$47,M184=phu!$I$48,M184=phu!$I$49,M184=phu!$I$50,M184=phu!$I$51,M184=phu!$I$52,M184=phu!$I$53),"Cam Linh",""),IF(OR(M184=phu!$I$54,M184=phu!$I$55,M184=phu!$I$56,M184=phu!$I$57,M184=phu!$I$58,M184=phu!$I$59,M184=phu!$I$60,M184=phu!$I$61,M184=phu!$I$62),"Cam Lợi",""),IF(OR(M184=phu!$I$63,M184=phu!$I$64,M184=phu!$I$65,M184=phu!$I$66,M184=phu!$I$67,M184=phu!$I$68,M184=phu!$I$69,M184=phu!$I$70,M184=phu!$I$71),"Ba Ngòi",""),IF(OR(M184=phu!$I$72,M184=phu!$I$73,M184=phu!$I$74,M184=phu!$I$75,M184=phu!$I$76,M184=phu!$I$77,M184=phu!$I$78),"Cam Phước Đông",""),IF(OR(M184=phu!$I$79,M184=phu!$I$80,M184=phu!$I$81,M184=phu!$I$82,M184=phu!$I$83,M184=phu!$I$84),"Cam Thịnh Đông",""),IF(OR(M184=phu!$I$85,M184=phu!$I$86,M184=phu!$I$87,M184=phu!$I$88),"Cam Thịnh Tây",""),IF(OR(M184=phu!$I$89,M184=phu!$I$90),"Cam Lập",""),IF(OR(M184=phu!$I$91,M184=phu!$I$92,M184=phu!$I$93),"Cam Bình",""),IF(OR(M184=phu!$I$94,M184=phu!$I$95,M184=phu!$I$96,M184=phu!$I$97,M184=phu!$I$98,M184=phu!$I$99,M184=phu!$I$100),"Huyện khác",""),IF(OR(M184=phu!$I$101,M184=phu!$I$102),"Tỉnh khác",""))</f>
        <v/>
      </c>
      <c r="O184" s="814" t="str">
        <f t="shared" si="13"/>
        <v/>
      </c>
      <c r="P184" s="254"/>
      <c r="Q184" s="254"/>
      <c r="R184" s="254"/>
      <c r="S184" s="254"/>
      <c r="T184" s="254"/>
      <c r="U184" s="254"/>
      <c r="V184" s="254"/>
      <c r="W184" s="254"/>
      <c r="Y184" s="246" t="str">
        <f t="shared" si="14"/>
        <v/>
      </c>
      <c r="Z184" s="247" t="str">
        <f t="shared" si="12"/>
        <v/>
      </c>
      <c r="AA184" s="246" t="str">
        <f t="shared" si="15"/>
        <v/>
      </c>
    </row>
    <row r="185" spans="1:27" ht="18" customHeight="1" x14ac:dyDescent="0.25">
      <c r="A185" s="248" t="str">
        <f t="shared" si="16"/>
        <v/>
      </c>
      <c r="B185" s="249" t="str">
        <f t="shared" si="17"/>
        <v/>
      </c>
      <c r="C185" s="250"/>
      <c r="D185" s="251"/>
      <c r="E185" s="241"/>
      <c r="F185" s="252"/>
      <c r="G185" s="252"/>
      <c r="H185" s="253"/>
      <c r="I185" s="250"/>
      <c r="J185" s="250"/>
      <c r="K185" s="270"/>
      <c r="L185" s="250"/>
      <c r="M185" s="250"/>
      <c r="N185" s="553" t="str">
        <f>CONCATENATE(IF(OR(M185=phu!$I$1,M185=phu!$I$2,M185=phu!$I$3),"Cam Thành Nam",""),IF(OR(M185=phu!$I$4,M185=phu!$I$5,M185=phu!$I$6,M185=phu!$I$7,M185=phu!$I$8,M185=phu!$I$9,M185=phu!$I$10,M185=phu!$I$11,M185=phu!$I$12,M185=phu!$I$13,M185=phu!$I$14),"Cam Nghĩa",""),IF(OR(M185=phu!$I$15,M185=phu!$I$16,M185=phu!$I$17,M185=phu!$I$18,M185=phu!$I$19,M185=phu!$I$20,M185=phu!$I$21),"Cam Phúc Bắc",""),IF(OR(M185=phu!$I$22,M185=phu!$I$23,M185=phu!$I$24,M185=phu!$I$25),"Cam Phúc Nam",""),IF(OR(M185=phu!$I$26,M185=phu!$I$27,M185=phu!$I$28,M185=phu!$I$29,M185=phu!$I$30,M185=phu!$I$31),"Cam Phú",""),IF(OR(M185=phu!$I$32,M185=phu!$I$33,M185=phu!$I$34,M185=phu!$I$35,M185=phu!$I$36,M185=phu!$I$37),"Cam Lộc",""),IF(OR(M185=phu!$I$38,M185=phu!$I$39,M185=phu!$I$40,M185=phu!$I$41,M185=phu!$I$42,M185=phu!$I$43,M185=phu!$I$44),"Cam Thuận",""),IF(OR(M185=phu!$I$45,M185=phu!$I$46,M185=phu!$I$47,M185=phu!$I$48,M185=phu!$I$49,M185=phu!$I$50,M185=phu!$I$51,M185=phu!$I$52,M185=phu!$I$53),"Cam Linh",""),IF(OR(M185=phu!$I$54,M185=phu!$I$55,M185=phu!$I$56,M185=phu!$I$57,M185=phu!$I$58,M185=phu!$I$59,M185=phu!$I$60,M185=phu!$I$61,M185=phu!$I$62),"Cam Lợi",""),IF(OR(M185=phu!$I$63,M185=phu!$I$64,M185=phu!$I$65,M185=phu!$I$66,M185=phu!$I$67,M185=phu!$I$68,M185=phu!$I$69,M185=phu!$I$70,M185=phu!$I$71),"Ba Ngòi",""),IF(OR(M185=phu!$I$72,M185=phu!$I$73,M185=phu!$I$74,M185=phu!$I$75,M185=phu!$I$76,M185=phu!$I$77,M185=phu!$I$78),"Cam Phước Đông",""),IF(OR(M185=phu!$I$79,M185=phu!$I$80,M185=phu!$I$81,M185=phu!$I$82,M185=phu!$I$83,M185=phu!$I$84),"Cam Thịnh Đông",""),IF(OR(M185=phu!$I$85,M185=phu!$I$86,M185=phu!$I$87,M185=phu!$I$88),"Cam Thịnh Tây",""),IF(OR(M185=phu!$I$89,M185=phu!$I$90),"Cam Lập",""),IF(OR(M185=phu!$I$91,M185=phu!$I$92,M185=phu!$I$93),"Cam Bình",""),IF(OR(M185=phu!$I$94,M185=phu!$I$95,M185=phu!$I$96,M185=phu!$I$97,M185=phu!$I$98,M185=phu!$I$99,M185=phu!$I$100),"Huyện khác",""),IF(OR(M185=phu!$I$101,M185=phu!$I$102),"Tỉnh khác",""))</f>
        <v/>
      </c>
      <c r="O185" s="814" t="str">
        <f t="shared" si="13"/>
        <v/>
      </c>
      <c r="P185" s="254"/>
      <c r="Q185" s="254"/>
      <c r="R185" s="254"/>
      <c r="S185" s="254"/>
      <c r="T185" s="254"/>
      <c r="U185" s="254"/>
      <c r="V185" s="254"/>
      <c r="W185" s="254"/>
      <c r="Y185" s="246" t="str">
        <f t="shared" si="14"/>
        <v/>
      </c>
      <c r="Z185" s="247" t="str">
        <f t="shared" si="12"/>
        <v/>
      </c>
      <c r="AA185" s="246" t="str">
        <f t="shared" si="15"/>
        <v/>
      </c>
    </row>
    <row r="186" spans="1:27" ht="18" customHeight="1" x14ac:dyDescent="0.25">
      <c r="A186" s="248" t="str">
        <f t="shared" si="16"/>
        <v/>
      </c>
      <c r="B186" s="249" t="str">
        <f t="shared" si="17"/>
        <v/>
      </c>
      <c r="C186" s="250"/>
      <c r="D186" s="251"/>
      <c r="E186" s="241"/>
      <c r="F186" s="252"/>
      <c r="G186" s="252"/>
      <c r="H186" s="253"/>
      <c r="I186" s="250"/>
      <c r="J186" s="250"/>
      <c r="K186" s="270"/>
      <c r="L186" s="250"/>
      <c r="M186" s="250"/>
      <c r="N186" s="553" t="str">
        <f>CONCATENATE(IF(OR(M186=phu!$I$1,M186=phu!$I$2,M186=phu!$I$3),"Cam Thành Nam",""),IF(OR(M186=phu!$I$4,M186=phu!$I$5,M186=phu!$I$6,M186=phu!$I$7,M186=phu!$I$8,M186=phu!$I$9,M186=phu!$I$10,M186=phu!$I$11,M186=phu!$I$12,M186=phu!$I$13,M186=phu!$I$14),"Cam Nghĩa",""),IF(OR(M186=phu!$I$15,M186=phu!$I$16,M186=phu!$I$17,M186=phu!$I$18,M186=phu!$I$19,M186=phu!$I$20,M186=phu!$I$21),"Cam Phúc Bắc",""),IF(OR(M186=phu!$I$22,M186=phu!$I$23,M186=phu!$I$24,M186=phu!$I$25),"Cam Phúc Nam",""),IF(OR(M186=phu!$I$26,M186=phu!$I$27,M186=phu!$I$28,M186=phu!$I$29,M186=phu!$I$30,M186=phu!$I$31),"Cam Phú",""),IF(OR(M186=phu!$I$32,M186=phu!$I$33,M186=phu!$I$34,M186=phu!$I$35,M186=phu!$I$36,M186=phu!$I$37),"Cam Lộc",""),IF(OR(M186=phu!$I$38,M186=phu!$I$39,M186=phu!$I$40,M186=phu!$I$41,M186=phu!$I$42,M186=phu!$I$43,M186=phu!$I$44),"Cam Thuận",""),IF(OR(M186=phu!$I$45,M186=phu!$I$46,M186=phu!$I$47,M186=phu!$I$48,M186=phu!$I$49,M186=phu!$I$50,M186=phu!$I$51,M186=phu!$I$52,M186=phu!$I$53),"Cam Linh",""),IF(OR(M186=phu!$I$54,M186=phu!$I$55,M186=phu!$I$56,M186=phu!$I$57,M186=phu!$I$58,M186=phu!$I$59,M186=phu!$I$60,M186=phu!$I$61,M186=phu!$I$62),"Cam Lợi",""),IF(OR(M186=phu!$I$63,M186=phu!$I$64,M186=phu!$I$65,M186=phu!$I$66,M186=phu!$I$67,M186=phu!$I$68,M186=phu!$I$69,M186=phu!$I$70,M186=phu!$I$71),"Ba Ngòi",""),IF(OR(M186=phu!$I$72,M186=phu!$I$73,M186=phu!$I$74,M186=phu!$I$75,M186=phu!$I$76,M186=phu!$I$77,M186=phu!$I$78),"Cam Phước Đông",""),IF(OR(M186=phu!$I$79,M186=phu!$I$80,M186=phu!$I$81,M186=phu!$I$82,M186=phu!$I$83,M186=phu!$I$84),"Cam Thịnh Đông",""),IF(OR(M186=phu!$I$85,M186=phu!$I$86,M186=phu!$I$87,M186=phu!$I$88),"Cam Thịnh Tây",""),IF(OR(M186=phu!$I$89,M186=phu!$I$90),"Cam Lập",""),IF(OR(M186=phu!$I$91,M186=phu!$I$92,M186=phu!$I$93),"Cam Bình",""),IF(OR(M186=phu!$I$94,M186=phu!$I$95,M186=phu!$I$96,M186=phu!$I$97,M186=phu!$I$98,M186=phu!$I$99,M186=phu!$I$100),"Huyện khác",""),IF(OR(M186=phu!$I$101,M186=phu!$I$102),"Tỉnh khác",""))</f>
        <v/>
      </c>
      <c r="O186" s="814" t="str">
        <f t="shared" si="13"/>
        <v/>
      </c>
      <c r="P186" s="254"/>
      <c r="Q186" s="254"/>
      <c r="R186" s="254"/>
      <c r="S186" s="254"/>
      <c r="T186" s="254"/>
      <c r="U186" s="254"/>
      <c r="V186" s="254"/>
      <c r="W186" s="254"/>
      <c r="Y186" s="246" t="str">
        <f t="shared" si="14"/>
        <v/>
      </c>
      <c r="Z186" s="247" t="str">
        <f t="shared" si="12"/>
        <v/>
      </c>
      <c r="AA186" s="246" t="str">
        <f t="shared" si="15"/>
        <v/>
      </c>
    </row>
    <row r="187" spans="1:27" ht="18" customHeight="1" x14ac:dyDescent="0.25">
      <c r="A187" s="248" t="str">
        <f t="shared" si="16"/>
        <v/>
      </c>
      <c r="B187" s="249" t="str">
        <f t="shared" si="17"/>
        <v/>
      </c>
      <c r="C187" s="250"/>
      <c r="D187" s="251"/>
      <c r="E187" s="241"/>
      <c r="F187" s="252"/>
      <c r="G187" s="252"/>
      <c r="H187" s="253"/>
      <c r="I187" s="250"/>
      <c r="J187" s="250"/>
      <c r="K187" s="270"/>
      <c r="L187" s="250"/>
      <c r="M187" s="250"/>
      <c r="N187" s="553" t="str">
        <f>CONCATENATE(IF(OR(M187=phu!$I$1,M187=phu!$I$2,M187=phu!$I$3),"Cam Thành Nam",""),IF(OR(M187=phu!$I$4,M187=phu!$I$5,M187=phu!$I$6,M187=phu!$I$7,M187=phu!$I$8,M187=phu!$I$9,M187=phu!$I$10,M187=phu!$I$11,M187=phu!$I$12,M187=phu!$I$13,M187=phu!$I$14),"Cam Nghĩa",""),IF(OR(M187=phu!$I$15,M187=phu!$I$16,M187=phu!$I$17,M187=phu!$I$18,M187=phu!$I$19,M187=phu!$I$20,M187=phu!$I$21),"Cam Phúc Bắc",""),IF(OR(M187=phu!$I$22,M187=phu!$I$23,M187=phu!$I$24,M187=phu!$I$25),"Cam Phúc Nam",""),IF(OR(M187=phu!$I$26,M187=phu!$I$27,M187=phu!$I$28,M187=phu!$I$29,M187=phu!$I$30,M187=phu!$I$31),"Cam Phú",""),IF(OR(M187=phu!$I$32,M187=phu!$I$33,M187=phu!$I$34,M187=phu!$I$35,M187=phu!$I$36,M187=phu!$I$37),"Cam Lộc",""),IF(OR(M187=phu!$I$38,M187=phu!$I$39,M187=phu!$I$40,M187=phu!$I$41,M187=phu!$I$42,M187=phu!$I$43,M187=phu!$I$44),"Cam Thuận",""),IF(OR(M187=phu!$I$45,M187=phu!$I$46,M187=phu!$I$47,M187=phu!$I$48,M187=phu!$I$49,M187=phu!$I$50,M187=phu!$I$51,M187=phu!$I$52,M187=phu!$I$53),"Cam Linh",""),IF(OR(M187=phu!$I$54,M187=phu!$I$55,M187=phu!$I$56,M187=phu!$I$57,M187=phu!$I$58,M187=phu!$I$59,M187=phu!$I$60,M187=phu!$I$61,M187=phu!$I$62),"Cam Lợi",""),IF(OR(M187=phu!$I$63,M187=phu!$I$64,M187=phu!$I$65,M187=phu!$I$66,M187=phu!$I$67,M187=phu!$I$68,M187=phu!$I$69,M187=phu!$I$70,M187=phu!$I$71),"Ba Ngòi",""),IF(OR(M187=phu!$I$72,M187=phu!$I$73,M187=phu!$I$74,M187=phu!$I$75,M187=phu!$I$76,M187=phu!$I$77,M187=phu!$I$78),"Cam Phước Đông",""),IF(OR(M187=phu!$I$79,M187=phu!$I$80,M187=phu!$I$81,M187=phu!$I$82,M187=phu!$I$83,M187=phu!$I$84),"Cam Thịnh Đông",""),IF(OR(M187=phu!$I$85,M187=phu!$I$86,M187=phu!$I$87,M187=phu!$I$88),"Cam Thịnh Tây",""),IF(OR(M187=phu!$I$89,M187=phu!$I$90),"Cam Lập",""),IF(OR(M187=phu!$I$91,M187=phu!$I$92,M187=phu!$I$93),"Cam Bình",""),IF(OR(M187=phu!$I$94,M187=phu!$I$95,M187=phu!$I$96,M187=phu!$I$97,M187=phu!$I$98,M187=phu!$I$99,M187=phu!$I$100),"Huyện khác",""),IF(OR(M187=phu!$I$101,M187=phu!$I$102),"Tỉnh khác",""))</f>
        <v/>
      </c>
      <c r="O187" s="814" t="str">
        <f t="shared" si="13"/>
        <v/>
      </c>
      <c r="P187" s="254"/>
      <c r="Q187" s="254"/>
      <c r="R187" s="254"/>
      <c r="S187" s="254"/>
      <c r="T187" s="254"/>
      <c r="U187" s="254"/>
      <c r="V187" s="254"/>
      <c r="W187" s="254"/>
      <c r="Y187" s="246" t="str">
        <f t="shared" si="14"/>
        <v/>
      </c>
      <c r="Z187" s="247" t="str">
        <f t="shared" si="12"/>
        <v/>
      </c>
      <c r="AA187" s="246" t="str">
        <f t="shared" si="15"/>
        <v/>
      </c>
    </row>
    <row r="188" spans="1:27" ht="18" customHeight="1" x14ac:dyDescent="0.25">
      <c r="A188" s="248" t="str">
        <f t="shared" si="16"/>
        <v/>
      </c>
      <c r="B188" s="249" t="str">
        <f t="shared" si="17"/>
        <v/>
      </c>
      <c r="C188" s="250"/>
      <c r="D188" s="251"/>
      <c r="E188" s="241"/>
      <c r="F188" s="252"/>
      <c r="G188" s="252"/>
      <c r="H188" s="253"/>
      <c r="I188" s="250"/>
      <c r="J188" s="250"/>
      <c r="K188" s="270"/>
      <c r="L188" s="250"/>
      <c r="M188" s="250"/>
      <c r="N188" s="553" t="str">
        <f>CONCATENATE(IF(OR(M188=phu!$I$1,M188=phu!$I$2,M188=phu!$I$3),"Cam Thành Nam",""),IF(OR(M188=phu!$I$4,M188=phu!$I$5,M188=phu!$I$6,M188=phu!$I$7,M188=phu!$I$8,M188=phu!$I$9,M188=phu!$I$10,M188=phu!$I$11,M188=phu!$I$12,M188=phu!$I$13,M188=phu!$I$14),"Cam Nghĩa",""),IF(OR(M188=phu!$I$15,M188=phu!$I$16,M188=phu!$I$17,M188=phu!$I$18,M188=phu!$I$19,M188=phu!$I$20,M188=phu!$I$21),"Cam Phúc Bắc",""),IF(OR(M188=phu!$I$22,M188=phu!$I$23,M188=phu!$I$24,M188=phu!$I$25),"Cam Phúc Nam",""),IF(OR(M188=phu!$I$26,M188=phu!$I$27,M188=phu!$I$28,M188=phu!$I$29,M188=phu!$I$30,M188=phu!$I$31),"Cam Phú",""),IF(OR(M188=phu!$I$32,M188=phu!$I$33,M188=phu!$I$34,M188=phu!$I$35,M188=phu!$I$36,M188=phu!$I$37),"Cam Lộc",""),IF(OR(M188=phu!$I$38,M188=phu!$I$39,M188=phu!$I$40,M188=phu!$I$41,M188=phu!$I$42,M188=phu!$I$43,M188=phu!$I$44),"Cam Thuận",""),IF(OR(M188=phu!$I$45,M188=phu!$I$46,M188=phu!$I$47,M188=phu!$I$48,M188=phu!$I$49,M188=phu!$I$50,M188=phu!$I$51,M188=phu!$I$52,M188=phu!$I$53),"Cam Linh",""),IF(OR(M188=phu!$I$54,M188=phu!$I$55,M188=phu!$I$56,M188=phu!$I$57,M188=phu!$I$58,M188=phu!$I$59,M188=phu!$I$60,M188=phu!$I$61,M188=phu!$I$62),"Cam Lợi",""),IF(OR(M188=phu!$I$63,M188=phu!$I$64,M188=phu!$I$65,M188=phu!$I$66,M188=phu!$I$67,M188=phu!$I$68,M188=phu!$I$69,M188=phu!$I$70,M188=phu!$I$71),"Ba Ngòi",""),IF(OR(M188=phu!$I$72,M188=phu!$I$73,M188=phu!$I$74,M188=phu!$I$75,M188=phu!$I$76,M188=phu!$I$77,M188=phu!$I$78),"Cam Phước Đông",""),IF(OR(M188=phu!$I$79,M188=phu!$I$80,M188=phu!$I$81,M188=phu!$I$82,M188=phu!$I$83,M188=phu!$I$84),"Cam Thịnh Đông",""),IF(OR(M188=phu!$I$85,M188=phu!$I$86,M188=phu!$I$87,M188=phu!$I$88),"Cam Thịnh Tây",""),IF(OR(M188=phu!$I$89,M188=phu!$I$90),"Cam Lập",""),IF(OR(M188=phu!$I$91,M188=phu!$I$92,M188=phu!$I$93),"Cam Bình",""),IF(OR(M188=phu!$I$94,M188=phu!$I$95,M188=phu!$I$96,M188=phu!$I$97,M188=phu!$I$98,M188=phu!$I$99,M188=phu!$I$100),"Huyện khác",""),IF(OR(M188=phu!$I$101,M188=phu!$I$102),"Tỉnh khác",""))</f>
        <v/>
      </c>
      <c r="O188" s="814" t="str">
        <f t="shared" si="13"/>
        <v/>
      </c>
      <c r="P188" s="254"/>
      <c r="Q188" s="254"/>
      <c r="R188" s="254"/>
      <c r="S188" s="254"/>
      <c r="T188" s="254"/>
      <c r="U188" s="254"/>
      <c r="V188" s="254"/>
      <c r="W188" s="254"/>
      <c r="Y188" s="246" t="str">
        <f t="shared" si="14"/>
        <v/>
      </c>
      <c r="Z188" s="247" t="str">
        <f t="shared" si="12"/>
        <v/>
      </c>
      <c r="AA188" s="246" t="str">
        <f t="shared" si="15"/>
        <v/>
      </c>
    </row>
    <row r="189" spans="1:27" ht="18" customHeight="1" x14ac:dyDescent="0.25">
      <c r="A189" s="248" t="str">
        <f t="shared" si="16"/>
        <v/>
      </c>
      <c r="B189" s="249" t="str">
        <f t="shared" si="17"/>
        <v/>
      </c>
      <c r="C189" s="250"/>
      <c r="D189" s="251"/>
      <c r="E189" s="241"/>
      <c r="F189" s="252"/>
      <c r="G189" s="252"/>
      <c r="H189" s="253"/>
      <c r="I189" s="250"/>
      <c r="J189" s="250"/>
      <c r="K189" s="270"/>
      <c r="L189" s="250"/>
      <c r="M189" s="250"/>
      <c r="N189" s="553" t="str">
        <f>CONCATENATE(IF(OR(M189=phu!$I$1,M189=phu!$I$2,M189=phu!$I$3),"Cam Thành Nam",""),IF(OR(M189=phu!$I$4,M189=phu!$I$5,M189=phu!$I$6,M189=phu!$I$7,M189=phu!$I$8,M189=phu!$I$9,M189=phu!$I$10,M189=phu!$I$11,M189=phu!$I$12,M189=phu!$I$13,M189=phu!$I$14),"Cam Nghĩa",""),IF(OR(M189=phu!$I$15,M189=phu!$I$16,M189=phu!$I$17,M189=phu!$I$18,M189=phu!$I$19,M189=phu!$I$20,M189=phu!$I$21),"Cam Phúc Bắc",""),IF(OR(M189=phu!$I$22,M189=phu!$I$23,M189=phu!$I$24,M189=phu!$I$25),"Cam Phúc Nam",""),IF(OR(M189=phu!$I$26,M189=phu!$I$27,M189=phu!$I$28,M189=phu!$I$29,M189=phu!$I$30,M189=phu!$I$31),"Cam Phú",""),IF(OR(M189=phu!$I$32,M189=phu!$I$33,M189=phu!$I$34,M189=phu!$I$35,M189=phu!$I$36,M189=phu!$I$37),"Cam Lộc",""),IF(OR(M189=phu!$I$38,M189=phu!$I$39,M189=phu!$I$40,M189=phu!$I$41,M189=phu!$I$42,M189=phu!$I$43,M189=phu!$I$44),"Cam Thuận",""),IF(OR(M189=phu!$I$45,M189=phu!$I$46,M189=phu!$I$47,M189=phu!$I$48,M189=phu!$I$49,M189=phu!$I$50,M189=phu!$I$51,M189=phu!$I$52,M189=phu!$I$53),"Cam Linh",""),IF(OR(M189=phu!$I$54,M189=phu!$I$55,M189=phu!$I$56,M189=phu!$I$57,M189=phu!$I$58,M189=phu!$I$59,M189=phu!$I$60,M189=phu!$I$61,M189=phu!$I$62),"Cam Lợi",""),IF(OR(M189=phu!$I$63,M189=phu!$I$64,M189=phu!$I$65,M189=phu!$I$66,M189=phu!$I$67,M189=phu!$I$68,M189=phu!$I$69,M189=phu!$I$70,M189=phu!$I$71),"Ba Ngòi",""),IF(OR(M189=phu!$I$72,M189=phu!$I$73,M189=phu!$I$74,M189=phu!$I$75,M189=phu!$I$76,M189=phu!$I$77,M189=phu!$I$78),"Cam Phước Đông",""),IF(OR(M189=phu!$I$79,M189=phu!$I$80,M189=phu!$I$81,M189=phu!$I$82,M189=phu!$I$83,M189=phu!$I$84),"Cam Thịnh Đông",""),IF(OR(M189=phu!$I$85,M189=phu!$I$86,M189=phu!$I$87,M189=phu!$I$88),"Cam Thịnh Tây",""),IF(OR(M189=phu!$I$89,M189=phu!$I$90),"Cam Lập",""),IF(OR(M189=phu!$I$91,M189=phu!$I$92,M189=phu!$I$93),"Cam Bình",""),IF(OR(M189=phu!$I$94,M189=phu!$I$95,M189=phu!$I$96,M189=phu!$I$97,M189=phu!$I$98,M189=phu!$I$99,M189=phu!$I$100),"Huyện khác",""),IF(OR(M189=phu!$I$101,M189=phu!$I$102),"Tỉnh khác",""))</f>
        <v/>
      </c>
      <c r="O189" s="814" t="str">
        <f t="shared" si="13"/>
        <v/>
      </c>
      <c r="P189" s="254"/>
      <c r="Q189" s="254"/>
      <c r="R189" s="254"/>
      <c r="S189" s="254"/>
      <c r="T189" s="254"/>
      <c r="U189" s="254"/>
      <c r="V189" s="254"/>
      <c r="W189" s="254"/>
      <c r="Y189" s="246" t="str">
        <f t="shared" si="14"/>
        <v/>
      </c>
      <c r="Z189" s="247" t="str">
        <f t="shared" si="12"/>
        <v/>
      </c>
      <c r="AA189" s="246" t="str">
        <f t="shared" si="15"/>
        <v/>
      </c>
    </row>
    <row r="190" spans="1:27" ht="18" customHeight="1" x14ac:dyDescent="0.25">
      <c r="A190" s="248" t="str">
        <f t="shared" si="16"/>
        <v/>
      </c>
      <c r="B190" s="249" t="str">
        <f t="shared" si="17"/>
        <v/>
      </c>
      <c r="C190" s="250"/>
      <c r="D190" s="251"/>
      <c r="E190" s="241"/>
      <c r="F190" s="252"/>
      <c r="G190" s="252"/>
      <c r="H190" s="253"/>
      <c r="I190" s="250"/>
      <c r="J190" s="250"/>
      <c r="K190" s="270"/>
      <c r="L190" s="250"/>
      <c r="M190" s="250"/>
      <c r="N190" s="553" t="str">
        <f>CONCATENATE(IF(OR(M190=phu!$I$1,M190=phu!$I$2,M190=phu!$I$3),"Cam Thành Nam",""),IF(OR(M190=phu!$I$4,M190=phu!$I$5,M190=phu!$I$6,M190=phu!$I$7,M190=phu!$I$8,M190=phu!$I$9,M190=phu!$I$10,M190=phu!$I$11,M190=phu!$I$12,M190=phu!$I$13,M190=phu!$I$14),"Cam Nghĩa",""),IF(OR(M190=phu!$I$15,M190=phu!$I$16,M190=phu!$I$17,M190=phu!$I$18,M190=phu!$I$19,M190=phu!$I$20,M190=phu!$I$21),"Cam Phúc Bắc",""),IF(OR(M190=phu!$I$22,M190=phu!$I$23,M190=phu!$I$24,M190=phu!$I$25),"Cam Phúc Nam",""),IF(OR(M190=phu!$I$26,M190=phu!$I$27,M190=phu!$I$28,M190=phu!$I$29,M190=phu!$I$30,M190=phu!$I$31),"Cam Phú",""),IF(OR(M190=phu!$I$32,M190=phu!$I$33,M190=phu!$I$34,M190=phu!$I$35,M190=phu!$I$36,M190=phu!$I$37),"Cam Lộc",""),IF(OR(M190=phu!$I$38,M190=phu!$I$39,M190=phu!$I$40,M190=phu!$I$41,M190=phu!$I$42,M190=phu!$I$43,M190=phu!$I$44),"Cam Thuận",""),IF(OR(M190=phu!$I$45,M190=phu!$I$46,M190=phu!$I$47,M190=phu!$I$48,M190=phu!$I$49,M190=phu!$I$50,M190=phu!$I$51,M190=phu!$I$52,M190=phu!$I$53),"Cam Linh",""),IF(OR(M190=phu!$I$54,M190=phu!$I$55,M190=phu!$I$56,M190=phu!$I$57,M190=phu!$I$58,M190=phu!$I$59,M190=phu!$I$60,M190=phu!$I$61,M190=phu!$I$62),"Cam Lợi",""),IF(OR(M190=phu!$I$63,M190=phu!$I$64,M190=phu!$I$65,M190=phu!$I$66,M190=phu!$I$67,M190=phu!$I$68,M190=phu!$I$69,M190=phu!$I$70,M190=phu!$I$71),"Ba Ngòi",""),IF(OR(M190=phu!$I$72,M190=phu!$I$73,M190=phu!$I$74,M190=phu!$I$75,M190=phu!$I$76,M190=phu!$I$77,M190=phu!$I$78),"Cam Phước Đông",""),IF(OR(M190=phu!$I$79,M190=phu!$I$80,M190=phu!$I$81,M190=phu!$I$82,M190=phu!$I$83,M190=phu!$I$84),"Cam Thịnh Đông",""),IF(OR(M190=phu!$I$85,M190=phu!$I$86,M190=phu!$I$87,M190=phu!$I$88),"Cam Thịnh Tây",""),IF(OR(M190=phu!$I$89,M190=phu!$I$90),"Cam Lập",""),IF(OR(M190=phu!$I$91,M190=phu!$I$92,M190=phu!$I$93),"Cam Bình",""),IF(OR(M190=phu!$I$94,M190=phu!$I$95,M190=phu!$I$96,M190=phu!$I$97,M190=phu!$I$98,M190=phu!$I$99,M190=phu!$I$100),"Huyện khác",""),IF(OR(M190=phu!$I$101,M190=phu!$I$102),"Tỉnh khác",""))</f>
        <v/>
      </c>
      <c r="O190" s="814" t="str">
        <f t="shared" si="13"/>
        <v/>
      </c>
      <c r="P190" s="254"/>
      <c r="Q190" s="254"/>
      <c r="R190" s="254"/>
      <c r="S190" s="254"/>
      <c r="T190" s="254"/>
      <c r="U190" s="254"/>
      <c r="V190" s="254"/>
      <c r="W190" s="254"/>
      <c r="Y190" s="246" t="str">
        <f t="shared" si="14"/>
        <v/>
      </c>
      <c r="Z190" s="247" t="str">
        <f t="shared" si="12"/>
        <v/>
      </c>
      <c r="AA190" s="246" t="str">
        <f t="shared" si="15"/>
        <v/>
      </c>
    </row>
    <row r="191" spans="1:27" ht="18" customHeight="1" x14ac:dyDescent="0.25">
      <c r="A191" s="248" t="str">
        <f t="shared" si="16"/>
        <v/>
      </c>
      <c r="B191" s="249" t="str">
        <f t="shared" si="17"/>
        <v/>
      </c>
      <c r="C191" s="250"/>
      <c r="D191" s="251"/>
      <c r="E191" s="241"/>
      <c r="F191" s="252"/>
      <c r="G191" s="252"/>
      <c r="H191" s="253"/>
      <c r="I191" s="250"/>
      <c r="J191" s="250"/>
      <c r="K191" s="270"/>
      <c r="L191" s="250"/>
      <c r="M191" s="250"/>
      <c r="N191" s="553" t="str">
        <f>CONCATENATE(IF(OR(M191=phu!$I$1,M191=phu!$I$2,M191=phu!$I$3),"Cam Thành Nam",""),IF(OR(M191=phu!$I$4,M191=phu!$I$5,M191=phu!$I$6,M191=phu!$I$7,M191=phu!$I$8,M191=phu!$I$9,M191=phu!$I$10,M191=phu!$I$11,M191=phu!$I$12,M191=phu!$I$13,M191=phu!$I$14),"Cam Nghĩa",""),IF(OR(M191=phu!$I$15,M191=phu!$I$16,M191=phu!$I$17,M191=phu!$I$18,M191=phu!$I$19,M191=phu!$I$20,M191=phu!$I$21),"Cam Phúc Bắc",""),IF(OR(M191=phu!$I$22,M191=phu!$I$23,M191=phu!$I$24,M191=phu!$I$25),"Cam Phúc Nam",""),IF(OR(M191=phu!$I$26,M191=phu!$I$27,M191=phu!$I$28,M191=phu!$I$29,M191=phu!$I$30,M191=phu!$I$31),"Cam Phú",""),IF(OR(M191=phu!$I$32,M191=phu!$I$33,M191=phu!$I$34,M191=phu!$I$35,M191=phu!$I$36,M191=phu!$I$37),"Cam Lộc",""),IF(OR(M191=phu!$I$38,M191=phu!$I$39,M191=phu!$I$40,M191=phu!$I$41,M191=phu!$I$42,M191=phu!$I$43,M191=phu!$I$44),"Cam Thuận",""),IF(OR(M191=phu!$I$45,M191=phu!$I$46,M191=phu!$I$47,M191=phu!$I$48,M191=phu!$I$49,M191=phu!$I$50,M191=phu!$I$51,M191=phu!$I$52,M191=phu!$I$53),"Cam Linh",""),IF(OR(M191=phu!$I$54,M191=phu!$I$55,M191=phu!$I$56,M191=phu!$I$57,M191=phu!$I$58,M191=phu!$I$59,M191=phu!$I$60,M191=phu!$I$61,M191=phu!$I$62),"Cam Lợi",""),IF(OR(M191=phu!$I$63,M191=phu!$I$64,M191=phu!$I$65,M191=phu!$I$66,M191=phu!$I$67,M191=phu!$I$68,M191=phu!$I$69,M191=phu!$I$70,M191=phu!$I$71),"Ba Ngòi",""),IF(OR(M191=phu!$I$72,M191=phu!$I$73,M191=phu!$I$74,M191=phu!$I$75,M191=phu!$I$76,M191=phu!$I$77,M191=phu!$I$78),"Cam Phước Đông",""),IF(OR(M191=phu!$I$79,M191=phu!$I$80,M191=phu!$I$81,M191=phu!$I$82,M191=phu!$I$83,M191=phu!$I$84),"Cam Thịnh Đông",""),IF(OR(M191=phu!$I$85,M191=phu!$I$86,M191=phu!$I$87,M191=phu!$I$88),"Cam Thịnh Tây",""),IF(OR(M191=phu!$I$89,M191=phu!$I$90),"Cam Lập",""),IF(OR(M191=phu!$I$91,M191=phu!$I$92,M191=phu!$I$93),"Cam Bình",""),IF(OR(M191=phu!$I$94,M191=phu!$I$95,M191=phu!$I$96,M191=phu!$I$97,M191=phu!$I$98,M191=phu!$I$99,M191=phu!$I$100),"Huyện khác",""),IF(OR(M191=phu!$I$101,M191=phu!$I$102),"Tỉnh khác",""))</f>
        <v/>
      </c>
      <c r="O191" s="814" t="str">
        <f t="shared" si="13"/>
        <v/>
      </c>
      <c r="P191" s="254"/>
      <c r="Q191" s="254"/>
      <c r="R191" s="254"/>
      <c r="S191" s="254"/>
      <c r="T191" s="254"/>
      <c r="U191" s="254"/>
      <c r="V191" s="254"/>
      <c r="W191" s="254"/>
      <c r="Y191" s="246" t="str">
        <f t="shared" si="14"/>
        <v/>
      </c>
      <c r="Z191" s="247" t="str">
        <f t="shared" si="12"/>
        <v/>
      </c>
      <c r="AA191" s="246" t="str">
        <f t="shared" si="15"/>
        <v/>
      </c>
    </row>
    <row r="192" spans="1:27" ht="18" customHeight="1" x14ac:dyDescent="0.25">
      <c r="A192" s="248" t="str">
        <f t="shared" si="16"/>
        <v/>
      </c>
      <c r="B192" s="249" t="str">
        <f t="shared" si="17"/>
        <v/>
      </c>
      <c r="C192" s="250"/>
      <c r="D192" s="251"/>
      <c r="E192" s="241"/>
      <c r="F192" s="252"/>
      <c r="G192" s="252"/>
      <c r="H192" s="253"/>
      <c r="I192" s="250"/>
      <c r="J192" s="250"/>
      <c r="K192" s="270"/>
      <c r="L192" s="250"/>
      <c r="M192" s="250"/>
      <c r="N192" s="553" t="str">
        <f>CONCATENATE(IF(OR(M192=phu!$I$1,M192=phu!$I$2,M192=phu!$I$3),"Cam Thành Nam",""),IF(OR(M192=phu!$I$4,M192=phu!$I$5,M192=phu!$I$6,M192=phu!$I$7,M192=phu!$I$8,M192=phu!$I$9,M192=phu!$I$10,M192=phu!$I$11,M192=phu!$I$12,M192=phu!$I$13,M192=phu!$I$14),"Cam Nghĩa",""),IF(OR(M192=phu!$I$15,M192=phu!$I$16,M192=phu!$I$17,M192=phu!$I$18,M192=phu!$I$19,M192=phu!$I$20,M192=phu!$I$21),"Cam Phúc Bắc",""),IF(OR(M192=phu!$I$22,M192=phu!$I$23,M192=phu!$I$24,M192=phu!$I$25),"Cam Phúc Nam",""),IF(OR(M192=phu!$I$26,M192=phu!$I$27,M192=phu!$I$28,M192=phu!$I$29,M192=phu!$I$30,M192=phu!$I$31),"Cam Phú",""),IF(OR(M192=phu!$I$32,M192=phu!$I$33,M192=phu!$I$34,M192=phu!$I$35,M192=phu!$I$36,M192=phu!$I$37),"Cam Lộc",""),IF(OR(M192=phu!$I$38,M192=phu!$I$39,M192=phu!$I$40,M192=phu!$I$41,M192=phu!$I$42,M192=phu!$I$43,M192=phu!$I$44),"Cam Thuận",""),IF(OR(M192=phu!$I$45,M192=phu!$I$46,M192=phu!$I$47,M192=phu!$I$48,M192=phu!$I$49,M192=phu!$I$50,M192=phu!$I$51,M192=phu!$I$52,M192=phu!$I$53),"Cam Linh",""),IF(OR(M192=phu!$I$54,M192=phu!$I$55,M192=phu!$I$56,M192=phu!$I$57,M192=phu!$I$58,M192=phu!$I$59,M192=phu!$I$60,M192=phu!$I$61,M192=phu!$I$62),"Cam Lợi",""),IF(OR(M192=phu!$I$63,M192=phu!$I$64,M192=phu!$I$65,M192=phu!$I$66,M192=phu!$I$67,M192=phu!$I$68,M192=phu!$I$69,M192=phu!$I$70,M192=phu!$I$71),"Ba Ngòi",""),IF(OR(M192=phu!$I$72,M192=phu!$I$73,M192=phu!$I$74,M192=phu!$I$75,M192=phu!$I$76,M192=phu!$I$77,M192=phu!$I$78),"Cam Phước Đông",""),IF(OR(M192=phu!$I$79,M192=phu!$I$80,M192=phu!$I$81,M192=phu!$I$82,M192=phu!$I$83,M192=phu!$I$84),"Cam Thịnh Đông",""),IF(OR(M192=phu!$I$85,M192=phu!$I$86,M192=phu!$I$87,M192=phu!$I$88),"Cam Thịnh Tây",""),IF(OR(M192=phu!$I$89,M192=phu!$I$90),"Cam Lập",""),IF(OR(M192=phu!$I$91,M192=phu!$I$92,M192=phu!$I$93),"Cam Bình",""),IF(OR(M192=phu!$I$94,M192=phu!$I$95,M192=phu!$I$96,M192=phu!$I$97,M192=phu!$I$98,M192=phu!$I$99,M192=phu!$I$100),"Huyện khác",""),IF(OR(M192=phu!$I$101,M192=phu!$I$102),"Tỉnh khác",""))</f>
        <v/>
      </c>
      <c r="O192" s="814" t="str">
        <f t="shared" si="13"/>
        <v/>
      </c>
      <c r="P192" s="254"/>
      <c r="Q192" s="254"/>
      <c r="R192" s="254"/>
      <c r="S192" s="254"/>
      <c r="T192" s="254"/>
      <c r="U192" s="254"/>
      <c r="V192" s="254"/>
      <c r="W192" s="254"/>
      <c r="Y192" s="246" t="str">
        <f t="shared" si="14"/>
        <v/>
      </c>
      <c r="Z192" s="247" t="str">
        <f t="shared" si="12"/>
        <v/>
      </c>
      <c r="AA192" s="246" t="str">
        <f t="shared" si="15"/>
        <v/>
      </c>
    </row>
    <row r="193" spans="1:27" ht="18" customHeight="1" x14ac:dyDescent="0.25">
      <c r="A193" s="248" t="str">
        <f t="shared" si="16"/>
        <v/>
      </c>
      <c r="B193" s="249" t="str">
        <f t="shared" si="17"/>
        <v/>
      </c>
      <c r="C193" s="250"/>
      <c r="D193" s="251"/>
      <c r="E193" s="241"/>
      <c r="F193" s="252"/>
      <c r="G193" s="252"/>
      <c r="H193" s="253"/>
      <c r="I193" s="250"/>
      <c r="J193" s="250"/>
      <c r="K193" s="270"/>
      <c r="L193" s="250"/>
      <c r="M193" s="250"/>
      <c r="N193" s="553" t="str">
        <f>CONCATENATE(IF(OR(M193=phu!$I$1,M193=phu!$I$2,M193=phu!$I$3),"Cam Thành Nam",""),IF(OR(M193=phu!$I$4,M193=phu!$I$5,M193=phu!$I$6,M193=phu!$I$7,M193=phu!$I$8,M193=phu!$I$9,M193=phu!$I$10,M193=phu!$I$11,M193=phu!$I$12,M193=phu!$I$13,M193=phu!$I$14),"Cam Nghĩa",""),IF(OR(M193=phu!$I$15,M193=phu!$I$16,M193=phu!$I$17,M193=phu!$I$18,M193=phu!$I$19,M193=phu!$I$20,M193=phu!$I$21),"Cam Phúc Bắc",""),IF(OR(M193=phu!$I$22,M193=phu!$I$23,M193=phu!$I$24,M193=phu!$I$25),"Cam Phúc Nam",""),IF(OR(M193=phu!$I$26,M193=phu!$I$27,M193=phu!$I$28,M193=phu!$I$29,M193=phu!$I$30,M193=phu!$I$31),"Cam Phú",""),IF(OR(M193=phu!$I$32,M193=phu!$I$33,M193=phu!$I$34,M193=phu!$I$35,M193=phu!$I$36,M193=phu!$I$37),"Cam Lộc",""),IF(OR(M193=phu!$I$38,M193=phu!$I$39,M193=phu!$I$40,M193=phu!$I$41,M193=phu!$I$42,M193=phu!$I$43,M193=phu!$I$44),"Cam Thuận",""),IF(OR(M193=phu!$I$45,M193=phu!$I$46,M193=phu!$I$47,M193=phu!$I$48,M193=phu!$I$49,M193=phu!$I$50,M193=phu!$I$51,M193=phu!$I$52,M193=phu!$I$53),"Cam Linh",""),IF(OR(M193=phu!$I$54,M193=phu!$I$55,M193=phu!$I$56,M193=phu!$I$57,M193=phu!$I$58,M193=phu!$I$59,M193=phu!$I$60,M193=phu!$I$61,M193=phu!$I$62),"Cam Lợi",""),IF(OR(M193=phu!$I$63,M193=phu!$I$64,M193=phu!$I$65,M193=phu!$I$66,M193=phu!$I$67,M193=phu!$I$68,M193=phu!$I$69,M193=phu!$I$70,M193=phu!$I$71),"Ba Ngòi",""),IF(OR(M193=phu!$I$72,M193=phu!$I$73,M193=phu!$I$74,M193=phu!$I$75,M193=phu!$I$76,M193=phu!$I$77,M193=phu!$I$78),"Cam Phước Đông",""),IF(OR(M193=phu!$I$79,M193=phu!$I$80,M193=phu!$I$81,M193=phu!$I$82,M193=phu!$I$83,M193=phu!$I$84),"Cam Thịnh Đông",""),IF(OR(M193=phu!$I$85,M193=phu!$I$86,M193=phu!$I$87,M193=phu!$I$88),"Cam Thịnh Tây",""),IF(OR(M193=phu!$I$89,M193=phu!$I$90),"Cam Lập",""),IF(OR(M193=phu!$I$91,M193=phu!$I$92,M193=phu!$I$93),"Cam Bình",""),IF(OR(M193=phu!$I$94,M193=phu!$I$95,M193=phu!$I$96,M193=phu!$I$97,M193=phu!$I$98,M193=phu!$I$99,M193=phu!$I$100),"Huyện khác",""),IF(OR(M193=phu!$I$101,M193=phu!$I$102),"Tỉnh khác",""))</f>
        <v/>
      </c>
      <c r="O193" s="814" t="str">
        <f t="shared" si="13"/>
        <v/>
      </c>
      <c r="P193" s="254"/>
      <c r="Q193" s="254"/>
      <c r="R193" s="254"/>
      <c r="S193" s="254"/>
      <c r="T193" s="254"/>
      <c r="U193" s="254"/>
      <c r="V193" s="254"/>
      <c r="W193" s="254"/>
      <c r="Y193" s="246" t="str">
        <f t="shared" si="14"/>
        <v/>
      </c>
      <c r="Z193" s="247" t="str">
        <f t="shared" si="12"/>
        <v/>
      </c>
      <c r="AA193" s="246" t="str">
        <f t="shared" si="15"/>
        <v/>
      </c>
    </row>
    <row r="194" spans="1:27" ht="18" customHeight="1" x14ac:dyDescent="0.25">
      <c r="A194" s="248" t="str">
        <f t="shared" si="16"/>
        <v/>
      </c>
      <c r="B194" s="249" t="str">
        <f t="shared" si="17"/>
        <v/>
      </c>
      <c r="C194" s="250"/>
      <c r="D194" s="251"/>
      <c r="E194" s="241"/>
      <c r="F194" s="252"/>
      <c r="G194" s="252"/>
      <c r="H194" s="253"/>
      <c r="I194" s="250"/>
      <c r="J194" s="250"/>
      <c r="K194" s="270"/>
      <c r="L194" s="250"/>
      <c r="M194" s="250"/>
      <c r="N194" s="553" t="str">
        <f>CONCATENATE(IF(OR(M194=phu!$I$1,M194=phu!$I$2,M194=phu!$I$3),"Cam Thành Nam",""),IF(OR(M194=phu!$I$4,M194=phu!$I$5,M194=phu!$I$6,M194=phu!$I$7,M194=phu!$I$8,M194=phu!$I$9,M194=phu!$I$10,M194=phu!$I$11,M194=phu!$I$12,M194=phu!$I$13,M194=phu!$I$14),"Cam Nghĩa",""),IF(OR(M194=phu!$I$15,M194=phu!$I$16,M194=phu!$I$17,M194=phu!$I$18,M194=phu!$I$19,M194=phu!$I$20,M194=phu!$I$21),"Cam Phúc Bắc",""),IF(OR(M194=phu!$I$22,M194=phu!$I$23,M194=phu!$I$24,M194=phu!$I$25),"Cam Phúc Nam",""),IF(OR(M194=phu!$I$26,M194=phu!$I$27,M194=phu!$I$28,M194=phu!$I$29,M194=phu!$I$30,M194=phu!$I$31),"Cam Phú",""),IF(OR(M194=phu!$I$32,M194=phu!$I$33,M194=phu!$I$34,M194=phu!$I$35,M194=phu!$I$36,M194=phu!$I$37),"Cam Lộc",""),IF(OR(M194=phu!$I$38,M194=phu!$I$39,M194=phu!$I$40,M194=phu!$I$41,M194=phu!$I$42,M194=phu!$I$43,M194=phu!$I$44),"Cam Thuận",""),IF(OR(M194=phu!$I$45,M194=phu!$I$46,M194=phu!$I$47,M194=phu!$I$48,M194=phu!$I$49,M194=phu!$I$50,M194=phu!$I$51,M194=phu!$I$52,M194=phu!$I$53),"Cam Linh",""),IF(OR(M194=phu!$I$54,M194=phu!$I$55,M194=phu!$I$56,M194=phu!$I$57,M194=phu!$I$58,M194=phu!$I$59,M194=phu!$I$60,M194=phu!$I$61,M194=phu!$I$62),"Cam Lợi",""),IF(OR(M194=phu!$I$63,M194=phu!$I$64,M194=phu!$I$65,M194=phu!$I$66,M194=phu!$I$67,M194=phu!$I$68,M194=phu!$I$69,M194=phu!$I$70,M194=phu!$I$71),"Ba Ngòi",""),IF(OR(M194=phu!$I$72,M194=phu!$I$73,M194=phu!$I$74,M194=phu!$I$75,M194=phu!$I$76,M194=phu!$I$77,M194=phu!$I$78),"Cam Phước Đông",""),IF(OR(M194=phu!$I$79,M194=phu!$I$80,M194=phu!$I$81,M194=phu!$I$82,M194=phu!$I$83,M194=phu!$I$84),"Cam Thịnh Đông",""),IF(OR(M194=phu!$I$85,M194=phu!$I$86,M194=phu!$I$87,M194=phu!$I$88),"Cam Thịnh Tây",""),IF(OR(M194=phu!$I$89,M194=phu!$I$90),"Cam Lập",""),IF(OR(M194=phu!$I$91,M194=phu!$I$92,M194=phu!$I$93),"Cam Bình",""),IF(OR(M194=phu!$I$94,M194=phu!$I$95,M194=phu!$I$96,M194=phu!$I$97,M194=phu!$I$98,M194=phu!$I$99,M194=phu!$I$100),"Huyện khác",""),IF(OR(M194=phu!$I$101,M194=phu!$I$102),"Tỉnh khác",""))</f>
        <v/>
      </c>
      <c r="O194" s="814" t="str">
        <f t="shared" si="13"/>
        <v/>
      </c>
      <c r="P194" s="254"/>
      <c r="Q194" s="254"/>
      <c r="R194" s="254"/>
      <c r="S194" s="254"/>
      <c r="T194" s="254"/>
      <c r="U194" s="254"/>
      <c r="V194" s="254"/>
      <c r="W194" s="254"/>
      <c r="Y194" s="246" t="str">
        <f t="shared" si="14"/>
        <v/>
      </c>
      <c r="Z194" s="247" t="str">
        <f t="shared" si="12"/>
        <v/>
      </c>
      <c r="AA194" s="246" t="str">
        <f t="shared" si="15"/>
        <v/>
      </c>
    </row>
    <row r="195" spans="1:27" ht="18" customHeight="1" x14ac:dyDescent="0.25">
      <c r="A195" s="248" t="str">
        <f t="shared" si="16"/>
        <v/>
      </c>
      <c r="B195" s="249" t="str">
        <f t="shared" si="17"/>
        <v/>
      </c>
      <c r="C195" s="250"/>
      <c r="D195" s="251"/>
      <c r="E195" s="241"/>
      <c r="F195" s="252"/>
      <c r="G195" s="252"/>
      <c r="H195" s="253"/>
      <c r="I195" s="250"/>
      <c r="J195" s="250"/>
      <c r="K195" s="270"/>
      <c r="L195" s="250"/>
      <c r="M195" s="250"/>
      <c r="N195" s="553" t="str">
        <f>CONCATENATE(IF(OR(M195=phu!$I$1,M195=phu!$I$2,M195=phu!$I$3),"Cam Thành Nam",""),IF(OR(M195=phu!$I$4,M195=phu!$I$5,M195=phu!$I$6,M195=phu!$I$7,M195=phu!$I$8,M195=phu!$I$9,M195=phu!$I$10,M195=phu!$I$11,M195=phu!$I$12,M195=phu!$I$13,M195=phu!$I$14),"Cam Nghĩa",""),IF(OR(M195=phu!$I$15,M195=phu!$I$16,M195=phu!$I$17,M195=phu!$I$18,M195=phu!$I$19,M195=phu!$I$20,M195=phu!$I$21),"Cam Phúc Bắc",""),IF(OR(M195=phu!$I$22,M195=phu!$I$23,M195=phu!$I$24,M195=phu!$I$25),"Cam Phúc Nam",""),IF(OR(M195=phu!$I$26,M195=phu!$I$27,M195=phu!$I$28,M195=phu!$I$29,M195=phu!$I$30,M195=phu!$I$31),"Cam Phú",""),IF(OR(M195=phu!$I$32,M195=phu!$I$33,M195=phu!$I$34,M195=phu!$I$35,M195=phu!$I$36,M195=phu!$I$37),"Cam Lộc",""),IF(OR(M195=phu!$I$38,M195=phu!$I$39,M195=phu!$I$40,M195=phu!$I$41,M195=phu!$I$42,M195=phu!$I$43,M195=phu!$I$44),"Cam Thuận",""),IF(OR(M195=phu!$I$45,M195=phu!$I$46,M195=phu!$I$47,M195=phu!$I$48,M195=phu!$I$49,M195=phu!$I$50,M195=phu!$I$51,M195=phu!$I$52,M195=phu!$I$53),"Cam Linh",""),IF(OR(M195=phu!$I$54,M195=phu!$I$55,M195=phu!$I$56,M195=phu!$I$57,M195=phu!$I$58,M195=phu!$I$59,M195=phu!$I$60,M195=phu!$I$61,M195=phu!$I$62),"Cam Lợi",""),IF(OR(M195=phu!$I$63,M195=phu!$I$64,M195=phu!$I$65,M195=phu!$I$66,M195=phu!$I$67,M195=phu!$I$68,M195=phu!$I$69,M195=phu!$I$70,M195=phu!$I$71),"Ba Ngòi",""),IF(OR(M195=phu!$I$72,M195=phu!$I$73,M195=phu!$I$74,M195=phu!$I$75,M195=phu!$I$76,M195=phu!$I$77,M195=phu!$I$78),"Cam Phước Đông",""),IF(OR(M195=phu!$I$79,M195=phu!$I$80,M195=phu!$I$81,M195=phu!$I$82,M195=phu!$I$83,M195=phu!$I$84),"Cam Thịnh Đông",""),IF(OR(M195=phu!$I$85,M195=phu!$I$86,M195=phu!$I$87,M195=phu!$I$88),"Cam Thịnh Tây",""),IF(OR(M195=phu!$I$89,M195=phu!$I$90),"Cam Lập",""),IF(OR(M195=phu!$I$91,M195=phu!$I$92,M195=phu!$I$93),"Cam Bình",""),IF(OR(M195=phu!$I$94,M195=phu!$I$95,M195=phu!$I$96,M195=phu!$I$97,M195=phu!$I$98,M195=phu!$I$99,M195=phu!$I$100),"Huyện khác",""),IF(OR(M195=phu!$I$101,M195=phu!$I$102),"Tỉnh khác",""))</f>
        <v/>
      </c>
      <c r="O195" s="814" t="str">
        <f t="shared" si="13"/>
        <v/>
      </c>
      <c r="P195" s="254"/>
      <c r="Q195" s="254"/>
      <c r="R195" s="254"/>
      <c r="S195" s="254"/>
      <c r="T195" s="254"/>
      <c r="U195" s="254"/>
      <c r="V195" s="254"/>
      <c r="W195" s="254"/>
      <c r="Y195" s="246" t="str">
        <f t="shared" si="14"/>
        <v/>
      </c>
      <c r="Z195" s="247" t="str">
        <f t="shared" si="12"/>
        <v/>
      </c>
      <c r="AA195" s="246" t="str">
        <f t="shared" si="15"/>
        <v/>
      </c>
    </row>
    <row r="196" spans="1:27" ht="18" customHeight="1" x14ac:dyDescent="0.25">
      <c r="A196" s="248" t="str">
        <f t="shared" si="16"/>
        <v/>
      </c>
      <c r="B196" s="249" t="str">
        <f t="shared" si="17"/>
        <v/>
      </c>
      <c r="C196" s="250"/>
      <c r="D196" s="251"/>
      <c r="E196" s="241"/>
      <c r="F196" s="252"/>
      <c r="G196" s="252"/>
      <c r="H196" s="253"/>
      <c r="I196" s="250"/>
      <c r="J196" s="250"/>
      <c r="K196" s="270"/>
      <c r="L196" s="250"/>
      <c r="M196" s="250"/>
      <c r="N196" s="553" t="str">
        <f>CONCATENATE(IF(OR(M196=phu!$I$1,M196=phu!$I$2,M196=phu!$I$3),"Cam Thành Nam",""),IF(OR(M196=phu!$I$4,M196=phu!$I$5,M196=phu!$I$6,M196=phu!$I$7,M196=phu!$I$8,M196=phu!$I$9,M196=phu!$I$10,M196=phu!$I$11,M196=phu!$I$12,M196=phu!$I$13,M196=phu!$I$14),"Cam Nghĩa",""),IF(OR(M196=phu!$I$15,M196=phu!$I$16,M196=phu!$I$17,M196=phu!$I$18,M196=phu!$I$19,M196=phu!$I$20,M196=phu!$I$21),"Cam Phúc Bắc",""),IF(OR(M196=phu!$I$22,M196=phu!$I$23,M196=phu!$I$24,M196=phu!$I$25),"Cam Phúc Nam",""),IF(OR(M196=phu!$I$26,M196=phu!$I$27,M196=phu!$I$28,M196=phu!$I$29,M196=phu!$I$30,M196=phu!$I$31),"Cam Phú",""),IF(OR(M196=phu!$I$32,M196=phu!$I$33,M196=phu!$I$34,M196=phu!$I$35,M196=phu!$I$36,M196=phu!$I$37),"Cam Lộc",""),IF(OR(M196=phu!$I$38,M196=phu!$I$39,M196=phu!$I$40,M196=phu!$I$41,M196=phu!$I$42,M196=phu!$I$43,M196=phu!$I$44),"Cam Thuận",""),IF(OR(M196=phu!$I$45,M196=phu!$I$46,M196=phu!$I$47,M196=phu!$I$48,M196=phu!$I$49,M196=phu!$I$50,M196=phu!$I$51,M196=phu!$I$52,M196=phu!$I$53),"Cam Linh",""),IF(OR(M196=phu!$I$54,M196=phu!$I$55,M196=phu!$I$56,M196=phu!$I$57,M196=phu!$I$58,M196=phu!$I$59,M196=phu!$I$60,M196=phu!$I$61,M196=phu!$I$62),"Cam Lợi",""),IF(OR(M196=phu!$I$63,M196=phu!$I$64,M196=phu!$I$65,M196=phu!$I$66,M196=phu!$I$67,M196=phu!$I$68,M196=phu!$I$69,M196=phu!$I$70,M196=phu!$I$71),"Ba Ngòi",""),IF(OR(M196=phu!$I$72,M196=phu!$I$73,M196=phu!$I$74,M196=phu!$I$75,M196=phu!$I$76,M196=phu!$I$77,M196=phu!$I$78),"Cam Phước Đông",""),IF(OR(M196=phu!$I$79,M196=phu!$I$80,M196=phu!$I$81,M196=phu!$I$82,M196=phu!$I$83,M196=phu!$I$84),"Cam Thịnh Đông",""),IF(OR(M196=phu!$I$85,M196=phu!$I$86,M196=phu!$I$87,M196=phu!$I$88),"Cam Thịnh Tây",""),IF(OR(M196=phu!$I$89,M196=phu!$I$90),"Cam Lập",""),IF(OR(M196=phu!$I$91,M196=phu!$I$92,M196=phu!$I$93),"Cam Bình",""),IF(OR(M196=phu!$I$94,M196=phu!$I$95,M196=phu!$I$96,M196=phu!$I$97,M196=phu!$I$98,M196=phu!$I$99,M196=phu!$I$100),"Huyện khác",""),IF(OR(M196=phu!$I$101,M196=phu!$I$102),"Tỉnh khác",""))</f>
        <v/>
      </c>
      <c r="O196" s="814" t="str">
        <f t="shared" si="13"/>
        <v/>
      </c>
      <c r="P196" s="254"/>
      <c r="Q196" s="254"/>
      <c r="R196" s="254"/>
      <c r="S196" s="254"/>
      <c r="T196" s="254"/>
      <c r="U196" s="254"/>
      <c r="V196" s="254"/>
      <c r="W196" s="254"/>
      <c r="Y196" s="246" t="str">
        <f t="shared" si="14"/>
        <v/>
      </c>
      <c r="Z196" s="247" t="str">
        <f t="shared" si="12"/>
        <v/>
      </c>
      <c r="AA196" s="246" t="str">
        <f t="shared" si="15"/>
        <v/>
      </c>
    </row>
    <row r="197" spans="1:27" ht="18" customHeight="1" x14ac:dyDescent="0.25">
      <c r="A197" s="248" t="str">
        <f t="shared" si="16"/>
        <v/>
      </c>
      <c r="B197" s="249" t="str">
        <f t="shared" si="17"/>
        <v/>
      </c>
      <c r="C197" s="250"/>
      <c r="D197" s="251"/>
      <c r="E197" s="241"/>
      <c r="F197" s="252"/>
      <c r="G197" s="252"/>
      <c r="H197" s="253"/>
      <c r="I197" s="250"/>
      <c r="J197" s="250"/>
      <c r="K197" s="270"/>
      <c r="L197" s="250"/>
      <c r="M197" s="250"/>
      <c r="N197" s="553" t="str">
        <f>CONCATENATE(IF(OR(M197=phu!$I$1,M197=phu!$I$2,M197=phu!$I$3),"Cam Thành Nam",""),IF(OR(M197=phu!$I$4,M197=phu!$I$5,M197=phu!$I$6,M197=phu!$I$7,M197=phu!$I$8,M197=phu!$I$9,M197=phu!$I$10,M197=phu!$I$11,M197=phu!$I$12,M197=phu!$I$13,M197=phu!$I$14),"Cam Nghĩa",""),IF(OR(M197=phu!$I$15,M197=phu!$I$16,M197=phu!$I$17,M197=phu!$I$18,M197=phu!$I$19,M197=phu!$I$20,M197=phu!$I$21),"Cam Phúc Bắc",""),IF(OR(M197=phu!$I$22,M197=phu!$I$23,M197=phu!$I$24,M197=phu!$I$25),"Cam Phúc Nam",""),IF(OR(M197=phu!$I$26,M197=phu!$I$27,M197=phu!$I$28,M197=phu!$I$29,M197=phu!$I$30,M197=phu!$I$31),"Cam Phú",""),IF(OR(M197=phu!$I$32,M197=phu!$I$33,M197=phu!$I$34,M197=phu!$I$35,M197=phu!$I$36,M197=phu!$I$37),"Cam Lộc",""),IF(OR(M197=phu!$I$38,M197=phu!$I$39,M197=phu!$I$40,M197=phu!$I$41,M197=phu!$I$42,M197=phu!$I$43,M197=phu!$I$44),"Cam Thuận",""),IF(OR(M197=phu!$I$45,M197=phu!$I$46,M197=phu!$I$47,M197=phu!$I$48,M197=phu!$I$49,M197=phu!$I$50,M197=phu!$I$51,M197=phu!$I$52,M197=phu!$I$53),"Cam Linh",""),IF(OR(M197=phu!$I$54,M197=phu!$I$55,M197=phu!$I$56,M197=phu!$I$57,M197=phu!$I$58,M197=phu!$I$59,M197=phu!$I$60,M197=phu!$I$61,M197=phu!$I$62),"Cam Lợi",""),IF(OR(M197=phu!$I$63,M197=phu!$I$64,M197=phu!$I$65,M197=phu!$I$66,M197=phu!$I$67,M197=phu!$I$68,M197=phu!$I$69,M197=phu!$I$70,M197=phu!$I$71),"Ba Ngòi",""),IF(OR(M197=phu!$I$72,M197=phu!$I$73,M197=phu!$I$74,M197=phu!$I$75,M197=phu!$I$76,M197=phu!$I$77,M197=phu!$I$78),"Cam Phước Đông",""),IF(OR(M197=phu!$I$79,M197=phu!$I$80,M197=phu!$I$81,M197=phu!$I$82,M197=phu!$I$83,M197=phu!$I$84),"Cam Thịnh Đông",""),IF(OR(M197=phu!$I$85,M197=phu!$I$86,M197=phu!$I$87,M197=phu!$I$88),"Cam Thịnh Tây",""),IF(OR(M197=phu!$I$89,M197=phu!$I$90),"Cam Lập",""),IF(OR(M197=phu!$I$91,M197=phu!$I$92,M197=phu!$I$93),"Cam Bình",""),IF(OR(M197=phu!$I$94,M197=phu!$I$95,M197=phu!$I$96,M197=phu!$I$97,M197=phu!$I$98,M197=phu!$I$99,M197=phu!$I$100),"Huyện khác",""),IF(OR(M197=phu!$I$101,M197=phu!$I$102),"Tỉnh khác",""))</f>
        <v/>
      </c>
      <c r="O197" s="814" t="str">
        <f t="shared" si="13"/>
        <v/>
      </c>
      <c r="P197" s="254"/>
      <c r="Q197" s="254"/>
      <c r="R197" s="254"/>
      <c r="S197" s="254"/>
      <c r="T197" s="254"/>
      <c r="U197" s="254"/>
      <c r="V197" s="254"/>
      <c r="W197" s="254"/>
      <c r="Y197" s="246" t="str">
        <f t="shared" si="14"/>
        <v/>
      </c>
      <c r="Z197" s="247" t="str">
        <f t="shared" si="12"/>
        <v/>
      </c>
      <c r="AA197" s="246" t="str">
        <f t="shared" si="15"/>
        <v/>
      </c>
    </row>
    <row r="198" spans="1:27" ht="18" customHeight="1" x14ac:dyDescent="0.25">
      <c r="A198" s="248" t="str">
        <f t="shared" si="16"/>
        <v/>
      </c>
      <c r="B198" s="249" t="str">
        <f t="shared" si="17"/>
        <v/>
      </c>
      <c r="C198" s="250"/>
      <c r="D198" s="251"/>
      <c r="E198" s="241"/>
      <c r="F198" s="252"/>
      <c r="G198" s="252"/>
      <c r="H198" s="253"/>
      <c r="I198" s="250"/>
      <c r="J198" s="250"/>
      <c r="K198" s="270"/>
      <c r="L198" s="250"/>
      <c r="M198" s="250"/>
      <c r="N198" s="553" t="str">
        <f>CONCATENATE(IF(OR(M198=phu!$I$1,M198=phu!$I$2,M198=phu!$I$3),"Cam Thành Nam",""),IF(OR(M198=phu!$I$4,M198=phu!$I$5,M198=phu!$I$6,M198=phu!$I$7,M198=phu!$I$8,M198=phu!$I$9,M198=phu!$I$10,M198=phu!$I$11,M198=phu!$I$12,M198=phu!$I$13,M198=phu!$I$14),"Cam Nghĩa",""),IF(OR(M198=phu!$I$15,M198=phu!$I$16,M198=phu!$I$17,M198=phu!$I$18,M198=phu!$I$19,M198=phu!$I$20,M198=phu!$I$21),"Cam Phúc Bắc",""),IF(OR(M198=phu!$I$22,M198=phu!$I$23,M198=phu!$I$24,M198=phu!$I$25),"Cam Phúc Nam",""),IF(OR(M198=phu!$I$26,M198=phu!$I$27,M198=phu!$I$28,M198=phu!$I$29,M198=phu!$I$30,M198=phu!$I$31),"Cam Phú",""),IF(OR(M198=phu!$I$32,M198=phu!$I$33,M198=phu!$I$34,M198=phu!$I$35,M198=phu!$I$36,M198=phu!$I$37),"Cam Lộc",""),IF(OR(M198=phu!$I$38,M198=phu!$I$39,M198=phu!$I$40,M198=phu!$I$41,M198=phu!$I$42,M198=phu!$I$43,M198=phu!$I$44),"Cam Thuận",""),IF(OR(M198=phu!$I$45,M198=phu!$I$46,M198=phu!$I$47,M198=phu!$I$48,M198=phu!$I$49,M198=phu!$I$50,M198=phu!$I$51,M198=phu!$I$52,M198=phu!$I$53),"Cam Linh",""),IF(OR(M198=phu!$I$54,M198=phu!$I$55,M198=phu!$I$56,M198=phu!$I$57,M198=phu!$I$58,M198=phu!$I$59,M198=phu!$I$60,M198=phu!$I$61,M198=phu!$I$62),"Cam Lợi",""),IF(OR(M198=phu!$I$63,M198=phu!$I$64,M198=phu!$I$65,M198=phu!$I$66,M198=phu!$I$67,M198=phu!$I$68,M198=phu!$I$69,M198=phu!$I$70,M198=phu!$I$71),"Ba Ngòi",""),IF(OR(M198=phu!$I$72,M198=phu!$I$73,M198=phu!$I$74,M198=phu!$I$75,M198=phu!$I$76,M198=phu!$I$77,M198=phu!$I$78),"Cam Phước Đông",""),IF(OR(M198=phu!$I$79,M198=phu!$I$80,M198=phu!$I$81,M198=phu!$I$82,M198=phu!$I$83,M198=phu!$I$84),"Cam Thịnh Đông",""),IF(OR(M198=phu!$I$85,M198=phu!$I$86,M198=phu!$I$87,M198=phu!$I$88),"Cam Thịnh Tây",""),IF(OR(M198=phu!$I$89,M198=phu!$I$90),"Cam Lập",""),IF(OR(M198=phu!$I$91,M198=phu!$I$92,M198=phu!$I$93),"Cam Bình",""),IF(OR(M198=phu!$I$94,M198=phu!$I$95,M198=phu!$I$96,M198=phu!$I$97,M198=phu!$I$98,M198=phu!$I$99,M198=phu!$I$100),"Huyện khác",""),IF(OR(M198=phu!$I$101,M198=phu!$I$102),"Tỉnh khác",""))</f>
        <v/>
      </c>
      <c r="O198" s="814" t="str">
        <f t="shared" si="13"/>
        <v/>
      </c>
      <c r="P198" s="254"/>
      <c r="Q198" s="254"/>
      <c r="R198" s="254"/>
      <c r="S198" s="254"/>
      <c r="T198" s="254"/>
      <c r="U198" s="254"/>
      <c r="V198" s="254"/>
      <c r="W198" s="254"/>
      <c r="Y198" s="246" t="str">
        <f t="shared" si="14"/>
        <v/>
      </c>
      <c r="Z198" s="247" t="str">
        <f t="shared" ref="Z198:Z261" si="18">IF(H198="","",$Z$1-H198)</f>
        <v/>
      </c>
      <c r="AA198" s="246" t="str">
        <f t="shared" si="15"/>
        <v/>
      </c>
    </row>
    <row r="199" spans="1:27" ht="18" customHeight="1" x14ac:dyDescent="0.25">
      <c r="A199" s="248" t="str">
        <f t="shared" si="16"/>
        <v/>
      </c>
      <c r="B199" s="249" t="str">
        <f t="shared" si="17"/>
        <v/>
      </c>
      <c r="C199" s="250"/>
      <c r="D199" s="251"/>
      <c r="E199" s="241"/>
      <c r="F199" s="252"/>
      <c r="G199" s="252"/>
      <c r="H199" s="253"/>
      <c r="I199" s="250"/>
      <c r="J199" s="250"/>
      <c r="K199" s="270"/>
      <c r="L199" s="250"/>
      <c r="M199" s="250"/>
      <c r="N199" s="553" t="str">
        <f>CONCATENATE(IF(OR(M199=phu!$I$1,M199=phu!$I$2,M199=phu!$I$3),"Cam Thành Nam",""),IF(OR(M199=phu!$I$4,M199=phu!$I$5,M199=phu!$I$6,M199=phu!$I$7,M199=phu!$I$8,M199=phu!$I$9,M199=phu!$I$10,M199=phu!$I$11,M199=phu!$I$12,M199=phu!$I$13,M199=phu!$I$14),"Cam Nghĩa",""),IF(OR(M199=phu!$I$15,M199=phu!$I$16,M199=phu!$I$17,M199=phu!$I$18,M199=phu!$I$19,M199=phu!$I$20,M199=phu!$I$21),"Cam Phúc Bắc",""),IF(OR(M199=phu!$I$22,M199=phu!$I$23,M199=phu!$I$24,M199=phu!$I$25),"Cam Phúc Nam",""),IF(OR(M199=phu!$I$26,M199=phu!$I$27,M199=phu!$I$28,M199=phu!$I$29,M199=phu!$I$30,M199=phu!$I$31),"Cam Phú",""),IF(OR(M199=phu!$I$32,M199=phu!$I$33,M199=phu!$I$34,M199=phu!$I$35,M199=phu!$I$36,M199=phu!$I$37),"Cam Lộc",""),IF(OR(M199=phu!$I$38,M199=phu!$I$39,M199=phu!$I$40,M199=phu!$I$41,M199=phu!$I$42,M199=phu!$I$43,M199=phu!$I$44),"Cam Thuận",""),IF(OR(M199=phu!$I$45,M199=phu!$I$46,M199=phu!$I$47,M199=phu!$I$48,M199=phu!$I$49,M199=phu!$I$50,M199=phu!$I$51,M199=phu!$I$52,M199=phu!$I$53),"Cam Linh",""),IF(OR(M199=phu!$I$54,M199=phu!$I$55,M199=phu!$I$56,M199=phu!$I$57,M199=phu!$I$58,M199=phu!$I$59,M199=phu!$I$60,M199=phu!$I$61,M199=phu!$I$62),"Cam Lợi",""),IF(OR(M199=phu!$I$63,M199=phu!$I$64,M199=phu!$I$65,M199=phu!$I$66,M199=phu!$I$67,M199=phu!$I$68,M199=phu!$I$69,M199=phu!$I$70,M199=phu!$I$71),"Ba Ngòi",""),IF(OR(M199=phu!$I$72,M199=phu!$I$73,M199=phu!$I$74,M199=phu!$I$75,M199=phu!$I$76,M199=phu!$I$77,M199=phu!$I$78),"Cam Phước Đông",""),IF(OR(M199=phu!$I$79,M199=phu!$I$80,M199=phu!$I$81,M199=phu!$I$82,M199=phu!$I$83,M199=phu!$I$84),"Cam Thịnh Đông",""),IF(OR(M199=phu!$I$85,M199=phu!$I$86,M199=phu!$I$87,M199=phu!$I$88),"Cam Thịnh Tây",""),IF(OR(M199=phu!$I$89,M199=phu!$I$90),"Cam Lập",""),IF(OR(M199=phu!$I$91,M199=phu!$I$92,M199=phu!$I$93),"Cam Bình",""),IF(OR(M199=phu!$I$94,M199=phu!$I$95,M199=phu!$I$96,M199=phu!$I$97,M199=phu!$I$98,M199=phu!$I$99,M199=phu!$I$100),"Huyện khác",""),IF(OR(M199=phu!$I$101,M199=phu!$I$102),"Tỉnh khác",""))</f>
        <v/>
      </c>
      <c r="O199" s="814" t="str">
        <f t="shared" ref="O199:O262" si="19">CONCATENATE(IF(OR(N199="Cam Thành Nam",N199="Cam Nghĩa",N199="Cam Phúc Bắc"),"Bắc Cam Ranh",""),IF(OR(N199="Cam Phúc Nam",N199="Cam Phú",N199="Cam Lộc"),"Cam Ranh",""),IF(OR(N199="Cam Thuận",N199="Cam Linh",N199="Cam Lợi"),"Cam Linh",""),IF(OR(N199="Ba Ngòi",N199="Cam Phước Đông"),"Ba Ngòi",""),IF(OR(N199="Cam Thịnh Đông",N199="Cam Thịnh Tây",N199="Cam Lập",N199="Cam Bình"),"Nam Cam Ranh",""),IF(N199="Huyện khác","Huyện khác",""),IF(N199="Tỉnh khác","Tỉnh khác",""))</f>
        <v/>
      </c>
      <c r="P199" s="254"/>
      <c r="Q199" s="254"/>
      <c r="R199" s="254"/>
      <c r="S199" s="254"/>
      <c r="T199" s="254"/>
      <c r="U199" s="254"/>
      <c r="V199" s="254"/>
      <c r="W199" s="254"/>
      <c r="Y199" s="246" t="str">
        <f t="shared" ref="Y199:Y262" si="20">IF(OR(AND(B199="",C199="",D199="",E199="",F199="",G199="",H199="",I199="",J199="",L199="",M199="",N199="",P199="",Q199="",R199="",S199=""),AND(B199&lt;&gt;"",C199&lt;&gt;"",D199&lt;&gt;"",E199&lt;&gt;"",F199&lt;&gt;"",G199&lt;&gt;"",H199&lt;&gt;"",J199&lt;&gt;"",M199&lt;&gt;"",N199&lt;&gt;"",P199&lt;&gt;"",OR(AND(Q199&lt;&gt;"",R199=""),AND(Q199="",R199&lt;&gt;""),AND(Q199&lt;&gt;"",R199&lt;&gt;"")),OR(AND(K199="X",T199&lt;&gt;""),AND(K199="",T199="")))),"","er")</f>
        <v/>
      </c>
      <c r="Z199" s="247" t="str">
        <f t="shared" si="18"/>
        <v/>
      </c>
      <c r="AA199" s="246" t="str">
        <f t="shared" ref="AA199:AA262" si="21">IF(OR(AND(Z199=5,B199&gt;0),AND(Z199=6,B199&gt;1),AND(Z199=7,B199&gt;2),AND(Z199=8,B199&gt;3),AND(Z199=9,B199&gt;4),AND(Z199=10,B199&gt;5),AND(Z199=5,B199=0,L199="X"),AND(Z199=6,B199=1,L199="X"),AND(Z199=7,B199=2,L199="X"),AND(Z199=8,B199=3,L199="X"),AND(Z199=9,B199=4,L199="X"),AND(Z199=10,B199=5,L199="X")),"er","")</f>
        <v/>
      </c>
    </row>
    <row r="200" spans="1:27" ht="18" customHeight="1" x14ac:dyDescent="0.25">
      <c r="A200" s="248" t="str">
        <f t="shared" ref="A200:A263" si="22">IF(OR(A199="",B200="",C200="",D200="",E200=""),"",A199+1)</f>
        <v/>
      </c>
      <c r="B200" s="249" t="str">
        <f t="shared" ref="B200:B263" si="23">IF(C200="","",VALUE(LEFT(C200,1)))</f>
        <v/>
      </c>
      <c r="C200" s="250"/>
      <c r="D200" s="251"/>
      <c r="E200" s="241"/>
      <c r="F200" s="252"/>
      <c r="G200" s="252"/>
      <c r="H200" s="253"/>
      <c r="I200" s="250"/>
      <c r="J200" s="250"/>
      <c r="K200" s="270"/>
      <c r="L200" s="250"/>
      <c r="M200" s="250"/>
      <c r="N200" s="553" t="str">
        <f>CONCATENATE(IF(OR(M200=phu!$I$1,M200=phu!$I$2,M200=phu!$I$3),"Cam Thành Nam",""),IF(OR(M200=phu!$I$4,M200=phu!$I$5,M200=phu!$I$6,M200=phu!$I$7,M200=phu!$I$8,M200=phu!$I$9,M200=phu!$I$10,M200=phu!$I$11,M200=phu!$I$12,M200=phu!$I$13,M200=phu!$I$14),"Cam Nghĩa",""),IF(OR(M200=phu!$I$15,M200=phu!$I$16,M200=phu!$I$17,M200=phu!$I$18,M200=phu!$I$19,M200=phu!$I$20,M200=phu!$I$21),"Cam Phúc Bắc",""),IF(OR(M200=phu!$I$22,M200=phu!$I$23,M200=phu!$I$24,M200=phu!$I$25),"Cam Phúc Nam",""),IF(OR(M200=phu!$I$26,M200=phu!$I$27,M200=phu!$I$28,M200=phu!$I$29,M200=phu!$I$30,M200=phu!$I$31),"Cam Phú",""),IF(OR(M200=phu!$I$32,M200=phu!$I$33,M200=phu!$I$34,M200=phu!$I$35,M200=phu!$I$36,M200=phu!$I$37),"Cam Lộc",""),IF(OR(M200=phu!$I$38,M200=phu!$I$39,M200=phu!$I$40,M200=phu!$I$41,M200=phu!$I$42,M200=phu!$I$43,M200=phu!$I$44),"Cam Thuận",""),IF(OR(M200=phu!$I$45,M200=phu!$I$46,M200=phu!$I$47,M200=phu!$I$48,M200=phu!$I$49,M200=phu!$I$50,M200=phu!$I$51,M200=phu!$I$52,M200=phu!$I$53),"Cam Linh",""),IF(OR(M200=phu!$I$54,M200=phu!$I$55,M200=phu!$I$56,M200=phu!$I$57,M200=phu!$I$58,M200=phu!$I$59,M200=phu!$I$60,M200=phu!$I$61,M200=phu!$I$62),"Cam Lợi",""),IF(OR(M200=phu!$I$63,M200=phu!$I$64,M200=phu!$I$65,M200=phu!$I$66,M200=phu!$I$67,M200=phu!$I$68,M200=phu!$I$69,M200=phu!$I$70,M200=phu!$I$71),"Ba Ngòi",""),IF(OR(M200=phu!$I$72,M200=phu!$I$73,M200=phu!$I$74,M200=phu!$I$75,M200=phu!$I$76,M200=phu!$I$77,M200=phu!$I$78),"Cam Phước Đông",""),IF(OR(M200=phu!$I$79,M200=phu!$I$80,M200=phu!$I$81,M200=phu!$I$82,M200=phu!$I$83,M200=phu!$I$84),"Cam Thịnh Đông",""),IF(OR(M200=phu!$I$85,M200=phu!$I$86,M200=phu!$I$87,M200=phu!$I$88),"Cam Thịnh Tây",""),IF(OR(M200=phu!$I$89,M200=phu!$I$90),"Cam Lập",""),IF(OR(M200=phu!$I$91,M200=phu!$I$92,M200=phu!$I$93),"Cam Bình",""),IF(OR(M200=phu!$I$94,M200=phu!$I$95,M200=phu!$I$96,M200=phu!$I$97,M200=phu!$I$98,M200=phu!$I$99,M200=phu!$I$100),"Huyện khác",""),IF(OR(M200=phu!$I$101,M200=phu!$I$102),"Tỉnh khác",""))</f>
        <v/>
      </c>
      <c r="O200" s="814" t="str">
        <f t="shared" si="19"/>
        <v/>
      </c>
      <c r="P200" s="254"/>
      <c r="Q200" s="254"/>
      <c r="R200" s="254"/>
      <c r="S200" s="254"/>
      <c r="T200" s="254"/>
      <c r="U200" s="254"/>
      <c r="V200" s="254"/>
      <c r="W200" s="254"/>
      <c r="Y200" s="246" t="str">
        <f t="shared" si="20"/>
        <v/>
      </c>
      <c r="Z200" s="247" t="str">
        <f t="shared" si="18"/>
        <v/>
      </c>
      <c r="AA200" s="246" t="str">
        <f t="shared" si="21"/>
        <v/>
      </c>
    </row>
    <row r="201" spans="1:27" ht="18" customHeight="1" x14ac:dyDescent="0.25">
      <c r="A201" s="248" t="str">
        <f t="shared" si="22"/>
        <v/>
      </c>
      <c r="B201" s="249" t="str">
        <f t="shared" si="23"/>
        <v/>
      </c>
      <c r="C201" s="250"/>
      <c r="D201" s="251"/>
      <c r="E201" s="241"/>
      <c r="F201" s="252"/>
      <c r="G201" s="252"/>
      <c r="H201" s="253"/>
      <c r="I201" s="250"/>
      <c r="J201" s="250"/>
      <c r="K201" s="270"/>
      <c r="L201" s="250"/>
      <c r="M201" s="250"/>
      <c r="N201" s="553" t="str">
        <f>CONCATENATE(IF(OR(M201=phu!$I$1,M201=phu!$I$2,M201=phu!$I$3),"Cam Thành Nam",""),IF(OR(M201=phu!$I$4,M201=phu!$I$5,M201=phu!$I$6,M201=phu!$I$7,M201=phu!$I$8,M201=phu!$I$9,M201=phu!$I$10,M201=phu!$I$11,M201=phu!$I$12,M201=phu!$I$13,M201=phu!$I$14),"Cam Nghĩa",""),IF(OR(M201=phu!$I$15,M201=phu!$I$16,M201=phu!$I$17,M201=phu!$I$18,M201=phu!$I$19,M201=phu!$I$20,M201=phu!$I$21),"Cam Phúc Bắc",""),IF(OR(M201=phu!$I$22,M201=phu!$I$23,M201=phu!$I$24,M201=phu!$I$25),"Cam Phúc Nam",""),IF(OR(M201=phu!$I$26,M201=phu!$I$27,M201=phu!$I$28,M201=phu!$I$29,M201=phu!$I$30,M201=phu!$I$31),"Cam Phú",""),IF(OR(M201=phu!$I$32,M201=phu!$I$33,M201=phu!$I$34,M201=phu!$I$35,M201=phu!$I$36,M201=phu!$I$37),"Cam Lộc",""),IF(OR(M201=phu!$I$38,M201=phu!$I$39,M201=phu!$I$40,M201=phu!$I$41,M201=phu!$I$42,M201=phu!$I$43,M201=phu!$I$44),"Cam Thuận",""),IF(OR(M201=phu!$I$45,M201=phu!$I$46,M201=phu!$I$47,M201=phu!$I$48,M201=phu!$I$49,M201=phu!$I$50,M201=phu!$I$51,M201=phu!$I$52,M201=phu!$I$53),"Cam Linh",""),IF(OR(M201=phu!$I$54,M201=phu!$I$55,M201=phu!$I$56,M201=phu!$I$57,M201=phu!$I$58,M201=phu!$I$59,M201=phu!$I$60,M201=phu!$I$61,M201=phu!$I$62),"Cam Lợi",""),IF(OR(M201=phu!$I$63,M201=phu!$I$64,M201=phu!$I$65,M201=phu!$I$66,M201=phu!$I$67,M201=phu!$I$68,M201=phu!$I$69,M201=phu!$I$70,M201=phu!$I$71),"Ba Ngòi",""),IF(OR(M201=phu!$I$72,M201=phu!$I$73,M201=phu!$I$74,M201=phu!$I$75,M201=phu!$I$76,M201=phu!$I$77,M201=phu!$I$78),"Cam Phước Đông",""),IF(OR(M201=phu!$I$79,M201=phu!$I$80,M201=phu!$I$81,M201=phu!$I$82,M201=phu!$I$83,M201=phu!$I$84),"Cam Thịnh Đông",""),IF(OR(M201=phu!$I$85,M201=phu!$I$86,M201=phu!$I$87,M201=phu!$I$88),"Cam Thịnh Tây",""),IF(OR(M201=phu!$I$89,M201=phu!$I$90),"Cam Lập",""),IF(OR(M201=phu!$I$91,M201=phu!$I$92,M201=phu!$I$93),"Cam Bình",""),IF(OR(M201=phu!$I$94,M201=phu!$I$95,M201=phu!$I$96,M201=phu!$I$97,M201=phu!$I$98,M201=phu!$I$99,M201=phu!$I$100),"Huyện khác",""),IF(OR(M201=phu!$I$101,M201=phu!$I$102),"Tỉnh khác",""))</f>
        <v/>
      </c>
      <c r="O201" s="814" t="str">
        <f t="shared" si="19"/>
        <v/>
      </c>
      <c r="P201" s="254"/>
      <c r="Q201" s="254"/>
      <c r="R201" s="254"/>
      <c r="S201" s="254"/>
      <c r="T201" s="254"/>
      <c r="U201" s="254"/>
      <c r="V201" s="254"/>
      <c r="W201" s="254"/>
      <c r="Y201" s="246" t="str">
        <f t="shared" si="20"/>
        <v/>
      </c>
      <c r="Z201" s="247" t="str">
        <f t="shared" si="18"/>
        <v/>
      </c>
      <c r="AA201" s="246" t="str">
        <f t="shared" si="21"/>
        <v/>
      </c>
    </row>
    <row r="202" spans="1:27" ht="18" customHeight="1" x14ac:dyDescent="0.25">
      <c r="A202" s="248" t="str">
        <f t="shared" si="22"/>
        <v/>
      </c>
      <c r="B202" s="249" t="str">
        <f t="shared" si="23"/>
        <v/>
      </c>
      <c r="C202" s="250"/>
      <c r="D202" s="251"/>
      <c r="E202" s="241"/>
      <c r="F202" s="252"/>
      <c r="G202" s="252"/>
      <c r="H202" s="253"/>
      <c r="I202" s="250"/>
      <c r="J202" s="250"/>
      <c r="K202" s="270"/>
      <c r="L202" s="250"/>
      <c r="M202" s="250"/>
      <c r="N202" s="553" t="str">
        <f>CONCATENATE(IF(OR(M202=phu!$I$1,M202=phu!$I$2,M202=phu!$I$3),"Cam Thành Nam",""),IF(OR(M202=phu!$I$4,M202=phu!$I$5,M202=phu!$I$6,M202=phu!$I$7,M202=phu!$I$8,M202=phu!$I$9,M202=phu!$I$10,M202=phu!$I$11,M202=phu!$I$12,M202=phu!$I$13,M202=phu!$I$14),"Cam Nghĩa",""),IF(OR(M202=phu!$I$15,M202=phu!$I$16,M202=phu!$I$17,M202=phu!$I$18,M202=phu!$I$19,M202=phu!$I$20,M202=phu!$I$21),"Cam Phúc Bắc",""),IF(OR(M202=phu!$I$22,M202=phu!$I$23,M202=phu!$I$24,M202=phu!$I$25),"Cam Phúc Nam",""),IF(OR(M202=phu!$I$26,M202=phu!$I$27,M202=phu!$I$28,M202=phu!$I$29,M202=phu!$I$30,M202=phu!$I$31),"Cam Phú",""),IF(OR(M202=phu!$I$32,M202=phu!$I$33,M202=phu!$I$34,M202=phu!$I$35,M202=phu!$I$36,M202=phu!$I$37),"Cam Lộc",""),IF(OR(M202=phu!$I$38,M202=phu!$I$39,M202=phu!$I$40,M202=phu!$I$41,M202=phu!$I$42,M202=phu!$I$43,M202=phu!$I$44),"Cam Thuận",""),IF(OR(M202=phu!$I$45,M202=phu!$I$46,M202=phu!$I$47,M202=phu!$I$48,M202=phu!$I$49,M202=phu!$I$50,M202=phu!$I$51,M202=phu!$I$52,M202=phu!$I$53),"Cam Linh",""),IF(OR(M202=phu!$I$54,M202=phu!$I$55,M202=phu!$I$56,M202=phu!$I$57,M202=phu!$I$58,M202=phu!$I$59,M202=phu!$I$60,M202=phu!$I$61,M202=phu!$I$62),"Cam Lợi",""),IF(OR(M202=phu!$I$63,M202=phu!$I$64,M202=phu!$I$65,M202=phu!$I$66,M202=phu!$I$67,M202=phu!$I$68,M202=phu!$I$69,M202=phu!$I$70,M202=phu!$I$71),"Ba Ngòi",""),IF(OR(M202=phu!$I$72,M202=phu!$I$73,M202=phu!$I$74,M202=phu!$I$75,M202=phu!$I$76,M202=phu!$I$77,M202=phu!$I$78),"Cam Phước Đông",""),IF(OR(M202=phu!$I$79,M202=phu!$I$80,M202=phu!$I$81,M202=phu!$I$82,M202=phu!$I$83,M202=phu!$I$84),"Cam Thịnh Đông",""),IF(OR(M202=phu!$I$85,M202=phu!$I$86,M202=phu!$I$87,M202=phu!$I$88),"Cam Thịnh Tây",""),IF(OR(M202=phu!$I$89,M202=phu!$I$90),"Cam Lập",""),IF(OR(M202=phu!$I$91,M202=phu!$I$92,M202=phu!$I$93),"Cam Bình",""),IF(OR(M202=phu!$I$94,M202=phu!$I$95,M202=phu!$I$96,M202=phu!$I$97,M202=phu!$I$98,M202=phu!$I$99,M202=phu!$I$100),"Huyện khác",""),IF(OR(M202=phu!$I$101,M202=phu!$I$102),"Tỉnh khác",""))</f>
        <v/>
      </c>
      <c r="O202" s="814" t="str">
        <f t="shared" si="19"/>
        <v/>
      </c>
      <c r="P202" s="254"/>
      <c r="Q202" s="254"/>
      <c r="R202" s="254"/>
      <c r="S202" s="254"/>
      <c r="T202" s="254"/>
      <c r="U202" s="254"/>
      <c r="V202" s="254"/>
      <c r="W202" s="254"/>
      <c r="Y202" s="246" t="str">
        <f t="shared" si="20"/>
        <v/>
      </c>
      <c r="Z202" s="247" t="str">
        <f t="shared" si="18"/>
        <v/>
      </c>
      <c r="AA202" s="246" t="str">
        <f t="shared" si="21"/>
        <v/>
      </c>
    </row>
    <row r="203" spans="1:27" ht="18" customHeight="1" x14ac:dyDescent="0.25">
      <c r="A203" s="248" t="str">
        <f t="shared" si="22"/>
        <v/>
      </c>
      <c r="B203" s="249" t="str">
        <f t="shared" si="23"/>
        <v/>
      </c>
      <c r="C203" s="250"/>
      <c r="D203" s="251"/>
      <c r="E203" s="241"/>
      <c r="F203" s="252"/>
      <c r="G203" s="252"/>
      <c r="H203" s="253"/>
      <c r="I203" s="250"/>
      <c r="J203" s="250"/>
      <c r="K203" s="270"/>
      <c r="L203" s="250"/>
      <c r="M203" s="250"/>
      <c r="N203" s="553" t="str">
        <f>CONCATENATE(IF(OR(M203=phu!$I$1,M203=phu!$I$2,M203=phu!$I$3),"Cam Thành Nam",""),IF(OR(M203=phu!$I$4,M203=phu!$I$5,M203=phu!$I$6,M203=phu!$I$7,M203=phu!$I$8,M203=phu!$I$9,M203=phu!$I$10,M203=phu!$I$11,M203=phu!$I$12,M203=phu!$I$13,M203=phu!$I$14),"Cam Nghĩa",""),IF(OR(M203=phu!$I$15,M203=phu!$I$16,M203=phu!$I$17,M203=phu!$I$18,M203=phu!$I$19,M203=phu!$I$20,M203=phu!$I$21),"Cam Phúc Bắc",""),IF(OR(M203=phu!$I$22,M203=phu!$I$23,M203=phu!$I$24,M203=phu!$I$25),"Cam Phúc Nam",""),IF(OR(M203=phu!$I$26,M203=phu!$I$27,M203=phu!$I$28,M203=phu!$I$29,M203=phu!$I$30,M203=phu!$I$31),"Cam Phú",""),IF(OR(M203=phu!$I$32,M203=phu!$I$33,M203=phu!$I$34,M203=phu!$I$35,M203=phu!$I$36,M203=phu!$I$37),"Cam Lộc",""),IF(OR(M203=phu!$I$38,M203=phu!$I$39,M203=phu!$I$40,M203=phu!$I$41,M203=phu!$I$42,M203=phu!$I$43,M203=phu!$I$44),"Cam Thuận",""),IF(OR(M203=phu!$I$45,M203=phu!$I$46,M203=phu!$I$47,M203=phu!$I$48,M203=phu!$I$49,M203=phu!$I$50,M203=phu!$I$51,M203=phu!$I$52,M203=phu!$I$53),"Cam Linh",""),IF(OR(M203=phu!$I$54,M203=phu!$I$55,M203=phu!$I$56,M203=phu!$I$57,M203=phu!$I$58,M203=phu!$I$59,M203=phu!$I$60,M203=phu!$I$61,M203=phu!$I$62),"Cam Lợi",""),IF(OR(M203=phu!$I$63,M203=phu!$I$64,M203=phu!$I$65,M203=phu!$I$66,M203=phu!$I$67,M203=phu!$I$68,M203=phu!$I$69,M203=phu!$I$70,M203=phu!$I$71),"Ba Ngòi",""),IF(OR(M203=phu!$I$72,M203=phu!$I$73,M203=phu!$I$74,M203=phu!$I$75,M203=phu!$I$76,M203=phu!$I$77,M203=phu!$I$78),"Cam Phước Đông",""),IF(OR(M203=phu!$I$79,M203=phu!$I$80,M203=phu!$I$81,M203=phu!$I$82,M203=phu!$I$83,M203=phu!$I$84),"Cam Thịnh Đông",""),IF(OR(M203=phu!$I$85,M203=phu!$I$86,M203=phu!$I$87,M203=phu!$I$88),"Cam Thịnh Tây",""),IF(OR(M203=phu!$I$89,M203=phu!$I$90),"Cam Lập",""),IF(OR(M203=phu!$I$91,M203=phu!$I$92,M203=phu!$I$93),"Cam Bình",""),IF(OR(M203=phu!$I$94,M203=phu!$I$95,M203=phu!$I$96,M203=phu!$I$97,M203=phu!$I$98,M203=phu!$I$99,M203=phu!$I$100),"Huyện khác",""),IF(OR(M203=phu!$I$101,M203=phu!$I$102),"Tỉnh khác",""))</f>
        <v/>
      </c>
      <c r="O203" s="814" t="str">
        <f t="shared" si="19"/>
        <v/>
      </c>
      <c r="P203" s="254"/>
      <c r="Q203" s="254"/>
      <c r="R203" s="254"/>
      <c r="S203" s="254"/>
      <c r="T203" s="254"/>
      <c r="U203" s="254"/>
      <c r="V203" s="254"/>
      <c r="W203" s="254"/>
      <c r="Y203" s="246" t="str">
        <f t="shared" si="20"/>
        <v/>
      </c>
      <c r="Z203" s="247" t="str">
        <f t="shared" si="18"/>
        <v/>
      </c>
      <c r="AA203" s="246" t="str">
        <f t="shared" si="21"/>
        <v/>
      </c>
    </row>
    <row r="204" spans="1:27" ht="18" customHeight="1" x14ac:dyDescent="0.25">
      <c r="A204" s="248" t="str">
        <f t="shared" si="22"/>
        <v/>
      </c>
      <c r="B204" s="249" t="str">
        <f t="shared" si="23"/>
        <v/>
      </c>
      <c r="C204" s="250"/>
      <c r="D204" s="251"/>
      <c r="E204" s="241"/>
      <c r="F204" s="252"/>
      <c r="G204" s="252"/>
      <c r="H204" s="253"/>
      <c r="I204" s="250"/>
      <c r="J204" s="250"/>
      <c r="K204" s="270"/>
      <c r="L204" s="250"/>
      <c r="M204" s="250"/>
      <c r="N204" s="553" t="str">
        <f>CONCATENATE(IF(OR(M204=phu!$I$1,M204=phu!$I$2,M204=phu!$I$3),"Cam Thành Nam",""),IF(OR(M204=phu!$I$4,M204=phu!$I$5,M204=phu!$I$6,M204=phu!$I$7,M204=phu!$I$8,M204=phu!$I$9,M204=phu!$I$10,M204=phu!$I$11,M204=phu!$I$12,M204=phu!$I$13,M204=phu!$I$14),"Cam Nghĩa",""),IF(OR(M204=phu!$I$15,M204=phu!$I$16,M204=phu!$I$17,M204=phu!$I$18,M204=phu!$I$19,M204=phu!$I$20,M204=phu!$I$21),"Cam Phúc Bắc",""),IF(OR(M204=phu!$I$22,M204=phu!$I$23,M204=phu!$I$24,M204=phu!$I$25),"Cam Phúc Nam",""),IF(OR(M204=phu!$I$26,M204=phu!$I$27,M204=phu!$I$28,M204=phu!$I$29,M204=phu!$I$30,M204=phu!$I$31),"Cam Phú",""),IF(OR(M204=phu!$I$32,M204=phu!$I$33,M204=phu!$I$34,M204=phu!$I$35,M204=phu!$I$36,M204=phu!$I$37),"Cam Lộc",""),IF(OR(M204=phu!$I$38,M204=phu!$I$39,M204=phu!$I$40,M204=phu!$I$41,M204=phu!$I$42,M204=phu!$I$43,M204=phu!$I$44),"Cam Thuận",""),IF(OR(M204=phu!$I$45,M204=phu!$I$46,M204=phu!$I$47,M204=phu!$I$48,M204=phu!$I$49,M204=phu!$I$50,M204=phu!$I$51,M204=phu!$I$52,M204=phu!$I$53),"Cam Linh",""),IF(OR(M204=phu!$I$54,M204=phu!$I$55,M204=phu!$I$56,M204=phu!$I$57,M204=phu!$I$58,M204=phu!$I$59,M204=phu!$I$60,M204=phu!$I$61,M204=phu!$I$62),"Cam Lợi",""),IF(OR(M204=phu!$I$63,M204=phu!$I$64,M204=phu!$I$65,M204=phu!$I$66,M204=phu!$I$67,M204=phu!$I$68,M204=phu!$I$69,M204=phu!$I$70,M204=phu!$I$71),"Ba Ngòi",""),IF(OR(M204=phu!$I$72,M204=phu!$I$73,M204=phu!$I$74,M204=phu!$I$75,M204=phu!$I$76,M204=phu!$I$77,M204=phu!$I$78),"Cam Phước Đông",""),IF(OR(M204=phu!$I$79,M204=phu!$I$80,M204=phu!$I$81,M204=phu!$I$82,M204=phu!$I$83,M204=phu!$I$84),"Cam Thịnh Đông",""),IF(OR(M204=phu!$I$85,M204=phu!$I$86,M204=phu!$I$87,M204=phu!$I$88),"Cam Thịnh Tây",""),IF(OR(M204=phu!$I$89,M204=phu!$I$90),"Cam Lập",""),IF(OR(M204=phu!$I$91,M204=phu!$I$92,M204=phu!$I$93),"Cam Bình",""),IF(OR(M204=phu!$I$94,M204=phu!$I$95,M204=phu!$I$96,M204=phu!$I$97,M204=phu!$I$98,M204=phu!$I$99,M204=phu!$I$100),"Huyện khác",""),IF(OR(M204=phu!$I$101,M204=phu!$I$102),"Tỉnh khác",""))</f>
        <v/>
      </c>
      <c r="O204" s="814" t="str">
        <f t="shared" si="19"/>
        <v/>
      </c>
      <c r="P204" s="254"/>
      <c r="Q204" s="254"/>
      <c r="R204" s="254"/>
      <c r="S204" s="254"/>
      <c r="T204" s="254"/>
      <c r="U204" s="254"/>
      <c r="V204" s="254"/>
      <c r="W204" s="254"/>
      <c r="Y204" s="246" t="str">
        <f t="shared" si="20"/>
        <v/>
      </c>
      <c r="Z204" s="247" t="str">
        <f t="shared" si="18"/>
        <v/>
      </c>
      <c r="AA204" s="246" t="str">
        <f t="shared" si="21"/>
        <v/>
      </c>
    </row>
    <row r="205" spans="1:27" ht="18" customHeight="1" x14ac:dyDescent="0.25">
      <c r="A205" s="248" t="str">
        <f t="shared" si="22"/>
        <v/>
      </c>
      <c r="B205" s="249" t="str">
        <f t="shared" si="23"/>
        <v/>
      </c>
      <c r="C205" s="250"/>
      <c r="D205" s="251"/>
      <c r="E205" s="241"/>
      <c r="F205" s="252"/>
      <c r="G205" s="252"/>
      <c r="H205" s="253"/>
      <c r="I205" s="250"/>
      <c r="J205" s="250"/>
      <c r="K205" s="270"/>
      <c r="L205" s="250"/>
      <c r="M205" s="250"/>
      <c r="N205" s="553" t="str">
        <f>CONCATENATE(IF(OR(M205=phu!$I$1,M205=phu!$I$2,M205=phu!$I$3),"Cam Thành Nam",""),IF(OR(M205=phu!$I$4,M205=phu!$I$5,M205=phu!$I$6,M205=phu!$I$7,M205=phu!$I$8,M205=phu!$I$9,M205=phu!$I$10,M205=phu!$I$11,M205=phu!$I$12,M205=phu!$I$13,M205=phu!$I$14),"Cam Nghĩa",""),IF(OR(M205=phu!$I$15,M205=phu!$I$16,M205=phu!$I$17,M205=phu!$I$18,M205=phu!$I$19,M205=phu!$I$20,M205=phu!$I$21),"Cam Phúc Bắc",""),IF(OR(M205=phu!$I$22,M205=phu!$I$23,M205=phu!$I$24,M205=phu!$I$25),"Cam Phúc Nam",""),IF(OR(M205=phu!$I$26,M205=phu!$I$27,M205=phu!$I$28,M205=phu!$I$29,M205=phu!$I$30,M205=phu!$I$31),"Cam Phú",""),IF(OR(M205=phu!$I$32,M205=phu!$I$33,M205=phu!$I$34,M205=phu!$I$35,M205=phu!$I$36,M205=phu!$I$37),"Cam Lộc",""),IF(OR(M205=phu!$I$38,M205=phu!$I$39,M205=phu!$I$40,M205=phu!$I$41,M205=phu!$I$42,M205=phu!$I$43,M205=phu!$I$44),"Cam Thuận",""),IF(OR(M205=phu!$I$45,M205=phu!$I$46,M205=phu!$I$47,M205=phu!$I$48,M205=phu!$I$49,M205=phu!$I$50,M205=phu!$I$51,M205=phu!$I$52,M205=phu!$I$53),"Cam Linh",""),IF(OR(M205=phu!$I$54,M205=phu!$I$55,M205=phu!$I$56,M205=phu!$I$57,M205=phu!$I$58,M205=phu!$I$59,M205=phu!$I$60,M205=phu!$I$61,M205=phu!$I$62),"Cam Lợi",""),IF(OR(M205=phu!$I$63,M205=phu!$I$64,M205=phu!$I$65,M205=phu!$I$66,M205=phu!$I$67,M205=phu!$I$68,M205=phu!$I$69,M205=phu!$I$70,M205=phu!$I$71),"Ba Ngòi",""),IF(OR(M205=phu!$I$72,M205=phu!$I$73,M205=phu!$I$74,M205=phu!$I$75,M205=phu!$I$76,M205=phu!$I$77,M205=phu!$I$78),"Cam Phước Đông",""),IF(OR(M205=phu!$I$79,M205=phu!$I$80,M205=phu!$I$81,M205=phu!$I$82,M205=phu!$I$83,M205=phu!$I$84),"Cam Thịnh Đông",""),IF(OR(M205=phu!$I$85,M205=phu!$I$86,M205=phu!$I$87,M205=phu!$I$88),"Cam Thịnh Tây",""),IF(OR(M205=phu!$I$89,M205=phu!$I$90),"Cam Lập",""),IF(OR(M205=phu!$I$91,M205=phu!$I$92,M205=phu!$I$93),"Cam Bình",""),IF(OR(M205=phu!$I$94,M205=phu!$I$95,M205=phu!$I$96,M205=phu!$I$97,M205=phu!$I$98,M205=phu!$I$99,M205=phu!$I$100),"Huyện khác",""),IF(OR(M205=phu!$I$101,M205=phu!$I$102),"Tỉnh khác",""))</f>
        <v/>
      </c>
      <c r="O205" s="814" t="str">
        <f t="shared" si="19"/>
        <v/>
      </c>
      <c r="P205" s="254"/>
      <c r="Q205" s="254"/>
      <c r="R205" s="254"/>
      <c r="S205" s="254"/>
      <c r="T205" s="254"/>
      <c r="U205" s="254"/>
      <c r="V205" s="254"/>
      <c r="W205" s="254"/>
      <c r="Y205" s="246" t="str">
        <f t="shared" si="20"/>
        <v/>
      </c>
      <c r="Z205" s="247" t="str">
        <f t="shared" si="18"/>
        <v/>
      </c>
      <c r="AA205" s="246" t="str">
        <f t="shared" si="21"/>
        <v/>
      </c>
    </row>
    <row r="206" spans="1:27" ht="18" customHeight="1" x14ac:dyDescent="0.25">
      <c r="A206" s="248" t="str">
        <f t="shared" si="22"/>
        <v/>
      </c>
      <c r="B206" s="249" t="str">
        <f t="shared" si="23"/>
        <v/>
      </c>
      <c r="C206" s="250"/>
      <c r="D206" s="251"/>
      <c r="E206" s="241"/>
      <c r="F206" s="252"/>
      <c r="G206" s="252"/>
      <c r="H206" s="253"/>
      <c r="I206" s="250"/>
      <c r="J206" s="250"/>
      <c r="K206" s="270"/>
      <c r="L206" s="250"/>
      <c r="M206" s="250"/>
      <c r="N206" s="553" t="str">
        <f>CONCATENATE(IF(OR(M206=phu!$I$1,M206=phu!$I$2,M206=phu!$I$3),"Cam Thành Nam",""),IF(OR(M206=phu!$I$4,M206=phu!$I$5,M206=phu!$I$6,M206=phu!$I$7,M206=phu!$I$8,M206=phu!$I$9,M206=phu!$I$10,M206=phu!$I$11,M206=phu!$I$12,M206=phu!$I$13,M206=phu!$I$14),"Cam Nghĩa",""),IF(OR(M206=phu!$I$15,M206=phu!$I$16,M206=phu!$I$17,M206=phu!$I$18,M206=phu!$I$19,M206=phu!$I$20,M206=phu!$I$21),"Cam Phúc Bắc",""),IF(OR(M206=phu!$I$22,M206=phu!$I$23,M206=phu!$I$24,M206=phu!$I$25),"Cam Phúc Nam",""),IF(OR(M206=phu!$I$26,M206=phu!$I$27,M206=phu!$I$28,M206=phu!$I$29,M206=phu!$I$30,M206=phu!$I$31),"Cam Phú",""),IF(OR(M206=phu!$I$32,M206=phu!$I$33,M206=phu!$I$34,M206=phu!$I$35,M206=phu!$I$36,M206=phu!$I$37),"Cam Lộc",""),IF(OR(M206=phu!$I$38,M206=phu!$I$39,M206=phu!$I$40,M206=phu!$I$41,M206=phu!$I$42,M206=phu!$I$43,M206=phu!$I$44),"Cam Thuận",""),IF(OR(M206=phu!$I$45,M206=phu!$I$46,M206=phu!$I$47,M206=phu!$I$48,M206=phu!$I$49,M206=phu!$I$50,M206=phu!$I$51,M206=phu!$I$52,M206=phu!$I$53),"Cam Linh",""),IF(OR(M206=phu!$I$54,M206=phu!$I$55,M206=phu!$I$56,M206=phu!$I$57,M206=phu!$I$58,M206=phu!$I$59,M206=phu!$I$60,M206=phu!$I$61,M206=phu!$I$62),"Cam Lợi",""),IF(OR(M206=phu!$I$63,M206=phu!$I$64,M206=phu!$I$65,M206=phu!$I$66,M206=phu!$I$67,M206=phu!$I$68,M206=phu!$I$69,M206=phu!$I$70,M206=phu!$I$71),"Ba Ngòi",""),IF(OR(M206=phu!$I$72,M206=phu!$I$73,M206=phu!$I$74,M206=phu!$I$75,M206=phu!$I$76,M206=phu!$I$77,M206=phu!$I$78),"Cam Phước Đông",""),IF(OR(M206=phu!$I$79,M206=phu!$I$80,M206=phu!$I$81,M206=phu!$I$82,M206=phu!$I$83,M206=phu!$I$84),"Cam Thịnh Đông",""),IF(OR(M206=phu!$I$85,M206=phu!$I$86,M206=phu!$I$87,M206=phu!$I$88),"Cam Thịnh Tây",""),IF(OR(M206=phu!$I$89,M206=phu!$I$90),"Cam Lập",""),IF(OR(M206=phu!$I$91,M206=phu!$I$92,M206=phu!$I$93),"Cam Bình",""),IF(OR(M206=phu!$I$94,M206=phu!$I$95,M206=phu!$I$96,M206=phu!$I$97,M206=phu!$I$98,M206=phu!$I$99,M206=phu!$I$100),"Huyện khác",""),IF(OR(M206=phu!$I$101,M206=phu!$I$102),"Tỉnh khác",""))</f>
        <v/>
      </c>
      <c r="O206" s="814" t="str">
        <f t="shared" si="19"/>
        <v/>
      </c>
      <c r="P206" s="254"/>
      <c r="Q206" s="254"/>
      <c r="R206" s="254"/>
      <c r="S206" s="254"/>
      <c r="T206" s="254"/>
      <c r="U206" s="254"/>
      <c r="V206" s="254"/>
      <c r="W206" s="254"/>
      <c r="Y206" s="246" t="str">
        <f t="shared" si="20"/>
        <v/>
      </c>
      <c r="Z206" s="247" t="str">
        <f t="shared" si="18"/>
        <v/>
      </c>
      <c r="AA206" s="246" t="str">
        <f t="shared" si="21"/>
        <v/>
      </c>
    </row>
    <row r="207" spans="1:27" ht="18" customHeight="1" x14ac:dyDescent="0.25">
      <c r="A207" s="248" t="str">
        <f t="shared" si="22"/>
        <v/>
      </c>
      <c r="B207" s="249" t="str">
        <f t="shared" si="23"/>
        <v/>
      </c>
      <c r="C207" s="250"/>
      <c r="D207" s="251"/>
      <c r="E207" s="241"/>
      <c r="F207" s="252"/>
      <c r="G207" s="252"/>
      <c r="H207" s="253"/>
      <c r="I207" s="250"/>
      <c r="J207" s="250"/>
      <c r="K207" s="270"/>
      <c r="L207" s="250"/>
      <c r="M207" s="250"/>
      <c r="N207" s="553" t="str">
        <f>CONCATENATE(IF(OR(M207=phu!$I$1,M207=phu!$I$2,M207=phu!$I$3),"Cam Thành Nam",""),IF(OR(M207=phu!$I$4,M207=phu!$I$5,M207=phu!$I$6,M207=phu!$I$7,M207=phu!$I$8,M207=phu!$I$9,M207=phu!$I$10,M207=phu!$I$11,M207=phu!$I$12,M207=phu!$I$13,M207=phu!$I$14),"Cam Nghĩa",""),IF(OR(M207=phu!$I$15,M207=phu!$I$16,M207=phu!$I$17,M207=phu!$I$18,M207=phu!$I$19,M207=phu!$I$20,M207=phu!$I$21),"Cam Phúc Bắc",""),IF(OR(M207=phu!$I$22,M207=phu!$I$23,M207=phu!$I$24,M207=phu!$I$25),"Cam Phúc Nam",""),IF(OR(M207=phu!$I$26,M207=phu!$I$27,M207=phu!$I$28,M207=phu!$I$29,M207=phu!$I$30,M207=phu!$I$31),"Cam Phú",""),IF(OR(M207=phu!$I$32,M207=phu!$I$33,M207=phu!$I$34,M207=phu!$I$35,M207=phu!$I$36,M207=phu!$I$37),"Cam Lộc",""),IF(OR(M207=phu!$I$38,M207=phu!$I$39,M207=phu!$I$40,M207=phu!$I$41,M207=phu!$I$42,M207=phu!$I$43,M207=phu!$I$44),"Cam Thuận",""),IF(OR(M207=phu!$I$45,M207=phu!$I$46,M207=phu!$I$47,M207=phu!$I$48,M207=phu!$I$49,M207=phu!$I$50,M207=phu!$I$51,M207=phu!$I$52,M207=phu!$I$53),"Cam Linh",""),IF(OR(M207=phu!$I$54,M207=phu!$I$55,M207=phu!$I$56,M207=phu!$I$57,M207=phu!$I$58,M207=phu!$I$59,M207=phu!$I$60,M207=phu!$I$61,M207=phu!$I$62),"Cam Lợi",""),IF(OR(M207=phu!$I$63,M207=phu!$I$64,M207=phu!$I$65,M207=phu!$I$66,M207=phu!$I$67,M207=phu!$I$68,M207=phu!$I$69,M207=phu!$I$70,M207=phu!$I$71),"Ba Ngòi",""),IF(OR(M207=phu!$I$72,M207=phu!$I$73,M207=phu!$I$74,M207=phu!$I$75,M207=phu!$I$76,M207=phu!$I$77,M207=phu!$I$78),"Cam Phước Đông",""),IF(OR(M207=phu!$I$79,M207=phu!$I$80,M207=phu!$I$81,M207=phu!$I$82,M207=phu!$I$83,M207=phu!$I$84),"Cam Thịnh Đông",""),IF(OR(M207=phu!$I$85,M207=phu!$I$86,M207=phu!$I$87,M207=phu!$I$88),"Cam Thịnh Tây",""),IF(OR(M207=phu!$I$89,M207=phu!$I$90),"Cam Lập",""),IF(OR(M207=phu!$I$91,M207=phu!$I$92,M207=phu!$I$93),"Cam Bình",""),IF(OR(M207=phu!$I$94,M207=phu!$I$95,M207=phu!$I$96,M207=phu!$I$97,M207=phu!$I$98,M207=phu!$I$99,M207=phu!$I$100),"Huyện khác",""),IF(OR(M207=phu!$I$101,M207=phu!$I$102),"Tỉnh khác",""))</f>
        <v/>
      </c>
      <c r="O207" s="814" t="str">
        <f t="shared" si="19"/>
        <v/>
      </c>
      <c r="P207" s="254"/>
      <c r="Q207" s="254"/>
      <c r="R207" s="254"/>
      <c r="S207" s="254"/>
      <c r="T207" s="254"/>
      <c r="U207" s="254"/>
      <c r="V207" s="254"/>
      <c r="W207" s="254"/>
      <c r="Y207" s="246" t="str">
        <f t="shared" si="20"/>
        <v/>
      </c>
      <c r="Z207" s="247" t="str">
        <f t="shared" si="18"/>
        <v/>
      </c>
      <c r="AA207" s="246" t="str">
        <f t="shared" si="21"/>
        <v/>
      </c>
    </row>
    <row r="208" spans="1:27" ht="18" customHeight="1" x14ac:dyDescent="0.25">
      <c r="A208" s="248" t="str">
        <f t="shared" si="22"/>
        <v/>
      </c>
      <c r="B208" s="249" t="str">
        <f t="shared" si="23"/>
        <v/>
      </c>
      <c r="C208" s="250"/>
      <c r="D208" s="251"/>
      <c r="E208" s="241"/>
      <c r="F208" s="252"/>
      <c r="G208" s="252"/>
      <c r="H208" s="253"/>
      <c r="I208" s="250"/>
      <c r="J208" s="250"/>
      <c r="K208" s="270"/>
      <c r="L208" s="250"/>
      <c r="M208" s="250"/>
      <c r="N208" s="553" t="str">
        <f>CONCATENATE(IF(OR(M208=phu!$I$1,M208=phu!$I$2,M208=phu!$I$3),"Cam Thành Nam",""),IF(OR(M208=phu!$I$4,M208=phu!$I$5,M208=phu!$I$6,M208=phu!$I$7,M208=phu!$I$8,M208=phu!$I$9,M208=phu!$I$10,M208=phu!$I$11,M208=phu!$I$12,M208=phu!$I$13,M208=phu!$I$14),"Cam Nghĩa",""),IF(OR(M208=phu!$I$15,M208=phu!$I$16,M208=phu!$I$17,M208=phu!$I$18,M208=phu!$I$19,M208=phu!$I$20,M208=phu!$I$21),"Cam Phúc Bắc",""),IF(OR(M208=phu!$I$22,M208=phu!$I$23,M208=phu!$I$24,M208=phu!$I$25),"Cam Phúc Nam",""),IF(OR(M208=phu!$I$26,M208=phu!$I$27,M208=phu!$I$28,M208=phu!$I$29,M208=phu!$I$30,M208=phu!$I$31),"Cam Phú",""),IF(OR(M208=phu!$I$32,M208=phu!$I$33,M208=phu!$I$34,M208=phu!$I$35,M208=phu!$I$36,M208=phu!$I$37),"Cam Lộc",""),IF(OR(M208=phu!$I$38,M208=phu!$I$39,M208=phu!$I$40,M208=phu!$I$41,M208=phu!$I$42,M208=phu!$I$43,M208=phu!$I$44),"Cam Thuận",""),IF(OR(M208=phu!$I$45,M208=phu!$I$46,M208=phu!$I$47,M208=phu!$I$48,M208=phu!$I$49,M208=phu!$I$50,M208=phu!$I$51,M208=phu!$I$52,M208=phu!$I$53),"Cam Linh",""),IF(OR(M208=phu!$I$54,M208=phu!$I$55,M208=phu!$I$56,M208=phu!$I$57,M208=phu!$I$58,M208=phu!$I$59,M208=phu!$I$60,M208=phu!$I$61,M208=phu!$I$62),"Cam Lợi",""),IF(OR(M208=phu!$I$63,M208=phu!$I$64,M208=phu!$I$65,M208=phu!$I$66,M208=phu!$I$67,M208=phu!$I$68,M208=phu!$I$69,M208=phu!$I$70,M208=phu!$I$71),"Ba Ngòi",""),IF(OR(M208=phu!$I$72,M208=phu!$I$73,M208=phu!$I$74,M208=phu!$I$75,M208=phu!$I$76,M208=phu!$I$77,M208=phu!$I$78),"Cam Phước Đông",""),IF(OR(M208=phu!$I$79,M208=phu!$I$80,M208=phu!$I$81,M208=phu!$I$82,M208=phu!$I$83,M208=phu!$I$84),"Cam Thịnh Đông",""),IF(OR(M208=phu!$I$85,M208=phu!$I$86,M208=phu!$I$87,M208=phu!$I$88),"Cam Thịnh Tây",""),IF(OR(M208=phu!$I$89,M208=phu!$I$90),"Cam Lập",""),IF(OR(M208=phu!$I$91,M208=phu!$I$92,M208=phu!$I$93),"Cam Bình",""),IF(OR(M208=phu!$I$94,M208=phu!$I$95,M208=phu!$I$96,M208=phu!$I$97,M208=phu!$I$98,M208=phu!$I$99,M208=phu!$I$100),"Huyện khác",""),IF(OR(M208=phu!$I$101,M208=phu!$I$102),"Tỉnh khác",""))</f>
        <v/>
      </c>
      <c r="O208" s="814" t="str">
        <f t="shared" si="19"/>
        <v/>
      </c>
      <c r="P208" s="254"/>
      <c r="Q208" s="254"/>
      <c r="R208" s="254"/>
      <c r="S208" s="254"/>
      <c r="T208" s="254"/>
      <c r="U208" s="254"/>
      <c r="V208" s="254"/>
      <c r="W208" s="254"/>
      <c r="Y208" s="246" t="str">
        <f t="shared" si="20"/>
        <v/>
      </c>
      <c r="Z208" s="247" t="str">
        <f t="shared" si="18"/>
        <v/>
      </c>
      <c r="AA208" s="246" t="str">
        <f t="shared" si="21"/>
        <v/>
      </c>
    </row>
    <row r="209" spans="1:27" ht="18" customHeight="1" x14ac:dyDescent="0.25">
      <c r="A209" s="248" t="str">
        <f t="shared" si="22"/>
        <v/>
      </c>
      <c r="B209" s="249" t="str">
        <f t="shared" si="23"/>
        <v/>
      </c>
      <c r="C209" s="250"/>
      <c r="D209" s="251"/>
      <c r="E209" s="241"/>
      <c r="F209" s="252"/>
      <c r="G209" s="252"/>
      <c r="H209" s="253"/>
      <c r="I209" s="250"/>
      <c r="J209" s="250"/>
      <c r="K209" s="270"/>
      <c r="L209" s="250"/>
      <c r="M209" s="250"/>
      <c r="N209" s="553" t="str">
        <f>CONCATENATE(IF(OR(M209=phu!$I$1,M209=phu!$I$2,M209=phu!$I$3),"Cam Thành Nam",""),IF(OR(M209=phu!$I$4,M209=phu!$I$5,M209=phu!$I$6,M209=phu!$I$7,M209=phu!$I$8,M209=phu!$I$9,M209=phu!$I$10,M209=phu!$I$11,M209=phu!$I$12,M209=phu!$I$13,M209=phu!$I$14),"Cam Nghĩa",""),IF(OR(M209=phu!$I$15,M209=phu!$I$16,M209=phu!$I$17,M209=phu!$I$18,M209=phu!$I$19,M209=phu!$I$20,M209=phu!$I$21),"Cam Phúc Bắc",""),IF(OR(M209=phu!$I$22,M209=phu!$I$23,M209=phu!$I$24,M209=phu!$I$25),"Cam Phúc Nam",""),IF(OR(M209=phu!$I$26,M209=phu!$I$27,M209=phu!$I$28,M209=phu!$I$29,M209=phu!$I$30,M209=phu!$I$31),"Cam Phú",""),IF(OR(M209=phu!$I$32,M209=phu!$I$33,M209=phu!$I$34,M209=phu!$I$35,M209=phu!$I$36,M209=phu!$I$37),"Cam Lộc",""),IF(OR(M209=phu!$I$38,M209=phu!$I$39,M209=phu!$I$40,M209=phu!$I$41,M209=phu!$I$42,M209=phu!$I$43,M209=phu!$I$44),"Cam Thuận",""),IF(OR(M209=phu!$I$45,M209=phu!$I$46,M209=phu!$I$47,M209=phu!$I$48,M209=phu!$I$49,M209=phu!$I$50,M209=phu!$I$51,M209=phu!$I$52,M209=phu!$I$53),"Cam Linh",""),IF(OR(M209=phu!$I$54,M209=phu!$I$55,M209=phu!$I$56,M209=phu!$I$57,M209=phu!$I$58,M209=phu!$I$59,M209=phu!$I$60,M209=phu!$I$61,M209=phu!$I$62),"Cam Lợi",""),IF(OR(M209=phu!$I$63,M209=phu!$I$64,M209=phu!$I$65,M209=phu!$I$66,M209=phu!$I$67,M209=phu!$I$68,M209=phu!$I$69,M209=phu!$I$70,M209=phu!$I$71),"Ba Ngòi",""),IF(OR(M209=phu!$I$72,M209=phu!$I$73,M209=phu!$I$74,M209=phu!$I$75,M209=phu!$I$76,M209=phu!$I$77,M209=phu!$I$78),"Cam Phước Đông",""),IF(OR(M209=phu!$I$79,M209=phu!$I$80,M209=phu!$I$81,M209=phu!$I$82,M209=phu!$I$83,M209=phu!$I$84),"Cam Thịnh Đông",""),IF(OR(M209=phu!$I$85,M209=phu!$I$86,M209=phu!$I$87,M209=phu!$I$88),"Cam Thịnh Tây",""),IF(OR(M209=phu!$I$89,M209=phu!$I$90),"Cam Lập",""),IF(OR(M209=phu!$I$91,M209=phu!$I$92,M209=phu!$I$93),"Cam Bình",""),IF(OR(M209=phu!$I$94,M209=phu!$I$95,M209=phu!$I$96,M209=phu!$I$97,M209=phu!$I$98,M209=phu!$I$99,M209=phu!$I$100),"Huyện khác",""),IF(OR(M209=phu!$I$101,M209=phu!$I$102),"Tỉnh khác",""))</f>
        <v/>
      </c>
      <c r="O209" s="814" t="str">
        <f t="shared" si="19"/>
        <v/>
      </c>
      <c r="P209" s="254"/>
      <c r="Q209" s="254"/>
      <c r="R209" s="254"/>
      <c r="S209" s="254"/>
      <c r="T209" s="254"/>
      <c r="U209" s="254"/>
      <c r="V209" s="254"/>
      <c r="W209" s="254"/>
      <c r="Y209" s="246" t="str">
        <f t="shared" si="20"/>
        <v/>
      </c>
      <c r="Z209" s="247" t="str">
        <f t="shared" si="18"/>
        <v/>
      </c>
      <c r="AA209" s="246" t="str">
        <f t="shared" si="21"/>
        <v/>
      </c>
    </row>
    <row r="210" spans="1:27" ht="18" customHeight="1" x14ac:dyDescent="0.25">
      <c r="A210" s="248" t="str">
        <f t="shared" si="22"/>
        <v/>
      </c>
      <c r="B210" s="249" t="str">
        <f t="shared" si="23"/>
        <v/>
      </c>
      <c r="C210" s="250"/>
      <c r="D210" s="251"/>
      <c r="E210" s="241"/>
      <c r="F210" s="252"/>
      <c r="G210" s="252"/>
      <c r="H210" s="253"/>
      <c r="I210" s="250"/>
      <c r="J210" s="250"/>
      <c r="K210" s="270"/>
      <c r="L210" s="250"/>
      <c r="M210" s="250"/>
      <c r="N210" s="553" t="str">
        <f>CONCATENATE(IF(OR(M210=phu!$I$1,M210=phu!$I$2,M210=phu!$I$3),"Cam Thành Nam",""),IF(OR(M210=phu!$I$4,M210=phu!$I$5,M210=phu!$I$6,M210=phu!$I$7,M210=phu!$I$8,M210=phu!$I$9,M210=phu!$I$10,M210=phu!$I$11,M210=phu!$I$12,M210=phu!$I$13,M210=phu!$I$14),"Cam Nghĩa",""),IF(OR(M210=phu!$I$15,M210=phu!$I$16,M210=phu!$I$17,M210=phu!$I$18,M210=phu!$I$19,M210=phu!$I$20,M210=phu!$I$21),"Cam Phúc Bắc",""),IF(OR(M210=phu!$I$22,M210=phu!$I$23,M210=phu!$I$24,M210=phu!$I$25),"Cam Phúc Nam",""),IF(OR(M210=phu!$I$26,M210=phu!$I$27,M210=phu!$I$28,M210=phu!$I$29,M210=phu!$I$30,M210=phu!$I$31),"Cam Phú",""),IF(OR(M210=phu!$I$32,M210=phu!$I$33,M210=phu!$I$34,M210=phu!$I$35,M210=phu!$I$36,M210=phu!$I$37),"Cam Lộc",""),IF(OR(M210=phu!$I$38,M210=phu!$I$39,M210=phu!$I$40,M210=phu!$I$41,M210=phu!$I$42,M210=phu!$I$43,M210=phu!$I$44),"Cam Thuận",""),IF(OR(M210=phu!$I$45,M210=phu!$I$46,M210=phu!$I$47,M210=phu!$I$48,M210=phu!$I$49,M210=phu!$I$50,M210=phu!$I$51,M210=phu!$I$52,M210=phu!$I$53),"Cam Linh",""),IF(OR(M210=phu!$I$54,M210=phu!$I$55,M210=phu!$I$56,M210=phu!$I$57,M210=phu!$I$58,M210=phu!$I$59,M210=phu!$I$60,M210=phu!$I$61,M210=phu!$I$62),"Cam Lợi",""),IF(OR(M210=phu!$I$63,M210=phu!$I$64,M210=phu!$I$65,M210=phu!$I$66,M210=phu!$I$67,M210=phu!$I$68,M210=phu!$I$69,M210=phu!$I$70,M210=phu!$I$71),"Ba Ngòi",""),IF(OR(M210=phu!$I$72,M210=phu!$I$73,M210=phu!$I$74,M210=phu!$I$75,M210=phu!$I$76,M210=phu!$I$77,M210=phu!$I$78),"Cam Phước Đông",""),IF(OR(M210=phu!$I$79,M210=phu!$I$80,M210=phu!$I$81,M210=phu!$I$82,M210=phu!$I$83,M210=phu!$I$84),"Cam Thịnh Đông",""),IF(OR(M210=phu!$I$85,M210=phu!$I$86,M210=phu!$I$87,M210=phu!$I$88),"Cam Thịnh Tây",""),IF(OR(M210=phu!$I$89,M210=phu!$I$90),"Cam Lập",""),IF(OR(M210=phu!$I$91,M210=phu!$I$92,M210=phu!$I$93),"Cam Bình",""),IF(OR(M210=phu!$I$94,M210=phu!$I$95,M210=phu!$I$96,M210=phu!$I$97,M210=phu!$I$98,M210=phu!$I$99,M210=phu!$I$100),"Huyện khác",""),IF(OR(M210=phu!$I$101,M210=phu!$I$102),"Tỉnh khác",""))</f>
        <v/>
      </c>
      <c r="O210" s="814" t="str">
        <f t="shared" si="19"/>
        <v/>
      </c>
      <c r="P210" s="254"/>
      <c r="Q210" s="254"/>
      <c r="R210" s="254"/>
      <c r="S210" s="254"/>
      <c r="T210" s="254"/>
      <c r="U210" s="254"/>
      <c r="V210" s="254"/>
      <c r="W210" s="254"/>
      <c r="Y210" s="246" t="str">
        <f t="shared" si="20"/>
        <v/>
      </c>
      <c r="Z210" s="247" t="str">
        <f t="shared" si="18"/>
        <v/>
      </c>
      <c r="AA210" s="246" t="str">
        <f t="shared" si="21"/>
        <v/>
      </c>
    </row>
    <row r="211" spans="1:27" ht="18" customHeight="1" x14ac:dyDescent="0.25">
      <c r="A211" s="248" t="str">
        <f t="shared" si="22"/>
        <v/>
      </c>
      <c r="B211" s="249" t="str">
        <f t="shared" si="23"/>
        <v/>
      </c>
      <c r="C211" s="250"/>
      <c r="D211" s="251"/>
      <c r="E211" s="241"/>
      <c r="F211" s="252"/>
      <c r="G211" s="252"/>
      <c r="H211" s="253"/>
      <c r="I211" s="250"/>
      <c r="J211" s="250"/>
      <c r="K211" s="270"/>
      <c r="L211" s="250"/>
      <c r="M211" s="250"/>
      <c r="N211" s="553" t="str">
        <f>CONCATENATE(IF(OR(M211=phu!$I$1,M211=phu!$I$2,M211=phu!$I$3),"Cam Thành Nam",""),IF(OR(M211=phu!$I$4,M211=phu!$I$5,M211=phu!$I$6,M211=phu!$I$7,M211=phu!$I$8,M211=phu!$I$9,M211=phu!$I$10,M211=phu!$I$11,M211=phu!$I$12,M211=phu!$I$13,M211=phu!$I$14),"Cam Nghĩa",""),IF(OR(M211=phu!$I$15,M211=phu!$I$16,M211=phu!$I$17,M211=phu!$I$18,M211=phu!$I$19,M211=phu!$I$20,M211=phu!$I$21),"Cam Phúc Bắc",""),IF(OR(M211=phu!$I$22,M211=phu!$I$23,M211=phu!$I$24,M211=phu!$I$25),"Cam Phúc Nam",""),IF(OR(M211=phu!$I$26,M211=phu!$I$27,M211=phu!$I$28,M211=phu!$I$29,M211=phu!$I$30,M211=phu!$I$31),"Cam Phú",""),IF(OR(M211=phu!$I$32,M211=phu!$I$33,M211=phu!$I$34,M211=phu!$I$35,M211=phu!$I$36,M211=phu!$I$37),"Cam Lộc",""),IF(OR(M211=phu!$I$38,M211=phu!$I$39,M211=phu!$I$40,M211=phu!$I$41,M211=phu!$I$42,M211=phu!$I$43,M211=phu!$I$44),"Cam Thuận",""),IF(OR(M211=phu!$I$45,M211=phu!$I$46,M211=phu!$I$47,M211=phu!$I$48,M211=phu!$I$49,M211=phu!$I$50,M211=phu!$I$51,M211=phu!$I$52,M211=phu!$I$53),"Cam Linh",""),IF(OR(M211=phu!$I$54,M211=phu!$I$55,M211=phu!$I$56,M211=phu!$I$57,M211=phu!$I$58,M211=phu!$I$59,M211=phu!$I$60,M211=phu!$I$61,M211=phu!$I$62),"Cam Lợi",""),IF(OR(M211=phu!$I$63,M211=phu!$I$64,M211=phu!$I$65,M211=phu!$I$66,M211=phu!$I$67,M211=phu!$I$68,M211=phu!$I$69,M211=phu!$I$70,M211=phu!$I$71),"Ba Ngòi",""),IF(OR(M211=phu!$I$72,M211=phu!$I$73,M211=phu!$I$74,M211=phu!$I$75,M211=phu!$I$76,M211=phu!$I$77,M211=phu!$I$78),"Cam Phước Đông",""),IF(OR(M211=phu!$I$79,M211=phu!$I$80,M211=phu!$I$81,M211=phu!$I$82,M211=phu!$I$83,M211=phu!$I$84),"Cam Thịnh Đông",""),IF(OR(M211=phu!$I$85,M211=phu!$I$86,M211=phu!$I$87,M211=phu!$I$88),"Cam Thịnh Tây",""),IF(OR(M211=phu!$I$89,M211=phu!$I$90),"Cam Lập",""),IF(OR(M211=phu!$I$91,M211=phu!$I$92,M211=phu!$I$93),"Cam Bình",""),IF(OR(M211=phu!$I$94,M211=phu!$I$95,M211=phu!$I$96,M211=phu!$I$97,M211=phu!$I$98,M211=phu!$I$99,M211=phu!$I$100),"Huyện khác",""),IF(OR(M211=phu!$I$101,M211=phu!$I$102),"Tỉnh khác",""))</f>
        <v/>
      </c>
      <c r="O211" s="814" t="str">
        <f t="shared" si="19"/>
        <v/>
      </c>
      <c r="P211" s="254"/>
      <c r="Q211" s="254"/>
      <c r="R211" s="254"/>
      <c r="S211" s="254"/>
      <c r="T211" s="254"/>
      <c r="U211" s="254"/>
      <c r="V211" s="254"/>
      <c r="W211" s="254"/>
      <c r="Y211" s="246" t="str">
        <f t="shared" si="20"/>
        <v/>
      </c>
      <c r="Z211" s="247" t="str">
        <f t="shared" si="18"/>
        <v/>
      </c>
      <c r="AA211" s="246" t="str">
        <f t="shared" si="21"/>
        <v/>
      </c>
    </row>
    <row r="212" spans="1:27" ht="18" customHeight="1" x14ac:dyDescent="0.25">
      <c r="A212" s="248" t="str">
        <f t="shared" si="22"/>
        <v/>
      </c>
      <c r="B212" s="249" t="str">
        <f t="shared" si="23"/>
        <v/>
      </c>
      <c r="C212" s="250"/>
      <c r="D212" s="251"/>
      <c r="E212" s="241"/>
      <c r="F212" s="252"/>
      <c r="G212" s="252"/>
      <c r="H212" s="253"/>
      <c r="I212" s="250"/>
      <c r="J212" s="250"/>
      <c r="K212" s="270"/>
      <c r="L212" s="250"/>
      <c r="M212" s="250"/>
      <c r="N212" s="553" t="str">
        <f>CONCATENATE(IF(OR(M212=phu!$I$1,M212=phu!$I$2,M212=phu!$I$3),"Cam Thành Nam",""),IF(OR(M212=phu!$I$4,M212=phu!$I$5,M212=phu!$I$6,M212=phu!$I$7,M212=phu!$I$8,M212=phu!$I$9,M212=phu!$I$10,M212=phu!$I$11,M212=phu!$I$12,M212=phu!$I$13,M212=phu!$I$14),"Cam Nghĩa",""),IF(OR(M212=phu!$I$15,M212=phu!$I$16,M212=phu!$I$17,M212=phu!$I$18,M212=phu!$I$19,M212=phu!$I$20,M212=phu!$I$21),"Cam Phúc Bắc",""),IF(OR(M212=phu!$I$22,M212=phu!$I$23,M212=phu!$I$24,M212=phu!$I$25),"Cam Phúc Nam",""),IF(OR(M212=phu!$I$26,M212=phu!$I$27,M212=phu!$I$28,M212=phu!$I$29,M212=phu!$I$30,M212=phu!$I$31),"Cam Phú",""),IF(OR(M212=phu!$I$32,M212=phu!$I$33,M212=phu!$I$34,M212=phu!$I$35,M212=phu!$I$36,M212=phu!$I$37),"Cam Lộc",""),IF(OR(M212=phu!$I$38,M212=phu!$I$39,M212=phu!$I$40,M212=phu!$I$41,M212=phu!$I$42,M212=phu!$I$43,M212=phu!$I$44),"Cam Thuận",""),IF(OR(M212=phu!$I$45,M212=phu!$I$46,M212=phu!$I$47,M212=phu!$I$48,M212=phu!$I$49,M212=phu!$I$50,M212=phu!$I$51,M212=phu!$I$52,M212=phu!$I$53),"Cam Linh",""),IF(OR(M212=phu!$I$54,M212=phu!$I$55,M212=phu!$I$56,M212=phu!$I$57,M212=phu!$I$58,M212=phu!$I$59,M212=phu!$I$60,M212=phu!$I$61,M212=phu!$I$62),"Cam Lợi",""),IF(OR(M212=phu!$I$63,M212=phu!$I$64,M212=phu!$I$65,M212=phu!$I$66,M212=phu!$I$67,M212=phu!$I$68,M212=phu!$I$69,M212=phu!$I$70,M212=phu!$I$71),"Ba Ngòi",""),IF(OR(M212=phu!$I$72,M212=phu!$I$73,M212=phu!$I$74,M212=phu!$I$75,M212=phu!$I$76,M212=phu!$I$77,M212=phu!$I$78),"Cam Phước Đông",""),IF(OR(M212=phu!$I$79,M212=phu!$I$80,M212=phu!$I$81,M212=phu!$I$82,M212=phu!$I$83,M212=phu!$I$84),"Cam Thịnh Đông",""),IF(OR(M212=phu!$I$85,M212=phu!$I$86,M212=phu!$I$87,M212=phu!$I$88),"Cam Thịnh Tây",""),IF(OR(M212=phu!$I$89,M212=phu!$I$90),"Cam Lập",""),IF(OR(M212=phu!$I$91,M212=phu!$I$92,M212=phu!$I$93),"Cam Bình",""),IF(OR(M212=phu!$I$94,M212=phu!$I$95,M212=phu!$I$96,M212=phu!$I$97,M212=phu!$I$98,M212=phu!$I$99,M212=phu!$I$100),"Huyện khác",""),IF(OR(M212=phu!$I$101,M212=phu!$I$102),"Tỉnh khác",""))</f>
        <v/>
      </c>
      <c r="O212" s="814" t="str">
        <f t="shared" si="19"/>
        <v/>
      </c>
      <c r="P212" s="254"/>
      <c r="Q212" s="254"/>
      <c r="R212" s="254"/>
      <c r="S212" s="254"/>
      <c r="T212" s="254"/>
      <c r="U212" s="254"/>
      <c r="V212" s="254"/>
      <c r="W212" s="254"/>
      <c r="Y212" s="246" t="str">
        <f t="shared" si="20"/>
        <v/>
      </c>
      <c r="Z212" s="247" t="str">
        <f t="shared" si="18"/>
        <v/>
      </c>
      <c r="AA212" s="246" t="str">
        <f t="shared" si="21"/>
        <v/>
      </c>
    </row>
    <row r="213" spans="1:27" ht="18" customHeight="1" x14ac:dyDescent="0.25">
      <c r="A213" s="248" t="str">
        <f t="shared" si="22"/>
        <v/>
      </c>
      <c r="B213" s="249" t="str">
        <f t="shared" si="23"/>
        <v/>
      </c>
      <c r="C213" s="250"/>
      <c r="D213" s="251"/>
      <c r="E213" s="241"/>
      <c r="F213" s="252"/>
      <c r="G213" s="252"/>
      <c r="H213" s="253"/>
      <c r="I213" s="250"/>
      <c r="J213" s="250"/>
      <c r="K213" s="270"/>
      <c r="L213" s="250"/>
      <c r="M213" s="250"/>
      <c r="N213" s="553" t="str">
        <f>CONCATENATE(IF(OR(M213=phu!$I$1,M213=phu!$I$2,M213=phu!$I$3),"Cam Thành Nam",""),IF(OR(M213=phu!$I$4,M213=phu!$I$5,M213=phu!$I$6,M213=phu!$I$7,M213=phu!$I$8,M213=phu!$I$9,M213=phu!$I$10,M213=phu!$I$11,M213=phu!$I$12,M213=phu!$I$13,M213=phu!$I$14),"Cam Nghĩa",""),IF(OR(M213=phu!$I$15,M213=phu!$I$16,M213=phu!$I$17,M213=phu!$I$18,M213=phu!$I$19,M213=phu!$I$20,M213=phu!$I$21),"Cam Phúc Bắc",""),IF(OR(M213=phu!$I$22,M213=phu!$I$23,M213=phu!$I$24,M213=phu!$I$25),"Cam Phúc Nam",""),IF(OR(M213=phu!$I$26,M213=phu!$I$27,M213=phu!$I$28,M213=phu!$I$29,M213=phu!$I$30,M213=phu!$I$31),"Cam Phú",""),IF(OR(M213=phu!$I$32,M213=phu!$I$33,M213=phu!$I$34,M213=phu!$I$35,M213=phu!$I$36,M213=phu!$I$37),"Cam Lộc",""),IF(OR(M213=phu!$I$38,M213=phu!$I$39,M213=phu!$I$40,M213=phu!$I$41,M213=phu!$I$42,M213=phu!$I$43,M213=phu!$I$44),"Cam Thuận",""),IF(OR(M213=phu!$I$45,M213=phu!$I$46,M213=phu!$I$47,M213=phu!$I$48,M213=phu!$I$49,M213=phu!$I$50,M213=phu!$I$51,M213=phu!$I$52,M213=phu!$I$53),"Cam Linh",""),IF(OR(M213=phu!$I$54,M213=phu!$I$55,M213=phu!$I$56,M213=phu!$I$57,M213=phu!$I$58,M213=phu!$I$59,M213=phu!$I$60,M213=phu!$I$61,M213=phu!$I$62),"Cam Lợi",""),IF(OR(M213=phu!$I$63,M213=phu!$I$64,M213=phu!$I$65,M213=phu!$I$66,M213=phu!$I$67,M213=phu!$I$68,M213=phu!$I$69,M213=phu!$I$70,M213=phu!$I$71),"Ba Ngòi",""),IF(OR(M213=phu!$I$72,M213=phu!$I$73,M213=phu!$I$74,M213=phu!$I$75,M213=phu!$I$76,M213=phu!$I$77,M213=phu!$I$78),"Cam Phước Đông",""),IF(OR(M213=phu!$I$79,M213=phu!$I$80,M213=phu!$I$81,M213=phu!$I$82,M213=phu!$I$83,M213=phu!$I$84),"Cam Thịnh Đông",""),IF(OR(M213=phu!$I$85,M213=phu!$I$86,M213=phu!$I$87,M213=phu!$I$88),"Cam Thịnh Tây",""),IF(OR(M213=phu!$I$89,M213=phu!$I$90),"Cam Lập",""),IF(OR(M213=phu!$I$91,M213=phu!$I$92,M213=phu!$I$93),"Cam Bình",""),IF(OR(M213=phu!$I$94,M213=phu!$I$95,M213=phu!$I$96,M213=phu!$I$97,M213=phu!$I$98,M213=phu!$I$99,M213=phu!$I$100),"Huyện khác",""),IF(OR(M213=phu!$I$101,M213=phu!$I$102),"Tỉnh khác",""))</f>
        <v/>
      </c>
      <c r="O213" s="814" t="str">
        <f t="shared" si="19"/>
        <v/>
      </c>
      <c r="P213" s="254"/>
      <c r="Q213" s="254"/>
      <c r="R213" s="254"/>
      <c r="S213" s="254"/>
      <c r="T213" s="254"/>
      <c r="U213" s="254"/>
      <c r="V213" s="254"/>
      <c r="W213" s="254"/>
      <c r="Y213" s="246" t="str">
        <f t="shared" si="20"/>
        <v/>
      </c>
      <c r="Z213" s="247" t="str">
        <f t="shared" si="18"/>
        <v/>
      </c>
      <c r="AA213" s="246" t="str">
        <f t="shared" si="21"/>
        <v/>
      </c>
    </row>
    <row r="214" spans="1:27" ht="18" customHeight="1" x14ac:dyDescent="0.25">
      <c r="A214" s="248" t="str">
        <f t="shared" si="22"/>
        <v/>
      </c>
      <c r="B214" s="249" t="str">
        <f t="shared" si="23"/>
        <v/>
      </c>
      <c r="C214" s="250"/>
      <c r="D214" s="251"/>
      <c r="E214" s="241"/>
      <c r="F214" s="252"/>
      <c r="G214" s="252"/>
      <c r="H214" s="253"/>
      <c r="I214" s="250"/>
      <c r="J214" s="250"/>
      <c r="K214" s="270"/>
      <c r="L214" s="250"/>
      <c r="M214" s="250"/>
      <c r="N214" s="553" t="str">
        <f>CONCATENATE(IF(OR(M214=phu!$I$1,M214=phu!$I$2,M214=phu!$I$3),"Cam Thành Nam",""),IF(OR(M214=phu!$I$4,M214=phu!$I$5,M214=phu!$I$6,M214=phu!$I$7,M214=phu!$I$8,M214=phu!$I$9,M214=phu!$I$10,M214=phu!$I$11,M214=phu!$I$12,M214=phu!$I$13,M214=phu!$I$14),"Cam Nghĩa",""),IF(OR(M214=phu!$I$15,M214=phu!$I$16,M214=phu!$I$17,M214=phu!$I$18,M214=phu!$I$19,M214=phu!$I$20,M214=phu!$I$21),"Cam Phúc Bắc",""),IF(OR(M214=phu!$I$22,M214=phu!$I$23,M214=phu!$I$24,M214=phu!$I$25),"Cam Phúc Nam",""),IF(OR(M214=phu!$I$26,M214=phu!$I$27,M214=phu!$I$28,M214=phu!$I$29,M214=phu!$I$30,M214=phu!$I$31),"Cam Phú",""),IF(OR(M214=phu!$I$32,M214=phu!$I$33,M214=phu!$I$34,M214=phu!$I$35,M214=phu!$I$36,M214=phu!$I$37),"Cam Lộc",""),IF(OR(M214=phu!$I$38,M214=phu!$I$39,M214=phu!$I$40,M214=phu!$I$41,M214=phu!$I$42,M214=phu!$I$43,M214=phu!$I$44),"Cam Thuận",""),IF(OR(M214=phu!$I$45,M214=phu!$I$46,M214=phu!$I$47,M214=phu!$I$48,M214=phu!$I$49,M214=phu!$I$50,M214=phu!$I$51,M214=phu!$I$52,M214=phu!$I$53),"Cam Linh",""),IF(OR(M214=phu!$I$54,M214=phu!$I$55,M214=phu!$I$56,M214=phu!$I$57,M214=phu!$I$58,M214=phu!$I$59,M214=phu!$I$60,M214=phu!$I$61,M214=phu!$I$62),"Cam Lợi",""),IF(OR(M214=phu!$I$63,M214=phu!$I$64,M214=phu!$I$65,M214=phu!$I$66,M214=phu!$I$67,M214=phu!$I$68,M214=phu!$I$69,M214=phu!$I$70,M214=phu!$I$71),"Ba Ngòi",""),IF(OR(M214=phu!$I$72,M214=phu!$I$73,M214=phu!$I$74,M214=phu!$I$75,M214=phu!$I$76,M214=phu!$I$77,M214=phu!$I$78),"Cam Phước Đông",""),IF(OR(M214=phu!$I$79,M214=phu!$I$80,M214=phu!$I$81,M214=phu!$I$82,M214=phu!$I$83,M214=phu!$I$84),"Cam Thịnh Đông",""),IF(OR(M214=phu!$I$85,M214=phu!$I$86,M214=phu!$I$87,M214=phu!$I$88),"Cam Thịnh Tây",""),IF(OR(M214=phu!$I$89,M214=phu!$I$90),"Cam Lập",""),IF(OR(M214=phu!$I$91,M214=phu!$I$92,M214=phu!$I$93),"Cam Bình",""),IF(OR(M214=phu!$I$94,M214=phu!$I$95,M214=phu!$I$96,M214=phu!$I$97,M214=phu!$I$98,M214=phu!$I$99,M214=phu!$I$100),"Huyện khác",""),IF(OR(M214=phu!$I$101,M214=phu!$I$102),"Tỉnh khác",""))</f>
        <v/>
      </c>
      <c r="O214" s="814" t="str">
        <f t="shared" si="19"/>
        <v/>
      </c>
      <c r="P214" s="254"/>
      <c r="Q214" s="254"/>
      <c r="R214" s="254"/>
      <c r="S214" s="254"/>
      <c r="T214" s="254"/>
      <c r="U214" s="254"/>
      <c r="V214" s="254"/>
      <c r="W214" s="254"/>
      <c r="Y214" s="246" t="str">
        <f t="shared" si="20"/>
        <v/>
      </c>
      <c r="Z214" s="247" t="str">
        <f t="shared" si="18"/>
        <v/>
      </c>
      <c r="AA214" s="246" t="str">
        <f t="shared" si="21"/>
        <v/>
      </c>
    </row>
    <row r="215" spans="1:27" ht="18" customHeight="1" x14ac:dyDescent="0.25">
      <c r="A215" s="248" t="str">
        <f t="shared" si="22"/>
        <v/>
      </c>
      <c r="B215" s="249" t="str">
        <f t="shared" si="23"/>
        <v/>
      </c>
      <c r="C215" s="250"/>
      <c r="D215" s="251"/>
      <c r="E215" s="241"/>
      <c r="F215" s="252"/>
      <c r="G215" s="252"/>
      <c r="H215" s="253"/>
      <c r="I215" s="250"/>
      <c r="J215" s="250"/>
      <c r="K215" s="270"/>
      <c r="L215" s="250"/>
      <c r="M215" s="250"/>
      <c r="N215" s="553" t="str">
        <f>CONCATENATE(IF(OR(M215=phu!$I$1,M215=phu!$I$2,M215=phu!$I$3),"Cam Thành Nam",""),IF(OR(M215=phu!$I$4,M215=phu!$I$5,M215=phu!$I$6,M215=phu!$I$7,M215=phu!$I$8,M215=phu!$I$9,M215=phu!$I$10,M215=phu!$I$11,M215=phu!$I$12,M215=phu!$I$13,M215=phu!$I$14),"Cam Nghĩa",""),IF(OR(M215=phu!$I$15,M215=phu!$I$16,M215=phu!$I$17,M215=phu!$I$18,M215=phu!$I$19,M215=phu!$I$20,M215=phu!$I$21),"Cam Phúc Bắc",""),IF(OR(M215=phu!$I$22,M215=phu!$I$23,M215=phu!$I$24,M215=phu!$I$25),"Cam Phúc Nam",""),IF(OR(M215=phu!$I$26,M215=phu!$I$27,M215=phu!$I$28,M215=phu!$I$29,M215=phu!$I$30,M215=phu!$I$31),"Cam Phú",""),IF(OR(M215=phu!$I$32,M215=phu!$I$33,M215=phu!$I$34,M215=phu!$I$35,M215=phu!$I$36,M215=phu!$I$37),"Cam Lộc",""),IF(OR(M215=phu!$I$38,M215=phu!$I$39,M215=phu!$I$40,M215=phu!$I$41,M215=phu!$I$42,M215=phu!$I$43,M215=phu!$I$44),"Cam Thuận",""),IF(OR(M215=phu!$I$45,M215=phu!$I$46,M215=phu!$I$47,M215=phu!$I$48,M215=phu!$I$49,M215=phu!$I$50,M215=phu!$I$51,M215=phu!$I$52,M215=phu!$I$53),"Cam Linh",""),IF(OR(M215=phu!$I$54,M215=phu!$I$55,M215=phu!$I$56,M215=phu!$I$57,M215=phu!$I$58,M215=phu!$I$59,M215=phu!$I$60,M215=phu!$I$61,M215=phu!$I$62),"Cam Lợi",""),IF(OR(M215=phu!$I$63,M215=phu!$I$64,M215=phu!$I$65,M215=phu!$I$66,M215=phu!$I$67,M215=phu!$I$68,M215=phu!$I$69,M215=phu!$I$70,M215=phu!$I$71),"Ba Ngòi",""),IF(OR(M215=phu!$I$72,M215=phu!$I$73,M215=phu!$I$74,M215=phu!$I$75,M215=phu!$I$76,M215=phu!$I$77,M215=phu!$I$78),"Cam Phước Đông",""),IF(OR(M215=phu!$I$79,M215=phu!$I$80,M215=phu!$I$81,M215=phu!$I$82,M215=phu!$I$83,M215=phu!$I$84),"Cam Thịnh Đông",""),IF(OR(M215=phu!$I$85,M215=phu!$I$86,M215=phu!$I$87,M215=phu!$I$88),"Cam Thịnh Tây",""),IF(OR(M215=phu!$I$89,M215=phu!$I$90),"Cam Lập",""),IF(OR(M215=phu!$I$91,M215=phu!$I$92,M215=phu!$I$93),"Cam Bình",""),IF(OR(M215=phu!$I$94,M215=phu!$I$95,M215=phu!$I$96,M215=phu!$I$97,M215=phu!$I$98,M215=phu!$I$99,M215=phu!$I$100),"Huyện khác",""),IF(OR(M215=phu!$I$101,M215=phu!$I$102),"Tỉnh khác",""))</f>
        <v/>
      </c>
      <c r="O215" s="814" t="str">
        <f t="shared" si="19"/>
        <v/>
      </c>
      <c r="P215" s="254"/>
      <c r="Q215" s="254"/>
      <c r="R215" s="254"/>
      <c r="S215" s="254"/>
      <c r="T215" s="254"/>
      <c r="U215" s="254"/>
      <c r="V215" s="254"/>
      <c r="W215" s="254"/>
      <c r="Y215" s="246" t="str">
        <f t="shared" si="20"/>
        <v/>
      </c>
      <c r="Z215" s="247" t="str">
        <f t="shared" si="18"/>
        <v/>
      </c>
      <c r="AA215" s="246" t="str">
        <f t="shared" si="21"/>
        <v/>
      </c>
    </row>
    <row r="216" spans="1:27" ht="18" customHeight="1" x14ac:dyDescent="0.25">
      <c r="A216" s="248" t="str">
        <f t="shared" si="22"/>
        <v/>
      </c>
      <c r="B216" s="249" t="str">
        <f t="shared" si="23"/>
        <v/>
      </c>
      <c r="C216" s="250"/>
      <c r="D216" s="251"/>
      <c r="E216" s="241"/>
      <c r="F216" s="252"/>
      <c r="G216" s="252"/>
      <c r="H216" s="253"/>
      <c r="I216" s="250"/>
      <c r="J216" s="250"/>
      <c r="K216" s="270"/>
      <c r="L216" s="250"/>
      <c r="M216" s="250"/>
      <c r="N216" s="553" t="str">
        <f>CONCATENATE(IF(OR(M216=phu!$I$1,M216=phu!$I$2,M216=phu!$I$3),"Cam Thành Nam",""),IF(OR(M216=phu!$I$4,M216=phu!$I$5,M216=phu!$I$6,M216=phu!$I$7,M216=phu!$I$8,M216=phu!$I$9,M216=phu!$I$10,M216=phu!$I$11,M216=phu!$I$12,M216=phu!$I$13,M216=phu!$I$14),"Cam Nghĩa",""),IF(OR(M216=phu!$I$15,M216=phu!$I$16,M216=phu!$I$17,M216=phu!$I$18,M216=phu!$I$19,M216=phu!$I$20,M216=phu!$I$21),"Cam Phúc Bắc",""),IF(OR(M216=phu!$I$22,M216=phu!$I$23,M216=phu!$I$24,M216=phu!$I$25),"Cam Phúc Nam",""),IF(OR(M216=phu!$I$26,M216=phu!$I$27,M216=phu!$I$28,M216=phu!$I$29,M216=phu!$I$30,M216=phu!$I$31),"Cam Phú",""),IF(OR(M216=phu!$I$32,M216=phu!$I$33,M216=phu!$I$34,M216=phu!$I$35,M216=phu!$I$36,M216=phu!$I$37),"Cam Lộc",""),IF(OR(M216=phu!$I$38,M216=phu!$I$39,M216=phu!$I$40,M216=phu!$I$41,M216=phu!$I$42,M216=phu!$I$43,M216=phu!$I$44),"Cam Thuận",""),IF(OR(M216=phu!$I$45,M216=phu!$I$46,M216=phu!$I$47,M216=phu!$I$48,M216=phu!$I$49,M216=phu!$I$50,M216=phu!$I$51,M216=phu!$I$52,M216=phu!$I$53),"Cam Linh",""),IF(OR(M216=phu!$I$54,M216=phu!$I$55,M216=phu!$I$56,M216=phu!$I$57,M216=phu!$I$58,M216=phu!$I$59,M216=phu!$I$60,M216=phu!$I$61,M216=phu!$I$62),"Cam Lợi",""),IF(OR(M216=phu!$I$63,M216=phu!$I$64,M216=phu!$I$65,M216=phu!$I$66,M216=phu!$I$67,M216=phu!$I$68,M216=phu!$I$69,M216=phu!$I$70,M216=phu!$I$71),"Ba Ngòi",""),IF(OR(M216=phu!$I$72,M216=phu!$I$73,M216=phu!$I$74,M216=phu!$I$75,M216=phu!$I$76,M216=phu!$I$77,M216=phu!$I$78),"Cam Phước Đông",""),IF(OR(M216=phu!$I$79,M216=phu!$I$80,M216=phu!$I$81,M216=phu!$I$82,M216=phu!$I$83,M216=phu!$I$84),"Cam Thịnh Đông",""),IF(OR(M216=phu!$I$85,M216=phu!$I$86,M216=phu!$I$87,M216=phu!$I$88),"Cam Thịnh Tây",""),IF(OR(M216=phu!$I$89,M216=phu!$I$90),"Cam Lập",""),IF(OR(M216=phu!$I$91,M216=phu!$I$92,M216=phu!$I$93),"Cam Bình",""),IF(OR(M216=phu!$I$94,M216=phu!$I$95,M216=phu!$I$96,M216=phu!$I$97,M216=phu!$I$98,M216=phu!$I$99,M216=phu!$I$100),"Huyện khác",""),IF(OR(M216=phu!$I$101,M216=phu!$I$102),"Tỉnh khác",""))</f>
        <v/>
      </c>
      <c r="O216" s="814" t="str">
        <f t="shared" si="19"/>
        <v/>
      </c>
      <c r="P216" s="254"/>
      <c r="Q216" s="254"/>
      <c r="R216" s="254"/>
      <c r="S216" s="254"/>
      <c r="T216" s="254"/>
      <c r="U216" s="254"/>
      <c r="V216" s="254"/>
      <c r="W216" s="254"/>
      <c r="Y216" s="246" t="str">
        <f t="shared" si="20"/>
        <v/>
      </c>
      <c r="Z216" s="247" t="str">
        <f t="shared" si="18"/>
        <v/>
      </c>
      <c r="AA216" s="246" t="str">
        <f t="shared" si="21"/>
        <v/>
      </c>
    </row>
    <row r="217" spans="1:27" ht="18" customHeight="1" x14ac:dyDescent="0.25">
      <c r="A217" s="248" t="str">
        <f t="shared" si="22"/>
        <v/>
      </c>
      <c r="B217" s="249" t="str">
        <f t="shared" si="23"/>
        <v/>
      </c>
      <c r="C217" s="250"/>
      <c r="D217" s="251"/>
      <c r="E217" s="241"/>
      <c r="F217" s="252"/>
      <c r="G217" s="252"/>
      <c r="H217" s="253"/>
      <c r="I217" s="250"/>
      <c r="J217" s="250"/>
      <c r="K217" s="270"/>
      <c r="L217" s="250"/>
      <c r="M217" s="250"/>
      <c r="N217" s="553" t="str">
        <f>CONCATENATE(IF(OR(M217=phu!$I$1,M217=phu!$I$2,M217=phu!$I$3),"Cam Thành Nam",""),IF(OR(M217=phu!$I$4,M217=phu!$I$5,M217=phu!$I$6,M217=phu!$I$7,M217=phu!$I$8,M217=phu!$I$9,M217=phu!$I$10,M217=phu!$I$11,M217=phu!$I$12,M217=phu!$I$13,M217=phu!$I$14),"Cam Nghĩa",""),IF(OR(M217=phu!$I$15,M217=phu!$I$16,M217=phu!$I$17,M217=phu!$I$18,M217=phu!$I$19,M217=phu!$I$20,M217=phu!$I$21),"Cam Phúc Bắc",""),IF(OR(M217=phu!$I$22,M217=phu!$I$23,M217=phu!$I$24,M217=phu!$I$25),"Cam Phúc Nam",""),IF(OR(M217=phu!$I$26,M217=phu!$I$27,M217=phu!$I$28,M217=phu!$I$29,M217=phu!$I$30,M217=phu!$I$31),"Cam Phú",""),IF(OR(M217=phu!$I$32,M217=phu!$I$33,M217=phu!$I$34,M217=phu!$I$35,M217=phu!$I$36,M217=phu!$I$37),"Cam Lộc",""),IF(OR(M217=phu!$I$38,M217=phu!$I$39,M217=phu!$I$40,M217=phu!$I$41,M217=phu!$I$42,M217=phu!$I$43,M217=phu!$I$44),"Cam Thuận",""),IF(OR(M217=phu!$I$45,M217=phu!$I$46,M217=phu!$I$47,M217=phu!$I$48,M217=phu!$I$49,M217=phu!$I$50,M217=phu!$I$51,M217=phu!$I$52,M217=phu!$I$53),"Cam Linh",""),IF(OR(M217=phu!$I$54,M217=phu!$I$55,M217=phu!$I$56,M217=phu!$I$57,M217=phu!$I$58,M217=phu!$I$59,M217=phu!$I$60,M217=phu!$I$61,M217=phu!$I$62),"Cam Lợi",""),IF(OR(M217=phu!$I$63,M217=phu!$I$64,M217=phu!$I$65,M217=phu!$I$66,M217=phu!$I$67,M217=phu!$I$68,M217=phu!$I$69,M217=phu!$I$70,M217=phu!$I$71),"Ba Ngòi",""),IF(OR(M217=phu!$I$72,M217=phu!$I$73,M217=phu!$I$74,M217=phu!$I$75,M217=phu!$I$76,M217=phu!$I$77,M217=phu!$I$78),"Cam Phước Đông",""),IF(OR(M217=phu!$I$79,M217=phu!$I$80,M217=phu!$I$81,M217=phu!$I$82,M217=phu!$I$83,M217=phu!$I$84),"Cam Thịnh Đông",""),IF(OR(M217=phu!$I$85,M217=phu!$I$86,M217=phu!$I$87,M217=phu!$I$88),"Cam Thịnh Tây",""),IF(OR(M217=phu!$I$89,M217=phu!$I$90),"Cam Lập",""),IF(OR(M217=phu!$I$91,M217=phu!$I$92,M217=phu!$I$93),"Cam Bình",""),IF(OR(M217=phu!$I$94,M217=phu!$I$95,M217=phu!$I$96,M217=phu!$I$97,M217=phu!$I$98,M217=phu!$I$99,M217=phu!$I$100),"Huyện khác",""),IF(OR(M217=phu!$I$101,M217=phu!$I$102),"Tỉnh khác",""))</f>
        <v/>
      </c>
      <c r="O217" s="814" t="str">
        <f t="shared" si="19"/>
        <v/>
      </c>
      <c r="P217" s="254"/>
      <c r="Q217" s="254"/>
      <c r="R217" s="254"/>
      <c r="S217" s="254"/>
      <c r="T217" s="254"/>
      <c r="U217" s="254"/>
      <c r="V217" s="254"/>
      <c r="W217" s="254"/>
      <c r="Y217" s="246" t="str">
        <f t="shared" si="20"/>
        <v/>
      </c>
      <c r="Z217" s="247" t="str">
        <f t="shared" si="18"/>
        <v/>
      </c>
      <c r="AA217" s="246" t="str">
        <f t="shared" si="21"/>
        <v/>
      </c>
    </row>
    <row r="218" spans="1:27" ht="18" customHeight="1" x14ac:dyDescent="0.25">
      <c r="A218" s="248" t="str">
        <f t="shared" si="22"/>
        <v/>
      </c>
      <c r="B218" s="249" t="str">
        <f t="shared" si="23"/>
        <v/>
      </c>
      <c r="C218" s="250"/>
      <c r="D218" s="251"/>
      <c r="E218" s="241"/>
      <c r="F218" s="252"/>
      <c r="G218" s="252"/>
      <c r="H218" s="253"/>
      <c r="I218" s="250"/>
      <c r="J218" s="250"/>
      <c r="K218" s="270"/>
      <c r="L218" s="250"/>
      <c r="M218" s="250"/>
      <c r="N218" s="553" t="str">
        <f>CONCATENATE(IF(OR(M218=phu!$I$1,M218=phu!$I$2,M218=phu!$I$3),"Cam Thành Nam",""),IF(OR(M218=phu!$I$4,M218=phu!$I$5,M218=phu!$I$6,M218=phu!$I$7,M218=phu!$I$8,M218=phu!$I$9,M218=phu!$I$10,M218=phu!$I$11,M218=phu!$I$12,M218=phu!$I$13,M218=phu!$I$14),"Cam Nghĩa",""),IF(OR(M218=phu!$I$15,M218=phu!$I$16,M218=phu!$I$17,M218=phu!$I$18,M218=phu!$I$19,M218=phu!$I$20,M218=phu!$I$21),"Cam Phúc Bắc",""),IF(OR(M218=phu!$I$22,M218=phu!$I$23,M218=phu!$I$24,M218=phu!$I$25),"Cam Phúc Nam",""),IF(OR(M218=phu!$I$26,M218=phu!$I$27,M218=phu!$I$28,M218=phu!$I$29,M218=phu!$I$30,M218=phu!$I$31),"Cam Phú",""),IF(OR(M218=phu!$I$32,M218=phu!$I$33,M218=phu!$I$34,M218=phu!$I$35,M218=phu!$I$36,M218=phu!$I$37),"Cam Lộc",""),IF(OR(M218=phu!$I$38,M218=phu!$I$39,M218=phu!$I$40,M218=phu!$I$41,M218=phu!$I$42,M218=phu!$I$43,M218=phu!$I$44),"Cam Thuận",""),IF(OR(M218=phu!$I$45,M218=phu!$I$46,M218=phu!$I$47,M218=phu!$I$48,M218=phu!$I$49,M218=phu!$I$50,M218=phu!$I$51,M218=phu!$I$52,M218=phu!$I$53),"Cam Linh",""),IF(OR(M218=phu!$I$54,M218=phu!$I$55,M218=phu!$I$56,M218=phu!$I$57,M218=phu!$I$58,M218=phu!$I$59,M218=phu!$I$60,M218=phu!$I$61,M218=phu!$I$62),"Cam Lợi",""),IF(OR(M218=phu!$I$63,M218=phu!$I$64,M218=phu!$I$65,M218=phu!$I$66,M218=phu!$I$67,M218=phu!$I$68,M218=phu!$I$69,M218=phu!$I$70,M218=phu!$I$71),"Ba Ngòi",""),IF(OR(M218=phu!$I$72,M218=phu!$I$73,M218=phu!$I$74,M218=phu!$I$75,M218=phu!$I$76,M218=phu!$I$77,M218=phu!$I$78),"Cam Phước Đông",""),IF(OR(M218=phu!$I$79,M218=phu!$I$80,M218=phu!$I$81,M218=phu!$I$82,M218=phu!$I$83,M218=phu!$I$84),"Cam Thịnh Đông",""),IF(OR(M218=phu!$I$85,M218=phu!$I$86,M218=phu!$I$87,M218=phu!$I$88),"Cam Thịnh Tây",""),IF(OR(M218=phu!$I$89,M218=phu!$I$90),"Cam Lập",""),IF(OR(M218=phu!$I$91,M218=phu!$I$92,M218=phu!$I$93),"Cam Bình",""),IF(OR(M218=phu!$I$94,M218=phu!$I$95,M218=phu!$I$96,M218=phu!$I$97,M218=phu!$I$98,M218=phu!$I$99,M218=phu!$I$100),"Huyện khác",""),IF(OR(M218=phu!$I$101,M218=phu!$I$102),"Tỉnh khác",""))</f>
        <v/>
      </c>
      <c r="O218" s="814" t="str">
        <f t="shared" si="19"/>
        <v/>
      </c>
      <c r="P218" s="254"/>
      <c r="Q218" s="254"/>
      <c r="R218" s="254"/>
      <c r="S218" s="254"/>
      <c r="T218" s="254"/>
      <c r="U218" s="254"/>
      <c r="V218" s="254"/>
      <c r="W218" s="254"/>
      <c r="Y218" s="246" t="str">
        <f t="shared" si="20"/>
        <v/>
      </c>
      <c r="Z218" s="247" t="str">
        <f t="shared" si="18"/>
        <v/>
      </c>
      <c r="AA218" s="246" t="str">
        <f t="shared" si="21"/>
        <v/>
      </c>
    </row>
    <row r="219" spans="1:27" ht="18" customHeight="1" x14ac:dyDescent="0.25">
      <c r="A219" s="248" t="str">
        <f t="shared" si="22"/>
        <v/>
      </c>
      <c r="B219" s="249" t="str">
        <f t="shared" si="23"/>
        <v/>
      </c>
      <c r="C219" s="250"/>
      <c r="D219" s="251"/>
      <c r="E219" s="241"/>
      <c r="F219" s="252"/>
      <c r="G219" s="252"/>
      <c r="H219" s="253"/>
      <c r="I219" s="250"/>
      <c r="J219" s="250"/>
      <c r="K219" s="270"/>
      <c r="L219" s="250"/>
      <c r="M219" s="250"/>
      <c r="N219" s="553" t="str">
        <f>CONCATENATE(IF(OR(M219=phu!$I$1,M219=phu!$I$2,M219=phu!$I$3),"Cam Thành Nam",""),IF(OR(M219=phu!$I$4,M219=phu!$I$5,M219=phu!$I$6,M219=phu!$I$7,M219=phu!$I$8,M219=phu!$I$9,M219=phu!$I$10,M219=phu!$I$11,M219=phu!$I$12,M219=phu!$I$13,M219=phu!$I$14),"Cam Nghĩa",""),IF(OR(M219=phu!$I$15,M219=phu!$I$16,M219=phu!$I$17,M219=phu!$I$18,M219=phu!$I$19,M219=phu!$I$20,M219=phu!$I$21),"Cam Phúc Bắc",""),IF(OR(M219=phu!$I$22,M219=phu!$I$23,M219=phu!$I$24,M219=phu!$I$25),"Cam Phúc Nam",""),IF(OR(M219=phu!$I$26,M219=phu!$I$27,M219=phu!$I$28,M219=phu!$I$29,M219=phu!$I$30,M219=phu!$I$31),"Cam Phú",""),IF(OR(M219=phu!$I$32,M219=phu!$I$33,M219=phu!$I$34,M219=phu!$I$35,M219=phu!$I$36,M219=phu!$I$37),"Cam Lộc",""),IF(OR(M219=phu!$I$38,M219=phu!$I$39,M219=phu!$I$40,M219=phu!$I$41,M219=phu!$I$42,M219=phu!$I$43,M219=phu!$I$44),"Cam Thuận",""),IF(OR(M219=phu!$I$45,M219=phu!$I$46,M219=phu!$I$47,M219=phu!$I$48,M219=phu!$I$49,M219=phu!$I$50,M219=phu!$I$51,M219=phu!$I$52,M219=phu!$I$53),"Cam Linh",""),IF(OR(M219=phu!$I$54,M219=phu!$I$55,M219=phu!$I$56,M219=phu!$I$57,M219=phu!$I$58,M219=phu!$I$59,M219=phu!$I$60,M219=phu!$I$61,M219=phu!$I$62),"Cam Lợi",""),IF(OR(M219=phu!$I$63,M219=phu!$I$64,M219=phu!$I$65,M219=phu!$I$66,M219=phu!$I$67,M219=phu!$I$68,M219=phu!$I$69,M219=phu!$I$70,M219=phu!$I$71),"Ba Ngòi",""),IF(OR(M219=phu!$I$72,M219=phu!$I$73,M219=phu!$I$74,M219=phu!$I$75,M219=phu!$I$76,M219=phu!$I$77,M219=phu!$I$78),"Cam Phước Đông",""),IF(OR(M219=phu!$I$79,M219=phu!$I$80,M219=phu!$I$81,M219=phu!$I$82,M219=phu!$I$83,M219=phu!$I$84),"Cam Thịnh Đông",""),IF(OR(M219=phu!$I$85,M219=phu!$I$86,M219=phu!$I$87,M219=phu!$I$88),"Cam Thịnh Tây",""),IF(OR(M219=phu!$I$89,M219=phu!$I$90),"Cam Lập",""),IF(OR(M219=phu!$I$91,M219=phu!$I$92,M219=phu!$I$93),"Cam Bình",""),IF(OR(M219=phu!$I$94,M219=phu!$I$95,M219=phu!$I$96,M219=phu!$I$97,M219=phu!$I$98,M219=phu!$I$99,M219=phu!$I$100),"Huyện khác",""),IF(OR(M219=phu!$I$101,M219=phu!$I$102),"Tỉnh khác",""))</f>
        <v/>
      </c>
      <c r="O219" s="814" t="str">
        <f t="shared" si="19"/>
        <v/>
      </c>
      <c r="P219" s="254"/>
      <c r="Q219" s="254"/>
      <c r="R219" s="254"/>
      <c r="S219" s="254"/>
      <c r="T219" s="254"/>
      <c r="U219" s="254"/>
      <c r="V219" s="254"/>
      <c r="W219" s="254"/>
      <c r="Y219" s="246" t="str">
        <f t="shared" si="20"/>
        <v/>
      </c>
      <c r="Z219" s="247" t="str">
        <f t="shared" si="18"/>
        <v/>
      </c>
      <c r="AA219" s="246" t="str">
        <f t="shared" si="21"/>
        <v/>
      </c>
    </row>
    <row r="220" spans="1:27" ht="18" customHeight="1" x14ac:dyDescent="0.25">
      <c r="A220" s="248" t="str">
        <f t="shared" si="22"/>
        <v/>
      </c>
      <c r="B220" s="249" t="str">
        <f t="shared" si="23"/>
        <v/>
      </c>
      <c r="C220" s="250"/>
      <c r="D220" s="251"/>
      <c r="E220" s="241"/>
      <c r="F220" s="252"/>
      <c r="G220" s="252"/>
      <c r="H220" s="253"/>
      <c r="I220" s="250"/>
      <c r="J220" s="250"/>
      <c r="K220" s="270"/>
      <c r="L220" s="250"/>
      <c r="M220" s="250"/>
      <c r="N220" s="553" t="str">
        <f>CONCATENATE(IF(OR(M220=phu!$I$1,M220=phu!$I$2,M220=phu!$I$3),"Cam Thành Nam",""),IF(OR(M220=phu!$I$4,M220=phu!$I$5,M220=phu!$I$6,M220=phu!$I$7,M220=phu!$I$8,M220=phu!$I$9,M220=phu!$I$10,M220=phu!$I$11,M220=phu!$I$12,M220=phu!$I$13,M220=phu!$I$14),"Cam Nghĩa",""),IF(OR(M220=phu!$I$15,M220=phu!$I$16,M220=phu!$I$17,M220=phu!$I$18,M220=phu!$I$19,M220=phu!$I$20,M220=phu!$I$21),"Cam Phúc Bắc",""),IF(OR(M220=phu!$I$22,M220=phu!$I$23,M220=phu!$I$24,M220=phu!$I$25),"Cam Phúc Nam",""),IF(OR(M220=phu!$I$26,M220=phu!$I$27,M220=phu!$I$28,M220=phu!$I$29,M220=phu!$I$30,M220=phu!$I$31),"Cam Phú",""),IF(OR(M220=phu!$I$32,M220=phu!$I$33,M220=phu!$I$34,M220=phu!$I$35,M220=phu!$I$36,M220=phu!$I$37),"Cam Lộc",""),IF(OR(M220=phu!$I$38,M220=phu!$I$39,M220=phu!$I$40,M220=phu!$I$41,M220=phu!$I$42,M220=phu!$I$43,M220=phu!$I$44),"Cam Thuận",""),IF(OR(M220=phu!$I$45,M220=phu!$I$46,M220=phu!$I$47,M220=phu!$I$48,M220=phu!$I$49,M220=phu!$I$50,M220=phu!$I$51,M220=phu!$I$52,M220=phu!$I$53),"Cam Linh",""),IF(OR(M220=phu!$I$54,M220=phu!$I$55,M220=phu!$I$56,M220=phu!$I$57,M220=phu!$I$58,M220=phu!$I$59,M220=phu!$I$60,M220=phu!$I$61,M220=phu!$I$62),"Cam Lợi",""),IF(OR(M220=phu!$I$63,M220=phu!$I$64,M220=phu!$I$65,M220=phu!$I$66,M220=phu!$I$67,M220=phu!$I$68,M220=phu!$I$69,M220=phu!$I$70,M220=phu!$I$71),"Ba Ngòi",""),IF(OR(M220=phu!$I$72,M220=phu!$I$73,M220=phu!$I$74,M220=phu!$I$75,M220=phu!$I$76,M220=phu!$I$77,M220=phu!$I$78),"Cam Phước Đông",""),IF(OR(M220=phu!$I$79,M220=phu!$I$80,M220=phu!$I$81,M220=phu!$I$82,M220=phu!$I$83,M220=phu!$I$84),"Cam Thịnh Đông",""),IF(OR(M220=phu!$I$85,M220=phu!$I$86,M220=phu!$I$87,M220=phu!$I$88),"Cam Thịnh Tây",""),IF(OR(M220=phu!$I$89,M220=phu!$I$90),"Cam Lập",""),IF(OR(M220=phu!$I$91,M220=phu!$I$92,M220=phu!$I$93),"Cam Bình",""),IF(OR(M220=phu!$I$94,M220=phu!$I$95,M220=phu!$I$96,M220=phu!$I$97,M220=phu!$I$98,M220=phu!$I$99,M220=phu!$I$100),"Huyện khác",""),IF(OR(M220=phu!$I$101,M220=phu!$I$102),"Tỉnh khác",""))</f>
        <v/>
      </c>
      <c r="O220" s="814" t="str">
        <f t="shared" si="19"/>
        <v/>
      </c>
      <c r="P220" s="254"/>
      <c r="Q220" s="254"/>
      <c r="R220" s="254"/>
      <c r="S220" s="254"/>
      <c r="T220" s="254"/>
      <c r="U220" s="254"/>
      <c r="V220" s="254"/>
      <c r="W220" s="254"/>
      <c r="Y220" s="246" t="str">
        <f t="shared" si="20"/>
        <v/>
      </c>
      <c r="Z220" s="247" t="str">
        <f t="shared" si="18"/>
        <v/>
      </c>
      <c r="AA220" s="246" t="str">
        <f t="shared" si="21"/>
        <v/>
      </c>
    </row>
    <row r="221" spans="1:27" ht="18" customHeight="1" x14ac:dyDescent="0.25">
      <c r="A221" s="248" t="str">
        <f t="shared" si="22"/>
        <v/>
      </c>
      <c r="B221" s="249" t="str">
        <f t="shared" si="23"/>
        <v/>
      </c>
      <c r="C221" s="250"/>
      <c r="D221" s="251"/>
      <c r="E221" s="241"/>
      <c r="F221" s="252"/>
      <c r="G221" s="252"/>
      <c r="H221" s="253"/>
      <c r="I221" s="250"/>
      <c r="J221" s="250"/>
      <c r="K221" s="270"/>
      <c r="L221" s="250"/>
      <c r="M221" s="250"/>
      <c r="N221" s="553" t="str">
        <f>CONCATENATE(IF(OR(M221=phu!$I$1,M221=phu!$I$2,M221=phu!$I$3),"Cam Thành Nam",""),IF(OR(M221=phu!$I$4,M221=phu!$I$5,M221=phu!$I$6,M221=phu!$I$7,M221=phu!$I$8,M221=phu!$I$9,M221=phu!$I$10,M221=phu!$I$11,M221=phu!$I$12,M221=phu!$I$13,M221=phu!$I$14),"Cam Nghĩa",""),IF(OR(M221=phu!$I$15,M221=phu!$I$16,M221=phu!$I$17,M221=phu!$I$18,M221=phu!$I$19,M221=phu!$I$20,M221=phu!$I$21),"Cam Phúc Bắc",""),IF(OR(M221=phu!$I$22,M221=phu!$I$23,M221=phu!$I$24,M221=phu!$I$25),"Cam Phúc Nam",""),IF(OR(M221=phu!$I$26,M221=phu!$I$27,M221=phu!$I$28,M221=phu!$I$29,M221=phu!$I$30,M221=phu!$I$31),"Cam Phú",""),IF(OR(M221=phu!$I$32,M221=phu!$I$33,M221=phu!$I$34,M221=phu!$I$35,M221=phu!$I$36,M221=phu!$I$37),"Cam Lộc",""),IF(OR(M221=phu!$I$38,M221=phu!$I$39,M221=phu!$I$40,M221=phu!$I$41,M221=phu!$I$42,M221=phu!$I$43,M221=phu!$I$44),"Cam Thuận",""),IF(OR(M221=phu!$I$45,M221=phu!$I$46,M221=phu!$I$47,M221=phu!$I$48,M221=phu!$I$49,M221=phu!$I$50,M221=phu!$I$51,M221=phu!$I$52,M221=phu!$I$53),"Cam Linh",""),IF(OR(M221=phu!$I$54,M221=phu!$I$55,M221=phu!$I$56,M221=phu!$I$57,M221=phu!$I$58,M221=phu!$I$59,M221=phu!$I$60,M221=phu!$I$61,M221=phu!$I$62),"Cam Lợi",""),IF(OR(M221=phu!$I$63,M221=phu!$I$64,M221=phu!$I$65,M221=phu!$I$66,M221=phu!$I$67,M221=phu!$I$68,M221=phu!$I$69,M221=phu!$I$70,M221=phu!$I$71),"Ba Ngòi",""),IF(OR(M221=phu!$I$72,M221=phu!$I$73,M221=phu!$I$74,M221=phu!$I$75,M221=phu!$I$76,M221=phu!$I$77,M221=phu!$I$78),"Cam Phước Đông",""),IF(OR(M221=phu!$I$79,M221=phu!$I$80,M221=phu!$I$81,M221=phu!$I$82,M221=phu!$I$83,M221=phu!$I$84),"Cam Thịnh Đông",""),IF(OR(M221=phu!$I$85,M221=phu!$I$86,M221=phu!$I$87,M221=phu!$I$88),"Cam Thịnh Tây",""),IF(OR(M221=phu!$I$89,M221=phu!$I$90),"Cam Lập",""),IF(OR(M221=phu!$I$91,M221=phu!$I$92,M221=phu!$I$93),"Cam Bình",""),IF(OR(M221=phu!$I$94,M221=phu!$I$95,M221=phu!$I$96,M221=phu!$I$97,M221=phu!$I$98,M221=phu!$I$99,M221=phu!$I$100),"Huyện khác",""),IF(OR(M221=phu!$I$101,M221=phu!$I$102),"Tỉnh khác",""))</f>
        <v/>
      </c>
      <c r="O221" s="814" t="str">
        <f t="shared" si="19"/>
        <v/>
      </c>
      <c r="P221" s="254"/>
      <c r="Q221" s="254"/>
      <c r="R221" s="254"/>
      <c r="S221" s="254"/>
      <c r="T221" s="254"/>
      <c r="U221" s="254"/>
      <c r="V221" s="254"/>
      <c r="W221" s="254"/>
      <c r="Y221" s="246" t="str">
        <f t="shared" si="20"/>
        <v/>
      </c>
      <c r="Z221" s="247" t="str">
        <f t="shared" si="18"/>
        <v/>
      </c>
      <c r="AA221" s="246" t="str">
        <f t="shared" si="21"/>
        <v/>
      </c>
    </row>
    <row r="222" spans="1:27" ht="18" customHeight="1" x14ac:dyDescent="0.25">
      <c r="A222" s="248" t="str">
        <f t="shared" si="22"/>
        <v/>
      </c>
      <c r="B222" s="249" t="str">
        <f t="shared" si="23"/>
        <v/>
      </c>
      <c r="C222" s="250"/>
      <c r="D222" s="251"/>
      <c r="E222" s="241"/>
      <c r="F222" s="252"/>
      <c r="G222" s="252"/>
      <c r="H222" s="253"/>
      <c r="I222" s="250"/>
      <c r="J222" s="250"/>
      <c r="K222" s="270"/>
      <c r="L222" s="250"/>
      <c r="M222" s="250"/>
      <c r="N222" s="553" t="str">
        <f>CONCATENATE(IF(OR(M222=phu!$I$1,M222=phu!$I$2,M222=phu!$I$3),"Cam Thành Nam",""),IF(OR(M222=phu!$I$4,M222=phu!$I$5,M222=phu!$I$6,M222=phu!$I$7,M222=phu!$I$8,M222=phu!$I$9,M222=phu!$I$10,M222=phu!$I$11,M222=phu!$I$12,M222=phu!$I$13,M222=phu!$I$14),"Cam Nghĩa",""),IF(OR(M222=phu!$I$15,M222=phu!$I$16,M222=phu!$I$17,M222=phu!$I$18,M222=phu!$I$19,M222=phu!$I$20,M222=phu!$I$21),"Cam Phúc Bắc",""),IF(OR(M222=phu!$I$22,M222=phu!$I$23,M222=phu!$I$24,M222=phu!$I$25),"Cam Phúc Nam",""),IF(OR(M222=phu!$I$26,M222=phu!$I$27,M222=phu!$I$28,M222=phu!$I$29,M222=phu!$I$30,M222=phu!$I$31),"Cam Phú",""),IF(OR(M222=phu!$I$32,M222=phu!$I$33,M222=phu!$I$34,M222=phu!$I$35,M222=phu!$I$36,M222=phu!$I$37),"Cam Lộc",""),IF(OR(M222=phu!$I$38,M222=phu!$I$39,M222=phu!$I$40,M222=phu!$I$41,M222=phu!$I$42,M222=phu!$I$43,M222=phu!$I$44),"Cam Thuận",""),IF(OR(M222=phu!$I$45,M222=phu!$I$46,M222=phu!$I$47,M222=phu!$I$48,M222=phu!$I$49,M222=phu!$I$50,M222=phu!$I$51,M222=phu!$I$52,M222=phu!$I$53),"Cam Linh",""),IF(OR(M222=phu!$I$54,M222=phu!$I$55,M222=phu!$I$56,M222=phu!$I$57,M222=phu!$I$58,M222=phu!$I$59,M222=phu!$I$60,M222=phu!$I$61,M222=phu!$I$62),"Cam Lợi",""),IF(OR(M222=phu!$I$63,M222=phu!$I$64,M222=phu!$I$65,M222=phu!$I$66,M222=phu!$I$67,M222=phu!$I$68,M222=phu!$I$69,M222=phu!$I$70,M222=phu!$I$71),"Ba Ngòi",""),IF(OR(M222=phu!$I$72,M222=phu!$I$73,M222=phu!$I$74,M222=phu!$I$75,M222=phu!$I$76,M222=phu!$I$77,M222=phu!$I$78),"Cam Phước Đông",""),IF(OR(M222=phu!$I$79,M222=phu!$I$80,M222=phu!$I$81,M222=phu!$I$82,M222=phu!$I$83,M222=phu!$I$84),"Cam Thịnh Đông",""),IF(OR(M222=phu!$I$85,M222=phu!$I$86,M222=phu!$I$87,M222=phu!$I$88),"Cam Thịnh Tây",""),IF(OR(M222=phu!$I$89,M222=phu!$I$90),"Cam Lập",""),IF(OR(M222=phu!$I$91,M222=phu!$I$92,M222=phu!$I$93),"Cam Bình",""),IF(OR(M222=phu!$I$94,M222=phu!$I$95,M222=phu!$I$96,M222=phu!$I$97,M222=phu!$I$98,M222=phu!$I$99,M222=phu!$I$100),"Huyện khác",""),IF(OR(M222=phu!$I$101,M222=phu!$I$102),"Tỉnh khác",""))</f>
        <v/>
      </c>
      <c r="O222" s="814" t="str">
        <f t="shared" si="19"/>
        <v/>
      </c>
      <c r="P222" s="254"/>
      <c r="Q222" s="254"/>
      <c r="R222" s="254"/>
      <c r="S222" s="254"/>
      <c r="T222" s="254"/>
      <c r="U222" s="254"/>
      <c r="V222" s="254"/>
      <c r="W222" s="254"/>
      <c r="Y222" s="246" t="str">
        <f t="shared" si="20"/>
        <v/>
      </c>
      <c r="Z222" s="247" t="str">
        <f t="shared" si="18"/>
        <v/>
      </c>
      <c r="AA222" s="246" t="str">
        <f t="shared" si="21"/>
        <v/>
      </c>
    </row>
    <row r="223" spans="1:27" ht="18" customHeight="1" x14ac:dyDescent="0.25">
      <c r="A223" s="248" t="str">
        <f t="shared" si="22"/>
        <v/>
      </c>
      <c r="B223" s="249" t="str">
        <f t="shared" si="23"/>
        <v/>
      </c>
      <c r="C223" s="250"/>
      <c r="D223" s="251"/>
      <c r="E223" s="241"/>
      <c r="F223" s="252"/>
      <c r="G223" s="252"/>
      <c r="H223" s="253"/>
      <c r="I223" s="250"/>
      <c r="J223" s="250"/>
      <c r="K223" s="270"/>
      <c r="L223" s="250"/>
      <c r="M223" s="250"/>
      <c r="N223" s="553" t="str">
        <f>CONCATENATE(IF(OR(M223=phu!$I$1,M223=phu!$I$2,M223=phu!$I$3),"Cam Thành Nam",""),IF(OR(M223=phu!$I$4,M223=phu!$I$5,M223=phu!$I$6,M223=phu!$I$7,M223=phu!$I$8,M223=phu!$I$9,M223=phu!$I$10,M223=phu!$I$11,M223=phu!$I$12,M223=phu!$I$13,M223=phu!$I$14),"Cam Nghĩa",""),IF(OR(M223=phu!$I$15,M223=phu!$I$16,M223=phu!$I$17,M223=phu!$I$18,M223=phu!$I$19,M223=phu!$I$20,M223=phu!$I$21),"Cam Phúc Bắc",""),IF(OR(M223=phu!$I$22,M223=phu!$I$23,M223=phu!$I$24,M223=phu!$I$25),"Cam Phúc Nam",""),IF(OR(M223=phu!$I$26,M223=phu!$I$27,M223=phu!$I$28,M223=phu!$I$29,M223=phu!$I$30,M223=phu!$I$31),"Cam Phú",""),IF(OR(M223=phu!$I$32,M223=phu!$I$33,M223=phu!$I$34,M223=phu!$I$35,M223=phu!$I$36,M223=phu!$I$37),"Cam Lộc",""),IF(OR(M223=phu!$I$38,M223=phu!$I$39,M223=phu!$I$40,M223=phu!$I$41,M223=phu!$I$42,M223=phu!$I$43,M223=phu!$I$44),"Cam Thuận",""),IF(OR(M223=phu!$I$45,M223=phu!$I$46,M223=phu!$I$47,M223=phu!$I$48,M223=phu!$I$49,M223=phu!$I$50,M223=phu!$I$51,M223=phu!$I$52,M223=phu!$I$53),"Cam Linh",""),IF(OR(M223=phu!$I$54,M223=phu!$I$55,M223=phu!$I$56,M223=phu!$I$57,M223=phu!$I$58,M223=phu!$I$59,M223=phu!$I$60,M223=phu!$I$61,M223=phu!$I$62),"Cam Lợi",""),IF(OR(M223=phu!$I$63,M223=phu!$I$64,M223=phu!$I$65,M223=phu!$I$66,M223=phu!$I$67,M223=phu!$I$68,M223=phu!$I$69,M223=phu!$I$70,M223=phu!$I$71),"Ba Ngòi",""),IF(OR(M223=phu!$I$72,M223=phu!$I$73,M223=phu!$I$74,M223=phu!$I$75,M223=phu!$I$76,M223=phu!$I$77,M223=phu!$I$78),"Cam Phước Đông",""),IF(OR(M223=phu!$I$79,M223=phu!$I$80,M223=phu!$I$81,M223=phu!$I$82,M223=phu!$I$83,M223=phu!$I$84),"Cam Thịnh Đông",""),IF(OR(M223=phu!$I$85,M223=phu!$I$86,M223=phu!$I$87,M223=phu!$I$88),"Cam Thịnh Tây",""),IF(OR(M223=phu!$I$89,M223=phu!$I$90),"Cam Lập",""),IF(OR(M223=phu!$I$91,M223=phu!$I$92,M223=phu!$I$93),"Cam Bình",""),IF(OR(M223=phu!$I$94,M223=phu!$I$95,M223=phu!$I$96,M223=phu!$I$97,M223=phu!$I$98,M223=phu!$I$99,M223=phu!$I$100),"Huyện khác",""),IF(OR(M223=phu!$I$101,M223=phu!$I$102),"Tỉnh khác",""))</f>
        <v/>
      </c>
      <c r="O223" s="814" t="str">
        <f t="shared" si="19"/>
        <v/>
      </c>
      <c r="P223" s="254"/>
      <c r="Q223" s="254"/>
      <c r="R223" s="254"/>
      <c r="S223" s="254"/>
      <c r="T223" s="254"/>
      <c r="U223" s="254"/>
      <c r="V223" s="254"/>
      <c r="W223" s="254"/>
      <c r="Y223" s="246" t="str">
        <f t="shared" si="20"/>
        <v/>
      </c>
      <c r="Z223" s="247" t="str">
        <f t="shared" si="18"/>
        <v/>
      </c>
      <c r="AA223" s="246" t="str">
        <f t="shared" si="21"/>
        <v/>
      </c>
    </row>
    <row r="224" spans="1:27" ht="18" customHeight="1" x14ac:dyDescent="0.25">
      <c r="A224" s="248" t="str">
        <f t="shared" si="22"/>
        <v/>
      </c>
      <c r="B224" s="249" t="str">
        <f t="shared" si="23"/>
        <v/>
      </c>
      <c r="C224" s="250"/>
      <c r="D224" s="251"/>
      <c r="E224" s="241"/>
      <c r="F224" s="252"/>
      <c r="G224" s="252"/>
      <c r="H224" s="253"/>
      <c r="I224" s="250"/>
      <c r="J224" s="250"/>
      <c r="K224" s="270"/>
      <c r="L224" s="250"/>
      <c r="M224" s="250"/>
      <c r="N224" s="553" t="str">
        <f>CONCATENATE(IF(OR(M224=phu!$I$1,M224=phu!$I$2,M224=phu!$I$3),"Cam Thành Nam",""),IF(OR(M224=phu!$I$4,M224=phu!$I$5,M224=phu!$I$6,M224=phu!$I$7,M224=phu!$I$8,M224=phu!$I$9,M224=phu!$I$10,M224=phu!$I$11,M224=phu!$I$12,M224=phu!$I$13,M224=phu!$I$14),"Cam Nghĩa",""),IF(OR(M224=phu!$I$15,M224=phu!$I$16,M224=phu!$I$17,M224=phu!$I$18,M224=phu!$I$19,M224=phu!$I$20,M224=phu!$I$21),"Cam Phúc Bắc",""),IF(OR(M224=phu!$I$22,M224=phu!$I$23,M224=phu!$I$24,M224=phu!$I$25),"Cam Phúc Nam",""),IF(OR(M224=phu!$I$26,M224=phu!$I$27,M224=phu!$I$28,M224=phu!$I$29,M224=phu!$I$30,M224=phu!$I$31),"Cam Phú",""),IF(OR(M224=phu!$I$32,M224=phu!$I$33,M224=phu!$I$34,M224=phu!$I$35,M224=phu!$I$36,M224=phu!$I$37),"Cam Lộc",""),IF(OR(M224=phu!$I$38,M224=phu!$I$39,M224=phu!$I$40,M224=phu!$I$41,M224=phu!$I$42,M224=phu!$I$43,M224=phu!$I$44),"Cam Thuận",""),IF(OR(M224=phu!$I$45,M224=phu!$I$46,M224=phu!$I$47,M224=phu!$I$48,M224=phu!$I$49,M224=phu!$I$50,M224=phu!$I$51,M224=phu!$I$52,M224=phu!$I$53),"Cam Linh",""),IF(OR(M224=phu!$I$54,M224=phu!$I$55,M224=phu!$I$56,M224=phu!$I$57,M224=phu!$I$58,M224=phu!$I$59,M224=phu!$I$60,M224=phu!$I$61,M224=phu!$I$62),"Cam Lợi",""),IF(OR(M224=phu!$I$63,M224=phu!$I$64,M224=phu!$I$65,M224=phu!$I$66,M224=phu!$I$67,M224=phu!$I$68,M224=phu!$I$69,M224=phu!$I$70,M224=phu!$I$71),"Ba Ngòi",""),IF(OR(M224=phu!$I$72,M224=phu!$I$73,M224=phu!$I$74,M224=phu!$I$75,M224=phu!$I$76,M224=phu!$I$77,M224=phu!$I$78),"Cam Phước Đông",""),IF(OR(M224=phu!$I$79,M224=phu!$I$80,M224=phu!$I$81,M224=phu!$I$82,M224=phu!$I$83,M224=phu!$I$84),"Cam Thịnh Đông",""),IF(OR(M224=phu!$I$85,M224=phu!$I$86,M224=phu!$I$87,M224=phu!$I$88),"Cam Thịnh Tây",""),IF(OR(M224=phu!$I$89,M224=phu!$I$90),"Cam Lập",""),IF(OR(M224=phu!$I$91,M224=phu!$I$92,M224=phu!$I$93),"Cam Bình",""),IF(OR(M224=phu!$I$94,M224=phu!$I$95,M224=phu!$I$96,M224=phu!$I$97,M224=phu!$I$98,M224=phu!$I$99,M224=phu!$I$100),"Huyện khác",""),IF(OR(M224=phu!$I$101,M224=phu!$I$102),"Tỉnh khác",""))</f>
        <v/>
      </c>
      <c r="O224" s="814" t="str">
        <f t="shared" si="19"/>
        <v/>
      </c>
      <c r="P224" s="254"/>
      <c r="Q224" s="254"/>
      <c r="R224" s="254"/>
      <c r="S224" s="254"/>
      <c r="T224" s="254"/>
      <c r="U224" s="254"/>
      <c r="V224" s="254"/>
      <c r="W224" s="254"/>
      <c r="Y224" s="246" t="str">
        <f t="shared" si="20"/>
        <v/>
      </c>
      <c r="Z224" s="247" t="str">
        <f t="shared" si="18"/>
        <v/>
      </c>
      <c r="AA224" s="246" t="str">
        <f t="shared" si="21"/>
        <v/>
      </c>
    </row>
    <row r="225" spans="1:27" ht="18" customHeight="1" x14ac:dyDescent="0.25">
      <c r="A225" s="248" t="str">
        <f t="shared" si="22"/>
        <v/>
      </c>
      <c r="B225" s="249" t="str">
        <f t="shared" si="23"/>
        <v/>
      </c>
      <c r="C225" s="250"/>
      <c r="D225" s="251"/>
      <c r="E225" s="241"/>
      <c r="F225" s="252"/>
      <c r="G225" s="252"/>
      <c r="H225" s="253"/>
      <c r="I225" s="250"/>
      <c r="J225" s="250"/>
      <c r="K225" s="270"/>
      <c r="L225" s="250"/>
      <c r="M225" s="250"/>
      <c r="N225" s="553" t="str">
        <f>CONCATENATE(IF(OR(M225=phu!$I$1,M225=phu!$I$2,M225=phu!$I$3),"Cam Thành Nam",""),IF(OR(M225=phu!$I$4,M225=phu!$I$5,M225=phu!$I$6,M225=phu!$I$7,M225=phu!$I$8,M225=phu!$I$9,M225=phu!$I$10,M225=phu!$I$11,M225=phu!$I$12,M225=phu!$I$13,M225=phu!$I$14),"Cam Nghĩa",""),IF(OR(M225=phu!$I$15,M225=phu!$I$16,M225=phu!$I$17,M225=phu!$I$18,M225=phu!$I$19,M225=phu!$I$20,M225=phu!$I$21),"Cam Phúc Bắc",""),IF(OR(M225=phu!$I$22,M225=phu!$I$23,M225=phu!$I$24,M225=phu!$I$25),"Cam Phúc Nam",""),IF(OR(M225=phu!$I$26,M225=phu!$I$27,M225=phu!$I$28,M225=phu!$I$29,M225=phu!$I$30,M225=phu!$I$31),"Cam Phú",""),IF(OR(M225=phu!$I$32,M225=phu!$I$33,M225=phu!$I$34,M225=phu!$I$35,M225=phu!$I$36,M225=phu!$I$37),"Cam Lộc",""),IF(OR(M225=phu!$I$38,M225=phu!$I$39,M225=phu!$I$40,M225=phu!$I$41,M225=phu!$I$42,M225=phu!$I$43,M225=phu!$I$44),"Cam Thuận",""),IF(OR(M225=phu!$I$45,M225=phu!$I$46,M225=phu!$I$47,M225=phu!$I$48,M225=phu!$I$49,M225=phu!$I$50,M225=phu!$I$51,M225=phu!$I$52,M225=phu!$I$53),"Cam Linh",""),IF(OR(M225=phu!$I$54,M225=phu!$I$55,M225=phu!$I$56,M225=phu!$I$57,M225=phu!$I$58,M225=phu!$I$59,M225=phu!$I$60,M225=phu!$I$61,M225=phu!$I$62),"Cam Lợi",""),IF(OR(M225=phu!$I$63,M225=phu!$I$64,M225=phu!$I$65,M225=phu!$I$66,M225=phu!$I$67,M225=phu!$I$68,M225=phu!$I$69,M225=phu!$I$70,M225=phu!$I$71),"Ba Ngòi",""),IF(OR(M225=phu!$I$72,M225=phu!$I$73,M225=phu!$I$74,M225=phu!$I$75,M225=phu!$I$76,M225=phu!$I$77,M225=phu!$I$78),"Cam Phước Đông",""),IF(OR(M225=phu!$I$79,M225=phu!$I$80,M225=phu!$I$81,M225=phu!$I$82,M225=phu!$I$83,M225=phu!$I$84),"Cam Thịnh Đông",""),IF(OR(M225=phu!$I$85,M225=phu!$I$86,M225=phu!$I$87,M225=phu!$I$88),"Cam Thịnh Tây",""),IF(OR(M225=phu!$I$89,M225=phu!$I$90),"Cam Lập",""),IF(OR(M225=phu!$I$91,M225=phu!$I$92,M225=phu!$I$93),"Cam Bình",""),IF(OR(M225=phu!$I$94,M225=phu!$I$95,M225=phu!$I$96,M225=phu!$I$97,M225=phu!$I$98,M225=phu!$I$99,M225=phu!$I$100),"Huyện khác",""),IF(OR(M225=phu!$I$101,M225=phu!$I$102),"Tỉnh khác",""))</f>
        <v/>
      </c>
      <c r="O225" s="814" t="str">
        <f t="shared" si="19"/>
        <v/>
      </c>
      <c r="P225" s="254"/>
      <c r="Q225" s="254"/>
      <c r="R225" s="254"/>
      <c r="S225" s="254"/>
      <c r="T225" s="254"/>
      <c r="U225" s="254"/>
      <c r="V225" s="254"/>
      <c r="W225" s="254"/>
      <c r="Y225" s="246" t="str">
        <f t="shared" si="20"/>
        <v/>
      </c>
      <c r="Z225" s="247" t="str">
        <f t="shared" si="18"/>
        <v/>
      </c>
      <c r="AA225" s="246" t="str">
        <f t="shared" si="21"/>
        <v/>
      </c>
    </row>
    <row r="226" spans="1:27" ht="18" customHeight="1" x14ac:dyDescent="0.25">
      <c r="A226" s="248" t="str">
        <f t="shared" si="22"/>
        <v/>
      </c>
      <c r="B226" s="249" t="str">
        <f t="shared" si="23"/>
        <v/>
      </c>
      <c r="C226" s="250"/>
      <c r="D226" s="251"/>
      <c r="E226" s="241"/>
      <c r="F226" s="252"/>
      <c r="G226" s="252"/>
      <c r="H226" s="253"/>
      <c r="I226" s="250"/>
      <c r="J226" s="250"/>
      <c r="K226" s="270"/>
      <c r="L226" s="250"/>
      <c r="M226" s="250"/>
      <c r="N226" s="553" t="str">
        <f>CONCATENATE(IF(OR(M226=phu!$I$1,M226=phu!$I$2,M226=phu!$I$3),"Cam Thành Nam",""),IF(OR(M226=phu!$I$4,M226=phu!$I$5,M226=phu!$I$6,M226=phu!$I$7,M226=phu!$I$8,M226=phu!$I$9,M226=phu!$I$10,M226=phu!$I$11,M226=phu!$I$12,M226=phu!$I$13,M226=phu!$I$14),"Cam Nghĩa",""),IF(OR(M226=phu!$I$15,M226=phu!$I$16,M226=phu!$I$17,M226=phu!$I$18,M226=phu!$I$19,M226=phu!$I$20,M226=phu!$I$21),"Cam Phúc Bắc",""),IF(OR(M226=phu!$I$22,M226=phu!$I$23,M226=phu!$I$24,M226=phu!$I$25),"Cam Phúc Nam",""),IF(OR(M226=phu!$I$26,M226=phu!$I$27,M226=phu!$I$28,M226=phu!$I$29,M226=phu!$I$30,M226=phu!$I$31),"Cam Phú",""),IF(OR(M226=phu!$I$32,M226=phu!$I$33,M226=phu!$I$34,M226=phu!$I$35,M226=phu!$I$36,M226=phu!$I$37),"Cam Lộc",""),IF(OR(M226=phu!$I$38,M226=phu!$I$39,M226=phu!$I$40,M226=phu!$I$41,M226=phu!$I$42,M226=phu!$I$43,M226=phu!$I$44),"Cam Thuận",""),IF(OR(M226=phu!$I$45,M226=phu!$I$46,M226=phu!$I$47,M226=phu!$I$48,M226=phu!$I$49,M226=phu!$I$50,M226=phu!$I$51,M226=phu!$I$52,M226=phu!$I$53),"Cam Linh",""),IF(OR(M226=phu!$I$54,M226=phu!$I$55,M226=phu!$I$56,M226=phu!$I$57,M226=phu!$I$58,M226=phu!$I$59,M226=phu!$I$60,M226=phu!$I$61,M226=phu!$I$62),"Cam Lợi",""),IF(OR(M226=phu!$I$63,M226=phu!$I$64,M226=phu!$I$65,M226=phu!$I$66,M226=phu!$I$67,M226=phu!$I$68,M226=phu!$I$69,M226=phu!$I$70,M226=phu!$I$71),"Ba Ngòi",""),IF(OR(M226=phu!$I$72,M226=phu!$I$73,M226=phu!$I$74,M226=phu!$I$75,M226=phu!$I$76,M226=phu!$I$77,M226=phu!$I$78),"Cam Phước Đông",""),IF(OR(M226=phu!$I$79,M226=phu!$I$80,M226=phu!$I$81,M226=phu!$I$82,M226=phu!$I$83,M226=phu!$I$84),"Cam Thịnh Đông",""),IF(OR(M226=phu!$I$85,M226=phu!$I$86,M226=phu!$I$87,M226=phu!$I$88),"Cam Thịnh Tây",""),IF(OR(M226=phu!$I$89,M226=phu!$I$90),"Cam Lập",""),IF(OR(M226=phu!$I$91,M226=phu!$I$92,M226=phu!$I$93),"Cam Bình",""),IF(OR(M226=phu!$I$94,M226=phu!$I$95,M226=phu!$I$96,M226=phu!$I$97,M226=phu!$I$98,M226=phu!$I$99,M226=phu!$I$100),"Huyện khác",""),IF(OR(M226=phu!$I$101,M226=phu!$I$102),"Tỉnh khác",""))</f>
        <v/>
      </c>
      <c r="O226" s="814" t="str">
        <f t="shared" si="19"/>
        <v/>
      </c>
      <c r="P226" s="254"/>
      <c r="Q226" s="254"/>
      <c r="R226" s="254"/>
      <c r="S226" s="254"/>
      <c r="T226" s="254"/>
      <c r="U226" s="254"/>
      <c r="V226" s="254"/>
      <c r="W226" s="254"/>
      <c r="Y226" s="246" t="str">
        <f t="shared" si="20"/>
        <v/>
      </c>
      <c r="Z226" s="247" t="str">
        <f t="shared" si="18"/>
        <v/>
      </c>
      <c r="AA226" s="246" t="str">
        <f t="shared" si="21"/>
        <v/>
      </c>
    </row>
    <row r="227" spans="1:27" ht="18" customHeight="1" x14ac:dyDescent="0.25">
      <c r="A227" s="248" t="str">
        <f t="shared" si="22"/>
        <v/>
      </c>
      <c r="B227" s="249" t="str">
        <f t="shared" si="23"/>
        <v/>
      </c>
      <c r="C227" s="250"/>
      <c r="D227" s="251"/>
      <c r="E227" s="241"/>
      <c r="F227" s="252"/>
      <c r="G227" s="252"/>
      <c r="H227" s="253"/>
      <c r="I227" s="250"/>
      <c r="J227" s="250"/>
      <c r="K227" s="270"/>
      <c r="L227" s="250"/>
      <c r="M227" s="250"/>
      <c r="N227" s="553" t="str">
        <f>CONCATENATE(IF(OR(M227=phu!$I$1,M227=phu!$I$2,M227=phu!$I$3),"Cam Thành Nam",""),IF(OR(M227=phu!$I$4,M227=phu!$I$5,M227=phu!$I$6,M227=phu!$I$7,M227=phu!$I$8,M227=phu!$I$9,M227=phu!$I$10,M227=phu!$I$11,M227=phu!$I$12,M227=phu!$I$13,M227=phu!$I$14),"Cam Nghĩa",""),IF(OR(M227=phu!$I$15,M227=phu!$I$16,M227=phu!$I$17,M227=phu!$I$18,M227=phu!$I$19,M227=phu!$I$20,M227=phu!$I$21),"Cam Phúc Bắc",""),IF(OR(M227=phu!$I$22,M227=phu!$I$23,M227=phu!$I$24,M227=phu!$I$25),"Cam Phúc Nam",""),IF(OR(M227=phu!$I$26,M227=phu!$I$27,M227=phu!$I$28,M227=phu!$I$29,M227=phu!$I$30,M227=phu!$I$31),"Cam Phú",""),IF(OR(M227=phu!$I$32,M227=phu!$I$33,M227=phu!$I$34,M227=phu!$I$35,M227=phu!$I$36,M227=phu!$I$37),"Cam Lộc",""),IF(OR(M227=phu!$I$38,M227=phu!$I$39,M227=phu!$I$40,M227=phu!$I$41,M227=phu!$I$42,M227=phu!$I$43,M227=phu!$I$44),"Cam Thuận",""),IF(OR(M227=phu!$I$45,M227=phu!$I$46,M227=phu!$I$47,M227=phu!$I$48,M227=phu!$I$49,M227=phu!$I$50,M227=phu!$I$51,M227=phu!$I$52,M227=phu!$I$53),"Cam Linh",""),IF(OR(M227=phu!$I$54,M227=phu!$I$55,M227=phu!$I$56,M227=phu!$I$57,M227=phu!$I$58,M227=phu!$I$59,M227=phu!$I$60,M227=phu!$I$61,M227=phu!$I$62),"Cam Lợi",""),IF(OR(M227=phu!$I$63,M227=phu!$I$64,M227=phu!$I$65,M227=phu!$I$66,M227=phu!$I$67,M227=phu!$I$68,M227=phu!$I$69,M227=phu!$I$70,M227=phu!$I$71),"Ba Ngòi",""),IF(OR(M227=phu!$I$72,M227=phu!$I$73,M227=phu!$I$74,M227=phu!$I$75,M227=phu!$I$76,M227=phu!$I$77,M227=phu!$I$78),"Cam Phước Đông",""),IF(OR(M227=phu!$I$79,M227=phu!$I$80,M227=phu!$I$81,M227=phu!$I$82,M227=phu!$I$83,M227=phu!$I$84),"Cam Thịnh Đông",""),IF(OR(M227=phu!$I$85,M227=phu!$I$86,M227=phu!$I$87,M227=phu!$I$88),"Cam Thịnh Tây",""),IF(OR(M227=phu!$I$89,M227=phu!$I$90),"Cam Lập",""),IF(OR(M227=phu!$I$91,M227=phu!$I$92,M227=phu!$I$93),"Cam Bình",""),IF(OR(M227=phu!$I$94,M227=phu!$I$95,M227=phu!$I$96,M227=phu!$I$97,M227=phu!$I$98,M227=phu!$I$99,M227=phu!$I$100),"Huyện khác",""),IF(OR(M227=phu!$I$101,M227=phu!$I$102),"Tỉnh khác",""))</f>
        <v/>
      </c>
      <c r="O227" s="814" t="str">
        <f t="shared" si="19"/>
        <v/>
      </c>
      <c r="P227" s="254"/>
      <c r="Q227" s="254"/>
      <c r="R227" s="254"/>
      <c r="S227" s="254"/>
      <c r="T227" s="254"/>
      <c r="U227" s="254"/>
      <c r="V227" s="254"/>
      <c r="W227" s="254"/>
      <c r="Y227" s="246" t="str">
        <f t="shared" si="20"/>
        <v/>
      </c>
      <c r="Z227" s="247" t="str">
        <f t="shared" si="18"/>
        <v/>
      </c>
      <c r="AA227" s="246" t="str">
        <f t="shared" si="21"/>
        <v/>
      </c>
    </row>
    <row r="228" spans="1:27" ht="18" customHeight="1" x14ac:dyDescent="0.25">
      <c r="A228" s="248" t="str">
        <f t="shared" si="22"/>
        <v/>
      </c>
      <c r="B228" s="249" t="str">
        <f t="shared" si="23"/>
        <v/>
      </c>
      <c r="C228" s="250"/>
      <c r="D228" s="251"/>
      <c r="E228" s="241"/>
      <c r="F228" s="252"/>
      <c r="G228" s="252"/>
      <c r="H228" s="253"/>
      <c r="I228" s="250"/>
      <c r="J228" s="250"/>
      <c r="K228" s="270"/>
      <c r="L228" s="250"/>
      <c r="M228" s="250"/>
      <c r="N228" s="553" t="str">
        <f>CONCATENATE(IF(OR(M228=phu!$I$1,M228=phu!$I$2,M228=phu!$I$3),"Cam Thành Nam",""),IF(OR(M228=phu!$I$4,M228=phu!$I$5,M228=phu!$I$6,M228=phu!$I$7,M228=phu!$I$8,M228=phu!$I$9,M228=phu!$I$10,M228=phu!$I$11,M228=phu!$I$12,M228=phu!$I$13,M228=phu!$I$14),"Cam Nghĩa",""),IF(OR(M228=phu!$I$15,M228=phu!$I$16,M228=phu!$I$17,M228=phu!$I$18,M228=phu!$I$19,M228=phu!$I$20,M228=phu!$I$21),"Cam Phúc Bắc",""),IF(OR(M228=phu!$I$22,M228=phu!$I$23,M228=phu!$I$24,M228=phu!$I$25),"Cam Phúc Nam",""),IF(OR(M228=phu!$I$26,M228=phu!$I$27,M228=phu!$I$28,M228=phu!$I$29,M228=phu!$I$30,M228=phu!$I$31),"Cam Phú",""),IF(OR(M228=phu!$I$32,M228=phu!$I$33,M228=phu!$I$34,M228=phu!$I$35,M228=phu!$I$36,M228=phu!$I$37),"Cam Lộc",""),IF(OR(M228=phu!$I$38,M228=phu!$I$39,M228=phu!$I$40,M228=phu!$I$41,M228=phu!$I$42,M228=phu!$I$43,M228=phu!$I$44),"Cam Thuận",""),IF(OR(M228=phu!$I$45,M228=phu!$I$46,M228=phu!$I$47,M228=phu!$I$48,M228=phu!$I$49,M228=phu!$I$50,M228=phu!$I$51,M228=phu!$I$52,M228=phu!$I$53),"Cam Linh",""),IF(OR(M228=phu!$I$54,M228=phu!$I$55,M228=phu!$I$56,M228=phu!$I$57,M228=phu!$I$58,M228=phu!$I$59,M228=phu!$I$60,M228=phu!$I$61,M228=phu!$I$62),"Cam Lợi",""),IF(OR(M228=phu!$I$63,M228=phu!$I$64,M228=phu!$I$65,M228=phu!$I$66,M228=phu!$I$67,M228=phu!$I$68,M228=phu!$I$69,M228=phu!$I$70,M228=phu!$I$71),"Ba Ngòi",""),IF(OR(M228=phu!$I$72,M228=phu!$I$73,M228=phu!$I$74,M228=phu!$I$75,M228=phu!$I$76,M228=phu!$I$77,M228=phu!$I$78),"Cam Phước Đông",""),IF(OR(M228=phu!$I$79,M228=phu!$I$80,M228=phu!$I$81,M228=phu!$I$82,M228=phu!$I$83,M228=phu!$I$84),"Cam Thịnh Đông",""),IF(OR(M228=phu!$I$85,M228=phu!$I$86,M228=phu!$I$87,M228=phu!$I$88),"Cam Thịnh Tây",""),IF(OR(M228=phu!$I$89,M228=phu!$I$90),"Cam Lập",""),IF(OR(M228=phu!$I$91,M228=phu!$I$92,M228=phu!$I$93),"Cam Bình",""),IF(OR(M228=phu!$I$94,M228=phu!$I$95,M228=phu!$I$96,M228=phu!$I$97,M228=phu!$I$98,M228=phu!$I$99,M228=phu!$I$100),"Huyện khác",""),IF(OR(M228=phu!$I$101,M228=phu!$I$102),"Tỉnh khác",""))</f>
        <v/>
      </c>
      <c r="O228" s="814" t="str">
        <f t="shared" si="19"/>
        <v/>
      </c>
      <c r="P228" s="254"/>
      <c r="Q228" s="254"/>
      <c r="R228" s="254"/>
      <c r="S228" s="254"/>
      <c r="T228" s="254"/>
      <c r="U228" s="254"/>
      <c r="V228" s="254"/>
      <c r="W228" s="254"/>
      <c r="Y228" s="246" t="str">
        <f t="shared" si="20"/>
        <v/>
      </c>
      <c r="Z228" s="247" t="str">
        <f t="shared" si="18"/>
        <v/>
      </c>
      <c r="AA228" s="246" t="str">
        <f t="shared" si="21"/>
        <v/>
      </c>
    </row>
    <row r="229" spans="1:27" ht="18" customHeight="1" x14ac:dyDescent="0.25">
      <c r="A229" s="248" t="str">
        <f t="shared" si="22"/>
        <v/>
      </c>
      <c r="B229" s="249" t="str">
        <f t="shared" si="23"/>
        <v/>
      </c>
      <c r="C229" s="250"/>
      <c r="D229" s="251"/>
      <c r="E229" s="241"/>
      <c r="F229" s="252"/>
      <c r="G229" s="252"/>
      <c r="H229" s="253"/>
      <c r="I229" s="250"/>
      <c r="J229" s="250"/>
      <c r="K229" s="270"/>
      <c r="L229" s="250"/>
      <c r="M229" s="250"/>
      <c r="N229" s="553" t="str">
        <f>CONCATENATE(IF(OR(M229=phu!$I$1,M229=phu!$I$2,M229=phu!$I$3),"Cam Thành Nam",""),IF(OR(M229=phu!$I$4,M229=phu!$I$5,M229=phu!$I$6,M229=phu!$I$7,M229=phu!$I$8,M229=phu!$I$9,M229=phu!$I$10,M229=phu!$I$11,M229=phu!$I$12,M229=phu!$I$13,M229=phu!$I$14),"Cam Nghĩa",""),IF(OR(M229=phu!$I$15,M229=phu!$I$16,M229=phu!$I$17,M229=phu!$I$18,M229=phu!$I$19,M229=phu!$I$20,M229=phu!$I$21),"Cam Phúc Bắc",""),IF(OR(M229=phu!$I$22,M229=phu!$I$23,M229=phu!$I$24,M229=phu!$I$25),"Cam Phúc Nam",""),IF(OR(M229=phu!$I$26,M229=phu!$I$27,M229=phu!$I$28,M229=phu!$I$29,M229=phu!$I$30,M229=phu!$I$31),"Cam Phú",""),IF(OR(M229=phu!$I$32,M229=phu!$I$33,M229=phu!$I$34,M229=phu!$I$35,M229=phu!$I$36,M229=phu!$I$37),"Cam Lộc",""),IF(OR(M229=phu!$I$38,M229=phu!$I$39,M229=phu!$I$40,M229=phu!$I$41,M229=phu!$I$42,M229=phu!$I$43,M229=phu!$I$44),"Cam Thuận",""),IF(OR(M229=phu!$I$45,M229=phu!$I$46,M229=phu!$I$47,M229=phu!$I$48,M229=phu!$I$49,M229=phu!$I$50,M229=phu!$I$51,M229=phu!$I$52,M229=phu!$I$53),"Cam Linh",""),IF(OR(M229=phu!$I$54,M229=phu!$I$55,M229=phu!$I$56,M229=phu!$I$57,M229=phu!$I$58,M229=phu!$I$59,M229=phu!$I$60,M229=phu!$I$61,M229=phu!$I$62),"Cam Lợi",""),IF(OR(M229=phu!$I$63,M229=phu!$I$64,M229=phu!$I$65,M229=phu!$I$66,M229=phu!$I$67,M229=phu!$I$68,M229=phu!$I$69,M229=phu!$I$70,M229=phu!$I$71),"Ba Ngòi",""),IF(OR(M229=phu!$I$72,M229=phu!$I$73,M229=phu!$I$74,M229=phu!$I$75,M229=phu!$I$76,M229=phu!$I$77,M229=phu!$I$78),"Cam Phước Đông",""),IF(OR(M229=phu!$I$79,M229=phu!$I$80,M229=phu!$I$81,M229=phu!$I$82,M229=phu!$I$83,M229=phu!$I$84),"Cam Thịnh Đông",""),IF(OR(M229=phu!$I$85,M229=phu!$I$86,M229=phu!$I$87,M229=phu!$I$88),"Cam Thịnh Tây",""),IF(OR(M229=phu!$I$89,M229=phu!$I$90),"Cam Lập",""),IF(OR(M229=phu!$I$91,M229=phu!$I$92,M229=phu!$I$93),"Cam Bình",""),IF(OR(M229=phu!$I$94,M229=phu!$I$95,M229=phu!$I$96,M229=phu!$I$97,M229=phu!$I$98,M229=phu!$I$99,M229=phu!$I$100),"Huyện khác",""),IF(OR(M229=phu!$I$101,M229=phu!$I$102),"Tỉnh khác",""))</f>
        <v/>
      </c>
      <c r="O229" s="814" t="str">
        <f t="shared" si="19"/>
        <v/>
      </c>
      <c r="P229" s="254"/>
      <c r="Q229" s="254"/>
      <c r="R229" s="254"/>
      <c r="S229" s="254"/>
      <c r="T229" s="254"/>
      <c r="U229" s="254"/>
      <c r="V229" s="254"/>
      <c r="W229" s="254"/>
      <c r="Y229" s="246" t="str">
        <f t="shared" si="20"/>
        <v/>
      </c>
      <c r="Z229" s="247" t="str">
        <f t="shared" si="18"/>
        <v/>
      </c>
      <c r="AA229" s="246" t="str">
        <f t="shared" si="21"/>
        <v/>
      </c>
    </row>
    <row r="230" spans="1:27" ht="18" customHeight="1" x14ac:dyDescent="0.25">
      <c r="A230" s="248" t="str">
        <f t="shared" si="22"/>
        <v/>
      </c>
      <c r="B230" s="249" t="str">
        <f t="shared" si="23"/>
        <v/>
      </c>
      <c r="C230" s="250"/>
      <c r="D230" s="251"/>
      <c r="E230" s="241"/>
      <c r="F230" s="252"/>
      <c r="G230" s="252"/>
      <c r="H230" s="253"/>
      <c r="I230" s="250"/>
      <c r="J230" s="250"/>
      <c r="K230" s="270"/>
      <c r="L230" s="250"/>
      <c r="M230" s="250"/>
      <c r="N230" s="553" t="str">
        <f>CONCATENATE(IF(OR(M230=phu!$I$1,M230=phu!$I$2,M230=phu!$I$3),"Cam Thành Nam",""),IF(OR(M230=phu!$I$4,M230=phu!$I$5,M230=phu!$I$6,M230=phu!$I$7,M230=phu!$I$8,M230=phu!$I$9,M230=phu!$I$10,M230=phu!$I$11,M230=phu!$I$12,M230=phu!$I$13,M230=phu!$I$14),"Cam Nghĩa",""),IF(OR(M230=phu!$I$15,M230=phu!$I$16,M230=phu!$I$17,M230=phu!$I$18,M230=phu!$I$19,M230=phu!$I$20,M230=phu!$I$21),"Cam Phúc Bắc",""),IF(OR(M230=phu!$I$22,M230=phu!$I$23,M230=phu!$I$24,M230=phu!$I$25),"Cam Phúc Nam",""),IF(OR(M230=phu!$I$26,M230=phu!$I$27,M230=phu!$I$28,M230=phu!$I$29,M230=phu!$I$30,M230=phu!$I$31),"Cam Phú",""),IF(OR(M230=phu!$I$32,M230=phu!$I$33,M230=phu!$I$34,M230=phu!$I$35,M230=phu!$I$36,M230=phu!$I$37),"Cam Lộc",""),IF(OR(M230=phu!$I$38,M230=phu!$I$39,M230=phu!$I$40,M230=phu!$I$41,M230=phu!$I$42,M230=phu!$I$43,M230=phu!$I$44),"Cam Thuận",""),IF(OR(M230=phu!$I$45,M230=phu!$I$46,M230=phu!$I$47,M230=phu!$I$48,M230=phu!$I$49,M230=phu!$I$50,M230=phu!$I$51,M230=phu!$I$52,M230=phu!$I$53),"Cam Linh",""),IF(OR(M230=phu!$I$54,M230=phu!$I$55,M230=phu!$I$56,M230=phu!$I$57,M230=phu!$I$58,M230=phu!$I$59,M230=phu!$I$60,M230=phu!$I$61,M230=phu!$I$62),"Cam Lợi",""),IF(OR(M230=phu!$I$63,M230=phu!$I$64,M230=phu!$I$65,M230=phu!$I$66,M230=phu!$I$67,M230=phu!$I$68,M230=phu!$I$69,M230=phu!$I$70,M230=phu!$I$71),"Ba Ngòi",""),IF(OR(M230=phu!$I$72,M230=phu!$I$73,M230=phu!$I$74,M230=phu!$I$75,M230=phu!$I$76,M230=phu!$I$77,M230=phu!$I$78),"Cam Phước Đông",""),IF(OR(M230=phu!$I$79,M230=phu!$I$80,M230=phu!$I$81,M230=phu!$I$82,M230=phu!$I$83,M230=phu!$I$84),"Cam Thịnh Đông",""),IF(OR(M230=phu!$I$85,M230=phu!$I$86,M230=phu!$I$87,M230=phu!$I$88),"Cam Thịnh Tây",""),IF(OR(M230=phu!$I$89,M230=phu!$I$90),"Cam Lập",""),IF(OR(M230=phu!$I$91,M230=phu!$I$92,M230=phu!$I$93),"Cam Bình",""),IF(OR(M230=phu!$I$94,M230=phu!$I$95,M230=phu!$I$96,M230=phu!$I$97,M230=phu!$I$98,M230=phu!$I$99,M230=phu!$I$100),"Huyện khác",""),IF(OR(M230=phu!$I$101,M230=phu!$I$102),"Tỉnh khác",""))</f>
        <v/>
      </c>
      <c r="O230" s="814" t="str">
        <f t="shared" si="19"/>
        <v/>
      </c>
      <c r="P230" s="254"/>
      <c r="Q230" s="254"/>
      <c r="R230" s="254"/>
      <c r="S230" s="254"/>
      <c r="T230" s="254"/>
      <c r="U230" s="254"/>
      <c r="V230" s="254"/>
      <c r="W230" s="254"/>
      <c r="Y230" s="246" t="str">
        <f t="shared" si="20"/>
        <v/>
      </c>
      <c r="Z230" s="247" t="str">
        <f t="shared" si="18"/>
        <v/>
      </c>
      <c r="AA230" s="246" t="str">
        <f t="shared" si="21"/>
        <v/>
      </c>
    </row>
    <row r="231" spans="1:27" ht="18" customHeight="1" x14ac:dyDescent="0.25">
      <c r="A231" s="248" t="str">
        <f t="shared" si="22"/>
        <v/>
      </c>
      <c r="B231" s="249" t="str">
        <f t="shared" si="23"/>
        <v/>
      </c>
      <c r="C231" s="250"/>
      <c r="D231" s="251"/>
      <c r="E231" s="241"/>
      <c r="F231" s="252"/>
      <c r="G231" s="252"/>
      <c r="H231" s="253"/>
      <c r="I231" s="250"/>
      <c r="J231" s="250"/>
      <c r="K231" s="270"/>
      <c r="L231" s="250"/>
      <c r="M231" s="250"/>
      <c r="N231" s="553" t="str">
        <f>CONCATENATE(IF(OR(M231=phu!$I$1,M231=phu!$I$2,M231=phu!$I$3),"Cam Thành Nam",""),IF(OR(M231=phu!$I$4,M231=phu!$I$5,M231=phu!$I$6,M231=phu!$I$7,M231=phu!$I$8,M231=phu!$I$9,M231=phu!$I$10,M231=phu!$I$11,M231=phu!$I$12,M231=phu!$I$13,M231=phu!$I$14),"Cam Nghĩa",""),IF(OR(M231=phu!$I$15,M231=phu!$I$16,M231=phu!$I$17,M231=phu!$I$18,M231=phu!$I$19,M231=phu!$I$20,M231=phu!$I$21),"Cam Phúc Bắc",""),IF(OR(M231=phu!$I$22,M231=phu!$I$23,M231=phu!$I$24,M231=phu!$I$25),"Cam Phúc Nam",""),IF(OR(M231=phu!$I$26,M231=phu!$I$27,M231=phu!$I$28,M231=phu!$I$29,M231=phu!$I$30,M231=phu!$I$31),"Cam Phú",""),IF(OR(M231=phu!$I$32,M231=phu!$I$33,M231=phu!$I$34,M231=phu!$I$35,M231=phu!$I$36,M231=phu!$I$37),"Cam Lộc",""),IF(OR(M231=phu!$I$38,M231=phu!$I$39,M231=phu!$I$40,M231=phu!$I$41,M231=phu!$I$42,M231=phu!$I$43,M231=phu!$I$44),"Cam Thuận",""),IF(OR(M231=phu!$I$45,M231=phu!$I$46,M231=phu!$I$47,M231=phu!$I$48,M231=phu!$I$49,M231=phu!$I$50,M231=phu!$I$51,M231=phu!$I$52,M231=phu!$I$53),"Cam Linh",""),IF(OR(M231=phu!$I$54,M231=phu!$I$55,M231=phu!$I$56,M231=phu!$I$57,M231=phu!$I$58,M231=phu!$I$59,M231=phu!$I$60,M231=phu!$I$61,M231=phu!$I$62),"Cam Lợi",""),IF(OR(M231=phu!$I$63,M231=phu!$I$64,M231=phu!$I$65,M231=phu!$I$66,M231=phu!$I$67,M231=phu!$I$68,M231=phu!$I$69,M231=phu!$I$70,M231=phu!$I$71),"Ba Ngòi",""),IF(OR(M231=phu!$I$72,M231=phu!$I$73,M231=phu!$I$74,M231=phu!$I$75,M231=phu!$I$76,M231=phu!$I$77,M231=phu!$I$78),"Cam Phước Đông",""),IF(OR(M231=phu!$I$79,M231=phu!$I$80,M231=phu!$I$81,M231=phu!$I$82,M231=phu!$I$83,M231=phu!$I$84),"Cam Thịnh Đông",""),IF(OR(M231=phu!$I$85,M231=phu!$I$86,M231=phu!$I$87,M231=phu!$I$88),"Cam Thịnh Tây",""),IF(OR(M231=phu!$I$89,M231=phu!$I$90),"Cam Lập",""),IF(OR(M231=phu!$I$91,M231=phu!$I$92,M231=phu!$I$93),"Cam Bình",""),IF(OR(M231=phu!$I$94,M231=phu!$I$95,M231=phu!$I$96,M231=phu!$I$97,M231=phu!$I$98,M231=phu!$I$99,M231=phu!$I$100),"Huyện khác",""),IF(OR(M231=phu!$I$101,M231=phu!$I$102),"Tỉnh khác",""))</f>
        <v/>
      </c>
      <c r="O231" s="814" t="str">
        <f t="shared" si="19"/>
        <v/>
      </c>
      <c r="P231" s="254"/>
      <c r="Q231" s="254"/>
      <c r="R231" s="254"/>
      <c r="S231" s="254"/>
      <c r="T231" s="254"/>
      <c r="U231" s="254"/>
      <c r="V231" s="254"/>
      <c r="W231" s="254"/>
      <c r="Y231" s="246" t="str">
        <f t="shared" si="20"/>
        <v/>
      </c>
      <c r="Z231" s="247" t="str">
        <f t="shared" si="18"/>
        <v/>
      </c>
      <c r="AA231" s="246" t="str">
        <f t="shared" si="21"/>
        <v/>
      </c>
    </row>
    <row r="232" spans="1:27" ht="18" customHeight="1" x14ac:dyDescent="0.25">
      <c r="A232" s="248" t="str">
        <f t="shared" si="22"/>
        <v/>
      </c>
      <c r="B232" s="249" t="str">
        <f t="shared" si="23"/>
        <v/>
      </c>
      <c r="C232" s="250"/>
      <c r="D232" s="251"/>
      <c r="E232" s="241"/>
      <c r="F232" s="252"/>
      <c r="G232" s="252"/>
      <c r="H232" s="253"/>
      <c r="I232" s="250"/>
      <c r="J232" s="250"/>
      <c r="K232" s="270"/>
      <c r="L232" s="250"/>
      <c r="M232" s="250"/>
      <c r="N232" s="553" t="str">
        <f>CONCATENATE(IF(OR(M232=phu!$I$1,M232=phu!$I$2,M232=phu!$I$3),"Cam Thành Nam",""),IF(OR(M232=phu!$I$4,M232=phu!$I$5,M232=phu!$I$6,M232=phu!$I$7,M232=phu!$I$8,M232=phu!$I$9,M232=phu!$I$10,M232=phu!$I$11,M232=phu!$I$12,M232=phu!$I$13,M232=phu!$I$14),"Cam Nghĩa",""),IF(OR(M232=phu!$I$15,M232=phu!$I$16,M232=phu!$I$17,M232=phu!$I$18,M232=phu!$I$19,M232=phu!$I$20,M232=phu!$I$21),"Cam Phúc Bắc",""),IF(OR(M232=phu!$I$22,M232=phu!$I$23,M232=phu!$I$24,M232=phu!$I$25),"Cam Phúc Nam",""),IF(OR(M232=phu!$I$26,M232=phu!$I$27,M232=phu!$I$28,M232=phu!$I$29,M232=phu!$I$30,M232=phu!$I$31),"Cam Phú",""),IF(OR(M232=phu!$I$32,M232=phu!$I$33,M232=phu!$I$34,M232=phu!$I$35,M232=phu!$I$36,M232=phu!$I$37),"Cam Lộc",""),IF(OR(M232=phu!$I$38,M232=phu!$I$39,M232=phu!$I$40,M232=phu!$I$41,M232=phu!$I$42,M232=phu!$I$43,M232=phu!$I$44),"Cam Thuận",""),IF(OR(M232=phu!$I$45,M232=phu!$I$46,M232=phu!$I$47,M232=phu!$I$48,M232=phu!$I$49,M232=phu!$I$50,M232=phu!$I$51,M232=phu!$I$52,M232=phu!$I$53),"Cam Linh",""),IF(OR(M232=phu!$I$54,M232=phu!$I$55,M232=phu!$I$56,M232=phu!$I$57,M232=phu!$I$58,M232=phu!$I$59,M232=phu!$I$60,M232=phu!$I$61,M232=phu!$I$62),"Cam Lợi",""),IF(OR(M232=phu!$I$63,M232=phu!$I$64,M232=phu!$I$65,M232=phu!$I$66,M232=phu!$I$67,M232=phu!$I$68,M232=phu!$I$69,M232=phu!$I$70,M232=phu!$I$71),"Ba Ngòi",""),IF(OR(M232=phu!$I$72,M232=phu!$I$73,M232=phu!$I$74,M232=phu!$I$75,M232=phu!$I$76,M232=phu!$I$77,M232=phu!$I$78),"Cam Phước Đông",""),IF(OR(M232=phu!$I$79,M232=phu!$I$80,M232=phu!$I$81,M232=phu!$I$82,M232=phu!$I$83,M232=phu!$I$84),"Cam Thịnh Đông",""),IF(OR(M232=phu!$I$85,M232=phu!$I$86,M232=phu!$I$87,M232=phu!$I$88),"Cam Thịnh Tây",""),IF(OR(M232=phu!$I$89,M232=phu!$I$90),"Cam Lập",""),IF(OR(M232=phu!$I$91,M232=phu!$I$92,M232=phu!$I$93),"Cam Bình",""),IF(OR(M232=phu!$I$94,M232=phu!$I$95,M232=phu!$I$96,M232=phu!$I$97,M232=phu!$I$98,M232=phu!$I$99,M232=phu!$I$100),"Huyện khác",""),IF(OR(M232=phu!$I$101,M232=phu!$I$102),"Tỉnh khác",""))</f>
        <v/>
      </c>
      <c r="O232" s="814" t="str">
        <f t="shared" si="19"/>
        <v/>
      </c>
      <c r="P232" s="254"/>
      <c r="Q232" s="254"/>
      <c r="R232" s="254"/>
      <c r="S232" s="254"/>
      <c r="T232" s="254"/>
      <c r="U232" s="254"/>
      <c r="V232" s="254"/>
      <c r="W232" s="254"/>
      <c r="Y232" s="246" t="str">
        <f t="shared" si="20"/>
        <v/>
      </c>
      <c r="Z232" s="247" t="str">
        <f t="shared" si="18"/>
        <v/>
      </c>
      <c r="AA232" s="246" t="str">
        <f t="shared" si="21"/>
        <v/>
      </c>
    </row>
    <row r="233" spans="1:27" ht="18" customHeight="1" x14ac:dyDescent="0.25">
      <c r="A233" s="248" t="str">
        <f t="shared" si="22"/>
        <v/>
      </c>
      <c r="B233" s="249" t="str">
        <f t="shared" si="23"/>
        <v/>
      </c>
      <c r="C233" s="250"/>
      <c r="D233" s="251"/>
      <c r="E233" s="241"/>
      <c r="F233" s="252"/>
      <c r="G233" s="252"/>
      <c r="H233" s="253"/>
      <c r="I233" s="250"/>
      <c r="J233" s="250"/>
      <c r="K233" s="270"/>
      <c r="L233" s="250"/>
      <c r="M233" s="250"/>
      <c r="N233" s="553" t="str">
        <f>CONCATENATE(IF(OR(M233=phu!$I$1,M233=phu!$I$2,M233=phu!$I$3),"Cam Thành Nam",""),IF(OR(M233=phu!$I$4,M233=phu!$I$5,M233=phu!$I$6,M233=phu!$I$7,M233=phu!$I$8,M233=phu!$I$9,M233=phu!$I$10,M233=phu!$I$11,M233=phu!$I$12,M233=phu!$I$13,M233=phu!$I$14),"Cam Nghĩa",""),IF(OR(M233=phu!$I$15,M233=phu!$I$16,M233=phu!$I$17,M233=phu!$I$18,M233=phu!$I$19,M233=phu!$I$20,M233=phu!$I$21),"Cam Phúc Bắc",""),IF(OR(M233=phu!$I$22,M233=phu!$I$23,M233=phu!$I$24,M233=phu!$I$25),"Cam Phúc Nam",""),IF(OR(M233=phu!$I$26,M233=phu!$I$27,M233=phu!$I$28,M233=phu!$I$29,M233=phu!$I$30,M233=phu!$I$31),"Cam Phú",""),IF(OR(M233=phu!$I$32,M233=phu!$I$33,M233=phu!$I$34,M233=phu!$I$35,M233=phu!$I$36,M233=phu!$I$37),"Cam Lộc",""),IF(OR(M233=phu!$I$38,M233=phu!$I$39,M233=phu!$I$40,M233=phu!$I$41,M233=phu!$I$42,M233=phu!$I$43,M233=phu!$I$44),"Cam Thuận",""),IF(OR(M233=phu!$I$45,M233=phu!$I$46,M233=phu!$I$47,M233=phu!$I$48,M233=phu!$I$49,M233=phu!$I$50,M233=phu!$I$51,M233=phu!$I$52,M233=phu!$I$53),"Cam Linh",""),IF(OR(M233=phu!$I$54,M233=phu!$I$55,M233=phu!$I$56,M233=phu!$I$57,M233=phu!$I$58,M233=phu!$I$59,M233=phu!$I$60,M233=phu!$I$61,M233=phu!$I$62),"Cam Lợi",""),IF(OR(M233=phu!$I$63,M233=phu!$I$64,M233=phu!$I$65,M233=phu!$I$66,M233=phu!$I$67,M233=phu!$I$68,M233=phu!$I$69,M233=phu!$I$70,M233=phu!$I$71),"Ba Ngòi",""),IF(OR(M233=phu!$I$72,M233=phu!$I$73,M233=phu!$I$74,M233=phu!$I$75,M233=phu!$I$76,M233=phu!$I$77,M233=phu!$I$78),"Cam Phước Đông",""),IF(OR(M233=phu!$I$79,M233=phu!$I$80,M233=phu!$I$81,M233=phu!$I$82,M233=phu!$I$83,M233=phu!$I$84),"Cam Thịnh Đông",""),IF(OR(M233=phu!$I$85,M233=phu!$I$86,M233=phu!$I$87,M233=phu!$I$88),"Cam Thịnh Tây",""),IF(OR(M233=phu!$I$89,M233=phu!$I$90),"Cam Lập",""),IF(OR(M233=phu!$I$91,M233=phu!$I$92,M233=phu!$I$93),"Cam Bình",""),IF(OR(M233=phu!$I$94,M233=phu!$I$95,M233=phu!$I$96,M233=phu!$I$97,M233=phu!$I$98,M233=phu!$I$99,M233=phu!$I$100),"Huyện khác",""),IF(OR(M233=phu!$I$101,M233=phu!$I$102),"Tỉnh khác",""))</f>
        <v/>
      </c>
      <c r="O233" s="814" t="str">
        <f t="shared" si="19"/>
        <v/>
      </c>
      <c r="P233" s="254"/>
      <c r="Q233" s="254"/>
      <c r="R233" s="254"/>
      <c r="S233" s="254"/>
      <c r="T233" s="254"/>
      <c r="U233" s="254"/>
      <c r="V233" s="254"/>
      <c r="W233" s="254"/>
      <c r="Y233" s="246" t="str">
        <f t="shared" si="20"/>
        <v/>
      </c>
      <c r="Z233" s="247" t="str">
        <f t="shared" si="18"/>
        <v/>
      </c>
      <c r="AA233" s="246" t="str">
        <f t="shared" si="21"/>
        <v/>
      </c>
    </row>
    <row r="234" spans="1:27" ht="18" customHeight="1" x14ac:dyDescent="0.25">
      <c r="A234" s="248" t="str">
        <f t="shared" si="22"/>
        <v/>
      </c>
      <c r="B234" s="249" t="str">
        <f t="shared" si="23"/>
        <v/>
      </c>
      <c r="C234" s="250"/>
      <c r="D234" s="251"/>
      <c r="E234" s="241"/>
      <c r="F234" s="252"/>
      <c r="G234" s="252"/>
      <c r="H234" s="253"/>
      <c r="I234" s="250"/>
      <c r="J234" s="250"/>
      <c r="K234" s="270"/>
      <c r="L234" s="250"/>
      <c r="M234" s="250"/>
      <c r="N234" s="553" t="str">
        <f>CONCATENATE(IF(OR(M234=phu!$I$1,M234=phu!$I$2,M234=phu!$I$3),"Cam Thành Nam",""),IF(OR(M234=phu!$I$4,M234=phu!$I$5,M234=phu!$I$6,M234=phu!$I$7,M234=phu!$I$8,M234=phu!$I$9,M234=phu!$I$10,M234=phu!$I$11,M234=phu!$I$12,M234=phu!$I$13,M234=phu!$I$14),"Cam Nghĩa",""),IF(OR(M234=phu!$I$15,M234=phu!$I$16,M234=phu!$I$17,M234=phu!$I$18,M234=phu!$I$19,M234=phu!$I$20,M234=phu!$I$21),"Cam Phúc Bắc",""),IF(OR(M234=phu!$I$22,M234=phu!$I$23,M234=phu!$I$24,M234=phu!$I$25),"Cam Phúc Nam",""),IF(OR(M234=phu!$I$26,M234=phu!$I$27,M234=phu!$I$28,M234=phu!$I$29,M234=phu!$I$30,M234=phu!$I$31),"Cam Phú",""),IF(OR(M234=phu!$I$32,M234=phu!$I$33,M234=phu!$I$34,M234=phu!$I$35,M234=phu!$I$36,M234=phu!$I$37),"Cam Lộc",""),IF(OR(M234=phu!$I$38,M234=phu!$I$39,M234=phu!$I$40,M234=phu!$I$41,M234=phu!$I$42,M234=phu!$I$43,M234=phu!$I$44),"Cam Thuận",""),IF(OR(M234=phu!$I$45,M234=phu!$I$46,M234=phu!$I$47,M234=phu!$I$48,M234=phu!$I$49,M234=phu!$I$50,M234=phu!$I$51,M234=phu!$I$52,M234=phu!$I$53),"Cam Linh",""),IF(OR(M234=phu!$I$54,M234=phu!$I$55,M234=phu!$I$56,M234=phu!$I$57,M234=phu!$I$58,M234=phu!$I$59,M234=phu!$I$60,M234=phu!$I$61,M234=phu!$I$62),"Cam Lợi",""),IF(OR(M234=phu!$I$63,M234=phu!$I$64,M234=phu!$I$65,M234=phu!$I$66,M234=phu!$I$67,M234=phu!$I$68,M234=phu!$I$69,M234=phu!$I$70,M234=phu!$I$71),"Ba Ngòi",""),IF(OR(M234=phu!$I$72,M234=phu!$I$73,M234=phu!$I$74,M234=phu!$I$75,M234=phu!$I$76,M234=phu!$I$77,M234=phu!$I$78),"Cam Phước Đông",""),IF(OR(M234=phu!$I$79,M234=phu!$I$80,M234=phu!$I$81,M234=phu!$I$82,M234=phu!$I$83,M234=phu!$I$84),"Cam Thịnh Đông",""),IF(OR(M234=phu!$I$85,M234=phu!$I$86,M234=phu!$I$87,M234=phu!$I$88),"Cam Thịnh Tây",""),IF(OR(M234=phu!$I$89,M234=phu!$I$90),"Cam Lập",""),IF(OR(M234=phu!$I$91,M234=phu!$I$92,M234=phu!$I$93),"Cam Bình",""),IF(OR(M234=phu!$I$94,M234=phu!$I$95,M234=phu!$I$96,M234=phu!$I$97,M234=phu!$I$98,M234=phu!$I$99,M234=phu!$I$100),"Huyện khác",""),IF(OR(M234=phu!$I$101,M234=phu!$I$102),"Tỉnh khác",""))</f>
        <v/>
      </c>
      <c r="O234" s="814" t="str">
        <f t="shared" si="19"/>
        <v/>
      </c>
      <c r="P234" s="254"/>
      <c r="Q234" s="254"/>
      <c r="R234" s="254"/>
      <c r="S234" s="254"/>
      <c r="T234" s="254"/>
      <c r="U234" s="254"/>
      <c r="V234" s="254"/>
      <c r="W234" s="254"/>
      <c r="Y234" s="246" t="str">
        <f t="shared" si="20"/>
        <v/>
      </c>
      <c r="Z234" s="247" t="str">
        <f t="shared" si="18"/>
        <v/>
      </c>
      <c r="AA234" s="246" t="str">
        <f t="shared" si="21"/>
        <v/>
      </c>
    </row>
    <row r="235" spans="1:27" ht="18" customHeight="1" x14ac:dyDescent="0.25">
      <c r="A235" s="248" t="str">
        <f t="shared" si="22"/>
        <v/>
      </c>
      <c r="B235" s="249" t="str">
        <f t="shared" si="23"/>
        <v/>
      </c>
      <c r="C235" s="250"/>
      <c r="D235" s="251"/>
      <c r="E235" s="241"/>
      <c r="F235" s="252"/>
      <c r="G235" s="252"/>
      <c r="H235" s="253"/>
      <c r="I235" s="250"/>
      <c r="J235" s="250"/>
      <c r="K235" s="270"/>
      <c r="L235" s="250"/>
      <c r="M235" s="250"/>
      <c r="N235" s="553" t="str">
        <f>CONCATENATE(IF(OR(M235=phu!$I$1,M235=phu!$I$2,M235=phu!$I$3),"Cam Thành Nam",""),IF(OR(M235=phu!$I$4,M235=phu!$I$5,M235=phu!$I$6,M235=phu!$I$7,M235=phu!$I$8,M235=phu!$I$9,M235=phu!$I$10,M235=phu!$I$11,M235=phu!$I$12,M235=phu!$I$13,M235=phu!$I$14),"Cam Nghĩa",""),IF(OR(M235=phu!$I$15,M235=phu!$I$16,M235=phu!$I$17,M235=phu!$I$18,M235=phu!$I$19,M235=phu!$I$20,M235=phu!$I$21),"Cam Phúc Bắc",""),IF(OR(M235=phu!$I$22,M235=phu!$I$23,M235=phu!$I$24,M235=phu!$I$25),"Cam Phúc Nam",""),IF(OR(M235=phu!$I$26,M235=phu!$I$27,M235=phu!$I$28,M235=phu!$I$29,M235=phu!$I$30,M235=phu!$I$31),"Cam Phú",""),IF(OR(M235=phu!$I$32,M235=phu!$I$33,M235=phu!$I$34,M235=phu!$I$35,M235=phu!$I$36,M235=phu!$I$37),"Cam Lộc",""),IF(OR(M235=phu!$I$38,M235=phu!$I$39,M235=phu!$I$40,M235=phu!$I$41,M235=phu!$I$42,M235=phu!$I$43,M235=phu!$I$44),"Cam Thuận",""),IF(OR(M235=phu!$I$45,M235=phu!$I$46,M235=phu!$I$47,M235=phu!$I$48,M235=phu!$I$49,M235=phu!$I$50,M235=phu!$I$51,M235=phu!$I$52,M235=phu!$I$53),"Cam Linh",""),IF(OR(M235=phu!$I$54,M235=phu!$I$55,M235=phu!$I$56,M235=phu!$I$57,M235=phu!$I$58,M235=phu!$I$59,M235=phu!$I$60,M235=phu!$I$61,M235=phu!$I$62),"Cam Lợi",""),IF(OR(M235=phu!$I$63,M235=phu!$I$64,M235=phu!$I$65,M235=phu!$I$66,M235=phu!$I$67,M235=phu!$I$68,M235=phu!$I$69,M235=phu!$I$70,M235=phu!$I$71),"Ba Ngòi",""),IF(OR(M235=phu!$I$72,M235=phu!$I$73,M235=phu!$I$74,M235=phu!$I$75,M235=phu!$I$76,M235=phu!$I$77,M235=phu!$I$78),"Cam Phước Đông",""),IF(OR(M235=phu!$I$79,M235=phu!$I$80,M235=phu!$I$81,M235=phu!$I$82,M235=phu!$I$83,M235=phu!$I$84),"Cam Thịnh Đông",""),IF(OR(M235=phu!$I$85,M235=phu!$I$86,M235=phu!$I$87,M235=phu!$I$88),"Cam Thịnh Tây",""),IF(OR(M235=phu!$I$89,M235=phu!$I$90),"Cam Lập",""),IF(OR(M235=phu!$I$91,M235=phu!$I$92,M235=phu!$I$93),"Cam Bình",""),IF(OR(M235=phu!$I$94,M235=phu!$I$95,M235=phu!$I$96,M235=phu!$I$97,M235=phu!$I$98,M235=phu!$I$99,M235=phu!$I$100),"Huyện khác",""),IF(OR(M235=phu!$I$101,M235=phu!$I$102),"Tỉnh khác",""))</f>
        <v/>
      </c>
      <c r="O235" s="814" t="str">
        <f t="shared" si="19"/>
        <v/>
      </c>
      <c r="P235" s="254"/>
      <c r="Q235" s="254"/>
      <c r="R235" s="254"/>
      <c r="S235" s="254"/>
      <c r="T235" s="254"/>
      <c r="U235" s="254"/>
      <c r="V235" s="254"/>
      <c r="W235" s="254"/>
      <c r="Y235" s="246" t="str">
        <f t="shared" si="20"/>
        <v/>
      </c>
      <c r="Z235" s="247" t="str">
        <f t="shared" si="18"/>
        <v/>
      </c>
      <c r="AA235" s="246" t="str">
        <f t="shared" si="21"/>
        <v/>
      </c>
    </row>
    <row r="236" spans="1:27" ht="18" customHeight="1" x14ac:dyDescent="0.25">
      <c r="A236" s="248" t="str">
        <f t="shared" si="22"/>
        <v/>
      </c>
      <c r="B236" s="249" t="str">
        <f t="shared" si="23"/>
        <v/>
      </c>
      <c r="C236" s="250"/>
      <c r="D236" s="251"/>
      <c r="E236" s="241"/>
      <c r="F236" s="252"/>
      <c r="G236" s="252"/>
      <c r="H236" s="253"/>
      <c r="I236" s="250"/>
      <c r="J236" s="250"/>
      <c r="K236" s="270"/>
      <c r="L236" s="250"/>
      <c r="M236" s="250"/>
      <c r="N236" s="553" t="str">
        <f>CONCATENATE(IF(OR(M236=phu!$I$1,M236=phu!$I$2,M236=phu!$I$3),"Cam Thành Nam",""),IF(OR(M236=phu!$I$4,M236=phu!$I$5,M236=phu!$I$6,M236=phu!$I$7,M236=phu!$I$8,M236=phu!$I$9,M236=phu!$I$10,M236=phu!$I$11,M236=phu!$I$12,M236=phu!$I$13,M236=phu!$I$14),"Cam Nghĩa",""),IF(OR(M236=phu!$I$15,M236=phu!$I$16,M236=phu!$I$17,M236=phu!$I$18,M236=phu!$I$19,M236=phu!$I$20,M236=phu!$I$21),"Cam Phúc Bắc",""),IF(OR(M236=phu!$I$22,M236=phu!$I$23,M236=phu!$I$24,M236=phu!$I$25),"Cam Phúc Nam",""),IF(OR(M236=phu!$I$26,M236=phu!$I$27,M236=phu!$I$28,M236=phu!$I$29,M236=phu!$I$30,M236=phu!$I$31),"Cam Phú",""),IF(OR(M236=phu!$I$32,M236=phu!$I$33,M236=phu!$I$34,M236=phu!$I$35,M236=phu!$I$36,M236=phu!$I$37),"Cam Lộc",""),IF(OR(M236=phu!$I$38,M236=phu!$I$39,M236=phu!$I$40,M236=phu!$I$41,M236=phu!$I$42,M236=phu!$I$43,M236=phu!$I$44),"Cam Thuận",""),IF(OR(M236=phu!$I$45,M236=phu!$I$46,M236=phu!$I$47,M236=phu!$I$48,M236=phu!$I$49,M236=phu!$I$50,M236=phu!$I$51,M236=phu!$I$52,M236=phu!$I$53),"Cam Linh",""),IF(OR(M236=phu!$I$54,M236=phu!$I$55,M236=phu!$I$56,M236=phu!$I$57,M236=phu!$I$58,M236=phu!$I$59,M236=phu!$I$60,M236=phu!$I$61,M236=phu!$I$62),"Cam Lợi",""),IF(OR(M236=phu!$I$63,M236=phu!$I$64,M236=phu!$I$65,M236=phu!$I$66,M236=phu!$I$67,M236=phu!$I$68,M236=phu!$I$69,M236=phu!$I$70,M236=phu!$I$71),"Ba Ngòi",""),IF(OR(M236=phu!$I$72,M236=phu!$I$73,M236=phu!$I$74,M236=phu!$I$75,M236=phu!$I$76,M236=phu!$I$77,M236=phu!$I$78),"Cam Phước Đông",""),IF(OR(M236=phu!$I$79,M236=phu!$I$80,M236=phu!$I$81,M236=phu!$I$82,M236=phu!$I$83,M236=phu!$I$84),"Cam Thịnh Đông",""),IF(OR(M236=phu!$I$85,M236=phu!$I$86,M236=phu!$I$87,M236=phu!$I$88),"Cam Thịnh Tây",""),IF(OR(M236=phu!$I$89,M236=phu!$I$90),"Cam Lập",""),IF(OR(M236=phu!$I$91,M236=phu!$I$92,M236=phu!$I$93),"Cam Bình",""),IF(OR(M236=phu!$I$94,M236=phu!$I$95,M236=phu!$I$96,M236=phu!$I$97,M236=phu!$I$98,M236=phu!$I$99,M236=phu!$I$100),"Huyện khác",""),IF(OR(M236=phu!$I$101,M236=phu!$I$102),"Tỉnh khác",""))</f>
        <v/>
      </c>
      <c r="O236" s="814" t="str">
        <f t="shared" si="19"/>
        <v/>
      </c>
      <c r="P236" s="254"/>
      <c r="Q236" s="254"/>
      <c r="R236" s="254"/>
      <c r="S236" s="254"/>
      <c r="T236" s="254"/>
      <c r="U236" s="254"/>
      <c r="V236" s="254"/>
      <c r="W236" s="254"/>
      <c r="Y236" s="246" t="str">
        <f t="shared" si="20"/>
        <v/>
      </c>
      <c r="Z236" s="247" t="str">
        <f t="shared" si="18"/>
        <v/>
      </c>
      <c r="AA236" s="246" t="str">
        <f t="shared" si="21"/>
        <v/>
      </c>
    </row>
    <row r="237" spans="1:27" ht="18" customHeight="1" x14ac:dyDescent="0.25">
      <c r="A237" s="248" t="str">
        <f t="shared" si="22"/>
        <v/>
      </c>
      <c r="B237" s="249" t="str">
        <f t="shared" si="23"/>
        <v/>
      </c>
      <c r="C237" s="250"/>
      <c r="D237" s="251"/>
      <c r="E237" s="241"/>
      <c r="F237" s="252"/>
      <c r="G237" s="252"/>
      <c r="H237" s="253"/>
      <c r="I237" s="250"/>
      <c r="J237" s="250"/>
      <c r="K237" s="270"/>
      <c r="L237" s="250"/>
      <c r="M237" s="250"/>
      <c r="N237" s="553" t="str">
        <f>CONCATENATE(IF(OR(M237=phu!$I$1,M237=phu!$I$2,M237=phu!$I$3),"Cam Thành Nam",""),IF(OR(M237=phu!$I$4,M237=phu!$I$5,M237=phu!$I$6,M237=phu!$I$7,M237=phu!$I$8,M237=phu!$I$9,M237=phu!$I$10,M237=phu!$I$11,M237=phu!$I$12,M237=phu!$I$13,M237=phu!$I$14),"Cam Nghĩa",""),IF(OR(M237=phu!$I$15,M237=phu!$I$16,M237=phu!$I$17,M237=phu!$I$18,M237=phu!$I$19,M237=phu!$I$20,M237=phu!$I$21),"Cam Phúc Bắc",""),IF(OR(M237=phu!$I$22,M237=phu!$I$23,M237=phu!$I$24,M237=phu!$I$25),"Cam Phúc Nam",""),IF(OR(M237=phu!$I$26,M237=phu!$I$27,M237=phu!$I$28,M237=phu!$I$29,M237=phu!$I$30,M237=phu!$I$31),"Cam Phú",""),IF(OR(M237=phu!$I$32,M237=phu!$I$33,M237=phu!$I$34,M237=phu!$I$35,M237=phu!$I$36,M237=phu!$I$37),"Cam Lộc",""),IF(OR(M237=phu!$I$38,M237=phu!$I$39,M237=phu!$I$40,M237=phu!$I$41,M237=phu!$I$42,M237=phu!$I$43,M237=phu!$I$44),"Cam Thuận",""),IF(OR(M237=phu!$I$45,M237=phu!$I$46,M237=phu!$I$47,M237=phu!$I$48,M237=phu!$I$49,M237=phu!$I$50,M237=phu!$I$51,M237=phu!$I$52,M237=phu!$I$53),"Cam Linh",""),IF(OR(M237=phu!$I$54,M237=phu!$I$55,M237=phu!$I$56,M237=phu!$I$57,M237=phu!$I$58,M237=phu!$I$59,M237=phu!$I$60,M237=phu!$I$61,M237=phu!$I$62),"Cam Lợi",""),IF(OR(M237=phu!$I$63,M237=phu!$I$64,M237=phu!$I$65,M237=phu!$I$66,M237=phu!$I$67,M237=phu!$I$68,M237=phu!$I$69,M237=phu!$I$70,M237=phu!$I$71),"Ba Ngòi",""),IF(OR(M237=phu!$I$72,M237=phu!$I$73,M237=phu!$I$74,M237=phu!$I$75,M237=phu!$I$76,M237=phu!$I$77,M237=phu!$I$78),"Cam Phước Đông",""),IF(OR(M237=phu!$I$79,M237=phu!$I$80,M237=phu!$I$81,M237=phu!$I$82,M237=phu!$I$83,M237=phu!$I$84),"Cam Thịnh Đông",""),IF(OR(M237=phu!$I$85,M237=phu!$I$86,M237=phu!$I$87,M237=phu!$I$88),"Cam Thịnh Tây",""),IF(OR(M237=phu!$I$89,M237=phu!$I$90),"Cam Lập",""),IF(OR(M237=phu!$I$91,M237=phu!$I$92,M237=phu!$I$93),"Cam Bình",""),IF(OR(M237=phu!$I$94,M237=phu!$I$95,M237=phu!$I$96,M237=phu!$I$97,M237=phu!$I$98,M237=phu!$I$99,M237=phu!$I$100),"Huyện khác",""),IF(OR(M237=phu!$I$101,M237=phu!$I$102),"Tỉnh khác",""))</f>
        <v/>
      </c>
      <c r="O237" s="814" t="str">
        <f t="shared" si="19"/>
        <v/>
      </c>
      <c r="P237" s="254"/>
      <c r="Q237" s="254"/>
      <c r="R237" s="254"/>
      <c r="S237" s="254"/>
      <c r="T237" s="254"/>
      <c r="U237" s="254"/>
      <c r="V237" s="254"/>
      <c r="W237" s="254"/>
      <c r="Y237" s="246" t="str">
        <f t="shared" si="20"/>
        <v/>
      </c>
      <c r="Z237" s="247" t="str">
        <f t="shared" si="18"/>
        <v/>
      </c>
      <c r="AA237" s="246" t="str">
        <f t="shared" si="21"/>
        <v/>
      </c>
    </row>
    <row r="238" spans="1:27" ht="18" customHeight="1" x14ac:dyDescent="0.25">
      <c r="A238" s="248" t="str">
        <f t="shared" si="22"/>
        <v/>
      </c>
      <c r="B238" s="249" t="str">
        <f t="shared" si="23"/>
        <v/>
      </c>
      <c r="C238" s="250"/>
      <c r="D238" s="251"/>
      <c r="E238" s="241"/>
      <c r="F238" s="252"/>
      <c r="G238" s="252"/>
      <c r="H238" s="253"/>
      <c r="I238" s="250"/>
      <c r="J238" s="250"/>
      <c r="K238" s="270"/>
      <c r="L238" s="250"/>
      <c r="M238" s="250"/>
      <c r="N238" s="553" t="str">
        <f>CONCATENATE(IF(OR(M238=phu!$I$1,M238=phu!$I$2,M238=phu!$I$3),"Cam Thành Nam",""),IF(OR(M238=phu!$I$4,M238=phu!$I$5,M238=phu!$I$6,M238=phu!$I$7,M238=phu!$I$8,M238=phu!$I$9,M238=phu!$I$10,M238=phu!$I$11,M238=phu!$I$12,M238=phu!$I$13,M238=phu!$I$14),"Cam Nghĩa",""),IF(OR(M238=phu!$I$15,M238=phu!$I$16,M238=phu!$I$17,M238=phu!$I$18,M238=phu!$I$19,M238=phu!$I$20,M238=phu!$I$21),"Cam Phúc Bắc",""),IF(OR(M238=phu!$I$22,M238=phu!$I$23,M238=phu!$I$24,M238=phu!$I$25),"Cam Phúc Nam",""),IF(OR(M238=phu!$I$26,M238=phu!$I$27,M238=phu!$I$28,M238=phu!$I$29,M238=phu!$I$30,M238=phu!$I$31),"Cam Phú",""),IF(OR(M238=phu!$I$32,M238=phu!$I$33,M238=phu!$I$34,M238=phu!$I$35,M238=phu!$I$36,M238=phu!$I$37),"Cam Lộc",""),IF(OR(M238=phu!$I$38,M238=phu!$I$39,M238=phu!$I$40,M238=phu!$I$41,M238=phu!$I$42,M238=phu!$I$43,M238=phu!$I$44),"Cam Thuận",""),IF(OR(M238=phu!$I$45,M238=phu!$I$46,M238=phu!$I$47,M238=phu!$I$48,M238=phu!$I$49,M238=phu!$I$50,M238=phu!$I$51,M238=phu!$I$52,M238=phu!$I$53),"Cam Linh",""),IF(OR(M238=phu!$I$54,M238=phu!$I$55,M238=phu!$I$56,M238=phu!$I$57,M238=phu!$I$58,M238=phu!$I$59,M238=phu!$I$60,M238=phu!$I$61,M238=phu!$I$62),"Cam Lợi",""),IF(OR(M238=phu!$I$63,M238=phu!$I$64,M238=phu!$I$65,M238=phu!$I$66,M238=phu!$I$67,M238=phu!$I$68,M238=phu!$I$69,M238=phu!$I$70,M238=phu!$I$71),"Ba Ngòi",""),IF(OR(M238=phu!$I$72,M238=phu!$I$73,M238=phu!$I$74,M238=phu!$I$75,M238=phu!$I$76,M238=phu!$I$77,M238=phu!$I$78),"Cam Phước Đông",""),IF(OR(M238=phu!$I$79,M238=phu!$I$80,M238=phu!$I$81,M238=phu!$I$82,M238=phu!$I$83,M238=phu!$I$84),"Cam Thịnh Đông",""),IF(OR(M238=phu!$I$85,M238=phu!$I$86,M238=phu!$I$87,M238=phu!$I$88),"Cam Thịnh Tây",""),IF(OR(M238=phu!$I$89,M238=phu!$I$90),"Cam Lập",""),IF(OR(M238=phu!$I$91,M238=phu!$I$92,M238=phu!$I$93),"Cam Bình",""),IF(OR(M238=phu!$I$94,M238=phu!$I$95,M238=phu!$I$96,M238=phu!$I$97,M238=phu!$I$98,M238=phu!$I$99,M238=phu!$I$100),"Huyện khác",""),IF(OR(M238=phu!$I$101,M238=phu!$I$102),"Tỉnh khác",""))</f>
        <v/>
      </c>
      <c r="O238" s="814" t="str">
        <f t="shared" si="19"/>
        <v/>
      </c>
      <c r="P238" s="254"/>
      <c r="Q238" s="254"/>
      <c r="R238" s="254"/>
      <c r="S238" s="254"/>
      <c r="T238" s="254"/>
      <c r="U238" s="254"/>
      <c r="V238" s="254"/>
      <c r="W238" s="254"/>
      <c r="Y238" s="246" t="str">
        <f t="shared" si="20"/>
        <v/>
      </c>
      <c r="Z238" s="247" t="str">
        <f t="shared" si="18"/>
        <v/>
      </c>
      <c r="AA238" s="246" t="str">
        <f t="shared" si="21"/>
        <v/>
      </c>
    </row>
    <row r="239" spans="1:27" ht="18" customHeight="1" x14ac:dyDescent="0.25">
      <c r="A239" s="248" t="str">
        <f t="shared" si="22"/>
        <v/>
      </c>
      <c r="B239" s="249" t="str">
        <f t="shared" si="23"/>
        <v/>
      </c>
      <c r="C239" s="250"/>
      <c r="D239" s="251"/>
      <c r="E239" s="241"/>
      <c r="F239" s="252"/>
      <c r="G239" s="252"/>
      <c r="H239" s="253"/>
      <c r="I239" s="250"/>
      <c r="J239" s="250"/>
      <c r="K239" s="270"/>
      <c r="L239" s="250"/>
      <c r="M239" s="250"/>
      <c r="N239" s="553" t="str">
        <f>CONCATENATE(IF(OR(M239=phu!$I$1,M239=phu!$I$2,M239=phu!$I$3),"Cam Thành Nam",""),IF(OR(M239=phu!$I$4,M239=phu!$I$5,M239=phu!$I$6,M239=phu!$I$7,M239=phu!$I$8,M239=phu!$I$9,M239=phu!$I$10,M239=phu!$I$11,M239=phu!$I$12,M239=phu!$I$13,M239=phu!$I$14),"Cam Nghĩa",""),IF(OR(M239=phu!$I$15,M239=phu!$I$16,M239=phu!$I$17,M239=phu!$I$18,M239=phu!$I$19,M239=phu!$I$20,M239=phu!$I$21),"Cam Phúc Bắc",""),IF(OR(M239=phu!$I$22,M239=phu!$I$23,M239=phu!$I$24,M239=phu!$I$25),"Cam Phúc Nam",""),IF(OR(M239=phu!$I$26,M239=phu!$I$27,M239=phu!$I$28,M239=phu!$I$29,M239=phu!$I$30,M239=phu!$I$31),"Cam Phú",""),IF(OR(M239=phu!$I$32,M239=phu!$I$33,M239=phu!$I$34,M239=phu!$I$35,M239=phu!$I$36,M239=phu!$I$37),"Cam Lộc",""),IF(OR(M239=phu!$I$38,M239=phu!$I$39,M239=phu!$I$40,M239=phu!$I$41,M239=phu!$I$42,M239=phu!$I$43,M239=phu!$I$44),"Cam Thuận",""),IF(OR(M239=phu!$I$45,M239=phu!$I$46,M239=phu!$I$47,M239=phu!$I$48,M239=phu!$I$49,M239=phu!$I$50,M239=phu!$I$51,M239=phu!$I$52,M239=phu!$I$53),"Cam Linh",""),IF(OR(M239=phu!$I$54,M239=phu!$I$55,M239=phu!$I$56,M239=phu!$I$57,M239=phu!$I$58,M239=phu!$I$59,M239=phu!$I$60,M239=phu!$I$61,M239=phu!$I$62),"Cam Lợi",""),IF(OR(M239=phu!$I$63,M239=phu!$I$64,M239=phu!$I$65,M239=phu!$I$66,M239=phu!$I$67,M239=phu!$I$68,M239=phu!$I$69,M239=phu!$I$70,M239=phu!$I$71),"Ba Ngòi",""),IF(OR(M239=phu!$I$72,M239=phu!$I$73,M239=phu!$I$74,M239=phu!$I$75,M239=phu!$I$76,M239=phu!$I$77,M239=phu!$I$78),"Cam Phước Đông",""),IF(OR(M239=phu!$I$79,M239=phu!$I$80,M239=phu!$I$81,M239=phu!$I$82,M239=phu!$I$83,M239=phu!$I$84),"Cam Thịnh Đông",""),IF(OR(M239=phu!$I$85,M239=phu!$I$86,M239=phu!$I$87,M239=phu!$I$88),"Cam Thịnh Tây",""),IF(OR(M239=phu!$I$89,M239=phu!$I$90),"Cam Lập",""),IF(OR(M239=phu!$I$91,M239=phu!$I$92,M239=phu!$I$93),"Cam Bình",""),IF(OR(M239=phu!$I$94,M239=phu!$I$95,M239=phu!$I$96,M239=phu!$I$97,M239=phu!$I$98,M239=phu!$I$99,M239=phu!$I$100),"Huyện khác",""),IF(OR(M239=phu!$I$101,M239=phu!$I$102),"Tỉnh khác",""))</f>
        <v/>
      </c>
      <c r="O239" s="814" t="str">
        <f t="shared" si="19"/>
        <v/>
      </c>
      <c r="P239" s="254"/>
      <c r="Q239" s="254"/>
      <c r="R239" s="254"/>
      <c r="S239" s="254"/>
      <c r="T239" s="254"/>
      <c r="U239" s="254"/>
      <c r="V239" s="254"/>
      <c r="W239" s="254"/>
      <c r="Y239" s="246" t="str">
        <f t="shared" si="20"/>
        <v/>
      </c>
      <c r="Z239" s="247" t="str">
        <f t="shared" si="18"/>
        <v/>
      </c>
      <c r="AA239" s="246" t="str">
        <f t="shared" si="21"/>
        <v/>
      </c>
    </row>
    <row r="240" spans="1:27" ht="18" customHeight="1" x14ac:dyDescent="0.25">
      <c r="A240" s="248" t="str">
        <f t="shared" si="22"/>
        <v/>
      </c>
      <c r="B240" s="249" t="str">
        <f t="shared" si="23"/>
        <v/>
      </c>
      <c r="C240" s="250"/>
      <c r="D240" s="251"/>
      <c r="E240" s="241"/>
      <c r="F240" s="252"/>
      <c r="G240" s="252"/>
      <c r="H240" s="253"/>
      <c r="I240" s="250"/>
      <c r="J240" s="250"/>
      <c r="K240" s="270"/>
      <c r="L240" s="250"/>
      <c r="M240" s="250"/>
      <c r="N240" s="553" t="str">
        <f>CONCATENATE(IF(OR(M240=phu!$I$1,M240=phu!$I$2,M240=phu!$I$3),"Cam Thành Nam",""),IF(OR(M240=phu!$I$4,M240=phu!$I$5,M240=phu!$I$6,M240=phu!$I$7,M240=phu!$I$8,M240=phu!$I$9,M240=phu!$I$10,M240=phu!$I$11,M240=phu!$I$12,M240=phu!$I$13,M240=phu!$I$14),"Cam Nghĩa",""),IF(OR(M240=phu!$I$15,M240=phu!$I$16,M240=phu!$I$17,M240=phu!$I$18,M240=phu!$I$19,M240=phu!$I$20,M240=phu!$I$21),"Cam Phúc Bắc",""),IF(OR(M240=phu!$I$22,M240=phu!$I$23,M240=phu!$I$24,M240=phu!$I$25),"Cam Phúc Nam",""),IF(OR(M240=phu!$I$26,M240=phu!$I$27,M240=phu!$I$28,M240=phu!$I$29,M240=phu!$I$30,M240=phu!$I$31),"Cam Phú",""),IF(OR(M240=phu!$I$32,M240=phu!$I$33,M240=phu!$I$34,M240=phu!$I$35,M240=phu!$I$36,M240=phu!$I$37),"Cam Lộc",""),IF(OR(M240=phu!$I$38,M240=phu!$I$39,M240=phu!$I$40,M240=phu!$I$41,M240=phu!$I$42,M240=phu!$I$43,M240=phu!$I$44),"Cam Thuận",""),IF(OR(M240=phu!$I$45,M240=phu!$I$46,M240=phu!$I$47,M240=phu!$I$48,M240=phu!$I$49,M240=phu!$I$50,M240=phu!$I$51,M240=phu!$I$52,M240=phu!$I$53),"Cam Linh",""),IF(OR(M240=phu!$I$54,M240=phu!$I$55,M240=phu!$I$56,M240=phu!$I$57,M240=phu!$I$58,M240=phu!$I$59,M240=phu!$I$60,M240=phu!$I$61,M240=phu!$I$62),"Cam Lợi",""),IF(OR(M240=phu!$I$63,M240=phu!$I$64,M240=phu!$I$65,M240=phu!$I$66,M240=phu!$I$67,M240=phu!$I$68,M240=phu!$I$69,M240=phu!$I$70,M240=phu!$I$71),"Ba Ngòi",""),IF(OR(M240=phu!$I$72,M240=phu!$I$73,M240=phu!$I$74,M240=phu!$I$75,M240=phu!$I$76,M240=phu!$I$77,M240=phu!$I$78),"Cam Phước Đông",""),IF(OR(M240=phu!$I$79,M240=phu!$I$80,M240=phu!$I$81,M240=phu!$I$82,M240=phu!$I$83,M240=phu!$I$84),"Cam Thịnh Đông",""),IF(OR(M240=phu!$I$85,M240=phu!$I$86,M240=phu!$I$87,M240=phu!$I$88),"Cam Thịnh Tây",""),IF(OR(M240=phu!$I$89,M240=phu!$I$90),"Cam Lập",""),IF(OR(M240=phu!$I$91,M240=phu!$I$92,M240=phu!$I$93),"Cam Bình",""),IF(OR(M240=phu!$I$94,M240=phu!$I$95,M240=phu!$I$96,M240=phu!$I$97,M240=phu!$I$98,M240=phu!$I$99,M240=phu!$I$100),"Huyện khác",""),IF(OR(M240=phu!$I$101,M240=phu!$I$102),"Tỉnh khác",""))</f>
        <v/>
      </c>
      <c r="O240" s="814" t="str">
        <f t="shared" si="19"/>
        <v/>
      </c>
      <c r="P240" s="254"/>
      <c r="Q240" s="254"/>
      <c r="R240" s="254"/>
      <c r="S240" s="254"/>
      <c r="T240" s="254"/>
      <c r="U240" s="254"/>
      <c r="V240" s="254"/>
      <c r="W240" s="254"/>
      <c r="Y240" s="246" t="str">
        <f t="shared" si="20"/>
        <v/>
      </c>
      <c r="Z240" s="247" t="str">
        <f t="shared" si="18"/>
        <v/>
      </c>
      <c r="AA240" s="246" t="str">
        <f t="shared" si="21"/>
        <v/>
      </c>
    </row>
    <row r="241" spans="1:27" ht="18" customHeight="1" x14ac:dyDescent="0.25">
      <c r="A241" s="248" t="str">
        <f t="shared" si="22"/>
        <v/>
      </c>
      <c r="B241" s="249" t="str">
        <f t="shared" si="23"/>
        <v/>
      </c>
      <c r="C241" s="250"/>
      <c r="D241" s="251"/>
      <c r="E241" s="241"/>
      <c r="F241" s="252"/>
      <c r="G241" s="252"/>
      <c r="H241" s="253"/>
      <c r="I241" s="250"/>
      <c r="J241" s="250"/>
      <c r="K241" s="270"/>
      <c r="L241" s="250"/>
      <c r="M241" s="250"/>
      <c r="N241" s="553" t="str">
        <f>CONCATENATE(IF(OR(M241=phu!$I$1,M241=phu!$I$2,M241=phu!$I$3),"Cam Thành Nam",""),IF(OR(M241=phu!$I$4,M241=phu!$I$5,M241=phu!$I$6,M241=phu!$I$7,M241=phu!$I$8,M241=phu!$I$9,M241=phu!$I$10,M241=phu!$I$11,M241=phu!$I$12,M241=phu!$I$13,M241=phu!$I$14),"Cam Nghĩa",""),IF(OR(M241=phu!$I$15,M241=phu!$I$16,M241=phu!$I$17,M241=phu!$I$18,M241=phu!$I$19,M241=phu!$I$20,M241=phu!$I$21),"Cam Phúc Bắc",""),IF(OR(M241=phu!$I$22,M241=phu!$I$23,M241=phu!$I$24,M241=phu!$I$25),"Cam Phúc Nam",""),IF(OR(M241=phu!$I$26,M241=phu!$I$27,M241=phu!$I$28,M241=phu!$I$29,M241=phu!$I$30,M241=phu!$I$31),"Cam Phú",""),IF(OR(M241=phu!$I$32,M241=phu!$I$33,M241=phu!$I$34,M241=phu!$I$35,M241=phu!$I$36,M241=phu!$I$37),"Cam Lộc",""),IF(OR(M241=phu!$I$38,M241=phu!$I$39,M241=phu!$I$40,M241=phu!$I$41,M241=phu!$I$42,M241=phu!$I$43,M241=phu!$I$44),"Cam Thuận",""),IF(OR(M241=phu!$I$45,M241=phu!$I$46,M241=phu!$I$47,M241=phu!$I$48,M241=phu!$I$49,M241=phu!$I$50,M241=phu!$I$51,M241=phu!$I$52,M241=phu!$I$53),"Cam Linh",""),IF(OR(M241=phu!$I$54,M241=phu!$I$55,M241=phu!$I$56,M241=phu!$I$57,M241=phu!$I$58,M241=phu!$I$59,M241=phu!$I$60,M241=phu!$I$61,M241=phu!$I$62),"Cam Lợi",""),IF(OR(M241=phu!$I$63,M241=phu!$I$64,M241=phu!$I$65,M241=phu!$I$66,M241=phu!$I$67,M241=phu!$I$68,M241=phu!$I$69,M241=phu!$I$70,M241=phu!$I$71),"Ba Ngòi",""),IF(OR(M241=phu!$I$72,M241=phu!$I$73,M241=phu!$I$74,M241=phu!$I$75,M241=phu!$I$76,M241=phu!$I$77,M241=phu!$I$78),"Cam Phước Đông",""),IF(OR(M241=phu!$I$79,M241=phu!$I$80,M241=phu!$I$81,M241=phu!$I$82,M241=phu!$I$83,M241=phu!$I$84),"Cam Thịnh Đông",""),IF(OR(M241=phu!$I$85,M241=phu!$I$86,M241=phu!$I$87,M241=phu!$I$88),"Cam Thịnh Tây",""),IF(OR(M241=phu!$I$89,M241=phu!$I$90),"Cam Lập",""),IF(OR(M241=phu!$I$91,M241=phu!$I$92,M241=phu!$I$93),"Cam Bình",""),IF(OR(M241=phu!$I$94,M241=phu!$I$95,M241=phu!$I$96,M241=phu!$I$97,M241=phu!$I$98,M241=phu!$I$99,M241=phu!$I$100),"Huyện khác",""),IF(OR(M241=phu!$I$101,M241=phu!$I$102),"Tỉnh khác",""))</f>
        <v/>
      </c>
      <c r="O241" s="814" t="str">
        <f t="shared" si="19"/>
        <v/>
      </c>
      <c r="P241" s="254"/>
      <c r="Q241" s="254"/>
      <c r="R241" s="254"/>
      <c r="S241" s="254"/>
      <c r="T241" s="254"/>
      <c r="U241" s="254"/>
      <c r="V241" s="254"/>
      <c r="W241" s="254"/>
      <c r="Y241" s="246" t="str">
        <f t="shared" si="20"/>
        <v/>
      </c>
      <c r="Z241" s="247" t="str">
        <f t="shared" si="18"/>
        <v/>
      </c>
      <c r="AA241" s="246" t="str">
        <f t="shared" si="21"/>
        <v/>
      </c>
    </row>
    <row r="242" spans="1:27" ht="18" customHeight="1" x14ac:dyDescent="0.25">
      <c r="A242" s="248" t="str">
        <f t="shared" si="22"/>
        <v/>
      </c>
      <c r="B242" s="249" t="str">
        <f t="shared" si="23"/>
        <v/>
      </c>
      <c r="C242" s="250"/>
      <c r="D242" s="251"/>
      <c r="E242" s="241"/>
      <c r="F242" s="252"/>
      <c r="G242" s="252"/>
      <c r="H242" s="253"/>
      <c r="I242" s="250"/>
      <c r="J242" s="250"/>
      <c r="K242" s="270"/>
      <c r="L242" s="250"/>
      <c r="M242" s="250"/>
      <c r="N242" s="553" t="str">
        <f>CONCATENATE(IF(OR(M242=phu!$I$1,M242=phu!$I$2,M242=phu!$I$3),"Cam Thành Nam",""),IF(OR(M242=phu!$I$4,M242=phu!$I$5,M242=phu!$I$6,M242=phu!$I$7,M242=phu!$I$8,M242=phu!$I$9,M242=phu!$I$10,M242=phu!$I$11,M242=phu!$I$12,M242=phu!$I$13,M242=phu!$I$14),"Cam Nghĩa",""),IF(OR(M242=phu!$I$15,M242=phu!$I$16,M242=phu!$I$17,M242=phu!$I$18,M242=phu!$I$19,M242=phu!$I$20,M242=phu!$I$21),"Cam Phúc Bắc",""),IF(OR(M242=phu!$I$22,M242=phu!$I$23,M242=phu!$I$24,M242=phu!$I$25),"Cam Phúc Nam",""),IF(OR(M242=phu!$I$26,M242=phu!$I$27,M242=phu!$I$28,M242=phu!$I$29,M242=phu!$I$30,M242=phu!$I$31),"Cam Phú",""),IF(OR(M242=phu!$I$32,M242=phu!$I$33,M242=phu!$I$34,M242=phu!$I$35,M242=phu!$I$36,M242=phu!$I$37),"Cam Lộc",""),IF(OR(M242=phu!$I$38,M242=phu!$I$39,M242=phu!$I$40,M242=phu!$I$41,M242=phu!$I$42,M242=phu!$I$43,M242=phu!$I$44),"Cam Thuận",""),IF(OR(M242=phu!$I$45,M242=phu!$I$46,M242=phu!$I$47,M242=phu!$I$48,M242=phu!$I$49,M242=phu!$I$50,M242=phu!$I$51,M242=phu!$I$52,M242=phu!$I$53),"Cam Linh",""),IF(OR(M242=phu!$I$54,M242=phu!$I$55,M242=phu!$I$56,M242=phu!$I$57,M242=phu!$I$58,M242=phu!$I$59,M242=phu!$I$60,M242=phu!$I$61,M242=phu!$I$62),"Cam Lợi",""),IF(OR(M242=phu!$I$63,M242=phu!$I$64,M242=phu!$I$65,M242=phu!$I$66,M242=phu!$I$67,M242=phu!$I$68,M242=phu!$I$69,M242=phu!$I$70,M242=phu!$I$71),"Ba Ngòi",""),IF(OR(M242=phu!$I$72,M242=phu!$I$73,M242=phu!$I$74,M242=phu!$I$75,M242=phu!$I$76,M242=phu!$I$77,M242=phu!$I$78),"Cam Phước Đông",""),IF(OR(M242=phu!$I$79,M242=phu!$I$80,M242=phu!$I$81,M242=phu!$I$82,M242=phu!$I$83,M242=phu!$I$84),"Cam Thịnh Đông",""),IF(OR(M242=phu!$I$85,M242=phu!$I$86,M242=phu!$I$87,M242=phu!$I$88),"Cam Thịnh Tây",""),IF(OR(M242=phu!$I$89,M242=phu!$I$90),"Cam Lập",""),IF(OR(M242=phu!$I$91,M242=phu!$I$92,M242=phu!$I$93),"Cam Bình",""),IF(OR(M242=phu!$I$94,M242=phu!$I$95,M242=phu!$I$96,M242=phu!$I$97,M242=phu!$I$98,M242=phu!$I$99,M242=phu!$I$100),"Huyện khác",""),IF(OR(M242=phu!$I$101,M242=phu!$I$102),"Tỉnh khác",""))</f>
        <v/>
      </c>
      <c r="O242" s="814" t="str">
        <f t="shared" si="19"/>
        <v/>
      </c>
      <c r="P242" s="254"/>
      <c r="Q242" s="254"/>
      <c r="R242" s="254"/>
      <c r="S242" s="254"/>
      <c r="T242" s="254"/>
      <c r="U242" s="254"/>
      <c r="V242" s="254"/>
      <c r="W242" s="254"/>
      <c r="Y242" s="246" t="str">
        <f t="shared" si="20"/>
        <v/>
      </c>
      <c r="Z242" s="247" t="str">
        <f t="shared" si="18"/>
        <v/>
      </c>
      <c r="AA242" s="246" t="str">
        <f t="shared" si="21"/>
        <v/>
      </c>
    </row>
    <row r="243" spans="1:27" ht="18" customHeight="1" x14ac:dyDescent="0.25">
      <c r="A243" s="248" t="str">
        <f t="shared" si="22"/>
        <v/>
      </c>
      <c r="B243" s="249" t="str">
        <f t="shared" si="23"/>
        <v/>
      </c>
      <c r="C243" s="250"/>
      <c r="D243" s="251"/>
      <c r="E243" s="241"/>
      <c r="F243" s="252"/>
      <c r="G243" s="252"/>
      <c r="H243" s="253"/>
      <c r="I243" s="250"/>
      <c r="J243" s="250"/>
      <c r="K243" s="270"/>
      <c r="L243" s="250"/>
      <c r="M243" s="250"/>
      <c r="N243" s="553" t="str">
        <f>CONCATENATE(IF(OR(M243=phu!$I$1,M243=phu!$I$2,M243=phu!$I$3),"Cam Thành Nam",""),IF(OR(M243=phu!$I$4,M243=phu!$I$5,M243=phu!$I$6,M243=phu!$I$7,M243=phu!$I$8,M243=phu!$I$9,M243=phu!$I$10,M243=phu!$I$11,M243=phu!$I$12,M243=phu!$I$13,M243=phu!$I$14),"Cam Nghĩa",""),IF(OR(M243=phu!$I$15,M243=phu!$I$16,M243=phu!$I$17,M243=phu!$I$18,M243=phu!$I$19,M243=phu!$I$20,M243=phu!$I$21),"Cam Phúc Bắc",""),IF(OR(M243=phu!$I$22,M243=phu!$I$23,M243=phu!$I$24,M243=phu!$I$25),"Cam Phúc Nam",""),IF(OR(M243=phu!$I$26,M243=phu!$I$27,M243=phu!$I$28,M243=phu!$I$29,M243=phu!$I$30,M243=phu!$I$31),"Cam Phú",""),IF(OR(M243=phu!$I$32,M243=phu!$I$33,M243=phu!$I$34,M243=phu!$I$35,M243=phu!$I$36,M243=phu!$I$37),"Cam Lộc",""),IF(OR(M243=phu!$I$38,M243=phu!$I$39,M243=phu!$I$40,M243=phu!$I$41,M243=phu!$I$42,M243=phu!$I$43,M243=phu!$I$44),"Cam Thuận",""),IF(OR(M243=phu!$I$45,M243=phu!$I$46,M243=phu!$I$47,M243=phu!$I$48,M243=phu!$I$49,M243=phu!$I$50,M243=phu!$I$51,M243=phu!$I$52,M243=phu!$I$53),"Cam Linh",""),IF(OR(M243=phu!$I$54,M243=phu!$I$55,M243=phu!$I$56,M243=phu!$I$57,M243=phu!$I$58,M243=phu!$I$59,M243=phu!$I$60,M243=phu!$I$61,M243=phu!$I$62),"Cam Lợi",""),IF(OR(M243=phu!$I$63,M243=phu!$I$64,M243=phu!$I$65,M243=phu!$I$66,M243=phu!$I$67,M243=phu!$I$68,M243=phu!$I$69,M243=phu!$I$70,M243=phu!$I$71),"Ba Ngòi",""),IF(OR(M243=phu!$I$72,M243=phu!$I$73,M243=phu!$I$74,M243=phu!$I$75,M243=phu!$I$76,M243=phu!$I$77,M243=phu!$I$78),"Cam Phước Đông",""),IF(OR(M243=phu!$I$79,M243=phu!$I$80,M243=phu!$I$81,M243=phu!$I$82,M243=phu!$I$83,M243=phu!$I$84),"Cam Thịnh Đông",""),IF(OR(M243=phu!$I$85,M243=phu!$I$86,M243=phu!$I$87,M243=phu!$I$88),"Cam Thịnh Tây",""),IF(OR(M243=phu!$I$89,M243=phu!$I$90),"Cam Lập",""),IF(OR(M243=phu!$I$91,M243=phu!$I$92,M243=phu!$I$93),"Cam Bình",""),IF(OR(M243=phu!$I$94,M243=phu!$I$95,M243=phu!$I$96,M243=phu!$I$97,M243=phu!$I$98,M243=phu!$I$99,M243=phu!$I$100),"Huyện khác",""),IF(OR(M243=phu!$I$101,M243=phu!$I$102),"Tỉnh khác",""))</f>
        <v/>
      </c>
      <c r="O243" s="814" t="str">
        <f t="shared" si="19"/>
        <v/>
      </c>
      <c r="P243" s="254"/>
      <c r="Q243" s="254"/>
      <c r="R243" s="254"/>
      <c r="S243" s="254"/>
      <c r="T243" s="254"/>
      <c r="U243" s="254"/>
      <c r="V243" s="254"/>
      <c r="W243" s="254"/>
      <c r="Y243" s="246" t="str">
        <f t="shared" si="20"/>
        <v/>
      </c>
      <c r="Z243" s="247" t="str">
        <f t="shared" si="18"/>
        <v/>
      </c>
      <c r="AA243" s="246" t="str">
        <f t="shared" si="21"/>
        <v/>
      </c>
    </row>
    <row r="244" spans="1:27" ht="18" customHeight="1" x14ac:dyDescent="0.25">
      <c r="A244" s="248" t="str">
        <f t="shared" si="22"/>
        <v/>
      </c>
      <c r="B244" s="249" t="str">
        <f t="shared" si="23"/>
        <v/>
      </c>
      <c r="C244" s="250"/>
      <c r="D244" s="251"/>
      <c r="E244" s="241"/>
      <c r="F244" s="252"/>
      <c r="G244" s="252"/>
      <c r="H244" s="253"/>
      <c r="I244" s="250"/>
      <c r="J244" s="250"/>
      <c r="K244" s="270"/>
      <c r="L244" s="250"/>
      <c r="M244" s="250"/>
      <c r="N244" s="553" t="str">
        <f>CONCATENATE(IF(OR(M244=phu!$I$1,M244=phu!$I$2,M244=phu!$I$3),"Cam Thành Nam",""),IF(OR(M244=phu!$I$4,M244=phu!$I$5,M244=phu!$I$6,M244=phu!$I$7,M244=phu!$I$8,M244=phu!$I$9,M244=phu!$I$10,M244=phu!$I$11,M244=phu!$I$12,M244=phu!$I$13,M244=phu!$I$14),"Cam Nghĩa",""),IF(OR(M244=phu!$I$15,M244=phu!$I$16,M244=phu!$I$17,M244=phu!$I$18,M244=phu!$I$19,M244=phu!$I$20,M244=phu!$I$21),"Cam Phúc Bắc",""),IF(OR(M244=phu!$I$22,M244=phu!$I$23,M244=phu!$I$24,M244=phu!$I$25),"Cam Phúc Nam",""),IF(OR(M244=phu!$I$26,M244=phu!$I$27,M244=phu!$I$28,M244=phu!$I$29,M244=phu!$I$30,M244=phu!$I$31),"Cam Phú",""),IF(OR(M244=phu!$I$32,M244=phu!$I$33,M244=phu!$I$34,M244=phu!$I$35,M244=phu!$I$36,M244=phu!$I$37),"Cam Lộc",""),IF(OR(M244=phu!$I$38,M244=phu!$I$39,M244=phu!$I$40,M244=phu!$I$41,M244=phu!$I$42,M244=phu!$I$43,M244=phu!$I$44),"Cam Thuận",""),IF(OR(M244=phu!$I$45,M244=phu!$I$46,M244=phu!$I$47,M244=phu!$I$48,M244=phu!$I$49,M244=phu!$I$50,M244=phu!$I$51,M244=phu!$I$52,M244=phu!$I$53),"Cam Linh",""),IF(OR(M244=phu!$I$54,M244=phu!$I$55,M244=phu!$I$56,M244=phu!$I$57,M244=phu!$I$58,M244=phu!$I$59,M244=phu!$I$60,M244=phu!$I$61,M244=phu!$I$62),"Cam Lợi",""),IF(OR(M244=phu!$I$63,M244=phu!$I$64,M244=phu!$I$65,M244=phu!$I$66,M244=phu!$I$67,M244=phu!$I$68,M244=phu!$I$69,M244=phu!$I$70,M244=phu!$I$71),"Ba Ngòi",""),IF(OR(M244=phu!$I$72,M244=phu!$I$73,M244=phu!$I$74,M244=phu!$I$75,M244=phu!$I$76,M244=phu!$I$77,M244=phu!$I$78),"Cam Phước Đông",""),IF(OR(M244=phu!$I$79,M244=phu!$I$80,M244=phu!$I$81,M244=phu!$I$82,M244=phu!$I$83,M244=phu!$I$84),"Cam Thịnh Đông",""),IF(OR(M244=phu!$I$85,M244=phu!$I$86,M244=phu!$I$87,M244=phu!$I$88),"Cam Thịnh Tây",""),IF(OR(M244=phu!$I$89,M244=phu!$I$90),"Cam Lập",""),IF(OR(M244=phu!$I$91,M244=phu!$I$92,M244=phu!$I$93),"Cam Bình",""),IF(OR(M244=phu!$I$94,M244=phu!$I$95,M244=phu!$I$96,M244=phu!$I$97,M244=phu!$I$98,M244=phu!$I$99,M244=phu!$I$100),"Huyện khác",""),IF(OR(M244=phu!$I$101,M244=phu!$I$102),"Tỉnh khác",""))</f>
        <v/>
      </c>
      <c r="O244" s="814" t="str">
        <f t="shared" si="19"/>
        <v/>
      </c>
      <c r="P244" s="254"/>
      <c r="Q244" s="254"/>
      <c r="R244" s="254"/>
      <c r="S244" s="254"/>
      <c r="T244" s="254"/>
      <c r="U244" s="254"/>
      <c r="V244" s="254"/>
      <c r="W244" s="254"/>
      <c r="Y244" s="246" t="str">
        <f t="shared" si="20"/>
        <v/>
      </c>
      <c r="Z244" s="247" t="str">
        <f t="shared" si="18"/>
        <v/>
      </c>
      <c r="AA244" s="246" t="str">
        <f t="shared" si="21"/>
        <v/>
      </c>
    </row>
    <row r="245" spans="1:27" ht="18" customHeight="1" x14ac:dyDescent="0.25">
      <c r="A245" s="248" t="str">
        <f t="shared" si="22"/>
        <v/>
      </c>
      <c r="B245" s="249" t="str">
        <f t="shared" si="23"/>
        <v/>
      </c>
      <c r="C245" s="250"/>
      <c r="D245" s="251"/>
      <c r="E245" s="241"/>
      <c r="F245" s="252"/>
      <c r="G245" s="252"/>
      <c r="H245" s="253"/>
      <c r="I245" s="250"/>
      <c r="J245" s="250"/>
      <c r="K245" s="270"/>
      <c r="L245" s="250"/>
      <c r="M245" s="250"/>
      <c r="N245" s="553" t="str">
        <f>CONCATENATE(IF(OR(M245=phu!$I$1,M245=phu!$I$2,M245=phu!$I$3),"Cam Thành Nam",""),IF(OR(M245=phu!$I$4,M245=phu!$I$5,M245=phu!$I$6,M245=phu!$I$7,M245=phu!$I$8,M245=phu!$I$9,M245=phu!$I$10,M245=phu!$I$11,M245=phu!$I$12,M245=phu!$I$13,M245=phu!$I$14),"Cam Nghĩa",""),IF(OR(M245=phu!$I$15,M245=phu!$I$16,M245=phu!$I$17,M245=phu!$I$18,M245=phu!$I$19,M245=phu!$I$20,M245=phu!$I$21),"Cam Phúc Bắc",""),IF(OR(M245=phu!$I$22,M245=phu!$I$23,M245=phu!$I$24,M245=phu!$I$25),"Cam Phúc Nam",""),IF(OR(M245=phu!$I$26,M245=phu!$I$27,M245=phu!$I$28,M245=phu!$I$29,M245=phu!$I$30,M245=phu!$I$31),"Cam Phú",""),IF(OR(M245=phu!$I$32,M245=phu!$I$33,M245=phu!$I$34,M245=phu!$I$35,M245=phu!$I$36,M245=phu!$I$37),"Cam Lộc",""),IF(OR(M245=phu!$I$38,M245=phu!$I$39,M245=phu!$I$40,M245=phu!$I$41,M245=phu!$I$42,M245=phu!$I$43,M245=phu!$I$44),"Cam Thuận",""),IF(OR(M245=phu!$I$45,M245=phu!$I$46,M245=phu!$I$47,M245=phu!$I$48,M245=phu!$I$49,M245=phu!$I$50,M245=phu!$I$51,M245=phu!$I$52,M245=phu!$I$53),"Cam Linh",""),IF(OR(M245=phu!$I$54,M245=phu!$I$55,M245=phu!$I$56,M245=phu!$I$57,M245=phu!$I$58,M245=phu!$I$59,M245=phu!$I$60,M245=phu!$I$61,M245=phu!$I$62),"Cam Lợi",""),IF(OR(M245=phu!$I$63,M245=phu!$I$64,M245=phu!$I$65,M245=phu!$I$66,M245=phu!$I$67,M245=phu!$I$68,M245=phu!$I$69,M245=phu!$I$70,M245=phu!$I$71),"Ba Ngòi",""),IF(OR(M245=phu!$I$72,M245=phu!$I$73,M245=phu!$I$74,M245=phu!$I$75,M245=phu!$I$76,M245=phu!$I$77,M245=phu!$I$78),"Cam Phước Đông",""),IF(OR(M245=phu!$I$79,M245=phu!$I$80,M245=phu!$I$81,M245=phu!$I$82,M245=phu!$I$83,M245=phu!$I$84),"Cam Thịnh Đông",""),IF(OR(M245=phu!$I$85,M245=phu!$I$86,M245=phu!$I$87,M245=phu!$I$88),"Cam Thịnh Tây",""),IF(OR(M245=phu!$I$89,M245=phu!$I$90),"Cam Lập",""),IF(OR(M245=phu!$I$91,M245=phu!$I$92,M245=phu!$I$93),"Cam Bình",""),IF(OR(M245=phu!$I$94,M245=phu!$I$95,M245=phu!$I$96,M245=phu!$I$97,M245=phu!$I$98,M245=phu!$I$99,M245=phu!$I$100),"Huyện khác",""),IF(OR(M245=phu!$I$101,M245=phu!$I$102),"Tỉnh khác",""))</f>
        <v/>
      </c>
      <c r="O245" s="814" t="str">
        <f t="shared" si="19"/>
        <v/>
      </c>
      <c r="P245" s="254"/>
      <c r="Q245" s="254"/>
      <c r="R245" s="254"/>
      <c r="S245" s="254"/>
      <c r="T245" s="254"/>
      <c r="U245" s="254"/>
      <c r="V245" s="254"/>
      <c r="W245" s="254"/>
      <c r="Y245" s="246" t="str">
        <f t="shared" si="20"/>
        <v/>
      </c>
      <c r="Z245" s="247" t="str">
        <f t="shared" si="18"/>
        <v/>
      </c>
      <c r="AA245" s="246" t="str">
        <f t="shared" si="21"/>
        <v/>
      </c>
    </row>
    <row r="246" spans="1:27" ht="18" customHeight="1" x14ac:dyDescent="0.25">
      <c r="A246" s="248" t="str">
        <f t="shared" si="22"/>
        <v/>
      </c>
      <c r="B246" s="249" t="str">
        <f t="shared" si="23"/>
        <v/>
      </c>
      <c r="C246" s="250"/>
      <c r="D246" s="251"/>
      <c r="E246" s="241"/>
      <c r="F246" s="252"/>
      <c r="G246" s="252"/>
      <c r="H246" s="253"/>
      <c r="I246" s="250"/>
      <c r="J246" s="250"/>
      <c r="K246" s="270"/>
      <c r="L246" s="250"/>
      <c r="M246" s="250"/>
      <c r="N246" s="553" t="str">
        <f>CONCATENATE(IF(OR(M246=phu!$I$1,M246=phu!$I$2,M246=phu!$I$3),"Cam Thành Nam",""),IF(OR(M246=phu!$I$4,M246=phu!$I$5,M246=phu!$I$6,M246=phu!$I$7,M246=phu!$I$8,M246=phu!$I$9,M246=phu!$I$10,M246=phu!$I$11,M246=phu!$I$12,M246=phu!$I$13,M246=phu!$I$14),"Cam Nghĩa",""),IF(OR(M246=phu!$I$15,M246=phu!$I$16,M246=phu!$I$17,M246=phu!$I$18,M246=phu!$I$19,M246=phu!$I$20,M246=phu!$I$21),"Cam Phúc Bắc",""),IF(OR(M246=phu!$I$22,M246=phu!$I$23,M246=phu!$I$24,M246=phu!$I$25),"Cam Phúc Nam",""),IF(OR(M246=phu!$I$26,M246=phu!$I$27,M246=phu!$I$28,M246=phu!$I$29,M246=phu!$I$30,M246=phu!$I$31),"Cam Phú",""),IF(OR(M246=phu!$I$32,M246=phu!$I$33,M246=phu!$I$34,M246=phu!$I$35,M246=phu!$I$36,M246=phu!$I$37),"Cam Lộc",""),IF(OR(M246=phu!$I$38,M246=phu!$I$39,M246=phu!$I$40,M246=phu!$I$41,M246=phu!$I$42,M246=phu!$I$43,M246=phu!$I$44),"Cam Thuận",""),IF(OR(M246=phu!$I$45,M246=phu!$I$46,M246=phu!$I$47,M246=phu!$I$48,M246=phu!$I$49,M246=phu!$I$50,M246=phu!$I$51,M246=phu!$I$52,M246=phu!$I$53),"Cam Linh",""),IF(OR(M246=phu!$I$54,M246=phu!$I$55,M246=phu!$I$56,M246=phu!$I$57,M246=phu!$I$58,M246=phu!$I$59,M246=phu!$I$60,M246=phu!$I$61,M246=phu!$I$62),"Cam Lợi",""),IF(OR(M246=phu!$I$63,M246=phu!$I$64,M246=phu!$I$65,M246=phu!$I$66,M246=phu!$I$67,M246=phu!$I$68,M246=phu!$I$69,M246=phu!$I$70,M246=phu!$I$71),"Ba Ngòi",""),IF(OR(M246=phu!$I$72,M246=phu!$I$73,M246=phu!$I$74,M246=phu!$I$75,M246=phu!$I$76,M246=phu!$I$77,M246=phu!$I$78),"Cam Phước Đông",""),IF(OR(M246=phu!$I$79,M246=phu!$I$80,M246=phu!$I$81,M246=phu!$I$82,M246=phu!$I$83,M246=phu!$I$84),"Cam Thịnh Đông",""),IF(OR(M246=phu!$I$85,M246=phu!$I$86,M246=phu!$I$87,M246=phu!$I$88),"Cam Thịnh Tây",""),IF(OR(M246=phu!$I$89,M246=phu!$I$90),"Cam Lập",""),IF(OR(M246=phu!$I$91,M246=phu!$I$92,M246=phu!$I$93),"Cam Bình",""),IF(OR(M246=phu!$I$94,M246=phu!$I$95,M246=phu!$I$96,M246=phu!$I$97,M246=phu!$I$98,M246=phu!$I$99,M246=phu!$I$100),"Huyện khác",""),IF(OR(M246=phu!$I$101,M246=phu!$I$102),"Tỉnh khác",""))</f>
        <v/>
      </c>
      <c r="O246" s="814" t="str">
        <f t="shared" si="19"/>
        <v/>
      </c>
      <c r="P246" s="254"/>
      <c r="Q246" s="254"/>
      <c r="R246" s="254"/>
      <c r="S246" s="254"/>
      <c r="T246" s="254"/>
      <c r="U246" s="254"/>
      <c r="V246" s="254"/>
      <c r="W246" s="254"/>
      <c r="Y246" s="246" t="str">
        <f t="shared" si="20"/>
        <v/>
      </c>
      <c r="Z246" s="247" t="str">
        <f t="shared" si="18"/>
        <v/>
      </c>
      <c r="AA246" s="246" t="str">
        <f t="shared" si="21"/>
        <v/>
      </c>
    </row>
    <row r="247" spans="1:27" ht="18" customHeight="1" x14ac:dyDescent="0.25">
      <c r="A247" s="248" t="str">
        <f t="shared" si="22"/>
        <v/>
      </c>
      <c r="B247" s="249" t="str">
        <f t="shared" si="23"/>
        <v/>
      </c>
      <c r="C247" s="250"/>
      <c r="D247" s="251"/>
      <c r="E247" s="241"/>
      <c r="F247" s="252"/>
      <c r="G247" s="252"/>
      <c r="H247" s="253"/>
      <c r="I247" s="250"/>
      <c r="J247" s="250"/>
      <c r="K247" s="270"/>
      <c r="L247" s="250"/>
      <c r="M247" s="250"/>
      <c r="N247" s="553" t="str">
        <f>CONCATENATE(IF(OR(M247=phu!$I$1,M247=phu!$I$2,M247=phu!$I$3),"Cam Thành Nam",""),IF(OR(M247=phu!$I$4,M247=phu!$I$5,M247=phu!$I$6,M247=phu!$I$7,M247=phu!$I$8,M247=phu!$I$9,M247=phu!$I$10,M247=phu!$I$11,M247=phu!$I$12,M247=phu!$I$13,M247=phu!$I$14),"Cam Nghĩa",""),IF(OR(M247=phu!$I$15,M247=phu!$I$16,M247=phu!$I$17,M247=phu!$I$18,M247=phu!$I$19,M247=phu!$I$20,M247=phu!$I$21),"Cam Phúc Bắc",""),IF(OR(M247=phu!$I$22,M247=phu!$I$23,M247=phu!$I$24,M247=phu!$I$25),"Cam Phúc Nam",""),IF(OR(M247=phu!$I$26,M247=phu!$I$27,M247=phu!$I$28,M247=phu!$I$29,M247=phu!$I$30,M247=phu!$I$31),"Cam Phú",""),IF(OR(M247=phu!$I$32,M247=phu!$I$33,M247=phu!$I$34,M247=phu!$I$35,M247=phu!$I$36,M247=phu!$I$37),"Cam Lộc",""),IF(OR(M247=phu!$I$38,M247=phu!$I$39,M247=phu!$I$40,M247=phu!$I$41,M247=phu!$I$42,M247=phu!$I$43,M247=phu!$I$44),"Cam Thuận",""),IF(OR(M247=phu!$I$45,M247=phu!$I$46,M247=phu!$I$47,M247=phu!$I$48,M247=phu!$I$49,M247=phu!$I$50,M247=phu!$I$51,M247=phu!$I$52,M247=phu!$I$53),"Cam Linh",""),IF(OR(M247=phu!$I$54,M247=phu!$I$55,M247=phu!$I$56,M247=phu!$I$57,M247=phu!$I$58,M247=phu!$I$59,M247=phu!$I$60,M247=phu!$I$61,M247=phu!$I$62),"Cam Lợi",""),IF(OR(M247=phu!$I$63,M247=phu!$I$64,M247=phu!$I$65,M247=phu!$I$66,M247=phu!$I$67,M247=phu!$I$68,M247=phu!$I$69,M247=phu!$I$70,M247=phu!$I$71),"Ba Ngòi",""),IF(OR(M247=phu!$I$72,M247=phu!$I$73,M247=phu!$I$74,M247=phu!$I$75,M247=phu!$I$76,M247=phu!$I$77,M247=phu!$I$78),"Cam Phước Đông",""),IF(OR(M247=phu!$I$79,M247=phu!$I$80,M247=phu!$I$81,M247=phu!$I$82,M247=phu!$I$83,M247=phu!$I$84),"Cam Thịnh Đông",""),IF(OR(M247=phu!$I$85,M247=phu!$I$86,M247=phu!$I$87,M247=phu!$I$88),"Cam Thịnh Tây",""),IF(OR(M247=phu!$I$89,M247=phu!$I$90),"Cam Lập",""),IF(OR(M247=phu!$I$91,M247=phu!$I$92,M247=phu!$I$93),"Cam Bình",""),IF(OR(M247=phu!$I$94,M247=phu!$I$95,M247=phu!$I$96,M247=phu!$I$97,M247=phu!$I$98,M247=phu!$I$99,M247=phu!$I$100),"Huyện khác",""),IF(OR(M247=phu!$I$101,M247=phu!$I$102),"Tỉnh khác",""))</f>
        <v/>
      </c>
      <c r="O247" s="814" t="str">
        <f t="shared" si="19"/>
        <v/>
      </c>
      <c r="P247" s="254"/>
      <c r="Q247" s="254"/>
      <c r="R247" s="254"/>
      <c r="S247" s="254"/>
      <c r="T247" s="254"/>
      <c r="U247" s="254"/>
      <c r="V247" s="254"/>
      <c r="W247" s="254"/>
      <c r="Y247" s="246" t="str">
        <f t="shared" si="20"/>
        <v/>
      </c>
      <c r="Z247" s="247" t="str">
        <f t="shared" si="18"/>
        <v/>
      </c>
      <c r="AA247" s="246" t="str">
        <f t="shared" si="21"/>
        <v/>
      </c>
    </row>
    <row r="248" spans="1:27" ht="18" customHeight="1" x14ac:dyDescent="0.25">
      <c r="A248" s="248" t="str">
        <f t="shared" si="22"/>
        <v/>
      </c>
      <c r="B248" s="249" t="str">
        <f t="shared" si="23"/>
        <v/>
      </c>
      <c r="C248" s="250"/>
      <c r="D248" s="251"/>
      <c r="E248" s="241"/>
      <c r="F248" s="252"/>
      <c r="G248" s="252"/>
      <c r="H248" s="253"/>
      <c r="I248" s="250"/>
      <c r="J248" s="250"/>
      <c r="K248" s="270"/>
      <c r="L248" s="250"/>
      <c r="M248" s="250"/>
      <c r="N248" s="553" t="str">
        <f>CONCATENATE(IF(OR(M248=phu!$I$1,M248=phu!$I$2,M248=phu!$I$3),"Cam Thành Nam",""),IF(OR(M248=phu!$I$4,M248=phu!$I$5,M248=phu!$I$6,M248=phu!$I$7,M248=phu!$I$8,M248=phu!$I$9,M248=phu!$I$10,M248=phu!$I$11,M248=phu!$I$12,M248=phu!$I$13,M248=phu!$I$14),"Cam Nghĩa",""),IF(OR(M248=phu!$I$15,M248=phu!$I$16,M248=phu!$I$17,M248=phu!$I$18,M248=phu!$I$19,M248=phu!$I$20,M248=phu!$I$21),"Cam Phúc Bắc",""),IF(OR(M248=phu!$I$22,M248=phu!$I$23,M248=phu!$I$24,M248=phu!$I$25),"Cam Phúc Nam",""),IF(OR(M248=phu!$I$26,M248=phu!$I$27,M248=phu!$I$28,M248=phu!$I$29,M248=phu!$I$30,M248=phu!$I$31),"Cam Phú",""),IF(OR(M248=phu!$I$32,M248=phu!$I$33,M248=phu!$I$34,M248=phu!$I$35,M248=phu!$I$36,M248=phu!$I$37),"Cam Lộc",""),IF(OR(M248=phu!$I$38,M248=phu!$I$39,M248=phu!$I$40,M248=phu!$I$41,M248=phu!$I$42,M248=phu!$I$43,M248=phu!$I$44),"Cam Thuận",""),IF(OR(M248=phu!$I$45,M248=phu!$I$46,M248=phu!$I$47,M248=phu!$I$48,M248=phu!$I$49,M248=phu!$I$50,M248=phu!$I$51,M248=phu!$I$52,M248=phu!$I$53),"Cam Linh",""),IF(OR(M248=phu!$I$54,M248=phu!$I$55,M248=phu!$I$56,M248=phu!$I$57,M248=phu!$I$58,M248=phu!$I$59,M248=phu!$I$60,M248=phu!$I$61,M248=phu!$I$62),"Cam Lợi",""),IF(OR(M248=phu!$I$63,M248=phu!$I$64,M248=phu!$I$65,M248=phu!$I$66,M248=phu!$I$67,M248=phu!$I$68,M248=phu!$I$69,M248=phu!$I$70,M248=phu!$I$71),"Ba Ngòi",""),IF(OR(M248=phu!$I$72,M248=phu!$I$73,M248=phu!$I$74,M248=phu!$I$75,M248=phu!$I$76,M248=phu!$I$77,M248=phu!$I$78),"Cam Phước Đông",""),IF(OR(M248=phu!$I$79,M248=phu!$I$80,M248=phu!$I$81,M248=phu!$I$82,M248=phu!$I$83,M248=phu!$I$84),"Cam Thịnh Đông",""),IF(OR(M248=phu!$I$85,M248=phu!$I$86,M248=phu!$I$87,M248=phu!$I$88),"Cam Thịnh Tây",""),IF(OR(M248=phu!$I$89,M248=phu!$I$90),"Cam Lập",""),IF(OR(M248=phu!$I$91,M248=phu!$I$92,M248=phu!$I$93),"Cam Bình",""),IF(OR(M248=phu!$I$94,M248=phu!$I$95,M248=phu!$I$96,M248=phu!$I$97,M248=phu!$I$98,M248=phu!$I$99,M248=phu!$I$100),"Huyện khác",""),IF(OR(M248=phu!$I$101,M248=phu!$I$102),"Tỉnh khác",""))</f>
        <v/>
      </c>
      <c r="O248" s="814" t="str">
        <f t="shared" si="19"/>
        <v/>
      </c>
      <c r="P248" s="254"/>
      <c r="Q248" s="254"/>
      <c r="R248" s="254"/>
      <c r="S248" s="254"/>
      <c r="T248" s="254"/>
      <c r="U248" s="254"/>
      <c r="V248" s="254"/>
      <c r="W248" s="254"/>
      <c r="Y248" s="246" t="str">
        <f t="shared" si="20"/>
        <v/>
      </c>
      <c r="Z248" s="247" t="str">
        <f t="shared" si="18"/>
        <v/>
      </c>
      <c r="AA248" s="246" t="str">
        <f t="shared" si="21"/>
        <v/>
      </c>
    </row>
    <row r="249" spans="1:27" ht="18" customHeight="1" x14ac:dyDescent="0.25">
      <c r="A249" s="248" t="str">
        <f t="shared" si="22"/>
        <v/>
      </c>
      <c r="B249" s="249" t="str">
        <f t="shared" si="23"/>
        <v/>
      </c>
      <c r="C249" s="250"/>
      <c r="D249" s="251"/>
      <c r="E249" s="241"/>
      <c r="F249" s="252"/>
      <c r="G249" s="252"/>
      <c r="H249" s="253"/>
      <c r="I249" s="250"/>
      <c r="J249" s="250"/>
      <c r="K249" s="270"/>
      <c r="L249" s="250"/>
      <c r="M249" s="250"/>
      <c r="N249" s="553" t="str">
        <f>CONCATENATE(IF(OR(M249=phu!$I$1,M249=phu!$I$2,M249=phu!$I$3),"Cam Thành Nam",""),IF(OR(M249=phu!$I$4,M249=phu!$I$5,M249=phu!$I$6,M249=phu!$I$7,M249=phu!$I$8,M249=phu!$I$9,M249=phu!$I$10,M249=phu!$I$11,M249=phu!$I$12,M249=phu!$I$13,M249=phu!$I$14),"Cam Nghĩa",""),IF(OR(M249=phu!$I$15,M249=phu!$I$16,M249=phu!$I$17,M249=phu!$I$18,M249=phu!$I$19,M249=phu!$I$20,M249=phu!$I$21),"Cam Phúc Bắc",""),IF(OR(M249=phu!$I$22,M249=phu!$I$23,M249=phu!$I$24,M249=phu!$I$25),"Cam Phúc Nam",""),IF(OR(M249=phu!$I$26,M249=phu!$I$27,M249=phu!$I$28,M249=phu!$I$29,M249=phu!$I$30,M249=phu!$I$31),"Cam Phú",""),IF(OR(M249=phu!$I$32,M249=phu!$I$33,M249=phu!$I$34,M249=phu!$I$35,M249=phu!$I$36,M249=phu!$I$37),"Cam Lộc",""),IF(OR(M249=phu!$I$38,M249=phu!$I$39,M249=phu!$I$40,M249=phu!$I$41,M249=phu!$I$42,M249=phu!$I$43,M249=phu!$I$44),"Cam Thuận",""),IF(OR(M249=phu!$I$45,M249=phu!$I$46,M249=phu!$I$47,M249=phu!$I$48,M249=phu!$I$49,M249=phu!$I$50,M249=phu!$I$51,M249=phu!$I$52,M249=phu!$I$53),"Cam Linh",""),IF(OR(M249=phu!$I$54,M249=phu!$I$55,M249=phu!$I$56,M249=phu!$I$57,M249=phu!$I$58,M249=phu!$I$59,M249=phu!$I$60,M249=phu!$I$61,M249=phu!$I$62),"Cam Lợi",""),IF(OR(M249=phu!$I$63,M249=phu!$I$64,M249=phu!$I$65,M249=phu!$I$66,M249=phu!$I$67,M249=phu!$I$68,M249=phu!$I$69,M249=phu!$I$70,M249=phu!$I$71),"Ba Ngòi",""),IF(OR(M249=phu!$I$72,M249=phu!$I$73,M249=phu!$I$74,M249=phu!$I$75,M249=phu!$I$76,M249=phu!$I$77,M249=phu!$I$78),"Cam Phước Đông",""),IF(OR(M249=phu!$I$79,M249=phu!$I$80,M249=phu!$I$81,M249=phu!$I$82,M249=phu!$I$83,M249=phu!$I$84),"Cam Thịnh Đông",""),IF(OR(M249=phu!$I$85,M249=phu!$I$86,M249=phu!$I$87,M249=phu!$I$88),"Cam Thịnh Tây",""),IF(OR(M249=phu!$I$89,M249=phu!$I$90),"Cam Lập",""),IF(OR(M249=phu!$I$91,M249=phu!$I$92,M249=phu!$I$93),"Cam Bình",""),IF(OR(M249=phu!$I$94,M249=phu!$I$95,M249=phu!$I$96,M249=phu!$I$97,M249=phu!$I$98,M249=phu!$I$99,M249=phu!$I$100),"Huyện khác",""),IF(OR(M249=phu!$I$101,M249=phu!$I$102),"Tỉnh khác",""))</f>
        <v/>
      </c>
      <c r="O249" s="814" t="str">
        <f t="shared" si="19"/>
        <v/>
      </c>
      <c r="P249" s="254"/>
      <c r="Q249" s="254"/>
      <c r="R249" s="254"/>
      <c r="S249" s="254"/>
      <c r="T249" s="254"/>
      <c r="U249" s="254"/>
      <c r="V249" s="254"/>
      <c r="W249" s="254"/>
      <c r="Y249" s="246" t="str">
        <f t="shared" si="20"/>
        <v/>
      </c>
      <c r="Z249" s="247" t="str">
        <f t="shared" si="18"/>
        <v/>
      </c>
      <c r="AA249" s="246" t="str">
        <f t="shared" si="21"/>
        <v/>
      </c>
    </row>
    <row r="250" spans="1:27" ht="18" customHeight="1" x14ac:dyDescent="0.25">
      <c r="A250" s="248" t="str">
        <f t="shared" si="22"/>
        <v/>
      </c>
      <c r="B250" s="249" t="str">
        <f t="shared" si="23"/>
        <v/>
      </c>
      <c r="C250" s="250"/>
      <c r="D250" s="251"/>
      <c r="E250" s="241"/>
      <c r="F250" s="252"/>
      <c r="G250" s="252"/>
      <c r="H250" s="253"/>
      <c r="I250" s="250"/>
      <c r="J250" s="250"/>
      <c r="K250" s="270"/>
      <c r="L250" s="250"/>
      <c r="M250" s="250"/>
      <c r="N250" s="553" t="str">
        <f>CONCATENATE(IF(OR(M250=phu!$I$1,M250=phu!$I$2,M250=phu!$I$3),"Cam Thành Nam",""),IF(OR(M250=phu!$I$4,M250=phu!$I$5,M250=phu!$I$6,M250=phu!$I$7,M250=phu!$I$8,M250=phu!$I$9,M250=phu!$I$10,M250=phu!$I$11,M250=phu!$I$12,M250=phu!$I$13,M250=phu!$I$14),"Cam Nghĩa",""),IF(OR(M250=phu!$I$15,M250=phu!$I$16,M250=phu!$I$17,M250=phu!$I$18,M250=phu!$I$19,M250=phu!$I$20,M250=phu!$I$21),"Cam Phúc Bắc",""),IF(OR(M250=phu!$I$22,M250=phu!$I$23,M250=phu!$I$24,M250=phu!$I$25),"Cam Phúc Nam",""),IF(OR(M250=phu!$I$26,M250=phu!$I$27,M250=phu!$I$28,M250=phu!$I$29,M250=phu!$I$30,M250=phu!$I$31),"Cam Phú",""),IF(OR(M250=phu!$I$32,M250=phu!$I$33,M250=phu!$I$34,M250=phu!$I$35,M250=phu!$I$36,M250=phu!$I$37),"Cam Lộc",""),IF(OR(M250=phu!$I$38,M250=phu!$I$39,M250=phu!$I$40,M250=phu!$I$41,M250=phu!$I$42,M250=phu!$I$43,M250=phu!$I$44),"Cam Thuận",""),IF(OR(M250=phu!$I$45,M250=phu!$I$46,M250=phu!$I$47,M250=phu!$I$48,M250=phu!$I$49,M250=phu!$I$50,M250=phu!$I$51,M250=phu!$I$52,M250=phu!$I$53),"Cam Linh",""),IF(OR(M250=phu!$I$54,M250=phu!$I$55,M250=phu!$I$56,M250=phu!$I$57,M250=phu!$I$58,M250=phu!$I$59,M250=phu!$I$60,M250=phu!$I$61,M250=phu!$I$62),"Cam Lợi",""),IF(OR(M250=phu!$I$63,M250=phu!$I$64,M250=phu!$I$65,M250=phu!$I$66,M250=phu!$I$67,M250=phu!$I$68,M250=phu!$I$69,M250=phu!$I$70,M250=phu!$I$71),"Ba Ngòi",""),IF(OR(M250=phu!$I$72,M250=phu!$I$73,M250=phu!$I$74,M250=phu!$I$75,M250=phu!$I$76,M250=phu!$I$77,M250=phu!$I$78),"Cam Phước Đông",""),IF(OR(M250=phu!$I$79,M250=phu!$I$80,M250=phu!$I$81,M250=phu!$I$82,M250=phu!$I$83,M250=phu!$I$84),"Cam Thịnh Đông",""),IF(OR(M250=phu!$I$85,M250=phu!$I$86,M250=phu!$I$87,M250=phu!$I$88),"Cam Thịnh Tây",""),IF(OR(M250=phu!$I$89,M250=phu!$I$90),"Cam Lập",""),IF(OR(M250=phu!$I$91,M250=phu!$I$92,M250=phu!$I$93),"Cam Bình",""),IF(OR(M250=phu!$I$94,M250=phu!$I$95,M250=phu!$I$96,M250=phu!$I$97,M250=phu!$I$98,M250=phu!$I$99,M250=phu!$I$100),"Huyện khác",""),IF(OR(M250=phu!$I$101,M250=phu!$I$102),"Tỉnh khác",""))</f>
        <v/>
      </c>
      <c r="O250" s="814" t="str">
        <f t="shared" si="19"/>
        <v/>
      </c>
      <c r="P250" s="254"/>
      <c r="Q250" s="254"/>
      <c r="R250" s="254"/>
      <c r="S250" s="254"/>
      <c r="T250" s="254"/>
      <c r="U250" s="254"/>
      <c r="V250" s="254"/>
      <c r="W250" s="254"/>
      <c r="Y250" s="246" t="str">
        <f t="shared" si="20"/>
        <v/>
      </c>
      <c r="Z250" s="247" t="str">
        <f t="shared" si="18"/>
        <v/>
      </c>
      <c r="AA250" s="246" t="str">
        <f t="shared" si="21"/>
        <v/>
      </c>
    </row>
    <row r="251" spans="1:27" ht="18" customHeight="1" x14ac:dyDescent="0.25">
      <c r="A251" s="248" t="str">
        <f t="shared" si="22"/>
        <v/>
      </c>
      <c r="B251" s="249" t="str">
        <f t="shared" si="23"/>
        <v/>
      </c>
      <c r="C251" s="250"/>
      <c r="D251" s="251"/>
      <c r="E251" s="241"/>
      <c r="F251" s="252"/>
      <c r="G251" s="252"/>
      <c r="H251" s="253"/>
      <c r="I251" s="250"/>
      <c r="J251" s="250"/>
      <c r="K251" s="270"/>
      <c r="L251" s="250"/>
      <c r="M251" s="250"/>
      <c r="N251" s="553" t="str">
        <f>CONCATENATE(IF(OR(M251=phu!$I$1,M251=phu!$I$2,M251=phu!$I$3),"Cam Thành Nam",""),IF(OR(M251=phu!$I$4,M251=phu!$I$5,M251=phu!$I$6,M251=phu!$I$7,M251=phu!$I$8,M251=phu!$I$9,M251=phu!$I$10,M251=phu!$I$11,M251=phu!$I$12,M251=phu!$I$13,M251=phu!$I$14),"Cam Nghĩa",""),IF(OR(M251=phu!$I$15,M251=phu!$I$16,M251=phu!$I$17,M251=phu!$I$18,M251=phu!$I$19,M251=phu!$I$20,M251=phu!$I$21),"Cam Phúc Bắc",""),IF(OR(M251=phu!$I$22,M251=phu!$I$23,M251=phu!$I$24,M251=phu!$I$25),"Cam Phúc Nam",""),IF(OR(M251=phu!$I$26,M251=phu!$I$27,M251=phu!$I$28,M251=phu!$I$29,M251=phu!$I$30,M251=phu!$I$31),"Cam Phú",""),IF(OR(M251=phu!$I$32,M251=phu!$I$33,M251=phu!$I$34,M251=phu!$I$35,M251=phu!$I$36,M251=phu!$I$37),"Cam Lộc",""),IF(OR(M251=phu!$I$38,M251=phu!$I$39,M251=phu!$I$40,M251=phu!$I$41,M251=phu!$I$42,M251=phu!$I$43,M251=phu!$I$44),"Cam Thuận",""),IF(OR(M251=phu!$I$45,M251=phu!$I$46,M251=phu!$I$47,M251=phu!$I$48,M251=phu!$I$49,M251=phu!$I$50,M251=phu!$I$51,M251=phu!$I$52,M251=phu!$I$53),"Cam Linh",""),IF(OR(M251=phu!$I$54,M251=phu!$I$55,M251=phu!$I$56,M251=phu!$I$57,M251=phu!$I$58,M251=phu!$I$59,M251=phu!$I$60,M251=phu!$I$61,M251=phu!$I$62),"Cam Lợi",""),IF(OR(M251=phu!$I$63,M251=phu!$I$64,M251=phu!$I$65,M251=phu!$I$66,M251=phu!$I$67,M251=phu!$I$68,M251=phu!$I$69,M251=phu!$I$70,M251=phu!$I$71),"Ba Ngòi",""),IF(OR(M251=phu!$I$72,M251=phu!$I$73,M251=phu!$I$74,M251=phu!$I$75,M251=phu!$I$76,M251=phu!$I$77,M251=phu!$I$78),"Cam Phước Đông",""),IF(OR(M251=phu!$I$79,M251=phu!$I$80,M251=phu!$I$81,M251=phu!$I$82,M251=phu!$I$83,M251=phu!$I$84),"Cam Thịnh Đông",""),IF(OR(M251=phu!$I$85,M251=phu!$I$86,M251=phu!$I$87,M251=phu!$I$88),"Cam Thịnh Tây",""),IF(OR(M251=phu!$I$89,M251=phu!$I$90),"Cam Lập",""),IF(OR(M251=phu!$I$91,M251=phu!$I$92,M251=phu!$I$93),"Cam Bình",""),IF(OR(M251=phu!$I$94,M251=phu!$I$95,M251=phu!$I$96,M251=phu!$I$97,M251=phu!$I$98,M251=phu!$I$99,M251=phu!$I$100),"Huyện khác",""),IF(OR(M251=phu!$I$101,M251=phu!$I$102),"Tỉnh khác",""))</f>
        <v/>
      </c>
      <c r="O251" s="814" t="str">
        <f t="shared" si="19"/>
        <v/>
      </c>
      <c r="P251" s="254"/>
      <c r="Q251" s="254"/>
      <c r="R251" s="254"/>
      <c r="S251" s="254"/>
      <c r="T251" s="254"/>
      <c r="U251" s="254"/>
      <c r="V251" s="254"/>
      <c r="W251" s="254"/>
      <c r="Y251" s="246" t="str">
        <f t="shared" si="20"/>
        <v/>
      </c>
      <c r="Z251" s="247" t="str">
        <f t="shared" si="18"/>
        <v/>
      </c>
      <c r="AA251" s="246" t="str">
        <f t="shared" si="21"/>
        <v/>
      </c>
    </row>
    <row r="252" spans="1:27" ht="18" customHeight="1" x14ac:dyDescent="0.25">
      <c r="A252" s="248" t="str">
        <f t="shared" si="22"/>
        <v/>
      </c>
      <c r="B252" s="249" t="str">
        <f t="shared" si="23"/>
        <v/>
      </c>
      <c r="C252" s="250"/>
      <c r="D252" s="251"/>
      <c r="E252" s="241"/>
      <c r="F252" s="252"/>
      <c r="G252" s="252"/>
      <c r="H252" s="253"/>
      <c r="I252" s="250"/>
      <c r="J252" s="250"/>
      <c r="K252" s="270"/>
      <c r="L252" s="250"/>
      <c r="M252" s="250"/>
      <c r="N252" s="553" t="str">
        <f>CONCATENATE(IF(OR(M252=phu!$I$1,M252=phu!$I$2,M252=phu!$I$3),"Cam Thành Nam",""),IF(OR(M252=phu!$I$4,M252=phu!$I$5,M252=phu!$I$6,M252=phu!$I$7,M252=phu!$I$8,M252=phu!$I$9,M252=phu!$I$10,M252=phu!$I$11,M252=phu!$I$12,M252=phu!$I$13,M252=phu!$I$14),"Cam Nghĩa",""),IF(OR(M252=phu!$I$15,M252=phu!$I$16,M252=phu!$I$17,M252=phu!$I$18,M252=phu!$I$19,M252=phu!$I$20,M252=phu!$I$21),"Cam Phúc Bắc",""),IF(OR(M252=phu!$I$22,M252=phu!$I$23,M252=phu!$I$24,M252=phu!$I$25),"Cam Phúc Nam",""),IF(OR(M252=phu!$I$26,M252=phu!$I$27,M252=phu!$I$28,M252=phu!$I$29,M252=phu!$I$30,M252=phu!$I$31),"Cam Phú",""),IF(OR(M252=phu!$I$32,M252=phu!$I$33,M252=phu!$I$34,M252=phu!$I$35,M252=phu!$I$36,M252=phu!$I$37),"Cam Lộc",""),IF(OR(M252=phu!$I$38,M252=phu!$I$39,M252=phu!$I$40,M252=phu!$I$41,M252=phu!$I$42,M252=phu!$I$43,M252=phu!$I$44),"Cam Thuận",""),IF(OR(M252=phu!$I$45,M252=phu!$I$46,M252=phu!$I$47,M252=phu!$I$48,M252=phu!$I$49,M252=phu!$I$50,M252=phu!$I$51,M252=phu!$I$52,M252=phu!$I$53),"Cam Linh",""),IF(OR(M252=phu!$I$54,M252=phu!$I$55,M252=phu!$I$56,M252=phu!$I$57,M252=phu!$I$58,M252=phu!$I$59,M252=phu!$I$60,M252=phu!$I$61,M252=phu!$I$62),"Cam Lợi",""),IF(OR(M252=phu!$I$63,M252=phu!$I$64,M252=phu!$I$65,M252=phu!$I$66,M252=phu!$I$67,M252=phu!$I$68,M252=phu!$I$69,M252=phu!$I$70,M252=phu!$I$71),"Ba Ngòi",""),IF(OR(M252=phu!$I$72,M252=phu!$I$73,M252=phu!$I$74,M252=phu!$I$75,M252=phu!$I$76,M252=phu!$I$77,M252=phu!$I$78),"Cam Phước Đông",""),IF(OR(M252=phu!$I$79,M252=phu!$I$80,M252=phu!$I$81,M252=phu!$I$82,M252=phu!$I$83,M252=phu!$I$84),"Cam Thịnh Đông",""),IF(OR(M252=phu!$I$85,M252=phu!$I$86,M252=phu!$I$87,M252=phu!$I$88),"Cam Thịnh Tây",""),IF(OR(M252=phu!$I$89,M252=phu!$I$90),"Cam Lập",""),IF(OR(M252=phu!$I$91,M252=phu!$I$92,M252=phu!$I$93),"Cam Bình",""),IF(OR(M252=phu!$I$94,M252=phu!$I$95,M252=phu!$I$96,M252=phu!$I$97,M252=phu!$I$98,M252=phu!$I$99,M252=phu!$I$100),"Huyện khác",""),IF(OR(M252=phu!$I$101,M252=phu!$I$102),"Tỉnh khác",""))</f>
        <v/>
      </c>
      <c r="O252" s="814" t="str">
        <f t="shared" si="19"/>
        <v/>
      </c>
      <c r="P252" s="254"/>
      <c r="Q252" s="254"/>
      <c r="R252" s="254"/>
      <c r="S252" s="254"/>
      <c r="T252" s="254"/>
      <c r="U252" s="254"/>
      <c r="V252" s="254"/>
      <c r="W252" s="254"/>
      <c r="Y252" s="246" t="str">
        <f t="shared" si="20"/>
        <v/>
      </c>
      <c r="Z252" s="247" t="str">
        <f t="shared" si="18"/>
        <v/>
      </c>
      <c r="AA252" s="246" t="str">
        <f t="shared" si="21"/>
        <v/>
      </c>
    </row>
    <row r="253" spans="1:27" ht="18" customHeight="1" x14ac:dyDescent="0.25">
      <c r="A253" s="248" t="str">
        <f t="shared" si="22"/>
        <v/>
      </c>
      <c r="B253" s="249" t="str">
        <f t="shared" si="23"/>
        <v/>
      </c>
      <c r="C253" s="250"/>
      <c r="D253" s="251"/>
      <c r="E253" s="241"/>
      <c r="F253" s="252"/>
      <c r="G253" s="252"/>
      <c r="H253" s="253"/>
      <c r="I253" s="250"/>
      <c r="J253" s="250"/>
      <c r="K253" s="270"/>
      <c r="L253" s="250"/>
      <c r="M253" s="250"/>
      <c r="N253" s="553" t="str">
        <f>CONCATENATE(IF(OR(M253=phu!$I$1,M253=phu!$I$2,M253=phu!$I$3),"Cam Thành Nam",""),IF(OR(M253=phu!$I$4,M253=phu!$I$5,M253=phu!$I$6,M253=phu!$I$7,M253=phu!$I$8,M253=phu!$I$9,M253=phu!$I$10,M253=phu!$I$11,M253=phu!$I$12,M253=phu!$I$13,M253=phu!$I$14),"Cam Nghĩa",""),IF(OR(M253=phu!$I$15,M253=phu!$I$16,M253=phu!$I$17,M253=phu!$I$18,M253=phu!$I$19,M253=phu!$I$20,M253=phu!$I$21),"Cam Phúc Bắc",""),IF(OR(M253=phu!$I$22,M253=phu!$I$23,M253=phu!$I$24,M253=phu!$I$25),"Cam Phúc Nam",""),IF(OR(M253=phu!$I$26,M253=phu!$I$27,M253=phu!$I$28,M253=phu!$I$29,M253=phu!$I$30,M253=phu!$I$31),"Cam Phú",""),IF(OR(M253=phu!$I$32,M253=phu!$I$33,M253=phu!$I$34,M253=phu!$I$35,M253=phu!$I$36,M253=phu!$I$37),"Cam Lộc",""),IF(OR(M253=phu!$I$38,M253=phu!$I$39,M253=phu!$I$40,M253=phu!$I$41,M253=phu!$I$42,M253=phu!$I$43,M253=phu!$I$44),"Cam Thuận",""),IF(OR(M253=phu!$I$45,M253=phu!$I$46,M253=phu!$I$47,M253=phu!$I$48,M253=phu!$I$49,M253=phu!$I$50,M253=phu!$I$51,M253=phu!$I$52,M253=phu!$I$53),"Cam Linh",""),IF(OR(M253=phu!$I$54,M253=phu!$I$55,M253=phu!$I$56,M253=phu!$I$57,M253=phu!$I$58,M253=phu!$I$59,M253=phu!$I$60,M253=phu!$I$61,M253=phu!$I$62),"Cam Lợi",""),IF(OR(M253=phu!$I$63,M253=phu!$I$64,M253=phu!$I$65,M253=phu!$I$66,M253=phu!$I$67,M253=phu!$I$68,M253=phu!$I$69,M253=phu!$I$70,M253=phu!$I$71),"Ba Ngòi",""),IF(OR(M253=phu!$I$72,M253=phu!$I$73,M253=phu!$I$74,M253=phu!$I$75,M253=phu!$I$76,M253=phu!$I$77,M253=phu!$I$78),"Cam Phước Đông",""),IF(OR(M253=phu!$I$79,M253=phu!$I$80,M253=phu!$I$81,M253=phu!$I$82,M253=phu!$I$83,M253=phu!$I$84),"Cam Thịnh Đông",""),IF(OR(M253=phu!$I$85,M253=phu!$I$86,M253=phu!$I$87,M253=phu!$I$88),"Cam Thịnh Tây",""),IF(OR(M253=phu!$I$89,M253=phu!$I$90),"Cam Lập",""),IF(OR(M253=phu!$I$91,M253=phu!$I$92,M253=phu!$I$93),"Cam Bình",""),IF(OR(M253=phu!$I$94,M253=phu!$I$95,M253=phu!$I$96,M253=phu!$I$97,M253=phu!$I$98,M253=phu!$I$99,M253=phu!$I$100),"Huyện khác",""),IF(OR(M253=phu!$I$101,M253=phu!$I$102),"Tỉnh khác",""))</f>
        <v/>
      </c>
      <c r="O253" s="814" t="str">
        <f t="shared" si="19"/>
        <v/>
      </c>
      <c r="P253" s="254"/>
      <c r="Q253" s="254"/>
      <c r="R253" s="254"/>
      <c r="S253" s="254"/>
      <c r="T253" s="254"/>
      <c r="U253" s="254"/>
      <c r="V253" s="254"/>
      <c r="W253" s="254"/>
      <c r="Y253" s="246" t="str">
        <f t="shared" si="20"/>
        <v/>
      </c>
      <c r="Z253" s="247" t="str">
        <f t="shared" si="18"/>
        <v/>
      </c>
      <c r="AA253" s="246" t="str">
        <f t="shared" si="21"/>
        <v/>
      </c>
    </row>
    <row r="254" spans="1:27" ht="18" customHeight="1" x14ac:dyDescent="0.25">
      <c r="A254" s="248" t="str">
        <f t="shared" si="22"/>
        <v/>
      </c>
      <c r="B254" s="249" t="str">
        <f t="shared" si="23"/>
        <v/>
      </c>
      <c r="C254" s="250"/>
      <c r="D254" s="251"/>
      <c r="E254" s="241"/>
      <c r="F254" s="252"/>
      <c r="G254" s="252"/>
      <c r="H254" s="253"/>
      <c r="I254" s="250"/>
      <c r="J254" s="250"/>
      <c r="K254" s="270"/>
      <c r="L254" s="250"/>
      <c r="M254" s="250"/>
      <c r="N254" s="553" t="str">
        <f>CONCATENATE(IF(OR(M254=phu!$I$1,M254=phu!$I$2,M254=phu!$I$3),"Cam Thành Nam",""),IF(OR(M254=phu!$I$4,M254=phu!$I$5,M254=phu!$I$6,M254=phu!$I$7,M254=phu!$I$8,M254=phu!$I$9,M254=phu!$I$10,M254=phu!$I$11,M254=phu!$I$12,M254=phu!$I$13,M254=phu!$I$14),"Cam Nghĩa",""),IF(OR(M254=phu!$I$15,M254=phu!$I$16,M254=phu!$I$17,M254=phu!$I$18,M254=phu!$I$19,M254=phu!$I$20,M254=phu!$I$21),"Cam Phúc Bắc",""),IF(OR(M254=phu!$I$22,M254=phu!$I$23,M254=phu!$I$24,M254=phu!$I$25),"Cam Phúc Nam",""),IF(OR(M254=phu!$I$26,M254=phu!$I$27,M254=phu!$I$28,M254=phu!$I$29,M254=phu!$I$30,M254=phu!$I$31),"Cam Phú",""),IF(OR(M254=phu!$I$32,M254=phu!$I$33,M254=phu!$I$34,M254=phu!$I$35,M254=phu!$I$36,M254=phu!$I$37),"Cam Lộc",""),IF(OR(M254=phu!$I$38,M254=phu!$I$39,M254=phu!$I$40,M254=phu!$I$41,M254=phu!$I$42,M254=phu!$I$43,M254=phu!$I$44),"Cam Thuận",""),IF(OR(M254=phu!$I$45,M254=phu!$I$46,M254=phu!$I$47,M254=phu!$I$48,M254=phu!$I$49,M254=phu!$I$50,M254=phu!$I$51,M254=phu!$I$52,M254=phu!$I$53),"Cam Linh",""),IF(OR(M254=phu!$I$54,M254=phu!$I$55,M254=phu!$I$56,M254=phu!$I$57,M254=phu!$I$58,M254=phu!$I$59,M254=phu!$I$60,M254=phu!$I$61,M254=phu!$I$62),"Cam Lợi",""),IF(OR(M254=phu!$I$63,M254=phu!$I$64,M254=phu!$I$65,M254=phu!$I$66,M254=phu!$I$67,M254=phu!$I$68,M254=phu!$I$69,M254=phu!$I$70,M254=phu!$I$71),"Ba Ngòi",""),IF(OR(M254=phu!$I$72,M254=phu!$I$73,M254=phu!$I$74,M254=phu!$I$75,M254=phu!$I$76,M254=phu!$I$77,M254=phu!$I$78),"Cam Phước Đông",""),IF(OR(M254=phu!$I$79,M254=phu!$I$80,M254=phu!$I$81,M254=phu!$I$82,M254=phu!$I$83,M254=phu!$I$84),"Cam Thịnh Đông",""),IF(OR(M254=phu!$I$85,M254=phu!$I$86,M254=phu!$I$87,M254=phu!$I$88),"Cam Thịnh Tây",""),IF(OR(M254=phu!$I$89,M254=phu!$I$90),"Cam Lập",""),IF(OR(M254=phu!$I$91,M254=phu!$I$92,M254=phu!$I$93),"Cam Bình",""),IF(OR(M254=phu!$I$94,M254=phu!$I$95,M254=phu!$I$96,M254=phu!$I$97,M254=phu!$I$98,M254=phu!$I$99,M254=phu!$I$100),"Huyện khác",""),IF(OR(M254=phu!$I$101,M254=phu!$I$102),"Tỉnh khác",""))</f>
        <v/>
      </c>
      <c r="O254" s="814" t="str">
        <f t="shared" si="19"/>
        <v/>
      </c>
      <c r="P254" s="254"/>
      <c r="Q254" s="254"/>
      <c r="R254" s="254"/>
      <c r="S254" s="254"/>
      <c r="T254" s="254"/>
      <c r="U254" s="254"/>
      <c r="V254" s="254"/>
      <c r="W254" s="254"/>
      <c r="Y254" s="246" t="str">
        <f t="shared" si="20"/>
        <v/>
      </c>
      <c r="Z254" s="247" t="str">
        <f t="shared" si="18"/>
        <v/>
      </c>
      <c r="AA254" s="246" t="str">
        <f t="shared" si="21"/>
        <v/>
      </c>
    </row>
    <row r="255" spans="1:27" ht="18" customHeight="1" x14ac:dyDescent="0.25">
      <c r="A255" s="248" t="str">
        <f t="shared" si="22"/>
        <v/>
      </c>
      <c r="B255" s="249" t="str">
        <f t="shared" si="23"/>
        <v/>
      </c>
      <c r="C255" s="250"/>
      <c r="D255" s="251"/>
      <c r="E255" s="241"/>
      <c r="F255" s="252"/>
      <c r="G255" s="252"/>
      <c r="H255" s="253"/>
      <c r="I255" s="250"/>
      <c r="J255" s="250"/>
      <c r="K255" s="270"/>
      <c r="L255" s="250"/>
      <c r="M255" s="250"/>
      <c r="N255" s="553" t="str">
        <f>CONCATENATE(IF(OR(M255=phu!$I$1,M255=phu!$I$2,M255=phu!$I$3),"Cam Thành Nam",""),IF(OR(M255=phu!$I$4,M255=phu!$I$5,M255=phu!$I$6,M255=phu!$I$7,M255=phu!$I$8,M255=phu!$I$9,M255=phu!$I$10,M255=phu!$I$11,M255=phu!$I$12,M255=phu!$I$13,M255=phu!$I$14),"Cam Nghĩa",""),IF(OR(M255=phu!$I$15,M255=phu!$I$16,M255=phu!$I$17,M255=phu!$I$18,M255=phu!$I$19,M255=phu!$I$20,M255=phu!$I$21),"Cam Phúc Bắc",""),IF(OR(M255=phu!$I$22,M255=phu!$I$23,M255=phu!$I$24,M255=phu!$I$25),"Cam Phúc Nam",""),IF(OR(M255=phu!$I$26,M255=phu!$I$27,M255=phu!$I$28,M255=phu!$I$29,M255=phu!$I$30,M255=phu!$I$31),"Cam Phú",""),IF(OR(M255=phu!$I$32,M255=phu!$I$33,M255=phu!$I$34,M255=phu!$I$35,M255=phu!$I$36,M255=phu!$I$37),"Cam Lộc",""),IF(OR(M255=phu!$I$38,M255=phu!$I$39,M255=phu!$I$40,M255=phu!$I$41,M255=phu!$I$42,M255=phu!$I$43,M255=phu!$I$44),"Cam Thuận",""),IF(OR(M255=phu!$I$45,M255=phu!$I$46,M255=phu!$I$47,M255=phu!$I$48,M255=phu!$I$49,M255=phu!$I$50,M255=phu!$I$51,M255=phu!$I$52,M255=phu!$I$53),"Cam Linh",""),IF(OR(M255=phu!$I$54,M255=phu!$I$55,M255=phu!$I$56,M255=phu!$I$57,M255=phu!$I$58,M255=phu!$I$59,M255=phu!$I$60,M255=phu!$I$61,M255=phu!$I$62),"Cam Lợi",""),IF(OR(M255=phu!$I$63,M255=phu!$I$64,M255=phu!$I$65,M255=phu!$I$66,M255=phu!$I$67,M255=phu!$I$68,M255=phu!$I$69,M255=phu!$I$70,M255=phu!$I$71),"Ba Ngòi",""),IF(OR(M255=phu!$I$72,M255=phu!$I$73,M255=phu!$I$74,M255=phu!$I$75,M255=phu!$I$76,M255=phu!$I$77,M255=phu!$I$78),"Cam Phước Đông",""),IF(OR(M255=phu!$I$79,M255=phu!$I$80,M255=phu!$I$81,M255=phu!$I$82,M255=phu!$I$83,M255=phu!$I$84),"Cam Thịnh Đông",""),IF(OR(M255=phu!$I$85,M255=phu!$I$86,M255=phu!$I$87,M255=phu!$I$88),"Cam Thịnh Tây",""),IF(OR(M255=phu!$I$89,M255=phu!$I$90),"Cam Lập",""),IF(OR(M255=phu!$I$91,M255=phu!$I$92,M255=phu!$I$93),"Cam Bình",""),IF(OR(M255=phu!$I$94,M255=phu!$I$95,M255=phu!$I$96,M255=phu!$I$97,M255=phu!$I$98,M255=phu!$I$99,M255=phu!$I$100),"Huyện khác",""),IF(OR(M255=phu!$I$101,M255=phu!$I$102),"Tỉnh khác",""))</f>
        <v/>
      </c>
      <c r="O255" s="814" t="str">
        <f t="shared" si="19"/>
        <v/>
      </c>
      <c r="P255" s="254"/>
      <c r="Q255" s="254"/>
      <c r="R255" s="254"/>
      <c r="S255" s="254"/>
      <c r="T255" s="254"/>
      <c r="U255" s="254"/>
      <c r="V255" s="254"/>
      <c r="W255" s="254"/>
      <c r="Y255" s="246" t="str">
        <f t="shared" si="20"/>
        <v/>
      </c>
      <c r="Z255" s="247" t="str">
        <f t="shared" si="18"/>
        <v/>
      </c>
      <c r="AA255" s="246" t="str">
        <f t="shared" si="21"/>
        <v/>
      </c>
    </row>
    <row r="256" spans="1:27" ht="18" customHeight="1" x14ac:dyDescent="0.25">
      <c r="A256" s="248" t="str">
        <f t="shared" si="22"/>
        <v/>
      </c>
      <c r="B256" s="249" t="str">
        <f t="shared" si="23"/>
        <v/>
      </c>
      <c r="C256" s="250"/>
      <c r="D256" s="251"/>
      <c r="E256" s="241"/>
      <c r="F256" s="252"/>
      <c r="G256" s="252"/>
      <c r="H256" s="253"/>
      <c r="I256" s="250"/>
      <c r="J256" s="250"/>
      <c r="K256" s="270"/>
      <c r="L256" s="250"/>
      <c r="M256" s="250"/>
      <c r="N256" s="553" t="str">
        <f>CONCATENATE(IF(OR(M256=phu!$I$1,M256=phu!$I$2,M256=phu!$I$3),"Cam Thành Nam",""),IF(OR(M256=phu!$I$4,M256=phu!$I$5,M256=phu!$I$6,M256=phu!$I$7,M256=phu!$I$8,M256=phu!$I$9,M256=phu!$I$10,M256=phu!$I$11,M256=phu!$I$12,M256=phu!$I$13,M256=phu!$I$14),"Cam Nghĩa",""),IF(OR(M256=phu!$I$15,M256=phu!$I$16,M256=phu!$I$17,M256=phu!$I$18,M256=phu!$I$19,M256=phu!$I$20,M256=phu!$I$21),"Cam Phúc Bắc",""),IF(OR(M256=phu!$I$22,M256=phu!$I$23,M256=phu!$I$24,M256=phu!$I$25),"Cam Phúc Nam",""),IF(OR(M256=phu!$I$26,M256=phu!$I$27,M256=phu!$I$28,M256=phu!$I$29,M256=phu!$I$30,M256=phu!$I$31),"Cam Phú",""),IF(OR(M256=phu!$I$32,M256=phu!$I$33,M256=phu!$I$34,M256=phu!$I$35,M256=phu!$I$36,M256=phu!$I$37),"Cam Lộc",""),IF(OR(M256=phu!$I$38,M256=phu!$I$39,M256=phu!$I$40,M256=phu!$I$41,M256=phu!$I$42,M256=phu!$I$43,M256=phu!$I$44),"Cam Thuận",""),IF(OR(M256=phu!$I$45,M256=phu!$I$46,M256=phu!$I$47,M256=phu!$I$48,M256=phu!$I$49,M256=phu!$I$50,M256=phu!$I$51,M256=phu!$I$52,M256=phu!$I$53),"Cam Linh",""),IF(OR(M256=phu!$I$54,M256=phu!$I$55,M256=phu!$I$56,M256=phu!$I$57,M256=phu!$I$58,M256=phu!$I$59,M256=phu!$I$60,M256=phu!$I$61,M256=phu!$I$62),"Cam Lợi",""),IF(OR(M256=phu!$I$63,M256=phu!$I$64,M256=phu!$I$65,M256=phu!$I$66,M256=phu!$I$67,M256=phu!$I$68,M256=phu!$I$69,M256=phu!$I$70,M256=phu!$I$71),"Ba Ngòi",""),IF(OR(M256=phu!$I$72,M256=phu!$I$73,M256=phu!$I$74,M256=phu!$I$75,M256=phu!$I$76,M256=phu!$I$77,M256=phu!$I$78),"Cam Phước Đông",""),IF(OR(M256=phu!$I$79,M256=phu!$I$80,M256=phu!$I$81,M256=phu!$I$82,M256=phu!$I$83,M256=phu!$I$84),"Cam Thịnh Đông",""),IF(OR(M256=phu!$I$85,M256=phu!$I$86,M256=phu!$I$87,M256=phu!$I$88),"Cam Thịnh Tây",""),IF(OR(M256=phu!$I$89,M256=phu!$I$90),"Cam Lập",""),IF(OR(M256=phu!$I$91,M256=phu!$I$92,M256=phu!$I$93),"Cam Bình",""),IF(OR(M256=phu!$I$94,M256=phu!$I$95,M256=phu!$I$96,M256=phu!$I$97,M256=phu!$I$98,M256=phu!$I$99,M256=phu!$I$100),"Huyện khác",""),IF(OR(M256=phu!$I$101,M256=phu!$I$102),"Tỉnh khác",""))</f>
        <v/>
      </c>
      <c r="O256" s="814" t="str">
        <f t="shared" si="19"/>
        <v/>
      </c>
      <c r="P256" s="254"/>
      <c r="Q256" s="254"/>
      <c r="R256" s="254"/>
      <c r="S256" s="254"/>
      <c r="T256" s="254"/>
      <c r="U256" s="254"/>
      <c r="V256" s="254"/>
      <c r="W256" s="254"/>
      <c r="Y256" s="246" t="str">
        <f t="shared" si="20"/>
        <v/>
      </c>
      <c r="Z256" s="247" t="str">
        <f t="shared" si="18"/>
        <v/>
      </c>
      <c r="AA256" s="246" t="str">
        <f t="shared" si="21"/>
        <v/>
      </c>
    </row>
    <row r="257" spans="1:27" ht="18" customHeight="1" x14ac:dyDescent="0.25">
      <c r="A257" s="248" t="str">
        <f t="shared" si="22"/>
        <v/>
      </c>
      <c r="B257" s="249" t="str">
        <f t="shared" si="23"/>
        <v/>
      </c>
      <c r="C257" s="250"/>
      <c r="D257" s="251"/>
      <c r="E257" s="241"/>
      <c r="F257" s="252"/>
      <c r="G257" s="252"/>
      <c r="H257" s="253"/>
      <c r="I257" s="250"/>
      <c r="J257" s="250"/>
      <c r="K257" s="270"/>
      <c r="L257" s="250"/>
      <c r="M257" s="250"/>
      <c r="N257" s="553" t="str">
        <f>CONCATENATE(IF(OR(M257=phu!$I$1,M257=phu!$I$2,M257=phu!$I$3),"Cam Thành Nam",""),IF(OR(M257=phu!$I$4,M257=phu!$I$5,M257=phu!$I$6,M257=phu!$I$7,M257=phu!$I$8,M257=phu!$I$9,M257=phu!$I$10,M257=phu!$I$11,M257=phu!$I$12,M257=phu!$I$13,M257=phu!$I$14),"Cam Nghĩa",""),IF(OR(M257=phu!$I$15,M257=phu!$I$16,M257=phu!$I$17,M257=phu!$I$18,M257=phu!$I$19,M257=phu!$I$20,M257=phu!$I$21),"Cam Phúc Bắc",""),IF(OR(M257=phu!$I$22,M257=phu!$I$23,M257=phu!$I$24,M257=phu!$I$25),"Cam Phúc Nam",""),IF(OR(M257=phu!$I$26,M257=phu!$I$27,M257=phu!$I$28,M257=phu!$I$29,M257=phu!$I$30,M257=phu!$I$31),"Cam Phú",""),IF(OR(M257=phu!$I$32,M257=phu!$I$33,M257=phu!$I$34,M257=phu!$I$35,M257=phu!$I$36,M257=phu!$I$37),"Cam Lộc",""),IF(OR(M257=phu!$I$38,M257=phu!$I$39,M257=phu!$I$40,M257=phu!$I$41,M257=phu!$I$42,M257=phu!$I$43,M257=phu!$I$44),"Cam Thuận",""),IF(OR(M257=phu!$I$45,M257=phu!$I$46,M257=phu!$I$47,M257=phu!$I$48,M257=phu!$I$49,M257=phu!$I$50,M257=phu!$I$51,M257=phu!$I$52,M257=phu!$I$53),"Cam Linh",""),IF(OR(M257=phu!$I$54,M257=phu!$I$55,M257=phu!$I$56,M257=phu!$I$57,M257=phu!$I$58,M257=phu!$I$59,M257=phu!$I$60,M257=phu!$I$61,M257=phu!$I$62),"Cam Lợi",""),IF(OR(M257=phu!$I$63,M257=phu!$I$64,M257=phu!$I$65,M257=phu!$I$66,M257=phu!$I$67,M257=phu!$I$68,M257=phu!$I$69,M257=phu!$I$70,M257=phu!$I$71),"Ba Ngòi",""),IF(OR(M257=phu!$I$72,M257=phu!$I$73,M257=phu!$I$74,M257=phu!$I$75,M257=phu!$I$76,M257=phu!$I$77,M257=phu!$I$78),"Cam Phước Đông",""),IF(OR(M257=phu!$I$79,M257=phu!$I$80,M257=phu!$I$81,M257=phu!$I$82,M257=phu!$I$83,M257=phu!$I$84),"Cam Thịnh Đông",""),IF(OR(M257=phu!$I$85,M257=phu!$I$86,M257=phu!$I$87,M257=phu!$I$88),"Cam Thịnh Tây",""),IF(OR(M257=phu!$I$89,M257=phu!$I$90),"Cam Lập",""),IF(OR(M257=phu!$I$91,M257=phu!$I$92,M257=phu!$I$93),"Cam Bình",""),IF(OR(M257=phu!$I$94,M257=phu!$I$95,M257=phu!$I$96,M257=phu!$I$97,M257=phu!$I$98,M257=phu!$I$99,M257=phu!$I$100),"Huyện khác",""),IF(OR(M257=phu!$I$101,M257=phu!$I$102),"Tỉnh khác",""))</f>
        <v/>
      </c>
      <c r="O257" s="814" t="str">
        <f t="shared" si="19"/>
        <v/>
      </c>
      <c r="P257" s="254"/>
      <c r="Q257" s="254"/>
      <c r="R257" s="254"/>
      <c r="S257" s="254"/>
      <c r="T257" s="254"/>
      <c r="U257" s="254"/>
      <c r="V257" s="254"/>
      <c r="W257" s="254"/>
      <c r="Y257" s="246" t="str">
        <f t="shared" si="20"/>
        <v/>
      </c>
      <c r="Z257" s="247" t="str">
        <f t="shared" si="18"/>
        <v/>
      </c>
      <c r="AA257" s="246" t="str">
        <f t="shared" si="21"/>
        <v/>
      </c>
    </row>
    <row r="258" spans="1:27" ht="18" customHeight="1" x14ac:dyDescent="0.25">
      <c r="A258" s="248" t="str">
        <f t="shared" si="22"/>
        <v/>
      </c>
      <c r="B258" s="249" t="str">
        <f t="shared" si="23"/>
        <v/>
      </c>
      <c r="C258" s="250"/>
      <c r="D258" s="251"/>
      <c r="E258" s="241"/>
      <c r="F258" s="252"/>
      <c r="G258" s="252"/>
      <c r="H258" s="253"/>
      <c r="I258" s="250"/>
      <c r="J258" s="250"/>
      <c r="K258" s="270"/>
      <c r="L258" s="250"/>
      <c r="M258" s="250"/>
      <c r="N258" s="553" t="str">
        <f>CONCATENATE(IF(OR(M258=phu!$I$1,M258=phu!$I$2,M258=phu!$I$3),"Cam Thành Nam",""),IF(OR(M258=phu!$I$4,M258=phu!$I$5,M258=phu!$I$6,M258=phu!$I$7,M258=phu!$I$8,M258=phu!$I$9,M258=phu!$I$10,M258=phu!$I$11,M258=phu!$I$12,M258=phu!$I$13,M258=phu!$I$14),"Cam Nghĩa",""),IF(OR(M258=phu!$I$15,M258=phu!$I$16,M258=phu!$I$17,M258=phu!$I$18,M258=phu!$I$19,M258=phu!$I$20,M258=phu!$I$21),"Cam Phúc Bắc",""),IF(OR(M258=phu!$I$22,M258=phu!$I$23,M258=phu!$I$24,M258=phu!$I$25),"Cam Phúc Nam",""),IF(OR(M258=phu!$I$26,M258=phu!$I$27,M258=phu!$I$28,M258=phu!$I$29,M258=phu!$I$30,M258=phu!$I$31),"Cam Phú",""),IF(OR(M258=phu!$I$32,M258=phu!$I$33,M258=phu!$I$34,M258=phu!$I$35,M258=phu!$I$36,M258=phu!$I$37),"Cam Lộc",""),IF(OR(M258=phu!$I$38,M258=phu!$I$39,M258=phu!$I$40,M258=phu!$I$41,M258=phu!$I$42,M258=phu!$I$43,M258=phu!$I$44),"Cam Thuận",""),IF(OR(M258=phu!$I$45,M258=phu!$I$46,M258=phu!$I$47,M258=phu!$I$48,M258=phu!$I$49,M258=phu!$I$50,M258=phu!$I$51,M258=phu!$I$52,M258=phu!$I$53),"Cam Linh",""),IF(OR(M258=phu!$I$54,M258=phu!$I$55,M258=phu!$I$56,M258=phu!$I$57,M258=phu!$I$58,M258=phu!$I$59,M258=phu!$I$60,M258=phu!$I$61,M258=phu!$I$62),"Cam Lợi",""),IF(OR(M258=phu!$I$63,M258=phu!$I$64,M258=phu!$I$65,M258=phu!$I$66,M258=phu!$I$67,M258=phu!$I$68,M258=phu!$I$69,M258=phu!$I$70,M258=phu!$I$71),"Ba Ngòi",""),IF(OR(M258=phu!$I$72,M258=phu!$I$73,M258=phu!$I$74,M258=phu!$I$75,M258=phu!$I$76,M258=phu!$I$77,M258=phu!$I$78),"Cam Phước Đông",""),IF(OR(M258=phu!$I$79,M258=phu!$I$80,M258=phu!$I$81,M258=phu!$I$82,M258=phu!$I$83,M258=phu!$I$84),"Cam Thịnh Đông",""),IF(OR(M258=phu!$I$85,M258=phu!$I$86,M258=phu!$I$87,M258=phu!$I$88),"Cam Thịnh Tây",""),IF(OR(M258=phu!$I$89,M258=phu!$I$90),"Cam Lập",""),IF(OR(M258=phu!$I$91,M258=phu!$I$92,M258=phu!$I$93),"Cam Bình",""),IF(OR(M258=phu!$I$94,M258=phu!$I$95,M258=phu!$I$96,M258=phu!$I$97,M258=phu!$I$98,M258=phu!$I$99,M258=phu!$I$100),"Huyện khác",""),IF(OR(M258=phu!$I$101,M258=phu!$I$102),"Tỉnh khác",""))</f>
        <v/>
      </c>
      <c r="O258" s="814" t="str">
        <f t="shared" si="19"/>
        <v/>
      </c>
      <c r="P258" s="254"/>
      <c r="Q258" s="254"/>
      <c r="R258" s="254"/>
      <c r="S258" s="254"/>
      <c r="T258" s="254"/>
      <c r="U258" s="254"/>
      <c r="V258" s="254"/>
      <c r="W258" s="254"/>
      <c r="Y258" s="246" t="str">
        <f t="shared" si="20"/>
        <v/>
      </c>
      <c r="Z258" s="247" t="str">
        <f t="shared" si="18"/>
        <v/>
      </c>
      <c r="AA258" s="246" t="str">
        <f t="shared" si="21"/>
        <v/>
      </c>
    </row>
    <row r="259" spans="1:27" ht="18" customHeight="1" x14ac:dyDescent="0.25">
      <c r="A259" s="248" t="str">
        <f t="shared" si="22"/>
        <v/>
      </c>
      <c r="B259" s="249" t="str">
        <f t="shared" si="23"/>
        <v/>
      </c>
      <c r="C259" s="250"/>
      <c r="D259" s="251"/>
      <c r="E259" s="241"/>
      <c r="F259" s="252"/>
      <c r="G259" s="252"/>
      <c r="H259" s="253"/>
      <c r="I259" s="250"/>
      <c r="J259" s="250"/>
      <c r="K259" s="270"/>
      <c r="L259" s="250"/>
      <c r="M259" s="250"/>
      <c r="N259" s="553" t="str">
        <f>CONCATENATE(IF(OR(M259=phu!$I$1,M259=phu!$I$2,M259=phu!$I$3),"Cam Thành Nam",""),IF(OR(M259=phu!$I$4,M259=phu!$I$5,M259=phu!$I$6,M259=phu!$I$7,M259=phu!$I$8,M259=phu!$I$9,M259=phu!$I$10,M259=phu!$I$11,M259=phu!$I$12,M259=phu!$I$13,M259=phu!$I$14),"Cam Nghĩa",""),IF(OR(M259=phu!$I$15,M259=phu!$I$16,M259=phu!$I$17,M259=phu!$I$18,M259=phu!$I$19,M259=phu!$I$20,M259=phu!$I$21),"Cam Phúc Bắc",""),IF(OR(M259=phu!$I$22,M259=phu!$I$23,M259=phu!$I$24,M259=phu!$I$25),"Cam Phúc Nam",""),IF(OR(M259=phu!$I$26,M259=phu!$I$27,M259=phu!$I$28,M259=phu!$I$29,M259=phu!$I$30,M259=phu!$I$31),"Cam Phú",""),IF(OR(M259=phu!$I$32,M259=phu!$I$33,M259=phu!$I$34,M259=phu!$I$35,M259=phu!$I$36,M259=phu!$I$37),"Cam Lộc",""),IF(OR(M259=phu!$I$38,M259=phu!$I$39,M259=phu!$I$40,M259=phu!$I$41,M259=phu!$I$42,M259=phu!$I$43,M259=phu!$I$44),"Cam Thuận",""),IF(OR(M259=phu!$I$45,M259=phu!$I$46,M259=phu!$I$47,M259=phu!$I$48,M259=phu!$I$49,M259=phu!$I$50,M259=phu!$I$51,M259=phu!$I$52,M259=phu!$I$53),"Cam Linh",""),IF(OR(M259=phu!$I$54,M259=phu!$I$55,M259=phu!$I$56,M259=phu!$I$57,M259=phu!$I$58,M259=phu!$I$59,M259=phu!$I$60,M259=phu!$I$61,M259=phu!$I$62),"Cam Lợi",""),IF(OR(M259=phu!$I$63,M259=phu!$I$64,M259=phu!$I$65,M259=phu!$I$66,M259=phu!$I$67,M259=phu!$I$68,M259=phu!$I$69,M259=phu!$I$70,M259=phu!$I$71),"Ba Ngòi",""),IF(OR(M259=phu!$I$72,M259=phu!$I$73,M259=phu!$I$74,M259=phu!$I$75,M259=phu!$I$76,M259=phu!$I$77,M259=phu!$I$78),"Cam Phước Đông",""),IF(OR(M259=phu!$I$79,M259=phu!$I$80,M259=phu!$I$81,M259=phu!$I$82,M259=phu!$I$83,M259=phu!$I$84),"Cam Thịnh Đông",""),IF(OR(M259=phu!$I$85,M259=phu!$I$86,M259=phu!$I$87,M259=phu!$I$88),"Cam Thịnh Tây",""),IF(OR(M259=phu!$I$89,M259=phu!$I$90),"Cam Lập",""),IF(OR(M259=phu!$I$91,M259=phu!$I$92,M259=phu!$I$93),"Cam Bình",""),IF(OR(M259=phu!$I$94,M259=phu!$I$95,M259=phu!$I$96,M259=phu!$I$97,M259=phu!$I$98,M259=phu!$I$99,M259=phu!$I$100),"Huyện khác",""),IF(OR(M259=phu!$I$101,M259=phu!$I$102),"Tỉnh khác",""))</f>
        <v/>
      </c>
      <c r="O259" s="814" t="str">
        <f t="shared" si="19"/>
        <v/>
      </c>
      <c r="P259" s="254"/>
      <c r="Q259" s="254"/>
      <c r="R259" s="254"/>
      <c r="S259" s="254"/>
      <c r="T259" s="254"/>
      <c r="U259" s="254"/>
      <c r="V259" s="254"/>
      <c r="W259" s="254"/>
      <c r="Y259" s="246" t="str">
        <f t="shared" si="20"/>
        <v/>
      </c>
      <c r="Z259" s="247" t="str">
        <f t="shared" si="18"/>
        <v/>
      </c>
      <c r="AA259" s="246" t="str">
        <f t="shared" si="21"/>
        <v/>
      </c>
    </row>
    <row r="260" spans="1:27" ht="18" customHeight="1" x14ac:dyDescent="0.25">
      <c r="A260" s="248" t="str">
        <f t="shared" si="22"/>
        <v/>
      </c>
      <c r="B260" s="249" t="str">
        <f t="shared" si="23"/>
        <v/>
      </c>
      <c r="C260" s="250"/>
      <c r="D260" s="251"/>
      <c r="E260" s="241"/>
      <c r="F260" s="252"/>
      <c r="G260" s="252"/>
      <c r="H260" s="253"/>
      <c r="I260" s="250"/>
      <c r="J260" s="250"/>
      <c r="K260" s="270"/>
      <c r="L260" s="250"/>
      <c r="M260" s="250"/>
      <c r="N260" s="553" t="str">
        <f>CONCATENATE(IF(OR(M260=phu!$I$1,M260=phu!$I$2,M260=phu!$I$3),"Cam Thành Nam",""),IF(OR(M260=phu!$I$4,M260=phu!$I$5,M260=phu!$I$6,M260=phu!$I$7,M260=phu!$I$8,M260=phu!$I$9,M260=phu!$I$10,M260=phu!$I$11,M260=phu!$I$12,M260=phu!$I$13,M260=phu!$I$14),"Cam Nghĩa",""),IF(OR(M260=phu!$I$15,M260=phu!$I$16,M260=phu!$I$17,M260=phu!$I$18,M260=phu!$I$19,M260=phu!$I$20,M260=phu!$I$21),"Cam Phúc Bắc",""),IF(OR(M260=phu!$I$22,M260=phu!$I$23,M260=phu!$I$24,M260=phu!$I$25),"Cam Phúc Nam",""),IF(OR(M260=phu!$I$26,M260=phu!$I$27,M260=phu!$I$28,M260=phu!$I$29,M260=phu!$I$30,M260=phu!$I$31),"Cam Phú",""),IF(OR(M260=phu!$I$32,M260=phu!$I$33,M260=phu!$I$34,M260=phu!$I$35,M260=phu!$I$36,M260=phu!$I$37),"Cam Lộc",""),IF(OR(M260=phu!$I$38,M260=phu!$I$39,M260=phu!$I$40,M260=phu!$I$41,M260=phu!$I$42,M260=phu!$I$43,M260=phu!$I$44),"Cam Thuận",""),IF(OR(M260=phu!$I$45,M260=phu!$I$46,M260=phu!$I$47,M260=phu!$I$48,M260=phu!$I$49,M260=phu!$I$50,M260=phu!$I$51,M260=phu!$I$52,M260=phu!$I$53),"Cam Linh",""),IF(OR(M260=phu!$I$54,M260=phu!$I$55,M260=phu!$I$56,M260=phu!$I$57,M260=phu!$I$58,M260=phu!$I$59,M260=phu!$I$60,M260=phu!$I$61,M260=phu!$I$62),"Cam Lợi",""),IF(OR(M260=phu!$I$63,M260=phu!$I$64,M260=phu!$I$65,M260=phu!$I$66,M260=phu!$I$67,M260=phu!$I$68,M260=phu!$I$69,M260=phu!$I$70,M260=phu!$I$71),"Ba Ngòi",""),IF(OR(M260=phu!$I$72,M260=phu!$I$73,M260=phu!$I$74,M260=phu!$I$75,M260=phu!$I$76,M260=phu!$I$77,M260=phu!$I$78),"Cam Phước Đông",""),IF(OR(M260=phu!$I$79,M260=phu!$I$80,M260=phu!$I$81,M260=phu!$I$82,M260=phu!$I$83,M260=phu!$I$84),"Cam Thịnh Đông",""),IF(OR(M260=phu!$I$85,M260=phu!$I$86,M260=phu!$I$87,M260=phu!$I$88),"Cam Thịnh Tây",""),IF(OR(M260=phu!$I$89,M260=phu!$I$90),"Cam Lập",""),IF(OR(M260=phu!$I$91,M260=phu!$I$92,M260=phu!$I$93),"Cam Bình",""),IF(OR(M260=phu!$I$94,M260=phu!$I$95,M260=phu!$I$96,M260=phu!$I$97,M260=phu!$I$98,M260=phu!$I$99,M260=phu!$I$100),"Huyện khác",""),IF(OR(M260=phu!$I$101,M260=phu!$I$102),"Tỉnh khác",""))</f>
        <v/>
      </c>
      <c r="O260" s="814" t="str">
        <f t="shared" si="19"/>
        <v/>
      </c>
      <c r="P260" s="254"/>
      <c r="Q260" s="254"/>
      <c r="R260" s="254"/>
      <c r="S260" s="254"/>
      <c r="T260" s="254"/>
      <c r="U260" s="254"/>
      <c r="V260" s="254"/>
      <c r="W260" s="254"/>
      <c r="Y260" s="246" t="str">
        <f t="shared" si="20"/>
        <v/>
      </c>
      <c r="Z260" s="247" t="str">
        <f t="shared" si="18"/>
        <v/>
      </c>
      <c r="AA260" s="246" t="str">
        <f t="shared" si="21"/>
        <v/>
      </c>
    </row>
    <row r="261" spans="1:27" ht="18" customHeight="1" x14ac:dyDescent="0.25">
      <c r="A261" s="248" t="str">
        <f t="shared" si="22"/>
        <v/>
      </c>
      <c r="B261" s="249" t="str">
        <f t="shared" si="23"/>
        <v/>
      </c>
      <c r="C261" s="250"/>
      <c r="D261" s="251"/>
      <c r="E261" s="241"/>
      <c r="F261" s="252"/>
      <c r="G261" s="252"/>
      <c r="H261" s="253"/>
      <c r="I261" s="250"/>
      <c r="J261" s="250"/>
      <c r="K261" s="270"/>
      <c r="L261" s="250"/>
      <c r="M261" s="250"/>
      <c r="N261" s="553" t="str">
        <f>CONCATENATE(IF(OR(M261=phu!$I$1,M261=phu!$I$2,M261=phu!$I$3),"Cam Thành Nam",""),IF(OR(M261=phu!$I$4,M261=phu!$I$5,M261=phu!$I$6,M261=phu!$I$7,M261=phu!$I$8,M261=phu!$I$9,M261=phu!$I$10,M261=phu!$I$11,M261=phu!$I$12,M261=phu!$I$13,M261=phu!$I$14),"Cam Nghĩa",""),IF(OR(M261=phu!$I$15,M261=phu!$I$16,M261=phu!$I$17,M261=phu!$I$18,M261=phu!$I$19,M261=phu!$I$20,M261=phu!$I$21),"Cam Phúc Bắc",""),IF(OR(M261=phu!$I$22,M261=phu!$I$23,M261=phu!$I$24,M261=phu!$I$25),"Cam Phúc Nam",""),IF(OR(M261=phu!$I$26,M261=phu!$I$27,M261=phu!$I$28,M261=phu!$I$29,M261=phu!$I$30,M261=phu!$I$31),"Cam Phú",""),IF(OR(M261=phu!$I$32,M261=phu!$I$33,M261=phu!$I$34,M261=phu!$I$35,M261=phu!$I$36,M261=phu!$I$37),"Cam Lộc",""),IF(OR(M261=phu!$I$38,M261=phu!$I$39,M261=phu!$I$40,M261=phu!$I$41,M261=phu!$I$42,M261=phu!$I$43,M261=phu!$I$44),"Cam Thuận",""),IF(OR(M261=phu!$I$45,M261=phu!$I$46,M261=phu!$I$47,M261=phu!$I$48,M261=phu!$I$49,M261=phu!$I$50,M261=phu!$I$51,M261=phu!$I$52,M261=phu!$I$53),"Cam Linh",""),IF(OR(M261=phu!$I$54,M261=phu!$I$55,M261=phu!$I$56,M261=phu!$I$57,M261=phu!$I$58,M261=phu!$I$59,M261=phu!$I$60,M261=phu!$I$61,M261=phu!$I$62),"Cam Lợi",""),IF(OR(M261=phu!$I$63,M261=phu!$I$64,M261=phu!$I$65,M261=phu!$I$66,M261=phu!$I$67,M261=phu!$I$68,M261=phu!$I$69,M261=phu!$I$70,M261=phu!$I$71),"Ba Ngòi",""),IF(OR(M261=phu!$I$72,M261=phu!$I$73,M261=phu!$I$74,M261=phu!$I$75,M261=phu!$I$76,M261=phu!$I$77,M261=phu!$I$78),"Cam Phước Đông",""),IF(OR(M261=phu!$I$79,M261=phu!$I$80,M261=phu!$I$81,M261=phu!$I$82,M261=phu!$I$83,M261=phu!$I$84),"Cam Thịnh Đông",""),IF(OR(M261=phu!$I$85,M261=phu!$I$86,M261=phu!$I$87,M261=phu!$I$88),"Cam Thịnh Tây",""),IF(OR(M261=phu!$I$89,M261=phu!$I$90),"Cam Lập",""),IF(OR(M261=phu!$I$91,M261=phu!$I$92,M261=phu!$I$93),"Cam Bình",""),IF(OR(M261=phu!$I$94,M261=phu!$I$95,M261=phu!$I$96,M261=phu!$I$97,M261=phu!$I$98,M261=phu!$I$99,M261=phu!$I$100),"Huyện khác",""),IF(OR(M261=phu!$I$101,M261=phu!$I$102),"Tỉnh khác",""))</f>
        <v/>
      </c>
      <c r="O261" s="814" t="str">
        <f t="shared" si="19"/>
        <v/>
      </c>
      <c r="P261" s="254"/>
      <c r="Q261" s="254"/>
      <c r="R261" s="254"/>
      <c r="S261" s="254"/>
      <c r="T261" s="254"/>
      <c r="U261" s="254"/>
      <c r="V261" s="254"/>
      <c r="W261" s="254"/>
      <c r="Y261" s="246" t="str">
        <f t="shared" si="20"/>
        <v/>
      </c>
      <c r="Z261" s="247" t="str">
        <f t="shared" si="18"/>
        <v/>
      </c>
      <c r="AA261" s="246" t="str">
        <f t="shared" si="21"/>
        <v/>
      </c>
    </row>
    <row r="262" spans="1:27" ht="18" customHeight="1" x14ac:dyDescent="0.25">
      <c r="A262" s="248" t="str">
        <f t="shared" si="22"/>
        <v/>
      </c>
      <c r="B262" s="249" t="str">
        <f t="shared" si="23"/>
        <v/>
      </c>
      <c r="C262" s="250"/>
      <c r="D262" s="251"/>
      <c r="E262" s="241"/>
      <c r="F262" s="252"/>
      <c r="G262" s="252"/>
      <c r="H262" s="253"/>
      <c r="I262" s="250"/>
      <c r="J262" s="250"/>
      <c r="K262" s="270"/>
      <c r="L262" s="250"/>
      <c r="M262" s="250"/>
      <c r="N262" s="553" t="str">
        <f>CONCATENATE(IF(OR(M262=phu!$I$1,M262=phu!$I$2,M262=phu!$I$3),"Cam Thành Nam",""),IF(OR(M262=phu!$I$4,M262=phu!$I$5,M262=phu!$I$6,M262=phu!$I$7,M262=phu!$I$8,M262=phu!$I$9,M262=phu!$I$10,M262=phu!$I$11,M262=phu!$I$12,M262=phu!$I$13,M262=phu!$I$14),"Cam Nghĩa",""),IF(OR(M262=phu!$I$15,M262=phu!$I$16,M262=phu!$I$17,M262=phu!$I$18,M262=phu!$I$19,M262=phu!$I$20,M262=phu!$I$21),"Cam Phúc Bắc",""),IF(OR(M262=phu!$I$22,M262=phu!$I$23,M262=phu!$I$24,M262=phu!$I$25),"Cam Phúc Nam",""),IF(OR(M262=phu!$I$26,M262=phu!$I$27,M262=phu!$I$28,M262=phu!$I$29,M262=phu!$I$30,M262=phu!$I$31),"Cam Phú",""),IF(OR(M262=phu!$I$32,M262=phu!$I$33,M262=phu!$I$34,M262=phu!$I$35,M262=phu!$I$36,M262=phu!$I$37),"Cam Lộc",""),IF(OR(M262=phu!$I$38,M262=phu!$I$39,M262=phu!$I$40,M262=phu!$I$41,M262=phu!$I$42,M262=phu!$I$43,M262=phu!$I$44),"Cam Thuận",""),IF(OR(M262=phu!$I$45,M262=phu!$I$46,M262=phu!$I$47,M262=phu!$I$48,M262=phu!$I$49,M262=phu!$I$50,M262=phu!$I$51,M262=phu!$I$52,M262=phu!$I$53),"Cam Linh",""),IF(OR(M262=phu!$I$54,M262=phu!$I$55,M262=phu!$I$56,M262=phu!$I$57,M262=phu!$I$58,M262=phu!$I$59,M262=phu!$I$60,M262=phu!$I$61,M262=phu!$I$62),"Cam Lợi",""),IF(OR(M262=phu!$I$63,M262=phu!$I$64,M262=phu!$I$65,M262=phu!$I$66,M262=phu!$I$67,M262=phu!$I$68,M262=phu!$I$69,M262=phu!$I$70,M262=phu!$I$71),"Ba Ngòi",""),IF(OR(M262=phu!$I$72,M262=phu!$I$73,M262=phu!$I$74,M262=phu!$I$75,M262=phu!$I$76,M262=phu!$I$77,M262=phu!$I$78),"Cam Phước Đông",""),IF(OR(M262=phu!$I$79,M262=phu!$I$80,M262=phu!$I$81,M262=phu!$I$82,M262=phu!$I$83,M262=phu!$I$84),"Cam Thịnh Đông",""),IF(OR(M262=phu!$I$85,M262=phu!$I$86,M262=phu!$I$87,M262=phu!$I$88),"Cam Thịnh Tây",""),IF(OR(M262=phu!$I$89,M262=phu!$I$90),"Cam Lập",""),IF(OR(M262=phu!$I$91,M262=phu!$I$92,M262=phu!$I$93),"Cam Bình",""),IF(OR(M262=phu!$I$94,M262=phu!$I$95,M262=phu!$I$96,M262=phu!$I$97,M262=phu!$I$98,M262=phu!$I$99,M262=phu!$I$100),"Huyện khác",""),IF(OR(M262=phu!$I$101,M262=phu!$I$102),"Tỉnh khác",""))</f>
        <v/>
      </c>
      <c r="O262" s="814" t="str">
        <f t="shared" si="19"/>
        <v/>
      </c>
      <c r="P262" s="254"/>
      <c r="Q262" s="254"/>
      <c r="R262" s="254"/>
      <c r="S262" s="254"/>
      <c r="T262" s="254"/>
      <c r="U262" s="254"/>
      <c r="V262" s="254"/>
      <c r="W262" s="254"/>
      <c r="Y262" s="246" t="str">
        <f t="shared" si="20"/>
        <v/>
      </c>
      <c r="Z262" s="247" t="str">
        <f t="shared" ref="Z262:Z325" si="24">IF(H262="","",$Z$1-H262)</f>
        <v/>
      </c>
      <c r="AA262" s="246" t="str">
        <f t="shared" si="21"/>
        <v/>
      </c>
    </row>
    <row r="263" spans="1:27" ht="18" customHeight="1" x14ac:dyDescent="0.25">
      <c r="A263" s="248" t="str">
        <f t="shared" si="22"/>
        <v/>
      </c>
      <c r="B263" s="249" t="str">
        <f t="shared" si="23"/>
        <v/>
      </c>
      <c r="C263" s="250"/>
      <c r="D263" s="251"/>
      <c r="E263" s="241"/>
      <c r="F263" s="252"/>
      <c r="G263" s="252"/>
      <c r="H263" s="253"/>
      <c r="I263" s="250"/>
      <c r="J263" s="250"/>
      <c r="K263" s="270"/>
      <c r="L263" s="250"/>
      <c r="M263" s="250"/>
      <c r="N263" s="553" t="str">
        <f>CONCATENATE(IF(OR(M263=phu!$I$1,M263=phu!$I$2,M263=phu!$I$3),"Cam Thành Nam",""),IF(OR(M263=phu!$I$4,M263=phu!$I$5,M263=phu!$I$6,M263=phu!$I$7,M263=phu!$I$8,M263=phu!$I$9,M263=phu!$I$10,M263=phu!$I$11,M263=phu!$I$12,M263=phu!$I$13,M263=phu!$I$14),"Cam Nghĩa",""),IF(OR(M263=phu!$I$15,M263=phu!$I$16,M263=phu!$I$17,M263=phu!$I$18,M263=phu!$I$19,M263=phu!$I$20,M263=phu!$I$21),"Cam Phúc Bắc",""),IF(OR(M263=phu!$I$22,M263=phu!$I$23,M263=phu!$I$24,M263=phu!$I$25),"Cam Phúc Nam",""),IF(OR(M263=phu!$I$26,M263=phu!$I$27,M263=phu!$I$28,M263=phu!$I$29,M263=phu!$I$30,M263=phu!$I$31),"Cam Phú",""),IF(OR(M263=phu!$I$32,M263=phu!$I$33,M263=phu!$I$34,M263=phu!$I$35,M263=phu!$I$36,M263=phu!$I$37),"Cam Lộc",""),IF(OR(M263=phu!$I$38,M263=phu!$I$39,M263=phu!$I$40,M263=phu!$I$41,M263=phu!$I$42,M263=phu!$I$43,M263=phu!$I$44),"Cam Thuận",""),IF(OR(M263=phu!$I$45,M263=phu!$I$46,M263=phu!$I$47,M263=phu!$I$48,M263=phu!$I$49,M263=phu!$I$50,M263=phu!$I$51,M263=phu!$I$52,M263=phu!$I$53),"Cam Linh",""),IF(OR(M263=phu!$I$54,M263=phu!$I$55,M263=phu!$I$56,M263=phu!$I$57,M263=phu!$I$58,M263=phu!$I$59,M263=phu!$I$60,M263=phu!$I$61,M263=phu!$I$62),"Cam Lợi",""),IF(OR(M263=phu!$I$63,M263=phu!$I$64,M263=phu!$I$65,M263=phu!$I$66,M263=phu!$I$67,M263=phu!$I$68,M263=phu!$I$69,M263=phu!$I$70,M263=phu!$I$71),"Ba Ngòi",""),IF(OR(M263=phu!$I$72,M263=phu!$I$73,M263=phu!$I$74,M263=phu!$I$75,M263=phu!$I$76,M263=phu!$I$77,M263=phu!$I$78),"Cam Phước Đông",""),IF(OR(M263=phu!$I$79,M263=phu!$I$80,M263=phu!$I$81,M263=phu!$I$82,M263=phu!$I$83,M263=phu!$I$84),"Cam Thịnh Đông",""),IF(OR(M263=phu!$I$85,M263=phu!$I$86,M263=phu!$I$87,M263=phu!$I$88),"Cam Thịnh Tây",""),IF(OR(M263=phu!$I$89,M263=phu!$I$90),"Cam Lập",""),IF(OR(M263=phu!$I$91,M263=phu!$I$92,M263=phu!$I$93),"Cam Bình",""),IF(OR(M263=phu!$I$94,M263=phu!$I$95,M263=phu!$I$96,M263=phu!$I$97,M263=phu!$I$98,M263=phu!$I$99,M263=phu!$I$100),"Huyện khác",""),IF(OR(M263=phu!$I$101,M263=phu!$I$102),"Tỉnh khác",""))</f>
        <v/>
      </c>
      <c r="O263" s="814" t="str">
        <f t="shared" ref="O263:O326" si="25">CONCATENATE(IF(OR(N263="Cam Thành Nam",N263="Cam Nghĩa",N263="Cam Phúc Bắc"),"Bắc Cam Ranh",""),IF(OR(N263="Cam Phúc Nam",N263="Cam Phú",N263="Cam Lộc"),"Cam Ranh",""),IF(OR(N263="Cam Thuận",N263="Cam Linh",N263="Cam Lợi"),"Cam Linh",""),IF(OR(N263="Ba Ngòi",N263="Cam Phước Đông"),"Ba Ngòi",""),IF(OR(N263="Cam Thịnh Đông",N263="Cam Thịnh Tây",N263="Cam Lập",N263="Cam Bình"),"Nam Cam Ranh",""),IF(N263="Huyện khác","Huyện khác",""),IF(N263="Tỉnh khác","Tỉnh khác",""))</f>
        <v/>
      </c>
      <c r="P263" s="254"/>
      <c r="Q263" s="254"/>
      <c r="R263" s="254"/>
      <c r="S263" s="254"/>
      <c r="T263" s="254"/>
      <c r="U263" s="254"/>
      <c r="V263" s="254"/>
      <c r="W263" s="254"/>
      <c r="Y263" s="246" t="str">
        <f t="shared" ref="Y263:Y326" si="26">IF(OR(AND(B263="",C263="",D263="",E263="",F263="",G263="",H263="",I263="",J263="",L263="",M263="",N263="",P263="",Q263="",R263="",S263=""),AND(B263&lt;&gt;"",C263&lt;&gt;"",D263&lt;&gt;"",E263&lt;&gt;"",F263&lt;&gt;"",G263&lt;&gt;"",H263&lt;&gt;"",J263&lt;&gt;"",M263&lt;&gt;"",N263&lt;&gt;"",P263&lt;&gt;"",OR(AND(Q263&lt;&gt;"",R263=""),AND(Q263="",R263&lt;&gt;""),AND(Q263&lt;&gt;"",R263&lt;&gt;"")),OR(AND(K263="X",T263&lt;&gt;""),AND(K263="",T263="")))),"","er")</f>
        <v/>
      </c>
      <c r="Z263" s="247" t="str">
        <f t="shared" si="24"/>
        <v/>
      </c>
      <c r="AA263" s="246" t="str">
        <f t="shared" ref="AA263:AA326" si="27">IF(OR(AND(Z263=5,B263&gt;0),AND(Z263=6,B263&gt;1),AND(Z263=7,B263&gt;2),AND(Z263=8,B263&gt;3),AND(Z263=9,B263&gt;4),AND(Z263=10,B263&gt;5),AND(Z263=5,B263=0,L263="X"),AND(Z263=6,B263=1,L263="X"),AND(Z263=7,B263=2,L263="X"),AND(Z263=8,B263=3,L263="X"),AND(Z263=9,B263=4,L263="X"),AND(Z263=10,B263=5,L263="X")),"er","")</f>
        <v/>
      </c>
    </row>
    <row r="264" spans="1:27" ht="18" customHeight="1" x14ac:dyDescent="0.25">
      <c r="A264" s="248" t="str">
        <f t="shared" ref="A264:A327" si="28">IF(OR(A263="",B264="",C264="",D264="",E264=""),"",A263+1)</f>
        <v/>
      </c>
      <c r="B264" s="249" t="str">
        <f t="shared" ref="B264:B327" si="29">IF(C264="","",VALUE(LEFT(C264,1)))</f>
        <v/>
      </c>
      <c r="C264" s="250"/>
      <c r="D264" s="251"/>
      <c r="E264" s="241"/>
      <c r="F264" s="252"/>
      <c r="G264" s="252"/>
      <c r="H264" s="253"/>
      <c r="I264" s="250"/>
      <c r="J264" s="250"/>
      <c r="K264" s="270"/>
      <c r="L264" s="250"/>
      <c r="M264" s="250"/>
      <c r="N264" s="553" t="str">
        <f>CONCATENATE(IF(OR(M264=phu!$I$1,M264=phu!$I$2,M264=phu!$I$3),"Cam Thành Nam",""),IF(OR(M264=phu!$I$4,M264=phu!$I$5,M264=phu!$I$6,M264=phu!$I$7,M264=phu!$I$8,M264=phu!$I$9,M264=phu!$I$10,M264=phu!$I$11,M264=phu!$I$12,M264=phu!$I$13,M264=phu!$I$14),"Cam Nghĩa",""),IF(OR(M264=phu!$I$15,M264=phu!$I$16,M264=phu!$I$17,M264=phu!$I$18,M264=phu!$I$19,M264=phu!$I$20,M264=phu!$I$21),"Cam Phúc Bắc",""),IF(OR(M264=phu!$I$22,M264=phu!$I$23,M264=phu!$I$24,M264=phu!$I$25),"Cam Phúc Nam",""),IF(OR(M264=phu!$I$26,M264=phu!$I$27,M264=phu!$I$28,M264=phu!$I$29,M264=phu!$I$30,M264=phu!$I$31),"Cam Phú",""),IF(OR(M264=phu!$I$32,M264=phu!$I$33,M264=phu!$I$34,M264=phu!$I$35,M264=phu!$I$36,M264=phu!$I$37),"Cam Lộc",""),IF(OR(M264=phu!$I$38,M264=phu!$I$39,M264=phu!$I$40,M264=phu!$I$41,M264=phu!$I$42,M264=phu!$I$43,M264=phu!$I$44),"Cam Thuận",""),IF(OR(M264=phu!$I$45,M264=phu!$I$46,M264=phu!$I$47,M264=phu!$I$48,M264=phu!$I$49,M264=phu!$I$50,M264=phu!$I$51,M264=phu!$I$52,M264=phu!$I$53),"Cam Linh",""),IF(OR(M264=phu!$I$54,M264=phu!$I$55,M264=phu!$I$56,M264=phu!$I$57,M264=phu!$I$58,M264=phu!$I$59,M264=phu!$I$60,M264=phu!$I$61,M264=phu!$I$62),"Cam Lợi",""),IF(OR(M264=phu!$I$63,M264=phu!$I$64,M264=phu!$I$65,M264=phu!$I$66,M264=phu!$I$67,M264=phu!$I$68,M264=phu!$I$69,M264=phu!$I$70,M264=phu!$I$71),"Ba Ngòi",""),IF(OR(M264=phu!$I$72,M264=phu!$I$73,M264=phu!$I$74,M264=phu!$I$75,M264=phu!$I$76,M264=phu!$I$77,M264=phu!$I$78),"Cam Phước Đông",""),IF(OR(M264=phu!$I$79,M264=phu!$I$80,M264=phu!$I$81,M264=phu!$I$82,M264=phu!$I$83,M264=phu!$I$84),"Cam Thịnh Đông",""),IF(OR(M264=phu!$I$85,M264=phu!$I$86,M264=phu!$I$87,M264=phu!$I$88),"Cam Thịnh Tây",""),IF(OR(M264=phu!$I$89,M264=phu!$I$90),"Cam Lập",""),IF(OR(M264=phu!$I$91,M264=phu!$I$92,M264=phu!$I$93),"Cam Bình",""),IF(OR(M264=phu!$I$94,M264=phu!$I$95,M264=phu!$I$96,M264=phu!$I$97,M264=phu!$I$98,M264=phu!$I$99,M264=phu!$I$100),"Huyện khác",""),IF(OR(M264=phu!$I$101,M264=phu!$I$102),"Tỉnh khác",""))</f>
        <v/>
      </c>
      <c r="O264" s="814" t="str">
        <f t="shared" si="25"/>
        <v/>
      </c>
      <c r="P264" s="254"/>
      <c r="Q264" s="254"/>
      <c r="R264" s="254"/>
      <c r="S264" s="254"/>
      <c r="T264" s="254"/>
      <c r="U264" s="254"/>
      <c r="V264" s="254"/>
      <c r="W264" s="254"/>
      <c r="Y264" s="246" t="str">
        <f t="shared" si="26"/>
        <v/>
      </c>
      <c r="Z264" s="247" t="str">
        <f t="shared" si="24"/>
        <v/>
      </c>
      <c r="AA264" s="246" t="str">
        <f t="shared" si="27"/>
        <v/>
      </c>
    </row>
    <row r="265" spans="1:27" ht="18" customHeight="1" x14ac:dyDescent="0.25">
      <c r="A265" s="248" t="str">
        <f t="shared" si="28"/>
        <v/>
      </c>
      <c r="B265" s="249" t="str">
        <f t="shared" si="29"/>
        <v/>
      </c>
      <c r="C265" s="250"/>
      <c r="D265" s="251"/>
      <c r="E265" s="241"/>
      <c r="F265" s="252"/>
      <c r="G265" s="252"/>
      <c r="H265" s="253"/>
      <c r="I265" s="250"/>
      <c r="J265" s="250"/>
      <c r="K265" s="270"/>
      <c r="L265" s="250"/>
      <c r="M265" s="250"/>
      <c r="N265" s="553" t="str">
        <f>CONCATENATE(IF(OR(M265=phu!$I$1,M265=phu!$I$2,M265=phu!$I$3),"Cam Thành Nam",""),IF(OR(M265=phu!$I$4,M265=phu!$I$5,M265=phu!$I$6,M265=phu!$I$7,M265=phu!$I$8,M265=phu!$I$9,M265=phu!$I$10,M265=phu!$I$11,M265=phu!$I$12,M265=phu!$I$13,M265=phu!$I$14),"Cam Nghĩa",""),IF(OR(M265=phu!$I$15,M265=phu!$I$16,M265=phu!$I$17,M265=phu!$I$18,M265=phu!$I$19,M265=phu!$I$20,M265=phu!$I$21),"Cam Phúc Bắc",""),IF(OR(M265=phu!$I$22,M265=phu!$I$23,M265=phu!$I$24,M265=phu!$I$25),"Cam Phúc Nam",""),IF(OR(M265=phu!$I$26,M265=phu!$I$27,M265=phu!$I$28,M265=phu!$I$29,M265=phu!$I$30,M265=phu!$I$31),"Cam Phú",""),IF(OR(M265=phu!$I$32,M265=phu!$I$33,M265=phu!$I$34,M265=phu!$I$35,M265=phu!$I$36,M265=phu!$I$37),"Cam Lộc",""),IF(OR(M265=phu!$I$38,M265=phu!$I$39,M265=phu!$I$40,M265=phu!$I$41,M265=phu!$I$42,M265=phu!$I$43,M265=phu!$I$44),"Cam Thuận",""),IF(OR(M265=phu!$I$45,M265=phu!$I$46,M265=phu!$I$47,M265=phu!$I$48,M265=phu!$I$49,M265=phu!$I$50,M265=phu!$I$51,M265=phu!$I$52,M265=phu!$I$53),"Cam Linh",""),IF(OR(M265=phu!$I$54,M265=phu!$I$55,M265=phu!$I$56,M265=phu!$I$57,M265=phu!$I$58,M265=phu!$I$59,M265=phu!$I$60,M265=phu!$I$61,M265=phu!$I$62),"Cam Lợi",""),IF(OR(M265=phu!$I$63,M265=phu!$I$64,M265=phu!$I$65,M265=phu!$I$66,M265=phu!$I$67,M265=phu!$I$68,M265=phu!$I$69,M265=phu!$I$70,M265=phu!$I$71),"Ba Ngòi",""),IF(OR(M265=phu!$I$72,M265=phu!$I$73,M265=phu!$I$74,M265=phu!$I$75,M265=phu!$I$76,M265=phu!$I$77,M265=phu!$I$78),"Cam Phước Đông",""),IF(OR(M265=phu!$I$79,M265=phu!$I$80,M265=phu!$I$81,M265=phu!$I$82,M265=phu!$I$83,M265=phu!$I$84),"Cam Thịnh Đông",""),IF(OR(M265=phu!$I$85,M265=phu!$I$86,M265=phu!$I$87,M265=phu!$I$88),"Cam Thịnh Tây",""),IF(OR(M265=phu!$I$89,M265=phu!$I$90),"Cam Lập",""),IF(OR(M265=phu!$I$91,M265=phu!$I$92,M265=phu!$I$93),"Cam Bình",""),IF(OR(M265=phu!$I$94,M265=phu!$I$95,M265=phu!$I$96,M265=phu!$I$97,M265=phu!$I$98,M265=phu!$I$99,M265=phu!$I$100),"Huyện khác",""),IF(OR(M265=phu!$I$101,M265=phu!$I$102),"Tỉnh khác",""))</f>
        <v/>
      </c>
      <c r="O265" s="814" t="str">
        <f t="shared" si="25"/>
        <v/>
      </c>
      <c r="P265" s="254"/>
      <c r="Q265" s="254"/>
      <c r="R265" s="254"/>
      <c r="S265" s="254"/>
      <c r="T265" s="254"/>
      <c r="U265" s="254"/>
      <c r="V265" s="254"/>
      <c r="W265" s="254"/>
      <c r="Y265" s="246" t="str">
        <f t="shared" si="26"/>
        <v/>
      </c>
      <c r="Z265" s="247" t="str">
        <f t="shared" si="24"/>
        <v/>
      </c>
      <c r="AA265" s="246" t="str">
        <f t="shared" si="27"/>
        <v/>
      </c>
    </row>
    <row r="266" spans="1:27" ht="18" customHeight="1" x14ac:dyDescent="0.25">
      <c r="A266" s="248" t="str">
        <f t="shared" si="28"/>
        <v/>
      </c>
      <c r="B266" s="249" t="str">
        <f t="shared" si="29"/>
        <v/>
      </c>
      <c r="C266" s="250"/>
      <c r="D266" s="251"/>
      <c r="E266" s="241"/>
      <c r="F266" s="252"/>
      <c r="G266" s="252"/>
      <c r="H266" s="253"/>
      <c r="I266" s="250"/>
      <c r="J266" s="250"/>
      <c r="K266" s="270"/>
      <c r="L266" s="250"/>
      <c r="M266" s="250"/>
      <c r="N266" s="553" t="str">
        <f>CONCATENATE(IF(OR(M266=phu!$I$1,M266=phu!$I$2,M266=phu!$I$3),"Cam Thành Nam",""),IF(OR(M266=phu!$I$4,M266=phu!$I$5,M266=phu!$I$6,M266=phu!$I$7,M266=phu!$I$8,M266=phu!$I$9,M266=phu!$I$10,M266=phu!$I$11,M266=phu!$I$12,M266=phu!$I$13,M266=phu!$I$14),"Cam Nghĩa",""),IF(OR(M266=phu!$I$15,M266=phu!$I$16,M266=phu!$I$17,M266=phu!$I$18,M266=phu!$I$19,M266=phu!$I$20,M266=phu!$I$21),"Cam Phúc Bắc",""),IF(OR(M266=phu!$I$22,M266=phu!$I$23,M266=phu!$I$24,M266=phu!$I$25),"Cam Phúc Nam",""),IF(OR(M266=phu!$I$26,M266=phu!$I$27,M266=phu!$I$28,M266=phu!$I$29,M266=phu!$I$30,M266=phu!$I$31),"Cam Phú",""),IF(OR(M266=phu!$I$32,M266=phu!$I$33,M266=phu!$I$34,M266=phu!$I$35,M266=phu!$I$36,M266=phu!$I$37),"Cam Lộc",""),IF(OR(M266=phu!$I$38,M266=phu!$I$39,M266=phu!$I$40,M266=phu!$I$41,M266=phu!$I$42,M266=phu!$I$43,M266=phu!$I$44),"Cam Thuận",""),IF(OR(M266=phu!$I$45,M266=phu!$I$46,M266=phu!$I$47,M266=phu!$I$48,M266=phu!$I$49,M266=phu!$I$50,M266=phu!$I$51,M266=phu!$I$52,M266=phu!$I$53),"Cam Linh",""),IF(OR(M266=phu!$I$54,M266=phu!$I$55,M266=phu!$I$56,M266=phu!$I$57,M266=phu!$I$58,M266=phu!$I$59,M266=phu!$I$60,M266=phu!$I$61,M266=phu!$I$62),"Cam Lợi",""),IF(OR(M266=phu!$I$63,M266=phu!$I$64,M266=phu!$I$65,M266=phu!$I$66,M266=phu!$I$67,M266=phu!$I$68,M266=phu!$I$69,M266=phu!$I$70,M266=phu!$I$71),"Ba Ngòi",""),IF(OR(M266=phu!$I$72,M266=phu!$I$73,M266=phu!$I$74,M266=phu!$I$75,M266=phu!$I$76,M266=phu!$I$77,M266=phu!$I$78),"Cam Phước Đông",""),IF(OR(M266=phu!$I$79,M266=phu!$I$80,M266=phu!$I$81,M266=phu!$I$82,M266=phu!$I$83,M266=phu!$I$84),"Cam Thịnh Đông",""),IF(OR(M266=phu!$I$85,M266=phu!$I$86,M266=phu!$I$87,M266=phu!$I$88),"Cam Thịnh Tây",""),IF(OR(M266=phu!$I$89,M266=phu!$I$90),"Cam Lập",""),IF(OR(M266=phu!$I$91,M266=phu!$I$92,M266=phu!$I$93),"Cam Bình",""),IF(OR(M266=phu!$I$94,M266=phu!$I$95,M266=phu!$I$96,M266=phu!$I$97,M266=phu!$I$98,M266=phu!$I$99,M266=phu!$I$100),"Huyện khác",""),IF(OR(M266=phu!$I$101,M266=phu!$I$102),"Tỉnh khác",""))</f>
        <v/>
      </c>
      <c r="O266" s="814" t="str">
        <f t="shared" si="25"/>
        <v/>
      </c>
      <c r="P266" s="254"/>
      <c r="Q266" s="254"/>
      <c r="R266" s="254"/>
      <c r="S266" s="254"/>
      <c r="T266" s="254"/>
      <c r="U266" s="254"/>
      <c r="V266" s="254"/>
      <c r="W266" s="254"/>
      <c r="Y266" s="246" t="str">
        <f t="shared" si="26"/>
        <v/>
      </c>
      <c r="Z266" s="247" t="str">
        <f t="shared" si="24"/>
        <v/>
      </c>
      <c r="AA266" s="246" t="str">
        <f t="shared" si="27"/>
        <v/>
      </c>
    </row>
    <row r="267" spans="1:27" ht="18" customHeight="1" x14ac:dyDescent="0.25">
      <c r="A267" s="248" t="str">
        <f t="shared" si="28"/>
        <v/>
      </c>
      <c r="B267" s="249" t="str">
        <f t="shared" si="29"/>
        <v/>
      </c>
      <c r="C267" s="250"/>
      <c r="D267" s="251"/>
      <c r="E267" s="241"/>
      <c r="F267" s="252"/>
      <c r="G267" s="252"/>
      <c r="H267" s="253"/>
      <c r="I267" s="250"/>
      <c r="J267" s="250"/>
      <c r="K267" s="270"/>
      <c r="L267" s="250"/>
      <c r="M267" s="250"/>
      <c r="N267" s="553" t="str">
        <f>CONCATENATE(IF(OR(M267=phu!$I$1,M267=phu!$I$2,M267=phu!$I$3),"Cam Thành Nam",""),IF(OR(M267=phu!$I$4,M267=phu!$I$5,M267=phu!$I$6,M267=phu!$I$7,M267=phu!$I$8,M267=phu!$I$9,M267=phu!$I$10,M267=phu!$I$11,M267=phu!$I$12,M267=phu!$I$13,M267=phu!$I$14),"Cam Nghĩa",""),IF(OR(M267=phu!$I$15,M267=phu!$I$16,M267=phu!$I$17,M267=phu!$I$18,M267=phu!$I$19,M267=phu!$I$20,M267=phu!$I$21),"Cam Phúc Bắc",""),IF(OR(M267=phu!$I$22,M267=phu!$I$23,M267=phu!$I$24,M267=phu!$I$25),"Cam Phúc Nam",""),IF(OR(M267=phu!$I$26,M267=phu!$I$27,M267=phu!$I$28,M267=phu!$I$29,M267=phu!$I$30,M267=phu!$I$31),"Cam Phú",""),IF(OR(M267=phu!$I$32,M267=phu!$I$33,M267=phu!$I$34,M267=phu!$I$35,M267=phu!$I$36,M267=phu!$I$37),"Cam Lộc",""),IF(OR(M267=phu!$I$38,M267=phu!$I$39,M267=phu!$I$40,M267=phu!$I$41,M267=phu!$I$42,M267=phu!$I$43,M267=phu!$I$44),"Cam Thuận",""),IF(OR(M267=phu!$I$45,M267=phu!$I$46,M267=phu!$I$47,M267=phu!$I$48,M267=phu!$I$49,M267=phu!$I$50,M267=phu!$I$51,M267=phu!$I$52,M267=phu!$I$53),"Cam Linh",""),IF(OR(M267=phu!$I$54,M267=phu!$I$55,M267=phu!$I$56,M267=phu!$I$57,M267=phu!$I$58,M267=phu!$I$59,M267=phu!$I$60,M267=phu!$I$61,M267=phu!$I$62),"Cam Lợi",""),IF(OR(M267=phu!$I$63,M267=phu!$I$64,M267=phu!$I$65,M267=phu!$I$66,M267=phu!$I$67,M267=phu!$I$68,M267=phu!$I$69,M267=phu!$I$70,M267=phu!$I$71),"Ba Ngòi",""),IF(OR(M267=phu!$I$72,M267=phu!$I$73,M267=phu!$I$74,M267=phu!$I$75,M267=phu!$I$76,M267=phu!$I$77,M267=phu!$I$78),"Cam Phước Đông",""),IF(OR(M267=phu!$I$79,M267=phu!$I$80,M267=phu!$I$81,M267=phu!$I$82,M267=phu!$I$83,M267=phu!$I$84),"Cam Thịnh Đông",""),IF(OR(M267=phu!$I$85,M267=phu!$I$86,M267=phu!$I$87,M267=phu!$I$88),"Cam Thịnh Tây",""),IF(OR(M267=phu!$I$89,M267=phu!$I$90),"Cam Lập",""),IF(OR(M267=phu!$I$91,M267=phu!$I$92,M267=phu!$I$93),"Cam Bình",""),IF(OR(M267=phu!$I$94,M267=phu!$I$95,M267=phu!$I$96,M267=phu!$I$97,M267=phu!$I$98,M267=phu!$I$99,M267=phu!$I$100),"Huyện khác",""),IF(OR(M267=phu!$I$101,M267=phu!$I$102),"Tỉnh khác",""))</f>
        <v/>
      </c>
      <c r="O267" s="814" t="str">
        <f t="shared" si="25"/>
        <v/>
      </c>
      <c r="P267" s="254"/>
      <c r="Q267" s="254"/>
      <c r="R267" s="254"/>
      <c r="S267" s="254"/>
      <c r="T267" s="254"/>
      <c r="U267" s="254"/>
      <c r="V267" s="254"/>
      <c r="W267" s="254"/>
      <c r="Y267" s="246" t="str">
        <f t="shared" si="26"/>
        <v/>
      </c>
      <c r="Z267" s="247" t="str">
        <f t="shared" si="24"/>
        <v/>
      </c>
      <c r="AA267" s="246" t="str">
        <f t="shared" si="27"/>
        <v/>
      </c>
    </row>
    <row r="268" spans="1:27" ht="18" customHeight="1" x14ac:dyDescent="0.25">
      <c r="A268" s="248" t="str">
        <f t="shared" si="28"/>
        <v/>
      </c>
      <c r="B268" s="249" t="str">
        <f t="shared" si="29"/>
        <v/>
      </c>
      <c r="C268" s="250"/>
      <c r="D268" s="251"/>
      <c r="E268" s="241"/>
      <c r="F268" s="252"/>
      <c r="G268" s="252"/>
      <c r="H268" s="253"/>
      <c r="I268" s="250"/>
      <c r="J268" s="250"/>
      <c r="K268" s="270"/>
      <c r="L268" s="250"/>
      <c r="M268" s="250"/>
      <c r="N268" s="553" t="str">
        <f>CONCATENATE(IF(OR(M268=phu!$I$1,M268=phu!$I$2,M268=phu!$I$3),"Cam Thành Nam",""),IF(OR(M268=phu!$I$4,M268=phu!$I$5,M268=phu!$I$6,M268=phu!$I$7,M268=phu!$I$8,M268=phu!$I$9,M268=phu!$I$10,M268=phu!$I$11,M268=phu!$I$12,M268=phu!$I$13,M268=phu!$I$14),"Cam Nghĩa",""),IF(OR(M268=phu!$I$15,M268=phu!$I$16,M268=phu!$I$17,M268=phu!$I$18,M268=phu!$I$19,M268=phu!$I$20,M268=phu!$I$21),"Cam Phúc Bắc",""),IF(OR(M268=phu!$I$22,M268=phu!$I$23,M268=phu!$I$24,M268=phu!$I$25),"Cam Phúc Nam",""),IF(OR(M268=phu!$I$26,M268=phu!$I$27,M268=phu!$I$28,M268=phu!$I$29,M268=phu!$I$30,M268=phu!$I$31),"Cam Phú",""),IF(OR(M268=phu!$I$32,M268=phu!$I$33,M268=phu!$I$34,M268=phu!$I$35,M268=phu!$I$36,M268=phu!$I$37),"Cam Lộc",""),IF(OR(M268=phu!$I$38,M268=phu!$I$39,M268=phu!$I$40,M268=phu!$I$41,M268=phu!$I$42,M268=phu!$I$43,M268=phu!$I$44),"Cam Thuận",""),IF(OR(M268=phu!$I$45,M268=phu!$I$46,M268=phu!$I$47,M268=phu!$I$48,M268=phu!$I$49,M268=phu!$I$50,M268=phu!$I$51,M268=phu!$I$52,M268=phu!$I$53),"Cam Linh",""),IF(OR(M268=phu!$I$54,M268=phu!$I$55,M268=phu!$I$56,M268=phu!$I$57,M268=phu!$I$58,M268=phu!$I$59,M268=phu!$I$60,M268=phu!$I$61,M268=phu!$I$62),"Cam Lợi",""),IF(OR(M268=phu!$I$63,M268=phu!$I$64,M268=phu!$I$65,M268=phu!$I$66,M268=phu!$I$67,M268=phu!$I$68,M268=phu!$I$69,M268=phu!$I$70,M268=phu!$I$71),"Ba Ngòi",""),IF(OR(M268=phu!$I$72,M268=phu!$I$73,M268=phu!$I$74,M268=phu!$I$75,M268=phu!$I$76,M268=phu!$I$77,M268=phu!$I$78),"Cam Phước Đông",""),IF(OR(M268=phu!$I$79,M268=phu!$I$80,M268=phu!$I$81,M268=phu!$I$82,M268=phu!$I$83,M268=phu!$I$84),"Cam Thịnh Đông",""),IF(OR(M268=phu!$I$85,M268=phu!$I$86,M268=phu!$I$87,M268=phu!$I$88),"Cam Thịnh Tây",""),IF(OR(M268=phu!$I$89,M268=phu!$I$90),"Cam Lập",""),IF(OR(M268=phu!$I$91,M268=phu!$I$92,M268=phu!$I$93),"Cam Bình",""),IF(OR(M268=phu!$I$94,M268=phu!$I$95,M268=phu!$I$96,M268=phu!$I$97,M268=phu!$I$98,M268=phu!$I$99,M268=phu!$I$100),"Huyện khác",""),IF(OR(M268=phu!$I$101,M268=phu!$I$102),"Tỉnh khác",""))</f>
        <v/>
      </c>
      <c r="O268" s="814" t="str">
        <f t="shared" si="25"/>
        <v/>
      </c>
      <c r="P268" s="254"/>
      <c r="Q268" s="254"/>
      <c r="R268" s="254"/>
      <c r="S268" s="254"/>
      <c r="T268" s="254"/>
      <c r="U268" s="254"/>
      <c r="V268" s="254"/>
      <c r="W268" s="254"/>
      <c r="Y268" s="246" t="str">
        <f t="shared" si="26"/>
        <v/>
      </c>
      <c r="Z268" s="247" t="str">
        <f t="shared" si="24"/>
        <v/>
      </c>
      <c r="AA268" s="246" t="str">
        <f t="shared" si="27"/>
        <v/>
      </c>
    </row>
    <row r="269" spans="1:27" ht="18" customHeight="1" x14ac:dyDescent="0.25">
      <c r="A269" s="248" t="str">
        <f t="shared" si="28"/>
        <v/>
      </c>
      <c r="B269" s="249" t="str">
        <f t="shared" si="29"/>
        <v/>
      </c>
      <c r="C269" s="250"/>
      <c r="D269" s="251"/>
      <c r="E269" s="241"/>
      <c r="F269" s="252"/>
      <c r="G269" s="252"/>
      <c r="H269" s="253"/>
      <c r="I269" s="250"/>
      <c r="J269" s="250"/>
      <c r="K269" s="270"/>
      <c r="L269" s="250"/>
      <c r="M269" s="250"/>
      <c r="N269" s="553" t="str">
        <f>CONCATENATE(IF(OR(M269=phu!$I$1,M269=phu!$I$2,M269=phu!$I$3),"Cam Thành Nam",""),IF(OR(M269=phu!$I$4,M269=phu!$I$5,M269=phu!$I$6,M269=phu!$I$7,M269=phu!$I$8,M269=phu!$I$9,M269=phu!$I$10,M269=phu!$I$11,M269=phu!$I$12,M269=phu!$I$13,M269=phu!$I$14),"Cam Nghĩa",""),IF(OR(M269=phu!$I$15,M269=phu!$I$16,M269=phu!$I$17,M269=phu!$I$18,M269=phu!$I$19,M269=phu!$I$20,M269=phu!$I$21),"Cam Phúc Bắc",""),IF(OR(M269=phu!$I$22,M269=phu!$I$23,M269=phu!$I$24,M269=phu!$I$25),"Cam Phúc Nam",""),IF(OR(M269=phu!$I$26,M269=phu!$I$27,M269=phu!$I$28,M269=phu!$I$29,M269=phu!$I$30,M269=phu!$I$31),"Cam Phú",""),IF(OR(M269=phu!$I$32,M269=phu!$I$33,M269=phu!$I$34,M269=phu!$I$35,M269=phu!$I$36,M269=phu!$I$37),"Cam Lộc",""),IF(OR(M269=phu!$I$38,M269=phu!$I$39,M269=phu!$I$40,M269=phu!$I$41,M269=phu!$I$42,M269=phu!$I$43,M269=phu!$I$44),"Cam Thuận",""),IF(OR(M269=phu!$I$45,M269=phu!$I$46,M269=phu!$I$47,M269=phu!$I$48,M269=phu!$I$49,M269=phu!$I$50,M269=phu!$I$51,M269=phu!$I$52,M269=phu!$I$53),"Cam Linh",""),IF(OR(M269=phu!$I$54,M269=phu!$I$55,M269=phu!$I$56,M269=phu!$I$57,M269=phu!$I$58,M269=phu!$I$59,M269=phu!$I$60,M269=phu!$I$61,M269=phu!$I$62),"Cam Lợi",""),IF(OR(M269=phu!$I$63,M269=phu!$I$64,M269=phu!$I$65,M269=phu!$I$66,M269=phu!$I$67,M269=phu!$I$68,M269=phu!$I$69,M269=phu!$I$70,M269=phu!$I$71),"Ba Ngòi",""),IF(OR(M269=phu!$I$72,M269=phu!$I$73,M269=phu!$I$74,M269=phu!$I$75,M269=phu!$I$76,M269=phu!$I$77,M269=phu!$I$78),"Cam Phước Đông",""),IF(OR(M269=phu!$I$79,M269=phu!$I$80,M269=phu!$I$81,M269=phu!$I$82,M269=phu!$I$83,M269=phu!$I$84),"Cam Thịnh Đông",""),IF(OR(M269=phu!$I$85,M269=phu!$I$86,M269=phu!$I$87,M269=phu!$I$88),"Cam Thịnh Tây",""),IF(OR(M269=phu!$I$89,M269=phu!$I$90),"Cam Lập",""),IF(OR(M269=phu!$I$91,M269=phu!$I$92,M269=phu!$I$93),"Cam Bình",""),IF(OR(M269=phu!$I$94,M269=phu!$I$95,M269=phu!$I$96,M269=phu!$I$97,M269=phu!$I$98,M269=phu!$I$99,M269=phu!$I$100),"Huyện khác",""),IF(OR(M269=phu!$I$101,M269=phu!$I$102),"Tỉnh khác",""))</f>
        <v/>
      </c>
      <c r="O269" s="814" t="str">
        <f t="shared" si="25"/>
        <v/>
      </c>
      <c r="P269" s="254"/>
      <c r="Q269" s="254"/>
      <c r="R269" s="254"/>
      <c r="S269" s="254"/>
      <c r="T269" s="254"/>
      <c r="U269" s="254"/>
      <c r="V269" s="254"/>
      <c r="W269" s="254"/>
      <c r="Y269" s="246" t="str">
        <f t="shared" si="26"/>
        <v/>
      </c>
      <c r="Z269" s="247" t="str">
        <f t="shared" si="24"/>
        <v/>
      </c>
      <c r="AA269" s="246" t="str">
        <f t="shared" si="27"/>
        <v/>
      </c>
    </row>
    <row r="270" spans="1:27" ht="18" customHeight="1" x14ac:dyDescent="0.25">
      <c r="A270" s="248" t="str">
        <f t="shared" si="28"/>
        <v/>
      </c>
      <c r="B270" s="249" t="str">
        <f t="shared" si="29"/>
        <v/>
      </c>
      <c r="C270" s="250"/>
      <c r="D270" s="251"/>
      <c r="E270" s="241"/>
      <c r="F270" s="252"/>
      <c r="G270" s="252"/>
      <c r="H270" s="253"/>
      <c r="I270" s="250"/>
      <c r="J270" s="250"/>
      <c r="K270" s="270"/>
      <c r="L270" s="250"/>
      <c r="M270" s="250"/>
      <c r="N270" s="553" t="str">
        <f>CONCATENATE(IF(OR(M270=phu!$I$1,M270=phu!$I$2,M270=phu!$I$3),"Cam Thành Nam",""),IF(OR(M270=phu!$I$4,M270=phu!$I$5,M270=phu!$I$6,M270=phu!$I$7,M270=phu!$I$8,M270=phu!$I$9,M270=phu!$I$10,M270=phu!$I$11,M270=phu!$I$12,M270=phu!$I$13,M270=phu!$I$14),"Cam Nghĩa",""),IF(OR(M270=phu!$I$15,M270=phu!$I$16,M270=phu!$I$17,M270=phu!$I$18,M270=phu!$I$19,M270=phu!$I$20,M270=phu!$I$21),"Cam Phúc Bắc",""),IF(OR(M270=phu!$I$22,M270=phu!$I$23,M270=phu!$I$24,M270=phu!$I$25),"Cam Phúc Nam",""),IF(OR(M270=phu!$I$26,M270=phu!$I$27,M270=phu!$I$28,M270=phu!$I$29,M270=phu!$I$30,M270=phu!$I$31),"Cam Phú",""),IF(OR(M270=phu!$I$32,M270=phu!$I$33,M270=phu!$I$34,M270=phu!$I$35,M270=phu!$I$36,M270=phu!$I$37),"Cam Lộc",""),IF(OR(M270=phu!$I$38,M270=phu!$I$39,M270=phu!$I$40,M270=phu!$I$41,M270=phu!$I$42,M270=phu!$I$43,M270=phu!$I$44),"Cam Thuận",""),IF(OR(M270=phu!$I$45,M270=phu!$I$46,M270=phu!$I$47,M270=phu!$I$48,M270=phu!$I$49,M270=phu!$I$50,M270=phu!$I$51,M270=phu!$I$52,M270=phu!$I$53),"Cam Linh",""),IF(OR(M270=phu!$I$54,M270=phu!$I$55,M270=phu!$I$56,M270=phu!$I$57,M270=phu!$I$58,M270=phu!$I$59,M270=phu!$I$60,M270=phu!$I$61,M270=phu!$I$62),"Cam Lợi",""),IF(OR(M270=phu!$I$63,M270=phu!$I$64,M270=phu!$I$65,M270=phu!$I$66,M270=phu!$I$67,M270=phu!$I$68,M270=phu!$I$69,M270=phu!$I$70,M270=phu!$I$71),"Ba Ngòi",""),IF(OR(M270=phu!$I$72,M270=phu!$I$73,M270=phu!$I$74,M270=phu!$I$75,M270=phu!$I$76,M270=phu!$I$77,M270=phu!$I$78),"Cam Phước Đông",""),IF(OR(M270=phu!$I$79,M270=phu!$I$80,M270=phu!$I$81,M270=phu!$I$82,M270=phu!$I$83,M270=phu!$I$84),"Cam Thịnh Đông",""),IF(OR(M270=phu!$I$85,M270=phu!$I$86,M270=phu!$I$87,M270=phu!$I$88),"Cam Thịnh Tây",""),IF(OR(M270=phu!$I$89,M270=phu!$I$90),"Cam Lập",""),IF(OR(M270=phu!$I$91,M270=phu!$I$92,M270=phu!$I$93),"Cam Bình",""),IF(OR(M270=phu!$I$94,M270=phu!$I$95,M270=phu!$I$96,M270=phu!$I$97,M270=phu!$I$98,M270=phu!$I$99,M270=phu!$I$100),"Huyện khác",""),IF(OR(M270=phu!$I$101,M270=phu!$I$102),"Tỉnh khác",""))</f>
        <v/>
      </c>
      <c r="O270" s="814" t="str">
        <f t="shared" si="25"/>
        <v/>
      </c>
      <c r="P270" s="254"/>
      <c r="Q270" s="254"/>
      <c r="R270" s="254"/>
      <c r="S270" s="254"/>
      <c r="T270" s="254"/>
      <c r="U270" s="254"/>
      <c r="V270" s="254"/>
      <c r="W270" s="254"/>
      <c r="Y270" s="246" t="str">
        <f t="shared" si="26"/>
        <v/>
      </c>
      <c r="Z270" s="247" t="str">
        <f t="shared" si="24"/>
        <v/>
      </c>
      <c r="AA270" s="246" t="str">
        <f t="shared" si="27"/>
        <v/>
      </c>
    </row>
    <row r="271" spans="1:27" ht="18" customHeight="1" x14ac:dyDescent="0.25">
      <c r="A271" s="248" t="str">
        <f t="shared" si="28"/>
        <v/>
      </c>
      <c r="B271" s="249" t="str">
        <f t="shared" si="29"/>
        <v/>
      </c>
      <c r="C271" s="250"/>
      <c r="D271" s="251"/>
      <c r="E271" s="241"/>
      <c r="F271" s="252"/>
      <c r="G271" s="252"/>
      <c r="H271" s="253"/>
      <c r="I271" s="250"/>
      <c r="J271" s="250"/>
      <c r="K271" s="270"/>
      <c r="L271" s="250"/>
      <c r="M271" s="250"/>
      <c r="N271" s="553" t="str">
        <f>CONCATENATE(IF(OR(M271=phu!$I$1,M271=phu!$I$2,M271=phu!$I$3),"Cam Thành Nam",""),IF(OR(M271=phu!$I$4,M271=phu!$I$5,M271=phu!$I$6,M271=phu!$I$7,M271=phu!$I$8,M271=phu!$I$9,M271=phu!$I$10,M271=phu!$I$11,M271=phu!$I$12,M271=phu!$I$13,M271=phu!$I$14),"Cam Nghĩa",""),IF(OR(M271=phu!$I$15,M271=phu!$I$16,M271=phu!$I$17,M271=phu!$I$18,M271=phu!$I$19,M271=phu!$I$20,M271=phu!$I$21),"Cam Phúc Bắc",""),IF(OR(M271=phu!$I$22,M271=phu!$I$23,M271=phu!$I$24,M271=phu!$I$25),"Cam Phúc Nam",""),IF(OR(M271=phu!$I$26,M271=phu!$I$27,M271=phu!$I$28,M271=phu!$I$29,M271=phu!$I$30,M271=phu!$I$31),"Cam Phú",""),IF(OR(M271=phu!$I$32,M271=phu!$I$33,M271=phu!$I$34,M271=phu!$I$35,M271=phu!$I$36,M271=phu!$I$37),"Cam Lộc",""),IF(OR(M271=phu!$I$38,M271=phu!$I$39,M271=phu!$I$40,M271=phu!$I$41,M271=phu!$I$42,M271=phu!$I$43,M271=phu!$I$44),"Cam Thuận",""),IF(OR(M271=phu!$I$45,M271=phu!$I$46,M271=phu!$I$47,M271=phu!$I$48,M271=phu!$I$49,M271=phu!$I$50,M271=phu!$I$51,M271=phu!$I$52,M271=phu!$I$53),"Cam Linh",""),IF(OR(M271=phu!$I$54,M271=phu!$I$55,M271=phu!$I$56,M271=phu!$I$57,M271=phu!$I$58,M271=phu!$I$59,M271=phu!$I$60,M271=phu!$I$61,M271=phu!$I$62),"Cam Lợi",""),IF(OR(M271=phu!$I$63,M271=phu!$I$64,M271=phu!$I$65,M271=phu!$I$66,M271=phu!$I$67,M271=phu!$I$68,M271=phu!$I$69,M271=phu!$I$70,M271=phu!$I$71),"Ba Ngòi",""),IF(OR(M271=phu!$I$72,M271=phu!$I$73,M271=phu!$I$74,M271=phu!$I$75,M271=phu!$I$76,M271=phu!$I$77,M271=phu!$I$78),"Cam Phước Đông",""),IF(OR(M271=phu!$I$79,M271=phu!$I$80,M271=phu!$I$81,M271=phu!$I$82,M271=phu!$I$83,M271=phu!$I$84),"Cam Thịnh Đông",""),IF(OR(M271=phu!$I$85,M271=phu!$I$86,M271=phu!$I$87,M271=phu!$I$88),"Cam Thịnh Tây",""),IF(OR(M271=phu!$I$89,M271=phu!$I$90),"Cam Lập",""),IF(OR(M271=phu!$I$91,M271=phu!$I$92,M271=phu!$I$93),"Cam Bình",""),IF(OR(M271=phu!$I$94,M271=phu!$I$95,M271=phu!$I$96,M271=phu!$I$97,M271=phu!$I$98,M271=phu!$I$99,M271=phu!$I$100),"Huyện khác",""),IF(OR(M271=phu!$I$101,M271=phu!$I$102),"Tỉnh khác",""))</f>
        <v/>
      </c>
      <c r="O271" s="814" t="str">
        <f t="shared" si="25"/>
        <v/>
      </c>
      <c r="P271" s="254"/>
      <c r="Q271" s="254"/>
      <c r="R271" s="254"/>
      <c r="S271" s="254"/>
      <c r="T271" s="254"/>
      <c r="U271" s="254"/>
      <c r="V271" s="254"/>
      <c r="W271" s="254"/>
      <c r="Y271" s="246" t="str">
        <f t="shared" si="26"/>
        <v/>
      </c>
      <c r="Z271" s="247" t="str">
        <f t="shared" si="24"/>
        <v/>
      </c>
      <c r="AA271" s="246" t="str">
        <f t="shared" si="27"/>
        <v/>
      </c>
    </row>
    <row r="272" spans="1:27" ht="18" customHeight="1" x14ac:dyDescent="0.25">
      <c r="A272" s="248" t="str">
        <f t="shared" si="28"/>
        <v/>
      </c>
      <c r="B272" s="249" t="str">
        <f t="shared" si="29"/>
        <v/>
      </c>
      <c r="C272" s="250"/>
      <c r="D272" s="251"/>
      <c r="E272" s="241"/>
      <c r="F272" s="252"/>
      <c r="G272" s="252"/>
      <c r="H272" s="253"/>
      <c r="I272" s="250"/>
      <c r="J272" s="250"/>
      <c r="K272" s="270"/>
      <c r="L272" s="250"/>
      <c r="M272" s="250"/>
      <c r="N272" s="553" t="str">
        <f>CONCATENATE(IF(OR(M272=phu!$I$1,M272=phu!$I$2,M272=phu!$I$3),"Cam Thành Nam",""),IF(OR(M272=phu!$I$4,M272=phu!$I$5,M272=phu!$I$6,M272=phu!$I$7,M272=phu!$I$8,M272=phu!$I$9,M272=phu!$I$10,M272=phu!$I$11,M272=phu!$I$12,M272=phu!$I$13,M272=phu!$I$14),"Cam Nghĩa",""),IF(OR(M272=phu!$I$15,M272=phu!$I$16,M272=phu!$I$17,M272=phu!$I$18,M272=phu!$I$19,M272=phu!$I$20,M272=phu!$I$21),"Cam Phúc Bắc",""),IF(OR(M272=phu!$I$22,M272=phu!$I$23,M272=phu!$I$24,M272=phu!$I$25),"Cam Phúc Nam",""),IF(OR(M272=phu!$I$26,M272=phu!$I$27,M272=phu!$I$28,M272=phu!$I$29,M272=phu!$I$30,M272=phu!$I$31),"Cam Phú",""),IF(OR(M272=phu!$I$32,M272=phu!$I$33,M272=phu!$I$34,M272=phu!$I$35,M272=phu!$I$36,M272=phu!$I$37),"Cam Lộc",""),IF(OR(M272=phu!$I$38,M272=phu!$I$39,M272=phu!$I$40,M272=phu!$I$41,M272=phu!$I$42,M272=phu!$I$43,M272=phu!$I$44),"Cam Thuận",""),IF(OR(M272=phu!$I$45,M272=phu!$I$46,M272=phu!$I$47,M272=phu!$I$48,M272=phu!$I$49,M272=phu!$I$50,M272=phu!$I$51,M272=phu!$I$52,M272=phu!$I$53),"Cam Linh",""),IF(OR(M272=phu!$I$54,M272=phu!$I$55,M272=phu!$I$56,M272=phu!$I$57,M272=phu!$I$58,M272=phu!$I$59,M272=phu!$I$60,M272=phu!$I$61,M272=phu!$I$62),"Cam Lợi",""),IF(OR(M272=phu!$I$63,M272=phu!$I$64,M272=phu!$I$65,M272=phu!$I$66,M272=phu!$I$67,M272=phu!$I$68,M272=phu!$I$69,M272=phu!$I$70,M272=phu!$I$71),"Ba Ngòi",""),IF(OR(M272=phu!$I$72,M272=phu!$I$73,M272=phu!$I$74,M272=phu!$I$75,M272=phu!$I$76,M272=phu!$I$77,M272=phu!$I$78),"Cam Phước Đông",""),IF(OR(M272=phu!$I$79,M272=phu!$I$80,M272=phu!$I$81,M272=phu!$I$82,M272=phu!$I$83,M272=phu!$I$84),"Cam Thịnh Đông",""),IF(OR(M272=phu!$I$85,M272=phu!$I$86,M272=phu!$I$87,M272=phu!$I$88),"Cam Thịnh Tây",""),IF(OR(M272=phu!$I$89,M272=phu!$I$90),"Cam Lập",""),IF(OR(M272=phu!$I$91,M272=phu!$I$92,M272=phu!$I$93),"Cam Bình",""),IF(OR(M272=phu!$I$94,M272=phu!$I$95,M272=phu!$I$96,M272=phu!$I$97,M272=phu!$I$98,M272=phu!$I$99,M272=phu!$I$100),"Huyện khác",""),IF(OR(M272=phu!$I$101,M272=phu!$I$102),"Tỉnh khác",""))</f>
        <v/>
      </c>
      <c r="O272" s="814" t="str">
        <f t="shared" si="25"/>
        <v/>
      </c>
      <c r="P272" s="254"/>
      <c r="Q272" s="254"/>
      <c r="R272" s="254"/>
      <c r="S272" s="254"/>
      <c r="T272" s="254"/>
      <c r="U272" s="254"/>
      <c r="V272" s="254"/>
      <c r="W272" s="254"/>
      <c r="Y272" s="246" t="str">
        <f t="shared" si="26"/>
        <v/>
      </c>
      <c r="Z272" s="247" t="str">
        <f t="shared" si="24"/>
        <v/>
      </c>
      <c r="AA272" s="246" t="str">
        <f t="shared" si="27"/>
        <v/>
      </c>
    </row>
    <row r="273" spans="1:27" ht="18" customHeight="1" x14ac:dyDescent="0.25">
      <c r="A273" s="248" t="str">
        <f t="shared" si="28"/>
        <v/>
      </c>
      <c r="B273" s="249" t="str">
        <f t="shared" si="29"/>
        <v/>
      </c>
      <c r="C273" s="250"/>
      <c r="D273" s="251"/>
      <c r="E273" s="241"/>
      <c r="F273" s="252"/>
      <c r="G273" s="252"/>
      <c r="H273" s="253"/>
      <c r="I273" s="250"/>
      <c r="J273" s="250"/>
      <c r="K273" s="270"/>
      <c r="L273" s="250"/>
      <c r="M273" s="250"/>
      <c r="N273" s="553" t="str">
        <f>CONCATENATE(IF(OR(M273=phu!$I$1,M273=phu!$I$2,M273=phu!$I$3),"Cam Thành Nam",""),IF(OR(M273=phu!$I$4,M273=phu!$I$5,M273=phu!$I$6,M273=phu!$I$7,M273=phu!$I$8,M273=phu!$I$9,M273=phu!$I$10,M273=phu!$I$11,M273=phu!$I$12,M273=phu!$I$13,M273=phu!$I$14),"Cam Nghĩa",""),IF(OR(M273=phu!$I$15,M273=phu!$I$16,M273=phu!$I$17,M273=phu!$I$18,M273=phu!$I$19,M273=phu!$I$20,M273=phu!$I$21),"Cam Phúc Bắc",""),IF(OR(M273=phu!$I$22,M273=phu!$I$23,M273=phu!$I$24,M273=phu!$I$25),"Cam Phúc Nam",""),IF(OR(M273=phu!$I$26,M273=phu!$I$27,M273=phu!$I$28,M273=phu!$I$29,M273=phu!$I$30,M273=phu!$I$31),"Cam Phú",""),IF(OR(M273=phu!$I$32,M273=phu!$I$33,M273=phu!$I$34,M273=phu!$I$35,M273=phu!$I$36,M273=phu!$I$37),"Cam Lộc",""),IF(OR(M273=phu!$I$38,M273=phu!$I$39,M273=phu!$I$40,M273=phu!$I$41,M273=phu!$I$42,M273=phu!$I$43,M273=phu!$I$44),"Cam Thuận",""),IF(OR(M273=phu!$I$45,M273=phu!$I$46,M273=phu!$I$47,M273=phu!$I$48,M273=phu!$I$49,M273=phu!$I$50,M273=phu!$I$51,M273=phu!$I$52,M273=phu!$I$53),"Cam Linh",""),IF(OR(M273=phu!$I$54,M273=phu!$I$55,M273=phu!$I$56,M273=phu!$I$57,M273=phu!$I$58,M273=phu!$I$59,M273=phu!$I$60,M273=phu!$I$61,M273=phu!$I$62),"Cam Lợi",""),IF(OR(M273=phu!$I$63,M273=phu!$I$64,M273=phu!$I$65,M273=phu!$I$66,M273=phu!$I$67,M273=phu!$I$68,M273=phu!$I$69,M273=phu!$I$70,M273=phu!$I$71),"Ba Ngòi",""),IF(OR(M273=phu!$I$72,M273=phu!$I$73,M273=phu!$I$74,M273=phu!$I$75,M273=phu!$I$76,M273=phu!$I$77,M273=phu!$I$78),"Cam Phước Đông",""),IF(OR(M273=phu!$I$79,M273=phu!$I$80,M273=phu!$I$81,M273=phu!$I$82,M273=phu!$I$83,M273=phu!$I$84),"Cam Thịnh Đông",""),IF(OR(M273=phu!$I$85,M273=phu!$I$86,M273=phu!$I$87,M273=phu!$I$88),"Cam Thịnh Tây",""),IF(OR(M273=phu!$I$89,M273=phu!$I$90),"Cam Lập",""),IF(OR(M273=phu!$I$91,M273=phu!$I$92,M273=phu!$I$93),"Cam Bình",""),IF(OR(M273=phu!$I$94,M273=phu!$I$95,M273=phu!$I$96,M273=phu!$I$97,M273=phu!$I$98,M273=phu!$I$99,M273=phu!$I$100),"Huyện khác",""),IF(OR(M273=phu!$I$101,M273=phu!$I$102),"Tỉnh khác",""))</f>
        <v/>
      </c>
      <c r="O273" s="814" t="str">
        <f t="shared" si="25"/>
        <v/>
      </c>
      <c r="P273" s="254"/>
      <c r="Q273" s="254"/>
      <c r="R273" s="254"/>
      <c r="S273" s="254"/>
      <c r="T273" s="254"/>
      <c r="U273" s="254"/>
      <c r="V273" s="254"/>
      <c r="W273" s="254"/>
      <c r="Y273" s="246" t="str">
        <f t="shared" si="26"/>
        <v/>
      </c>
      <c r="Z273" s="247" t="str">
        <f t="shared" si="24"/>
        <v/>
      </c>
      <c r="AA273" s="246" t="str">
        <f t="shared" si="27"/>
        <v/>
      </c>
    </row>
    <row r="274" spans="1:27" ht="18" customHeight="1" x14ac:dyDescent="0.25">
      <c r="A274" s="248" t="str">
        <f t="shared" si="28"/>
        <v/>
      </c>
      <c r="B274" s="249" t="str">
        <f t="shared" si="29"/>
        <v/>
      </c>
      <c r="C274" s="250"/>
      <c r="D274" s="251"/>
      <c r="E274" s="241"/>
      <c r="F274" s="252"/>
      <c r="G274" s="252"/>
      <c r="H274" s="253"/>
      <c r="I274" s="250"/>
      <c r="J274" s="250"/>
      <c r="K274" s="270"/>
      <c r="L274" s="250"/>
      <c r="M274" s="250"/>
      <c r="N274" s="553" t="str">
        <f>CONCATENATE(IF(OR(M274=phu!$I$1,M274=phu!$I$2,M274=phu!$I$3),"Cam Thành Nam",""),IF(OR(M274=phu!$I$4,M274=phu!$I$5,M274=phu!$I$6,M274=phu!$I$7,M274=phu!$I$8,M274=phu!$I$9,M274=phu!$I$10,M274=phu!$I$11,M274=phu!$I$12,M274=phu!$I$13,M274=phu!$I$14),"Cam Nghĩa",""),IF(OR(M274=phu!$I$15,M274=phu!$I$16,M274=phu!$I$17,M274=phu!$I$18,M274=phu!$I$19,M274=phu!$I$20,M274=phu!$I$21),"Cam Phúc Bắc",""),IF(OR(M274=phu!$I$22,M274=phu!$I$23,M274=phu!$I$24,M274=phu!$I$25),"Cam Phúc Nam",""),IF(OR(M274=phu!$I$26,M274=phu!$I$27,M274=phu!$I$28,M274=phu!$I$29,M274=phu!$I$30,M274=phu!$I$31),"Cam Phú",""),IF(OR(M274=phu!$I$32,M274=phu!$I$33,M274=phu!$I$34,M274=phu!$I$35,M274=phu!$I$36,M274=phu!$I$37),"Cam Lộc",""),IF(OR(M274=phu!$I$38,M274=phu!$I$39,M274=phu!$I$40,M274=phu!$I$41,M274=phu!$I$42,M274=phu!$I$43,M274=phu!$I$44),"Cam Thuận",""),IF(OR(M274=phu!$I$45,M274=phu!$I$46,M274=phu!$I$47,M274=phu!$I$48,M274=phu!$I$49,M274=phu!$I$50,M274=phu!$I$51,M274=phu!$I$52,M274=phu!$I$53),"Cam Linh",""),IF(OR(M274=phu!$I$54,M274=phu!$I$55,M274=phu!$I$56,M274=phu!$I$57,M274=phu!$I$58,M274=phu!$I$59,M274=phu!$I$60,M274=phu!$I$61,M274=phu!$I$62),"Cam Lợi",""),IF(OR(M274=phu!$I$63,M274=phu!$I$64,M274=phu!$I$65,M274=phu!$I$66,M274=phu!$I$67,M274=phu!$I$68,M274=phu!$I$69,M274=phu!$I$70,M274=phu!$I$71),"Ba Ngòi",""),IF(OR(M274=phu!$I$72,M274=phu!$I$73,M274=phu!$I$74,M274=phu!$I$75,M274=phu!$I$76,M274=phu!$I$77,M274=phu!$I$78),"Cam Phước Đông",""),IF(OR(M274=phu!$I$79,M274=phu!$I$80,M274=phu!$I$81,M274=phu!$I$82,M274=phu!$I$83,M274=phu!$I$84),"Cam Thịnh Đông",""),IF(OR(M274=phu!$I$85,M274=phu!$I$86,M274=phu!$I$87,M274=phu!$I$88),"Cam Thịnh Tây",""),IF(OR(M274=phu!$I$89,M274=phu!$I$90),"Cam Lập",""),IF(OR(M274=phu!$I$91,M274=phu!$I$92,M274=phu!$I$93),"Cam Bình",""),IF(OR(M274=phu!$I$94,M274=phu!$I$95,M274=phu!$I$96,M274=phu!$I$97,M274=phu!$I$98,M274=phu!$I$99,M274=phu!$I$100),"Huyện khác",""),IF(OR(M274=phu!$I$101,M274=phu!$I$102),"Tỉnh khác",""))</f>
        <v/>
      </c>
      <c r="O274" s="814" t="str">
        <f t="shared" si="25"/>
        <v/>
      </c>
      <c r="P274" s="254"/>
      <c r="Q274" s="254"/>
      <c r="R274" s="254"/>
      <c r="S274" s="254"/>
      <c r="T274" s="254"/>
      <c r="U274" s="254"/>
      <c r="V274" s="254"/>
      <c r="W274" s="254"/>
      <c r="Y274" s="246" t="str">
        <f t="shared" si="26"/>
        <v/>
      </c>
      <c r="Z274" s="247" t="str">
        <f t="shared" si="24"/>
        <v/>
      </c>
      <c r="AA274" s="246" t="str">
        <f t="shared" si="27"/>
        <v/>
      </c>
    </row>
    <row r="275" spans="1:27" ht="18" customHeight="1" x14ac:dyDescent="0.25">
      <c r="A275" s="248" t="str">
        <f t="shared" si="28"/>
        <v/>
      </c>
      <c r="B275" s="249" t="str">
        <f t="shared" si="29"/>
        <v/>
      </c>
      <c r="C275" s="250"/>
      <c r="D275" s="251"/>
      <c r="E275" s="241"/>
      <c r="F275" s="252"/>
      <c r="G275" s="252"/>
      <c r="H275" s="253"/>
      <c r="I275" s="250"/>
      <c r="J275" s="250"/>
      <c r="K275" s="270"/>
      <c r="L275" s="250"/>
      <c r="M275" s="250"/>
      <c r="N275" s="553" t="str">
        <f>CONCATENATE(IF(OR(M275=phu!$I$1,M275=phu!$I$2,M275=phu!$I$3),"Cam Thành Nam",""),IF(OR(M275=phu!$I$4,M275=phu!$I$5,M275=phu!$I$6,M275=phu!$I$7,M275=phu!$I$8,M275=phu!$I$9,M275=phu!$I$10,M275=phu!$I$11,M275=phu!$I$12,M275=phu!$I$13,M275=phu!$I$14),"Cam Nghĩa",""),IF(OR(M275=phu!$I$15,M275=phu!$I$16,M275=phu!$I$17,M275=phu!$I$18,M275=phu!$I$19,M275=phu!$I$20,M275=phu!$I$21),"Cam Phúc Bắc",""),IF(OR(M275=phu!$I$22,M275=phu!$I$23,M275=phu!$I$24,M275=phu!$I$25),"Cam Phúc Nam",""),IF(OR(M275=phu!$I$26,M275=phu!$I$27,M275=phu!$I$28,M275=phu!$I$29,M275=phu!$I$30,M275=phu!$I$31),"Cam Phú",""),IF(OR(M275=phu!$I$32,M275=phu!$I$33,M275=phu!$I$34,M275=phu!$I$35,M275=phu!$I$36,M275=phu!$I$37),"Cam Lộc",""),IF(OR(M275=phu!$I$38,M275=phu!$I$39,M275=phu!$I$40,M275=phu!$I$41,M275=phu!$I$42,M275=phu!$I$43,M275=phu!$I$44),"Cam Thuận",""),IF(OR(M275=phu!$I$45,M275=phu!$I$46,M275=phu!$I$47,M275=phu!$I$48,M275=phu!$I$49,M275=phu!$I$50,M275=phu!$I$51,M275=phu!$I$52,M275=phu!$I$53),"Cam Linh",""),IF(OR(M275=phu!$I$54,M275=phu!$I$55,M275=phu!$I$56,M275=phu!$I$57,M275=phu!$I$58,M275=phu!$I$59,M275=phu!$I$60,M275=phu!$I$61,M275=phu!$I$62),"Cam Lợi",""),IF(OR(M275=phu!$I$63,M275=phu!$I$64,M275=phu!$I$65,M275=phu!$I$66,M275=phu!$I$67,M275=phu!$I$68,M275=phu!$I$69,M275=phu!$I$70,M275=phu!$I$71),"Ba Ngòi",""),IF(OR(M275=phu!$I$72,M275=phu!$I$73,M275=phu!$I$74,M275=phu!$I$75,M275=phu!$I$76,M275=phu!$I$77,M275=phu!$I$78),"Cam Phước Đông",""),IF(OR(M275=phu!$I$79,M275=phu!$I$80,M275=phu!$I$81,M275=phu!$I$82,M275=phu!$I$83,M275=phu!$I$84),"Cam Thịnh Đông",""),IF(OR(M275=phu!$I$85,M275=phu!$I$86,M275=phu!$I$87,M275=phu!$I$88),"Cam Thịnh Tây",""),IF(OR(M275=phu!$I$89,M275=phu!$I$90),"Cam Lập",""),IF(OR(M275=phu!$I$91,M275=phu!$I$92,M275=phu!$I$93),"Cam Bình",""),IF(OR(M275=phu!$I$94,M275=phu!$I$95,M275=phu!$I$96,M275=phu!$I$97,M275=phu!$I$98,M275=phu!$I$99,M275=phu!$I$100),"Huyện khác",""),IF(OR(M275=phu!$I$101,M275=phu!$I$102),"Tỉnh khác",""))</f>
        <v/>
      </c>
      <c r="O275" s="814" t="str">
        <f t="shared" si="25"/>
        <v/>
      </c>
      <c r="P275" s="254"/>
      <c r="Q275" s="254"/>
      <c r="R275" s="254"/>
      <c r="S275" s="254"/>
      <c r="T275" s="254"/>
      <c r="U275" s="254"/>
      <c r="V275" s="254"/>
      <c r="W275" s="254"/>
      <c r="Y275" s="246" t="str">
        <f t="shared" si="26"/>
        <v/>
      </c>
      <c r="Z275" s="247" t="str">
        <f t="shared" si="24"/>
        <v/>
      </c>
      <c r="AA275" s="246" t="str">
        <f t="shared" si="27"/>
        <v/>
      </c>
    </row>
    <row r="276" spans="1:27" ht="18" customHeight="1" x14ac:dyDescent="0.25">
      <c r="A276" s="248" t="str">
        <f t="shared" si="28"/>
        <v/>
      </c>
      <c r="B276" s="249" t="str">
        <f t="shared" si="29"/>
        <v/>
      </c>
      <c r="C276" s="250"/>
      <c r="D276" s="251"/>
      <c r="E276" s="241"/>
      <c r="F276" s="252"/>
      <c r="G276" s="252"/>
      <c r="H276" s="253"/>
      <c r="I276" s="250"/>
      <c r="J276" s="250"/>
      <c r="K276" s="270"/>
      <c r="L276" s="250"/>
      <c r="M276" s="250"/>
      <c r="N276" s="553" t="str">
        <f>CONCATENATE(IF(OR(M276=phu!$I$1,M276=phu!$I$2,M276=phu!$I$3),"Cam Thành Nam",""),IF(OR(M276=phu!$I$4,M276=phu!$I$5,M276=phu!$I$6,M276=phu!$I$7,M276=phu!$I$8,M276=phu!$I$9,M276=phu!$I$10,M276=phu!$I$11,M276=phu!$I$12,M276=phu!$I$13,M276=phu!$I$14),"Cam Nghĩa",""),IF(OR(M276=phu!$I$15,M276=phu!$I$16,M276=phu!$I$17,M276=phu!$I$18,M276=phu!$I$19,M276=phu!$I$20,M276=phu!$I$21),"Cam Phúc Bắc",""),IF(OR(M276=phu!$I$22,M276=phu!$I$23,M276=phu!$I$24,M276=phu!$I$25),"Cam Phúc Nam",""),IF(OR(M276=phu!$I$26,M276=phu!$I$27,M276=phu!$I$28,M276=phu!$I$29,M276=phu!$I$30,M276=phu!$I$31),"Cam Phú",""),IF(OR(M276=phu!$I$32,M276=phu!$I$33,M276=phu!$I$34,M276=phu!$I$35,M276=phu!$I$36,M276=phu!$I$37),"Cam Lộc",""),IF(OR(M276=phu!$I$38,M276=phu!$I$39,M276=phu!$I$40,M276=phu!$I$41,M276=phu!$I$42,M276=phu!$I$43,M276=phu!$I$44),"Cam Thuận",""),IF(OR(M276=phu!$I$45,M276=phu!$I$46,M276=phu!$I$47,M276=phu!$I$48,M276=phu!$I$49,M276=phu!$I$50,M276=phu!$I$51,M276=phu!$I$52,M276=phu!$I$53),"Cam Linh",""),IF(OR(M276=phu!$I$54,M276=phu!$I$55,M276=phu!$I$56,M276=phu!$I$57,M276=phu!$I$58,M276=phu!$I$59,M276=phu!$I$60,M276=phu!$I$61,M276=phu!$I$62),"Cam Lợi",""),IF(OR(M276=phu!$I$63,M276=phu!$I$64,M276=phu!$I$65,M276=phu!$I$66,M276=phu!$I$67,M276=phu!$I$68,M276=phu!$I$69,M276=phu!$I$70,M276=phu!$I$71),"Ba Ngòi",""),IF(OR(M276=phu!$I$72,M276=phu!$I$73,M276=phu!$I$74,M276=phu!$I$75,M276=phu!$I$76,M276=phu!$I$77,M276=phu!$I$78),"Cam Phước Đông",""),IF(OR(M276=phu!$I$79,M276=phu!$I$80,M276=phu!$I$81,M276=phu!$I$82,M276=phu!$I$83,M276=phu!$I$84),"Cam Thịnh Đông",""),IF(OR(M276=phu!$I$85,M276=phu!$I$86,M276=phu!$I$87,M276=phu!$I$88),"Cam Thịnh Tây",""),IF(OR(M276=phu!$I$89,M276=phu!$I$90),"Cam Lập",""),IF(OR(M276=phu!$I$91,M276=phu!$I$92,M276=phu!$I$93),"Cam Bình",""),IF(OR(M276=phu!$I$94,M276=phu!$I$95,M276=phu!$I$96,M276=phu!$I$97,M276=phu!$I$98,M276=phu!$I$99,M276=phu!$I$100),"Huyện khác",""),IF(OR(M276=phu!$I$101,M276=phu!$I$102),"Tỉnh khác",""))</f>
        <v/>
      </c>
      <c r="O276" s="814" t="str">
        <f t="shared" si="25"/>
        <v/>
      </c>
      <c r="P276" s="254"/>
      <c r="Q276" s="254"/>
      <c r="R276" s="254"/>
      <c r="S276" s="254"/>
      <c r="T276" s="254"/>
      <c r="U276" s="254"/>
      <c r="V276" s="254"/>
      <c r="W276" s="254"/>
      <c r="Y276" s="246" t="str">
        <f t="shared" si="26"/>
        <v/>
      </c>
      <c r="Z276" s="247" t="str">
        <f t="shared" si="24"/>
        <v/>
      </c>
      <c r="AA276" s="246" t="str">
        <f t="shared" si="27"/>
        <v/>
      </c>
    </row>
    <row r="277" spans="1:27" ht="18" customHeight="1" x14ac:dyDescent="0.25">
      <c r="A277" s="248" t="str">
        <f t="shared" si="28"/>
        <v/>
      </c>
      <c r="B277" s="249" t="str">
        <f t="shared" si="29"/>
        <v/>
      </c>
      <c r="C277" s="250"/>
      <c r="D277" s="251"/>
      <c r="E277" s="241"/>
      <c r="F277" s="252"/>
      <c r="G277" s="252"/>
      <c r="H277" s="253"/>
      <c r="I277" s="250"/>
      <c r="J277" s="250"/>
      <c r="K277" s="270"/>
      <c r="L277" s="250"/>
      <c r="M277" s="250"/>
      <c r="N277" s="553" t="str">
        <f>CONCATENATE(IF(OR(M277=phu!$I$1,M277=phu!$I$2,M277=phu!$I$3),"Cam Thành Nam",""),IF(OR(M277=phu!$I$4,M277=phu!$I$5,M277=phu!$I$6,M277=phu!$I$7,M277=phu!$I$8,M277=phu!$I$9,M277=phu!$I$10,M277=phu!$I$11,M277=phu!$I$12,M277=phu!$I$13,M277=phu!$I$14),"Cam Nghĩa",""),IF(OR(M277=phu!$I$15,M277=phu!$I$16,M277=phu!$I$17,M277=phu!$I$18,M277=phu!$I$19,M277=phu!$I$20,M277=phu!$I$21),"Cam Phúc Bắc",""),IF(OR(M277=phu!$I$22,M277=phu!$I$23,M277=phu!$I$24,M277=phu!$I$25),"Cam Phúc Nam",""),IF(OR(M277=phu!$I$26,M277=phu!$I$27,M277=phu!$I$28,M277=phu!$I$29,M277=phu!$I$30,M277=phu!$I$31),"Cam Phú",""),IF(OR(M277=phu!$I$32,M277=phu!$I$33,M277=phu!$I$34,M277=phu!$I$35,M277=phu!$I$36,M277=phu!$I$37),"Cam Lộc",""),IF(OR(M277=phu!$I$38,M277=phu!$I$39,M277=phu!$I$40,M277=phu!$I$41,M277=phu!$I$42,M277=phu!$I$43,M277=phu!$I$44),"Cam Thuận",""),IF(OR(M277=phu!$I$45,M277=phu!$I$46,M277=phu!$I$47,M277=phu!$I$48,M277=phu!$I$49,M277=phu!$I$50,M277=phu!$I$51,M277=phu!$I$52,M277=phu!$I$53),"Cam Linh",""),IF(OR(M277=phu!$I$54,M277=phu!$I$55,M277=phu!$I$56,M277=phu!$I$57,M277=phu!$I$58,M277=phu!$I$59,M277=phu!$I$60,M277=phu!$I$61,M277=phu!$I$62),"Cam Lợi",""),IF(OR(M277=phu!$I$63,M277=phu!$I$64,M277=phu!$I$65,M277=phu!$I$66,M277=phu!$I$67,M277=phu!$I$68,M277=phu!$I$69,M277=phu!$I$70,M277=phu!$I$71),"Ba Ngòi",""),IF(OR(M277=phu!$I$72,M277=phu!$I$73,M277=phu!$I$74,M277=phu!$I$75,M277=phu!$I$76,M277=phu!$I$77,M277=phu!$I$78),"Cam Phước Đông",""),IF(OR(M277=phu!$I$79,M277=phu!$I$80,M277=phu!$I$81,M277=phu!$I$82,M277=phu!$I$83,M277=phu!$I$84),"Cam Thịnh Đông",""),IF(OR(M277=phu!$I$85,M277=phu!$I$86,M277=phu!$I$87,M277=phu!$I$88),"Cam Thịnh Tây",""),IF(OR(M277=phu!$I$89,M277=phu!$I$90),"Cam Lập",""),IF(OR(M277=phu!$I$91,M277=phu!$I$92,M277=phu!$I$93),"Cam Bình",""),IF(OR(M277=phu!$I$94,M277=phu!$I$95,M277=phu!$I$96,M277=phu!$I$97,M277=phu!$I$98,M277=phu!$I$99,M277=phu!$I$100),"Huyện khác",""),IF(OR(M277=phu!$I$101,M277=phu!$I$102),"Tỉnh khác",""))</f>
        <v/>
      </c>
      <c r="O277" s="814" t="str">
        <f t="shared" si="25"/>
        <v/>
      </c>
      <c r="P277" s="254"/>
      <c r="Q277" s="254"/>
      <c r="R277" s="254"/>
      <c r="S277" s="254"/>
      <c r="T277" s="254"/>
      <c r="U277" s="254"/>
      <c r="V277" s="254"/>
      <c r="W277" s="254"/>
      <c r="Y277" s="246" t="str">
        <f t="shared" si="26"/>
        <v/>
      </c>
      <c r="Z277" s="247" t="str">
        <f t="shared" si="24"/>
        <v/>
      </c>
      <c r="AA277" s="246" t="str">
        <f t="shared" si="27"/>
        <v/>
      </c>
    </row>
    <row r="278" spans="1:27" ht="18" customHeight="1" x14ac:dyDescent="0.25">
      <c r="A278" s="248" t="str">
        <f t="shared" si="28"/>
        <v/>
      </c>
      <c r="B278" s="249" t="str">
        <f t="shared" si="29"/>
        <v/>
      </c>
      <c r="C278" s="250"/>
      <c r="D278" s="251"/>
      <c r="E278" s="241"/>
      <c r="F278" s="252"/>
      <c r="G278" s="252"/>
      <c r="H278" s="253"/>
      <c r="I278" s="250"/>
      <c r="J278" s="250"/>
      <c r="K278" s="270"/>
      <c r="L278" s="250"/>
      <c r="M278" s="250"/>
      <c r="N278" s="553" t="str">
        <f>CONCATENATE(IF(OR(M278=phu!$I$1,M278=phu!$I$2,M278=phu!$I$3),"Cam Thành Nam",""),IF(OR(M278=phu!$I$4,M278=phu!$I$5,M278=phu!$I$6,M278=phu!$I$7,M278=phu!$I$8,M278=phu!$I$9,M278=phu!$I$10,M278=phu!$I$11,M278=phu!$I$12,M278=phu!$I$13,M278=phu!$I$14),"Cam Nghĩa",""),IF(OR(M278=phu!$I$15,M278=phu!$I$16,M278=phu!$I$17,M278=phu!$I$18,M278=phu!$I$19,M278=phu!$I$20,M278=phu!$I$21),"Cam Phúc Bắc",""),IF(OR(M278=phu!$I$22,M278=phu!$I$23,M278=phu!$I$24,M278=phu!$I$25),"Cam Phúc Nam",""),IF(OR(M278=phu!$I$26,M278=phu!$I$27,M278=phu!$I$28,M278=phu!$I$29,M278=phu!$I$30,M278=phu!$I$31),"Cam Phú",""),IF(OR(M278=phu!$I$32,M278=phu!$I$33,M278=phu!$I$34,M278=phu!$I$35,M278=phu!$I$36,M278=phu!$I$37),"Cam Lộc",""),IF(OR(M278=phu!$I$38,M278=phu!$I$39,M278=phu!$I$40,M278=phu!$I$41,M278=phu!$I$42,M278=phu!$I$43,M278=phu!$I$44),"Cam Thuận",""),IF(OR(M278=phu!$I$45,M278=phu!$I$46,M278=phu!$I$47,M278=phu!$I$48,M278=phu!$I$49,M278=phu!$I$50,M278=phu!$I$51,M278=phu!$I$52,M278=phu!$I$53),"Cam Linh",""),IF(OR(M278=phu!$I$54,M278=phu!$I$55,M278=phu!$I$56,M278=phu!$I$57,M278=phu!$I$58,M278=phu!$I$59,M278=phu!$I$60,M278=phu!$I$61,M278=phu!$I$62),"Cam Lợi",""),IF(OR(M278=phu!$I$63,M278=phu!$I$64,M278=phu!$I$65,M278=phu!$I$66,M278=phu!$I$67,M278=phu!$I$68,M278=phu!$I$69,M278=phu!$I$70,M278=phu!$I$71),"Ba Ngòi",""),IF(OR(M278=phu!$I$72,M278=phu!$I$73,M278=phu!$I$74,M278=phu!$I$75,M278=phu!$I$76,M278=phu!$I$77,M278=phu!$I$78),"Cam Phước Đông",""),IF(OR(M278=phu!$I$79,M278=phu!$I$80,M278=phu!$I$81,M278=phu!$I$82,M278=phu!$I$83,M278=phu!$I$84),"Cam Thịnh Đông",""),IF(OR(M278=phu!$I$85,M278=phu!$I$86,M278=phu!$I$87,M278=phu!$I$88),"Cam Thịnh Tây",""),IF(OR(M278=phu!$I$89,M278=phu!$I$90),"Cam Lập",""),IF(OR(M278=phu!$I$91,M278=phu!$I$92,M278=phu!$I$93),"Cam Bình",""),IF(OR(M278=phu!$I$94,M278=phu!$I$95,M278=phu!$I$96,M278=phu!$I$97,M278=phu!$I$98,M278=phu!$I$99,M278=phu!$I$100),"Huyện khác",""),IF(OR(M278=phu!$I$101,M278=phu!$I$102),"Tỉnh khác",""))</f>
        <v/>
      </c>
      <c r="O278" s="814" t="str">
        <f t="shared" si="25"/>
        <v/>
      </c>
      <c r="P278" s="254"/>
      <c r="Q278" s="254"/>
      <c r="R278" s="254"/>
      <c r="S278" s="254"/>
      <c r="T278" s="254"/>
      <c r="U278" s="254"/>
      <c r="V278" s="254"/>
      <c r="W278" s="254"/>
      <c r="Y278" s="246" t="str">
        <f t="shared" si="26"/>
        <v/>
      </c>
      <c r="Z278" s="247" t="str">
        <f t="shared" si="24"/>
        <v/>
      </c>
      <c r="AA278" s="246" t="str">
        <f t="shared" si="27"/>
        <v/>
      </c>
    </row>
    <row r="279" spans="1:27" ht="18" customHeight="1" x14ac:dyDescent="0.25">
      <c r="A279" s="248" t="str">
        <f t="shared" si="28"/>
        <v/>
      </c>
      <c r="B279" s="249" t="str">
        <f t="shared" si="29"/>
        <v/>
      </c>
      <c r="C279" s="250"/>
      <c r="D279" s="251"/>
      <c r="E279" s="241"/>
      <c r="F279" s="252"/>
      <c r="G279" s="252"/>
      <c r="H279" s="253"/>
      <c r="I279" s="250"/>
      <c r="J279" s="250"/>
      <c r="K279" s="270"/>
      <c r="L279" s="250"/>
      <c r="M279" s="250"/>
      <c r="N279" s="553" t="str">
        <f>CONCATENATE(IF(OR(M279=phu!$I$1,M279=phu!$I$2,M279=phu!$I$3),"Cam Thành Nam",""),IF(OR(M279=phu!$I$4,M279=phu!$I$5,M279=phu!$I$6,M279=phu!$I$7,M279=phu!$I$8,M279=phu!$I$9,M279=phu!$I$10,M279=phu!$I$11,M279=phu!$I$12,M279=phu!$I$13,M279=phu!$I$14),"Cam Nghĩa",""),IF(OR(M279=phu!$I$15,M279=phu!$I$16,M279=phu!$I$17,M279=phu!$I$18,M279=phu!$I$19,M279=phu!$I$20,M279=phu!$I$21),"Cam Phúc Bắc",""),IF(OR(M279=phu!$I$22,M279=phu!$I$23,M279=phu!$I$24,M279=phu!$I$25),"Cam Phúc Nam",""),IF(OR(M279=phu!$I$26,M279=phu!$I$27,M279=phu!$I$28,M279=phu!$I$29,M279=phu!$I$30,M279=phu!$I$31),"Cam Phú",""),IF(OR(M279=phu!$I$32,M279=phu!$I$33,M279=phu!$I$34,M279=phu!$I$35,M279=phu!$I$36,M279=phu!$I$37),"Cam Lộc",""),IF(OR(M279=phu!$I$38,M279=phu!$I$39,M279=phu!$I$40,M279=phu!$I$41,M279=phu!$I$42,M279=phu!$I$43,M279=phu!$I$44),"Cam Thuận",""),IF(OR(M279=phu!$I$45,M279=phu!$I$46,M279=phu!$I$47,M279=phu!$I$48,M279=phu!$I$49,M279=phu!$I$50,M279=phu!$I$51,M279=phu!$I$52,M279=phu!$I$53),"Cam Linh",""),IF(OR(M279=phu!$I$54,M279=phu!$I$55,M279=phu!$I$56,M279=phu!$I$57,M279=phu!$I$58,M279=phu!$I$59,M279=phu!$I$60,M279=phu!$I$61,M279=phu!$I$62),"Cam Lợi",""),IF(OR(M279=phu!$I$63,M279=phu!$I$64,M279=phu!$I$65,M279=phu!$I$66,M279=phu!$I$67,M279=phu!$I$68,M279=phu!$I$69,M279=phu!$I$70,M279=phu!$I$71),"Ba Ngòi",""),IF(OR(M279=phu!$I$72,M279=phu!$I$73,M279=phu!$I$74,M279=phu!$I$75,M279=phu!$I$76,M279=phu!$I$77,M279=phu!$I$78),"Cam Phước Đông",""),IF(OR(M279=phu!$I$79,M279=phu!$I$80,M279=phu!$I$81,M279=phu!$I$82,M279=phu!$I$83,M279=phu!$I$84),"Cam Thịnh Đông",""),IF(OR(M279=phu!$I$85,M279=phu!$I$86,M279=phu!$I$87,M279=phu!$I$88),"Cam Thịnh Tây",""),IF(OR(M279=phu!$I$89,M279=phu!$I$90),"Cam Lập",""),IF(OR(M279=phu!$I$91,M279=phu!$I$92,M279=phu!$I$93),"Cam Bình",""),IF(OR(M279=phu!$I$94,M279=phu!$I$95,M279=phu!$I$96,M279=phu!$I$97,M279=phu!$I$98,M279=phu!$I$99,M279=phu!$I$100),"Huyện khác",""),IF(OR(M279=phu!$I$101,M279=phu!$I$102),"Tỉnh khác",""))</f>
        <v/>
      </c>
      <c r="O279" s="814" t="str">
        <f t="shared" si="25"/>
        <v/>
      </c>
      <c r="P279" s="254"/>
      <c r="Q279" s="254"/>
      <c r="R279" s="254"/>
      <c r="S279" s="254"/>
      <c r="T279" s="254"/>
      <c r="U279" s="254"/>
      <c r="V279" s="254"/>
      <c r="W279" s="254"/>
      <c r="Y279" s="246" t="str">
        <f t="shared" si="26"/>
        <v/>
      </c>
      <c r="Z279" s="247" t="str">
        <f t="shared" si="24"/>
        <v/>
      </c>
      <c r="AA279" s="246" t="str">
        <f t="shared" si="27"/>
        <v/>
      </c>
    </row>
    <row r="280" spans="1:27" ht="18" customHeight="1" x14ac:dyDescent="0.25">
      <c r="A280" s="248" t="str">
        <f t="shared" si="28"/>
        <v/>
      </c>
      <c r="B280" s="249" t="str">
        <f t="shared" si="29"/>
        <v/>
      </c>
      <c r="C280" s="250"/>
      <c r="D280" s="251"/>
      <c r="E280" s="241"/>
      <c r="F280" s="252"/>
      <c r="G280" s="252"/>
      <c r="H280" s="253"/>
      <c r="I280" s="250"/>
      <c r="J280" s="250"/>
      <c r="K280" s="270"/>
      <c r="L280" s="250"/>
      <c r="M280" s="250"/>
      <c r="N280" s="553" t="str">
        <f>CONCATENATE(IF(OR(M280=phu!$I$1,M280=phu!$I$2,M280=phu!$I$3),"Cam Thành Nam",""),IF(OR(M280=phu!$I$4,M280=phu!$I$5,M280=phu!$I$6,M280=phu!$I$7,M280=phu!$I$8,M280=phu!$I$9,M280=phu!$I$10,M280=phu!$I$11,M280=phu!$I$12,M280=phu!$I$13,M280=phu!$I$14),"Cam Nghĩa",""),IF(OR(M280=phu!$I$15,M280=phu!$I$16,M280=phu!$I$17,M280=phu!$I$18,M280=phu!$I$19,M280=phu!$I$20,M280=phu!$I$21),"Cam Phúc Bắc",""),IF(OR(M280=phu!$I$22,M280=phu!$I$23,M280=phu!$I$24,M280=phu!$I$25),"Cam Phúc Nam",""),IF(OR(M280=phu!$I$26,M280=phu!$I$27,M280=phu!$I$28,M280=phu!$I$29,M280=phu!$I$30,M280=phu!$I$31),"Cam Phú",""),IF(OR(M280=phu!$I$32,M280=phu!$I$33,M280=phu!$I$34,M280=phu!$I$35,M280=phu!$I$36,M280=phu!$I$37),"Cam Lộc",""),IF(OR(M280=phu!$I$38,M280=phu!$I$39,M280=phu!$I$40,M280=phu!$I$41,M280=phu!$I$42,M280=phu!$I$43,M280=phu!$I$44),"Cam Thuận",""),IF(OR(M280=phu!$I$45,M280=phu!$I$46,M280=phu!$I$47,M280=phu!$I$48,M280=phu!$I$49,M280=phu!$I$50,M280=phu!$I$51,M280=phu!$I$52,M280=phu!$I$53),"Cam Linh",""),IF(OR(M280=phu!$I$54,M280=phu!$I$55,M280=phu!$I$56,M280=phu!$I$57,M280=phu!$I$58,M280=phu!$I$59,M280=phu!$I$60,M280=phu!$I$61,M280=phu!$I$62),"Cam Lợi",""),IF(OR(M280=phu!$I$63,M280=phu!$I$64,M280=phu!$I$65,M280=phu!$I$66,M280=phu!$I$67,M280=phu!$I$68,M280=phu!$I$69,M280=phu!$I$70,M280=phu!$I$71),"Ba Ngòi",""),IF(OR(M280=phu!$I$72,M280=phu!$I$73,M280=phu!$I$74,M280=phu!$I$75,M280=phu!$I$76,M280=phu!$I$77,M280=phu!$I$78),"Cam Phước Đông",""),IF(OR(M280=phu!$I$79,M280=phu!$I$80,M280=phu!$I$81,M280=phu!$I$82,M280=phu!$I$83,M280=phu!$I$84),"Cam Thịnh Đông",""),IF(OR(M280=phu!$I$85,M280=phu!$I$86,M280=phu!$I$87,M280=phu!$I$88),"Cam Thịnh Tây",""),IF(OR(M280=phu!$I$89,M280=phu!$I$90),"Cam Lập",""),IF(OR(M280=phu!$I$91,M280=phu!$I$92,M280=phu!$I$93),"Cam Bình",""),IF(OR(M280=phu!$I$94,M280=phu!$I$95,M280=phu!$I$96,M280=phu!$I$97,M280=phu!$I$98,M280=phu!$I$99,M280=phu!$I$100),"Huyện khác",""),IF(OR(M280=phu!$I$101,M280=phu!$I$102),"Tỉnh khác",""))</f>
        <v/>
      </c>
      <c r="O280" s="814" t="str">
        <f t="shared" si="25"/>
        <v/>
      </c>
      <c r="P280" s="254"/>
      <c r="Q280" s="254"/>
      <c r="R280" s="254"/>
      <c r="S280" s="254"/>
      <c r="T280" s="254"/>
      <c r="U280" s="254"/>
      <c r="V280" s="254"/>
      <c r="W280" s="254"/>
      <c r="Y280" s="246" t="str">
        <f t="shared" si="26"/>
        <v/>
      </c>
      <c r="Z280" s="247" t="str">
        <f t="shared" si="24"/>
        <v/>
      </c>
      <c r="AA280" s="246" t="str">
        <f t="shared" si="27"/>
        <v/>
      </c>
    </row>
    <row r="281" spans="1:27" ht="18" customHeight="1" x14ac:dyDescent="0.25">
      <c r="A281" s="248" t="str">
        <f t="shared" si="28"/>
        <v/>
      </c>
      <c r="B281" s="249" t="str">
        <f t="shared" si="29"/>
        <v/>
      </c>
      <c r="C281" s="250"/>
      <c r="D281" s="251"/>
      <c r="E281" s="241"/>
      <c r="F281" s="252"/>
      <c r="G281" s="252"/>
      <c r="H281" s="253"/>
      <c r="I281" s="250"/>
      <c r="J281" s="250"/>
      <c r="K281" s="270"/>
      <c r="L281" s="250"/>
      <c r="M281" s="250"/>
      <c r="N281" s="553" t="str">
        <f>CONCATENATE(IF(OR(M281=phu!$I$1,M281=phu!$I$2,M281=phu!$I$3),"Cam Thành Nam",""),IF(OR(M281=phu!$I$4,M281=phu!$I$5,M281=phu!$I$6,M281=phu!$I$7,M281=phu!$I$8,M281=phu!$I$9,M281=phu!$I$10,M281=phu!$I$11,M281=phu!$I$12,M281=phu!$I$13,M281=phu!$I$14),"Cam Nghĩa",""),IF(OR(M281=phu!$I$15,M281=phu!$I$16,M281=phu!$I$17,M281=phu!$I$18,M281=phu!$I$19,M281=phu!$I$20,M281=phu!$I$21),"Cam Phúc Bắc",""),IF(OR(M281=phu!$I$22,M281=phu!$I$23,M281=phu!$I$24,M281=phu!$I$25),"Cam Phúc Nam",""),IF(OR(M281=phu!$I$26,M281=phu!$I$27,M281=phu!$I$28,M281=phu!$I$29,M281=phu!$I$30,M281=phu!$I$31),"Cam Phú",""),IF(OR(M281=phu!$I$32,M281=phu!$I$33,M281=phu!$I$34,M281=phu!$I$35,M281=phu!$I$36,M281=phu!$I$37),"Cam Lộc",""),IF(OR(M281=phu!$I$38,M281=phu!$I$39,M281=phu!$I$40,M281=phu!$I$41,M281=phu!$I$42,M281=phu!$I$43,M281=phu!$I$44),"Cam Thuận",""),IF(OR(M281=phu!$I$45,M281=phu!$I$46,M281=phu!$I$47,M281=phu!$I$48,M281=phu!$I$49,M281=phu!$I$50,M281=phu!$I$51,M281=phu!$I$52,M281=phu!$I$53),"Cam Linh",""),IF(OR(M281=phu!$I$54,M281=phu!$I$55,M281=phu!$I$56,M281=phu!$I$57,M281=phu!$I$58,M281=phu!$I$59,M281=phu!$I$60,M281=phu!$I$61,M281=phu!$I$62),"Cam Lợi",""),IF(OR(M281=phu!$I$63,M281=phu!$I$64,M281=phu!$I$65,M281=phu!$I$66,M281=phu!$I$67,M281=phu!$I$68,M281=phu!$I$69,M281=phu!$I$70,M281=phu!$I$71),"Ba Ngòi",""),IF(OR(M281=phu!$I$72,M281=phu!$I$73,M281=phu!$I$74,M281=phu!$I$75,M281=phu!$I$76,M281=phu!$I$77,M281=phu!$I$78),"Cam Phước Đông",""),IF(OR(M281=phu!$I$79,M281=phu!$I$80,M281=phu!$I$81,M281=phu!$I$82,M281=phu!$I$83,M281=phu!$I$84),"Cam Thịnh Đông",""),IF(OR(M281=phu!$I$85,M281=phu!$I$86,M281=phu!$I$87,M281=phu!$I$88),"Cam Thịnh Tây",""),IF(OR(M281=phu!$I$89,M281=phu!$I$90),"Cam Lập",""),IF(OR(M281=phu!$I$91,M281=phu!$I$92,M281=phu!$I$93),"Cam Bình",""),IF(OR(M281=phu!$I$94,M281=phu!$I$95,M281=phu!$I$96,M281=phu!$I$97,M281=phu!$I$98,M281=phu!$I$99,M281=phu!$I$100),"Huyện khác",""),IF(OR(M281=phu!$I$101,M281=phu!$I$102),"Tỉnh khác",""))</f>
        <v/>
      </c>
      <c r="O281" s="814" t="str">
        <f t="shared" si="25"/>
        <v/>
      </c>
      <c r="P281" s="254"/>
      <c r="Q281" s="254"/>
      <c r="R281" s="254"/>
      <c r="S281" s="254"/>
      <c r="T281" s="254"/>
      <c r="U281" s="254"/>
      <c r="V281" s="254"/>
      <c r="W281" s="254"/>
      <c r="Y281" s="246" t="str">
        <f t="shared" si="26"/>
        <v/>
      </c>
      <c r="Z281" s="247" t="str">
        <f t="shared" si="24"/>
        <v/>
      </c>
      <c r="AA281" s="246" t="str">
        <f t="shared" si="27"/>
        <v/>
      </c>
    </row>
    <row r="282" spans="1:27" ht="18" customHeight="1" x14ac:dyDescent="0.25">
      <c r="A282" s="248" t="str">
        <f t="shared" si="28"/>
        <v/>
      </c>
      <c r="B282" s="249" t="str">
        <f t="shared" si="29"/>
        <v/>
      </c>
      <c r="C282" s="250"/>
      <c r="D282" s="251"/>
      <c r="E282" s="241"/>
      <c r="F282" s="252"/>
      <c r="G282" s="252"/>
      <c r="H282" s="253"/>
      <c r="I282" s="250"/>
      <c r="J282" s="250"/>
      <c r="K282" s="270"/>
      <c r="L282" s="250"/>
      <c r="M282" s="250"/>
      <c r="N282" s="553" t="str">
        <f>CONCATENATE(IF(OR(M282=phu!$I$1,M282=phu!$I$2,M282=phu!$I$3),"Cam Thành Nam",""),IF(OR(M282=phu!$I$4,M282=phu!$I$5,M282=phu!$I$6,M282=phu!$I$7,M282=phu!$I$8,M282=phu!$I$9,M282=phu!$I$10,M282=phu!$I$11,M282=phu!$I$12,M282=phu!$I$13,M282=phu!$I$14),"Cam Nghĩa",""),IF(OR(M282=phu!$I$15,M282=phu!$I$16,M282=phu!$I$17,M282=phu!$I$18,M282=phu!$I$19,M282=phu!$I$20,M282=phu!$I$21),"Cam Phúc Bắc",""),IF(OR(M282=phu!$I$22,M282=phu!$I$23,M282=phu!$I$24,M282=phu!$I$25),"Cam Phúc Nam",""),IF(OR(M282=phu!$I$26,M282=phu!$I$27,M282=phu!$I$28,M282=phu!$I$29,M282=phu!$I$30,M282=phu!$I$31),"Cam Phú",""),IF(OR(M282=phu!$I$32,M282=phu!$I$33,M282=phu!$I$34,M282=phu!$I$35,M282=phu!$I$36,M282=phu!$I$37),"Cam Lộc",""),IF(OR(M282=phu!$I$38,M282=phu!$I$39,M282=phu!$I$40,M282=phu!$I$41,M282=phu!$I$42,M282=phu!$I$43,M282=phu!$I$44),"Cam Thuận",""),IF(OR(M282=phu!$I$45,M282=phu!$I$46,M282=phu!$I$47,M282=phu!$I$48,M282=phu!$I$49,M282=phu!$I$50,M282=phu!$I$51,M282=phu!$I$52,M282=phu!$I$53),"Cam Linh",""),IF(OR(M282=phu!$I$54,M282=phu!$I$55,M282=phu!$I$56,M282=phu!$I$57,M282=phu!$I$58,M282=phu!$I$59,M282=phu!$I$60,M282=phu!$I$61,M282=phu!$I$62),"Cam Lợi",""),IF(OR(M282=phu!$I$63,M282=phu!$I$64,M282=phu!$I$65,M282=phu!$I$66,M282=phu!$I$67,M282=phu!$I$68,M282=phu!$I$69,M282=phu!$I$70,M282=phu!$I$71),"Ba Ngòi",""),IF(OR(M282=phu!$I$72,M282=phu!$I$73,M282=phu!$I$74,M282=phu!$I$75,M282=phu!$I$76,M282=phu!$I$77,M282=phu!$I$78),"Cam Phước Đông",""),IF(OR(M282=phu!$I$79,M282=phu!$I$80,M282=phu!$I$81,M282=phu!$I$82,M282=phu!$I$83,M282=phu!$I$84),"Cam Thịnh Đông",""),IF(OR(M282=phu!$I$85,M282=phu!$I$86,M282=phu!$I$87,M282=phu!$I$88),"Cam Thịnh Tây",""),IF(OR(M282=phu!$I$89,M282=phu!$I$90),"Cam Lập",""),IF(OR(M282=phu!$I$91,M282=phu!$I$92,M282=phu!$I$93),"Cam Bình",""),IF(OR(M282=phu!$I$94,M282=phu!$I$95,M282=phu!$I$96,M282=phu!$I$97,M282=phu!$I$98,M282=phu!$I$99,M282=phu!$I$100),"Huyện khác",""),IF(OR(M282=phu!$I$101,M282=phu!$I$102),"Tỉnh khác",""))</f>
        <v/>
      </c>
      <c r="O282" s="814" t="str">
        <f t="shared" si="25"/>
        <v/>
      </c>
      <c r="P282" s="254"/>
      <c r="Q282" s="254"/>
      <c r="R282" s="254"/>
      <c r="S282" s="254"/>
      <c r="T282" s="254"/>
      <c r="U282" s="254"/>
      <c r="V282" s="254"/>
      <c r="W282" s="254"/>
      <c r="Y282" s="246" t="str">
        <f t="shared" si="26"/>
        <v/>
      </c>
      <c r="Z282" s="247" t="str">
        <f t="shared" si="24"/>
        <v/>
      </c>
      <c r="AA282" s="246" t="str">
        <f t="shared" si="27"/>
        <v/>
      </c>
    </row>
    <row r="283" spans="1:27" ht="18" customHeight="1" x14ac:dyDescent="0.25">
      <c r="A283" s="248" t="str">
        <f t="shared" si="28"/>
        <v/>
      </c>
      <c r="B283" s="249" t="str">
        <f t="shared" si="29"/>
        <v/>
      </c>
      <c r="C283" s="250"/>
      <c r="D283" s="251"/>
      <c r="E283" s="241"/>
      <c r="F283" s="252"/>
      <c r="G283" s="252"/>
      <c r="H283" s="253"/>
      <c r="I283" s="250"/>
      <c r="J283" s="250"/>
      <c r="K283" s="270"/>
      <c r="L283" s="250"/>
      <c r="M283" s="250"/>
      <c r="N283" s="553" t="str">
        <f>CONCATENATE(IF(OR(M283=phu!$I$1,M283=phu!$I$2,M283=phu!$I$3),"Cam Thành Nam",""),IF(OR(M283=phu!$I$4,M283=phu!$I$5,M283=phu!$I$6,M283=phu!$I$7,M283=phu!$I$8,M283=phu!$I$9,M283=phu!$I$10,M283=phu!$I$11,M283=phu!$I$12,M283=phu!$I$13,M283=phu!$I$14),"Cam Nghĩa",""),IF(OR(M283=phu!$I$15,M283=phu!$I$16,M283=phu!$I$17,M283=phu!$I$18,M283=phu!$I$19,M283=phu!$I$20,M283=phu!$I$21),"Cam Phúc Bắc",""),IF(OR(M283=phu!$I$22,M283=phu!$I$23,M283=phu!$I$24,M283=phu!$I$25),"Cam Phúc Nam",""),IF(OR(M283=phu!$I$26,M283=phu!$I$27,M283=phu!$I$28,M283=phu!$I$29,M283=phu!$I$30,M283=phu!$I$31),"Cam Phú",""),IF(OR(M283=phu!$I$32,M283=phu!$I$33,M283=phu!$I$34,M283=phu!$I$35,M283=phu!$I$36,M283=phu!$I$37),"Cam Lộc",""),IF(OR(M283=phu!$I$38,M283=phu!$I$39,M283=phu!$I$40,M283=phu!$I$41,M283=phu!$I$42,M283=phu!$I$43,M283=phu!$I$44),"Cam Thuận",""),IF(OR(M283=phu!$I$45,M283=phu!$I$46,M283=phu!$I$47,M283=phu!$I$48,M283=phu!$I$49,M283=phu!$I$50,M283=phu!$I$51,M283=phu!$I$52,M283=phu!$I$53),"Cam Linh",""),IF(OR(M283=phu!$I$54,M283=phu!$I$55,M283=phu!$I$56,M283=phu!$I$57,M283=phu!$I$58,M283=phu!$I$59,M283=phu!$I$60,M283=phu!$I$61,M283=phu!$I$62),"Cam Lợi",""),IF(OR(M283=phu!$I$63,M283=phu!$I$64,M283=phu!$I$65,M283=phu!$I$66,M283=phu!$I$67,M283=phu!$I$68,M283=phu!$I$69,M283=phu!$I$70,M283=phu!$I$71),"Ba Ngòi",""),IF(OR(M283=phu!$I$72,M283=phu!$I$73,M283=phu!$I$74,M283=phu!$I$75,M283=phu!$I$76,M283=phu!$I$77,M283=phu!$I$78),"Cam Phước Đông",""),IF(OR(M283=phu!$I$79,M283=phu!$I$80,M283=phu!$I$81,M283=phu!$I$82,M283=phu!$I$83,M283=phu!$I$84),"Cam Thịnh Đông",""),IF(OR(M283=phu!$I$85,M283=phu!$I$86,M283=phu!$I$87,M283=phu!$I$88),"Cam Thịnh Tây",""),IF(OR(M283=phu!$I$89,M283=phu!$I$90),"Cam Lập",""),IF(OR(M283=phu!$I$91,M283=phu!$I$92,M283=phu!$I$93),"Cam Bình",""),IF(OR(M283=phu!$I$94,M283=phu!$I$95,M283=phu!$I$96,M283=phu!$I$97,M283=phu!$I$98,M283=phu!$I$99,M283=phu!$I$100),"Huyện khác",""),IF(OR(M283=phu!$I$101,M283=phu!$I$102),"Tỉnh khác",""))</f>
        <v/>
      </c>
      <c r="O283" s="814" t="str">
        <f t="shared" si="25"/>
        <v/>
      </c>
      <c r="P283" s="254"/>
      <c r="Q283" s="254"/>
      <c r="R283" s="254"/>
      <c r="S283" s="254"/>
      <c r="T283" s="254"/>
      <c r="U283" s="254"/>
      <c r="V283" s="254"/>
      <c r="W283" s="254"/>
      <c r="Y283" s="246" t="str">
        <f t="shared" si="26"/>
        <v/>
      </c>
      <c r="Z283" s="247" t="str">
        <f t="shared" si="24"/>
        <v/>
      </c>
      <c r="AA283" s="246" t="str">
        <f t="shared" si="27"/>
        <v/>
      </c>
    </row>
    <row r="284" spans="1:27" ht="18" customHeight="1" x14ac:dyDescent="0.25">
      <c r="A284" s="248" t="str">
        <f t="shared" si="28"/>
        <v/>
      </c>
      <c r="B284" s="249" t="str">
        <f t="shared" si="29"/>
        <v/>
      </c>
      <c r="C284" s="250"/>
      <c r="D284" s="251"/>
      <c r="E284" s="241"/>
      <c r="F284" s="252"/>
      <c r="G284" s="252"/>
      <c r="H284" s="253"/>
      <c r="I284" s="250"/>
      <c r="J284" s="250"/>
      <c r="K284" s="270"/>
      <c r="L284" s="250"/>
      <c r="M284" s="250"/>
      <c r="N284" s="553" t="str">
        <f>CONCATENATE(IF(OR(M284=phu!$I$1,M284=phu!$I$2,M284=phu!$I$3),"Cam Thành Nam",""),IF(OR(M284=phu!$I$4,M284=phu!$I$5,M284=phu!$I$6,M284=phu!$I$7,M284=phu!$I$8,M284=phu!$I$9,M284=phu!$I$10,M284=phu!$I$11,M284=phu!$I$12,M284=phu!$I$13,M284=phu!$I$14),"Cam Nghĩa",""),IF(OR(M284=phu!$I$15,M284=phu!$I$16,M284=phu!$I$17,M284=phu!$I$18,M284=phu!$I$19,M284=phu!$I$20,M284=phu!$I$21),"Cam Phúc Bắc",""),IF(OR(M284=phu!$I$22,M284=phu!$I$23,M284=phu!$I$24,M284=phu!$I$25),"Cam Phúc Nam",""),IF(OR(M284=phu!$I$26,M284=phu!$I$27,M284=phu!$I$28,M284=phu!$I$29,M284=phu!$I$30,M284=phu!$I$31),"Cam Phú",""),IF(OR(M284=phu!$I$32,M284=phu!$I$33,M284=phu!$I$34,M284=phu!$I$35,M284=phu!$I$36,M284=phu!$I$37),"Cam Lộc",""),IF(OR(M284=phu!$I$38,M284=phu!$I$39,M284=phu!$I$40,M284=phu!$I$41,M284=phu!$I$42,M284=phu!$I$43,M284=phu!$I$44),"Cam Thuận",""),IF(OR(M284=phu!$I$45,M284=phu!$I$46,M284=phu!$I$47,M284=phu!$I$48,M284=phu!$I$49,M284=phu!$I$50,M284=phu!$I$51,M284=phu!$I$52,M284=phu!$I$53),"Cam Linh",""),IF(OR(M284=phu!$I$54,M284=phu!$I$55,M284=phu!$I$56,M284=phu!$I$57,M284=phu!$I$58,M284=phu!$I$59,M284=phu!$I$60,M284=phu!$I$61,M284=phu!$I$62),"Cam Lợi",""),IF(OR(M284=phu!$I$63,M284=phu!$I$64,M284=phu!$I$65,M284=phu!$I$66,M284=phu!$I$67,M284=phu!$I$68,M284=phu!$I$69,M284=phu!$I$70,M284=phu!$I$71),"Ba Ngòi",""),IF(OR(M284=phu!$I$72,M284=phu!$I$73,M284=phu!$I$74,M284=phu!$I$75,M284=phu!$I$76,M284=phu!$I$77,M284=phu!$I$78),"Cam Phước Đông",""),IF(OR(M284=phu!$I$79,M284=phu!$I$80,M284=phu!$I$81,M284=phu!$I$82,M284=phu!$I$83,M284=phu!$I$84),"Cam Thịnh Đông",""),IF(OR(M284=phu!$I$85,M284=phu!$I$86,M284=phu!$I$87,M284=phu!$I$88),"Cam Thịnh Tây",""),IF(OR(M284=phu!$I$89,M284=phu!$I$90),"Cam Lập",""),IF(OR(M284=phu!$I$91,M284=phu!$I$92,M284=phu!$I$93),"Cam Bình",""),IF(OR(M284=phu!$I$94,M284=phu!$I$95,M284=phu!$I$96,M284=phu!$I$97,M284=phu!$I$98,M284=phu!$I$99,M284=phu!$I$100),"Huyện khác",""),IF(OR(M284=phu!$I$101,M284=phu!$I$102),"Tỉnh khác",""))</f>
        <v/>
      </c>
      <c r="O284" s="814" t="str">
        <f t="shared" si="25"/>
        <v/>
      </c>
      <c r="P284" s="254"/>
      <c r="Q284" s="254"/>
      <c r="R284" s="254"/>
      <c r="S284" s="254"/>
      <c r="T284" s="254"/>
      <c r="U284" s="254"/>
      <c r="V284" s="254"/>
      <c r="W284" s="254"/>
      <c r="Y284" s="246" t="str">
        <f t="shared" si="26"/>
        <v/>
      </c>
      <c r="Z284" s="247" t="str">
        <f t="shared" si="24"/>
        <v/>
      </c>
      <c r="AA284" s="246" t="str">
        <f t="shared" si="27"/>
        <v/>
      </c>
    </row>
    <row r="285" spans="1:27" ht="18" customHeight="1" x14ac:dyDescent="0.25">
      <c r="A285" s="248" t="str">
        <f t="shared" si="28"/>
        <v/>
      </c>
      <c r="B285" s="249" t="str">
        <f t="shared" si="29"/>
        <v/>
      </c>
      <c r="C285" s="250"/>
      <c r="D285" s="251"/>
      <c r="E285" s="241"/>
      <c r="F285" s="252"/>
      <c r="G285" s="252"/>
      <c r="H285" s="253"/>
      <c r="I285" s="250"/>
      <c r="J285" s="250"/>
      <c r="K285" s="270"/>
      <c r="L285" s="250"/>
      <c r="M285" s="250"/>
      <c r="N285" s="553" t="str">
        <f>CONCATENATE(IF(OR(M285=phu!$I$1,M285=phu!$I$2,M285=phu!$I$3),"Cam Thành Nam",""),IF(OR(M285=phu!$I$4,M285=phu!$I$5,M285=phu!$I$6,M285=phu!$I$7,M285=phu!$I$8,M285=phu!$I$9,M285=phu!$I$10,M285=phu!$I$11,M285=phu!$I$12,M285=phu!$I$13,M285=phu!$I$14),"Cam Nghĩa",""),IF(OR(M285=phu!$I$15,M285=phu!$I$16,M285=phu!$I$17,M285=phu!$I$18,M285=phu!$I$19,M285=phu!$I$20,M285=phu!$I$21),"Cam Phúc Bắc",""),IF(OR(M285=phu!$I$22,M285=phu!$I$23,M285=phu!$I$24,M285=phu!$I$25),"Cam Phúc Nam",""),IF(OR(M285=phu!$I$26,M285=phu!$I$27,M285=phu!$I$28,M285=phu!$I$29,M285=phu!$I$30,M285=phu!$I$31),"Cam Phú",""),IF(OR(M285=phu!$I$32,M285=phu!$I$33,M285=phu!$I$34,M285=phu!$I$35,M285=phu!$I$36,M285=phu!$I$37),"Cam Lộc",""),IF(OR(M285=phu!$I$38,M285=phu!$I$39,M285=phu!$I$40,M285=phu!$I$41,M285=phu!$I$42,M285=phu!$I$43,M285=phu!$I$44),"Cam Thuận",""),IF(OR(M285=phu!$I$45,M285=phu!$I$46,M285=phu!$I$47,M285=phu!$I$48,M285=phu!$I$49,M285=phu!$I$50,M285=phu!$I$51,M285=phu!$I$52,M285=phu!$I$53),"Cam Linh",""),IF(OR(M285=phu!$I$54,M285=phu!$I$55,M285=phu!$I$56,M285=phu!$I$57,M285=phu!$I$58,M285=phu!$I$59,M285=phu!$I$60,M285=phu!$I$61,M285=phu!$I$62),"Cam Lợi",""),IF(OR(M285=phu!$I$63,M285=phu!$I$64,M285=phu!$I$65,M285=phu!$I$66,M285=phu!$I$67,M285=phu!$I$68,M285=phu!$I$69,M285=phu!$I$70,M285=phu!$I$71),"Ba Ngòi",""),IF(OR(M285=phu!$I$72,M285=phu!$I$73,M285=phu!$I$74,M285=phu!$I$75,M285=phu!$I$76,M285=phu!$I$77,M285=phu!$I$78),"Cam Phước Đông",""),IF(OR(M285=phu!$I$79,M285=phu!$I$80,M285=phu!$I$81,M285=phu!$I$82,M285=phu!$I$83,M285=phu!$I$84),"Cam Thịnh Đông",""),IF(OR(M285=phu!$I$85,M285=phu!$I$86,M285=phu!$I$87,M285=phu!$I$88),"Cam Thịnh Tây",""),IF(OR(M285=phu!$I$89,M285=phu!$I$90),"Cam Lập",""),IF(OR(M285=phu!$I$91,M285=phu!$I$92,M285=phu!$I$93),"Cam Bình",""),IF(OR(M285=phu!$I$94,M285=phu!$I$95,M285=phu!$I$96,M285=phu!$I$97,M285=phu!$I$98,M285=phu!$I$99,M285=phu!$I$100),"Huyện khác",""),IF(OR(M285=phu!$I$101,M285=phu!$I$102),"Tỉnh khác",""))</f>
        <v/>
      </c>
      <c r="O285" s="814" t="str">
        <f t="shared" si="25"/>
        <v/>
      </c>
      <c r="P285" s="254"/>
      <c r="Q285" s="254"/>
      <c r="R285" s="254"/>
      <c r="S285" s="254"/>
      <c r="T285" s="254"/>
      <c r="U285" s="254"/>
      <c r="V285" s="254"/>
      <c r="W285" s="254"/>
      <c r="Y285" s="246" t="str">
        <f t="shared" si="26"/>
        <v/>
      </c>
      <c r="Z285" s="247" t="str">
        <f t="shared" si="24"/>
        <v/>
      </c>
      <c r="AA285" s="246" t="str">
        <f t="shared" si="27"/>
        <v/>
      </c>
    </row>
    <row r="286" spans="1:27" ht="18" customHeight="1" x14ac:dyDescent="0.25">
      <c r="A286" s="248" t="str">
        <f t="shared" si="28"/>
        <v/>
      </c>
      <c r="B286" s="249" t="str">
        <f t="shared" si="29"/>
        <v/>
      </c>
      <c r="C286" s="250"/>
      <c r="D286" s="251"/>
      <c r="E286" s="241"/>
      <c r="F286" s="252"/>
      <c r="G286" s="252"/>
      <c r="H286" s="253"/>
      <c r="I286" s="250"/>
      <c r="J286" s="250"/>
      <c r="K286" s="270"/>
      <c r="L286" s="250"/>
      <c r="M286" s="250"/>
      <c r="N286" s="553" t="str">
        <f>CONCATENATE(IF(OR(M286=phu!$I$1,M286=phu!$I$2,M286=phu!$I$3),"Cam Thành Nam",""),IF(OR(M286=phu!$I$4,M286=phu!$I$5,M286=phu!$I$6,M286=phu!$I$7,M286=phu!$I$8,M286=phu!$I$9,M286=phu!$I$10,M286=phu!$I$11,M286=phu!$I$12,M286=phu!$I$13,M286=phu!$I$14),"Cam Nghĩa",""),IF(OR(M286=phu!$I$15,M286=phu!$I$16,M286=phu!$I$17,M286=phu!$I$18,M286=phu!$I$19,M286=phu!$I$20,M286=phu!$I$21),"Cam Phúc Bắc",""),IF(OR(M286=phu!$I$22,M286=phu!$I$23,M286=phu!$I$24,M286=phu!$I$25),"Cam Phúc Nam",""),IF(OR(M286=phu!$I$26,M286=phu!$I$27,M286=phu!$I$28,M286=phu!$I$29,M286=phu!$I$30,M286=phu!$I$31),"Cam Phú",""),IF(OR(M286=phu!$I$32,M286=phu!$I$33,M286=phu!$I$34,M286=phu!$I$35,M286=phu!$I$36,M286=phu!$I$37),"Cam Lộc",""),IF(OR(M286=phu!$I$38,M286=phu!$I$39,M286=phu!$I$40,M286=phu!$I$41,M286=phu!$I$42,M286=phu!$I$43,M286=phu!$I$44),"Cam Thuận",""),IF(OR(M286=phu!$I$45,M286=phu!$I$46,M286=phu!$I$47,M286=phu!$I$48,M286=phu!$I$49,M286=phu!$I$50,M286=phu!$I$51,M286=phu!$I$52,M286=phu!$I$53),"Cam Linh",""),IF(OR(M286=phu!$I$54,M286=phu!$I$55,M286=phu!$I$56,M286=phu!$I$57,M286=phu!$I$58,M286=phu!$I$59,M286=phu!$I$60,M286=phu!$I$61,M286=phu!$I$62),"Cam Lợi",""),IF(OR(M286=phu!$I$63,M286=phu!$I$64,M286=phu!$I$65,M286=phu!$I$66,M286=phu!$I$67,M286=phu!$I$68,M286=phu!$I$69,M286=phu!$I$70,M286=phu!$I$71),"Ba Ngòi",""),IF(OR(M286=phu!$I$72,M286=phu!$I$73,M286=phu!$I$74,M286=phu!$I$75,M286=phu!$I$76,M286=phu!$I$77,M286=phu!$I$78),"Cam Phước Đông",""),IF(OR(M286=phu!$I$79,M286=phu!$I$80,M286=phu!$I$81,M286=phu!$I$82,M286=phu!$I$83,M286=phu!$I$84),"Cam Thịnh Đông",""),IF(OR(M286=phu!$I$85,M286=phu!$I$86,M286=phu!$I$87,M286=phu!$I$88),"Cam Thịnh Tây",""),IF(OR(M286=phu!$I$89,M286=phu!$I$90),"Cam Lập",""),IF(OR(M286=phu!$I$91,M286=phu!$I$92,M286=phu!$I$93),"Cam Bình",""),IF(OR(M286=phu!$I$94,M286=phu!$I$95,M286=phu!$I$96,M286=phu!$I$97,M286=phu!$I$98,M286=phu!$I$99,M286=phu!$I$100),"Huyện khác",""),IF(OR(M286=phu!$I$101,M286=phu!$I$102),"Tỉnh khác",""))</f>
        <v/>
      </c>
      <c r="O286" s="814" t="str">
        <f t="shared" si="25"/>
        <v/>
      </c>
      <c r="P286" s="254"/>
      <c r="Q286" s="254"/>
      <c r="R286" s="254"/>
      <c r="S286" s="254"/>
      <c r="T286" s="254"/>
      <c r="U286" s="254"/>
      <c r="V286" s="254"/>
      <c r="W286" s="254"/>
      <c r="Y286" s="246" t="str">
        <f t="shared" si="26"/>
        <v/>
      </c>
      <c r="Z286" s="247" t="str">
        <f t="shared" si="24"/>
        <v/>
      </c>
      <c r="AA286" s="246" t="str">
        <f t="shared" si="27"/>
        <v/>
      </c>
    </row>
    <row r="287" spans="1:27" ht="18" customHeight="1" x14ac:dyDescent="0.25">
      <c r="A287" s="248" t="str">
        <f t="shared" si="28"/>
        <v/>
      </c>
      <c r="B287" s="249" t="str">
        <f t="shared" si="29"/>
        <v/>
      </c>
      <c r="C287" s="250"/>
      <c r="D287" s="251"/>
      <c r="E287" s="241"/>
      <c r="F287" s="252"/>
      <c r="G287" s="252"/>
      <c r="H287" s="253"/>
      <c r="I287" s="250"/>
      <c r="J287" s="250"/>
      <c r="K287" s="270"/>
      <c r="L287" s="250"/>
      <c r="M287" s="250"/>
      <c r="N287" s="553" t="str">
        <f>CONCATENATE(IF(OR(M287=phu!$I$1,M287=phu!$I$2,M287=phu!$I$3),"Cam Thành Nam",""),IF(OR(M287=phu!$I$4,M287=phu!$I$5,M287=phu!$I$6,M287=phu!$I$7,M287=phu!$I$8,M287=phu!$I$9,M287=phu!$I$10,M287=phu!$I$11,M287=phu!$I$12,M287=phu!$I$13,M287=phu!$I$14),"Cam Nghĩa",""),IF(OR(M287=phu!$I$15,M287=phu!$I$16,M287=phu!$I$17,M287=phu!$I$18,M287=phu!$I$19,M287=phu!$I$20,M287=phu!$I$21),"Cam Phúc Bắc",""),IF(OR(M287=phu!$I$22,M287=phu!$I$23,M287=phu!$I$24,M287=phu!$I$25),"Cam Phúc Nam",""),IF(OR(M287=phu!$I$26,M287=phu!$I$27,M287=phu!$I$28,M287=phu!$I$29,M287=phu!$I$30,M287=phu!$I$31),"Cam Phú",""),IF(OR(M287=phu!$I$32,M287=phu!$I$33,M287=phu!$I$34,M287=phu!$I$35,M287=phu!$I$36,M287=phu!$I$37),"Cam Lộc",""),IF(OR(M287=phu!$I$38,M287=phu!$I$39,M287=phu!$I$40,M287=phu!$I$41,M287=phu!$I$42,M287=phu!$I$43,M287=phu!$I$44),"Cam Thuận",""),IF(OR(M287=phu!$I$45,M287=phu!$I$46,M287=phu!$I$47,M287=phu!$I$48,M287=phu!$I$49,M287=phu!$I$50,M287=phu!$I$51,M287=phu!$I$52,M287=phu!$I$53),"Cam Linh",""),IF(OR(M287=phu!$I$54,M287=phu!$I$55,M287=phu!$I$56,M287=phu!$I$57,M287=phu!$I$58,M287=phu!$I$59,M287=phu!$I$60,M287=phu!$I$61,M287=phu!$I$62),"Cam Lợi",""),IF(OR(M287=phu!$I$63,M287=phu!$I$64,M287=phu!$I$65,M287=phu!$I$66,M287=phu!$I$67,M287=phu!$I$68,M287=phu!$I$69,M287=phu!$I$70,M287=phu!$I$71),"Ba Ngòi",""),IF(OR(M287=phu!$I$72,M287=phu!$I$73,M287=phu!$I$74,M287=phu!$I$75,M287=phu!$I$76,M287=phu!$I$77,M287=phu!$I$78),"Cam Phước Đông",""),IF(OR(M287=phu!$I$79,M287=phu!$I$80,M287=phu!$I$81,M287=phu!$I$82,M287=phu!$I$83,M287=phu!$I$84),"Cam Thịnh Đông",""),IF(OR(M287=phu!$I$85,M287=phu!$I$86,M287=phu!$I$87,M287=phu!$I$88),"Cam Thịnh Tây",""),IF(OR(M287=phu!$I$89,M287=phu!$I$90),"Cam Lập",""),IF(OR(M287=phu!$I$91,M287=phu!$I$92,M287=phu!$I$93),"Cam Bình",""),IF(OR(M287=phu!$I$94,M287=phu!$I$95,M287=phu!$I$96,M287=phu!$I$97,M287=phu!$I$98,M287=phu!$I$99,M287=phu!$I$100),"Huyện khác",""),IF(OR(M287=phu!$I$101,M287=phu!$I$102),"Tỉnh khác",""))</f>
        <v/>
      </c>
      <c r="O287" s="814" t="str">
        <f t="shared" si="25"/>
        <v/>
      </c>
      <c r="P287" s="254"/>
      <c r="Q287" s="254"/>
      <c r="R287" s="254"/>
      <c r="S287" s="254"/>
      <c r="T287" s="254"/>
      <c r="U287" s="254"/>
      <c r="V287" s="254"/>
      <c r="W287" s="254"/>
      <c r="Y287" s="246" t="str">
        <f t="shared" si="26"/>
        <v/>
      </c>
      <c r="Z287" s="247" t="str">
        <f t="shared" si="24"/>
        <v/>
      </c>
      <c r="AA287" s="246" t="str">
        <f t="shared" si="27"/>
        <v/>
      </c>
    </row>
    <row r="288" spans="1:27" ht="18" customHeight="1" x14ac:dyDescent="0.25">
      <c r="A288" s="248" t="str">
        <f t="shared" si="28"/>
        <v/>
      </c>
      <c r="B288" s="249" t="str">
        <f t="shared" si="29"/>
        <v/>
      </c>
      <c r="C288" s="250"/>
      <c r="D288" s="251"/>
      <c r="E288" s="241"/>
      <c r="F288" s="252"/>
      <c r="G288" s="252"/>
      <c r="H288" s="253"/>
      <c r="I288" s="250"/>
      <c r="J288" s="250"/>
      <c r="K288" s="270"/>
      <c r="L288" s="250"/>
      <c r="M288" s="250"/>
      <c r="N288" s="553" t="str">
        <f>CONCATENATE(IF(OR(M288=phu!$I$1,M288=phu!$I$2,M288=phu!$I$3),"Cam Thành Nam",""),IF(OR(M288=phu!$I$4,M288=phu!$I$5,M288=phu!$I$6,M288=phu!$I$7,M288=phu!$I$8,M288=phu!$I$9,M288=phu!$I$10,M288=phu!$I$11,M288=phu!$I$12,M288=phu!$I$13,M288=phu!$I$14),"Cam Nghĩa",""),IF(OR(M288=phu!$I$15,M288=phu!$I$16,M288=phu!$I$17,M288=phu!$I$18,M288=phu!$I$19,M288=phu!$I$20,M288=phu!$I$21),"Cam Phúc Bắc",""),IF(OR(M288=phu!$I$22,M288=phu!$I$23,M288=phu!$I$24,M288=phu!$I$25),"Cam Phúc Nam",""),IF(OR(M288=phu!$I$26,M288=phu!$I$27,M288=phu!$I$28,M288=phu!$I$29,M288=phu!$I$30,M288=phu!$I$31),"Cam Phú",""),IF(OR(M288=phu!$I$32,M288=phu!$I$33,M288=phu!$I$34,M288=phu!$I$35,M288=phu!$I$36,M288=phu!$I$37),"Cam Lộc",""),IF(OR(M288=phu!$I$38,M288=phu!$I$39,M288=phu!$I$40,M288=phu!$I$41,M288=phu!$I$42,M288=phu!$I$43,M288=phu!$I$44),"Cam Thuận",""),IF(OR(M288=phu!$I$45,M288=phu!$I$46,M288=phu!$I$47,M288=phu!$I$48,M288=phu!$I$49,M288=phu!$I$50,M288=phu!$I$51,M288=phu!$I$52,M288=phu!$I$53),"Cam Linh",""),IF(OR(M288=phu!$I$54,M288=phu!$I$55,M288=phu!$I$56,M288=phu!$I$57,M288=phu!$I$58,M288=phu!$I$59,M288=phu!$I$60,M288=phu!$I$61,M288=phu!$I$62),"Cam Lợi",""),IF(OR(M288=phu!$I$63,M288=phu!$I$64,M288=phu!$I$65,M288=phu!$I$66,M288=phu!$I$67,M288=phu!$I$68,M288=phu!$I$69,M288=phu!$I$70,M288=phu!$I$71),"Ba Ngòi",""),IF(OR(M288=phu!$I$72,M288=phu!$I$73,M288=phu!$I$74,M288=phu!$I$75,M288=phu!$I$76,M288=phu!$I$77,M288=phu!$I$78),"Cam Phước Đông",""),IF(OR(M288=phu!$I$79,M288=phu!$I$80,M288=phu!$I$81,M288=phu!$I$82,M288=phu!$I$83,M288=phu!$I$84),"Cam Thịnh Đông",""),IF(OR(M288=phu!$I$85,M288=phu!$I$86,M288=phu!$I$87,M288=phu!$I$88),"Cam Thịnh Tây",""),IF(OR(M288=phu!$I$89,M288=phu!$I$90),"Cam Lập",""),IF(OR(M288=phu!$I$91,M288=phu!$I$92,M288=phu!$I$93),"Cam Bình",""),IF(OR(M288=phu!$I$94,M288=phu!$I$95,M288=phu!$I$96,M288=phu!$I$97,M288=phu!$I$98,M288=phu!$I$99,M288=phu!$I$100),"Huyện khác",""),IF(OR(M288=phu!$I$101,M288=phu!$I$102),"Tỉnh khác",""))</f>
        <v/>
      </c>
      <c r="O288" s="814" t="str">
        <f t="shared" si="25"/>
        <v/>
      </c>
      <c r="P288" s="254"/>
      <c r="Q288" s="254"/>
      <c r="R288" s="254"/>
      <c r="S288" s="254"/>
      <c r="T288" s="254"/>
      <c r="U288" s="254"/>
      <c r="V288" s="254"/>
      <c r="W288" s="254"/>
      <c r="Y288" s="246" t="str">
        <f t="shared" si="26"/>
        <v/>
      </c>
      <c r="Z288" s="247" t="str">
        <f t="shared" si="24"/>
        <v/>
      </c>
      <c r="AA288" s="246" t="str">
        <f t="shared" si="27"/>
        <v/>
      </c>
    </row>
    <row r="289" spans="1:27" ht="18" customHeight="1" x14ac:dyDescent="0.25">
      <c r="A289" s="248" t="str">
        <f t="shared" si="28"/>
        <v/>
      </c>
      <c r="B289" s="249" t="str">
        <f t="shared" si="29"/>
        <v/>
      </c>
      <c r="C289" s="250"/>
      <c r="D289" s="251"/>
      <c r="E289" s="241"/>
      <c r="F289" s="252"/>
      <c r="G289" s="252"/>
      <c r="H289" s="253"/>
      <c r="I289" s="250"/>
      <c r="J289" s="250"/>
      <c r="K289" s="270"/>
      <c r="L289" s="250"/>
      <c r="M289" s="250"/>
      <c r="N289" s="553" t="str">
        <f>CONCATENATE(IF(OR(M289=phu!$I$1,M289=phu!$I$2,M289=phu!$I$3),"Cam Thành Nam",""),IF(OR(M289=phu!$I$4,M289=phu!$I$5,M289=phu!$I$6,M289=phu!$I$7,M289=phu!$I$8,M289=phu!$I$9,M289=phu!$I$10,M289=phu!$I$11,M289=phu!$I$12,M289=phu!$I$13,M289=phu!$I$14),"Cam Nghĩa",""),IF(OR(M289=phu!$I$15,M289=phu!$I$16,M289=phu!$I$17,M289=phu!$I$18,M289=phu!$I$19,M289=phu!$I$20,M289=phu!$I$21),"Cam Phúc Bắc",""),IF(OR(M289=phu!$I$22,M289=phu!$I$23,M289=phu!$I$24,M289=phu!$I$25),"Cam Phúc Nam",""),IF(OR(M289=phu!$I$26,M289=phu!$I$27,M289=phu!$I$28,M289=phu!$I$29,M289=phu!$I$30,M289=phu!$I$31),"Cam Phú",""),IF(OR(M289=phu!$I$32,M289=phu!$I$33,M289=phu!$I$34,M289=phu!$I$35,M289=phu!$I$36,M289=phu!$I$37),"Cam Lộc",""),IF(OR(M289=phu!$I$38,M289=phu!$I$39,M289=phu!$I$40,M289=phu!$I$41,M289=phu!$I$42,M289=phu!$I$43,M289=phu!$I$44),"Cam Thuận",""),IF(OR(M289=phu!$I$45,M289=phu!$I$46,M289=phu!$I$47,M289=phu!$I$48,M289=phu!$I$49,M289=phu!$I$50,M289=phu!$I$51,M289=phu!$I$52,M289=phu!$I$53),"Cam Linh",""),IF(OR(M289=phu!$I$54,M289=phu!$I$55,M289=phu!$I$56,M289=phu!$I$57,M289=phu!$I$58,M289=phu!$I$59,M289=phu!$I$60,M289=phu!$I$61,M289=phu!$I$62),"Cam Lợi",""),IF(OR(M289=phu!$I$63,M289=phu!$I$64,M289=phu!$I$65,M289=phu!$I$66,M289=phu!$I$67,M289=phu!$I$68,M289=phu!$I$69,M289=phu!$I$70,M289=phu!$I$71),"Ba Ngòi",""),IF(OR(M289=phu!$I$72,M289=phu!$I$73,M289=phu!$I$74,M289=phu!$I$75,M289=phu!$I$76,M289=phu!$I$77,M289=phu!$I$78),"Cam Phước Đông",""),IF(OR(M289=phu!$I$79,M289=phu!$I$80,M289=phu!$I$81,M289=phu!$I$82,M289=phu!$I$83,M289=phu!$I$84),"Cam Thịnh Đông",""),IF(OR(M289=phu!$I$85,M289=phu!$I$86,M289=phu!$I$87,M289=phu!$I$88),"Cam Thịnh Tây",""),IF(OR(M289=phu!$I$89,M289=phu!$I$90),"Cam Lập",""),IF(OR(M289=phu!$I$91,M289=phu!$I$92,M289=phu!$I$93),"Cam Bình",""),IF(OR(M289=phu!$I$94,M289=phu!$I$95,M289=phu!$I$96,M289=phu!$I$97,M289=phu!$I$98,M289=phu!$I$99,M289=phu!$I$100),"Huyện khác",""),IF(OR(M289=phu!$I$101,M289=phu!$I$102),"Tỉnh khác",""))</f>
        <v/>
      </c>
      <c r="O289" s="814" t="str">
        <f t="shared" si="25"/>
        <v/>
      </c>
      <c r="P289" s="254"/>
      <c r="Q289" s="254"/>
      <c r="R289" s="254"/>
      <c r="S289" s="254"/>
      <c r="T289" s="254"/>
      <c r="U289" s="254"/>
      <c r="V289" s="254"/>
      <c r="W289" s="254"/>
      <c r="Y289" s="246" t="str">
        <f t="shared" si="26"/>
        <v/>
      </c>
      <c r="Z289" s="247" t="str">
        <f t="shared" si="24"/>
        <v/>
      </c>
      <c r="AA289" s="246" t="str">
        <f t="shared" si="27"/>
        <v/>
      </c>
    </row>
    <row r="290" spans="1:27" ht="18" customHeight="1" x14ac:dyDescent="0.25">
      <c r="A290" s="248" t="str">
        <f t="shared" si="28"/>
        <v/>
      </c>
      <c r="B290" s="249" t="str">
        <f t="shared" si="29"/>
        <v/>
      </c>
      <c r="C290" s="250"/>
      <c r="D290" s="251"/>
      <c r="E290" s="241"/>
      <c r="F290" s="252"/>
      <c r="G290" s="252"/>
      <c r="H290" s="253"/>
      <c r="I290" s="250"/>
      <c r="J290" s="250"/>
      <c r="K290" s="270"/>
      <c r="L290" s="250"/>
      <c r="M290" s="250"/>
      <c r="N290" s="553" t="str">
        <f>CONCATENATE(IF(OR(M290=phu!$I$1,M290=phu!$I$2,M290=phu!$I$3),"Cam Thành Nam",""),IF(OR(M290=phu!$I$4,M290=phu!$I$5,M290=phu!$I$6,M290=phu!$I$7,M290=phu!$I$8,M290=phu!$I$9,M290=phu!$I$10,M290=phu!$I$11,M290=phu!$I$12,M290=phu!$I$13,M290=phu!$I$14),"Cam Nghĩa",""),IF(OR(M290=phu!$I$15,M290=phu!$I$16,M290=phu!$I$17,M290=phu!$I$18,M290=phu!$I$19,M290=phu!$I$20,M290=phu!$I$21),"Cam Phúc Bắc",""),IF(OR(M290=phu!$I$22,M290=phu!$I$23,M290=phu!$I$24,M290=phu!$I$25),"Cam Phúc Nam",""),IF(OR(M290=phu!$I$26,M290=phu!$I$27,M290=phu!$I$28,M290=phu!$I$29,M290=phu!$I$30,M290=phu!$I$31),"Cam Phú",""),IF(OR(M290=phu!$I$32,M290=phu!$I$33,M290=phu!$I$34,M290=phu!$I$35,M290=phu!$I$36,M290=phu!$I$37),"Cam Lộc",""),IF(OR(M290=phu!$I$38,M290=phu!$I$39,M290=phu!$I$40,M290=phu!$I$41,M290=phu!$I$42,M290=phu!$I$43,M290=phu!$I$44),"Cam Thuận",""),IF(OR(M290=phu!$I$45,M290=phu!$I$46,M290=phu!$I$47,M290=phu!$I$48,M290=phu!$I$49,M290=phu!$I$50,M290=phu!$I$51,M290=phu!$I$52,M290=phu!$I$53),"Cam Linh",""),IF(OR(M290=phu!$I$54,M290=phu!$I$55,M290=phu!$I$56,M290=phu!$I$57,M290=phu!$I$58,M290=phu!$I$59,M290=phu!$I$60,M290=phu!$I$61,M290=phu!$I$62),"Cam Lợi",""),IF(OR(M290=phu!$I$63,M290=phu!$I$64,M290=phu!$I$65,M290=phu!$I$66,M290=phu!$I$67,M290=phu!$I$68,M290=phu!$I$69,M290=phu!$I$70,M290=phu!$I$71),"Ba Ngòi",""),IF(OR(M290=phu!$I$72,M290=phu!$I$73,M290=phu!$I$74,M290=phu!$I$75,M290=phu!$I$76,M290=phu!$I$77,M290=phu!$I$78),"Cam Phước Đông",""),IF(OR(M290=phu!$I$79,M290=phu!$I$80,M290=phu!$I$81,M290=phu!$I$82,M290=phu!$I$83,M290=phu!$I$84),"Cam Thịnh Đông",""),IF(OR(M290=phu!$I$85,M290=phu!$I$86,M290=phu!$I$87,M290=phu!$I$88),"Cam Thịnh Tây",""),IF(OR(M290=phu!$I$89,M290=phu!$I$90),"Cam Lập",""),IF(OR(M290=phu!$I$91,M290=phu!$I$92,M290=phu!$I$93),"Cam Bình",""),IF(OR(M290=phu!$I$94,M290=phu!$I$95,M290=phu!$I$96,M290=phu!$I$97,M290=phu!$I$98,M290=phu!$I$99,M290=phu!$I$100),"Huyện khác",""),IF(OR(M290=phu!$I$101,M290=phu!$I$102),"Tỉnh khác",""))</f>
        <v/>
      </c>
      <c r="O290" s="814" t="str">
        <f t="shared" si="25"/>
        <v/>
      </c>
      <c r="P290" s="254"/>
      <c r="Q290" s="254"/>
      <c r="R290" s="254"/>
      <c r="S290" s="254"/>
      <c r="T290" s="254"/>
      <c r="U290" s="254"/>
      <c r="V290" s="254"/>
      <c r="W290" s="254"/>
      <c r="Y290" s="246" t="str">
        <f t="shared" si="26"/>
        <v/>
      </c>
      <c r="Z290" s="247" t="str">
        <f t="shared" si="24"/>
        <v/>
      </c>
      <c r="AA290" s="246" t="str">
        <f t="shared" si="27"/>
        <v/>
      </c>
    </row>
    <row r="291" spans="1:27" ht="18" customHeight="1" x14ac:dyDescent="0.25">
      <c r="A291" s="248" t="str">
        <f t="shared" si="28"/>
        <v/>
      </c>
      <c r="B291" s="249" t="str">
        <f t="shared" si="29"/>
        <v/>
      </c>
      <c r="C291" s="250"/>
      <c r="D291" s="251"/>
      <c r="E291" s="241"/>
      <c r="F291" s="252"/>
      <c r="G291" s="252"/>
      <c r="H291" s="253"/>
      <c r="I291" s="250"/>
      <c r="J291" s="250"/>
      <c r="K291" s="270"/>
      <c r="L291" s="250"/>
      <c r="M291" s="250"/>
      <c r="N291" s="553" t="str">
        <f>CONCATENATE(IF(OR(M291=phu!$I$1,M291=phu!$I$2,M291=phu!$I$3),"Cam Thành Nam",""),IF(OR(M291=phu!$I$4,M291=phu!$I$5,M291=phu!$I$6,M291=phu!$I$7,M291=phu!$I$8,M291=phu!$I$9,M291=phu!$I$10,M291=phu!$I$11,M291=phu!$I$12,M291=phu!$I$13,M291=phu!$I$14),"Cam Nghĩa",""),IF(OR(M291=phu!$I$15,M291=phu!$I$16,M291=phu!$I$17,M291=phu!$I$18,M291=phu!$I$19,M291=phu!$I$20,M291=phu!$I$21),"Cam Phúc Bắc",""),IF(OR(M291=phu!$I$22,M291=phu!$I$23,M291=phu!$I$24,M291=phu!$I$25),"Cam Phúc Nam",""),IF(OR(M291=phu!$I$26,M291=phu!$I$27,M291=phu!$I$28,M291=phu!$I$29,M291=phu!$I$30,M291=phu!$I$31),"Cam Phú",""),IF(OR(M291=phu!$I$32,M291=phu!$I$33,M291=phu!$I$34,M291=phu!$I$35,M291=phu!$I$36,M291=phu!$I$37),"Cam Lộc",""),IF(OR(M291=phu!$I$38,M291=phu!$I$39,M291=phu!$I$40,M291=phu!$I$41,M291=phu!$I$42,M291=phu!$I$43,M291=phu!$I$44),"Cam Thuận",""),IF(OR(M291=phu!$I$45,M291=phu!$I$46,M291=phu!$I$47,M291=phu!$I$48,M291=phu!$I$49,M291=phu!$I$50,M291=phu!$I$51,M291=phu!$I$52,M291=phu!$I$53),"Cam Linh",""),IF(OR(M291=phu!$I$54,M291=phu!$I$55,M291=phu!$I$56,M291=phu!$I$57,M291=phu!$I$58,M291=phu!$I$59,M291=phu!$I$60,M291=phu!$I$61,M291=phu!$I$62),"Cam Lợi",""),IF(OR(M291=phu!$I$63,M291=phu!$I$64,M291=phu!$I$65,M291=phu!$I$66,M291=phu!$I$67,M291=phu!$I$68,M291=phu!$I$69,M291=phu!$I$70,M291=phu!$I$71),"Ba Ngòi",""),IF(OR(M291=phu!$I$72,M291=phu!$I$73,M291=phu!$I$74,M291=phu!$I$75,M291=phu!$I$76,M291=phu!$I$77,M291=phu!$I$78),"Cam Phước Đông",""),IF(OR(M291=phu!$I$79,M291=phu!$I$80,M291=phu!$I$81,M291=phu!$I$82,M291=phu!$I$83,M291=phu!$I$84),"Cam Thịnh Đông",""),IF(OR(M291=phu!$I$85,M291=phu!$I$86,M291=phu!$I$87,M291=phu!$I$88),"Cam Thịnh Tây",""),IF(OR(M291=phu!$I$89,M291=phu!$I$90),"Cam Lập",""),IF(OR(M291=phu!$I$91,M291=phu!$I$92,M291=phu!$I$93),"Cam Bình",""),IF(OR(M291=phu!$I$94,M291=phu!$I$95,M291=phu!$I$96,M291=phu!$I$97,M291=phu!$I$98,M291=phu!$I$99,M291=phu!$I$100),"Huyện khác",""),IF(OR(M291=phu!$I$101,M291=phu!$I$102),"Tỉnh khác",""))</f>
        <v/>
      </c>
      <c r="O291" s="814" t="str">
        <f t="shared" si="25"/>
        <v/>
      </c>
      <c r="P291" s="254"/>
      <c r="Q291" s="254"/>
      <c r="R291" s="254"/>
      <c r="S291" s="254"/>
      <c r="T291" s="254"/>
      <c r="U291" s="254"/>
      <c r="V291" s="254"/>
      <c r="W291" s="254"/>
      <c r="Y291" s="246" t="str">
        <f t="shared" si="26"/>
        <v/>
      </c>
      <c r="Z291" s="247" t="str">
        <f t="shared" si="24"/>
        <v/>
      </c>
      <c r="AA291" s="246" t="str">
        <f t="shared" si="27"/>
        <v/>
      </c>
    </row>
    <row r="292" spans="1:27" ht="18" customHeight="1" x14ac:dyDescent="0.25">
      <c r="A292" s="248" t="str">
        <f t="shared" si="28"/>
        <v/>
      </c>
      <c r="B292" s="249" t="str">
        <f t="shared" si="29"/>
        <v/>
      </c>
      <c r="C292" s="250"/>
      <c r="D292" s="251"/>
      <c r="E292" s="241"/>
      <c r="F292" s="252"/>
      <c r="G292" s="252"/>
      <c r="H292" s="253"/>
      <c r="I292" s="250"/>
      <c r="J292" s="250"/>
      <c r="K292" s="270"/>
      <c r="L292" s="250"/>
      <c r="M292" s="250"/>
      <c r="N292" s="553" t="str">
        <f>CONCATENATE(IF(OR(M292=phu!$I$1,M292=phu!$I$2,M292=phu!$I$3),"Cam Thành Nam",""),IF(OR(M292=phu!$I$4,M292=phu!$I$5,M292=phu!$I$6,M292=phu!$I$7,M292=phu!$I$8,M292=phu!$I$9,M292=phu!$I$10,M292=phu!$I$11,M292=phu!$I$12,M292=phu!$I$13,M292=phu!$I$14),"Cam Nghĩa",""),IF(OR(M292=phu!$I$15,M292=phu!$I$16,M292=phu!$I$17,M292=phu!$I$18,M292=phu!$I$19,M292=phu!$I$20,M292=phu!$I$21),"Cam Phúc Bắc",""),IF(OR(M292=phu!$I$22,M292=phu!$I$23,M292=phu!$I$24,M292=phu!$I$25),"Cam Phúc Nam",""),IF(OR(M292=phu!$I$26,M292=phu!$I$27,M292=phu!$I$28,M292=phu!$I$29,M292=phu!$I$30,M292=phu!$I$31),"Cam Phú",""),IF(OR(M292=phu!$I$32,M292=phu!$I$33,M292=phu!$I$34,M292=phu!$I$35,M292=phu!$I$36,M292=phu!$I$37),"Cam Lộc",""),IF(OR(M292=phu!$I$38,M292=phu!$I$39,M292=phu!$I$40,M292=phu!$I$41,M292=phu!$I$42,M292=phu!$I$43,M292=phu!$I$44),"Cam Thuận",""),IF(OR(M292=phu!$I$45,M292=phu!$I$46,M292=phu!$I$47,M292=phu!$I$48,M292=phu!$I$49,M292=phu!$I$50,M292=phu!$I$51,M292=phu!$I$52,M292=phu!$I$53),"Cam Linh",""),IF(OR(M292=phu!$I$54,M292=phu!$I$55,M292=phu!$I$56,M292=phu!$I$57,M292=phu!$I$58,M292=phu!$I$59,M292=phu!$I$60,M292=phu!$I$61,M292=phu!$I$62),"Cam Lợi",""),IF(OR(M292=phu!$I$63,M292=phu!$I$64,M292=phu!$I$65,M292=phu!$I$66,M292=phu!$I$67,M292=phu!$I$68,M292=phu!$I$69,M292=phu!$I$70,M292=phu!$I$71),"Ba Ngòi",""),IF(OR(M292=phu!$I$72,M292=phu!$I$73,M292=phu!$I$74,M292=phu!$I$75,M292=phu!$I$76,M292=phu!$I$77,M292=phu!$I$78),"Cam Phước Đông",""),IF(OR(M292=phu!$I$79,M292=phu!$I$80,M292=phu!$I$81,M292=phu!$I$82,M292=phu!$I$83,M292=phu!$I$84),"Cam Thịnh Đông",""),IF(OR(M292=phu!$I$85,M292=phu!$I$86,M292=phu!$I$87,M292=phu!$I$88),"Cam Thịnh Tây",""),IF(OR(M292=phu!$I$89,M292=phu!$I$90),"Cam Lập",""),IF(OR(M292=phu!$I$91,M292=phu!$I$92,M292=phu!$I$93),"Cam Bình",""),IF(OR(M292=phu!$I$94,M292=phu!$I$95,M292=phu!$I$96,M292=phu!$I$97,M292=phu!$I$98,M292=phu!$I$99,M292=phu!$I$100),"Huyện khác",""),IF(OR(M292=phu!$I$101,M292=phu!$I$102),"Tỉnh khác",""))</f>
        <v/>
      </c>
      <c r="O292" s="814" t="str">
        <f t="shared" si="25"/>
        <v/>
      </c>
      <c r="P292" s="254"/>
      <c r="Q292" s="254"/>
      <c r="R292" s="254"/>
      <c r="S292" s="254"/>
      <c r="T292" s="254"/>
      <c r="U292" s="254"/>
      <c r="V292" s="254"/>
      <c r="W292" s="254"/>
      <c r="Y292" s="246" t="str">
        <f t="shared" si="26"/>
        <v/>
      </c>
      <c r="Z292" s="247" t="str">
        <f t="shared" si="24"/>
        <v/>
      </c>
      <c r="AA292" s="246" t="str">
        <f t="shared" si="27"/>
        <v/>
      </c>
    </row>
    <row r="293" spans="1:27" ht="18" customHeight="1" x14ac:dyDescent="0.25">
      <c r="A293" s="248" t="str">
        <f t="shared" si="28"/>
        <v/>
      </c>
      <c r="B293" s="249" t="str">
        <f t="shared" si="29"/>
        <v/>
      </c>
      <c r="C293" s="250"/>
      <c r="D293" s="251"/>
      <c r="E293" s="241"/>
      <c r="F293" s="252"/>
      <c r="G293" s="252"/>
      <c r="H293" s="253"/>
      <c r="I293" s="250"/>
      <c r="J293" s="250"/>
      <c r="K293" s="270"/>
      <c r="L293" s="250"/>
      <c r="M293" s="250"/>
      <c r="N293" s="553" t="str">
        <f>CONCATENATE(IF(OR(M293=phu!$I$1,M293=phu!$I$2,M293=phu!$I$3),"Cam Thành Nam",""),IF(OR(M293=phu!$I$4,M293=phu!$I$5,M293=phu!$I$6,M293=phu!$I$7,M293=phu!$I$8,M293=phu!$I$9,M293=phu!$I$10,M293=phu!$I$11,M293=phu!$I$12,M293=phu!$I$13,M293=phu!$I$14),"Cam Nghĩa",""),IF(OR(M293=phu!$I$15,M293=phu!$I$16,M293=phu!$I$17,M293=phu!$I$18,M293=phu!$I$19,M293=phu!$I$20,M293=phu!$I$21),"Cam Phúc Bắc",""),IF(OR(M293=phu!$I$22,M293=phu!$I$23,M293=phu!$I$24,M293=phu!$I$25),"Cam Phúc Nam",""),IF(OR(M293=phu!$I$26,M293=phu!$I$27,M293=phu!$I$28,M293=phu!$I$29,M293=phu!$I$30,M293=phu!$I$31),"Cam Phú",""),IF(OR(M293=phu!$I$32,M293=phu!$I$33,M293=phu!$I$34,M293=phu!$I$35,M293=phu!$I$36,M293=phu!$I$37),"Cam Lộc",""),IF(OR(M293=phu!$I$38,M293=phu!$I$39,M293=phu!$I$40,M293=phu!$I$41,M293=phu!$I$42,M293=phu!$I$43,M293=phu!$I$44),"Cam Thuận",""),IF(OR(M293=phu!$I$45,M293=phu!$I$46,M293=phu!$I$47,M293=phu!$I$48,M293=phu!$I$49,M293=phu!$I$50,M293=phu!$I$51,M293=phu!$I$52,M293=phu!$I$53),"Cam Linh",""),IF(OR(M293=phu!$I$54,M293=phu!$I$55,M293=phu!$I$56,M293=phu!$I$57,M293=phu!$I$58,M293=phu!$I$59,M293=phu!$I$60,M293=phu!$I$61,M293=phu!$I$62),"Cam Lợi",""),IF(OR(M293=phu!$I$63,M293=phu!$I$64,M293=phu!$I$65,M293=phu!$I$66,M293=phu!$I$67,M293=phu!$I$68,M293=phu!$I$69,M293=phu!$I$70,M293=phu!$I$71),"Ba Ngòi",""),IF(OR(M293=phu!$I$72,M293=phu!$I$73,M293=phu!$I$74,M293=phu!$I$75,M293=phu!$I$76,M293=phu!$I$77,M293=phu!$I$78),"Cam Phước Đông",""),IF(OR(M293=phu!$I$79,M293=phu!$I$80,M293=phu!$I$81,M293=phu!$I$82,M293=phu!$I$83,M293=phu!$I$84),"Cam Thịnh Đông",""),IF(OR(M293=phu!$I$85,M293=phu!$I$86,M293=phu!$I$87,M293=phu!$I$88),"Cam Thịnh Tây",""),IF(OR(M293=phu!$I$89,M293=phu!$I$90),"Cam Lập",""),IF(OR(M293=phu!$I$91,M293=phu!$I$92,M293=phu!$I$93),"Cam Bình",""),IF(OR(M293=phu!$I$94,M293=phu!$I$95,M293=phu!$I$96,M293=phu!$I$97,M293=phu!$I$98,M293=phu!$I$99,M293=phu!$I$100),"Huyện khác",""),IF(OR(M293=phu!$I$101,M293=phu!$I$102),"Tỉnh khác",""))</f>
        <v/>
      </c>
      <c r="O293" s="814" t="str">
        <f t="shared" si="25"/>
        <v/>
      </c>
      <c r="P293" s="254"/>
      <c r="Q293" s="254"/>
      <c r="R293" s="254"/>
      <c r="S293" s="254"/>
      <c r="T293" s="254"/>
      <c r="U293" s="254"/>
      <c r="V293" s="254"/>
      <c r="W293" s="254"/>
      <c r="Y293" s="246" t="str">
        <f t="shared" si="26"/>
        <v/>
      </c>
      <c r="Z293" s="247" t="str">
        <f t="shared" si="24"/>
        <v/>
      </c>
      <c r="AA293" s="246" t="str">
        <f t="shared" si="27"/>
        <v/>
      </c>
    </row>
    <row r="294" spans="1:27" ht="18" customHeight="1" x14ac:dyDescent="0.25">
      <c r="A294" s="248" t="str">
        <f t="shared" si="28"/>
        <v/>
      </c>
      <c r="B294" s="249" t="str">
        <f t="shared" si="29"/>
        <v/>
      </c>
      <c r="C294" s="250"/>
      <c r="D294" s="251"/>
      <c r="E294" s="241"/>
      <c r="F294" s="252"/>
      <c r="G294" s="252"/>
      <c r="H294" s="253"/>
      <c r="I294" s="250"/>
      <c r="J294" s="250"/>
      <c r="K294" s="270"/>
      <c r="L294" s="250"/>
      <c r="M294" s="250"/>
      <c r="N294" s="553" t="str">
        <f>CONCATENATE(IF(OR(M294=phu!$I$1,M294=phu!$I$2,M294=phu!$I$3),"Cam Thành Nam",""),IF(OR(M294=phu!$I$4,M294=phu!$I$5,M294=phu!$I$6,M294=phu!$I$7,M294=phu!$I$8,M294=phu!$I$9,M294=phu!$I$10,M294=phu!$I$11,M294=phu!$I$12,M294=phu!$I$13,M294=phu!$I$14),"Cam Nghĩa",""),IF(OR(M294=phu!$I$15,M294=phu!$I$16,M294=phu!$I$17,M294=phu!$I$18,M294=phu!$I$19,M294=phu!$I$20,M294=phu!$I$21),"Cam Phúc Bắc",""),IF(OR(M294=phu!$I$22,M294=phu!$I$23,M294=phu!$I$24,M294=phu!$I$25),"Cam Phúc Nam",""),IF(OR(M294=phu!$I$26,M294=phu!$I$27,M294=phu!$I$28,M294=phu!$I$29,M294=phu!$I$30,M294=phu!$I$31),"Cam Phú",""),IF(OR(M294=phu!$I$32,M294=phu!$I$33,M294=phu!$I$34,M294=phu!$I$35,M294=phu!$I$36,M294=phu!$I$37),"Cam Lộc",""),IF(OR(M294=phu!$I$38,M294=phu!$I$39,M294=phu!$I$40,M294=phu!$I$41,M294=phu!$I$42,M294=phu!$I$43,M294=phu!$I$44),"Cam Thuận",""),IF(OR(M294=phu!$I$45,M294=phu!$I$46,M294=phu!$I$47,M294=phu!$I$48,M294=phu!$I$49,M294=phu!$I$50,M294=phu!$I$51,M294=phu!$I$52,M294=phu!$I$53),"Cam Linh",""),IF(OR(M294=phu!$I$54,M294=phu!$I$55,M294=phu!$I$56,M294=phu!$I$57,M294=phu!$I$58,M294=phu!$I$59,M294=phu!$I$60,M294=phu!$I$61,M294=phu!$I$62),"Cam Lợi",""),IF(OR(M294=phu!$I$63,M294=phu!$I$64,M294=phu!$I$65,M294=phu!$I$66,M294=phu!$I$67,M294=phu!$I$68,M294=phu!$I$69,M294=phu!$I$70,M294=phu!$I$71),"Ba Ngòi",""),IF(OR(M294=phu!$I$72,M294=phu!$I$73,M294=phu!$I$74,M294=phu!$I$75,M294=phu!$I$76,M294=phu!$I$77,M294=phu!$I$78),"Cam Phước Đông",""),IF(OR(M294=phu!$I$79,M294=phu!$I$80,M294=phu!$I$81,M294=phu!$I$82,M294=phu!$I$83,M294=phu!$I$84),"Cam Thịnh Đông",""),IF(OR(M294=phu!$I$85,M294=phu!$I$86,M294=phu!$I$87,M294=phu!$I$88),"Cam Thịnh Tây",""),IF(OR(M294=phu!$I$89,M294=phu!$I$90),"Cam Lập",""),IF(OR(M294=phu!$I$91,M294=phu!$I$92,M294=phu!$I$93),"Cam Bình",""),IF(OR(M294=phu!$I$94,M294=phu!$I$95,M294=phu!$I$96,M294=phu!$I$97,M294=phu!$I$98,M294=phu!$I$99,M294=phu!$I$100),"Huyện khác",""),IF(OR(M294=phu!$I$101,M294=phu!$I$102),"Tỉnh khác",""))</f>
        <v/>
      </c>
      <c r="O294" s="814" t="str">
        <f t="shared" si="25"/>
        <v/>
      </c>
      <c r="P294" s="254"/>
      <c r="Q294" s="254"/>
      <c r="R294" s="254"/>
      <c r="S294" s="254"/>
      <c r="T294" s="254"/>
      <c r="U294" s="254"/>
      <c r="V294" s="254"/>
      <c r="W294" s="254"/>
      <c r="Y294" s="246" t="str">
        <f t="shared" si="26"/>
        <v/>
      </c>
      <c r="Z294" s="247" t="str">
        <f t="shared" si="24"/>
        <v/>
      </c>
      <c r="AA294" s="246" t="str">
        <f t="shared" si="27"/>
        <v/>
      </c>
    </row>
    <row r="295" spans="1:27" ht="18" customHeight="1" x14ac:dyDescent="0.25">
      <c r="A295" s="248" t="str">
        <f t="shared" si="28"/>
        <v/>
      </c>
      <c r="B295" s="249" t="str">
        <f t="shared" si="29"/>
        <v/>
      </c>
      <c r="C295" s="250"/>
      <c r="D295" s="251"/>
      <c r="E295" s="241"/>
      <c r="F295" s="252"/>
      <c r="G295" s="252"/>
      <c r="H295" s="253"/>
      <c r="I295" s="250"/>
      <c r="J295" s="250"/>
      <c r="K295" s="270"/>
      <c r="L295" s="250"/>
      <c r="M295" s="250"/>
      <c r="N295" s="553" t="str">
        <f>CONCATENATE(IF(OR(M295=phu!$I$1,M295=phu!$I$2,M295=phu!$I$3),"Cam Thành Nam",""),IF(OR(M295=phu!$I$4,M295=phu!$I$5,M295=phu!$I$6,M295=phu!$I$7,M295=phu!$I$8,M295=phu!$I$9,M295=phu!$I$10,M295=phu!$I$11,M295=phu!$I$12,M295=phu!$I$13,M295=phu!$I$14),"Cam Nghĩa",""),IF(OR(M295=phu!$I$15,M295=phu!$I$16,M295=phu!$I$17,M295=phu!$I$18,M295=phu!$I$19,M295=phu!$I$20,M295=phu!$I$21),"Cam Phúc Bắc",""),IF(OR(M295=phu!$I$22,M295=phu!$I$23,M295=phu!$I$24,M295=phu!$I$25),"Cam Phúc Nam",""),IF(OR(M295=phu!$I$26,M295=phu!$I$27,M295=phu!$I$28,M295=phu!$I$29,M295=phu!$I$30,M295=phu!$I$31),"Cam Phú",""),IF(OR(M295=phu!$I$32,M295=phu!$I$33,M295=phu!$I$34,M295=phu!$I$35,M295=phu!$I$36,M295=phu!$I$37),"Cam Lộc",""),IF(OR(M295=phu!$I$38,M295=phu!$I$39,M295=phu!$I$40,M295=phu!$I$41,M295=phu!$I$42,M295=phu!$I$43,M295=phu!$I$44),"Cam Thuận",""),IF(OR(M295=phu!$I$45,M295=phu!$I$46,M295=phu!$I$47,M295=phu!$I$48,M295=phu!$I$49,M295=phu!$I$50,M295=phu!$I$51,M295=phu!$I$52,M295=phu!$I$53),"Cam Linh",""),IF(OR(M295=phu!$I$54,M295=phu!$I$55,M295=phu!$I$56,M295=phu!$I$57,M295=phu!$I$58,M295=phu!$I$59,M295=phu!$I$60,M295=phu!$I$61,M295=phu!$I$62),"Cam Lợi",""),IF(OR(M295=phu!$I$63,M295=phu!$I$64,M295=phu!$I$65,M295=phu!$I$66,M295=phu!$I$67,M295=phu!$I$68,M295=phu!$I$69,M295=phu!$I$70,M295=phu!$I$71),"Ba Ngòi",""),IF(OR(M295=phu!$I$72,M295=phu!$I$73,M295=phu!$I$74,M295=phu!$I$75,M295=phu!$I$76,M295=phu!$I$77,M295=phu!$I$78),"Cam Phước Đông",""),IF(OR(M295=phu!$I$79,M295=phu!$I$80,M295=phu!$I$81,M295=phu!$I$82,M295=phu!$I$83,M295=phu!$I$84),"Cam Thịnh Đông",""),IF(OR(M295=phu!$I$85,M295=phu!$I$86,M295=phu!$I$87,M295=phu!$I$88),"Cam Thịnh Tây",""),IF(OR(M295=phu!$I$89,M295=phu!$I$90),"Cam Lập",""),IF(OR(M295=phu!$I$91,M295=phu!$I$92,M295=phu!$I$93),"Cam Bình",""),IF(OR(M295=phu!$I$94,M295=phu!$I$95,M295=phu!$I$96,M295=phu!$I$97,M295=phu!$I$98,M295=phu!$I$99,M295=phu!$I$100),"Huyện khác",""),IF(OR(M295=phu!$I$101,M295=phu!$I$102),"Tỉnh khác",""))</f>
        <v/>
      </c>
      <c r="O295" s="814" t="str">
        <f t="shared" si="25"/>
        <v/>
      </c>
      <c r="P295" s="254"/>
      <c r="Q295" s="254"/>
      <c r="R295" s="254"/>
      <c r="S295" s="254"/>
      <c r="T295" s="254"/>
      <c r="U295" s="254"/>
      <c r="V295" s="254"/>
      <c r="W295" s="254"/>
      <c r="Y295" s="246" t="str">
        <f t="shared" si="26"/>
        <v/>
      </c>
      <c r="Z295" s="247" t="str">
        <f t="shared" si="24"/>
        <v/>
      </c>
      <c r="AA295" s="246" t="str">
        <f t="shared" si="27"/>
        <v/>
      </c>
    </row>
    <row r="296" spans="1:27" ht="18" customHeight="1" x14ac:dyDescent="0.25">
      <c r="A296" s="248" t="str">
        <f t="shared" si="28"/>
        <v/>
      </c>
      <c r="B296" s="249" t="str">
        <f t="shared" si="29"/>
        <v/>
      </c>
      <c r="C296" s="250"/>
      <c r="D296" s="251"/>
      <c r="E296" s="241"/>
      <c r="F296" s="252"/>
      <c r="G296" s="252"/>
      <c r="H296" s="253"/>
      <c r="I296" s="250"/>
      <c r="J296" s="250"/>
      <c r="K296" s="270"/>
      <c r="L296" s="250"/>
      <c r="M296" s="250"/>
      <c r="N296" s="553" t="str">
        <f>CONCATENATE(IF(OR(M296=phu!$I$1,M296=phu!$I$2,M296=phu!$I$3),"Cam Thành Nam",""),IF(OR(M296=phu!$I$4,M296=phu!$I$5,M296=phu!$I$6,M296=phu!$I$7,M296=phu!$I$8,M296=phu!$I$9,M296=phu!$I$10,M296=phu!$I$11,M296=phu!$I$12,M296=phu!$I$13,M296=phu!$I$14),"Cam Nghĩa",""),IF(OR(M296=phu!$I$15,M296=phu!$I$16,M296=phu!$I$17,M296=phu!$I$18,M296=phu!$I$19,M296=phu!$I$20,M296=phu!$I$21),"Cam Phúc Bắc",""),IF(OR(M296=phu!$I$22,M296=phu!$I$23,M296=phu!$I$24,M296=phu!$I$25),"Cam Phúc Nam",""),IF(OR(M296=phu!$I$26,M296=phu!$I$27,M296=phu!$I$28,M296=phu!$I$29,M296=phu!$I$30,M296=phu!$I$31),"Cam Phú",""),IF(OR(M296=phu!$I$32,M296=phu!$I$33,M296=phu!$I$34,M296=phu!$I$35,M296=phu!$I$36,M296=phu!$I$37),"Cam Lộc",""),IF(OR(M296=phu!$I$38,M296=phu!$I$39,M296=phu!$I$40,M296=phu!$I$41,M296=phu!$I$42,M296=phu!$I$43,M296=phu!$I$44),"Cam Thuận",""),IF(OR(M296=phu!$I$45,M296=phu!$I$46,M296=phu!$I$47,M296=phu!$I$48,M296=phu!$I$49,M296=phu!$I$50,M296=phu!$I$51,M296=phu!$I$52,M296=phu!$I$53),"Cam Linh",""),IF(OR(M296=phu!$I$54,M296=phu!$I$55,M296=phu!$I$56,M296=phu!$I$57,M296=phu!$I$58,M296=phu!$I$59,M296=phu!$I$60,M296=phu!$I$61,M296=phu!$I$62),"Cam Lợi",""),IF(OR(M296=phu!$I$63,M296=phu!$I$64,M296=phu!$I$65,M296=phu!$I$66,M296=phu!$I$67,M296=phu!$I$68,M296=phu!$I$69,M296=phu!$I$70,M296=phu!$I$71),"Ba Ngòi",""),IF(OR(M296=phu!$I$72,M296=phu!$I$73,M296=phu!$I$74,M296=phu!$I$75,M296=phu!$I$76,M296=phu!$I$77,M296=phu!$I$78),"Cam Phước Đông",""),IF(OR(M296=phu!$I$79,M296=phu!$I$80,M296=phu!$I$81,M296=phu!$I$82,M296=phu!$I$83,M296=phu!$I$84),"Cam Thịnh Đông",""),IF(OR(M296=phu!$I$85,M296=phu!$I$86,M296=phu!$I$87,M296=phu!$I$88),"Cam Thịnh Tây",""),IF(OR(M296=phu!$I$89,M296=phu!$I$90),"Cam Lập",""),IF(OR(M296=phu!$I$91,M296=phu!$I$92,M296=phu!$I$93),"Cam Bình",""),IF(OR(M296=phu!$I$94,M296=phu!$I$95,M296=phu!$I$96,M296=phu!$I$97,M296=phu!$I$98,M296=phu!$I$99,M296=phu!$I$100),"Huyện khác",""),IF(OR(M296=phu!$I$101,M296=phu!$I$102),"Tỉnh khác",""))</f>
        <v/>
      </c>
      <c r="O296" s="814" t="str">
        <f t="shared" si="25"/>
        <v/>
      </c>
      <c r="P296" s="254"/>
      <c r="Q296" s="254"/>
      <c r="R296" s="254"/>
      <c r="S296" s="254"/>
      <c r="T296" s="254"/>
      <c r="U296" s="254"/>
      <c r="V296" s="254"/>
      <c r="W296" s="254"/>
      <c r="Y296" s="246" t="str">
        <f t="shared" si="26"/>
        <v/>
      </c>
      <c r="Z296" s="247" t="str">
        <f t="shared" si="24"/>
        <v/>
      </c>
      <c r="AA296" s="246" t="str">
        <f t="shared" si="27"/>
        <v/>
      </c>
    </row>
    <row r="297" spans="1:27" ht="18" customHeight="1" x14ac:dyDescent="0.25">
      <c r="A297" s="248" t="str">
        <f t="shared" si="28"/>
        <v/>
      </c>
      <c r="B297" s="249" t="str">
        <f t="shared" si="29"/>
        <v/>
      </c>
      <c r="C297" s="250"/>
      <c r="D297" s="251"/>
      <c r="E297" s="241"/>
      <c r="F297" s="252"/>
      <c r="G297" s="252"/>
      <c r="H297" s="253"/>
      <c r="I297" s="250"/>
      <c r="J297" s="250"/>
      <c r="K297" s="270"/>
      <c r="L297" s="250"/>
      <c r="M297" s="250"/>
      <c r="N297" s="553" t="str">
        <f>CONCATENATE(IF(OR(M297=phu!$I$1,M297=phu!$I$2,M297=phu!$I$3),"Cam Thành Nam",""),IF(OR(M297=phu!$I$4,M297=phu!$I$5,M297=phu!$I$6,M297=phu!$I$7,M297=phu!$I$8,M297=phu!$I$9,M297=phu!$I$10,M297=phu!$I$11,M297=phu!$I$12,M297=phu!$I$13,M297=phu!$I$14),"Cam Nghĩa",""),IF(OR(M297=phu!$I$15,M297=phu!$I$16,M297=phu!$I$17,M297=phu!$I$18,M297=phu!$I$19,M297=phu!$I$20,M297=phu!$I$21),"Cam Phúc Bắc",""),IF(OR(M297=phu!$I$22,M297=phu!$I$23,M297=phu!$I$24,M297=phu!$I$25),"Cam Phúc Nam",""),IF(OR(M297=phu!$I$26,M297=phu!$I$27,M297=phu!$I$28,M297=phu!$I$29,M297=phu!$I$30,M297=phu!$I$31),"Cam Phú",""),IF(OR(M297=phu!$I$32,M297=phu!$I$33,M297=phu!$I$34,M297=phu!$I$35,M297=phu!$I$36,M297=phu!$I$37),"Cam Lộc",""),IF(OR(M297=phu!$I$38,M297=phu!$I$39,M297=phu!$I$40,M297=phu!$I$41,M297=phu!$I$42,M297=phu!$I$43,M297=phu!$I$44),"Cam Thuận",""),IF(OR(M297=phu!$I$45,M297=phu!$I$46,M297=phu!$I$47,M297=phu!$I$48,M297=phu!$I$49,M297=phu!$I$50,M297=phu!$I$51,M297=phu!$I$52,M297=phu!$I$53),"Cam Linh",""),IF(OR(M297=phu!$I$54,M297=phu!$I$55,M297=phu!$I$56,M297=phu!$I$57,M297=phu!$I$58,M297=phu!$I$59,M297=phu!$I$60,M297=phu!$I$61,M297=phu!$I$62),"Cam Lợi",""),IF(OR(M297=phu!$I$63,M297=phu!$I$64,M297=phu!$I$65,M297=phu!$I$66,M297=phu!$I$67,M297=phu!$I$68,M297=phu!$I$69,M297=phu!$I$70,M297=phu!$I$71),"Ba Ngòi",""),IF(OR(M297=phu!$I$72,M297=phu!$I$73,M297=phu!$I$74,M297=phu!$I$75,M297=phu!$I$76,M297=phu!$I$77,M297=phu!$I$78),"Cam Phước Đông",""),IF(OR(M297=phu!$I$79,M297=phu!$I$80,M297=phu!$I$81,M297=phu!$I$82,M297=phu!$I$83,M297=phu!$I$84),"Cam Thịnh Đông",""),IF(OR(M297=phu!$I$85,M297=phu!$I$86,M297=phu!$I$87,M297=phu!$I$88),"Cam Thịnh Tây",""),IF(OR(M297=phu!$I$89,M297=phu!$I$90),"Cam Lập",""),IF(OR(M297=phu!$I$91,M297=phu!$I$92,M297=phu!$I$93),"Cam Bình",""),IF(OR(M297=phu!$I$94,M297=phu!$I$95,M297=phu!$I$96,M297=phu!$I$97,M297=phu!$I$98,M297=phu!$I$99,M297=phu!$I$100),"Huyện khác",""),IF(OR(M297=phu!$I$101,M297=phu!$I$102),"Tỉnh khác",""))</f>
        <v/>
      </c>
      <c r="O297" s="814" t="str">
        <f t="shared" si="25"/>
        <v/>
      </c>
      <c r="P297" s="254"/>
      <c r="Q297" s="254"/>
      <c r="R297" s="254"/>
      <c r="S297" s="254"/>
      <c r="T297" s="254"/>
      <c r="U297" s="254"/>
      <c r="V297" s="254"/>
      <c r="W297" s="254"/>
      <c r="Y297" s="246" t="str">
        <f t="shared" si="26"/>
        <v/>
      </c>
      <c r="Z297" s="247" t="str">
        <f t="shared" si="24"/>
        <v/>
      </c>
      <c r="AA297" s="246" t="str">
        <f t="shared" si="27"/>
        <v/>
      </c>
    </row>
    <row r="298" spans="1:27" ht="18" customHeight="1" x14ac:dyDescent="0.25">
      <c r="A298" s="248" t="str">
        <f t="shared" si="28"/>
        <v/>
      </c>
      <c r="B298" s="249" t="str">
        <f t="shared" si="29"/>
        <v/>
      </c>
      <c r="C298" s="250"/>
      <c r="D298" s="251"/>
      <c r="E298" s="241"/>
      <c r="F298" s="252"/>
      <c r="G298" s="252"/>
      <c r="H298" s="253"/>
      <c r="I298" s="250"/>
      <c r="J298" s="250"/>
      <c r="K298" s="270"/>
      <c r="L298" s="250"/>
      <c r="M298" s="250"/>
      <c r="N298" s="553" t="str">
        <f>CONCATENATE(IF(OR(M298=phu!$I$1,M298=phu!$I$2,M298=phu!$I$3),"Cam Thành Nam",""),IF(OR(M298=phu!$I$4,M298=phu!$I$5,M298=phu!$I$6,M298=phu!$I$7,M298=phu!$I$8,M298=phu!$I$9,M298=phu!$I$10,M298=phu!$I$11,M298=phu!$I$12,M298=phu!$I$13,M298=phu!$I$14),"Cam Nghĩa",""),IF(OR(M298=phu!$I$15,M298=phu!$I$16,M298=phu!$I$17,M298=phu!$I$18,M298=phu!$I$19,M298=phu!$I$20,M298=phu!$I$21),"Cam Phúc Bắc",""),IF(OR(M298=phu!$I$22,M298=phu!$I$23,M298=phu!$I$24,M298=phu!$I$25),"Cam Phúc Nam",""),IF(OR(M298=phu!$I$26,M298=phu!$I$27,M298=phu!$I$28,M298=phu!$I$29,M298=phu!$I$30,M298=phu!$I$31),"Cam Phú",""),IF(OR(M298=phu!$I$32,M298=phu!$I$33,M298=phu!$I$34,M298=phu!$I$35,M298=phu!$I$36,M298=phu!$I$37),"Cam Lộc",""),IF(OR(M298=phu!$I$38,M298=phu!$I$39,M298=phu!$I$40,M298=phu!$I$41,M298=phu!$I$42,M298=phu!$I$43,M298=phu!$I$44),"Cam Thuận",""),IF(OR(M298=phu!$I$45,M298=phu!$I$46,M298=phu!$I$47,M298=phu!$I$48,M298=phu!$I$49,M298=phu!$I$50,M298=phu!$I$51,M298=phu!$I$52,M298=phu!$I$53),"Cam Linh",""),IF(OR(M298=phu!$I$54,M298=phu!$I$55,M298=phu!$I$56,M298=phu!$I$57,M298=phu!$I$58,M298=phu!$I$59,M298=phu!$I$60,M298=phu!$I$61,M298=phu!$I$62),"Cam Lợi",""),IF(OR(M298=phu!$I$63,M298=phu!$I$64,M298=phu!$I$65,M298=phu!$I$66,M298=phu!$I$67,M298=phu!$I$68,M298=phu!$I$69,M298=phu!$I$70,M298=phu!$I$71),"Ba Ngòi",""),IF(OR(M298=phu!$I$72,M298=phu!$I$73,M298=phu!$I$74,M298=phu!$I$75,M298=phu!$I$76,M298=phu!$I$77,M298=phu!$I$78),"Cam Phước Đông",""),IF(OR(M298=phu!$I$79,M298=phu!$I$80,M298=phu!$I$81,M298=phu!$I$82,M298=phu!$I$83,M298=phu!$I$84),"Cam Thịnh Đông",""),IF(OR(M298=phu!$I$85,M298=phu!$I$86,M298=phu!$I$87,M298=phu!$I$88),"Cam Thịnh Tây",""),IF(OR(M298=phu!$I$89,M298=phu!$I$90),"Cam Lập",""),IF(OR(M298=phu!$I$91,M298=phu!$I$92,M298=phu!$I$93),"Cam Bình",""),IF(OR(M298=phu!$I$94,M298=phu!$I$95,M298=phu!$I$96,M298=phu!$I$97,M298=phu!$I$98,M298=phu!$I$99,M298=phu!$I$100),"Huyện khác",""),IF(OR(M298=phu!$I$101,M298=phu!$I$102),"Tỉnh khác",""))</f>
        <v/>
      </c>
      <c r="O298" s="814" t="str">
        <f t="shared" si="25"/>
        <v/>
      </c>
      <c r="P298" s="254"/>
      <c r="Q298" s="254"/>
      <c r="R298" s="254"/>
      <c r="S298" s="254"/>
      <c r="T298" s="254"/>
      <c r="U298" s="254"/>
      <c r="V298" s="254"/>
      <c r="W298" s="254"/>
      <c r="Y298" s="246" t="str">
        <f t="shared" si="26"/>
        <v/>
      </c>
      <c r="Z298" s="247" t="str">
        <f t="shared" si="24"/>
        <v/>
      </c>
      <c r="AA298" s="246" t="str">
        <f t="shared" si="27"/>
        <v/>
      </c>
    </row>
    <row r="299" spans="1:27" ht="18" customHeight="1" x14ac:dyDescent="0.25">
      <c r="A299" s="248" t="str">
        <f t="shared" si="28"/>
        <v/>
      </c>
      <c r="B299" s="249" t="str">
        <f t="shared" si="29"/>
        <v/>
      </c>
      <c r="C299" s="250"/>
      <c r="D299" s="251"/>
      <c r="E299" s="241"/>
      <c r="F299" s="252"/>
      <c r="G299" s="252"/>
      <c r="H299" s="253"/>
      <c r="I299" s="250"/>
      <c r="J299" s="250"/>
      <c r="K299" s="270"/>
      <c r="L299" s="250"/>
      <c r="M299" s="250"/>
      <c r="N299" s="553" t="str">
        <f>CONCATENATE(IF(OR(M299=phu!$I$1,M299=phu!$I$2,M299=phu!$I$3),"Cam Thành Nam",""),IF(OR(M299=phu!$I$4,M299=phu!$I$5,M299=phu!$I$6,M299=phu!$I$7,M299=phu!$I$8,M299=phu!$I$9,M299=phu!$I$10,M299=phu!$I$11,M299=phu!$I$12,M299=phu!$I$13,M299=phu!$I$14),"Cam Nghĩa",""),IF(OR(M299=phu!$I$15,M299=phu!$I$16,M299=phu!$I$17,M299=phu!$I$18,M299=phu!$I$19,M299=phu!$I$20,M299=phu!$I$21),"Cam Phúc Bắc",""),IF(OR(M299=phu!$I$22,M299=phu!$I$23,M299=phu!$I$24,M299=phu!$I$25),"Cam Phúc Nam",""),IF(OR(M299=phu!$I$26,M299=phu!$I$27,M299=phu!$I$28,M299=phu!$I$29,M299=phu!$I$30,M299=phu!$I$31),"Cam Phú",""),IF(OR(M299=phu!$I$32,M299=phu!$I$33,M299=phu!$I$34,M299=phu!$I$35,M299=phu!$I$36,M299=phu!$I$37),"Cam Lộc",""),IF(OR(M299=phu!$I$38,M299=phu!$I$39,M299=phu!$I$40,M299=phu!$I$41,M299=phu!$I$42,M299=phu!$I$43,M299=phu!$I$44),"Cam Thuận",""),IF(OR(M299=phu!$I$45,M299=phu!$I$46,M299=phu!$I$47,M299=phu!$I$48,M299=phu!$I$49,M299=phu!$I$50,M299=phu!$I$51,M299=phu!$I$52,M299=phu!$I$53),"Cam Linh",""),IF(OR(M299=phu!$I$54,M299=phu!$I$55,M299=phu!$I$56,M299=phu!$I$57,M299=phu!$I$58,M299=phu!$I$59,M299=phu!$I$60,M299=phu!$I$61,M299=phu!$I$62),"Cam Lợi",""),IF(OR(M299=phu!$I$63,M299=phu!$I$64,M299=phu!$I$65,M299=phu!$I$66,M299=phu!$I$67,M299=phu!$I$68,M299=phu!$I$69,M299=phu!$I$70,M299=phu!$I$71),"Ba Ngòi",""),IF(OR(M299=phu!$I$72,M299=phu!$I$73,M299=phu!$I$74,M299=phu!$I$75,M299=phu!$I$76,M299=phu!$I$77,M299=phu!$I$78),"Cam Phước Đông",""),IF(OR(M299=phu!$I$79,M299=phu!$I$80,M299=phu!$I$81,M299=phu!$I$82,M299=phu!$I$83,M299=phu!$I$84),"Cam Thịnh Đông",""),IF(OR(M299=phu!$I$85,M299=phu!$I$86,M299=phu!$I$87,M299=phu!$I$88),"Cam Thịnh Tây",""),IF(OR(M299=phu!$I$89,M299=phu!$I$90),"Cam Lập",""),IF(OR(M299=phu!$I$91,M299=phu!$I$92,M299=phu!$I$93),"Cam Bình",""),IF(OR(M299=phu!$I$94,M299=phu!$I$95,M299=phu!$I$96,M299=phu!$I$97,M299=phu!$I$98,M299=phu!$I$99,M299=phu!$I$100),"Huyện khác",""),IF(OR(M299=phu!$I$101,M299=phu!$I$102),"Tỉnh khác",""))</f>
        <v/>
      </c>
      <c r="O299" s="814" t="str">
        <f t="shared" si="25"/>
        <v/>
      </c>
      <c r="P299" s="254"/>
      <c r="Q299" s="254"/>
      <c r="R299" s="254"/>
      <c r="S299" s="254"/>
      <c r="T299" s="254"/>
      <c r="U299" s="254"/>
      <c r="V299" s="254"/>
      <c r="W299" s="254"/>
      <c r="Y299" s="246" t="str">
        <f t="shared" si="26"/>
        <v/>
      </c>
      <c r="Z299" s="247" t="str">
        <f t="shared" si="24"/>
        <v/>
      </c>
      <c r="AA299" s="246" t="str">
        <f t="shared" si="27"/>
        <v/>
      </c>
    </row>
    <row r="300" spans="1:27" ht="18" customHeight="1" x14ac:dyDescent="0.25">
      <c r="A300" s="248" t="str">
        <f t="shared" si="28"/>
        <v/>
      </c>
      <c r="B300" s="249" t="str">
        <f t="shared" si="29"/>
        <v/>
      </c>
      <c r="C300" s="250"/>
      <c r="D300" s="251"/>
      <c r="E300" s="241"/>
      <c r="F300" s="252"/>
      <c r="G300" s="252"/>
      <c r="H300" s="253"/>
      <c r="I300" s="250"/>
      <c r="J300" s="250"/>
      <c r="K300" s="270"/>
      <c r="L300" s="250"/>
      <c r="M300" s="250"/>
      <c r="N300" s="553" t="str">
        <f>CONCATENATE(IF(OR(M300=phu!$I$1,M300=phu!$I$2,M300=phu!$I$3),"Cam Thành Nam",""),IF(OR(M300=phu!$I$4,M300=phu!$I$5,M300=phu!$I$6,M300=phu!$I$7,M300=phu!$I$8,M300=phu!$I$9,M300=phu!$I$10,M300=phu!$I$11,M300=phu!$I$12,M300=phu!$I$13,M300=phu!$I$14),"Cam Nghĩa",""),IF(OR(M300=phu!$I$15,M300=phu!$I$16,M300=phu!$I$17,M300=phu!$I$18,M300=phu!$I$19,M300=phu!$I$20,M300=phu!$I$21),"Cam Phúc Bắc",""),IF(OR(M300=phu!$I$22,M300=phu!$I$23,M300=phu!$I$24,M300=phu!$I$25),"Cam Phúc Nam",""),IF(OR(M300=phu!$I$26,M300=phu!$I$27,M300=phu!$I$28,M300=phu!$I$29,M300=phu!$I$30,M300=phu!$I$31),"Cam Phú",""),IF(OR(M300=phu!$I$32,M300=phu!$I$33,M300=phu!$I$34,M300=phu!$I$35,M300=phu!$I$36,M300=phu!$I$37),"Cam Lộc",""),IF(OR(M300=phu!$I$38,M300=phu!$I$39,M300=phu!$I$40,M300=phu!$I$41,M300=phu!$I$42,M300=phu!$I$43,M300=phu!$I$44),"Cam Thuận",""),IF(OR(M300=phu!$I$45,M300=phu!$I$46,M300=phu!$I$47,M300=phu!$I$48,M300=phu!$I$49,M300=phu!$I$50,M300=phu!$I$51,M300=phu!$I$52,M300=phu!$I$53),"Cam Linh",""),IF(OR(M300=phu!$I$54,M300=phu!$I$55,M300=phu!$I$56,M300=phu!$I$57,M300=phu!$I$58,M300=phu!$I$59,M300=phu!$I$60,M300=phu!$I$61,M300=phu!$I$62),"Cam Lợi",""),IF(OR(M300=phu!$I$63,M300=phu!$I$64,M300=phu!$I$65,M300=phu!$I$66,M300=phu!$I$67,M300=phu!$I$68,M300=phu!$I$69,M300=phu!$I$70,M300=phu!$I$71),"Ba Ngòi",""),IF(OR(M300=phu!$I$72,M300=phu!$I$73,M300=phu!$I$74,M300=phu!$I$75,M300=phu!$I$76,M300=phu!$I$77,M300=phu!$I$78),"Cam Phước Đông",""),IF(OR(M300=phu!$I$79,M300=phu!$I$80,M300=phu!$I$81,M300=phu!$I$82,M300=phu!$I$83,M300=phu!$I$84),"Cam Thịnh Đông",""),IF(OR(M300=phu!$I$85,M300=phu!$I$86,M300=phu!$I$87,M300=phu!$I$88),"Cam Thịnh Tây",""),IF(OR(M300=phu!$I$89,M300=phu!$I$90),"Cam Lập",""),IF(OR(M300=phu!$I$91,M300=phu!$I$92,M300=phu!$I$93),"Cam Bình",""),IF(OR(M300=phu!$I$94,M300=phu!$I$95,M300=phu!$I$96,M300=phu!$I$97,M300=phu!$I$98,M300=phu!$I$99,M300=phu!$I$100),"Huyện khác",""),IF(OR(M300=phu!$I$101,M300=phu!$I$102),"Tỉnh khác",""))</f>
        <v/>
      </c>
      <c r="O300" s="814" t="str">
        <f t="shared" si="25"/>
        <v/>
      </c>
      <c r="P300" s="254"/>
      <c r="Q300" s="254"/>
      <c r="R300" s="254"/>
      <c r="S300" s="254"/>
      <c r="T300" s="254"/>
      <c r="U300" s="254"/>
      <c r="V300" s="254"/>
      <c r="W300" s="254"/>
      <c r="Y300" s="246" t="str">
        <f t="shared" si="26"/>
        <v/>
      </c>
      <c r="Z300" s="247" t="str">
        <f t="shared" si="24"/>
        <v/>
      </c>
      <c r="AA300" s="246" t="str">
        <f t="shared" si="27"/>
        <v/>
      </c>
    </row>
    <row r="301" spans="1:27" ht="18" customHeight="1" x14ac:dyDescent="0.25">
      <c r="A301" s="248" t="str">
        <f t="shared" si="28"/>
        <v/>
      </c>
      <c r="B301" s="249" t="str">
        <f t="shared" si="29"/>
        <v/>
      </c>
      <c r="C301" s="250"/>
      <c r="D301" s="251"/>
      <c r="E301" s="241"/>
      <c r="F301" s="252"/>
      <c r="G301" s="252"/>
      <c r="H301" s="253"/>
      <c r="I301" s="250"/>
      <c r="J301" s="250"/>
      <c r="K301" s="270"/>
      <c r="L301" s="250"/>
      <c r="M301" s="250"/>
      <c r="N301" s="553" t="str">
        <f>CONCATENATE(IF(OR(M301=phu!$I$1,M301=phu!$I$2,M301=phu!$I$3),"Cam Thành Nam",""),IF(OR(M301=phu!$I$4,M301=phu!$I$5,M301=phu!$I$6,M301=phu!$I$7,M301=phu!$I$8,M301=phu!$I$9,M301=phu!$I$10,M301=phu!$I$11,M301=phu!$I$12,M301=phu!$I$13,M301=phu!$I$14),"Cam Nghĩa",""),IF(OR(M301=phu!$I$15,M301=phu!$I$16,M301=phu!$I$17,M301=phu!$I$18,M301=phu!$I$19,M301=phu!$I$20,M301=phu!$I$21),"Cam Phúc Bắc",""),IF(OR(M301=phu!$I$22,M301=phu!$I$23,M301=phu!$I$24,M301=phu!$I$25),"Cam Phúc Nam",""),IF(OR(M301=phu!$I$26,M301=phu!$I$27,M301=phu!$I$28,M301=phu!$I$29,M301=phu!$I$30,M301=phu!$I$31),"Cam Phú",""),IF(OR(M301=phu!$I$32,M301=phu!$I$33,M301=phu!$I$34,M301=phu!$I$35,M301=phu!$I$36,M301=phu!$I$37),"Cam Lộc",""),IF(OR(M301=phu!$I$38,M301=phu!$I$39,M301=phu!$I$40,M301=phu!$I$41,M301=phu!$I$42,M301=phu!$I$43,M301=phu!$I$44),"Cam Thuận",""),IF(OR(M301=phu!$I$45,M301=phu!$I$46,M301=phu!$I$47,M301=phu!$I$48,M301=phu!$I$49,M301=phu!$I$50,M301=phu!$I$51,M301=phu!$I$52,M301=phu!$I$53),"Cam Linh",""),IF(OR(M301=phu!$I$54,M301=phu!$I$55,M301=phu!$I$56,M301=phu!$I$57,M301=phu!$I$58,M301=phu!$I$59,M301=phu!$I$60,M301=phu!$I$61,M301=phu!$I$62),"Cam Lợi",""),IF(OR(M301=phu!$I$63,M301=phu!$I$64,M301=phu!$I$65,M301=phu!$I$66,M301=phu!$I$67,M301=phu!$I$68,M301=phu!$I$69,M301=phu!$I$70,M301=phu!$I$71),"Ba Ngòi",""),IF(OR(M301=phu!$I$72,M301=phu!$I$73,M301=phu!$I$74,M301=phu!$I$75,M301=phu!$I$76,M301=phu!$I$77,M301=phu!$I$78),"Cam Phước Đông",""),IF(OR(M301=phu!$I$79,M301=phu!$I$80,M301=phu!$I$81,M301=phu!$I$82,M301=phu!$I$83,M301=phu!$I$84),"Cam Thịnh Đông",""),IF(OR(M301=phu!$I$85,M301=phu!$I$86,M301=phu!$I$87,M301=phu!$I$88),"Cam Thịnh Tây",""),IF(OR(M301=phu!$I$89,M301=phu!$I$90),"Cam Lập",""),IF(OR(M301=phu!$I$91,M301=phu!$I$92,M301=phu!$I$93),"Cam Bình",""),IF(OR(M301=phu!$I$94,M301=phu!$I$95,M301=phu!$I$96,M301=phu!$I$97,M301=phu!$I$98,M301=phu!$I$99,M301=phu!$I$100),"Huyện khác",""),IF(OR(M301=phu!$I$101,M301=phu!$I$102),"Tỉnh khác",""))</f>
        <v/>
      </c>
      <c r="O301" s="814" t="str">
        <f t="shared" si="25"/>
        <v/>
      </c>
      <c r="P301" s="254"/>
      <c r="Q301" s="254"/>
      <c r="R301" s="254"/>
      <c r="S301" s="254"/>
      <c r="T301" s="254"/>
      <c r="U301" s="254"/>
      <c r="V301" s="254"/>
      <c r="W301" s="254"/>
      <c r="Y301" s="246" t="str">
        <f t="shared" si="26"/>
        <v/>
      </c>
      <c r="Z301" s="247" t="str">
        <f t="shared" si="24"/>
        <v/>
      </c>
      <c r="AA301" s="246" t="str">
        <f t="shared" si="27"/>
        <v/>
      </c>
    </row>
    <row r="302" spans="1:27" ht="18" customHeight="1" x14ac:dyDescent="0.25">
      <c r="A302" s="248" t="str">
        <f t="shared" si="28"/>
        <v/>
      </c>
      <c r="B302" s="249" t="str">
        <f t="shared" si="29"/>
        <v/>
      </c>
      <c r="C302" s="250"/>
      <c r="D302" s="251"/>
      <c r="E302" s="241"/>
      <c r="F302" s="252"/>
      <c r="G302" s="252"/>
      <c r="H302" s="253"/>
      <c r="I302" s="250"/>
      <c r="J302" s="250"/>
      <c r="K302" s="270"/>
      <c r="L302" s="250"/>
      <c r="M302" s="250"/>
      <c r="N302" s="553" t="str">
        <f>CONCATENATE(IF(OR(M302=phu!$I$1,M302=phu!$I$2,M302=phu!$I$3),"Cam Thành Nam",""),IF(OR(M302=phu!$I$4,M302=phu!$I$5,M302=phu!$I$6,M302=phu!$I$7,M302=phu!$I$8,M302=phu!$I$9,M302=phu!$I$10,M302=phu!$I$11,M302=phu!$I$12,M302=phu!$I$13,M302=phu!$I$14),"Cam Nghĩa",""),IF(OR(M302=phu!$I$15,M302=phu!$I$16,M302=phu!$I$17,M302=phu!$I$18,M302=phu!$I$19,M302=phu!$I$20,M302=phu!$I$21),"Cam Phúc Bắc",""),IF(OR(M302=phu!$I$22,M302=phu!$I$23,M302=phu!$I$24,M302=phu!$I$25),"Cam Phúc Nam",""),IF(OR(M302=phu!$I$26,M302=phu!$I$27,M302=phu!$I$28,M302=phu!$I$29,M302=phu!$I$30,M302=phu!$I$31),"Cam Phú",""),IF(OR(M302=phu!$I$32,M302=phu!$I$33,M302=phu!$I$34,M302=phu!$I$35,M302=phu!$I$36,M302=phu!$I$37),"Cam Lộc",""),IF(OR(M302=phu!$I$38,M302=phu!$I$39,M302=phu!$I$40,M302=phu!$I$41,M302=phu!$I$42,M302=phu!$I$43,M302=phu!$I$44),"Cam Thuận",""),IF(OR(M302=phu!$I$45,M302=phu!$I$46,M302=phu!$I$47,M302=phu!$I$48,M302=phu!$I$49,M302=phu!$I$50,M302=phu!$I$51,M302=phu!$I$52,M302=phu!$I$53),"Cam Linh",""),IF(OR(M302=phu!$I$54,M302=phu!$I$55,M302=phu!$I$56,M302=phu!$I$57,M302=phu!$I$58,M302=phu!$I$59,M302=phu!$I$60,M302=phu!$I$61,M302=phu!$I$62),"Cam Lợi",""),IF(OR(M302=phu!$I$63,M302=phu!$I$64,M302=phu!$I$65,M302=phu!$I$66,M302=phu!$I$67,M302=phu!$I$68,M302=phu!$I$69,M302=phu!$I$70,M302=phu!$I$71),"Ba Ngòi",""),IF(OR(M302=phu!$I$72,M302=phu!$I$73,M302=phu!$I$74,M302=phu!$I$75,M302=phu!$I$76,M302=phu!$I$77,M302=phu!$I$78),"Cam Phước Đông",""),IF(OR(M302=phu!$I$79,M302=phu!$I$80,M302=phu!$I$81,M302=phu!$I$82,M302=phu!$I$83,M302=phu!$I$84),"Cam Thịnh Đông",""),IF(OR(M302=phu!$I$85,M302=phu!$I$86,M302=phu!$I$87,M302=phu!$I$88),"Cam Thịnh Tây",""),IF(OR(M302=phu!$I$89,M302=phu!$I$90),"Cam Lập",""),IF(OR(M302=phu!$I$91,M302=phu!$I$92,M302=phu!$I$93),"Cam Bình",""),IF(OR(M302=phu!$I$94,M302=phu!$I$95,M302=phu!$I$96,M302=phu!$I$97,M302=phu!$I$98,M302=phu!$I$99,M302=phu!$I$100),"Huyện khác",""),IF(OR(M302=phu!$I$101,M302=phu!$I$102),"Tỉnh khác",""))</f>
        <v/>
      </c>
      <c r="O302" s="814" t="str">
        <f t="shared" si="25"/>
        <v/>
      </c>
      <c r="P302" s="254"/>
      <c r="Q302" s="254"/>
      <c r="R302" s="254"/>
      <c r="S302" s="254"/>
      <c r="T302" s="254"/>
      <c r="U302" s="254"/>
      <c r="V302" s="254"/>
      <c r="W302" s="254"/>
      <c r="Y302" s="246" t="str">
        <f t="shared" si="26"/>
        <v/>
      </c>
      <c r="Z302" s="247" t="str">
        <f t="shared" si="24"/>
        <v/>
      </c>
      <c r="AA302" s="246" t="str">
        <f t="shared" si="27"/>
        <v/>
      </c>
    </row>
    <row r="303" spans="1:27" ht="18" customHeight="1" x14ac:dyDescent="0.25">
      <c r="A303" s="248" t="str">
        <f t="shared" si="28"/>
        <v/>
      </c>
      <c r="B303" s="249" t="str">
        <f t="shared" si="29"/>
        <v/>
      </c>
      <c r="C303" s="250"/>
      <c r="D303" s="251"/>
      <c r="E303" s="241"/>
      <c r="F303" s="252"/>
      <c r="G303" s="252"/>
      <c r="H303" s="253"/>
      <c r="I303" s="250"/>
      <c r="J303" s="250"/>
      <c r="K303" s="270"/>
      <c r="L303" s="250"/>
      <c r="M303" s="250"/>
      <c r="N303" s="553" t="str">
        <f>CONCATENATE(IF(OR(M303=phu!$I$1,M303=phu!$I$2,M303=phu!$I$3),"Cam Thành Nam",""),IF(OR(M303=phu!$I$4,M303=phu!$I$5,M303=phu!$I$6,M303=phu!$I$7,M303=phu!$I$8,M303=phu!$I$9,M303=phu!$I$10,M303=phu!$I$11,M303=phu!$I$12,M303=phu!$I$13,M303=phu!$I$14),"Cam Nghĩa",""),IF(OR(M303=phu!$I$15,M303=phu!$I$16,M303=phu!$I$17,M303=phu!$I$18,M303=phu!$I$19,M303=phu!$I$20,M303=phu!$I$21),"Cam Phúc Bắc",""),IF(OR(M303=phu!$I$22,M303=phu!$I$23,M303=phu!$I$24,M303=phu!$I$25),"Cam Phúc Nam",""),IF(OR(M303=phu!$I$26,M303=phu!$I$27,M303=phu!$I$28,M303=phu!$I$29,M303=phu!$I$30,M303=phu!$I$31),"Cam Phú",""),IF(OR(M303=phu!$I$32,M303=phu!$I$33,M303=phu!$I$34,M303=phu!$I$35,M303=phu!$I$36,M303=phu!$I$37),"Cam Lộc",""),IF(OR(M303=phu!$I$38,M303=phu!$I$39,M303=phu!$I$40,M303=phu!$I$41,M303=phu!$I$42,M303=phu!$I$43,M303=phu!$I$44),"Cam Thuận",""),IF(OR(M303=phu!$I$45,M303=phu!$I$46,M303=phu!$I$47,M303=phu!$I$48,M303=phu!$I$49,M303=phu!$I$50,M303=phu!$I$51,M303=phu!$I$52,M303=phu!$I$53),"Cam Linh",""),IF(OR(M303=phu!$I$54,M303=phu!$I$55,M303=phu!$I$56,M303=phu!$I$57,M303=phu!$I$58,M303=phu!$I$59,M303=phu!$I$60,M303=phu!$I$61,M303=phu!$I$62),"Cam Lợi",""),IF(OR(M303=phu!$I$63,M303=phu!$I$64,M303=phu!$I$65,M303=phu!$I$66,M303=phu!$I$67,M303=phu!$I$68,M303=phu!$I$69,M303=phu!$I$70,M303=phu!$I$71),"Ba Ngòi",""),IF(OR(M303=phu!$I$72,M303=phu!$I$73,M303=phu!$I$74,M303=phu!$I$75,M303=phu!$I$76,M303=phu!$I$77,M303=phu!$I$78),"Cam Phước Đông",""),IF(OR(M303=phu!$I$79,M303=phu!$I$80,M303=phu!$I$81,M303=phu!$I$82,M303=phu!$I$83,M303=phu!$I$84),"Cam Thịnh Đông",""),IF(OR(M303=phu!$I$85,M303=phu!$I$86,M303=phu!$I$87,M303=phu!$I$88),"Cam Thịnh Tây",""),IF(OR(M303=phu!$I$89,M303=phu!$I$90),"Cam Lập",""),IF(OR(M303=phu!$I$91,M303=phu!$I$92,M303=phu!$I$93),"Cam Bình",""),IF(OR(M303=phu!$I$94,M303=phu!$I$95,M303=phu!$I$96,M303=phu!$I$97,M303=phu!$I$98,M303=phu!$I$99,M303=phu!$I$100),"Huyện khác",""),IF(OR(M303=phu!$I$101,M303=phu!$I$102),"Tỉnh khác",""))</f>
        <v/>
      </c>
      <c r="O303" s="814" t="str">
        <f t="shared" si="25"/>
        <v/>
      </c>
      <c r="P303" s="254"/>
      <c r="Q303" s="254"/>
      <c r="R303" s="254"/>
      <c r="S303" s="254"/>
      <c r="T303" s="254"/>
      <c r="U303" s="254"/>
      <c r="V303" s="254"/>
      <c r="W303" s="254"/>
      <c r="Y303" s="246" t="str">
        <f t="shared" si="26"/>
        <v/>
      </c>
      <c r="Z303" s="247" t="str">
        <f t="shared" si="24"/>
        <v/>
      </c>
      <c r="AA303" s="246" t="str">
        <f t="shared" si="27"/>
        <v/>
      </c>
    </row>
    <row r="304" spans="1:27" ht="18" customHeight="1" x14ac:dyDescent="0.25">
      <c r="A304" s="248" t="str">
        <f t="shared" si="28"/>
        <v/>
      </c>
      <c r="B304" s="249" t="str">
        <f t="shared" si="29"/>
        <v/>
      </c>
      <c r="C304" s="250"/>
      <c r="D304" s="251"/>
      <c r="E304" s="241"/>
      <c r="F304" s="252"/>
      <c r="G304" s="252"/>
      <c r="H304" s="253"/>
      <c r="I304" s="250"/>
      <c r="J304" s="250"/>
      <c r="K304" s="270"/>
      <c r="L304" s="250"/>
      <c r="M304" s="250"/>
      <c r="N304" s="553" t="str">
        <f>CONCATENATE(IF(OR(M304=phu!$I$1,M304=phu!$I$2,M304=phu!$I$3),"Cam Thành Nam",""),IF(OR(M304=phu!$I$4,M304=phu!$I$5,M304=phu!$I$6,M304=phu!$I$7,M304=phu!$I$8,M304=phu!$I$9,M304=phu!$I$10,M304=phu!$I$11,M304=phu!$I$12,M304=phu!$I$13,M304=phu!$I$14),"Cam Nghĩa",""),IF(OR(M304=phu!$I$15,M304=phu!$I$16,M304=phu!$I$17,M304=phu!$I$18,M304=phu!$I$19,M304=phu!$I$20,M304=phu!$I$21),"Cam Phúc Bắc",""),IF(OR(M304=phu!$I$22,M304=phu!$I$23,M304=phu!$I$24,M304=phu!$I$25),"Cam Phúc Nam",""),IF(OR(M304=phu!$I$26,M304=phu!$I$27,M304=phu!$I$28,M304=phu!$I$29,M304=phu!$I$30,M304=phu!$I$31),"Cam Phú",""),IF(OR(M304=phu!$I$32,M304=phu!$I$33,M304=phu!$I$34,M304=phu!$I$35,M304=phu!$I$36,M304=phu!$I$37),"Cam Lộc",""),IF(OR(M304=phu!$I$38,M304=phu!$I$39,M304=phu!$I$40,M304=phu!$I$41,M304=phu!$I$42,M304=phu!$I$43,M304=phu!$I$44),"Cam Thuận",""),IF(OR(M304=phu!$I$45,M304=phu!$I$46,M304=phu!$I$47,M304=phu!$I$48,M304=phu!$I$49,M304=phu!$I$50,M304=phu!$I$51,M304=phu!$I$52,M304=phu!$I$53),"Cam Linh",""),IF(OR(M304=phu!$I$54,M304=phu!$I$55,M304=phu!$I$56,M304=phu!$I$57,M304=phu!$I$58,M304=phu!$I$59,M304=phu!$I$60,M304=phu!$I$61,M304=phu!$I$62),"Cam Lợi",""),IF(OR(M304=phu!$I$63,M304=phu!$I$64,M304=phu!$I$65,M304=phu!$I$66,M304=phu!$I$67,M304=phu!$I$68,M304=phu!$I$69,M304=phu!$I$70,M304=phu!$I$71),"Ba Ngòi",""),IF(OR(M304=phu!$I$72,M304=phu!$I$73,M304=phu!$I$74,M304=phu!$I$75,M304=phu!$I$76,M304=phu!$I$77,M304=phu!$I$78),"Cam Phước Đông",""),IF(OR(M304=phu!$I$79,M304=phu!$I$80,M304=phu!$I$81,M304=phu!$I$82,M304=phu!$I$83,M304=phu!$I$84),"Cam Thịnh Đông",""),IF(OR(M304=phu!$I$85,M304=phu!$I$86,M304=phu!$I$87,M304=phu!$I$88),"Cam Thịnh Tây",""),IF(OR(M304=phu!$I$89,M304=phu!$I$90),"Cam Lập",""),IF(OR(M304=phu!$I$91,M304=phu!$I$92,M304=phu!$I$93),"Cam Bình",""),IF(OR(M304=phu!$I$94,M304=phu!$I$95,M304=phu!$I$96,M304=phu!$I$97,M304=phu!$I$98,M304=phu!$I$99,M304=phu!$I$100),"Huyện khác",""),IF(OR(M304=phu!$I$101,M304=phu!$I$102),"Tỉnh khác",""))</f>
        <v/>
      </c>
      <c r="O304" s="814" t="str">
        <f t="shared" si="25"/>
        <v/>
      </c>
      <c r="P304" s="254"/>
      <c r="Q304" s="254"/>
      <c r="R304" s="254"/>
      <c r="S304" s="254"/>
      <c r="T304" s="254"/>
      <c r="U304" s="254"/>
      <c r="V304" s="254"/>
      <c r="W304" s="254"/>
      <c r="Y304" s="246" t="str">
        <f t="shared" si="26"/>
        <v/>
      </c>
      <c r="Z304" s="247" t="str">
        <f t="shared" si="24"/>
        <v/>
      </c>
      <c r="AA304" s="246" t="str">
        <f t="shared" si="27"/>
        <v/>
      </c>
    </row>
    <row r="305" spans="1:27" ht="18" customHeight="1" x14ac:dyDescent="0.25">
      <c r="A305" s="248" t="str">
        <f t="shared" si="28"/>
        <v/>
      </c>
      <c r="B305" s="249" t="str">
        <f t="shared" si="29"/>
        <v/>
      </c>
      <c r="C305" s="250"/>
      <c r="D305" s="251"/>
      <c r="E305" s="241"/>
      <c r="F305" s="252"/>
      <c r="G305" s="252"/>
      <c r="H305" s="253"/>
      <c r="I305" s="250"/>
      <c r="J305" s="250"/>
      <c r="K305" s="270"/>
      <c r="L305" s="250"/>
      <c r="M305" s="250"/>
      <c r="N305" s="553" t="str">
        <f>CONCATENATE(IF(OR(M305=phu!$I$1,M305=phu!$I$2,M305=phu!$I$3),"Cam Thành Nam",""),IF(OR(M305=phu!$I$4,M305=phu!$I$5,M305=phu!$I$6,M305=phu!$I$7,M305=phu!$I$8,M305=phu!$I$9,M305=phu!$I$10,M305=phu!$I$11,M305=phu!$I$12,M305=phu!$I$13,M305=phu!$I$14),"Cam Nghĩa",""),IF(OR(M305=phu!$I$15,M305=phu!$I$16,M305=phu!$I$17,M305=phu!$I$18,M305=phu!$I$19,M305=phu!$I$20,M305=phu!$I$21),"Cam Phúc Bắc",""),IF(OR(M305=phu!$I$22,M305=phu!$I$23,M305=phu!$I$24,M305=phu!$I$25),"Cam Phúc Nam",""),IF(OR(M305=phu!$I$26,M305=phu!$I$27,M305=phu!$I$28,M305=phu!$I$29,M305=phu!$I$30,M305=phu!$I$31),"Cam Phú",""),IF(OR(M305=phu!$I$32,M305=phu!$I$33,M305=phu!$I$34,M305=phu!$I$35,M305=phu!$I$36,M305=phu!$I$37),"Cam Lộc",""),IF(OR(M305=phu!$I$38,M305=phu!$I$39,M305=phu!$I$40,M305=phu!$I$41,M305=phu!$I$42,M305=phu!$I$43,M305=phu!$I$44),"Cam Thuận",""),IF(OR(M305=phu!$I$45,M305=phu!$I$46,M305=phu!$I$47,M305=phu!$I$48,M305=phu!$I$49,M305=phu!$I$50,M305=phu!$I$51,M305=phu!$I$52,M305=phu!$I$53),"Cam Linh",""),IF(OR(M305=phu!$I$54,M305=phu!$I$55,M305=phu!$I$56,M305=phu!$I$57,M305=phu!$I$58,M305=phu!$I$59,M305=phu!$I$60,M305=phu!$I$61,M305=phu!$I$62),"Cam Lợi",""),IF(OR(M305=phu!$I$63,M305=phu!$I$64,M305=phu!$I$65,M305=phu!$I$66,M305=phu!$I$67,M305=phu!$I$68,M305=phu!$I$69,M305=phu!$I$70,M305=phu!$I$71),"Ba Ngòi",""),IF(OR(M305=phu!$I$72,M305=phu!$I$73,M305=phu!$I$74,M305=phu!$I$75,M305=phu!$I$76,M305=phu!$I$77,M305=phu!$I$78),"Cam Phước Đông",""),IF(OR(M305=phu!$I$79,M305=phu!$I$80,M305=phu!$I$81,M305=phu!$I$82,M305=phu!$I$83,M305=phu!$I$84),"Cam Thịnh Đông",""),IF(OR(M305=phu!$I$85,M305=phu!$I$86,M305=phu!$I$87,M305=phu!$I$88),"Cam Thịnh Tây",""),IF(OR(M305=phu!$I$89,M305=phu!$I$90),"Cam Lập",""),IF(OR(M305=phu!$I$91,M305=phu!$I$92,M305=phu!$I$93),"Cam Bình",""),IF(OR(M305=phu!$I$94,M305=phu!$I$95,M305=phu!$I$96,M305=phu!$I$97,M305=phu!$I$98,M305=phu!$I$99,M305=phu!$I$100),"Huyện khác",""),IF(OR(M305=phu!$I$101,M305=phu!$I$102),"Tỉnh khác",""))</f>
        <v/>
      </c>
      <c r="O305" s="814" t="str">
        <f t="shared" si="25"/>
        <v/>
      </c>
      <c r="P305" s="254"/>
      <c r="Q305" s="254"/>
      <c r="R305" s="254"/>
      <c r="S305" s="254"/>
      <c r="T305" s="254"/>
      <c r="U305" s="254"/>
      <c r="V305" s="254"/>
      <c r="W305" s="254"/>
      <c r="Y305" s="246" t="str">
        <f t="shared" si="26"/>
        <v/>
      </c>
      <c r="Z305" s="247" t="str">
        <f t="shared" si="24"/>
        <v/>
      </c>
      <c r="AA305" s="246" t="str">
        <f t="shared" si="27"/>
        <v/>
      </c>
    </row>
    <row r="306" spans="1:27" ht="18" customHeight="1" x14ac:dyDescent="0.25">
      <c r="A306" s="248" t="str">
        <f t="shared" si="28"/>
        <v/>
      </c>
      <c r="B306" s="249" t="str">
        <f t="shared" si="29"/>
        <v/>
      </c>
      <c r="C306" s="250"/>
      <c r="D306" s="251"/>
      <c r="E306" s="241"/>
      <c r="F306" s="252"/>
      <c r="G306" s="252"/>
      <c r="H306" s="253"/>
      <c r="I306" s="250"/>
      <c r="J306" s="250"/>
      <c r="K306" s="270"/>
      <c r="L306" s="250"/>
      <c r="M306" s="250"/>
      <c r="N306" s="553" t="str">
        <f>CONCATENATE(IF(OR(M306=phu!$I$1,M306=phu!$I$2,M306=phu!$I$3),"Cam Thành Nam",""),IF(OR(M306=phu!$I$4,M306=phu!$I$5,M306=phu!$I$6,M306=phu!$I$7,M306=phu!$I$8,M306=phu!$I$9,M306=phu!$I$10,M306=phu!$I$11,M306=phu!$I$12,M306=phu!$I$13,M306=phu!$I$14),"Cam Nghĩa",""),IF(OR(M306=phu!$I$15,M306=phu!$I$16,M306=phu!$I$17,M306=phu!$I$18,M306=phu!$I$19,M306=phu!$I$20,M306=phu!$I$21),"Cam Phúc Bắc",""),IF(OR(M306=phu!$I$22,M306=phu!$I$23,M306=phu!$I$24,M306=phu!$I$25),"Cam Phúc Nam",""),IF(OR(M306=phu!$I$26,M306=phu!$I$27,M306=phu!$I$28,M306=phu!$I$29,M306=phu!$I$30,M306=phu!$I$31),"Cam Phú",""),IF(OR(M306=phu!$I$32,M306=phu!$I$33,M306=phu!$I$34,M306=phu!$I$35,M306=phu!$I$36,M306=phu!$I$37),"Cam Lộc",""),IF(OR(M306=phu!$I$38,M306=phu!$I$39,M306=phu!$I$40,M306=phu!$I$41,M306=phu!$I$42,M306=phu!$I$43,M306=phu!$I$44),"Cam Thuận",""),IF(OR(M306=phu!$I$45,M306=phu!$I$46,M306=phu!$I$47,M306=phu!$I$48,M306=phu!$I$49,M306=phu!$I$50,M306=phu!$I$51,M306=phu!$I$52,M306=phu!$I$53),"Cam Linh",""),IF(OR(M306=phu!$I$54,M306=phu!$I$55,M306=phu!$I$56,M306=phu!$I$57,M306=phu!$I$58,M306=phu!$I$59,M306=phu!$I$60,M306=phu!$I$61,M306=phu!$I$62),"Cam Lợi",""),IF(OR(M306=phu!$I$63,M306=phu!$I$64,M306=phu!$I$65,M306=phu!$I$66,M306=phu!$I$67,M306=phu!$I$68,M306=phu!$I$69,M306=phu!$I$70,M306=phu!$I$71),"Ba Ngòi",""),IF(OR(M306=phu!$I$72,M306=phu!$I$73,M306=phu!$I$74,M306=phu!$I$75,M306=phu!$I$76,M306=phu!$I$77,M306=phu!$I$78),"Cam Phước Đông",""),IF(OR(M306=phu!$I$79,M306=phu!$I$80,M306=phu!$I$81,M306=phu!$I$82,M306=phu!$I$83,M306=phu!$I$84),"Cam Thịnh Đông",""),IF(OR(M306=phu!$I$85,M306=phu!$I$86,M306=phu!$I$87,M306=phu!$I$88),"Cam Thịnh Tây",""),IF(OR(M306=phu!$I$89,M306=phu!$I$90),"Cam Lập",""),IF(OR(M306=phu!$I$91,M306=phu!$I$92,M306=phu!$I$93),"Cam Bình",""),IF(OR(M306=phu!$I$94,M306=phu!$I$95,M306=phu!$I$96,M306=phu!$I$97,M306=phu!$I$98,M306=phu!$I$99,M306=phu!$I$100),"Huyện khác",""),IF(OR(M306=phu!$I$101,M306=phu!$I$102),"Tỉnh khác",""))</f>
        <v/>
      </c>
      <c r="O306" s="814" t="str">
        <f t="shared" si="25"/>
        <v/>
      </c>
      <c r="P306" s="254"/>
      <c r="Q306" s="254"/>
      <c r="R306" s="254"/>
      <c r="S306" s="254"/>
      <c r="T306" s="254"/>
      <c r="U306" s="254"/>
      <c r="V306" s="254"/>
      <c r="W306" s="254"/>
      <c r="Y306" s="246" t="str">
        <f t="shared" si="26"/>
        <v/>
      </c>
      <c r="Z306" s="247" t="str">
        <f t="shared" si="24"/>
        <v/>
      </c>
      <c r="AA306" s="246" t="str">
        <f t="shared" si="27"/>
        <v/>
      </c>
    </row>
    <row r="307" spans="1:27" ht="18" customHeight="1" x14ac:dyDescent="0.25">
      <c r="A307" s="248" t="str">
        <f t="shared" si="28"/>
        <v/>
      </c>
      <c r="B307" s="249" t="str">
        <f t="shared" si="29"/>
        <v/>
      </c>
      <c r="C307" s="250"/>
      <c r="D307" s="251"/>
      <c r="E307" s="241"/>
      <c r="F307" s="252"/>
      <c r="G307" s="252"/>
      <c r="H307" s="253"/>
      <c r="I307" s="250"/>
      <c r="J307" s="250"/>
      <c r="K307" s="270"/>
      <c r="L307" s="250"/>
      <c r="M307" s="250"/>
      <c r="N307" s="553" t="str">
        <f>CONCATENATE(IF(OR(M307=phu!$I$1,M307=phu!$I$2,M307=phu!$I$3),"Cam Thành Nam",""),IF(OR(M307=phu!$I$4,M307=phu!$I$5,M307=phu!$I$6,M307=phu!$I$7,M307=phu!$I$8,M307=phu!$I$9,M307=phu!$I$10,M307=phu!$I$11,M307=phu!$I$12,M307=phu!$I$13,M307=phu!$I$14),"Cam Nghĩa",""),IF(OR(M307=phu!$I$15,M307=phu!$I$16,M307=phu!$I$17,M307=phu!$I$18,M307=phu!$I$19,M307=phu!$I$20,M307=phu!$I$21),"Cam Phúc Bắc",""),IF(OR(M307=phu!$I$22,M307=phu!$I$23,M307=phu!$I$24,M307=phu!$I$25),"Cam Phúc Nam",""),IF(OR(M307=phu!$I$26,M307=phu!$I$27,M307=phu!$I$28,M307=phu!$I$29,M307=phu!$I$30,M307=phu!$I$31),"Cam Phú",""),IF(OR(M307=phu!$I$32,M307=phu!$I$33,M307=phu!$I$34,M307=phu!$I$35,M307=phu!$I$36,M307=phu!$I$37),"Cam Lộc",""),IF(OR(M307=phu!$I$38,M307=phu!$I$39,M307=phu!$I$40,M307=phu!$I$41,M307=phu!$I$42,M307=phu!$I$43,M307=phu!$I$44),"Cam Thuận",""),IF(OR(M307=phu!$I$45,M307=phu!$I$46,M307=phu!$I$47,M307=phu!$I$48,M307=phu!$I$49,M307=phu!$I$50,M307=phu!$I$51,M307=phu!$I$52,M307=phu!$I$53),"Cam Linh",""),IF(OR(M307=phu!$I$54,M307=phu!$I$55,M307=phu!$I$56,M307=phu!$I$57,M307=phu!$I$58,M307=phu!$I$59,M307=phu!$I$60,M307=phu!$I$61,M307=phu!$I$62),"Cam Lợi",""),IF(OR(M307=phu!$I$63,M307=phu!$I$64,M307=phu!$I$65,M307=phu!$I$66,M307=phu!$I$67,M307=phu!$I$68,M307=phu!$I$69,M307=phu!$I$70,M307=phu!$I$71),"Ba Ngòi",""),IF(OR(M307=phu!$I$72,M307=phu!$I$73,M307=phu!$I$74,M307=phu!$I$75,M307=phu!$I$76,M307=phu!$I$77,M307=phu!$I$78),"Cam Phước Đông",""),IF(OR(M307=phu!$I$79,M307=phu!$I$80,M307=phu!$I$81,M307=phu!$I$82,M307=phu!$I$83,M307=phu!$I$84),"Cam Thịnh Đông",""),IF(OR(M307=phu!$I$85,M307=phu!$I$86,M307=phu!$I$87,M307=phu!$I$88),"Cam Thịnh Tây",""),IF(OR(M307=phu!$I$89,M307=phu!$I$90),"Cam Lập",""),IF(OR(M307=phu!$I$91,M307=phu!$I$92,M307=phu!$I$93),"Cam Bình",""),IF(OR(M307=phu!$I$94,M307=phu!$I$95,M307=phu!$I$96,M307=phu!$I$97,M307=phu!$I$98,M307=phu!$I$99,M307=phu!$I$100),"Huyện khác",""),IF(OR(M307=phu!$I$101,M307=phu!$I$102),"Tỉnh khác",""))</f>
        <v/>
      </c>
      <c r="O307" s="814" t="str">
        <f t="shared" si="25"/>
        <v/>
      </c>
      <c r="P307" s="254"/>
      <c r="Q307" s="254"/>
      <c r="R307" s="254"/>
      <c r="S307" s="254"/>
      <c r="T307" s="254"/>
      <c r="U307" s="254"/>
      <c r="V307" s="254"/>
      <c r="W307" s="254"/>
      <c r="Y307" s="246" t="str">
        <f t="shared" si="26"/>
        <v/>
      </c>
      <c r="Z307" s="247" t="str">
        <f t="shared" si="24"/>
        <v/>
      </c>
      <c r="AA307" s="246" t="str">
        <f t="shared" si="27"/>
        <v/>
      </c>
    </row>
    <row r="308" spans="1:27" ht="18" customHeight="1" x14ac:dyDescent="0.25">
      <c r="A308" s="248" t="str">
        <f t="shared" si="28"/>
        <v/>
      </c>
      <c r="B308" s="249" t="str">
        <f t="shared" si="29"/>
        <v/>
      </c>
      <c r="C308" s="250"/>
      <c r="D308" s="251"/>
      <c r="E308" s="241"/>
      <c r="F308" s="252"/>
      <c r="G308" s="252"/>
      <c r="H308" s="253"/>
      <c r="I308" s="250"/>
      <c r="J308" s="250"/>
      <c r="K308" s="270"/>
      <c r="L308" s="250"/>
      <c r="M308" s="250"/>
      <c r="N308" s="553" t="str">
        <f>CONCATENATE(IF(OR(M308=phu!$I$1,M308=phu!$I$2,M308=phu!$I$3),"Cam Thành Nam",""),IF(OR(M308=phu!$I$4,M308=phu!$I$5,M308=phu!$I$6,M308=phu!$I$7,M308=phu!$I$8,M308=phu!$I$9,M308=phu!$I$10,M308=phu!$I$11,M308=phu!$I$12,M308=phu!$I$13,M308=phu!$I$14),"Cam Nghĩa",""),IF(OR(M308=phu!$I$15,M308=phu!$I$16,M308=phu!$I$17,M308=phu!$I$18,M308=phu!$I$19,M308=phu!$I$20,M308=phu!$I$21),"Cam Phúc Bắc",""),IF(OR(M308=phu!$I$22,M308=phu!$I$23,M308=phu!$I$24,M308=phu!$I$25),"Cam Phúc Nam",""),IF(OR(M308=phu!$I$26,M308=phu!$I$27,M308=phu!$I$28,M308=phu!$I$29,M308=phu!$I$30,M308=phu!$I$31),"Cam Phú",""),IF(OR(M308=phu!$I$32,M308=phu!$I$33,M308=phu!$I$34,M308=phu!$I$35,M308=phu!$I$36,M308=phu!$I$37),"Cam Lộc",""),IF(OR(M308=phu!$I$38,M308=phu!$I$39,M308=phu!$I$40,M308=phu!$I$41,M308=phu!$I$42,M308=phu!$I$43,M308=phu!$I$44),"Cam Thuận",""),IF(OR(M308=phu!$I$45,M308=phu!$I$46,M308=phu!$I$47,M308=phu!$I$48,M308=phu!$I$49,M308=phu!$I$50,M308=phu!$I$51,M308=phu!$I$52,M308=phu!$I$53),"Cam Linh",""),IF(OR(M308=phu!$I$54,M308=phu!$I$55,M308=phu!$I$56,M308=phu!$I$57,M308=phu!$I$58,M308=phu!$I$59,M308=phu!$I$60,M308=phu!$I$61,M308=phu!$I$62),"Cam Lợi",""),IF(OR(M308=phu!$I$63,M308=phu!$I$64,M308=phu!$I$65,M308=phu!$I$66,M308=phu!$I$67,M308=phu!$I$68,M308=phu!$I$69,M308=phu!$I$70,M308=phu!$I$71),"Ba Ngòi",""),IF(OR(M308=phu!$I$72,M308=phu!$I$73,M308=phu!$I$74,M308=phu!$I$75,M308=phu!$I$76,M308=phu!$I$77,M308=phu!$I$78),"Cam Phước Đông",""),IF(OR(M308=phu!$I$79,M308=phu!$I$80,M308=phu!$I$81,M308=phu!$I$82,M308=phu!$I$83,M308=phu!$I$84),"Cam Thịnh Đông",""),IF(OR(M308=phu!$I$85,M308=phu!$I$86,M308=phu!$I$87,M308=phu!$I$88),"Cam Thịnh Tây",""),IF(OR(M308=phu!$I$89,M308=phu!$I$90),"Cam Lập",""),IF(OR(M308=phu!$I$91,M308=phu!$I$92,M308=phu!$I$93),"Cam Bình",""),IF(OR(M308=phu!$I$94,M308=phu!$I$95,M308=phu!$I$96,M308=phu!$I$97,M308=phu!$I$98,M308=phu!$I$99,M308=phu!$I$100),"Huyện khác",""),IF(OR(M308=phu!$I$101,M308=phu!$I$102),"Tỉnh khác",""))</f>
        <v/>
      </c>
      <c r="O308" s="814" t="str">
        <f t="shared" si="25"/>
        <v/>
      </c>
      <c r="P308" s="254"/>
      <c r="Q308" s="254"/>
      <c r="R308" s="254"/>
      <c r="S308" s="254"/>
      <c r="T308" s="254"/>
      <c r="U308" s="254"/>
      <c r="V308" s="254"/>
      <c r="W308" s="254"/>
      <c r="Y308" s="246" t="str">
        <f t="shared" si="26"/>
        <v/>
      </c>
      <c r="Z308" s="247" t="str">
        <f t="shared" si="24"/>
        <v/>
      </c>
      <c r="AA308" s="246" t="str">
        <f t="shared" si="27"/>
        <v/>
      </c>
    </row>
    <row r="309" spans="1:27" ht="18" customHeight="1" x14ac:dyDescent="0.25">
      <c r="A309" s="248" t="str">
        <f t="shared" si="28"/>
        <v/>
      </c>
      <c r="B309" s="249" t="str">
        <f t="shared" si="29"/>
        <v/>
      </c>
      <c r="C309" s="250"/>
      <c r="D309" s="251"/>
      <c r="E309" s="241"/>
      <c r="F309" s="252"/>
      <c r="G309" s="252"/>
      <c r="H309" s="253"/>
      <c r="I309" s="250"/>
      <c r="J309" s="250"/>
      <c r="K309" s="270"/>
      <c r="L309" s="250"/>
      <c r="M309" s="250"/>
      <c r="N309" s="553" t="str">
        <f>CONCATENATE(IF(OR(M309=phu!$I$1,M309=phu!$I$2,M309=phu!$I$3),"Cam Thành Nam",""),IF(OR(M309=phu!$I$4,M309=phu!$I$5,M309=phu!$I$6,M309=phu!$I$7,M309=phu!$I$8,M309=phu!$I$9,M309=phu!$I$10,M309=phu!$I$11,M309=phu!$I$12,M309=phu!$I$13,M309=phu!$I$14),"Cam Nghĩa",""),IF(OR(M309=phu!$I$15,M309=phu!$I$16,M309=phu!$I$17,M309=phu!$I$18,M309=phu!$I$19,M309=phu!$I$20,M309=phu!$I$21),"Cam Phúc Bắc",""),IF(OR(M309=phu!$I$22,M309=phu!$I$23,M309=phu!$I$24,M309=phu!$I$25),"Cam Phúc Nam",""),IF(OR(M309=phu!$I$26,M309=phu!$I$27,M309=phu!$I$28,M309=phu!$I$29,M309=phu!$I$30,M309=phu!$I$31),"Cam Phú",""),IF(OR(M309=phu!$I$32,M309=phu!$I$33,M309=phu!$I$34,M309=phu!$I$35,M309=phu!$I$36,M309=phu!$I$37),"Cam Lộc",""),IF(OR(M309=phu!$I$38,M309=phu!$I$39,M309=phu!$I$40,M309=phu!$I$41,M309=phu!$I$42,M309=phu!$I$43,M309=phu!$I$44),"Cam Thuận",""),IF(OR(M309=phu!$I$45,M309=phu!$I$46,M309=phu!$I$47,M309=phu!$I$48,M309=phu!$I$49,M309=phu!$I$50,M309=phu!$I$51,M309=phu!$I$52,M309=phu!$I$53),"Cam Linh",""),IF(OR(M309=phu!$I$54,M309=phu!$I$55,M309=phu!$I$56,M309=phu!$I$57,M309=phu!$I$58,M309=phu!$I$59,M309=phu!$I$60,M309=phu!$I$61,M309=phu!$I$62),"Cam Lợi",""),IF(OR(M309=phu!$I$63,M309=phu!$I$64,M309=phu!$I$65,M309=phu!$I$66,M309=phu!$I$67,M309=phu!$I$68,M309=phu!$I$69,M309=phu!$I$70,M309=phu!$I$71),"Ba Ngòi",""),IF(OR(M309=phu!$I$72,M309=phu!$I$73,M309=phu!$I$74,M309=phu!$I$75,M309=phu!$I$76,M309=phu!$I$77,M309=phu!$I$78),"Cam Phước Đông",""),IF(OR(M309=phu!$I$79,M309=phu!$I$80,M309=phu!$I$81,M309=phu!$I$82,M309=phu!$I$83,M309=phu!$I$84),"Cam Thịnh Đông",""),IF(OR(M309=phu!$I$85,M309=phu!$I$86,M309=phu!$I$87,M309=phu!$I$88),"Cam Thịnh Tây",""),IF(OR(M309=phu!$I$89,M309=phu!$I$90),"Cam Lập",""),IF(OR(M309=phu!$I$91,M309=phu!$I$92,M309=phu!$I$93),"Cam Bình",""),IF(OR(M309=phu!$I$94,M309=phu!$I$95,M309=phu!$I$96,M309=phu!$I$97,M309=phu!$I$98,M309=phu!$I$99,M309=phu!$I$100),"Huyện khác",""),IF(OR(M309=phu!$I$101,M309=phu!$I$102),"Tỉnh khác",""))</f>
        <v/>
      </c>
      <c r="O309" s="814" t="str">
        <f t="shared" si="25"/>
        <v/>
      </c>
      <c r="P309" s="254"/>
      <c r="Q309" s="254"/>
      <c r="R309" s="254"/>
      <c r="S309" s="254"/>
      <c r="T309" s="254"/>
      <c r="U309" s="254"/>
      <c r="V309" s="254"/>
      <c r="W309" s="254"/>
      <c r="Y309" s="246" t="str">
        <f t="shared" si="26"/>
        <v/>
      </c>
      <c r="Z309" s="247" t="str">
        <f t="shared" si="24"/>
        <v/>
      </c>
      <c r="AA309" s="246" t="str">
        <f t="shared" si="27"/>
        <v/>
      </c>
    </row>
    <row r="310" spans="1:27" ht="18" customHeight="1" x14ac:dyDescent="0.25">
      <c r="A310" s="248" t="str">
        <f t="shared" si="28"/>
        <v/>
      </c>
      <c r="B310" s="249" t="str">
        <f t="shared" si="29"/>
        <v/>
      </c>
      <c r="C310" s="250"/>
      <c r="D310" s="251"/>
      <c r="E310" s="241"/>
      <c r="F310" s="252"/>
      <c r="G310" s="252"/>
      <c r="H310" s="253"/>
      <c r="I310" s="250"/>
      <c r="J310" s="250"/>
      <c r="K310" s="270"/>
      <c r="L310" s="250"/>
      <c r="M310" s="250"/>
      <c r="N310" s="553" t="str">
        <f>CONCATENATE(IF(OR(M310=phu!$I$1,M310=phu!$I$2,M310=phu!$I$3),"Cam Thành Nam",""),IF(OR(M310=phu!$I$4,M310=phu!$I$5,M310=phu!$I$6,M310=phu!$I$7,M310=phu!$I$8,M310=phu!$I$9,M310=phu!$I$10,M310=phu!$I$11,M310=phu!$I$12,M310=phu!$I$13,M310=phu!$I$14),"Cam Nghĩa",""),IF(OR(M310=phu!$I$15,M310=phu!$I$16,M310=phu!$I$17,M310=phu!$I$18,M310=phu!$I$19,M310=phu!$I$20,M310=phu!$I$21),"Cam Phúc Bắc",""),IF(OR(M310=phu!$I$22,M310=phu!$I$23,M310=phu!$I$24,M310=phu!$I$25),"Cam Phúc Nam",""),IF(OR(M310=phu!$I$26,M310=phu!$I$27,M310=phu!$I$28,M310=phu!$I$29,M310=phu!$I$30,M310=phu!$I$31),"Cam Phú",""),IF(OR(M310=phu!$I$32,M310=phu!$I$33,M310=phu!$I$34,M310=phu!$I$35,M310=phu!$I$36,M310=phu!$I$37),"Cam Lộc",""),IF(OR(M310=phu!$I$38,M310=phu!$I$39,M310=phu!$I$40,M310=phu!$I$41,M310=phu!$I$42,M310=phu!$I$43,M310=phu!$I$44),"Cam Thuận",""),IF(OR(M310=phu!$I$45,M310=phu!$I$46,M310=phu!$I$47,M310=phu!$I$48,M310=phu!$I$49,M310=phu!$I$50,M310=phu!$I$51,M310=phu!$I$52,M310=phu!$I$53),"Cam Linh",""),IF(OR(M310=phu!$I$54,M310=phu!$I$55,M310=phu!$I$56,M310=phu!$I$57,M310=phu!$I$58,M310=phu!$I$59,M310=phu!$I$60,M310=phu!$I$61,M310=phu!$I$62),"Cam Lợi",""),IF(OR(M310=phu!$I$63,M310=phu!$I$64,M310=phu!$I$65,M310=phu!$I$66,M310=phu!$I$67,M310=phu!$I$68,M310=phu!$I$69,M310=phu!$I$70,M310=phu!$I$71),"Ba Ngòi",""),IF(OR(M310=phu!$I$72,M310=phu!$I$73,M310=phu!$I$74,M310=phu!$I$75,M310=phu!$I$76,M310=phu!$I$77,M310=phu!$I$78),"Cam Phước Đông",""),IF(OR(M310=phu!$I$79,M310=phu!$I$80,M310=phu!$I$81,M310=phu!$I$82,M310=phu!$I$83,M310=phu!$I$84),"Cam Thịnh Đông",""),IF(OR(M310=phu!$I$85,M310=phu!$I$86,M310=phu!$I$87,M310=phu!$I$88),"Cam Thịnh Tây",""),IF(OR(M310=phu!$I$89,M310=phu!$I$90),"Cam Lập",""),IF(OR(M310=phu!$I$91,M310=phu!$I$92,M310=phu!$I$93),"Cam Bình",""),IF(OR(M310=phu!$I$94,M310=phu!$I$95,M310=phu!$I$96,M310=phu!$I$97,M310=phu!$I$98,M310=phu!$I$99,M310=phu!$I$100),"Huyện khác",""),IF(OR(M310=phu!$I$101,M310=phu!$I$102),"Tỉnh khác",""))</f>
        <v/>
      </c>
      <c r="O310" s="814" t="str">
        <f t="shared" si="25"/>
        <v/>
      </c>
      <c r="P310" s="254"/>
      <c r="Q310" s="254"/>
      <c r="R310" s="254"/>
      <c r="S310" s="254"/>
      <c r="T310" s="254"/>
      <c r="U310" s="254"/>
      <c r="V310" s="254"/>
      <c r="W310" s="254"/>
      <c r="Y310" s="246" t="str">
        <f t="shared" si="26"/>
        <v/>
      </c>
      <c r="Z310" s="247" t="str">
        <f t="shared" si="24"/>
        <v/>
      </c>
      <c r="AA310" s="246" t="str">
        <f t="shared" si="27"/>
        <v/>
      </c>
    </row>
    <row r="311" spans="1:27" ht="18" customHeight="1" x14ac:dyDescent="0.25">
      <c r="A311" s="248" t="str">
        <f t="shared" si="28"/>
        <v/>
      </c>
      <c r="B311" s="249" t="str">
        <f t="shared" si="29"/>
        <v/>
      </c>
      <c r="C311" s="250"/>
      <c r="D311" s="251"/>
      <c r="E311" s="241"/>
      <c r="F311" s="252"/>
      <c r="G311" s="252"/>
      <c r="H311" s="253"/>
      <c r="I311" s="250"/>
      <c r="J311" s="250"/>
      <c r="K311" s="270"/>
      <c r="L311" s="250"/>
      <c r="M311" s="250"/>
      <c r="N311" s="553" t="str">
        <f>CONCATENATE(IF(OR(M311=phu!$I$1,M311=phu!$I$2,M311=phu!$I$3),"Cam Thành Nam",""),IF(OR(M311=phu!$I$4,M311=phu!$I$5,M311=phu!$I$6,M311=phu!$I$7,M311=phu!$I$8,M311=phu!$I$9,M311=phu!$I$10,M311=phu!$I$11,M311=phu!$I$12,M311=phu!$I$13,M311=phu!$I$14),"Cam Nghĩa",""),IF(OR(M311=phu!$I$15,M311=phu!$I$16,M311=phu!$I$17,M311=phu!$I$18,M311=phu!$I$19,M311=phu!$I$20,M311=phu!$I$21),"Cam Phúc Bắc",""),IF(OR(M311=phu!$I$22,M311=phu!$I$23,M311=phu!$I$24,M311=phu!$I$25),"Cam Phúc Nam",""),IF(OR(M311=phu!$I$26,M311=phu!$I$27,M311=phu!$I$28,M311=phu!$I$29,M311=phu!$I$30,M311=phu!$I$31),"Cam Phú",""),IF(OR(M311=phu!$I$32,M311=phu!$I$33,M311=phu!$I$34,M311=phu!$I$35,M311=phu!$I$36,M311=phu!$I$37),"Cam Lộc",""),IF(OR(M311=phu!$I$38,M311=phu!$I$39,M311=phu!$I$40,M311=phu!$I$41,M311=phu!$I$42,M311=phu!$I$43,M311=phu!$I$44),"Cam Thuận",""),IF(OR(M311=phu!$I$45,M311=phu!$I$46,M311=phu!$I$47,M311=phu!$I$48,M311=phu!$I$49,M311=phu!$I$50,M311=phu!$I$51,M311=phu!$I$52,M311=phu!$I$53),"Cam Linh",""),IF(OR(M311=phu!$I$54,M311=phu!$I$55,M311=phu!$I$56,M311=phu!$I$57,M311=phu!$I$58,M311=phu!$I$59,M311=phu!$I$60,M311=phu!$I$61,M311=phu!$I$62),"Cam Lợi",""),IF(OR(M311=phu!$I$63,M311=phu!$I$64,M311=phu!$I$65,M311=phu!$I$66,M311=phu!$I$67,M311=phu!$I$68,M311=phu!$I$69,M311=phu!$I$70,M311=phu!$I$71),"Ba Ngòi",""),IF(OR(M311=phu!$I$72,M311=phu!$I$73,M311=phu!$I$74,M311=phu!$I$75,M311=phu!$I$76,M311=phu!$I$77,M311=phu!$I$78),"Cam Phước Đông",""),IF(OR(M311=phu!$I$79,M311=phu!$I$80,M311=phu!$I$81,M311=phu!$I$82,M311=phu!$I$83,M311=phu!$I$84),"Cam Thịnh Đông",""),IF(OR(M311=phu!$I$85,M311=phu!$I$86,M311=phu!$I$87,M311=phu!$I$88),"Cam Thịnh Tây",""),IF(OR(M311=phu!$I$89,M311=phu!$I$90),"Cam Lập",""),IF(OR(M311=phu!$I$91,M311=phu!$I$92,M311=phu!$I$93),"Cam Bình",""),IF(OR(M311=phu!$I$94,M311=phu!$I$95,M311=phu!$I$96,M311=phu!$I$97,M311=phu!$I$98,M311=phu!$I$99,M311=phu!$I$100),"Huyện khác",""),IF(OR(M311=phu!$I$101,M311=phu!$I$102),"Tỉnh khác",""))</f>
        <v/>
      </c>
      <c r="O311" s="814" t="str">
        <f t="shared" si="25"/>
        <v/>
      </c>
      <c r="P311" s="254"/>
      <c r="Q311" s="254"/>
      <c r="R311" s="254"/>
      <c r="S311" s="254"/>
      <c r="T311" s="254"/>
      <c r="U311" s="254"/>
      <c r="V311" s="254"/>
      <c r="W311" s="254"/>
      <c r="Y311" s="246" t="str">
        <f t="shared" si="26"/>
        <v/>
      </c>
      <c r="Z311" s="247" t="str">
        <f t="shared" si="24"/>
        <v/>
      </c>
      <c r="AA311" s="246" t="str">
        <f t="shared" si="27"/>
        <v/>
      </c>
    </row>
    <row r="312" spans="1:27" ht="18" customHeight="1" x14ac:dyDescent="0.25">
      <c r="A312" s="248" t="str">
        <f t="shared" si="28"/>
        <v/>
      </c>
      <c r="B312" s="249" t="str">
        <f t="shared" si="29"/>
        <v/>
      </c>
      <c r="C312" s="250"/>
      <c r="D312" s="251"/>
      <c r="E312" s="241"/>
      <c r="F312" s="252"/>
      <c r="G312" s="252"/>
      <c r="H312" s="253"/>
      <c r="I312" s="250"/>
      <c r="J312" s="250"/>
      <c r="K312" s="270"/>
      <c r="L312" s="250"/>
      <c r="M312" s="250"/>
      <c r="N312" s="553" t="str">
        <f>CONCATENATE(IF(OR(M312=phu!$I$1,M312=phu!$I$2,M312=phu!$I$3),"Cam Thành Nam",""),IF(OR(M312=phu!$I$4,M312=phu!$I$5,M312=phu!$I$6,M312=phu!$I$7,M312=phu!$I$8,M312=phu!$I$9,M312=phu!$I$10,M312=phu!$I$11,M312=phu!$I$12,M312=phu!$I$13,M312=phu!$I$14),"Cam Nghĩa",""),IF(OR(M312=phu!$I$15,M312=phu!$I$16,M312=phu!$I$17,M312=phu!$I$18,M312=phu!$I$19,M312=phu!$I$20,M312=phu!$I$21),"Cam Phúc Bắc",""),IF(OR(M312=phu!$I$22,M312=phu!$I$23,M312=phu!$I$24,M312=phu!$I$25),"Cam Phúc Nam",""),IF(OR(M312=phu!$I$26,M312=phu!$I$27,M312=phu!$I$28,M312=phu!$I$29,M312=phu!$I$30,M312=phu!$I$31),"Cam Phú",""),IF(OR(M312=phu!$I$32,M312=phu!$I$33,M312=phu!$I$34,M312=phu!$I$35,M312=phu!$I$36,M312=phu!$I$37),"Cam Lộc",""),IF(OR(M312=phu!$I$38,M312=phu!$I$39,M312=phu!$I$40,M312=phu!$I$41,M312=phu!$I$42,M312=phu!$I$43,M312=phu!$I$44),"Cam Thuận",""),IF(OR(M312=phu!$I$45,M312=phu!$I$46,M312=phu!$I$47,M312=phu!$I$48,M312=phu!$I$49,M312=phu!$I$50,M312=phu!$I$51,M312=phu!$I$52,M312=phu!$I$53),"Cam Linh",""),IF(OR(M312=phu!$I$54,M312=phu!$I$55,M312=phu!$I$56,M312=phu!$I$57,M312=phu!$I$58,M312=phu!$I$59,M312=phu!$I$60,M312=phu!$I$61,M312=phu!$I$62),"Cam Lợi",""),IF(OR(M312=phu!$I$63,M312=phu!$I$64,M312=phu!$I$65,M312=phu!$I$66,M312=phu!$I$67,M312=phu!$I$68,M312=phu!$I$69,M312=phu!$I$70,M312=phu!$I$71),"Ba Ngòi",""),IF(OR(M312=phu!$I$72,M312=phu!$I$73,M312=phu!$I$74,M312=phu!$I$75,M312=phu!$I$76,M312=phu!$I$77,M312=phu!$I$78),"Cam Phước Đông",""),IF(OR(M312=phu!$I$79,M312=phu!$I$80,M312=phu!$I$81,M312=phu!$I$82,M312=phu!$I$83,M312=phu!$I$84),"Cam Thịnh Đông",""),IF(OR(M312=phu!$I$85,M312=phu!$I$86,M312=phu!$I$87,M312=phu!$I$88),"Cam Thịnh Tây",""),IF(OR(M312=phu!$I$89,M312=phu!$I$90),"Cam Lập",""),IF(OR(M312=phu!$I$91,M312=phu!$I$92,M312=phu!$I$93),"Cam Bình",""),IF(OR(M312=phu!$I$94,M312=phu!$I$95,M312=phu!$I$96,M312=phu!$I$97,M312=phu!$I$98,M312=phu!$I$99,M312=phu!$I$100),"Huyện khác",""),IF(OR(M312=phu!$I$101,M312=phu!$I$102),"Tỉnh khác",""))</f>
        <v/>
      </c>
      <c r="O312" s="814" t="str">
        <f t="shared" si="25"/>
        <v/>
      </c>
      <c r="P312" s="254"/>
      <c r="Q312" s="254"/>
      <c r="R312" s="254"/>
      <c r="S312" s="254"/>
      <c r="T312" s="254"/>
      <c r="U312" s="254"/>
      <c r="V312" s="254"/>
      <c r="W312" s="254"/>
      <c r="Y312" s="246" t="str">
        <f t="shared" si="26"/>
        <v/>
      </c>
      <c r="Z312" s="247" t="str">
        <f t="shared" si="24"/>
        <v/>
      </c>
      <c r="AA312" s="246" t="str">
        <f t="shared" si="27"/>
        <v/>
      </c>
    </row>
    <row r="313" spans="1:27" ht="18" customHeight="1" x14ac:dyDescent="0.25">
      <c r="A313" s="248" t="str">
        <f t="shared" si="28"/>
        <v/>
      </c>
      <c r="B313" s="249" t="str">
        <f t="shared" si="29"/>
        <v/>
      </c>
      <c r="C313" s="250"/>
      <c r="D313" s="251"/>
      <c r="E313" s="241"/>
      <c r="F313" s="252"/>
      <c r="G313" s="252"/>
      <c r="H313" s="253"/>
      <c r="I313" s="250"/>
      <c r="J313" s="250"/>
      <c r="K313" s="270"/>
      <c r="L313" s="250"/>
      <c r="M313" s="250"/>
      <c r="N313" s="553" t="str">
        <f>CONCATENATE(IF(OR(M313=phu!$I$1,M313=phu!$I$2,M313=phu!$I$3),"Cam Thành Nam",""),IF(OR(M313=phu!$I$4,M313=phu!$I$5,M313=phu!$I$6,M313=phu!$I$7,M313=phu!$I$8,M313=phu!$I$9,M313=phu!$I$10,M313=phu!$I$11,M313=phu!$I$12,M313=phu!$I$13,M313=phu!$I$14),"Cam Nghĩa",""),IF(OR(M313=phu!$I$15,M313=phu!$I$16,M313=phu!$I$17,M313=phu!$I$18,M313=phu!$I$19,M313=phu!$I$20,M313=phu!$I$21),"Cam Phúc Bắc",""),IF(OR(M313=phu!$I$22,M313=phu!$I$23,M313=phu!$I$24,M313=phu!$I$25),"Cam Phúc Nam",""),IF(OR(M313=phu!$I$26,M313=phu!$I$27,M313=phu!$I$28,M313=phu!$I$29,M313=phu!$I$30,M313=phu!$I$31),"Cam Phú",""),IF(OR(M313=phu!$I$32,M313=phu!$I$33,M313=phu!$I$34,M313=phu!$I$35,M313=phu!$I$36,M313=phu!$I$37),"Cam Lộc",""),IF(OR(M313=phu!$I$38,M313=phu!$I$39,M313=phu!$I$40,M313=phu!$I$41,M313=phu!$I$42,M313=phu!$I$43,M313=phu!$I$44),"Cam Thuận",""),IF(OR(M313=phu!$I$45,M313=phu!$I$46,M313=phu!$I$47,M313=phu!$I$48,M313=phu!$I$49,M313=phu!$I$50,M313=phu!$I$51,M313=phu!$I$52,M313=phu!$I$53),"Cam Linh",""),IF(OR(M313=phu!$I$54,M313=phu!$I$55,M313=phu!$I$56,M313=phu!$I$57,M313=phu!$I$58,M313=phu!$I$59,M313=phu!$I$60,M313=phu!$I$61,M313=phu!$I$62),"Cam Lợi",""),IF(OR(M313=phu!$I$63,M313=phu!$I$64,M313=phu!$I$65,M313=phu!$I$66,M313=phu!$I$67,M313=phu!$I$68,M313=phu!$I$69,M313=phu!$I$70,M313=phu!$I$71),"Ba Ngòi",""),IF(OR(M313=phu!$I$72,M313=phu!$I$73,M313=phu!$I$74,M313=phu!$I$75,M313=phu!$I$76,M313=phu!$I$77,M313=phu!$I$78),"Cam Phước Đông",""),IF(OR(M313=phu!$I$79,M313=phu!$I$80,M313=phu!$I$81,M313=phu!$I$82,M313=phu!$I$83,M313=phu!$I$84),"Cam Thịnh Đông",""),IF(OR(M313=phu!$I$85,M313=phu!$I$86,M313=phu!$I$87,M313=phu!$I$88),"Cam Thịnh Tây",""),IF(OR(M313=phu!$I$89,M313=phu!$I$90),"Cam Lập",""),IF(OR(M313=phu!$I$91,M313=phu!$I$92,M313=phu!$I$93),"Cam Bình",""),IF(OR(M313=phu!$I$94,M313=phu!$I$95,M313=phu!$I$96,M313=phu!$I$97,M313=phu!$I$98,M313=phu!$I$99,M313=phu!$I$100),"Huyện khác",""),IF(OR(M313=phu!$I$101,M313=phu!$I$102),"Tỉnh khác",""))</f>
        <v/>
      </c>
      <c r="O313" s="814" t="str">
        <f t="shared" si="25"/>
        <v/>
      </c>
      <c r="P313" s="254"/>
      <c r="Q313" s="254"/>
      <c r="R313" s="254"/>
      <c r="S313" s="254"/>
      <c r="T313" s="254"/>
      <c r="U313" s="254"/>
      <c r="V313" s="254"/>
      <c r="W313" s="254"/>
      <c r="Y313" s="246" t="str">
        <f t="shared" si="26"/>
        <v/>
      </c>
      <c r="Z313" s="247" t="str">
        <f t="shared" si="24"/>
        <v/>
      </c>
      <c r="AA313" s="246" t="str">
        <f t="shared" si="27"/>
        <v/>
      </c>
    </row>
    <row r="314" spans="1:27" ht="18" customHeight="1" x14ac:dyDescent="0.25">
      <c r="A314" s="248" t="str">
        <f t="shared" si="28"/>
        <v/>
      </c>
      <c r="B314" s="249" t="str">
        <f t="shared" si="29"/>
        <v/>
      </c>
      <c r="C314" s="250"/>
      <c r="D314" s="251"/>
      <c r="E314" s="241"/>
      <c r="F314" s="252"/>
      <c r="G314" s="252"/>
      <c r="H314" s="253"/>
      <c r="I314" s="250"/>
      <c r="J314" s="250"/>
      <c r="K314" s="270"/>
      <c r="L314" s="250"/>
      <c r="M314" s="250"/>
      <c r="N314" s="553" t="str">
        <f>CONCATENATE(IF(OR(M314=phu!$I$1,M314=phu!$I$2,M314=phu!$I$3),"Cam Thành Nam",""),IF(OR(M314=phu!$I$4,M314=phu!$I$5,M314=phu!$I$6,M314=phu!$I$7,M314=phu!$I$8,M314=phu!$I$9,M314=phu!$I$10,M314=phu!$I$11,M314=phu!$I$12,M314=phu!$I$13,M314=phu!$I$14),"Cam Nghĩa",""),IF(OR(M314=phu!$I$15,M314=phu!$I$16,M314=phu!$I$17,M314=phu!$I$18,M314=phu!$I$19,M314=phu!$I$20,M314=phu!$I$21),"Cam Phúc Bắc",""),IF(OR(M314=phu!$I$22,M314=phu!$I$23,M314=phu!$I$24,M314=phu!$I$25),"Cam Phúc Nam",""),IF(OR(M314=phu!$I$26,M314=phu!$I$27,M314=phu!$I$28,M314=phu!$I$29,M314=phu!$I$30,M314=phu!$I$31),"Cam Phú",""),IF(OR(M314=phu!$I$32,M314=phu!$I$33,M314=phu!$I$34,M314=phu!$I$35,M314=phu!$I$36,M314=phu!$I$37),"Cam Lộc",""),IF(OR(M314=phu!$I$38,M314=phu!$I$39,M314=phu!$I$40,M314=phu!$I$41,M314=phu!$I$42,M314=phu!$I$43,M314=phu!$I$44),"Cam Thuận",""),IF(OR(M314=phu!$I$45,M314=phu!$I$46,M314=phu!$I$47,M314=phu!$I$48,M314=phu!$I$49,M314=phu!$I$50,M314=phu!$I$51,M314=phu!$I$52,M314=phu!$I$53),"Cam Linh",""),IF(OR(M314=phu!$I$54,M314=phu!$I$55,M314=phu!$I$56,M314=phu!$I$57,M314=phu!$I$58,M314=phu!$I$59,M314=phu!$I$60,M314=phu!$I$61,M314=phu!$I$62),"Cam Lợi",""),IF(OR(M314=phu!$I$63,M314=phu!$I$64,M314=phu!$I$65,M314=phu!$I$66,M314=phu!$I$67,M314=phu!$I$68,M314=phu!$I$69,M314=phu!$I$70,M314=phu!$I$71),"Ba Ngòi",""),IF(OR(M314=phu!$I$72,M314=phu!$I$73,M314=phu!$I$74,M314=phu!$I$75,M314=phu!$I$76,M314=phu!$I$77,M314=phu!$I$78),"Cam Phước Đông",""),IF(OR(M314=phu!$I$79,M314=phu!$I$80,M314=phu!$I$81,M314=phu!$I$82,M314=phu!$I$83,M314=phu!$I$84),"Cam Thịnh Đông",""),IF(OR(M314=phu!$I$85,M314=phu!$I$86,M314=phu!$I$87,M314=phu!$I$88),"Cam Thịnh Tây",""),IF(OR(M314=phu!$I$89,M314=phu!$I$90),"Cam Lập",""),IF(OR(M314=phu!$I$91,M314=phu!$I$92,M314=phu!$I$93),"Cam Bình",""),IF(OR(M314=phu!$I$94,M314=phu!$I$95,M314=phu!$I$96,M314=phu!$I$97,M314=phu!$I$98,M314=phu!$I$99,M314=phu!$I$100),"Huyện khác",""),IF(OR(M314=phu!$I$101,M314=phu!$I$102),"Tỉnh khác",""))</f>
        <v/>
      </c>
      <c r="O314" s="814" t="str">
        <f t="shared" si="25"/>
        <v/>
      </c>
      <c r="P314" s="254"/>
      <c r="Q314" s="254"/>
      <c r="R314" s="254"/>
      <c r="S314" s="254"/>
      <c r="T314" s="254"/>
      <c r="U314" s="254"/>
      <c r="V314" s="254"/>
      <c r="W314" s="254"/>
      <c r="Y314" s="246" t="str">
        <f t="shared" si="26"/>
        <v/>
      </c>
      <c r="Z314" s="247" t="str">
        <f t="shared" si="24"/>
        <v/>
      </c>
      <c r="AA314" s="246" t="str">
        <f t="shared" si="27"/>
        <v/>
      </c>
    </row>
    <row r="315" spans="1:27" ht="18" customHeight="1" x14ac:dyDescent="0.25">
      <c r="A315" s="248" t="str">
        <f t="shared" si="28"/>
        <v/>
      </c>
      <c r="B315" s="249" t="str">
        <f t="shared" si="29"/>
        <v/>
      </c>
      <c r="C315" s="250"/>
      <c r="D315" s="251"/>
      <c r="E315" s="241"/>
      <c r="F315" s="252"/>
      <c r="G315" s="252"/>
      <c r="H315" s="253"/>
      <c r="I315" s="250"/>
      <c r="J315" s="250"/>
      <c r="K315" s="270"/>
      <c r="L315" s="250"/>
      <c r="M315" s="250"/>
      <c r="N315" s="553" t="str">
        <f>CONCATENATE(IF(OR(M315=phu!$I$1,M315=phu!$I$2,M315=phu!$I$3),"Cam Thành Nam",""),IF(OR(M315=phu!$I$4,M315=phu!$I$5,M315=phu!$I$6,M315=phu!$I$7,M315=phu!$I$8,M315=phu!$I$9,M315=phu!$I$10,M315=phu!$I$11,M315=phu!$I$12,M315=phu!$I$13,M315=phu!$I$14),"Cam Nghĩa",""),IF(OR(M315=phu!$I$15,M315=phu!$I$16,M315=phu!$I$17,M315=phu!$I$18,M315=phu!$I$19,M315=phu!$I$20,M315=phu!$I$21),"Cam Phúc Bắc",""),IF(OR(M315=phu!$I$22,M315=phu!$I$23,M315=phu!$I$24,M315=phu!$I$25),"Cam Phúc Nam",""),IF(OR(M315=phu!$I$26,M315=phu!$I$27,M315=phu!$I$28,M315=phu!$I$29,M315=phu!$I$30,M315=phu!$I$31),"Cam Phú",""),IF(OR(M315=phu!$I$32,M315=phu!$I$33,M315=phu!$I$34,M315=phu!$I$35,M315=phu!$I$36,M315=phu!$I$37),"Cam Lộc",""),IF(OR(M315=phu!$I$38,M315=phu!$I$39,M315=phu!$I$40,M315=phu!$I$41,M315=phu!$I$42,M315=phu!$I$43,M315=phu!$I$44),"Cam Thuận",""),IF(OR(M315=phu!$I$45,M315=phu!$I$46,M315=phu!$I$47,M315=phu!$I$48,M315=phu!$I$49,M315=phu!$I$50,M315=phu!$I$51,M315=phu!$I$52,M315=phu!$I$53),"Cam Linh",""),IF(OR(M315=phu!$I$54,M315=phu!$I$55,M315=phu!$I$56,M315=phu!$I$57,M315=phu!$I$58,M315=phu!$I$59,M315=phu!$I$60,M315=phu!$I$61,M315=phu!$I$62),"Cam Lợi",""),IF(OR(M315=phu!$I$63,M315=phu!$I$64,M315=phu!$I$65,M315=phu!$I$66,M315=phu!$I$67,M315=phu!$I$68,M315=phu!$I$69,M315=phu!$I$70,M315=phu!$I$71),"Ba Ngòi",""),IF(OR(M315=phu!$I$72,M315=phu!$I$73,M315=phu!$I$74,M315=phu!$I$75,M315=phu!$I$76,M315=phu!$I$77,M315=phu!$I$78),"Cam Phước Đông",""),IF(OR(M315=phu!$I$79,M315=phu!$I$80,M315=phu!$I$81,M315=phu!$I$82,M315=phu!$I$83,M315=phu!$I$84),"Cam Thịnh Đông",""),IF(OR(M315=phu!$I$85,M315=phu!$I$86,M315=phu!$I$87,M315=phu!$I$88),"Cam Thịnh Tây",""),IF(OR(M315=phu!$I$89,M315=phu!$I$90),"Cam Lập",""),IF(OR(M315=phu!$I$91,M315=phu!$I$92,M315=phu!$I$93),"Cam Bình",""),IF(OR(M315=phu!$I$94,M315=phu!$I$95,M315=phu!$I$96,M315=phu!$I$97,M315=phu!$I$98,M315=phu!$I$99,M315=phu!$I$100),"Huyện khác",""),IF(OR(M315=phu!$I$101,M315=phu!$I$102),"Tỉnh khác",""))</f>
        <v/>
      </c>
      <c r="O315" s="814" t="str">
        <f t="shared" si="25"/>
        <v/>
      </c>
      <c r="P315" s="254"/>
      <c r="Q315" s="254"/>
      <c r="R315" s="254"/>
      <c r="S315" s="254"/>
      <c r="T315" s="254"/>
      <c r="U315" s="254"/>
      <c r="V315" s="254"/>
      <c r="W315" s="254"/>
      <c r="Y315" s="246" t="str">
        <f t="shared" si="26"/>
        <v/>
      </c>
      <c r="Z315" s="247" t="str">
        <f t="shared" si="24"/>
        <v/>
      </c>
      <c r="AA315" s="246" t="str">
        <f t="shared" si="27"/>
        <v/>
      </c>
    </row>
    <row r="316" spans="1:27" ht="18" customHeight="1" x14ac:dyDescent="0.25">
      <c r="A316" s="248" t="str">
        <f t="shared" si="28"/>
        <v/>
      </c>
      <c r="B316" s="249" t="str">
        <f t="shared" si="29"/>
        <v/>
      </c>
      <c r="C316" s="250"/>
      <c r="D316" s="251"/>
      <c r="E316" s="241"/>
      <c r="F316" s="252"/>
      <c r="G316" s="252"/>
      <c r="H316" s="253"/>
      <c r="I316" s="250"/>
      <c r="J316" s="250"/>
      <c r="K316" s="270"/>
      <c r="L316" s="250"/>
      <c r="M316" s="250"/>
      <c r="N316" s="553" t="str">
        <f>CONCATENATE(IF(OR(M316=phu!$I$1,M316=phu!$I$2,M316=phu!$I$3),"Cam Thành Nam",""),IF(OR(M316=phu!$I$4,M316=phu!$I$5,M316=phu!$I$6,M316=phu!$I$7,M316=phu!$I$8,M316=phu!$I$9,M316=phu!$I$10,M316=phu!$I$11,M316=phu!$I$12,M316=phu!$I$13,M316=phu!$I$14),"Cam Nghĩa",""),IF(OR(M316=phu!$I$15,M316=phu!$I$16,M316=phu!$I$17,M316=phu!$I$18,M316=phu!$I$19,M316=phu!$I$20,M316=phu!$I$21),"Cam Phúc Bắc",""),IF(OR(M316=phu!$I$22,M316=phu!$I$23,M316=phu!$I$24,M316=phu!$I$25),"Cam Phúc Nam",""),IF(OR(M316=phu!$I$26,M316=phu!$I$27,M316=phu!$I$28,M316=phu!$I$29,M316=phu!$I$30,M316=phu!$I$31),"Cam Phú",""),IF(OR(M316=phu!$I$32,M316=phu!$I$33,M316=phu!$I$34,M316=phu!$I$35,M316=phu!$I$36,M316=phu!$I$37),"Cam Lộc",""),IF(OR(M316=phu!$I$38,M316=phu!$I$39,M316=phu!$I$40,M316=phu!$I$41,M316=phu!$I$42,M316=phu!$I$43,M316=phu!$I$44),"Cam Thuận",""),IF(OR(M316=phu!$I$45,M316=phu!$I$46,M316=phu!$I$47,M316=phu!$I$48,M316=phu!$I$49,M316=phu!$I$50,M316=phu!$I$51,M316=phu!$I$52,M316=phu!$I$53),"Cam Linh",""),IF(OR(M316=phu!$I$54,M316=phu!$I$55,M316=phu!$I$56,M316=phu!$I$57,M316=phu!$I$58,M316=phu!$I$59,M316=phu!$I$60,M316=phu!$I$61,M316=phu!$I$62),"Cam Lợi",""),IF(OR(M316=phu!$I$63,M316=phu!$I$64,M316=phu!$I$65,M316=phu!$I$66,M316=phu!$I$67,M316=phu!$I$68,M316=phu!$I$69,M316=phu!$I$70,M316=phu!$I$71),"Ba Ngòi",""),IF(OR(M316=phu!$I$72,M316=phu!$I$73,M316=phu!$I$74,M316=phu!$I$75,M316=phu!$I$76,M316=phu!$I$77,M316=phu!$I$78),"Cam Phước Đông",""),IF(OR(M316=phu!$I$79,M316=phu!$I$80,M316=phu!$I$81,M316=phu!$I$82,M316=phu!$I$83,M316=phu!$I$84),"Cam Thịnh Đông",""),IF(OR(M316=phu!$I$85,M316=phu!$I$86,M316=phu!$I$87,M316=phu!$I$88),"Cam Thịnh Tây",""),IF(OR(M316=phu!$I$89,M316=phu!$I$90),"Cam Lập",""),IF(OR(M316=phu!$I$91,M316=phu!$I$92,M316=phu!$I$93),"Cam Bình",""),IF(OR(M316=phu!$I$94,M316=phu!$I$95,M316=phu!$I$96,M316=phu!$I$97,M316=phu!$I$98,M316=phu!$I$99,M316=phu!$I$100),"Huyện khác",""),IF(OR(M316=phu!$I$101,M316=phu!$I$102),"Tỉnh khác",""))</f>
        <v/>
      </c>
      <c r="O316" s="814" t="str">
        <f t="shared" si="25"/>
        <v/>
      </c>
      <c r="P316" s="254"/>
      <c r="Q316" s="254"/>
      <c r="R316" s="254"/>
      <c r="S316" s="254"/>
      <c r="T316" s="254"/>
      <c r="U316" s="254"/>
      <c r="V316" s="254"/>
      <c r="W316" s="254"/>
      <c r="Y316" s="246" t="str">
        <f t="shared" si="26"/>
        <v/>
      </c>
      <c r="Z316" s="247" t="str">
        <f t="shared" si="24"/>
        <v/>
      </c>
      <c r="AA316" s="246" t="str">
        <f t="shared" si="27"/>
        <v/>
      </c>
    </row>
    <row r="317" spans="1:27" ht="18" customHeight="1" x14ac:dyDescent="0.25">
      <c r="A317" s="248" t="str">
        <f t="shared" si="28"/>
        <v/>
      </c>
      <c r="B317" s="249" t="str">
        <f t="shared" si="29"/>
        <v/>
      </c>
      <c r="C317" s="250"/>
      <c r="D317" s="251"/>
      <c r="E317" s="241"/>
      <c r="F317" s="252"/>
      <c r="G317" s="252"/>
      <c r="H317" s="253"/>
      <c r="I317" s="250"/>
      <c r="J317" s="250"/>
      <c r="K317" s="270"/>
      <c r="L317" s="250"/>
      <c r="M317" s="250"/>
      <c r="N317" s="553" t="str">
        <f>CONCATENATE(IF(OR(M317=phu!$I$1,M317=phu!$I$2,M317=phu!$I$3),"Cam Thành Nam",""),IF(OR(M317=phu!$I$4,M317=phu!$I$5,M317=phu!$I$6,M317=phu!$I$7,M317=phu!$I$8,M317=phu!$I$9,M317=phu!$I$10,M317=phu!$I$11,M317=phu!$I$12,M317=phu!$I$13,M317=phu!$I$14),"Cam Nghĩa",""),IF(OR(M317=phu!$I$15,M317=phu!$I$16,M317=phu!$I$17,M317=phu!$I$18,M317=phu!$I$19,M317=phu!$I$20,M317=phu!$I$21),"Cam Phúc Bắc",""),IF(OR(M317=phu!$I$22,M317=phu!$I$23,M317=phu!$I$24,M317=phu!$I$25),"Cam Phúc Nam",""),IF(OR(M317=phu!$I$26,M317=phu!$I$27,M317=phu!$I$28,M317=phu!$I$29,M317=phu!$I$30,M317=phu!$I$31),"Cam Phú",""),IF(OR(M317=phu!$I$32,M317=phu!$I$33,M317=phu!$I$34,M317=phu!$I$35,M317=phu!$I$36,M317=phu!$I$37),"Cam Lộc",""),IF(OR(M317=phu!$I$38,M317=phu!$I$39,M317=phu!$I$40,M317=phu!$I$41,M317=phu!$I$42,M317=phu!$I$43,M317=phu!$I$44),"Cam Thuận",""),IF(OR(M317=phu!$I$45,M317=phu!$I$46,M317=phu!$I$47,M317=phu!$I$48,M317=phu!$I$49,M317=phu!$I$50,M317=phu!$I$51,M317=phu!$I$52,M317=phu!$I$53),"Cam Linh",""),IF(OR(M317=phu!$I$54,M317=phu!$I$55,M317=phu!$I$56,M317=phu!$I$57,M317=phu!$I$58,M317=phu!$I$59,M317=phu!$I$60,M317=phu!$I$61,M317=phu!$I$62),"Cam Lợi",""),IF(OR(M317=phu!$I$63,M317=phu!$I$64,M317=phu!$I$65,M317=phu!$I$66,M317=phu!$I$67,M317=phu!$I$68,M317=phu!$I$69,M317=phu!$I$70,M317=phu!$I$71),"Ba Ngòi",""),IF(OR(M317=phu!$I$72,M317=phu!$I$73,M317=phu!$I$74,M317=phu!$I$75,M317=phu!$I$76,M317=phu!$I$77,M317=phu!$I$78),"Cam Phước Đông",""),IF(OR(M317=phu!$I$79,M317=phu!$I$80,M317=phu!$I$81,M317=phu!$I$82,M317=phu!$I$83,M317=phu!$I$84),"Cam Thịnh Đông",""),IF(OR(M317=phu!$I$85,M317=phu!$I$86,M317=phu!$I$87,M317=phu!$I$88),"Cam Thịnh Tây",""),IF(OR(M317=phu!$I$89,M317=phu!$I$90),"Cam Lập",""),IF(OR(M317=phu!$I$91,M317=phu!$I$92,M317=phu!$I$93),"Cam Bình",""),IF(OR(M317=phu!$I$94,M317=phu!$I$95,M317=phu!$I$96,M317=phu!$I$97,M317=phu!$I$98,M317=phu!$I$99,M317=phu!$I$100),"Huyện khác",""),IF(OR(M317=phu!$I$101,M317=phu!$I$102),"Tỉnh khác",""))</f>
        <v/>
      </c>
      <c r="O317" s="814" t="str">
        <f t="shared" si="25"/>
        <v/>
      </c>
      <c r="P317" s="254"/>
      <c r="Q317" s="254"/>
      <c r="R317" s="254"/>
      <c r="S317" s="254"/>
      <c r="T317" s="254"/>
      <c r="U317" s="254"/>
      <c r="V317" s="254"/>
      <c r="W317" s="254"/>
      <c r="Y317" s="246" t="str">
        <f t="shared" si="26"/>
        <v/>
      </c>
      <c r="Z317" s="247" t="str">
        <f t="shared" si="24"/>
        <v/>
      </c>
      <c r="AA317" s="246" t="str">
        <f t="shared" si="27"/>
        <v/>
      </c>
    </row>
    <row r="318" spans="1:27" ht="18" customHeight="1" x14ac:dyDescent="0.25">
      <c r="A318" s="248" t="str">
        <f t="shared" si="28"/>
        <v/>
      </c>
      <c r="B318" s="249" t="str">
        <f t="shared" si="29"/>
        <v/>
      </c>
      <c r="C318" s="250"/>
      <c r="D318" s="251"/>
      <c r="E318" s="241"/>
      <c r="F318" s="252"/>
      <c r="G318" s="252"/>
      <c r="H318" s="253"/>
      <c r="I318" s="250"/>
      <c r="J318" s="250"/>
      <c r="K318" s="270"/>
      <c r="L318" s="250"/>
      <c r="M318" s="250"/>
      <c r="N318" s="553" t="str">
        <f>CONCATENATE(IF(OR(M318=phu!$I$1,M318=phu!$I$2,M318=phu!$I$3),"Cam Thành Nam",""),IF(OR(M318=phu!$I$4,M318=phu!$I$5,M318=phu!$I$6,M318=phu!$I$7,M318=phu!$I$8,M318=phu!$I$9,M318=phu!$I$10,M318=phu!$I$11,M318=phu!$I$12,M318=phu!$I$13,M318=phu!$I$14),"Cam Nghĩa",""),IF(OR(M318=phu!$I$15,M318=phu!$I$16,M318=phu!$I$17,M318=phu!$I$18,M318=phu!$I$19,M318=phu!$I$20,M318=phu!$I$21),"Cam Phúc Bắc",""),IF(OR(M318=phu!$I$22,M318=phu!$I$23,M318=phu!$I$24,M318=phu!$I$25),"Cam Phúc Nam",""),IF(OR(M318=phu!$I$26,M318=phu!$I$27,M318=phu!$I$28,M318=phu!$I$29,M318=phu!$I$30,M318=phu!$I$31),"Cam Phú",""),IF(OR(M318=phu!$I$32,M318=phu!$I$33,M318=phu!$I$34,M318=phu!$I$35,M318=phu!$I$36,M318=phu!$I$37),"Cam Lộc",""),IF(OR(M318=phu!$I$38,M318=phu!$I$39,M318=phu!$I$40,M318=phu!$I$41,M318=phu!$I$42,M318=phu!$I$43,M318=phu!$I$44),"Cam Thuận",""),IF(OR(M318=phu!$I$45,M318=phu!$I$46,M318=phu!$I$47,M318=phu!$I$48,M318=phu!$I$49,M318=phu!$I$50,M318=phu!$I$51,M318=phu!$I$52,M318=phu!$I$53),"Cam Linh",""),IF(OR(M318=phu!$I$54,M318=phu!$I$55,M318=phu!$I$56,M318=phu!$I$57,M318=phu!$I$58,M318=phu!$I$59,M318=phu!$I$60,M318=phu!$I$61,M318=phu!$I$62),"Cam Lợi",""),IF(OR(M318=phu!$I$63,M318=phu!$I$64,M318=phu!$I$65,M318=phu!$I$66,M318=phu!$I$67,M318=phu!$I$68,M318=phu!$I$69,M318=phu!$I$70,M318=phu!$I$71),"Ba Ngòi",""),IF(OR(M318=phu!$I$72,M318=phu!$I$73,M318=phu!$I$74,M318=phu!$I$75,M318=phu!$I$76,M318=phu!$I$77,M318=phu!$I$78),"Cam Phước Đông",""),IF(OR(M318=phu!$I$79,M318=phu!$I$80,M318=phu!$I$81,M318=phu!$I$82,M318=phu!$I$83,M318=phu!$I$84),"Cam Thịnh Đông",""),IF(OR(M318=phu!$I$85,M318=phu!$I$86,M318=phu!$I$87,M318=phu!$I$88),"Cam Thịnh Tây",""),IF(OR(M318=phu!$I$89,M318=phu!$I$90),"Cam Lập",""),IF(OR(M318=phu!$I$91,M318=phu!$I$92,M318=phu!$I$93),"Cam Bình",""),IF(OR(M318=phu!$I$94,M318=phu!$I$95,M318=phu!$I$96,M318=phu!$I$97,M318=phu!$I$98,M318=phu!$I$99,M318=phu!$I$100),"Huyện khác",""),IF(OR(M318=phu!$I$101,M318=phu!$I$102),"Tỉnh khác",""))</f>
        <v/>
      </c>
      <c r="O318" s="814" t="str">
        <f t="shared" si="25"/>
        <v/>
      </c>
      <c r="P318" s="254"/>
      <c r="Q318" s="254"/>
      <c r="R318" s="254"/>
      <c r="S318" s="254"/>
      <c r="T318" s="254"/>
      <c r="U318" s="254"/>
      <c r="V318" s="254"/>
      <c r="W318" s="254"/>
      <c r="Y318" s="246" t="str">
        <f t="shared" si="26"/>
        <v/>
      </c>
      <c r="Z318" s="247" t="str">
        <f t="shared" si="24"/>
        <v/>
      </c>
      <c r="AA318" s="246" t="str">
        <f t="shared" si="27"/>
        <v/>
      </c>
    </row>
    <row r="319" spans="1:27" ht="18" customHeight="1" x14ac:dyDescent="0.25">
      <c r="A319" s="248" t="str">
        <f t="shared" si="28"/>
        <v/>
      </c>
      <c r="B319" s="249" t="str">
        <f t="shared" si="29"/>
        <v/>
      </c>
      <c r="C319" s="250"/>
      <c r="D319" s="251"/>
      <c r="E319" s="241"/>
      <c r="F319" s="252"/>
      <c r="G319" s="252"/>
      <c r="H319" s="253"/>
      <c r="I319" s="250"/>
      <c r="J319" s="250"/>
      <c r="K319" s="270"/>
      <c r="L319" s="250"/>
      <c r="M319" s="250"/>
      <c r="N319" s="553" t="str">
        <f>CONCATENATE(IF(OR(M319=phu!$I$1,M319=phu!$I$2,M319=phu!$I$3),"Cam Thành Nam",""),IF(OR(M319=phu!$I$4,M319=phu!$I$5,M319=phu!$I$6,M319=phu!$I$7,M319=phu!$I$8,M319=phu!$I$9,M319=phu!$I$10,M319=phu!$I$11,M319=phu!$I$12,M319=phu!$I$13,M319=phu!$I$14),"Cam Nghĩa",""),IF(OR(M319=phu!$I$15,M319=phu!$I$16,M319=phu!$I$17,M319=phu!$I$18,M319=phu!$I$19,M319=phu!$I$20,M319=phu!$I$21),"Cam Phúc Bắc",""),IF(OR(M319=phu!$I$22,M319=phu!$I$23,M319=phu!$I$24,M319=phu!$I$25),"Cam Phúc Nam",""),IF(OR(M319=phu!$I$26,M319=phu!$I$27,M319=phu!$I$28,M319=phu!$I$29,M319=phu!$I$30,M319=phu!$I$31),"Cam Phú",""),IF(OR(M319=phu!$I$32,M319=phu!$I$33,M319=phu!$I$34,M319=phu!$I$35,M319=phu!$I$36,M319=phu!$I$37),"Cam Lộc",""),IF(OR(M319=phu!$I$38,M319=phu!$I$39,M319=phu!$I$40,M319=phu!$I$41,M319=phu!$I$42,M319=phu!$I$43,M319=phu!$I$44),"Cam Thuận",""),IF(OR(M319=phu!$I$45,M319=phu!$I$46,M319=phu!$I$47,M319=phu!$I$48,M319=phu!$I$49,M319=phu!$I$50,M319=phu!$I$51,M319=phu!$I$52,M319=phu!$I$53),"Cam Linh",""),IF(OR(M319=phu!$I$54,M319=phu!$I$55,M319=phu!$I$56,M319=phu!$I$57,M319=phu!$I$58,M319=phu!$I$59,M319=phu!$I$60,M319=phu!$I$61,M319=phu!$I$62),"Cam Lợi",""),IF(OR(M319=phu!$I$63,M319=phu!$I$64,M319=phu!$I$65,M319=phu!$I$66,M319=phu!$I$67,M319=phu!$I$68,M319=phu!$I$69,M319=phu!$I$70,M319=phu!$I$71),"Ba Ngòi",""),IF(OR(M319=phu!$I$72,M319=phu!$I$73,M319=phu!$I$74,M319=phu!$I$75,M319=phu!$I$76,M319=phu!$I$77,M319=phu!$I$78),"Cam Phước Đông",""),IF(OR(M319=phu!$I$79,M319=phu!$I$80,M319=phu!$I$81,M319=phu!$I$82,M319=phu!$I$83,M319=phu!$I$84),"Cam Thịnh Đông",""),IF(OR(M319=phu!$I$85,M319=phu!$I$86,M319=phu!$I$87,M319=phu!$I$88),"Cam Thịnh Tây",""),IF(OR(M319=phu!$I$89,M319=phu!$I$90),"Cam Lập",""),IF(OR(M319=phu!$I$91,M319=phu!$I$92,M319=phu!$I$93),"Cam Bình",""),IF(OR(M319=phu!$I$94,M319=phu!$I$95,M319=phu!$I$96,M319=phu!$I$97,M319=phu!$I$98,M319=phu!$I$99,M319=phu!$I$100),"Huyện khác",""),IF(OR(M319=phu!$I$101,M319=phu!$I$102),"Tỉnh khác",""))</f>
        <v/>
      </c>
      <c r="O319" s="814" t="str">
        <f t="shared" si="25"/>
        <v/>
      </c>
      <c r="P319" s="254"/>
      <c r="Q319" s="254"/>
      <c r="R319" s="254"/>
      <c r="S319" s="254"/>
      <c r="T319" s="254"/>
      <c r="U319" s="254"/>
      <c r="V319" s="254"/>
      <c r="W319" s="254"/>
      <c r="Y319" s="246" t="str">
        <f t="shared" si="26"/>
        <v/>
      </c>
      <c r="Z319" s="247" t="str">
        <f t="shared" si="24"/>
        <v/>
      </c>
      <c r="AA319" s="246" t="str">
        <f t="shared" si="27"/>
        <v/>
      </c>
    </row>
    <row r="320" spans="1:27" ht="18" customHeight="1" x14ac:dyDescent="0.25">
      <c r="A320" s="248" t="str">
        <f t="shared" si="28"/>
        <v/>
      </c>
      <c r="B320" s="249" t="str">
        <f t="shared" si="29"/>
        <v/>
      </c>
      <c r="C320" s="250"/>
      <c r="D320" s="251"/>
      <c r="E320" s="241"/>
      <c r="F320" s="252"/>
      <c r="G320" s="252"/>
      <c r="H320" s="253"/>
      <c r="I320" s="250"/>
      <c r="J320" s="250"/>
      <c r="K320" s="270"/>
      <c r="L320" s="250"/>
      <c r="M320" s="250"/>
      <c r="N320" s="553" t="str">
        <f>CONCATENATE(IF(OR(M320=phu!$I$1,M320=phu!$I$2,M320=phu!$I$3),"Cam Thành Nam",""),IF(OR(M320=phu!$I$4,M320=phu!$I$5,M320=phu!$I$6,M320=phu!$I$7,M320=phu!$I$8,M320=phu!$I$9,M320=phu!$I$10,M320=phu!$I$11,M320=phu!$I$12,M320=phu!$I$13,M320=phu!$I$14),"Cam Nghĩa",""),IF(OR(M320=phu!$I$15,M320=phu!$I$16,M320=phu!$I$17,M320=phu!$I$18,M320=phu!$I$19,M320=phu!$I$20,M320=phu!$I$21),"Cam Phúc Bắc",""),IF(OR(M320=phu!$I$22,M320=phu!$I$23,M320=phu!$I$24,M320=phu!$I$25),"Cam Phúc Nam",""),IF(OR(M320=phu!$I$26,M320=phu!$I$27,M320=phu!$I$28,M320=phu!$I$29,M320=phu!$I$30,M320=phu!$I$31),"Cam Phú",""),IF(OR(M320=phu!$I$32,M320=phu!$I$33,M320=phu!$I$34,M320=phu!$I$35,M320=phu!$I$36,M320=phu!$I$37),"Cam Lộc",""),IF(OR(M320=phu!$I$38,M320=phu!$I$39,M320=phu!$I$40,M320=phu!$I$41,M320=phu!$I$42,M320=phu!$I$43,M320=phu!$I$44),"Cam Thuận",""),IF(OR(M320=phu!$I$45,M320=phu!$I$46,M320=phu!$I$47,M320=phu!$I$48,M320=phu!$I$49,M320=phu!$I$50,M320=phu!$I$51,M320=phu!$I$52,M320=phu!$I$53),"Cam Linh",""),IF(OR(M320=phu!$I$54,M320=phu!$I$55,M320=phu!$I$56,M320=phu!$I$57,M320=phu!$I$58,M320=phu!$I$59,M320=phu!$I$60,M320=phu!$I$61,M320=phu!$I$62),"Cam Lợi",""),IF(OR(M320=phu!$I$63,M320=phu!$I$64,M320=phu!$I$65,M320=phu!$I$66,M320=phu!$I$67,M320=phu!$I$68,M320=phu!$I$69,M320=phu!$I$70,M320=phu!$I$71),"Ba Ngòi",""),IF(OR(M320=phu!$I$72,M320=phu!$I$73,M320=phu!$I$74,M320=phu!$I$75,M320=phu!$I$76,M320=phu!$I$77,M320=phu!$I$78),"Cam Phước Đông",""),IF(OR(M320=phu!$I$79,M320=phu!$I$80,M320=phu!$I$81,M320=phu!$I$82,M320=phu!$I$83,M320=phu!$I$84),"Cam Thịnh Đông",""),IF(OR(M320=phu!$I$85,M320=phu!$I$86,M320=phu!$I$87,M320=phu!$I$88),"Cam Thịnh Tây",""),IF(OR(M320=phu!$I$89,M320=phu!$I$90),"Cam Lập",""),IF(OR(M320=phu!$I$91,M320=phu!$I$92,M320=phu!$I$93),"Cam Bình",""),IF(OR(M320=phu!$I$94,M320=phu!$I$95,M320=phu!$I$96,M320=phu!$I$97,M320=phu!$I$98,M320=phu!$I$99,M320=phu!$I$100),"Huyện khác",""),IF(OR(M320=phu!$I$101,M320=phu!$I$102),"Tỉnh khác",""))</f>
        <v/>
      </c>
      <c r="O320" s="814" t="str">
        <f t="shared" si="25"/>
        <v/>
      </c>
      <c r="P320" s="254"/>
      <c r="Q320" s="254"/>
      <c r="R320" s="254"/>
      <c r="S320" s="254"/>
      <c r="T320" s="254"/>
      <c r="U320" s="254"/>
      <c r="V320" s="254"/>
      <c r="W320" s="254"/>
      <c r="Y320" s="246" t="str">
        <f t="shared" si="26"/>
        <v/>
      </c>
      <c r="Z320" s="247" t="str">
        <f t="shared" si="24"/>
        <v/>
      </c>
      <c r="AA320" s="246" t="str">
        <f t="shared" si="27"/>
        <v/>
      </c>
    </row>
    <row r="321" spans="1:27" ht="18" customHeight="1" x14ac:dyDescent="0.25">
      <c r="A321" s="248" t="str">
        <f t="shared" si="28"/>
        <v/>
      </c>
      <c r="B321" s="249" t="str">
        <f t="shared" si="29"/>
        <v/>
      </c>
      <c r="C321" s="250"/>
      <c r="D321" s="251"/>
      <c r="E321" s="241"/>
      <c r="F321" s="252"/>
      <c r="G321" s="252"/>
      <c r="H321" s="253"/>
      <c r="I321" s="250"/>
      <c r="J321" s="250"/>
      <c r="K321" s="270"/>
      <c r="L321" s="250"/>
      <c r="M321" s="250"/>
      <c r="N321" s="553" t="str">
        <f>CONCATENATE(IF(OR(M321=phu!$I$1,M321=phu!$I$2,M321=phu!$I$3),"Cam Thành Nam",""),IF(OR(M321=phu!$I$4,M321=phu!$I$5,M321=phu!$I$6,M321=phu!$I$7,M321=phu!$I$8,M321=phu!$I$9,M321=phu!$I$10,M321=phu!$I$11,M321=phu!$I$12,M321=phu!$I$13,M321=phu!$I$14),"Cam Nghĩa",""),IF(OR(M321=phu!$I$15,M321=phu!$I$16,M321=phu!$I$17,M321=phu!$I$18,M321=phu!$I$19,M321=phu!$I$20,M321=phu!$I$21),"Cam Phúc Bắc",""),IF(OR(M321=phu!$I$22,M321=phu!$I$23,M321=phu!$I$24,M321=phu!$I$25),"Cam Phúc Nam",""),IF(OR(M321=phu!$I$26,M321=phu!$I$27,M321=phu!$I$28,M321=phu!$I$29,M321=phu!$I$30,M321=phu!$I$31),"Cam Phú",""),IF(OR(M321=phu!$I$32,M321=phu!$I$33,M321=phu!$I$34,M321=phu!$I$35,M321=phu!$I$36,M321=phu!$I$37),"Cam Lộc",""),IF(OR(M321=phu!$I$38,M321=phu!$I$39,M321=phu!$I$40,M321=phu!$I$41,M321=phu!$I$42,M321=phu!$I$43,M321=phu!$I$44),"Cam Thuận",""),IF(OR(M321=phu!$I$45,M321=phu!$I$46,M321=phu!$I$47,M321=phu!$I$48,M321=phu!$I$49,M321=phu!$I$50,M321=phu!$I$51,M321=phu!$I$52,M321=phu!$I$53),"Cam Linh",""),IF(OR(M321=phu!$I$54,M321=phu!$I$55,M321=phu!$I$56,M321=phu!$I$57,M321=phu!$I$58,M321=phu!$I$59,M321=phu!$I$60,M321=phu!$I$61,M321=phu!$I$62),"Cam Lợi",""),IF(OR(M321=phu!$I$63,M321=phu!$I$64,M321=phu!$I$65,M321=phu!$I$66,M321=phu!$I$67,M321=phu!$I$68,M321=phu!$I$69,M321=phu!$I$70,M321=phu!$I$71),"Ba Ngòi",""),IF(OR(M321=phu!$I$72,M321=phu!$I$73,M321=phu!$I$74,M321=phu!$I$75,M321=phu!$I$76,M321=phu!$I$77,M321=phu!$I$78),"Cam Phước Đông",""),IF(OR(M321=phu!$I$79,M321=phu!$I$80,M321=phu!$I$81,M321=phu!$I$82,M321=phu!$I$83,M321=phu!$I$84),"Cam Thịnh Đông",""),IF(OR(M321=phu!$I$85,M321=phu!$I$86,M321=phu!$I$87,M321=phu!$I$88),"Cam Thịnh Tây",""),IF(OR(M321=phu!$I$89,M321=phu!$I$90),"Cam Lập",""),IF(OR(M321=phu!$I$91,M321=phu!$I$92,M321=phu!$I$93),"Cam Bình",""),IF(OR(M321=phu!$I$94,M321=phu!$I$95,M321=phu!$I$96,M321=phu!$I$97,M321=phu!$I$98,M321=phu!$I$99,M321=phu!$I$100),"Huyện khác",""),IF(OR(M321=phu!$I$101,M321=phu!$I$102),"Tỉnh khác",""))</f>
        <v/>
      </c>
      <c r="O321" s="814" t="str">
        <f t="shared" si="25"/>
        <v/>
      </c>
      <c r="P321" s="254"/>
      <c r="Q321" s="254"/>
      <c r="R321" s="254"/>
      <c r="S321" s="254"/>
      <c r="T321" s="254"/>
      <c r="U321" s="254"/>
      <c r="V321" s="254"/>
      <c r="W321" s="254"/>
      <c r="Y321" s="246" t="str">
        <f t="shared" si="26"/>
        <v/>
      </c>
      <c r="Z321" s="247" t="str">
        <f t="shared" si="24"/>
        <v/>
      </c>
      <c r="AA321" s="246" t="str">
        <f t="shared" si="27"/>
        <v/>
      </c>
    </row>
    <row r="322" spans="1:27" ht="18" customHeight="1" x14ac:dyDescent="0.25">
      <c r="A322" s="248" t="str">
        <f t="shared" si="28"/>
        <v/>
      </c>
      <c r="B322" s="249" t="str">
        <f t="shared" si="29"/>
        <v/>
      </c>
      <c r="C322" s="250"/>
      <c r="D322" s="251"/>
      <c r="E322" s="241"/>
      <c r="F322" s="252"/>
      <c r="G322" s="252"/>
      <c r="H322" s="253"/>
      <c r="I322" s="250"/>
      <c r="J322" s="250"/>
      <c r="K322" s="270"/>
      <c r="L322" s="250"/>
      <c r="M322" s="250"/>
      <c r="N322" s="553" t="str">
        <f>CONCATENATE(IF(OR(M322=phu!$I$1,M322=phu!$I$2,M322=phu!$I$3),"Cam Thành Nam",""),IF(OR(M322=phu!$I$4,M322=phu!$I$5,M322=phu!$I$6,M322=phu!$I$7,M322=phu!$I$8,M322=phu!$I$9,M322=phu!$I$10,M322=phu!$I$11,M322=phu!$I$12,M322=phu!$I$13,M322=phu!$I$14),"Cam Nghĩa",""),IF(OR(M322=phu!$I$15,M322=phu!$I$16,M322=phu!$I$17,M322=phu!$I$18,M322=phu!$I$19,M322=phu!$I$20,M322=phu!$I$21),"Cam Phúc Bắc",""),IF(OR(M322=phu!$I$22,M322=phu!$I$23,M322=phu!$I$24,M322=phu!$I$25),"Cam Phúc Nam",""),IF(OR(M322=phu!$I$26,M322=phu!$I$27,M322=phu!$I$28,M322=phu!$I$29,M322=phu!$I$30,M322=phu!$I$31),"Cam Phú",""),IF(OR(M322=phu!$I$32,M322=phu!$I$33,M322=phu!$I$34,M322=phu!$I$35,M322=phu!$I$36,M322=phu!$I$37),"Cam Lộc",""),IF(OR(M322=phu!$I$38,M322=phu!$I$39,M322=phu!$I$40,M322=phu!$I$41,M322=phu!$I$42,M322=phu!$I$43,M322=phu!$I$44),"Cam Thuận",""),IF(OR(M322=phu!$I$45,M322=phu!$I$46,M322=phu!$I$47,M322=phu!$I$48,M322=phu!$I$49,M322=phu!$I$50,M322=phu!$I$51,M322=phu!$I$52,M322=phu!$I$53),"Cam Linh",""),IF(OR(M322=phu!$I$54,M322=phu!$I$55,M322=phu!$I$56,M322=phu!$I$57,M322=phu!$I$58,M322=phu!$I$59,M322=phu!$I$60,M322=phu!$I$61,M322=phu!$I$62),"Cam Lợi",""),IF(OR(M322=phu!$I$63,M322=phu!$I$64,M322=phu!$I$65,M322=phu!$I$66,M322=phu!$I$67,M322=phu!$I$68,M322=phu!$I$69,M322=phu!$I$70,M322=phu!$I$71),"Ba Ngòi",""),IF(OR(M322=phu!$I$72,M322=phu!$I$73,M322=phu!$I$74,M322=phu!$I$75,M322=phu!$I$76,M322=phu!$I$77,M322=phu!$I$78),"Cam Phước Đông",""),IF(OR(M322=phu!$I$79,M322=phu!$I$80,M322=phu!$I$81,M322=phu!$I$82,M322=phu!$I$83,M322=phu!$I$84),"Cam Thịnh Đông",""),IF(OR(M322=phu!$I$85,M322=phu!$I$86,M322=phu!$I$87,M322=phu!$I$88),"Cam Thịnh Tây",""),IF(OR(M322=phu!$I$89,M322=phu!$I$90),"Cam Lập",""),IF(OR(M322=phu!$I$91,M322=phu!$I$92,M322=phu!$I$93),"Cam Bình",""),IF(OR(M322=phu!$I$94,M322=phu!$I$95,M322=phu!$I$96,M322=phu!$I$97,M322=phu!$I$98,M322=phu!$I$99,M322=phu!$I$100),"Huyện khác",""),IF(OR(M322=phu!$I$101,M322=phu!$I$102),"Tỉnh khác",""))</f>
        <v/>
      </c>
      <c r="O322" s="814" t="str">
        <f t="shared" si="25"/>
        <v/>
      </c>
      <c r="P322" s="254"/>
      <c r="Q322" s="254"/>
      <c r="R322" s="254"/>
      <c r="S322" s="254"/>
      <c r="T322" s="254"/>
      <c r="U322" s="254"/>
      <c r="V322" s="254"/>
      <c r="W322" s="254"/>
      <c r="Y322" s="246" t="str">
        <f t="shared" si="26"/>
        <v/>
      </c>
      <c r="Z322" s="247" t="str">
        <f t="shared" si="24"/>
        <v/>
      </c>
      <c r="AA322" s="246" t="str">
        <f t="shared" si="27"/>
        <v/>
      </c>
    </row>
    <row r="323" spans="1:27" ht="18" customHeight="1" x14ac:dyDescent="0.25">
      <c r="A323" s="248" t="str">
        <f t="shared" si="28"/>
        <v/>
      </c>
      <c r="B323" s="249" t="str">
        <f t="shared" si="29"/>
        <v/>
      </c>
      <c r="C323" s="250"/>
      <c r="D323" s="251"/>
      <c r="E323" s="241"/>
      <c r="F323" s="252"/>
      <c r="G323" s="252"/>
      <c r="H323" s="253"/>
      <c r="I323" s="250"/>
      <c r="J323" s="250"/>
      <c r="K323" s="270"/>
      <c r="L323" s="250"/>
      <c r="M323" s="250"/>
      <c r="N323" s="553" t="str">
        <f>CONCATENATE(IF(OR(M323=phu!$I$1,M323=phu!$I$2,M323=phu!$I$3),"Cam Thành Nam",""),IF(OR(M323=phu!$I$4,M323=phu!$I$5,M323=phu!$I$6,M323=phu!$I$7,M323=phu!$I$8,M323=phu!$I$9,M323=phu!$I$10,M323=phu!$I$11,M323=phu!$I$12,M323=phu!$I$13,M323=phu!$I$14),"Cam Nghĩa",""),IF(OR(M323=phu!$I$15,M323=phu!$I$16,M323=phu!$I$17,M323=phu!$I$18,M323=phu!$I$19,M323=phu!$I$20,M323=phu!$I$21),"Cam Phúc Bắc",""),IF(OR(M323=phu!$I$22,M323=phu!$I$23,M323=phu!$I$24,M323=phu!$I$25),"Cam Phúc Nam",""),IF(OR(M323=phu!$I$26,M323=phu!$I$27,M323=phu!$I$28,M323=phu!$I$29,M323=phu!$I$30,M323=phu!$I$31),"Cam Phú",""),IF(OR(M323=phu!$I$32,M323=phu!$I$33,M323=phu!$I$34,M323=phu!$I$35,M323=phu!$I$36,M323=phu!$I$37),"Cam Lộc",""),IF(OR(M323=phu!$I$38,M323=phu!$I$39,M323=phu!$I$40,M323=phu!$I$41,M323=phu!$I$42,M323=phu!$I$43,M323=phu!$I$44),"Cam Thuận",""),IF(OR(M323=phu!$I$45,M323=phu!$I$46,M323=phu!$I$47,M323=phu!$I$48,M323=phu!$I$49,M323=phu!$I$50,M323=phu!$I$51,M323=phu!$I$52,M323=phu!$I$53),"Cam Linh",""),IF(OR(M323=phu!$I$54,M323=phu!$I$55,M323=phu!$I$56,M323=phu!$I$57,M323=phu!$I$58,M323=phu!$I$59,M323=phu!$I$60,M323=phu!$I$61,M323=phu!$I$62),"Cam Lợi",""),IF(OR(M323=phu!$I$63,M323=phu!$I$64,M323=phu!$I$65,M323=phu!$I$66,M323=phu!$I$67,M323=phu!$I$68,M323=phu!$I$69,M323=phu!$I$70,M323=phu!$I$71),"Ba Ngòi",""),IF(OR(M323=phu!$I$72,M323=phu!$I$73,M323=phu!$I$74,M323=phu!$I$75,M323=phu!$I$76,M323=phu!$I$77,M323=phu!$I$78),"Cam Phước Đông",""),IF(OR(M323=phu!$I$79,M323=phu!$I$80,M323=phu!$I$81,M323=phu!$I$82,M323=phu!$I$83,M323=phu!$I$84),"Cam Thịnh Đông",""),IF(OR(M323=phu!$I$85,M323=phu!$I$86,M323=phu!$I$87,M323=phu!$I$88),"Cam Thịnh Tây",""),IF(OR(M323=phu!$I$89,M323=phu!$I$90),"Cam Lập",""),IF(OR(M323=phu!$I$91,M323=phu!$I$92,M323=phu!$I$93),"Cam Bình",""),IF(OR(M323=phu!$I$94,M323=phu!$I$95,M323=phu!$I$96,M323=phu!$I$97,M323=phu!$I$98,M323=phu!$I$99,M323=phu!$I$100),"Huyện khác",""),IF(OR(M323=phu!$I$101,M323=phu!$I$102),"Tỉnh khác",""))</f>
        <v/>
      </c>
      <c r="O323" s="814" t="str">
        <f t="shared" si="25"/>
        <v/>
      </c>
      <c r="P323" s="254"/>
      <c r="Q323" s="254"/>
      <c r="R323" s="254"/>
      <c r="S323" s="254"/>
      <c r="T323" s="254"/>
      <c r="U323" s="254"/>
      <c r="V323" s="254"/>
      <c r="W323" s="254"/>
      <c r="Y323" s="246" t="str">
        <f t="shared" si="26"/>
        <v/>
      </c>
      <c r="Z323" s="247" t="str">
        <f t="shared" si="24"/>
        <v/>
      </c>
      <c r="AA323" s="246" t="str">
        <f t="shared" si="27"/>
        <v/>
      </c>
    </row>
    <row r="324" spans="1:27" ht="18" customHeight="1" x14ac:dyDescent="0.25">
      <c r="A324" s="248" t="str">
        <f t="shared" si="28"/>
        <v/>
      </c>
      <c r="B324" s="249" t="str">
        <f t="shared" si="29"/>
        <v/>
      </c>
      <c r="C324" s="250"/>
      <c r="D324" s="251"/>
      <c r="E324" s="241"/>
      <c r="F324" s="252"/>
      <c r="G324" s="252"/>
      <c r="H324" s="253"/>
      <c r="I324" s="250"/>
      <c r="J324" s="250"/>
      <c r="K324" s="270"/>
      <c r="L324" s="250"/>
      <c r="M324" s="250"/>
      <c r="N324" s="553" t="str">
        <f>CONCATENATE(IF(OR(M324=phu!$I$1,M324=phu!$I$2,M324=phu!$I$3),"Cam Thành Nam",""),IF(OR(M324=phu!$I$4,M324=phu!$I$5,M324=phu!$I$6,M324=phu!$I$7,M324=phu!$I$8,M324=phu!$I$9,M324=phu!$I$10,M324=phu!$I$11,M324=phu!$I$12,M324=phu!$I$13,M324=phu!$I$14),"Cam Nghĩa",""),IF(OR(M324=phu!$I$15,M324=phu!$I$16,M324=phu!$I$17,M324=phu!$I$18,M324=phu!$I$19,M324=phu!$I$20,M324=phu!$I$21),"Cam Phúc Bắc",""),IF(OR(M324=phu!$I$22,M324=phu!$I$23,M324=phu!$I$24,M324=phu!$I$25),"Cam Phúc Nam",""),IF(OR(M324=phu!$I$26,M324=phu!$I$27,M324=phu!$I$28,M324=phu!$I$29,M324=phu!$I$30,M324=phu!$I$31),"Cam Phú",""),IF(OR(M324=phu!$I$32,M324=phu!$I$33,M324=phu!$I$34,M324=phu!$I$35,M324=phu!$I$36,M324=phu!$I$37),"Cam Lộc",""),IF(OR(M324=phu!$I$38,M324=phu!$I$39,M324=phu!$I$40,M324=phu!$I$41,M324=phu!$I$42,M324=phu!$I$43,M324=phu!$I$44),"Cam Thuận",""),IF(OR(M324=phu!$I$45,M324=phu!$I$46,M324=phu!$I$47,M324=phu!$I$48,M324=phu!$I$49,M324=phu!$I$50,M324=phu!$I$51,M324=phu!$I$52,M324=phu!$I$53),"Cam Linh",""),IF(OR(M324=phu!$I$54,M324=phu!$I$55,M324=phu!$I$56,M324=phu!$I$57,M324=phu!$I$58,M324=phu!$I$59,M324=phu!$I$60,M324=phu!$I$61,M324=phu!$I$62),"Cam Lợi",""),IF(OR(M324=phu!$I$63,M324=phu!$I$64,M324=phu!$I$65,M324=phu!$I$66,M324=phu!$I$67,M324=phu!$I$68,M324=phu!$I$69,M324=phu!$I$70,M324=phu!$I$71),"Ba Ngòi",""),IF(OR(M324=phu!$I$72,M324=phu!$I$73,M324=phu!$I$74,M324=phu!$I$75,M324=phu!$I$76,M324=phu!$I$77,M324=phu!$I$78),"Cam Phước Đông",""),IF(OR(M324=phu!$I$79,M324=phu!$I$80,M324=phu!$I$81,M324=phu!$I$82,M324=phu!$I$83,M324=phu!$I$84),"Cam Thịnh Đông",""),IF(OR(M324=phu!$I$85,M324=phu!$I$86,M324=phu!$I$87,M324=phu!$I$88),"Cam Thịnh Tây",""),IF(OR(M324=phu!$I$89,M324=phu!$I$90),"Cam Lập",""),IF(OR(M324=phu!$I$91,M324=phu!$I$92,M324=phu!$I$93),"Cam Bình",""),IF(OR(M324=phu!$I$94,M324=phu!$I$95,M324=phu!$I$96,M324=phu!$I$97,M324=phu!$I$98,M324=phu!$I$99,M324=phu!$I$100),"Huyện khác",""),IF(OR(M324=phu!$I$101,M324=phu!$I$102),"Tỉnh khác",""))</f>
        <v/>
      </c>
      <c r="O324" s="814" t="str">
        <f t="shared" si="25"/>
        <v/>
      </c>
      <c r="P324" s="254"/>
      <c r="Q324" s="254"/>
      <c r="R324" s="254"/>
      <c r="S324" s="254"/>
      <c r="T324" s="254"/>
      <c r="U324" s="254"/>
      <c r="V324" s="254"/>
      <c r="W324" s="254"/>
      <c r="Y324" s="246" t="str">
        <f t="shared" si="26"/>
        <v/>
      </c>
      <c r="Z324" s="247" t="str">
        <f t="shared" si="24"/>
        <v/>
      </c>
      <c r="AA324" s="246" t="str">
        <f t="shared" si="27"/>
        <v/>
      </c>
    </row>
    <row r="325" spans="1:27" ht="18" customHeight="1" x14ac:dyDescent="0.25">
      <c r="A325" s="248" t="str">
        <f t="shared" si="28"/>
        <v/>
      </c>
      <c r="B325" s="249" t="str">
        <f t="shared" si="29"/>
        <v/>
      </c>
      <c r="C325" s="250"/>
      <c r="D325" s="251"/>
      <c r="E325" s="241"/>
      <c r="F325" s="252"/>
      <c r="G325" s="252"/>
      <c r="H325" s="253"/>
      <c r="I325" s="250"/>
      <c r="J325" s="250"/>
      <c r="K325" s="270"/>
      <c r="L325" s="250"/>
      <c r="M325" s="250"/>
      <c r="N325" s="553" t="str">
        <f>CONCATENATE(IF(OR(M325=phu!$I$1,M325=phu!$I$2,M325=phu!$I$3),"Cam Thành Nam",""),IF(OR(M325=phu!$I$4,M325=phu!$I$5,M325=phu!$I$6,M325=phu!$I$7,M325=phu!$I$8,M325=phu!$I$9,M325=phu!$I$10,M325=phu!$I$11,M325=phu!$I$12,M325=phu!$I$13,M325=phu!$I$14),"Cam Nghĩa",""),IF(OR(M325=phu!$I$15,M325=phu!$I$16,M325=phu!$I$17,M325=phu!$I$18,M325=phu!$I$19,M325=phu!$I$20,M325=phu!$I$21),"Cam Phúc Bắc",""),IF(OR(M325=phu!$I$22,M325=phu!$I$23,M325=phu!$I$24,M325=phu!$I$25),"Cam Phúc Nam",""),IF(OR(M325=phu!$I$26,M325=phu!$I$27,M325=phu!$I$28,M325=phu!$I$29,M325=phu!$I$30,M325=phu!$I$31),"Cam Phú",""),IF(OR(M325=phu!$I$32,M325=phu!$I$33,M325=phu!$I$34,M325=phu!$I$35,M325=phu!$I$36,M325=phu!$I$37),"Cam Lộc",""),IF(OR(M325=phu!$I$38,M325=phu!$I$39,M325=phu!$I$40,M325=phu!$I$41,M325=phu!$I$42,M325=phu!$I$43,M325=phu!$I$44),"Cam Thuận",""),IF(OR(M325=phu!$I$45,M325=phu!$I$46,M325=phu!$I$47,M325=phu!$I$48,M325=phu!$I$49,M325=phu!$I$50,M325=phu!$I$51,M325=phu!$I$52,M325=phu!$I$53),"Cam Linh",""),IF(OR(M325=phu!$I$54,M325=phu!$I$55,M325=phu!$I$56,M325=phu!$I$57,M325=phu!$I$58,M325=phu!$I$59,M325=phu!$I$60,M325=phu!$I$61,M325=phu!$I$62),"Cam Lợi",""),IF(OR(M325=phu!$I$63,M325=phu!$I$64,M325=phu!$I$65,M325=phu!$I$66,M325=phu!$I$67,M325=phu!$I$68,M325=phu!$I$69,M325=phu!$I$70,M325=phu!$I$71),"Ba Ngòi",""),IF(OR(M325=phu!$I$72,M325=phu!$I$73,M325=phu!$I$74,M325=phu!$I$75,M325=phu!$I$76,M325=phu!$I$77,M325=phu!$I$78),"Cam Phước Đông",""),IF(OR(M325=phu!$I$79,M325=phu!$I$80,M325=phu!$I$81,M325=phu!$I$82,M325=phu!$I$83,M325=phu!$I$84),"Cam Thịnh Đông",""),IF(OR(M325=phu!$I$85,M325=phu!$I$86,M325=phu!$I$87,M325=phu!$I$88),"Cam Thịnh Tây",""),IF(OR(M325=phu!$I$89,M325=phu!$I$90),"Cam Lập",""),IF(OR(M325=phu!$I$91,M325=phu!$I$92,M325=phu!$I$93),"Cam Bình",""),IF(OR(M325=phu!$I$94,M325=phu!$I$95,M325=phu!$I$96,M325=phu!$I$97,M325=phu!$I$98,M325=phu!$I$99,M325=phu!$I$100),"Huyện khác",""),IF(OR(M325=phu!$I$101,M325=phu!$I$102),"Tỉnh khác",""))</f>
        <v/>
      </c>
      <c r="O325" s="814" t="str">
        <f t="shared" si="25"/>
        <v/>
      </c>
      <c r="P325" s="254"/>
      <c r="Q325" s="254"/>
      <c r="R325" s="254"/>
      <c r="S325" s="254"/>
      <c r="T325" s="254"/>
      <c r="U325" s="254"/>
      <c r="V325" s="254"/>
      <c r="W325" s="254"/>
      <c r="Y325" s="246" t="str">
        <f t="shared" si="26"/>
        <v/>
      </c>
      <c r="Z325" s="247" t="str">
        <f t="shared" si="24"/>
        <v/>
      </c>
      <c r="AA325" s="246" t="str">
        <f t="shared" si="27"/>
        <v/>
      </c>
    </row>
    <row r="326" spans="1:27" ht="18" customHeight="1" x14ac:dyDescent="0.25">
      <c r="A326" s="248" t="str">
        <f t="shared" si="28"/>
        <v/>
      </c>
      <c r="B326" s="249" t="str">
        <f t="shared" si="29"/>
        <v/>
      </c>
      <c r="C326" s="250"/>
      <c r="D326" s="251"/>
      <c r="E326" s="241"/>
      <c r="F326" s="252"/>
      <c r="G326" s="252"/>
      <c r="H326" s="253"/>
      <c r="I326" s="250"/>
      <c r="J326" s="250"/>
      <c r="K326" s="270"/>
      <c r="L326" s="250"/>
      <c r="M326" s="250"/>
      <c r="N326" s="553" t="str">
        <f>CONCATENATE(IF(OR(M326=phu!$I$1,M326=phu!$I$2,M326=phu!$I$3),"Cam Thành Nam",""),IF(OR(M326=phu!$I$4,M326=phu!$I$5,M326=phu!$I$6,M326=phu!$I$7,M326=phu!$I$8,M326=phu!$I$9,M326=phu!$I$10,M326=phu!$I$11,M326=phu!$I$12,M326=phu!$I$13,M326=phu!$I$14),"Cam Nghĩa",""),IF(OR(M326=phu!$I$15,M326=phu!$I$16,M326=phu!$I$17,M326=phu!$I$18,M326=phu!$I$19,M326=phu!$I$20,M326=phu!$I$21),"Cam Phúc Bắc",""),IF(OR(M326=phu!$I$22,M326=phu!$I$23,M326=phu!$I$24,M326=phu!$I$25),"Cam Phúc Nam",""),IF(OR(M326=phu!$I$26,M326=phu!$I$27,M326=phu!$I$28,M326=phu!$I$29,M326=phu!$I$30,M326=phu!$I$31),"Cam Phú",""),IF(OR(M326=phu!$I$32,M326=phu!$I$33,M326=phu!$I$34,M326=phu!$I$35,M326=phu!$I$36,M326=phu!$I$37),"Cam Lộc",""),IF(OR(M326=phu!$I$38,M326=phu!$I$39,M326=phu!$I$40,M326=phu!$I$41,M326=phu!$I$42,M326=phu!$I$43,M326=phu!$I$44),"Cam Thuận",""),IF(OR(M326=phu!$I$45,M326=phu!$I$46,M326=phu!$I$47,M326=phu!$I$48,M326=phu!$I$49,M326=phu!$I$50,M326=phu!$I$51,M326=phu!$I$52,M326=phu!$I$53),"Cam Linh",""),IF(OR(M326=phu!$I$54,M326=phu!$I$55,M326=phu!$I$56,M326=phu!$I$57,M326=phu!$I$58,M326=phu!$I$59,M326=phu!$I$60,M326=phu!$I$61,M326=phu!$I$62),"Cam Lợi",""),IF(OR(M326=phu!$I$63,M326=phu!$I$64,M326=phu!$I$65,M326=phu!$I$66,M326=phu!$I$67,M326=phu!$I$68,M326=phu!$I$69,M326=phu!$I$70,M326=phu!$I$71),"Ba Ngòi",""),IF(OR(M326=phu!$I$72,M326=phu!$I$73,M326=phu!$I$74,M326=phu!$I$75,M326=phu!$I$76,M326=phu!$I$77,M326=phu!$I$78),"Cam Phước Đông",""),IF(OR(M326=phu!$I$79,M326=phu!$I$80,M326=phu!$I$81,M326=phu!$I$82,M326=phu!$I$83,M326=phu!$I$84),"Cam Thịnh Đông",""),IF(OR(M326=phu!$I$85,M326=phu!$I$86,M326=phu!$I$87,M326=phu!$I$88),"Cam Thịnh Tây",""),IF(OR(M326=phu!$I$89,M326=phu!$I$90),"Cam Lập",""),IF(OR(M326=phu!$I$91,M326=phu!$I$92,M326=phu!$I$93),"Cam Bình",""),IF(OR(M326=phu!$I$94,M326=phu!$I$95,M326=phu!$I$96,M326=phu!$I$97,M326=phu!$I$98,M326=phu!$I$99,M326=phu!$I$100),"Huyện khác",""),IF(OR(M326=phu!$I$101,M326=phu!$I$102),"Tỉnh khác",""))</f>
        <v/>
      </c>
      <c r="O326" s="814" t="str">
        <f t="shared" si="25"/>
        <v/>
      </c>
      <c r="P326" s="254"/>
      <c r="Q326" s="254"/>
      <c r="R326" s="254"/>
      <c r="S326" s="254"/>
      <c r="T326" s="254"/>
      <c r="U326" s="254"/>
      <c r="V326" s="254"/>
      <c r="W326" s="254"/>
      <c r="Y326" s="246" t="str">
        <f t="shared" si="26"/>
        <v/>
      </c>
      <c r="Z326" s="247" t="str">
        <f t="shared" ref="Z326:Z389" si="30">IF(H326="","",$Z$1-H326)</f>
        <v/>
      </c>
      <c r="AA326" s="246" t="str">
        <f t="shared" si="27"/>
        <v/>
      </c>
    </row>
    <row r="327" spans="1:27" ht="18" customHeight="1" x14ac:dyDescent="0.25">
      <c r="A327" s="248" t="str">
        <f t="shared" si="28"/>
        <v/>
      </c>
      <c r="B327" s="249" t="str">
        <f t="shared" si="29"/>
        <v/>
      </c>
      <c r="C327" s="250"/>
      <c r="D327" s="251"/>
      <c r="E327" s="241"/>
      <c r="F327" s="252"/>
      <c r="G327" s="252"/>
      <c r="H327" s="253"/>
      <c r="I327" s="250"/>
      <c r="J327" s="250"/>
      <c r="K327" s="270"/>
      <c r="L327" s="250"/>
      <c r="M327" s="250"/>
      <c r="N327" s="553" t="str">
        <f>CONCATENATE(IF(OR(M327=phu!$I$1,M327=phu!$I$2,M327=phu!$I$3),"Cam Thành Nam",""),IF(OR(M327=phu!$I$4,M327=phu!$I$5,M327=phu!$I$6,M327=phu!$I$7,M327=phu!$I$8,M327=phu!$I$9,M327=phu!$I$10,M327=phu!$I$11,M327=phu!$I$12,M327=phu!$I$13,M327=phu!$I$14),"Cam Nghĩa",""),IF(OR(M327=phu!$I$15,M327=phu!$I$16,M327=phu!$I$17,M327=phu!$I$18,M327=phu!$I$19,M327=phu!$I$20,M327=phu!$I$21),"Cam Phúc Bắc",""),IF(OR(M327=phu!$I$22,M327=phu!$I$23,M327=phu!$I$24,M327=phu!$I$25),"Cam Phúc Nam",""),IF(OR(M327=phu!$I$26,M327=phu!$I$27,M327=phu!$I$28,M327=phu!$I$29,M327=phu!$I$30,M327=phu!$I$31),"Cam Phú",""),IF(OR(M327=phu!$I$32,M327=phu!$I$33,M327=phu!$I$34,M327=phu!$I$35,M327=phu!$I$36,M327=phu!$I$37),"Cam Lộc",""),IF(OR(M327=phu!$I$38,M327=phu!$I$39,M327=phu!$I$40,M327=phu!$I$41,M327=phu!$I$42,M327=phu!$I$43,M327=phu!$I$44),"Cam Thuận",""),IF(OR(M327=phu!$I$45,M327=phu!$I$46,M327=phu!$I$47,M327=phu!$I$48,M327=phu!$I$49,M327=phu!$I$50,M327=phu!$I$51,M327=phu!$I$52,M327=phu!$I$53),"Cam Linh",""),IF(OR(M327=phu!$I$54,M327=phu!$I$55,M327=phu!$I$56,M327=phu!$I$57,M327=phu!$I$58,M327=phu!$I$59,M327=phu!$I$60,M327=phu!$I$61,M327=phu!$I$62),"Cam Lợi",""),IF(OR(M327=phu!$I$63,M327=phu!$I$64,M327=phu!$I$65,M327=phu!$I$66,M327=phu!$I$67,M327=phu!$I$68,M327=phu!$I$69,M327=phu!$I$70,M327=phu!$I$71),"Ba Ngòi",""),IF(OR(M327=phu!$I$72,M327=phu!$I$73,M327=phu!$I$74,M327=phu!$I$75,M327=phu!$I$76,M327=phu!$I$77,M327=phu!$I$78),"Cam Phước Đông",""),IF(OR(M327=phu!$I$79,M327=phu!$I$80,M327=phu!$I$81,M327=phu!$I$82,M327=phu!$I$83,M327=phu!$I$84),"Cam Thịnh Đông",""),IF(OR(M327=phu!$I$85,M327=phu!$I$86,M327=phu!$I$87,M327=phu!$I$88),"Cam Thịnh Tây",""),IF(OR(M327=phu!$I$89,M327=phu!$I$90),"Cam Lập",""),IF(OR(M327=phu!$I$91,M327=phu!$I$92,M327=phu!$I$93),"Cam Bình",""),IF(OR(M327=phu!$I$94,M327=phu!$I$95,M327=phu!$I$96,M327=phu!$I$97,M327=phu!$I$98,M327=phu!$I$99,M327=phu!$I$100),"Huyện khác",""),IF(OR(M327=phu!$I$101,M327=phu!$I$102),"Tỉnh khác",""))</f>
        <v/>
      </c>
      <c r="O327" s="814" t="str">
        <f t="shared" ref="O327:O390" si="31">CONCATENATE(IF(OR(N327="Cam Thành Nam",N327="Cam Nghĩa",N327="Cam Phúc Bắc"),"Bắc Cam Ranh",""),IF(OR(N327="Cam Phúc Nam",N327="Cam Phú",N327="Cam Lộc"),"Cam Ranh",""),IF(OR(N327="Cam Thuận",N327="Cam Linh",N327="Cam Lợi"),"Cam Linh",""),IF(OR(N327="Ba Ngòi",N327="Cam Phước Đông"),"Ba Ngòi",""),IF(OR(N327="Cam Thịnh Đông",N327="Cam Thịnh Tây",N327="Cam Lập",N327="Cam Bình"),"Nam Cam Ranh",""),IF(N327="Huyện khác","Huyện khác",""),IF(N327="Tỉnh khác","Tỉnh khác",""))</f>
        <v/>
      </c>
      <c r="P327" s="254"/>
      <c r="Q327" s="254"/>
      <c r="R327" s="254"/>
      <c r="S327" s="254"/>
      <c r="T327" s="254"/>
      <c r="U327" s="254"/>
      <c r="V327" s="254"/>
      <c r="W327" s="254"/>
      <c r="Y327" s="246" t="str">
        <f t="shared" ref="Y327:Y390" si="32">IF(OR(AND(B327="",C327="",D327="",E327="",F327="",G327="",H327="",I327="",J327="",L327="",M327="",N327="",P327="",Q327="",R327="",S327=""),AND(B327&lt;&gt;"",C327&lt;&gt;"",D327&lt;&gt;"",E327&lt;&gt;"",F327&lt;&gt;"",G327&lt;&gt;"",H327&lt;&gt;"",J327&lt;&gt;"",M327&lt;&gt;"",N327&lt;&gt;"",P327&lt;&gt;"",OR(AND(Q327&lt;&gt;"",R327=""),AND(Q327="",R327&lt;&gt;""),AND(Q327&lt;&gt;"",R327&lt;&gt;"")),OR(AND(K327="X",T327&lt;&gt;""),AND(K327="",T327="")))),"","er")</f>
        <v/>
      </c>
      <c r="Z327" s="247" t="str">
        <f t="shared" si="30"/>
        <v/>
      </c>
      <c r="AA327" s="246" t="str">
        <f t="shared" ref="AA327:AA390" si="33">IF(OR(AND(Z327=5,B327&gt;0),AND(Z327=6,B327&gt;1),AND(Z327=7,B327&gt;2),AND(Z327=8,B327&gt;3),AND(Z327=9,B327&gt;4),AND(Z327=10,B327&gt;5),AND(Z327=5,B327=0,L327="X"),AND(Z327=6,B327=1,L327="X"),AND(Z327=7,B327=2,L327="X"),AND(Z327=8,B327=3,L327="X"),AND(Z327=9,B327=4,L327="X"),AND(Z327=10,B327=5,L327="X")),"er","")</f>
        <v/>
      </c>
    </row>
    <row r="328" spans="1:27" ht="18" customHeight="1" x14ac:dyDescent="0.25">
      <c r="A328" s="248" t="str">
        <f t="shared" ref="A328:A391" si="34">IF(OR(A327="",B328="",C328="",D328="",E328=""),"",A327+1)</f>
        <v/>
      </c>
      <c r="B328" s="249" t="str">
        <f t="shared" ref="B328:B391" si="35">IF(C328="","",VALUE(LEFT(C328,1)))</f>
        <v/>
      </c>
      <c r="C328" s="250"/>
      <c r="D328" s="251"/>
      <c r="E328" s="241"/>
      <c r="F328" s="252"/>
      <c r="G328" s="252"/>
      <c r="H328" s="253"/>
      <c r="I328" s="250"/>
      <c r="J328" s="250"/>
      <c r="K328" s="270"/>
      <c r="L328" s="250"/>
      <c r="M328" s="250"/>
      <c r="N328" s="553" t="str">
        <f>CONCATENATE(IF(OR(M328=phu!$I$1,M328=phu!$I$2,M328=phu!$I$3),"Cam Thành Nam",""),IF(OR(M328=phu!$I$4,M328=phu!$I$5,M328=phu!$I$6,M328=phu!$I$7,M328=phu!$I$8,M328=phu!$I$9,M328=phu!$I$10,M328=phu!$I$11,M328=phu!$I$12,M328=phu!$I$13,M328=phu!$I$14),"Cam Nghĩa",""),IF(OR(M328=phu!$I$15,M328=phu!$I$16,M328=phu!$I$17,M328=phu!$I$18,M328=phu!$I$19,M328=phu!$I$20,M328=phu!$I$21),"Cam Phúc Bắc",""),IF(OR(M328=phu!$I$22,M328=phu!$I$23,M328=phu!$I$24,M328=phu!$I$25),"Cam Phúc Nam",""),IF(OR(M328=phu!$I$26,M328=phu!$I$27,M328=phu!$I$28,M328=phu!$I$29,M328=phu!$I$30,M328=phu!$I$31),"Cam Phú",""),IF(OR(M328=phu!$I$32,M328=phu!$I$33,M328=phu!$I$34,M328=phu!$I$35,M328=phu!$I$36,M328=phu!$I$37),"Cam Lộc",""),IF(OR(M328=phu!$I$38,M328=phu!$I$39,M328=phu!$I$40,M328=phu!$I$41,M328=phu!$I$42,M328=phu!$I$43,M328=phu!$I$44),"Cam Thuận",""),IF(OR(M328=phu!$I$45,M328=phu!$I$46,M328=phu!$I$47,M328=phu!$I$48,M328=phu!$I$49,M328=phu!$I$50,M328=phu!$I$51,M328=phu!$I$52,M328=phu!$I$53),"Cam Linh",""),IF(OR(M328=phu!$I$54,M328=phu!$I$55,M328=phu!$I$56,M328=phu!$I$57,M328=phu!$I$58,M328=phu!$I$59,M328=phu!$I$60,M328=phu!$I$61,M328=phu!$I$62),"Cam Lợi",""),IF(OR(M328=phu!$I$63,M328=phu!$I$64,M328=phu!$I$65,M328=phu!$I$66,M328=phu!$I$67,M328=phu!$I$68,M328=phu!$I$69,M328=phu!$I$70,M328=phu!$I$71),"Ba Ngòi",""),IF(OR(M328=phu!$I$72,M328=phu!$I$73,M328=phu!$I$74,M328=phu!$I$75,M328=phu!$I$76,M328=phu!$I$77,M328=phu!$I$78),"Cam Phước Đông",""),IF(OR(M328=phu!$I$79,M328=phu!$I$80,M328=phu!$I$81,M328=phu!$I$82,M328=phu!$I$83,M328=phu!$I$84),"Cam Thịnh Đông",""),IF(OR(M328=phu!$I$85,M328=phu!$I$86,M328=phu!$I$87,M328=phu!$I$88),"Cam Thịnh Tây",""),IF(OR(M328=phu!$I$89,M328=phu!$I$90),"Cam Lập",""),IF(OR(M328=phu!$I$91,M328=phu!$I$92,M328=phu!$I$93),"Cam Bình",""),IF(OR(M328=phu!$I$94,M328=phu!$I$95,M328=phu!$I$96,M328=phu!$I$97,M328=phu!$I$98,M328=phu!$I$99,M328=phu!$I$100),"Huyện khác",""),IF(OR(M328=phu!$I$101,M328=phu!$I$102),"Tỉnh khác",""))</f>
        <v/>
      </c>
      <c r="O328" s="814" t="str">
        <f t="shared" si="31"/>
        <v/>
      </c>
      <c r="P328" s="254"/>
      <c r="Q328" s="254"/>
      <c r="R328" s="254"/>
      <c r="S328" s="254"/>
      <c r="T328" s="254"/>
      <c r="U328" s="254"/>
      <c r="V328" s="254"/>
      <c r="W328" s="254"/>
      <c r="Y328" s="246" t="str">
        <f t="shared" si="32"/>
        <v/>
      </c>
      <c r="Z328" s="247" t="str">
        <f t="shared" si="30"/>
        <v/>
      </c>
      <c r="AA328" s="246" t="str">
        <f t="shared" si="33"/>
        <v/>
      </c>
    </row>
    <row r="329" spans="1:27" ht="18" customHeight="1" x14ac:dyDescent="0.25">
      <c r="A329" s="248" t="str">
        <f t="shared" si="34"/>
        <v/>
      </c>
      <c r="B329" s="249" t="str">
        <f t="shared" si="35"/>
        <v/>
      </c>
      <c r="C329" s="250"/>
      <c r="D329" s="251"/>
      <c r="E329" s="241"/>
      <c r="F329" s="252"/>
      <c r="G329" s="252"/>
      <c r="H329" s="253"/>
      <c r="I329" s="250"/>
      <c r="J329" s="250"/>
      <c r="K329" s="270"/>
      <c r="L329" s="250"/>
      <c r="M329" s="250"/>
      <c r="N329" s="553" t="str">
        <f>CONCATENATE(IF(OR(M329=phu!$I$1,M329=phu!$I$2,M329=phu!$I$3),"Cam Thành Nam",""),IF(OR(M329=phu!$I$4,M329=phu!$I$5,M329=phu!$I$6,M329=phu!$I$7,M329=phu!$I$8,M329=phu!$I$9,M329=phu!$I$10,M329=phu!$I$11,M329=phu!$I$12,M329=phu!$I$13,M329=phu!$I$14),"Cam Nghĩa",""),IF(OR(M329=phu!$I$15,M329=phu!$I$16,M329=phu!$I$17,M329=phu!$I$18,M329=phu!$I$19,M329=phu!$I$20,M329=phu!$I$21),"Cam Phúc Bắc",""),IF(OR(M329=phu!$I$22,M329=phu!$I$23,M329=phu!$I$24,M329=phu!$I$25),"Cam Phúc Nam",""),IF(OR(M329=phu!$I$26,M329=phu!$I$27,M329=phu!$I$28,M329=phu!$I$29,M329=phu!$I$30,M329=phu!$I$31),"Cam Phú",""),IF(OR(M329=phu!$I$32,M329=phu!$I$33,M329=phu!$I$34,M329=phu!$I$35,M329=phu!$I$36,M329=phu!$I$37),"Cam Lộc",""),IF(OR(M329=phu!$I$38,M329=phu!$I$39,M329=phu!$I$40,M329=phu!$I$41,M329=phu!$I$42,M329=phu!$I$43,M329=phu!$I$44),"Cam Thuận",""),IF(OR(M329=phu!$I$45,M329=phu!$I$46,M329=phu!$I$47,M329=phu!$I$48,M329=phu!$I$49,M329=phu!$I$50,M329=phu!$I$51,M329=phu!$I$52,M329=phu!$I$53),"Cam Linh",""),IF(OR(M329=phu!$I$54,M329=phu!$I$55,M329=phu!$I$56,M329=phu!$I$57,M329=phu!$I$58,M329=phu!$I$59,M329=phu!$I$60,M329=phu!$I$61,M329=phu!$I$62),"Cam Lợi",""),IF(OR(M329=phu!$I$63,M329=phu!$I$64,M329=phu!$I$65,M329=phu!$I$66,M329=phu!$I$67,M329=phu!$I$68,M329=phu!$I$69,M329=phu!$I$70,M329=phu!$I$71),"Ba Ngòi",""),IF(OR(M329=phu!$I$72,M329=phu!$I$73,M329=phu!$I$74,M329=phu!$I$75,M329=phu!$I$76,M329=phu!$I$77,M329=phu!$I$78),"Cam Phước Đông",""),IF(OR(M329=phu!$I$79,M329=phu!$I$80,M329=phu!$I$81,M329=phu!$I$82,M329=phu!$I$83,M329=phu!$I$84),"Cam Thịnh Đông",""),IF(OR(M329=phu!$I$85,M329=phu!$I$86,M329=phu!$I$87,M329=phu!$I$88),"Cam Thịnh Tây",""),IF(OR(M329=phu!$I$89,M329=phu!$I$90),"Cam Lập",""),IF(OR(M329=phu!$I$91,M329=phu!$I$92,M329=phu!$I$93),"Cam Bình",""),IF(OR(M329=phu!$I$94,M329=phu!$I$95,M329=phu!$I$96,M329=phu!$I$97,M329=phu!$I$98,M329=phu!$I$99,M329=phu!$I$100),"Huyện khác",""),IF(OR(M329=phu!$I$101,M329=phu!$I$102),"Tỉnh khác",""))</f>
        <v/>
      </c>
      <c r="O329" s="814" t="str">
        <f t="shared" si="31"/>
        <v/>
      </c>
      <c r="P329" s="254"/>
      <c r="Q329" s="254"/>
      <c r="R329" s="254"/>
      <c r="S329" s="254"/>
      <c r="T329" s="254"/>
      <c r="U329" s="254"/>
      <c r="V329" s="254"/>
      <c r="W329" s="254"/>
      <c r="Y329" s="246" t="str">
        <f t="shared" si="32"/>
        <v/>
      </c>
      <c r="Z329" s="247" t="str">
        <f t="shared" si="30"/>
        <v/>
      </c>
      <c r="AA329" s="246" t="str">
        <f t="shared" si="33"/>
        <v/>
      </c>
    </row>
    <row r="330" spans="1:27" ht="18" customHeight="1" x14ac:dyDescent="0.25">
      <c r="A330" s="248" t="str">
        <f t="shared" si="34"/>
        <v/>
      </c>
      <c r="B330" s="249" t="str">
        <f t="shared" si="35"/>
        <v/>
      </c>
      <c r="C330" s="250"/>
      <c r="D330" s="251"/>
      <c r="E330" s="241"/>
      <c r="F330" s="252"/>
      <c r="G330" s="252"/>
      <c r="H330" s="253"/>
      <c r="I330" s="250"/>
      <c r="J330" s="250"/>
      <c r="K330" s="270"/>
      <c r="L330" s="250"/>
      <c r="M330" s="250"/>
      <c r="N330" s="553" t="str">
        <f>CONCATENATE(IF(OR(M330=phu!$I$1,M330=phu!$I$2,M330=phu!$I$3),"Cam Thành Nam",""),IF(OR(M330=phu!$I$4,M330=phu!$I$5,M330=phu!$I$6,M330=phu!$I$7,M330=phu!$I$8,M330=phu!$I$9,M330=phu!$I$10,M330=phu!$I$11,M330=phu!$I$12,M330=phu!$I$13,M330=phu!$I$14),"Cam Nghĩa",""),IF(OR(M330=phu!$I$15,M330=phu!$I$16,M330=phu!$I$17,M330=phu!$I$18,M330=phu!$I$19,M330=phu!$I$20,M330=phu!$I$21),"Cam Phúc Bắc",""),IF(OR(M330=phu!$I$22,M330=phu!$I$23,M330=phu!$I$24,M330=phu!$I$25),"Cam Phúc Nam",""),IF(OR(M330=phu!$I$26,M330=phu!$I$27,M330=phu!$I$28,M330=phu!$I$29,M330=phu!$I$30,M330=phu!$I$31),"Cam Phú",""),IF(OR(M330=phu!$I$32,M330=phu!$I$33,M330=phu!$I$34,M330=phu!$I$35,M330=phu!$I$36,M330=phu!$I$37),"Cam Lộc",""),IF(OR(M330=phu!$I$38,M330=phu!$I$39,M330=phu!$I$40,M330=phu!$I$41,M330=phu!$I$42,M330=phu!$I$43,M330=phu!$I$44),"Cam Thuận",""),IF(OR(M330=phu!$I$45,M330=phu!$I$46,M330=phu!$I$47,M330=phu!$I$48,M330=phu!$I$49,M330=phu!$I$50,M330=phu!$I$51,M330=phu!$I$52,M330=phu!$I$53),"Cam Linh",""),IF(OR(M330=phu!$I$54,M330=phu!$I$55,M330=phu!$I$56,M330=phu!$I$57,M330=phu!$I$58,M330=phu!$I$59,M330=phu!$I$60,M330=phu!$I$61,M330=phu!$I$62),"Cam Lợi",""),IF(OR(M330=phu!$I$63,M330=phu!$I$64,M330=phu!$I$65,M330=phu!$I$66,M330=phu!$I$67,M330=phu!$I$68,M330=phu!$I$69,M330=phu!$I$70,M330=phu!$I$71),"Ba Ngòi",""),IF(OR(M330=phu!$I$72,M330=phu!$I$73,M330=phu!$I$74,M330=phu!$I$75,M330=phu!$I$76,M330=phu!$I$77,M330=phu!$I$78),"Cam Phước Đông",""),IF(OR(M330=phu!$I$79,M330=phu!$I$80,M330=phu!$I$81,M330=phu!$I$82,M330=phu!$I$83,M330=phu!$I$84),"Cam Thịnh Đông",""),IF(OR(M330=phu!$I$85,M330=phu!$I$86,M330=phu!$I$87,M330=phu!$I$88),"Cam Thịnh Tây",""),IF(OR(M330=phu!$I$89,M330=phu!$I$90),"Cam Lập",""),IF(OR(M330=phu!$I$91,M330=phu!$I$92,M330=phu!$I$93),"Cam Bình",""),IF(OR(M330=phu!$I$94,M330=phu!$I$95,M330=phu!$I$96,M330=phu!$I$97,M330=phu!$I$98,M330=phu!$I$99,M330=phu!$I$100),"Huyện khác",""),IF(OR(M330=phu!$I$101,M330=phu!$I$102),"Tỉnh khác",""))</f>
        <v/>
      </c>
      <c r="O330" s="814" t="str">
        <f t="shared" si="31"/>
        <v/>
      </c>
      <c r="P330" s="254"/>
      <c r="Q330" s="254"/>
      <c r="R330" s="254"/>
      <c r="S330" s="254"/>
      <c r="T330" s="254"/>
      <c r="U330" s="254"/>
      <c r="V330" s="254"/>
      <c r="W330" s="254"/>
      <c r="Y330" s="246" t="str">
        <f t="shared" si="32"/>
        <v/>
      </c>
      <c r="Z330" s="247" t="str">
        <f t="shared" si="30"/>
        <v/>
      </c>
      <c r="AA330" s="246" t="str">
        <f t="shared" si="33"/>
        <v/>
      </c>
    </row>
    <row r="331" spans="1:27" ht="18" customHeight="1" x14ac:dyDescent="0.25">
      <c r="A331" s="248" t="str">
        <f t="shared" si="34"/>
        <v/>
      </c>
      <c r="B331" s="249" t="str">
        <f t="shared" si="35"/>
        <v/>
      </c>
      <c r="C331" s="250"/>
      <c r="D331" s="251"/>
      <c r="E331" s="241"/>
      <c r="F331" s="252"/>
      <c r="G331" s="252"/>
      <c r="H331" s="253"/>
      <c r="I331" s="250"/>
      <c r="J331" s="250"/>
      <c r="K331" s="270"/>
      <c r="L331" s="250"/>
      <c r="M331" s="250"/>
      <c r="N331" s="553" t="str">
        <f>CONCATENATE(IF(OR(M331=phu!$I$1,M331=phu!$I$2,M331=phu!$I$3),"Cam Thành Nam",""),IF(OR(M331=phu!$I$4,M331=phu!$I$5,M331=phu!$I$6,M331=phu!$I$7,M331=phu!$I$8,M331=phu!$I$9,M331=phu!$I$10,M331=phu!$I$11,M331=phu!$I$12,M331=phu!$I$13,M331=phu!$I$14),"Cam Nghĩa",""),IF(OR(M331=phu!$I$15,M331=phu!$I$16,M331=phu!$I$17,M331=phu!$I$18,M331=phu!$I$19,M331=phu!$I$20,M331=phu!$I$21),"Cam Phúc Bắc",""),IF(OR(M331=phu!$I$22,M331=phu!$I$23,M331=phu!$I$24,M331=phu!$I$25),"Cam Phúc Nam",""),IF(OR(M331=phu!$I$26,M331=phu!$I$27,M331=phu!$I$28,M331=phu!$I$29,M331=phu!$I$30,M331=phu!$I$31),"Cam Phú",""),IF(OR(M331=phu!$I$32,M331=phu!$I$33,M331=phu!$I$34,M331=phu!$I$35,M331=phu!$I$36,M331=phu!$I$37),"Cam Lộc",""),IF(OR(M331=phu!$I$38,M331=phu!$I$39,M331=phu!$I$40,M331=phu!$I$41,M331=phu!$I$42,M331=phu!$I$43,M331=phu!$I$44),"Cam Thuận",""),IF(OR(M331=phu!$I$45,M331=phu!$I$46,M331=phu!$I$47,M331=phu!$I$48,M331=phu!$I$49,M331=phu!$I$50,M331=phu!$I$51,M331=phu!$I$52,M331=phu!$I$53),"Cam Linh",""),IF(OR(M331=phu!$I$54,M331=phu!$I$55,M331=phu!$I$56,M331=phu!$I$57,M331=phu!$I$58,M331=phu!$I$59,M331=phu!$I$60,M331=phu!$I$61,M331=phu!$I$62),"Cam Lợi",""),IF(OR(M331=phu!$I$63,M331=phu!$I$64,M331=phu!$I$65,M331=phu!$I$66,M331=phu!$I$67,M331=phu!$I$68,M331=phu!$I$69,M331=phu!$I$70,M331=phu!$I$71),"Ba Ngòi",""),IF(OR(M331=phu!$I$72,M331=phu!$I$73,M331=phu!$I$74,M331=phu!$I$75,M331=phu!$I$76,M331=phu!$I$77,M331=phu!$I$78),"Cam Phước Đông",""),IF(OR(M331=phu!$I$79,M331=phu!$I$80,M331=phu!$I$81,M331=phu!$I$82,M331=phu!$I$83,M331=phu!$I$84),"Cam Thịnh Đông",""),IF(OR(M331=phu!$I$85,M331=phu!$I$86,M331=phu!$I$87,M331=phu!$I$88),"Cam Thịnh Tây",""),IF(OR(M331=phu!$I$89,M331=phu!$I$90),"Cam Lập",""),IF(OR(M331=phu!$I$91,M331=phu!$I$92,M331=phu!$I$93),"Cam Bình",""),IF(OR(M331=phu!$I$94,M331=phu!$I$95,M331=phu!$I$96,M331=phu!$I$97,M331=phu!$I$98,M331=phu!$I$99,M331=phu!$I$100),"Huyện khác",""),IF(OR(M331=phu!$I$101,M331=phu!$I$102),"Tỉnh khác",""))</f>
        <v/>
      </c>
      <c r="O331" s="814" t="str">
        <f t="shared" si="31"/>
        <v/>
      </c>
      <c r="P331" s="254"/>
      <c r="Q331" s="254"/>
      <c r="R331" s="254"/>
      <c r="S331" s="254"/>
      <c r="T331" s="254"/>
      <c r="U331" s="254"/>
      <c r="V331" s="254"/>
      <c r="W331" s="254"/>
      <c r="Y331" s="246" t="str">
        <f t="shared" si="32"/>
        <v/>
      </c>
      <c r="Z331" s="247" t="str">
        <f t="shared" si="30"/>
        <v/>
      </c>
      <c r="AA331" s="246" t="str">
        <f t="shared" si="33"/>
        <v/>
      </c>
    </row>
    <row r="332" spans="1:27" ht="18" customHeight="1" x14ac:dyDescent="0.25">
      <c r="A332" s="248" t="str">
        <f t="shared" si="34"/>
        <v/>
      </c>
      <c r="B332" s="249" t="str">
        <f t="shared" si="35"/>
        <v/>
      </c>
      <c r="C332" s="250"/>
      <c r="D332" s="251"/>
      <c r="E332" s="241"/>
      <c r="F332" s="252"/>
      <c r="G332" s="252"/>
      <c r="H332" s="253"/>
      <c r="I332" s="250"/>
      <c r="J332" s="250"/>
      <c r="K332" s="270"/>
      <c r="L332" s="250"/>
      <c r="M332" s="250"/>
      <c r="N332" s="553" t="str">
        <f>CONCATENATE(IF(OR(M332=phu!$I$1,M332=phu!$I$2,M332=phu!$I$3),"Cam Thành Nam",""),IF(OR(M332=phu!$I$4,M332=phu!$I$5,M332=phu!$I$6,M332=phu!$I$7,M332=phu!$I$8,M332=phu!$I$9,M332=phu!$I$10,M332=phu!$I$11,M332=phu!$I$12,M332=phu!$I$13,M332=phu!$I$14),"Cam Nghĩa",""),IF(OR(M332=phu!$I$15,M332=phu!$I$16,M332=phu!$I$17,M332=phu!$I$18,M332=phu!$I$19,M332=phu!$I$20,M332=phu!$I$21),"Cam Phúc Bắc",""),IF(OR(M332=phu!$I$22,M332=phu!$I$23,M332=phu!$I$24,M332=phu!$I$25),"Cam Phúc Nam",""),IF(OR(M332=phu!$I$26,M332=phu!$I$27,M332=phu!$I$28,M332=phu!$I$29,M332=phu!$I$30,M332=phu!$I$31),"Cam Phú",""),IF(OR(M332=phu!$I$32,M332=phu!$I$33,M332=phu!$I$34,M332=phu!$I$35,M332=phu!$I$36,M332=phu!$I$37),"Cam Lộc",""),IF(OR(M332=phu!$I$38,M332=phu!$I$39,M332=phu!$I$40,M332=phu!$I$41,M332=phu!$I$42,M332=phu!$I$43,M332=phu!$I$44),"Cam Thuận",""),IF(OR(M332=phu!$I$45,M332=phu!$I$46,M332=phu!$I$47,M332=phu!$I$48,M332=phu!$I$49,M332=phu!$I$50,M332=phu!$I$51,M332=phu!$I$52,M332=phu!$I$53),"Cam Linh",""),IF(OR(M332=phu!$I$54,M332=phu!$I$55,M332=phu!$I$56,M332=phu!$I$57,M332=phu!$I$58,M332=phu!$I$59,M332=phu!$I$60,M332=phu!$I$61,M332=phu!$I$62),"Cam Lợi",""),IF(OR(M332=phu!$I$63,M332=phu!$I$64,M332=phu!$I$65,M332=phu!$I$66,M332=phu!$I$67,M332=phu!$I$68,M332=phu!$I$69,M332=phu!$I$70,M332=phu!$I$71),"Ba Ngòi",""),IF(OR(M332=phu!$I$72,M332=phu!$I$73,M332=phu!$I$74,M332=phu!$I$75,M332=phu!$I$76,M332=phu!$I$77,M332=phu!$I$78),"Cam Phước Đông",""),IF(OR(M332=phu!$I$79,M332=phu!$I$80,M332=phu!$I$81,M332=phu!$I$82,M332=phu!$I$83,M332=phu!$I$84),"Cam Thịnh Đông",""),IF(OR(M332=phu!$I$85,M332=phu!$I$86,M332=phu!$I$87,M332=phu!$I$88),"Cam Thịnh Tây",""),IF(OR(M332=phu!$I$89,M332=phu!$I$90),"Cam Lập",""),IF(OR(M332=phu!$I$91,M332=phu!$I$92,M332=phu!$I$93),"Cam Bình",""),IF(OR(M332=phu!$I$94,M332=phu!$I$95,M332=phu!$I$96,M332=phu!$I$97,M332=phu!$I$98,M332=phu!$I$99,M332=phu!$I$100),"Huyện khác",""),IF(OR(M332=phu!$I$101,M332=phu!$I$102),"Tỉnh khác",""))</f>
        <v/>
      </c>
      <c r="O332" s="814" t="str">
        <f t="shared" si="31"/>
        <v/>
      </c>
      <c r="P332" s="254"/>
      <c r="Q332" s="254"/>
      <c r="R332" s="254"/>
      <c r="S332" s="254"/>
      <c r="T332" s="254"/>
      <c r="U332" s="254"/>
      <c r="V332" s="254"/>
      <c r="W332" s="254"/>
      <c r="Y332" s="246" t="str">
        <f t="shared" si="32"/>
        <v/>
      </c>
      <c r="Z332" s="247" t="str">
        <f t="shared" si="30"/>
        <v/>
      </c>
      <c r="AA332" s="246" t="str">
        <f t="shared" si="33"/>
        <v/>
      </c>
    </row>
    <row r="333" spans="1:27" ht="18" customHeight="1" x14ac:dyDescent="0.25">
      <c r="A333" s="248" t="str">
        <f t="shared" si="34"/>
        <v/>
      </c>
      <c r="B333" s="249" t="str">
        <f t="shared" si="35"/>
        <v/>
      </c>
      <c r="C333" s="250"/>
      <c r="D333" s="251"/>
      <c r="E333" s="241"/>
      <c r="F333" s="252"/>
      <c r="G333" s="252"/>
      <c r="H333" s="253"/>
      <c r="I333" s="250"/>
      <c r="J333" s="250"/>
      <c r="K333" s="270"/>
      <c r="L333" s="250"/>
      <c r="M333" s="250"/>
      <c r="N333" s="553" t="str">
        <f>CONCATENATE(IF(OR(M333=phu!$I$1,M333=phu!$I$2,M333=phu!$I$3),"Cam Thành Nam",""),IF(OR(M333=phu!$I$4,M333=phu!$I$5,M333=phu!$I$6,M333=phu!$I$7,M333=phu!$I$8,M333=phu!$I$9,M333=phu!$I$10,M333=phu!$I$11,M333=phu!$I$12,M333=phu!$I$13,M333=phu!$I$14),"Cam Nghĩa",""),IF(OR(M333=phu!$I$15,M333=phu!$I$16,M333=phu!$I$17,M333=phu!$I$18,M333=phu!$I$19,M333=phu!$I$20,M333=phu!$I$21),"Cam Phúc Bắc",""),IF(OR(M333=phu!$I$22,M333=phu!$I$23,M333=phu!$I$24,M333=phu!$I$25),"Cam Phúc Nam",""),IF(OR(M333=phu!$I$26,M333=phu!$I$27,M333=phu!$I$28,M333=phu!$I$29,M333=phu!$I$30,M333=phu!$I$31),"Cam Phú",""),IF(OR(M333=phu!$I$32,M333=phu!$I$33,M333=phu!$I$34,M333=phu!$I$35,M333=phu!$I$36,M333=phu!$I$37),"Cam Lộc",""),IF(OR(M333=phu!$I$38,M333=phu!$I$39,M333=phu!$I$40,M333=phu!$I$41,M333=phu!$I$42,M333=phu!$I$43,M333=phu!$I$44),"Cam Thuận",""),IF(OR(M333=phu!$I$45,M333=phu!$I$46,M333=phu!$I$47,M333=phu!$I$48,M333=phu!$I$49,M333=phu!$I$50,M333=phu!$I$51,M333=phu!$I$52,M333=phu!$I$53),"Cam Linh",""),IF(OR(M333=phu!$I$54,M333=phu!$I$55,M333=phu!$I$56,M333=phu!$I$57,M333=phu!$I$58,M333=phu!$I$59,M333=phu!$I$60,M333=phu!$I$61,M333=phu!$I$62),"Cam Lợi",""),IF(OR(M333=phu!$I$63,M333=phu!$I$64,M333=phu!$I$65,M333=phu!$I$66,M333=phu!$I$67,M333=phu!$I$68,M333=phu!$I$69,M333=phu!$I$70,M333=phu!$I$71),"Ba Ngòi",""),IF(OR(M333=phu!$I$72,M333=phu!$I$73,M333=phu!$I$74,M333=phu!$I$75,M333=phu!$I$76,M333=phu!$I$77,M333=phu!$I$78),"Cam Phước Đông",""),IF(OR(M333=phu!$I$79,M333=phu!$I$80,M333=phu!$I$81,M333=phu!$I$82,M333=phu!$I$83,M333=phu!$I$84),"Cam Thịnh Đông",""),IF(OR(M333=phu!$I$85,M333=phu!$I$86,M333=phu!$I$87,M333=phu!$I$88),"Cam Thịnh Tây",""),IF(OR(M333=phu!$I$89,M333=phu!$I$90),"Cam Lập",""),IF(OR(M333=phu!$I$91,M333=phu!$I$92,M333=phu!$I$93),"Cam Bình",""),IF(OR(M333=phu!$I$94,M333=phu!$I$95,M333=phu!$I$96,M333=phu!$I$97,M333=phu!$I$98,M333=phu!$I$99,M333=phu!$I$100),"Huyện khác",""),IF(OR(M333=phu!$I$101,M333=phu!$I$102),"Tỉnh khác",""))</f>
        <v/>
      </c>
      <c r="O333" s="814" t="str">
        <f t="shared" si="31"/>
        <v/>
      </c>
      <c r="P333" s="254"/>
      <c r="Q333" s="254"/>
      <c r="R333" s="254"/>
      <c r="S333" s="254"/>
      <c r="T333" s="254"/>
      <c r="U333" s="254"/>
      <c r="V333" s="254"/>
      <c r="W333" s="254"/>
      <c r="Y333" s="246" t="str">
        <f t="shared" si="32"/>
        <v/>
      </c>
      <c r="Z333" s="247" t="str">
        <f t="shared" si="30"/>
        <v/>
      </c>
      <c r="AA333" s="246" t="str">
        <f t="shared" si="33"/>
        <v/>
      </c>
    </row>
    <row r="334" spans="1:27" ht="18" customHeight="1" x14ac:dyDescent="0.25">
      <c r="A334" s="248" t="str">
        <f t="shared" si="34"/>
        <v/>
      </c>
      <c r="B334" s="249" t="str">
        <f t="shared" si="35"/>
        <v/>
      </c>
      <c r="C334" s="250"/>
      <c r="D334" s="251"/>
      <c r="E334" s="241"/>
      <c r="F334" s="252"/>
      <c r="G334" s="252"/>
      <c r="H334" s="253"/>
      <c r="I334" s="250"/>
      <c r="J334" s="250"/>
      <c r="K334" s="270"/>
      <c r="L334" s="250"/>
      <c r="M334" s="250"/>
      <c r="N334" s="553" t="str">
        <f>CONCATENATE(IF(OR(M334=phu!$I$1,M334=phu!$I$2,M334=phu!$I$3),"Cam Thành Nam",""),IF(OR(M334=phu!$I$4,M334=phu!$I$5,M334=phu!$I$6,M334=phu!$I$7,M334=phu!$I$8,M334=phu!$I$9,M334=phu!$I$10,M334=phu!$I$11,M334=phu!$I$12,M334=phu!$I$13,M334=phu!$I$14),"Cam Nghĩa",""),IF(OR(M334=phu!$I$15,M334=phu!$I$16,M334=phu!$I$17,M334=phu!$I$18,M334=phu!$I$19,M334=phu!$I$20,M334=phu!$I$21),"Cam Phúc Bắc",""),IF(OR(M334=phu!$I$22,M334=phu!$I$23,M334=phu!$I$24,M334=phu!$I$25),"Cam Phúc Nam",""),IF(OR(M334=phu!$I$26,M334=phu!$I$27,M334=phu!$I$28,M334=phu!$I$29,M334=phu!$I$30,M334=phu!$I$31),"Cam Phú",""),IF(OR(M334=phu!$I$32,M334=phu!$I$33,M334=phu!$I$34,M334=phu!$I$35,M334=phu!$I$36,M334=phu!$I$37),"Cam Lộc",""),IF(OR(M334=phu!$I$38,M334=phu!$I$39,M334=phu!$I$40,M334=phu!$I$41,M334=phu!$I$42,M334=phu!$I$43,M334=phu!$I$44),"Cam Thuận",""),IF(OR(M334=phu!$I$45,M334=phu!$I$46,M334=phu!$I$47,M334=phu!$I$48,M334=phu!$I$49,M334=phu!$I$50,M334=phu!$I$51,M334=phu!$I$52,M334=phu!$I$53),"Cam Linh",""),IF(OR(M334=phu!$I$54,M334=phu!$I$55,M334=phu!$I$56,M334=phu!$I$57,M334=phu!$I$58,M334=phu!$I$59,M334=phu!$I$60,M334=phu!$I$61,M334=phu!$I$62),"Cam Lợi",""),IF(OR(M334=phu!$I$63,M334=phu!$I$64,M334=phu!$I$65,M334=phu!$I$66,M334=phu!$I$67,M334=phu!$I$68,M334=phu!$I$69,M334=phu!$I$70,M334=phu!$I$71),"Ba Ngòi",""),IF(OR(M334=phu!$I$72,M334=phu!$I$73,M334=phu!$I$74,M334=phu!$I$75,M334=phu!$I$76,M334=phu!$I$77,M334=phu!$I$78),"Cam Phước Đông",""),IF(OR(M334=phu!$I$79,M334=phu!$I$80,M334=phu!$I$81,M334=phu!$I$82,M334=phu!$I$83,M334=phu!$I$84),"Cam Thịnh Đông",""),IF(OR(M334=phu!$I$85,M334=phu!$I$86,M334=phu!$I$87,M334=phu!$I$88),"Cam Thịnh Tây",""),IF(OR(M334=phu!$I$89,M334=phu!$I$90),"Cam Lập",""),IF(OR(M334=phu!$I$91,M334=phu!$I$92,M334=phu!$I$93),"Cam Bình",""),IF(OR(M334=phu!$I$94,M334=phu!$I$95,M334=phu!$I$96,M334=phu!$I$97,M334=phu!$I$98,M334=phu!$I$99,M334=phu!$I$100),"Huyện khác",""),IF(OR(M334=phu!$I$101,M334=phu!$I$102),"Tỉnh khác",""))</f>
        <v/>
      </c>
      <c r="O334" s="814" t="str">
        <f t="shared" si="31"/>
        <v/>
      </c>
      <c r="P334" s="254"/>
      <c r="Q334" s="254"/>
      <c r="R334" s="254"/>
      <c r="S334" s="254"/>
      <c r="T334" s="254"/>
      <c r="U334" s="254"/>
      <c r="V334" s="254"/>
      <c r="W334" s="254"/>
      <c r="Y334" s="246" t="str">
        <f t="shared" si="32"/>
        <v/>
      </c>
      <c r="Z334" s="247" t="str">
        <f t="shared" si="30"/>
        <v/>
      </c>
      <c r="AA334" s="246" t="str">
        <f t="shared" si="33"/>
        <v/>
      </c>
    </row>
    <row r="335" spans="1:27" ht="18" customHeight="1" x14ac:dyDescent="0.25">
      <c r="A335" s="248" t="str">
        <f t="shared" si="34"/>
        <v/>
      </c>
      <c r="B335" s="249" t="str">
        <f t="shared" si="35"/>
        <v/>
      </c>
      <c r="C335" s="250"/>
      <c r="D335" s="251"/>
      <c r="E335" s="241"/>
      <c r="F335" s="252"/>
      <c r="G335" s="252"/>
      <c r="H335" s="253"/>
      <c r="I335" s="250"/>
      <c r="J335" s="250"/>
      <c r="K335" s="270"/>
      <c r="L335" s="250"/>
      <c r="M335" s="250"/>
      <c r="N335" s="553" t="str">
        <f>CONCATENATE(IF(OR(M335=phu!$I$1,M335=phu!$I$2,M335=phu!$I$3),"Cam Thành Nam",""),IF(OR(M335=phu!$I$4,M335=phu!$I$5,M335=phu!$I$6,M335=phu!$I$7,M335=phu!$I$8,M335=phu!$I$9,M335=phu!$I$10,M335=phu!$I$11,M335=phu!$I$12,M335=phu!$I$13,M335=phu!$I$14),"Cam Nghĩa",""),IF(OR(M335=phu!$I$15,M335=phu!$I$16,M335=phu!$I$17,M335=phu!$I$18,M335=phu!$I$19,M335=phu!$I$20,M335=phu!$I$21),"Cam Phúc Bắc",""),IF(OR(M335=phu!$I$22,M335=phu!$I$23,M335=phu!$I$24,M335=phu!$I$25),"Cam Phúc Nam",""),IF(OR(M335=phu!$I$26,M335=phu!$I$27,M335=phu!$I$28,M335=phu!$I$29,M335=phu!$I$30,M335=phu!$I$31),"Cam Phú",""),IF(OR(M335=phu!$I$32,M335=phu!$I$33,M335=phu!$I$34,M335=phu!$I$35,M335=phu!$I$36,M335=phu!$I$37),"Cam Lộc",""),IF(OR(M335=phu!$I$38,M335=phu!$I$39,M335=phu!$I$40,M335=phu!$I$41,M335=phu!$I$42,M335=phu!$I$43,M335=phu!$I$44),"Cam Thuận",""),IF(OR(M335=phu!$I$45,M335=phu!$I$46,M335=phu!$I$47,M335=phu!$I$48,M335=phu!$I$49,M335=phu!$I$50,M335=phu!$I$51,M335=phu!$I$52,M335=phu!$I$53),"Cam Linh",""),IF(OR(M335=phu!$I$54,M335=phu!$I$55,M335=phu!$I$56,M335=phu!$I$57,M335=phu!$I$58,M335=phu!$I$59,M335=phu!$I$60,M335=phu!$I$61,M335=phu!$I$62),"Cam Lợi",""),IF(OR(M335=phu!$I$63,M335=phu!$I$64,M335=phu!$I$65,M335=phu!$I$66,M335=phu!$I$67,M335=phu!$I$68,M335=phu!$I$69,M335=phu!$I$70,M335=phu!$I$71),"Ba Ngòi",""),IF(OR(M335=phu!$I$72,M335=phu!$I$73,M335=phu!$I$74,M335=phu!$I$75,M335=phu!$I$76,M335=phu!$I$77,M335=phu!$I$78),"Cam Phước Đông",""),IF(OR(M335=phu!$I$79,M335=phu!$I$80,M335=phu!$I$81,M335=phu!$I$82,M335=phu!$I$83,M335=phu!$I$84),"Cam Thịnh Đông",""),IF(OR(M335=phu!$I$85,M335=phu!$I$86,M335=phu!$I$87,M335=phu!$I$88),"Cam Thịnh Tây",""),IF(OR(M335=phu!$I$89,M335=phu!$I$90),"Cam Lập",""),IF(OR(M335=phu!$I$91,M335=phu!$I$92,M335=phu!$I$93),"Cam Bình",""),IF(OR(M335=phu!$I$94,M335=phu!$I$95,M335=phu!$I$96,M335=phu!$I$97,M335=phu!$I$98,M335=phu!$I$99,M335=phu!$I$100),"Huyện khác",""),IF(OR(M335=phu!$I$101,M335=phu!$I$102),"Tỉnh khác",""))</f>
        <v/>
      </c>
      <c r="O335" s="814" t="str">
        <f t="shared" si="31"/>
        <v/>
      </c>
      <c r="P335" s="254"/>
      <c r="Q335" s="254"/>
      <c r="R335" s="254"/>
      <c r="S335" s="254"/>
      <c r="T335" s="254"/>
      <c r="U335" s="254"/>
      <c r="V335" s="254"/>
      <c r="W335" s="254"/>
      <c r="Y335" s="246" t="str">
        <f t="shared" si="32"/>
        <v/>
      </c>
      <c r="Z335" s="247" t="str">
        <f t="shared" si="30"/>
        <v/>
      </c>
      <c r="AA335" s="246" t="str">
        <f t="shared" si="33"/>
        <v/>
      </c>
    </row>
    <row r="336" spans="1:27" ht="18" customHeight="1" x14ac:dyDescent="0.25">
      <c r="A336" s="248" t="str">
        <f t="shared" si="34"/>
        <v/>
      </c>
      <c r="B336" s="249" t="str">
        <f t="shared" si="35"/>
        <v/>
      </c>
      <c r="C336" s="250"/>
      <c r="D336" s="251"/>
      <c r="E336" s="241"/>
      <c r="F336" s="252"/>
      <c r="G336" s="252"/>
      <c r="H336" s="253"/>
      <c r="I336" s="250"/>
      <c r="J336" s="250"/>
      <c r="K336" s="270"/>
      <c r="L336" s="250"/>
      <c r="M336" s="250"/>
      <c r="N336" s="553" t="str">
        <f>CONCATENATE(IF(OR(M336=phu!$I$1,M336=phu!$I$2,M336=phu!$I$3),"Cam Thành Nam",""),IF(OR(M336=phu!$I$4,M336=phu!$I$5,M336=phu!$I$6,M336=phu!$I$7,M336=phu!$I$8,M336=phu!$I$9,M336=phu!$I$10,M336=phu!$I$11,M336=phu!$I$12,M336=phu!$I$13,M336=phu!$I$14),"Cam Nghĩa",""),IF(OR(M336=phu!$I$15,M336=phu!$I$16,M336=phu!$I$17,M336=phu!$I$18,M336=phu!$I$19,M336=phu!$I$20,M336=phu!$I$21),"Cam Phúc Bắc",""),IF(OR(M336=phu!$I$22,M336=phu!$I$23,M336=phu!$I$24,M336=phu!$I$25),"Cam Phúc Nam",""),IF(OR(M336=phu!$I$26,M336=phu!$I$27,M336=phu!$I$28,M336=phu!$I$29,M336=phu!$I$30,M336=phu!$I$31),"Cam Phú",""),IF(OR(M336=phu!$I$32,M336=phu!$I$33,M336=phu!$I$34,M336=phu!$I$35,M336=phu!$I$36,M336=phu!$I$37),"Cam Lộc",""),IF(OR(M336=phu!$I$38,M336=phu!$I$39,M336=phu!$I$40,M336=phu!$I$41,M336=phu!$I$42,M336=phu!$I$43,M336=phu!$I$44),"Cam Thuận",""),IF(OR(M336=phu!$I$45,M336=phu!$I$46,M336=phu!$I$47,M336=phu!$I$48,M336=phu!$I$49,M336=phu!$I$50,M336=phu!$I$51,M336=phu!$I$52,M336=phu!$I$53),"Cam Linh",""),IF(OR(M336=phu!$I$54,M336=phu!$I$55,M336=phu!$I$56,M336=phu!$I$57,M336=phu!$I$58,M336=phu!$I$59,M336=phu!$I$60,M336=phu!$I$61,M336=phu!$I$62),"Cam Lợi",""),IF(OR(M336=phu!$I$63,M336=phu!$I$64,M336=phu!$I$65,M336=phu!$I$66,M336=phu!$I$67,M336=phu!$I$68,M336=phu!$I$69,M336=phu!$I$70,M336=phu!$I$71),"Ba Ngòi",""),IF(OR(M336=phu!$I$72,M336=phu!$I$73,M336=phu!$I$74,M336=phu!$I$75,M336=phu!$I$76,M336=phu!$I$77,M336=phu!$I$78),"Cam Phước Đông",""),IF(OR(M336=phu!$I$79,M336=phu!$I$80,M336=phu!$I$81,M336=phu!$I$82,M336=phu!$I$83,M336=phu!$I$84),"Cam Thịnh Đông",""),IF(OR(M336=phu!$I$85,M336=phu!$I$86,M336=phu!$I$87,M336=phu!$I$88),"Cam Thịnh Tây",""),IF(OR(M336=phu!$I$89,M336=phu!$I$90),"Cam Lập",""),IF(OR(M336=phu!$I$91,M336=phu!$I$92,M336=phu!$I$93),"Cam Bình",""),IF(OR(M336=phu!$I$94,M336=phu!$I$95,M336=phu!$I$96,M336=phu!$I$97,M336=phu!$I$98,M336=phu!$I$99,M336=phu!$I$100),"Huyện khác",""),IF(OR(M336=phu!$I$101,M336=phu!$I$102),"Tỉnh khác",""))</f>
        <v/>
      </c>
      <c r="O336" s="814" t="str">
        <f t="shared" si="31"/>
        <v/>
      </c>
      <c r="P336" s="254"/>
      <c r="Q336" s="254"/>
      <c r="R336" s="254"/>
      <c r="S336" s="254"/>
      <c r="T336" s="254"/>
      <c r="U336" s="254"/>
      <c r="V336" s="254"/>
      <c r="W336" s="254"/>
      <c r="Y336" s="246" t="str">
        <f t="shared" si="32"/>
        <v/>
      </c>
      <c r="Z336" s="247" t="str">
        <f t="shared" si="30"/>
        <v/>
      </c>
      <c r="AA336" s="246" t="str">
        <f t="shared" si="33"/>
        <v/>
      </c>
    </row>
    <row r="337" spans="1:27" ht="18" customHeight="1" x14ac:dyDescent="0.25">
      <c r="A337" s="248" t="str">
        <f t="shared" si="34"/>
        <v/>
      </c>
      <c r="B337" s="249" t="str">
        <f t="shared" si="35"/>
        <v/>
      </c>
      <c r="C337" s="250"/>
      <c r="D337" s="251"/>
      <c r="E337" s="241"/>
      <c r="F337" s="252"/>
      <c r="G337" s="252"/>
      <c r="H337" s="253"/>
      <c r="I337" s="250"/>
      <c r="J337" s="250"/>
      <c r="K337" s="270"/>
      <c r="L337" s="250"/>
      <c r="M337" s="250"/>
      <c r="N337" s="553" t="str">
        <f>CONCATENATE(IF(OR(M337=phu!$I$1,M337=phu!$I$2,M337=phu!$I$3),"Cam Thành Nam",""),IF(OR(M337=phu!$I$4,M337=phu!$I$5,M337=phu!$I$6,M337=phu!$I$7,M337=phu!$I$8,M337=phu!$I$9,M337=phu!$I$10,M337=phu!$I$11,M337=phu!$I$12,M337=phu!$I$13,M337=phu!$I$14),"Cam Nghĩa",""),IF(OR(M337=phu!$I$15,M337=phu!$I$16,M337=phu!$I$17,M337=phu!$I$18,M337=phu!$I$19,M337=phu!$I$20,M337=phu!$I$21),"Cam Phúc Bắc",""),IF(OR(M337=phu!$I$22,M337=phu!$I$23,M337=phu!$I$24,M337=phu!$I$25),"Cam Phúc Nam",""),IF(OR(M337=phu!$I$26,M337=phu!$I$27,M337=phu!$I$28,M337=phu!$I$29,M337=phu!$I$30,M337=phu!$I$31),"Cam Phú",""),IF(OR(M337=phu!$I$32,M337=phu!$I$33,M337=phu!$I$34,M337=phu!$I$35,M337=phu!$I$36,M337=phu!$I$37),"Cam Lộc",""),IF(OR(M337=phu!$I$38,M337=phu!$I$39,M337=phu!$I$40,M337=phu!$I$41,M337=phu!$I$42,M337=phu!$I$43,M337=phu!$I$44),"Cam Thuận",""),IF(OR(M337=phu!$I$45,M337=phu!$I$46,M337=phu!$I$47,M337=phu!$I$48,M337=phu!$I$49,M337=phu!$I$50,M337=phu!$I$51,M337=phu!$I$52,M337=phu!$I$53),"Cam Linh",""),IF(OR(M337=phu!$I$54,M337=phu!$I$55,M337=phu!$I$56,M337=phu!$I$57,M337=phu!$I$58,M337=phu!$I$59,M337=phu!$I$60,M337=phu!$I$61,M337=phu!$I$62),"Cam Lợi",""),IF(OR(M337=phu!$I$63,M337=phu!$I$64,M337=phu!$I$65,M337=phu!$I$66,M337=phu!$I$67,M337=phu!$I$68,M337=phu!$I$69,M337=phu!$I$70,M337=phu!$I$71),"Ba Ngòi",""),IF(OR(M337=phu!$I$72,M337=phu!$I$73,M337=phu!$I$74,M337=phu!$I$75,M337=phu!$I$76,M337=phu!$I$77,M337=phu!$I$78),"Cam Phước Đông",""),IF(OR(M337=phu!$I$79,M337=phu!$I$80,M337=phu!$I$81,M337=phu!$I$82,M337=phu!$I$83,M337=phu!$I$84),"Cam Thịnh Đông",""),IF(OR(M337=phu!$I$85,M337=phu!$I$86,M337=phu!$I$87,M337=phu!$I$88),"Cam Thịnh Tây",""),IF(OR(M337=phu!$I$89,M337=phu!$I$90),"Cam Lập",""),IF(OR(M337=phu!$I$91,M337=phu!$I$92,M337=phu!$I$93),"Cam Bình",""),IF(OR(M337=phu!$I$94,M337=phu!$I$95,M337=phu!$I$96,M337=phu!$I$97,M337=phu!$I$98,M337=phu!$I$99,M337=phu!$I$100),"Huyện khác",""),IF(OR(M337=phu!$I$101,M337=phu!$I$102),"Tỉnh khác",""))</f>
        <v/>
      </c>
      <c r="O337" s="814" t="str">
        <f t="shared" si="31"/>
        <v/>
      </c>
      <c r="P337" s="254"/>
      <c r="Q337" s="254"/>
      <c r="R337" s="254"/>
      <c r="S337" s="254"/>
      <c r="T337" s="254"/>
      <c r="U337" s="254"/>
      <c r="V337" s="254"/>
      <c r="W337" s="254"/>
      <c r="Y337" s="246" t="str">
        <f t="shared" si="32"/>
        <v/>
      </c>
      <c r="Z337" s="247" t="str">
        <f t="shared" si="30"/>
        <v/>
      </c>
      <c r="AA337" s="246" t="str">
        <f t="shared" si="33"/>
        <v/>
      </c>
    </row>
    <row r="338" spans="1:27" ht="18" customHeight="1" x14ac:dyDescent="0.25">
      <c r="A338" s="248" t="str">
        <f t="shared" si="34"/>
        <v/>
      </c>
      <c r="B338" s="249" t="str">
        <f t="shared" si="35"/>
        <v/>
      </c>
      <c r="C338" s="250"/>
      <c r="D338" s="251"/>
      <c r="E338" s="241"/>
      <c r="F338" s="252"/>
      <c r="G338" s="252"/>
      <c r="H338" s="253"/>
      <c r="I338" s="250"/>
      <c r="J338" s="250"/>
      <c r="K338" s="270"/>
      <c r="L338" s="250"/>
      <c r="M338" s="250"/>
      <c r="N338" s="553" t="str">
        <f>CONCATENATE(IF(OR(M338=phu!$I$1,M338=phu!$I$2,M338=phu!$I$3),"Cam Thành Nam",""),IF(OR(M338=phu!$I$4,M338=phu!$I$5,M338=phu!$I$6,M338=phu!$I$7,M338=phu!$I$8,M338=phu!$I$9,M338=phu!$I$10,M338=phu!$I$11,M338=phu!$I$12,M338=phu!$I$13,M338=phu!$I$14),"Cam Nghĩa",""),IF(OR(M338=phu!$I$15,M338=phu!$I$16,M338=phu!$I$17,M338=phu!$I$18,M338=phu!$I$19,M338=phu!$I$20,M338=phu!$I$21),"Cam Phúc Bắc",""),IF(OR(M338=phu!$I$22,M338=phu!$I$23,M338=phu!$I$24,M338=phu!$I$25),"Cam Phúc Nam",""),IF(OR(M338=phu!$I$26,M338=phu!$I$27,M338=phu!$I$28,M338=phu!$I$29,M338=phu!$I$30,M338=phu!$I$31),"Cam Phú",""),IF(OR(M338=phu!$I$32,M338=phu!$I$33,M338=phu!$I$34,M338=phu!$I$35,M338=phu!$I$36,M338=phu!$I$37),"Cam Lộc",""),IF(OR(M338=phu!$I$38,M338=phu!$I$39,M338=phu!$I$40,M338=phu!$I$41,M338=phu!$I$42,M338=phu!$I$43,M338=phu!$I$44),"Cam Thuận",""),IF(OR(M338=phu!$I$45,M338=phu!$I$46,M338=phu!$I$47,M338=phu!$I$48,M338=phu!$I$49,M338=phu!$I$50,M338=phu!$I$51,M338=phu!$I$52,M338=phu!$I$53),"Cam Linh",""),IF(OR(M338=phu!$I$54,M338=phu!$I$55,M338=phu!$I$56,M338=phu!$I$57,M338=phu!$I$58,M338=phu!$I$59,M338=phu!$I$60,M338=phu!$I$61,M338=phu!$I$62),"Cam Lợi",""),IF(OR(M338=phu!$I$63,M338=phu!$I$64,M338=phu!$I$65,M338=phu!$I$66,M338=phu!$I$67,M338=phu!$I$68,M338=phu!$I$69,M338=phu!$I$70,M338=phu!$I$71),"Ba Ngòi",""),IF(OR(M338=phu!$I$72,M338=phu!$I$73,M338=phu!$I$74,M338=phu!$I$75,M338=phu!$I$76,M338=phu!$I$77,M338=phu!$I$78),"Cam Phước Đông",""),IF(OR(M338=phu!$I$79,M338=phu!$I$80,M338=phu!$I$81,M338=phu!$I$82,M338=phu!$I$83,M338=phu!$I$84),"Cam Thịnh Đông",""),IF(OR(M338=phu!$I$85,M338=phu!$I$86,M338=phu!$I$87,M338=phu!$I$88),"Cam Thịnh Tây",""),IF(OR(M338=phu!$I$89,M338=phu!$I$90),"Cam Lập",""),IF(OR(M338=phu!$I$91,M338=phu!$I$92,M338=phu!$I$93),"Cam Bình",""),IF(OR(M338=phu!$I$94,M338=phu!$I$95,M338=phu!$I$96,M338=phu!$I$97,M338=phu!$I$98,M338=phu!$I$99,M338=phu!$I$100),"Huyện khác",""),IF(OR(M338=phu!$I$101,M338=phu!$I$102),"Tỉnh khác",""))</f>
        <v/>
      </c>
      <c r="O338" s="814" t="str">
        <f t="shared" si="31"/>
        <v/>
      </c>
      <c r="P338" s="254"/>
      <c r="Q338" s="254"/>
      <c r="R338" s="254"/>
      <c r="S338" s="254"/>
      <c r="T338" s="254"/>
      <c r="U338" s="254"/>
      <c r="V338" s="254"/>
      <c r="W338" s="254"/>
      <c r="Y338" s="246" t="str">
        <f t="shared" si="32"/>
        <v/>
      </c>
      <c r="Z338" s="247" t="str">
        <f t="shared" si="30"/>
        <v/>
      </c>
      <c r="AA338" s="246" t="str">
        <f t="shared" si="33"/>
        <v/>
      </c>
    </row>
    <row r="339" spans="1:27" ht="18" customHeight="1" x14ac:dyDescent="0.25">
      <c r="A339" s="248" t="str">
        <f t="shared" si="34"/>
        <v/>
      </c>
      <c r="B339" s="249" t="str">
        <f t="shared" si="35"/>
        <v/>
      </c>
      <c r="C339" s="250"/>
      <c r="D339" s="251"/>
      <c r="E339" s="241"/>
      <c r="F339" s="252"/>
      <c r="G339" s="252"/>
      <c r="H339" s="253"/>
      <c r="I339" s="250"/>
      <c r="J339" s="250"/>
      <c r="K339" s="270"/>
      <c r="L339" s="250"/>
      <c r="M339" s="250"/>
      <c r="N339" s="553" t="str">
        <f>CONCATENATE(IF(OR(M339=phu!$I$1,M339=phu!$I$2,M339=phu!$I$3),"Cam Thành Nam",""),IF(OR(M339=phu!$I$4,M339=phu!$I$5,M339=phu!$I$6,M339=phu!$I$7,M339=phu!$I$8,M339=phu!$I$9,M339=phu!$I$10,M339=phu!$I$11,M339=phu!$I$12,M339=phu!$I$13,M339=phu!$I$14),"Cam Nghĩa",""),IF(OR(M339=phu!$I$15,M339=phu!$I$16,M339=phu!$I$17,M339=phu!$I$18,M339=phu!$I$19,M339=phu!$I$20,M339=phu!$I$21),"Cam Phúc Bắc",""),IF(OR(M339=phu!$I$22,M339=phu!$I$23,M339=phu!$I$24,M339=phu!$I$25),"Cam Phúc Nam",""),IF(OR(M339=phu!$I$26,M339=phu!$I$27,M339=phu!$I$28,M339=phu!$I$29,M339=phu!$I$30,M339=phu!$I$31),"Cam Phú",""),IF(OR(M339=phu!$I$32,M339=phu!$I$33,M339=phu!$I$34,M339=phu!$I$35,M339=phu!$I$36,M339=phu!$I$37),"Cam Lộc",""),IF(OR(M339=phu!$I$38,M339=phu!$I$39,M339=phu!$I$40,M339=phu!$I$41,M339=phu!$I$42,M339=phu!$I$43,M339=phu!$I$44),"Cam Thuận",""),IF(OR(M339=phu!$I$45,M339=phu!$I$46,M339=phu!$I$47,M339=phu!$I$48,M339=phu!$I$49,M339=phu!$I$50,M339=phu!$I$51,M339=phu!$I$52,M339=phu!$I$53),"Cam Linh",""),IF(OR(M339=phu!$I$54,M339=phu!$I$55,M339=phu!$I$56,M339=phu!$I$57,M339=phu!$I$58,M339=phu!$I$59,M339=phu!$I$60,M339=phu!$I$61,M339=phu!$I$62),"Cam Lợi",""),IF(OR(M339=phu!$I$63,M339=phu!$I$64,M339=phu!$I$65,M339=phu!$I$66,M339=phu!$I$67,M339=phu!$I$68,M339=phu!$I$69,M339=phu!$I$70,M339=phu!$I$71),"Ba Ngòi",""),IF(OR(M339=phu!$I$72,M339=phu!$I$73,M339=phu!$I$74,M339=phu!$I$75,M339=phu!$I$76,M339=phu!$I$77,M339=phu!$I$78),"Cam Phước Đông",""),IF(OR(M339=phu!$I$79,M339=phu!$I$80,M339=phu!$I$81,M339=phu!$I$82,M339=phu!$I$83,M339=phu!$I$84),"Cam Thịnh Đông",""),IF(OR(M339=phu!$I$85,M339=phu!$I$86,M339=phu!$I$87,M339=phu!$I$88),"Cam Thịnh Tây",""),IF(OR(M339=phu!$I$89,M339=phu!$I$90),"Cam Lập",""),IF(OR(M339=phu!$I$91,M339=phu!$I$92,M339=phu!$I$93),"Cam Bình",""),IF(OR(M339=phu!$I$94,M339=phu!$I$95,M339=phu!$I$96,M339=phu!$I$97,M339=phu!$I$98,M339=phu!$I$99,M339=phu!$I$100),"Huyện khác",""),IF(OR(M339=phu!$I$101,M339=phu!$I$102),"Tỉnh khác",""))</f>
        <v/>
      </c>
      <c r="O339" s="814" t="str">
        <f t="shared" si="31"/>
        <v/>
      </c>
      <c r="P339" s="254"/>
      <c r="Q339" s="254"/>
      <c r="R339" s="254"/>
      <c r="S339" s="254"/>
      <c r="T339" s="254"/>
      <c r="U339" s="254"/>
      <c r="V339" s="254"/>
      <c r="W339" s="254"/>
      <c r="Y339" s="246" t="str">
        <f t="shared" si="32"/>
        <v/>
      </c>
      <c r="Z339" s="247" t="str">
        <f t="shared" si="30"/>
        <v/>
      </c>
      <c r="AA339" s="246" t="str">
        <f t="shared" si="33"/>
        <v/>
      </c>
    </row>
    <row r="340" spans="1:27" ht="18" customHeight="1" x14ac:dyDescent="0.25">
      <c r="A340" s="248" t="str">
        <f t="shared" si="34"/>
        <v/>
      </c>
      <c r="B340" s="249" t="str">
        <f t="shared" si="35"/>
        <v/>
      </c>
      <c r="C340" s="250"/>
      <c r="D340" s="251"/>
      <c r="E340" s="241"/>
      <c r="F340" s="252"/>
      <c r="G340" s="252"/>
      <c r="H340" s="253"/>
      <c r="I340" s="250"/>
      <c r="J340" s="250"/>
      <c r="K340" s="270"/>
      <c r="L340" s="250"/>
      <c r="M340" s="250"/>
      <c r="N340" s="553" t="str">
        <f>CONCATENATE(IF(OR(M340=phu!$I$1,M340=phu!$I$2,M340=phu!$I$3),"Cam Thành Nam",""),IF(OR(M340=phu!$I$4,M340=phu!$I$5,M340=phu!$I$6,M340=phu!$I$7,M340=phu!$I$8,M340=phu!$I$9,M340=phu!$I$10,M340=phu!$I$11,M340=phu!$I$12,M340=phu!$I$13,M340=phu!$I$14),"Cam Nghĩa",""),IF(OR(M340=phu!$I$15,M340=phu!$I$16,M340=phu!$I$17,M340=phu!$I$18,M340=phu!$I$19,M340=phu!$I$20,M340=phu!$I$21),"Cam Phúc Bắc",""),IF(OR(M340=phu!$I$22,M340=phu!$I$23,M340=phu!$I$24,M340=phu!$I$25),"Cam Phúc Nam",""),IF(OR(M340=phu!$I$26,M340=phu!$I$27,M340=phu!$I$28,M340=phu!$I$29,M340=phu!$I$30,M340=phu!$I$31),"Cam Phú",""),IF(OR(M340=phu!$I$32,M340=phu!$I$33,M340=phu!$I$34,M340=phu!$I$35,M340=phu!$I$36,M340=phu!$I$37),"Cam Lộc",""),IF(OR(M340=phu!$I$38,M340=phu!$I$39,M340=phu!$I$40,M340=phu!$I$41,M340=phu!$I$42,M340=phu!$I$43,M340=phu!$I$44),"Cam Thuận",""),IF(OR(M340=phu!$I$45,M340=phu!$I$46,M340=phu!$I$47,M340=phu!$I$48,M340=phu!$I$49,M340=phu!$I$50,M340=phu!$I$51,M340=phu!$I$52,M340=phu!$I$53),"Cam Linh",""),IF(OR(M340=phu!$I$54,M340=phu!$I$55,M340=phu!$I$56,M340=phu!$I$57,M340=phu!$I$58,M340=phu!$I$59,M340=phu!$I$60,M340=phu!$I$61,M340=phu!$I$62),"Cam Lợi",""),IF(OR(M340=phu!$I$63,M340=phu!$I$64,M340=phu!$I$65,M340=phu!$I$66,M340=phu!$I$67,M340=phu!$I$68,M340=phu!$I$69,M340=phu!$I$70,M340=phu!$I$71),"Ba Ngòi",""),IF(OR(M340=phu!$I$72,M340=phu!$I$73,M340=phu!$I$74,M340=phu!$I$75,M340=phu!$I$76,M340=phu!$I$77,M340=phu!$I$78),"Cam Phước Đông",""),IF(OR(M340=phu!$I$79,M340=phu!$I$80,M340=phu!$I$81,M340=phu!$I$82,M340=phu!$I$83,M340=phu!$I$84),"Cam Thịnh Đông",""),IF(OR(M340=phu!$I$85,M340=phu!$I$86,M340=phu!$I$87,M340=phu!$I$88),"Cam Thịnh Tây",""),IF(OR(M340=phu!$I$89,M340=phu!$I$90),"Cam Lập",""),IF(OR(M340=phu!$I$91,M340=phu!$I$92,M340=phu!$I$93),"Cam Bình",""),IF(OR(M340=phu!$I$94,M340=phu!$I$95,M340=phu!$I$96,M340=phu!$I$97,M340=phu!$I$98,M340=phu!$I$99,M340=phu!$I$100),"Huyện khác",""),IF(OR(M340=phu!$I$101,M340=phu!$I$102),"Tỉnh khác",""))</f>
        <v/>
      </c>
      <c r="O340" s="814" t="str">
        <f t="shared" si="31"/>
        <v/>
      </c>
      <c r="P340" s="254"/>
      <c r="Q340" s="254"/>
      <c r="R340" s="254"/>
      <c r="S340" s="254"/>
      <c r="T340" s="254"/>
      <c r="U340" s="254"/>
      <c r="V340" s="254"/>
      <c r="W340" s="254"/>
      <c r="Y340" s="246" t="str">
        <f t="shared" si="32"/>
        <v/>
      </c>
      <c r="Z340" s="247" t="str">
        <f t="shared" si="30"/>
        <v/>
      </c>
      <c r="AA340" s="246" t="str">
        <f t="shared" si="33"/>
        <v/>
      </c>
    </row>
    <row r="341" spans="1:27" ht="18" customHeight="1" x14ac:dyDescent="0.25">
      <c r="A341" s="248" t="str">
        <f t="shared" si="34"/>
        <v/>
      </c>
      <c r="B341" s="249" t="str">
        <f t="shared" si="35"/>
        <v/>
      </c>
      <c r="C341" s="250"/>
      <c r="D341" s="251"/>
      <c r="E341" s="241"/>
      <c r="F341" s="252"/>
      <c r="G341" s="252"/>
      <c r="H341" s="253"/>
      <c r="I341" s="250"/>
      <c r="J341" s="250"/>
      <c r="K341" s="270"/>
      <c r="L341" s="250"/>
      <c r="M341" s="250"/>
      <c r="N341" s="553" t="str">
        <f>CONCATENATE(IF(OR(M341=phu!$I$1,M341=phu!$I$2,M341=phu!$I$3),"Cam Thành Nam",""),IF(OR(M341=phu!$I$4,M341=phu!$I$5,M341=phu!$I$6,M341=phu!$I$7,M341=phu!$I$8,M341=phu!$I$9,M341=phu!$I$10,M341=phu!$I$11,M341=phu!$I$12,M341=phu!$I$13,M341=phu!$I$14),"Cam Nghĩa",""),IF(OR(M341=phu!$I$15,M341=phu!$I$16,M341=phu!$I$17,M341=phu!$I$18,M341=phu!$I$19,M341=phu!$I$20,M341=phu!$I$21),"Cam Phúc Bắc",""),IF(OR(M341=phu!$I$22,M341=phu!$I$23,M341=phu!$I$24,M341=phu!$I$25),"Cam Phúc Nam",""),IF(OR(M341=phu!$I$26,M341=phu!$I$27,M341=phu!$I$28,M341=phu!$I$29,M341=phu!$I$30,M341=phu!$I$31),"Cam Phú",""),IF(OR(M341=phu!$I$32,M341=phu!$I$33,M341=phu!$I$34,M341=phu!$I$35,M341=phu!$I$36,M341=phu!$I$37),"Cam Lộc",""),IF(OR(M341=phu!$I$38,M341=phu!$I$39,M341=phu!$I$40,M341=phu!$I$41,M341=phu!$I$42,M341=phu!$I$43,M341=phu!$I$44),"Cam Thuận",""),IF(OR(M341=phu!$I$45,M341=phu!$I$46,M341=phu!$I$47,M341=phu!$I$48,M341=phu!$I$49,M341=phu!$I$50,M341=phu!$I$51,M341=phu!$I$52,M341=phu!$I$53),"Cam Linh",""),IF(OR(M341=phu!$I$54,M341=phu!$I$55,M341=phu!$I$56,M341=phu!$I$57,M341=phu!$I$58,M341=phu!$I$59,M341=phu!$I$60,M341=phu!$I$61,M341=phu!$I$62),"Cam Lợi",""),IF(OR(M341=phu!$I$63,M341=phu!$I$64,M341=phu!$I$65,M341=phu!$I$66,M341=phu!$I$67,M341=phu!$I$68,M341=phu!$I$69,M341=phu!$I$70,M341=phu!$I$71),"Ba Ngòi",""),IF(OR(M341=phu!$I$72,M341=phu!$I$73,M341=phu!$I$74,M341=phu!$I$75,M341=phu!$I$76,M341=phu!$I$77,M341=phu!$I$78),"Cam Phước Đông",""),IF(OR(M341=phu!$I$79,M341=phu!$I$80,M341=phu!$I$81,M341=phu!$I$82,M341=phu!$I$83,M341=phu!$I$84),"Cam Thịnh Đông",""),IF(OR(M341=phu!$I$85,M341=phu!$I$86,M341=phu!$I$87,M341=phu!$I$88),"Cam Thịnh Tây",""),IF(OR(M341=phu!$I$89,M341=phu!$I$90),"Cam Lập",""),IF(OR(M341=phu!$I$91,M341=phu!$I$92,M341=phu!$I$93),"Cam Bình",""),IF(OR(M341=phu!$I$94,M341=phu!$I$95,M341=phu!$I$96,M341=phu!$I$97,M341=phu!$I$98,M341=phu!$I$99,M341=phu!$I$100),"Huyện khác",""),IF(OR(M341=phu!$I$101,M341=phu!$I$102),"Tỉnh khác",""))</f>
        <v/>
      </c>
      <c r="O341" s="814" t="str">
        <f t="shared" si="31"/>
        <v/>
      </c>
      <c r="P341" s="254"/>
      <c r="Q341" s="254"/>
      <c r="R341" s="254"/>
      <c r="S341" s="254"/>
      <c r="T341" s="254"/>
      <c r="U341" s="254"/>
      <c r="V341" s="254"/>
      <c r="W341" s="254"/>
      <c r="Y341" s="246" t="str">
        <f t="shared" si="32"/>
        <v/>
      </c>
      <c r="Z341" s="247" t="str">
        <f t="shared" si="30"/>
        <v/>
      </c>
      <c r="AA341" s="246" t="str">
        <f t="shared" si="33"/>
        <v/>
      </c>
    </row>
    <row r="342" spans="1:27" ht="18" customHeight="1" x14ac:dyDescent="0.25">
      <c r="A342" s="248" t="str">
        <f t="shared" si="34"/>
        <v/>
      </c>
      <c r="B342" s="249" t="str">
        <f t="shared" si="35"/>
        <v/>
      </c>
      <c r="C342" s="250"/>
      <c r="D342" s="251"/>
      <c r="E342" s="241"/>
      <c r="F342" s="252"/>
      <c r="G342" s="252"/>
      <c r="H342" s="253"/>
      <c r="I342" s="250"/>
      <c r="J342" s="250"/>
      <c r="K342" s="270"/>
      <c r="L342" s="250"/>
      <c r="M342" s="250"/>
      <c r="N342" s="553" t="str">
        <f>CONCATENATE(IF(OR(M342=phu!$I$1,M342=phu!$I$2,M342=phu!$I$3),"Cam Thành Nam",""),IF(OR(M342=phu!$I$4,M342=phu!$I$5,M342=phu!$I$6,M342=phu!$I$7,M342=phu!$I$8,M342=phu!$I$9,M342=phu!$I$10,M342=phu!$I$11,M342=phu!$I$12,M342=phu!$I$13,M342=phu!$I$14),"Cam Nghĩa",""),IF(OR(M342=phu!$I$15,M342=phu!$I$16,M342=phu!$I$17,M342=phu!$I$18,M342=phu!$I$19,M342=phu!$I$20,M342=phu!$I$21),"Cam Phúc Bắc",""),IF(OR(M342=phu!$I$22,M342=phu!$I$23,M342=phu!$I$24,M342=phu!$I$25),"Cam Phúc Nam",""),IF(OR(M342=phu!$I$26,M342=phu!$I$27,M342=phu!$I$28,M342=phu!$I$29,M342=phu!$I$30,M342=phu!$I$31),"Cam Phú",""),IF(OR(M342=phu!$I$32,M342=phu!$I$33,M342=phu!$I$34,M342=phu!$I$35,M342=phu!$I$36,M342=phu!$I$37),"Cam Lộc",""),IF(OR(M342=phu!$I$38,M342=phu!$I$39,M342=phu!$I$40,M342=phu!$I$41,M342=phu!$I$42,M342=phu!$I$43,M342=phu!$I$44),"Cam Thuận",""),IF(OR(M342=phu!$I$45,M342=phu!$I$46,M342=phu!$I$47,M342=phu!$I$48,M342=phu!$I$49,M342=phu!$I$50,M342=phu!$I$51,M342=phu!$I$52,M342=phu!$I$53),"Cam Linh",""),IF(OR(M342=phu!$I$54,M342=phu!$I$55,M342=phu!$I$56,M342=phu!$I$57,M342=phu!$I$58,M342=phu!$I$59,M342=phu!$I$60,M342=phu!$I$61,M342=phu!$I$62),"Cam Lợi",""),IF(OR(M342=phu!$I$63,M342=phu!$I$64,M342=phu!$I$65,M342=phu!$I$66,M342=phu!$I$67,M342=phu!$I$68,M342=phu!$I$69,M342=phu!$I$70,M342=phu!$I$71),"Ba Ngòi",""),IF(OR(M342=phu!$I$72,M342=phu!$I$73,M342=phu!$I$74,M342=phu!$I$75,M342=phu!$I$76,M342=phu!$I$77,M342=phu!$I$78),"Cam Phước Đông",""),IF(OR(M342=phu!$I$79,M342=phu!$I$80,M342=phu!$I$81,M342=phu!$I$82,M342=phu!$I$83,M342=phu!$I$84),"Cam Thịnh Đông",""),IF(OR(M342=phu!$I$85,M342=phu!$I$86,M342=phu!$I$87,M342=phu!$I$88),"Cam Thịnh Tây",""),IF(OR(M342=phu!$I$89,M342=phu!$I$90),"Cam Lập",""),IF(OR(M342=phu!$I$91,M342=phu!$I$92,M342=phu!$I$93),"Cam Bình",""),IF(OR(M342=phu!$I$94,M342=phu!$I$95,M342=phu!$I$96,M342=phu!$I$97,M342=phu!$I$98,M342=phu!$I$99,M342=phu!$I$100),"Huyện khác",""),IF(OR(M342=phu!$I$101,M342=phu!$I$102),"Tỉnh khác",""))</f>
        <v/>
      </c>
      <c r="O342" s="814" t="str">
        <f t="shared" si="31"/>
        <v/>
      </c>
      <c r="P342" s="254"/>
      <c r="Q342" s="254"/>
      <c r="R342" s="254"/>
      <c r="S342" s="254"/>
      <c r="T342" s="254"/>
      <c r="U342" s="254"/>
      <c r="V342" s="254"/>
      <c r="W342" s="254"/>
      <c r="Y342" s="246" t="str">
        <f t="shared" si="32"/>
        <v/>
      </c>
      <c r="Z342" s="247" t="str">
        <f t="shared" si="30"/>
        <v/>
      </c>
      <c r="AA342" s="246" t="str">
        <f t="shared" si="33"/>
        <v/>
      </c>
    </row>
    <row r="343" spans="1:27" ht="18" customHeight="1" x14ac:dyDescent="0.25">
      <c r="A343" s="248" t="str">
        <f t="shared" si="34"/>
        <v/>
      </c>
      <c r="B343" s="249" t="str">
        <f t="shared" si="35"/>
        <v/>
      </c>
      <c r="C343" s="250"/>
      <c r="D343" s="251"/>
      <c r="E343" s="241"/>
      <c r="F343" s="252"/>
      <c r="G343" s="252"/>
      <c r="H343" s="253"/>
      <c r="I343" s="250"/>
      <c r="J343" s="250"/>
      <c r="K343" s="270"/>
      <c r="L343" s="250"/>
      <c r="M343" s="250"/>
      <c r="N343" s="553" t="str">
        <f>CONCATENATE(IF(OR(M343=phu!$I$1,M343=phu!$I$2,M343=phu!$I$3),"Cam Thành Nam",""),IF(OR(M343=phu!$I$4,M343=phu!$I$5,M343=phu!$I$6,M343=phu!$I$7,M343=phu!$I$8,M343=phu!$I$9,M343=phu!$I$10,M343=phu!$I$11,M343=phu!$I$12,M343=phu!$I$13,M343=phu!$I$14),"Cam Nghĩa",""),IF(OR(M343=phu!$I$15,M343=phu!$I$16,M343=phu!$I$17,M343=phu!$I$18,M343=phu!$I$19,M343=phu!$I$20,M343=phu!$I$21),"Cam Phúc Bắc",""),IF(OR(M343=phu!$I$22,M343=phu!$I$23,M343=phu!$I$24,M343=phu!$I$25),"Cam Phúc Nam",""),IF(OR(M343=phu!$I$26,M343=phu!$I$27,M343=phu!$I$28,M343=phu!$I$29,M343=phu!$I$30,M343=phu!$I$31),"Cam Phú",""),IF(OR(M343=phu!$I$32,M343=phu!$I$33,M343=phu!$I$34,M343=phu!$I$35,M343=phu!$I$36,M343=phu!$I$37),"Cam Lộc",""),IF(OR(M343=phu!$I$38,M343=phu!$I$39,M343=phu!$I$40,M343=phu!$I$41,M343=phu!$I$42,M343=phu!$I$43,M343=phu!$I$44),"Cam Thuận",""),IF(OR(M343=phu!$I$45,M343=phu!$I$46,M343=phu!$I$47,M343=phu!$I$48,M343=phu!$I$49,M343=phu!$I$50,M343=phu!$I$51,M343=phu!$I$52,M343=phu!$I$53),"Cam Linh",""),IF(OR(M343=phu!$I$54,M343=phu!$I$55,M343=phu!$I$56,M343=phu!$I$57,M343=phu!$I$58,M343=phu!$I$59,M343=phu!$I$60,M343=phu!$I$61,M343=phu!$I$62),"Cam Lợi",""),IF(OR(M343=phu!$I$63,M343=phu!$I$64,M343=phu!$I$65,M343=phu!$I$66,M343=phu!$I$67,M343=phu!$I$68,M343=phu!$I$69,M343=phu!$I$70,M343=phu!$I$71),"Ba Ngòi",""),IF(OR(M343=phu!$I$72,M343=phu!$I$73,M343=phu!$I$74,M343=phu!$I$75,M343=phu!$I$76,M343=phu!$I$77,M343=phu!$I$78),"Cam Phước Đông",""),IF(OR(M343=phu!$I$79,M343=phu!$I$80,M343=phu!$I$81,M343=phu!$I$82,M343=phu!$I$83,M343=phu!$I$84),"Cam Thịnh Đông",""),IF(OR(M343=phu!$I$85,M343=phu!$I$86,M343=phu!$I$87,M343=phu!$I$88),"Cam Thịnh Tây",""),IF(OR(M343=phu!$I$89,M343=phu!$I$90),"Cam Lập",""),IF(OR(M343=phu!$I$91,M343=phu!$I$92,M343=phu!$I$93),"Cam Bình",""),IF(OR(M343=phu!$I$94,M343=phu!$I$95,M343=phu!$I$96,M343=phu!$I$97,M343=phu!$I$98,M343=phu!$I$99,M343=phu!$I$100),"Huyện khác",""),IF(OR(M343=phu!$I$101,M343=phu!$I$102),"Tỉnh khác",""))</f>
        <v/>
      </c>
      <c r="O343" s="814" t="str">
        <f t="shared" si="31"/>
        <v/>
      </c>
      <c r="P343" s="254"/>
      <c r="Q343" s="254"/>
      <c r="R343" s="254"/>
      <c r="S343" s="254"/>
      <c r="T343" s="254"/>
      <c r="U343" s="254"/>
      <c r="V343" s="254"/>
      <c r="W343" s="254"/>
      <c r="Y343" s="246" t="str">
        <f t="shared" si="32"/>
        <v/>
      </c>
      <c r="Z343" s="247" t="str">
        <f t="shared" si="30"/>
        <v/>
      </c>
      <c r="AA343" s="246" t="str">
        <f t="shared" si="33"/>
        <v/>
      </c>
    </row>
    <row r="344" spans="1:27" ht="18" customHeight="1" x14ac:dyDescent="0.25">
      <c r="A344" s="248" t="str">
        <f t="shared" si="34"/>
        <v/>
      </c>
      <c r="B344" s="249" t="str">
        <f t="shared" si="35"/>
        <v/>
      </c>
      <c r="C344" s="250"/>
      <c r="D344" s="251"/>
      <c r="E344" s="241"/>
      <c r="F344" s="252"/>
      <c r="G344" s="252"/>
      <c r="H344" s="253"/>
      <c r="I344" s="250"/>
      <c r="J344" s="250"/>
      <c r="K344" s="270"/>
      <c r="L344" s="250"/>
      <c r="M344" s="250"/>
      <c r="N344" s="553" t="str">
        <f>CONCATENATE(IF(OR(M344=phu!$I$1,M344=phu!$I$2,M344=phu!$I$3),"Cam Thành Nam",""),IF(OR(M344=phu!$I$4,M344=phu!$I$5,M344=phu!$I$6,M344=phu!$I$7,M344=phu!$I$8,M344=phu!$I$9,M344=phu!$I$10,M344=phu!$I$11,M344=phu!$I$12,M344=phu!$I$13,M344=phu!$I$14),"Cam Nghĩa",""),IF(OR(M344=phu!$I$15,M344=phu!$I$16,M344=phu!$I$17,M344=phu!$I$18,M344=phu!$I$19,M344=phu!$I$20,M344=phu!$I$21),"Cam Phúc Bắc",""),IF(OR(M344=phu!$I$22,M344=phu!$I$23,M344=phu!$I$24,M344=phu!$I$25),"Cam Phúc Nam",""),IF(OR(M344=phu!$I$26,M344=phu!$I$27,M344=phu!$I$28,M344=phu!$I$29,M344=phu!$I$30,M344=phu!$I$31),"Cam Phú",""),IF(OR(M344=phu!$I$32,M344=phu!$I$33,M344=phu!$I$34,M344=phu!$I$35,M344=phu!$I$36,M344=phu!$I$37),"Cam Lộc",""),IF(OR(M344=phu!$I$38,M344=phu!$I$39,M344=phu!$I$40,M344=phu!$I$41,M344=phu!$I$42,M344=phu!$I$43,M344=phu!$I$44),"Cam Thuận",""),IF(OR(M344=phu!$I$45,M344=phu!$I$46,M344=phu!$I$47,M344=phu!$I$48,M344=phu!$I$49,M344=phu!$I$50,M344=phu!$I$51,M344=phu!$I$52,M344=phu!$I$53),"Cam Linh",""),IF(OR(M344=phu!$I$54,M344=phu!$I$55,M344=phu!$I$56,M344=phu!$I$57,M344=phu!$I$58,M344=phu!$I$59,M344=phu!$I$60,M344=phu!$I$61,M344=phu!$I$62),"Cam Lợi",""),IF(OR(M344=phu!$I$63,M344=phu!$I$64,M344=phu!$I$65,M344=phu!$I$66,M344=phu!$I$67,M344=phu!$I$68,M344=phu!$I$69,M344=phu!$I$70,M344=phu!$I$71),"Ba Ngòi",""),IF(OR(M344=phu!$I$72,M344=phu!$I$73,M344=phu!$I$74,M344=phu!$I$75,M344=phu!$I$76,M344=phu!$I$77,M344=phu!$I$78),"Cam Phước Đông",""),IF(OR(M344=phu!$I$79,M344=phu!$I$80,M344=phu!$I$81,M344=phu!$I$82,M344=phu!$I$83,M344=phu!$I$84),"Cam Thịnh Đông",""),IF(OR(M344=phu!$I$85,M344=phu!$I$86,M344=phu!$I$87,M344=phu!$I$88),"Cam Thịnh Tây",""),IF(OR(M344=phu!$I$89,M344=phu!$I$90),"Cam Lập",""),IF(OR(M344=phu!$I$91,M344=phu!$I$92,M344=phu!$I$93),"Cam Bình",""),IF(OR(M344=phu!$I$94,M344=phu!$I$95,M344=phu!$I$96,M344=phu!$I$97,M344=phu!$I$98,M344=phu!$I$99,M344=phu!$I$100),"Huyện khác",""),IF(OR(M344=phu!$I$101,M344=phu!$I$102),"Tỉnh khác",""))</f>
        <v/>
      </c>
      <c r="O344" s="814" t="str">
        <f t="shared" si="31"/>
        <v/>
      </c>
      <c r="P344" s="254"/>
      <c r="Q344" s="254"/>
      <c r="R344" s="254"/>
      <c r="S344" s="254"/>
      <c r="T344" s="254"/>
      <c r="U344" s="254"/>
      <c r="V344" s="254"/>
      <c r="W344" s="254"/>
      <c r="Y344" s="246" t="str">
        <f t="shared" si="32"/>
        <v/>
      </c>
      <c r="Z344" s="247" t="str">
        <f t="shared" si="30"/>
        <v/>
      </c>
      <c r="AA344" s="246" t="str">
        <f t="shared" si="33"/>
        <v/>
      </c>
    </row>
    <row r="345" spans="1:27" ht="18" customHeight="1" x14ac:dyDescent="0.25">
      <c r="A345" s="248" t="str">
        <f t="shared" si="34"/>
        <v/>
      </c>
      <c r="B345" s="249" t="str">
        <f t="shared" si="35"/>
        <v/>
      </c>
      <c r="C345" s="250"/>
      <c r="D345" s="251"/>
      <c r="E345" s="241"/>
      <c r="F345" s="252"/>
      <c r="G345" s="252"/>
      <c r="H345" s="253"/>
      <c r="I345" s="250"/>
      <c r="J345" s="250"/>
      <c r="K345" s="270"/>
      <c r="L345" s="250"/>
      <c r="M345" s="250"/>
      <c r="N345" s="553" t="str">
        <f>CONCATENATE(IF(OR(M345=phu!$I$1,M345=phu!$I$2,M345=phu!$I$3),"Cam Thành Nam",""),IF(OR(M345=phu!$I$4,M345=phu!$I$5,M345=phu!$I$6,M345=phu!$I$7,M345=phu!$I$8,M345=phu!$I$9,M345=phu!$I$10,M345=phu!$I$11,M345=phu!$I$12,M345=phu!$I$13,M345=phu!$I$14),"Cam Nghĩa",""),IF(OR(M345=phu!$I$15,M345=phu!$I$16,M345=phu!$I$17,M345=phu!$I$18,M345=phu!$I$19,M345=phu!$I$20,M345=phu!$I$21),"Cam Phúc Bắc",""),IF(OR(M345=phu!$I$22,M345=phu!$I$23,M345=phu!$I$24,M345=phu!$I$25),"Cam Phúc Nam",""),IF(OR(M345=phu!$I$26,M345=phu!$I$27,M345=phu!$I$28,M345=phu!$I$29,M345=phu!$I$30,M345=phu!$I$31),"Cam Phú",""),IF(OR(M345=phu!$I$32,M345=phu!$I$33,M345=phu!$I$34,M345=phu!$I$35,M345=phu!$I$36,M345=phu!$I$37),"Cam Lộc",""),IF(OR(M345=phu!$I$38,M345=phu!$I$39,M345=phu!$I$40,M345=phu!$I$41,M345=phu!$I$42,M345=phu!$I$43,M345=phu!$I$44),"Cam Thuận",""),IF(OR(M345=phu!$I$45,M345=phu!$I$46,M345=phu!$I$47,M345=phu!$I$48,M345=phu!$I$49,M345=phu!$I$50,M345=phu!$I$51,M345=phu!$I$52,M345=phu!$I$53),"Cam Linh",""),IF(OR(M345=phu!$I$54,M345=phu!$I$55,M345=phu!$I$56,M345=phu!$I$57,M345=phu!$I$58,M345=phu!$I$59,M345=phu!$I$60,M345=phu!$I$61,M345=phu!$I$62),"Cam Lợi",""),IF(OR(M345=phu!$I$63,M345=phu!$I$64,M345=phu!$I$65,M345=phu!$I$66,M345=phu!$I$67,M345=phu!$I$68,M345=phu!$I$69,M345=phu!$I$70,M345=phu!$I$71),"Ba Ngòi",""),IF(OR(M345=phu!$I$72,M345=phu!$I$73,M345=phu!$I$74,M345=phu!$I$75,M345=phu!$I$76,M345=phu!$I$77,M345=phu!$I$78),"Cam Phước Đông",""),IF(OR(M345=phu!$I$79,M345=phu!$I$80,M345=phu!$I$81,M345=phu!$I$82,M345=phu!$I$83,M345=phu!$I$84),"Cam Thịnh Đông",""),IF(OR(M345=phu!$I$85,M345=phu!$I$86,M345=phu!$I$87,M345=phu!$I$88),"Cam Thịnh Tây",""),IF(OR(M345=phu!$I$89,M345=phu!$I$90),"Cam Lập",""),IF(OR(M345=phu!$I$91,M345=phu!$I$92,M345=phu!$I$93),"Cam Bình",""),IF(OR(M345=phu!$I$94,M345=phu!$I$95,M345=phu!$I$96,M345=phu!$I$97,M345=phu!$I$98,M345=phu!$I$99,M345=phu!$I$100),"Huyện khác",""),IF(OR(M345=phu!$I$101,M345=phu!$I$102),"Tỉnh khác",""))</f>
        <v/>
      </c>
      <c r="O345" s="814" t="str">
        <f t="shared" si="31"/>
        <v/>
      </c>
      <c r="P345" s="254"/>
      <c r="Q345" s="254"/>
      <c r="R345" s="254"/>
      <c r="S345" s="254"/>
      <c r="T345" s="254"/>
      <c r="U345" s="254"/>
      <c r="V345" s="254"/>
      <c r="W345" s="254"/>
      <c r="Y345" s="246" t="str">
        <f t="shared" si="32"/>
        <v/>
      </c>
      <c r="Z345" s="247" t="str">
        <f t="shared" si="30"/>
        <v/>
      </c>
      <c r="AA345" s="246" t="str">
        <f t="shared" si="33"/>
        <v/>
      </c>
    </row>
    <row r="346" spans="1:27" ht="18" customHeight="1" x14ac:dyDescent="0.25">
      <c r="A346" s="248" t="str">
        <f t="shared" si="34"/>
        <v/>
      </c>
      <c r="B346" s="249" t="str">
        <f t="shared" si="35"/>
        <v/>
      </c>
      <c r="C346" s="250"/>
      <c r="D346" s="251"/>
      <c r="E346" s="241"/>
      <c r="F346" s="252"/>
      <c r="G346" s="252"/>
      <c r="H346" s="253"/>
      <c r="I346" s="250"/>
      <c r="J346" s="250"/>
      <c r="K346" s="270"/>
      <c r="L346" s="250"/>
      <c r="M346" s="250"/>
      <c r="N346" s="553" t="str">
        <f>CONCATENATE(IF(OR(M346=phu!$I$1,M346=phu!$I$2,M346=phu!$I$3),"Cam Thành Nam",""),IF(OR(M346=phu!$I$4,M346=phu!$I$5,M346=phu!$I$6,M346=phu!$I$7,M346=phu!$I$8,M346=phu!$I$9,M346=phu!$I$10,M346=phu!$I$11,M346=phu!$I$12,M346=phu!$I$13,M346=phu!$I$14),"Cam Nghĩa",""),IF(OR(M346=phu!$I$15,M346=phu!$I$16,M346=phu!$I$17,M346=phu!$I$18,M346=phu!$I$19,M346=phu!$I$20,M346=phu!$I$21),"Cam Phúc Bắc",""),IF(OR(M346=phu!$I$22,M346=phu!$I$23,M346=phu!$I$24,M346=phu!$I$25),"Cam Phúc Nam",""),IF(OR(M346=phu!$I$26,M346=phu!$I$27,M346=phu!$I$28,M346=phu!$I$29,M346=phu!$I$30,M346=phu!$I$31),"Cam Phú",""),IF(OR(M346=phu!$I$32,M346=phu!$I$33,M346=phu!$I$34,M346=phu!$I$35,M346=phu!$I$36,M346=phu!$I$37),"Cam Lộc",""),IF(OR(M346=phu!$I$38,M346=phu!$I$39,M346=phu!$I$40,M346=phu!$I$41,M346=phu!$I$42,M346=phu!$I$43,M346=phu!$I$44),"Cam Thuận",""),IF(OR(M346=phu!$I$45,M346=phu!$I$46,M346=phu!$I$47,M346=phu!$I$48,M346=phu!$I$49,M346=phu!$I$50,M346=phu!$I$51,M346=phu!$I$52,M346=phu!$I$53),"Cam Linh",""),IF(OR(M346=phu!$I$54,M346=phu!$I$55,M346=phu!$I$56,M346=phu!$I$57,M346=phu!$I$58,M346=phu!$I$59,M346=phu!$I$60,M346=phu!$I$61,M346=phu!$I$62),"Cam Lợi",""),IF(OR(M346=phu!$I$63,M346=phu!$I$64,M346=phu!$I$65,M346=phu!$I$66,M346=phu!$I$67,M346=phu!$I$68,M346=phu!$I$69,M346=phu!$I$70,M346=phu!$I$71),"Ba Ngòi",""),IF(OR(M346=phu!$I$72,M346=phu!$I$73,M346=phu!$I$74,M346=phu!$I$75,M346=phu!$I$76,M346=phu!$I$77,M346=phu!$I$78),"Cam Phước Đông",""),IF(OR(M346=phu!$I$79,M346=phu!$I$80,M346=phu!$I$81,M346=phu!$I$82,M346=phu!$I$83,M346=phu!$I$84),"Cam Thịnh Đông",""),IF(OR(M346=phu!$I$85,M346=phu!$I$86,M346=phu!$I$87,M346=phu!$I$88),"Cam Thịnh Tây",""),IF(OR(M346=phu!$I$89,M346=phu!$I$90),"Cam Lập",""),IF(OR(M346=phu!$I$91,M346=phu!$I$92,M346=phu!$I$93),"Cam Bình",""),IF(OR(M346=phu!$I$94,M346=phu!$I$95,M346=phu!$I$96,M346=phu!$I$97,M346=phu!$I$98,M346=phu!$I$99,M346=phu!$I$100),"Huyện khác",""),IF(OR(M346=phu!$I$101,M346=phu!$I$102),"Tỉnh khác",""))</f>
        <v/>
      </c>
      <c r="O346" s="814" t="str">
        <f t="shared" si="31"/>
        <v/>
      </c>
      <c r="P346" s="254"/>
      <c r="Q346" s="254"/>
      <c r="R346" s="254"/>
      <c r="S346" s="254"/>
      <c r="T346" s="254"/>
      <c r="U346" s="254"/>
      <c r="V346" s="254"/>
      <c r="W346" s="254"/>
      <c r="Y346" s="246" t="str">
        <f t="shared" si="32"/>
        <v/>
      </c>
      <c r="Z346" s="247" t="str">
        <f t="shared" si="30"/>
        <v/>
      </c>
      <c r="AA346" s="246" t="str">
        <f t="shared" si="33"/>
        <v/>
      </c>
    </row>
    <row r="347" spans="1:27" ht="18" customHeight="1" x14ac:dyDescent="0.25">
      <c r="A347" s="248" t="str">
        <f t="shared" si="34"/>
        <v/>
      </c>
      <c r="B347" s="249" t="str">
        <f t="shared" si="35"/>
        <v/>
      </c>
      <c r="C347" s="250"/>
      <c r="D347" s="251"/>
      <c r="E347" s="241"/>
      <c r="F347" s="252"/>
      <c r="G347" s="252"/>
      <c r="H347" s="253"/>
      <c r="I347" s="250"/>
      <c r="J347" s="250"/>
      <c r="K347" s="270"/>
      <c r="L347" s="250"/>
      <c r="M347" s="250"/>
      <c r="N347" s="553" t="str">
        <f>CONCATENATE(IF(OR(M347=phu!$I$1,M347=phu!$I$2,M347=phu!$I$3),"Cam Thành Nam",""),IF(OR(M347=phu!$I$4,M347=phu!$I$5,M347=phu!$I$6,M347=phu!$I$7,M347=phu!$I$8,M347=phu!$I$9,M347=phu!$I$10,M347=phu!$I$11,M347=phu!$I$12,M347=phu!$I$13,M347=phu!$I$14),"Cam Nghĩa",""),IF(OR(M347=phu!$I$15,M347=phu!$I$16,M347=phu!$I$17,M347=phu!$I$18,M347=phu!$I$19,M347=phu!$I$20,M347=phu!$I$21),"Cam Phúc Bắc",""),IF(OR(M347=phu!$I$22,M347=phu!$I$23,M347=phu!$I$24,M347=phu!$I$25),"Cam Phúc Nam",""),IF(OR(M347=phu!$I$26,M347=phu!$I$27,M347=phu!$I$28,M347=phu!$I$29,M347=phu!$I$30,M347=phu!$I$31),"Cam Phú",""),IF(OR(M347=phu!$I$32,M347=phu!$I$33,M347=phu!$I$34,M347=phu!$I$35,M347=phu!$I$36,M347=phu!$I$37),"Cam Lộc",""),IF(OR(M347=phu!$I$38,M347=phu!$I$39,M347=phu!$I$40,M347=phu!$I$41,M347=phu!$I$42,M347=phu!$I$43,M347=phu!$I$44),"Cam Thuận",""),IF(OR(M347=phu!$I$45,M347=phu!$I$46,M347=phu!$I$47,M347=phu!$I$48,M347=phu!$I$49,M347=phu!$I$50,M347=phu!$I$51,M347=phu!$I$52,M347=phu!$I$53),"Cam Linh",""),IF(OR(M347=phu!$I$54,M347=phu!$I$55,M347=phu!$I$56,M347=phu!$I$57,M347=phu!$I$58,M347=phu!$I$59,M347=phu!$I$60,M347=phu!$I$61,M347=phu!$I$62),"Cam Lợi",""),IF(OR(M347=phu!$I$63,M347=phu!$I$64,M347=phu!$I$65,M347=phu!$I$66,M347=phu!$I$67,M347=phu!$I$68,M347=phu!$I$69,M347=phu!$I$70,M347=phu!$I$71),"Ba Ngòi",""),IF(OR(M347=phu!$I$72,M347=phu!$I$73,M347=phu!$I$74,M347=phu!$I$75,M347=phu!$I$76,M347=phu!$I$77,M347=phu!$I$78),"Cam Phước Đông",""),IF(OR(M347=phu!$I$79,M347=phu!$I$80,M347=phu!$I$81,M347=phu!$I$82,M347=phu!$I$83,M347=phu!$I$84),"Cam Thịnh Đông",""),IF(OR(M347=phu!$I$85,M347=phu!$I$86,M347=phu!$I$87,M347=phu!$I$88),"Cam Thịnh Tây",""),IF(OR(M347=phu!$I$89,M347=phu!$I$90),"Cam Lập",""),IF(OR(M347=phu!$I$91,M347=phu!$I$92,M347=phu!$I$93),"Cam Bình",""),IF(OR(M347=phu!$I$94,M347=phu!$I$95,M347=phu!$I$96,M347=phu!$I$97,M347=phu!$I$98,M347=phu!$I$99,M347=phu!$I$100),"Huyện khác",""),IF(OR(M347=phu!$I$101,M347=phu!$I$102),"Tỉnh khác",""))</f>
        <v/>
      </c>
      <c r="O347" s="814" t="str">
        <f t="shared" si="31"/>
        <v/>
      </c>
      <c r="P347" s="254"/>
      <c r="Q347" s="254"/>
      <c r="R347" s="254"/>
      <c r="S347" s="254"/>
      <c r="T347" s="254"/>
      <c r="U347" s="254"/>
      <c r="V347" s="254"/>
      <c r="W347" s="254"/>
      <c r="Y347" s="246" t="str">
        <f t="shared" si="32"/>
        <v/>
      </c>
      <c r="Z347" s="247" t="str">
        <f t="shared" si="30"/>
        <v/>
      </c>
      <c r="AA347" s="246" t="str">
        <f t="shared" si="33"/>
        <v/>
      </c>
    </row>
    <row r="348" spans="1:27" ht="18" customHeight="1" x14ac:dyDescent="0.25">
      <c r="A348" s="248" t="str">
        <f t="shared" si="34"/>
        <v/>
      </c>
      <c r="B348" s="249" t="str">
        <f t="shared" si="35"/>
        <v/>
      </c>
      <c r="C348" s="250"/>
      <c r="D348" s="251"/>
      <c r="E348" s="241"/>
      <c r="F348" s="252"/>
      <c r="G348" s="252"/>
      <c r="H348" s="253"/>
      <c r="I348" s="250"/>
      <c r="J348" s="250"/>
      <c r="K348" s="270"/>
      <c r="L348" s="250"/>
      <c r="M348" s="250"/>
      <c r="N348" s="553" t="str">
        <f>CONCATENATE(IF(OR(M348=phu!$I$1,M348=phu!$I$2,M348=phu!$I$3),"Cam Thành Nam",""),IF(OR(M348=phu!$I$4,M348=phu!$I$5,M348=phu!$I$6,M348=phu!$I$7,M348=phu!$I$8,M348=phu!$I$9,M348=phu!$I$10,M348=phu!$I$11,M348=phu!$I$12,M348=phu!$I$13,M348=phu!$I$14),"Cam Nghĩa",""),IF(OR(M348=phu!$I$15,M348=phu!$I$16,M348=phu!$I$17,M348=phu!$I$18,M348=phu!$I$19,M348=phu!$I$20,M348=phu!$I$21),"Cam Phúc Bắc",""),IF(OR(M348=phu!$I$22,M348=phu!$I$23,M348=phu!$I$24,M348=phu!$I$25),"Cam Phúc Nam",""),IF(OR(M348=phu!$I$26,M348=phu!$I$27,M348=phu!$I$28,M348=phu!$I$29,M348=phu!$I$30,M348=phu!$I$31),"Cam Phú",""),IF(OR(M348=phu!$I$32,M348=phu!$I$33,M348=phu!$I$34,M348=phu!$I$35,M348=phu!$I$36,M348=phu!$I$37),"Cam Lộc",""),IF(OR(M348=phu!$I$38,M348=phu!$I$39,M348=phu!$I$40,M348=phu!$I$41,M348=phu!$I$42,M348=phu!$I$43,M348=phu!$I$44),"Cam Thuận",""),IF(OR(M348=phu!$I$45,M348=phu!$I$46,M348=phu!$I$47,M348=phu!$I$48,M348=phu!$I$49,M348=phu!$I$50,M348=phu!$I$51,M348=phu!$I$52,M348=phu!$I$53),"Cam Linh",""),IF(OR(M348=phu!$I$54,M348=phu!$I$55,M348=phu!$I$56,M348=phu!$I$57,M348=phu!$I$58,M348=phu!$I$59,M348=phu!$I$60,M348=phu!$I$61,M348=phu!$I$62),"Cam Lợi",""),IF(OR(M348=phu!$I$63,M348=phu!$I$64,M348=phu!$I$65,M348=phu!$I$66,M348=phu!$I$67,M348=phu!$I$68,M348=phu!$I$69,M348=phu!$I$70,M348=phu!$I$71),"Ba Ngòi",""),IF(OR(M348=phu!$I$72,M348=phu!$I$73,M348=phu!$I$74,M348=phu!$I$75,M348=phu!$I$76,M348=phu!$I$77,M348=phu!$I$78),"Cam Phước Đông",""),IF(OR(M348=phu!$I$79,M348=phu!$I$80,M348=phu!$I$81,M348=phu!$I$82,M348=phu!$I$83,M348=phu!$I$84),"Cam Thịnh Đông",""),IF(OR(M348=phu!$I$85,M348=phu!$I$86,M348=phu!$I$87,M348=phu!$I$88),"Cam Thịnh Tây",""),IF(OR(M348=phu!$I$89,M348=phu!$I$90),"Cam Lập",""),IF(OR(M348=phu!$I$91,M348=phu!$I$92,M348=phu!$I$93),"Cam Bình",""),IF(OR(M348=phu!$I$94,M348=phu!$I$95,M348=phu!$I$96,M348=phu!$I$97,M348=phu!$I$98,M348=phu!$I$99,M348=phu!$I$100),"Huyện khác",""),IF(OR(M348=phu!$I$101,M348=phu!$I$102),"Tỉnh khác",""))</f>
        <v/>
      </c>
      <c r="O348" s="814" t="str">
        <f t="shared" si="31"/>
        <v/>
      </c>
      <c r="P348" s="254"/>
      <c r="Q348" s="254"/>
      <c r="R348" s="254"/>
      <c r="S348" s="254"/>
      <c r="T348" s="254"/>
      <c r="U348" s="254"/>
      <c r="V348" s="254"/>
      <c r="W348" s="254"/>
      <c r="Y348" s="246" t="str">
        <f t="shared" si="32"/>
        <v/>
      </c>
      <c r="Z348" s="247" t="str">
        <f t="shared" si="30"/>
        <v/>
      </c>
      <c r="AA348" s="246" t="str">
        <f t="shared" si="33"/>
        <v/>
      </c>
    </row>
    <row r="349" spans="1:27" ht="18" customHeight="1" x14ac:dyDescent="0.25">
      <c r="A349" s="248" t="str">
        <f t="shared" si="34"/>
        <v/>
      </c>
      <c r="B349" s="249" t="str">
        <f t="shared" si="35"/>
        <v/>
      </c>
      <c r="C349" s="250"/>
      <c r="D349" s="251"/>
      <c r="E349" s="241"/>
      <c r="F349" s="252"/>
      <c r="G349" s="252"/>
      <c r="H349" s="253"/>
      <c r="I349" s="250"/>
      <c r="J349" s="250"/>
      <c r="K349" s="270"/>
      <c r="L349" s="250"/>
      <c r="M349" s="250"/>
      <c r="N349" s="553" t="str">
        <f>CONCATENATE(IF(OR(M349=phu!$I$1,M349=phu!$I$2,M349=phu!$I$3),"Cam Thành Nam",""),IF(OR(M349=phu!$I$4,M349=phu!$I$5,M349=phu!$I$6,M349=phu!$I$7,M349=phu!$I$8,M349=phu!$I$9,M349=phu!$I$10,M349=phu!$I$11,M349=phu!$I$12,M349=phu!$I$13,M349=phu!$I$14),"Cam Nghĩa",""),IF(OR(M349=phu!$I$15,M349=phu!$I$16,M349=phu!$I$17,M349=phu!$I$18,M349=phu!$I$19,M349=phu!$I$20,M349=phu!$I$21),"Cam Phúc Bắc",""),IF(OR(M349=phu!$I$22,M349=phu!$I$23,M349=phu!$I$24,M349=phu!$I$25),"Cam Phúc Nam",""),IF(OR(M349=phu!$I$26,M349=phu!$I$27,M349=phu!$I$28,M349=phu!$I$29,M349=phu!$I$30,M349=phu!$I$31),"Cam Phú",""),IF(OR(M349=phu!$I$32,M349=phu!$I$33,M349=phu!$I$34,M349=phu!$I$35,M349=phu!$I$36,M349=phu!$I$37),"Cam Lộc",""),IF(OR(M349=phu!$I$38,M349=phu!$I$39,M349=phu!$I$40,M349=phu!$I$41,M349=phu!$I$42,M349=phu!$I$43,M349=phu!$I$44),"Cam Thuận",""),IF(OR(M349=phu!$I$45,M349=phu!$I$46,M349=phu!$I$47,M349=phu!$I$48,M349=phu!$I$49,M349=phu!$I$50,M349=phu!$I$51,M349=phu!$I$52,M349=phu!$I$53),"Cam Linh",""),IF(OR(M349=phu!$I$54,M349=phu!$I$55,M349=phu!$I$56,M349=phu!$I$57,M349=phu!$I$58,M349=phu!$I$59,M349=phu!$I$60,M349=phu!$I$61,M349=phu!$I$62),"Cam Lợi",""),IF(OR(M349=phu!$I$63,M349=phu!$I$64,M349=phu!$I$65,M349=phu!$I$66,M349=phu!$I$67,M349=phu!$I$68,M349=phu!$I$69,M349=phu!$I$70,M349=phu!$I$71),"Ba Ngòi",""),IF(OR(M349=phu!$I$72,M349=phu!$I$73,M349=phu!$I$74,M349=phu!$I$75,M349=phu!$I$76,M349=phu!$I$77,M349=phu!$I$78),"Cam Phước Đông",""),IF(OR(M349=phu!$I$79,M349=phu!$I$80,M349=phu!$I$81,M349=phu!$I$82,M349=phu!$I$83,M349=phu!$I$84),"Cam Thịnh Đông",""),IF(OR(M349=phu!$I$85,M349=phu!$I$86,M349=phu!$I$87,M349=phu!$I$88),"Cam Thịnh Tây",""),IF(OR(M349=phu!$I$89,M349=phu!$I$90),"Cam Lập",""),IF(OR(M349=phu!$I$91,M349=phu!$I$92,M349=phu!$I$93),"Cam Bình",""),IF(OR(M349=phu!$I$94,M349=phu!$I$95,M349=phu!$I$96,M349=phu!$I$97,M349=phu!$I$98,M349=phu!$I$99,M349=phu!$I$100),"Huyện khác",""),IF(OR(M349=phu!$I$101,M349=phu!$I$102),"Tỉnh khác",""))</f>
        <v/>
      </c>
      <c r="O349" s="814" t="str">
        <f t="shared" si="31"/>
        <v/>
      </c>
      <c r="P349" s="254"/>
      <c r="Q349" s="254"/>
      <c r="R349" s="254"/>
      <c r="S349" s="254"/>
      <c r="T349" s="254"/>
      <c r="U349" s="254"/>
      <c r="V349" s="254"/>
      <c r="W349" s="254"/>
      <c r="Y349" s="246" t="str">
        <f t="shared" si="32"/>
        <v/>
      </c>
      <c r="Z349" s="247" t="str">
        <f t="shared" si="30"/>
        <v/>
      </c>
      <c r="AA349" s="246" t="str">
        <f t="shared" si="33"/>
        <v/>
      </c>
    </row>
    <row r="350" spans="1:27" ht="18" customHeight="1" x14ac:dyDescent="0.25">
      <c r="A350" s="248" t="str">
        <f t="shared" si="34"/>
        <v/>
      </c>
      <c r="B350" s="249" t="str">
        <f t="shared" si="35"/>
        <v/>
      </c>
      <c r="C350" s="250"/>
      <c r="D350" s="251"/>
      <c r="E350" s="241"/>
      <c r="F350" s="252"/>
      <c r="G350" s="252"/>
      <c r="H350" s="253"/>
      <c r="I350" s="250"/>
      <c r="J350" s="250"/>
      <c r="K350" s="270"/>
      <c r="L350" s="250"/>
      <c r="M350" s="250"/>
      <c r="N350" s="553" t="str">
        <f>CONCATENATE(IF(OR(M350=phu!$I$1,M350=phu!$I$2,M350=phu!$I$3),"Cam Thành Nam",""),IF(OR(M350=phu!$I$4,M350=phu!$I$5,M350=phu!$I$6,M350=phu!$I$7,M350=phu!$I$8,M350=phu!$I$9,M350=phu!$I$10,M350=phu!$I$11,M350=phu!$I$12,M350=phu!$I$13,M350=phu!$I$14),"Cam Nghĩa",""),IF(OR(M350=phu!$I$15,M350=phu!$I$16,M350=phu!$I$17,M350=phu!$I$18,M350=phu!$I$19,M350=phu!$I$20,M350=phu!$I$21),"Cam Phúc Bắc",""),IF(OR(M350=phu!$I$22,M350=phu!$I$23,M350=phu!$I$24,M350=phu!$I$25),"Cam Phúc Nam",""),IF(OR(M350=phu!$I$26,M350=phu!$I$27,M350=phu!$I$28,M350=phu!$I$29,M350=phu!$I$30,M350=phu!$I$31),"Cam Phú",""),IF(OR(M350=phu!$I$32,M350=phu!$I$33,M350=phu!$I$34,M350=phu!$I$35,M350=phu!$I$36,M350=phu!$I$37),"Cam Lộc",""),IF(OR(M350=phu!$I$38,M350=phu!$I$39,M350=phu!$I$40,M350=phu!$I$41,M350=phu!$I$42,M350=phu!$I$43,M350=phu!$I$44),"Cam Thuận",""),IF(OR(M350=phu!$I$45,M350=phu!$I$46,M350=phu!$I$47,M350=phu!$I$48,M350=phu!$I$49,M350=phu!$I$50,M350=phu!$I$51,M350=phu!$I$52,M350=phu!$I$53),"Cam Linh",""),IF(OR(M350=phu!$I$54,M350=phu!$I$55,M350=phu!$I$56,M350=phu!$I$57,M350=phu!$I$58,M350=phu!$I$59,M350=phu!$I$60,M350=phu!$I$61,M350=phu!$I$62),"Cam Lợi",""),IF(OR(M350=phu!$I$63,M350=phu!$I$64,M350=phu!$I$65,M350=phu!$I$66,M350=phu!$I$67,M350=phu!$I$68,M350=phu!$I$69,M350=phu!$I$70,M350=phu!$I$71),"Ba Ngòi",""),IF(OR(M350=phu!$I$72,M350=phu!$I$73,M350=phu!$I$74,M350=phu!$I$75,M350=phu!$I$76,M350=phu!$I$77,M350=phu!$I$78),"Cam Phước Đông",""),IF(OR(M350=phu!$I$79,M350=phu!$I$80,M350=phu!$I$81,M350=phu!$I$82,M350=phu!$I$83,M350=phu!$I$84),"Cam Thịnh Đông",""),IF(OR(M350=phu!$I$85,M350=phu!$I$86,M350=phu!$I$87,M350=phu!$I$88),"Cam Thịnh Tây",""),IF(OR(M350=phu!$I$89,M350=phu!$I$90),"Cam Lập",""),IF(OR(M350=phu!$I$91,M350=phu!$I$92,M350=phu!$I$93),"Cam Bình",""),IF(OR(M350=phu!$I$94,M350=phu!$I$95,M350=phu!$I$96,M350=phu!$I$97,M350=phu!$I$98,M350=phu!$I$99,M350=phu!$I$100),"Huyện khác",""),IF(OR(M350=phu!$I$101,M350=phu!$I$102),"Tỉnh khác",""))</f>
        <v/>
      </c>
      <c r="O350" s="814" t="str">
        <f t="shared" si="31"/>
        <v/>
      </c>
      <c r="P350" s="254"/>
      <c r="Q350" s="254"/>
      <c r="R350" s="254"/>
      <c r="S350" s="254"/>
      <c r="T350" s="254"/>
      <c r="U350" s="254"/>
      <c r="V350" s="254"/>
      <c r="W350" s="254"/>
      <c r="Y350" s="246" t="str">
        <f t="shared" si="32"/>
        <v/>
      </c>
      <c r="Z350" s="247" t="str">
        <f t="shared" si="30"/>
        <v/>
      </c>
      <c r="AA350" s="246" t="str">
        <f t="shared" si="33"/>
        <v/>
      </c>
    </row>
    <row r="351" spans="1:27" ht="18" customHeight="1" x14ac:dyDescent="0.25">
      <c r="A351" s="248" t="str">
        <f t="shared" si="34"/>
        <v/>
      </c>
      <c r="B351" s="249" t="str">
        <f t="shared" si="35"/>
        <v/>
      </c>
      <c r="C351" s="250"/>
      <c r="D351" s="251"/>
      <c r="E351" s="241"/>
      <c r="F351" s="252"/>
      <c r="G351" s="252"/>
      <c r="H351" s="253"/>
      <c r="I351" s="250"/>
      <c r="J351" s="250"/>
      <c r="K351" s="270"/>
      <c r="L351" s="250"/>
      <c r="M351" s="250"/>
      <c r="N351" s="553" t="str">
        <f>CONCATENATE(IF(OR(M351=phu!$I$1,M351=phu!$I$2,M351=phu!$I$3),"Cam Thành Nam",""),IF(OR(M351=phu!$I$4,M351=phu!$I$5,M351=phu!$I$6,M351=phu!$I$7,M351=phu!$I$8,M351=phu!$I$9,M351=phu!$I$10,M351=phu!$I$11,M351=phu!$I$12,M351=phu!$I$13,M351=phu!$I$14),"Cam Nghĩa",""),IF(OR(M351=phu!$I$15,M351=phu!$I$16,M351=phu!$I$17,M351=phu!$I$18,M351=phu!$I$19,M351=phu!$I$20,M351=phu!$I$21),"Cam Phúc Bắc",""),IF(OR(M351=phu!$I$22,M351=phu!$I$23,M351=phu!$I$24,M351=phu!$I$25),"Cam Phúc Nam",""),IF(OR(M351=phu!$I$26,M351=phu!$I$27,M351=phu!$I$28,M351=phu!$I$29,M351=phu!$I$30,M351=phu!$I$31),"Cam Phú",""),IF(OR(M351=phu!$I$32,M351=phu!$I$33,M351=phu!$I$34,M351=phu!$I$35,M351=phu!$I$36,M351=phu!$I$37),"Cam Lộc",""),IF(OR(M351=phu!$I$38,M351=phu!$I$39,M351=phu!$I$40,M351=phu!$I$41,M351=phu!$I$42,M351=phu!$I$43,M351=phu!$I$44),"Cam Thuận",""),IF(OR(M351=phu!$I$45,M351=phu!$I$46,M351=phu!$I$47,M351=phu!$I$48,M351=phu!$I$49,M351=phu!$I$50,M351=phu!$I$51,M351=phu!$I$52,M351=phu!$I$53),"Cam Linh",""),IF(OR(M351=phu!$I$54,M351=phu!$I$55,M351=phu!$I$56,M351=phu!$I$57,M351=phu!$I$58,M351=phu!$I$59,M351=phu!$I$60,M351=phu!$I$61,M351=phu!$I$62),"Cam Lợi",""),IF(OR(M351=phu!$I$63,M351=phu!$I$64,M351=phu!$I$65,M351=phu!$I$66,M351=phu!$I$67,M351=phu!$I$68,M351=phu!$I$69,M351=phu!$I$70,M351=phu!$I$71),"Ba Ngòi",""),IF(OR(M351=phu!$I$72,M351=phu!$I$73,M351=phu!$I$74,M351=phu!$I$75,M351=phu!$I$76,M351=phu!$I$77,M351=phu!$I$78),"Cam Phước Đông",""),IF(OR(M351=phu!$I$79,M351=phu!$I$80,M351=phu!$I$81,M351=phu!$I$82,M351=phu!$I$83,M351=phu!$I$84),"Cam Thịnh Đông",""),IF(OR(M351=phu!$I$85,M351=phu!$I$86,M351=phu!$I$87,M351=phu!$I$88),"Cam Thịnh Tây",""),IF(OR(M351=phu!$I$89,M351=phu!$I$90),"Cam Lập",""),IF(OR(M351=phu!$I$91,M351=phu!$I$92,M351=phu!$I$93),"Cam Bình",""),IF(OR(M351=phu!$I$94,M351=phu!$I$95,M351=phu!$I$96,M351=phu!$I$97,M351=phu!$I$98,M351=phu!$I$99,M351=phu!$I$100),"Huyện khác",""),IF(OR(M351=phu!$I$101,M351=phu!$I$102),"Tỉnh khác",""))</f>
        <v/>
      </c>
      <c r="O351" s="814" t="str">
        <f t="shared" si="31"/>
        <v/>
      </c>
      <c r="P351" s="254"/>
      <c r="Q351" s="254"/>
      <c r="R351" s="254"/>
      <c r="S351" s="254"/>
      <c r="T351" s="254"/>
      <c r="U351" s="254"/>
      <c r="V351" s="254"/>
      <c r="W351" s="254"/>
      <c r="Y351" s="246" t="str">
        <f t="shared" si="32"/>
        <v/>
      </c>
      <c r="Z351" s="247" t="str">
        <f t="shared" si="30"/>
        <v/>
      </c>
      <c r="AA351" s="246" t="str">
        <f t="shared" si="33"/>
        <v/>
      </c>
    </row>
    <row r="352" spans="1:27" ht="18" customHeight="1" x14ac:dyDescent="0.25">
      <c r="A352" s="248" t="str">
        <f t="shared" si="34"/>
        <v/>
      </c>
      <c r="B352" s="249" t="str">
        <f t="shared" si="35"/>
        <v/>
      </c>
      <c r="C352" s="250"/>
      <c r="D352" s="251"/>
      <c r="E352" s="241"/>
      <c r="F352" s="252"/>
      <c r="G352" s="252"/>
      <c r="H352" s="253"/>
      <c r="I352" s="250"/>
      <c r="J352" s="250"/>
      <c r="K352" s="270"/>
      <c r="L352" s="250"/>
      <c r="M352" s="250"/>
      <c r="N352" s="553" t="str">
        <f>CONCATENATE(IF(OR(M352=phu!$I$1,M352=phu!$I$2,M352=phu!$I$3),"Cam Thành Nam",""),IF(OR(M352=phu!$I$4,M352=phu!$I$5,M352=phu!$I$6,M352=phu!$I$7,M352=phu!$I$8,M352=phu!$I$9,M352=phu!$I$10,M352=phu!$I$11,M352=phu!$I$12,M352=phu!$I$13,M352=phu!$I$14),"Cam Nghĩa",""),IF(OR(M352=phu!$I$15,M352=phu!$I$16,M352=phu!$I$17,M352=phu!$I$18,M352=phu!$I$19,M352=phu!$I$20,M352=phu!$I$21),"Cam Phúc Bắc",""),IF(OR(M352=phu!$I$22,M352=phu!$I$23,M352=phu!$I$24,M352=phu!$I$25),"Cam Phúc Nam",""),IF(OR(M352=phu!$I$26,M352=phu!$I$27,M352=phu!$I$28,M352=phu!$I$29,M352=phu!$I$30,M352=phu!$I$31),"Cam Phú",""),IF(OR(M352=phu!$I$32,M352=phu!$I$33,M352=phu!$I$34,M352=phu!$I$35,M352=phu!$I$36,M352=phu!$I$37),"Cam Lộc",""),IF(OR(M352=phu!$I$38,M352=phu!$I$39,M352=phu!$I$40,M352=phu!$I$41,M352=phu!$I$42,M352=phu!$I$43,M352=phu!$I$44),"Cam Thuận",""),IF(OR(M352=phu!$I$45,M352=phu!$I$46,M352=phu!$I$47,M352=phu!$I$48,M352=phu!$I$49,M352=phu!$I$50,M352=phu!$I$51,M352=phu!$I$52,M352=phu!$I$53),"Cam Linh",""),IF(OR(M352=phu!$I$54,M352=phu!$I$55,M352=phu!$I$56,M352=phu!$I$57,M352=phu!$I$58,M352=phu!$I$59,M352=phu!$I$60,M352=phu!$I$61,M352=phu!$I$62),"Cam Lợi",""),IF(OR(M352=phu!$I$63,M352=phu!$I$64,M352=phu!$I$65,M352=phu!$I$66,M352=phu!$I$67,M352=phu!$I$68,M352=phu!$I$69,M352=phu!$I$70,M352=phu!$I$71),"Ba Ngòi",""),IF(OR(M352=phu!$I$72,M352=phu!$I$73,M352=phu!$I$74,M352=phu!$I$75,M352=phu!$I$76,M352=phu!$I$77,M352=phu!$I$78),"Cam Phước Đông",""),IF(OR(M352=phu!$I$79,M352=phu!$I$80,M352=phu!$I$81,M352=phu!$I$82,M352=phu!$I$83,M352=phu!$I$84),"Cam Thịnh Đông",""),IF(OR(M352=phu!$I$85,M352=phu!$I$86,M352=phu!$I$87,M352=phu!$I$88),"Cam Thịnh Tây",""),IF(OR(M352=phu!$I$89,M352=phu!$I$90),"Cam Lập",""),IF(OR(M352=phu!$I$91,M352=phu!$I$92,M352=phu!$I$93),"Cam Bình",""),IF(OR(M352=phu!$I$94,M352=phu!$I$95,M352=phu!$I$96,M352=phu!$I$97,M352=phu!$I$98,M352=phu!$I$99,M352=phu!$I$100),"Huyện khác",""),IF(OR(M352=phu!$I$101,M352=phu!$I$102),"Tỉnh khác",""))</f>
        <v/>
      </c>
      <c r="O352" s="814" t="str">
        <f t="shared" si="31"/>
        <v/>
      </c>
      <c r="P352" s="254"/>
      <c r="Q352" s="254"/>
      <c r="R352" s="254"/>
      <c r="S352" s="254"/>
      <c r="T352" s="254"/>
      <c r="U352" s="254"/>
      <c r="V352" s="254"/>
      <c r="W352" s="254"/>
      <c r="Y352" s="246" t="str">
        <f t="shared" si="32"/>
        <v/>
      </c>
      <c r="Z352" s="247" t="str">
        <f t="shared" si="30"/>
        <v/>
      </c>
      <c r="AA352" s="246" t="str">
        <f t="shared" si="33"/>
        <v/>
      </c>
    </row>
    <row r="353" spans="1:27" ht="18" customHeight="1" x14ac:dyDescent="0.25">
      <c r="A353" s="248" t="str">
        <f t="shared" si="34"/>
        <v/>
      </c>
      <c r="B353" s="249" t="str">
        <f t="shared" si="35"/>
        <v/>
      </c>
      <c r="C353" s="250"/>
      <c r="D353" s="251"/>
      <c r="E353" s="241"/>
      <c r="F353" s="252"/>
      <c r="G353" s="252"/>
      <c r="H353" s="253"/>
      <c r="I353" s="250"/>
      <c r="J353" s="250"/>
      <c r="K353" s="270"/>
      <c r="L353" s="250"/>
      <c r="M353" s="250"/>
      <c r="N353" s="553" t="str">
        <f>CONCATENATE(IF(OR(M353=phu!$I$1,M353=phu!$I$2,M353=phu!$I$3),"Cam Thành Nam",""),IF(OR(M353=phu!$I$4,M353=phu!$I$5,M353=phu!$I$6,M353=phu!$I$7,M353=phu!$I$8,M353=phu!$I$9,M353=phu!$I$10,M353=phu!$I$11,M353=phu!$I$12,M353=phu!$I$13,M353=phu!$I$14),"Cam Nghĩa",""),IF(OR(M353=phu!$I$15,M353=phu!$I$16,M353=phu!$I$17,M353=phu!$I$18,M353=phu!$I$19,M353=phu!$I$20,M353=phu!$I$21),"Cam Phúc Bắc",""),IF(OR(M353=phu!$I$22,M353=phu!$I$23,M353=phu!$I$24,M353=phu!$I$25),"Cam Phúc Nam",""),IF(OR(M353=phu!$I$26,M353=phu!$I$27,M353=phu!$I$28,M353=phu!$I$29,M353=phu!$I$30,M353=phu!$I$31),"Cam Phú",""),IF(OR(M353=phu!$I$32,M353=phu!$I$33,M353=phu!$I$34,M353=phu!$I$35,M353=phu!$I$36,M353=phu!$I$37),"Cam Lộc",""),IF(OR(M353=phu!$I$38,M353=phu!$I$39,M353=phu!$I$40,M353=phu!$I$41,M353=phu!$I$42,M353=phu!$I$43,M353=phu!$I$44),"Cam Thuận",""),IF(OR(M353=phu!$I$45,M353=phu!$I$46,M353=phu!$I$47,M353=phu!$I$48,M353=phu!$I$49,M353=phu!$I$50,M353=phu!$I$51,M353=phu!$I$52,M353=phu!$I$53),"Cam Linh",""),IF(OR(M353=phu!$I$54,M353=phu!$I$55,M353=phu!$I$56,M353=phu!$I$57,M353=phu!$I$58,M353=phu!$I$59,M353=phu!$I$60,M353=phu!$I$61,M353=phu!$I$62),"Cam Lợi",""),IF(OR(M353=phu!$I$63,M353=phu!$I$64,M353=phu!$I$65,M353=phu!$I$66,M353=phu!$I$67,M353=phu!$I$68,M353=phu!$I$69,M353=phu!$I$70,M353=phu!$I$71),"Ba Ngòi",""),IF(OR(M353=phu!$I$72,M353=phu!$I$73,M353=phu!$I$74,M353=phu!$I$75,M353=phu!$I$76,M353=phu!$I$77,M353=phu!$I$78),"Cam Phước Đông",""),IF(OR(M353=phu!$I$79,M353=phu!$I$80,M353=phu!$I$81,M353=phu!$I$82,M353=phu!$I$83,M353=phu!$I$84),"Cam Thịnh Đông",""),IF(OR(M353=phu!$I$85,M353=phu!$I$86,M353=phu!$I$87,M353=phu!$I$88),"Cam Thịnh Tây",""),IF(OR(M353=phu!$I$89,M353=phu!$I$90),"Cam Lập",""),IF(OR(M353=phu!$I$91,M353=phu!$I$92,M353=phu!$I$93),"Cam Bình",""),IF(OR(M353=phu!$I$94,M353=phu!$I$95,M353=phu!$I$96,M353=phu!$I$97,M353=phu!$I$98,M353=phu!$I$99,M353=phu!$I$100),"Huyện khác",""),IF(OR(M353=phu!$I$101,M353=phu!$I$102),"Tỉnh khác",""))</f>
        <v/>
      </c>
      <c r="O353" s="814" t="str">
        <f t="shared" si="31"/>
        <v/>
      </c>
      <c r="P353" s="254"/>
      <c r="Q353" s="254"/>
      <c r="R353" s="254"/>
      <c r="S353" s="254"/>
      <c r="T353" s="254"/>
      <c r="U353" s="254"/>
      <c r="V353" s="254"/>
      <c r="W353" s="254"/>
      <c r="Y353" s="246" t="str">
        <f t="shared" si="32"/>
        <v/>
      </c>
      <c r="Z353" s="247" t="str">
        <f t="shared" si="30"/>
        <v/>
      </c>
      <c r="AA353" s="246" t="str">
        <f t="shared" si="33"/>
        <v/>
      </c>
    </row>
    <row r="354" spans="1:27" ht="18" customHeight="1" x14ac:dyDescent="0.25">
      <c r="A354" s="248" t="str">
        <f t="shared" si="34"/>
        <v/>
      </c>
      <c r="B354" s="249" t="str">
        <f t="shared" si="35"/>
        <v/>
      </c>
      <c r="C354" s="250"/>
      <c r="D354" s="251"/>
      <c r="E354" s="241"/>
      <c r="F354" s="252"/>
      <c r="G354" s="252"/>
      <c r="H354" s="253"/>
      <c r="I354" s="250"/>
      <c r="J354" s="250"/>
      <c r="K354" s="270"/>
      <c r="L354" s="250"/>
      <c r="M354" s="250"/>
      <c r="N354" s="553" t="str">
        <f>CONCATENATE(IF(OR(M354=phu!$I$1,M354=phu!$I$2,M354=phu!$I$3),"Cam Thành Nam",""),IF(OR(M354=phu!$I$4,M354=phu!$I$5,M354=phu!$I$6,M354=phu!$I$7,M354=phu!$I$8,M354=phu!$I$9,M354=phu!$I$10,M354=phu!$I$11,M354=phu!$I$12,M354=phu!$I$13,M354=phu!$I$14),"Cam Nghĩa",""),IF(OR(M354=phu!$I$15,M354=phu!$I$16,M354=phu!$I$17,M354=phu!$I$18,M354=phu!$I$19,M354=phu!$I$20,M354=phu!$I$21),"Cam Phúc Bắc",""),IF(OR(M354=phu!$I$22,M354=phu!$I$23,M354=phu!$I$24,M354=phu!$I$25),"Cam Phúc Nam",""),IF(OR(M354=phu!$I$26,M354=phu!$I$27,M354=phu!$I$28,M354=phu!$I$29,M354=phu!$I$30,M354=phu!$I$31),"Cam Phú",""),IF(OR(M354=phu!$I$32,M354=phu!$I$33,M354=phu!$I$34,M354=phu!$I$35,M354=phu!$I$36,M354=phu!$I$37),"Cam Lộc",""),IF(OR(M354=phu!$I$38,M354=phu!$I$39,M354=phu!$I$40,M354=phu!$I$41,M354=phu!$I$42,M354=phu!$I$43,M354=phu!$I$44),"Cam Thuận",""),IF(OR(M354=phu!$I$45,M354=phu!$I$46,M354=phu!$I$47,M354=phu!$I$48,M354=phu!$I$49,M354=phu!$I$50,M354=phu!$I$51,M354=phu!$I$52,M354=phu!$I$53),"Cam Linh",""),IF(OR(M354=phu!$I$54,M354=phu!$I$55,M354=phu!$I$56,M354=phu!$I$57,M354=phu!$I$58,M354=phu!$I$59,M354=phu!$I$60,M354=phu!$I$61,M354=phu!$I$62),"Cam Lợi",""),IF(OR(M354=phu!$I$63,M354=phu!$I$64,M354=phu!$I$65,M354=phu!$I$66,M354=phu!$I$67,M354=phu!$I$68,M354=phu!$I$69,M354=phu!$I$70,M354=phu!$I$71),"Ba Ngòi",""),IF(OR(M354=phu!$I$72,M354=phu!$I$73,M354=phu!$I$74,M354=phu!$I$75,M354=phu!$I$76,M354=phu!$I$77,M354=phu!$I$78),"Cam Phước Đông",""),IF(OR(M354=phu!$I$79,M354=phu!$I$80,M354=phu!$I$81,M354=phu!$I$82,M354=phu!$I$83,M354=phu!$I$84),"Cam Thịnh Đông",""),IF(OR(M354=phu!$I$85,M354=phu!$I$86,M354=phu!$I$87,M354=phu!$I$88),"Cam Thịnh Tây",""),IF(OR(M354=phu!$I$89,M354=phu!$I$90),"Cam Lập",""),IF(OR(M354=phu!$I$91,M354=phu!$I$92,M354=phu!$I$93),"Cam Bình",""),IF(OR(M354=phu!$I$94,M354=phu!$I$95,M354=phu!$I$96,M354=phu!$I$97,M354=phu!$I$98,M354=phu!$I$99,M354=phu!$I$100),"Huyện khác",""),IF(OR(M354=phu!$I$101,M354=phu!$I$102),"Tỉnh khác",""))</f>
        <v/>
      </c>
      <c r="O354" s="814" t="str">
        <f t="shared" si="31"/>
        <v/>
      </c>
      <c r="P354" s="254"/>
      <c r="Q354" s="254"/>
      <c r="R354" s="254"/>
      <c r="S354" s="254"/>
      <c r="T354" s="254"/>
      <c r="U354" s="254"/>
      <c r="V354" s="254"/>
      <c r="W354" s="254"/>
      <c r="Y354" s="246" t="str">
        <f t="shared" si="32"/>
        <v/>
      </c>
      <c r="Z354" s="247" t="str">
        <f t="shared" si="30"/>
        <v/>
      </c>
      <c r="AA354" s="246" t="str">
        <f t="shared" si="33"/>
        <v/>
      </c>
    </row>
    <row r="355" spans="1:27" ht="18" customHeight="1" x14ac:dyDescent="0.25">
      <c r="A355" s="248" t="str">
        <f t="shared" si="34"/>
        <v/>
      </c>
      <c r="B355" s="249" t="str">
        <f t="shared" si="35"/>
        <v/>
      </c>
      <c r="C355" s="250"/>
      <c r="D355" s="251"/>
      <c r="E355" s="241"/>
      <c r="F355" s="252"/>
      <c r="G355" s="252"/>
      <c r="H355" s="253"/>
      <c r="I355" s="250"/>
      <c r="J355" s="250"/>
      <c r="K355" s="270"/>
      <c r="L355" s="250"/>
      <c r="M355" s="250"/>
      <c r="N355" s="553" t="str">
        <f>CONCATENATE(IF(OR(M355=phu!$I$1,M355=phu!$I$2,M355=phu!$I$3),"Cam Thành Nam",""),IF(OR(M355=phu!$I$4,M355=phu!$I$5,M355=phu!$I$6,M355=phu!$I$7,M355=phu!$I$8,M355=phu!$I$9,M355=phu!$I$10,M355=phu!$I$11,M355=phu!$I$12,M355=phu!$I$13,M355=phu!$I$14),"Cam Nghĩa",""),IF(OR(M355=phu!$I$15,M355=phu!$I$16,M355=phu!$I$17,M355=phu!$I$18,M355=phu!$I$19,M355=phu!$I$20,M355=phu!$I$21),"Cam Phúc Bắc",""),IF(OR(M355=phu!$I$22,M355=phu!$I$23,M355=phu!$I$24,M355=phu!$I$25),"Cam Phúc Nam",""),IF(OR(M355=phu!$I$26,M355=phu!$I$27,M355=phu!$I$28,M355=phu!$I$29,M355=phu!$I$30,M355=phu!$I$31),"Cam Phú",""),IF(OR(M355=phu!$I$32,M355=phu!$I$33,M355=phu!$I$34,M355=phu!$I$35,M355=phu!$I$36,M355=phu!$I$37),"Cam Lộc",""),IF(OR(M355=phu!$I$38,M355=phu!$I$39,M355=phu!$I$40,M355=phu!$I$41,M355=phu!$I$42,M355=phu!$I$43,M355=phu!$I$44),"Cam Thuận",""),IF(OR(M355=phu!$I$45,M355=phu!$I$46,M355=phu!$I$47,M355=phu!$I$48,M355=phu!$I$49,M355=phu!$I$50,M355=phu!$I$51,M355=phu!$I$52,M355=phu!$I$53),"Cam Linh",""),IF(OR(M355=phu!$I$54,M355=phu!$I$55,M355=phu!$I$56,M355=phu!$I$57,M355=phu!$I$58,M355=phu!$I$59,M355=phu!$I$60,M355=phu!$I$61,M355=phu!$I$62),"Cam Lợi",""),IF(OR(M355=phu!$I$63,M355=phu!$I$64,M355=phu!$I$65,M355=phu!$I$66,M355=phu!$I$67,M355=phu!$I$68,M355=phu!$I$69,M355=phu!$I$70,M355=phu!$I$71),"Ba Ngòi",""),IF(OR(M355=phu!$I$72,M355=phu!$I$73,M355=phu!$I$74,M355=phu!$I$75,M355=phu!$I$76,M355=phu!$I$77,M355=phu!$I$78),"Cam Phước Đông",""),IF(OR(M355=phu!$I$79,M355=phu!$I$80,M355=phu!$I$81,M355=phu!$I$82,M355=phu!$I$83,M355=phu!$I$84),"Cam Thịnh Đông",""),IF(OR(M355=phu!$I$85,M355=phu!$I$86,M355=phu!$I$87,M355=phu!$I$88),"Cam Thịnh Tây",""),IF(OR(M355=phu!$I$89,M355=phu!$I$90),"Cam Lập",""),IF(OR(M355=phu!$I$91,M355=phu!$I$92,M355=phu!$I$93),"Cam Bình",""),IF(OR(M355=phu!$I$94,M355=phu!$I$95,M355=phu!$I$96,M355=phu!$I$97,M355=phu!$I$98,M355=phu!$I$99,M355=phu!$I$100),"Huyện khác",""),IF(OR(M355=phu!$I$101,M355=phu!$I$102),"Tỉnh khác",""))</f>
        <v/>
      </c>
      <c r="O355" s="814" t="str">
        <f t="shared" si="31"/>
        <v/>
      </c>
      <c r="P355" s="254"/>
      <c r="Q355" s="254"/>
      <c r="R355" s="254"/>
      <c r="S355" s="254"/>
      <c r="T355" s="254"/>
      <c r="U355" s="254"/>
      <c r="V355" s="254"/>
      <c r="W355" s="254"/>
      <c r="Y355" s="246" t="str">
        <f t="shared" si="32"/>
        <v/>
      </c>
      <c r="Z355" s="247" t="str">
        <f t="shared" si="30"/>
        <v/>
      </c>
      <c r="AA355" s="246" t="str">
        <f t="shared" si="33"/>
        <v/>
      </c>
    </row>
    <row r="356" spans="1:27" ht="18" customHeight="1" x14ac:dyDescent="0.25">
      <c r="A356" s="248" t="str">
        <f t="shared" si="34"/>
        <v/>
      </c>
      <c r="B356" s="249" t="str">
        <f t="shared" si="35"/>
        <v/>
      </c>
      <c r="C356" s="250"/>
      <c r="D356" s="251"/>
      <c r="E356" s="241"/>
      <c r="F356" s="252"/>
      <c r="G356" s="252"/>
      <c r="H356" s="253"/>
      <c r="I356" s="250"/>
      <c r="J356" s="250"/>
      <c r="K356" s="270"/>
      <c r="L356" s="250"/>
      <c r="M356" s="250"/>
      <c r="N356" s="553" t="str">
        <f>CONCATENATE(IF(OR(M356=phu!$I$1,M356=phu!$I$2,M356=phu!$I$3),"Cam Thành Nam",""),IF(OR(M356=phu!$I$4,M356=phu!$I$5,M356=phu!$I$6,M356=phu!$I$7,M356=phu!$I$8,M356=phu!$I$9,M356=phu!$I$10,M356=phu!$I$11,M356=phu!$I$12,M356=phu!$I$13,M356=phu!$I$14),"Cam Nghĩa",""),IF(OR(M356=phu!$I$15,M356=phu!$I$16,M356=phu!$I$17,M356=phu!$I$18,M356=phu!$I$19,M356=phu!$I$20,M356=phu!$I$21),"Cam Phúc Bắc",""),IF(OR(M356=phu!$I$22,M356=phu!$I$23,M356=phu!$I$24,M356=phu!$I$25),"Cam Phúc Nam",""),IF(OR(M356=phu!$I$26,M356=phu!$I$27,M356=phu!$I$28,M356=phu!$I$29,M356=phu!$I$30,M356=phu!$I$31),"Cam Phú",""),IF(OR(M356=phu!$I$32,M356=phu!$I$33,M356=phu!$I$34,M356=phu!$I$35,M356=phu!$I$36,M356=phu!$I$37),"Cam Lộc",""),IF(OR(M356=phu!$I$38,M356=phu!$I$39,M356=phu!$I$40,M356=phu!$I$41,M356=phu!$I$42,M356=phu!$I$43,M356=phu!$I$44),"Cam Thuận",""),IF(OR(M356=phu!$I$45,M356=phu!$I$46,M356=phu!$I$47,M356=phu!$I$48,M356=phu!$I$49,M356=phu!$I$50,M356=phu!$I$51,M356=phu!$I$52,M356=phu!$I$53),"Cam Linh",""),IF(OR(M356=phu!$I$54,M356=phu!$I$55,M356=phu!$I$56,M356=phu!$I$57,M356=phu!$I$58,M356=phu!$I$59,M356=phu!$I$60,M356=phu!$I$61,M356=phu!$I$62),"Cam Lợi",""),IF(OR(M356=phu!$I$63,M356=phu!$I$64,M356=phu!$I$65,M356=phu!$I$66,M356=phu!$I$67,M356=phu!$I$68,M356=phu!$I$69,M356=phu!$I$70,M356=phu!$I$71),"Ba Ngòi",""),IF(OR(M356=phu!$I$72,M356=phu!$I$73,M356=phu!$I$74,M356=phu!$I$75,M356=phu!$I$76,M356=phu!$I$77,M356=phu!$I$78),"Cam Phước Đông",""),IF(OR(M356=phu!$I$79,M356=phu!$I$80,M356=phu!$I$81,M356=phu!$I$82,M356=phu!$I$83,M356=phu!$I$84),"Cam Thịnh Đông",""),IF(OR(M356=phu!$I$85,M356=phu!$I$86,M356=phu!$I$87,M356=phu!$I$88),"Cam Thịnh Tây",""),IF(OR(M356=phu!$I$89,M356=phu!$I$90),"Cam Lập",""),IF(OR(M356=phu!$I$91,M356=phu!$I$92,M356=phu!$I$93),"Cam Bình",""),IF(OR(M356=phu!$I$94,M356=phu!$I$95,M356=phu!$I$96,M356=phu!$I$97,M356=phu!$I$98,M356=phu!$I$99,M356=phu!$I$100),"Huyện khác",""),IF(OR(M356=phu!$I$101,M356=phu!$I$102),"Tỉnh khác",""))</f>
        <v/>
      </c>
      <c r="O356" s="814" t="str">
        <f t="shared" si="31"/>
        <v/>
      </c>
      <c r="P356" s="254"/>
      <c r="Q356" s="254"/>
      <c r="R356" s="254"/>
      <c r="S356" s="254"/>
      <c r="T356" s="254"/>
      <c r="U356" s="254"/>
      <c r="V356" s="254"/>
      <c r="W356" s="254"/>
      <c r="Y356" s="246" t="str">
        <f t="shared" si="32"/>
        <v/>
      </c>
      <c r="Z356" s="247" t="str">
        <f t="shared" si="30"/>
        <v/>
      </c>
      <c r="AA356" s="246" t="str">
        <f t="shared" si="33"/>
        <v/>
      </c>
    </row>
    <row r="357" spans="1:27" ht="18" customHeight="1" x14ac:dyDescent="0.25">
      <c r="A357" s="248" t="str">
        <f t="shared" si="34"/>
        <v/>
      </c>
      <c r="B357" s="249" t="str">
        <f t="shared" si="35"/>
        <v/>
      </c>
      <c r="C357" s="250"/>
      <c r="D357" s="251"/>
      <c r="E357" s="241"/>
      <c r="F357" s="252"/>
      <c r="G357" s="252"/>
      <c r="H357" s="253"/>
      <c r="I357" s="250"/>
      <c r="J357" s="250"/>
      <c r="K357" s="270"/>
      <c r="L357" s="250"/>
      <c r="M357" s="250"/>
      <c r="N357" s="553" t="str">
        <f>CONCATENATE(IF(OR(M357=phu!$I$1,M357=phu!$I$2,M357=phu!$I$3),"Cam Thành Nam",""),IF(OR(M357=phu!$I$4,M357=phu!$I$5,M357=phu!$I$6,M357=phu!$I$7,M357=phu!$I$8,M357=phu!$I$9,M357=phu!$I$10,M357=phu!$I$11,M357=phu!$I$12,M357=phu!$I$13,M357=phu!$I$14),"Cam Nghĩa",""),IF(OR(M357=phu!$I$15,M357=phu!$I$16,M357=phu!$I$17,M357=phu!$I$18,M357=phu!$I$19,M357=phu!$I$20,M357=phu!$I$21),"Cam Phúc Bắc",""),IF(OR(M357=phu!$I$22,M357=phu!$I$23,M357=phu!$I$24,M357=phu!$I$25),"Cam Phúc Nam",""),IF(OR(M357=phu!$I$26,M357=phu!$I$27,M357=phu!$I$28,M357=phu!$I$29,M357=phu!$I$30,M357=phu!$I$31),"Cam Phú",""),IF(OR(M357=phu!$I$32,M357=phu!$I$33,M357=phu!$I$34,M357=phu!$I$35,M357=phu!$I$36,M357=phu!$I$37),"Cam Lộc",""),IF(OR(M357=phu!$I$38,M357=phu!$I$39,M357=phu!$I$40,M357=phu!$I$41,M357=phu!$I$42,M357=phu!$I$43,M357=phu!$I$44),"Cam Thuận",""),IF(OR(M357=phu!$I$45,M357=phu!$I$46,M357=phu!$I$47,M357=phu!$I$48,M357=phu!$I$49,M357=phu!$I$50,M357=phu!$I$51,M357=phu!$I$52,M357=phu!$I$53),"Cam Linh",""),IF(OR(M357=phu!$I$54,M357=phu!$I$55,M357=phu!$I$56,M357=phu!$I$57,M357=phu!$I$58,M357=phu!$I$59,M357=phu!$I$60,M357=phu!$I$61,M357=phu!$I$62),"Cam Lợi",""),IF(OR(M357=phu!$I$63,M357=phu!$I$64,M357=phu!$I$65,M357=phu!$I$66,M357=phu!$I$67,M357=phu!$I$68,M357=phu!$I$69,M357=phu!$I$70,M357=phu!$I$71),"Ba Ngòi",""),IF(OR(M357=phu!$I$72,M357=phu!$I$73,M357=phu!$I$74,M357=phu!$I$75,M357=phu!$I$76,M357=phu!$I$77,M357=phu!$I$78),"Cam Phước Đông",""),IF(OR(M357=phu!$I$79,M357=phu!$I$80,M357=phu!$I$81,M357=phu!$I$82,M357=phu!$I$83,M357=phu!$I$84),"Cam Thịnh Đông",""),IF(OR(M357=phu!$I$85,M357=phu!$I$86,M357=phu!$I$87,M357=phu!$I$88),"Cam Thịnh Tây",""),IF(OR(M357=phu!$I$89,M357=phu!$I$90),"Cam Lập",""),IF(OR(M357=phu!$I$91,M357=phu!$I$92,M357=phu!$I$93),"Cam Bình",""),IF(OR(M357=phu!$I$94,M357=phu!$I$95,M357=phu!$I$96,M357=phu!$I$97,M357=phu!$I$98,M357=phu!$I$99,M357=phu!$I$100),"Huyện khác",""),IF(OR(M357=phu!$I$101,M357=phu!$I$102),"Tỉnh khác",""))</f>
        <v/>
      </c>
      <c r="O357" s="814" t="str">
        <f t="shared" si="31"/>
        <v/>
      </c>
      <c r="P357" s="254"/>
      <c r="Q357" s="254"/>
      <c r="R357" s="254"/>
      <c r="S357" s="254"/>
      <c r="T357" s="254"/>
      <c r="U357" s="254"/>
      <c r="V357" s="254"/>
      <c r="W357" s="254"/>
      <c r="Y357" s="246" t="str">
        <f t="shared" si="32"/>
        <v/>
      </c>
      <c r="Z357" s="247" t="str">
        <f t="shared" si="30"/>
        <v/>
      </c>
      <c r="AA357" s="246" t="str">
        <f t="shared" si="33"/>
        <v/>
      </c>
    </row>
    <row r="358" spans="1:27" ht="18" customHeight="1" x14ac:dyDescent="0.25">
      <c r="A358" s="248" t="str">
        <f t="shared" si="34"/>
        <v/>
      </c>
      <c r="B358" s="249" t="str">
        <f t="shared" si="35"/>
        <v/>
      </c>
      <c r="C358" s="250"/>
      <c r="D358" s="251"/>
      <c r="E358" s="241"/>
      <c r="F358" s="252"/>
      <c r="G358" s="252"/>
      <c r="H358" s="253"/>
      <c r="I358" s="250"/>
      <c r="J358" s="250"/>
      <c r="K358" s="270"/>
      <c r="L358" s="250"/>
      <c r="M358" s="250"/>
      <c r="N358" s="553" t="str">
        <f>CONCATENATE(IF(OR(M358=phu!$I$1,M358=phu!$I$2,M358=phu!$I$3),"Cam Thành Nam",""),IF(OR(M358=phu!$I$4,M358=phu!$I$5,M358=phu!$I$6,M358=phu!$I$7,M358=phu!$I$8,M358=phu!$I$9,M358=phu!$I$10,M358=phu!$I$11,M358=phu!$I$12,M358=phu!$I$13,M358=phu!$I$14),"Cam Nghĩa",""),IF(OR(M358=phu!$I$15,M358=phu!$I$16,M358=phu!$I$17,M358=phu!$I$18,M358=phu!$I$19,M358=phu!$I$20,M358=phu!$I$21),"Cam Phúc Bắc",""),IF(OR(M358=phu!$I$22,M358=phu!$I$23,M358=phu!$I$24,M358=phu!$I$25),"Cam Phúc Nam",""),IF(OR(M358=phu!$I$26,M358=phu!$I$27,M358=phu!$I$28,M358=phu!$I$29,M358=phu!$I$30,M358=phu!$I$31),"Cam Phú",""),IF(OR(M358=phu!$I$32,M358=phu!$I$33,M358=phu!$I$34,M358=phu!$I$35,M358=phu!$I$36,M358=phu!$I$37),"Cam Lộc",""),IF(OR(M358=phu!$I$38,M358=phu!$I$39,M358=phu!$I$40,M358=phu!$I$41,M358=phu!$I$42,M358=phu!$I$43,M358=phu!$I$44),"Cam Thuận",""),IF(OR(M358=phu!$I$45,M358=phu!$I$46,M358=phu!$I$47,M358=phu!$I$48,M358=phu!$I$49,M358=phu!$I$50,M358=phu!$I$51,M358=phu!$I$52,M358=phu!$I$53),"Cam Linh",""),IF(OR(M358=phu!$I$54,M358=phu!$I$55,M358=phu!$I$56,M358=phu!$I$57,M358=phu!$I$58,M358=phu!$I$59,M358=phu!$I$60,M358=phu!$I$61,M358=phu!$I$62),"Cam Lợi",""),IF(OR(M358=phu!$I$63,M358=phu!$I$64,M358=phu!$I$65,M358=phu!$I$66,M358=phu!$I$67,M358=phu!$I$68,M358=phu!$I$69,M358=phu!$I$70,M358=phu!$I$71),"Ba Ngòi",""),IF(OR(M358=phu!$I$72,M358=phu!$I$73,M358=phu!$I$74,M358=phu!$I$75,M358=phu!$I$76,M358=phu!$I$77,M358=phu!$I$78),"Cam Phước Đông",""),IF(OR(M358=phu!$I$79,M358=phu!$I$80,M358=phu!$I$81,M358=phu!$I$82,M358=phu!$I$83,M358=phu!$I$84),"Cam Thịnh Đông",""),IF(OR(M358=phu!$I$85,M358=phu!$I$86,M358=phu!$I$87,M358=phu!$I$88),"Cam Thịnh Tây",""),IF(OR(M358=phu!$I$89,M358=phu!$I$90),"Cam Lập",""),IF(OR(M358=phu!$I$91,M358=phu!$I$92,M358=phu!$I$93),"Cam Bình",""),IF(OR(M358=phu!$I$94,M358=phu!$I$95,M358=phu!$I$96,M358=phu!$I$97,M358=phu!$I$98,M358=phu!$I$99,M358=phu!$I$100),"Huyện khác",""),IF(OR(M358=phu!$I$101,M358=phu!$I$102),"Tỉnh khác",""))</f>
        <v/>
      </c>
      <c r="O358" s="814" t="str">
        <f t="shared" si="31"/>
        <v/>
      </c>
      <c r="P358" s="254"/>
      <c r="Q358" s="254"/>
      <c r="R358" s="254"/>
      <c r="S358" s="254"/>
      <c r="T358" s="254"/>
      <c r="U358" s="254"/>
      <c r="V358" s="254"/>
      <c r="W358" s="254"/>
      <c r="Y358" s="246" t="str">
        <f t="shared" si="32"/>
        <v/>
      </c>
      <c r="Z358" s="247" t="str">
        <f t="shared" si="30"/>
        <v/>
      </c>
      <c r="AA358" s="246" t="str">
        <f t="shared" si="33"/>
        <v/>
      </c>
    </row>
    <row r="359" spans="1:27" ht="18" customHeight="1" x14ac:dyDescent="0.25">
      <c r="A359" s="248" t="str">
        <f t="shared" si="34"/>
        <v/>
      </c>
      <c r="B359" s="249" t="str">
        <f t="shared" si="35"/>
        <v/>
      </c>
      <c r="C359" s="250"/>
      <c r="D359" s="251"/>
      <c r="E359" s="241"/>
      <c r="F359" s="252"/>
      <c r="G359" s="252"/>
      <c r="H359" s="253"/>
      <c r="I359" s="250"/>
      <c r="J359" s="250"/>
      <c r="K359" s="270"/>
      <c r="L359" s="250"/>
      <c r="M359" s="250"/>
      <c r="N359" s="553" t="str">
        <f>CONCATENATE(IF(OR(M359=phu!$I$1,M359=phu!$I$2,M359=phu!$I$3),"Cam Thành Nam",""),IF(OR(M359=phu!$I$4,M359=phu!$I$5,M359=phu!$I$6,M359=phu!$I$7,M359=phu!$I$8,M359=phu!$I$9,M359=phu!$I$10,M359=phu!$I$11,M359=phu!$I$12,M359=phu!$I$13,M359=phu!$I$14),"Cam Nghĩa",""),IF(OR(M359=phu!$I$15,M359=phu!$I$16,M359=phu!$I$17,M359=phu!$I$18,M359=phu!$I$19,M359=phu!$I$20,M359=phu!$I$21),"Cam Phúc Bắc",""),IF(OR(M359=phu!$I$22,M359=phu!$I$23,M359=phu!$I$24,M359=phu!$I$25),"Cam Phúc Nam",""),IF(OR(M359=phu!$I$26,M359=phu!$I$27,M359=phu!$I$28,M359=phu!$I$29,M359=phu!$I$30,M359=phu!$I$31),"Cam Phú",""),IF(OR(M359=phu!$I$32,M359=phu!$I$33,M359=phu!$I$34,M359=phu!$I$35,M359=phu!$I$36,M359=phu!$I$37),"Cam Lộc",""),IF(OR(M359=phu!$I$38,M359=phu!$I$39,M359=phu!$I$40,M359=phu!$I$41,M359=phu!$I$42,M359=phu!$I$43,M359=phu!$I$44),"Cam Thuận",""),IF(OR(M359=phu!$I$45,M359=phu!$I$46,M359=phu!$I$47,M359=phu!$I$48,M359=phu!$I$49,M359=phu!$I$50,M359=phu!$I$51,M359=phu!$I$52,M359=phu!$I$53),"Cam Linh",""),IF(OR(M359=phu!$I$54,M359=phu!$I$55,M359=phu!$I$56,M359=phu!$I$57,M359=phu!$I$58,M359=phu!$I$59,M359=phu!$I$60,M359=phu!$I$61,M359=phu!$I$62),"Cam Lợi",""),IF(OR(M359=phu!$I$63,M359=phu!$I$64,M359=phu!$I$65,M359=phu!$I$66,M359=phu!$I$67,M359=phu!$I$68,M359=phu!$I$69,M359=phu!$I$70,M359=phu!$I$71),"Ba Ngòi",""),IF(OR(M359=phu!$I$72,M359=phu!$I$73,M359=phu!$I$74,M359=phu!$I$75,M359=phu!$I$76,M359=phu!$I$77,M359=phu!$I$78),"Cam Phước Đông",""),IF(OR(M359=phu!$I$79,M359=phu!$I$80,M359=phu!$I$81,M359=phu!$I$82,M359=phu!$I$83,M359=phu!$I$84),"Cam Thịnh Đông",""),IF(OR(M359=phu!$I$85,M359=phu!$I$86,M359=phu!$I$87,M359=phu!$I$88),"Cam Thịnh Tây",""),IF(OR(M359=phu!$I$89,M359=phu!$I$90),"Cam Lập",""),IF(OR(M359=phu!$I$91,M359=phu!$I$92,M359=phu!$I$93),"Cam Bình",""),IF(OR(M359=phu!$I$94,M359=phu!$I$95,M359=phu!$I$96,M359=phu!$I$97,M359=phu!$I$98,M359=phu!$I$99,M359=phu!$I$100),"Huyện khác",""),IF(OR(M359=phu!$I$101,M359=phu!$I$102),"Tỉnh khác",""))</f>
        <v/>
      </c>
      <c r="O359" s="814" t="str">
        <f t="shared" si="31"/>
        <v/>
      </c>
      <c r="P359" s="254"/>
      <c r="Q359" s="254"/>
      <c r="R359" s="254"/>
      <c r="S359" s="254"/>
      <c r="T359" s="254"/>
      <c r="U359" s="254"/>
      <c r="V359" s="254"/>
      <c r="W359" s="254"/>
      <c r="Y359" s="246" t="str">
        <f t="shared" si="32"/>
        <v/>
      </c>
      <c r="Z359" s="247" t="str">
        <f t="shared" si="30"/>
        <v/>
      </c>
      <c r="AA359" s="246" t="str">
        <f t="shared" si="33"/>
        <v/>
      </c>
    </row>
    <row r="360" spans="1:27" ht="18" customHeight="1" x14ac:dyDescent="0.25">
      <c r="A360" s="248" t="str">
        <f t="shared" si="34"/>
        <v/>
      </c>
      <c r="B360" s="249" t="str">
        <f t="shared" si="35"/>
        <v/>
      </c>
      <c r="C360" s="250"/>
      <c r="D360" s="251"/>
      <c r="E360" s="241"/>
      <c r="F360" s="252"/>
      <c r="G360" s="252"/>
      <c r="H360" s="253"/>
      <c r="I360" s="250"/>
      <c r="J360" s="250"/>
      <c r="K360" s="270"/>
      <c r="L360" s="250"/>
      <c r="M360" s="250"/>
      <c r="N360" s="553" t="str">
        <f>CONCATENATE(IF(OR(M360=phu!$I$1,M360=phu!$I$2,M360=phu!$I$3),"Cam Thành Nam",""),IF(OR(M360=phu!$I$4,M360=phu!$I$5,M360=phu!$I$6,M360=phu!$I$7,M360=phu!$I$8,M360=phu!$I$9,M360=phu!$I$10,M360=phu!$I$11,M360=phu!$I$12,M360=phu!$I$13,M360=phu!$I$14),"Cam Nghĩa",""),IF(OR(M360=phu!$I$15,M360=phu!$I$16,M360=phu!$I$17,M360=phu!$I$18,M360=phu!$I$19,M360=phu!$I$20,M360=phu!$I$21),"Cam Phúc Bắc",""),IF(OR(M360=phu!$I$22,M360=phu!$I$23,M360=phu!$I$24,M360=phu!$I$25),"Cam Phúc Nam",""),IF(OR(M360=phu!$I$26,M360=phu!$I$27,M360=phu!$I$28,M360=phu!$I$29,M360=phu!$I$30,M360=phu!$I$31),"Cam Phú",""),IF(OR(M360=phu!$I$32,M360=phu!$I$33,M360=phu!$I$34,M360=phu!$I$35,M360=phu!$I$36,M360=phu!$I$37),"Cam Lộc",""),IF(OR(M360=phu!$I$38,M360=phu!$I$39,M360=phu!$I$40,M360=phu!$I$41,M360=phu!$I$42,M360=phu!$I$43,M360=phu!$I$44),"Cam Thuận",""),IF(OR(M360=phu!$I$45,M360=phu!$I$46,M360=phu!$I$47,M360=phu!$I$48,M360=phu!$I$49,M360=phu!$I$50,M360=phu!$I$51,M360=phu!$I$52,M360=phu!$I$53),"Cam Linh",""),IF(OR(M360=phu!$I$54,M360=phu!$I$55,M360=phu!$I$56,M360=phu!$I$57,M360=phu!$I$58,M360=phu!$I$59,M360=phu!$I$60,M360=phu!$I$61,M360=phu!$I$62),"Cam Lợi",""),IF(OR(M360=phu!$I$63,M360=phu!$I$64,M360=phu!$I$65,M360=phu!$I$66,M360=phu!$I$67,M360=phu!$I$68,M360=phu!$I$69,M360=phu!$I$70,M360=phu!$I$71),"Ba Ngòi",""),IF(OR(M360=phu!$I$72,M360=phu!$I$73,M360=phu!$I$74,M360=phu!$I$75,M360=phu!$I$76,M360=phu!$I$77,M360=phu!$I$78),"Cam Phước Đông",""),IF(OR(M360=phu!$I$79,M360=phu!$I$80,M360=phu!$I$81,M360=phu!$I$82,M360=phu!$I$83,M360=phu!$I$84),"Cam Thịnh Đông",""),IF(OR(M360=phu!$I$85,M360=phu!$I$86,M360=phu!$I$87,M360=phu!$I$88),"Cam Thịnh Tây",""),IF(OR(M360=phu!$I$89,M360=phu!$I$90),"Cam Lập",""),IF(OR(M360=phu!$I$91,M360=phu!$I$92,M360=phu!$I$93),"Cam Bình",""),IF(OR(M360=phu!$I$94,M360=phu!$I$95,M360=phu!$I$96,M360=phu!$I$97,M360=phu!$I$98,M360=phu!$I$99,M360=phu!$I$100),"Huyện khác",""),IF(OR(M360=phu!$I$101,M360=phu!$I$102),"Tỉnh khác",""))</f>
        <v/>
      </c>
      <c r="O360" s="814" t="str">
        <f t="shared" si="31"/>
        <v/>
      </c>
      <c r="P360" s="254"/>
      <c r="Q360" s="254"/>
      <c r="R360" s="254"/>
      <c r="S360" s="254"/>
      <c r="T360" s="254"/>
      <c r="U360" s="254"/>
      <c r="V360" s="254"/>
      <c r="W360" s="254"/>
      <c r="Y360" s="246" t="str">
        <f t="shared" si="32"/>
        <v/>
      </c>
      <c r="Z360" s="247" t="str">
        <f t="shared" si="30"/>
        <v/>
      </c>
      <c r="AA360" s="246" t="str">
        <f t="shared" si="33"/>
        <v/>
      </c>
    </row>
    <row r="361" spans="1:27" ht="18" customHeight="1" x14ac:dyDescent="0.25">
      <c r="A361" s="248" t="str">
        <f t="shared" si="34"/>
        <v/>
      </c>
      <c r="B361" s="249" t="str">
        <f t="shared" si="35"/>
        <v/>
      </c>
      <c r="C361" s="250"/>
      <c r="D361" s="251"/>
      <c r="E361" s="241"/>
      <c r="F361" s="252"/>
      <c r="G361" s="252"/>
      <c r="H361" s="253"/>
      <c r="I361" s="250"/>
      <c r="J361" s="250"/>
      <c r="K361" s="270"/>
      <c r="L361" s="250"/>
      <c r="M361" s="250"/>
      <c r="N361" s="553" t="str">
        <f>CONCATENATE(IF(OR(M361=phu!$I$1,M361=phu!$I$2,M361=phu!$I$3),"Cam Thành Nam",""),IF(OR(M361=phu!$I$4,M361=phu!$I$5,M361=phu!$I$6,M361=phu!$I$7,M361=phu!$I$8,M361=phu!$I$9,M361=phu!$I$10,M361=phu!$I$11,M361=phu!$I$12,M361=phu!$I$13,M361=phu!$I$14),"Cam Nghĩa",""),IF(OR(M361=phu!$I$15,M361=phu!$I$16,M361=phu!$I$17,M361=phu!$I$18,M361=phu!$I$19,M361=phu!$I$20,M361=phu!$I$21),"Cam Phúc Bắc",""),IF(OR(M361=phu!$I$22,M361=phu!$I$23,M361=phu!$I$24,M361=phu!$I$25),"Cam Phúc Nam",""),IF(OR(M361=phu!$I$26,M361=phu!$I$27,M361=phu!$I$28,M361=phu!$I$29,M361=phu!$I$30,M361=phu!$I$31),"Cam Phú",""),IF(OR(M361=phu!$I$32,M361=phu!$I$33,M361=phu!$I$34,M361=phu!$I$35,M361=phu!$I$36,M361=phu!$I$37),"Cam Lộc",""),IF(OR(M361=phu!$I$38,M361=phu!$I$39,M361=phu!$I$40,M361=phu!$I$41,M361=phu!$I$42,M361=phu!$I$43,M361=phu!$I$44),"Cam Thuận",""),IF(OR(M361=phu!$I$45,M361=phu!$I$46,M361=phu!$I$47,M361=phu!$I$48,M361=phu!$I$49,M361=phu!$I$50,M361=phu!$I$51,M361=phu!$I$52,M361=phu!$I$53),"Cam Linh",""),IF(OR(M361=phu!$I$54,M361=phu!$I$55,M361=phu!$I$56,M361=phu!$I$57,M361=phu!$I$58,M361=phu!$I$59,M361=phu!$I$60,M361=phu!$I$61,M361=phu!$I$62),"Cam Lợi",""),IF(OR(M361=phu!$I$63,M361=phu!$I$64,M361=phu!$I$65,M361=phu!$I$66,M361=phu!$I$67,M361=phu!$I$68,M361=phu!$I$69,M361=phu!$I$70,M361=phu!$I$71),"Ba Ngòi",""),IF(OR(M361=phu!$I$72,M361=phu!$I$73,M361=phu!$I$74,M361=phu!$I$75,M361=phu!$I$76,M361=phu!$I$77,M361=phu!$I$78),"Cam Phước Đông",""),IF(OR(M361=phu!$I$79,M361=phu!$I$80,M361=phu!$I$81,M361=phu!$I$82,M361=phu!$I$83,M361=phu!$I$84),"Cam Thịnh Đông",""),IF(OR(M361=phu!$I$85,M361=phu!$I$86,M361=phu!$I$87,M361=phu!$I$88),"Cam Thịnh Tây",""),IF(OR(M361=phu!$I$89,M361=phu!$I$90),"Cam Lập",""),IF(OR(M361=phu!$I$91,M361=phu!$I$92,M361=phu!$I$93),"Cam Bình",""),IF(OR(M361=phu!$I$94,M361=phu!$I$95,M361=phu!$I$96,M361=phu!$I$97,M361=phu!$I$98,M361=phu!$I$99,M361=phu!$I$100),"Huyện khác",""),IF(OR(M361=phu!$I$101,M361=phu!$I$102),"Tỉnh khác",""))</f>
        <v/>
      </c>
      <c r="O361" s="814" t="str">
        <f t="shared" si="31"/>
        <v/>
      </c>
      <c r="P361" s="254"/>
      <c r="Q361" s="254"/>
      <c r="R361" s="254"/>
      <c r="S361" s="254"/>
      <c r="T361" s="254"/>
      <c r="U361" s="254"/>
      <c r="V361" s="254"/>
      <c r="W361" s="254"/>
      <c r="Y361" s="246" t="str">
        <f t="shared" si="32"/>
        <v/>
      </c>
      <c r="Z361" s="247" t="str">
        <f t="shared" si="30"/>
        <v/>
      </c>
      <c r="AA361" s="246" t="str">
        <f t="shared" si="33"/>
        <v/>
      </c>
    </row>
    <row r="362" spans="1:27" ht="18" customHeight="1" x14ac:dyDescent="0.25">
      <c r="A362" s="248" t="str">
        <f t="shared" si="34"/>
        <v/>
      </c>
      <c r="B362" s="249" t="str">
        <f t="shared" si="35"/>
        <v/>
      </c>
      <c r="C362" s="250"/>
      <c r="D362" s="251"/>
      <c r="E362" s="241"/>
      <c r="F362" s="252"/>
      <c r="G362" s="252"/>
      <c r="H362" s="253"/>
      <c r="I362" s="250"/>
      <c r="J362" s="250"/>
      <c r="K362" s="270"/>
      <c r="L362" s="250"/>
      <c r="M362" s="250"/>
      <c r="N362" s="553" t="str">
        <f>CONCATENATE(IF(OR(M362=phu!$I$1,M362=phu!$I$2,M362=phu!$I$3),"Cam Thành Nam",""),IF(OR(M362=phu!$I$4,M362=phu!$I$5,M362=phu!$I$6,M362=phu!$I$7,M362=phu!$I$8,M362=phu!$I$9,M362=phu!$I$10,M362=phu!$I$11,M362=phu!$I$12,M362=phu!$I$13,M362=phu!$I$14),"Cam Nghĩa",""),IF(OR(M362=phu!$I$15,M362=phu!$I$16,M362=phu!$I$17,M362=phu!$I$18,M362=phu!$I$19,M362=phu!$I$20,M362=phu!$I$21),"Cam Phúc Bắc",""),IF(OR(M362=phu!$I$22,M362=phu!$I$23,M362=phu!$I$24,M362=phu!$I$25),"Cam Phúc Nam",""),IF(OR(M362=phu!$I$26,M362=phu!$I$27,M362=phu!$I$28,M362=phu!$I$29,M362=phu!$I$30,M362=phu!$I$31),"Cam Phú",""),IF(OR(M362=phu!$I$32,M362=phu!$I$33,M362=phu!$I$34,M362=phu!$I$35,M362=phu!$I$36,M362=phu!$I$37),"Cam Lộc",""),IF(OR(M362=phu!$I$38,M362=phu!$I$39,M362=phu!$I$40,M362=phu!$I$41,M362=phu!$I$42,M362=phu!$I$43,M362=phu!$I$44),"Cam Thuận",""),IF(OR(M362=phu!$I$45,M362=phu!$I$46,M362=phu!$I$47,M362=phu!$I$48,M362=phu!$I$49,M362=phu!$I$50,M362=phu!$I$51,M362=phu!$I$52,M362=phu!$I$53),"Cam Linh",""),IF(OR(M362=phu!$I$54,M362=phu!$I$55,M362=phu!$I$56,M362=phu!$I$57,M362=phu!$I$58,M362=phu!$I$59,M362=phu!$I$60,M362=phu!$I$61,M362=phu!$I$62),"Cam Lợi",""),IF(OR(M362=phu!$I$63,M362=phu!$I$64,M362=phu!$I$65,M362=phu!$I$66,M362=phu!$I$67,M362=phu!$I$68,M362=phu!$I$69,M362=phu!$I$70,M362=phu!$I$71),"Ba Ngòi",""),IF(OR(M362=phu!$I$72,M362=phu!$I$73,M362=phu!$I$74,M362=phu!$I$75,M362=phu!$I$76,M362=phu!$I$77,M362=phu!$I$78),"Cam Phước Đông",""),IF(OR(M362=phu!$I$79,M362=phu!$I$80,M362=phu!$I$81,M362=phu!$I$82,M362=phu!$I$83,M362=phu!$I$84),"Cam Thịnh Đông",""),IF(OR(M362=phu!$I$85,M362=phu!$I$86,M362=phu!$I$87,M362=phu!$I$88),"Cam Thịnh Tây",""),IF(OR(M362=phu!$I$89,M362=phu!$I$90),"Cam Lập",""),IF(OR(M362=phu!$I$91,M362=phu!$I$92,M362=phu!$I$93),"Cam Bình",""),IF(OR(M362=phu!$I$94,M362=phu!$I$95,M362=phu!$I$96,M362=phu!$I$97,M362=phu!$I$98,M362=phu!$I$99,M362=phu!$I$100),"Huyện khác",""),IF(OR(M362=phu!$I$101,M362=phu!$I$102),"Tỉnh khác",""))</f>
        <v/>
      </c>
      <c r="O362" s="814" t="str">
        <f t="shared" si="31"/>
        <v/>
      </c>
      <c r="P362" s="254"/>
      <c r="Q362" s="254"/>
      <c r="R362" s="254"/>
      <c r="S362" s="254"/>
      <c r="T362" s="254"/>
      <c r="U362" s="254"/>
      <c r="V362" s="254"/>
      <c r="W362" s="254"/>
      <c r="Y362" s="246" t="str">
        <f t="shared" si="32"/>
        <v/>
      </c>
      <c r="Z362" s="247" t="str">
        <f t="shared" si="30"/>
        <v/>
      </c>
      <c r="AA362" s="246" t="str">
        <f t="shared" si="33"/>
        <v/>
      </c>
    </row>
    <row r="363" spans="1:27" ht="18" customHeight="1" x14ac:dyDescent="0.25">
      <c r="A363" s="248" t="str">
        <f t="shared" si="34"/>
        <v/>
      </c>
      <c r="B363" s="249" t="str">
        <f t="shared" si="35"/>
        <v/>
      </c>
      <c r="C363" s="250"/>
      <c r="D363" s="251"/>
      <c r="E363" s="241"/>
      <c r="F363" s="252"/>
      <c r="G363" s="252"/>
      <c r="H363" s="253"/>
      <c r="I363" s="250"/>
      <c r="J363" s="250"/>
      <c r="K363" s="270"/>
      <c r="L363" s="250"/>
      <c r="M363" s="250"/>
      <c r="N363" s="553" t="str">
        <f>CONCATENATE(IF(OR(M363=phu!$I$1,M363=phu!$I$2,M363=phu!$I$3),"Cam Thành Nam",""),IF(OR(M363=phu!$I$4,M363=phu!$I$5,M363=phu!$I$6,M363=phu!$I$7,M363=phu!$I$8,M363=phu!$I$9,M363=phu!$I$10,M363=phu!$I$11,M363=phu!$I$12,M363=phu!$I$13,M363=phu!$I$14),"Cam Nghĩa",""),IF(OR(M363=phu!$I$15,M363=phu!$I$16,M363=phu!$I$17,M363=phu!$I$18,M363=phu!$I$19,M363=phu!$I$20,M363=phu!$I$21),"Cam Phúc Bắc",""),IF(OR(M363=phu!$I$22,M363=phu!$I$23,M363=phu!$I$24,M363=phu!$I$25),"Cam Phúc Nam",""),IF(OR(M363=phu!$I$26,M363=phu!$I$27,M363=phu!$I$28,M363=phu!$I$29,M363=phu!$I$30,M363=phu!$I$31),"Cam Phú",""),IF(OR(M363=phu!$I$32,M363=phu!$I$33,M363=phu!$I$34,M363=phu!$I$35,M363=phu!$I$36,M363=phu!$I$37),"Cam Lộc",""),IF(OR(M363=phu!$I$38,M363=phu!$I$39,M363=phu!$I$40,M363=phu!$I$41,M363=phu!$I$42,M363=phu!$I$43,M363=phu!$I$44),"Cam Thuận",""),IF(OR(M363=phu!$I$45,M363=phu!$I$46,M363=phu!$I$47,M363=phu!$I$48,M363=phu!$I$49,M363=phu!$I$50,M363=phu!$I$51,M363=phu!$I$52,M363=phu!$I$53),"Cam Linh",""),IF(OR(M363=phu!$I$54,M363=phu!$I$55,M363=phu!$I$56,M363=phu!$I$57,M363=phu!$I$58,M363=phu!$I$59,M363=phu!$I$60,M363=phu!$I$61,M363=phu!$I$62),"Cam Lợi",""),IF(OR(M363=phu!$I$63,M363=phu!$I$64,M363=phu!$I$65,M363=phu!$I$66,M363=phu!$I$67,M363=phu!$I$68,M363=phu!$I$69,M363=phu!$I$70,M363=phu!$I$71),"Ba Ngòi",""),IF(OR(M363=phu!$I$72,M363=phu!$I$73,M363=phu!$I$74,M363=phu!$I$75,M363=phu!$I$76,M363=phu!$I$77,M363=phu!$I$78),"Cam Phước Đông",""),IF(OR(M363=phu!$I$79,M363=phu!$I$80,M363=phu!$I$81,M363=phu!$I$82,M363=phu!$I$83,M363=phu!$I$84),"Cam Thịnh Đông",""),IF(OR(M363=phu!$I$85,M363=phu!$I$86,M363=phu!$I$87,M363=phu!$I$88),"Cam Thịnh Tây",""),IF(OR(M363=phu!$I$89,M363=phu!$I$90),"Cam Lập",""),IF(OR(M363=phu!$I$91,M363=phu!$I$92,M363=phu!$I$93),"Cam Bình",""),IF(OR(M363=phu!$I$94,M363=phu!$I$95,M363=phu!$I$96,M363=phu!$I$97,M363=phu!$I$98,M363=phu!$I$99,M363=phu!$I$100),"Huyện khác",""),IF(OR(M363=phu!$I$101,M363=phu!$I$102),"Tỉnh khác",""))</f>
        <v/>
      </c>
      <c r="O363" s="814" t="str">
        <f t="shared" si="31"/>
        <v/>
      </c>
      <c r="P363" s="254"/>
      <c r="Q363" s="254"/>
      <c r="R363" s="254"/>
      <c r="S363" s="254"/>
      <c r="T363" s="254"/>
      <c r="U363" s="254"/>
      <c r="V363" s="254"/>
      <c r="W363" s="254"/>
      <c r="Y363" s="246" t="str">
        <f t="shared" si="32"/>
        <v/>
      </c>
      <c r="Z363" s="247" t="str">
        <f t="shared" si="30"/>
        <v/>
      </c>
      <c r="AA363" s="246" t="str">
        <f t="shared" si="33"/>
        <v/>
      </c>
    </row>
    <row r="364" spans="1:27" ht="18" customHeight="1" x14ac:dyDescent="0.25">
      <c r="A364" s="248" t="str">
        <f t="shared" si="34"/>
        <v/>
      </c>
      <c r="B364" s="249" t="str">
        <f t="shared" si="35"/>
        <v/>
      </c>
      <c r="C364" s="250"/>
      <c r="D364" s="251"/>
      <c r="E364" s="241"/>
      <c r="F364" s="252"/>
      <c r="G364" s="252"/>
      <c r="H364" s="253"/>
      <c r="I364" s="250"/>
      <c r="J364" s="250"/>
      <c r="K364" s="270"/>
      <c r="L364" s="250"/>
      <c r="M364" s="250"/>
      <c r="N364" s="553" t="str">
        <f>CONCATENATE(IF(OR(M364=phu!$I$1,M364=phu!$I$2,M364=phu!$I$3),"Cam Thành Nam",""),IF(OR(M364=phu!$I$4,M364=phu!$I$5,M364=phu!$I$6,M364=phu!$I$7,M364=phu!$I$8,M364=phu!$I$9,M364=phu!$I$10,M364=phu!$I$11,M364=phu!$I$12,M364=phu!$I$13,M364=phu!$I$14),"Cam Nghĩa",""),IF(OR(M364=phu!$I$15,M364=phu!$I$16,M364=phu!$I$17,M364=phu!$I$18,M364=phu!$I$19,M364=phu!$I$20,M364=phu!$I$21),"Cam Phúc Bắc",""),IF(OR(M364=phu!$I$22,M364=phu!$I$23,M364=phu!$I$24,M364=phu!$I$25),"Cam Phúc Nam",""),IF(OR(M364=phu!$I$26,M364=phu!$I$27,M364=phu!$I$28,M364=phu!$I$29,M364=phu!$I$30,M364=phu!$I$31),"Cam Phú",""),IF(OR(M364=phu!$I$32,M364=phu!$I$33,M364=phu!$I$34,M364=phu!$I$35,M364=phu!$I$36,M364=phu!$I$37),"Cam Lộc",""),IF(OR(M364=phu!$I$38,M364=phu!$I$39,M364=phu!$I$40,M364=phu!$I$41,M364=phu!$I$42,M364=phu!$I$43,M364=phu!$I$44),"Cam Thuận",""),IF(OR(M364=phu!$I$45,M364=phu!$I$46,M364=phu!$I$47,M364=phu!$I$48,M364=phu!$I$49,M364=phu!$I$50,M364=phu!$I$51,M364=phu!$I$52,M364=phu!$I$53),"Cam Linh",""),IF(OR(M364=phu!$I$54,M364=phu!$I$55,M364=phu!$I$56,M364=phu!$I$57,M364=phu!$I$58,M364=phu!$I$59,M364=phu!$I$60,M364=phu!$I$61,M364=phu!$I$62),"Cam Lợi",""),IF(OR(M364=phu!$I$63,M364=phu!$I$64,M364=phu!$I$65,M364=phu!$I$66,M364=phu!$I$67,M364=phu!$I$68,M364=phu!$I$69,M364=phu!$I$70,M364=phu!$I$71),"Ba Ngòi",""),IF(OR(M364=phu!$I$72,M364=phu!$I$73,M364=phu!$I$74,M364=phu!$I$75,M364=phu!$I$76,M364=phu!$I$77,M364=phu!$I$78),"Cam Phước Đông",""),IF(OR(M364=phu!$I$79,M364=phu!$I$80,M364=phu!$I$81,M364=phu!$I$82,M364=phu!$I$83,M364=phu!$I$84),"Cam Thịnh Đông",""),IF(OR(M364=phu!$I$85,M364=phu!$I$86,M364=phu!$I$87,M364=phu!$I$88),"Cam Thịnh Tây",""),IF(OR(M364=phu!$I$89,M364=phu!$I$90),"Cam Lập",""),IF(OR(M364=phu!$I$91,M364=phu!$I$92,M364=phu!$I$93),"Cam Bình",""),IF(OR(M364=phu!$I$94,M364=phu!$I$95,M364=phu!$I$96,M364=phu!$I$97,M364=phu!$I$98,M364=phu!$I$99,M364=phu!$I$100),"Huyện khác",""),IF(OR(M364=phu!$I$101,M364=phu!$I$102),"Tỉnh khác",""))</f>
        <v/>
      </c>
      <c r="O364" s="814" t="str">
        <f t="shared" si="31"/>
        <v/>
      </c>
      <c r="P364" s="254"/>
      <c r="Q364" s="254"/>
      <c r="R364" s="254"/>
      <c r="S364" s="254"/>
      <c r="T364" s="254"/>
      <c r="U364" s="254"/>
      <c r="V364" s="254"/>
      <c r="W364" s="254"/>
      <c r="Y364" s="246" t="str">
        <f t="shared" si="32"/>
        <v/>
      </c>
      <c r="Z364" s="247" t="str">
        <f t="shared" si="30"/>
        <v/>
      </c>
      <c r="AA364" s="246" t="str">
        <f t="shared" si="33"/>
        <v/>
      </c>
    </row>
    <row r="365" spans="1:27" ht="18" customHeight="1" x14ac:dyDescent="0.25">
      <c r="A365" s="248" t="str">
        <f t="shared" si="34"/>
        <v/>
      </c>
      <c r="B365" s="249" t="str">
        <f t="shared" si="35"/>
        <v/>
      </c>
      <c r="C365" s="250"/>
      <c r="D365" s="251"/>
      <c r="E365" s="241"/>
      <c r="F365" s="252"/>
      <c r="G365" s="252"/>
      <c r="H365" s="253"/>
      <c r="I365" s="250"/>
      <c r="J365" s="250"/>
      <c r="K365" s="270"/>
      <c r="L365" s="250"/>
      <c r="M365" s="250"/>
      <c r="N365" s="553" t="str">
        <f>CONCATENATE(IF(OR(M365=phu!$I$1,M365=phu!$I$2,M365=phu!$I$3),"Cam Thành Nam",""),IF(OR(M365=phu!$I$4,M365=phu!$I$5,M365=phu!$I$6,M365=phu!$I$7,M365=phu!$I$8,M365=phu!$I$9,M365=phu!$I$10,M365=phu!$I$11,M365=phu!$I$12,M365=phu!$I$13,M365=phu!$I$14),"Cam Nghĩa",""),IF(OR(M365=phu!$I$15,M365=phu!$I$16,M365=phu!$I$17,M365=phu!$I$18,M365=phu!$I$19,M365=phu!$I$20,M365=phu!$I$21),"Cam Phúc Bắc",""),IF(OR(M365=phu!$I$22,M365=phu!$I$23,M365=phu!$I$24,M365=phu!$I$25),"Cam Phúc Nam",""),IF(OR(M365=phu!$I$26,M365=phu!$I$27,M365=phu!$I$28,M365=phu!$I$29,M365=phu!$I$30,M365=phu!$I$31),"Cam Phú",""),IF(OR(M365=phu!$I$32,M365=phu!$I$33,M365=phu!$I$34,M365=phu!$I$35,M365=phu!$I$36,M365=phu!$I$37),"Cam Lộc",""),IF(OR(M365=phu!$I$38,M365=phu!$I$39,M365=phu!$I$40,M365=phu!$I$41,M365=phu!$I$42,M365=phu!$I$43,M365=phu!$I$44),"Cam Thuận",""),IF(OR(M365=phu!$I$45,M365=phu!$I$46,M365=phu!$I$47,M365=phu!$I$48,M365=phu!$I$49,M365=phu!$I$50,M365=phu!$I$51,M365=phu!$I$52,M365=phu!$I$53),"Cam Linh",""),IF(OR(M365=phu!$I$54,M365=phu!$I$55,M365=phu!$I$56,M365=phu!$I$57,M365=phu!$I$58,M365=phu!$I$59,M365=phu!$I$60,M365=phu!$I$61,M365=phu!$I$62),"Cam Lợi",""),IF(OR(M365=phu!$I$63,M365=phu!$I$64,M365=phu!$I$65,M365=phu!$I$66,M365=phu!$I$67,M365=phu!$I$68,M365=phu!$I$69,M365=phu!$I$70,M365=phu!$I$71),"Ba Ngòi",""),IF(OR(M365=phu!$I$72,M365=phu!$I$73,M365=phu!$I$74,M365=phu!$I$75,M365=phu!$I$76,M365=phu!$I$77,M365=phu!$I$78),"Cam Phước Đông",""),IF(OR(M365=phu!$I$79,M365=phu!$I$80,M365=phu!$I$81,M365=phu!$I$82,M365=phu!$I$83,M365=phu!$I$84),"Cam Thịnh Đông",""),IF(OR(M365=phu!$I$85,M365=phu!$I$86,M365=phu!$I$87,M365=phu!$I$88),"Cam Thịnh Tây",""),IF(OR(M365=phu!$I$89,M365=phu!$I$90),"Cam Lập",""),IF(OR(M365=phu!$I$91,M365=phu!$I$92,M365=phu!$I$93),"Cam Bình",""),IF(OR(M365=phu!$I$94,M365=phu!$I$95,M365=phu!$I$96,M365=phu!$I$97,M365=phu!$I$98,M365=phu!$I$99,M365=phu!$I$100),"Huyện khác",""),IF(OR(M365=phu!$I$101,M365=phu!$I$102),"Tỉnh khác",""))</f>
        <v/>
      </c>
      <c r="O365" s="814" t="str">
        <f t="shared" si="31"/>
        <v/>
      </c>
      <c r="P365" s="254"/>
      <c r="Q365" s="254"/>
      <c r="R365" s="254"/>
      <c r="S365" s="254"/>
      <c r="T365" s="254"/>
      <c r="U365" s="254"/>
      <c r="V365" s="254"/>
      <c r="W365" s="254"/>
      <c r="Y365" s="246" t="str">
        <f t="shared" si="32"/>
        <v/>
      </c>
      <c r="Z365" s="247" t="str">
        <f t="shared" si="30"/>
        <v/>
      </c>
      <c r="AA365" s="246" t="str">
        <f t="shared" si="33"/>
        <v/>
      </c>
    </row>
    <row r="366" spans="1:27" ht="18" customHeight="1" x14ac:dyDescent="0.25">
      <c r="A366" s="248" t="str">
        <f t="shared" si="34"/>
        <v/>
      </c>
      <c r="B366" s="249" t="str">
        <f t="shared" si="35"/>
        <v/>
      </c>
      <c r="C366" s="250"/>
      <c r="D366" s="251"/>
      <c r="E366" s="241"/>
      <c r="F366" s="252"/>
      <c r="G366" s="252"/>
      <c r="H366" s="253"/>
      <c r="I366" s="250"/>
      <c r="J366" s="250"/>
      <c r="K366" s="270"/>
      <c r="L366" s="250"/>
      <c r="M366" s="250"/>
      <c r="N366" s="553" t="str">
        <f>CONCATENATE(IF(OR(M366=phu!$I$1,M366=phu!$I$2,M366=phu!$I$3),"Cam Thành Nam",""),IF(OR(M366=phu!$I$4,M366=phu!$I$5,M366=phu!$I$6,M366=phu!$I$7,M366=phu!$I$8,M366=phu!$I$9,M366=phu!$I$10,M366=phu!$I$11,M366=phu!$I$12,M366=phu!$I$13,M366=phu!$I$14),"Cam Nghĩa",""),IF(OR(M366=phu!$I$15,M366=phu!$I$16,M366=phu!$I$17,M366=phu!$I$18,M366=phu!$I$19,M366=phu!$I$20,M366=phu!$I$21),"Cam Phúc Bắc",""),IF(OR(M366=phu!$I$22,M366=phu!$I$23,M366=phu!$I$24,M366=phu!$I$25),"Cam Phúc Nam",""),IF(OR(M366=phu!$I$26,M366=phu!$I$27,M366=phu!$I$28,M366=phu!$I$29,M366=phu!$I$30,M366=phu!$I$31),"Cam Phú",""),IF(OR(M366=phu!$I$32,M366=phu!$I$33,M366=phu!$I$34,M366=phu!$I$35,M366=phu!$I$36,M366=phu!$I$37),"Cam Lộc",""),IF(OR(M366=phu!$I$38,M366=phu!$I$39,M366=phu!$I$40,M366=phu!$I$41,M366=phu!$I$42,M366=phu!$I$43,M366=phu!$I$44),"Cam Thuận",""),IF(OR(M366=phu!$I$45,M366=phu!$I$46,M366=phu!$I$47,M366=phu!$I$48,M366=phu!$I$49,M366=phu!$I$50,M366=phu!$I$51,M366=phu!$I$52,M366=phu!$I$53),"Cam Linh",""),IF(OR(M366=phu!$I$54,M366=phu!$I$55,M366=phu!$I$56,M366=phu!$I$57,M366=phu!$I$58,M366=phu!$I$59,M366=phu!$I$60,M366=phu!$I$61,M366=phu!$I$62),"Cam Lợi",""),IF(OR(M366=phu!$I$63,M366=phu!$I$64,M366=phu!$I$65,M366=phu!$I$66,M366=phu!$I$67,M366=phu!$I$68,M366=phu!$I$69,M366=phu!$I$70,M366=phu!$I$71),"Ba Ngòi",""),IF(OR(M366=phu!$I$72,M366=phu!$I$73,M366=phu!$I$74,M366=phu!$I$75,M366=phu!$I$76,M366=phu!$I$77,M366=phu!$I$78),"Cam Phước Đông",""),IF(OR(M366=phu!$I$79,M366=phu!$I$80,M366=phu!$I$81,M366=phu!$I$82,M366=phu!$I$83,M366=phu!$I$84),"Cam Thịnh Đông",""),IF(OR(M366=phu!$I$85,M366=phu!$I$86,M366=phu!$I$87,M366=phu!$I$88),"Cam Thịnh Tây",""),IF(OR(M366=phu!$I$89,M366=phu!$I$90),"Cam Lập",""),IF(OR(M366=phu!$I$91,M366=phu!$I$92,M366=phu!$I$93),"Cam Bình",""),IF(OR(M366=phu!$I$94,M366=phu!$I$95,M366=phu!$I$96,M366=phu!$I$97,M366=phu!$I$98,M366=phu!$I$99,M366=phu!$I$100),"Huyện khác",""),IF(OR(M366=phu!$I$101,M366=phu!$I$102),"Tỉnh khác",""))</f>
        <v/>
      </c>
      <c r="O366" s="814" t="str">
        <f t="shared" si="31"/>
        <v/>
      </c>
      <c r="P366" s="254"/>
      <c r="Q366" s="254"/>
      <c r="R366" s="254"/>
      <c r="S366" s="254"/>
      <c r="T366" s="254"/>
      <c r="U366" s="254"/>
      <c r="V366" s="254"/>
      <c r="W366" s="254"/>
      <c r="Y366" s="246" t="str">
        <f t="shared" si="32"/>
        <v/>
      </c>
      <c r="Z366" s="247" t="str">
        <f t="shared" si="30"/>
        <v/>
      </c>
      <c r="AA366" s="246" t="str">
        <f t="shared" si="33"/>
        <v/>
      </c>
    </row>
    <row r="367" spans="1:27" ht="18" customHeight="1" x14ac:dyDescent="0.25">
      <c r="A367" s="248" t="str">
        <f t="shared" si="34"/>
        <v/>
      </c>
      <c r="B367" s="249" t="str">
        <f t="shared" si="35"/>
        <v/>
      </c>
      <c r="C367" s="250"/>
      <c r="D367" s="251"/>
      <c r="E367" s="241"/>
      <c r="F367" s="252"/>
      <c r="G367" s="252"/>
      <c r="H367" s="253"/>
      <c r="I367" s="250"/>
      <c r="J367" s="250"/>
      <c r="K367" s="270"/>
      <c r="L367" s="250"/>
      <c r="M367" s="250"/>
      <c r="N367" s="553" t="str">
        <f>CONCATENATE(IF(OR(M367=phu!$I$1,M367=phu!$I$2,M367=phu!$I$3),"Cam Thành Nam",""),IF(OR(M367=phu!$I$4,M367=phu!$I$5,M367=phu!$I$6,M367=phu!$I$7,M367=phu!$I$8,M367=phu!$I$9,M367=phu!$I$10,M367=phu!$I$11,M367=phu!$I$12,M367=phu!$I$13,M367=phu!$I$14),"Cam Nghĩa",""),IF(OR(M367=phu!$I$15,M367=phu!$I$16,M367=phu!$I$17,M367=phu!$I$18,M367=phu!$I$19,M367=phu!$I$20,M367=phu!$I$21),"Cam Phúc Bắc",""),IF(OR(M367=phu!$I$22,M367=phu!$I$23,M367=phu!$I$24,M367=phu!$I$25),"Cam Phúc Nam",""),IF(OR(M367=phu!$I$26,M367=phu!$I$27,M367=phu!$I$28,M367=phu!$I$29,M367=phu!$I$30,M367=phu!$I$31),"Cam Phú",""),IF(OR(M367=phu!$I$32,M367=phu!$I$33,M367=phu!$I$34,M367=phu!$I$35,M367=phu!$I$36,M367=phu!$I$37),"Cam Lộc",""),IF(OR(M367=phu!$I$38,M367=phu!$I$39,M367=phu!$I$40,M367=phu!$I$41,M367=phu!$I$42,M367=phu!$I$43,M367=phu!$I$44),"Cam Thuận",""),IF(OR(M367=phu!$I$45,M367=phu!$I$46,M367=phu!$I$47,M367=phu!$I$48,M367=phu!$I$49,M367=phu!$I$50,M367=phu!$I$51,M367=phu!$I$52,M367=phu!$I$53),"Cam Linh",""),IF(OR(M367=phu!$I$54,M367=phu!$I$55,M367=phu!$I$56,M367=phu!$I$57,M367=phu!$I$58,M367=phu!$I$59,M367=phu!$I$60,M367=phu!$I$61,M367=phu!$I$62),"Cam Lợi",""),IF(OR(M367=phu!$I$63,M367=phu!$I$64,M367=phu!$I$65,M367=phu!$I$66,M367=phu!$I$67,M367=phu!$I$68,M367=phu!$I$69,M367=phu!$I$70,M367=phu!$I$71),"Ba Ngòi",""),IF(OR(M367=phu!$I$72,M367=phu!$I$73,M367=phu!$I$74,M367=phu!$I$75,M367=phu!$I$76,M367=phu!$I$77,M367=phu!$I$78),"Cam Phước Đông",""),IF(OR(M367=phu!$I$79,M367=phu!$I$80,M367=phu!$I$81,M367=phu!$I$82,M367=phu!$I$83,M367=phu!$I$84),"Cam Thịnh Đông",""),IF(OR(M367=phu!$I$85,M367=phu!$I$86,M367=phu!$I$87,M367=phu!$I$88),"Cam Thịnh Tây",""),IF(OR(M367=phu!$I$89,M367=phu!$I$90),"Cam Lập",""),IF(OR(M367=phu!$I$91,M367=phu!$I$92,M367=phu!$I$93),"Cam Bình",""),IF(OR(M367=phu!$I$94,M367=phu!$I$95,M367=phu!$I$96,M367=phu!$I$97,M367=phu!$I$98,M367=phu!$I$99,M367=phu!$I$100),"Huyện khác",""),IF(OR(M367=phu!$I$101,M367=phu!$I$102),"Tỉnh khác",""))</f>
        <v/>
      </c>
      <c r="O367" s="814" t="str">
        <f t="shared" si="31"/>
        <v/>
      </c>
      <c r="P367" s="254"/>
      <c r="Q367" s="254"/>
      <c r="R367" s="254"/>
      <c r="S367" s="254"/>
      <c r="T367" s="254"/>
      <c r="U367" s="254"/>
      <c r="V367" s="254"/>
      <c r="W367" s="254"/>
      <c r="Y367" s="246" t="str">
        <f t="shared" si="32"/>
        <v/>
      </c>
      <c r="Z367" s="247" t="str">
        <f t="shared" si="30"/>
        <v/>
      </c>
      <c r="AA367" s="246" t="str">
        <f t="shared" si="33"/>
        <v/>
      </c>
    </row>
    <row r="368" spans="1:27" ht="18" customHeight="1" x14ac:dyDescent="0.25">
      <c r="A368" s="248" t="str">
        <f t="shared" si="34"/>
        <v/>
      </c>
      <c r="B368" s="249" t="str">
        <f t="shared" si="35"/>
        <v/>
      </c>
      <c r="C368" s="250"/>
      <c r="D368" s="251"/>
      <c r="E368" s="241"/>
      <c r="F368" s="252"/>
      <c r="G368" s="252"/>
      <c r="H368" s="253"/>
      <c r="I368" s="250"/>
      <c r="J368" s="250"/>
      <c r="K368" s="270"/>
      <c r="L368" s="250"/>
      <c r="M368" s="250"/>
      <c r="N368" s="553" t="str">
        <f>CONCATENATE(IF(OR(M368=phu!$I$1,M368=phu!$I$2,M368=phu!$I$3),"Cam Thành Nam",""),IF(OR(M368=phu!$I$4,M368=phu!$I$5,M368=phu!$I$6,M368=phu!$I$7,M368=phu!$I$8,M368=phu!$I$9,M368=phu!$I$10,M368=phu!$I$11,M368=phu!$I$12,M368=phu!$I$13,M368=phu!$I$14),"Cam Nghĩa",""),IF(OR(M368=phu!$I$15,M368=phu!$I$16,M368=phu!$I$17,M368=phu!$I$18,M368=phu!$I$19,M368=phu!$I$20,M368=phu!$I$21),"Cam Phúc Bắc",""),IF(OR(M368=phu!$I$22,M368=phu!$I$23,M368=phu!$I$24,M368=phu!$I$25),"Cam Phúc Nam",""),IF(OR(M368=phu!$I$26,M368=phu!$I$27,M368=phu!$I$28,M368=phu!$I$29,M368=phu!$I$30,M368=phu!$I$31),"Cam Phú",""),IF(OR(M368=phu!$I$32,M368=phu!$I$33,M368=phu!$I$34,M368=phu!$I$35,M368=phu!$I$36,M368=phu!$I$37),"Cam Lộc",""),IF(OR(M368=phu!$I$38,M368=phu!$I$39,M368=phu!$I$40,M368=phu!$I$41,M368=phu!$I$42,M368=phu!$I$43,M368=phu!$I$44),"Cam Thuận",""),IF(OR(M368=phu!$I$45,M368=phu!$I$46,M368=phu!$I$47,M368=phu!$I$48,M368=phu!$I$49,M368=phu!$I$50,M368=phu!$I$51,M368=phu!$I$52,M368=phu!$I$53),"Cam Linh",""),IF(OR(M368=phu!$I$54,M368=phu!$I$55,M368=phu!$I$56,M368=phu!$I$57,M368=phu!$I$58,M368=phu!$I$59,M368=phu!$I$60,M368=phu!$I$61,M368=phu!$I$62),"Cam Lợi",""),IF(OR(M368=phu!$I$63,M368=phu!$I$64,M368=phu!$I$65,M368=phu!$I$66,M368=phu!$I$67,M368=phu!$I$68,M368=phu!$I$69,M368=phu!$I$70,M368=phu!$I$71),"Ba Ngòi",""),IF(OR(M368=phu!$I$72,M368=phu!$I$73,M368=phu!$I$74,M368=phu!$I$75,M368=phu!$I$76,M368=phu!$I$77,M368=phu!$I$78),"Cam Phước Đông",""),IF(OR(M368=phu!$I$79,M368=phu!$I$80,M368=phu!$I$81,M368=phu!$I$82,M368=phu!$I$83,M368=phu!$I$84),"Cam Thịnh Đông",""),IF(OR(M368=phu!$I$85,M368=phu!$I$86,M368=phu!$I$87,M368=phu!$I$88),"Cam Thịnh Tây",""),IF(OR(M368=phu!$I$89,M368=phu!$I$90),"Cam Lập",""),IF(OR(M368=phu!$I$91,M368=phu!$I$92,M368=phu!$I$93),"Cam Bình",""),IF(OR(M368=phu!$I$94,M368=phu!$I$95,M368=phu!$I$96,M368=phu!$I$97,M368=phu!$I$98,M368=phu!$I$99,M368=phu!$I$100),"Huyện khác",""),IF(OR(M368=phu!$I$101,M368=phu!$I$102),"Tỉnh khác",""))</f>
        <v/>
      </c>
      <c r="O368" s="814" t="str">
        <f t="shared" si="31"/>
        <v/>
      </c>
      <c r="P368" s="254"/>
      <c r="Q368" s="254"/>
      <c r="R368" s="254"/>
      <c r="S368" s="254"/>
      <c r="T368" s="254"/>
      <c r="U368" s="254"/>
      <c r="V368" s="254"/>
      <c r="W368" s="254"/>
      <c r="Y368" s="246" t="str">
        <f t="shared" si="32"/>
        <v/>
      </c>
      <c r="Z368" s="247" t="str">
        <f t="shared" si="30"/>
        <v/>
      </c>
      <c r="AA368" s="246" t="str">
        <f t="shared" si="33"/>
        <v/>
      </c>
    </row>
    <row r="369" spans="1:27" ht="18" customHeight="1" x14ac:dyDescent="0.25">
      <c r="A369" s="248" t="str">
        <f t="shared" si="34"/>
        <v/>
      </c>
      <c r="B369" s="249" t="str">
        <f t="shared" si="35"/>
        <v/>
      </c>
      <c r="C369" s="250"/>
      <c r="D369" s="251"/>
      <c r="E369" s="241"/>
      <c r="F369" s="252"/>
      <c r="G369" s="252"/>
      <c r="H369" s="253"/>
      <c r="I369" s="250"/>
      <c r="J369" s="250"/>
      <c r="K369" s="270"/>
      <c r="L369" s="250"/>
      <c r="M369" s="250"/>
      <c r="N369" s="553" t="str">
        <f>CONCATENATE(IF(OR(M369=phu!$I$1,M369=phu!$I$2,M369=phu!$I$3),"Cam Thành Nam",""),IF(OR(M369=phu!$I$4,M369=phu!$I$5,M369=phu!$I$6,M369=phu!$I$7,M369=phu!$I$8,M369=phu!$I$9,M369=phu!$I$10,M369=phu!$I$11,M369=phu!$I$12,M369=phu!$I$13,M369=phu!$I$14),"Cam Nghĩa",""),IF(OR(M369=phu!$I$15,M369=phu!$I$16,M369=phu!$I$17,M369=phu!$I$18,M369=phu!$I$19,M369=phu!$I$20,M369=phu!$I$21),"Cam Phúc Bắc",""),IF(OR(M369=phu!$I$22,M369=phu!$I$23,M369=phu!$I$24,M369=phu!$I$25),"Cam Phúc Nam",""),IF(OR(M369=phu!$I$26,M369=phu!$I$27,M369=phu!$I$28,M369=phu!$I$29,M369=phu!$I$30,M369=phu!$I$31),"Cam Phú",""),IF(OR(M369=phu!$I$32,M369=phu!$I$33,M369=phu!$I$34,M369=phu!$I$35,M369=phu!$I$36,M369=phu!$I$37),"Cam Lộc",""),IF(OR(M369=phu!$I$38,M369=phu!$I$39,M369=phu!$I$40,M369=phu!$I$41,M369=phu!$I$42,M369=phu!$I$43,M369=phu!$I$44),"Cam Thuận",""),IF(OR(M369=phu!$I$45,M369=phu!$I$46,M369=phu!$I$47,M369=phu!$I$48,M369=phu!$I$49,M369=phu!$I$50,M369=phu!$I$51,M369=phu!$I$52,M369=phu!$I$53),"Cam Linh",""),IF(OR(M369=phu!$I$54,M369=phu!$I$55,M369=phu!$I$56,M369=phu!$I$57,M369=phu!$I$58,M369=phu!$I$59,M369=phu!$I$60,M369=phu!$I$61,M369=phu!$I$62),"Cam Lợi",""),IF(OR(M369=phu!$I$63,M369=phu!$I$64,M369=phu!$I$65,M369=phu!$I$66,M369=phu!$I$67,M369=phu!$I$68,M369=phu!$I$69,M369=phu!$I$70,M369=phu!$I$71),"Ba Ngòi",""),IF(OR(M369=phu!$I$72,M369=phu!$I$73,M369=phu!$I$74,M369=phu!$I$75,M369=phu!$I$76,M369=phu!$I$77,M369=phu!$I$78),"Cam Phước Đông",""),IF(OR(M369=phu!$I$79,M369=phu!$I$80,M369=phu!$I$81,M369=phu!$I$82,M369=phu!$I$83,M369=phu!$I$84),"Cam Thịnh Đông",""),IF(OR(M369=phu!$I$85,M369=phu!$I$86,M369=phu!$I$87,M369=phu!$I$88),"Cam Thịnh Tây",""),IF(OR(M369=phu!$I$89,M369=phu!$I$90),"Cam Lập",""),IF(OR(M369=phu!$I$91,M369=phu!$I$92,M369=phu!$I$93),"Cam Bình",""),IF(OR(M369=phu!$I$94,M369=phu!$I$95,M369=phu!$I$96,M369=phu!$I$97,M369=phu!$I$98,M369=phu!$I$99,M369=phu!$I$100),"Huyện khác",""),IF(OR(M369=phu!$I$101,M369=phu!$I$102),"Tỉnh khác",""))</f>
        <v/>
      </c>
      <c r="O369" s="814" t="str">
        <f t="shared" si="31"/>
        <v/>
      </c>
      <c r="P369" s="254"/>
      <c r="Q369" s="254"/>
      <c r="R369" s="254"/>
      <c r="S369" s="254"/>
      <c r="T369" s="254"/>
      <c r="U369" s="254"/>
      <c r="V369" s="254"/>
      <c r="W369" s="254"/>
      <c r="Y369" s="246" t="str">
        <f t="shared" si="32"/>
        <v/>
      </c>
      <c r="Z369" s="247" t="str">
        <f t="shared" si="30"/>
        <v/>
      </c>
      <c r="AA369" s="246" t="str">
        <f t="shared" si="33"/>
        <v/>
      </c>
    </row>
    <row r="370" spans="1:27" ht="18" customHeight="1" x14ac:dyDescent="0.25">
      <c r="A370" s="248" t="str">
        <f t="shared" si="34"/>
        <v/>
      </c>
      <c r="B370" s="249" t="str">
        <f t="shared" si="35"/>
        <v/>
      </c>
      <c r="C370" s="250"/>
      <c r="D370" s="251"/>
      <c r="E370" s="241"/>
      <c r="F370" s="252"/>
      <c r="G370" s="252"/>
      <c r="H370" s="253"/>
      <c r="I370" s="250"/>
      <c r="J370" s="250"/>
      <c r="K370" s="270"/>
      <c r="L370" s="250"/>
      <c r="M370" s="250"/>
      <c r="N370" s="553" t="str">
        <f>CONCATENATE(IF(OR(M370=phu!$I$1,M370=phu!$I$2,M370=phu!$I$3),"Cam Thành Nam",""),IF(OR(M370=phu!$I$4,M370=phu!$I$5,M370=phu!$I$6,M370=phu!$I$7,M370=phu!$I$8,M370=phu!$I$9,M370=phu!$I$10,M370=phu!$I$11,M370=phu!$I$12,M370=phu!$I$13,M370=phu!$I$14),"Cam Nghĩa",""),IF(OR(M370=phu!$I$15,M370=phu!$I$16,M370=phu!$I$17,M370=phu!$I$18,M370=phu!$I$19,M370=phu!$I$20,M370=phu!$I$21),"Cam Phúc Bắc",""),IF(OR(M370=phu!$I$22,M370=phu!$I$23,M370=phu!$I$24,M370=phu!$I$25),"Cam Phúc Nam",""),IF(OR(M370=phu!$I$26,M370=phu!$I$27,M370=phu!$I$28,M370=phu!$I$29,M370=phu!$I$30,M370=phu!$I$31),"Cam Phú",""),IF(OR(M370=phu!$I$32,M370=phu!$I$33,M370=phu!$I$34,M370=phu!$I$35,M370=phu!$I$36,M370=phu!$I$37),"Cam Lộc",""),IF(OR(M370=phu!$I$38,M370=phu!$I$39,M370=phu!$I$40,M370=phu!$I$41,M370=phu!$I$42,M370=phu!$I$43,M370=phu!$I$44),"Cam Thuận",""),IF(OR(M370=phu!$I$45,M370=phu!$I$46,M370=phu!$I$47,M370=phu!$I$48,M370=phu!$I$49,M370=phu!$I$50,M370=phu!$I$51,M370=phu!$I$52,M370=phu!$I$53),"Cam Linh",""),IF(OR(M370=phu!$I$54,M370=phu!$I$55,M370=phu!$I$56,M370=phu!$I$57,M370=phu!$I$58,M370=phu!$I$59,M370=phu!$I$60,M370=phu!$I$61,M370=phu!$I$62),"Cam Lợi",""),IF(OR(M370=phu!$I$63,M370=phu!$I$64,M370=phu!$I$65,M370=phu!$I$66,M370=phu!$I$67,M370=phu!$I$68,M370=phu!$I$69,M370=phu!$I$70,M370=phu!$I$71),"Ba Ngòi",""),IF(OR(M370=phu!$I$72,M370=phu!$I$73,M370=phu!$I$74,M370=phu!$I$75,M370=phu!$I$76,M370=phu!$I$77,M370=phu!$I$78),"Cam Phước Đông",""),IF(OR(M370=phu!$I$79,M370=phu!$I$80,M370=phu!$I$81,M370=phu!$I$82,M370=phu!$I$83,M370=phu!$I$84),"Cam Thịnh Đông",""),IF(OR(M370=phu!$I$85,M370=phu!$I$86,M370=phu!$I$87,M370=phu!$I$88),"Cam Thịnh Tây",""),IF(OR(M370=phu!$I$89,M370=phu!$I$90),"Cam Lập",""),IF(OR(M370=phu!$I$91,M370=phu!$I$92,M370=phu!$I$93),"Cam Bình",""),IF(OR(M370=phu!$I$94,M370=phu!$I$95,M370=phu!$I$96,M370=phu!$I$97,M370=phu!$I$98,M370=phu!$I$99,M370=phu!$I$100),"Huyện khác",""),IF(OR(M370=phu!$I$101,M370=phu!$I$102),"Tỉnh khác",""))</f>
        <v/>
      </c>
      <c r="O370" s="814" t="str">
        <f t="shared" si="31"/>
        <v/>
      </c>
      <c r="P370" s="254"/>
      <c r="Q370" s="254"/>
      <c r="R370" s="254"/>
      <c r="S370" s="254"/>
      <c r="T370" s="254"/>
      <c r="U370" s="254"/>
      <c r="V370" s="254"/>
      <c r="W370" s="254"/>
      <c r="Y370" s="246" t="str">
        <f t="shared" si="32"/>
        <v/>
      </c>
      <c r="Z370" s="247" t="str">
        <f t="shared" si="30"/>
        <v/>
      </c>
      <c r="AA370" s="246" t="str">
        <f t="shared" si="33"/>
        <v/>
      </c>
    </row>
    <row r="371" spans="1:27" ht="18" customHeight="1" x14ac:dyDescent="0.25">
      <c r="A371" s="248" t="str">
        <f t="shared" si="34"/>
        <v/>
      </c>
      <c r="B371" s="249" t="str">
        <f t="shared" si="35"/>
        <v/>
      </c>
      <c r="C371" s="250"/>
      <c r="D371" s="251"/>
      <c r="E371" s="241"/>
      <c r="F371" s="252"/>
      <c r="G371" s="252"/>
      <c r="H371" s="253"/>
      <c r="I371" s="250"/>
      <c r="J371" s="250"/>
      <c r="K371" s="270"/>
      <c r="L371" s="250"/>
      <c r="M371" s="250"/>
      <c r="N371" s="553" t="str">
        <f>CONCATENATE(IF(OR(M371=phu!$I$1,M371=phu!$I$2,M371=phu!$I$3),"Cam Thành Nam",""),IF(OR(M371=phu!$I$4,M371=phu!$I$5,M371=phu!$I$6,M371=phu!$I$7,M371=phu!$I$8,M371=phu!$I$9,M371=phu!$I$10,M371=phu!$I$11,M371=phu!$I$12,M371=phu!$I$13,M371=phu!$I$14),"Cam Nghĩa",""),IF(OR(M371=phu!$I$15,M371=phu!$I$16,M371=phu!$I$17,M371=phu!$I$18,M371=phu!$I$19,M371=phu!$I$20,M371=phu!$I$21),"Cam Phúc Bắc",""),IF(OR(M371=phu!$I$22,M371=phu!$I$23,M371=phu!$I$24,M371=phu!$I$25),"Cam Phúc Nam",""),IF(OR(M371=phu!$I$26,M371=phu!$I$27,M371=phu!$I$28,M371=phu!$I$29,M371=phu!$I$30,M371=phu!$I$31),"Cam Phú",""),IF(OR(M371=phu!$I$32,M371=phu!$I$33,M371=phu!$I$34,M371=phu!$I$35,M371=phu!$I$36,M371=phu!$I$37),"Cam Lộc",""),IF(OR(M371=phu!$I$38,M371=phu!$I$39,M371=phu!$I$40,M371=phu!$I$41,M371=phu!$I$42,M371=phu!$I$43,M371=phu!$I$44),"Cam Thuận",""),IF(OR(M371=phu!$I$45,M371=phu!$I$46,M371=phu!$I$47,M371=phu!$I$48,M371=phu!$I$49,M371=phu!$I$50,M371=phu!$I$51,M371=phu!$I$52,M371=phu!$I$53),"Cam Linh",""),IF(OR(M371=phu!$I$54,M371=phu!$I$55,M371=phu!$I$56,M371=phu!$I$57,M371=phu!$I$58,M371=phu!$I$59,M371=phu!$I$60,M371=phu!$I$61,M371=phu!$I$62),"Cam Lợi",""),IF(OR(M371=phu!$I$63,M371=phu!$I$64,M371=phu!$I$65,M371=phu!$I$66,M371=phu!$I$67,M371=phu!$I$68,M371=phu!$I$69,M371=phu!$I$70,M371=phu!$I$71),"Ba Ngòi",""),IF(OR(M371=phu!$I$72,M371=phu!$I$73,M371=phu!$I$74,M371=phu!$I$75,M371=phu!$I$76,M371=phu!$I$77,M371=phu!$I$78),"Cam Phước Đông",""),IF(OR(M371=phu!$I$79,M371=phu!$I$80,M371=phu!$I$81,M371=phu!$I$82,M371=phu!$I$83,M371=phu!$I$84),"Cam Thịnh Đông",""),IF(OR(M371=phu!$I$85,M371=phu!$I$86,M371=phu!$I$87,M371=phu!$I$88),"Cam Thịnh Tây",""),IF(OR(M371=phu!$I$89,M371=phu!$I$90),"Cam Lập",""),IF(OR(M371=phu!$I$91,M371=phu!$I$92,M371=phu!$I$93),"Cam Bình",""),IF(OR(M371=phu!$I$94,M371=phu!$I$95,M371=phu!$I$96,M371=phu!$I$97,M371=phu!$I$98,M371=phu!$I$99,M371=phu!$I$100),"Huyện khác",""),IF(OR(M371=phu!$I$101,M371=phu!$I$102),"Tỉnh khác",""))</f>
        <v/>
      </c>
      <c r="O371" s="814" t="str">
        <f t="shared" si="31"/>
        <v/>
      </c>
      <c r="P371" s="254"/>
      <c r="Q371" s="254"/>
      <c r="R371" s="254"/>
      <c r="S371" s="254"/>
      <c r="T371" s="254"/>
      <c r="U371" s="254"/>
      <c r="V371" s="254"/>
      <c r="W371" s="254"/>
      <c r="Y371" s="246" t="str">
        <f t="shared" si="32"/>
        <v/>
      </c>
      <c r="Z371" s="247" t="str">
        <f t="shared" si="30"/>
        <v/>
      </c>
      <c r="AA371" s="246" t="str">
        <f t="shared" si="33"/>
        <v/>
      </c>
    </row>
    <row r="372" spans="1:27" ht="18" customHeight="1" x14ac:dyDescent="0.25">
      <c r="A372" s="248" t="str">
        <f t="shared" si="34"/>
        <v/>
      </c>
      <c r="B372" s="249" t="str">
        <f t="shared" si="35"/>
        <v/>
      </c>
      <c r="C372" s="250"/>
      <c r="D372" s="251"/>
      <c r="E372" s="241"/>
      <c r="F372" s="252"/>
      <c r="G372" s="252"/>
      <c r="H372" s="253"/>
      <c r="I372" s="250"/>
      <c r="J372" s="250"/>
      <c r="K372" s="270"/>
      <c r="L372" s="250"/>
      <c r="M372" s="250"/>
      <c r="N372" s="553" t="str">
        <f>CONCATENATE(IF(OR(M372=phu!$I$1,M372=phu!$I$2,M372=phu!$I$3),"Cam Thành Nam",""),IF(OR(M372=phu!$I$4,M372=phu!$I$5,M372=phu!$I$6,M372=phu!$I$7,M372=phu!$I$8,M372=phu!$I$9,M372=phu!$I$10,M372=phu!$I$11,M372=phu!$I$12,M372=phu!$I$13,M372=phu!$I$14),"Cam Nghĩa",""),IF(OR(M372=phu!$I$15,M372=phu!$I$16,M372=phu!$I$17,M372=phu!$I$18,M372=phu!$I$19,M372=phu!$I$20,M372=phu!$I$21),"Cam Phúc Bắc",""),IF(OR(M372=phu!$I$22,M372=phu!$I$23,M372=phu!$I$24,M372=phu!$I$25),"Cam Phúc Nam",""),IF(OR(M372=phu!$I$26,M372=phu!$I$27,M372=phu!$I$28,M372=phu!$I$29,M372=phu!$I$30,M372=phu!$I$31),"Cam Phú",""),IF(OR(M372=phu!$I$32,M372=phu!$I$33,M372=phu!$I$34,M372=phu!$I$35,M372=phu!$I$36,M372=phu!$I$37),"Cam Lộc",""),IF(OR(M372=phu!$I$38,M372=phu!$I$39,M372=phu!$I$40,M372=phu!$I$41,M372=phu!$I$42,M372=phu!$I$43,M372=phu!$I$44),"Cam Thuận",""),IF(OR(M372=phu!$I$45,M372=phu!$I$46,M372=phu!$I$47,M372=phu!$I$48,M372=phu!$I$49,M372=phu!$I$50,M372=phu!$I$51,M372=phu!$I$52,M372=phu!$I$53),"Cam Linh",""),IF(OR(M372=phu!$I$54,M372=phu!$I$55,M372=phu!$I$56,M372=phu!$I$57,M372=phu!$I$58,M372=phu!$I$59,M372=phu!$I$60,M372=phu!$I$61,M372=phu!$I$62),"Cam Lợi",""),IF(OR(M372=phu!$I$63,M372=phu!$I$64,M372=phu!$I$65,M372=phu!$I$66,M372=phu!$I$67,M372=phu!$I$68,M372=phu!$I$69,M372=phu!$I$70,M372=phu!$I$71),"Ba Ngòi",""),IF(OR(M372=phu!$I$72,M372=phu!$I$73,M372=phu!$I$74,M372=phu!$I$75,M372=phu!$I$76,M372=phu!$I$77,M372=phu!$I$78),"Cam Phước Đông",""),IF(OR(M372=phu!$I$79,M372=phu!$I$80,M372=phu!$I$81,M372=phu!$I$82,M372=phu!$I$83,M372=phu!$I$84),"Cam Thịnh Đông",""),IF(OR(M372=phu!$I$85,M372=phu!$I$86,M372=phu!$I$87,M372=phu!$I$88),"Cam Thịnh Tây",""),IF(OR(M372=phu!$I$89,M372=phu!$I$90),"Cam Lập",""),IF(OR(M372=phu!$I$91,M372=phu!$I$92,M372=phu!$I$93),"Cam Bình",""),IF(OR(M372=phu!$I$94,M372=phu!$I$95,M372=phu!$I$96,M372=phu!$I$97,M372=phu!$I$98,M372=phu!$I$99,M372=phu!$I$100),"Huyện khác",""),IF(OR(M372=phu!$I$101,M372=phu!$I$102),"Tỉnh khác",""))</f>
        <v/>
      </c>
      <c r="O372" s="814" t="str">
        <f t="shared" si="31"/>
        <v/>
      </c>
      <c r="P372" s="254"/>
      <c r="Q372" s="254"/>
      <c r="R372" s="254"/>
      <c r="S372" s="254"/>
      <c r="T372" s="254"/>
      <c r="U372" s="254"/>
      <c r="V372" s="254"/>
      <c r="W372" s="254"/>
      <c r="Y372" s="246" t="str">
        <f t="shared" si="32"/>
        <v/>
      </c>
      <c r="Z372" s="247" t="str">
        <f t="shared" si="30"/>
        <v/>
      </c>
      <c r="AA372" s="246" t="str">
        <f t="shared" si="33"/>
        <v/>
      </c>
    </row>
    <row r="373" spans="1:27" ht="18" customHeight="1" x14ac:dyDescent="0.25">
      <c r="A373" s="248" t="str">
        <f t="shared" si="34"/>
        <v/>
      </c>
      <c r="B373" s="249" t="str">
        <f t="shared" si="35"/>
        <v/>
      </c>
      <c r="C373" s="250"/>
      <c r="D373" s="251"/>
      <c r="E373" s="241"/>
      <c r="F373" s="252"/>
      <c r="G373" s="252"/>
      <c r="H373" s="253"/>
      <c r="I373" s="250"/>
      <c r="J373" s="250"/>
      <c r="K373" s="270"/>
      <c r="L373" s="250"/>
      <c r="M373" s="250"/>
      <c r="N373" s="553" t="str">
        <f>CONCATENATE(IF(OR(M373=phu!$I$1,M373=phu!$I$2,M373=phu!$I$3),"Cam Thành Nam",""),IF(OR(M373=phu!$I$4,M373=phu!$I$5,M373=phu!$I$6,M373=phu!$I$7,M373=phu!$I$8,M373=phu!$I$9,M373=phu!$I$10,M373=phu!$I$11,M373=phu!$I$12,M373=phu!$I$13,M373=phu!$I$14),"Cam Nghĩa",""),IF(OR(M373=phu!$I$15,M373=phu!$I$16,M373=phu!$I$17,M373=phu!$I$18,M373=phu!$I$19,M373=phu!$I$20,M373=phu!$I$21),"Cam Phúc Bắc",""),IF(OR(M373=phu!$I$22,M373=phu!$I$23,M373=phu!$I$24,M373=phu!$I$25),"Cam Phúc Nam",""),IF(OR(M373=phu!$I$26,M373=phu!$I$27,M373=phu!$I$28,M373=phu!$I$29,M373=phu!$I$30,M373=phu!$I$31),"Cam Phú",""),IF(OR(M373=phu!$I$32,M373=phu!$I$33,M373=phu!$I$34,M373=phu!$I$35,M373=phu!$I$36,M373=phu!$I$37),"Cam Lộc",""),IF(OR(M373=phu!$I$38,M373=phu!$I$39,M373=phu!$I$40,M373=phu!$I$41,M373=phu!$I$42,M373=phu!$I$43,M373=phu!$I$44),"Cam Thuận",""),IF(OR(M373=phu!$I$45,M373=phu!$I$46,M373=phu!$I$47,M373=phu!$I$48,M373=phu!$I$49,M373=phu!$I$50,M373=phu!$I$51,M373=phu!$I$52,M373=phu!$I$53),"Cam Linh",""),IF(OR(M373=phu!$I$54,M373=phu!$I$55,M373=phu!$I$56,M373=phu!$I$57,M373=phu!$I$58,M373=phu!$I$59,M373=phu!$I$60,M373=phu!$I$61,M373=phu!$I$62),"Cam Lợi",""),IF(OR(M373=phu!$I$63,M373=phu!$I$64,M373=phu!$I$65,M373=phu!$I$66,M373=phu!$I$67,M373=phu!$I$68,M373=phu!$I$69,M373=phu!$I$70,M373=phu!$I$71),"Ba Ngòi",""),IF(OR(M373=phu!$I$72,M373=phu!$I$73,M373=phu!$I$74,M373=phu!$I$75,M373=phu!$I$76,M373=phu!$I$77,M373=phu!$I$78),"Cam Phước Đông",""),IF(OR(M373=phu!$I$79,M373=phu!$I$80,M373=phu!$I$81,M373=phu!$I$82,M373=phu!$I$83,M373=phu!$I$84),"Cam Thịnh Đông",""),IF(OR(M373=phu!$I$85,M373=phu!$I$86,M373=phu!$I$87,M373=phu!$I$88),"Cam Thịnh Tây",""),IF(OR(M373=phu!$I$89,M373=phu!$I$90),"Cam Lập",""),IF(OR(M373=phu!$I$91,M373=phu!$I$92,M373=phu!$I$93),"Cam Bình",""),IF(OR(M373=phu!$I$94,M373=phu!$I$95,M373=phu!$I$96,M373=phu!$I$97,M373=phu!$I$98,M373=phu!$I$99,M373=phu!$I$100),"Huyện khác",""),IF(OR(M373=phu!$I$101,M373=phu!$I$102),"Tỉnh khác",""))</f>
        <v/>
      </c>
      <c r="O373" s="814" t="str">
        <f t="shared" si="31"/>
        <v/>
      </c>
      <c r="P373" s="254"/>
      <c r="Q373" s="254"/>
      <c r="R373" s="254"/>
      <c r="S373" s="254"/>
      <c r="T373" s="254"/>
      <c r="U373" s="254"/>
      <c r="V373" s="254"/>
      <c r="W373" s="254"/>
      <c r="Y373" s="246" t="str">
        <f t="shared" si="32"/>
        <v/>
      </c>
      <c r="Z373" s="247" t="str">
        <f t="shared" si="30"/>
        <v/>
      </c>
      <c r="AA373" s="246" t="str">
        <f t="shared" si="33"/>
        <v/>
      </c>
    </row>
    <row r="374" spans="1:27" ht="18" customHeight="1" x14ac:dyDescent="0.25">
      <c r="A374" s="248" t="str">
        <f t="shared" si="34"/>
        <v/>
      </c>
      <c r="B374" s="249" t="str">
        <f t="shared" si="35"/>
        <v/>
      </c>
      <c r="C374" s="250"/>
      <c r="D374" s="251"/>
      <c r="E374" s="241"/>
      <c r="F374" s="252"/>
      <c r="G374" s="252"/>
      <c r="H374" s="253"/>
      <c r="I374" s="250"/>
      <c r="J374" s="250"/>
      <c r="K374" s="270"/>
      <c r="L374" s="250"/>
      <c r="M374" s="250"/>
      <c r="N374" s="553" t="str">
        <f>CONCATENATE(IF(OR(M374=phu!$I$1,M374=phu!$I$2,M374=phu!$I$3),"Cam Thành Nam",""),IF(OR(M374=phu!$I$4,M374=phu!$I$5,M374=phu!$I$6,M374=phu!$I$7,M374=phu!$I$8,M374=phu!$I$9,M374=phu!$I$10,M374=phu!$I$11,M374=phu!$I$12,M374=phu!$I$13,M374=phu!$I$14),"Cam Nghĩa",""),IF(OR(M374=phu!$I$15,M374=phu!$I$16,M374=phu!$I$17,M374=phu!$I$18,M374=phu!$I$19,M374=phu!$I$20,M374=phu!$I$21),"Cam Phúc Bắc",""),IF(OR(M374=phu!$I$22,M374=phu!$I$23,M374=phu!$I$24,M374=phu!$I$25),"Cam Phúc Nam",""),IF(OR(M374=phu!$I$26,M374=phu!$I$27,M374=phu!$I$28,M374=phu!$I$29,M374=phu!$I$30,M374=phu!$I$31),"Cam Phú",""),IF(OR(M374=phu!$I$32,M374=phu!$I$33,M374=phu!$I$34,M374=phu!$I$35,M374=phu!$I$36,M374=phu!$I$37),"Cam Lộc",""),IF(OR(M374=phu!$I$38,M374=phu!$I$39,M374=phu!$I$40,M374=phu!$I$41,M374=phu!$I$42,M374=phu!$I$43,M374=phu!$I$44),"Cam Thuận",""),IF(OR(M374=phu!$I$45,M374=phu!$I$46,M374=phu!$I$47,M374=phu!$I$48,M374=phu!$I$49,M374=phu!$I$50,M374=phu!$I$51,M374=phu!$I$52,M374=phu!$I$53),"Cam Linh",""),IF(OR(M374=phu!$I$54,M374=phu!$I$55,M374=phu!$I$56,M374=phu!$I$57,M374=phu!$I$58,M374=phu!$I$59,M374=phu!$I$60,M374=phu!$I$61,M374=phu!$I$62),"Cam Lợi",""),IF(OR(M374=phu!$I$63,M374=phu!$I$64,M374=phu!$I$65,M374=phu!$I$66,M374=phu!$I$67,M374=phu!$I$68,M374=phu!$I$69,M374=phu!$I$70,M374=phu!$I$71),"Ba Ngòi",""),IF(OR(M374=phu!$I$72,M374=phu!$I$73,M374=phu!$I$74,M374=phu!$I$75,M374=phu!$I$76,M374=phu!$I$77,M374=phu!$I$78),"Cam Phước Đông",""),IF(OR(M374=phu!$I$79,M374=phu!$I$80,M374=phu!$I$81,M374=phu!$I$82,M374=phu!$I$83,M374=phu!$I$84),"Cam Thịnh Đông",""),IF(OR(M374=phu!$I$85,M374=phu!$I$86,M374=phu!$I$87,M374=phu!$I$88),"Cam Thịnh Tây",""),IF(OR(M374=phu!$I$89,M374=phu!$I$90),"Cam Lập",""),IF(OR(M374=phu!$I$91,M374=phu!$I$92,M374=phu!$I$93),"Cam Bình",""),IF(OR(M374=phu!$I$94,M374=phu!$I$95,M374=phu!$I$96,M374=phu!$I$97,M374=phu!$I$98,M374=phu!$I$99,M374=phu!$I$100),"Huyện khác",""),IF(OR(M374=phu!$I$101,M374=phu!$I$102),"Tỉnh khác",""))</f>
        <v/>
      </c>
      <c r="O374" s="814" t="str">
        <f t="shared" si="31"/>
        <v/>
      </c>
      <c r="P374" s="254"/>
      <c r="Q374" s="254"/>
      <c r="R374" s="254"/>
      <c r="S374" s="254"/>
      <c r="T374" s="254"/>
      <c r="U374" s="254"/>
      <c r="V374" s="254"/>
      <c r="W374" s="254"/>
      <c r="Y374" s="246" t="str">
        <f t="shared" si="32"/>
        <v/>
      </c>
      <c r="Z374" s="247" t="str">
        <f t="shared" si="30"/>
        <v/>
      </c>
      <c r="AA374" s="246" t="str">
        <f t="shared" si="33"/>
        <v/>
      </c>
    </row>
    <row r="375" spans="1:27" ht="18" customHeight="1" x14ac:dyDescent="0.25">
      <c r="A375" s="248" t="str">
        <f t="shared" si="34"/>
        <v/>
      </c>
      <c r="B375" s="249" t="str">
        <f t="shared" si="35"/>
        <v/>
      </c>
      <c r="C375" s="250"/>
      <c r="D375" s="251"/>
      <c r="E375" s="241"/>
      <c r="F375" s="252"/>
      <c r="G375" s="252"/>
      <c r="H375" s="253"/>
      <c r="I375" s="250"/>
      <c r="J375" s="250"/>
      <c r="K375" s="270"/>
      <c r="L375" s="250"/>
      <c r="M375" s="250"/>
      <c r="N375" s="553" t="str">
        <f>CONCATENATE(IF(OR(M375=phu!$I$1,M375=phu!$I$2,M375=phu!$I$3),"Cam Thành Nam",""),IF(OR(M375=phu!$I$4,M375=phu!$I$5,M375=phu!$I$6,M375=phu!$I$7,M375=phu!$I$8,M375=phu!$I$9,M375=phu!$I$10,M375=phu!$I$11,M375=phu!$I$12,M375=phu!$I$13,M375=phu!$I$14),"Cam Nghĩa",""),IF(OR(M375=phu!$I$15,M375=phu!$I$16,M375=phu!$I$17,M375=phu!$I$18,M375=phu!$I$19,M375=phu!$I$20,M375=phu!$I$21),"Cam Phúc Bắc",""),IF(OR(M375=phu!$I$22,M375=phu!$I$23,M375=phu!$I$24,M375=phu!$I$25),"Cam Phúc Nam",""),IF(OR(M375=phu!$I$26,M375=phu!$I$27,M375=phu!$I$28,M375=phu!$I$29,M375=phu!$I$30,M375=phu!$I$31),"Cam Phú",""),IF(OR(M375=phu!$I$32,M375=phu!$I$33,M375=phu!$I$34,M375=phu!$I$35,M375=phu!$I$36,M375=phu!$I$37),"Cam Lộc",""),IF(OR(M375=phu!$I$38,M375=phu!$I$39,M375=phu!$I$40,M375=phu!$I$41,M375=phu!$I$42,M375=phu!$I$43,M375=phu!$I$44),"Cam Thuận",""),IF(OR(M375=phu!$I$45,M375=phu!$I$46,M375=phu!$I$47,M375=phu!$I$48,M375=phu!$I$49,M375=phu!$I$50,M375=phu!$I$51,M375=phu!$I$52,M375=phu!$I$53),"Cam Linh",""),IF(OR(M375=phu!$I$54,M375=phu!$I$55,M375=phu!$I$56,M375=phu!$I$57,M375=phu!$I$58,M375=phu!$I$59,M375=phu!$I$60,M375=phu!$I$61,M375=phu!$I$62),"Cam Lợi",""),IF(OR(M375=phu!$I$63,M375=phu!$I$64,M375=phu!$I$65,M375=phu!$I$66,M375=phu!$I$67,M375=phu!$I$68,M375=phu!$I$69,M375=phu!$I$70,M375=phu!$I$71),"Ba Ngòi",""),IF(OR(M375=phu!$I$72,M375=phu!$I$73,M375=phu!$I$74,M375=phu!$I$75,M375=phu!$I$76,M375=phu!$I$77,M375=phu!$I$78),"Cam Phước Đông",""),IF(OR(M375=phu!$I$79,M375=phu!$I$80,M375=phu!$I$81,M375=phu!$I$82,M375=phu!$I$83,M375=phu!$I$84),"Cam Thịnh Đông",""),IF(OR(M375=phu!$I$85,M375=phu!$I$86,M375=phu!$I$87,M375=phu!$I$88),"Cam Thịnh Tây",""),IF(OR(M375=phu!$I$89,M375=phu!$I$90),"Cam Lập",""),IF(OR(M375=phu!$I$91,M375=phu!$I$92,M375=phu!$I$93),"Cam Bình",""),IF(OR(M375=phu!$I$94,M375=phu!$I$95,M375=phu!$I$96,M375=phu!$I$97,M375=phu!$I$98,M375=phu!$I$99,M375=phu!$I$100),"Huyện khác",""),IF(OR(M375=phu!$I$101,M375=phu!$I$102),"Tỉnh khác",""))</f>
        <v/>
      </c>
      <c r="O375" s="814" t="str">
        <f t="shared" si="31"/>
        <v/>
      </c>
      <c r="P375" s="254"/>
      <c r="Q375" s="254"/>
      <c r="R375" s="254"/>
      <c r="S375" s="254"/>
      <c r="T375" s="254"/>
      <c r="U375" s="254"/>
      <c r="V375" s="254"/>
      <c r="W375" s="254"/>
      <c r="Y375" s="246" t="str">
        <f t="shared" si="32"/>
        <v/>
      </c>
      <c r="Z375" s="247" t="str">
        <f t="shared" si="30"/>
        <v/>
      </c>
      <c r="AA375" s="246" t="str">
        <f t="shared" si="33"/>
        <v/>
      </c>
    </row>
    <row r="376" spans="1:27" ht="18" customHeight="1" x14ac:dyDescent="0.25">
      <c r="A376" s="248" t="str">
        <f t="shared" si="34"/>
        <v/>
      </c>
      <c r="B376" s="249" t="str">
        <f t="shared" si="35"/>
        <v/>
      </c>
      <c r="C376" s="250"/>
      <c r="D376" s="251"/>
      <c r="E376" s="241"/>
      <c r="F376" s="252"/>
      <c r="G376" s="252"/>
      <c r="H376" s="253"/>
      <c r="I376" s="250"/>
      <c r="J376" s="250"/>
      <c r="K376" s="270"/>
      <c r="L376" s="250"/>
      <c r="M376" s="250"/>
      <c r="N376" s="553" t="str">
        <f>CONCATENATE(IF(OR(M376=phu!$I$1,M376=phu!$I$2,M376=phu!$I$3),"Cam Thành Nam",""),IF(OR(M376=phu!$I$4,M376=phu!$I$5,M376=phu!$I$6,M376=phu!$I$7,M376=phu!$I$8,M376=phu!$I$9,M376=phu!$I$10,M376=phu!$I$11,M376=phu!$I$12,M376=phu!$I$13,M376=phu!$I$14),"Cam Nghĩa",""),IF(OR(M376=phu!$I$15,M376=phu!$I$16,M376=phu!$I$17,M376=phu!$I$18,M376=phu!$I$19,M376=phu!$I$20,M376=phu!$I$21),"Cam Phúc Bắc",""),IF(OR(M376=phu!$I$22,M376=phu!$I$23,M376=phu!$I$24,M376=phu!$I$25),"Cam Phúc Nam",""),IF(OR(M376=phu!$I$26,M376=phu!$I$27,M376=phu!$I$28,M376=phu!$I$29,M376=phu!$I$30,M376=phu!$I$31),"Cam Phú",""),IF(OR(M376=phu!$I$32,M376=phu!$I$33,M376=phu!$I$34,M376=phu!$I$35,M376=phu!$I$36,M376=phu!$I$37),"Cam Lộc",""),IF(OR(M376=phu!$I$38,M376=phu!$I$39,M376=phu!$I$40,M376=phu!$I$41,M376=phu!$I$42,M376=phu!$I$43,M376=phu!$I$44),"Cam Thuận",""),IF(OR(M376=phu!$I$45,M376=phu!$I$46,M376=phu!$I$47,M376=phu!$I$48,M376=phu!$I$49,M376=phu!$I$50,M376=phu!$I$51,M376=phu!$I$52,M376=phu!$I$53),"Cam Linh",""),IF(OR(M376=phu!$I$54,M376=phu!$I$55,M376=phu!$I$56,M376=phu!$I$57,M376=phu!$I$58,M376=phu!$I$59,M376=phu!$I$60,M376=phu!$I$61,M376=phu!$I$62),"Cam Lợi",""),IF(OR(M376=phu!$I$63,M376=phu!$I$64,M376=phu!$I$65,M376=phu!$I$66,M376=phu!$I$67,M376=phu!$I$68,M376=phu!$I$69,M376=phu!$I$70,M376=phu!$I$71),"Ba Ngòi",""),IF(OR(M376=phu!$I$72,M376=phu!$I$73,M376=phu!$I$74,M376=phu!$I$75,M376=phu!$I$76,M376=phu!$I$77,M376=phu!$I$78),"Cam Phước Đông",""),IF(OR(M376=phu!$I$79,M376=phu!$I$80,M376=phu!$I$81,M376=phu!$I$82,M376=phu!$I$83,M376=phu!$I$84),"Cam Thịnh Đông",""),IF(OR(M376=phu!$I$85,M376=phu!$I$86,M376=phu!$I$87,M376=phu!$I$88),"Cam Thịnh Tây",""),IF(OR(M376=phu!$I$89,M376=phu!$I$90),"Cam Lập",""),IF(OR(M376=phu!$I$91,M376=phu!$I$92,M376=phu!$I$93),"Cam Bình",""),IF(OR(M376=phu!$I$94,M376=phu!$I$95,M376=phu!$I$96,M376=phu!$I$97,M376=phu!$I$98,M376=phu!$I$99,M376=phu!$I$100),"Huyện khác",""),IF(OR(M376=phu!$I$101,M376=phu!$I$102),"Tỉnh khác",""))</f>
        <v/>
      </c>
      <c r="O376" s="814" t="str">
        <f t="shared" si="31"/>
        <v/>
      </c>
      <c r="P376" s="254"/>
      <c r="Q376" s="254"/>
      <c r="R376" s="254"/>
      <c r="S376" s="254"/>
      <c r="T376" s="254"/>
      <c r="U376" s="254"/>
      <c r="V376" s="254"/>
      <c r="W376" s="254"/>
      <c r="Y376" s="246" t="str">
        <f t="shared" si="32"/>
        <v/>
      </c>
      <c r="Z376" s="247" t="str">
        <f t="shared" si="30"/>
        <v/>
      </c>
      <c r="AA376" s="246" t="str">
        <f t="shared" si="33"/>
        <v/>
      </c>
    </row>
    <row r="377" spans="1:27" ht="18" customHeight="1" x14ac:dyDescent="0.25">
      <c r="A377" s="248" t="str">
        <f t="shared" si="34"/>
        <v/>
      </c>
      <c r="B377" s="249" t="str">
        <f t="shared" si="35"/>
        <v/>
      </c>
      <c r="C377" s="250"/>
      <c r="D377" s="251"/>
      <c r="E377" s="241"/>
      <c r="F377" s="252"/>
      <c r="G377" s="252"/>
      <c r="H377" s="253"/>
      <c r="I377" s="250"/>
      <c r="J377" s="250"/>
      <c r="K377" s="270"/>
      <c r="L377" s="250"/>
      <c r="M377" s="250"/>
      <c r="N377" s="553" t="str">
        <f>CONCATENATE(IF(OR(M377=phu!$I$1,M377=phu!$I$2,M377=phu!$I$3),"Cam Thành Nam",""),IF(OR(M377=phu!$I$4,M377=phu!$I$5,M377=phu!$I$6,M377=phu!$I$7,M377=phu!$I$8,M377=phu!$I$9,M377=phu!$I$10,M377=phu!$I$11,M377=phu!$I$12,M377=phu!$I$13,M377=phu!$I$14),"Cam Nghĩa",""),IF(OR(M377=phu!$I$15,M377=phu!$I$16,M377=phu!$I$17,M377=phu!$I$18,M377=phu!$I$19,M377=phu!$I$20,M377=phu!$I$21),"Cam Phúc Bắc",""),IF(OR(M377=phu!$I$22,M377=phu!$I$23,M377=phu!$I$24,M377=phu!$I$25),"Cam Phúc Nam",""),IF(OR(M377=phu!$I$26,M377=phu!$I$27,M377=phu!$I$28,M377=phu!$I$29,M377=phu!$I$30,M377=phu!$I$31),"Cam Phú",""),IF(OR(M377=phu!$I$32,M377=phu!$I$33,M377=phu!$I$34,M377=phu!$I$35,M377=phu!$I$36,M377=phu!$I$37),"Cam Lộc",""),IF(OR(M377=phu!$I$38,M377=phu!$I$39,M377=phu!$I$40,M377=phu!$I$41,M377=phu!$I$42,M377=phu!$I$43,M377=phu!$I$44),"Cam Thuận",""),IF(OR(M377=phu!$I$45,M377=phu!$I$46,M377=phu!$I$47,M377=phu!$I$48,M377=phu!$I$49,M377=phu!$I$50,M377=phu!$I$51,M377=phu!$I$52,M377=phu!$I$53),"Cam Linh",""),IF(OR(M377=phu!$I$54,M377=phu!$I$55,M377=phu!$I$56,M377=phu!$I$57,M377=phu!$I$58,M377=phu!$I$59,M377=phu!$I$60,M377=phu!$I$61,M377=phu!$I$62),"Cam Lợi",""),IF(OR(M377=phu!$I$63,M377=phu!$I$64,M377=phu!$I$65,M377=phu!$I$66,M377=phu!$I$67,M377=phu!$I$68,M377=phu!$I$69,M377=phu!$I$70,M377=phu!$I$71),"Ba Ngòi",""),IF(OR(M377=phu!$I$72,M377=phu!$I$73,M377=phu!$I$74,M377=phu!$I$75,M377=phu!$I$76,M377=phu!$I$77,M377=phu!$I$78),"Cam Phước Đông",""),IF(OR(M377=phu!$I$79,M377=phu!$I$80,M377=phu!$I$81,M377=phu!$I$82,M377=phu!$I$83,M377=phu!$I$84),"Cam Thịnh Đông",""),IF(OR(M377=phu!$I$85,M377=phu!$I$86,M377=phu!$I$87,M377=phu!$I$88),"Cam Thịnh Tây",""),IF(OR(M377=phu!$I$89,M377=phu!$I$90),"Cam Lập",""),IF(OR(M377=phu!$I$91,M377=phu!$I$92,M377=phu!$I$93),"Cam Bình",""),IF(OR(M377=phu!$I$94,M377=phu!$I$95,M377=phu!$I$96,M377=phu!$I$97,M377=phu!$I$98,M377=phu!$I$99,M377=phu!$I$100),"Huyện khác",""),IF(OR(M377=phu!$I$101,M377=phu!$I$102),"Tỉnh khác",""))</f>
        <v/>
      </c>
      <c r="O377" s="814" t="str">
        <f t="shared" si="31"/>
        <v/>
      </c>
      <c r="P377" s="254"/>
      <c r="Q377" s="254"/>
      <c r="R377" s="254"/>
      <c r="S377" s="254"/>
      <c r="T377" s="254"/>
      <c r="U377" s="254"/>
      <c r="V377" s="254"/>
      <c r="W377" s="254"/>
      <c r="Y377" s="246" t="str">
        <f t="shared" si="32"/>
        <v/>
      </c>
      <c r="Z377" s="247" t="str">
        <f t="shared" si="30"/>
        <v/>
      </c>
      <c r="AA377" s="246" t="str">
        <f t="shared" si="33"/>
        <v/>
      </c>
    </row>
    <row r="378" spans="1:27" ht="18" customHeight="1" x14ac:dyDescent="0.25">
      <c r="A378" s="248" t="str">
        <f t="shared" si="34"/>
        <v/>
      </c>
      <c r="B378" s="249" t="str">
        <f t="shared" si="35"/>
        <v/>
      </c>
      <c r="C378" s="250"/>
      <c r="D378" s="251"/>
      <c r="E378" s="241"/>
      <c r="F378" s="252"/>
      <c r="G378" s="252"/>
      <c r="H378" s="253"/>
      <c r="I378" s="250"/>
      <c r="J378" s="250"/>
      <c r="K378" s="270"/>
      <c r="L378" s="250"/>
      <c r="M378" s="250"/>
      <c r="N378" s="553" t="str">
        <f>CONCATENATE(IF(OR(M378=phu!$I$1,M378=phu!$I$2,M378=phu!$I$3),"Cam Thành Nam",""),IF(OR(M378=phu!$I$4,M378=phu!$I$5,M378=phu!$I$6,M378=phu!$I$7,M378=phu!$I$8,M378=phu!$I$9,M378=phu!$I$10,M378=phu!$I$11,M378=phu!$I$12,M378=phu!$I$13,M378=phu!$I$14),"Cam Nghĩa",""),IF(OR(M378=phu!$I$15,M378=phu!$I$16,M378=phu!$I$17,M378=phu!$I$18,M378=phu!$I$19,M378=phu!$I$20,M378=phu!$I$21),"Cam Phúc Bắc",""),IF(OR(M378=phu!$I$22,M378=phu!$I$23,M378=phu!$I$24,M378=phu!$I$25),"Cam Phúc Nam",""),IF(OR(M378=phu!$I$26,M378=phu!$I$27,M378=phu!$I$28,M378=phu!$I$29,M378=phu!$I$30,M378=phu!$I$31),"Cam Phú",""),IF(OR(M378=phu!$I$32,M378=phu!$I$33,M378=phu!$I$34,M378=phu!$I$35,M378=phu!$I$36,M378=phu!$I$37),"Cam Lộc",""),IF(OR(M378=phu!$I$38,M378=phu!$I$39,M378=phu!$I$40,M378=phu!$I$41,M378=phu!$I$42,M378=phu!$I$43,M378=phu!$I$44),"Cam Thuận",""),IF(OR(M378=phu!$I$45,M378=phu!$I$46,M378=phu!$I$47,M378=phu!$I$48,M378=phu!$I$49,M378=phu!$I$50,M378=phu!$I$51,M378=phu!$I$52,M378=phu!$I$53),"Cam Linh",""),IF(OR(M378=phu!$I$54,M378=phu!$I$55,M378=phu!$I$56,M378=phu!$I$57,M378=phu!$I$58,M378=phu!$I$59,M378=phu!$I$60,M378=phu!$I$61,M378=phu!$I$62),"Cam Lợi",""),IF(OR(M378=phu!$I$63,M378=phu!$I$64,M378=phu!$I$65,M378=phu!$I$66,M378=phu!$I$67,M378=phu!$I$68,M378=phu!$I$69,M378=phu!$I$70,M378=phu!$I$71),"Ba Ngòi",""),IF(OR(M378=phu!$I$72,M378=phu!$I$73,M378=phu!$I$74,M378=phu!$I$75,M378=phu!$I$76,M378=phu!$I$77,M378=phu!$I$78),"Cam Phước Đông",""),IF(OR(M378=phu!$I$79,M378=phu!$I$80,M378=phu!$I$81,M378=phu!$I$82,M378=phu!$I$83,M378=phu!$I$84),"Cam Thịnh Đông",""),IF(OR(M378=phu!$I$85,M378=phu!$I$86,M378=phu!$I$87,M378=phu!$I$88),"Cam Thịnh Tây",""),IF(OR(M378=phu!$I$89,M378=phu!$I$90),"Cam Lập",""),IF(OR(M378=phu!$I$91,M378=phu!$I$92,M378=phu!$I$93),"Cam Bình",""),IF(OR(M378=phu!$I$94,M378=phu!$I$95,M378=phu!$I$96,M378=phu!$I$97,M378=phu!$I$98,M378=phu!$I$99,M378=phu!$I$100),"Huyện khác",""),IF(OR(M378=phu!$I$101,M378=phu!$I$102),"Tỉnh khác",""))</f>
        <v/>
      </c>
      <c r="O378" s="814" t="str">
        <f t="shared" si="31"/>
        <v/>
      </c>
      <c r="P378" s="254"/>
      <c r="Q378" s="254"/>
      <c r="R378" s="254"/>
      <c r="S378" s="254"/>
      <c r="T378" s="254"/>
      <c r="U378" s="254"/>
      <c r="V378" s="254"/>
      <c r="W378" s="254"/>
      <c r="Y378" s="246" t="str">
        <f t="shared" si="32"/>
        <v/>
      </c>
      <c r="Z378" s="247" t="str">
        <f t="shared" si="30"/>
        <v/>
      </c>
      <c r="AA378" s="246" t="str">
        <f t="shared" si="33"/>
        <v/>
      </c>
    </row>
    <row r="379" spans="1:27" ht="18" customHeight="1" x14ac:dyDescent="0.25">
      <c r="A379" s="248" t="str">
        <f t="shared" si="34"/>
        <v/>
      </c>
      <c r="B379" s="249" t="str">
        <f t="shared" si="35"/>
        <v/>
      </c>
      <c r="C379" s="250"/>
      <c r="D379" s="251"/>
      <c r="E379" s="241"/>
      <c r="F379" s="252"/>
      <c r="G379" s="252"/>
      <c r="H379" s="253"/>
      <c r="I379" s="250"/>
      <c r="J379" s="250"/>
      <c r="K379" s="270"/>
      <c r="L379" s="250"/>
      <c r="M379" s="250"/>
      <c r="N379" s="553" t="str">
        <f>CONCATENATE(IF(OR(M379=phu!$I$1,M379=phu!$I$2,M379=phu!$I$3),"Cam Thành Nam",""),IF(OR(M379=phu!$I$4,M379=phu!$I$5,M379=phu!$I$6,M379=phu!$I$7,M379=phu!$I$8,M379=phu!$I$9,M379=phu!$I$10,M379=phu!$I$11,M379=phu!$I$12,M379=phu!$I$13,M379=phu!$I$14),"Cam Nghĩa",""),IF(OR(M379=phu!$I$15,M379=phu!$I$16,M379=phu!$I$17,M379=phu!$I$18,M379=phu!$I$19,M379=phu!$I$20,M379=phu!$I$21),"Cam Phúc Bắc",""),IF(OR(M379=phu!$I$22,M379=phu!$I$23,M379=phu!$I$24,M379=phu!$I$25),"Cam Phúc Nam",""),IF(OR(M379=phu!$I$26,M379=phu!$I$27,M379=phu!$I$28,M379=phu!$I$29,M379=phu!$I$30,M379=phu!$I$31),"Cam Phú",""),IF(OR(M379=phu!$I$32,M379=phu!$I$33,M379=phu!$I$34,M379=phu!$I$35,M379=phu!$I$36,M379=phu!$I$37),"Cam Lộc",""),IF(OR(M379=phu!$I$38,M379=phu!$I$39,M379=phu!$I$40,M379=phu!$I$41,M379=phu!$I$42,M379=phu!$I$43,M379=phu!$I$44),"Cam Thuận",""),IF(OR(M379=phu!$I$45,M379=phu!$I$46,M379=phu!$I$47,M379=phu!$I$48,M379=phu!$I$49,M379=phu!$I$50,M379=phu!$I$51,M379=phu!$I$52,M379=phu!$I$53),"Cam Linh",""),IF(OR(M379=phu!$I$54,M379=phu!$I$55,M379=phu!$I$56,M379=phu!$I$57,M379=phu!$I$58,M379=phu!$I$59,M379=phu!$I$60,M379=phu!$I$61,M379=phu!$I$62),"Cam Lợi",""),IF(OR(M379=phu!$I$63,M379=phu!$I$64,M379=phu!$I$65,M379=phu!$I$66,M379=phu!$I$67,M379=phu!$I$68,M379=phu!$I$69,M379=phu!$I$70,M379=phu!$I$71),"Ba Ngòi",""),IF(OR(M379=phu!$I$72,M379=phu!$I$73,M379=phu!$I$74,M379=phu!$I$75,M379=phu!$I$76,M379=phu!$I$77,M379=phu!$I$78),"Cam Phước Đông",""),IF(OR(M379=phu!$I$79,M379=phu!$I$80,M379=phu!$I$81,M379=phu!$I$82,M379=phu!$I$83,M379=phu!$I$84),"Cam Thịnh Đông",""),IF(OR(M379=phu!$I$85,M379=phu!$I$86,M379=phu!$I$87,M379=phu!$I$88),"Cam Thịnh Tây",""),IF(OR(M379=phu!$I$89,M379=phu!$I$90),"Cam Lập",""),IF(OR(M379=phu!$I$91,M379=phu!$I$92,M379=phu!$I$93),"Cam Bình",""),IF(OR(M379=phu!$I$94,M379=phu!$I$95,M379=phu!$I$96,M379=phu!$I$97,M379=phu!$I$98,M379=phu!$I$99,M379=phu!$I$100),"Huyện khác",""),IF(OR(M379=phu!$I$101,M379=phu!$I$102),"Tỉnh khác",""))</f>
        <v/>
      </c>
      <c r="O379" s="814" t="str">
        <f t="shared" si="31"/>
        <v/>
      </c>
      <c r="P379" s="254"/>
      <c r="Q379" s="254"/>
      <c r="R379" s="254"/>
      <c r="S379" s="254"/>
      <c r="T379" s="254"/>
      <c r="U379" s="254"/>
      <c r="V379" s="254"/>
      <c r="W379" s="254"/>
      <c r="Y379" s="246" t="str">
        <f t="shared" si="32"/>
        <v/>
      </c>
      <c r="Z379" s="247" t="str">
        <f t="shared" si="30"/>
        <v/>
      </c>
      <c r="AA379" s="246" t="str">
        <f t="shared" si="33"/>
        <v/>
      </c>
    </row>
    <row r="380" spans="1:27" ht="18" customHeight="1" x14ac:dyDescent="0.25">
      <c r="A380" s="248" t="str">
        <f t="shared" si="34"/>
        <v/>
      </c>
      <c r="B380" s="249" t="str">
        <f t="shared" si="35"/>
        <v/>
      </c>
      <c r="C380" s="250"/>
      <c r="D380" s="251"/>
      <c r="E380" s="241"/>
      <c r="F380" s="252"/>
      <c r="G380" s="252"/>
      <c r="H380" s="253"/>
      <c r="I380" s="250"/>
      <c r="J380" s="250"/>
      <c r="K380" s="270"/>
      <c r="L380" s="250"/>
      <c r="M380" s="250"/>
      <c r="N380" s="553" t="str">
        <f>CONCATENATE(IF(OR(M380=phu!$I$1,M380=phu!$I$2,M380=phu!$I$3),"Cam Thành Nam",""),IF(OR(M380=phu!$I$4,M380=phu!$I$5,M380=phu!$I$6,M380=phu!$I$7,M380=phu!$I$8,M380=phu!$I$9,M380=phu!$I$10,M380=phu!$I$11,M380=phu!$I$12,M380=phu!$I$13,M380=phu!$I$14),"Cam Nghĩa",""),IF(OR(M380=phu!$I$15,M380=phu!$I$16,M380=phu!$I$17,M380=phu!$I$18,M380=phu!$I$19,M380=phu!$I$20,M380=phu!$I$21),"Cam Phúc Bắc",""),IF(OR(M380=phu!$I$22,M380=phu!$I$23,M380=phu!$I$24,M380=phu!$I$25),"Cam Phúc Nam",""),IF(OR(M380=phu!$I$26,M380=phu!$I$27,M380=phu!$I$28,M380=phu!$I$29,M380=phu!$I$30,M380=phu!$I$31),"Cam Phú",""),IF(OR(M380=phu!$I$32,M380=phu!$I$33,M380=phu!$I$34,M380=phu!$I$35,M380=phu!$I$36,M380=phu!$I$37),"Cam Lộc",""),IF(OR(M380=phu!$I$38,M380=phu!$I$39,M380=phu!$I$40,M380=phu!$I$41,M380=phu!$I$42,M380=phu!$I$43,M380=phu!$I$44),"Cam Thuận",""),IF(OR(M380=phu!$I$45,M380=phu!$I$46,M380=phu!$I$47,M380=phu!$I$48,M380=phu!$I$49,M380=phu!$I$50,M380=phu!$I$51,M380=phu!$I$52,M380=phu!$I$53),"Cam Linh",""),IF(OR(M380=phu!$I$54,M380=phu!$I$55,M380=phu!$I$56,M380=phu!$I$57,M380=phu!$I$58,M380=phu!$I$59,M380=phu!$I$60,M380=phu!$I$61,M380=phu!$I$62),"Cam Lợi",""),IF(OR(M380=phu!$I$63,M380=phu!$I$64,M380=phu!$I$65,M380=phu!$I$66,M380=phu!$I$67,M380=phu!$I$68,M380=phu!$I$69,M380=phu!$I$70,M380=phu!$I$71),"Ba Ngòi",""),IF(OR(M380=phu!$I$72,M380=phu!$I$73,M380=phu!$I$74,M380=phu!$I$75,M380=phu!$I$76,M380=phu!$I$77,M380=phu!$I$78),"Cam Phước Đông",""),IF(OR(M380=phu!$I$79,M380=phu!$I$80,M380=phu!$I$81,M380=phu!$I$82,M380=phu!$I$83,M380=phu!$I$84),"Cam Thịnh Đông",""),IF(OR(M380=phu!$I$85,M380=phu!$I$86,M380=phu!$I$87,M380=phu!$I$88),"Cam Thịnh Tây",""),IF(OR(M380=phu!$I$89,M380=phu!$I$90),"Cam Lập",""),IF(OR(M380=phu!$I$91,M380=phu!$I$92,M380=phu!$I$93),"Cam Bình",""),IF(OR(M380=phu!$I$94,M380=phu!$I$95,M380=phu!$I$96,M380=phu!$I$97,M380=phu!$I$98,M380=phu!$I$99,M380=phu!$I$100),"Huyện khác",""),IF(OR(M380=phu!$I$101,M380=phu!$I$102),"Tỉnh khác",""))</f>
        <v/>
      </c>
      <c r="O380" s="814" t="str">
        <f t="shared" si="31"/>
        <v/>
      </c>
      <c r="P380" s="254"/>
      <c r="Q380" s="254"/>
      <c r="R380" s="254"/>
      <c r="S380" s="254"/>
      <c r="T380" s="254"/>
      <c r="U380" s="254"/>
      <c r="V380" s="254"/>
      <c r="W380" s="254"/>
      <c r="Y380" s="246" t="str">
        <f t="shared" si="32"/>
        <v/>
      </c>
      <c r="Z380" s="247" t="str">
        <f t="shared" si="30"/>
        <v/>
      </c>
      <c r="AA380" s="246" t="str">
        <f t="shared" si="33"/>
        <v/>
      </c>
    </row>
    <row r="381" spans="1:27" ht="18" customHeight="1" x14ac:dyDescent="0.25">
      <c r="A381" s="248" t="str">
        <f t="shared" si="34"/>
        <v/>
      </c>
      <c r="B381" s="249" t="str">
        <f t="shared" si="35"/>
        <v/>
      </c>
      <c r="C381" s="250"/>
      <c r="D381" s="251"/>
      <c r="E381" s="241"/>
      <c r="F381" s="252"/>
      <c r="G381" s="252"/>
      <c r="H381" s="253"/>
      <c r="I381" s="250"/>
      <c r="J381" s="250"/>
      <c r="K381" s="270"/>
      <c r="L381" s="250"/>
      <c r="M381" s="250"/>
      <c r="N381" s="553" t="str">
        <f>CONCATENATE(IF(OR(M381=phu!$I$1,M381=phu!$I$2,M381=phu!$I$3),"Cam Thành Nam",""),IF(OR(M381=phu!$I$4,M381=phu!$I$5,M381=phu!$I$6,M381=phu!$I$7,M381=phu!$I$8,M381=phu!$I$9,M381=phu!$I$10,M381=phu!$I$11,M381=phu!$I$12,M381=phu!$I$13,M381=phu!$I$14),"Cam Nghĩa",""),IF(OR(M381=phu!$I$15,M381=phu!$I$16,M381=phu!$I$17,M381=phu!$I$18,M381=phu!$I$19,M381=phu!$I$20,M381=phu!$I$21),"Cam Phúc Bắc",""),IF(OR(M381=phu!$I$22,M381=phu!$I$23,M381=phu!$I$24,M381=phu!$I$25),"Cam Phúc Nam",""),IF(OR(M381=phu!$I$26,M381=phu!$I$27,M381=phu!$I$28,M381=phu!$I$29,M381=phu!$I$30,M381=phu!$I$31),"Cam Phú",""),IF(OR(M381=phu!$I$32,M381=phu!$I$33,M381=phu!$I$34,M381=phu!$I$35,M381=phu!$I$36,M381=phu!$I$37),"Cam Lộc",""),IF(OR(M381=phu!$I$38,M381=phu!$I$39,M381=phu!$I$40,M381=phu!$I$41,M381=phu!$I$42,M381=phu!$I$43,M381=phu!$I$44),"Cam Thuận",""),IF(OR(M381=phu!$I$45,M381=phu!$I$46,M381=phu!$I$47,M381=phu!$I$48,M381=phu!$I$49,M381=phu!$I$50,M381=phu!$I$51,M381=phu!$I$52,M381=phu!$I$53),"Cam Linh",""),IF(OR(M381=phu!$I$54,M381=phu!$I$55,M381=phu!$I$56,M381=phu!$I$57,M381=phu!$I$58,M381=phu!$I$59,M381=phu!$I$60,M381=phu!$I$61,M381=phu!$I$62),"Cam Lợi",""),IF(OR(M381=phu!$I$63,M381=phu!$I$64,M381=phu!$I$65,M381=phu!$I$66,M381=phu!$I$67,M381=phu!$I$68,M381=phu!$I$69,M381=phu!$I$70,M381=phu!$I$71),"Ba Ngòi",""),IF(OR(M381=phu!$I$72,M381=phu!$I$73,M381=phu!$I$74,M381=phu!$I$75,M381=phu!$I$76,M381=phu!$I$77,M381=phu!$I$78),"Cam Phước Đông",""),IF(OR(M381=phu!$I$79,M381=phu!$I$80,M381=phu!$I$81,M381=phu!$I$82,M381=phu!$I$83,M381=phu!$I$84),"Cam Thịnh Đông",""),IF(OR(M381=phu!$I$85,M381=phu!$I$86,M381=phu!$I$87,M381=phu!$I$88),"Cam Thịnh Tây",""),IF(OR(M381=phu!$I$89,M381=phu!$I$90),"Cam Lập",""),IF(OR(M381=phu!$I$91,M381=phu!$I$92,M381=phu!$I$93),"Cam Bình",""),IF(OR(M381=phu!$I$94,M381=phu!$I$95,M381=phu!$I$96,M381=phu!$I$97,M381=phu!$I$98,M381=phu!$I$99,M381=phu!$I$100),"Huyện khác",""),IF(OR(M381=phu!$I$101,M381=phu!$I$102),"Tỉnh khác",""))</f>
        <v/>
      </c>
      <c r="O381" s="814" t="str">
        <f t="shared" si="31"/>
        <v/>
      </c>
      <c r="P381" s="254"/>
      <c r="Q381" s="254"/>
      <c r="R381" s="254"/>
      <c r="S381" s="254"/>
      <c r="T381" s="254"/>
      <c r="U381" s="254"/>
      <c r="V381" s="254"/>
      <c r="W381" s="254"/>
      <c r="Y381" s="246" t="str">
        <f t="shared" si="32"/>
        <v/>
      </c>
      <c r="Z381" s="247" t="str">
        <f t="shared" si="30"/>
        <v/>
      </c>
      <c r="AA381" s="246" t="str">
        <f t="shared" si="33"/>
        <v/>
      </c>
    </row>
    <row r="382" spans="1:27" ht="18" customHeight="1" x14ac:dyDescent="0.25">
      <c r="A382" s="248" t="str">
        <f t="shared" si="34"/>
        <v/>
      </c>
      <c r="B382" s="249" t="str">
        <f t="shared" si="35"/>
        <v/>
      </c>
      <c r="C382" s="250"/>
      <c r="D382" s="251"/>
      <c r="E382" s="241"/>
      <c r="F382" s="252"/>
      <c r="G382" s="252"/>
      <c r="H382" s="253"/>
      <c r="I382" s="250"/>
      <c r="J382" s="250"/>
      <c r="K382" s="270"/>
      <c r="L382" s="250"/>
      <c r="M382" s="250"/>
      <c r="N382" s="553" t="str">
        <f>CONCATENATE(IF(OR(M382=phu!$I$1,M382=phu!$I$2,M382=phu!$I$3),"Cam Thành Nam",""),IF(OR(M382=phu!$I$4,M382=phu!$I$5,M382=phu!$I$6,M382=phu!$I$7,M382=phu!$I$8,M382=phu!$I$9,M382=phu!$I$10,M382=phu!$I$11,M382=phu!$I$12,M382=phu!$I$13,M382=phu!$I$14),"Cam Nghĩa",""),IF(OR(M382=phu!$I$15,M382=phu!$I$16,M382=phu!$I$17,M382=phu!$I$18,M382=phu!$I$19,M382=phu!$I$20,M382=phu!$I$21),"Cam Phúc Bắc",""),IF(OR(M382=phu!$I$22,M382=phu!$I$23,M382=phu!$I$24,M382=phu!$I$25),"Cam Phúc Nam",""),IF(OR(M382=phu!$I$26,M382=phu!$I$27,M382=phu!$I$28,M382=phu!$I$29,M382=phu!$I$30,M382=phu!$I$31),"Cam Phú",""),IF(OR(M382=phu!$I$32,M382=phu!$I$33,M382=phu!$I$34,M382=phu!$I$35,M382=phu!$I$36,M382=phu!$I$37),"Cam Lộc",""),IF(OR(M382=phu!$I$38,M382=phu!$I$39,M382=phu!$I$40,M382=phu!$I$41,M382=phu!$I$42,M382=phu!$I$43,M382=phu!$I$44),"Cam Thuận",""),IF(OR(M382=phu!$I$45,M382=phu!$I$46,M382=phu!$I$47,M382=phu!$I$48,M382=phu!$I$49,M382=phu!$I$50,M382=phu!$I$51,M382=phu!$I$52,M382=phu!$I$53),"Cam Linh",""),IF(OR(M382=phu!$I$54,M382=phu!$I$55,M382=phu!$I$56,M382=phu!$I$57,M382=phu!$I$58,M382=phu!$I$59,M382=phu!$I$60,M382=phu!$I$61,M382=phu!$I$62),"Cam Lợi",""),IF(OR(M382=phu!$I$63,M382=phu!$I$64,M382=phu!$I$65,M382=phu!$I$66,M382=phu!$I$67,M382=phu!$I$68,M382=phu!$I$69,M382=phu!$I$70,M382=phu!$I$71),"Ba Ngòi",""),IF(OR(M382=phu!$I$72,M382=phu!$I$73,M382=phu!$I$74,M382=phu!$I$75,M382=phu!$I$76,M382=phu!$I$77,M382=phu!$I$78),"Cam Phước Đông",""),IF(OR(M382=phu!$I$79,M382=phu!$I$80,M382=phu!$I$81,M382=phu!$I$82,M382=phu!$I$83,M382=phu!$I$84),"Cam Thịnh Đông",""),IF(OR(M382=phu!$I$85,M382=phu!$I$86,M382=phu!$I$87,M382=phu!$I$88),"Cam Thịnh Tây",""),IF(OR(M382=phu!$I$89,M382=phu!$I$90),"Cam Lập",""),IF(OR(M382=phu!$I$91,M382=phu!$I$92,M382=phu!$I$93),"Cam Bình",""),IF(OR(M382=phu!$I$94,M382=phu!$I$95,M382=phu!$I$96,M382=phu!$I$97,M382=phu!$I$98,M382=phu!$I$99,M382=phu!$I$100),"Huyện khác",""),IF(OR(M382=phu!$I$101,M382=phu!$I$102),"Tỉnh khác",""))</f>
        <v/>
      </c>
      <c r="O382" s="814" t="str">
        <f t="shared" si="31"/>
        <v/>
      </c>
      <c r="P382" s="254"/>
      <c r="Q382" s="254"/>
      <c r="R382" s="254"/>
      <c r="S382" s="254"/>
      <c r="T382" s="254"/>
      <c r="U382" s="254"/>
      <c r="V382" s="254"/>
      <c r="W382" s="254"/>
      <c r="Y382" s="246" t="str">
        <f t="shared" si="32"/>
        <v/>
      </c>
      <c r="Z382" s="247" t="str">
        <f t="shared" si="30"/>
        <v/>
      </c>
      <c r="AA382" s="246" t="str">
        <f t="shared" si="33"/>
        <v/>
      </c>
    </row>
    <row r="383" spans="1:27" ht="18" customHeight="1" x14ac:dyDescent="0.25">
      <c r="A383" s="248" t="str">
        <f t="shared" si="34"/>
        <v/>
      </c>
      <c r="B383" s="249" t="str">
        <f t="shared" si="35"/>
        <v/>
      </c>
      <c r="C383" s="250"/>
      <c r="D383" s="251"/>
      <c r="E383" s="241"/>
      <c r="F383" s="252"/>
      <c r="G383" s="252"/>
      <c r="H383" s="253"/>
      <c r="I383" s="250"/>
      <c r="J383" s="250"/>
      <c r="K383" s="270"/>
      <c r="L383" s="250"/>
      <c r="M383" s="250"/>
      <c r="N383" s="553" t="str">
        <f>CONCATENATE(IF(OR(M383=phu!$I$1,M383=phu!$I$2,M383=phu!$I$3),"Cam Thành Nam",""),IF(OR(M383=phu!$I$4,M383=phu!$I$5,M383=phu!$I$6,M383=phu!$I$7,M383=phu!$I$8,M383=phu!$I$9,M383=phu!$I$10,M383=phu!$I$11,M383=phu!$I$12,M383=phu!$I$13,M383=phu!$I$14),"Cam Nghĩa",""),IF(OR(M383=phu!$I$15,M383=phu!$I$16,M383=phu!$I$17,M383=phu!$I$18,M383=phu!$I$19,M383=phu!$I$20,M383=phu!$I$21),"Cam Phúc Bắc",""),IF(OR(M383=phu!$I$22,M383=phu!$I$23,M383=phu!$I$24,M383=phu!$I$25),"Cam Phúc Nam",""),IF(OR(M383=phu!$I$26,M383=phu!$I$27,M383=phu!$I$28,M383=phu!$I$29,M383=phu!$I$30,M383=phu!$I$31),"Cam Phú",""),IF(OR(M383=phu!$I$32,M383=phu!$I$33,M383=phu!$I$34,M383=phu!$I$35,M383=phu!$I$36,M383=phu!$I$37),"Cam Lộc",""),IF(OR(M383=phu!$I$38,M383=phu!$I$39,M383=phu!$I$40,M383=phu!$I$41,M383=phu!$I$42,M383=phu!$I$43,M383=phu!$I$44),"Cam Thuận",""),IF(OR(M383=phu!$I$45,M383=phu!$I$46,M383=phu!$I$47,M383=phu!$I$48,M383=phu!$I$49,M383=phu!$I$50,M383=phu!$I$51,M383=phu!$I$52,M383=phu!$I$53),"Cam Linh",""),IF(OR(M383=phu!$I$54,M383=phu!$I$55,M383=phu!$I$56,M383=phu!$I$57,M383=phu!$I$58,M383=phu!$I$59,M383=phu!$I$60,M383=phu!$I$61,M383=phu!$I$62),"Cam Lợi",""),IF(OR(M383=phu!$I$63,M383=phu!$I$64,M383=phu!$I$65,M383=phu!$I$66,M383=phu!$I$67,M383=phu!$I$68,M383=phu!$I$69,M383=phu!$I$70,M383=phu!$I$71),"Ba Ngòi",""),IF(OR(M383=phu!$I$72,M383=phu!$I$73,M383=phu!$I$74,M383=phu!$I$75,M383=phu!$I$76,M383=phu!$I$77,M383=phu!$I$78),"Cam Phước Đông",""),IF(OR(M383=phu!$I$79,M383=phu!$I$80,M383=phu!$I$81,M383=phu!$I$82,M383=phu!$I$83,M383=phu!$I$84),"Cam Thịnh Đông",""),IF(OR(M383=phu!$I$85,M383=phu!$I$86,M383=phu!$I$87,M383=phu!$I$88),"Cam Thịnh Tây",""),IF(OR(M383=phu!$I$89,M383=phu!$I$90),"Cam Lập",""),IF(OR(M383=phu!$I$91,M383=phu!$I$92,M383=phu!$I$93),"Cam Bình",""),IF(OR(M383=phu!$I$94,M383=phu!$I$95,M383=phu!$I$96,M383=phu!$I$97,M383=phu!$I$98,M383=phu!$I$99,M383=phu!$I$100),"Huyện khác",""),IF(OR(M383=phu!$I$101,M383=phu!$I$102),"Tỉnh khác",""))</f>
        <v/>
      </c>
      <c r="O383" s="814" t="str">
        <f t="shared" si="31"/>
        <v/>
      </c>
      <c r="P383" s="254"/>
      <c r="Q383" s="254"/>
      <c r="R383" s="254"/>
      <c r="S383" s="254"/>
      <c r="T383" s="254"/>
      <c r="U383" s="254"/>
      <c r="V383" s="254"/>
      <c r="W383" s="254"/>
      <c r="Y383" s="246" t="str">
        <f t="shared" si="32"/>
        <v/>
      </c>
      <c r="Z383" s="247" t="str">
        <f t="shared" si="30"/>
        <v/>
      </c>
      <c r="AA383" s="246" t="str">
        <f t="shared" si="33"/>
        <v/>
      </c>
    </row>
    <row r="384" spans="1:27" ht="18" customHeight="1" x14ac:dyDescent="0.25">
      <c r="A384" s="248" t="str">
        <f t="shared" si="34"/>
        <v/>
      </c>
      <c r="B384" s="249" t="str">
        <f t="shared" si="35"/>
        <v/>
      </c>
      <c r="C384" s="250"/>
      <c r="D384" s="251"/>
      <c r="E384" s="241"/>
      <c r="F384" s="252"/>
      <c r="G384" s="252"/>
      <c r="H384" s="253"/>
      <c r="I384" s="250"/>
      <c r="J384" s="250"/>
      <c r="K384" s="270"/>
      <c r="L384" s="250"/>
      <c r="M384" s="250"/>
      <c r="N384" s="553" t="str">
        <f>CONCATENATE(IF(OR(M384=phu!$I$1,M384=phu!$I$2,M384=phu!$I$3),"Cam Thành Nam",""),IF(OR(M384=phu!$I$4,M384=phu!$I$5,M384=phu!$I$6,M384=phu!$I$7,M384=phu!$I$8,M384=phu!$I$9,M384=phu!$I$10,M384=phu!$I$11,M384=phu!$I$12,M384=phu!$I$13,M384=phu!$I$14),"Cam Nghĩa",""),IF(OR(M384=phu!$I$15,M384=phu!$I$16,M384=phu!$I$17,M384=phu!$I$18,M384=phu!$I$19,M384=phu!$I$20,M384=phu!$I$21),"Cam Phúc Bắc",""),IF(OR(M384=phu!$I$22,M384=phu!$I$23,M384=phu!$I$24,M384=phu!$I$25),"Cam Phúc Nam",""),IF(OR(M384=phu!$I$26,M384=phu!$I$27,M384=phu!$I$28,M384=phu!$I$29,M384=phu!$I$30,M384=phu!$I$31),"Cam Phú",""),IF(OR(M384=phu!$I$32,M384=phu!$I$33,M384=phu!$I$34,M384=phu!$I$35,M384=phu!$I$36,M384=phu!$I$37),"Cam Lộc",""),IF(OR(M384=phu!$I$38,M384=phu!$I$39,M384=phu!$I$40,M384=phu!$I$41,M384=phu!$I$42,M384=phu!$I$43,M384=phu!$I$44),"Cam Thuận",""),IF(OR(M384=phu!$I$45,M384=phu!$I$46,M384=phu!$I$47,M384=phu!$I$48,M384=phu!$I$49,M384=phu!$I$50,M384=phu!$I$51,M384=phu!$I$52,M384=phu!$I$53),"Cam Linh",""),IF(OR(M384=phu!$I$54,M384=phu!$I$55,M384=phu!$I$56,M384=phu!$I$57,M384=phu!$I$58,M384=phu!$I$59,M384=phu!$I$60,M384=phu!$I$61,M384=phu!$I$62),"Cam Lợi",""),IF(OR(M384=phu!$I$63,M384=phu!$I$64,M384=phu!$I$65,M384=phu!$I$66,M384=phu!$I$67,M384=phu!$I$68,M384=phu!$I$69,M384=phu!$I$70,M384=phu!$I$71),"Ba Ngòi",""),IF(OR(M384=phu!$I$72,M384=phu!$I$73,M384=phu!$I$74,M384=phu!$I$75,M384=phu!$I$76,M384=phu!$I$77,M384=phu!$I$78),"Cam Phước Đông",""),IF(OR(M384=phu!$I$79,M384=phu!$I$80,M384=phu!$I$81,M384=phu!$I$82,M384=phu!$I$83,M384=phu!$I$84),"Cam Thịnh Đông",""),IF(OR(M384=phu!$I$85,M384=phu!$I$86,M384=phu!$I$87,M384=phu!$I$88),"Cam Thịnh Tây",""),IF(OR(M384=phu!$I$89,M384=phu!$I$90),"Cam Lập",""),IF(OR(M384=phu!$I$91,M384=phu!$I$92,M384=phu!$I$93),"Cam Bình",""),IF(OR(M384=phu!$I$94,M384=phu!$I$95,M384=phu!$I$96,M384=phu!$I$97,M384=phu!$I$98,M384=phu!$I$99,M384=phu!$I$100),"Huyện khác",""),IF(OR(M384=phu!$I$101,M384=phu!$I$102),"Tỉnh khác",""))</f>
        <v/>
      </c>
      <c r="O384" s="814" t="str">
        <f t="shared" si="31"/>
        <v/>
      </c>
      <c r="P384" s="254"/>
      <c r="Q384" s="254"/>
      <c r="R384" s="254"/>
      <c r="S384" s="254"/>
      <c r="T384" s="254"/>
      <c r="U384" s="254"/>
      <c r="V384" s="254"/>
      <c r="W384" s="254"/>
      <c r="Y384" s="246" t="str">
        <f t="shared" si="32"/>
        <v/>
      </c>
      <c r="Z384" s="247" t="str">
        <f t="shared" si="30"/>
        <v/>
      </c>
      <c r="AA384" s="246" t="str">
        <f t="shared" si="33"/>
        <v/>
      </c>
    </row>
    <row r="385" spans="1:27" ht="18" customHeight="1" x14ac:dyDescent="0.25">
      <c r="A385" s="248" t="str">
        <f t="shared" si="34"/>
        <v/>
      </c>
      <c r="B385" s="249" t="str">
        <f t="shared" si="35"/>
        <v/>
      </c>
      <c r="C385" s="250"/>
      <c r="D385" s="251"/>
      <c r="E385" s="241"/>
      <c r="F385" s="252"/>
      <c r="G385" s="252"/>
      <c r="H385" s="253"/>
      <c r="I385" s="250"/>
      <c r="J385" s="250"/>
      <c r="K385" s="270"/>
      <c r="L385" s="250"/>
      <c r="M385" s="250"/>
      <c r="N385" s="553" t="str">
        <f>CONCATENATE(IF(OR(M385=phu!$I$1,M385=phu!$I$2,M385=phu!$I$3),"Cam Thành Nam",""),IF(OR(M385=phu!$I$4,M385=phu!$I$5,M385=phu!$I$6,M385=phu!$I$7,M385=phu!$I$8,M385=phu!$I$9,M385=phu!$I$10,M385=phu!$I$11,M385=phu!$I$12,M385=phu!$I$13,M385=phu!$I$14),"Cam Nghĩa",""),IF(OR(M385=phu!$I$15,M385=phu!$I$16,M385=phu!$I$17,M385=phu!$I$18,M385=phu!$I$19,M385=phu!$I$20,M385=phu!$I$21),"Cam Phúc Bắc",""),IF(OR(M385=phu!$I$22,M385=phu!$I$23,M385=phu!$I$24,M385=phu!$I$25),"Cam Phúc Nam",""),IF(OR(M385=phu!$I$26,M385=phu!$I$27,M385=phu!$I$28,M385=phu!$I$29,M385=phu!$I$30,M385=phu!$I$31),"Cam Phú",""),IF(OR(M385=phu!$I$32,M385=phu!$I$33,M385=phu!$I$34,M385=phu!$I$35,M385=phu!$I$36,M385=phu!$I$37),"Cam Lộc",""),IF(OR(M385=phu!$I$38,M385=phu!$I$39,M385=phu!$I$40,M385=phu!$I$41,M385=phu!$I$42,M385=phu!$I$43,M385=phu!$I$44),"Cam Thuận",""),IF(OR(M385=phu!$I$45,M385=phu!$I$46,M385=phu!$I$47,M385=phu!$I$48,M385=phu!$I$49,M385=phu!$I$50,M385=phu!$I$51,M385=phu!$I$52,M385=phu!$I$53),"Cam Linh",""),IF(OR(M385=phu!$I$54,M385=phu!$I$55,M385=phu!$I$56,M385=phu!$I$57,M385=phu!$I$58,M385=phu!$I$59,M385=phu!$I$60,M385=phu!$I$61,M385=phu!$I$62),"Cam Lợi",""),IF(OR(M385=phu!$I$63,M385=phu!$I$64,M385=phu!$I$65,M385=phu!$I$66,M385=phu!$I$67,M385=phu!$I$68,M385=phu!$I$69,M385=phu!$I$70,M385=phu!$I$71),"Ba Ngòi",""),IF(OR(M385=phu!$I$72,M385=phu!$I$73,M385=phu!$I$74,M385=phu!$I$75,M385=phu!$I$76,M385=phu!$I$77,M385=phu!$I$78),"Cam Phước Đông",""),IF(OR(M385=phu!$I$79,M385=phu!$I$80,M385=phu!$I$81,M385=phu!$I$82,M385=phu!$I$83,M385=phu!$I$84),"Cam Thịnh Đông",""),IF(OR(M385=phu!$I$85,M385=phu!$I$86,M385=phu!$I$87,M385=phu!$I$88),"Cam Thịnh Tây",""),IF(OR(M385=phu!$I$89,M385=phu!$I$90),"Cam Lập",""),IF(OR(M385=phu!$I$91,M385=phu!$I$92,M385=phu!$I$93),"Cam Bình",""),IF(OR(M385=phu!$I$94,M385=phu!$I$95,M385=phu!$I$96,M385=phu!$I$97,M385=phu!$I$98,M385=phu!$I$99,M385=phu!$I$100),"Huyện khác",""),IF(OR(M385=phu!$I$101,M385=phu!$I$102),"Tỉnh khác",""))</f>
        <v/>
      </c>
      <c r="O385" s="814" t="str">
        <f t="shared" si="31"/>
        <v/>
      </c>
      <c r="P385" s="254"/>
      <c r="Q385" s="254"/>
      <c r="R385" s="254"/>
      <c r="S385" s="254"/>
      <c r="T385" s="254"/>
      <c r="U385" s="254"/>
      <c r="V385" s="254"/>
      <c r="W385" s="254"/>
      <c r="Y385" s="246" t="str">
        <f t="shared" si="32"/>
        <v/>
      </c>
      <c r="Z385" s="247" t="str">
        <f t="shared" si="30"/>
        <v/>
      </c>
      <c r="AA385" s="246" t="str">
        <f t="shared" si="33"/>
        <v/>
      </c>
    </row>
    <row r="386" spans="1:27" ht="18" customHeight="1" x14ac:dyDescent="0.25">
      <c r="A386" s="248" t="str">
        <f t="shared" si="34"/>
        <v/>
      </c>
      <c r="B386" s="249" t="str">
        <f t="shared" si="35"/>
        <v/>
      </c>
      <c r="C386" s="250"/>
      <c r="D386" s="251"/>
      <c r="E386" s="241"/>
      <c r="F386" s="252"/>
      <c r="G386" s="252"/>
      <c r="H386" s="253"/>
      <c r="I386" s="250"/>
      <c r="J386" s="250"/>
      <c r="K386" s="270"/>
      <c r="L386" s="250"/>
      <c r="M386" s="250"/>
      <c r="N386" s="553" t="str">
        <f>CONCATENATE(IF(OR(M386=phu!$I$1,M386=phu!$I$2,M386=phu!$I$3),"Cam Thành Nam",""),IF(OR(M386=phu!$I$4,M386=phu!$I$5,M386=phu!$I$6,M386=phu!$I$7,M386=phu!$I$8,M386=phu!$I$9,M386=phu!$I$10,M386=phu!$I$11,M386=phu!$I$12,M386=phu!$I$13,M386=phu!$I$14),"Cam Nghĩa",""),IF(OR(M386=phu!$I$15,M386=phu!$I$16,M386=phu!$I$17,M386=phu!$I$18,M386=phu!$I$19,M386=phu!$I$20,M386=phu!$I$21),"Cam Phúc Bắc",""),IF(OR(M386=phu!$I$22,M386=phu!$I$23,M386=phu!$I$24,M386=phu!$I$25),"Cam Phúc Nam",""),IF(OR(M386=phu!$I$26,M386=phu!$I$27,M386=phu!$I$28,M386=phu!$I$29,M386=phu!$I$30,M386=phu!$I$31),"Cam Phú",""),IF(OR(M386=phu!$I$32,M386=phu!$I$33,M386=phu!$I$34,M386=phu!$I$35,M386=phu!$I$36,M386=phu!$I$37),"Cam Lộc",""),IF(OR(M386=phu!$I$38,M386=phu!$I$39,M386=phu!$I$40,M386=phu!$I$41,M386=phu!$I$42,M386=phu!$I$43,M386=phu!$I$44),"Cam Thuận",""),IF(OR(M386=phu!$I$45,M386=phu!$I$46,M386=phu!$I$47,M386=phu!$I$48,M386=phu!$I$49,M386=phu!$I$50,M386=phu!$I$51,M386=phu!$I$52,M386=phu!$I$53),"Cam Linh",""),IF(OR(M386=phu!$I$54,M386=phu!$I$55,M386=phu!$I$56,M386=phu!$I$57,M386=phu!$I$58,M386=phu!$I$59,M386=phu!$I$60,M386=phu!$I$61,M386=phu!$I$62),"Cam Lợi",""),IF(OR(M386=phu!$I$63,M386=phu!$I$64,M386=phu!$I$65,M386=phu!$I$66,M386=phu!$I$67,M386=phu!$I$68,M386=phu!$I$69,M386=phu!$I$70,M386=phu!$I$71),"Ba Ngòi",""),IF(OR(M386=phu!$I$72,M386=phu!$I$73,M386=phu!$I$74,M386=phu!$I$75,M386=phu!$I$76,M386=phu!$I$77,M386=phu!$I$78),"Cam Phước Đông",""),IF(OR(M386=phu!$I$79,M386=phu!$I$80,M386=phu!$I$81,M386=phu!$I$82,M386=phu!$I$83,M386=phu!$I$84),"Cam Thịnh Đông",""),IF(OR(M386=phu!$I$85,M386=phu!$I$86,M386=phu!$I$87,M386=phu!$I$88),"Cam Thịnh Tây",""),IF(OR(M386=phu!$I$89,M386=phu!$I$90),"Cam Lập",""),IF(OR(M386=phu!$I$91,M386=phu!$I$92,M386=phu!$I$93),"Cam Bình",""),IF(OR(M386=phu!$I$94,M386=phu!$I$95,M386=phu!$I$96,M386=phu!$I$97,M386=phu!$I$98,M386=phu!$I$99,M386=phu!$I$100),"Huyện khác",""),IF(OR(M386=phu!$I$101,M386=phu!$I$102),"Tỉnh khác",""))</f>
        <v/>
      </c>
      <c r="O386" s="814" t="str">
        <f t="shared" si="31"/>
        <v/>
      </c>
      <c r="P386" s="254"/>
      <c r="Q386" s="254"/>
      <c r="R386" s="254"/>
      <c r="S386" s="254"/>
      <c r="T386" s="254"/>
      <c r="U386" s="254"/>
      <c r="V386" s="254"/>
      <c r="W386" s="254"/>
      <c r="Y386" s="246" t="str">
        <f t="shared" si="32"/>
        <v/>
      </c>
      <c r="Z386" s="247" t="str">
        <f t="shared" si="30"/>
        <v/>
      </c>
      <c r="AA386" s="246" t="str">
        <f t="shared" si="33"/>
        <v/>
      </c>
    </row>
    <row r="387" spans="1:27" ht="18" customHeight="1" x14ac:dyDescent="0.25">
      <c r="A387" s="248" t="str">
        <f t="shared" si="34"/>
        <v/>
      </c>
      <c r="B387" s="249" t="str">
        <f t="shared" si="35"/>
        <v/>
      </c>
      <c r="C387" s="250"/>
      <c r="D387" s="251"/>
      <c r="E387" s="241"/>
      <c r="F387" s="252"/>
      <c r="G387" s="252"/>
      <c r="H387" s="253"/>
      <c r="I387" s="250"/>
      <c r="J387" s="250"/>
      <c r="K387" s="270"/>
      <c r="L387" s="250"/>
      <c r="M387" s="250"/>
      <c r="N387" s="553" t="str">
        <f>CONCATENATE(IF(OR(M387=phu!$I$1,M387=phu!$I$2,M387=phu!$I$3),"Cam Thành Nam",""),IF(OR(M387=phu!$I$4,M387=phu!$I$5,M387=phu!$I$6,M387=phu!$I$7,M387=phu!$I$8,M387=phu!$I$9,M387=phu!$I$10,M387=phu!$I$11,M387=phu!$I$12,M387=phu!$I$13,M387=phu!$I$14),"Cam Nghĩa",""),IF(OR(M387=phu!$I$15,M387=phu!$I$16,M387=phu!$I$17,M387=phu!$I$18,M387=phu!$I$19,M387=phu!$I$20,M387=phu!$I$21),"Cam Phúc Bắc",""),IF(OR(M387=phu!$I$22,M387=phu!$I$23,M387=phu!$I$24,M387=phu!$I$25),"Cam Phúc Nam",""),IF(OR(M387=phu!$I$26,M387=phu!$I$27,M387=phu!$I$28,M387=phu!$I$29,M387=phu!$I$30,M387=phu!$I$31),"Cam Phú",""),IF(OR(M387=phu!$I$32,M387=phu!$I$33,M387=phu!$I$34,M387=phu!$I$35,M387=phu!$I$36,M387=phu!$I$37),"Cam Lộc",""),IF(OR(M387=phu!$I$38,M387=phu!$I$39,M387=phu!$I$40,M387=phu!$I$41,M387=phu!$I$42,M387=phu!$I$43,M387=phu!$I$44),"Cam Thuận",""),IF(OR(M387=phu!$I$45,M387=phu!$I$46,M387=phu!$I$47,M387=phu!$I$48,M387=phu!$I$49,M387=phu!$I$50,M387=phu!$I$51,M387=phu!$I$52,M387=phu!$I$53),"Cam Linh",""),IF(OR(M387=phu!$I$54,M387=phu!$I$55,M387=phu!$I$56,M387=phu!$I$57,M387=phu!$I$58,M387=phu!$I$59,M387=phu!$I$60,M387=phu!$I$61,M387=phu!$I$62),"Cam Lợi",""),IF(OR(M387=phu!$I$63,M387=phu!$I$64,M387=phu!$I$65,M387=phu!$I$66,M387=phu!$I$67,M387=phu!$I$68,M387=phu!$I$69,M387=phu!$I$70,M387=phu!$I$71),"Ba Ngòi",""),IF(OR(M387=phu!$I$72,M387=phu!$I$73,M387=phu!$I$74,M387=phu!$I$75,M387=phu!$I$76,M387=phu!$I$77,M387=phu!$I$78),"Cam Phước Đông",""),IF(OR(M387=phu!$I$79,M387=phu!$I$80,M387=phu!$I$81,M387=phu!$I$82,M387=phu!$I$83,M387=phu!$I$84),"Cam Thịnh Đông",""),IF(OR(M387=phu!$I$85,M387=phu!$I$86,M387=phu!$I$87,M387=phu!$I$88),"Cam Thịnh Tây",""),IF(OR(M387=phu!$I$89,M387=phu!$I$90),"Cam Lập",""),IF(OR(M387=phu!$I$91,M387=phu!$I$92,M387=phu!$I$93),"Cam Bình",""),IF(OR(M387=phu!$I$94,M387=phu!$I$95,M387=phu!$I$96,M387=phu!$I$97,M387=phu!$I$98,M387=phu!$I$99,M387=phu!$I$100),"Huyện khác",""),IF(OR(M387=phu!$I$101,M387=phu!$I$102),"Tỉnh khác",""))</f>
        <v/>
      </c>
      <c r="O387" s="814" t="str">
        <f t="shared" si="31"/>
        <v/>
      </c>
      <c r="P387" s="254"/>
      <c r="Q387" s="254"/>
      <c r="R387" s="254"/>
      <c r="S387" s="254"/>
      <c r="T387" s="254"/>
      <c r="U387" s="254"/>
      <c r="V387" s="254"/>
      <c r="W387" s="254"/>
      <c r="Y387" s="246" t="str">
        <f t="shared" si="32"/>
        <v/>
      </c>
      <c r="Z387" s="247" t="str">
        <f t="shared" si="30"/>
        <v/>
      </c>
      <c r="AA387" s="246" t="str">
        <f t="shared" si="33"/>
        <v/>
      </c>
    </row>
    <row r="388" spans="1:27" ht="18" customHeight="1" x14ac:dyDescent="0.25">
      <c r="A388" s="248" t="str">
        <f t="shared" si="34"/>
        <v/>
      </c>
      <c r="B388" s="249" t="str">
        <f t="shared" si="35"/>
        <v/>
      </c>
      <c r="C388" s="250"/>
      <c r="D388" s="251"/>
      <c r="E388" s="241"/>
      <c r="F388" s="252"/>
      <c r="G388" s="252"/>
      <c r="H388" s="253"/>
      <c r="I388" s="250"/>
      <c r="J388" s="250"/>
      <c r="K388" s="270"/>
      <c r="L388" s="250"/>
      <c r="M388" s="250"/>
      <c r="N388" s="553" t="str">
        <f>CONCATENATE(IF(OR(M388=phu!$I$1,M388=phu!$I$2,M388=phu!$I$3),"Cam Thành Nam",""),IF(OR(M388=phu!$I$4,M388=phu!$I$5,M388=phu!$I$6,M388=phu!$I$7,M388=phu!$I$8,M388=phu!$I$9,M388=phu!$I$10,M388=phu!$I$11,M388=phu!$I$12,M388=phu!$I$13,M388=phu!$I$14),"Cam Nghĩa",""),IF(OR(M388=phu!$I$15,M388=phu!$I$16,M388=phu!$I$17,M388=phu!$I$18,M388=phu!$I$19,M388=phu!$I$20,M388=phu!$I$21),"Cam Phúc Bắc",""),IF(OR(M388=phu!$I$22,M388=phu!$I$23,M388=phu!$I$24,M388=phu!$I$25),"Cam Phúc Nam",""),IF(OR(M388=phu!$I$26,M388=phu!$I$27,M388=phu!$I$28,M388=phu!$I$29,M388=phu!$I$30,M388=phu!$I$31),"Cam Phú",""),IF(OR(M388=phu!$I$32,M388=phu!$I$33,M388=phu!$I$34,M388=phu!$I$35,M388=phu!$I$36,M388=phu!$I$37),"Cam Lộc",""),IF(OR(M388=phu!$I$38,M388=phu!$I$39,M388=phu!$I$40,M388=phu!$I$41,M388=phu!$I$42,M388=phu!$I$43,M388=phu!$I$44),"Cam Thuận",""),IF(OR(M388=phu!$I$45,M388=phu!$I$46,M388=phu!$I$47,M388=phu!$I$48,M388=phu!$I$49,M388=phu!$I$50,M388=phu!$I$51,M388=phu!$I$52,M388=phu!$I$53),"Cam Linh",""),IF(OR(M388=phu!$I$54,M388=phu!$I$55,M388=phu!$I$56,M388=phu!$I$57,M388=phu!$I$58,M388=phu!$I$59,M388=phu!$I$60,M388=phu!$I$61,M388=phu!$I$62),"Cam Lợi",""),IF(OR(M388=phu!$I$63,M388=phu!$I$64,M388=phu!$I$65,M388=phu!$I$66,M388=phu!$I$67,M388=phu!$I$68,M388=phu!$I$69,M388=phu!$I$70,M388=phu!$I$71),"Ba Ngòi",""),IF(OR(M388=phu!$I$72,M388=phu!$I$73,M388=phu!$I$74,M388=phu!$I$75,M388=phu!$I$76,M388=phu!$I$77,M388=phu!$I$78),"Cam Phước Đông",""),IF(OR(M388=phu!$I$79,M388=phu!$I$80,M388=phu!$I$81,M388=phu!$I$82,M388=phu!$I$83,M388=phu!$I$84),"Cam Thịnh Đông",""),IF(OR(M388=phu!$I$85,M388=phu!$I$86,M388=phu!$I$87,M388=phu!$I$88),"Cam Thịnh Tây",""),IF(OR(M388=phu!$I$89,M388=phu!$I$90),"Cam Lập",""),IF(OR(M388=phu!$I$91,M388=phu!$I$92,M388=phu!$I$93),"Cam Bình",""),IF(OR(M388=phu!$I$94,M388=phu!$I$95,M388=phu!$I$96,M388=phu!$I$97,M388=phu!$I$98,M388=phu!$I$99,M388=phu!$I$100),"Huyện khác",""),IF(OR(M388=phu!$I$101,M388=phu!$I$102),"Tỉnh khác",""))</f>
        <v/>
      </c>
      <c r="O388" s="814" t="str">
        <f t="shared" si="31"/>
        <v/>
      </c>
      <c r="P388" s="254"/>
      <c r="Q388" s="254"/>
      <c r="R388" s="254"/>
      <c r="S388" s="254"/>
      <c r="T388" s="254"/>
      <c r="U388" s="254"/>
      <c r="V388" s="254"/>
      <c r="W388" s="254"/>
      <c r="Y388" s="246" t="str">
        <f t="shared" si="32"/>
        <v/>
      </c>
      <c r="Z388" s="247" t="str">
        <f t="shared" si="30"/>
        <v/>
      </c>
      <c r="AA388" s="246" t="str">
        <f t="shared" si="33"/>
        <v/>
      </c>
    </row>
    <row r="389" spans="1:27" ht="18" customHeight="1" x14ac:dyDescent="0.25">
      <c r="A389" s="248" t="str">
        <f t="shared" si="34"/>
        <v/>
      </c>
      <c r="B389" s="249" t="str">
        <f t="shared" si="35"/>
        <v/>
      </c>
      <c r="C389" s="250"/>
      <c r="D389" s="251"/>
      <c r="E389" s="241"/>
      <c r="F389" s="252"/>
      <c r="G389" s="252"/>
      <c r="H389" s="253"/>
      <c r="I389" s="250"/>
      <c r="J389" s="250"/>
      <c r="K389" s="270"/>
      <c r="L389" s="250"/>
      <c r="M389" s="250"/>
      <c r="N389" s="553" t="str">
        <f>CONCATENATE(IF(OR(M389=phu!$I$1,M389=phu!$I$2,M389=phu!$I$3),"Cam Thành Nam",""),IF(OR(M389=phu!$I$4,M389=phu!$I$5,M389=phu!$I$6,M389=phu!$I$7,M389=phu!$I$8,M389=phu!$I$9,M389=phu!$I$10,M389=phu!$I$11,M389=phu!$I$12,M389=phu!$I$13,M389=phu!$I$14),"Cam Nghĩa",""),IF(OR(M389=phu!$I$15,M389=phu!$I$16,M389=phu!$I$17,M389=phu!$I$18,M389=phu!$I$19,M389=phu!$I$20,M389=phu!$I$21),"Cam Phúc Bắc",""),IF(OR(M389=phu!$I$22,M389=phu!$I$23,M389=phu!$I$24,M389=phu!$I$25),"Cam Phúc Nam",""),IF(OR(M389=phu!$I$26,M389=phu!$I$27,M389=phu!$I$28,M389=phu!$I$29,M389=phu!$I$30,M389=phu!$I$31),"Cam Phú",""),IF(OR(M389=phu!$I$32,M389=phu!$I$33,M389=phu!$I$34,M389=phu!$I$35,M389=phu!$I$36,M389=phu!$I$37),"Cam Lộc",""),IF(OR(M389=phu!$I$38,M389=phu!$I$39,M389=phu!$I$40,M389=phu!$I$41,M389=phu!$I$42,M389=phu!$I$43,M389=phu!$I$44),"Cam Thuận",""),IF(OR(M389=phu!$I$45,M389=phu!$I$46,M389=phu!$I$47,M389=phu!$I$48,M389=phu!$I$49,M389=phu!$I$50,M389=phu!$I$51,M389=phu!$I$52,M389=phu!$I$53),"Cam Linh",""),IF(OR(M389=phu!$I$54,M389=phu!$I$55,M389=phu!$I$56,M389=phu!$I$57,M389=phu!$I$58,M389=phu!$I$59,M389=phu!$I$60,M389=phu!$I$61,M389=phu!$I$62),"Cam Lợi",""),IF(OR(M389=phu!$I$63,M389=phu!$I$64,M389=phu!$I$65,M389=phu!$I$66,M389=phu!$I$67,M389=phu!$I$68,M389=phu!$I$69,M389=phu!$I$70,M389=phu!$I$71),"Ba Ngòi",""),IF(OR(M389=phu!$I$72,M389=phu!$I$73,M389=phu!$I$74,M389=phu!$I$75,M389=phu!$I$76,M389=phu!$I$77,M389=phu!$I$78),"Cam Phước Đông",""),IF(OR(M389=phu!$I$79,M389=phu!$I$80,M389=phu!$I$81,M389=phu!$I$82,M389=phu!$I$83,M389=phu!$I$84),"Cam Thịnh Đông",""),IF(OR(M389=phu!$I$85,M389=phu!$I$86,M389=phu!$I$87,M389=phu!$I$88),"Cam Thịnh Tây",""),IF(OR(M389=phu!$I$89,M389=phu!$I$90),"Cam Lập",""),IF(OR(M389=phu!$I$91,M389=phu!$I$92,M389=phu!$I$93),"Cam Bình",""),IF(OR(M389=phu!$I$94,M389=phu!$I$95,M389=phu!$I$96,M389=phu!$I$97,M389=phu!$I$98,M389=phu!$I$99,M389=phu!$I$100),"Huyện khác",""),IF(OR(M389=phu!$I$101,M389=phu!$I$102),"Tỉnh khác",""))</f>
        <v/>
      </c>
      <c r="O389" s="814" t="str">
        <f t="shared" si="31"/>
        <v/>
      </c>
      <c r="P389" s="254"/>
      <c r="Q389" s="254"/>
      <c r="R389" s="254"/>
      <c r="S389" s="254"/>
      <c r="T389" s="254"/>
      <c r="U389" s="254"/>
      <c r="V389" s="254"/>
      <c r="W389" s="254"/>
      <c r="Y389" s="246" t="str">
        <f t="shared" si="32"/>
        <v/>
      </c>
      <c r="Z389" s="247" t="str">
        <f t="shared" si="30"/>
        <v/>
      </c>
      <c r="AA389" s="246" t="str">
        <f t="shared" si="33"/>
        <v/>
      </c>
    </row>
    <row r="390" spans="1:27" ht="18" customHeight="1" x14ac:dyDescent="0.25">
      <c r="A390" s="248" t="str">
        <f t="shared" si="34"/>
        <v/>
      </c>
      <c r="B390" s="249" t="str">
        <f t="shared" si="35"/>
        <v/>
      </c>
      <c r="C390" s="250"/>
      <c r="D390" s="251"/>
      <c r="E390" s="241"/>
      <c r="F390" s="252"/>
      <c r="G390" s="252"/>
      <c r="H390" s="253"/>
      <c r="I390" s="250"/>
      <c r="J390" s="250"/>
      <c r="K390" s="270"/>
      <c r="L390" s="250"/>
      <c r="M390" s="250"/>
      <c r="N390" s="553" t="str">
        <f>CONCATENATE(IF(OR(M390=phu!$I$1,M390=phu!$I$2,M390=phu!$I$3),"Cam Thành Nam",""),IF(OR(M390=phu!$I$4,M390=phu!$I$5,M390=phu!$I$6,M390=phu!$I$7,M390=phu!$I$8,M390=phu!$I$9,M390=phu!$I$10,M390=phu!$I$11,M390=phu!$I$12,M390=phu!$I$13,M390=phu!$I$14),"Cam Nghĩa",""),IF(OR(M390=phu!$I$15,M390=phu!$I$16,M390=phu!$I$17,M390=phu!$I$18,M390=phu!$I$19,M390=phu!$I$20,M390=phu!$I$21),"Cam Phúc Bắc",""),IF(OR(M390=phu!$I$22,M390=phu!$I$23,M390=phu!$I$24,M390=phu!$I$25),"Cam Phúc Nam",""),IF(OR(M390=phu!$I$26,M390=phu!$I$27,M390=phu!$I$28,M390=phu!$I$29,M390=phu!$I$30,M390=phu!$I$31),"Cam Phú",""),IF(OR(M390=phu!$I$32,M390=phu!$I$33,M390=phu!$I$34,M390=phu!$I$35,M390=phu!$I$36,M390=phu!$I$37),"Cam Lộc",""),IF(OR(M390=phu!$I$38,M390=phu!$I$39,M390=phu!$I$40,M390=phu!$I$41,M390=phu!$I$42,M390=phu!$I$43,M390=phu!$I$44),"Cam Thuận",""),IF(OR(M390=phu!$I$45,M390=phu!$I$46,M390=phu!$I$47,M390=phu!$I$48,M390=phu!$I$49,M390=phu!$I$50,M390=phu!$I$51,M390=phu!$I$52,M390=phu!$I$53),"Cam Linh",""),IF(OR(M390=phu!$I$54,M390=phu!$I$55,M390=phu!$I$56,M390=phu!$I$57,M390=phu!$I$58,M390=phu!$I$59,M390=phu!$I$60,M390=phu!$I$61,M390=phu!$I$62),"Cam Lợi",""),IF(OR(M390=phu!$I$63,M390=phu!$I$64,M390=phu!$I$65,M390=phu!$I$66,M390=phu!$I$67,M390=phu!$I$68,M390=phu!$I$69,M390=phu!$I$70,M390=phu!$I$71),"Ba Ngòi",""),IF(OR(M390=phu!$I$72,M390=phu!$I$73,M390=phu!$I$74,M390=phu!$I$75,M390=phu!$I$76,M390=phu!$I$77,M390=phu!$I$78),"Cam Phước Đông",""),IF(OR(M390=phu!$I$79,M390=phu!$I$80,M390=phu!$I$81,M390=phu!$I$82,M390=phu!$I$83,M390=phu!$I$84),"Cam Thịnh Đông",""),IF(OR(M390=phu!$I$85,M390=phu!$I$86,M390=phu!$I$87,M390=phu!$I$88),"Cam Thịnh Tây",""),IF(OR(M390=phu!$I$89,M390=phu!$I$90),"Cam Lập",""),IF(OR(M390=phu!$I$91,M390=phu!$I$92,M390=phu!$I$93),"Cam Bình",""),IF(OR(M390=phu!$I$94,M390=phu!$I$95,M390=phu!$I$96,M390=phu!$I$97,M390=phu!$I$98,M390=phu!$I$99,M390=phu!$I$100),"Huyện khác",""),IF(OR(M390=phu!$I$101,M390=phu!$I$102),"Tỉnh khác",""))</f>
        <v/>
      </c>
      <c r="O390" s="814" t="str">
        <f t="shared" si="31"/>
        <v/>
      </c>
      <c r="P390" s="254"/>
      <c r="Q390" s="254"/>
      <c r="R390" s="254"/>
      <c r="S390" s="254"/>
      <c r="T390" s="254"/>
      <c r="U390" s="254"/>
      <c r="V390" s="254"/>
      <c r="W390" s="254"/>
      <c r="Y390" s="246" t="str">
        <f t="shared" si="32"/>
        <v/>
      </c>
      <c r="Z390" s="247" t="str">
        <f t="shared" ref="Z390:Z453" si="36">IF(H390="","",$Z$1-H390)</f>
        <v/>
      </c>
      <c r="AA390" s="246" t="str">
        <f t="shared" si="33"/>
        <v/>
      </c>
    </row>
    <row r="391" spans="1:27" ht="18" customHeight="1" x14ac:dyDescent="0.25">
      <c r="A391" s="248" t="str">
        <f t="shared" si="34"/>
        <v/>
      </c>
      <c r="B391" s="249" t="str">
        <f t="shared" si="35"/>
        <v/>
      </c>
      <c r="C391" s="250"/>
      <c r="D391" s="251"/>
      <c r="E391" s="241"/>
      <c r="F391" s="252"/>
      <c r="G391" s="252"/>
      <c r="H391" s="253"/>
      <c r="I391" s="250"/>
      <c r="J391" s="250"/>
      <c r="K391" s="270"/>
      <c r="L391" s="250"/>
      <c r="M391" s="250"/>
      <c r="N391" s="553" t="str">
        <f>CONCATENATE(IF(OR(M391=phu!$I$1,M391=phu!$I$2,M391=phu!$I$3),"Cam Thành Nam",""),IF(OR(M391=phu!$I$4,M391=phu!$I$5,M391=phu!$I$6,M391=phu!$I$7,M391=phu!$I$8,M391=phu!$I$9,M391=phu!$I$10,M391=phu!$I$11,M391=phu!$I$12,M391=phu!$I$13,M391=phu!$I$14),"Cam Nghĩa",""),IF(OR(M391=phu!$I$15,M391=phu!$I$16,M391=phu!$I$17,M391=phu!$I$18,M391=phu!$I$19,M391=phu!$I$20,M391=phu!$I$21),"Cam Phúc Bắc",""),IF(OR(M391=phu!$I$22,M391=phu!$I$23,M391=phu!$I$24,M391=phu!$I$25),"Cam Phúc Nam",""),IF(OR(M391=phu!$I$26,M391=phu!$I$27,M391=phu!$I$28,M391=phu!$I$29,M391=phu!$I$30,M391=phu!$I$31),"Cam Phú",""),IF(OR(M391=phu!$I$32,M391=phu!$I$33,M391=phu!$I$34,M391=phu!$I$35,M391=phu!$I$36,M391=phu!$I$37),"Cam Lộc",""),IF(OR(M391=phu!$I$38,M391=phu!$I$39,M391=phu!$I$40,M391=phu!$I$41,M391=phu!$I$42,M391=phu!$I$43,M391=phu!$I$44),"Cam Thuận",""),IF(OR(M391=phu!$I$45,M391=phu!$I$46,M391=phu!$I$47,M391=phu!$I$48,M391=phu!$I$49,M391=phu!$I$50,M391=phu!$I$51,M391=phu!$I$52,M391=phu!$I$53),"Cam Linh",""),IF(OR(M391=phu!$I$54,M391=phu!$I$55,M391=phu!$I$56,M391=phu!$I$57,M391=phu!$I$58,M391=phu!$I$59,M391=phu!$I$60,M391=phu!$I$61,M391=phu!$I$62),"Cam Lợi",""),IF(OR(M391=phu!$I$63,M391=phu!$I$64,M391=phu!$I$65,M391=phu!$I$66,M391=phu!$I$67,M391=phu!$I$68,M391=phu!$I$69,M391=phu!$I$70,M391=phu!$I$71),"Ba Ngòi",""),IF(OR(M391=phu!$I$72,M391=phu!$I$73,M391=phu!$I$74,M391=phu!$I$75,M391=phu!$I$76,M391=phu!$I$77,M391=phu!$I$78),"Cam Phước Đông",""),IF(OR(M391=phu!$I$79,M391=phu!$I$80,M391=phu!$I$81,M391=phu!$I$82,M391=phu!$I$83,M391=phu!$I$84),"Cam Thịnh Đông",""),IF(OR(M391=phu!$I$85,M391=phu!$I$86,M391=phu!$I$87,M391=phu!$I$88),"Cam Thịnh Tây",""),IF(OR(M391=phu!$I$89,M391=phu!$I$90),"Cam Lập",""),IF(OR(M391=phu!$I$91,M391=phu!$I$92,M391=phu!$I$93),"Cam Bình",""),IF(OR(M391=phu!$I$94,M391=phu!$I$95,M391=phu!$I$96,M391=phu!$I$97,M391=phu!$I$98,M391=phu!$I$99,M391=phu!$I$100),"Huyện khác",""),IF(OR(M391=phu!$I$101,M391=phu!$I$102),"Tỉnh khác",""))</f>
        <v/>
      </c>
      <c r="O391" s="814" t="str">
        <f t="shared" ref="O391:O454" si="37">CONCATENATE(IF(OR(N391="Cam Thành Nam",N391="Cam Nghĩa",N391="Cam Phúc Bắc"),"Bắc Cam Ranh",""),IF(OR(N391="Cam Phúc Nam",N391="Cam Phú",N391="Cam Lộc"),"Cam Ranh",""),IF(OR(N391="Cam Thuận",N391="Cam Linh",N391="Cam Lợi"),"Cam Linh",""),IF(OR(N391="Ba Ngòi",N391="Cam Phước Đông"),"Ba Ngòi",""),IF(OR(N391="Cam Thịnh Đông",N391="Cam Thịnh Tây",N391="Cam Lập",N391="Cam Bình"),"Nam Cam Ranh",""),IF(N391="Huyện khác","Huyện khác",""),IF(N391="Tỉnh khác","Tỉnh khác",""))</f>
        <v/>
      </c>
      <c r="P391" s="254"/>
      <c r="Q391" s="254"/>
      <c r="R391" s="254"/>
      <c r="S391" s="254"/>
      <c r="T391" s="254"/>
      <c r="U391" s="254"/>
      <c r="V391" s="254"/>
      <c r="W391" s="254"/>
      <c r="Y391" s="246" t="str">
        <f t="shared" ref="Y391:Y454" si="38">IF(OR(AND(B391="",C391="",D391="",E391="",F391="",G391="",H391="",I391="",J391="",L391="",M391="",N391="",P391="",Q391="",R391="",S391=""),AND(B391&lt;&gt;"",C391&lt;&gt;"",D391&lt;&gt;"",E391&lt;&gt;"",F391&lt;&gt;"",G391&lt;&gt;"",H391&lt;&gt;"",J391&lt;&gt;"",M391&lt;&gt;"",N391&lt;&gt;"",P391&lt;&gt;"",OR(AND(Q391&lt;&gt;"",R391=""),AND(Q391="",R391&lt;&gt;""),AND(Q391&lt;&gt;"",R391&lt;&gt;"")),OR(AND(K391="X",T391&lt;&gt;""),AND(K391="",T391="")))),"","er")</f>
        <v/>
      </c>
      <c r="Z391" s="247" t="str">
        <f t="shared" si="36"/>
        <v/>
      </c>
      <c r="AA391" s="246" t="str">
        <f t="shared" ref="AA391:AA454" si="39">IF(OR(AND(Z391=5,B391&gt;0),AND(Z391=6,B391&gt;1),AND(Z391=7,B391&gt;2),AND(Z391=8,B391&gt;3),AND(Z391=9,B391&gt;4),AND(Z391=10,B391&gt;5),AND(Z391=5,B391=0,L391="X"),AND(Z391=6,B391=1,L391="X"),AND(Z391=7,B391=2,L391="X"),AND(Z391=8,B391=3,L391="X"),AND(Z391=9,B391=4,L391="X"),AND(Z391=10,B391=5,L391="X")),"er","")</f>
        <v/>
      </c>
    </row>
    <row r="392" spans="1:27" ht="18" customHeight="1" x14ac:dyDescent="0.25">
      <c r="A392" s="248" t="str">
        <f t="shared" ref="A392:A455" si="40">IF(OR(A391="",B392="",C392="",D392="",E392=""),"",A391+1)</f>
        <v/>
      </c>
      <c r="B392" s="249" t="str">
        <f t="shared" ref="B392:B455" si="41">IF(C392="","",VALUE(LEFT(C392,1)))</f>
        <v/>
      </c>
      <c r="C392" s="250"/>
      <c r="D392" s="251"/>
      <c r="E392" s="241"/>
      <c r="F392" s="252"/>
      <c r="G392" s="252"/>
      <c r="H392" s="253"/>
      <c r="I392" s="250"/>
      <c r="J392" s="250"/>
      <c r="K392" s="270"/>
      <c r="L392" s="250"/>
      <c r="M392" s="250"/>
      <c r="N392" s="553" t="str">
        <f>CONCATENATE(IF(OR(M392=phu!$I$1,M392=phu!$I$2,M392=phu!$I$3),"Cam Thành Nam",""),IF(OR(M392=phu!$I$4,M392=phu!$I$5,M392=phu!$I$6,M392=phu!$I$7,M392=phu!$I$8,M392=phu!$I$9,M392=phu!$I$10,M392=phu!$I$11,M392=phu!$I$12,M392=phu!$I$13,M392=phu!$I$14),"Cam Nghĩa",""),IF(OR(M392=phu!$I$15,M392=phu!$I$16,M392=phu!$I$17,M392=phu!$I$18,M392=phu!$I$19,M392=phu!$I$20,M392=phu!$I$21),"Cam Phúc Bắc",""),IF(OR(M392=phu!$I$22,M392=phu!$I$23,M392=phu!$I$24,M392=phu!$I$25),"Cam Phúc Nam",""),IF(OR(M392=phu!$I$26,M392=phu!$I$27,M392=phu!$I$28,M392=phu!$I$29,M392=phu!$I$30,M392=phu!$I$31),"Cam Phú",""),IF(OR(M392=phu!$I$32,M392=phu!$I$33,M392=phu!$I$34,M392=phu!$I$35,M392=phu!$I$36,M392=phu!$I$37),"Cam Lộc",""),IF(OR(M392=phu!$I$38,M392=phu!$I$39,M392=phu!$I$40,M392=phu!$I$41,M392=phu!$I$42,M392=phu!$I$43,M392=phu!$I$44),"Cam Thuận",""),IF(OR(M392=phu!$I$45,M392=phu!$I$46,M392=phu!$I$47,M392=phu!$I$48,M392=phu!$I$49,M392=phu!$I$50,M392=phu!$I$51,M392=phu!$I$52,M392=phu!$I$53),"Cam Linh",""),IF(OR(M392=phu!$I$54,M392=phu!$I$55,M392=phu!$I$56,M392=phu!$I$57,M392=phu!$I$58,M392=phu!$I$59,M392=phu!$I$60,M392=phu!$I$61,M392=phu!$I$62),"Cam Lợi",""),IF(OR(M392=phu!$I$63,M392=phu!$I$64,M392=phu!$I$65,M392=phu!$I$66,M392=phu!$I$67,M392=phu!$I$68,M392=phu!$I$69,M392=phu!$I$70,M392=phu!$I$71),"Ba Ngòi",""),IF(OR(M392=phu!$I$72,M392=phu!$I$73,M392=phu!$I$74,M392=phu!$I$75,M392=phu!$I$76,M392=phu!$I$77,M392=phu!$I$78),"Cam Phước Đông",""),IF(OR(M392=phu!$I$79,M392=phu!$I$80,M392=phu!$I$81,M392=phu!$I$82,M392=phu!$I$83,M392=phu!$I$84),"Cam Thịnh Đông",""),IF(OR(M392=phu!$I$85,M392=phu!$I$86,M392=phu!$I$87,M392=phu!$I$88),"Cam Thịnh Tây",""),IF(OR(M392=phu!$I$89,M392=phu!$I$90),"Cam Lập",""),IF(OR(M392=phu!$I$91,M392=phu!$I$92,M392=phu!$I$93),"Cam Bình",""),IF(OR(M392=phu!$I$94,M392=phu!$I$95,M392=phu!$I$96,M392=phu!$I$97,M392=phu!$I$98,M392=phu!$I$99,M392=phu!$I$100),"Huyện khác",""),IF(OR(M392=phu!$I$101,M392=phu!$I$102),"Tỉnh khác",""))</f>
        <v/>
      </c>
      <c r="O392" s="814" t="str">
        <f t="shared" si="37"/>
        <v/>
      </c>
      <c r="P392" s="254"/>
      <c r="Q392" s="254"/>
      <c r="R392" s="254"/>
      <c r="S392" s="254"/>
      <c r="T392" s="254"/>
      <c r="U392" s="254"/>
      <c r="V392" s="254"/>
      <c r="W392" s="254"/>
      <c r="Y392" s="246" t="str">
        <f t="shared" si="38"/>
        <v/>
      </c>
      <c r="Z392" s="247" t="str">
        <f t="shared" si="36"/>
        <v/>
      </c>
      <c r="AA392" s="246" t="str">
        <f t="shared" si="39"/>
        <v/>
      </c>
    </row>
    <row r="393" spans="1:27" ht="18" customHeight="1" x14ac:dyDescent="0.25">
      <c r="A393" s="248" t="str">
        <f t="shared" si="40"/>
        <v/>
      </c>
      <c r="B393" s="249" t="str">
        <f t="shared" si="41"/>
        <v/>
      </c>
      <c r="C393" s="250"/>
      <c r="D393" s="251"/>
      <c r="E393" s="241"/>
      <c r="F393" s="252"/>
      <c r="G393" s="252"/>
      <c r="H393" s="253"/>
      <c r="I393" s="250"/>
      <c r="J393" s="250"/>
      <c r="K393" s="270"/>
      <c r="L393" s="250"/>
      <c r="M393" s="250"/>
      <c r="N393" s="553" t="str">
        <f>CONCATENATE(IF(OR(M393=phu!$I$1,M393=phu!$I$2,M393=phu!$I$3),"Cam Thành Nam",""),IF(OR(M393=phu!$I$4,M393=phu!$I$5,M393=phu!$I$6,M393=phu!$I$7,M393=phu!$I$8,M393=phu!$I$9,M393=phu!$I$10,M393=phu!$I$11,M393=phu!$I$12,M393=phu!$I$13,M393=phu!$I$14),"Cam Nghĩa",""),IF(OR(M393=phu!$I$15,M393=phu!$I$16,M393=phu!$I$17,M393=phu!$I$18,M393=phu!$I$19,M393=phu!$I$20,M393=phu!$I$21),"Cam Phúc Bắc",""),IF(OR(M393=phu!$I$22,M393=phu!$I$23,M393=phu!$I$24,M393=phu!$I$25),"Cam Phúc Nam",""),IF(OR(M393=phu!$I$26,M393=phu!$I$27,M393=phu!$I$28,M393=phu!$I$29,M393=phu!$I$30,M393=phu!$I$31),"Cam Phú",""),IF(OR(M393=phu!$I$32,M393=phu!$I$33,M393=phu!$I$34,M393=phu!$I$35,M393=phu!$I$36,M393=phu!$I$37),"Cam Lộc",""),IF(OR(M393=phu!$I$38,M393=phu!$I$39,M393=phu!$I$40,M393=phu!$I$41,M393=phu!$I$42,M393=phu!$I$43,M393=phu!$I$44),"Cam Thuận",""),IF(OR(M393=phu!$I$45,M393=phu!$I$46,M393=phu!$I$47,M393=phu!$I$48,M393=phu!$I$49,M393=phu!$I$50,M393=phu!$I$51,M393=phu!$I$52,M393=phu!$I$53),"Cam Linh",""),IF(OR(M393=phu!$I$54,M393=phu!$I$55,M393=phu!$I$56,M393=phu!$I$57,M393=phu!$I$58,M393=phu!$I$59,M393=phu!$I$60,M393=phu!$I$61,M393=phu!$I$62),"Cam Lợi",""),IF(OR(M393=phu!$I$63,M393=phu!$I$64,M393=phu!$I$65,M393=phu!$I$66,M393=phu!$I$67,M393=phu!$I$68,M393=phu!$I$69,M393=phu!$I$70,M393=phu!$I$71),"Ba Ngòi",""),IF(OR(M393=phu!$I$72,M393=phu!$I$73,M393=phu!$I$74,M393=phu!$I$75,M393=phu!$I$76,M393=phu!$I$77,M393=phu!$I$78),"Cam Phước Đông",""),IF(OR(M393=phu!$I$79,M393=phu!$I$80,M393=phu!$I$81,M393=phu!$I$82,M393=phu!$I$83,M393=phu!$I$84),"Cam Thịnh Đông",""),IF(OR(M393=phu!$I$85,M393=phu!$I$86,M393=phu!$I$87,M393=phu!$I$88),"Cam Thịnh Tây",""),IF(OR(M393=phu!$I$89,M393=phu!$I$90),"Cam Lập",""),IF(OR(M393=phu!$I$91,M393=phu!$I$92,M393=phu!$I$93),"Cam Bình",""),IF(OR(M393=phu!$I$94,M393=phu!$I$95,M393=phu!$I$96,M393=phu!$I$97,M393=phu!$I$98,M393=phu!$I$99,M393=phu!$I$100),"Huyện khác",""),IF(OR(M393=phu!$I$101,M393=phu!$I$102),"Tỉnh khác",""))</f>
        <v/>
      </c>
      <c r="O393" s="814" t="str">
        <f t="shared" si="37"/>
        <v/>
      </c>
      <c r="P393" s="254"/>
      <c r="Q393" s="254"/>
      <c r="R393" s="254"/>
      <c r="S393" s="254"/>
      <c r="T393" s="254"/>
      <c r="U393" s="254"/>
      <c r="V393" s="254"/>
      <c r="W393" s="254"/>
      <c r="Y393" s="246" t="str">
        <f t="shared" si="38"/>
        <v/>
      </c>
      <c r="Z393" s="247" t="str">
        <f t="shared" si="36"/>
        <v/>
      </c>
      <c r="AA393" s="246" t="str">
        <f t="shared" si="39"/>
        <v/>
      </c>
    </row>
    <row r="394" spans="1:27" ht="18" customHeight="1" x14ac:dyDescent="0.25">
      <c r="A394" s="248" t="str">
        <f t="shared" si="40"/>
        <v/>
      </c>
      <c r="B394" s="249" t="str">
        <f t="shared" si="41"/>
        <v/>
      </c>
      <c r="C394" s="250"/>
      <c r="D394" s="251"/>
      <c r="E394" s="241"/>
      <c r="F394" s="252"/>
      <c r="G394" s="252"/>
      <c r="H394" s="253"/>
      <c r="I394" s="250"/>
      <c r="J394" s="250"/>
      <c r="K394" s="270"/>
      <c r="L394" s="250"/>
      <c r="M394" s="250"/>
      <c r="N394" s="553" t="str">
        <f>CONCATENATE(IF(OR(M394=phu!$I$1,M394=phu!$I$2,M394=phu!$I$3),"Cam Thành Nam",""),IF(OR(M394=phu!$I$4,M394=phu!$I$5,M394=phu!$I$6,M394=phu!$I$7,M394=phu!$I$8,M394=phu!$I$9,M394=phu!$I$10,M394=phu!$I$11,M394=phu!$I$12,M394=phu!$I$13,M394=phu!$I$14),"Cam Nghĩa",""),IF(OR(M394=phu!$I$15,M394=phu!$I$16,M394=phu!$I$17,M394=phu!$I$18,M394=phu!$I$19,M394=phu!$I$20,M394=phu!$I$21),"Cam Phúc Bắc",""),IF(OR(M394=phu!$I$22,M394=phu!$I$23,M394=phu!$I$24,M394=phu!$I$25),"Cam Phúc Nam",""),IF(OR(M394=phu!$I$26,M394=phu!$I$27,M394=phu!$I$28,M394=phu!$I$29,M394=phu!$I$30,M394=phu!$I$31),"Cam Phú",""),IF(OR(M394=phu!$I$32,M394=phu!$I$33,M394=phu!$I$34,M394=phu!$I$35,M394=phu!$I$36,M394=phu!$I$37),"Cam Lộc",""),IF(OR(M394=phu!$I$38,M394=phu!$I$39,M394=phu!$I$40,M394=phu!$I$41,M394=phu!$I$42,M394=phu!$I$43,M394=phu!$I$44),"Cam Thuận",""),IF(OR(M394=phu!$I$45,M394=phu!$I$46,M394=phu!$I$47,M394=phu!$I$48,M394=phu!$I$49,M394=phu!$I$50,M394=phu!$I$51,M394=phu!$I$52,M394=phu!$I$53),"Cam Linh",""),IF(OR(M394=phu!$I$54,M394=phu!$I$55,M394=phu!$I$56,M394=phu!$I$57,M394=phu!$I$58,M394=phu!$I$59,M394=phu!$I$60,M394=phu!$I$61,M394=phu!$I$62),"Cam Lợi",""),IF(OR(M394=phu!$I$63,M394=phu!$I$64,M394=phu!$I$65,M394=phu!$I$66,M394=phu!$I$67,M394=phu!$I$68,M394=phu!$I$69,M394=phu!$I$70,M394=phu!$I$71),"Ba Ngòi",""),IF(OR(M394=phu!$I$72,M394=phu!$I$73,M394=phu!$I$74,M394=phu!$I$75,M394=phu!$I$76,M394=phu!$I$77,M394=phu!$I$78),"Cam Phước Đông",""),IF(OR(M394=phu!$I$79,M394=phu!$I$80,M394=phu!$I$81,M394=phu!$I$82,M394=phu!$I$83,M394=phu!$I$84),"Cam Thịnh Đông",""),IF(OR(M394=phu!$I$85,M394=phu!$I$86,M394=phu!$I$87,M394=phu!$I$88),"Cam Thịnh Tây",""),IF(OR(M394=phu!$I$89,M394=phu!$I$90),"Cam Lập",""),IF(OR(M394=phu!$I$91,M394=phu!$I$92,M394=phu!$I$93),"Cam Bình",""),IF(OR(M394=phu!$I$94,M394=phu!$I$95,M394=phu!$I$96,M394=phu!$I$97,M394=phu!$I$98,M394=phu!$I$99,M394=phu!$I$100),"Huyện khác",""),IF(OR(M394=phu!$I$101,M394=phu!$I$102),"Tỉnh khác",""))</f>
        <v/>
      </c>
      <c r="O394" s="814" t="str">
        <f t="shared" si="37"/>
        <v/>
      </c>
      <c r="P394" s="254"/>
      <c r="Q394" s="254"/>
      <c r="R394" s="254"/>
      <c r="S394" s="254"/>
      <c r="T394" s="254"/>
      <c r="U394" s="254"/>
      <c r="V394" s="254"/>
      <c r="W394" s="254"/>
      <c r="Y394" s="246" t="str">
        <f t="shared" si="38"/>
        <v/>
      </c>
      <c r="Z394" s="247" t="str">
        <f t="shared" si="36"/>
        <v/>
      </c>
      <c r="AA394" s="246" t="str">
        <f t="shared" si="39"/>
        <v/>
      </c>
    </row>
    <row r="395" spans="1:27" ht="18" customHeight="1" x14ac:dyDescent="0.25">
      <c r="A395" s="248" t="str">
        <f t="shared" si="40"/>
        <v/>
      </c>
      <c r="B395" s="249" t="str">
        <f t="shared" si="41"/>
        <v/>
      </c>
      <c r="C395" s="250"/>
      <c r="D395" s="251"/>
      <c r="E395" s="241"/>
      <c r="F395" s="252"/>
      <c r="G395" s="252"/>
      <c r="H395" s="253"/>
      <c r="I395" s="250"/>
      <c r="J395" s="250"/>
      <c r="K395" s="270"/>
      <c r="L395" s="250"/>
      <c r="M395" s="250"/>
      <c r="N395" s="553" t="str">
        <f>CONCATENATE(IF(OR(M395=phu!$I$1,M395=phu!$I$2,M395=phu!$I$3),"Cam Thành Nam",""),IF(OR(M395=phu!$I$4,M395=phu!$I$5,M395=phu!$I$6,M395=phu!$I$7,M395=phu!$I$8,M395=phu!$I$9,M395=phu!$I$10,M395=phu!$I$11,M395=phu!$I$12,M395=phu!$I$13,M395=phu!$I$14),"Cam Nghĩa",""),IF(OR(M395=phu!$I$15,M395=phu!$I$16,M395=phu!$I$17,M395=phu!$I$18,M395=phu!$I$19,M395=phu!$I$20,M395=phu!$I$21),"Cam Phúc Bắc",""),IF(OR(M395=phu!$I$22,M395=phu!$I$23,M395=phu!$I$24,M395=phu!$I$25),"Cam Phúc Nam",""),IF(OR(M395=phu!$I$26,M395=phu!$I$27,M395=phu!$I$28,M395=phu!$I$29,M395=phu!$I$30,M395=phu!$I$31),"Cam Phú",""),IF(OR(M395=phu!$I$32,M395=phu!$I$33,M395=phu!$I$34,M395=phu!$I$35,M395=phu!$I$36,M395=phu!$I$37),"Cam Lộc",""),IF(OR(M395=phu!$I$38,M395=phu!$I$39,M395=phu!$I$40,M395=phu!$I$41,M395=phu!$I$42,M395=phu!$I$43,M395=phu!$I$44),"Cam Thuận",""),IF(OR(M395=phu!$I$45,M395=phu!$I$46,M395=phu!$I$47,M395=phu!$I$48,M395=phu!$I$49,M395=phu!$I$50,M395=phu!$I$51,M395=phu!$I$52,M395=phu!$I$53),"Cam Linh",""),IF(OR(M395=phu!$I$54,M395=phu!$I$55,M395=phu!$I$56,M395=phu!$I$57,M395=phu!$I$58,M395=phu!$I$59,M395=phu!$I$60,M395=phu!$I$61,M395=phu!$I$62),"Cam Lợi",""),IF(OR(M395=phu!$I$63,M395=phu!$I$64,M395=phu!$I$65,M395=phu!$I$66,M395=phu!$I$67,M395=phu!$I$68,M395=phu!$I$69,M395=phu!$I$70,M395=phu!$I$71),"Ba Ngòi",""),IF(OR(M395=phu!$I$72,M395=phu!$I$73,M395=phu!$I$74,M395=phu!$I$75,M395=phu!$I$76,M395=phu!$I$77,M395=phu!$I$78),"Cam Phước Đông",""),IF(OR(M395=phu!$I$79,M395=phu!$I$80,M395=phu!$I$81,M395=phu!$I$82,M395=phu!$I$83,M395=phu!$I$84),"Cam Thịnh Đông",""),IF(OR(M395=phu!$I$85,M395=phu!$I$86,M395=phu!$I$87,M395=phu!$I$88),"Cam Thịnh Tây",""),IF(OR(M395=phu!$I$89,M395=phu!$I$90),"Cam Lập",""),IF(OR(M395=phu!$I$91,M395=phu!$I$92,M395=phu!$I$93),"Cam Bình",""),IF(OR(M395=phu!$I$94,M395=phu!$I$95,M395=phu!$I$96,M395=phu!$I$97,M395=phu!$I$98,M395=phu!$I$99,M395=phu!$I$100),"Huyện khác",""),IF(OR(M395=phu!$I$101,M395=phu!$I$102),"Tỉnh khác",""))</f>
        <v/>
      </c>
      <c r="O395" s="814" t="str">
        <f t="shared" si="37"/>
        <v/>
      </c>
      <c r="P395" s="254"/>
      <c r="Q395" s="254"/>
      <c r="R395" s="254"/>
      <c r="S395" s="254"/>
      <c r="T395" s="254"/>
      <c r="U395" s="254"/>
      <c r="V395" s="254"/>
      <c r="W395" s="254"/>
      <c r="Y395" s="246" t="str">
        <f t="shared" si="38"/>
        <v/>
      </c>
      <c r="Z395" s="247" t="str">
        <f t="shared" si="36"/>
        <v/>
      </c>
      <c r="AA395" s="246" t="str">
        <f t="shared" si="39"/>
        <v/>
      </c>
    </row>
    <row r="396" spans="1:27" ht="18" customHeight="1" x14ac:dyDescent="0.25">
      <c r="A396" s="248" t="str">
        <f t="shared" si="40"/>
        <v/>
      </c>
      <c r="B396" s="249" t="str">
        <f t="shared" si="41"/>
        <v/>
      </c>
      <c r="C396" s="250"/>
      <c r="D396" s="251"/>
      <c r="E396" s="241"/>
      <c r="F396" s="252"/>
      <c r="G396" s="252"/>
      <c r="H396" s="253"/>
      <c r="I396" s="250"/>
      <c r="J396" s="250"/>
      <c r="K396" s="270"/>
      <c r="L396" s="250"/>
      <c r="M396" s="250"/>
      <c r="N396" s="553" t="str">
        <f>CONCATENATE(IF(OR(M396=phu!$I$1,M396=phu!$I$2,M396=phu!$I$3),"Cam Thành Nam",""),IF(OR(M396=phu!$I$4,M396=phu!$I$5,M396=phu!$I$6,M396=phu!$I$7,M396=phu!$I$8,M396=phu!$I$9,M396=phu!$I$10,M396=phu!$I$11,M396=phu!$I$12,M396=phu!$I$13,M396=phu!$I$14),"Cam Nghĩa",""),IF(OR(M396=phu!$I$15,M396=phu!$I$16,M396=phu!$I$17,M396=phu!$I$18,M396=phu!$I$19,M396=phu!$I$20,M396=phu!$I$21),"Cam Phúc Bắc",""),IF(OR(M396=phu!$I$22,M396=phu!$I$23,M396=phu!$I$24,M396=phu!$I$25),"Cam Phúc Nam",""),IF(OR(M396=phu!$I$26,M396=phu!$I$27,M396=phu!$I$28,M396=phu!$I$29,M396=phu!$I$30,M396=phu!$I$31),"Cam Phú",""),IF(OR(M396=phu!$I$32,M396=phu!$I$33,M396=phu!$I$34,M396=phu!$I$35,M396=phu!$I$36,M396=phu!$I$37),"Cam Lộc",""),IF(OR(M396=phu!$I$38,M396=phu!$I$39,M396=phu!$I$40,M396=phu!$I$41,M396=phu!$I$42,M396=phu!$I$43,M396=phu!$I$44),"Cam Thuận",""),IF(OR(M396=phu!$I$45,M396=phu!$I$46,M396=phu!$I$47,M396=phu!$I$48,M396=phu!$I$49,M396=phu!$I$50,M396=phu!$I$51,M396=phu!$I$52,M396=phu!$I$53),"Cam Linh",""),IF(OR(M396=phu!$I$54,M396=phu!$I$55,M396=phu!$I$56,M396=phu!$I$57,M396=phu!$I$58,M396=phu!$I$59,M396=phu!$I$60,M396=phu!$I$61,M396=phu!$I$62),"Cam Lợi",""),IF(OR(M396=phu!$I$63,M396=phu!$I$64,M396=phu!$I$65,M396=phu!$I$66,M396=phu!$I$67,M396=phu!$I$68,M396=phu!$I$69,M396=phu!$I$70,M396=phu!$I$71),"Ba Ngòi",""),IF(OR(M396=phu!$I$72,M396=phu!$I$73,M396=phu!$I$74,M396=phu!$I$75,M396=phu!$I$76,M396=phu!$I$77,M396=phu!$I$78),"Cam Phước Đông",""),IF(OR(M396=phu!$I$79,M396=phu!$I$80,M396=phu!$I$81,M396=phu!$I$82,M396=phu!$I$83,M396=phu!$I$84),"Cam Thịnh Đông",""),IF(OR(M396=phu!$I$85,M396=phu!$I$86,M396=phu!$I$87,M396=phu!$I$88),"Cam Thịnh Tây",""),IF(OR(M396=phu!$I$89,M396=phu!$I$90),"Cam Lập",""),IF(OR(M396=phu!$I$91,M396=phu!$I$92,M396=phu!$I$93),"Cam Bình",""),IF(OR(M396=phu!$I$94,M396=phu!$I$95,M396=phu!$I$96,M396=phu!$I$97,M396=phu!$I$98,M396=phu!$I$99,M396=phu!$I$100),"Huyện khác",""),IF(OR(M396=phu!$I$101,M396=phu!$I$102),"Tỉnh khác",""))</f>
        <v/>
      </c>
      <c r="O396" s="814" t="str">
        <f t="shared" si="37"/>
        <v/>
      </c>
      <c r="P396" s="254"/>
      <c r="Q396" s="254"/>
      <c r="R396" s="254"/>
      <c r="S396" s="254"/>
      <c r="T396" s="254"/>
      <c r="U396" s="254"/>
      <c r="V396" s="254"/>
      <c r="W396" s="254"/>
      <c r="Y396" s="246" t="str">
        <f t="shared" si="38"/>
        <v/>
      </c>
      <c r="Z396" s="247" t="str">
        <f t="shared" si="36"/>
        <v/>
      </c>
      <c r="AA396" s="246" t="str">
        <f t="shared" si="39"/>
        <v/>
      </c>
    </row>
    <row r="397" spans="1:27" ht="18" customHeight="1" x14ac:dyDescent="0.25">
      <c r="A397" s="248" t="str">
        <f t="shared" si="40"/>
        <v/>
      </c>
      <c r="B397" s="249" t="str">
        <f t="shared" si="41"/>
        <v/>
      </c>
      <c r="C397" s="250"/>
      <c r="D397" s="251"/>
      <c r="E397" s="241"/>
      <c r="F397" s="252"/>
      <c r="G397" s="252"/>
      <c r="H397" s="253"/>
      <c r="I397" s="250"/>
      <c r="J397" s="250"/>
      <c r="K397" s="270"/>
      <c r="L397" s="250"/>
      <c r="M397" s="250"/>
      <c r="N397" s="553" t="str">
        <f>CONCATENATE(IF(OR(M397=phu!$I$1,M397=phu!$I$2,M397=phu!$I$3),"Cam Thành Nam",""),IF(OR(M397=phu!$I$4,M397=phu!$I$5,M397=phu!$I$6,M397=phu!$I$7,M397=phu!$I$8,M397=phu!$I$9,M397=phu!$I$10,M397=phu!$I$11,M397=phu!$I$12,M397=phu!$I$13,M397=phu!$I$14),"Cam Nghĩa",""),IF(OR(M397=phu!$I$15,M397=phu!$I$16,M397=phu!$I$17,M397=phu!$I$18,M397=phu!$I$19,M397=phu!$I$20,M397=phu!$I$21),"Cam Phúc Bắc",""),IF(OR(M397=phu!$I$22,M397=phu!$I$23,M397=phu!$I$24,M397=phu!$I$25),"Cam Phúc Nam",""),IF(OR(M397=phu!$I$26,M397=phu!$I$27,M397=phu!$I$28,M397=phu!$I$29,M397=phu!$I$30,M397=phu!$I$31),"Cam Phú",""),IF(OR(M397=phu!$I$32,M397=phu!$I$33,M397=phu!$I$34,M397=phu!$I$35,M397=phu!$I$36,M397=phu!$I$37),"Cam Lộc",""),IF(OR(M397=phu!$I$38,M397=phu!$I$39,M397=phu!$I$40,M397=phu!$I$41,M397=phu!$I$42,M397=phu!$I$43,M397=phu!$I$44),"Cam Thuận",""),IF(OR(M397=phu!$I$45,M397=phu!$I$46,M397=phu!$I$47,M397=phu!$I$48,M397=phu!$I$49,M397=phu!$I$50,M397=phu!$I$51,M397=phu!$I$52,M397=phu!$I$53),"Cam Linh",""),IF(OR(M397=phu!$I$54,M397=phu!$I$55,M397=phu!$I$56,M397=phu!$I$57,M397=phu!$I$58,M397=phu!$I$59,M397=phu!$I$60,M397=phu!$I$61,M397=phu!$I$62),"Cam Lợi",""),IF(OR(M397=phu!$I$63,M397=phu!$I$64,M397=phu!$I$65,M397=phu!$I$66,M397=phu!$I$67,M397=phu!$I$68,M397=phu!$I$69,M397=phu!$I$70,M397=phu!$I$71),"Ba Ngòi",""),IF(OR(M397=phu!$I$72,M397=phu!$I$73,M397=phu!$I$74,M397=phu!$I$75,M397=phu!$I$76,M397=phu!$I$77,M397=phu!$I$78),"Cam Phước Đông",""),IF(OR(M397=phu!$I$79,M397=phu!$I$80,M397=phu!$I$81,M397=phu!$I$82,M397=phu!$I$83,M397=phu!$I$84),"Cam Thịnh Đông",""),IF(OR(M397=phu!$I$85,M397=phu!$I$86,M397=phu!$I$87,M397=phu!$I$88),"Cam Thịnh Tây",""),IF(OR(M397=phu!$I$89,M397=phu!$I$90),"Cam Lập",""),IF(OR(M397=phu!$I$91,M397=phu!$I$92,M397=phu!$I$93),"Cam Bình",""),IF(OR(M397=phu!$I$94,M397=phu!$I$95,M397=phu!$I$96,M397=phu!$I$97,M397=phu!$I$98,M397=phu!$I$99,M397=phu!$I$100),"Huyện khác",""),IF(OR(M397=phu!$I$101,M397=phu!$I$102),"Tỉnh khác",""))</f>
        <v/>
      </c>
      <c r="O397" s="814" t="str">
        <f t="shared" si="37"/>
        <v/>
      </c>
      <c r="P397" s="254"/>
      <c r="Q397" s="254"/>
      <c r="R397" s="254"/>
      <c r="S397" s="254"/>
      <c r="T397" s="254"/>
      <c r="U397" s="254"/>
      <c r="V397" s="254"/>
      <c r="W397" s="254"/>
      <c r="Y397" s="246" t="str">
        <f t="shared" si="38"/>
        <v/>
      </c>
      <c r="Z397" s="247" t="str">
        <f t="shared" si="36"/>
        <v/>
      </c>
      <c r="AA397" s="246" t="str">
        <f t="shared" si="39"/>
        <v/>
      </c>
    </row>
    <row r="398" spans="1:27" ht="18" customHeight="1" x14ac:dyDescent="0.25">
      <c r="A398" s="248" t="str">
        <f t="shared" si="40"/>
        <v/>
      </c>
      <c r="B398" s="249" t="str">
        <f t="shared" si="41"/>
        <v/>
      </c>
      <c r="C398" s="250"/>
      <c r="D398" s="251"/>
      <c r="E398" s="241"/>
      <c r="F398" s="252"/>
      <c r="G398" s="252"/>
      <c r="H398" s="253"/>
      <c r="I398" s="250"/>
      <c r="J398" s="250"/>
      <c r="K398" s="270"/>
      <c r="L398" s="250"/>
      <c r="M398" s="250"/>
      <c r="N398" s="553" t="str">
        <f>CONCATENATE(IF(OR(M398=phu!$I$1,M398=phu!$I$2,M398=phu!$I$3),"Cam Thành Nam",""),IF(OR(M398=phu!$I$4,M398=phu!$I$5,M398=phu!$I$6,M398=phu!$I$7,M398=phu!$I$8,M398=phu!$I$9,M398=phu!$I$10,M398=phu!$I$11,M398=phu!$I$12,M398=phu!$I$13,M398=phu!$I$14),"Cam Nghĩa",""),IF(OR(M398=phu!$I$15,M398=phu!$I$16,M398=phu!$I$17,M398=phu!$I$18,M398=phu!$I$19,M398=phu!$I$20,M398=phu!$I$21),"Cam Phúc Bắc",""),IF(OR(M398=phu!$I$22,M398=phu!$I$23,M398=phu!$I$24,M398=phu!$I$25),"Cam Phúc Nam",""),IF(OR(M398=phu!$I$26,M398=phu!$I$27,M398=phu!$I$28,M398=phu!$I$29,M398=phu!$I$30,M398=phu!$I$31),"Cam Phú",""),IF(OR(M398=phu!$I$32,M398=phu!$I$33,M398=phu!$I$34,M398=phu!$I$35,M398=phu!$I$36,M398=phu!$I$37),"Cam Lộc",""),IF(OR(M398=phu!$I$38,M398=phu!$I$39,M398=phu!$I$40,M398=phu!$I$41,M398=phu!$I$42,M398=phu!$I$43,M398=phu!$I$44),"Cam Thuận",""),IF(OR(M398=phu!$I$45,M398=phu!$I$46,M398=phu!$I$47,M398=phu!$I$48,M398=phu!$I$49,M398=phu!$I$50,M398=phu!$I$51,M398=phu!$I$52,M398=phu!$I$53),"Cam Linh",""),IF(OR(M398=phu!$I$54,M398=phu!$I$55,M398=phu!$I$56,M398=phu!$I$57,M398=phu!$I$58,M398=phu!$I$59,M398=phu!$I$60,M398=phu!$I$61,M398=phu!$I$62),"Cam Lợi",""),IF(OR(M398=phu!$I$63,M398=phu!$I$64,M398=phu!$I$65,M398=phu!$I$66,M398=phu!$I$67,M398=phu!$I$68,M398=phu!$I$69,M398=phu!$I$70,M398=phu!$I$71),"Ba Ngòi",""),IF(OR(M398=phu!$I$72,M398=phu!$I$73,M398=phu!$I$74,M398=phu!$I$75,M398=phu!$I$76,M398=phu!$I$77,M398=phu!$I$78),"Cam Phước Đông",""),IF(OR(M398=phu!$I$79,M398=phu!$I$80,M398=phu!$I$81,M398=phu!$I$82,M398=phu!$I$83,M398=phu!$I$84),"Cam Thịnh Đông",""),IF(OR(M398=phu!$I$85,M398=phu!$I$86,M398=phu!$I$87,M398=phu!$I$88),"Cam Thịnh Tây",""),IF(OR(M398=phu!$I$89,M398=phu!$I$90),"Cam Lập",""),IF(OR(M398=phu!$I$91,M398=phu!$I$92,M398=phu!$I$93),"Cam Bình",""),IF(OR(M398=phu!$I$94,M398=phu!$I$95,M398=phu!$I$96,M398=phu!$I$97,M398=phu!$I$98,M398=phu!$I$99,M398=phu!$I$100),"Huyện khác",""),IF(OR(M398=phu!$I$101,M398=phu!$I$102),"Tỉnh khác",""))</f>
        <v/>
      </c>
      <c r="O398" s="814" t="str">
        <f t="shared" si="37"/>
        <v/>
      </c>
      <c r="P398" s="254"/>
      <c r="Q398" s="254"/>
      <c r="R398" s="254"/>
      <c r="S398" s="254"/>
      <c r="T398" s="254"/>
      <c r="U398" s="254"/>
      <c r="V398" s="254"/>
      <c r="W398" s="254"/>
      <c r="Y398" s="246" t="str">
        <f t="shared" si="38"/>
        <v/>
      </c>
      <c r="Z398" s="247" t="str">
        <f t="shared" si="36"/>
        <v/>
      </c>
      <c r="AA398" s="246" t="str">
        <f t="shared" si="39"/>
        <v/>
      </c>
    </row>
    <row r="399" spans="1:27" ht="18" customHeight="1" x14ac:dyDescent="0.25">
      <c r="A399" s="248" t="str">
        <f t="shared" si="40"/>
        <v/>
      </c>
      <c r="B399" s="249" t="str">
        <f t="shared" si="41"/>
        <v/>
      </c>
      <c r="C399" s="250"/>
      <c r="D399" s="251"/>
      <c r="E399" s="241"/>
      <c r="F399" s="252"/>
      <c r="G399" s="252"/>
      <c r="H399" s="253"/>
      <c r="I399" s="250"/>
      <c r="J399" s="250"/>
      <c r="K399" s="270"/>
      <c r="L399" s="250"/>
      <c r="M399" s="250"/>
      <c r="N399" s="553" t="str">
        <f>CONCATENATE(IF(OR(M399=phu!$I$1,M399=phu!$I$2,M399=phu!$I$3),"Cam Thành Nam",""),IF(OR(M399=phu!$I$4,M399=phu!$I$5,M399=phu!$I$6,M399=phu!$I$7,M399=phu!$I$8,M399=phu!$I$9,M399=phu!$I$10,M399=phu!$I$11,M399=phu!$I$12,M399=phu!$I$13,M399=phu!$I$14),"Cam Nghĩa",""),IF(OR(M399=phu!$I$15,M399=phu!$I$16,M399=phu!$I$17,M399=phu!$I$18,M399=phu!$I$19,M399=phu!$I$20,M399=phu!$I$21),"Cam Phúc Bắc",""),IF(OR(M399=phu!$I$22,M399=phu!$I$23,M399=phu!$I$24,M399=phu!$I$25),"Cam Phúc Nam",""),IF(OR(M399=phu!$I$26,M399=phu!$I$27,M399=phu!$I$28,M399=phu!$I$29,M399=phu!$I$30,M399=phu!$I$31),"Cam Phú",""),IF(OR(M399=phu!$I$32,M399=phu!$I$33,M399=phu!$I$34,M399=phu!$I$35,M399=phu!$I$36,M399=phu!$I$37),"Cam Lộc",""),IF(OR(M399=phu!$I$38,M399=phu!$I$39,M399=phu!$I$40,M399=phu!$I$41,M399=phu!$I$42,M399=phu!$I$43,M399=phu!$I$44),"Cam Thuận",""),IF(OR(M399=phu!$I$45,M399=phu!$I$46,M399=phu!$I$47,M399=phu!$I$48,M399=phu!$I$49,M399=phu!$I$50,M399=phu!$I$51,M399=phu!$I$52,M399=phu!$I$53),"Cam Linh",""),IF(OR(M399=phu!$I$54,M399=phu!$I$55,M399=phu!$I$56,M399=phu!$I$57,M399=phu!$I$58,M399=phu!$I$59,M399=phu!$I$60,M399=phu!$I$61,M399=phu!$I$62),"Cam Lợi",""),IF(OR(M399=phu!$I$63,M399=phu!$I$64,M399=phu!$I$65,M399=phu!$I$66,M399=phu!$I$67,M399=phu!$I$68,M399=phu!$I$69,M399=phu!$I$70,M399=phu!$I$71),"Ba Ngòi",""),IF(OR(M399=phu!$I$72,M399=phu!$I$73,M399=phu!$I$74,M399=phu!$I$75,M399=phu!$I$76,M399=phu!$I$77,M399=phu!$I$78),"Cam Phước Đông",""),IF(OR(M399=phu!$I$79,M399=phu!$I$80,M399=phu!$I$81,M399=phu!$I$82,M399=phu!$I$83,M399=phu!$I$84),"Cam Thịnh Đông",""),IF(OR(M399=phu!$I$85,M399=phu!$I$86,M399=phu!$I$87,M399=phu!$I$88),"Cam Thịnh Tây",""),IF(OR(M399=phu!$I$89,M399=phu!$I$90),"Cam Lập",""),IF(OR(M399=phu!$I$91,M399=phu!$I$92,M399=phu!$I$93),"Cam Bình",""),IF(OR(M399=phu!$I$94,M399=phu!$I$95,M399=phu!$I$96,M399=phu!$I$97,M399=phu!$I$98,M399=phu!$I$99,M399=phu!$I$100),"Huyện khác",""),IF(OR(M399=phu!$I$101,M399=phu!$I$102),"Tỉnh khác",""))</f>
        <v/>
      </c>
      <c r="O399" s="814" t="str">
        <f t="shared" si="37"/>
        <v/>
      </c>
      <c r="P399" s="254"/>
      <c r="Q399" s="254"/>
      <c r="R399" s="254"/>
      <c r="S399" s="254"/>
      <c r="T399" s="254"/>
      <c r="U399" s="254"/>
      <c r="V399" s="254"/>
      <c r="W399" s="254"/>
      <c r="Y399" s="246" t="str">
        <f t="shared" si="38"/>
        <v/>
      </c>
      <c r="Z399" s="247" t="str">
        <f t="shared" si="36"/>
        <v/>
      </c>
      <c r="AA399" s="246" t="str">
        <f t="shared" si="39"/>
        <v/>
      </c>
    </row>
    <row r="400" spans="1:27" ht="18" customHeight="1" x14ac:dyDescent="0.25">
      <c r="A400" s="248" t="str">
        <f t="shared" si="40"/>
        <v/>
      </c>
      <c r="B400" s="249" t="str">
        <f t="shared" si="41"/>
        <v/>
      </c>
      <c r="C400" s="250"/>
      <c r="D400" s="251"/>
      <c r="E400" s="241"/>
      <c r="F400" s="252"/>
      <c r="G400" s="252"/>
      <c r="H400" s="253"/>
      <c r="I400" s="250"/>
      <c r="J400" s="250"/>
      <c r="K400" s="270"/>
      <c r="L400" s="250"/>
      <c r="M400" s="250"/>
      <c r="N400" s="553" t="str">
        <f>CONCATENATE(IF(OR(M400=phu!$I$1,M400=phu!$I$2,M400=phu!$I$3),"Cam Thành Nam",""),IF(OR(M400=phu!$I$4,M400=phu!$I$5,M400=phu!$I$6,M400=phu!$I$7,M400=phu!$I$8,M400=phu!$I$9,M400=phu!$I$10,M400=phu!$I$11,M400=phu!$I$12,M400=phu!$I$13,M400=phu!$I$14),"Cam Nghĩa",""),IF(OR(M400=phu!$I$15,M400=phu!$I$16,M400=phu!$I$17,M400=phu!$I$18,M400=phu!$I$19,M400=phu!$I$20,M400=phu!$I$21),"Cam Phúc Bắc",""),IF(OR(M400=phu!$I$22,M400=phu!$I$23,M400=phu!$I$24,M400=phu!$I$25),"Cam Phúc Nam",""),IF(OR(M400=phu!$I$26,M400=phu!$I$27,M400=phu!$I$28,M400=phu!$I$29,M400=phu!$I$30,M400=phu!$I$31),"Cam Phú",""),IF(OR(M400=phu!$I$32,M400=phu!$I$33,M400=phu!$I$34,M400=phu!$I$35,M400=phu!$I$36,M400=phu!$I$37),"Cam Lộc",""),IF(OR(M400=phu!$I$38,M400=phu!$I$39,M400=phu!$I$40,M400=phu!$I$41,M400=phu!$I$42,M400=phu!$I$43,M400=phu!$I$44),"Cam Thuận",""),IF(OR(M400=phu!$I$45,M400=phu!$I$46,M400=phu!$I$47,M400=phu!$I$48,M400=phu!$I$49,M400=phu!$I$50,M400=phu!$I$51,M400=phu!$I$52,M400=phu!$I$53),"Cam Linh",""),IF(OR(M400=phu!$I$54,M400=phu!$I$55,M400=phu!$I$56,M400=phu!$I$57,M400=phu!$I$58,M400=phu!$I$59,M400=phu!$I$60,M400=phu!$I$61,M400=phu!$I$62),"Cam Lợi",""),IF(OR(M400=phu!$I$63,M400=phu!$I$64,M400=phu!$I$65,M400=phu!$I$66,M400=phu!$I$67,M400=phu!$I$68,M400=phu!$I$69,M400=phu!$I$70,M400=phu!$I$71),"Ba Ngòi",""),IF(OR(M400=phu!$I$72,M400=phu!$I$73,M400=phu!$I$74,M400=phu!$I$75,M400=phu!$I$76,M400=phu!$I$77,M400=phu!$I$78),"Cam Phước Đông",""),IF(OR(M400=phu!$I$79,M400=phu!$I$80,M400=phu!$I$81,M400=phu!$I$82,M400=phu!$I$83,M400=phu!$I$84),"Cam Thịnh Đông",""),IF(OR(M400=phu!$I$85,M400=phu!$I$86,M400=phu!$I$87,M400=phu!$I$88),"Cam Thịnh Tây",""),IF(OR(M400=phu!$I$89,M400=phu!$I$90),"Cam Lập",""),IF(OR(M400=phu!$I$91,M400=phu!$I$92,M400=phu!$I$93),"Cam Bình",""),IF(OR(M400=phu!$I$94,M400=phu!$I$95,M400=phu!$I$96,M400=phu!$I$97,M400=phu!$I$98,M400=phu!$I$99,M400=phu!$I$100),"Huyện khác",""),IF(OR(M400=phu!$I$101,M400=phu!$I$102),"Tỉnh khác",""))</f>
        <v/>
      </c>
      <c r="O400" s="814" t="str">
        <f t="shared" si="37"/>
        <v/>
      </c>
      <c r="P400" s="254"/>
      <c r="Q400" s="254"/>
      <c r="R400" s="254"/>
      <c r="S400" s="254"/>
      <c r="T400" s="254"/>
      <c r="U400" s="254"/>
      <c r="V400" s="254"/>
      <c r="W400" s="254"/>
      <c r="Y400" s="246" t="str">
        <f t="shared" si="38"/>
        <v/>
      </c>
      <c r="Z400" s="247" t="str">
        <f t="shared" si="36"/>
        <v/>
      </c>
      <c r="AA400" s="246" t="str">
        <f t="shared" si="39"/>
        <v/>
      </c>
    </row>
    <row r="401" spans="1:27" ht="18" customHeight="1" x14ac:dyDescent="0.25">
      <c r="A401" s="248" t="str">
        <f t="shared" si="40"/>
        <v/>
      </c>
      <c r="B401" s="249" t="str">
        <f t="shared" si="41"/>
        <v/>
      </c>
      <c r="C401" s="250"/>
      <c r="D401" s="251"/>
      <c r="E401" s="241"/>
      <c r="F401" s="252"/>
      <c r="G401" s="252"/>
      <c r="H401" s="253"/>
      <c r="I401" s="250"/>
      <c r="J401" s="250"/>
      <c r="K401" s="270"/>
      <c r="L401" s="250"/>
      <c r="M401" s="250"/>
      <c r="N401" s="553" t="str">
        <f>CONCATENATE(IF(OR(M401=phu!$I$1,M401=phu!$I$2,M401=phu!$I$3),"Cam Thành Nam",""),IF(OR(M401=phu!$I$4,M401=phu!$I$5,M401=phu!$I$6,M401=phu!$I$7,M401=phu!$I$8,M401=phu!$I$9,M401=phu!$I$10,M401=phu!$I$11,M401=phu!$I$12,M401=phu!$I$13,M401=phu!$I$14),"Cam Nghĩa",""),IF(OR(M401=phu!$I$15,M401=phu!$I$16,M401=phu!$I$17,M401=phu!$I$18,M401=phu!$I$19,M401=phu!$I$20,M401=phu!$I$21),"Cam Phúc Bắc",""),IF(OR(M401=phu!$I$22,M401=phu!$I$23,M401=phu!$I$24,M401=phu!$I$25),"Cam Phúc Nam",""),IF(OR(M401=phu!$I$26,M401=phu!$I$27,M401=phu!$I$28,M401=phu!$I$29,M401=phu!$I$30,M401=phu!$I$31),"Cam Phú",""),IF(OR(M401=phu!$I$32,M401=phu!$I$33,M401=phu!$I$34,M401=phu!$I$35,M401=phu!$I$36,M401=phu!$I$37),"Cam Lộc",""),IF(OR(M401=phu!$I$38,M401=phu!$I$39,M401=phu!$I$40,M401=phu!$I$41,M401=phu!$I$42,M401=phu!$I$43,M401=phu!$I$44),"Cam Thuận",""),IF(OR(M401=phu!$I$45,M401=phu!$I$46,M401=phu!$I$47,M401=phu!$I$48,M401=phu!$I$49,M401=phu!$I$50,M401=phu!$I$51,M401=phu!$I$52,M401=phu!$I$53),"Cam Linh",""),IF(OR(M401=phu!$I$54,M401=phu!$I$55,M401=phu!$I$56,M401=phu!$I$57,M401=phu!$I$58,M401=phu!$I$59,M401=phu!$I$60,M401=phu!$I$61,M401=phu!$I$62),"Cam Lợi",""),IF(OR(M401=phu!$I$63,M401=phu!$I$64,M401=phu!$I$65,M401=phu!$I$66,M401=phu!$I$67,M401=phu!$I$68,M401=phu!$I$69,M401=phu!$I$70,M401=phu!$I$71),"Ba Ngòi",""),IF(OR(M401=phu!$I$72,M401=phu!$I$73,M401=phu!$I$74,M401=phu!$I$75,M401=phu!$I$76,M401=phu!$I$77,M401=phu!$I$78),"Cam Phước Đông",""),IF(OR(M401=phu!$I$79,M401=phu!$I$80,M401=phu!$I$81,M401=phu!$I$82,M401=phu!$I$83,M401=phu!$I$84),"Cam Thịnh Đông",""),IF(OR(M401=phu!$I$85,M401=phu!$I$86,M401=phu!$I$87,M401=phu!$I$88),"Cam Thịnh Tây",""),IF(OR(M401=phu!$I$89,M401=phu!$I$90),"Cam Lập",""),IF(OR(M401=phu!$I$91,M401=phu!$I$92,M401=phu!$I$93),"Cam Bình",""),IF(OR(M401=phu!$I$94,M401=phu!$I$95,M401=phu!$I$96,M401=phu!$I$97,M401=phu!$I$98,M401=phu!$I$99,M401=phu!$I$100),"Huyện khác",""),IF(OR(M401=phu!$I$101,M401=phu!$I$102),"Tỉnh khác",""))</f>
        <v/>
      </c>
      <c r="O401" s="814" t="str">
        <f t="shared" si="37"/>
        <v/>
      </c>
      <c r="P401" s="254"/>
      <c r="Q401" s="254"/>
      <c r="R401" s="254"/>
      <c r="S401" s="254"/>
      <c r="T401" s="254"/>
      <c r="U401" s="254"/>
      <c r="V401" s="254"/>
      <c r="W401" s="254"/>
      <c r="Y401" s="246" t="str">
        <f t="shared" si="38"/>
        <v/>
      </c>
      <c r="Z401" s="247" t="str">
        <f t="shared" si="36"/>
        <v/>
      </c>
      <c r="AA401" s="246" t="str">
        <f t="shared" si="39"/>
        <v/>
      </c>
    </row>
    <row r="402" spans="1:27" ht="18" customHeight="1" x14ac:dyDescent="0.25">
      <c r="A402" s="248" t="str">
        <f t="shared" si="40"/>
        <v/>
      </c>
      <c r="B402" s="249" t="str">
        <f t="shared" si="41"/>
        <v/>
      </c>
      <c r="C402" s="250"/>
      <c r="D402" s="251"/>
      <c r="E402" s="241"/>
      <c r="F402" s="252"/>
      <c r="G402" s="252"/>
      <c r="H402" s="253"/>
      <c r="I402" s="250"/>
      <c r="J402" s="250"/>
      <c r="K402" s="270"/>
      <c r="L402" s="250"/>
      <c r="M402" s="250"/>
      <c r="N402" s="553" t="str">
        <f>CONCATENATE(IF(OR(M402=phu!$I$1,M402=phu!$I$2,M402=phu!$I$3),"Cam Thành Nam",""),IF(OR(M402=phu!$I$4,M402=phu!$I$5,M402=phu!$I$6,M402=phu!$I$7,M402=phu!$I$8,M402=phu!$I$9,M402=phu!$I$10,M402=phu!$I$11,M402=phu!$I$12,M402=phu!$I$13,M402=phu!$I$14),"Cam Nghĩa",""),IF(OR(M402=phu!$I$15,M402=phu!$I$16,M402=phu!$I$17,M402=phu!$I$18,M402=phu!$I$19,M402=phu!$I$20,M402=phu!$I$21),"Cam Phúc Bắc",""),IF(OR(M402=phu!$I$22,M402=phu!$I$23,M402=phu!$I$24,M402=phu!$I$25),"Cam Phúc Nam",""),IF(OR(M402=phu!$I$26,M402=phu!$I$27,M402=phu!$I$28,M402=phu!$I$29,M402=phu!$I$30,M402=phu!$I$31),"Cam Phú",""),IF(OR(M402=phu!$I$32,M402=phu!$I$33,M402=phu!$I$34,M402=phu!$I$35,M402=phu!$I$36,M402=phu!$I$37),"Cam Lộc",""),IF(OR(M402=phu!$I$38,M402=phu!$I$39,M402=phu!$I$40,M402=phu!$I$41,M402=phu!$I$42,M402=phu!$I$43,M402=phu!$I$44),"Cam Thuận",""),IF(OR(M402=phu!$I$45,M402=phu!$I$46,M402=phu!$I$47,M402=phu!$I$48,M402=phu!$I$49,M402=phu!$I$50,M402=phu!$I$51,M402=phu!$I$52,M402=phu!$I$53),"Cam Linh",""),IF(OR(M402=phu!$I$54,M402=phu!$I$55,M402=phu!$I$56,M402=phu!$I$57,M402=phu!$I$58,M402=phu!$I$59,M402=phu!$I$60,M402=phu!$I$61,M402=phu!$I$62),"Cam Lợi",""),IF(OR(M402=phu!$I$63,M402=phu!$I$64,M402=phu!$I$65,M402=phu!$I$66,M402=phu!$I$67,M402=phu!$I$68,M402=phu!$I$69,M402=phu!$I$70,M402=phu!$I$71),"Ba Ngòi",""),IF(OR(M402=phu!$I$72,M402=phu!$I$73,M402=phu!$I$74,M402=phu!$I$75,M402=phu!$I$76,M402=phu!$I$77,M402=phu!$I$78),"Cam Phước Đông",""),IF(OR(M402=phu!$I$79,M402=phu!$I$80,M402=phu!$I$81,M402=phu!$I$82,M402=phu!$I$83,M402=phu!$I$84),"Cam Thịnh Đông",""),IF(OR(M402=phu!$I$85,M402=phu!$I$86,M402=phu!$I$87,M402=phu!$I$88),"Cam Thịnh Tây",""),IF(OR(M402=phu!$I$89,M402=phu!$I$90),"Cam Lập",""),IF(OR(M402=phu!$I$91,M402=phu!$I$92,M402=phu!$I$93),"Cam Bình",""),IF(OR(M402=phu!$I$94,M402=phu!$I$95,M402=phu!$I$96,M402=phu!$I$97,M402=phu!$I$98,M402=phu!$I$99,M402=phu!$I$100),"Huyện khác",""),IF(OR(M402=phu!$I$101,M402=phu!$I$102),"Tỉnh khác",""))</f>
        <v/>
      </c>
      <c r="O402" s="814" t="str">
        <f t="shared" si="37"/>
        <v/>
      </c>
      <c r="P402" s="254"/>
      <c r="Q402" s="254"/>
      <c r="R402" s="254"/>
      <c r="S402" s="254"/>
      <c r="T402" s="254"/>
      <c r="U402" s="254"/>
      <c r="V402" s="254"/>
      <c r="W402" s="254"/>
      <c r="Y402" s="246" t="str">
        <f t="shared" si="38"/>
        <v/>
      </c>
      <c r="Z402" s="247" t="str">
        <f t="shared" si="36"/>
        <v/>
      </c>
      <c r="AA402" s="246" t="str">
        <f t="shared" si="39"/>
        <v/>
      </c>
    </row>
    <row r="403" spans="1:27" ht="18" customHeight="1" x14ac:dyDescent="0.25">
      <c r="A403" s="248" t="str">
        <f t="shared" si="40"/>
        <v/>
      </c>
      <c r="B403" s="249" t="str">
        <f t="shared" si="41"/>
        <v/>
      </c>
      <c r="C403" s="250"/>
      <c r="D403" s="251"/>
      <c r="E403" s="241"/>
      <c r="F403" s="252"/>
      <c r="G403" s="252"/>
      <c r="H403" s="253"/>
      <c r="I403" s="250"/>
      <c r="J403" s="250"/>
      <c r="K403" s="270"/>
      <c r="L403" s="250"/>
      <c r="M403" s="250"/>
      <c r="N403" s="553" t="str">
        <f>CONCATENATE(IF(OR(M403=phu!$I$1,M403=phu!$I$2,M403=phu!$I$3),"Cam Thành Nam",""),IF(OR(M403=phu!$I$4,M403=phu!$I$5,M403=phu!$I$6,M403=phu!$I$7,M403=phu!$I$8,M403=phu!$I$9,M403=phu!$I$10,M403=phu!$I$11,M403=phu!$I$12,M403=phu!$I$13,M403=phu!$I$14),"Cam Nghĩa",""),IF(OR(M403=phu!$I$15,M403=phu!$I$16,M403=phu!$I$17,M403=phu!$I$18,M403=phu!$I$19,M403=phu!$I$20,M403=phu!$I$21),"Cam Phúc Bắc",""),IF(OR(M403=phu!$I$22,M403=phu!$I$23,M403=phu!$I$24,M403=phu!$I$25),"Cam Phúc Nam",""),IF(OR(M403=phu!$I$26,M403=phu!$I$27,M403=phu!$I$28,M403=phu!$I$29,M403=phu!$I$30,M403=phu!$I$31),"Cam Phú",""),IF(OR(M403=phu!$I$32,M403=phu!$I$33,M403=phu!$I$34,M403=phu!$I$35,M403=phu!$I$36,M403=phu!$I$37),"Cam Lộc",""),IF(OR(M403=phu!$I$38,M403=phu!$I$39,M403=phu!$I$40,M403=phu!$I$41,M403=phu!$I$42,M403=phu!$I$43,M403=phu!$I$44),"Cam Thuận",""),IF(OR(M403=phu!$I$45,M403=phu!$I$46,M403=phu!$I$47,M403=phu!$I$48,M403=phu!$I$49,M403=phu!$I$50,M403=phu!$I$51,M403=phu!$I$52,M403=phu!$I$53),"Cam Linh",""),IF(OR(M403=phu!$I$54,M403=phu!$I$55,M403=phu!$I$56,M403=phu!$I$57,M403=phu!$I$58,M403=phu!$I$59,M403=phu!$I$60,M403=phu!$I$61,M403=phu!$I$62),"Cam Lợi",""),IF(OR(M403=phu!$I$63,M403=phu!$I$64,M403=phu!$I$65,M403=phu!$I$66,M403=phu!$I$67,M403=phu!$I$68,M403=phu!$I$69,M403=phu!$I$70,M403=phu!$I$71),"Ba Ngòi",""),IF(OR(M403=phu!$I$72,M403=phu!$I$73,M403=phu!$I$74,M403=phu!$I$75,M403=phu!$I$76,M403=phu!$I$77,M403=phu!$I$78),"Cam Phước Đông",""),IF(OR(M403=phu!$I$79,M403=phu!$I$80,M403=phu!$I$81,M403=phu!$I$82,M403=phu!$I$83,M403=phu!$I$84),"Cam Thịnh Đông",""),IF(OR(M403=phu!$I$85,M403=phu!$I$86,M403=phu!$I$87,M403=phu!$I$88),"Cam Thịnh Tây",""),IF(OR(M403=phu!$I$89,M403=phu!$I$90),"Cam Lập",""),IF(OR(M403=phu!$I$91,M403=phu!$I$92,M403=phu!$I$93),"Cam Bình",""),IF(OR(M403=phu!$I$94,M403=phu!$I$95,M403=phu!$I$96,M403=phu!$I$97,M403=phu!$I$98,M403=phu!$I$99,M403=phu!$I$100),"Huyện khác",""),IF(OR(M403=phu!$I$101,M403=phu!$I$102),"Tỉnh khác",""))</f>
        <v/>
      </c>
      <c r="O403" s="814" t="str">
        <f t="shared" si="37"/>
        <v/>
      </c>
      <c r="P403" s="254"/>
      <c r="Q403" s="254"/>
      <c r="R403" s="254"/>
      <c r="S403" s="254"/>
      <c r="T403" s="254"/>
      <c r="U403" s="254"/>
      <c r="V403" s="254"/>
      <c r="W403" s="254"/>
      <c r="Y403" s="246" t="str">
        <f t="shared" si="38"/>
        <v/>
      </c>
      <c r="Z403" s="247" t="str">
        <f t="shared" si="36"/>
        <v/>
      </c>
      <c r="AA403" s="246" t="str">
        <f t="shared" si="39"/>
        <v/>
      </c>
    </row>
    <row r="404" spans="1:27" ht="18" customHeight="1" x14ac:dyDescent="0.25">
      <c r="A404" s="248" t="str">
        <f t="shared" si="40"/>
        <v/>
      </c>
      <c r="B404" s="249" t="str">
        <f t="shared" si="41"/>
        <v/>
      </c>
      <c r="C404" s="250"/>
      <c r="D404" s="251"/>
      <c r="E404" s="241"/>
      <c r="F404" s="252"/>
      <c r="G404" s="252"/>
      <c r="H404" s="253"/>
      <c r="I404" s="250"/>
      <c r="J404" s="250"/>
      <c r="K404" s="270"/>
      <c r="L404" s="250"/>
      <c r="M404" s="250"/>
      <c r="N404" s="553" t="str">
        <f>CONCATENATE(IF(OR(M404=phu!$I$1,M404=phu!$I$2,M404=phu!$I$3),"Cam Thành Nam",""),IF(OR(M404=phu!$I$4,M404=phu!$I$5,M404=phu!$I$6,M404=phu!$I$7,M404=phu!$I$8,M404=phu!$I$9,M404=phu!$I$10,M404=phu!$I$11,M404=phu!$I$12,M404=phu!$I$13,M404=phu!$I$14),"Cam Nghĩa",""),IF(OR(M404=phu!$I$15,M404=phu!$I$16,M404=phu!$I$17,M404=phu!$I$18,M404=phu!$I$19,M404=phu!$I$20,M404=phu!$I$21),"Cam Phúc Bắc",""),IF(OR(M404=phu!$I$22,M404=phu!$I$23,M404=phu!$I$24,M404=phu!$I$25),"Cam Phúc Nam",""),IF(OR(M404=phu!$I$26,M404=phu!$I$27,M404=phu!$I$28,M404=phu!$I$29,M404=phu!$I$30,M404=phu!$I$31),"Cam Phú",""),IF(OR(M404=phu!$I$32,M404=phu!$I$33,M404=phu!$I$34,M404=phu!$I$35,M404=phu!$I$36,M404=phu!$I$37),"Cam Lộc",""),IF(OR(M404=phu!$I$38,M404=phu!$I$39,M404=phu!$I$40,M404=phu!$I$41,M404=phu!$I$42,M404=phu!$I$43,M404=phu!$I$44),"Cam Thuận",""),IF(OR(M404=phu!$I$45,M404=phu!$I$46,M404=phu!$I$47,M404=phu!$I$48,M404=phu!$I$49,M404=phu!$I$50,M404=phu!$I$51,M404=phu!$I$52,M404=phu!$I$53),"Cam Linh",""),IF(OR(M404=phu!$I$54,M404=phu!$I$55,M404=phu!$I$56,M404=phu!$I$57,M404=phu!$I$58,M404=phu!$I$59,M404=phu!$I$60,M404=phu!$I$61,M404=phu!$I$62),"Cam Lợi",""),IF(OR(M404=phu!$I$63,M404=phu!$I$64,M404=phu!$I$65,M404=phu!$I$66,M404=phu!$I$67,M404=phu!$I$68,M404=phu!$I$69,M404=phu!$I$70,M404=phu!$I$71),"Ba Ngòi",""),IF(OR(M404=phu!$I$72,M404=phu!$I$73,M404=phu!$I$74,M404=phu!$I$75,M404=phu!$I$76,M404=phu!$I$77,M404=phu!$I$78),"Cam Phước Đông",""),IF(OR(M404=phu!$I$79,M404=phu!$I$80,M404=phu!$I$81,M404=phu!$I$82,M404=phu!$I$83,M404=phu!$I$84),"Cam Thịnh Đông",""),IF(OR(M404=phu!$I$85,M404=phu!$I$86,M404=phu!$I$87,M404=phu!$I$88),"Cam Thịnh Tây",""),IF(OR(M404=phu!$I$89,M404=phu!$I$90),"Cam Lập",""),IF(OR(M404=phu!$I$91,M404=phu!$I$92,M404=phu!$I$93),"Cam Bình",""),IF(OR(M404=phu!$I$94,M404=phu!$I$95,M404=phu!$I$96,M404=phu!$I$97,M404=phu!$I$98,M404=phu!$I$99,M404=phu!$I$100),"Huyện khác",""),IF(OR(M404=phu!$I$101,M404=phu!$I$102),"Tỉnh khác",""))</f>
        <v/>
      </c>
      <c r="O404" s="814" t="str">
        <f t="shared" si="37"/>
        <v/>
      </c>
      <c r="P404" s="254"/>
      <c r="Q404" s="254"/>
      <c r="R404" s="254"/>
      <c r="S404" s="254"/>
      <c r="T404" s="254"/>
      <c r="U404" s="254"/>
      <c r="V404" s="254"/>
      <c r="W404" s="254"/>
      <c r="Y404" s="246" t="str">
        <f t="shared" si="38"/>
        <v/>
      </c>
      <c r="Z404" s="247" t="str">
        <f t="shared" si="36"/>
        <v/>
      </c>
      <c r="AA404" s="246" t="str">
        <f t="shared" si="39"/>
        <v/>
      </c>
    </row>
    <row r="405" spans="1:27" ht="18" customHeight="1" x14ac:dyDescent="0.25">
      <c r="A405" s="248" t="str">
        <f t="shared" si="40"/>
        <v/>
      </c>
      <c r="B405" s="249" t="str">
        <f t="shared" si="41"/>
        <v/>
      </c>
      <c r="C405" s="250"/>
      <c r="D405" s="251"/>
      <c r="E405" s="241"/>
      <c r="F405" s="252"/>
      <c r="G405" s="252"/>
      <c r="H405" s="253"/>
      <c r="I405" s="250"/>
      <c r="J405" s="250"/>
      <c r="K405" s="270"/>
      <c r="L405" s="250"/>
      <c r="M405" s="250"/>
      <c r="N405" s="553" t="str">
        <f>CONCATENATE(IF(OR(M405=phu!$I$1,M405=phu!$I$2,M405=phu!$I$3),"Cam Thành Nam",""),IF(OR(M405=phu!$I$4,M405=phu!$I$5,M405=phu!$I$6,M405=phu!$I$7,M405=phu!$I$8,M405=phu!$I$9,M405=phu!$I$10,M405=phu!$I$11,M405=phu!$I$12,M405=phu!$I$13,M405=phu!$I$14),"Cam Nghĩa",""),IF(OR(M405=phu!$I$15,M405=phu!$I$16,M405=phu!$I$17,M405=phu!$I$18,M405=phu!$I$19,M405=phu!$I$20,M405=phu!$I$21),"Cam Phúc Bắc",""),IF(OR(M405=phu!$I$22,M405=phu!$I$23,M405=phu!$I$24,M405=phu!$I$25),"Cam Phúc Nam",""),IF(OR(M405=phu!$I$26,M405=phu!$I$27,M405=phu!$I$28,M405=phu!$I$29,M405=phu!$I$30,M405=phu!$I$31),"Cam Phú",""),IF(OR(M405=phu!$I$32,M405=phu!$I$33,M405=phu!$I$34,M405=phu!$I$35,M405=phu!$I$36,M405=phu!$I$37),"Cam Lộc",""),IF(OR(M405=phu!$I$38,M405=phu!$I$39,M405=phu!$I$40,M405=phu!$I$41,M405=phu!$I$42,M405=phu!$I$43,M405=phu!$I$44),"Cam Thuận",""),IF(OR(M405=phu!$I$45,M405=phu!$I$46,M405=phu!$I$47,M405=phu!$I$48,M405=phu!$I$49,M405=phu!$I$50,M405=phu!$I$51,M405=phu!$I$52,M405=phu!$I$53),"Cam Linh",""),IF(OR(M405=phu!$I$54,M405=phu!$I$55,M405=phu!$I$56,M405=phu!$I$57,M405=phu!$I$58,M405=phu!$I$59,M405=phu!$I$60,M405=phu!$I$61,M405=phu!$I$62),"Cam Lợi",""),IF(OR(M405=phu!$I$63,M405=phu!$I$64,M405=phu!$I$65,M405=phu!$I$66,M405=phu!$I$67,M405=phu!$I$68,M405=phu!$I$69,M405=phu!$I$70,M405=phu!$I$71),"Ba Ngòi",""),IF(OR(M405=phu!$I$72,M405=phu!$I$73,M405=phu!$I$74,M405=phu!$I$75,M405=phu!$I$76,M405=phu!$I$77,M405=phu!$I$78),"Cam Phước Đông",""),IF(OR(M405=phu!$I$79,M405=phu!$I$80,M405=phu!$I$81,M405=phu!$I$82,M405=phu!$I$83,M405=phu!$I$84),"Cam Thịnh Đông",""),IF(OR(M405=phu!$I$85,M405=phu!$I$86,M405=phu!$I$87,M405=phu!$I$88),"Cam Thịnh Tây",""),IF(OR(M405=phu!$I$89,M405=phu!$I$90),"Cam Lập",""),IF(OR(M405=phu!$I$91,M405=phu!$I$92,M405=phu!$I$93),"Cam Bình",""),IF(OR(M405=phu!$I$94,M405=phu!$I$95,M405=phu!$I$96,M405=phu!$I$97,M405=phu!$I$98,M405=phu!$I$99,M405=phu!$I$100),"Huyện khác",""),IF(OR(M405=phu!$I$101,M405=phu!$I$102),"Tỉnh khác",""))</f>
        <v/>
      </c>
      <c r="O405" s="814" t="str">
        <f t="shared" si="37"/>
        <v/>
      </c>
      <c r="P405" s="254"/>
      <c r="Q405" s="254"/>
      <c r="R405" s="254"/>
      <c r="S405" s="254"/>
      <c r="T405" s="254"/>
      <c r="U405" s="254"/>
      <c r="V405" s="254"/>
      <c r="W405" s="254"/>
      <c r="Y405" s="246" t="str">
        <f t="shared" si="38"/>
        <v/>
      </c>
      <c r="Z405" s="247" t="str">
        <f t="shared" si="36"/>
        <v/>
      </c>
      <c r="AA405" s="246" t="str">
        <f t="shared" si="39"/>
        <v/>
      </c>
    </row>
    <row r="406" spans="1:27" ht="18" customHeight="1" x14ac:dyDescent="0.25">
      <c r="A406" s="248" t="str">
        <f t="shared" si="40"/>
        <v/>
      </c>
      <c r="B406" s="249" t="str">
        <f t="shared" si="41"/>
        <v/>
      </c>
      <c r="C406" s="250"/>
      <c r="D406" s="251"/>
      <c r="E406" s="241"/>
      <c r="F406" s="252"/>
      <c r="G406" s="252"/>
      <c r="H406" s="253"/>
      <c r="I406" s="250"/>
      <c r="J406" s="250"/>
      <c r="K406" s="270"/>
      <c r="L406" s="250"/>
      <c r="M406" s="250"/>
      <c r="N406" s="553" t="str">
        <f>CONCATENATE(IF(OR(M406=phu!$I$1,M406=phu!$I$2,M406=phu!$I$3),"Cam Thành Nam",""),IF(OR(M406=phu!$I$4,M406=phu!$I$5,M406=phu!$I$6,M406=phu!$I$7,M406=phu!$I$8,M406=phu!$I$9,M406=phu!$I$10,M406=phu!$I$11,M406=phu!$I$12,M406=phu!$I$13,M406=phu!$I$14),"Cam Nghĩa",""),IF(OR(M406=phu!$I$15,M406=phu!$I$16,M406=phu!$I$17,M406=phu!$I$18,M406=phu!$I$19,M406=phu!$I$20,M406=phu!$I$21),"Cam Phúc Bắc",""),IF(OR(M406=phu!$I$22,M406=phu!$I$23,M406=phu!$I$24,M406=phu!$I$25),"Cam Phúc Nam",""),IF(OR(M406=phu!$I$26,M406=phu!$I$27,M406=phu!$I$28,M406=phu!$I$29,M406=phu!$I$30,M406=phu!$I$31),"Cam Phú",""),IF(OR(M406=phu!$I$32,M406=phu!$I$33,M406=phu!$I$34,M406=phu!$I$35,M406=phu!$I$36,M406=phu!$I$37),"Cam Lộc",""),IF(OR(M406=phu!$I$38,M406=phu!$I$39,M406=phu!$I$40,M406=phu!$I$41,M406=phu!$I$42,M406=phu!$I$43,M406=phu!$I$44),"Cam Thuận",""),IF(OR(M406=phu!$I$45,M406=phu!$I$46,M406=phu!$I$47,M406=phu!$I$48,M406=phu!$I$49,M406=phu!$I$50,M406=phu!$I$51,M406=phu!$I$52,M406=phu!$I$53),"Cam Linh",""),IF(OR(M406=phu!$I$54,M406=phu!$I$55,M406=phu!$I$56,M406=phu!$I$57,M406=phu!$I$58,M406=phu!$I$59,M406=phu!$I$60,M406=phu!$I$61,M406=phu!$I$62),"Cam Lợi",""),IF(OR(M406=phu!$I$63,M406=phu!$I$64,M406=phu!$I$65,M406=phu!$I$66,M406=phu!$I$67,M406=phu!$I$68,M406=phu!$I$69,M406=phu!$I$70,M406=phu!$I$71),"Ba Ngòi",""),IF(OR(M406=phu!$I$72,M406=phu!$I$73,M406=phu!$I$74,M406=phu!$I$75,M406=phu!$I$76,M406=phu!$I$77,M406=phu!$I$78),"Cam Phước Đông",""),IF(OR(M406=phu!$I$79,M406=phu!$I$80,M406=phu!$I$81,M406=phu!$I$82,M406=phu!$I$83,M406=phu!$I$84),"Cam Thịnh Đông",""),IF(OR(M406=phu!$I$85,M406=phu!$I$86,M406=phu!$I$87,M406=phu!$I$88),"Cam Thịnh Tây",""),IF(OR(M406=phu!$I$89,M406=phu!$I$90),"Cam Lập",""),IF(OR(M406=phu!$I$91,M406=phu!$I$92,M406=phu!$I$93),"Cam Bình",""),IF(OR(M406=phu!$I$94,M406=phu!$I$95,M406=phu!$I$96,M406=phu!$I$97,M406=phu!$I$98,M406=phu!$I$99,M406=phu!$I$100),"Huyện khác",""),IF(OR(M406=phu!$I$101,M406=phu!$I$102),"Tỉnh khác",""))</f>
        <v/>
      </c>
      <c r="O406" s="814" t="str">
        <f t="shared" si="37"/>
        <v/>
      </c>
      <c r="P406" s="254"/>
      <c r="Q406" s="254"/>
      <c r="R406" s="254"/>
      <c r="S406" s="254"/>
      <c r="T406" s="254"/>
      <c r="U406" s="254"/>
      <c r="V406" s="254"/>
      <c r="W406" s="254"/>
      <c r="Y406" s="246" t="str">
        <f t="shared" si="38"/>
        <v/>
      </c>
      <c r="Z406" s="247" t="str">
        <f t="shared" si="36"/>
        <v/>
      </c>
      <c r="AA406" s="246" t="str">
        <f t="shared" si="39"/>
        <v/>
      </c>
    </row>
    <row r="407" spans="1:27" ht="18" customHeight="1" x14ac:dyDescent="0.25">
      <c r="A407" s="248" t="str">
        <f t="shared" si="40"/>
        <v/>
      </c>
      <c r="B407" s="249" t="str">
        <f t="shared" si="41"/>
        <v/>
      </c>
      <c r="C407" s="250"/>
      <c r="D407" s="251"/>
      <c r="E407" s="241"/>
      <c r="F407" s="252"/>
      <c r="G407" s="252"/>
      <c r="H407" s="253"/>
      <c r="I407" s="250"/>
      <c r="J407" s="250"/>
      <c r="K407" s="270"/>
      <c r="L407" s="250"/>
      <c r="M407" s="250"/>
      <c r="N407" s="553" t="str">
        <f>CONCATENATE(IF(OR(M407=phu!$I$1,M407=phu!$I$2,M407=phu!$I$3),"Cam Thành Nam",""),IF(OR(M407=phu!$I$4,M407=phu!$I$5,M407=phu!$I$6,M407=phu!$I$7,M407=phu!$I$8,M407=phu!$I$9,M407=phu!$I$10,M407=phu!$I$11,M407=phu!$I$12,M407=phu!$I$13,M407=phu!$I$14),"Cam Nghĩa",""),IF(OR(M407=phu!$I$15,M407=phu!$I$16,M407=phu!$I$17,M407=phu!$I$18,M407=phu!$I$19,M407=phu!$I$20,M407=phu!$I$21),"Cam Phúc Bắc",""),IF(OR(M407=phu!$I$22,M407=phu!$I$23,M407=phu!$I$24,M407=phu!$I$25),"Cam Phúc Nam",""),IF(OR(M407=phu!$I$26,M407=phu!$I$27,M407=phu!$I$28,M407=phu!$I$29,M407=phu!$I$30,M407=phu!$I$31),"Cam Phú",""),IF(OR(M407=phu!$I$32,M407=phu!$I$33,M407=phu!$I$34,M407=phu!$I$35,M407=phu!$I$36,M407=phu!$I$37),"Cam Lộc",""),IF(OR(M407=phu!$I$38,M407=phu!$I$39,M407=phu!$I$40,M407=phu!$I$41,M407=phu!$I$42,M407=phu!$I$43,M407=phu!$I$44),"Cam Thuận",""),IF(OR(M407=phu!$I$45,M407=phu!$I$46,M407=phu!$I$47,M407=phu!$I$48,M407=phu!$I$49,M407=phu!$I$50,M407=phu!$I$51,M407=phu!$I$52,M407=phu!$I$53),"Cam Linh",""),IF(OR(M407=phu!$I$54,M407=phu!$I$55,M407=phu!$I$56,M407=phu!$I$57,M407=phu!$I$58,M407=phu!$I$59,M407=phu!$I$60,M407=phu!$I$61,M407=phu!$I$62),"Cam Lợi",""),IF(OR(M407=phu!$I$63,M407=phu!$I$64,M407=phu!$I$65,M407=phu!$I$66,M407=phu!$I$67,M407=phu!$I$68,M407=phu!$I$69,M407=phu!$I$70,M407=phu!$I$71),"Ba Ngòi",""),IF(OR(M407=phu!$I$72,M407=phu!$I$73,M407=phu!$I$74,M407=phu!$I$75,M407=phu!$I$76,M407=phu!$I$77,M407=phu!$I$78),"Cam Phước Đông",""),IF(OR(M407=phu!$I$79,M407=phu!$I$80,M407=phu!$I$81,M407=phu!$I$82,M407=phu!$I$83,M407=phu!$I$84),"Cam Thịnh Đông",""),IF(OR(M407=phu!$I$85,M407=phu!$I$86,M407=phu!$I$87,M407=phu!$I$88),"Cam Thịnh Tây",""),IF(OR(M407=phu!$I$89,M407=phu!$I$90),"Cam Lập",""),IF(OR(M407=phu!$I$91,M407=phu!$I$92,M407=phu!$I$93),"Cam Bình",""),IF(OR(M407=phu!$I$94,M407=phu!$I$95,M407=phu!$I$96,M407=phu!$I$97,M407=phu!$I$98,M407=phu!$I$99,M407=phu!$I$100),"Huyện khác",""),IF(OR(M407=phu!$I$101,M407=phu!$I$102),"Tỉnh khác",""))</f>
        <v/>
      </c>
      <c r="O407" s="814" t="str">
        <f t="shared" si="37"/>
        <v/>
      </c>
      <c r="P407" s="254"/>
      <c r="Q407" s="254"/>
      <c r="R407" s="254"/>
      <c r="S407" s="254"/>
      <c r="T407" s="254"/>
      <c r="U407" s="254"/>
      <c r="V407" s="254"/>
      <c r="W407" s="254"/>
      <c r="Y407" s="246" t="str">
        <f t="shared" si="38"/>
        <v/>
      </c>
      <c r="Z407" s="247" t="str">
        <f t="shared" si="36"/>
        <v/>
      </c>
      <c r="AA407" s="246" t="str">
        <f t="shared" si="39"/>
        <v/>
      </c>
    </row>
    <row r="408" spans="1:27" ht="18" customHeight="1" x14ac:dyDescent="0.25">
      <c r="A408" s="248" t="str">
        <f t="shared" si="40"/>
        <v/>
      </c>
      <c r="B408" s="249" t="str">
        <f t="shared" si="41"/>
        <v/>
      </c>
      <c r="C408" s="250"/>
      <c r="D408" s="251"/>
      <c r="E408" s="241"/>
      <c r="F408" s="252"/>
      <c r="G408" s="252"/>
      <c r="H408" s="253"/>
      <c r="I408" s="250"/>
      <c r="J408" s="250"/>
      <c r="K408" s="270"/>
      <c r="L408" s="250"/>
      <c r="M408" s="250"/>
      <c r="N408" s="553" t="str">
        <f>CONCATENATE(IF(OR(M408=phu!$I$1,M408=phu!$I$2,M408=phu!$I$3),"Cam Thành Nam",""),IF(OR(M408=phu!$I$4,M408=phu!$I$5,M408=phu!$I$6,M408=phu!$I$7,M408=phu!$I$8,M408=phu!$I$9,M408=phu!$I$10,M408=phu!$I$11,M408=phu!$I$12,M408=phu!$I$13,M408=phu!$I$14),"Cam Nghĩa",""),IF(OR(M408=phu!$I$15,M408=phu!$I$16,M408=phu!$I$17,M408=phu!$I$18,M408=phu!$I$19,M408=phu!$I$20,M408=phu!$I$21),"Cam Phúc Bắc",""),IF(OR(M408=phu!$I$22,M408=phu!$I$23,M408=phu!$I$24,M408=phu!$I$25),"Cam Phúc Nam",""),IF(OR(M408=phu!$I$26,M408=phu!$I$27,M408=phu!$I$28,M408=phu!$I$29,M408=phu!$I$30,M408=phu!$I$31),"Cam Phú",""),IF(OR(M408=phu!$I$32,M408=phu!$I$33,M408=phu!$I$34,M408=phu!$I$35,M408=phu!$I$36,M408=phu!$I$37),"Cam Lộc",""),IF(OR(M408=phu!$I$38,M408=phu!$I$39,M408=phu!$I$40,M408=phu!$I$41,M408=phu!$I$42,M408=phu!$I$43,M408=phu!$I$44),"Cam Thuận",""),IF(OR(M408=phu!$I$45,M408=phu!$I$46,M408=phu!$I$47,M408=phu!$I$48,M408=phu!$I$49,M408=phu!$I$50,M408=phu!$I$51,M408=phu!$I$52,M408=phu!$I$53),"Cam Linh",""),IF(OR(M408=phu!$I$54,M408=phu!$I$55,M408=phu!$I$56,M408=phu!$I$57,M408=phu!$I$58,M408=phu!$I$59,M408=phu!$I$60,M408=phu!$I$61,M408=phu!$I$62),"Cam Lợi",""),IF(OR(M408=phu!$I$63,M408=phu!$I$64,M408=phu!$I$65,M408=phu!$I$66,M408=phu!$I$67,M408=phu!$I$68,M408=phu!$I$69,M408=phu!$I$70,M408=phu!$I$71),"Ba Ngòi",""),IF(OR(M408=phu!$I$72,M408=phu!$I$73,M408=phu!$I$74,M408=phu!$I$75,M408=phu!$I$76,M408=phu!$I$77,M408=phu!$I$78),"Cam Phước Đông",""),IF(OR(M408=phu!$I$79,M408=phu!$I$80,M408=phu!$I$81,M408=phu!$I$82,M408=phu!$I$83,M408=phu!$I$84),"Cam Thịnh Đông",""),IF(OR(M408=phu!$I$85,M408=phu!$I$86,M408=phu!$I$87,M408=phu!$I$88),"Cam Thịnh Tây",""),IF(OR(M408=phu!$I$89,M408=phu!$I$90),"Cam Lập",""),IF(OR(M408=phu!$I$91,M408=phu!$I$92,M408=phu!$I$93),"Cam Bình",""),IF(OR(M408=phu!$I$94,M408=phu!$I$95,M408=phu!$I$96,M408=phu!$I$97,M408=phu!$I$98,M408=phu!$I$99,M408=phu!$I$100),"Huyện khác",""),IF(OR(M408=phu!$I$101,M408=phu!$I$102),"Tỉnh khác",""))</f>
        <v/>
      </c>
      <c r="O408" s="814" t="str">
        <f t="shared" si="37"/>
        <v/>
      </c>
      <c r="P408" s="254"/>
      <c r="Q408" s="254"/>
      <c r="R408" s="254"/>
      <c r="S408" s="254"/>
      <c r="T408" s="254"/>
      <c r="U408" s="254"/>
      <c r="V408" s="254"/>
      <c r="W408" s="254"/>
      <c r="Y408" s="246" t="str">
        <f t="shared" si="38"/>
        <v/>
      </c>
      <c r="Z408" s="247" t="str">
        <f t="shared" si="36"/>
        <v/>
      </c>
      <c r="AA408" s="246" t="str">
        <f t="shared" si="39"/>
        <v/>
      </c>
    </row>
    <row r="409" spans="1:27" ht="18" customHeight="1" x14ac:dyDescent="0.25">
      <c r="A409" s="248" t="str">
        <f t="shared" si="40"/>
        <v/>
      </c>
      <c r="B409" s="249" t="str">
        <f t="shared" si="41"/>
        <v/>
      </c>
      <c r="C409" s="250"/>
      <c r="D409" s="251"/>
      <c r="E409" s="241"/>
      <c r="F409" s="252"/>
      <c r="G409" s="252"/>
      <c r="H409" s="253"/>
      <c r="I409" s="250"/>
      <c r="J409" s="250"/>
      <c r="K409" s="270"/>
      <c r="L409" s="250"/>
      <c r="M409" s="250"/>
      <c r="N409" s="553" t="str">
        <f>CONCATENATE(IF(OR(M409=phu!$I$1,M409=phu!$I$2,M409=phu!$I$3),"Cam Thành Nam",""),IF(OR(M409=phu!$I$4,M409=phu!$I$5,M409=phu!$I$6,M409=phu!$I$7,M409=phu!$I$8,M409=phu!$I$9,M409=phu!$I$10,M409=phu!$I$11,M409=phu!$I$12,M409=phu!$I$13,M409=phu!$I$14),"Cam Nghĩa",""),IF(OR(M409=phu!$I$15,M409=phu!$I$16,M409=phu!$I$17,M409=phu!$I$18,M409=phu!$I$19,M409=phu!$I$20,M409=phu!$I$21),"Cam Phúc Bắc",""),IF(OR(M409=phu!$I$22,M409=phu!$I$23,M409=phu!$I$24,M409=phu!$I$25),"Cam Phúc Nam",""),IF(OR(M409=phu!$I$26,M409=phu!$I$27,M409=phu!$I$28,M409=phu!$I$29,M409=phu!$I$30,M409=phu!$I$31),"Cam Phú",""),IF(OR(M409=phu!$I$32,M409=phu!$I$33,M409=phu!$I$34,M409=phu!$I$35,M409=phu!$I$36,M409=phu!$I$37),"Cam Lộc",""),IF(OR(M409=phu!$I$38,M409=phu!$I$39,M409=phu!$I$40,M409=phu!$I$41,M409=phu!$I$42,M409=phu!$I$43,M409=phu!$I$44),"Cam Thuận",""),IF(OR(M409=phu!$I$45,M409=phu!$I$46,M409=phu!$I$47,M409=phu!$I$48,M409=phu!$I$49,M409=phu!$I$50,M409=phu!$I$51,M409=phu!$I$52,M409=phu!$I$53),"Cam Linh",""),IF(OR(M409=phu!$I$54,M409=phu!$I$55,M409=phu!$I$56,M409=phu!$I$57,M409=phu!$I$58,M409=phu!$I$59,M409=phu!$I$60,M409=phu!$I$61,M409=phu!$I$62),"Cam Lợi",""),IF(OR(M409=phu!$I$63,M409=phu!$I$64,M409=phu!$I$65,M409=phu!$I$66,M409=phu!$I$67,M409=phu!$I$68,M409=phu!$I$69,M409=phu!$I$70,M409=phu!$I$71),"Ba Ngòi",""),IF(OR(M409=phu!$I$72,M409=phu!$I$73,M409=phu!$I$74,M409=phu!$I$75,M409=phu!$I$76,M409=phu!$I$77,M409=phu!$I$78),"Cam Phước Đông",""),IF(OR(M409=phu!$I$79,M409=phu!$I$80,M409=phu!$I$81,M409=phu!$I$82,M409=phu!$I$83,M409=phu!$I$84),"Cam Thịnh Đông",""),IF(OR(M409=phu!$I$85,M409=phu!$I$86,M409=phu!$I$87,M409=phu!$I$88),"Cam Thịnh Tây",""),IF(OR(M409=phu!$I$89,M409=phu!$I$90),"Cam Lập",""),IF(OR(M409=phu!$I$91,M409=phu!$I$92,M409=phu!$I$93),"Cam Bình",""),IF(OR(M409=phu!$I$94,M409=phu!$I$95,M409=phu!$I$96,M409=phu!$I$97,M409=phu!$I$98,M409=phu!$I$99,M409=phu!$I$100),"Huyện khác",""),IF(OR(M409=phu!$I$101,M409=phu!$I$102),"Tỉnh khác",""))</f>
        <v/>
      </c>
      <c r="O409" s="814" t="str">
        <f t="shared" si="37"/>
        <v/>
      </c>
      <c r="P409" s="254"/>
      <c r="Q409" s="254"/>
      <c r="R409" s="254"/>
      <c r="S409" s="254"/>
      <c r="T409" s="254"/>
      <c r="U409" s="254"/>
      <c r="V409" s="254"/>
      <c r="W409" s="254"/>
      <c r="Y409" s="246" t="str">
        <f t="shared" si="38"/>
        <v/>
      </c>
      <c r="Z409" s="247" t="str">
        <f t="shared" si="36"/>
        <v/>
      </c>
      <c r="AA409" s="246" t="str">
        <f t="shared" si="39"/>
        <v/>
      </c>
    </row>
    <row r="410" spans="1:27" ht="18" customHeight="1" x14ac:dyDescent="0.25">
      <c r="A410" s="248" t="str">
        <f t="shared" si="40"/>
        <v/>
      </c>
      <c r="B410" s="249" t="str">
        <f t="shared" si="41"/>
        <v/>
      </c>
      <c r="C410" s="250"/>
      <c r="D410" s="251"/>
      <c r="E410" s="241"/>
      <c r="F410" s="252"/>
      <c r="G410" s="252"/>
      <c r="H410" s="253"/>
      <c r="I410" s="250"/>
      <c r="J410" s="250"/>
      <c r="K410" s="270"/>
      <c r="L410" s="250"/>
      <c r="M410" s="250"/>
      <c r="N410" s="553" t="str">
        <f>CONCATENATE(IF(OR(M410=phu!$I$1,M410=phu!$I$2,M410=phu!$I$3),"Cam Thành Nam",""),IF(OR(M410=phu!$I$4,M410=phu!$I$5,M410=phu!$I$6,M410=phu!$I$7,M410=phu!$I$8,M410=phu!$I$9,M410=phu!$I$10,M410=phu!$I$11,M410=phu!$I$12,M410=phu!$I$13,M410=phu!$I$14),"Cam Nghĩa",""),IF(OR(M410=phu!$I$15,M410=phu!$I$16,M410=phu!$I$17,M410=phu!$I$18,M410=phu!$I$19,M410=phu!$I$20,M410=phu!$I$21),"Cam Phúc Bắc",""),IF(OR(M410=phu!$I$22,M410=phu!$I$23,M410=phu!$I$24,M410=phu!$I$25),"Cam Phúc Nam",""),IF(OR(M410=phu!$I$26,M410=phu!$I$27,M410=phu!$I$28,M410=phu!$I$29,M410=phu!$I$30,M410=phu!$I$31),"Cam Phú",""),IF(OR(M410=phu!$I$32,M410=phu!$I$33,M410=phu!$I$34,M410=phu!$I$35,M410=phu!$I$36,M410=phu!$I$37),"Cam Lộc",""),IF(OR(M410=phu!$I$38,M410=phu!$I$39,M410=phu!$I$40,M410=phu!$I$41,M410=phu!$I$42,M410=phu!$I$43,M410=phu!$I$44),"Cam Thuận",""),IF(OR(M410=phu!$I$45,M410=phu!$I$46,M410=phu!$I$47,M410=phu!$I$48,M410=phu!$I$49,M410=phu!$I$50,M410=phu!$I$51,M410=phu!$I$52,M410=phu!$I$53),"Cam Linh",""),IF(OR(M410=phu!$I$54,M410=phu!$I$55,M410=phu!$I$56,M410=phu!$I$57,M410=phu!$I$58,M410=phu!$I$59,M410=phu!$I$60,M410=phu!$I$61,M410=phu!$I$62),"Cam Lợi",""),IF(OR(M410=phu!$I$63,M410=phu!$I$64,M410=phu!$I$65,M410=phu!$I$66,M410=phu!$I$67,M410=phu!$I$68,M410=phu!$I$69,M410=phu!$I$70,M410=phu!$I$71),"Ba Ngòi",""),IF(OR(M410=phu!$I$72,M410=phu!$I$73,M410=phu!$I$74,M410=phu!$I$75,M410=phu!$I$76,M410=phu!$I$77,M410=phu!$I$78),"Cam Phước Đông",""),IF(OR(M410=phu!$I$79,M410=phu!$I$80,M410=phu!$I$81,M410=phu!$I$82,M410=phu!$I$83,M410=phu!$I$84),"Cam Thịnh Đông",""),IF(OR(M410=phu!$I$85,M410=phu!$I$86,M410=phu!$I$87,M410=phu!$I$88),"Cam Thịnh Tây",""),IF(OR(M410=phu!$I$89,M410=phu!$I$90),"Cam Lập",""),IF(OR(M410=phu!$I$91,M410=phu!$I$92,M410=phu!$I$93),"Cam Bình",""),IF(OR(M410=phu!$I$94,M410=phu!$I$95,M410=phu!$I$96,M410=phu!$I$97,M410=phu!$I$98,M410=phu!$I$99,M410=phu!$I$100),"Huyện khác",""),IF(OR(M410=phu!$I$101,M410=phu!$I$102),"Tỉnh khác",""))</f>
        <v/>
      </c>
      <c r="O410" s="814" t="str">
        <f t="shared" si="37"/>
        <v/>
      </c>
      <c r="P410" s="254"/>
      <c r="Q410" s="254"/>
      <c r="R410" s="254"/>
      <c r="S410" s="254"/>
      <c r="T410" s="254"/>
      <c r="U410" s="254"/>
      <c r="V410" s="254"/>
      <c r="W410" s="254"/>
      <c r="Y410" s="246" t="str">
        <f t="shared" si="38"/>
        <v/>
      </c>
      <c r="Z410" s="247" t="str">
        <f t="shared" si="36"/>
        <v/>
      </c>
      <c r="AA410" s="246" t="str">
        <f t="shared" si="39"/>
        <v/>
      </c>
    </row>
    <row r="411" spans="1:27" ht="18" customHeight="1" x14ac:dyDescent="0.25">
      <c r="A411" s="248" t="str">
        <f t="shared" si="40"/>
        <v/>
      </c>
      <c r="B411" s="249" t="str">
        <f t="shared" si="41"/>
        <v/>
      </c>
      <c r="C411" s="250"/>
      <c r="D411" s="251"/>
      <c r="E411" s="241"/>
      <c r="F411" s="252"/>
      <c r="G411" s="252"/>
      <c r="H411" s="253"/>
      <c r="I411" s="250"/>
      <c r="J411" s="250"/>
      <c r="K411" s="270"/>
      <c r="L411" s="250"/>
      <c r="M411" s="250"/>
      <c r="N411" s="553" t="str">
        <f>CONCATENATE(IF(OR(M411=phu!$I$1,M411=phu!$I$2,M411=phu!$I$3),"Cam Thành Nam",""),IF(OR(M411=phu!$I$4,M411=phu!$I$5,M411=phu!$I$6,M411=phu!$I$7,M411=phu!$I$8,M411=phu!$I$9,M411=phu!$I$10,M411=phu!$I$11,M411=phu!$I$12,M411=phu!$I$13,M411=phu!$I$14),"Cam Nghĩa",""),IF(OR(M411=phu!$I$15,M411=phu!$I$16,M411=phu!$I$17,M411=phu!$I$18,M411=phu!$I$19,M411=phu!$I$20,M411=phu!$I$21),"Cam Phúc Bắc",""),IF(OR(M411=phu!$I$22,M411=phu!$I$23,M411=phu!$I$24,M411=phu!$I$25),"Cam Phúc Nam",""),IF(OR(M411=phu!$I$26,M411=phu!$I$27,M411=phu!$I$28,M411=phu!$I$29,M411=phu!$I$30,M411=phu!$I$31),"Cam Phú",""),IF(OR(M411=phu!$I$32,M411=phu!$I$33,M411=phu!$I$34,M411=phu!$I$35,M411=phu!$I$36,M411=phu!$I$37),"Cam Lộc",""),IF(OR(M411=phu!$I$38,M411=phu!$I$39,M411=phu!$I$40,M411=phu!$I$41,M411=phu!$I$42,M411=phu!$I$43,M411=phu!$I$44),"Cam Thuận",""),IF(OR(M411=phu!$I$45,M411=phu!$I$46,M411=phu!$I$47,M411=phu!$I$48,M411=phu!$I$49,M411=phu!$I$50,M411=phu!$I$51,M411=phu!$I$52,M411=phu!$I$53),"Cam Linh",""),IF(OR(M411=phu!$I$54,M411=phu!$I$55,M411=phu!$I$56,M411=phu!$I$57,M411=phu!$I$58,M411=phu!$I$59,M411=phu!$I$60,M411=phu!$I$61,M411=phu!$I$62),"Cam Lợi",""),IF(OR(M411=phu!$I$63,M411=phu!$I$64,M411=phu!$I$65,M411=phu!$I$66,M411=phu!$I$67,M411=phu!$I$68,M411=phu!$I$69,M411=phu!$I$70,M411=phu!$I$71),"Ba Ngòi",""),IF(OR(M411=phu!$I$72,M411=phu!$I$73,M411=phu!$I$74,M411=phu!$I$75,M411=phu!$I$76,M411=phu!$I$77,M411=phu!$I$78),"Cam Phước Đông",""),IF(OR(M411=phu!$I$79,M411=phu!$I$80,M411=phu!$I$81,M411=phu!$I$82,M411=phu!$I$83,M411=phu!$I$84),"Cam Thịnh Đông",""),IF(OR(M411=phu!$I$85,M411=phu!$I$86,M411=phu!$I$87,M411=phu!$I$88),"Cam Thịnh Tây",""),IF(OR(M411=phu!$I$89,M411=phu!$I$90),"Cam Lập",""),IF(OR(M411=phu!$I$91,M411=phu!$I$92,M411=phu!$I$93),"Cam Bình",""),IF(OR(M411=phu!$I$94,M411=phu!$I$95,M411=phu!$I$96,M411=phu!$I$97,M411=phu!$I$98,M411=phu!$I$99,M411=phu!$I$100),"Huyện khác",""),IF(OR(M411=phu!$I$101,M411=phu!$I$102),"Tỉnh khác",""))</f>
        <v/>
      </c>
      <c r="O411" s="814" t="str">
        <f t="shared" si="37"/>
        <v/>
      </c>
      <c r="P411" s="254"/>
      <c r="Q411" s="254"/>
      <c r="R411" s="254"/>
      <c r="S411" s="254"/>
      <c r="T411" s="254"/>
      <c r="U411" s="254"/>
      <c r="V411" s="254"/>
      <c r="W411" s="254"/>
      <c r="Y411" s="246" t="str">
        <f t="shared" si="38"/>
        <v/>
      </c>
      <c r="Z411" s="247" t="str">
        <f t="shared" si="36"/>
        <v/>
      </c>
      <c r="AA411" s="246" t="str">
        <f t="shared" si="39"/>
        <v/>
      </c>
    </row>
    <row r="412" spans="1:27" ht="18" customHeight="1" x14ac:dyDescent="0.25">
      <c r="A412" s="248" t="str">
        <f t="shared" si="40"/>
        <v/>
      </c>
      <c r="B412" s="249" t="str">
        <f t="shared" si="41"/>
        <v/>
      </c>
      <c r="C412" s="250"/>
      <c r="D412" s="251"/>
      <c r="E412" s="241"/>
      <c r="F412" s="252"/>
      <c r="G412" s="252"/>
      <c r="H412" s="253"/>
      <c r="I412" s="250"/>
      <c r="J412" s="250"/>
      <c r="K412" s="270"/>
      <c r="L412" s="250"/>
      <c r="M412" s="250"/>
      <c r="N412" s="553" t="str">
        <f>CONCATENATE(IF(OR(M412=phu!$I$1,M412=phu!$I$2,M412=phu!$I$3),"Cam Thành Nam",""),IF(OR(M412=phu!$I$4,M412=phu!$I$5,M412=phu!$I$6,M412=phu!$I$7,M412=phu!$I$8,M412=phu!$I$9,M412=phu!$I$10,M412=phu!$I$11,M412=phu!$I$12,M412=phu!$I$13,M412=phu!$I$14),"Cam Nghĩa",""),IF(OR(M412=phu!$I$15,M412=phu!$I$16,M412=phu!$I$17,M412=phu!$I$18,M412=phu!$I$19,M412=phu!$I$20,M412=phu!$I$21),"Cam Phúc Bắc",""),IF(OR(M412=phu!$I$22,M412=phu!$I$23,M412=phu!$I$24,M412=phu!$I$25),"Cam Phúc Nam",""),IF(OR(M412=phu!$I$26,M412=phu!$I$27,M412=phu!$I$28,M412=phu!$I$29,M412=phu!$I$30,M412=phu!$I$31),"Cam Phú",""),IF(OR(M412=phu!$I$32,M412=phu!$I$33,M412=phu!$I$34,M412=phu!$I$35,M412=phu!$I$36,M412=phu!$I$37),"Cam Lộc",""),IF(OR(M412=phu!$I$38,M412=phu!$I$39,M412=phu!$I$40,M412=phu!$I$41,M412=phu!$I$42,M412=phu!$I$43,M412=phu!$I$44),"Cam Thuận",""),IF(OR(M412=phu!$I$45,M412=phu!$I$46,M412=phu!$I$47,M412=phu!$I$48,M412=phu!$I$49,M412=phu!$I$50,M412=phu!$I$51,M412=phu!$I$52,M412=phu!$I$53),"Cam Linh",""),IF(OR(M412=phu!$I$54,M412=phu!$I$55,M412=phu!$I$56,M412=phu!$I$57,M412=phu!$I$58,M412=phu!$I$59,M412=phu!$I$60,M412=phu!$I$61,M412=phu!$I$62),"Cam Lợi",""),IF(OR(M412=phu!$I$63,M412=phu!$I$64,M412=phu!$I$65,M412=phu!$I$66,M412=phu!$I$67,M412=phu!$I$68,M412=phu!$I$69,M412=phu!$I$70,M412=phu!$I$71),"Ba Ngòi",""),IF(OR(M412=phu!$I$72,M412=phu!$I$73,M412=phu!$I$74,M412=phu!$I$75,M412=phu!$I$76,M412=phu!$I$77,M412=phu!$I$78),"Cam Phước Đông",""),IF(OR(M412=phu!$I$79,M412=phu!$I$80,M412=phu!$I$81,M412=phu!$I$82,M412=phu!$I$83,M412=phu!$I$84),"Cam Thịnh Đông",""),IF(OR(M412=phu!$I$85,M412=phu!$I$86,M412=phu!$I$87,M412=phu!$I$88),"Cam Thịnh Tây",""),IF(OR(M412=phu!$I$89,M412=phu!$I$90),"Cam Lập",""),IF(OR(M412=phu!$I$91,M412=phu!$I$92,M412=phu!$I$93),"Cam Bình",""),IF(OR(M412=phu!$I$94,M412=phu!$I$95,M412=phu!$I$96,M412=phu!$I$97,M412=phu!$I$98,M412=phu!$I$99,M412=phu!$I$100),"Huyện khác",""),IF(OR(M412=phu!$I$101,M412=phu!$I$102),"Tỉnh khác",""))</f>
        <v/>
      </c>
      <c r="O412" s="814" t="str">
        <f t="shared" si="37"/>
        <v/>
      </c>
      <c r="P412" s="254"/>
      <c r="Q412" s="254"/>
      <c r="R412" s="254"/>
      <c r="S412" s="254"/>
      <c r="T412" s="254"/>
      <c r="U412" s="254"/>
      <c r="V412" s="254"/>
      <c r="W412" s="254"/>
      <c r="Y412" s="246" t="str">
        <f t="shared" si="38"/>
        <v/>
      </c>
      <c r="Z412" s="247" t="str">
        <f t="shared" si="36"/>
        <v/>
      </c>
      <c r="AA412" s="246" t="str">
        <f t="shared" si="39"/>
        <v/>
      </c>
    </row>
    <row r="413" spans="1:27" ht="18" customHeight="1" x14ac:dyDescent="0.25">
      <c r="A413" s="248" t="str">
        <f t="shared" si="40"/>
        <v/>
      </c>
      <c r="B413" s="249" t="str">
        <f t="shared" si="41"/>
        <v/>
      </c>
      <c r="C413" s="250"/>
      <c r="D413" s="251"/>
      <c r="E413" s="241"/>
      <c r="F413" s="252"/>
      <c r="G413" s="252"/>
      <c r="H413" s="253"/>
      <c r="I413" s="250"/>
      <c r="J413" s="250"/>
      <c r="K413" s="270"/>
      <c r="L413" s="250"/>
      <c r="M413" s="250"/>
      <c r="N413" s="553" t="str">
        <f>CONCATENATE(IF(OR(M413=phu!$I$1,M413=phu!$I$2,M413=phu!$I$3),"Cam Thành Nam",""),IF(OR(M413=phu!$I$4,M413=phu!$I$5,M413=phu!$I$6,M413=phu!$I$7,M413=phu!$I$8,M413=phu!$I$9,M413=phu!$I$10,M413=phu!$I$11,M413=phu!$I$12,M413=phu!$I$13,M413=phu!$I$14),"Cam Nghĩa",""),IF(OR(M413=phu!$I$15,M413=phu!$I$16,M413=phu!$I$17,M413=phu!$I$18,M413=phu!$I$19,M413=phu!$I$20,M413=phu!$I$21),"Cam Phúc Bắc",""),IF(OR(M413=phu!$I$22,M413=phu!$I$23,M413=phu!$I$24,M413=phu!$I$25),"Cam Phúc Nam",""),IF(OR(M413=phu!$I$26,M413=phu!$I$27,M413=phu!$I$28,M413=phu!$I$29,M413=phu!$I$30,M413=phu!$I$31),"Cam Phú",""),IF(OR(M413=phu!$I$32,M413=phu!$I$33,M413=phu!$I$34,M413=phu!$I$35,M413=phu!$I$36,M413=phu!$I$37),"Cam Lộc",""),IF(OR(M413=phu!$I$38,M413=phu!$I$39,M413=phu!$I$40,M413=phu!$I$41,M413=phu!$I$42,M413=phu!$I$43,M413=phu!$I$44),"Cam Thuận",""),IF(OR(M413=phu!$I$45,M413=phu!$I$46,M413=phu!$I$47,M413=phu!$I$48,M413=phu!$I$49,M413=phu!$I$50,M413=phu!$I$51,M413=phu!$I$52,M413=phu!$I$53),"Cam Linh",""),IF(OR(M413=phu!$I$54,M413=phu!$I$55,M413=phu!$I$56,M413=phu!$I$57,M413=phu!$I$58,M413=phu!$I$59,M413=phu!$I$60,M413=phu!$I$61,M413=phu!$I$62),"Cam Lợi",""),IF(OR(M413=phu!$I$63,M413=phu!$I$64,M413=phu!$I$65,M413=phu!$I$66,M413=phu!$I$67,M413=phu!$I$68,M413=phu!$I$69,M413=phu!$I$70,M413=phu!$I$71),"Ba Ngòi",""),IF(OR(M413=phu!$I$72,M413=phu!$I$73,M413=phu!$I$74,M413=phu!$I$75,M413=phu!$I$76,M413=phu!$I$77,M413=phu!$I$78),"Cam Phước Đông",""),IF(OR(M413=phu!$I$79,M413=phu!$I$80,M413=phu!$I$81,M413=phu!$I$82,M413=phu!$I$83,M413=phu!$I$84),"Cam Thịnh Đông",""),IF(OR(M413=phu!$I$85,M413=phu!$I$86,M413=phu!$I$87,M413=phu!$I$88),"Cam Thịnh Tây",""),IF(OR(M413=phu!$I$89,M413=phu!$I$90),"Cam Lập",""),IF(OR(M413=phu!$I$91,M413=phu!$I$92,M413=phu!$I$93),"Cam Bình",""),IF(OR(M413=phu!$I$94,M413=phu!$I$95,M413=phu!$I$96,M413=phu!$I$97,M413=phu!$I$98,M413=phu!$I$99,M413=phu!$I$100),"Huyện khác",""),IF(OR(M413=phu!$I$101,M413=phu!$I$102),"Tỉnh khác",""))</f>
        <v/>
      </c>
      <c r="O413" s="814" t="str">
        <f t="shared" si="37"/>
        <v/>
      </c>
      <c r="P413" s="254"/>
      <c r="Q413" s="254"/>
      <c r="R413" s="254"/>
      <c r="S413" s="254"/>
      <c r="T413" s="254"/>
      <c r="U413" s="254"/>
      <c r="V413" s="254"/>
      <c r="W413" s="254"/>
      <c r="Y413" s="246" t="str">
        <f t="shared" si="38"/>
        <v/>
      </c>
      <c r="Z413" s="247" t="str">
        <f t="shared" si="36"/>
        <v/>
      </c>
      <c r="AA413" s="246" t="str">
        <f t="shared" si="39"/>
        <v/>
      </c>
    </row>
    <row r="414" spans="1:27" ht="18" customHeight="1" x14ac:dyDescent="0.25">
      <c r="A414" s="248" t="str">
        <f t="shared" si="40"/>
        <v/>
      </c>
      <c r="B414" s="249" t="str">
        <f t="shared" si="41"/>
        <v/>
      </c>
      <c r="C414" s="250"/>
      <c r="D414" s="251"/>
      <c r="E414" s="241"/>
      <c r="F414" s="252"/>
      <c r="G414" s="252"/>
      <c r="H414" s="253"/>
      <c r="I414" s="250"/>
      <c r="J414" s="250"/>
      <c r="K414" s="270"/>
      <c r="L414" s="250"/>
      <c r="M414" s="250"/>
      <c r="N414" s="553" t="str">
        <f>CONCATENATE(IF(OR(M414=phu!$I$1,M414=phu!$I$2,M414=phu!$I$3),"Cam Thành Nam",""),IF(OR(M414=phu!$I$4,M414=phu!$I$5,M414=phu!$I$6,M414=phu!$I$7,M414=phu!$I$8,M414=phu!$I$9,M414=phu!$I$10,M414=phu!$I$11,M414=phu!$I$12,M414=phu!$I$13,M414=phu!$I$14),"Cam Nghĩa",""),IF(OR(M414=phu!$I$15,M414=phu!$I$16,M414=phu!$I$17,M414=phu!$I$18,M414=phu!$I$19,M414=phu!$I$20,M414=phu!$I$21),"Cam Phúc Bắc",""),IF(OR(M414=phu!$I$22,M414=phu!$I$23,M414=phu!$I$24,M414=phu!$I$25),"Cam Phúc Nam",""),IF(OR(M414=phu!$I$26,M414=phu!$I$27,M414=phu!$I$28,M414=phu!$I$29,M414=phu!$I$30,M414=phu!$I$31),"Cam Phú",""),IF(OR(M414=phu!$I$32,M414=phu!$I$33,M414=phu!$I$34,M414=phu!$I$35,M414=phu!$I$36,M414=phu!$I$37),"Cam Lộc",""),IF(OR(M414=phu!$I$38,M414=phu!$I$39,M414=phu!$I$40,M414=phu!$I$41,M414=phu!$I$42,M414=phu!$I$43,M414=phu!$I$44),"Cam Thuận",""),IF(OR(M414=phu!$I$45,M414=phu!$I$46,M414=phu!$I$47,M414=phu!$I$48,M414=phu!$I$49,M414=phu!$I$50,M414=phu!$I$51,M414=phu!$I$52,M414=phu!$I$53),"Cam Linh",""),IF(OR(M414=phu!$I$54,M414=phu!$I$55,M414=phu!$I$56,M414=phu!$I$57,M414=phu!$I$58,M414=phu!$I$59,M414=phu!$I$60,M414=phu!$I$61,M414=phu!$I$62),"Cam Lợi",""),IF(OR(M414=phu!$I$63,M414=phu!$I$64,M414=phu!$I$65,M414=phu!$I$66,M414=phu!$I$67,M414=phu!$I$68,M414=phu!$I$69,M414=phu!$I$70,M414=phu!$I$71),"Ba Ngòi",""),IF(OR(M414=phu!$I$72,M414=phu!$I$73,M414=phu!$I$74,M414=phu!$I$75,M414=phu!$I$76,M414=phu!$I$77,M414=phu!$I$78),"Cam Phước Đông",""),IF(OR(M414=phu!$I$79,M414=phu!$I$80,M414=phu!$I$81,M414=phu!$I$82,M414=phu!$I$83,M414=phu!$I$84),"Cam Thịnh Đông",""),IF(OR(M414=phu!$I$85,M414=phu!$I$86,M414=phu!$I$87,M414=phu!$I$88),"Cam Thịnh Tây",""),IF(OR(M414=phu!$I$89,M414=phu!$I$90),"Cam Lập",""),IF(OR(M414=phu!$I$91,M414=phu!$I$92,M414=phu!$I$93),"Cam Bình",""),IF(OR(M414=phu!$I$94,M414=phu!$I$95,M414=phu!$I$96,M414=phu!$I$97,M414=phu!$I$98,M414=phu!$I$99,M414=phu!$I$100),"Huyện khác",""),IF(OR(M414=phu!$I$101,M414=phu!$I$102),"Tỉnh khác",""))</f>
        <v/>
      </c>
      <c r="O414" s="814" t="str">
        <f t="shared" si="37"/>
        <v/>
      </c>
      <c r="P414" s="254"/>
      <c r="Q414" s="254"/>
      <c r="R414" s="254"/>
      <c r="S414" s="254"/>
      <c r="T414" s="254"/>
      <c r="U414" s="254"/>
      <c r="V414" s="254"/>
      <c r="W414" s="254"/>
      <c r="Y414" s="246" t="str">
        <f t="shared" si="38"/>
        <v/>
      </c>
      <c r="Z414" s="247" t="str">
        <f t="shared" si="36"/>
        <v/>
      </c>
      <c r="AA414" s="246" t="str">
        <f t="shared" si="39"/>
        <v/>
      </c>
    </row>
    <row r="415" spans="1:27" ht="18" customHeight="1" x14ac:dyDescent="0.25">
      <c r="A415" s="248" t="str">
        <f t="shared" si="40"/>
        <v/>
      </c>
      <c r="B415" s="249" t="str">
        <f t="shared" si="41"/>
        <v/>
      </c>
      <c r="C415" s="250"/>
      <c r="D415" s="251"/>
      <c r="E415" s="241"/>
      <c r="F415" s="252"/>
      <c r="G415" s="252"/>
      <c r="H415" s="253"/>
      <c r="I415" s="250"/>
      <c r="J415" s="250"/>
      <c r="K415" s="270"/>
      <c r="L415" s="250"/>
      <c r="M415" s="250"/>
      <c r="N415" s="553" t="str">
        <f>CONCATENATE(IF(OR(M415=phu!$I$1,M415=phu!$I$2,M415=phu!$I$3),"Cam Thành Nam",""),IF(OR(M415=phu!$I$4,M415=phu!$I$5,M415=phu!$I$6,M415=phu!$I$7,M415=phu!$I$8,M415=phu!$I$9,M415=phu!$I$10,M415=phu!$I$11,M415=phu!$I$12,M415=phu!$I$13,M415=phu!$I$14),"Cam Nghĩa",""),IF(OR(M415=phu!$I$15,M415=phu!$I$16,M415=phu!$I$17,M415=phu!$I$18,M415=phu!$I$19,M415=phu!$I$20,M415=phu!$I$21),"Cam Phúc Bắc",""),IF(OR(M415=phu!$I$22,M415=phu!$I$23,M415=phu!$I$24,M415=phu!$I$25),"Cam Phúc Nam",""),IF(OR(M415=phu!$I$26,M415=phu!$I$27,M415=phu!$I$28,M415=phu!$I$29,M415=phu!$I$30,M415=phu!$I$31),"Cam Phú",""),IF(OR(M415=phu!$I$32,M415=phu!$I$33,M415=phu!$I$34,M415=phu!$I$35,M415=phu!$I$36,M415=phu!$I$37),"Cam Lộc",""),IF(OR(M415=phu!$I$38,M415=phu!$I$39,M415=phu!$I$40,M415=phu!$I$41,M415=phu!$I$42,M415=phu!$I$43,M415=phu!$I$44),"Cam Thuận",""),IF(OR(M415=phu!$I$45,M415=phu!$I$46,M415=phu!$I$47,M415=phu!$I$48,M415=phu!$I$49,M415=phu!$I$50,M415=phu!$I$51,M415=phu!$I$52,M415=phu!$I$53),"Cam Linh",""),IF(OR(M415=phu!$I$54,M415=phu!$I$55,M415=phu!$I$56,M415=phu!$I$57,M415=phu!$I$58,M415=phu!$I$59,M415=phu!$I$60,M415=phu!$I$61,M415=phu!$I$62),"Cam Lợi",""),IF(OR(M415=phu!$I$63,M415=phu!$I$64,M415=phu!$I$65,M415=phu!$I$66,M415=phu!$I$67,M415=phu!$I$68,M415=phu!$I$69,M415=phu!$I$70,M415=phu!$I$71),"Ba Ngòi",""),IF(OR(M415=phu!$I$72,M415=phu!$I$73,M415=phu!$I$74,M415=phu!$I$75,M415=phu!$I$76,M415=phu!$I$77,M415=phu!$I$78),"Cam Phước Đông",""),IF(OR(M415=phu!$I$79,M415=phu!$I$80,M415=phu!$I$81,M415=phu!$I$82,M415=phu!$I$83,M415=phu!$I$84),"Cam Thịnh Đông",""),IF(OR(M415=phu!$I$85,M415=phu!$I$86,M415=phu!$I$87,M415=phu!$I$88),"Cam Thịnh Tây",""),IF(OR(M415=phu!$I$89,M415=phu!$I$90),"Cam Lập",""),IF(OR(M415=phu!$I$91,M415=phu!$I$92,M415=phu!$I$93),"Cam Bình",""),IF(OR(M415=phu!$I$94,M415=phu!$I$95,M415=phu!$I$96,M415=phu!$I$97,M415=phu!$I$98,M415=phu!$I$99,M415=phu!$I$100),"Huyện khác",""),IF(OR(M415=phu!$I$101,M415=phu!$I$102),"Tỉnh khác",""))</f>
        <v/>
      </c>
      <c r="O415" s="814" t="str">
        <f t="shared" si="37"/>
        <v/>
      </c>
      <c r="P415" s="254"/>
      <c r="Q415" s="254"/>
      <c r="R415" s="254"/>
      <c r="S415" s="254"/>
      <c r="T415" s="254"/>
      <c r="U415" s="254"/>
      <c r="V415" s="254"/>
      <c r="W415" s="254"/>
      <c r="Y415" s="246" t="str">
        <f t="shared" si="38"/>
        <v/>
      </c>
      <c r="Z415" s="247" t="str">
        <f t="shared" si="36"/>
        <v/>
      </c>
      <c r="AA415" s="246" t="str">
        <f t="shared" si="39"/>
        <v/>
      </c>
    </row>
    <row r="416" spans="1:27" ht="18" customHeight="1" x14ac:dyDescent="0.25">
      <c r="A416" s="248" t="str">
        <f t="shared" si="40"/>
        <v/>
      </c>
      <c r="B416" s="249" t="str">
        <f t="shared" si="41"/>
        <v/>
      </c>
      <c r="C416" s="250"/>
      <c r="D416" s="251"/>
      <c r="E416" s="241"/>
      <c r="F416" s="252"/>
      <c r="G416" s="252"/>
      <c r="H416" s="253"/>
      <c r="I416" s="250"/>
      <c r="J416" s="250"/>
      <c r="K416" s="270"/>
      <c r="L416" s="250"/>
      <c r="M416" s="250"/>
      <c r="N416" s="553" t="str">
        <f>CONCATENATE(IF(OR(M416=phu!$I$1,M416=phu!$I$2,M416=phu!$I$3),"Cam Thành Nam",""),IF(OR(M416=phu!$I$4,M416=phu!$I$5,M416=phu!$I$6,M416=phu!$I$7,M416=phu!$I$8,M416=phu!$I$9,M416=phu!$I$10,M416=phu!$I$11,M416=phu!$I$12,M416=phu!$I$13,M416=phu!$I$14),"Cam Nghĩa",""),IF(OR(M416=phu!$I$15,M416=phu!$I$16,M416=phu!$I$17,M416=phu!$I$18,M416=phu!$I$19,M416=phu!$I$20,M416=phu!$I$21),"Cam Phúc Bắc",""),IF(OR(M416=phu!$I$22,M416=phu!$I$23,M416=phu!$I$24,M416=phu!$I$25),"Cam Phúc Nam",""),IF(OR(M416=phu!$I$26,M416=phu!$I$27,M416=phu!$I$28,M416=phu!$I$29,M416=phu!$I$30,M416=phu!$I$31),"Cam Phú",""),IF(OR(M416=phu!$I$32,M416=phu!$I$33,M416=phu!$I$34,M416=phu!$I$35,M416=phu!$I$36,M416=phu!$I$37),"Cam Lộc",""),IF(OR(M416=phu!$I$38,M416=phu!$I$39,M416=phu!$I$40,M416=phu!$I$41,M416=phu!$I$42,M416=phu!$I$43,M416=phu!$I$44),"Cam Thuận",""),IF(OR(M416=phu!$I$45,M416=phu!$I$46,M416=phu!$I$47,M416=phu!$I$48,M416=phu!$I$49,M416=phu!$I$50,M416=phu!$I$51,M416=phu!$I$52,M416=phu!$I$53),"Cam Linh",""),IF(OR(M416=phu!$I$54,M416=phu!$I$55,M416=phu!$I$56,M416=phu!$I$57,M416=phu!$I$58,M416=phu!$I$59,M416=phu!$I$60,M416=phu!$I$61,M416=phu!$I$62),"Cam Lợi",""),IF(OR(M416=phu!$I$63,M416=phu!$I$64,M416=phu!$I$65,M416=phu!$I$66,M416=phu!$I$67,M416=phu!$I$68,M416=phu!$I$69,M416=phu!$I$70,M416=phu!$I$71),"Ba Ngòi",""),IF(OR(M416=phu!$I$72,M416=phu!$I$73,M416=phu!$I$74,M416=phu!$I$75,M416=phu!$I$76,M416=phu!$I$77,M416=phu!$I$78),"Cam Phước Đông",""),IF(OR(M416=phu!$I$79,M416=phu!$I$80,M416=phu!$I$81,M416=phu!$I$82,M416=phu!$I$83,M416=phu!$I$84),"Cam Thịnh Đông",""),IF(OR(M416=phu!$I$85,M416=phu!$I$86,M416=phu!$I$87,M416=phu!$I$88),"Cam Thịnh Tây",""),IF(OR(M416=phu!$I$89,M416=phu!$I$90),"Cam Lập",""),IF(OR(M416=phu!$I$91,M416=phu!$I$92,M416=phu!$I$93),"Cam Bình",""),IF(OR(M416=phu!$I$94,M416=phu!$I$95,M416=phu!$I$96,M416=phu!$I$97,M416=phu!$I$98,M416=phu!$I$99,M416=phu!$I$100),"Huyện khác",""),IF(OR(M416=phu!$I$101,M416=phu!$I$102),"Tỉnh khác",""))</f>
        <v/>
      </c>
      <c r="O416" s="814" t="str">
        <f t="shared" si="37"/>
        <v/>
      </c>
      <c r="P416" s="254"/>
      <c r="Q416" s="254"/>
      <c r="R416" s="254"/>
      <c r="S416" s="254"/>
      <c r="T416" s="254"/>
      <c r="U416" s="254"/>
      <c r="V416" s="254"/>
      <c r="W416" s="254"/>
      <c r="Y416" s="246" t="str">
        <f t="shared" si="38"/>
        <v/>
      </c>
      <c r="Z416" s="247" t="str">
        <f t="shared" si="36"/>
        <v/>
      </c>
      <c r="AA416" s="246" t="str">
        <f t="shared" si="39"/>
        <v/>
      </c>
    </row>
    <row r="417" spans="1:27" ht="18" customHeight="1" x14ac:dyDescent="0.25">
      <c r="A417" s="248" t="str">
        <f t="shared" si="40"/>
        <v/>
      </c>
      <c r="B417" s="249" t="str">
        <f t="shared" si="41"/>
        <v/>
      </c>
      <c r="C417" s="250"/>
      <c r="D417" s="251"/>
      <c r="E417" s="241"/>
      <c r="F417" s="252"/>
      <c r="G417" s="252"/>
      <c r="H417" s="253"/>
      <c r="I417" s="250"/>
      <c r="J417" s="250"/>
      <c r="K417" s="270"/>
      <c r="L417" s="250"/>
      <c r="M417" s="250"/>
      <c r="N417" s="553" t="str">
        <f>CONCATENATE(IF(OR(M417=phu!$I$1,M417=phu!$I$2,M417=phu!$I$3),"Cam Thành Nam",""),IF(OR(M417=phu!$I$4,M417=phu!$I$5,M417=phu!$I$6,M417=phu!$I$7,M417=phu!$I$8,M417=phu!$I$9,M417=phu!$I$10,M417=phu!$I$11,M417=phu!$I$12,M417=phu!$I$13,M417=phu!$I$14),"Cam Nghĩa",""),IF(OR(M417=phu!$I$15,M417=phu!$I$16,M417=phu!$I$17,M417=phu!$I$18,M417=phu!$I$19,M417=phu!$I$20,M417=phu!$I$21),"Cam Phúc Bắc",""),IF(OR(M417=phu!$I$22,M417=phu!$I$23,M417=phu!$I$24,M417=phu!$I$25),"Cam Phúc Nam",""),IF(OR(M417=phu!$I$26,M417=phu!$I$27,M417=phu!$I$28,M417=phu!$I$29,M417=phu!$I$30,M417=phu!$I$31),"Cam Phú",""),IF(OR(M417=phu!$I$32,M417=phu!$I$33,M417=phu!$I$34,M417=phu!$I$35,M417=phu!$I$36,M417=phu!$I$37),"Cam Lộc",""),IF(OR(M417=phu!$I$38,M417=phu!$I$39,M417=phu!$I$40,M417=phu!$I$41,M417=phu!$I$42,M417=phu!$I$43,M417=phu!$I$44),"Cam Thuận",""),IF(OR(M417=phu!$I$45,M417=phu!$I$46,M417=phu!$I$47,M417=phu!$I$48,M417=phu!$I$49,M417=phu!$I$50,M417=phu!$I$51,M417=phu!$I$52,M417=phu!$I$53),"Cam Linh",""),IF(OR(M417=phu!$I$54,M417=phu!$I$55,M417=phu!$I$56,M417=phu!$I$57,M417=phu!$I$58,M417=phu!$I$59,M417=phu!$I$60,M417=phu!$I$61,M417=phu!$I$62),"Cam Lợi",""),IF(OR(M417=phu!$I$63,M417=phu!$I$64,M417=phu!$I$65,M417=phu!$I$66,M417=phu!$I$67,M417=phu!$I$68,M417=phu!$I$69,M417=phu!$I$70,M417=phu!$I$71),"Ba Ngòi",""),IF(OR(M417=phu!$I$72,M417=phu!$I$73,M417=phu!$I$74,M417=phu!$I$75,M417=phu!$I$76,M417=phu!$I$77,M417=phu!$I$78),"Cam Phước Đông",""),IF(OR(M417=phu!$I$79,M417=phu!$I$80,M417=phu!$I$81,M417=phu!$I$82,M417=phu!$I$83,M417=phu!$I$84),"Cam Thịnh Đông",""),IF(OR(M417=phu!$I$85,M417=phu!$I$86,M417=phu!$I$87,M417=phu!$I$88),"Cam Thịnh Tây",""),IF(OR(M417=phu!$I$89,M417=phu!$I$90),"Cam Lập",""),IF(OR(M417=phu!$I$91,M417=phu!$I$92,M417=phu!$I$93),"Cam Bình",""),IF(OR(M417=phu!$I$94,M417=phu!$I$95,M417=phu!$I$96,M417=phu!$I$97,M417=phu!$I$98,M417=phu!$I$99,M417=phu!$I$100),"Huyện khác",""),IF(OR(M417=phu!$I$101,M417=phu!$I$102),"Tỉnh khác",""))</f>
        <v/>
      </c>
      <c r="O417" s="814" t="str">
        <f t="shared" si="37"/>
        <v/>
      </c>
      <c r="P417" s="254"/>
      <c r="Q417" s="254"/>
      <c r="R417" s="254"/>
      <c r="S417" s="254"/>
      <c r="T417" s="254"/>
      <c r="U417" s="254"/>
      <c r="V417" s="254"/>
      <c r="W417" s="254"/>
      <c r="Y417" s="246" t="str">
        <f t="shared" si="38"/>
        <v/>
      </c>
      <c r="Z417" s="247" t="str">
        <f t="shared" si="36"/>
        <v/>
      </c>
      <c r="AA417" s="246" t="str">
        <f t="shared" si="39"/>
        <v/>
      </c>
    </row>
    <row r="418" spans="1:27" ht="18" customHeight="1" x14ac:dyDescent="0.25">
      <c r="A418" s="248" t="str">
        <f t="shared" si="40"/>
        <v/>
      </c>
      <c r="B418" s="249" t="str">
        <f t="shared" si="41"/>
        <v/>
      </c>
      <c r="C418" s="250"/>
      <c r="D418" s="251"/>
      <c r="E418" s="241"/>
      <c r="F418" s="252"/>
      <c r="G418" s="252"/>
      <c r="H418" s="253"/>
      <c r="I418" s="250"/>
      <c r="J418" s="250"/>
      <c r="K418" s="270"/>
      <c r="L418" s="250"/>
      <c r="M418" s="250"/>
      <c r="N418" s="553" t="str">
        <f>CONCATENATE(IF(OR(M418=phu!$I$1,M418=phu!$I$2,M418=phu!$I$3),"Cam Thành Nam",""),IF(OR(M418=phu!$I$4,M418=phu!$I$5,M418=phu!$I$6,M418=phu!$I$7,M418=phu!$I$8,M418=phu!$I$9,M418=phu!$I$10,M418=phu!$I$11,M418=phu!$I$12,M418=phu!$I$13,M418=phu!$I$14),"Cam Nghĩa",""),IF(OR(M418=phu!$I$15,M418=phu!$I$16,M418=phu!$I$17,M418=phu!$I$18,M418=phu!$I$19,M418=phu!$I$20,M418=phu!$I$21),"Cam Phúc Bắc",""),IF(OR(M418=phu!$I$22,M418=phu!$I$23,M418=phu!$I$24,M418=phu!$I$25),"Cam Phúc Nam",""),IF(OR(M418=phu!$I$26,M418=phu!$I$27,M418=phu!$I$28,M418=phu!$I$29,M418=phu!$I$30,M418=phu!$I$31),"Cam Phú",""),IF(OR(M418=phu!$I$32,M418=phu!$I$33,M418=phu!$I$34,M418=phu!$I$35,M418=phu!$I$36,M418=phu!$I$37),"Cam Lộc",""),IF(OR(M418=phu!$I$38,M418=phu!$I$39,M418=phu!$I$40,M418=phu!$I$41,M418=phu!$I$42,M418=phu!$I$43,M418=phu!$I$44),"Cam Thuận",""),IF(OR(M418=phu!$I$45,M418=phu!$I$46,M418=phu!$I$47,M418=phu!$I$48,M418=phu!$I$49,M418=phu!$I$50,M418=phu!$I$51,M418=phu!$I$52,M418=phu!$I$53),"Cam Linh",""),IF(OR(M418=phu!$I$54,M418=phu!$I$55,M418=phu!$I$56,M418=phu!$I$57,M418=phu!$I$58,M418=phu!$I$59,M418=phu!$I$60,M418=phu!$I$61,M418=phu!$I$62),"Cam Lợi",""),IF(OR(M418=phu!$I$63,M418=phu!$I$64,M418=phu!$I$65,M418=phu!$I$66,M418=phu!$I$67,M418=phu!$I$68,M418=phu!$I$69,M418=phu!$I$70,M418=phu!$I$71),"Ba Ngòi",""),IF(OR(M418=phu!$I$72,M418=phu!$I$73,M418=phu!$I$74,M418=phu!$I$75,M418=phu!$I$76,M418=phu!$I$77,M418=phu!$I$78),"Cam Phước Đông",""),IF(OR(M418=phu!$I$79,M418=phu!$I$80,M418=phu!$I$81,M418=phu!$I$82,M418=phu!$I$83,M418=phu!$I$84),"Cam Thịnh Đông",""),IF(OR(M418=phu!$I$85,M418=phu!$I$86,M418=phu!$I$87,M418=phu!$I$88),"Cam Thịnh Tây",""),IF(OR(M418=phu!$I$89,M418=phu!$I$90),"Cam Lập",""),IF(OR(M418=phu!$I$91,M418=phu!$I$92,M418=phu!$I$93),"Cam Bình",""),IF(OR(M418=phu!$I$94,M418=phu!$I$95,M418=phu!$I$96,M418=phu!$I$97,M418=phu!$I$98,M418=phu!$I$99,M418=phu!$I$100),"Huyện khác",""),IF(OR(M418=phu!$I$101,M418=phu!$I$102),"Tỉnh khác",""))</f>
        <v/>
      </c>
      <c r="O418" s="814" t="str">
        <f t="shared" si="37"/>
        <v/>
      </c>
      <c r="P418" s="254"/>
      <c r="Q418" s="254"/>
      <c r="R418" s="254"/>
      <c r="S418" s="254"/>
      <c r="T418" s="254"/>
      <c r="U418" s="254"/>
      <c r="V418" s="254"/>
      <c r="W418" s="254"/>
      <c r="Y418" s="246" t="str">
        <f t="shared" si="38"/>
        <v/>
      </c>
      <c r="Z418" s="247" t="str">
        <f t="shared" si="36"/>
        <v/>
      </c>
      <c r="AA418" s="246" t="str">
        <f t="shared" si="39"/>
        <v/>
      </c>
    </row>
    <row r="419" spans="1:27" ht="18" customHeight="1" x14ac:dyDescent="0.25">
      <c r="A419" s="248" t="str">
        <f t="shared" si="40"/>
        <v/>
      </c>
      <c r="B419" s="249" t="str">
        <f t="shared" si="41"/>
        <v/>
      </c>
      <c r="C419" s="250"/>
      <c r="D419" s="251"/>
      <c r="E419" s="241"/>
      <c r="F419" s="252"/>
      <c r="G419" s="252"/>
      <c r="H419" s="253"/>
      <c r="I419" s="250"/>
      <c r="J419" s="250"/>
      <c r="K419" s="270"/>
      <c r="L419" s="250"/>
      <c r="M419" s="250"/>
      <c r="N419" s="553" t="str">
        <f>CONCATENATE(IF(OR(M419=phu!$I$1,M419=phu!$I$2,M419=phu!$I$3),"Cam Thành Nam",""),IF(OR(M419=phu!$I$4,M419=phu!$I$5,M419=phu!$I$6,M419=phu!$I$7,M419=phu!$I$8,M419=phu!$I$9,M419=phu!$I$10,M419=phu!$I$11,M419=phu!$I$12,M419=phu!$I$13,M419=phu!$I$14),"Cam Nghĩa",""),IF(OR(M419=phu!$I$15,M419=phu!$I$16,M419=phu!$I$17,M419=phu!$I$18,M419=phu!$I$19,M419=phu!$I$20,M419=phu!$I$21),"Cam Phúc Bắc",""),IF(OR(M419=phu!$I$22,M419=phu!$I$23,M419=phu!$I$24,M419=phu!$I$25),"Cam Phúc Nam",""),IF(OR(M419=phu!$I$26,M419=phu!$I$27,M419=phu!$I$28,M419=phu!$I$29,M419=phu!$I$30,M419=phu!$I$31),"Cam Phú",""),IF(OR(M419=phu!$I$32,M419=phu!$I$33,M419=phu!$I$34,M419=phu!$I$35,M419=phu!$I$36,M419=phu!$I$37),"Cam Lộc",""),IF(OR(M419=phu!$I$38,M419=phu!$I$39,M419=phu!$I$40,M419=phu!$I$41,M419=phu!$I$42,M419=phu!$I$43,M419=phu!$I$44),"Cam Thuận",""),IF(OR(M419=phu!$I$45,M419=phu!$I$46,M419=phu!$I$47,M419=phu!$I$48,M419=phu!$I$49,M419=phu!$I$50,M419=phu!$I$51,M419=phu!$I$52,M419=phu!$I$53),"Cam Linh",""),IF(OR(M419=phu!$I$54,M419=phu!$I$55,M419=phu!$I$56,M419=phu!$I$57,M419=phu!$I$58,M419=phu!$I$59,M419=phu!$I$60,M419=phu!$I$61,M419=phu!$I$62),"Cam Lợi",""),IF(OR(M419=phu!$I$63,M419=phu!$I$64,M419=phu!$I$65,M419=phu!$I$66,M419=phu!$I$67,M419=phu!$I$68,M419=phu!$I$69,M419=phu!$I$70,M419=phu!$I$71),"Ba Ngòi",""),IF(OR(M419=phu!$I$72,M419=phu!$I$73,M419=phu!$I$74,M419=phu!$I$75,M419=phu!$I$76,M419=phu!$I$77,M419=phu!$I$78),"Cam Phước Đông",""),IF(OR(M419=phu!$I$79,M419=phu!$I$80,M419=phu!$I$81,M419=phu!$I$82,M419=phu!$I$83,M419=phu!$I$84),"Cam Thịnh Đông",""),IF(OR(M419=phu!$I$85,M419=phu!$I$86,M419=phu!$I$87,M419=phu!$I$88),"Cam Thịnh Tây",""),IF(OR(M419=phu!$I$89,M419=phu!$I$90),"Cam Lập",""),IF(OR(M419=phu!$I$91,M419=phu!$I$92,M419=phu!$I$93),"Cam Bình",""),IF(OR(M419=phu!$I$94,M419=phu!$I$95,M419=phu!$I$96,M419=phu!$I$97,M419=phu!$I$98,M419=phu!$I$99,M419=phu!$I$100),"Huyện khác",""),IF(OR(M419=phu!$I$101,M419=phu!$I$102),"Tỉnh khác",""))</f>
        <v/>
      </c>
      <c r="O419" s="814" t="str">
        <f t="shared" si="37"/>
        <v/>
      </c>
      <c r="P419" s="254"/>
      <c r="Q419" s="254"/>
      <c r="R419" s="254"/>
      <c r="S419" s="254"/>
      <c r="T419" s="254"/>
      <c r="U419" s="254"/>
      <c r="V419" s="254"/>
      <c r="W419" s="254"/>
      <c r="Y419" s="246" t="str">
        <f t="shared" si="38"/>
        <v/>
      </c>
      <c r="Z419" s="247" t="str">
        <f t="shared" si="36"/>
        <v/>
      </c>
      <c r="AA419" s="246" t="str">
        <f t="shared" si="39"/>
        <v/>
      </c>
    </row>
    <row r="420" spans="1:27" ht="18" customHeight="1" x14ac:dyDescent="0.25">
      <c r="A420" s="248" t="str">
        <f t="shared" si="40"/>
        <v/>
      </c>
      <c r="B420" s="249" t="str">
        <f t="shared" si="41"/>
        <v/>
      </c>
      <c r="C420" s="250"/>
      <c r="D420" s="251"/>
      <c r="E420" s="241"/>
      <c r="F420" s="252"/>
      <c r="G420" s="252"/>
      <c r="H420" s="253"/>
      <c r="I420" s="250"/>
      <c r="J420" s="250"/>
      <c r="K420" s="270"/>
      <c r="L420" s="250"/>
      <c r="M420" s="250"/>
      <c r="N420" s="553" t="str">
        <f>CONCATENATE(IF(OR(M420=phu!$I$1,M420=phu!$I$2,M420=phu!$I$3),"Cam Thành Nam",""),IF(OR(M420=phu!$I$4,M420=phu!$I$5,M420=phu!$I$6,M420=phu!$I$7,M420=phu!$I$8,M420=phu!$I$9,M420=phu!$I$10,M420=phu!$I$11,M420=phu!$I$12,M420=phu!$I$13,M420=phu!$I$14),"Cam Nghĩa",""),IF(OR(M420=phu!$I$15,M420=phu!$I$16,M420=phu!$I$17,M420=phu!$I$18,M420=phu!$I$19,M420=phu!$I$20,M420=phu!$I$21),"Cam Phúc Bắc",""),IF(OR(M420=phu!$I$22,M420=phu!$I$23,M420=phu!$I$24,M420=phu!$I$25),"Cam Phúc Nam",""),IF(OR(M420=phu!$I$26,M420=phu!$I$27,M420=phu!$I$28,M420=phu!$I$29,M420=phu!$I$30,M420=phu!$I$31),"Cam Phú",""),IF(OR(M420=phu!$I$32,M420=phu!$I$33,M420=phu!$I$34,M420=phu!$I$35,M420=phu!$I$36,M420=phu!$I$37),"Cam Lộc",""),IF(OR(M420=phu!$I$38,M420=phu!$I$39,M420=phu!$I$40,M420=phu!$I$41,M420=phu!$I$42,M420=phu!$I$43,M420=phu!$I$44),"Cam Thuận",""),IF(OR(M420=phu!$I$45,M420=phu!$I$46,M420=phu!$I$47,M420=phu!$I$48,M420=phu!$I$49,M420=phu!$I$50,M420=phu!$I$51,M420=phu!$I$52,M420=phu!$I$53),"Cam Linh",""),IF(OR(M420=phu!$I$54,M420=phu!$I$55,M420=phu!$I$56,M420=phu!$I$57,M420=phu!$I$58,M420=phu!$I$59,M420=phu!$I$60,M420=phu!$I$61,M420=phu!$I$62),"Cam Lợi",""),IF(OR(M420=phu!$I$63,M420=phu!$I$64,M420=phu!$I$65,M420=phu!$I$66,M420=phu!$I$67,M420=phu!$I$68,M420=phu!$I$69,M420=phu!$I$70,M420=phu!$I$71),"Ba Ngòi",""),IF(OR(M420=phu!$I$72,M420=phu!$I$73,M420=phu!$I$74,M420=phu!$I$75,M420=phu!$I$76,M420=phu!$I$77,M420=phu!$I$78),"Cam Phước Đông",""),IF(OR(M420=phu!$I$79,M420=phu!$I$80,M420=phu!$I$81,M420=phu!$I$82,M420=phu!$I$83,M420=phu!$I$84),"Cam Thịnh Đông",""),IF(OR(M420=phu!$I$85,M420=phu!$I$86,M420=phu!$I$87,M420=phu!$I$88),"Cam Thịnh Tây",""),IF(OR(M420=phu!$I$89,M420=phu!$I$90),"Cam Lập",""),IF(OR(M420=phu!$I$91,M420=phu!$I$92,M420=phu!$I$93),"Cam Bình",""),IF(OR(M420=phu!$I$94,M420=phu!$I$95,M420=phu!$I$96,M420=phu!$I$97,M420=phu!$I$98,M420=phu!$I$99,M420=phu!$I$100),"Huyện khác",""),IF(OR(M420=phu!$I$101,M420=phu!$I$102),"Tỉnh khác",""))</f>
        <v/>
      </c>
      <c r="O420" s="814" t="str">
        <f t="shared" si="37"/>
        <v/>
      </c>
      <c r="P420" s="254"/>
      <c r="Q420" s="254"/>
      <c r="R420" s="254"/>
      <c r="S420" s="254"/>
      <c r="T420" s="254"/>
      <c r="U420" s="254"/>
      <c r="V420" s="254"/>
      <c r="W420" s="254"/>
      <c r="Y420" s="246" t="str">
        <f t="shared" si="38"/>
        <v/>
      </c>
      <c r="Z420" s="247" t="str">
        <f t="shared" si="36"/>
        <v/>
      </c>
      <c r="AA420" s="246" t="str">
        <f t="shared" si="39"/>
        <v/>
      </c>
    </row>
    <row r="421" spans="1:27" ht="18" customHeight="1" x14ac:dyDescent="0.25">
      <c r="A421" s="248" t="str">
        <f t="shared" si="40"/>
        <v/>
      </c>
      <c r="B421" s="249" t="str">
        <f t="shared" si="41"/>
        <v/>
      </c>
      <c r="C421" s="250"/>
      <c r="D421" s="251"/>
      <c r="E421" s="241"/>
      <c r="F421" s="252"/>
      <c r="G421" s="252"/>
      <c r="H421" s="253"/>
      <c r="I421" s="250"/>
      <c r="J421" s="250"/>
      <c r="K421" s="270"/>
      <c r="L421" s="250"/>
      <c r="M421" s="250"/>
      <c r="N421" s="553" t="str">
        <f>CONCATENATE(IF(OR(M421=phu!$I$1,M421=phu!$I$2,M421=phu!$I$3),"Cam Thành Nam",""),IF(OR(M421=phu!$I$4,M421=phu!$I$5,M421=phu!$I$6,M421=phu!$I$7,M421=phu!$I$8,M421=phu!$I$9,M421=phu!$I$10,M421=phu!$I$11,M421=phu!$I$12,M421=phu!$I$13,M421=phu!$I$14),"Cam Nghĩa",""),IF(OR(M421=phu!$I$15,M421=phu!$I$16,M421=phu!$I$17,M421=phu!$I$18,M421=phu!$I$19,M421=phu!$I$20,M421=phu!$I$21),"Cam Phúc Bắc",""),IF(OR(M421=phu!$I$22,M421=phu!$I$23,M421=phu!$I$24,M421=phu!$I$25),"Cam Phúc Nam",""),IF(OR(M421=phu!$I$26,M421=phu!$I$27,M421=phu!$I$28,M421=phu!$I$29,M421=phu!$I$30,M421=phu!$I$31),"Cam Phú",""),IF(OR(M421=phu!$I$32,M421=phu!$I$33,M421=phu!$I$34,M421=phu!$I$35,M421=phu!$I$36,M421=phu!$I$37),"Cam Lộc",""),IF(OR(M421=phu!$I$38,M421=phu!$I$39,M421=phu!$I$40,M421=phu!$I$41,M421=phu!$I$42,M421=phu!$I$43,M421=phu!$I$44),"Cam Thuận",""),IF(OR(M421=phu!$I$45,M421=phu!$I$46,M421=phu!$I$47,M421=phu!$I$48,M421=phu!$I$49,M421=phu!$I$50,M421=phu!$I$51,M421=phu!$I$52,M421=phu!$I$53),"Cam Linh",""),IF(OR(M421=phu!$I$54,M421=phu!$I$55,M421=phu!$I$56,M421=phu!$I$57,M421=phu!$I$58,M421=phu!$I$59,M421=phu!$I$60,M421=phu!$I$61,M421=phu!$I$62),"Cam Lợi",""),IF(OR(M421=phu!$I$63,M421=phu!$I$64,M421=phu!$I$65,M421=phu!$I$66,M421=phu!$I$67,M421=phu!$I$68,M421=phu!$I$69,M421=phu!$I$70,M421=phu!$I$71),"Ba Ngòi",""),IF(OR(M421=phu!$I$72,M421=phu!$I$73,M421=phu!$I$74,M421=phu!$I$75,M421=phu!$I$76,M421=phu!$I$77,M421=phu!$I$78),"Cam Phước Đông",""),IF(OR(M421=phu!$I$79,M421=phu!$I$80,M421=phu!$I$81,M421=phu!$I$82,M421=phu!$I$83,M421=phu!$I$84),"Cam Thịnh Đông",""),IF(OR(M421=phu!$I$85,M421=phu!$I$86,M421=phu!$I$87,M421=phu!$I$88),"Cam Thịnh Tây",""),IF(OR(M421=phu!$I$89,M421=phu!$I$90),"Cam Lập",""),IF(OR(M421=phu!$I$91,M421=phu!$I$92,M421=phu!$I$93),"Cam Bình",""),IF(OR(M421=phu!$I$94,M421=phu!$I$95,M421=phu!$I$96,M421=phu!$I$97,M421=phu!$I$98,M421=phu!$I$99,M421=phu!$I$100),"Huyện khác",""),IF(OR(M421=phu!$I$101,M421=phu!$I$102),"Tỉnh khác",""))</f>
        <v/>
      </c>
      <c r="O421" s="814" t="str">
        <f t="shared" si="37"/>
        <v/>
      </c>
      <c r="P421" s="254"/>
      <c r="Q421" s="254"/>
      <c r="R421" s="254"/>
      <c r="S421" s="254"/>
      <c r="T421" s="254"/>
      <c r="U421" s="254"/>
      <c r="V421" s="254"/>
      <c r="W421" s="254"/>
      <c r="Y421" s="246" t="str">
        <f t="shared" si="38"/>
        <v/>
      </c>
      <c r="Z421" s="247" t="str">
        <f t="shared" si="36"/>
        <v/>
      </c>
      <c r="AA421" s="246" t="str">
        <f t="shared" si="39"/>
        <v/>
      </c>
    </row>
    <row r="422" spans="1:27" ht="18" customHeight="1" x14ac:dyDescent="0.25">
      <c r="A422" s="248" t="str">
        <f t="shared" si="40"/>
        <v/>
      </c>
      <c r="B422" s="249" t="str">
        <f t="shared" si="41"/>
        <v/>
      </c>
      <c r="C422" s="250"/>
      <c r="D422" s="251"/>
      <c r="E422" s="241"/>
      <c r="F422" s="252"/>
      <c r="G422" s="252"/>
      <c r="H422" s="253"/>
      <c r="I422" s="250"/>
      <c r="J422" s="250"/>
      <c r="K422" s="270"/>
      <c r="L422" s="250"/>
      <c r="M422" s="250"/>
      <c r="N422" s="553" t="str">
        <f>CONCATENATE(IF(OR(M422=phu!$I$1,M422=phu!$I$2,M422=phu!$I$3),"Cam Thành Nam",""),IF(OR(M422=phu!$I$4,M422=phu!$I$5,M422=phu!$I$6,M422=phu!$I$7,M422=phu!$I$8,M422=phu!$I$9,M422=phu!$I$10,M422=phu!$I$11,M422=phu!$I$12,M422=phu!$I$13,M422=phu!$I$14),"Cam Nghĩa",""),IF(OR(M422=phu!$I$15,M422=phu!$I$16,M422=phu!$I$17,M422=phu!$I$18,M422=phu!$I$19,M422=phu!$I$20,M422=phu!$I$21),"Cam Phúc Bắc",""),IF(OR(M422=phu!$I$22,M422=phu!$I$23,M422=phu!$I$24,M422=phu!$I$25),"Cam Phúc Nam",""),IF(OR(M422=phu!$I$26,M422=phu!$I$27,M422=phu!$I$28,M422=phu!$I$29,M422=phu!$I$30,M422=phu!$I$31),"Cam Phú",""),IF(OR(M422=phu!$I$32,M422=phu!$I$33,M422=phu!$I$34,M422=phu!$I$35,M422=phu!$I$36,M422=phu!$I$37),"Cam Lộc",""),IF(OR(M422=phu!$I$38,M422=phu!$I$39,M422=phu!$I$40,M422=phu!$I$41,M422=phu!$I$42,M422=phu!$I$43,M422=phu!$I$44),"Cam Thuận",""),IF(OR(M422=phu!$I$45,M422=phu!$I$46,M422=phu!$I$47,M422=phu!$I$48,M422=phu!$I$49,M422=phu!$I$50,M422=phu!$I$51,M422=phu!$I$52,M422=phu!$I$53),"Cam Linh",""),IF(OR(M422=phu!$I$54,M422=phu!$I$55,M422=phu!$I$56,M422=phu!$I$57,M422=phu!$I$58,M422=phu!$I$59,M422=phu!$I$60,M422=phu!$I$61,M422=phu!$I$62),"Cam Lợi",""),IF(OR(M422=phu!$I$63,M422=phu!$I$64,M422=phu!$I$65,M422=phu!$I$66,M422=phu!$I$67,M422=phu!$I$68,M422=phu!$I$69,M422=phu!$I$70,M422=phu!$I$71),"Ba Ngòi",""),IF(OR(M422=phu!$I$72,M422=phu!$I$73,M422=phu!$I$74,M422=phu!$I$75,M422=phu!$I$76,M422=phu!$I$77,M422=phu!$I$78),"Cam Phước Đông",""),IF(OR(M422=phu!$I$79,M422=phu!$I$80,M422=phu!$I$81,M422=phu!$I$82,M422=phu!$I$83,M422=phu!$I$84),"Cam Thịnh Đông",""),IF(OR(M422=phu!$I$85,M422=phu!$I$86,M422=phu!$I$87,M422=phu!$I$88),"Cam Thịnh Tây",""),IF(OR(M422=phu!$I$89,M422=phu!$I$90),"Cam Lập",""),IF(OR(M422=phu!$I$91,M422=phu!$I$92,M422=phu!$I$93),"Cam Bình",""),IF(OR(M422=phu!$I$94,M422=phu!$I$95,M422=phu!$I$96,M422=phu!$I$97,M422=phu!$I$98,M422=phu!$I$99,M422=phu!$I$100),"Huyện khác",""),IF(OR(M422=phu!$I$101,M422=phu!$I$102),"Tỉnh khác",""))</f>
        <v/>
      </c>
      <c r="O422" s="814" t="str">
        <f t="shared" si="37"/>
        <v/>
      </c>
      <c r="P422" s="254"/>
      <c r="Q422" s="254"/>
      <c r="R422" s="254"/>
      <c r="S422" s="254"/>
      <c r="T422" s="254"/>
      <c r="U422" s="254"/>
      <c r="V422" s="254"/>
      <c r="W422" s="254"/>
      <c r="Y422" s="246" t="str">
        <f t="shared" si="38"/>
        <v/>
      </c>
      <c r="Z422" s="247" t="str">
        <f t="shared" si="36"/>
        <v/>
      </c>
      <c r="AA422" s="246" t="str">
        <f t="shared" si="39"/>
        <v/>
      </c>
    </row>
    <row r="423" spans="1:27" ht="18" customHeight="1" x14ac:dyDescent="0.25">
      <c r="A423" s="248" t="str">
        <f t="shared" si="40"/>
        <v/>
      </c>
      <c r="B423" s="249" t="str">
        <f t="shared" si="41"/>
        <v/>
      </c>
      <c r="C423" s="250"/>
      <c r="D423" s="251"/>
      <c r="E423" s="241"/>
      <c r="F423" s="252"/>
      <c r="G423" s="252"/>
      <c r="H423" s="253"/>
      <c r="I423" s="250"/>
      <c r="J423" s="250"/>
      <c r="K423" s="270"/>
      <c r="L423" s="250"/>
      <c r="M423" s="250"/>
      <c r="N423" s="553" t="str">
        <f>CONCATENATE(IF(OR(M423=phu!$I$1,M423=phu!$I$2,M423=phu!$I$3),"Cam Thành Nam",""),IF(OR(M423=phu!$I$4,M423=phu!$I$5,M423=phu!$I$6,M423=phu!$I$7,M423=phu!$I$8,M423=phu!$I$9,M423=phu!$I$10,M423=phu!$I$11,M423=phu!$I$12,M423=phu!$I$13,M423=phu!$I$14),"Cam Nghĩa",""),IF(OR(M423=phu!$I$15,M423=phu!$I$16,M423=phu!$I$17,M423=phu!$I$18,M423=phu!$I$19,M423=phu!$I$20,M423=phu!$I$21),"Cam Phúc Bắc",""),IF(OR(M423=phu!$I$22,M423=phu!$I$23,M423=phu!$I$24,M423=phu!$I$25),"Cam Phúc Nam",""),IF(OR(M423=phu!$I$26,M423=phu!$I$27,M423=phu!$I$28,M423=phu!$I$29,M423=phu!$I$30,M423=phu!$I$31),"Cam Phú",""),IF(OR(M423=phu!$I$32,M423=phu!$I$33,M423=phu!$I$34,M423=phu!$I$35,M423=phu!$I$36,M423=phu!$I$37),"Cam Lộc",""),IF(OR(M423=phu!$I$38,M423=phu!$I$39,M423=phu!$I$40,M423=phu!$I$41,M423=phu!$I$42,M423=phu!$I$43,M423=phu!$I$44),"Cam Thuận",""),IF(OR(M423=phu!$I$45,M423=phu!$I$46,M423=phu!$I$47,M423=phu!$I$48,M423=phu!$I$49,M423=phu!$I$50,M423=phu!$I$51,M423=phu!$I$52,M423=phu!$I$53),"Cam Linh",""),IF(OR(M423=phu!$I$54,M423=phu!$I$55,M423=phu!$I$56,M423=phu!$I$57,M423=phu!$I$58,M423=phu!$I$59,M423=phu!$I$60,M423=phu!$I$61,M423=phu!$I$62),"Cam Lợi",""),IF(OR(M423=phu!$I$63,M423=phu!$I$64,M423=phu!$I$65,M423=phu!$I$66,M423=phu!$I$67,M423=phu!$I$68,M423=phu!$I$69,M423=phu!$I$70,M423=phu!$I$71),"Ba Ngòi",""),IF(OR(M423=phu!$I$72,M423=phu!$I$73,M423=phu!$I$74,M423=phu!$I$75,M423=phu!$I$76,M423=phu!$I$77,M423=phu!$I$78),"Cam Phước Đông",""),IF(OR(M423=phu!$I$79,M423=phu!$I$80,M423=phu!$I$81,M423=phu!$I$82,M423=phu!$I$83,M423=phu!$I$84),"Cam Thịnh Đông",""),IF(OR(M423=phu!$I$85,M423=phu!$I$86,M423=phu!$I$87,M423=phu!$I$88),"Cam Thịnh Tây",""),IF(OR(M423=phu!$I$89,M423=phu!$I$90),"Cam Lập",""),IF(OR(M423=phu!$I$91,M423=phu!$I$92,M423=phu!$I$93),"Cam Bình",""),IF(OR(M423=phu!$I$94,M423=phu!$I$95,M423=phu!$I$96,M423=phu!$I$97,M423=phu!$I$98,M423=phu!$I$99,M423=phu!$I$100),"Huyện khác",""),IF(OR(M423=phu!$I$101,M423=phu!$I$102),"Tỉnh khác",""))</f>
        <v/>
      </c>
      <c r="O423" s="814" t="str">
        <f t="shared" si="37"/>
        <v/>
      </c>
      <c r="P423" s="254"/>
      <c r="Q423" s="254"/>
      <c r="R423" s="254"/>
      <c r="S423" s="254"/>
      <c r="T423" s="254"/>
      <c r="U423" s="254"/>
      <c r="V423" s="254"/>
      <c r="W423" s="254"/>
      <c r="Y423" s="246" t="str">
        <f t="shared" si="38"/>
        <v/>
      </c>
      <c r="Z423" s="247" t="str">
        <f t="shared" si="36"/>
        <v/>
      </c>
      <c r="AA423" s="246" t="str">
        <f t="shared" si="39"/>
        <v/>
      </c>
    </row>
    <row r="424" spans="1:27" ht="18" customHeight="1" x14ac:dyDescent="0.25">
      <c r="A424" s="248" t="str">
        <f t="shared" si="40"/>
        <v/>
      </c>
      <c r="B424" s="249" t="str">
        <f t="shared" si="41"/>
        <v/>
      </c>
      <c r="C424" s="250"/>
      <c r="D424" s="251"/>
      <c r="E424" s="241"/>
      <c r="F424" s="252"/>
      <c r="G424" s="252"/>
      <c r="H424" s="253"/>
      <c r="I424" s="250"/>
      <c r="J424" s="250"/>
      <c r="K424" s="270"/>
      <c r="L424" s="250"/>
      <c r="M424" s="250"/>
      <c r="N424" s="553" t="str">
        <f>CONCATENATE(IF(OR(M424=phu!$I$1,M424=phu!$I$2,M424=phu!$I$3),"Cam Thành Nam",""),IF(OR(M424=phu!$I$4,M424=phu!$I$5,M424=phu!$I$6,M424=phu!$I$7,M424=phu!$I$8,M424=phu!$I$9,M424=phu!$I$10,M424=phu!$I$11,M424=phu!$I$12,M424=phu!$I$13,M424=phu!$I$14),"Cam Nghĩa",""),IF(OR(M424=phu!$I$15,M424=phu!$I$16,M424=phu!$I$17,M424=phu!$I$18,M424=phu!$I$19,M424=phu!$I$20,M424=phu!$I$21),"Cam Phúc Bắc",""),IF(OR(M424=phu!$I$22,M424=phu!$I$23,M424=phu!$I$24,M424=phu!$I$25),"Cam Phúc Nam",""),IF(OR(M424=phu!$I$26,M424=phu!$I$27,M424=phu!$I$28,M424=phu!$I$29,M424=phu!$I$30,M424=phu!$I$31),"Cam Phú",""),IF(OR(M424=phu!$I$32,M424=phu!$I$33,M424=phu!$I$34,M424=phu!$I$35,M424=phu!$I$36,M424=phu!$I$37),"Cam Lộc",""),IF(OR(M424=phu!$I$38,M424=phu!$I$39,M424=phu!$I$40,M424=phu!$I$41,M424=phu!$I$42,M424=phu!$I$43,M424=phu!$I$44),"Cam Thuận",""),IF(OR(M424=phu!$I$45,M424=phu!$I$46,M424=phu!$I$47,M424=phu!$I$48,M424=phu!$I$49,M424=phu!$I$50,M424=phu!$I$51,M424=phu!$I$52,M424=phu!$I$53),"Cam Linh",""),IF(OR(M424=phu!$I$54,M424=phu!$I$55,M424=phu!$I$56,M424=phu!$I$57,M424=phu!$I$58,M424=phu!$I$59,M424=phu!$I$60,M424=phu!$I$61,M424=phu!$I$62),"Cam Lợi",""),IF(OR(M424=phu!$I$63,M424=phu!$I$64,M424=phu!$I$65,M424=phu!$I$66,M424=phu!$I$67,M424=phu!$I$68,M424=phu!$I$69,M424=phu!$I$70,M424=phu!$I$71),"Ba Ngòi",""),IF(OR(M424=phu!$I$72,M424=phu!$I$73,M424=phu!$I$74,M424=phu!$I$75,M424=phu!$I$76,M424=phu!$I$77,M424=phu!$I$78),"Cam Phước Đông",""),IF(OR(M424=phu!$I$79,M424=phu!$I$80,M424=phu!$I$81,M424=phu!$I$82,M424=phu!$I$83,M424=phu!$I$84),"Cam Thịnh Đông",""),IF(OR(M424=phu!$I$85,M424=phu!$I$86,M424=phu!$I$87,M424=phu!$I$88),"Cam Thịnh Tây",""),IF(OR(M424=phu!$I$89,M424=phu!$I$90),"Cam Lập",""),IF(OR(M424=phu!$I$91,M424=phu!$I$92,M424=phu!$I$93),"Cam Bình",""),IF(OR(M424=phu!$I$94,M424=phu!$I$95,M424=phu!$I$96,M424=phu!$I$97,M424=phu!$I$98,M424=phu!$I$99,M424=phu!$I$100),"Huyện khác",""),IF(OR(M424=phu!$I$101,M424=phu!$I$102),"Tỉnh khác",""))</f>
        <v/>
      </c>
      <c r="O424" s="814" t="str">
        <f t="shared" si="37"/>
        <v/>
      </c>
      <c r="P424" s="254"/>
      <c r="Q424" s="254"/>
      <c r="R424" s="254"/>
      <c r="S424" s="254"/>
      <c r="T424" s="254"/>
      <c r="U424" s="254"/>
      <c r="V424" s="254"/>
      <c r="W424" s="254"/>
      <c r="Y424" s="246" t="str">
        <f t="shared" si="38"/>
        <v/>
      </c>
      <c r="Z424" s="247" t="str">
        <f t="shared" si="36"/>
        <v/>
      </c>
      <c r="AA424" s="246" t="str">
        <f t="shared" si="39"/>
        <v/>
      </c>
    </row>
    <row r="425" spans="1:27" ht="18" customHeight="1" x14ac:dyDescent="0.25">
      <c r="A425" s="248" t="str">
        <f t="shared" si="40"/>
        <v/>
      </c>
      <c r="B425" s="249" t="str">
        <f t="shared" si="41"/>
        <v/>
      </c>
      <c r="C425" s="250"/>
      <c r="D425" s="251"/>
      <c r="E425" s="241"/>
      <c r="F425" s="252"/>
      <c r="G425" s="252"/>
      <c r="H425" s="253"/>
      <c r="I425" s="250"/>
      <c r="J425" s="250"/>
      <c r="K425" s="270"/>
      <c r="L425" s="250"/>
      <c r="M425" s="250"/>
      <c r="N425" s="553" t="str">
        <f>CONCATENATE(IF(OR(M425=phu!$I$1,M425=phu!$I$2,M425=phu!$I$3),"Cam Thành Nam",""),IF(OR(M425=phu!$I$4,M425=phu!$I$5,M425=phu!$I$6,M425=phu!$I$7,M425=phu!$I$8,M425=phu!$I$9,M425=phu!$I$10,M425=phu!$I$11,M425=phu!$I$12,M425=phu!$I$13,M425=phu!$I$14),"Cam Nghĩa",""),IF(OR(M425=phu!$I$15,M425=phu!$I$16,M425=phu!$I$17,M425=phu!$I$18,M425=phu!$I$19,M425=phu!$I$20,M425=phu!$I$21),"Cam Phúc Bắc",""),IF(OR(M425=phu!$I$22,M425=phu!$I$23,M425=phu!$I$24,M425=phu!$I$25),"Cam Phúc Nam",""),IF(OR(M425=phu!$I$26,M425=phu!$I$27,M425=phu!$I$28,M425=phu!$I$29,M425=phu!$I$30,M425=phu!$I$31),"Cam Phú",""),IF(OR(M425=phu!$I$32,M425=phu!$I$33,M425=phu!$I$34,M425=phu!$I$35,M425=phu!$I$36,M425=phu!$I$37),"Cam Lộc",""),IF(OR(M425=phu!$I$38,M425=phu!$I$39,M425=phu!$I$40,M425=phu!$I$41,M425=phu!$I$42,M425=phu!$I$43,M425=phu!$I$44),"Cam Thuận",""),IF(OR(M425=phu!$I$45,M425=phu!$I$46,M425=phu!$I$47,M425=phu!$I$48,M425=phu!$I$49,M425=phu!$I$50,M425=phu!$I$51,M425=phu!$I$52,M425=phu!$I$53),"Cam Linh",""),IF(OR(M425=phu!$I$54,M425=phu!$I$55,M425=phu!$I$56,M425=phu!$I$57,M425=phu!$I$58,M425=phu!$I$59,M425=phu!$I$60,M425=phu!$I$61,M425=phu!$I$62),"Cam Lợi",""),IF(OR(M425=phu!$I$63,M425=phu!$I$64,M425=phu!$I$65,M425=phu!$I$66,M425=phu!$I$67,M425=phu!$I$68,M425=phu!$I$69,M425=phu!$I$70,M425=phu!$I$71),"Ba Ngòi",""),IF(OR(M425=phu!$I$72,M425=phu!$I$73,M425=phu!$I$74,M425=phu!$I$75,M425=phu!$I$76,M425=phu!$I$77,M425=phu!$I$78),"Cam Phước Đông",""),IF(OR(M425=phu!$I$79,M425=phu!$I$80,M425=phu!$I$81,M425=phu!$I$82,M425=phu!$I$83,M425=phu!$I$84),"Cam Thịnh Đông",""),IF(OR(M425=phu!$I$85,M425=phu!$I$86,M425=phu!$I$87,M425=phu!$I$88),"Cam Thịnh Tây",""),IF(OR(M425=phu!$I$89,M425=phu!$I$90),"Cam Lập",""),IF(OR(M425=phu!$I$91,M425=phu!$I$92,M425=phu!$I$93),"Cam Bình",""),IF(OR(M425=phu!$I$94,M425=phu!$I$95,M425=phu!$I$96,M425=phu!$I$97,M425=phu!$I$98,M425=phu!$I$99,M425=phu!$I$100),"Huyện khác",""),IF(OR(M425=phu!$I$101,M425=phu!$I$102),"Tỉnh khác",""))</f>
        <v/>
      </c>
      <c r="O425" s="814" t="str">
        <f t="shared" si="37"/>
        <v/>
      </c>
      <c r="P425" s="254"/>
      <c r="Q425" s="254"/>
      <c r="R425" s="254"/>
      <c r="S425" s="254"/>
      <c r="T425" s="254"/>
      <c r="U425" s="254"/>
      <c r="V425" s="254"/>
      <c r="W425" s="254"/>
      <c r="Y425" s="246" t="str">
        <f t="shared" si="38"/>
        <v/>
      </c>
      <c r="Z425" s="247" t="str">
        <f t="shared" si="36"/>
        <v/>
      </c>
      <c r="AA425" s="246" t="str">
        <f t="shared" si="39"/>
        <v/>
      </c>
    </row>
    <row r="426" spans="1:27" ht="18" customHeight="1" x14ac:dyDescent="0.25">
      <c r="A426" s="248" t="str">
        <f t="shared" si="40"/>
        <v/>
      </c>
      <c r="B426" s="249" t="str">
        <f t="shared" si="41"/>
        <v/>
      </c>
      <c r="C426" s="250"/>
      <c r="D426" s="251"/>
      <c r="E426" s="241"/>
      <c r="F426" s="252"/>
      <c r="G426" s="252"/>
      <c r="H426" s="253"/>
      <c r="I426" s="250"/>
      <c r="J426" s="250"/>
      <c r="K426" s="270"/>
      <c r="L426" s="250"/>
      <c r="M426" s="250"/>
      <c r="N426" s="553" t="str">
        <f>CONCATENATE(IF(OR(M426=phu!$I$1,M426=phu!$I$2,M426=phu!$I$3),"Cam Thành Nam",""),IF(OR(M426=phu!$I$4,M426=phu!$I$5,M426=phu!$I$6,M426=phu!$I$7,M426=phu!$I$8,M426=phu!$I$9,M426=phu!$I$10,M426=phu!$I$11,M426=phu!$I$12,M426=phu!$I$13,M426=phu!$I$14),"Cam Nghĩa",""),IF(OR(M426=phu!$I$15,M426=phu!$I$16,M426=phu!$I$17,M426=phu!$I$18,M426=phu!$I$19,M426=phu!$I$20,M426=phu!$I$21),"Cam Phúc Bắc",""),IF(OR(M426=phu!$I$22,M426=phu!$I$23,M426=phu!$I$24,M426=phu!$I$25),"Cam Phúc Nam",""),IF(OR(M426=phu!$I$26,M426=phu!$I$27,M426=phu!$I$28,M426=phu!$I$29,M426=phu!$I$30,M426=phu!$I$31),"Cam Phú",""),IF(OR(M426=phu!$I$32,M426=phu!$I$33,M426=phu!$I$34,M426=phu!$I$35,M426=phu!$I$36,M426=phu!$I$37),"Cam Lộc",""),IF(OR(M426=phu!$I$38,M426=phu!$I$39,M426=phu!$I$40,M426=phu!$I$41,M426=phu!$I$42,M426=phu!$I$43,M426=phu!$I$44),"Cam Thuận",""),IF(OR(M426=phu!$I$45,M426=phu!$I$46,M426=phu!$I$47,M426=phu!$I$48,M426=phu!$I$49,M426=phu!$I$50,M426=phu!$I$51,M426=phu!$I$52,M426=phu!$I$53),"Cam Linh",""),IF(OR(M426=phu!$I$54,M426=phu!$I$55,M426=phu!$I$56,M426=phu!$I$57,M426=phu!$I$58,M426=phu!$I$59,M426=phu!$I$60,M426=phu!$I$61,M426=phu!$I$62),"Cam Lợi",""),IF(OR(M426=phu!$I$63,M426=phu!$I$64,M426=phu!$I$65,M426=phu!$I$66,M426=phu!$I$67,M426=phu!$I$68,M426=phu!$I$69,M426=phu!$I$70,M426=phu!$I$71),"Ba Ngòi",""),IF(OR(M426=phu!$I$72,M426=phu!$I$73,M426=phu!$I$74,M426=phu!$I$75,M426=phu!$I$76,M426=phu!$I$77,M426=phu!$I$78),"Cam Phước Đông",""),IF(OR(M426=phu!$I$79,M426=phu!$I$80,M426=phu!$I$81,M426=phu!$I$82,M426=phu!$I$83,M426=phu!$I$84),"Cam Thịnh Đông",""),IF(OR(M426=phu!$I$85,M426=phu!$I$86,M426=phu!$I$87,M426=phu!$I$88),"Cam Thịnh Tây",""),IF(OR(M426=phu!$I$89,M426=phu!$I$90),"Cam Lập",""),IF(OR(M426=phu!$I$91,M426=phu!$I$92,M426=phu!$I$93),"Cam Bình",""),IF(OR(M426=phu!$I$94,M426=phu!$I$95,M426=phu!$I$96,M426=phu!$I$97,M426=phu!$I$98,M426=phu!$I$99,M426=phu!$I$100),"Huyện khác",""),IF(OR(M426=phu!$I$101,M426=phu!$I$102),"Tỉnh khác",""))</f>
        <v/>
      </c>
      <c r="O426" s="814" t="str">
        <f t="shared" si="37"/>
        <v/>
      </c>
      <c r="P426" s="254"/>
      <c r="Q426" s="254"/>
      <c r="R426" s="254"/>
      <c r="S426" s="254"/>
      <c r="T426" s="254"/>
      <c r="U426" s="254"/>
      <c r="V426" s="254"/>
      <c r="W426" s="254"/>
      <c r="Y426" s="246" t="str">
        <f t="shared" si="38"/>
        <v/>
      </c>
      <c r="Z426" s="247" t="str">
        <f t="shared" si="36"/>
        <v/>
      </c>
      <c r="AA426" s="246" t="str">
        <f t="shared" si="39"/>
        <v/>
      </c>
    </row>
    <row r="427" spans="1:27" ht="18" customHeight="1" x14ac:dyDescent="0.25">
      <c r="A427" s="248" t="str">
        <f t="shared" si="40"/>
        <v/>
      </c>
      <c r="B427" s="249" t="str">
        <f t="shared" si="41"/>
        <v/>
      </c>
      <c r="C427" s="250"/>
      <c r="D427" s="251"/>
      <c r="E427" s="241"/>
      <c r="F427" s="252"/>
      <c r="G427" s="252"/>
      <c r="H427" s="253"/>
      <c r="I427" s="250"/>
      <c r="J427" s="250"/>
      <c r="K427" s="270"/>
      <c r="L427" s="250"/>
      <c r="M427" s="250"/>
      <c r="N427" s="553" t="str">
        <f>CONCATENATE(IF(OR(M427=phu!$I$1,M427=phu!$I$2,M427=phu!$I$3),"Cam Thành Nam",""),IF(OR(M427=phu!$I$4,M427=phu!$I$5,M427=phu!$I$6,M427=phu!$I$7,M427=phu!$I$8,M427=phu!$I$9,M427=phu!$I$10,M427=phu!$I$11,M427=phu!$I$12,M427=phu!$I$13,M427=phu!$I$14),"Cam Nghĩa",""),IF(OR(M427=phu!$I$15,M427=phu!$I$16,M427=phu!$I$17,M427=phu!$I$18,M427=phu!$I$19,M427=phu!$I$20,M427=phu!$I$21),"Cam Phúc Bắc",""),IF(OR(M427=phu!$I$22,M427=phu!$I$23,M427=phu!$I$24,M427=phu!$I$25),"Cam Phúc Nam",""),IF(OR(M427=phu!$I$26,M427=phu!$I$27,M427=phu!$I$28,M427=phu!$I$29,M427=phu!$I$30,M427=phu!$I$31),"Cam Phú",""),IF(OR(M427=phu!$I$32,M427=phu!$I$33,M427=phu!$I$34,M427=phu!$I$35,M427=phu!$I$36,M427=phu!$I$37),"Cam Lộc",""),IF(OR(M427=phu!$I$38,M427=phu!$I$39,M427=phu!$I$40,M427=phu!$I$41,M427=phu!$I$42,M427=phu!$I$43,M427=phu!$I$44),"Cam Thuận",""),IF(OR(M427=phu!$I$45,M427=phu!$I$46,M427=phu!$I$47,M427=phu!$I$48,M427=phu!$I$49,M427=phu!$I$50,M427=phu!$I$51,M427=phu!$I$52,M427=phu!$I$53),"Cam Linh",""),IF(OR(M427=phu!$I$54,M427=phu!$I$55,M427=phu!$I$56,M427=phu!$I$57,M427=phu!$I$58,M427=phu!$I$59,M427=phu!$I$60,M427=phu!$I$61,M427=phu!$I$62),"Cam Lợi",""),IF(OR(M427=phu!$I$63,M427=phu!$I$64,M427=phu!$I$65,M427=phu!$I$66,M427=phu!$I$67,M427=phu!$I$68,M427=phu!$I$69,M427=phu!$I$70,M427=phu!$I$71),"Ba Ngòi",""),IF(OR(M427=phu!$I$72,M427=phu!$I$73,M427=phu!$I$74,M427=phu!$I$75,M427=phu!$I$76,M427=phu!$I$77,M427=phu!$I$78),"Cam Phước Đông",""),IF(OR(M427=phu!$I$79,M427=phu!$I$80,M427=phu!$I$81,M427=phu!$I$82,M427=phu!$I$83,M427=phu!$I$84),"Cam Thịnh Đông",""),IF(OR(M427=phu!$I$85,M427=phu!$I$86,M427=phu!$I$87,M427=phu!$I$88),"Cam Thịnh Tây",""),IF(OR(M427=phu!$I$89,M427=phu!$I$90),"Cam Lập",""),IF(OR(M427=phu!$I$91,M427=phu!$I$92,M427=phu!$I$93),"Cam Bình",""),IF(OR(M427=phu!$I$94,M427=phu!$I$95,M427=phu!$I$96,M427=phu!$I$97,M427=phu!$I$98,M427=phu!$I$99,M427=phu!$I$100),"Huyện khác",""),IF(OR(M427=phu!$I$101,M427=phu!$I$102),"Tỉnh khác",""))</f>
        <v/>
      </c>
      <c r="O427" s="814" t="str">
        <f t="shared" si="37"/>
        <v/>
      </c>
      <c r="P427" s="254"/>
      <c r="Q427" s="254"/>
      <c r="R427" s="254"/>
      <c r="S427" s="254"/>
      <c r="T427" s="254"/>
      <c r="U427" s="254"/>
      <c r="V427" s="254"/>
      <c r="W427" s="254"/>
      <c r="Y427" s="246" t="str">
        <f t="shared" si="38"/>
        <v/>
      </c>
      <c r="Z427" s="247" t="str">
        <f t="shared" si="36"/>
        <v/>
      </c>
      <c r="AA427" s="246" t="str">
        <f t="shared" si="39"/>
        <v/>
      </c>
    </row>
    <row r="428" spans="1:27" ht="18" customHeight="1" x14ac:dyDescent="0.25">
      <c r="A428" s="248" t="str">
        <f t="shared" si="40"/>
        <v/>
      </c>
      <c r="B428" s="249" t="str">
        <f t="shared" si="41"/>
        <v/>
      </c>
      <c r="C428" s="250"/>
      <c r="D428" s="251"/>
      <c r="E428" s="241"/>
      <c r="F428" s="252"/>
      <c r="G428" s="252"/>
      <c r="H428" s="253"/>
      <c r="I428" s="250"/>
      <c r="J428" s="250"/>
      <c r="K428" s="270"/>
      <c r="L428" s="250"/>
      <c r="M428" s="250"/>
      <c r="N428" s="553" t="str">
        <f>CONCATENATE(IF(OR(M428=phu!$I$1,M428=phu!$I$2,M428=phu!$I$3),"Cam Thành Nam",""),IF(OR(M428=phu!$I$4,M428=phu!$I$5,M428=phu!$I$6,M428=phu!$I$7,M428=phu!$I$8,M428=phu!$I$9,M428=phu!$I$10,M428=phu!$I$11,M428=phu!$I$12,M428=phu!$I$13,M428=phu!$I$14),"Cam Nghĩa",""),IF(OR(M428=phu!$I$15,M428=phu!$I$16,M428=phu!$I$17,M428=phu!$I$18,M428=phu!$I$19,M428=phu!$I$20,M428=phu!$I$21),"Cam Phúc Bắc",""),IF(OR(M428=phu!$I$22,M428=phu!$I$23,M428=phu!$I$24,M428=phu!$I$25),"Cam Phúc Nam",""),IF(OR(M428=phu!$I$26,M428=phu!$I$27,M428=phu!$I$28,M428=phu!$I$29,M428=phu!$I$30,M428=phu!$I$31),"Cam Phú",""),IF(OR(M428=phu!$I$32,M428=phu!$I$33,M428=phu!$I$34,M428=phu!$I$35,M428=phu!$I$36,M428=phu!$I$37),"Cam Lộc",""),IF(OR(M428=phu!$I$38,M428=phu!$I$39,M428=phu!$I$40,M428=phu!$I$41,M428=phu!$I$42,M428=phu!$I$43,M428=phu!$I$44),"Cam Thuận",""),IF(OR(M428=phu!$I$45,M428=phu!$I$46,M428=phu!$I$47,M428=phu!$I$48,M428=phu!$I$49,M428=phu!$I$50,M428=phu!$I$51,M428=phu!$I$52,M428=phu!$I$53),"Cam Linh",""),IF(OR(M428=phu!$I$54,M428=phu!$I$55,M428=phu!$I$56,M428=phu!$I$57,M428=phu!$I$58,M428=phu!$I$59,M428=phu!$I$60,M428=phu!$I$61,M428=phu!$I$62),"Cam Lợi",""),IF(OR(M428=phu!$I$63,M428=phu!$I$64,M428=phu!$I$65,M428=phu!$I$66,M428=phu!$I$67,M428=phu!$I$68,M428=phu!$I$69,M428=phu!$I$70,M428=phu!$I$71),"Ba Ngòi",""),IF(OR(M428=phu!$I$72,M428=phu!$I$73,M428=phu!$I$74,M428=phu!$I$75,M428=phu!$I$76,M428=phu!$I$77,M428=phu!$I$78),"Cam Phước Đông",""),IF(OR(M428=phu!$I$79,M428=phu!$I$80,M428=phu!$I$81,M428=phu!$I$82,M428=phu!$I$83,M428=phu!$I$84),"Cam Thịnh Đông",""),IF(OR(M428=phu!$I$85,M428=phu!$I$86,M428=phu!$I$87,M428=phu!$I$88),"Cam Thịnh Tây",""),IF(OR(M428=phu!$I$89,M428=phu!$I$90),"Cam Lập",""),IF(OR(M428=phu!$I$91,M428=phu!$I$92,M428=phu!$I$93),"Cam Bình",""),IF(OR(M428=phu!$I$94,M428=phu!$I$95,M428=phu!$I$96,M428=phu!$I$97,M428=phu!$I$98,M428=phu!$I$99,M428=phu!$I$100),"Huyện khác",""),IF(OR(M428=phu!$I$101,M428=phu!$I$102),"Tỉnh khác",""))</f>
        <v/>
      </c>
      <c r="O428" s="814" t="str">
        <f t="shared" si="37"/>
        <v/>
      </c>
      <c r="P428" s="254"/>
      <c r="Q428" s="254"/>
      <c r="R428" s="254"/>
      <c r="S428" s="254"/>
      <c r="T428" s="254"/>
      <c r="U428" s="254"/>
      <c r="V428" s="254"/>
      <c r="W428" s="254"/>
      <c r="Y428" s="246" t="str">
        <f t="shared" si="38"/>
        <v/>
      </c>
      <c r="Z428" s="247" t="str">
        <f t="shared" si="36"/>
        <v/>
      </c>
      <c r="AA428" s="246" t="str">
        <f t="shared" si="39"/>
        <v/>
      </c>
    </row>
    <row r="429" spans="1:27" ht="18" customHeight="1" x14ac:dyDescent="0.25">
      <c r="A429" s="248" t="str">
        <f t="shared" si="40"/>
        <v/>
      </c>
      <c r="B429" s="249" t="str">
        <f t="shared" si="41"/>
        <v/>
      </c>
      <c r="C429" s="250"/>
      <c r="D429" s="251"/>
      <c r="E429" s="241"/>
      <c r="F429" s="252"/>
      <c r="G429" s="252"/>
      <c r="H429" s="253"/>
      <c r="I429" s="250"/>
      <c r="J429" s="250"/>
      <c r="K429" s="270"/>
      <c r="L429" s="250"/>
      <c r="M429" s="250"/>
      <c r="N429" s="553" t="str">
        <f>CONCATENATE(IF(OR(M429=phu!$I$1,M429=phu!$I$2,M429=phu!$I$3),"Cam Thành Nam",""),IF(OR(M429=phu!$I$4,M429=phu!$I$5,M429=phu!$I$6,M429=phu!$I$7,M429=phu!$I$8,M429=phu!$I$9,M429=phu!$I$10,M429=phu!$I$11,M429=phu!$I$12,M429=phu!$I$13,M429=phu!$I$14),"Cam Nghĩa",""),IF(OR(M429=phu!$I$15,M429=phu!$I$16,M429=phu!$I$17,M429=phu!$I$18,M429=phu!$I$19,M429=phu!$I$20,M429=phu!$I$21),"Cam Phúc Bắc",""),IF(OR(M429=phu!$I$22,M429=phu!$I$23,M429=phu!$I$24,M429=phu!$I$25),"Cam Phúc Nam",""),IF(OR(M429=phu!$I$26,M429=phu!$I$27,M429=phu!$I$28,M429=phu!$I$29,M429=phu!$I$30,M429=phu!$I$31),"Cam Phú",""),IF(OR(M429=phu!$I$32,M429=phu!$I$33,M429=phu!$I$34,M429=phu!$I$35,M429=phu!$I$36,M429=phu!$I$37),"Cam Lộc",""),IF(OR(M429=phu!$I$38,M429=phu!$I$39,M429=phu!$I$40,M429=phu!$I$41,M429=phu!$I$42,M429=phu!$I$43,M429=phu!$I$44),"Cam Thuận",""),IF(OR(M429=phu!$I$45,M429=phu!$I$46,M429=phu!$I$47,M429=phu!$I$48,M429=phu!$I$49,M429=phu!$I$50,M429=phu!$I$51,M429=phu!$I$52,M429=phu!$I$53),"Cam Linh",""),IF(OR(M429=phu!$I$54,M429=phu!$I$55,M429=phu!$I$56,M429=phu!$I$57,M429=phu!$I$58,M429=phu!$I$59,M429=phu!$I$60,M429=phu!$I$61,M429=phu!$I$62),"Cam Lợi",""),IF(OR(M429=phu!$I$63,M429=phu!$I$64,M429=phu!$I$65,M429=phu!$I$66,M429=phu!$I$67,M429=phu!$I$68,M429=phu!$I$69,M429=phu!$I$70,M429=phu!$I$71),"Ba Ngòi",""),IF(OR(M429=phu!$I$72,M429=phu!$I$73,M429=phu!$I$74,M429=phu!$I$75,M429=phu!$I$76,M429=phu!$I$77,M429=phu!$I$78),"Cam Phước Đông",""),IF(OR(M429=phu!$I$79,M429=phu!$I$80,M429=phu!$I$81,M429=phu!$I$82,M429=phu!$I$83,M429=phu!$I$84),"Cam Thịnh Đông",""),IF(OR(M429=phu!$I$85,M429=phu!$I$86,M429=phu!$I$87,M429=phu!$I$88),"Cam Thịnh Tây",""),IF(OR(M429=phu!$I$89,M429=phu!$I$90),"Cam Lập",""),IF(OR(M429=phu!$I$91,M429=phu!$I$92,M429=phu!$I$93),"Cam Bình",""),IF(OR(M429=phu!$I$94,M429=phu!$I$95,M429=phu!$I$96,M429=phu!$I$97,M429=phu!$I$98,M429=phu!$I$99,M429=phu!$I$100),"Huyện khác",""),IF(OR(M429=phu!$I$101,M429=phu!$I$102),"Tỉnh khác",""))</f>
        <v/>
      </c>
      <c r="O429" s="814" t="str">
        <f t="shared" si="37"/>
        <v/>
      </c>
      <c r="P429" s="254"/>
      <c r="Q429" s="254"/>
      <c r="R429" s="254"/>
      <c r="S429" s="254"/>
      <c r="T429" s="254"/>
      <c r="U429" s="254"/>
      <c r="V429" s="254"/>
      <c r="W429" s="254"/>
      <c r="Y429" s="246" t="str">
        <f t="shared" si="38"/>
        <v/>
      </c>
      <c r="Z429" s="247" t="str">
        <f t="shared" si="36"/>
        <v/>
      </c>
      <c r="AA429" s="246" t="str">
        <f t="shared" si="39"/>
        <v/>
      </c>
    </row>
    <row r="430" spans="1:27" ht="18" customHeight="1" x14ac:dyDescent="0.25">
      <c r="A430" s="248" t="str">
        <f t="shared" si="40"/>
        <v/>
      </c>
      <c r="B430" s="249" t="str">
        <f t="shared" si="41"/>
        <v/>
      </c>
      <c r="C430" s="250"/>
      <c r="D430" s="251"/>
      <c r="E430" s="241"/>
      <c r="F430" s="252"/>
      <c r="G430" s="252"/>
      <c r="H430" s="253"/>
      <c r="I430" s="250"/>
      <c r="J430" s="250"/>
      <c r="K430" s="270"/>
      <c r="L430" s="250"/>
      <c r="M430" s="250"/>
      <c r="N430" s="553" t="str">
        <f>CONCATENATE(IF(OR(M430=phu!$I$1,M430=phu!$I$2,M430=phu!$I$3),"Cam Thành Nam",""),IF(OR(M430=phu!$I$4,M430=phu!$I$5,M430=phu!$I$6,M430=phu!$I$7,M430=phu!$I$8,M430=phu!$I$9,M430=phu!$I$10,M430=phu!$I$11,M430=phu!$I$12,M430=phu!$I$13,M430=phu!$I$14),"Cam Nghĩa",""),IF(OR(M430=phu!$I$15,M430=phu!$I$16,M430=phu!$I$17,M430=phu!$I$18,M430=phu!$I$19,M430=phu!$I$20,M430=phu!$I$21),"Cam Phúc Bắc",""),IF(OR(M430=phu!$I$22,M430=phu!$I$23,M430=phu!$I$24,M430=phu!$I$25),"Cam Phúc Nam",""),IF(OR(M430=phu!$I$26,M430=phu!$I$27,M430=phu!$I$28,M430=phu!$I$29,M430=phu!$I$30,M430=phu!$I$31),"Cam Phú",""),IF(OR(M430=phu!$I$32,M430=phu!$I$33,M430=phu!$I$34,M430=phu!$I$35,M430=phu!$I$36,M430=phu!$I$37),"Cam Lộc",""),IF(OR(M430=phu!$I$38,M430=phu!$I$39,M430=phu!$I$40,M430=phu!$I$41,M430=phu!$I$42,M430=phu!$I$43,M430=phu!$I$44),"Cam Thuận",""),IF(OR(M430=phu!$I$45,M430=phu!$I$46,M430=phu!$I$47,M430=phu!$I$48,M430=phu!$I$49,M430=phu!$I$50,M430=phu!$I$51,M430=phu!$I$52,M430=phu!$I$53),"Cam Linh",""),IF(OR(M430=phu!$I$54,M430=phu!$I$55,M430=phu!$I$56,M430=phu!$I$57,M430=phu!$I$58,M430=phu!$I$59,M430=phu!$I$60,M430=phu!$I$61,M430=phu!$I$62),"Cam Lợi",""),IF(OR(M430=phu!$I$63,M430=phu!$I$64,M430=phu!$I$65,M430=phu!$I$66,M430=phu!$I$67,M430=phu!$I$68,M430=phu!$I$69,M430=phu!$I$70,M430=phu!$I$71),"Ba Ngòi",""),IF(OR(M430=phu!$I$72,M430=phu!$I$73,M430=phu!$I$74,M430=phu!$I$75,M430=phu!$I$76,M430=phu!$I$77,M430=phu!$I$78),"Cam Phước Đông",""),IF(OR(M430=phu!$I$79,M430=phu!$I$80,M430=phu!$I$81,M430=phu!$I$82,M430=phu!$I$83,M430=phu!$I$84),"Cam Thịnh Đông",""),IF(OR(M430=phu!$I$85,M430=phu!$I$86,M430=phu!$I$87,M430=phu!$I$88),"Cam Thịnh Tây",""),IF(OR(M430=phu!$I$89,M430=phu!$I$90),"Cam Lập",""),IF(OR(M430=phu!$I$91,M430=phu!$I$92,M430=phu!$I$93),"Cam Bình",""),IF(OR(M430=phu!$I$94,M430=phu!$I$95,M430=phu!$I$96,M430=phu!$I$97,M430=phu!$I$98,M430=phu!$I$99,M430=phu!$I$100),"Huyện khác",""),IF(OR(M430=phu!$I$101,M430=phu!$I$102),"Tỉnh khác",""))</f>
        <v/>
      </c>
      <c r="O430" s="814" t="str">
        <f t="shared" si="37"/>
        <v/>
      </c>
      <c r="P430" s="254"/>
      <c r="Q430" s="254"/>
      <c r="R430" s="254"/>
      <c r="S430" s="254"/>
      <c r="T430" s="254"/>
      <c r="U430" s="254"/>
      <c r="V430" s="254"/>
      <c r="W430" s="254"/>
      <c r="Y430" s="246" t="str">
        <f t="shared" si="38"/>
        <v/>
      </c>
      <c r="Z430" s="247" t="str">
        <f t="shared" si="36"/>
        <v/>
      </c>
      <c r="AA430" s="246" t="str">
        <f t="shared" si="39"/>
        <v/>
      </c>
    </row>
    <row r="431" spans="1:27" ht="18" customHeight="1" x14ac:dyDescent="0.25">
      <c r="A431" s="248" t="str">
        <f t="shared" si="40"/>
        <v/>
      </c>
      <c r="B431" s="249" t="str">
        <f t="shared" si="41"/>
        <v/>
      </c>
      <c r="C431" s="250"/>
      <c r="D431" s="251"/>
      <c r="E431" s="241"/>
      <c r="F431" s="252"/>
      <c r="G431" s="252"/>
      <c r="H431" s="253"/>
      <c r="I431" s="250"/>
      <c r="J431" s="250"/>
      <c r="K431" s="270"/>
      <c r="L431" s="250"/>
      <c r="M431" s="250"/>
      <c r="N431" s="553" t="str">
        <f>CONCATENATE(IF(OR(M431=phu!$I$1,M431=phu!$I$2,M431=phu!$I$3),"Cam Thành Nam",""),IF(OR(M431=phu!$I$4,M431=phu!$I$5,M431=phu!$I$6,M431=phu!$I$7,M431=phu!$I$8,M431=phu!$I$9,M431=phu!$I$10,M431=phu!$I$11,M431=phu!$I$12,M431=phu!$I$13,M431=phu!$I$14),"Cam Nghĩa",""),IF(OR(M431=phu!$I$15,M431=phu!$I$16,M431=phu!$I$17,M431=phu!$I$18,M431=phu!$I$19,M431=phu!$I$20,M431=phu!$I$21),"Cam Phúc Bắc",""),IF(OR(M431=phu!$I$22,M431=phu!$I$23,M431=phu!$I$24,M431=phu!$I$25),"Cam Phúc Nam",""),IF(OR(M431=phu!$I$26,M431=phu!$I$27,M431=phu!$I$28,M431=phu!$I$29,M431=phu!$I$30,M431=phu!$I$31),"Cam Phú",""),IF(OR(M431=phu!$I$32,M431=phu!$I$33,M431=phu!$I$34,M431=phu!$I$35,M431=phu!$I$36,M431=phu!$I$37),"Cam Lộc",""),IF(OR(M431=phu!$I$38,M431=phu!$I$39,M431=phu!$I$40,M431=phu!$I$41,M431=phu!$I$42,M431=phu!$I$43,M431=phu!$I$44),"Cam Thuận",""),IF(OR(M431=phu!$I$45,M431=phu!$I$46,M431=phu!$I$47,M431=phu!$I$48,M431=phu!$I$49,M431=phu!$I$50,M431=phu!$I$51,M431=phu!$I$52,M431=phu!$I$53),"Cam Linh",""),IF(OR(M431=phu!$I$54,M431=phu!$I$55,M431=phu!$I$56,M431=phu!$I$57,M431=phu!$I$58,M431=phu!$I$59,M431=phu!$I$60,M431=phu!$I$61,M431=phu!$I$62),"Cam Lợi",""),IF(OR(M431=phu!$I$63,M431=phu!$I$64,M431=phu!$I$65,M431=phu!$I$66,M431=phu!$I$67,M431=phu!$I$68,M431=phu!$I$69,M431=phu!$I$70,M431=phu!$I$71),"Ba Ngòi",""),IF(OR(M431=phu!$I$72,M431=phu!$I$73,M431=phu!$I$74,M431=phu!$I$75,M431=phu!$I$76,M431=phu!$I$77,M431=phu!$I$78),"Cam Phước Đông",""),IF(OR(M431=phu!$I$79,M431=phu!$I$80,M431=phu!$I$81,M431=phu!$I$82,M431=phu!$I$83,M431=phu!$I$84),"Cam Thịnh Đông",""),IF(OR(M431=phu!$I$85,M431=phu!$I$86,M431=phu!$I$87,M431=phu!$I$88),"Cam Thịnh Tây",""),IF(OR(M431=phu!$I$89,M431=phu!$I$90),"Cam Lập",""),IF(OR(M431=phu!$I$91,M431=phu!$I$92,M431=phu!$I$93),"Cam Bình",""),IF(OR(M431=phu!$I$94,M431=phu!$I$95,M431=phu!$I$96,M431=phu!$I$97,M431=phu!$I$98,M431=phu!$I$99,M431=phu!$I$100),"Huyện khác",""),IF(OR(M431=phu!$I$101,M431=phu!$I$102),"Tỉnh khác",""))</f>
        <v/>
      </c>
      <c r="O431" s="814" t="str">
        <f t="shared" si="37"/>
        <v/>
      </c>
      <c r="P431" s="254"/>
      <c r="Q431" s="254"/>
      <c r="R431" s="254"/>
      <c r="S431" s="254"/>
      <c r="T431" s="254"/>
      <c r="U431" s="254"/>
      <c r="V431" s="254"/>
      <c r="W431" s="254"/>
      <c r="Y431" s="246" t="str">
        <f t="shared" si="38"/>
        <v/>
      </c>
      <c r="Z431" s="247" t="str">
        <f t="shared" si="36"/>
        <v/>
      </c>
      <c r="AA431" s="246" t="str">
        <f t="shared" si="39"/>
        <v/>
      </c>
    </row>
    <row r="432" spans="1:27" ht="18" customHeight="1" x14ac:dyDescent="0.25">
      <c r="A432" s="248" t="str">
        <f t="shared" si="40"/>
        <v/>
      </c>
      <c r="B432" s="249" t="str">
        <f t="shared" si="41"/>
        <v/>
      </c>
      <c r="C432" s="250"/>
      <c r="D432" s="251"/>
      <c r="E432" s="241"/>
      <c r="F432" s="252"/>
      <c r="G432" s="252"/>
      <c r="H432" s="253"/>
      <c r="I432" s="250"/>
      <c r="J432" s="250"/>
      <c r="K432" s="270"/>
      <c r="L432" s="250"/>
      <c r="M432" s="250"/>
      <c r="N432" s="553" t="str">
        <f>CONCATENATE(IF(OR(M432=phu!$I$1,M432=phu!$I$2,M432=phu!$I$3),"Cam Thành Nam",""),IF(OR(M432=phu!$I$4,M432=phu!$I$5,M432=phu!$I$6,M432=phu!$I$7,M432=phu!$I$8,M432=phu!$I$9,M432=phu!$I$10,M432=phu!$I$11,M432=phu!$I$12,M432=phu!$I$13,M432=phu!$I$14),"Cam Nghĩa",""),IF(OR(M432=phu!$I$15,M432=phu!$I$16,M432=phu!$I$17,M432=phu!$I$18,M432=phu!$I$19,M432=phu!$I$20,M432=phu!$I$21),"Cam Phúc Bắc",""),IF(OR(M432=phu!$I$22,M432=phu!$I$23,M432=phu!$I$24,M432=phu!$I$25),"Cam Phúc Nam",""),IF(OR(M432=phu!$I$26,M432=phu!$I$27,M432=phu!$I$28,M432=phu!$I$29,M432=phu!$I$30,M432=phu!$I$31),"Cam Phú",""),IF(OR(M432=phu!$I$32,M432=phu!$I$33,M432=phu!$I$34,M432=phu!$I$35,M432=phu!$I$36,M432=phu!$I$37),"Cam Lộc",""),IF(OR(M432=phu!$I$38,M432=phu!$I$39,M432=phu!$I$40,M432=phu!$I$41,M432=phu!$I$42,M432=phu!$I$43,M432=phu!$I$44),"Cam Thuận",""),IF(OR(M432=phu!$I$45,M432=phu!$I$46,M432=phu!$I$47,M432=phu!$I$48,M432=phu!$I$49,M432=phu!$I$50,M432=phu!$I$51,M432=phu!$I$52,M432=phu!$I$53),"Cam Linh",""),IF(OR(M432=phu!$I$54,M432=phu!$I$55,M432=phu!$I$56,M432=phu!$I$57,M432=phu!$I$58,M432=phu!$I$59,M432=phu!$I$60,M432=phu!$I$61,M432=phu!$I$62),"Cam Lợi",""),IF(OR(M432=phu!$I$63,M432=phu!$I$64,M432=phu!$I$65,M432=phu!$I$66,M432=phu!$I$67,M432=phu!$I$68,M432=phu!$I$69,M432=phu!$I$70,M432=phu!$I$71),"Ba Ngòi",""),IF(OR(M432=phu!$I$72,M432=phu!$I$73,M432=phu!$I$74,M432=phu!$I$75,M432=phu!$I$76,M432=phu!$I$77,M432=phu!$I$78),"Cam Phước Đông",""),IF(OR(M432=phu!$I$79,M432=phu!$I$80,M432=phu!$I$81,M432=phu!$I$82,M432=phu!$I$83,M432=phu!$I$84),"Cam Thịnh Đông",""),IF(OR(M432=phu!$I$85,M432=phu!$I$86,M432=phu!$I$87,M432=phu!$I$88),"Cam Thịnh Tây",""),IF(OR(M432=phu!$I$89,M432=phu!$I$90),"Cam Lập",""),IF(OR(M432=phu!$I$91,M432=phu!$I$92,M432=phu!$I$93),"Cam Bình",""),IF(OR(M432=phu!$I$94,M432=phu!$I$95,M432=phu!$I$96,M432=phu!$I$97,M432=phu!$I$98,M432=phu!$I$99,M432=phu!$I$100),"Huyện khác",""),IF(OR(M432=phu!$I$101,M432=phu!$I$102),"Tỉnh khác",""))</f>
        <v/>
      </c>
      <c r="O432" s="814" t="str">
        <f t="shared" si="37"/>
        <v/>
      </c>
      <c r="P432" s="254"/>
      <c r="Q432" s="254"/>
      <c r="R432" s="254"/>
      <c r="S432" s="254"/>
      <c r="T432" s="254"/>
      <c r="U432" s="254"/>
      <c r="V432" s="254"/>
      <c r="W432" s="254"/>
      <c r="Y432" s="246" t="str">
        <f t="shared" si="38"/>
        <v/>
      </c>
      <c r="Z432" s="247" t="str">
        <f t="shared" si="36"/>
        <v/>
      </c>
      <c r="AA432" s="246" t="str">
        <f t="shared" si="39"/>
        <v/>
      </c>
    </row>
    <row r="433" spans="1:27" ht="18" customHeight="1" x14ac:dyDescent="0.25">
      <c r="A433" s="248" t="str">
        <f t="shared" si="40"/>
        <v/>
      </c>
      <c r="B433" s="249" t="str">
        <f t="shared" si="41"/>
        <v/>
      </c>
      <c r="C433" s="250"/>
      <c r="D433" s="251"/>
      <c r="E433" s="241"/>
      <c r="F433" s="252"/>
      <c r="G433" s="252"/>
      <c r="H433" s="253"/>
      <c r="I433" s="250"/>
      <c r="J433" s="250"/>
      <c r="K433" s="270"/>
      <c r="L433" s="250"/>
      <c r="M433" s="250"/>
      <c r="N433" s="553" t="str">
        <f>CONCATENATE(IF(OR(M433=phu!$I$1,M433=phu!$I$2,M433=phu!$I$3),"Cam Thành Nam",""),IF(OR(M433=phu!$I$4,M433=phu!$I$5,M433=phu!$I$6,M433=phu!$I$7,M433=phu!$I$8,M433=phu!$I$9,M433=phu!$I$10,M433=phu!$I$11,M433=phu!$I$12,M433=phu!$I$13,M433=phu!$I$14),"Cam Nghĩa",""),IF(OR(M433=phu!$I$15,M433=phu!$I$16,M433=phu!$I$17,M433=phu!$I$18,M433=phu!$I$19,M433=phu!$I$20,M433=phu!$I$21),"Cam Phúc Bắc",""),IF(OR(M433=phu!$I$22,M433=phu!$I$23,M433=phu!$I$24,M433=phu!$I$25),"Cam Phúc Nam",""),IF(OR(M433=phu!$I$26,M433=phu!$I$27,M433=phu!$I$28,M433=phu!$I$29,M433=phu!$I$30,M433=phu!$I$31),"Cam Phú",""),IF(OR(M433=phu!$I$32,M433=phu!$I$33,M433=phu!$I$34,M433=phu!$I$35,M433=phu!$I$36,M433=phu!$I$37),"Cam Lộc",""),IF(OR(M433=phu!$I$38,M433=phu!$I$39,M433=phu!$I$40,M433=phu!$I$41,M433=phu!$I$42,M433=phu!$I$43,M433=phu!$I$44),"Cam Thuận",""),IF(OR(M433=phu!$I$45,M433=phu!$I$46,M433=phu!$I$47,M433=phu!$I$48,M433=phu!$I$49,M433=phu!$I$50,M433=phu!$I$51,M433=phu!$I$52,M433=phu!$I$53),"Cam Linh",""),IF(OR(M433=phu!$I$54,M433=phu!$I$55,M433=phu!$I$56,M433=phu!$I$57,M433=phu!$I$58,M433=phu!$I$59,M433=phu!$I$60,M433=phu!$I$61,M433=phu!$I$62),"Cam Lợi",""),IF(OR(M433=phu!$I$63,M433=phu!$I$64,M433=phu!$I$65,M433=phu!$I$66,M433=phu!$I$67,M433=phu!$I$68,M433=phu!$I$69,M433=phu!$I$70,M433=phu!$I$71),"Ba Ngòi",""),IF(OR(M433=phu!$I$72,M433=phu!$I$73,M433=phu!$I$74,M433=phu!$I$75,M433=phu!$I$76,M433=phu!$I$77,M433=phu!$I$78),"Cam Phước Đông",""),IF(OR(M433=phu!$I$79,M433=phu!$I$80,M433=phu!$I$81,M433=phu!$I$82,M433=phu!$I$83,M433=phu!$I$84),"Cam Thịnh Đông",""),IF(OR(M433=phu!$I$85,M433=phu!$I$86,M433=phu!$I$87,M433=phu!$I$88),"Cam Thịnh Tây",""),IF(OR(M433=phu!$I$89,M433=phu!$I$90),"Cam Lập",""),IF(OR(M433=phu!$I$91,M433=phu!$I$92,M433=phu!$I$93),"Cam Bình",""),IF(OR(M433=phu!$I$94,M433=phu!$I$95,M433=phu!$I$96,M433=phu!$I$97,M433=phu!$I$98,M433=phu!$I$99,M433=phu!$I$100),"Huyện khác",""),IF(OR(M433=phu!$I$101,M433=phu!$I$102),"Tỉnh khác",""))</f>
        <v/>
      </c>
      <c r="O433" s="814" t="str">
        <f t="shared" si="37"/>
        <v/>
      </c>
      <c r="P433" s="254"/>
      <c r="Q433" s="254"/>
      <c r="R433" s="254"/>
      <c r="S433" s="254"/>
      <c r="T433" s="254"/>
      <c r="U433" s="254"/>
      <c r="V433" s="254"/>
      <c r="W433" s="254"/>
      <c r="Y433" s="246" t="str">
        <f t="shared" si="38"/>
        <v/>
      </c>
      <c r="Z433" s="247" t="str">
        <f t="shared" si="36"/>
        <v/>
      </c>
      <c r="AA433" s="246" t="str">
        <f t="shared" si="39"/>
        <v/>
      </c>
    </row>
    <row r="434" spans="1:27" ht="18" customHeight="1" x14ac:dyDescent="0.25">
      <c r="A434" s="248" t="str">
        <f t="shared" si="40"/>
        <v/>
      </c>
      <c r="B434" s="249" t="str">
        <f t="shared" si="41"/>
        <v/>
      </c>
      <c r="C434" s="250"/>
      <c r="D434" s="251"/>
      <c r="E434" s="241"/>
      <c r="F434" s="252"/>
      <c r="G434" s="252"/>
      <c r="H434" s="253"/>
      <c r="I434" s="250"/>
      <c r="J434" s="250"/>
      <c r="K434" s="270"/>
      <c r="L434" s="250"/>
      <c r="M434" s="250"/>
      <c r="N434" s="553" t="str">
        <f>CONCATENATE(IF(OR(M434=phu!$I$1,M434=phu!$I$2,M434=phu!$I$3),"Cam Thành Nam",""),IF(OR(M434=phu!$I$4,M434=phu!$I$5,M434=phu!$I$6,M434=phu!$I$7,M434=phu!$I$8,M434=phu!$I$9,M434=phu!$I$10,M434=phu!$I$11,M434=phu!$I$12,M434=phu!$I$13,M434=phu!$I$14),"Cam Nghĩa",""),IF(OR(M434=phu!$I$15,M434=phu!$I$16,M434=phu!$I$17,M434=phu!$I$18,M434=phu!$I$19,M434=phu!$I$20,M434=phu!$I$21),"Cam Phúc Bắc",""),IF(OR(M434=phu!$I$22,M434=phu!$I$23,M434=phu!$I$24,M434=phu!$I$25),"Cam Phúc Nam",""),IF(OR(M434=phu!$I$26,M434=phu!$I$27,M434=phu!$I$28,M434=phu!$I$29,M434=phu!$I$30,M434=phu!$I$31),"Cam Phú",""),IF(OR(M434=phu!$I$32,M434=phu!$I$33,M434=phu!$I$34,M434=phu!$I$35,M434=phu!$I$36,M434=phu!$I$37),"Cam Lộc",""),IF(OR(M434=phu!$I$38,M434=phu!$I$39,M434=phu!$I$40,M434=phu!$I$41,M434=phu!$I$42,M434=phu!$I$43,M434=phu!$I$44),"Cam Thuận",""),IF(OR(M434=phu!$I$45,M434=phu!$I$46,M434=phu!$I$47,M434=phu!$I$48,M434=phu!$I$49,M434=phu!$I$50,M434=phu!$I$51,M434=phu!$I$52,M434=phu!$I$53),"Cam Linh",""),IF(OR(M434=phu!$I$54,M434=phu!$I$55,M434=phu!$I$56,M434=phu!$I$57,M434=phu!$I$58,M434=phu!$I$59,M434=phu!$I$60,M434=phu!$I$61,M434=phu!$I$62),"Cam Lợi",""),IF(OR(M434=phu!$I$63,M434=phu!$I$64,M434=phu!$I$65,M434=phu!$I$66,M434=phu!$I$67,M434=phu!$I$68,M434=phu!$I$69,M434=phu!$I$70,M434=phu!$I$71),"Ba Ngòi",""),IF(OR(M434=phu!$I$72,M434=phu!$I$73,M434=phu!$I$74,M434=phu!$I$75,M434=phu!$I$76,M434=phu!$I$77,M434=phu!$I$78),"Cam Phước Đông",""),IF(OR(M434=phu!$I$79,M434=phu!$I$80,M434=phu!$I$81,M434=phu!$I$82,M434=phu!$I$83,M434=phu!$I$84),"Cam Thịnh Đông",""),IF(OR(M434=phu!$I$85,M434=phu!$I$86,M434=phu!$I$87,M434=phu!$I$88),"Cam Thịnh Tây",""),IF(OR(M434=phu!$I$89,M434=phu!$I$90),"Cam Lập",""),IF(OR(M434=phu!$I$91,M434=phu!$I$92,M434=phu!$I$93),"Cam Bình",""),IF(OR(M434=phu!$I$94,M434=phu!$I$95,M434=phu!$I$96,M434=phu!$I$97,M434=phu!$I$98,M434=phu!$I$99,M434=phu!$I$100),"Huyện khác",""),IF(OR(M434=phu!$I$101,M434=phu!$I$102),"Tỉnh khác",""))</f>
        <v/>
      </c>
      <c r="O434" s="814" t="str">
        <f t="shared" si="37"/>
        <v/>
      </c>
      <c r="P434" s="254"/>
      <c r="Q434" s="254"/>
      <c r="R434" s="254"/>
      <c r="S434" s="254"/>
      <c r="T434" s="254"/>
      <c r="U434" s="254"/>
      <c r="V434" s="254"/>
      <c r="W434" s="254"/>
      <c r="Y434" s="246" t="str">
        <f t="shared" si="38"/>
        <v/>
      </c>
      <c r="Z434" s="247" t="str">
        <f t="shared" si="36"/>
        <v/>
      </c>
      <c r="AA434" s="246" t="str">
        <f t="shared" si="39"/>
        <v/>
      </c>
    </row>
    <row r="435" spans="1:27" ht="18" customHeight="1" x14ac:dyDescent="0.25">
      <c r="A435" s="248" t="str">
        <f t="shared" si="40"/>
        <v/>
      </c>
      <c r="B435" s="249" t="str">
        <f t="shared" si="41"/>
        <v/>
      </c>
      <c r="C435" s="250"/>
      <c r="D435" s="251"/>
      <c r="E435" s="241"/>
      <c r="F435" s="252"/>
      <c r="G435" s="252"/>
      <c r="H435" s="253"/>
      <c r="I435" s="250"/>
      <c r="J435" s="250"/>
      <c r="K435" s="270"/>
      <c r="L435" s="250"/>
      <c r="M435" s="250"/>
      <c r="N435" s="553" t="str">
        <f>CONCATENATE(IF(OR(M435=phu!$I$1,M435=phu!$I$2,M435=phu!$I$3),"Cam Thành Nam",""),IF(OR(M435=phu!$I$4,M435=phu!$I$5,M435=phu!$I$6,M435=phu!$I$7,M435=phu!$I$8,M435=phu!$I$9,M435=phu!$I$10,M435=phu!$I$11,M435=phu!$I$12,M435=phu!$I$13,M435=phu!$I$14),"Cam Nghĩa",""),IF(OR(M435=phu!$I$15,M435=phu!$I$16,M435=phu!$I$17,M435=phu!$I$18,M435=phu!$I$19,M435=phu!$I$20,M435=phu!$I$21),"Cam Phúc Bắc",""),IF(OR(M435=phu!$I$22,M435=phu!$I$23,M435=phu!$I$24,M435=phu!$I$25),"Cam Phúc Nam",""),IF(OR(M435=phu!$I$26,M435=phu!$I$27,M435=phu!$I$28,M435=phu!$I$29,M435=phu!$I$30,M435=phu!$I$31),"Cam Phú",""),IF(OR(M435=phu!$I$32,M435=phu!$I$33,M435=phu!$I$34,M435=phu!$I$35,M435=phu!$I$36,M435=phu!$I$37),"Cam Lộc",""),IF(OR(M435=phu!$I$38,M435=phu!$I$39,M435=phu!$I$40,M435=phu!$I$41,M435=phu!$I$42,M435=phu!$I$43,M435=phu!$I$44),"Cam Thuận",""),IF(OR(M435=phu!$I$45,M435=phu!$I$46,M435=phu!$I$47,M435=phu!$I$48,M435=phu!$I$49,M435=phu!$I$50,M435=phu!$I$51,M435=phu!$I$52,M435=phu!$I$53),"Cam Linh",""),IF(OR(M435=phu!$I$54,M435=phu!$I$55,M435=phu!$I$56,M435=phu!$I$57,M435=phu!$I$58,M435=phu!$I$59,M435=phu!$I$60,M435=phu!$I$61,M435=phu!$I$62),"Cam Lợi",""),IF(OR(M435=phu!$I$63,M435=phu!$I$64,M435=phu!$I$65,M435=phu!$I$66,M435=phu!$I$67,M435=phu!$I$68,M435=phu!$I$69,M435=phu!$I$70,M435=phu!$I$71),"Ba Ngòi",""),IF(OR(M435=phu!$I$72,M435=phu!$I$73,M435=phu!$I$74,M435=phu!$I$75,M435=phu!$I$76,M435=phu!$I$77,M435=phu!$I$78),"Cam Phước Đông",""),IF(OR(M435=phu!$I$79,M435=phu!$I$80,M435=phu!$I$81,M435=phu!$I$82,M435=phu!$I$83,M435=phu!$I$84),"Cam Thịnh Đông",""),IF(OR(M435=phu!$I$85,M435=phu!$I$86,M435=phu!$I$87,M435=phu!$I$88),"Cam Thịnh Tây",""),IF(OR(M435=phu!$I$89,M435=phu!$I$90),"Cam Lập",""),IF(OR(M435=phu!$I$91,M435=phu!$I$92,M435=phu!$I$93),"Cam Bình",""),IF(OR(M435=phu!$I$94,M435=phu!$I$95,M435=phu!$I$96,M435=phu!$I$97,M435=phu!$I$98,M435=phu!$I$99,M435=phu!$I$100),"Huyện khác",""),IF(OR(M435=phu!$I$101,M435=phu!$I$102),"Tỉnh khác",""))</f>
        <v/>
      </c>
      <c r="O435" s="814" t="str">
        <f t="shared" si="37"/>
        <v/>
      </c>
      <c r="P435" s="254"/>
      <c r="Q435" s="254"/>
      <c r="R435" s="254"/>
      <c r="S435" s="254"/>
      <c r="T435" s="254"/>
      <c r="U435" s="254"/>
      <c r="V435" s="254"/>
      <c r="W435" s="254"/>
      <c r="Y435" s="246" t="str">
        <f t="shared" si="38"/>
        <v/>
      </c>
      <c r="Z435" s="247" t="str">
        <f t="shared" si="36"/>
        <v/>
      </c>
      <c r="AA435" s="246" t="str">
        <f t="shared" si="39"/>
        <v/>
      </c>
    </row>
    <row r="436" spans="1:27" ht="18" customHeight="1" x14ac:dyDescent="0.25">
      <c r="A436" s="248" t="str">
        <f t="shared" si="40"/>
        <v/>
      </c>
      <c r="B436" s="249" t="str">
        <f t="shared" si="41"/>
        <v/>
      </c>
      <c r="C436" s="250"/>
      <c r="D436" s="251"/>
      <c r="E436" s="241"/>
      <c r="F436" s="252"/>
      <c r="G436" s="252"/>
      <c r="H436" s="253"/>
      <c r="I436" s="250"/>
      <c r="J436" s="250"/>
      <c r="K436" s="270"/>
      <c r="L436" s="250"/>
      <c r="M436" s="250"/>
      <c r="N436" s="553" t="str">
        <f>CONCATENATE(IF(OR(M436=phu!$I$1,M436=phu!$I$2,M436=phu!$I$3),"Cam Thành Nam",""),IF(OR(M436=phu!$I$4,M436=phu!$I$5,M436=phu!$I$6,M436=phu!$I$7,M436=phu!$I$8,M436=phu!$I$9,M436=phu!$I$10,M436=phu!$I$11,M436=phu!$I$12,M436=phu!$I$13,M436=phu!$I$14),"Cam Nghĩa",""),IF(OR(M436=phu!$I$15,M436=phu!$I$16,M436=phu!$I$17,M436=phu!$I$18,M436=phu!$I$19,M436=phu!$I$20,M436=phu!$I$21),"Cam Phúc Bắc",""),IF(OR(M436=phu!$I$22,M436=phu!$I$23,M436=phu!$I$24,M436=phu!$I$25),"Cam Phúc Nam",""),IF(OR(M436=phu!$I$26,M436=phu!$I$27,M436=phu!$I$28,M436=phu!$I$29,M436=phu!$I$30,M436=phu!$I$31),"Cam Phú",""),IF(OR(M436=phu!$I$32,M436=phu!$I$33,M436=phu!$I$34,M436=phu!$I$35,M436=phu!$I$36,M436=phu!$I$37),"Cam Lộc",""),IF(OR(M436=phu!$I$38,M436=phu!$I$39,M436=phu!$I$40,M436=phu!$I$41,M436=phu!$I$42,M436=phu!$I$43,M436=phu!$I$44),"Cam Thuận",""),IF(OR(M436=phu!$I$45,M436=phu!$I$46,M436=phu!$I$47,M436=phu!$I$48,M436=phu!$I$49,M436=phu!$I$50,M436=phu!$I$51,M436=phu!$I$52,M436=phu!$I$53),"Cam Linh",""),IF(OR(M436=phu!$I$54,M436=phu!$I$55,M436=phu!$I$56,M436=phu!$I$57,M436=phu!$I$58,M436=phu!$I$59,M436=phu!$I$60,M436=phu!$I$61,M436=phu!$I$62),"Cam Lợi",""),IF(OR(M436=phu!$I$63,M436=phu!$I$64,M436=phu!$I$65,M436=phu!$I$66,M436=phu!$I$67,M436=phu!$I$68,M436=phu!$I$69,M436=phu!$I$70,M436=phu!$I$71),"Ba Ngòi",""),IF(OR(M436=phu!$I$72,M436=phu!$I$73,M436=phu!$I$74,M436=phu!$I$75,M436=phu!$I$76,M436=phu!$I$77,M436=phu!$I$78),"Cam Phước Đông",""),IF(OR(M436=phu!$I$79,M436=phu!$I$80,M436=phu!$I$81,M436=phu!$I$82,M436=phu!$I$83,M436=phu!$I$84),"Cam Thịnh Đông",""),IF(OR(M436=phu!$I$85,M436=phu!$I$86,M436=phu!$I$87,M436=phu!$I$88),"Cam Thịnh Tây",""),IF(OR(M436=phu!$I$89,M436=phu!$I$90),"Cam Lập",""),IF(OR(M436=phu!$I$91,M436=phu!$I$92,M436=phu!$I$93),"Cam Bình",""),IF(OR(M436=phu!$I$94,M436=phu!$I$95,M436=phu!$I$96,M436=phu!$I$97,M436=phu!$I$98,M436=phu!$I$99,M436=phu!$I$100),"Huyện khác",""),IF(OR(M436=phu!$I$101,M436=phu!$I$102),"Tỉnh khác",""))</f>
        <v/>
      </c>
      <c r="O436" s="814" t="str">
        <f t="shared" si="37"/>
        <v/>
      </c>
      <c r="P436" s="254"/>
      <c r="Q436" s="254"/>
      <c r="R436" s="254"/>
      <c r="S436" s="254"/>
      <c r="T436" s="254"/>
      <c r="U436" s="254"/>
      <c r="V436" s="254"/>
      <c r="W436" s="254"/>
      <c r="Y436" s="246" t="str">
        <f t="shared" si="38"/>
        <v/>
      </c>
      <c r="Z436" s="247" t="str">
        <f t="shared" si="36"/>
        <v/>
      </c>
      <c r="AA436" s="246" t="str">
        <f t="shared" si="39"/>
        <v/>
      </c>
    </row>
    <row r="437" spans="1:27" ht="18" customHeight="1" x14ac:dyDescent="0.25">
      <c r="A437" s="248" t="str">
        <f t="shared" si="40"/>
        <v/>
      </c>
      <c r="B437" s="249" t="str">
        <f t="shared" si="41"/>
        <v/>
      </c>
      <c r="C437" s="250"/>
      <c r="D437" s="251"/>
      <c r="E437" s="241"/>
      <c r="F437" s="252"/>
      <c r="G437" s="252"/>
      <c r="H437" s="253"/>
      <c r="I437" s="250"/>
      <c r="J437" s="250"/>
      <c r="K437" s="270"/>
      <c r="L437" s="250"/>
      <c r="M437" s="250"/>
      <c r="N437" s="553" t="str">
        <f>CONCATENATE(IF(OR(M437=phu!$I$1,M437=phu!$I$2,M437=phu!$I$3),"Cam Thành Nam",""),IF(OR(M437=phu!$I$4,M437=phu!$I$5,M437=phu!$I$6,M437=phu!$I$7,M437=phu!$I$8,M437=phu!$I$9,M437=phu!$I$10,M437=phu!$I$11,M437=phu!$I$12,M437=phu!$I$13,M437=phu!$I$14),"Cam Nghĩa",""),IF(OR(M437=phu!$I$15,M437=phu!$I$16,M437=phu!$I$17,M437=phu!$I$18,M437=phu!$I$19,M437=phu!$I$20,M437=phu!$I$21),"Cam Phúc Bắc",""),IF(OR(M437=phu!$I$22,M437=phu!$I$23,M437=phu!$I$24,M437=phu!$I$25),"Cam Phúc Nam",""),IF(OR(M437=phu!$I$26,M437=phu!$I$27,M437=phu!$I$28,M437=phu!$I$29,M437=phu!$I$30,M437=phu!$I$31),"Cam Phú",""),IF(OR(M437=phu!$I$32,M437=phu!$I$33,M437=phu!$I$34,M437=phu!$I$35,M437=phu!$I$36,M437=phu!$I$37),"Cam Lộc",""),IF(OR(M437=phu!$I$38,M437=phu!$I$39,M437=phu!$I$40,M437=phu!$I$41,M437=phu!$I$42,M437=phu!$I$43,M437=phu!$I$44),"Cam Thuận",""),IF(OR(M437=phu!$I$45,M437=phu!$I$46,M437=phu!$I$47,M437=phu!$I$48,M437=phu!$I$49,M437=phu!$I$50,M437=phu!$I$51,M437=phu!$I$52,M437=phu!$I$53),"Cam Linh",""),IF(OR(M437=phu!$I$54,M437=phu!$I$55,M437=phu!$I$56,M437=phu!$I$57,M437=phu!$I$58,M437=phu!$I$59,M437=phu!$I$60,M437=phu!$I$61,M437=phu!$I$62),"Cam Lợi",""),IF(OR(M437=phu!$I$63,M437=phu!$I$64,M437=phu!$I$65,M437=phu!$I$66,M437=phu!$I$67,M437=phu!$I$68,M437=phu!$I$69,M437=phu!$I$70,M437=phu!$I$71),"Ba Ngòi",""),IF(OR(M437=phu!$I$72,M437=phu!$I$73,M437=phu!$I$74,M437=phu!$I$75,M437=phu!$I$76,M437=phu!$I$77,M437=phu!$I$78),"Cam Phước Đông",""),IF(OR(M437=phu!$I$79,M437=phu!$I$80,M437=phu!$I$81,M437=phu!$I$82,M437=phu!$I$83,M437=phu!$I$84),"Cam Thịnh Đông",""),IF(OR(M437=phu!$I$85,M437=phu!$I$86,M437=phu!$I$87,M437=phu!$I$88),"Cam Thịnh Tây",""),IF(OR(M437=phu!$I$89,M437=phu!$I$90),"Cam Lập",""),IF(OR(M437=phu!$I$91,M437=phu!$I$92,M437=phu!$I$93),"Cam Bình",""),IF(OR(M437=phu!$I$94,M437=phu!$I$95,M437=phu!$I$96,M437=phu!$I$97,M437=phu!$I$98,M437=phu!$I$99,M437=phu!$I$100),"Huyện khác",""),IF(OR(M437=phu!$I$101,M437=phu!$I$102),"Tỉnh khác",""))</f>
        <v/>
      </c>
      <c r="O437" s="814" t="str">
        <f t="shared" si="37"/>
        <v/>
      </c>
      <c r="P437" s="254"/>
      <c r="Q437" s="254"/>
      <c r="R437" s="254"/>
      <c r="S437" s="254"/>
      <c r="T437" s="254"/>
      <c r="U437" s="254"/>
      <c r="V437" s="254"/>
      <c r="W437" s="254"/>
      <c r="Y437" s="246" t="str">
        <f t="shared" si="38"/>
        <v/>
      </c>
      <c r="Z437" s="247" t="str">
        <f t="shared" si="36"/>
        <v/>
      </c>
      <c r="AA437" s="246" t="str">
        <f t="shared" si="39"/>
        <v/>
      </c>
    </row>
    <row r="438" spans="1:27" ht="18" customHeight="1" x14ac:dyDescent="0.25">
      <c r="A438" s="248" t="str">
        <f t="shared" si="40"/>
        <v/>
      </c>
      <c r="B438" s="249" t="str">
        <f t="shared" si="41"/>
        <v/>
      </c>
      <c r="C438" s="250"/>
      <c r="D438" s="251"/>
      <c r="E438" s="241"/>
      <c r="F438" s="252"/>
      <c r="G438" s="252"/>
      <c r="H438" s="253"/>
      <c r="I438" s="250"/>
      <c r="J438" s="250"/>
      <c r="K438" s="270"/>
      <c r="L438" s="250"/>
      <c r="M438" s="250"/>
      <c r="N438" s="553" t="str">
        <f>CONCATENATE(IF(OR(M438=phu!$I$1,M438=phu!$I$2,M438=phu!$I$3),"Cam Thành Nam",""),IF(OR(M438=phu!$I$4,M438=phu!$I$5,M438=phu!$I$6,M438=phu!$I$7,M438=phu!$I$8,M438=phu!$I$9,M438=phu!$I$10,M438=phu!$I$11,M438=phu!$I$12,M438=phu!$I$13,M438=phu!$I$14),"Cam Nghĩa",""),IF(OR(M438=phu!$I$15,M438=phu!$I$16,M438=phu!$I$17,M438=phu!$I$18,M438=phu!$I$19,M438=phu!$I$20,M438=phu!$I$21),"Cam Phúc Bắc",""),IF(OR(M438=phu!$I$22,M438=phu!$I$23,M438=phu!$I$24,M438=phu!$I$25),"Cam Phúc Nam",""),IF(OR(M438=phu!$I$26,M438=phu!$I$27,M438=phu!$I$28,M438=phu!$I$29,M438=phu!$I$30,M438=phu!$I$31),"Cam Phú",""),IF(OR(M438=phu!$I$32,M438=phu!$I$33,M438=phu!$I$34,M438=phu!$I$35,M438=phu!$I$36,M438=phu!$I$37),"Cam Lộc",""),IF(OR(M438=phu!$I$38,M438=phu!$I$39,M438=phu!$I$40,M438=phu!$I$41,M438=phu!$I$42,M438=phu!$I$43,M438=phu!$I$44),"Cam Thuận",""),IF(OR(M438=phu!$I$45,M438=phu!$I$46,M438=phu!$I$47,M438=phu!$I$48,M438=phu!$I$49,M438=phu!$I$50,M438=phu!$I$51,M438=phu!$I$52,M438=phu!$I$53),"Cam Linh",""),IF(OR(M438=phu!$I$54,M438=phu!$I$55,M438=phu!$I$56,M438=phu!$I$57,M438=phu!$I$58,M438=phu!$I$59,M438=phu!$I$60,M438=phu!$I$61,M438=phu!$I$62),"Cam Lợi",""),IF(OR(M438=phu!$I$63,M438=phu!$I$64,M438=phu!$I$65,M438=phu!$I$66,M438=phu!$I$67,M438=phu!$I$68,M438=phu!$I$69,M438=phu!$I$70,M438=phu!$I$71),"Ba Ngòi",""),IF(OR(M438=phu!$I$72,M438=phu!$I$73,M438=phu!$I$74,M438=phu!$I$75,M438=phu!$I$76,M438=phu!$I$77,M438=phu!$I$78),"Cam Phước Đông",""),IF(OR(M438=phu!$I$79,M438=phu!$I$80,M438=phu!$I$81,M438=phu!$I$82,M438=phu!$I$83,M438=phu!$I$84),"Cam Thịnh Đông",""),IF(OR(M438=phu!$I$85,M438=phu!$I$86,M438=phu!$I$87,M438=phu!$I$88),"Cam Thịnh Tây",""),IF(OR(M438=phu!$I$89,M438=phu!$I$90),"Cam Lập",""),IF(OR(M438=phu!$I$91,M438=phu!$I$92,M438=phu!$I$93),"Cam Bình",""),IF(OR(M438=phu!$I$94,M438=phu!$I$95,M438=phu!$I$96,M438=phu!$I$97,M438=phu!$I$98,M438=phu!$I$99,M438=phu!$I$100),"Huyện khác",""),IF(OR(M438=phu!$I$101,M438=phu!$I$102),"Tỉnh khác",""))</f>
        <v/>
      </c>
      <c r="O438" s="814" t="str">
        <f t="shared" si="37"/>
        <v/>
      </c>
      <c r="P438" s="254"/>
      <c r="Q438" s="254"/>
      <c r="R438" s="254"/>
      <c r="S438" s="254"/>
      <c r="T438" s="254"/>
      <c r="U438" s="254"/>
      <c r="V438" s="254"/>
      <c r="W438" s="254"/>
      <c r="Y438" s="246" t="str">
        <f t="shared" si="38"/>
        <v/>
      </c>
      <c r="Z438" s="247" t="str">
        <f t="shared" si="36"/>
        <v/>
      </c>
      <c r="AA438" s="246" t="str">
        <f t="shared" si="39"/>
        <v/>
      </c>
    </row>
    <row r="439" spans="1:27" ht="18" customHeight="1" x14ac:dyDescent="0.25">
      <c r="A439" s="248" t="str">
        <f t="shared" si="40"/>
        <v/>
      </c>
      <c r="B439" s="249" t="str">
        <f t="shared" si="41"/>
        <v/>
      </c>
      <c r="C439" s="250"/>
      <c r="D439" s="251"/>
      <c r="E439" s="241"/>
      <c r="F439" s="252"/>
      <c r="G439" s="252"/>
      <c r="H439" s="253"/>
      <c r="I439" s="250"/>
      <c r="J439" s="250"/>
      <c r="K439" s="270"/>
      <c r="L439" s="250"/>
      <c r="M439" s="250"/>
      <c r="N439" s="553" t="str">
        <f>CONCATENATE(IF(OR(M439=phu!$I$1,M439=phu!$I$2,M439=phu!$I$3),"Cam Thành Nam",""),IF(OR(M439=phu!$I$4,M439=phu!$I$5,M439=phu!$I$6,M439=phu!$I$7,M439=phu!$I$8,M439=phu!$I$9,M439=phu!$I$10,M439=phu!$I$11,M439=phu!$I$12,M439=phu!$I$13,M439=phu!$I$14),"Cam Nghĩa",""),IF(OR(M439=phu!$I$15,M439=phu!$I$16,M439=phu!$I$17,M439=phu!$I$18,M439=phu!$I$19,M439=phu!$I$20,M439=phu!$I$21),"Cam Phúc Bắc",""),IF(OR(M439=phu!$I$22,M439=phu!$I$23,M439=phu!$I$24,M439=phu!$I$25),"Cam Phúc Nam",""),IF(OR(M439=phu!$I$26,M439=phu!$I$27,M439=phu!$I$28,M439=phu!$I$29,M439=phu!$I$30,M439=phu!$I$31),"Cam Phú",""),IF(OR(M439=phu!$I$32,M439=phu!$I$33,M439=phu!$I$34,M439=phu!$I$35,M439=phu!$I$36,M439=phu!$I$37),"Cam Lộc",""),IF(OR(M439=phu!$I$38,M439=phu!$I$39,M439=phu!$I$40,M439=phu!$I$41,M439=phu!$I$42,M439=phu!$I$43,M439=phu!$I$44),"Cam Thuận",""),IF(OR(M439=phu!$I$45,M439=phu!$I$46,M439=phu!$I$47,M439=phu!$I$48,M439=phu!$I$49,M439=phu!$I$50,M439=phu!$I$51,M439=phu!$I$52,M439=phu!$I$53),"Cam Linh",""),IF(OR(M439=phu!$I$54,M439=phu!$I$55,M439=phu!$I$56,M439=phu!$I$57,M439=phu!$I$58,M439=phu!$I$59,M439=phu!$I$60,M439=phu!$I$61,M439=phu!$I$62),"Cam Lợi",""),IF(OR(M439=phu!$I$63,M439=phu!$I$64,M439=phu!$I$65,M439=phu!$I$66,M439=phu!$I$67,M439=phu!$I$68,M439=phu!$I$69,M439=phu!$I$70,M439=phu!$I$71),"Ba Ngòi",""),IF(OR(M439=phu!$I$72,M439=phu!$I$73,M439=phu!$I$74,M439=phu!$I$75,M439=phu!$I$76,M439=phu!$I$77,M439=phu!$I$78),"Cam Phước Đông",""),IF(OR(M439=phu!$I$79,M439=phu!$I$80,M439=phu!$I$81,M439=phu!$I$82,M439=phu!$I$83,M439=phu!$I$84),"Cam Thịnh Đông",""),IF(OR(M439=phu!$I$85,M439=phu!$I$86,M439=phu!$I$87,M439=phu!$I$88),"Cam Thịnh Tây",""),IF(OR(M439=phu!$I$89,M439=phu!$I$90),"Cam Lập",""),IF(OR(M439=phu!$I$91,M439=phu!$I$92,M439=phu!$I$93),"Cam Bình",""),IF(OR(M439=phu!$I$94,M439=phu!$I$95,M439=phu!$I$96,M439=phu!$I$97,M439=phu!$I$98,M439=phu!$I$99,M439=phu!$I$100),"Huyện khác",""),IF(OR(M439=phu!$I$101,M439=phu!$I$102),"Tỉnh khác",""))</f>
        <v/>
      </c>
      <c r="O439" s="814" t="str">
        <f t="shared" si="37"/>
        <v/>
      </c>
      <c r="P439" s="254"/>
      <c r="Q439" s="254"/>
      <c r="R439" s="254"/>
      <c r="S439" s="254"/>
      <c r="T439" s="254"/>
      <c r="U439" s="254"/>
      <c r="V439" s="254"/>
      <c r="W439" s="254"/>
      <c r="Y439" s="246" t="str">
        <f t="shared" si="38"/>
        <v/>
      </c>
      <c r="Z439" s="247" t="str">
        <f t="shared" si="36"/>
        <v/>
      </c>
      <c r="AA439" s="246" t="str">
        <f t="shared" si="39"/>
        <v/>
      </c>
    </row>
    <row r="440" spans="1:27" ht="18" customHeight="1" x14ac:dyDescent="0.25">
      <c r="A440" s="248" t="str">
        <f t="shared" si="40"/>
        <v/>
      </c>
      <c r="B440" s="249" t="str">
        <f t="shared" si="41"/>
        <v/>
      </c>
      <c r="C440" s="250"/>
      <c r="D440" s="251"/>
      <c r="E440" s="241"/>
      <c r="F440" s="252"/>
      <c r="G440" s="252"/>
      <c r="H440" s="253"/>
      <c r="I440" s="250"/>
      <c r="J440" s="250"/>
      <c r="K440" s="270"/>
      <c r="L440" s="250"/>
      <c r="M440" s="250"/>
      <c r="N440" s="553" t="str">
        <f>CONCATENATE(IF(OR(M440=phu!$I$1,M440=phu!$I$2,M440=phu!$I$3),"Cam Thành Nam",""),IF(OR(M440=phu!$I$4,M440=phu!$I$5,M440=phu!$I$6,M440=phu!$I$7,M440=phu!$I$8,M440=phu!$I$9,M440=phu!$I$10,M440=phu!$I$11,M440=phu!$I$12,M440=phu!$I$13,M440=phu!$I$14),"Cam Nghĩa",""),IF(OR(M440=phu!$I$15,M440=phu!$I$16,M440=phu!$I$17,M440=phu!$I$18,M440=phu!$I$19,M440=phu!$I$20,M440=phu!$I$21),"Cam Phúc Bắc",""),IF(OR(M440=phu!$I$22,M440=phu!$I$23,M440=phu!$I$24,M440=phu!$I$25),"Cam Phúc Nam",""),IF(OR(M440=phu!$I$26,M440=phu!$I$27,M440=phu!$I$28,M440=phu!$I$29,M440=phu!$I$30,M440=phu!$I$31),"Cam Phú",""),IF(OR(M440=phu!$I$32,M440=phu!$I$33,M440=phu!$I$34,M440=phu!$I$35,M440=phu!$I$36,M440=phu!$I$37),"Cam Lộc",""),IF(OR(M440=phu!$I$38,M440=phu!$I$39,M440=phu!$I$40,M440=phu!$I$41,M440=phu!$I$42,M440=phu!$I$43,M440=phu!$I$44),"Cam Thuận",""),IF(OR(M440=phu!$I$45,M440=phu!$I$46,M440=phu!$I$47,M440=phu!$I$48,M440=phu!$I$49,M440=phu!$I$50,M440=phu!$I$51,M440=phu!$I$52,M440=phu!$I$53),"Cam Linh",""),IF(OR(M440=phu!$I$54,M440=phu!$I$55,M440=phu!$I$56,M440=phu!$I$57,M440=phu!$I$58,M440=phu!$I$59,M440=phu!$I$60,M440=phu!$I$61,M440=phu!$I$62),"Cam Lợi",""),IF(OR(M440=phu!$I$63,M440=phu!$I$64,M440=phu!$I$65,M440=phu!$I$66,M440=phu!$I$67,M440=phu!$I$68,M440=phu!$I$69,M440=phu!$I$70,M440=phu!$I$71),"Ba Ngòi",""),IF(OR(M440=phu!$I$72,M440=phu!$I$73,M440=phu!$I$74,M440=phu!$I$75,M440=phu!$I$76,M440=phu!$I$77,M440=phu!$I$78),"Cam Phước Đông",""),IF(OR(M440=phu!$I$79,M440=phu!$I$80,M440=phu!$I$81,M440=phu!$I$82,M440=phu!$I$83,M440=phu!$I$84),"Cam Thịnh Đông",""),IF(OR(M440=phu!$I$85,M440=phu!$I$86,M440=phu!$I$87,M440=phu!$I$88),"Cam Thịnh Tây",""),IF(OR(M440=phu!$I$89,M440=phu!$I$90),"Cam Lập",""),IF(OR(M440=phu!$I$91,M440=phu!$I$92,M440=phu!$I$93),"Cam Bình",""),IF(OR(M440=phu!$I$94,M440=phu!$I$95,M440=phu!$I$96,M440=phu!$I$97,M440=phu!$I$98,M440=phu!$I$99,M440=phu!$I$100),"Huyện khác",""),IF(OR(M440=phu!$I$101,M440=phu!$I$102),"Tỉnh khác",""))</f>
        <v/>
      </c>
      <c r="O440" s="814" t="str">
        <f t="shared" si="37"/>
        <v/>
      </c>
      <c r="P440" s="254"/>
      <c r="Q440" s="254"/>
      <c r="R440" s="254"/>
      <c r="S440" s="254"/>
      <c r="T440" s="254"/>
      <c r="U440" s="254"/>
      <c r="V440" s="254"/>
      <c r="W440" s="254"/>
      <c r="Y440" s="246" t="str">
        <f t="shared" si="38"/>
        <v/>
      </c>
      <c r="Z440" s="247" t="str">
        <f t="shared" si="36"/>
        <v/>
      </c>
      <c r="AA440" s="246" t="str">
        <f t="shared" si="39"/>
        <v/>
      </c>
    </row>
    <row r="441" spans="1:27" ht="18" customHeight="1" x14ac:dyDescent="0.25">
      <c r="A441" s="248" t="str">
        <f t="shared" si="40"/>
        <v/>
      </c>
      <c r="B441" s="249" t="str">
        <f t="shared" si="41"/>
        <v/>
      </c>
      <c r="C441" s="250"/>
      <c r="D441" s="251"/>
      <c r="E441" s="241"/>
      <c r="F441" s="252"/>
      <c r="G441" s="252"/>
      <c r="H441" s="253"/>
      <c r="I441" s="250"/>
      <c r="J441" s="250"/>
      <c r="K441" s="270"/>
      <c r="L441" s="250"/>
      <c r="M441" s="250"/>
      <c r="N441" s="553" t="str">
        <f>CONCATENATE(IF(OR(M441=phu!$I$1,M441=phu!$I$2,M441=phu!$I$3),"Cam Thành Nam",""),IF(OR(M441=phu!$I$4,M441=phu!$I$5,M441=phu!$I$6,M441=phu!$I$7,M441=phu!$I$8,M441=phu!$I$9,M441=phu!$I$10,M441=phu!$I$11,M441=phu!$I$12,M441=phu!$I$13,M441=phu!$I$14),"Cam Nghĩa",""),IF(OR(M441=phu!$I$15,M441=phu!$I$16,M441=phu!$I$17,M441=phu!$I$18,M441=phu!$I$19,M441=phu!$I$20,M441=phu!$I$21),"Cam Phúc Bắc",""),IF(OR(M441=phu!$I$22,M441=phu!$I$23,M441=phu!$I$24,M441=phu!$I$25),"Cam Phúc Nam",""),IF(OR(M441=phu!$I$26,M441=phu!$I$27,M441=phu!$I$28,M441=phu!$I$29,M441=phu!$I$30,M441=phu!$I$31),"Cam Phú",""),IF(OR(M441=phu!$I$32,M441=phu!$I$33,M441=phu!$I$34,M441=phu!$I$35,M441=phu!$I$36,M441=phu!$I$37),"Cam Lộc",""),IF(OR(M441=phu!$I$38,M441=phu!$I$39,M441=phu!$I$40,M441=phu!$I$41,M441=phu!$I$42,M441=phu!$I$43,M441=phu!$I$44),"Cam Thuận",""),IF(OR(M441=phu!$I$45,M441=phu!$I$46,M441=phu!$I$47,M441=phu!$I$48,M441=phu!$I$49,M441=phu!$I$50,M441=phu!$I$51,M441=phu!$I$52,M441=phu!$I$53),"Cam Linh",""),IF(OR(M441=phu!$I$54,M441=phu!$I$55,M441=phu!$I$56,M441=phu!$I$57,M441=phu!$I$58,M441=phu!$I$59,M441=phu!$I$60,M441=phu!$I$61,M441=phu!$I$62),"Cam Lợi",""),IF(OR(M441=phu!$I$63,M441=phu!$I$64,M441=phu!$I$65,M441=phu!$I$66,M441=phu!$I$67,M441=phu!$I$68,M441=phu!$I$69,M441=phu!$I$70,M441=phu!$I$71),"Ba Ngòi",""),IF(OR(M441=phu!$I$72,M441=phu!$I$73,M441=phu!$I$74,M441=phu!$I$75,M441=phu!$I$76,M441=phu!$I$77,M441=phu!$I$78),"Cam Phước Đông",""),IF(OR(M441=phu!$I$79,M441=phu!$I$80,M441=phu!$I$81,M441=phu!$I$82,M441=phu!$I$83,M441=phu!$I$84),"Cam Thịnh Đông",""),IF(OR(M441=phu!$I$85,M441=phu!$I$86,M441=phu!$I$87,M441=phu!$I$88),"Cam Thịnh Tây",""),IF(OR(M441=phu!$I$89,M441=phu!$I$90),"Cam Lập",""),IF(OR(M441=phu!$I$91,M441=phu!$I$92,M441=phu!$I$93),"Cam Bình",""),IF(OR(M441=phu!$I$94,M441=phu!$I$95,M441=phu!$I$96,M441=phu!$I$97,M441=phu!$I$98,M441=phu!$I$99,M441=phu!$I$100),"Huyện khác",""),IF(OR(M441=phu!$I$101,M441=phu!$I$102),"Tỉnh khác",""))</f>
        <v/>
      </c>
      <c r="O441" s="814" t="str">
        <f t="shared" si="37"/>
        <v/>
      </c>
      <c r="P441" s="254"/>
      <c r="Q441" s="254"/>
      <c r="R441" s="254"/>
      <c r="S441" s="254"/>
      <c r="T441" s="254"/>
      <c r="U441" s="254"/>
      <c r="V441" s="254"/>
      <c r="W441" s="254"/>
      <c r="Y441" s="246" t="str">
        <f t="shared" si="38"/>
        <v/>
      </c>
      <c r="Z441" s="247" t="str">
        <f t="shared" si="36"/>
        <v/>
      </c>
      <c r="AA441" s="246" t="str">
        <f t="shared" si="39"/>
        <v/>
      </c>
    </row>
    <row r="442" spans="1:27" ht="18" customHeight="1" x14ac:dyDescent="0.25">
      <c r="A442" s="248" t="str">
        <f t="shared" si="40"/>
        <v/>
      </c>
      <c r="B442" s="249" t="str">
        <f t="shared" si="41"/>
        <v/>
      </c>
      <c r="C442" s="250"/>
      <c r="D442" s="251"/>
      <c r="E442" s="241"/>
      <c r="F442" s="252"/>
      <c r="G442" s="252"/>
      <c r="H442" s="253"/>
      <c r="I442" s="250"/>
      <c r="J442" s="250"/>
      <c r="K442" s="270"/>
      <c r="L442" s="250"/>
      <c r="M442" s="250"/>
      <c r="N442" s="553" t="str">
        <f>CONCATENATE(IF(OR(M442=phu!$I$1,M442=phu!$I$2,M442=phu!$I$3),"Cam Thành Nam",""),IF(OR(M442=phu!$I$4,M442=phu!$I$5,M442=phu!$I$6,M442=phu!$I$7,M442=phu!$I$8,M442=phu!$I$9,M442=phu!$I$10,M442=phu!$I$11,M442=phu!$I$12,M442=phu!$I$13,M442=phu!$I$14),"Cam Nghĩa",""),IF(OR(M442=phu!$I$15,M442=phu!$I$16,M442=phu!$I$17,M442=phu!$I$18,M442=phu!$I$19,M442=phu!$I$20,M442=phu!$I$21),"Cam Phúc Bắc",""),IF(OR(M442=phu!$I$22,M442=phu!$I$23,M442=phu!$I$24,M442=phu!$I$25),"Cam Phúc Nam",""),IF(OR(M442=phu!$I$26,M442=phu!$I$27,M442=phu!$I$28,M442=phu!$I$29,M442=phu!$I$30,M442=phu!$I$31),"Cam Phú",""),IF(OR(M442=phu!$I$32,M442=phu!$I$33,M442=phu!$I$34,M442=phu!$I$35,M442=phu!$I$36,M442=phu!$I$37),"Cam Lộc",""),IF(OR(M442=phu!$I$38,M442=phu!$I$39,M442=phu!$I$40,M442=phu!$I$41,M442=phu!$I$42,M442=phu!$I$43,M442=phu!$I$44),"Cam Thuận",""),IF(OR(M442=phu!$I$45,M442=phu!$I$46,M442=phu!$I$47,M442=phu!$I$48,M442=phu!$I$49,M442=phu!$I$50,M442=phu!$I$51,M442=phu!$I$52,M442=phu!$I$53),"Cam Linh",""),IF(OR(M442=phu!$I$54,M442=phu!$I$55,M442=phu!$I$56,M442=phu!$I$57,M442=phu!$I$58,M442=phu!$I$59,M442=phu!$I$60,M442=phu!$I$61,M442=phu!$I$62),"Cam Lợi",""),IF(OR(M442=phu!$I$63,M442=phu!$I$64,M442=phu!$I$65,M442=phu!$I$66,M442=phu!$I$67,M442=phu!$I$68,M442=phu!$I$69,M442=phu!$I$70,M442=phu!$I$71),"Ba Ngòi",""),IF(OR(M442=phu!$I$72,M442=phu!$I$73,M442=phu!$I$74,M442=phu!$I$75,M442=phu!$I$76,M442=phu!$I$77,M442=phu!$I$78),"Cam Phước Đông",""),IF(OR(M442=phu!$I$79,M442=phu!$I$80,M442=phu!$I$81,M442=phu!$I$82,M442=phu!$I$83,M442=phu!$I$84),"Cam Thịnh Đông",""),IF(OR(M442=phu!$I$85,M442=phu!$I$86,M442=phu!$I$87,M442=phu!$I$88),"Cam Thịnh Tây",""),IF(OR(M442=phu!$I$89,M442=phu!$I$90),"Cam Lập",""),IF(OR(M442=phu!$I$91,M442=phu!$I$92,M442=phu!$I$93),"Cam Bình",""),IF(OR(M442=phu!$I$94,M442=phu!$I$95,M442=phu!$I$96,M442=phu!$I$97,M442=phu!$I$98,M442=phu!$I$99,M442=phu!$I$100),"Huyện khác",""),IF(OR(M442=phu!$I$101,M442=phu!$I$102),"Tỉnh khác",""))</f>
        <v/>
      </c>
      <c r="O442" s="814" t="str">
        <f t="shared" si="37"/>
        <v/>
      </c>
      <c r="P442" s="254"/>
      <c r="Q442" s="254"/>
      <c r="R442" s="254"/>
      <c r="S442" s="254"/>
      <c r="T442" s="254"/>
      <c r="U442" s="254"/>
      <c r="V442" s="254"/>
      <c r="W442" s="254"/>
      <c r="Y442" s="246" t="str">
        <f t="shared" si="38"/>
        <v/>
      </c>
      <c r="Z442" s="247" t="str">
        <f t="shared" si="36"/>
        <v/>
      </c>
      <c r="AA442" s="246" t="str">
        <f t="shared" si="39"/>
        <v/>
      </c>
    </row>
    <row r="443" spans="1:27" ht="18" customHeight="1" x14ac:dyDescent="0.25">
      <c r="A443" s="248" t="str">
        <f t="shared" si="40"/>
        <v/>
      </c>
      <c r="B443" s="249" t="str">
        <f t="shared" si="41"/>
        <v/>
      </c>
      <c r="C443" s="250"/>
      <c r="D443" s="251"/>
      <c r="E443" s="241"/>
      <c r="F443" s="252"/>
      <c r="G443" s="252"/>
      <c r="H443" s="253"/>
      <c r="I443" s="250"/>
      <c r="J443" s="250"/>
      <c r="K443" s="270"/>
      <c r="L443" s="250"/>
      <c r="M443" s="250"/>
      <c r="N443" s="553" t="str">
        <f>CONCATENATE(IF(OR(M443=phu!$I$1,M443=phu!$I$2,M443=phu!$I$3),"Cam Thành Nam",""),IF(OR(M443=phu!$I$4,M443=phu!$I$5,M443=phu!$I$6,M443=phu!$I$7,M443=phu!$I$8,M443=phu!$I$9,M443=phu!$I$10,M443=phu!$I$11,M443=phu!$I$12,M443=phu!$I$13,M443=phu!$I$14),"Cam Nghĩa",""),IF(OR(M443=phu!$I$15,M443=phu!$I$16,M443=phu!$I$17,M443=phu!$I$18,M443=phu!$I$19,M443=phu!$I$20,M443=phu!$I$21),"Cam Phúc Bắc",""),IF(OR(M443=phu!$I$22,M443=phu!$I$23,M443=phu!$I$24,M443=phu!$I$25),"Cam Phúc Nam",""),IF(OR(M443=phu!$I$26,M443=phu!$I$27,M443=phu!$I$28,M443=phu!$I$29,M443=phu!$I$30,M443=phu!$I$31),"Cam Phú",""),IF(OR(M443=phu!$I$32,M443=phu!$I$33,M443=phu!$I$34,M443=phu!$I$35,M443=phu!$I$36,M443=phu!$I$37),"Cam Lộc",""),IF(OR(M443=phu!$I$38,M443=phu!$I$39,M443=phu!$I$40,M443=phu!$I$41,M443=phu!$I$42,M443=phu!$I$43,M443=phu!$I$44),"Cam Thuận",""),IF(OR(M443=phu!$I$45,M443=phu!$I$46,M443=phu!$I$47,M443=phu!$I$48,M443=phu!$I$49,M443=phu!$I$50,M443=phu!$I$51,M443=phu!$I$52,M443=phu!$I$53),"Cam Linh",""),IF(OR(M443=phu!$I$54,M443=phu!$I$55,M443=phu!$I$56,M443=phu!$I$57,M443=phu!$I$58,M443=phu!$I$59,M443=phu!$I$60,M443=phu!$I$61,M443=phu!$I$62),"Cam Lợi",""),IF(OR(M443=phu!$I$63,M443=phu!$I$64,M443=phu!$I$65,M443=phu!$I$66,M443=phu!$I$67,M443=phu!$I$68,M443=phu!$I$69,M443=phu!$I$70,M443=phu!$I$71),"Ba Ngòi",""),IF(OR(M443=phu!$I$72,M443=phu!$I$73,M443=phu!$I$74,M443=phu!$I$75,M443=phu!$I$76,M443=phu!$I$77,M443=phu!$I$78),"Cam Phước Đông",""),IF(OR(M443=phu!$I$79,M443=phu!$I$80,M443=phu!$I$81,M443=phu!$I$82,M443=phu!$I$83,M443=phu!$I$84),"Cam Thịnh Đông",""),IF(OR(M443=phu!$I$85,M443=phu!$I$86,M443=phu!$I$87,M443=phu!$I$88),"Cam Thịnh Tây",""),IF(OR(M443=phu!$I$89,M443=phu!$I$90),"Cam Lập",""),IF(OR(M443=phu!$I$91,M443=phu!$I$92,M443=phu!$I$93),"Cam Bình",""),IF(OR(M443=phu!$I$94,M443=phu!$I$95,M443=phu!$I$96,M443=phu!$I$97,M443=phu!$I$98,M443=phu!$I$99,M443=phu!$I$100),"Huyện khác",""),IF(OR(M443=phu!$I$101,M443=phu!$I$102),"Tỉnh khác",""))</f>
        <v/>
      </c>
      <c r="O443" s="814" t="str">
        <f t="shared" si="37"/>
        <v/>
      </c>
      <c r="P443" s="254"/>
      <c r="Q443" s="254"/>
      <c r="R443" s="254"/>
      <c r="S443" s="254"/>
      <c r="T443" s="254"/>
      <c r="U443" s="254"/>
      <c r="V443" s="254"/>
      <c r="W443" s="254"/>
      <c r="Y443" s="246" t="str">
        <f t="shared" si="38"/>
        <v/>
      </c>
      <c r="Z443" s="247" t="str">
        <f t="shared" si="36"/>
        <v/>
      </c>
      <c r="AA443" s="246" t="str">
        <f t="shared" si="39"/>
        <v/>
      </c>
    </row>
    <row r="444" spans="1:27" ht="18" customHeight="1" x14ac:dyDescent="0.25">
      <c r="A444" s="248" t="str">
        <f t="shared" si="40"/>
        <v/>
      </c>
      <c r="B444" s="249" t="str">
        <f t="shared" si="41"/>
        <v/>
      </c>
      <c r="C444" s="250"/>
      <c r="D444" s="251"/>
      <c r="E444" s="241"/>
      <c r="F444" s="252"/>
      <c r="G444" s="252"/>
      <c r="H444" s="253"/>
      <c r="I444" s="250"/>
      <c r="J444" s="250"/>
      <c r="K444" s="270"/>
      <c r="L444" s="250"/>
      <c r="M444" s="250"/>
      <c r="N444" s="553" t="str">
        <f>CONCATENATE(IF(OR(M444=phu!$I$1,M444=phu!$I$2,M444=phu!$I$3),"Cam Thành Nam",""),IF(OR(M444=phu!$I$4,M444=phu!$I$5,M444=phu!$I$6,M444=phu!$I$7,M444=phu!$I$8,M444=phu!$I$9,M444=phu!$I$10,M444=phu!$I$11,M444=phu!$I$12,M444=phu!$I$13,M444=phu!$I$14),"Cam Nghĩa",""),IF(OR(M444=phu!$I$15,M444=phu!$I$16,M444=phu!$I$17,M444=phu!$I$18,M444=phu!$I$19,M444=phu!$I$20,M444=phu!$I$21),"Cam Phúc Bắc",""),IF(OR(M444=phu!$I$22,M444=phu!$I$23,M444=phu!$I$24,M444=phu!$I$25),"Cam Phúc Nam",""),IF(OR(M444=phu!$I$26,M444=phu!$I$27,M444=phu!$I$28,M444=phu!$I$29,M444=phu!$I$30,M444=phu!$I$31),"Cam Phú",""),IF(OR(M444=phu!$I$32,M444=phu!$I$33,M444=phu!$I$34,M444=phu!$I$35,M444=phu!$I$36,M444=phu!$I$37),"Cam Lộc",""),IF(OR(M444=phu!$I$38,M444=phu!$I$39,M444=phu!$I$40,M444=phu!$I$41,M444=phu!$I$42,M444=phu!$I$43,M444=phu!$I$44),"Cam Thuận",""),IF(OR(M444=phu!$I$45,M444=phu!$I$46,M444=phu!$I$47,M444=phu!$I$48,M444=phu!$I$49,M444=phu!$I$50,M444=phu!$I$51,M444=phu!$I$52,M444=phu!$I$53),"Cam Linh",""),IF(OR(M444=phu!$I$54,M444=phu!$I$55,M444=phu!$I$56,M444=phu!$I$57,M444=phu!$I$58,M444=phu!$I$59,M444=phu!$I$60,M444=phu!$I$61,M444=phu!$I$62),"Cam Lợi",""),IF(OR(M444=phu!$I$63,M444=phu!$I$64,M444=phu!$I$65,M444=phu!$I$66,M444=phu!$I$67,M444=phu!$I$68,M444=phu!$I$69,M444=phu!$I$70,M444=phu!$I$71),"Ba Ngòi",""),IF(OR(M444=phu!$I$72,M444=phu!$I$73,M444=phu!$I$74,M444=phu!$I$75,M444=phu!$I$76,M444=phu!$I$77,M444=phu!$I$78),"Cam Phước Đông",""),IF(OR(M444=phu!$I$79,M444=phu!$I$80,M444=phu!$I$81,M444=phu!$I$82,M444=phu!$I$83,M444=phu!$I$84),"Cam Thịnh Đông",""),IF(OR(M444=phu!$I$85,M444=phu!$I$86,M444=phu!$I$87,M444=phu!$I$88),"Cam Thịnh Tây",""),IF(OR(M444=phu!$I$89,M444=phu!$I$90),"Cam Lập",""),IF(OR(M444=phu!$I$91,M444=phu!$I$92,M444=phu!$I$93),"Cam Bình",""),IF(OR(M444=phu!$I$94,M444=phu!$I$95,M444=phu!$I$96,M444=phu!$I$97,M444=phu!$I$98,M444=phu!$I$99,M444=phu!$I$100),"Huyện khác",""),IF(OR(M444=phu!$I$101,M444=phu!$I$102),"Tỉnh khác",""))</f>
        <v/>
      </c>
      <c r="O444" s="814" t="str">
        <f t="shared" si="37"/>
        <v/>
      </c>
      <c r="P444" s="254"/>
      <c r="Q444" s="254"/>
      <c r="R444" s="254"/>
      <c r="S444" s="254"/>
      <c r="T444" s="254"/>
      <c r="U444" s="254"/>
      <c r="V444" s="254"/>
      <c r="W444" s="254"/>
      <c r="Y444" s="246" t="str">
        <f t="shared" si="38"/>
        <v/>
      </c>
      <c r="Z444" s="247" t="str">
        <f t="shared" si="36"/>
        <v/>
      </c>
      <c r="AA444" s="246" t="str">
        <f t="shared" si="39"/>
        <v/>
      </c>
    </row>
    <row r="445" spans="1:27" ht="18" customHeight="1" x14ac:dyDescent="0.25">
      <c r="A445" s="248" t="str">
        <f t="shared" si="40"/>
        <v/>
      </c>
      <c r="B445" s="249" t="str">
        <f t="shared" si="41"/>
        <v/>
      </c>
      <c r="C445" s="250"/>
      <c r="D445" s="251"/>
      <c r="E445" s="241"/>
      <c r="F445" s="252"/>
      <c r="G445" s="252"/>
      <c r="H445" s="253"/>
      <c r="I445" s="250"/>
      <c r="J445" s="250"/>
      <c r="K445" s="270"/>
      <c r="L445" s="250"/>
      <c r="M445" s="250"/>
      <c r="N445" s="553" t="str">
        <f>CONCATENATE(IF(OR(M445=phu!$I$1,M445=phu!$I$2,M445=phu!$I$3),"Cam Thành Nam",""),IF(OR(M445=phu!$I$4,M445=phu!$I$5,M445=phu!$I$6,M445=phu!$I$7,M445=phu!$I$8,M445=phu!$I$9,M445=phu!$I$10,M445=phu!$I$11,M445=phu!$I$12,M445=phu!$I$13,M445=phu!$I$14),"Cam Nghĩa",""),IF(OR(M445=phu!$I$15,M445=phu!$I$16,M445=phu!$I$17,M445=phu!$I$18,M445=phu!$I$19,M445=phu!$I$20,M445=phu!$I$21),"Cam Phúc Bắc",""),IF(OR(M445=phu!$I$22,M445=phu!$I$23,M445=phu!$I$24,M445=phu!$I$25),"Cam Phúc Nam",""),IF(OR(M445=phu!$I$26,M445=phu!$I$27,M445=phu!$I$28,M445=phu!$I$29,M445=phu!$I$30,M445=phu!$I$31),"Cam Phú",""),IF(OR(M445=phu!$I$32,M445=phu!$I$33,M445=phu!$I$34,M445=phu!$I$35,M445=phu!$I$36,M445=phu!$I$37),"Cam Lộc",""),IF(OR(M445=phu!$I$38,M445=phu!$I$39,M445=phu!$I$40,M445=phu!$I$41,M445=phu!$I$42,M445=phu!$I$43,M445=phu!$I$44),"Cam Thuận",""),IF(OR(M445=phu!$I$45,M445=phu!$I$46,M445=phu!$I$47,M445=phu!$I$48,M445=phu!$I$49,M445=phu!$I$50,M445=phu!$I$51,M445=phu!$I$52,M445=phu!$I$53),"Cam Linh",""),IF(OR(M445=phu!$I$54,M445=phu!$I$55,M445=phu!$I$56,M445=phu!$I$57,M445=phu!$I$58,M445=phu!$I$59,M445=phu!$I$60,M445=phu!$I$61,M445=phu!$I$62),"Cam Lợi",""),IF(OR(M445=phu!$I$63,M445=phu!$I$64,M445=phu!$I$65,M445=phu!$I$66,M445=phu!$I$67,M445=phu!$I$68,M445=phu!$I$69,M445=phu!$I$70,M445=phu!$I$71),"Ba Ngòi",""),IF(OR(M445=phu!$I$72,M445=phu!$I$73,M445=phu!$I$74,M445=phu!$I$75,M445=phu!$I$76,M445=phu!$I$77,M445=phu!$I$78),"Cam Phước Đông",""),IF(OR(M445=phu!$I$79,M445=phu!$I$80,M445=phu!$I$81,M445=phu!$I$82,M445=phu!$I$83,M445=phu!$I$84),"Cam Thịnh Đông",""),IF(OR(M445=phu!$I$85,M445=phu!$I$86,M445=phu!$I$87,M445=phu!$I$88),"Cam Thịnh Tây",""),IF(OR(M445=phu!$I$89,M445=phu!$I$90),"Cam Lập",""),IF(OR(M445=phu!$I$91,M445=phu!$I$92,M445=phu!$I$93),"Cam Bình",""),IF(OR(M445=phu!$I$94,M445=phu!$I$95,M445=phu!$I$96,M445=phu!$I$97,M445=phu!$I$98,M445=phu!$I$99,M445=phu!$I$100),"Huyện khác",""),IF(OR(M445=phu!$I$101,M445=phu!$I$102),"Tỉnh khác",""))</f>
        <v/>
      </c>
      <c r="O445" s="814" t="str">
        <f t="shared" si="37"/>
        <v/>
      </c>
      <c r="P445" s="254"/>
      <c r="Q445" s="254"/>
      <c r="R445" s="254"/>
      <c r="S445" s="254"/>
      <c r="T445" s="254"/>
      <c r="U445" s="254"/>
      <c r="V445" s="254"/>
      <c r="W445" s="254"/>
      <c r="Y445" s="246" t="str">
        <f t="shared" si="38"/>
        <v/>
      </c>
      <c r="Z445" s="247" t="str">
        <f t="shared" si="36"/>
        <v/>
      </c>
      <c r="AA445" s="246" t="str">
        <f t="shared" si="39"/>
        <v/>
      </c>
    </row>
    <row r="446" spans="1:27" ht="18" customHeight="1" x14ac:dyDescent="0.25">
      <c r="A446" s="248" t="str">
        <f t="shared" si="40"/>
        <v/>
      </c>
      <c r="B446" s="249" t="str">
        <f t="shared" si="41"/>
        <v/>
      </c>
      <c r="C446" s="250"/>
      <c r="D446" s="251"/>
      <c r="E446" s="241"/>
      <c r="F446" s="252"/>
      <c r="G446" s="252"/>
      <c r="H446" s="253"/>
      <c r="I446" s="250"/>
      <c r="J446" s="250"/>
      <c r="K446" s="270"/>
      <c r="L446" s="250"/>
      <c r="M446" s="250"/>
      <c r="N446" s="553" t="str">
        <f>CONCATENATE(IF(OR(M446=phu!$I$1,M446=phu!$I$2,M446=phu!$I$3),"Cam Thành Nam",""),IF(OR(M446=phu!$I$4,M446=phu!$I$5,M446=phu!$I$6,M446=phu!$I$7,M446=phu!$I$8,M446=phu!$I$9,M446=phu!$I$10,M446=phu!$I$11,M446=phu!$I$12,M446=phu!$I$13,M446=phu!$I$14),"Cam Nghĩa",""),IF(OR(M446=phu!$I$15,M446=phu!$I$16,M446=phu!$I$17,M446=phu!$I$18,M446=phu!$I$19,M446=phu!$I$20,M446=phu!$I$21),"Cam Phúc Bắc",""),IF(OR(M446=phu!$I$22,M446=phu!$I$23,M446=phu!$I$24,M446=phu!$I$25),"Cam Phúc Nam",""),IF(OR(M446=phu!$I$26,M446=phu!$I$27,M446=phu!$I$28,M446=phu!$I$29,M446=phu!$I$30,M446=phu!$I$31),"Cam Phú",""),IF(OR(M446=phu!$I$32,M446=phu!$I$33,M446=phu!$I$34,M446=phu!$I$35,M446=phu!$I$36,M446=phu!$I$37),"Cam Lộc",""),IF(OR(M446=phu!$I$38,M446=phu!$I$39,M446=phu!$I$40,M446=phu!$I$41,M446=phu!$I$42,M446=phu!$I$43,M446=phu!$I$44),"Cam Thuận",""),IF(OR(M446=phu!$I$45,M446=phu!$I$46,M446=phu!$I$47,M446=phu!$I$48,M446=phu!$I$49,M446=phu!$I$50,M446=phu!$I$51,M446=phu!$I$52,M446=phu!$I$53),"Cam Linh",""),IF(OR(M446=phu!$I$54,M446=phu!$I$55,M446=phu!$I$56,M446=phu!$I$57,M446=phu!$I$58,M446=phu!$I$59,M446=phu!$I$60,M446=phu!$I$61,M446=phu!$I$62),"Cam Lợi",""),IF(OR(M446=phu!$I$63,M446=phu!$I$64,M446=phu!$I$65,M446=phu!$I$66,M446=phu!$I$67,M446=phu!$I$68,M446=phu!$I$69,M446=phu!$I$70,M446=phu!$I$71),"Ba Ngòi",""),IF(OR(M446=phu!$I$72,M446=phu!$I$73,M446=phu!$I$74,M446=phu!$I$75,M446=phu!$I$76,M446=phu!$I$77,M446=phu!$I$78),"Cam Phước Đông",""),IF(OR(M446=phu!$I$79,M446=phu!$I$80,M446=phu!$I$81,M446=phu!$I$82,M446=phu!$I$83,M446=phu!$I$84),"Cam Thịnh Đông",""),IF(OR(M446=phu!$I$85,M446=phu!$I$86,M446=phu!$I$87,M446=phu!$I$88),"Cam Thịnh Tây",""),IF(OR(M446=phu!$I$89,M446=phu!$I$90),"Cam Lập",""),IF(OR(M446=phu!$I$91,M446=phu!$I$92,M446=phu!$I$93),"Cam Bình",""),IF(OR(M446=phu!$I$94,M446=phu!$I$95,M446=phu!$I$96,M446=phu!$I$97,M446=phu!$I$98,M446=phu!$I$99,M446=phu!$I$100),"Huyện khác",""),IF(OR(M446=phu!$I$101,M446=phu!$I$102),"Tỉnh khác",""))</f>
        <v/>
      </c>
      <c r="O446" s="814" t="str">
        <f t="shared" si="37"/>
        <v/>
      </c>
      <c r="P446" s="254"/>
      <c r="Q446" s="254"/>
      <c r="R446" s="254"/>
      <c r="S446" s="254"/>
      <c r="T446" s="254"/>
      <c r="U446" s="254"/>
      <c r="V446" s="254"/>
      <c r="W446" s="254"/>
      <c r="Y446" s="246" t="str">
        <f t="shared" si="38"/>
        <v/>
      </c>
      <c r="Z446" s="247" t="str">
        <f t="shared" si="36"/>
        <v/>
      </c>
      <c r="AA446" s="246" t="str">
        <f t="shared" si="39"/>
        <v/>
      </c>
    </row>
    <row r="447" spans="1:27" ht="18" customHeight="1" x14ac:dyDescent="0.25">
      <c r="A447" s="248" t="str">
        <f t="shared" si="40"/>
        <v/>
      </c>
      <c r="B447" s="249" t="str">
        <f t="shared" si="41"/>
        <v/>
      </c>
      <c r="C447" s="250"/>
      <c r="D447" s="251"/>
      <c r="E447" s="241"/>
      <c r="F447" s="252"/>
      <c r="G447" s="252"/>
      <c r="H447" s="253"/>
      <c r="I447" s="250"/>
      <c r="J447" s="250"/>
      <c r="K447" s="270"/>
      <c r="L447" s="250"/>
      <c r="M447" s="250"/>
      <c r="N447" s="553" t="str">
        <f>CONCATENATE(IF(OR(M447=phu!$I$1,M447=phu!$I$2,M447=phu!$I$3),"Cam Thành Nam",""),IF(OR(M447=phu!$I$4,M447=phu!$I$5,M447=phu!$I$6,M447=phu!$I$7,M447=phu!$I$8,M447=phu!$I$9,M447=phu!$I$10,M447=phu!$I$11,M447=phu!$I$12,M447=phu!$I$13,M447=phu!$I$14),"Cam Nghĩa",""),IF(OR(M447=phu!$I$15,M447=phu!$I$16,M447=phu!$I$17,M447=phu!$I$18,M447=phu!$I$19,M447=phu!$I$20,M447=phu!$I$21),"Cam Phúc Bắc",""),IF(OR(M447=phu!$I$22,M447=phu!$I$23,M447=phu!$I$24,M447=phu!$I$25),"Cam Phúc Nam",""),IF(OR(M447=phu!$I$26,M447=phu!$I$27,M447=phu!$I$28,M447=phu!$I$29,M447=phu!$I$30,M447=phu!$I$31),"Cam Phú",""),IF(OR(M447=phu!$I$32,M447=phu!$I$33,M447=phu!$I$34,M447=phu!$I$35,M447=phu!$I$36,M447=phu!$I$37),"Cam Lộc",""),IF(OR(M447=phu!$I$38,M447=phu!$I$39,M447=phu!$I$40,M447=phu!$I$41,M447=phu!$I$42,M447=phu!$I$43,M447=phu!$I$44),"Cam Thuận",""),IF(OR(M447=phu!$I$45,M447=phu!$I$46,M447=phu!$I$47,M447=phu!$I$48,M447=phu!$I$49,M447=phu!$I$50,M447=phu!$I$51,M447=phu!$I$52,M447=phu!$I$53),"Cam Linh",""),IF(OR(M447=phu!$I$54,M447=phu!$I$55,M447=phu!$I$56,M447=phu!$I$57,M447=phu!$I$58,M447=phu!$I$59,M447=phu!$I$60,M447=phu!$I$61,M447=phu!$I$62),"Cam Lợi",""),IF(OR(M447=phu!$I$63,M447=phu!$I$64,M447=phu!$I$65,M447=phu!$I$66,M447=phu!$I$67,M447=phu!$I$68,M447=phu!$I$69,M447=phu!$I$70,M447=phu!$I$71),"Ba Ngòi",""),IF(OR(M447=phu!$I$72,M447=phu!$I$73,M447=phu!$I$74,M447=phu!$I$75,M447=phu!$I$76,M447=phu!$I$77,M447=phu!$I$78),"Cam Phước Đông",""),IF(OR(M447=phu!$I$79,M447=phu!$I$80,M447=phu!$I$81,M447=phu!$I$82,M447=phu!$I$83,M447=phu!$I$84),"Cam Thịnh Đông",""),IF(OR(M447=phu!$I$85,M447=phu!$I$86,M447=phu!$I$87,M447=phu!$I$88),"Cam Thịnh Tây",""),IF(OR(M447=phu!$I$89,M447=phu!$I$90),"Cam Lập",""),IF(OR(M447=phu!$I$91,M447=phu!$I$92,M447=phu!$I$93),"Cam Bình",""),IF(OR(M447=phu!$I$94,M447=phu!$I$95,M447=phu!$I$96,M447=phu!$I$97,M447=phu!$I$98,M447=phu!$I$99,M447=phu!$I$100),"Huyện khác",""),IF(OR(M447=phu!$I$101,M447=phu!$I$102),"Tỉnh khác",""))</f>
        <v/>
      </c>
      <c r="O447" s="814" t="str">
        <f t="shared" si="37"/>
        <v/>
      </c>
      <c r="P447" s="254"/>
      <c r="Q447" s="254"/>
      <c r="R447" s="254"/>
      <c r="S447" s="254"/>
      <c r="T447" s="254"/>
      <c r="U447" s="254"/>
      <c r="V447" s="254"/>
      <c r="W447" s="254"/>
      <c r="Y447" s="246" t="str">
        <f t="shared" si="38"/>
        <v/>
      </c>
      <c r="Z447" s="247" t="str">
        <f t="shared" si="36"/>
        <v/>
      </c>
      <c r="AA447" s="246" t="str">
        <f t="shared" si="39"/>
        <v/>
      </c>
    </row>
    <row r="448" spans="1:27" ht="18" customHeight="1" x14ac:dyDescent="0.25">
      <c r="A448" s="248" t="str">
        <f t="shared" si="40"/>
        <v/>
      </c>
      <c r="B448" s="249" t="str">
        <f t="shared" si="41"/>
        <v/>
      </c>
      <c r="C448" s="250"/>
      <c r="D448" s="251"/>
      <c r="E448" s="241"/>
      <c r="F448" s="252"/>
      <c r="G448" s="252"/>
      <c r="H448" s="253"/>
      <c r="I448" s="250"/>
      <c r="J448" s="250"/>
      <c r="K448" s="270"/>
      <c r="L448" s="250"/>
      <c r="M448" s="250"/>
      <c r="N448" s="553" t="str">
        <f>CONCATENATE(IF(OR(M448=phu!$I$1,M448=phu!$I$2,M448=phu!$I$3),"Cam Thành Nam",""),IF(OR(M448=phu!$I$4,M448=phu!$I$5,M448=phu!$I$6,M448=phu!$I$7,M448=phu!$I$8,M448=phu!$I$9,M448=phu!$I$10,M448=phu!$I$11,M448=phu!$I$12,M448=phu!$I$13,M448=phu!$I$14),"Cam Nghĩa",""),IF(OR(M448=phu!$I$15,M448=phu!$I$16,M448=phu!$I$17,M448=phu!$I$18,M448=phu!$I$19,M448=phu!$I$20,M448=phu!$I$21),"Cam Phúc Bắc",""),IF(OR(M448=phu!$I$22,M448=phu!$I$23,M448=phu!$I$24,M448=phu!$I$25),"Cam Phúc Nam",""),IF(OR(M448=phu!$I$26,M448=phu!$I$27,M448=phu!$I$28,M448=phu!$I$29,M448=phu!$I$30,M448=phu!$I$31),"Cam Phú",""),IF(OR(M448=phu!$I$32,M448=phu!$I$33,M448=phu!$I$34,M448=phu!$I$35,M448=phu!$I$36,M448=phu!$I$37),"Cam Lộc",""),IF(OR(M448=phu!$I$38,M448=phu!$I$39,M448=phu!$I$40,M448=phu!$I$41,M448=phu!$I$42,M448=phu!$I$43,M448=phu!$I$44),"Cam Thuận",""),IF(OR(M448=phu!$I$45,M448=phu!$I$46,M448=phu!$I$47,M448=phu!$I$48,M448=phu!$I$49,M448=phu!$I$50,M448=phu!$I$51,M448=phu!$I$52,M448=phu!$I$53),"Cam Linh",""),IF(OR(M448=phu!$I$54,M448=phu!$I$55,M448=phu!$I$56,M448=phu!$I$57,M448=phu!$I$58,M448=phu!$I$59,M448=phu!$I$60,M448=phu!$I$61,M448=phu!$I$62),"Cam Lợi",""),IF(OR(M448=phu!$I$63,M448=phu!$I$64,M448=phu!$I$65,M448=phu!$I$66,M448=phu!$I$67,M448=phu!$I$68,M448=phu!$I$69,M448=phu!$I$70,M448=phu!$I$71),"Ba Ngòi",""),IF(OR(M448=phu!$I$72,M448=phu!$I$73,M448=phu!$I$74,M448=phu!$I$75,M448=phu!$I$76,M448=phu!$I$77,M448=phu!$I$78),"Cam Phước Đông",""),IF(OR(M448=phu!$I$79,M448=phu!$I$80,M448=phu!$I$81,M448=phu!$I$82,M448=phu!$I$83,M448=phu!$I$84),"Cam Thịnh Đông",""),IF(OR(M448=phu!$I$85,M448=phu!$I$86,M448=phu!$I$87,M448=phu!$I$88),"Cam Thịnh Tây",""),IF(OR(M448=phu!$I$89,M448=phu!$I$90),"Cam Lập",""),IF(OR(M448=phu!$I$91,M448=phu!$I$92,M448=phu!$I$93),"Cam Bình",""),IF(OR(M448=phu!$I$94,M448=phu!$I$95,M448=phu!$I$96,M448=phu!$I$97,M448=phu!$I$98,M448=phu!$I$99,M448=phu!$I$100),"Huyện khác",""),IF(OR(M448=phu!$I$101,M448=phu!$I$102),"Tỉnh khác",""))</f>
        <v/>
      </c>
      <c r="O448" s="814" t="str">
        <f t="shared" si="37"/>
        <v/>
      </c>
      <c r="P448" s="254"/>
      <c r="Q448" s="254"/>
      <c r="R448" s="254"/>
      <c r="S448" s="254"/>
      <c r="T448" s="254"/>
      <c r="U448" s="254"/>
      <c r="V448" s="254"/>
      <c r="W448" s="254"/>
      <c r="Y448" s="246" t="str">
        <f t="shared" si="38"/>
        <v/>
      </c>
      <c r="Z448" s="247" t="str">
        <f t="shared" si="36"/>
        <v/>
      </c>
      <c r="AA448" s="246" t="str">
        <f t="shared" si="39"/>
        <v/>
      </c>
    </row>
    <row r="449" spans="1:27" ht="18" customHeight="1" x14ac:dyDescent="0.25">
      <c r="A449" s="248" t="str">
        <f t="shared" si="40"/>
        <v/>
      </c>
      <c r="B449" s="249" t="str">
        <f t="shared" si="41"/>
        <v/>
      </c>
      <c r="C449" s="250"/>
      <c r="D449" s="251"/>
      <c r="E449" s="241"/>
      <c r="F449" s="252"/>
      <c r="G449" s="252"/>
      <c r="H449" s="253"/>
      <c r="I449" s="250"/>
      <c r="J449" s="250"/>
      <c r="K449" s="270"/>
      <c r="L449" s="250"/>
      <c r="M449" s="250"/>
      <c r="N449" s="553" t="str">
        <f>CONCATENATE(IF(OR(M449=phu!$I$1,M449=phu!$I$2,M449=phu!$I$3),"Cam Thành Nam",""),IF(OR(M449=phu!$I$4,M449=phu!$I$5,M449=phu!$I$6,M449=phu!$I$7,M449=phu!$I$8,M449=phu!$I$9,M449=phu!$I$10,M449=phu!$I$11,M449=phu!$I$12,M449=phu!$I$13,M449=phu!$I$14),"Cam Nghĩa",""),IF(OR(M449=phu!$I$15,M449=phu!$I$16,M449=phu!$I$17,M449=phu!$I$18,M449=phu!$I$19,M449=phu!$I$20,M449=phu!$I$21),"Cam Phúc Bắc",""),IF(OR(M449=phu!$I$22,M449=phu!$I$23,M449=phu!$I$24,M449=phu!$I$25),"Cam Phúc Nam",""),IF(OR(M449=phu!$I$26,M449=phu!$I$27,M449=phu!$I$28,M449=phu!$I$29,M449=phu!$I$30,M449=phu!$I$31),"Cam Phú",""),IF(OR(M449=phu!$I$32,M449=phu!$I$33,M449=phu!$I$34,M449=phu!$I$35,M449=phu!$I$36,M449=phu!$I$37),"Cam Lộc",""),IF(OR(M449=phu!$I$38,M449=phu!$I$39,M449=phu!$I$40,M449=phu!$I$41,M449=phu!$I$42,M449=phu!$I$43,M449=phu!$I$44),"Cam Thuận",""),IF(OR(M449=phu!$I$45,M449=phu!$I$46,M449=phu!$I$47,M449=phu!$I$48,M449=phu!$I$49,M449=phu!$I$50,M449=phu!$I$51,M449=phu!$I$52,M449=phu!$I$53),"Cam Linh",""),IF(OR(M449=phu!$I$54,M449=phu!$I$55,M449=phu!$I$56,M449=phu!$I$57,M449=phu!$I$58,M449=phu!$I$59,M449=phu!$I$60,M449=phu!$I$61,M449=phu!$I$62),"Cam Lợi",""),IF(OR(M449=phu!$I$63,M449=phu!$I$64,M449=phu!$I$65,M449=phu!$I$66,M449=phu!$I$67,M449=phu!$I$68,M449=phu!$I$69,M449=phu!$I$70,M449=phu!$I$71),"Ba Ngòi",""),IF(OR(M449=phu!$I$72,M449=phu!$I$73,M449=phu!$I$74,M449=phu!$I$75,M449=phu!$I$76,M449=phu!$I$77,M449=phu!$I$78),"Cam Phước Đông",""),IF(OR(M449=phu!$I$79,M449=phu!$I$80,M449=phu!$I$81,M449=phu!$I$82,M449=phu!$I$83,M449=phu!$I$84),"Cam Thịnh Đông",""),IF(OR(M449=phu!$I$85,M449=phu!$I$86,M449=phu!$I$87,M449=phu!$I$88),"Cam Thịnh Tây",""),IF(OR(M449=phu!$I$89,M449=phu!$I$90),"Cam Lập",""),IF(OR(M449=phu!$I$91,M449=phu!$I$92,M449=phu!$I$93),"Cam Bình",""),IF(OR(M449=phu!$I$94,M449=phu!$I$95,M449=phu!$I$96,M449=phu!$I$97,M449=phu!$I$98,M449=phu!$I$99,M449=phu!$I$100),"Huyện khác",""),IF(OR(M449=phu!$I$101,M449=phu!$I$102),"Tỉnh khác",""))</f>
        <v/>
      </c>
      <c r="O449" s="814" t="str">
        <f t="shared" si="37"/>
        <v/>
      </c>
      <c r="P449" s="254"/>
      <c r="Q449" s="254"/>
      <c r="R449" s="254"/>
      <c r="S449" s="254"/>
      <c r="T449" s="254"/>
      <c r="U449" s="254"/>
      <c r="V449" s="254"/>
      <c r="W449" s="254"/>
      <c r="Y449" s="246" t="str">
        <f t="shared" si="38"/>
        <v/>
      </c>
      <c r="Z449" s="247" t="str">
        <f t="shared" si="36"/>
        <v/>
      </c>
      <c r="AA449" s="246" t="str">
        <f t="shared" si="39"/>
        <v/>
      </c>
    </row>
    <row r="450" spans="1:27" ht="18" customHeight="1" x14ac:dyDescent="0.25">
      <c r="A450" s="248" t="str">
        <f t="shared" si="40"/>
        <v/>
      </c>
      <c r="B450" s="249" t="str">
        <f t="shared" si="41"/>
        <v/>
      </c>
      <c r="C450" s="250"/>
      <c r="D450" s="251"/>
      <c r="E450" s="241"/>
      <c r="F450" s="252"/>
      <c r="G450" s="252"/>
      <c r="H450" s="253"/>
      <c r="I450" s="250"/>
      <c r="J450" s="250"/>
      <c r="K450" s="270"/>
      <c r="L450" s="250"/>
      <c r="M450" s="250"/>
      <c r="N450" s="553" t="str">
        <f>CONCATENATE(IF(OR(M450=phu!$I$1,M450=phu!$I$2,M450=phu!$I$3),"Cam Thành Nam",""),IF(OR(M450=phu!$I$4,M450=phu!$I$5,M450=phu!$I$6,M450=phu!$I$7,M450=phu!$I$8,M450=phu!$I$9,M450=phu!$I$10,M450=phu!$I$11,M450=phu!$I$12,M450=phu!$I$13,M450=phu!$I$14),"Cam Nghĩa",""),IF(OR(M450=phu!$I$15,M450=phu!$I$16,M450=phu!$I$17,M450=phu!$I$18,M450=phu!$I$19,M450=phu!$I$20,M450=phu!$I$21),"Cam Phúc Bắc",""),IF(OR(M450=phu!$I$22,M450=phu!$I$23,M450=phu!$I$24,M450=phu!$I$25),"Cam Phúc Nam",""),IF(OR(M450=phu!$I$26,M450=phu!$I$27,M450=phu!$I$28,M450=phu!$I$29,M450=phu!$I$30,M450=phu!$I$31),"Cam Phú",""),IF(OR(M450=phu!$I$32,M450=phu!$I$33,M450=phu!$I$34,M450=phu!$I$35,M450=phu!$I$36,M450=phu!$I$37),"Cam Lộc",""),IF(OR(M450=phu!$I$38,M450=phu!$I$39,M450=phu!$I$40,M450=phu!$I$41,M450=phu!$I$42,M450=phu!$I$43,M450=phu!$I$44),"Cam Thuận",""),IF(OR(M450=phu!$I$45,M450=phu!$I$46,M450=phu!$I$47,M450=phu!$I$48,M450=phu!$I$49,M450=phu!$I$50,M450=phu!$I$51,M450=phu!$I$52,M450=phu!$I$53),"Cam Linh",""),IF(OR(M450=phu!$I$54,M450=phu!$I$55,M450=phu!$I$56,M450=phu!$I$57,M450=phu!$I$58,M450=phu!$I$59,M450=phu!$I$60,M450=phu!$I$61,M450=phu!$I$62),"Cam Lợi",""),IF(OR(M450=phu!$I$63,M450=phu!$I$64,M450=phu!$I$65,M450=phu!$I$66,M450=phu!$I$67,M450=phu!$I$68,M450=phu!$I$69,M450=phu!$I$70,M450=phu!$I$71),"Ba Ngòi",""),IF(OR(M450=phu!$I$72,M450=phu!$I$73,M450=phu!$I$74,M450=phu!$I$75,M450=phu!$I$76,M450=phu!$I$77,M450=phu!$I$78),"Cam Phước Đông",""),IF(OR(M450=phu!$I$79,M450=phu!$I$80,M450=phu!$I$81,M450=phu!$I$82,M450=phu!$I$83,M450=phu!$I$84),"Cam Thịnh Đông",""),IF(OR(M450=phu!$I$85,M450=phu!$I$86,M450=phu!$I$87,M450=phu!$I$88),"Cam Thịnh Tây",""),IF(OR(M450=phu!$I$89,M450=phu!$I$90),"Cam Lập",""),IF(OR(M450=phu!$I$91,M450=phu!$I$92,M450=phu!$I$93),"Cam Bình",""),IF(OR(M450=phu!$I$94,M450=phu!$I$95,M450=phu!$I$96,M450=phu!$I$97,M450=phu!$I$98,M450=phu!$I$99,M450=phu!$I$100),"Huyện khác",""),IF(OR(M450=phu!$I$101,M450=phu!$I$102),"Tỉnh khác",""))</f>
        <v/>
      </c>
      <c r="O450" s="814" t="str">
        <f t="shared" si="37"/>
        <v/>
      </c>
      <c r="P450" s="254"/>
      <c r="Q450" s="254"/>
      <c r="R450" s="254"/>
      <c r="S450" s="254"/>
      <c r="T450" s="254"/>
      <c r="U450" s="254"/>
      <c r="V450" s="254"/>
      <c r="W450" s="254"/>
      <c r="Y450" s="246" t="str">
        <f t="shared" si="38"/>
        <v/>
      </c>
      <c r="Z450" s="247" t="str">
        <f t="shared" si="36"/>
        <v/>
      </c>
      <c r="AA450" s="246" t="str">
        <f t="shared" si="39"/>
        <v/>
      </c>
    </row>
    <row r="451" spans="1:27" ht="18" customHeight="1" x14ac:dyDescent="0.25">
      <c r="A451" s="248" t="str">
        <f t="shared" si="40"/>
        <v/>
      </c>
      <c r="B451" s="249" t="str">
        <f t="shared" si="41"/>
        <v/>
      </c>
      <c r="C451" s="250"/>
      <c r="D451" s="251"/>
      <c r="E451" s="241"/>
      <c r="F451" s="252"/>
      <c r="G451" s="252"/>
      <c r="H451" s="253"/>
      <c r="I451" s="250"/>
      <c r="J451" s="250"/>
      <c r="K451" s="270"/>
      <c r="L451" s="250"/>
      <c r="M451" s="250"/>
      <c r="N451" s="553" t="str">
        <f>CONCATENATE(IF(OR(M451=phu!$I$1,M451=phu!$I$2,M451=phu!$I$3),"Cam Thành Nam",""),IF(OR(M451=phu!$I$4,M451=phu!$I$5,M451=phu!$I$6,M451=phu!$I$7,M451=phu!$I$8,M451=phu!$I$9,M451=phu!$I$10,M451=phu!$I$11,M451=phu!$I$12,M451=phu!$I$13,M451=phu!$I$14),"Cam Nghĩa",""),IF(OR(M451=phu!$I$15,M451=phu!$I$16,M451=phu!$I$17,M451=phu!$I$18,M451=phu!$I$19,M451=phu!$I$20,M451=phu!$I$21),"Cam Phúc Bắc",""),IF(OR(M451=phu!$I$22,M451=phu!$I$23,M451=phu!$I$24,M451=phu!$I$25),"Cam Phúc Nam",""),IF(OR(M451=phu!$I$26,M451=phu!$I$27,M451=phu!$I$28,M451=phu!$I$29,M451=phu!$I$30,M451=phu!$I$31),"Cam Phú",""),IF(OR(M451=phu!$I$32,M451=phu!$I$33,M451=phu!$I$34,M451=phu!$I$35,M451=phu!$I$36,M451=phu!$I$37),"Cam Lộc",""),IF(OR(M451=phu!$I$38,M451=phu!$I$39,M451=phu!$I$40,M451=phu!$I$41,M451=phu!$I$42,M451=phu!$I$43,M451=phu!$I$44),"Cam Thuận",""),IF(OR(M451=phu!$I$45,M451=phu!$I$46,M451=phu!$I$47,M451=phu!$I$48,M451=phu!$I$49,M451=phu!$I$50,M451=phu!$I$51,M451=phu!$I$52,M451=phu!$I$53),"Cam Linh",""),IF(OR(M451=phu!$I$54,M451=phu!$I$55,M451=phu!$I$56,M451=phu!$I$57,M451=phu!$I$58,M451=phu!$I$59,M451=phu!$I$60,M451=phu!$I$61,M451=phu!$I$62),"Cam Lợi",""),IF(OR(M451=phu!$I$63,M451=phu!$I$64,M451=phu!$I$65,M451=phu!$I$66,M451=phu!$I$67,M451=phu!$I$68,M451=phu!$I$69,M451=phu!$I$70,M451=phu!$I$71),"Ba Ngòi",""),IF(OR(M451=phu!$I$72,M451=phu!$I$73,M451=phu!$I$74,M451=phu!$I$75,M451=phu!$I$76,M451=phu!$I$77,M451=phu!$I$78),"Cam Phước Đông",""),IF(OR(M451=phu!$I$79,M451=phu!$I$80,M451=phu!$I$81,M451=phu!$I$82,M451=phu!$I$83,M451=phu!$I$84),"Cam Thịnh Đông",""),IF(OR(M451=phu!$I$85,M451=phu!$I$86,M451=phu!$I$87,M451=phu!$I$88),"Cam Thịnh Tây",""),IF(OR(M451=phu!$I$89,M451=phu!$I$90),"Cam Lập",""),IF(OR(M451=phu!$I$91,M451=phu!$I$92,M451=phu!$I$93),"Cam Bình",""),IF(OR(M451=phu!$I$94,M451=phu!$I$95,M451=phu!$I$96,M451=phu!$I$97,M451=phu!$I$98,M451=phu!$I$99,M451=phu!$I$100),"Huyện khác",""),IF(OR(M451=phu!$I$101,M451=phu!$I$102),"Tỉnh khác",""))</f>
        <v/>
      </c>
      <c r="O451" s="814" t="str">
        <f t="shared" si="37"/>
        <v/>
      </c>
      <c r="P451" s="254"/>
      <c r="Q451" s="254"/>
      <c r="R451" s="254"/>
      <c r="S451" s="254"/>
      <c r="T451" s="254"/>
      <c r="U451" s="254"/>
      <c r="V451" s="254"/>
      <c r="W451" s="254"/>
      <c r="Y451" s="246" t="str">
        <f t="shared" si="38"/>
        <v/>
      </c>
      <c r="Z451" s="247" t="str">
        <f t="shared" si="36"/>
        <v/>
      </c>
      <c r="AA451" s="246" t="str">
        <f t="shared" si="39"/>
        <v/>
      </c>
    </row>
    <row r="452" spans="1:27" ht="18" customHeight="1" x14ac:dyDescent="0.25">
      <c r="A452" s="248" t="str">
        <f t="shared" si="40"/>
        <v/>
      </c>
      <c r="B452" s="249" t="str">
        <f t="shared" si="41"/>
        <v/>
      </c>
      <c r="C452" s="250"/>
      <c r="D452" s="251"/>
      <c r="E452" s="241"/>
      <c r="F452" s="252"/>
      <c r="G452" s="252"/>
      <c r="H452" s="253"/>
      <c r="I452" s="250"/>
      <c r="J452" s="250"/>
      <c r="K452" s="270"/>
      <c r="L452" s="250"/>
      <c r="M452" s="250"/>
      <c r="N452" s="553" t="str">
        <f>CONCATENATE(IF(OR(M452=phu!$I$1,M452=phu!$I$2,M452=phu!$I$3),"Cam Thành Nam",""),IF(OR(M452=phu!$I$4,M452=phu!$I$5,M452=phu!$I$6,M452=phu!$I$7,M452=phu!$I$8,M452=phu!$I$9,M452=phu!$I$10,M452=phu!$I$11,M452=phu!$I$12,M452=phu!$I$13,M452=phu!$I$14),"Cam Nghĩa",""),IF(OR(M452=phu!$I$15,M452=phu!$I$16,M452=phu!$I$17,M452=phu!$I$18,M452=phu!$I$19,M452=phu!$I$20,M452=phu!$I$21),"Cam Phúc Bắc",""),IF(OR(M452=phu!$I$22,M452=phu!$I$23,M452=phu!$I$24,M452=phu!$I$25),"Cam Phúc Nam",""),IF(OR(M452=phu!$I$26,M452=phu!$I$27,M452=phu!$I$28,M452=phu!$I$29,M452=phu!$I$30,M452=phu!$I$31),"Cam Phú",""),IF(OR(M452=phu!$I$32,M452=phu!$I$33,M452=phu!$I$34,M452=phu!$I$35,M452=phu!$I$36,M452=phu!$I$37),"Cam Lộc",""),IF(OR(M452=phu!$I$38,M452=phu!$I$39,M452=phu!$I$40,M452=phu!$I$41,M452=phu!$I$42,M452=phu!$I$43,M452=phu!$I$44),"Cam Thuận",""),IF(OR(M452=phu!$I$45,M452=phu!$I$46,M452=phu!$I$47,M452=phu!$I$48,M452=phu!$I$49,M452=phu!$I$50,M452=phu!$I$51,M452=phu!$I$52,M452=phu!$I$53),"Cam Linh",""),IF(OR(M452=phu!$I$54,M452=phu!$I$55,M452=phu!$I$56,M452=phu!$I$57,M452=phu!$I$58,M452=phu!$I$59,M452=phu!$I$60,M452=phu!$I$61,M452=phu!$I$62),"Cam Lợi",""),IF(OR(M452=phu!$I$63,M452=phu!$I$64,M452=phu!$I$65,M452=phu!$I$66,M452=phu!$I$67,M452=phu!$I$68,M452=phu!$I$69,M452=phu!$I$70,M452=phu!$I$71),"Ba Ngòi",""),IF(OR(M452=phu!$I$72,M452=phu!$I$73,M452=phu!$I$74,M452=phu!$I$75,M452=phu!$I$76,M452=phu!$I$77,M452=phu!$I$78),"Cam Phước Đông",""),IF(OR(M452=phu!$I$79,M452=phu!$I$80,M452=phu!$I$81,M452=phu!$I$82,M452=phu!$I$83,M452=phu!$I$84),"Cam Thịnh Đông",""),IF(OR(M452=phu!$I$85,M452=phu!$I$86,M452=phu!$I$87,M452=phu!$I$88),"Cam Thịnh Tây",""),IF(OR(M452=phu!$I$89,M452=phu!$I$90),"Cam Lập",""),IF(OR(M452=phu!$I$91,M452=phu!$I$92,M452=phu!$I$93),"Cam Bình",""),IF(OR(M452=phu!$I$94,M452=phu!$I$95,M452=phu!$I$96,M452=phu!$I$97,M452=phu!$I$98,M452=phu!$I$99,M452=phu!$I$100),"Huyện khác",""),IF(OR(M452=phu!$I$101,M452=phu!$I$102),"Tỉnh khác",""))</f>
        <v/>
      </c>
      <c r="O452" s="814" t="str">
        <f t="shared" si="37"/>
        <v/>
      </c>
      <c r="P452" s="254"/>
      <c r="Q452" s="254"/>
      <c r="R452" s="254"/>
      <c r="S452" s="254"/>
      <c r="T452" s="254"/>
      <c r="U452" s="254"/>
      <c r="V452" s="254"/>
      <c r="W452" s="254"/>
      <c r="Y452" s="246" t="str">
        <f t="shared" si="38"/>
        <v/>
      </c>
      <c r="Z452" s="247" t="str">
        <f t="shared" si="36"/>
        <v/>
      </c>
      <c r="AA452" s="246" t="str">
        <f t="shared" si="39"/>
        <v/>
      </c>
    </row>
    <row r="453" spans="1:27" ht="18" customHeight="1" x14ac:dyDescent="0.25">
      <c r="A453" s="248" t="str">
        <f t="shared" si="40"/>
        <v/>
      </c>
      <c r="B453" s="249" t="str">
        <f t="shared" si="41"/>
        <v/>
      </c>
      <c r="C453" s="250"/>
      <c r="D453" s="251"/>
      <c r="E453" s="241"/>
      <c r="F453" s="252"/>
      <c r="G453" s="252"/>
      <c r="H453" s="253"/>
      <c r="I453" s="250"/>
      <c r="J453" s="250"/>
      <c r="K453" s="270"/>
      <c r="L453" s="250"/>
      <c r="M453" s="250"/>
      <c r="N453" s="553" t="str">
        <f>CONCATENATE(IF(OR(M453=phu!$I$1,M453=phu!$I$2,M453=phu!$I$3),"Cam Thành Nam",""),IF(OR(M453=phu!$I$4,M453=phu!$I$5,M453=phu!$I$6,M453=phu!$I$7,M453=phu!$I$8,M453=phu!$I$9,M453=phu!$I$10,M453=phu!$I$11,M453=phu!$I$12,M453=phu!$I$13,M453=phu!$I$14),"Cam Nghĩa",""),IF(OR(M453=phu!$I$15,M453=phu!$I$16,M453=phu!$I$17,M453=phu!$I$18,M453=phu!$I$19,M453=phu!$I$20,M453=phu!$I$21),"Cam Phúc Bắc",""),IF(OR(M453=phu!$I$22,M453=phu!$I$23,M453=phu!$I$24,M453=phu!$I$25),"Cam Phúc Nam",""),IF(OR(M453=phu!$I$26,M453=phu!$I$27,M453=phu!$I$28,M453=phu!$I$29,M453=phu!$I$30,M453=phu!$I$31),"Cam Phú",""),IF(OR(M453=phu!$I$32,M453=phu!$I$33,M453=phu!$I$34,M453=phu!$I$35,M453=phu!$I$36,M453=phu!$I$37),"Cam Lộc",""),IF(OR(M453=phu!$I$38,M453=phu!$I$39,M453=phu!$I$40,M453=phu!$I$41,M453=phu!$I$42,M453=phu!$I$43,M453=phu!$I$44),"Cam Thuận",""),IF(OR(M453=phu!$I$45,M453=phu!$I$46,M453=phu!$I$47,M453=phu!$I$48,M453=phu!$I$49,M453=phu!$I$50,M453=phu!$I$51,M453=phu!$I$52,M453=phu!$I$53),"Cam Linh",""),IF(OR(M453=phu!$I$54,M453=phu!$I$55,M453=phu!$I$56,M453=phu!$I$57,M453=phu!$I$58,M453=phu!$I$59,M453=phu!$I$60,M453=phu!$I$61,M453=phu!$I$62),"Cam Lợi",""),IF(OR(M453=phu!$I$63,M453=phu!$I$64,M453=phu!$I$65,M453=phu!$I$66,M453=phu!$I$67,M453=phu!$I$68,M453=phu!$I$69,M453=phu!$I$70,M453=phu!$I$71),"Ba Ngòi",""),IF(OR(M453=phu!$I$72,M453=phu!$I$73,M453=phu!$I$74,M453=phu!$I$75,M453=phu!$I$76,M453=phu!$I$77,M453=phu!$I$78),"Cam Phước Đông",""),IF(OR(M453=phu!$I$79,M453=phu!$I$80,M453=phu!$I$81,M453=phu!$I$82,M453=phu!$I$83,M453=phu!$I$84),"Cam Thịnh Đông",""),IF(OR(M453=phu!$I$85,M453=phu!$I$86,M453=phu!$I$87,M453=phu!$I$88),"Cam Thịnh Tây",""),IF(OR(M453=phu!$I$89,M453=phu!$I$90),"Cam Lập",""),IF(OR(M453=phu!$I$91,M453=phu!$I$92,M453=phu!$I$93),"Cam Bình",""),IF(OR(M453=phu!$I$94,M453=phu!$I$95,M453=phu!$I$96,M453=phu!$I$97,M453=phu!$I$98,M453=phu!$I$99,M453=phu!$I$100),"Huyện khác",""),IF(OR(M453=phu!$I$101,M453=phu!$I$102),"Tỉnh khác",""))</f>
        <v/>
      </c>
      <c r="O453" s="814" t="str">
        <f t="shared" si="37"/>
        <v/>
      </c>
      <c r="P453" s="254"/>
      <c r="Q453" s="254"/>
      <c r="R453" s="254"/>
      <c r="S453" s="254"/>
      <c r="T453" s="254"/>
      <c r="U453" s="254"/>
      <c r="V453" s="254"/>
      <c r="W453" s="254"/>
      <c r="Y453" s="246" t="str">
        <f t="shared" si="38"/>
        <v/>
      </c>
      <c r="Z453" s="247" t="str">
        <f t="shared" si="36"/>
        <v/>
      </c>
      <c r="AA453" s="246" t="str">
        <f t="shared" si="39"/>
        <v/>
      </c>
    </row>
    <row r="454" spans="1:27" ht="18" customHeight="1" x14ac:dyDescent="0.25">
      <c r="A454" s="248" t="str">
        <f t="shared" si="40"/>
        <v/>
      </c>
      <c r="B454" s="249" t="str">
        <f t="shared" si="41"/>
        <v/>
      </c>
      <c r="C454" s="250"/>
      <c r="D454" s="251"/>
      <c r="E454" s="241"/>
      <c r="F454" s="252"/>
      <c r="G454" s="252"/>
      <c r="H454" s="253"/>
      <c r="I454" s="250"/>
      <c r="J454" s="250"/>
      <c r="K454" s="270"/>
      <c r="L454" s="250"/>
      <c r="M454" s="250"/>
      <c r="N454" s="553" t="str">
        <f>CONCATENATE(IF(OR(M454=phu!$I$1,M454=phu!$I$2,M454=phu!$I$3),"Cam Thành Nam",""),IF(OR(M454=phu!$I$4,M454=phu!$I$5,M454=phu!$I$6,M454=phu!$I$7,M454=phu!$I$8,M454=phu!$I$9,M454=phu!$I$10,M454=phu!$I$11,M454=phu!$I$12,M454=phu!$I$13,M454=phu!$I$14),"Cam Nghĩa",""),IF(OR(M454=phu!$I$15,M454=phu!$I$16,M454=phu!$I$17,M454=phu!$I$18,M454=phu!$I$19,M454=phu!$I$20,M454=phu!$I$21),"Cam Phúc Bắc",""),IF(OR(M454=phu!$I$22,M454=phu!$I$23,M454=phu!$I$24,M454=phu!$I$25),"Cam Phúc Nam",""),IF(OR(M454=phu!$I$26,M454=phu!$I$27,M454=phu!$I$28,M454=phu!$I$29,M454=phu!$I$30,M454=phu!$I$31),"Cam Phú",""),IF(OR(M454=phu!$I$32,M454=phu!$I$33,M454=phu!$I$34,M454=phu!$I$35,M454=phu!$I$36,M454=phu!$I$37),"Cam Lộc",""),IF(OR(M454=phu!$I$38,M454=phu!$I$39,M454=phu!$I$40,M454=phu!$I$41,M454=phu!$I$42,M454=phu!$I$43,M454=phu!$I$44),"Cam Thuận",""),IF(OR(M454=phu!$I$45,M454=phu!$I$46,M454=phu!$I$47,M454=phu!$I$48,M454=phu!$I$49,M454=phu!$I$50,M454=phu!$I$51,M454=phu!$I$52,M454=phu!$I$53),"Cam Linh",""),IF(OR(M454=phu!$I$54,M454=phu!$I$55,M454=phu!$I$56,M454=phu!$I$57,M454=phu!$I$58,M454=phu!$I$59,M454=phu!$I$60,M454=phu!$I$61,M454=phu!$I$62),"Cam Lợi",""),IF(OR(M454=phu!$I$63,M454=phu!$I$64,M454=phu!$I$65,M454=phu!$I$66,M454=phu!$I$67,M454=phu!$I$68,M454=phu!$I$69,M454=phu!$I$70,M454=phu!$I$71),"Ba Ngòi",""),IF(OR(M454=phu!$I$72,M454=phu!$I$73,M454=phu!$I$74,M454=phu!$I$75,M454=phu!$I$76,M454=phu!$I$77,M454=phu!$I$78),"Cam Phước Đông",""),IF(OR(M454=phu!$I$79,M454=phu!$I$80,M454=phu!$I$81,M454=phu!$I$82,M454=phu!$I$83,M454=phu!$I$84),"Cam Thịnh Đông",""),IF(OR(M454=phu!$I$85,M454=phu!$I$86,M454=phu!$I$87,M454=phu!$I$88),"Cam Thịnh Tây",""),IF(OR(M454=phu!$I$89,M454=phu!$I$90),"Cam Lập",""),IF(OR(M454=phu!$I$91,M454=phu!$I$92,M454=phu!$I$93),"Cam Bình",""),IF(OR(M454=phu!$I$94,M454=phu!$I$95,M454=phu!$I$96,M454=phu!$I$97,M454=phu!$I$98,M454=phu!$I$99,M454=phu!$I$100),"Huyện khác",""),IF(OR(M454=phu!$I$101,M454=phu!$I$102),"Tỉnh khác",""))</f>
        <v/>
      </c>
      <c r="O454" s="814" t="str">
        <f t="shared" si="37"/>
        <v/>
      </c>
      <c r="P454" s="254"/>
      <c r="Q454" s="254"/>
      <c r="R454" s="254"/>
      <c r="S454" s="254"/>
      <c r="T454" s="254"/>
      <c r="U454" s="254"/>
      <c r="V454" s="254"/>
      <c r="W454" s="254"/>
      <c r="Y454" s="246" t="str">
        <f t="shared" si="38"/>
        <v/>
      </c>
      <c r="Z454" s="247" t="str">
        <f t="shared" ref="Z454:Z517" si="42">IF(H454="","",$Z$1-H454)</f>
        <v/>
      </c>
      <c r="AA454" s="246" t="str">
        <f t="shared" si="39"/>
        <v/>
      </c>
    </row>
    <row r="455" spans="1:27" ht="18" customHeight="1" x14ac:dyDescent="0.25">
      <c r="A455" s="248" t="str">
        <f t="shared" si="40"/>
        <v/>
      </c>
      <c r="B455" s="249" t="str">
        <f t="shared" si="41"/>
        <v/>
      </c>
      <c r="C455" s="250"/>
      <c r="D455" s="251"/>
      <c r="E455" s="241"/>
      <c r="F455" s="252"/>
      <c r="G455" s="252"/>
      <c r="H455" s="253"/>
      <c r="I455" s="250"/>
      <c r="J455" s="250"/>
      <c r="K455" s="270"/>
      <c r="L455" s="250"/>
      <c r="M455" s="250"/>
      <c r="N455" s="553" t="str">
        <f>CONCATENATE(IF(OR(M455=phu!$I$1,M455=phu!$I$2,M455=phu!$I$3),"Cam Thành Nam",""),IF(OR(M455=phu!$I$4,M455=phu!$I$5,M455=phu!$I$6,M455=phu!$I$7,M455=phu!$I$8,M455=phu!$I$9,M455=phu!$I$10,M455=phu!$I$11,M455=phu!$I$12,M455=phu!$I$13,M455=phu!$I$14),"Cam Nghĩa",""),IF(OR(M455=phu!$I$15,M455=phu!$I$16,M455=phu!$I$17,M455=phu!$I$18,M455=phu!$I$19,M455=phu!$I$20,M455=phu!$I$21),"Cam Phúc Bắc",""),IF(OR(M455=phu!$I$22,M455=phu!$I$23,M455=phu!$I$24,M455=phu!$I$25),"Cam Phúc Nam",""),IF(OR(M455=phu!$I$26,M455=phu!$I$27,M455=phu!$I$28,M455=phu!$I$29,M455=phu!$I$30,M455=phu!$I$31),"Cam Phú",""),IF(OR(M455=phu!$I$32,M455=phu!$I$33,M455=phu!$I$34,M455=phu!$I$35,M455=phu!$I$36,M455=phu!$I$37),"Cam Lộc",""),IF(OR(M455=phu!$I$38,M455=phu!$I$39,M455=phu!$I$40,M455=phu!$I$41,M455=phu!$I$42,M455=phu!$I$43,M455=phu!$I$44),"Cam Thuận",""),IF(OR(M455=phu!$I$45,M455=phu!$I$46,M455=phu!$I$47,M455=phu!$I$48,M455=phu!$I$49,M455=phu!$I$50,M455=phu!$I$51,M455=phu!$I$52,M455=phu!$I$53),"Cam Linh",""),IF(OR(M455=phu!$I$54,M455=phu!$I$55,M455=phu!$I$56,M455=phu!$I$57,M455=phu!$I$58,M455=phu!$I$59,M455=phu!$I$60,M455=phu!$I$61,M455=phu!$I$62),"Cam Lợi",""),IF(OR(M455=phu!$I$63,M455=phu!$I$64,M455=phu!$I$65,M455=phu!$I$66,M455=phu!$I$67,M455=phu!$I$68,M455=phu!$I$69,M455=phu!$I$70,M455=phu!$I$71),"Ba Ngòi",""),IF(OR(M455=phu!$I$72,M455=phu!$I$73,M455=phu!$I$74,M455=phu!$I$75,M455=phu!$I$76,M455=phu!$I$77,M455=phu!$I$78),"Cam Phước Đông",""),IF(OR(M455=phu!$I$79,M455=phu!$I$80,M455=phu!$I$81,M455=phu!$I$82,M455=phu!$I$83,M455=phu!$I$84),"Cam Thịnh Đông",""),IF(OR(M455=phu!$I$85,M455=phu!$I$86,M455=phu!$I$87,M455=phu!$I$88),"Cam Thịnh Tây",""),IF(OR(M455=phu!$I$89,M455=phu!$I$90),"Cam Lập",""),IF(OR(M455=phu!$I$91,M455=phu!$I$92,M455=phu!$I$93),"Cam Bình",""),IF(OR(M455=phu!$I$94,M455=phu!$I$95,M455=phu!$I$96,M455=phu!$I$97,M455=phu!$I$98,M455=phu!$I$99,M455=phu!$I$100),"Huyện khác",""),IF(OR(M455=phu!$I$101,M455=phu!$I$102),"Tỉnh khác",""))</f>
        <v/>
      </c>
      <c r="O455" s="814" t="str">
        <f t="shared" ref="O455:O518" si="43">CONCATENATE(IF(OR(N455="Cam Thành Nam",N455="Cam Nghĩa",N455="Cam Phúc Bắc"),"Bắc Cam Ranh",""),IF(OR(N455="Cam Phúc Nam",N455="Cam Phú",N455="Cam Lộc"),"Cam Ranh",""),IF(OR(N455="Cam Thuận",N455="Cam Linh",N455="Cam Lợi"),"Cam Linh",""),IF(OR(N455="Ba Ngòi",N455="Cam Phước Đông"),"Ba Ngòi",""),IF(OR(N455="Cam Thịnh Đông",N455="Cam Thịnh Tây",N455="Cam Lập",N455="Cam Bình"),"Nam Cam Ranh",""),IF(N455="Huyện khác","Huyện khác",""),IF(N455="Tỉnh khác","Tỉnh khác",""))</f>
        <v/>
      </c>
      <c r="P455" s="254"/>
      <c r="Q455" s="254"/>
      <c r="R455" s="254"/>
      <c r="S455" s="254"/>
      <c r="T455" s="254"/>
      <c r="U455" s="254"/>
      <c r="V455" s="254"/>
      <c r="W455" s="254"/>
      <c r="Y455" s="246" t="str">
        <f t="shared" ref="Y455:Y518" si="44">IF(OR(AND(B455="",C455="",D455="",E455="",F455="",G455="",H455="",I455="",J455="",L455="",M455="",N455="",P455="",Q455="",R455="",S455=""),AND(B455&lt;&gt;"",C455&lt;&gt;"",D455&lt;&gt;"",E455&lt;&gt;"",F455&lt;&gt;"",G455&lt;&gt;"",H455&lt;&gt;"",J455&lt;&gt;"",M455&lt;&gt;"",N455&lt;&gt;"",P455&lt;&gt;"",OR(AND(Q455&lt;&gt;"",R455=""),AND(Q455="",R455&lt;&gt;""),AND(Q455&lt;&gt;"",R455&lt;&gt;"")),OR(AND(K455="X",T455&lt;&gt;""),AND(K455="",T455="")))),"","er")</f>
        <v/>
      </c>
      <c r="Z455" s="247" t="str">
        <f t="shared" si="42"/>
        <v/>
      </c>
      <c r="AA455" s="246" t="str">
        <f t="shared" ref="AA455:AA518" si="45">IF(OR(AND(Z455=5,B455&gt;0),AND(Z455=6,B455&gt;1),AND(Z455=7,B455&gt;2),AND(Z455=8,B455&gt;3),AND(Z455=9,B455&gt;4),AND(Z455=10,B455&gt;5),AND(Z455=5,B455=0,L455="X"),AND(Z455=6,B455=1,L455="X"),AND(Z455=7,B455=2,L455="X"),AND(Z455=8,B455=3,L455="X"),AND(Z455=9,B455=4,L455="X"),AND(Z455=10,B455=5,L455="X")),"er","")</f>
        <v/>
      </c>
    </row>
    <row r="456" spans="1:27" ht="18" customHeight="1" x14ac:dyDescent="0.25">
      <c r="A456" s="248" t="str">
        <f t="shared" ref="A456:A519" si="46">IF(OR(A455="",B456="",C456="",D456="",E456=""),"",A455+1)</f>
        <v/>
      </c>
      <c r="B456" s="249" t="str">
        <f t="shared" ref="B456:B519" si="47">IF(C456="","",VALUE(LEFT(C456,1)))</f>
        <v/>
      </c>
      <c r="C456" s="250"/>
      <c r="D456" s="251"/>
      <c r="E456" s="241"/>
      <c r="F456" s="252"/>
      <c r="G456" s="252"/>
      <c r="H456" s="253"/>
      <c r="I456" s="250"/>
      <c r="J456" s="250"/>
      <c r="K456" s="270"/>
      <c r="L456" s="250"/>
      <c r="M456" s="250"/>
      <c r="N456" s="553" t="str">
        <f>CONCATENATE(IF(OR(M456=phu!$I$1,M456=phu!$I$2,M456=phu!$I$3),"Cam Thành Nam",""),IF(OR(M456=phu!$I$4,M456=phu!$I$5,M456=phu!$I$6,M456=phu!$I$7,M456=phu!$I$8,M456=phu!$I$9,M456=phu!$I$10,M456=phu!$I$11,M456=phu!$I$12,M456=phu!$I$13,M456=phu!$I$14),"Cam Nghĩa",""),IF(OR(M456=phu!$I$15,M456=phu!$I$16,M456=phu!$I$17,M456=phu!$I$18,M456=phu!$I$19,M456=phu!$I$20,M456=phu!$I$21),"Cam Phúc Bắc",""),IF(OR(M456=phu!$I$22,M456=phu!$I$23,M456=phu!$I$24,M456=phu!$I$25),"Cam Phúc Nam",""),IF(OR(M456=phu!$I$26,M456=phu!$I$27,M456=phu!$I$28,M456=phu!$I$29,M456=phu!$I$30,M456=phu!$I$31),"Cam Phú",""),IF(OR(M456=phu!$I$32,M456=phu!$I$33,M456=phu!$I$34,M456=phu!$I$35,M456=phu!$I$36,M456=phu!$I$37),"Cam Lộc",""),IF(OR(M456=phu!$I$38,M456=phu!$I$39,M456=phu!$I$40,M456=phu!$I$41,M456=phu!$I$42,M456=phu!$I$43,M456=phu!$I$44),"Cam Thuận",""),IF(OR(M456=phu!$I$45,M456=phu!$I$46,M456=phu!$I$47,M456=phu!$I$48,M456=phu!$I$49,M456=phu!$I$50,M456=phu!$I$51,M456=phu!$I$52,M456=phu!$I$53),"Cam Linh",""),IF(OR(M456=phu!$I$54,M456=phu!$I$55,M456=phu!$I$56,M456=phu!$I$57,M456=phu!$I$58,M456=phu!$I$59,M456=phu!$I$60,M456=phu!$I$61,M456=phu!$I$62),"Cam Lợi",""),IF(OR(M456=phu!$I$63,M456=phu!$I$64,M456=phu!$I$65,M456=phu!$I$66,M456=phu!$I$67,M456=phu!$I$68,M456=phu!$I$69,M456=phu!$I$70,M456=phu!$I$71),"Ba Ngòi",""),IF(OR(M456=phu!$I$72,M456=phu!$I$73,M456=phu!$I$74,M456=phu!$I$75,M456=phu!$I$76,M456=phu!$I$77,M456=phu!$I$78),"Cam Phước Đông",""),IF(OR(M456=phu!$I$79,M456=phu!$I$80,M456=phu!$I$81,M456=phu!$I$82,M456=phu!$I$83,M456=phu!$I$84),"Cam Thịnh Đông",""),IF(OR(M456=phu!$I$85,M456=phu!$I$86,M456=phu!$I$87,M456=phu!$I$88),"Cam Thịnh Tây",""),IF(OR(M456=phu!$I$89,M456=phu!$I$90),"Cam Lập",""),IF(OR(M456=phu!$I$91,M456=phu!$I$92,M456=phu!$I$93),"Cam Bình",""),IF(OR(M456=phu!$I$94,M456=phu!$I$95,M456=phu!$I$96,M456=phu!$I$97,M456=phu!$I$98,M456=phu!$I$99,M456=phu!$I$100),"Huyện khác",""),IF(OR(M456=phu!$I$101,M456=phu!$I$102),"Tỉnh khác",""))</f>
        <v/>
      </c>
      <c r="O456" s="814" t="str">
        <f t="shared" si="43"/>
        <v/>
      </c>
      <c r="P456" s="254"/>
      <c r="Q456" s="254"/>
      <c r="R456" s="254"/>
      <c r="S456" s="254"/>
      <c r="T456" s="254"/>
      <c r="U456" s="254"/>
      <c r="V456" s="254"/>
      <c r="W456" s="254"/>
      <c r="Y456" s="246" t="str">
        <f t="shared" si="44"/>
        <v/>
      </c>
      <c r="Z456" s="247" t="str">
        <f t="shared" si="42"/>
        <v/>
      </c>
      <c r="AA456" s="246" t="str">
        <f t="shared" si="45"/>
        <v/>
      </c>
    </row>
    <row r="457" spans="1:27" ht="18" customHeight="1" x14ac:dyDescent="0.25">
      <c r="A457" s="248" t="str">
        <f t="shared" si="46"/>
        <v/>
      </c>
      <c r="B457" s="249" t="str">
        <f t="shared" si="47"/>
        <v/>
      </c>
      <c r="C457" s="250"/>
      <c r="D457" s="251"/>
      <c r="E457" s="241"/>
      <c r="F457" s="252"/>
      <c r="G457" s="252"/>
      <c r="H457" s="253"/>
      <c r="I457" s="250"/>
      <c r="J457" s="250"/>
      <c r="K457" s="270"/>
      <c r="L457" s="250"/>
      <c r="M457" s="250"/>
      <c r="N457" s="553" t="str">
        <f>CONCATENATE(IF(OR(M457=phu!$I$1,M457=phu!$I$2,M457=phu!$I$3),"Cam Thành Nam",""),IF(OR(M457=phu!$I$4,M457=phu!$I$5,M457=phu!$I$6,M457=phu!$I$7,M457=phu!$I$8,M457=phu!$I$9,M457=phu!$I$10,M457=phu!$I$11,M457=phu!$I$12,M457=phu!$I$13,M457=phu!$I$14),"Cam Nghĩa",""),IF(OR(M457=phu!$I$15,M457=phu!$I$16,M457=phu!$I$17,M457=phu!$I$18,M457=phu!$I$19,M457=phu!$I$20,M457=phu!$I$21),"Cam Phúc Bắc",""),IF(OR(M457=phu!$I$22,M457=phu!$I$23,M457=phu!$I$24,M457=phu!$I$25),"Cam Phúc Nam",""),IF(OR(M457=phu!$I$26,M457=phu!$I$27,M457=phu!$I$28,M457=phu!$I$29,M457=phu!$I$30,M457=phu!$I$31),"Cam Phú",""),IF(OR(M457=phu!$I$32,M457=phu!$I$33,M457=phu!$I$34,M457=phu!$I$35,M457=phu!$I$36,M457=phu!$I$37),"Cam Lộc",""),IF(OR(M457=phu!$I$38,M457=phu!$I$39,M457=phu!$I$40,M457=phu!$I$41,M457=phu!$I$42,M457=phu!$I$43,M457=phu!$I$44),"Cam Thuận",""),IF(OR(M457=phu!$I$45,M457=phu!$I$46,M457=phu!$I$47,M457=phu!$I$48,M457=phu!$I$49,M457=phu!$I$50,M457=phu!$I$51,M457=phu!$I$52,M457=phu!$I$53),"Cam Linh",""),IF(OR(M457=phu!$I$54,M457=phu!$I$55,M457=phu!$I$56,M457=phu!$I$57,M457=phu!$I$58,M457=phu!$I$59,M457=phu!$I$60,M457=phu!$I$61,M457=phu!$I$62),"Cam Lợi",""),IF(OR(M457=phu!$I$63,M457=phu!$I$64,M457=phu!$I$65,M457=phu!$I$66,M457=phu!$I$67,M457=phu!$I$68,M457=phu!$I$69,M457=phu!$I$70,M457=phu!$I$71),"Ba Ngòi",""),IF(OR(M457=phu!$I$72,M457=phu!$I$73,M457=phu!$I$74,M457=phu!$I$75,M457=phu!$I$76,M457=phu!$I$77,M457=phu!$I$78),"Cam Phước Đông",""),IF(OR(M457=phu!$I$79,M457=phu!$I$80,M457=phu!$I$81,M457=phu!$I$82,M457=phu!$I$83,M457=phu!$I$84),"Cam Thịnh Đông",""),IF(OR(M457=phu!$I$85,M457=phu!$I$86,M457=phu!$I$87,M457=phu!$I$88),"Cam Thịnh Tây",""),IF(OR(M457=phu!$I$89,M457=phu!$I$90),"Cam Lập",""),IF(OR(M457=phu!$I$91,M457=phu!$I$92,M457=phu!$I$93),"Cam Bình",""),IF(OR(M457=phu!$I$94,M457=phu!$I$95,M457=phu!$I$96,M457=phu!$I$97,M457=phu!$I$98,M457=phu!$I$99,M457=phu!$I$100),"Huyện khác",""),IF(OR(M457=phu!$I$101,M457=phu!$I$102),"Tỉnh khác",""))</f>
        <v/>
      </c>
      <c r="O457" s="814" t="str">
        <f t="shared" si="43"/>
        <v/>
      </c>
      <c r="P457" s="254"/>
      <c r="Q457" s="254"/>
      <c r="R457" s="254"/>
      <c r="S457" s="254"/>
      <c r="T457" s="254"/>
      <c r="U457" s="254"/>
      <c r="V457" s="254"/>
      <c r="W457" s="254"/>
      <c r="Y457" s="246" t="str">
        <f t="shared" si="44"/>
        <v/>
      </c>
      <c r="Z457" s="247" t="str">
        <f t="shared" si="42"/>
        <v/>
      </c>
      <c r="AA457" s="246" t="str">
        <f t="shared" si="45"/>
        <v/>
      </c>
    </row>
    <row r="458" spans="1:27" ht="18" customHeight="1" x14ac:dyDescent="0.25">
      <c r="A458" s="248" t="str">
        <f t="shared" si="46"/>
        <v/>
      </c>
      <c r="B458" s="249" t="str">
        <f t="shared" si="47"/>
        <v/>
      </c>
      <c r="C458" s="250"/>
      <c r="D458" s="251"/>
      <c r="E458" s="241"/>
      <c r="F458" s="252"/>
      <c r="G458" s="252"/>
      <c r="H458" s="253"/>
      <c r="I458" s="250"/>
      <c r="J458" s="250"/>
      <c r="K458" s="270"/>
      <c r="L458" s="250"/>
      <c r="M458" s="250"/>
      <c r="N458" s="553" t="str">
        <f>CONCATENATE(IF(OR(M458=phu!$I$1,M458=phu!$I$2,M458=phu!$I$3),"Cam Thành Nam",""),IF(OR(M458=phu!$I$4,M458=phu!$I$5,M458=phu!$I$6,M458=phu!$I$7,M458=phu!$I$8,M458=phu!$I$9,M458=phu!$I$10,M458=phu!$I$11,M458=phu!$I$12,M458=phu!$I$13,M458=phu!$I$14),"Cam Nghĩa",""),IF(OR(M458=phu!$I$15,M458=phu!$I$16,M458=phu!$I$17,M458=phu!$I$18,M458=phu!$I$19,M458=phu!$I$20,M458=phu!$I$21),"Cam Phúc Bắc",""),IF(OR(M458=phu!$I$22,M458=phu!$I$23,M458=phu!$I$24,M458=phu!$I$25),"Cam Phúc Nam",""),IF(OR(M458=phu!$I$26,M458=phu!$I$27,M458=phu!$I$28,M458=phu!$I$29,M458=phu!$I$30,M458=phu!$I$31),"Cam Phú",""),IF(OR(M458=phu!$I$32,M458=phu!$I$33,M458=phu!$I$34,M458=phu!$I$35,M458=phu!$I$36,M458=phu!$I$37),"Cam Lộc",""),IF(OR(M458=phu!$I$38,M458=phu!$I$39,M458=phu!$I$40,M458=phu!$I$41,M458=phu!$I$42,M458=phu!$I$43,M458=phu!$I$44),"Cam Thuận",""),IF(OR(M458=phu!$I$45,M458=phu!$I$46,M458=phu!$I$47,M458=phu!$I$48,M458=phu!$I$49,M458=phu!$I$50,M458=phu!$I$51,M458=phu!$I$52,M458=phu!$I$53),"Cam Linh",""),IF(OR(M458=phu!$I$54,M458=phu!$I$55,M458=phu!$I$56,M458=phu!$I$57,M458=phu!$I$58,M458=phu!$I$59,M458=phu!$I$60,M458=phu!$I$61,M458=phu!$I$62),"Cam Lợi",""),IF(OR(M458=phu!$I$63,M458=phu!$I$64,M458=phu!$I$65,M458=phu!$I$66,M458=phu!$I$67,M458=phu!$I$68,M458=phu!$I$69,M458=phu!$I$70,M458=phu!$I$71),"Ba Ngòi",""),IF(OR(M458=phu!$I$72,M458=phu!$I$73,M458=phu!$I$74,M458=phu!$I$75,M458=phu!$I$76,M458=phu!$I$77,M458=phu!$I$78),"Cam Phước Đông",""),IF(OR(M458=phu!$I$79,M458=phu!$I$80,M458=phu!$I$81,M458=phu!$I$82,M458=phu!$I$83,M458=phu!$I$84),"Cam Thịnh Đông",""),IF(OR(M458=phu!$I$85,M458=phu!$I$86,M458=phu!$I$87,M458=phu!$I$88),"Cam Thịnh Tây",""),IF(OR(M458=phu!$I$89,M458=phu!$I$90),"Cam Lập",""),IF(OR(M458=phu!$I$91,M458=phu!$I$92,M458=phu!$I$93),"Cam Bình",""),IF(OR(M458=phu!$I$94,M458=phu!$I$95,M458=phu!$I$96,M458=phu!$I$97,M458=phu!$I$98,M458=phu!$I$99,M458=phu!$I$100),"Huyện khác",""),IF(OR(M458=phu!$I$101,M458=phu!$I$102),"Tỉnh khác",""))</f>
        <v/>
      </c>
      <c r="O458" s="814" t="str">
        <f t="shared" si="43"/>
        <v/>
      </c>
      <c r="P458" s="254"/>
      <c r="Q458" s="254"/>
      <c r="R458" s="254"/>
      <c r="S458" s="254"/>
      <c r="T458" s="254"/>
      <c r="U458" s="254"/>
      <c r="V458" s="254"/>
      <c r="W458" s="254"/>
      <c r="Y458" s="246" t="str">
        <f t="shared" si="44"/>
        <v/>
      </c>
      <c r="Z458" s="247" t="str">
        <f t="shared" si="42"/>
        <v/>
      </c>
      <c r="AA458" s="246" t="str">
        <f t="shared" si="45"/>
        <v/>
      </c>
    </row>
    <row r="459" spans="1:27" ht="18" customHeight="1" x14ac:dyDescent="0.25">
      <c r="A459" s="248" t="str">
        <f t="shared" si="46"/>
        <v/>
      </c>
      <c r="B459" s="249" t="str">
        <f t="shared" si="47"/>
        <v/>
      </c>
      <c r="C459" s="250"/>
      <c r="D459" s="251"/>
      <c r="E459" s="241"/>
      <c r="F459" s="252"/>
      <c r="G459" s="252"/>
      <c r="H459" s="253"/>
      <c r="I459" s="250"/>
      <c r="J459" s="250"/>
      <c r="K459" s="270"/>
      <c r="L459" s="250"/>
      <c r="M459" s="250"/>
      <c r="N459" s="553" t="str">
        <f>CONCATENATE(IF(OR(M459=phu!$I$1,M459=phu!$I$2,M459=phu!$I$3),"Cam Thành Nam",""),IF(OR(M459=phu!$I$4,M459=phu!$I$5,M459=phu!$I$6,M459=phu!$I$7,M459=phu!$I$8,M459=phu!$I$9,M459=phu!$I$10,M459=phu!$I$11,M459=phu!$I$12,M459=phu!$I$13,M459=phu!$I$14),"Cam Nghĩa",""),IF(OR(M459=phu!$I$15,M459=phu!$I$16,M459=phu!$I$17,M459=phu!$I$18,M459=phu!$I$19,M459=phu!$I$20,M459=phu!$I$21),"Cam Phúc Bắc",""),IF(OR(M459=phu!$I$22,M459=phu!$I$23,M459=phu!$I$24,M459=phu!$I$25),"Cam Phúc Nam",""),IF(OR(M459=phu!$I$26,M459=phu!$I$27,M459=phu!$I$28,M459=phu!$I$29,M459=phu!$I$30,M459=phu!$I$31),"Cam Phú",""),IF(OR(M459=phu!$I$32,M459=phu!$I$33,M459=phu!$I$34,M459=phu!$I$35,M459=phu!$I$36,M459=phu!$I$37),"Cam Lộc",""),IF(OR(M459=phu!$I$38,M459=phu!$I$39,M459=phu!$I$40,M459=phu!$I$41,M459=phu!$I$42,M459=phu!$I$43,M459=phu!$I$44),"Cam Thuận",""),IF(OR(M459=phu!$I$45,M459=phu!$I$46,M459=phu!$I$47,M459=phu!$I$48,M459=phu!$I$49,M459=phu!$I$50,M459=phu!$I$51,M459=phu!$I$52,M459=phu!$I$53),"Cam Linh",""),IF(OR(M459=phu!$I$54,M459=phu!$I$55,M459=phu!$I$56,M459=phu!$I$57,M459=phu!$I$58,M459=phu!$I$59,M459=phu!$I$60,M459=phu!$I$61,M459=phu!$I$62),"Cam Lợi",""),IF(OR(M459=phu!$I$63,M459=phu!$I$64,M459=phu!$I$65,M459=phu!$I$66,M459=phu!$I$67,M459=phu!$I$68,M459=phu!$I$69,M459=phu!$I$70,M459=phu!$I$71),"Ba Ngòi",""),IF(OR(M459=phu!$I$72,M459=phu!$I$73,M459=phu!$I$74,M459=phu!$I$75,M459=phu!$I$76,M459=phu!$I$77,M459=phu!$I$78),"Cam Phước Đông",""),IF(OR(M459=phu!$I$79,M459=phu!$I$80,M459=phu!$I$81,M459=phu!$I$82,M459=phu!$I$83,M459=phu!$I$84),"Cam Thịnh Đông",""),IF(OR(M459=phu!$I$85,M459=phu!$I$86,M459=phu!$I$87,M459=phu!$I$88),"Cam Thịnh Tây",""),IF(OR(M459=phu!$I$89,M459=phu!$I$90),"Cam Lập",""),IF(OR(M459=phu!$I$91,M459=phu!$I$92,M459=phu!$I$93),"Cam Bình",""),IF(OR(M459=phu!$I$94,M459=phu!$I$95,M459=phu!$I$96,M459=phu!$I$97,M459=phu!$I$98,M459=phu!$I$99,M459=phu!$I$100),"Huyện khác",""),IF(OR(M459=phu!$I$101,M459=phu!$I$102),"Tỉnh khác",""))</f>
        <v/>
      </c>
      <c r="O459" s="814" t="str">
        <f t="shared" si="43"/>
        <v/>
      </c>
      <c r="P459" s="254"/>
      <c r="Q459" s="254"/>
      <c r="R459" s="254"/>
      <c r="S459" s="254"/>
      <c r="T459" s="254"/>
      <c r="U459" s="254"/>
      <c r="V459" s="254"/>
      <c r="W459" s="254"/>
      <c r="Y459" s="246" t="str">
        <f t="shared" si="44"/>
        <v/>
      </c>
      <c r="Z459" s="247" t="str">
        <f t="shared" si="42"/>
        <v/>
      </c>
      <c r="AA459" s="246" t="str">
        <f t="shared" si="45"/>
        <v/>
      </c>
    </row>
    <row r="460" spans="1:27" ht="18" customHeight="1" x14ac:dyDescent="0.25">
      <c r="A460" s="248" t="str">
        <f t="shared" si="46"/>
        <v/>
      </c>
      <c r="B460" s="249" t="str">
        <f t="shared" si="47"/>
        <v/>
      </c>
      <c r="C460" s="250"/>
      <c r="D460" s="251"/>
      <c r="E460" s="241"/>
      <c r="F460" s="252"/>
      <c r="G460" s="252"/>
      <c r="H460" s="253"/>
      <c r="I460" s="250"/>
      <c r="J460" s="250"/>
      <c r="K460" s="270"/>
      <c r="L460" s="250"/>
      <c r="M460" s="250"/>
      <c r="N460" s="553" t="str">
        <f>CONCATENATE(IF(OR(M460=phu!$I$1,M460=phu!$I$2,M460=phu!$I$3),"Cam Thành Nam",""),IF(OR(M460=phu!$I$4,M460=phu!$I$5,M460=phu!$I$6,M460=phu!$I$7,M460=phu!$I$8,M460=phu!$I$9,M460=phu!$I$10,M460=phu!$I$11,M460=phu!$I$12,M460=phu!$I$13,M460=phu!$I$14),"Cam Nghĩa",""),IF(OR(M460=phu!$I$15,M460=phu!$I$16,M460=phu!$I$17,M460=phu!$I$18,M460=phu!$I$19,M460=phu!$I$20,M460=phu!$I$21),"Cam Phúc Bắc",""),IF(OR(M460=phu!$I$22,M460=phu!$I$23,M460=phu!$I$24,M460=phu!$I$25),"Cam Phúc Nam",""),IF(OR(M460=phu!$I$26,M460=phu!$I$27,M460=phu!$I$28,M460=phu!$I$29,M460=phu!$I$30,M460=phu!$I$31),"Cam Phú",""),IF(OR(M460=phu!$I$32,M460=phu!$I$33,M460=phu!$I$34,M460=phu!$I$35,M460=phu!$I$36,M460=phu!$I$37),"Cam Lộc",""),IF(OR(M460=phu!$I$38,M460=phu!$I$39,M460=phu!$I$40,M460=phu!$I$41,M460=phu!$I$42,M460=phu!$I$43,M460=phu!$I$44),"Cam Thuận",""),IF(OR(M460=phu!$I$45,M460=phu!$I$46,M460=phu!$I$47,M460=phu!$I$48,M460=phu!$I$49,M460=phu!$I$50,M460=phu!$I$51,M460=phu!$I$52,M460=phu!$I$53),"Cam Linh",""),IF(OR(M460=phu!$I$54,M460=phu!$I$55,M460=phu!$I$56,M460=phu!$I$57,M460=phu!$I$58,M460=phu!$I$59,M460=phu!$I$60,M460=phu!$I$61,M460=phu!$I$62),"Cam Lợi",""),IF(OR(M460=phu!$I$63,M460=phu!$I$64,M460=phu!$I$65,M460=phu!$I$66,M460=phu!$I$67,M460=phu!$I$68,M460=phu!$I$69,M460=phu!$I$70,M460=phu!$I$71),"Ba Ngòi",""),IF(OR(M460=phu!$I$72,M460=phu!$I$73,M460=phu!$I$74,M460=phu!$I$75,M460=phu!$I$76,M460=phu!$I$77,M460=phu!$I$78),"Cam Phước Đông",""),IF(OR(M460=phu!$I$79,M460=phu!$I$80,M460=phu!$I$81,M460=phu!$I$82,M460=phu!$I$83,M460=phu!$I$84),"Cam Thịnh Đông",""),IF(OR(M460=phu!$I$85,M460=phu!$I$86,M460=phu!$I$87,M460=phu!$I$88),"Cam Thịnh Tây",""),IF(OR(M460=phu!$I$89,M460=phu!$I$90),"Cam Lập",""),IF(OR(M460=phu!$I$91,M460=phu!$I$92,M460=phu!$I$93),"Cam Bình",""),IF(OR(M460=phu!$I$94,M460=phu!$I$95,M460=phu!$I$96,M460=phu!$I$97,M460=phu!$I$98,M460=phu!$I$99,M460=phu!$I$100),"Huyện khác",""),IF(OR(M460=phu!$I$101,M460=phu!$I$102),"Tỉnh khác",""))</f>
        <v/>
      </c>
      <c r="O460" s="814" t="str">
        <f t="shared" si="43"/>
        <v/>
      </c>
      <c r="P460" s="254"/>
      <c r="Q460" s="254"/>
      <c r="R460" s="254"/>
      <c r="S460" s="254"/>
      <c r="T460" s="254"/>
      <c r="U460" s="254"/>
      <c r="V460" s="254"/>
      <c r="W460" s="254"/>
      <c r="Y460" s="246" t="str">
        <f t="shared" si="44"/>
        <v/>
      </c>
      <c r="Z460" s="247" t="str">
        <f t="shared" si="42"/>
        <v/>
      </c>
      <c r="AA460" s="246" t="str">
        <f t="shared" si="45"/>
        <v/>
      </c>
    </row>
    <row r="461" spans="1:27" ht="18" customHeight="1" x14ac:dyDescent="0.25">
      <c r="A461" s="248" t="str">
        <f t="shared" si="46"/>
        <v/>
      </c>
      <c r="B461" s="249" t="str">
        <f t="shared" si="47"/>
        <v/>
      </c>
      <c r="C461" s="250"/>
      <c r="D461" s="251"/>
      <c r="E461" s="241"/>
      <c r="F461" s="252"/>
      <c r="G461" s="252"/>
      <c r="H461" s="253"/>
      <c r="I461" s="250"/>
      <c r="J461" s="250"/>
      <c r="K461" s="270"/>
      <c r="L461" s="250"/>
      <c r="M461" s="250"/>
      <c r="N461" s="553" t="str">
        <f>CONCATENATE(IF(OR(M461=phu!$I$1,M461=phu!$I$2,M461=phu!$I$3),"Cam Thành Nam",""),IF(OR(M461=phu!$I$4,M461=phu!$I$5,M461=phu!$I$6,M461=phu!$I$7,M461=phu!$I$8,M461=phu!$I$9,M461=phu!$I$10,M461=phu!$I$11,M461=phu!$I$12,M461=phu!$I$13,M461=phu!$I$14),"Cam Nghĩa",""),IF(OR(M461=phu!$I$15,M461=phu!$I$16,M461=phu!$I$17,M461=phu!$I$18,M461=phu!$I$19,M461=phu!$I$20,M461=phu!$I$21),"Cam Phúc Bắc",""),IF(OR(M461=phu!$I$22,M461=phu!$I$23,M461=phu!$I$24,M461=phu!$I$25),"Cam Phúc Nam",""),IF(OR(M461=phu!$I$26,M461=phu!$I$27,M461=phu!$I$28,M461=phu!$I$29,M461=phu!$I$30,M461=phu!$I$31),"Cam Phú",""),IF(OR(M461=phu!$I$32,M461=phu!$I$33,M461=phu!$I$34,M461=phu!$I$35,M461=phu!$I$36,M461=phu!$I$37),"Cam Lộc",""),IF(OR(M461=phu!$I$38,M461=phu!$I$39,M461=phu!$I$40,M461=phu!$I$41,M461=phu!$I$42,M461=phu!$I$43,M461=phu!$I$44),"Cam Thuận",""),IF(OR(M461=phu!$I$45,M461=phu!$I$46,M461=phu!$I$47,M461=phu!$I$48,M461=phu!$I$49,M461=phu!$I$50,M461=phu!$I$51,M461=phu!$I$52,M461=phu!$I$53),"Cam Linh",""),IF(OR(M461=phu!$I$54,M461=phu!$I$55,M461=phu!$I$56,M461=phu!$I$57,M461=phu!$I$58,M461=phu!$I$59,M461=phu!$I$60,M461=phu!$I$61,M461=phu!$I$62),"Cam Lợi",""),IF(OR(M461=phu!$I$63,M461=phu!$I$64,M461=phu!$I$65,M461=phu!$I$66,M461=phu!$I$67,M461=phu!$I$68,M461=phu!$I$69,M461=phu!$I$70,M461=phu!$I$71),"Ba Ngòi",""),IF(OR(M461=phu!$I$72,M461=phu!$I$73,M461=phu!$I$74,M461=phu!$I$75,M461=phu!$I$76,M461=phu!$I$77,M461=phu!$I$78),"Cam Phước Đông",""),IF(OR(M461=phu!$I$79,M461=phu!$I$80,M461=phu!$I$81,M461=phu!$I$82,M461=phu!$I$83,M461=phu!$I$84),"Cam Thịnh Đông",""),IF(OR(M461=phu!$I$85,M461=phu!$I$86,M461=phu!$I$87,M461=phu!$I$88),"Cam Thịnh Tây",""),IF(OR(M461=phu!$I$89,M461=phu!$I$90),"Cam Lập",""),IF(OR(M461=phu!$I$91,M461=phu!$I$92,M461=phu!$I$93),"Cam Bình",""),IF(OR(M461=phu!$I$94,M461=phu!$I$95,M461=phu!$I$96,M461=phu!$I$97,M461=phu!$I$98,M461=phu!$I$99,M461=phu!$I$100),"Huyện khác",""),IF(OR(M461=phu!$I$101,M461=phu!$I$102),"Tỉnh khác",""))</f>
        <v/>
      </c>
      <c r="O461" s="814" t="str">
        <f t="shared" si="43"/>
        <v/>
      </c>
      <c r="P461" s="254"/>
      <c r="Q461" s="254"/>
      <c r="R461" s="254"/>
      <c r="S461" s="254"/>
      <c r="T461" s="254"/>
      <c r="U461" s="254"/>
      <c r="V461" s="254"/>
      <c r="W461" s="254"/>
      <c r="Y461" s="246" t="str">
        <f t="shared" si="44"/>
        <v/>
      </c>
      <c r="Z461" s="247" t="str">
        <f t="shared" si="42"/>
        <v/>
      </c>
      <c r="AA461" s="246" t="str">
        <f t="shared" si="45"/>
        <v/>
      </c>
    </row>
    <row r="462" spans="1:27" ht="18" customHeight="1" x14ac:dyDescent="0.25">
      <c r="A462" s="248" t="str">
        <f t="shared" si="46"/>
        <v/>
      </c>
      <c r="B462" s="249" t="str">
        <f t="shared" si="47"/>
        <v/>
      </c>
      <c r="C462" s="250"/>
      <c r="D462" s="251"/>
      <c r="E462" s="241"/>
      <c r="F462" s="252"/>
      <c r="G462" s="252"/>
      <c r="H462" s="253"/>
      <c r="I462" s="250"/>
      <c r="J462" s="250"/>
      <c r="K462" s="270"/>
      <c r="L462" s="250"/>
      <c r="M462" s="250"/>
      <c r="N462" s="553" t="str">
        <f>CONCATENATE(IF(OR(M462=phu!$I$1,M462=phu!$I$2,M462=phu!$I$3),"Cam Thành Nam",""),IF(OR(M462=phu!$I$4,M462=phu!$I$5,M462=phu!$I$6,M462=phu!$I$7,M462=phu!$I$8,M462=phu!$I$9,M462=phu!$I$10,M462=phu!$I$11,M462=phu!$I$12,M462=phu!$I$13,M462=phu!$I$14),"Cam Nghĩa",""),IF(OR(M462=phu!$I$15,M462=phu!$I$16,M462=phu!$I$17,M462=phu!$I$18,M462=phu!$I$19,M462=phu!$I$20,M462=phu!$I$21),"Cam Phúc Bắc",""),IF(OR(M462=phu!$I$22,M462=phu!$I$23,M462=phu!$I$24,M462=phu!$I$25),"Cam Phúc Nam",""),IF(OR(M462=phu!$I$26,M462=phu!$I$27,M462=phu!$I$28,M462=phu!$I$29,M462=phu!$I$30,M462=phu!$I$31),"Cam Phú",""),IF(OR(M462=phu!$I$32,M462=phu!$I$33,M462=phu!$I$34,M462=phu!$I$35,M462=phu!$I$36,M462=phu!$I$37),"Cam Lộc",""),IF(OR(M462=phu!$I$38,M462=phu!$I$39,M462=phu!$I$40,M462=phu!$I$41,M462=phu!$I$42,M462=phu!$I$43,M462=phu!$I$44),"Cam Thuận",""),IF(OR(M462=phu!$I$45,M462=phu!$I$46,M462=phu!$I$47,M462=phu!$I$48,M462=phu!$I$49,M462=phu!$I$50,M462=phu!$I$51,M462=phu!$I$52,M462=phu!$I$53),"Cam Linh",""),IF(OR(M462=phu!$I$54,M462=phu!$I$55,M462=phu!$I$56,M462=phu!$I$57,M462=phu!$I$58,M462=phu!$I$59,M462=phu!$I$60,M462=phu!$I$61,M462=phu!$I$62),"Cam Lợi",""),IF(OR(M462=phu!$I$63,M462=phu!$I$64,M462=phu!$I$65,M462=phu!$I$66,M462=phu!$I$67,M462=phu!$I$68,M462=phu!$I$69,M462=phu!$I$70,M462=phu!$I$71),"Ba Ngòi",""),IF(OR(M462=phu!$I$72,M462=phu!$I$73,M462=phu!$I$74,M462=phu!$I$75,M462=phu!$I$76,M462=phu!$I$77,M462=phu!$I$78),"Cam Phước Đông",""),IF(OR(M462=phu!$I$79,M462=phu!$I$80,M462=phu!$I$81,M462=phu!$I$82,M462=phu!$I$83,M462=phu!$I$84),"Cam Thịnh Đông",""),IF(OR(M462=phu!$I$85,M462=phu!$I$86,M462=phu!$I$87,M462=phu!$I$88),"Cam Thịnh Tây",""),IF(OR(M462=phu!$I$89,M462=phu!$I$90),"Cam Lập",""),IF(OR(M462=phu!$I$91,M462=phu!$I$92,M462=phu!$I$93),"Cam Bình",""),IF(OR(M462=phu!$I$94,M462=phu!$I$95,M462=phu!$I$96,M462=phu!$I$97,M462=phu!$I$98,M462=phu!$I$99,M462=phu!$I$100),"Huyện khác",""),IF(OR(M462=phu!$I$101,M462=phu!$I$102),"Tỉnh khác",""))</f>
        <v/>
      </c>
      <c r="O462" s="814" t="str">
        <f t="shared" si="43"/>
        <v/>
      </c>
      <c r="P462" s="254"/>
      <c r="Q462" s="254"/>
      <c r="R462" s="254"/>
      <c r="S462" s="254"/>
      <c r="T462" s="254"/>
      <c r="U462" s="254"/>
      <c r="V462" s="254"/>
      <c r="W462" s="254"/>
      <c r="Y462" s="246" t="str">
        <f t="shared" si="44"/>
        <v/>
      </c>
      <c r="Z462" s="247" t="str">
        <f t="shared" si="42"/>
        <v/>
      </c>
      <c r="AA462" s="246" t="str">
        <f t="shared" si="45"/>
        <v/>
      </c>
    </row>
    <row r="463" spans="1:27" ht="18" customHeight="1" x14ac:dyDescent="0.25">
      <c r="A463" s="248" t="str">
        <f t="shared" si="46"/>
        <v/>
      </c>
      <c r="B463" s="249" t="str">
        <f t="shared" si="47"/>
        <v/>
      </c>
      <c r="C463" s="250"/>
      <c r="D463" s="251"/>
      <c r="E463" s="241"/>
      <c r="F463" s="252"/>
      <c r="G463" s="252"/>
      <c r="H463" s="253"/>
      <c r="I463" s="250"/>
      <c r="J463" s="250"/>
      <c r="K463" s="270"/>
      <c r="L463" s="250"/>
      <c r="M463" s="250"/>
      <c r="N463" s="553" t="str">
        <f>CONCATENATE(IF(OR(M463=phu!$I$1,M463=phu!$I$2,M463=phu!$I$3),"Cam Thành Nam",""),IF(OR(M463=phu!$I$4,M463=phu!$I$5,M463=phu!$I$6,M463=phu!$I$7,M463=phu!$I$8,M463=phu!$I$9,M463=phu!$I$10,M463=phu!$I$11,M463=phu!$I$12,M463=phu!$I$13,M463=phu!$I$14),"Cam Nghĩa",""),IF(OR(M463=phu!$I$15,M463=phu!$I$16,M463=phu!$I$17,M463=phu!$I$18,M463=phu!$I$19,M463=phu!$I$20,M463=phu!$I$21),"Cam Phúc Bắc",""),IF(OR(M463=phu!$I$22,M463=phu!$I$23,M463=phu!$I$24,M463=phu!$I$25),"Cam Phúc Nam",""),IF(OR(M463=phu!$I$26,M463=phu!$I$27,M463=phu!$I$28,M463=phu!$I$29,M463=phu!$I$30,M463=phu!$I$31),"Cam Phú",""),IF(OR(M463=phu!$I$32,M463=phu!$I$33,M463=phu!$I$34,M463=phu!$I$35,M463=phu!$I$36,M463=phu!$I$37),"Cam Lộc",""),IF(OR(M463=phu!$I$38,M463=phu!$I$39,M463=phu!$I$40,M463=phu!$I$41,M463=phu!$I$42,M463=phu!$I$43,M463=phu!$I$44),"Cam Thuận",""),IF(OR(M463=phu!$I$45,M463=phu!$I$46,M463=phu!$I$47,M463=phu!$I$48,M463=phu!$I$49,M463=phu!$I$50,M463=phu!$I$51,M463=phu!$I$52,M463=phu!$I$53),"Cam Linh",""),IF(OR(M463=phu!$I$54,M463=phu!$I$55,M463=phu!$I$56,M463=phu!$I$57,M463=phu!$I$58,M463=phu!$I$59,M463=phu!$I$60,M463=phu!$I$61,M463=phu!$I$62),"Cam Lợi",""),IF(OR(M463=phu!$I$63,M463=phu!$I$64,M463=phu!$I$65,M463=phu!$I$66,M463=phu!$I$67,M463=phu!$I$68,M463=phu!$I$69,M463=phu!$I$70,M463=phu!$I$71),"Ba Ngòi",""),IF(OR(M463=phu!$I$72,M463=phu!$I$73,M463=phu!$I$74,M463=phu!$I$75,M463=phu!$I$76,M463=phu!$I$77,M463=phu!$I$78),"Cam Phước Đông",""),IF(OR(M463=phu!$I$79,M463=phu!$I$80,M463=phu!$I$81,M463=phu!$I$82,M463=phu!$I$83,M463=phu!$I$84),"Cam Thịnh Đông",""),IF(OR(M463=phu!$I$85,M463=phu!$I$86,M463=phu!$I$87,M463=phu!$I$88),"Cam Thịnh Tây",""),IF(OR(M463=phu!$I$89,M463=phu!$I$90),"Cam Lập",""),IF(OR(M463=phu!$I$91,M463=phu!$I$92,M463=phu!$I$93),"Cam Bình",""),IF(OR(M463=phu!$I$94,M463=phu!$I$95,M463=phu!$I$96,M463=phu!$I$97,M463=phu!$I$98,M463=phu!$I$99,M463=phu!$I$100),"Huyện khác",""),IF(OR(M463=phu!$I$101,M463=phu!$I$102),"Tỉnh khác",""))</f>
        <v/>
      </c>
      <c r="O463" s="814" t="str">
        <f t="shared" si="43"/>
        <v/>
      </c>
      <c r="P463" s="254"/>
      <c r="Q463" s="254"/>
      <c r="R463" s="254"/>
      <c r="S463" s="254"/>
      <c r="T463" s="254"/>
      <c r="U463" s="254"/>
      <c r="V463" s="254"/>
      <c r="W463" s="254"/>
      <c r="Y463" s="246" t="str">
        <f t="shared" si="44"/>
        <v/>
      </c>
      <c r="Z463" s="247" t="str">
        <f t="shared" si="42"/>
        <v/>
      </c>
      <c r="AA463" s="246" t="str">
        <f t="shared" si="45"/>
        <v/>
      </c>
    </row>
    <row r="464" spans="1:27" ht="18" customHeight="1" x14ac:dyDescent="0.25">
      <c r="A464" s="248" t="str">
        <f t="shared" si="46"/>
        <v/>
      </c>
      <c r="B464" s="249" t="str">
        <f t="shared" si="47"/>
        <v/>
      </c>
      <c r="C464" s="250"/>
      <c r="D464" s="251"/>
      <c r="E464" s="241"/>
      <c r="F464" s="252"/>
      <c r="G464" s="252"/>
      <c r="H464" s="253"/>
      <c r="I464" s="250"/>
      <c r="J464" s="250"/>
      <c r="K464" s="270"/>
      <c r="L464" s="250"/>
      <c r="M464" s="250"/>
      <c r="N464" s="553" t="str">
        <f>CONCATENATE(IF(OR(M464=phu!$I$1,M464=phu!$I$2,M464=phu!$I$3),"Cam Thành Nam",""),IF(OR(M464=phu!$I$4,M464=phu!$I$5,M464=phu!$I$6,M464=phu!$I$7,M464=phu!$I$8,M464=phu!$I$9,M464=phu!$I$10,M464=phu!$I$11,M464=phu!$I$12,M464=phu!$I$13,M464=phu!$I$14),"Cam Nghĩa",""),IF(OR(M464=phu!$I$15,M464=phu!$I$16,M464=phu!$I$17,M464=phu!$I$18,M464=phu!$I$19,M464=phu!$I$20,M464=phu!$I$21),"Cam Phúc Bắc",""),IF(OR(M464=phu!$I$22,M464=phu!$I$23,M464=phu!$I$24,M464=phu!$I$25),"Cam Phúc Nam",""),IF(OR(M464=phu!$I$26,M464=phu!$I$27,M464=phu!$I$28,M464=phu!$I$29,M464=phu!$I$30,M464=phu!$I$31),"Cam Phú",""),IF(OR(M464=phu!$I$32,M464=phu!$I$33,M464=phu!$I$34,M464=phu!$I$35,M464=phu!$I$36,M464=phu!$I$37),"Cam Lộc",""),IF(OR(M464=phu!$I$38,M464=phu!$I$39,M464=phu!$I$40,M464=phu!$I$41,M464=phu!$I$42,M464=phu!$I$43,M464=phu!$I$44),"Cam Thuận",""),IF(OR(M464=phu!$I$45,M464=phu!$I$46,M464=phu!$I$47,M464=phu!$I$48,M464=phu!$I$49,M464=phu!$I$50,M464=phu!$I$51,M464=phu!$I$52,M464=phu!$I$53),"Cam Linh",""),IF(OR(M464=phu!$I$54,M464=phu!$I$55,M464=phu!$I$56,M464=phu!$I$57,M464=phu!$I$58,M464=phu!$I$59,M464=phu!$I$60,M464=phu!$I$61,M464=phu!$I$62),"Cam Lợi",""),IF(OR(M464=phu!$I$63,M464=phu!$I$64,M464=phu!$I$65,M464=phu!$I$66,M464=phu!$I$67,M464=phu!$I$68,M464=phu!$I$69,M464=phu!$I$70,M464=phu!$I$71),"Ba Ngòi",""),IF(OR(M464=phu!$I$72,M464=phu!$I$73,M464=phu!$I$74,M464=phu!$I$75,M464=phu!$I$76,M464=phu!$I$77,M464=phu!$I$78),"Cam Phước Đông",""),IF(OR(M464=phu!$I$79,M464=phu!$I$80,M464=phu!$I$81,M464=phu!$I$82,M464=phu!$I$83,M464=phu!$I$84),"Cam Thịnh Đông",""),IF(OR(M464=phu!$I$85,M464=phu!$I$86,M464=phu!$I$87,M464=phu!$I$88),"Cam Thịnh Tây",""),IF(OR(M464=phu!$I$89,M464=phu!$I$90),"Cam Lập",""),IF(OR(M464=phu!$I$91,M464=phu!$I$92,M464=phu!$I$93),"Cam Bình",""),IF(OR(M464=phu!$I$94,M464=phu!$I$95,M464=phu!$I$96,M464=phu!$I$97,M464=phu!$I$98,M464=phu!$I$99,M464=phu!$I$100),"Huyện khác",""),IF(OR(M464=phu!$I$101,M464=phu!$I$102),"Tỉnh khác",""))</f>
        <v/>
      </c>
      <c r="O464" s="814" t="str">
        <f t="shared" si="43"/>
        <v/>
      </c>
      <c r="P464" s="254"/>
      <c r="Q464" s="254"/>
      <c r="R464" s="254"/>
      <c r="S464" s="254"/>
      <c r="T464" s="254"/>
      <c r="U464" s="254"/>
      <c r="V464" s="254"/>
      <c r="W464" s="254"/>
      <c r="Y464" s="246" t="str">
        <f t="shared" si="44"/>
        <v/>
      </c>
      <c r="Z464" s="247" t="str">
        <f t="shared" si="42"/>
        <v/>
      </c>
      <c r="AA464" s="246" t="str">
        <f t="shared" si="45"/>
        <v/>
      </c>
    </row>
    <row r="465" spans="1:27" ht="18" customHeight="1" x14ac:dyDescent="0.25">
      <c r="A465" s="248" t="str">
        <f t="shared" si="46"/>
        <v/>
      </c>
      <c r="B465" s="249" t="str">
        <f t="shared" si="47"/>
        <v/>
      </c>
      <c r="C465" s="250"/>
      <c r="D465" s="251"/>
      <c r="E465" s="241"/>
      <c r="F465" s="252"/>
      <c r="G465" s="252"/>
      <c r="H465" s="253"/>
      <c r="I465" s="250"/>
      <c r="J465" s="250"/>
      <c r="K465" s="270"/>
      <c r="L465" s="250"/>
      <c r="M465" s="250"/>
      <c r="N465" s="553" t="str">
        <f>CONCATENATE(IF(OR(M465=phu!$I$1,M465=phu!$I$2,M465=phu!$I$3),"Cam Thành Nam",""),IF(OR(M465=phu!$I$4,M465=phu!$I$5,M465=phu!$I$6,M465=phu!$I$7,M465=phu!$I$8,M465=phu!$I$9,M465=phu!$I$10,M465=phu!$I$11,M465=phu!$I$12,M465=phu!$I$13,M465=phu!$I$14),"Cam Nghĩa",""),IF(OR(M465=phu!$I$15,M465=phu!$I$16,M465=phu!$I$17,M465=phu!$I$18,M465=phu!$I$19,M465=phu!$I$20,M465=phu!$I$21),"Cam Phúc Bắc",""),IF(OR(M465=phu!$I$22,M465=phu!$I$23,M465=phu!$I$24,M465=phu!$I$25),"Cam Phúc Nam",""),IF(OR(M465=phu!$I$26,M465=phu!$I$27,M465=phu!$I$28,M465=phu!$I$29,M465=phu!$I$30,M465=phu!$I$31),"Cam Phú",""),IF(OR(M465=phu!$I$32,M465=phu!$I$33,M465=phu!$I$34,M465=phu!$I$35,M465=phu!$I$36,M465=phu!$I$37),"Cam Lộc",""),IF(OR(M465=phu!$I$38,M465=phu!$I$39,M465=phu!$I$40,M465=phu!$I$41,M465=phu!$I$42,M465=phu!$I$43,M465=phu!$I$44),"Cam Thuận",""),IF(OR(M465=phu!$I$45,M465=phu!$I$46,M465=phu!$I$47,M465=phu!$I$48,M465=phu!$I$49,M465=phu!$I$50,M465=phu!$I$51,M465=phu!$I$52,M465=phu!$I$53),"Cam Linh",""),IF(OR(M465=phu!$I$54,M465=phu!$I$55,M465=phu!$I$56,M465=phu!$I$57,M465=phu!$I$58,M465=phu!$I$59,M465=phu!$I$60,M465=phu!$I$61,M465=phu!$I$62),"Cam Lợi",""),IF(OR(M465=phu!$I$63,M465=phu!$I$64,M465=phu!$I$65,M465=phu!$I$66,M465=phu!$I$67,M465=phu!$I$68,M465=phu!$I$69,M465=phu!$I$70,M465=phu!$I$71),"Ba Ngòi",""),IF(OR(M465=phu!$I$72,M465=phu!$I$73,M465=phu!$I$74,M465=phu!$I$75,M465=phu!$I$76,M465=phu!$I$77,M465=phu!$I$78),"Cam Phước Đông",""),IF(OR(M465=phu!$I$79,M465=phu!$I$80,M465=phu!$I$81,M465=phu!$I$82,M465=phu!$I$83,M465=phu!$I$84),"Cam Thịnh Đông",""),IF(OR(M465=phu!$I$85,M465=phu!$I$86,M465=phu!$I$87,M465=phu!$I$88),"Cam Thịnh Tây",""),IF(OR(M465=phu!$I$89,M465=phu!$I$90),"Cam Lập",""),IF(OR(M465=phu!$I$91,M465=phu!$I$92,M465=phu!$I$93),"Cam Bình",""),IF(OR(M465=phu!$I$94,M465=phu!$I$95,M465=phu!$I$96,M465=phu!$I$97,M465=phu!$I$98,M465=phu!$I$99,M465=phu!$I$100),"Huyện khác",""),IF(OR(M465=phu!$I$101,M465=phu!$I$102),"Tỉnh khác",""))</f>
        <v/>
      </c>
      <c r="O465" s="814" t="str">
        <f t="shared" si="43"/>
        <v/>
      </c>
      <c r="P465" s="254"/>
      <c r="Q465" s="254"/>
      <c r="R465" s="254"/>
      <c r="S465" s="254"/>
      <c r="T465" s="254"/>
      <c r="U465" s="254"/>
      <c r="V465" s="254"/>
      <c r="W465" s="254"/>
      <c r="Y465" s="246" t="str">
        <f t="shared" si="44"/>
        <v/>
      </c>
      <c r="Z465" s="247" t="str">
        <f t="shared" si="42"/>
        <v/>
      </c>
      <c r="AA465" s="246" t="str">
        <f t="shared" si="45"/>
        <v/>
      </c>
    </row>
    <row r="466" spans="1:27" ht="18" customHeight="1" x14ac:dyDescent="0.25">
      <c r="A466" s="248" t="str">
        <f t="shared" si="46"/>
        <v/>
      </c>
      <c r="B466" s="249" t="str">
        <f t="shared" si="47"/>
        <v/>
      </c>
      <c r="C466" s="250"/>
      <c r="D466" s="251"/>
      <c r="E466" s="241"/>
      <c r="F466" s="252"/>
      <c r="G466" s="252"/>
      <c r="H466" s="253"/>
      <c r="I466" s="250"/>
      <c r="J466" s="250"/>
      <c r="K466" s="270"/>
      <c r="L466" s="250"/>
      <c r="M466" s="250"/>
      <c r="N466" s="553" t="str">
        <f>CONCATENATE(IF(OR(M466=phu!$I$1,M466=phu!$I$2,M466=phu!$I$3),"Cam Thành Nam",""),IF(OR(M466=phu!$I$4,M466=phu!$I$5,M466=phu!$I$6,M466=phu!$I$7,M466=phu!$I$8,M466=phu!$I$9,M466=phu!$I$10,M466=phu!$I$11,M466=phu!$I$12,M466=phu!$I$13,M466=phu!$I$14),"Cam Nghĩa",""),IF(OR(M466=phu!$I$15,M466=phu!$I$16,M466=phu!$I$17,M466=phu!$I$18,M466=phu!$I$19,M466=phu!$I$20,M466=phu!$I$21),"Cam Phúc Bắc",""),IF(OR(M466=phu!$I$22,M466=phu!$I$23,M466=phu!$I$24,M466=phu!$I$25),"Cam Phúc Nam",""),IF(OR(M466=phu!$I$26,M466=phu!$I$27,M466=phu!$I$28,M466=phu!$I$29,M466=phu!$I$30,M466=phu!$I$31),"Cam Phú",""),IF(OR(M466=phu!$I$32,M466=phu!$I$33,M466=phu!$I$34,M466=phu!$I$35,M466=phu!$I$36,M466=phu!$I$37),"Cam Lộc",""),IF(OR(M466=phu!$I$38,M466=phu!$I$39,M466=phu!$I$40,M466=phu!$I$41,M466=phu!$I$42,M466=phu!$I$43,M466=phu!$I$44),"Cam Thuận",""),IF(OR(M466=phu!$I$45,M466=phu!$I$46,M466=phu!$I$47,M466=phu!$I$48,M466=phu!$I$49,M466=phu!$I$50,M466=phu!$I$51,M466=phu!$I$52,M466=phu!$I$53),"Cam Linh",""),IF(OR(M466=phu!$I$54,M466=phu!$I$55,M466=phu!$I$56,M466=phu!$I$57,M466=phu!$I$58,M466=phu!$I$59,M466=phu!$I$60,M466=phu!$I$61,M466=phu!$I$62),"Cam Lợi",""),IF(OR(M466=phu!$I$63,M466=phu!$I$64,M466=phu!$I$65,M466=phu!$I$66,M466=phu!$I$67,M466=phu!$I$68,M466=phu!$I$69,M466=phu!$I$70,M466=phu!$I$71),"Ba Ngòi",""),IF(OR(M466=phu!$I$72,M466=phu!$I$73,M466=phu!$I$74,M466=phu!$I$75,M466=phu!$I$76,M466=phu!$I$77,M466=phu!$I$78),"Cam Phước Đông",""),IF(OR(M466=phu!$I$79,M466=phu!$I$80,M466=phu!$I$81,M466=phu!$I$82,M466=phu!$I$83,M466=phu!$I$84),"Cam Thịnh Đông",""),IF(OR(M466=phu!$I$85,M466=phu!$I$86,M466=phu!$I$87,M466=phu!$I$88),"Cam Thịnh Tây",""),IF(OR(M466=phu!$I$89,M466=phu!$I$90),"Cam Lập",""),IF(OR(M466=phu!$I$91,M466=phu!$I$92,M466=phu!$I$93),"Cam Bình",""),IF(OR(M466=phu!$I$94,M466=phu!$I$95,M466=phu!$I$96,M466=phu!$I$97,M466=phu!$I$98,M466=phu!$I$99,M466=phu!$I$100),"Huyện khác",""),IF(OR(M466=phu!$I$101,M466=phu!$I$102),"Tỉnh khác",""))</f>
        <v/>
      </c>
      <c r="O466" s="814" t="str">
        <f t="shared" si="43"/>
        <v/>
      </c>
      <c r="P466" s="254"/>
      <c r="Q466" s="254"/>
      <c r="R466" s="254"/>
      <c r="S466" s="254"/>
      <c r="T466" s="254"/>
      <c r="U466" s="254"/>
      <c r="V466" s="254"/>
      <c r="W466" s="254"/>
      <c r="Y466" s="246" t="str">
        <f t="shared" si="44"/>
        <v/>
      </c>
      <c r="Z466" s="247" t="str">
        <f t="shared" si="42"/>
        <v/>
      </c>
      <c r="AA466" s="246" t="str">
        <f t="shared" si="45"/>
        <v/>
      </c>
    </row>
    <row r="467" spans="1:27" ht="18" customHeight="1" x14ac:dyDescent="0.25">
      <c r="A467" s="248" t="str">
        <f t="shared" si="46"/>
        <v/>
      </c>
      <c r="B467" s="249" t="str">
        <f t="shared" si="47"/>
        <v/>
      </c>
      <c r="C467" s="250"/>
      <c r="D467" s="251"/>
      <c r="E467" s="241"/>
      <c r="F467" s="252"/>
      <c r="G467" s="252"/>
      <c r="H467" s="253"/>
      <c r="I467" s="250"/>
      <c r="J467" s="250"/>
      <c r="K467" s="270"/>
      <c r="L467" s="250"/>
      <c r="M467" s="250"/>
      <c r="N467" s="553" t="str">
        <f>CONCATENATE(IF(OR(M467=phu!$I$1,M467=phu!$I$2,M467=phu!$I$3),"Cam Thành Nam",""),IF(OR(M467=phu!$I$4,M467=phu!$I$5,M467=phu!$I$6,M467=phu!$I$7,M467=phu!$I$8,M467=phu!$I$9,M467=phu!$I$10,M467=phu!$I$11,M467=phu!$I$12,M467=phu!$I$13,M467=phu!$I$14),"Cam Nghĩa",""),IF(OR(M467=phu!$I$15,M467=phu!$I$16,M467=phu!$I$17,M467=phu!$I$18,M467=phu!$I$19,M467=phu!$I$20,M467=phu!$I$21),"Cam Phúc Bắc",""),IF(OR(M467=phu!$I$22,M467=phu!$I$23,M467=phu!$I$24,M467=phu!$I$25),"Cam Phúc Nam",""),IF(OR(M467=phu!$I$26,M467=phu!$I$27,M467=phu!$I$28,M467=phu!$I$29,M467=phu!$I$30,M467=phu!$I$31),"Cam Phú",""),IF(OR(M467=phu!$I$32,M467=phu!$I$33,M467=phu!$I$34,M467=phu!$I$35,M467=phu!$I$36,M467=phu!$I$37),"Cam Lộc",""),IF(OR(M467=phu!$I$38,M467=phu!$I$39,M467=phu!$I$40,M467=phu!$I$41,M467=phu!$I$42,M467=phu!$I$43,M467=phu!$I$44),"Cam Thuận",""),IF(OR(M467=phu!$I$45,M467=phu!$I$46,M467=phu!$I$47,M467=phu!$I$48,M467=phu!$I$49,M467=phu!$I$50,M467=phu!$I$51,M467=phu!$I$52,M467=phu!$I$53),"Cam Linh",""),IF(OR(M467=phu!$I$54,M467=phu!$I$55,M467=phu!$I$56,M467=phu!$I$57,M467=phu!$I$58,M467=phu!$I$59,M467=phu!$I$60,M467=phu!$I$61,M467=phu!$I$62),"Cam Lợi",""),IF(OR(M467=phu!$I$63,M467=phu!$I$64,M467=phu!$I$65,M467=phu!$I$66,M467=phu!$I$67,M467=phu!$I$68,M467=phu!$I$69,M467=phu!$I$70,M467=phu!$I$71),"Ba Ngòi",""),IF(OR(M467=phu!$I$72,M467=phu!$I$73,M467=phu!$I$74,M467=phu!$I$75,M467=phu!$I$76,M467=phu!$I$77,M467=phu!$I$78),"Cam Phước Đông",""),IF(OR(M467=phu!$I$79,M467=phu!$I$80,M467=phu!$I$81,M467=phu!$I$82,M467=phu!$I$83,M467=phu!$I$84),"Cam Thịnh Đông",""),IF(OR(M467=phu!$I$85,M467=phu!$I$86,M467=phu!$I$87,M467=phu!$I$88),"Cam Thịnh Tây",""),IF(OR(M467=phu!$I$89,M467=phu!$I$90),"Cam Lập",""),IF(OR(M467=phu!$I$91,M467=phu!$I$92,M467=phu!$I$93),"Cam Bình",""),IF(OR(M467=phu!$I$94,M467=phu!$I$95,M467=phu!$I$96,M467=phu!$I$97,M467=phu!$I$98,M467=phu!$I$99,M467=phu!$I$100),"Huyện khác",""),IF(OR(M467=phu!$I$101,M467=phu!$I$102),"Tỉnh khác",""))</f>
        <v/>
      </c>
      <c r="O467" s="814" t="str">
        <f t="shared" si="43"/>
        <v/>
      </c>
      <c r="P467" s="254"/>
      <c r="Q467" s="254"/>
      <c r="R467" s="254"/>
      <c r="S467" s="254"/>
      <c r="T467" s="254"/>
      <c r="U467" s="254"/>
      <c r="V467" s="254"/>
      <c r="W467" s="254"/>
      <c r="Y467" s="246" t="str">
        <f t="shared" si="44"/>
        <v/>
      </c>
      <c r="Z467" s="247" t="str">
        <f t="shared" si="42"/>
        <v/>
      </c>
      <c r="AA467" s="246" t="str">
        <f t="shared" si="45"/>
        <v/>
      </c>
    </row>
    <row r="468" spans="1:27" ht="18" customHeight="1" x14ac:dyDescent="0.25">
      <c r="A468" s="248" t="str">
        <f t="shared" si="46"/>
        <v/>
      </c>
      <c r="B468" s="249" t="str">
        <f t="shared" si="47"/>
        <v/>
      </c>
      <c r="C468" s="250"/>
      <c r="D468" s="251"/>
      <c r="E468" s="241"/>
      <c r="F468" s="252"/>
      <c r="G468" s="252"/>
      <c r="H468" s="253"/>
      <c r="I468" s="250"/>
      <c r="J468" s="250"/>
      <c r="K468" s="270"/>
      <c r="L468" s="250"/>
      <c r="M468" s="250"/>
      <c r="N468" s="553" t="str">
        <f>CONCATENATE(IF(OR(M468=phu!$I$1,M468=phu!$I$2,M468=phu!$I$3),"Cam Thành Nam",""),IF(OR(M468=phu!$I$4,M468=phu!$I$5,M468=phu!$I$6,M468=phu!$I$7,M468=phu!$I$8,M468=phu!$I$9,M468=phu!$I$10,M468=phu!$I$11,M468=phu!$I$12,M468=phu!$I$13,M468=phu!$I$14),"Cam Nghĩa",""),IF(OR(M468=phu!$I$15,M468=phu!$I$16,M468=phu!$I$17,M468=phu!$I$18,M468=phu!$I$19,M468=phu!$I$20,M468=phu!$I$21),"Cam Phúc Bắc",""),IF(OR(M468=phu!$I$22,M468=phu!$I$23,M468=phu!$I$24,M468=phu!$I$25),"Cam Phúc Nam",""),IF(OR(M468=phu!$I$26,M468=phu!$I$27,M468=phu!$I$28,M468=phu!$I$29,M468=phu!$I$30,M468=phu!$I$31),"Cam Phú",""),IF(OR(M468=phu!$I$32,M468=phu!$I$33,M468=phu!$I$34,M468=phu!$I$35,M468=phu!$I$36,M468=phu!$I$37),"Cam Lộc",""),IF(OR(M468=phu!$I$38,M468=phu!$I$39,M468=phu!$I$40,M468=phu!$I$41,M468=phu!$I$42,M468=phu!$I$43,M468=phu!$I$44),"Cam Thuận",""),IF(OR(M468=phu!$I$45,M468=phu!$I$46,M468=phu!$I$47,M468=phu!$I$48,M468=phu!$I$49,M468=phu!$I$50,M468=phu!$I$51,M468=phu!$I$52,M468=phu!$I$53),"Cam Linh",""),IF(OR(M468=phu!$I$54,M468=phu!$I$55,M468=phu!$I$56,M468=phu!$I$57,M468=phu!$I$58,M468=phu!$I$59,M468=phu!$I$60,M468=phu!$I$61,M468=phu!$I$62),"Cam Lợi",""),IF(OR(M468=phu!$I$63,M468=phu!$I$64,M468=phu!$I$65,M468=phu!$I$66,M468=phu!$I$67,M468=phu!$I$68,M468=phu!$I$69,M468=phu!$I$70,M468=phu!$I$71),"Ba Ngòi",""),IF(OR(M468=phu!$I$72,M468=phu!$I$73,M468=phu!$I$74,M468=phu!$I$75,M468=phu!$I$76,M468=phu!$I$77,M468=phu!$I$78),"Cam Phước Đông",""),IF(OR(M468=phu!$I$79,M468=phu!$I$80,M468=phu!$I$81,M468=phu!$I$82,M468=phu!$I$83,M468=phu!$I$84),"Cam Thịnh Đông",""),IF(OR(M468=phu!$I$85,M468=phu!$I$86,M468=phu!$I$87,M468=phu!$I$88),"Cam Thịnh Tây",""),IF(OR(M468=phu!$I$89,M468=phu!$I$90),"Cam Lập",""),IF(OR(M468=phu!$I$91,M468=phu!$I$92,M468=phu!$I$93),"Cam Bình",""),IF(OR(M468=phu!$I$94,M468=phu!$I$95,M468=phu!$I$96,M468=phu!$I$97,M468=phu!$I$98,M468=phu!$I$99,M468=phu!$I$100),"Huyện khác",""),IF(OR(M468=phu!$I$101,M468=phu!$I$102),"Tỉnh khác",""))</f>
        <v/>
      </c>
      <c r="O468" s="814" t="str">
        <f t="shared" si="43"/>
        <v/>
      </c>
      <c r="P468" s="254"/>
      <c r="Q468" s="254"/>
      <c r="R468" s="254"/>
      <c r="S468" s="254"/>
      <c r="T468" s="254"/>
      <c r="U468" s="254"/>
      <c r="V468" s="254"/>
      <c r="W468" s="254"/>
      <c r="Y468" s="246" t="str">
        <f t="shared" si="44"/>
        <v/>
      </c>
      <c r="Z468" s="247" t="str">
        <f t="shared" si="42"/>
        <v/>
      </c>
      <c r="AA468" s="246" t="str">
        <f t="shared" si="45"/>
        <v/>
      </c>
    </row>
    <row r="469" spans="1:27" ht="18" customHeight="1" x14ac:dyDescent="0.25">
      <c r="A469" s="248" t="str">
        <f t="shared" si="46"/>
        <v/>
      </c>
      <c r="B469" s="249" t="str">
        <f t="shared" si="47"/>
        <v/>
      </c>
      <c r="C469" s="250"/>
      <c r="D469" s="251"/>
      <c r="E469" s="241"/>
      <c r="F469" s="252"/>
      <c r="G469" s="252"/>
      <c r="H469" s="253"/>
      <c r="I469" s="250"/>
      <c r="J469" s="250"/>
      <c r="K469" s="270"/>
      <c r="L469" s="250"/>
      <c r="M469" s="250"/>
      <c r="N469" s="553" t="str">
        <f>CONCATENATE(IF(OR(M469=phu!$I$1,M469=phu!$I$2,M469=phu!$I$3),"Cam Thành Nam",""),IF(OR(M469=phu!$I$4,M469=phu!$I$5,M469=phu!$I$6,M469=phu!$I$7,M469=phu!$I$8,M469=phu!$I$9,M469=phu!$I$10,M469=phu!$I$11,M469=phu!$I$12,M469=phu!$I$13,M469=phu!$I$14),"Cam Nghĩa",""),IF(OR(M469=phu!$I$15,M469=phu!$I$16,M469=phu!$I$17,M469=phu!$I$18,M469=phu!$I$19,M469=phu!$I$20,M469=phu!$I$21),"Cam Phúc Bắc",""),IF(OR(M469=phu!$I$22,M469=phu!$I$23,M469=phu!$I$24,M469=phu!$I$25),"Cam Phúc Nam",""),IF(OR(M469=phu!$I$26,M469=phu!$I$27,M469=phu!$I$28,M469=phu!$I$29,M469=phu!$I$30,M469=phu!$I$31),"Cam Phú",""),IF(OR(M469=phu!$I$32,M469=phu!$I$33,M469=phu!$I$34,M469=phu!$I$35,M469=phu!$I$36,M469=phu!$I$37),"Cam Lộc",""),IF(OR(M469=phu!$I$38,M469=phu!$I$39,M469=phu!$I$40,M469=phu!$I$41,M469=phu!$I$42,M469=phu!$I$43,M469=phu!$I$44),"Cam Thuận",""),IF(OR(M469=phu!$I$45,M469=phu!$I$46,M469=phu!$I$47,M469=phu!$I$48,M469=phu!$I$49,M469=phu!$I$50,M469=phu!$I$51,M469=phu!$I$52,M469=phu!$I$53),"Cam Linh",""),IF(OR(M469=phu!$I$54,M469=phu!$I$55,M469=phu!$I$56,M469=phu!$I$57,M469=phu!$I$58,M469=phu!$I$59,M469=phu!$I$60,M469=phu!$I$61,M469=phu!$I$62),"Cam Lợi",""),IF(OR(M469=phu!$I$63,M469=phu!$I$64,M469=phu!$I$65,M469=phu!$I$66,M469=phu!$I$67,M469=phu!$I$68,M469=phu!$I$69,M469=phu!$I$70,M469=phu!$I$71),"Ba Ngòi",""),IF(OR(M469=phu!$I$72,M469=phu!$I$73,M469=phu!$I$74,M469=phu!$I$75,M469=phu!$I$76,M469=phu!$I$77,M469=phu!$I$78),"Cam Phước Đông",""),IF(OR(M469=phu!$I$79,M469=phu!$I$80,M469=phu!$I$81,M469=phu!$I$82,M469=phu!$I$83,M469=phu!$I$84),"Cam Thịnh Đông",""),IF(OR(M469=phu!$I$85,M469=phu!$I$86,M469=phu!$I$87,M469=phu!$I$88),"Cam Thịnh Tây",""),IF(OR(M469=phu!$I$89,M469=phu!$I$90),"Cam Lập",""),IF(OR(M469=phu!$I$91,M469=phu!$I$92,M469=phu!$I$93),"Cam Bình",""),IF(OR(M469=phu!$I$94,M469=phu!$I$95,M469=phu!$I$96,M469=phu!$I$97,M469=phu!$I$98,M469=phu!$I$99,M469=phu!$I$100),"Huyện khác",""),IF(OR(M469=phu!$I$101,M469=phu!$I$102),"Tỉnh khác",""))</f>
        <v/>
      </c>
      <c r="O469" s="814" t="str">
        <f t="shared" si="43"/>
        <v/>
      </c>
      <c r="P469" s="254"/>
      <c r="Q469" s="254"/>
      <c r="R469" s="254"/>
      <c r="S469" s="254"/>
      <c r="T469" s="254"/>
      <c r="U469" s="254"/>
      <c r="V469" s="254"/>
      <c r="W469" s="254"/>
      <c r="Y469" s="246" t="str">
        <f t="shared" si="44"/>
        <v/>
      </c>
      <c r="Z469" s="247" t="str">
        <f t="shared" si="42"/>
        <v/>
      </c>
      <c r="AA469" s="246" t="str">
        <f t="shared" si="45"/>
        <v/>
      </c>
    </row>
    <row r="470" spans="1:27" ht="18" customHeight="1" x14ac:dyDescent="0.25">
      <c r="A470" s="248" t="str">
        <f t="shared" si="46"/>
        <v/>
      </c>
      <c r="B470" s="249" t="str">
        <f t="shared" si="47"/>
        <v/>
      </c>
      <c r="C470" s="250"/>
      <c r="D470" s="251"/>
      <c r="E470" s="241"/>
      <c r="F470" s="252"/>
      <c r="G470" s="252"/>
      <c r="H470" s="253"/>
      <c r="I470" s="250"/>
      <c r="J470" s="250"/>
      <c r="K470" s="270"/>
      <c r="L470" s="250"/>
      <c r="M470" s="250"/>
      <c r="N470" s="553" t="str">
        <f>CONCATENATE(IF(OR(M470=phu!$I$1,M470=phu!$I$2,M470=phu!$I$3),"Cam Thành Nam",""),IF(OR(M470=phu!$I$4,M470=phu!$I$5,M470=phu!$I$6,M470=phu!$I$7,M470=phu!$I$8,M470=phu!$I$9,M470=phu!$I$10,M470=phu!$I$11,M470=phu!$I$12,M470=phu!$I$13,M470=phu!$I$14),"Cam Nghĩa",""),IF(OR(M470=phu!$I$15,M470=phu!$I$16,M470=phu!$I$17,M470=phu!$I$18,M470=phu!$I$19,M470=phu!$I$20,M470=phu!$I$21),"Cam Phúc Bắc",""),IF(OR(M470=phu!$I$22,M470=phu!$I$23,M470=phu!$I$24,M470=phu!$I$25),"Cam Phúc Nam",""),IF(OR(M470=phu!$I$26,M470=phu!$I$27,M470=phu!$I$28,M470=phu!$I$29,M470=phu!$I$30,M470=phu!$I$31),"Cam Phú",""),IF(OR(M470=phu!$I$32,M470=phu!$I$33,M470=phu!$I$34,M470=phu!$I$35,M470=phu!$I$36,M470=phu!$I$37),"Cam Lộc",""),IF(OR(M470=phu!$I$38,M470=phu!$I$39,M470=phu!$I$40,M470=phu!$I$41,M470=phu!$I$42,M470=phu!$I$43,M470=phu!$I$44),"Cam Thuận",""),IF(OR(M470=phu!$I$45,M470=phu!$I$46,M470=phu!$I$47,M470=phu!$I$48,M470=phu!$I$49,M470=phu!$I$50,M470=phu!$I$51,M470=phu!$I$52,M470=phu!$I$53),"Cam Linh",""),IF(OR(M470=phu!$I$54,M470=phu!$I$55,M470=phu!$I$56,M470=phu!$I$57,M470=phu!$I$58,M470=phu!$I$59,M470=phu!$I$60,M470=phu!$I$61,M470=phu!$I$62),"Cam Lợi",""),IF(OR(M470=phu!$I$63,M470=phu!$I$64,M470=phu!$I$65,M470=phu!$I$66,M470=phu!$I$67,M470=phu!$I$68,M470=phu!$I$69,M470=phu!$I$70,M470=phu!$I$71),"Ba Ngòi",""),IF(OR(M470=phu!$I$72,M470=phu!$I$73,M470=phu!$I$74,M470=phu!$I$75,M470=phu!$I$76,M470=phu!$I$77,M470=phu!$I$78),"Cam Phước Đông",""),IF(OR(M470=phu!$I$79,M470=phu!$I$80,M470=phu!$I$81,M470=phu!$I$82,M470=phu!$I$83,M470=phu!$I$84),"Cam Thịnh Đông",""),IF(OR(M470=phu!$I$85,M470=phu!$I$86,M470=phu!$I$87,M470=phu!$I$88),"Cam Thịnh Tây",""),IF(OR(M470=phu!$I$89,M470=phu!$I$90),"Cam Lập",""),IF(OR(M470=phu!$I$91,M470=phu!$I$92,M470=phu!$I$93),"Cam Bình",""),IF(OR(M470=phu!$I$94,M470=phu!$I$95,M470=phu!$I$96,M470=phu!$I$97,M470=phu!$I$98,M470=phu!$I$99,M470=phu!$I$100),"Huyện khác",""),IF(OR(M470=phu!$I$101,M470=phu!$I$102),"Tỉnh khác",""))</f>
        <v/>
      </c>
      <c r="O470" s="814" t="str">
        <f t="shared" si="43"/>
        <v/>
      </c>
      <c r="P470" s="254"/>
      <c r="Q470" s="254"/>
      <c r="R470" s="254"/>
      <c r="S470" s="254"/>
      <c r="T470" s="254"/>
      <c r="U470" s="254"/>
      <c r="V470" s="254"/>
      <c r="W470" s="254"/>
      <c r="Y470" s="246" t="str">
        <f t="shared" si="44"/>
        <v/>
      </c>
      <c r="Z470" s="247" t="str">
        <f t="shared" si="42"/>
        <v/>
      </c>
      <c r="AA470" s="246" t="str">
        <f t="shared" si="45"/>
        <v/>
      </c>
    </row>
    <row r="471" spans="1:27" ht="18" customHeight="1" x14ac:dyDescent="0.25">
      <c r="A471" s="248" t="str">
        <f t="shared" si="46"/>
        <v/>
      </c>
      <c r="B471" s="249" t="str">
        <f t="shared" si="47"/>
        <v/>
      </c>
      <c r="C471" s="250"/>
      <c r="D471" s="251"/>
      <c r="E471" s="241"/>
      <c r="F471" s="252"/>
      <c r="G471" s="252"/>
      <c r="H471" s="253"/>
      <c r="I471" s="250"/>
      <c r="J471" s="250"/>
      <c r="K471" s="270"/>
      <c r="L471" s="250"/>
      <c r="M471" s="250"/>
      <c r="N471" s="553" t="str">
        <f>CONCATENATE(IF(OR(M471=phu!$I$1,M471=phu!$I$2,M471=phu!$I$3),"Cam Thành Nam",""),IF(OR(M471=phu!$I$4,M471=phu!$I$5,M471=phu!$I$6,M471=phu!$I$7,M471=phu!$I$8,M471=phu!$I$9,M471=phu!$I$10,M471=phu!$I$11,M471=phu!$I$12,M471=phu!$I$13,M471=phu!$I$14),"Cam Nghĩa",""),IF(OR(M471=phu!$I$15,M471=phu!$I$16,M471=phu!$I$17,M471=phu!$I$18,M471=phu!$I$19,M471=phu!$I$20,M471=phu!$I$21),"Cam Phúc Bắc",""),IF(OR(M471=phu!$I$22,M471=phu!$I$23,M471=phu!$I$24,M471=phu!$I$25),"Cam Phúc Nam",""),IF(OR(M471=phu!$I$26,M471=phu!$I$27,M471=phu!$I$28,M471=phu!$I$29,M471=phu!$I$30,M471=phu!$I$31),"Cam Phú",""),IF(OR(M471=phu!$I$32,M471=phu!$I$33,M471=phu!$I$34,M471=phu!$I$35,M471=phu!$I$36,M471=phu!$I$37),"Cam Lộc",""),IF(OR(M471=phu!$I$38,M471=phu!$I$39,M471=phu!$I$40,M471=phu!$I$41,M471=phu!$I$42,M471=phu!$I$43,M471=phu!$I$44),"Cam Thuận",""),IF(OR(M471=phu!$I$45,M471=phu!$I$46,M471=phu!$I$47,M471=phu!$I$48,M471=phu!$I$49,M471=phu!$I$50,M471=phu!$I$51,M471=phu!$I$52,M471=phu!$I$53),"Cam Linh",""),IF(OR(M471=phu!$I$54,M471=phu!$I$55,M471=phu!$I$56,M471=phu!$I$57,M471=phu!$I$58,M471=phu!$I$59,M471=phu!$I$60,M471=phu!$I$61,M471=phu!$I$62),"Cam Lợi",""),IF(OR(M471=phu!$I$63,M471=phu!$I$64,M471=phu!$I$65,M471=phu!$I$66,M471=phu!$I$67,M471=phu!$I$68,M471=phu!$I$69,M471=phu!$I$70,M471=phu!$I$71),"Ba Ngòi",""),IF(OR(M471=phu!$I$72,M471=phu!$I$73,M471=phu!$I$74,M471=phu!$I$75,M471=phu!$I$76,M471=phu!$I$77,M471=phu!$I$78),"Cam Phước Đông",""),IF(OR(M471=phu!$I$79,M471=phu!$I$80,M471=phu!$I$81,M471=phu!$I$82,M471=phu!$I$83,M471=phu!$I$84),"Cam Thịnh Đông",""),IF(OR(M471=phu!$I$85,M471=phu!$I$86,M471=phu!$I$87,M471=phu!$I$88),"Cam Thịnh Tây",""),IF(OR(M471=phu!$I$89,M471=phu!$I$90),"Cam Lập",""),IF(OR(M471=phu!$I$91,M471=phu!$I$92,M471=phu!$I$93),"Cam Bình",""),IF(OR(M471=phu!$I$94,M471=phu!$I$95,M471=phu!$I$96,M471=phu!$I$97,M471=phu!$I$98,M471=phu!$I$99,M471=phu!$I$100),"Huyện khác",""),IF(OR(M471=phu!$I$101,M471=phu!$I$102),"Tỉnh khác",""))</f>
        <v/>
      </c>
      <c r="O471" s="814" t="str">
        <f t="shared" si="43"/>
        <v/>
      </c>
      <c r="P471" s="254"/>
      <c r="Q471" s="254"/>
      <c r="R471" s="254"/>
      <c r="S471" s="254"/>
      <c r="T471" s="254"/>
      <c r="U471" s="254"/>
      <c r="V471" s="254"/>
      <c r="W471" s="254"/>
      <c r="Y471" s="246" t="str">
        <f t="shared" si="44"/>
        <v/>
      </c>
      <c r="Z471" s="247" t="str">
        <f t="shared" si="42"/>
        <v/>
      </c>
      <c r="AA471" s="246" t="str">
        <f t="shared" si="45"/>
        <v/>
      </c>
    </row>
    <row r="472" spans="1:27" ht="18" customHeight="1" x14ac:dyDescent="0.25">
      <c r="A472" s="248" t="str">
        <f t="shared" si="46"/>
        <v/>
      </c>
      <c r="B472" s="249" t="str">
        <f t="shared" si="47"/>
        <v/>
      </c>
      <c r="C472" s="250"/>
      <c r="D472" s="251"/>
      <c r="E472" s="241"/>
      <c r="F472" s="252"/>
      <c r="G472" s="252"/>
      <c r="H472" s="253"/>
      <c r="I472" s="250"/>
      <c r="J472" s="250"/>
      <c r="K472" s="270"/>
      <c r="L472" s="250"/>
      <c r="M472" s="250"/>
      <c r="N472" s="553" t="str">
        <f>CONCATENATE(IF(OR(M472=phu!$I$1,M472=phu!$I$2,M472=phu!$I$3),"Cam Thành Nam",""),IF(OR(M472=phu!$I$4,M472=phu!$I$5,M472=phu!$I$6,M472=phu!$I$7,M472=phu!$I$8,M472=phu!$I$9,M472=phu!$I$10,M472=phu!$I$11,M472=phu!$I$12,M472=phu!$I$13,M472=phu!$I$14),"Cam Nghĩa",""),IF(OR(M472=phu!$I$15,M472=phu!$I$16,M472=phu!$I$17,M472=phu!$I$18,M472=phu!$I$19,M472=phu!$I$20,M472=phu!$I$21),"Cam Phúc Bắc",""),IF(OR(M472=phu!$I$22,M472=phu!$I$23,M472=phu!$I$24,M472=phu!$I$25),"Cam Phúc Nam",""),IF(OR(M472=phu!$I$26,M472=phu!$I$27,M472=phu!$I$28,M472=phu!$I$29,M472=phu!$I$30,M472=phu!$I$31),"Cam Phú",""),IF(OR(M472=phu!$I$32,M472=phu!$I$33,M472=phu!$I$34,M472=phu!$I$35,M472=phu!$I$36,M472=phu!$I$37),"Cam Lộc",""),IF(OR(M472=phu!$I$38,M472=phu!$I$39,M472=phu!$I$40,M472=phu!$I$41,M472=phu!$I$42,M472=phu!$I$43,M472=phu!$I$44),"Cam Thuận",""),IF(OR(M472=phu!$I$45,M472=phu!$I$46,M472=phu!$I$47,M472=phu!$I$48,M472=phu!$I$49,M472=phu!$I$50,M472=phu!$I$51,M472=phu!$I$52,M472=phu!$I$53),"Cam Linh",""),IF(OR(M472=phu!$I$54,M472=phu!$I$55,M472=phu!$I$56,M472=phu!$I$57,M472=phu!$I$58,M472=phu!$I$59,M472=phu!$I$60,M472=phu!$I$61,M472=phu!$I$62),"Cam Lợi",""),IF(OR(M472=phu!$I$63,M472=phu!$I$64,M472=phu!$I$65,M472=phu!$I$66,M472=phu!$I$67,M472=phu!$I$68,M472=phu!$I$69,M472=phu!$I$70,M472=phu!$I$71),"Ba Ngòi",""),IF(OR(M472=phu!$I$72,M472=phu!$I$73,M472=phu!$I$74,M472=phu!$I$75,M472=phu!$I$76,M472=phu!$I$77,M472=phu!$I$78),"Cam Phước Đông",""),IF(OR(M472=phu!$I$79,M472=phu!$I$80,M472=phu!$I$81,M472=phu!$I$82,M472=phu!$I$83,M472=phu!$I$84),"Cam Thịnh Đông",""),IF(OR(M472=phu!$I$85,M472=phu!$I$86,M472=phu!$I$87,M472=phu!$I$88),"Cam Thịnh Tây",""),IF(OR(M472=phu!$I$89,M472=phu!$I$90),"Cam Lập",""),IF(OR(M472=phu!$I$91,M472=phu!$I$92,M472=phu!$I$93),"Cam Bình",""),IF(OR(M472=phu!$I$94,M472=phu!$I$95,M472=phu!$I$96,M472=phu!$I$97,M472=phu!$I$98,M472=phu!$I$99,M472=phu!$I$100),"Huyện khác",""),IF(OR(M472=phu!$I$101,M472=phu!$I$102),"Tỉnh khác",""))</f>
        <v/>
      </c>
      <c r="O472" s="814" t="str">
        <f t="shared" si="43"/>
        <v/>
      </c>
      <c r="P472" s="254"/>
      <c r="Q472" s="254"/>
      <c r="R472" s="254"/>
      <c r="S472" s="254"/>
      <c r="T472" s="254"/>
      <c r="U472" s="254"/>
      <c r="V472" s="254"/>
      <c r="W472" s="254"/>
      <c r="Y472" s="246" t="str">
        <f t="shared" si="44"/>
        <v/>
      </c>
      <c r="Z472" s="247" t="str">
        <f t="shared" si="42"/>
        <v/>
      </c>
      <c r="AA472" s="246" t="str">
        <f t="shared" si="45"/>
        <v/>
      </c>
    </row>
    <row r="473" spans="1:27" ht="18" customHeight="1" x14ac:dyDescent="0.25">
      <c r="A473" s="248" t="str">
        <f t="shared" si="46"/>
        <v/>
      </c>
      <c r="B473" s="249" t="str">
        <f t="shared" si="47"/>
        <v/>
      </c>
      <c r="C473" s="250"/>
      <c r="D473" s="251"/>
      <c r="E473" s="241"/>
      <c r="F473" s="252"/>
      <c r="G473" s="252"/>
      <c r="H473" s="253"/>
      <c r="I473" s="250"/>
      <c r="J473" s="250"/>
      <c r="K473" s="270"/>
      <c r="L473" s="250"/>
      <c r="M473" s="250"/>
      <c r="N473" s="553" t="str">
        <f>CONCATENATE(IF(OR(M473=phu!$I$1,M473=phu!$I$2,M473=phu!$I$3),"Cam Thành Nam",""),IF(OR(M473=phu!$I$4,M473=phu!$I$5,M473=phu!$I$6,M473=phu!$I$7,M473=phu!$I$8,M473=phu!$I$9,M473=phu!$I$10,M473=phu!$I$11,M473=phu!$I$12,M473=phu!$I$13,M473=phu!$I$14),"Cam Nghĩa",""),IF(OR(M473=phu!$I$15,M473=phu!$I$16,M473=phu!$I$17,M473=phu!$I$18,M473=phu!$I$19,M473=phu!$I$20,M473=phu!$I$21),"Cam Phúc Bắc",""),IF(OR(M473=phu!$I$22,M473=phu!$I$23,M473=phu!$I$24,M473=phu!$I$25),"Cam Phúc Nam",""),IF(OR(M473=phu!$I$26,M473=phu!$I$27,M473=phu!$I$28,M473=phu!$I$29,M473=phu!$I$30,M473=phu!$I$31),"Cam Phú",""),IF(OR(M473=phu!$I$32,M473=phu!$I$33,M473=phu!$I$34,M473=phu!$I$35,M473=phu!$I$36,M473=phu!$I$37),"Cam Lộc",""),IF(OR(M473=phu!$I$38,M473=phu!$I$39,M473=phu!$I$40,M473=phu!$I$41,M473=phu!$I$42,M473=phu!$I$43,M473=phu!$I$44),"Cam Thuận",""),IF(OR(M473=phu!$I$45,M473=phu!$I$46,M473=phu!$I$47,M473=phu!$I$48,M473=phu!$I$49,M473=phu!$I$50,M473=phu!$I$51,M473=phu!$I$52,M473=phu!$I$53),"Cam Linh",""),IF(OR(M473=phu!$I$54,M473=phu!$I$55,M473=phu!$I$56,M473=phu!$I$57,M473=phu!$I$58,M473=phu!$I$59,M473=phu!$I$60,M473=phu!$I$61,M473=phu!$I$62),"Cam Lợi",""),IF(OR(M473=phu!$I$63,M473=phu!$I$64,M473=phu!$I$65,M473=phu!$I$66,M473=phu!$I$67,M473=phu!$I$68,M473=phu!$I$69,M473=phu!$I$70,M473=phu!$I$71),"Ba Ngòi",""),IF(OR(M473=phu!$I$72,M473=phu!$I$73,M473=phu!$I$74,M473=phu!$I$75,M473=phu!$I$76,M473=phu!$I$77,M473=phu!$I$78),"Cam Phước Đông",""),IF(OR(M473=phu!$I$79,M473=phu!$I$80,M473=phu!$I$81,M473=phu!$I$82,M473=phu!$I$83,M473=phu!$I$84),"Cam Thịnh Đông",""),IF(OR(M473=phu!$I$85,M473=phu!$I$86,M473=phu!$I$87,M473=phu!$I$88),"Cam Thịnh Tây",""),IF(OR(M473=phu!$I$89,M473=phu!$I$90),"Cam Lập",""),IF(OR(M473=phu!$I$91,M473=phu!$I$92,M473=phu!$I$93),"Cam Bình",""),IF(OR(M473=phu!$I$94,M473=phu!$I$95,M473=phu!$I$96,M473=phu!$I$97,M473=phu!$I$98,M473=phu!$I$99,M473=phu!$I$100),"Huyện khác",""),IF(OR(M473=phu!$I$101,M473=phu!$I$102),"Tỉnh khác",""))</f>
        <v/>
      </c>
      <c r="O473" s="814" t="str">
        <f t="shared" si="43"/>
        <v/>
      </c>
      <c r="P473" s="254"/>
      <c r="Q473" s="254"/>
      <c r="R473" s="254"/>
      <c r="S473" s="254"/>
      <c r="T473" s="254"/>
      <c r="U473" s="254"/>
      <c r="V473" s="254"/>
      <c r="W473" s="254"/>
      <c r="Y473" s="246" t="str">
        <f t="shared" si="44"/>
        <v/>
      </c>
      <c r="Z473" s="247" t="str">
        <f t="shared" si="42"/>
        <v/>
      </c>
      <c r="AA473" s="246" t="str">
        <f t="shared" si="45"/>
        <v/>
      </c>
    </row>
    <row r="474" spans="1:27" ht="18" customHeight="1" x14ac:dyDescent="0.25">
      <c r="A474" s="248" t="str">
        <f t="shared" si="46"/>
        <v/>
      </c>
      <c r="B474" s="249" t="str">
        <f t="shared" si="47"/>
        <v/>
      </c>
      <c r="C474" s="250"/>
      <c r="D474" s="251"/>
      <c r="E474" s="241"/>
      <c r="F474" s="252"/>
      <c r="G474" s="252"/>
      <c r="H474" s="253"/>
      <c r="I474" s="250"/>
      <c r="J474" s="250"/>
      <c r="K474" s="270"/>
      <c r="L474" s="250"/>
      <c r="M474" s="250"/>
      <c r="N474" s="553" t="str">
        <f>CONCATENATE(IF(OR(M474=phu!$I$1,M474=phu!$I$2,M474=phu!$I$3),"Cam Thành Nam",""),IF(OR(M474=phu!$I$4,M474=phu!$I$5,M474=phu!$I$6,M474=phu!$I$7,M474=phu!$I$8,M474=phu!$I$9,M474=phu!$I$10,M474=phu!$I$11,M474=phu!$I$12,M474=phu!$I$13,M474=phu!$I$14),"Cam Nghĩa",""),IF(OR(M474=phu!$I$15,M474=phu!$I$16,M474=phu!$I$17,M474=phu!$I$18,M474=phu!$I$19,M474=phu!$I$20,M474=phu!$I$21),"Cam Phúc Bắc",""),IF(OR(M474=phu!$I$22,M474=phu!$I$23,M474=phu!$I$24,M474=phu!$I$25),"Cam Phúc Nam",""),IF(OR(M474=phu!$I$26,M474=phu!$I$27,M474=phu!$I$28,M474=phu!$I$29,M474=phu!$I$30,M474=phu!$I$31),"Cam Phú",""),IF(OR(M474=phu!$I$32,M474=phu!$I$33,M474=phu!$I$34,M474=phu!$I$35,M474=phu!$I$36,M474=phu!$I$37),"Cam Lộc",""),IF(OR(M474=phu!$I$38,M474=phu!$I$39,M474=phu!$I$40,M474=phu!$I$41,M474=phu!$I$42,M474=phu!$I$43,M474=phu!$I$44),"Cam Thuận",""),IF(OR(M474=phu!$I$45,M474=phu!$I$46,M474=phu!$I$47,M474=phu!$I$48,M474=phu!$I$49,M474=phu!$I$50,M474=phu!$I$51,M474=phu!$I$52,M474=phu!$I$53),"Cam Linh",""),IF(OR(M474=phu!$I$54,M474=phu!$I$55,M474=phu!$I$56,M474=phu!$I$57,M474=phu!$I$58,M474=phu!$I$59,M474=phu!$I$60,M474=phu!$I$61,M474=phu!$I$62),"Cam Lợi",""),IF(OR(M474=phu!$I$63,M474=phu!$I$64,M474=phu!$I$65,M474=phu!$I$66,M474=phu!$I$67,M474=phu!$I$68,M474=phu!$I$69,M474=phu!$I$70,M474=phu!$I$71),"Ba Ngòi",""),IF(OR(M474=phu!$I$72,M474=phu!$I$73,M474=phu!$I$74,M474=phu!$I$75,M474=phu!$I$76,M474=phu!$I$77,M474=phu!$I$78),"Cam Phước Đông",""),IF(OR(M474=phu!$I$79,M474=phu!$I$80,M474=phu!$I$81,M474=phu!$I$82,M474=phu!$I$83,M474=phu!$I$84),"Cam Thịnh Đông",""),IF(OR(M474=phu!$I$85,M474=phu!$I$86,M474=phu!$I$87,M474=phu!$I$88),"Cam Thịnh Tây",""),IF(OR(M474=phu!$I$89,M474=phu!$I$90),"Cam Lập",""),IF(OR(M474=phu!$I$91,M474=phu!$I$92,M474=phu!$I$93),"Cam Bình",""),IF(OR(M474=phu!$I$94,M474=phu!$I$95,M474=phu!$I$96,M474=phu!$I$97,M474=phu!$I$98,M474=phu!$I$99,M474=phu!$I$100),"Huyện khác",""),IF(OR(M474=phu!$I$101,M474=phu!$I$102),"Tỉnh khác",""))</f>
        <v/>
      </c>
      <c r="O474" s="814" t="str">
        <f t="shared" si="43"/>
        <v/>
      </c>
      <c r="P474" s="254"/>
      <c r="Q474" s="254"/>
      <c r="R474" s="254"/>
      <c r="S474" s="254"/>
      <c r="T474" s="254"/>
      <c r="U474" s="254"/>
      <c r="V474" s="254"/>
      <c r="W474" s="254"/>
      <c r="Y474" s="246" t="str">
        <f t="shared" si="44"/>
        <v/>
      </c>
      <c r="Z474" s="247" t="str">
        <f t="shared" si="42"/>
        <v/>
      </c>
      <c r="AA474" s="246" t="str">
        <f t="shared" si="45"/>
        <v/>
      </c>
    </row>
    <row r="475" spans="1:27" ht="18" customHeight="1" x14ac:dyDescent="0.25">
      <c r="A475" s="248" t="str">
        <f t="shared" si="46"/>
        <v/>
      </c>
      <c r="B475" s="249" t="str">
        <f t="shared" si="47"/>
        <v/>
      </c>
      <c r="C475" s="250"/>
      <c r="D475" s="251"/>
      <c r="E475" s="241"/>
      <c r="F475" s="252"/>
      <c r="G475" s="252"/>
      <c r="H475" s="253"/>
      <c r="I475" s="250"/>
      <c r="J475" s="250"/>
      <c r="K475" s="270"/>
      <c r="L475" s="250"/>
      <c r="M475" s="250"/>
      <c r="N475" s="553" t="str">
        <f>CONCATENATE(IF(OR(M475=phu!$I$1,M475=phu!$I$2,M475=phu!$I$3),"Cam Thành Nam",""),IF(OR(M475=phu!$I$4,M475=phu!$I$5,M475=phu!$I$6,M475=phu!$I$7,M475=phu!$I$8,M475=phu!$I$9,M475=phu!$I$10,M475=phu!$I$11,M475=phu!$I$12,M475=phu!$I$13,M475=phu!$I$14),"Cam Nghĩa",""),IF(OR(M475=phu!$I$15,M475=phu!$I$16,M475=phu!$I$17,M475=phu!$I$18,M475=phu!$I$19,M475=phu!$I$20,M475=phu!$I$21),"Cam Phúc Bắc",""),IF(OR(M475=phu!$I$22,M475=phu!$I$23,M475=phu!$I$24,M475=phu!$I$25),"Cam Phúc Nam",""),IF(OR(M475=phu!$I$26,M475=phu!$I$27,M475=phu!$I$28,M475=phu!$I$29,M475=phu!$I$30,M475=phu!$I$31),"Cam Phú",""),IF(OR(M475=phu!$I$32,M475=phu!$I$33,M475=phu!$I$34,M475=phu!$I$35,M475=phu!$I$36,M475=phu!$I$37),"Cam Lộc",""),IF(OR(M475=phu!$I$38,M475=phu!$I$39,M475=phu!$I$40,M475=phu!$I$41,M475=phu!$I$42,M475=phu!$I$43,M475=phu!$I$44),"Cam Thuận",""),IF(OR(M475=phu!$I$45,M475=phu!$I$46,M475=phu!$I$47,M475=phu!$I$48,M475=phu!$I$49,M475=phu!$I$50,M475=phu!$I$51,M475=phu!$I$52,M475=phu!$I$53),"Cam Linh",""),IF(OR(M475=phu!$I$54,M475=phu!$I$55,M475=phu!$I$56,M475=phu!$I$57,M475=phu!$I$58,M475=phu!$I$59,M475=phu!$I$60,M475=phu!$I$61,M475=phu!$I$62),"Cam Lợi",""),IF(OR(M475=phu!$I$63,M475=phu!$I$64,M475=phu!$I$65,M475=phu!$I$66,M475=phu!$I$67,M475=phu!$I$68,M475=phu!$I$69,M475=phu!$I$70,M475=phu!$I$71),"Ba Ngòi",""),IF(OR(M475=phu!$I$72,M475=phu!$I$73,M475=phu!$I$74,M475=phu!$I$75,M475=phu!$I$76,M475=phu!$I$77,M475=phu!$I$78),"Cam Phước Đông",""),IF(OR(M475=phu!$I$79,M475=phu!$I$80,M475=phu!$I$81,M475=phu!$I$82,M475=phu!$I$83,M475=phu!$I$84),"Cam Thịnh Đông",""),IF(OR(M475=phu!$I$85,M475=phu!$I$86,M475=phu!$I$87,M475=phu!$I$88),"Cam Thịnh Tây",""),IF(OR(M475=phu!$I$89,M475=phu!$I$90),"Cam Lập",""),IF(OR(M475=phu!$I$91,M475=phu!$I$92,M475=phu!$I$93),"Cam Bình",""),IF(OR(M475=phu!$I$94,M475=phu!$I$95,M475=phu!$I$96,M475=phu!$I$97,M475=phu!$I$98,M475=phu!$I$99,M475=phu!$I$100),"Huyện khác",""),IF(OR(M475=phu!$I$101,M475=phu!$I$102),"Tỉnh khác",""))</f>
        <v/>
      </c>
      <c r="O475" s="814" t="str">
        <f t="shared" si="43"/>
        <v/>
      </c>
      <c r="P475" s="254"/>
      <c r="Q475" s="254"/>
      <c r="R475" s="254"/>
      <c r="S475" s="254"/>
      <c r="T475" s="254"/>
      <c r="U475" s="254"/>
      <c r="V475" s="254"/>
      <c r="W475" s="254"/>
      <c r="Y475" s="246" t="str">
        <f t="shared" si="44"/>
        <v/>
      </c>
      <c r="Z475" s="247" t="str">
        <f t="shared" si="42"/>
        <v/>
      </c>
      <c r="AA475" s="246" t="str">
        <f t="shared" si="45"/>
        <v/>
      </c>
    </row>
    <row r="476" spans="1:27" ht="18" customHeight="1" x14ac:dyDescent="0.25">
      <c r="A476" s="248" t="str">
        <f t="shared" si="46"/>
        <v/>
      </c>
      <c r="B476" s="249" t="str">
        <f t="shared" si="47"/>
        <v/>
      </c>
      <c r="C476" s="250"/>
      <c r="D476" s="251"/>
      <c r="E476" s="241"/>
      <c r="F476" s="252"/>
      <c r="G476" s="252"/>
      <c r="H476" s="253"/>
      <c r="I476" s="250"/>
      <c r="J476" s="250"/>
      <c r="K476" s="270"/>
      <c r="L476" s="250"/>
      <c r="M476" s="250"/>
      <c r="N476" s="553" t="str">
        <f>CONCATENATE(IF(OR(M476=phu!$I$1,M476=phu!$I$2,M476=phu!$I$3),"Cam Thành Nam",""),IF(OR(M476=phu!$I$4,M476=phu!$I$5,M476=phu!$I$6,M476=phu!$I$7,M476=phu!$I$8,M476=phu!$I$9,M476=phu!$I$10,M476=phu!$I$11,M476=phu!$I$12,M476=phu!$I$13,M476=phu!$I$14),"Cam Nghĩa",""),IF(OR(M476=phu!$I$15,M476=phu!$I$16,M476=phu!$I$17,M476=phu!$I$18,M476=phu!$I$19,M476=phu!$I$20,M476=phu!$I$21),"Cam Phúc Bắc",""),IF(OR(M476=phu!$I$22,M476=phu!$I$23,M476=phu!$I$24,M476=phu!$I$25),"Cam Phúc Nam",""),IF(OR(M476=phu!$I$26,M476=phu!$I$27,M476=phu!$I$28,M476=phu!$I$29,M476=phu!$I$30,M476=phu!$I$31),"Cam Phú",""),IF(OR(M476=phu!$I$32,M476=phu!$I$33,M476=phu!$I$34,M476=phu!$I$35,M476=phu!$I$36,M476=phu!$I$37),"Cam Lộc",""),IF(OR(M476=phu!$I$38,M476=phu!$I$39,M476=phu!$I$40,M476=phu!$I$41,M476=phu!$I$42,M476=phu!$I$43,M476=phu!$I$44),"Cam Thuận",""),IF(OR(M476=phu!$I$45,M476=phu!$I$46,M476=phu!$I$47,M476=phu!$I$48,M476=phu!$I$49,M476=phu!$I$50,M476=phu!$I$51,M476=phu!$I$52,M476=phu!$I$53),"Cam Linh",""),IF(OR(M476=phu!$I$54,M476=phu!$I$55,M476=phu!$I$56,M476=phu!$I$57,M476=phu!$I$58,M476=phu!$I$59,M476=phu!$I$60,M476=phu!$I$61,M476=phu!$I$62),"Cam Lợi",""),IF(OR(M476=phu!$I$63,M476=phu!$I$64,M476=phu!$I$65,M476=phu!$I$66,M476=phu!$I$67,M476=phu!$I$68,M476=phu!$I$69,M476=phu!$I$70,M476=phu!$I$71),"Ba Ngòi",""),IF(OR(M476=phu!$I$72,M476=phu!$I$73,M476=phu!$I$74,M476=phu!$I$75,M476=phu!$I$76,M476=phu!$I$77,M476=phu!$I$78),"Cam Phước Đông",""),IF(OR(M476=phu!$I$79,M476=phu!$I$80,M476=phu!$I$81,M476=phu!$I$82,M476=phu!$I$83,M476=phu!$I$84),"Cam Thịnh Đông",""),IF(OR(M476=phu!$I$85,M476=phu!$I$86,M476=phu!$I$87,M476=phu!$I$88),"Cam Thịnh Tây",""),IF(OR(M476=phu!$I$89,M476=phu!$I$90),"Cam Lập",""),IF(OR(M476=phu!$I$91,M476=phu!$I$92,M476=phu!$I$93),"Cam Bình",""),IF(OR(M476=phu!$I$94,M476=phu!$I$95,M476=phu!$I$96,M476=phu!$I$97,M476=phu!$I$98,M476=phu!$I$99,M476=phu!$I$100),"Huyện khác",""),IF(OR(M476=phu!$I$101,M476=phu!$I$102),"Tỉnh khác",""))</f>
        <v/>
      </c>
      <c r="O476" s="814" t="str">
        <f t="shared" si="43"/>
        <v/>
      </c>
      <c r="P476" s="254"/>
      <c r="Q476" s="254"/>
      <c r="R476" s="254"/>
      <c r="S476" s="254"/>
      <c r="T476" s="254"/>
      <c r="U476" s="254"/>
      <c r="V476" s="254"/>
      <c r="W476" s="254"/>
      <c r="Y476" s="246" t="str">
        <f t="shared" si="44"/>
        <v/>
      </c>
      <c r="Z476" s="247" t="str">
        <f t="shared" si="42"/>
        <v/>
      </c>
      <c r="AA476" s="246" t="str">
        <f t="shared" si="45"/>
        <v/>
      </c>
    </row>
    <row r="477" spans="1:27" ht="18" customHeight="1" x14ac:dyDescent="0.25">
      <c r="A477" s="248" t="str">
        <f t="shared" si="46"/>
        <v/>
      </c>
      <c r="B477" s="249" t="str">
        <f t="shared" si="47"/>
        <v/>
      </c>
      <c r="C477" s="250"/>
      <c r="D477" s="251"/>
      <c r="E477" s="241"/>
      <c r="F477" s="252"/>
      <c r="G477" s="252"/>
      <c r="H477" s="253"/>
      <c r="I477" s="250"/>
      <c r="J477" s="250"/>
      <c r="K477" s="270"/>
      <c r="L477" s="250"/>
      <c r="M477" s="250"/>
      <c r="N477" s="553" t="str">
        <f>CONCATENATE(IF(OR(M477=phu!$I$1,M477=phu!$I$2,M477=phu!$I$3),"Cam Thành Nam",""),IF(OR(M477=phu!$I$4,M477=phu!$I$5,M477=phu!$I$6,M477=phu!$I$7,M477=phu!$I$8,M477=phu!$I$9,M477=phu!$I$10,M477=phu!$I$11,M477=phu!$I$12,M477=phu!$I$13,M477=phu!$I$14),"Cam Nghĩa",""),IF(OR(M477=phu!$I$15,M477=phu!$I$16,M477=phu!$I$17,M477=phu!$I$18,M477=phu!$I$19,M477=phu!$I$20,M477=phu!$I$21),"Cam Phúc Bắc",""),IF(OR(M477=phu!$I$22,M477=phu!$I$23,M477=phu!$I$24,M477=phu!$I$25),"Cam Phúc Nam",""),IF(OR(M477=phu!$I$26,M477=phu!$I$27,M477=phu!$I$28,M477=phu!$I$29,M477=phu!$I$30,M477=phu!$I$31),"Cam Phú",""),IF(OR(M477=phu!$I$32,M477=phu!$I$33,M477=phu!$I$34,M477=phu!$I$35,M477=phu!$I$36,M477=phu!$I$37),"Cam Lộc",""),IF(OR(M477=phu!$I$38,M477=phu!$I$39,M477=phu!$I$40,M477=phu!$I$41,M477=phu!$I$42,M477=phu!$I$43,M477=phu!$I$44),"Cam Thuận",""),IF(OR(M477=phu!$I$45,M477=phu!$I$46,M477=phu!$I$47,M477=phu!$I$48,M477=phu!$I$49,M477=phu!$I$50,M477=phu!$I$51,M477=phu!$I$52,M477=phu!$I$53),"Cam Linh",""),IF(OR(M477=phu!$I$54,M477=phu!$I$55,M477=phu!$I$56,M477=phu!$I$57,M477=phu!$I$58,M477=phu!$I$59,M477=phu!$I$60,M477=phu!$I$61,M477=phu!$I$62),"Cam Lợi",""),IF(OR(M477=phu!$I$63,M477=phu!$I$64,M477=phu!$I$65,M477=phu!$I$66,M477=phu!$I$67,M477=phu!$I$68,M477=phu!$I$69,M477=phu!$I$70,M477=phu!$I$71),"Ba Ngòi",""),IF(OR(M477=phu!$I$72,M477=phu!$I$73,M477=phu!$I$74,M477=phu!$I$75,M477=phu!$I$76,M477=phu!$I$77,M477=phu!$I$78),"Cam Phước Đông",""),IF(OR(M477=phu!$I$79,M477=phu!$I$80,M477=phu!$I$81,M477=phu!$I$82,M477=phu!$I$83,M477=phu!$I$84),"Cam Thịnh Đông",""),IF(OR(M477=phu!$I$85,M477=phu!$I$86,M477=phu!$I$87,M477=phu!$I$88),"Cam Thịnh Tây",""),IF(OR(M477=phu!$I$89,M477=phu!$I$90),"Cam Lập",""),IF(OR(M477=phu!$I$91,M477=phu!$I$92,M477=phu!$I$93),"Cam Bình",""),IF(OR(M477=phu!$I$94,M477=phu!$I$95,M477=phu!$I$96,M477=phu!$I$97,M477=phu!$I$98,M477=phu!$I$99,M477=phu!$I$100),"Huyện khác",""),IF(OR(M477=phu!$I$101,M477=phu!$I$102),"Tỉnh khác",""))</f>
        <v/>
      </c>
      <c r="O477" s="814" t="str">
        <f t="shared" si="43"/>
        <v/>
      </c>
      <c r="P477" s="254"/>
      <c r="Q477" s="254"/>
      <c r="R477" s="254"/>
      <c r="S477" s="254"/>
      <c r="T477" s="254"/>
      <c r="U477" s="254"/>
      <c r="V477" s="254"/>
      <c r="W477" s="254"/>
      <c r="Y477" s="246" t="str">
        <f t="shared" si="44"/>
        <v/>
      </c>
      <c r="Z477" s="247" t="str">
        <f t="shared" si="42"/>
        <v/>
      </c>
      <c r="AA477" s="246" t="str">
        <f t="shared" si="45"/>
        <v/>
      </c>
    </row>
    <row r="478" spans="1:27" ht="18" customHeight="1" x14ac:dyDescent="0.25">
      <c r="A478" s="248" t="str">
        <f t="shared" si="46"/>
        <v/>
      </c>
      <c r="B478" s="249" t="str">
        <f t="shared" si="47"/>
        <v/>
      </c>
      <c r="C478" s="250"/>
      <c r="D478" s="251"/>
      <c r="E478" s="241"/>
      <c r="F478" s="252"/>
      <c r="G478" s="252"/>
      <c r="H478" s="253"/>
      <c r="I478" s="250"/>
      <c r="J478" s="250"/>
      <c r="K478" s="270"/>
      <c r="L478" s="250"/>
      <c r="M478" s="250"/>
      <c r="N478" s="553" t="str">
        <f>CONCATENATE(IF(OR(M478=phu!$I$1,M478=phu!$I$2,M478=phu!$I$3),"Cam Thành Nam",""),IF(OR(M478=phu!$I$4,M478=phu!$I$5,M478=phu!$I$6,M478=phu!$I$7,M478=phu!$I$8,M478=phu!$I$9,M478=phu!$I$10,M478=phu!$I$11,M478=phu!$I$12,M478=phu!$I$13,M478=phu!$I$14),"Cam Nghĩa",""),IF(OR(M478=phu!$I$15,M478=phu!$I$16,M478=phu!$I$17,M478=phu!$I$18,M478=phu!$I$19,M478=phu!$I$20,M478=phu!$I$21),"Cam Phúc Bắc",""),IF(OR(M478=phu!$I$22,M478=phu!$I$23,M478=phu!$I$24,M478=phu!$I$25),"Cam Phúc Nam",""),IF(OR(M478=phu!$I$26,M478=phu!$I$27,M478=phu!$I$28,M478=phu!$I$29,M478=phu!$I$30,M478=phu!$I$31),"Cam Phú",""),IF(OR(M478=phu!$I$32,M478=phu!$I$33,M478=phu!$I$34,M478=phu!$I$35,M478=phu!$I$36,M478=phu!$I$37),"Cam Lộc",""),IF(OR(M478=phu!$I$38,M478=phu!$I$39,M478=phu!$I$40,M478=phu!$I$41,M478=phu!$I$42,M478=phu!$I$43,M478=phu!$I$44),"Cam Thuận",""),IF(OR(M478=phu!$I$45,M478=phu!$I$46,M478=phu!$I$47,M478=phu!$I$48,M478=phu!$I$49,M478=phu!$I$50,M478=phu!$I$51,M478=phu!$I$52,M478=phu!$I$53),"Cam Linh",""),IF(OR(M478=phu!$I$54,M478=phu!$I$55,M478=phu!$I$56,M478=phu!$I$57,M478=phu!$I$58,M478=phu!$I$59,M478=phu!$I$60,M478=phu!$I$61,M478=phu!$I$62),"Cam Lợi",""),IF(OR(M478=phu!$I$63,M478=phu!$I$64,M478=phu!$I$65,M478=phu!$I$66,M478=phu!$I$67,M478=phu!$I$68,M478=phu!$I$69,M478=phu!$I$70,M478=phu!$I$71),"Ba Ngòi",""),IF(OR(M478=phu!$I$72,M478=phu!$I$73,M478=phu!$I$74,M478=phu!$I$75,M478=phu!$I$76,M478=phu!$I$77,M478=phu!$I$78),"Cam Phước Đông",""),IF(OR(M478=phu!$I$79,M478=phu!$I$80,M478=phu!$I$81,M478=phu!$I$82,M478=phu!$I$83,M478=phu!$I$84),"Cam Thịnh Đông",""),IF(OR(M478=phu!$I$85,M478=phu!$I$86,M478=phu!$I$87,M478=phu!$I$88),"Cam Thịnh Tây",""),IF(OR(M478=phu!$I$89,M478=phu!$I$90),"Cam Lập",""),IF(OR(M478=phu!$I$91,M478=phu!$I$92,M478=phu!$I$93),"Cam Bình",""),IF(OR(M478=phu!$I$94,M478=phu!$I$95,M478=phu!$I$96,M478=phu!$I$97,M478=phu!$I$98,M478=phu!$I$99,M478=phu!$I$100),"Huyện khác",""),IF(OR(M478=phu!$I$101,M478=phu!$I$102),"Tỉnh khác",""))</f>
        <v/>
      </c>
      <c r="O478" s="814" t="str">
        <f t="shared" si="43"/>
        <v/>
      </c>
      <c r="P478" s="254"/>
      <c r="Q478" s="254"/>
      <c r="R478" s="254"/>
      <c r="S478" s="254"/>
      <c r="T478" s="254"/>
      <c r="U478" s="254"/>
      <c r="V478" s="254"/>
      <c r="W478" s="254"/>
      <c r="Y478" s="246" t="str">
        <f t="shared" si="44"/>
        <v/>
      </c>
      <c r="Z478" s="247" t="str">
        <f t="shared" si="42"/>
        <v/>
      </c>
      <c r="AA478" s="246" t="str">
        <f t="shared" si="45"/>
        <v/>
      </c>
    </row>
    <row r="479" spans="1:27" ht="18" customHeight="1" x14ac:dyDescent="0.25">
      <c r="A479" s="248" t="str">
        <f t="shared" si="46"/>
        <v/>
      </c>
      <c r="B479" s="249" t="str">
        <f t="shared" si="47"/>
        <v/>
      </c>
      <c r="C479" s="250"/>
      <c r="D479" s="251"/>
      <c r="E479" s="241"/>
      <c r="F479" s="252"/>
      <c r="G479" s="252"/>
      <c r="H479" s="253"/>
      <c r="I479" s="250"/>
      <c r="J479" s="250"/>
      <c r="K479" s="270"/>
      <c r="L479" s="250"/>
      <c r="M479" s="250"/>
      <c r="N479" s="553" t="str">
        <f>CONCATENATE(IF(OR(M479=phu!$I$1,M479=phu!$I$2,M479=phu!$I$3),"Cam Thành Nam",""),IF(OR(M479=phu!$I$4,M479=phu!$I$5,M479=phu!$I$6,M479=phu!$I$7,M479=phu!$I$8,M479=phu!$I$9,M479=phu!$I$10,M479=phu!$I$11,M479=phu!$I$12,M479=phu!$I$13,M479=phu!$I$14),"Cam Nghĩa",""),IF(OR(M479=phu!$I$15,M479=phu!$I$16,M479=phu!$I$17,M479=phu!$I$18,M479=phu!$I$19,M479=phu!$I$20,M479=phu!$I$21),"Cam Phúc Bắc",""),IF(OR(M479=phu!$I$22,M479=phu!$I$23,M479=phu!$I$24,M479=phu!$I$25),"Cam Phúc Nam",""),IF(OR(M479=phu!$I$26,M479=phu!$I$27,M479=phu!$I$28,M479=phu!$I$29,M479=phu!$I$30,M479=phu!$I$31),"Cam Phú",""),IF(OR(M479=phu!$I$32,M479=phu!$I$33,M479=phu!$I$34,M479=phu!$I$35,M479=phu!$I$36,M479=phu!$I$37),"Cam Lộc",""),IF(OR(M479=phu!$I$38,M479=phu!$I$39,M479=phu!$I$40,M479=phu!$I$41,M479=phu!$I$42,M479=phu!$I$43,M479=phu!$I$44),"Cam Thuận",""),IF(OR(M479=phu!$I$45,M479=phu!$I$46,M479=phu!$I$47,M479=phu!$I$48,M479=phu!$I$49,M479=phu!$I$50,M479=phu!$I$51,M479=phu!$I$52,M479=phu!$I$53),"Cam Linh",""),IF(OR(M479=phu!$I$54,M479=phu!$I$55,M479=phu!$I$56,M479=phu!$I$57,M479=phu!$I$58,M479=phu!$I$59,M479=phu!$I$60,M479=phu!$I$61,M479=phu!$I$62),"Cam Lợi",""),IF(OR(M479=phu!$I$63,M479=phu!$I$64,M479=phu!$I$65,M479=phu!$I$66,M479=phu!$I$67,M479=phu!$I$68,M479=phu!$I$69,M479=phu!$I$70,M479=phu!$I$71),"Ba Ngòi",""),IF(OR(M479=phu!$I$72,M479=phu!$I$73,M479=phu!$I$74,M479=phu!$I$75,M479=phu!$I$76,M479=phu!$I$77,M479=phu!$I$78),"Cam Phước Đông",""),IF(OR(M479=phu!$I$79,M479=phu!$I$80,M479=phu!$I$81,M479=phu!$I$82,M479=phu!$I$83,M479=phu!$I$84),"Cam Thịnh Đông",""),IF(OR(M479=phu!$I$85,M479=phu!$I$86,M479=phu!$I$87,M479=phu!$I$88),"Cam Thịnh Tây",""),IF(OR(M479=phu!$I$89,M479=phu!$I$90),"Cam Lập",""),IF(OR(M479=phu!$I$91,M479=phu!$I$92,M479=phu!$I$93),"Cam Bình",""),IF(OR(M479=phu!$I$94,M479=phu!$I$95,M479=phu!$I$96,M479=phu!$I$97,M479=phu!$I$98,M479=phu!$I$99,M479=phu!$I$100),"Huyện khác",""),IF(OR(M479=phu!$I$101,M479=phu!$I$102),"Tỉnh khác",""))</f>
        <v/>
      </c>
      <c r="O479" s="814" t="str">
        <f t="shared" si="43"/>
        <v/>
      </c>
      <c r="P479" s="254"/>
      <c r="Q479" s="254"/>
      <c r="R479" s="254"/>
      <c r="S479" s="254"/>
      <c r="T479" s="254"/>
      <c r="U479" s="254"/>
      <c r="V479" s="254"/>
      <c r="W479" s="254"/>
      <c r="Y479" s="246" t="str">
        <f t="shared" si="44"/>
        <v/>
      </c>
      <c r="Z479" s="247" t="str">
        <f t="shared" si="42"/>
        <v/>
      </c>
      <c r="AA479" s="246" t="str">
        <f t="shared" si="45"/>
        <v/>
      </c>
    </row>
    <row r="480" spans="1:27" ht="18" customHeight="1" x14ac:dyDescent="0.25">
      <c r="A480" s="248" t="str">
        <f t="shared" si="46"/>
        <v/>
      </c>
      <c r="B480" s="249" t="str">
        <f t="shared" si="47"/>
        <v/>
      </c>
      <c r="C480" s="250"/>
      <c r="D480" s="251"/>
      <c r="E480" s="241"/>
      <c r="F480" s="252"/>
      <c r="G480" s="252"/>
      <c r="H480" s="253"/>
      <c r="I480" s="250"/>
      <c r="J480" s="250"/>
      <c r="K480" s="270"/>
      <c r="L480" s="250"/>
      <c r="M480" s="250"/>
      <c r="N480" s="553" t="str">
        <f>CONCATENATE(IF(OR(M480=phu!$I$1,M480=phu!$I$2,M480=phu!$I$3),"Cam Thành Nam",""),IF(OR(M480=phu!$I$4,M480=phu!$I$5,M480=phu!$I$6,M480=phu!$I$7,M480=phu!$I$8,M480=phu!$I$9,M480=phu!$I$10,M480=phu!$I$11,M480=phu!$I$12,M480=phu!$I$13,M480=phu!$I$14),"Cam Nghĩa",""),IF(OR(M480=phu!$I$15,M480=phu!$I$16,M480=phu!$I$17,M480=phu!$I$18,M480=phu!$I$19,M480=phu!$I$20,M480=phu!$I$21),"Cam Phúc Bắc",""),IF(OR(M480=phu!$I$22,M480=phu!$I$23,M480=phu!$I$24,M480=phu!$I$25),"Cam Phúc Nam",""),IF(OR(M480=phu!$I$26,M480=phu!$I$27,M480=phu!$I$28,M480=phu!$I$29,M480=phu!$I$30,M480=phu!$I$31),"Cam Phú",""),IF(OR(M480=phu!$I$32,M480=phu!$I$33,M480=phu!$I$34,M480=phu!$I$35,M480=phu!$I$36,M480=phu!$I$37),"Cam Lộc",""),IF(OR(M480=phu!$I$38,M480=phu!$I$39,M480=phu!$I$40,M480=phu!$I$41,M480=phu!$I$42,M480=phu!$I$43,M480=phu!$I$44),"Cam Thuận",""),IF(OR(M480=phu!$I$45,M480=phu!$I$46,M480=phu!$I$47,M480=phu!$I$48,M480=phu!$I$49,M480=phu!$I$50,M480=phu!$I$51,M480=phu!$I$52,M480=phu!$I$53),"Cam Linh",""),IF(OR(M480=phu!$I$54,M480=phu!$I$55,M480=phu!$I$56,M480=phu!$I$57,M480=phu!$I$58,M480=phu!$I$59,M480=phu!$I$60,M480=phu!$I$61,M480=phu!$I$62),"Cam Lợi",""),IF(OR(M480=phu!$I$63,M480=phu!$I$64,M480=phu!$I$65,M480=phu!$I$66,M480=phu!$I$67,M480=phu!$I$68,M480=phu!$I$69,M480=phu!$I$70,M480=phu!$I$71),"Ba Ngòi",""),IF(OR(M480=phu!$I$72,M480=phu!$I$73,M480=phu!$I$74,M480=phu!$I$75,M480=phu!$I$76,M480=phu!$I$77,M480=phu!$I$78),"Cam Phước Đông",""),IF(OR(M480=phu!$I$79,M480=phu!$I$80,M480=phu!$I$81,M480=phu!$I$82,M480=phu!$I$83,M480=phu!$I$84),"Cam Thịnh Đông",""),IF(OR(M480=phu!$I$85,M480=phu!$I$86,M480=phu!$I$87,M480=phu!$I$88),"Cam Thịnh Tây",""),IF(OR(M480=phu!$I$89,M480=phu!$I$90),"Cam Lập",""),IF(OR(M480=phu!$I$91,M480=phu!$I$92,M480=phu!$I$93),"Cam Bình",""),IF(OR(M480=phu!$I$94,M480=phu!$I$95,M480=phu!$I$96,M480=phu!$I$97,M480=phu!$I$98,M480=phu!$I$99,M480=phu!$I$100),"Huyện khác",""),IF(OR(M480=phu!$I$101,M480=phu!$I$102),"Tỉnh khác",""))</f>
        <v/>
      </c>
      <c r="O480" s="814" t="str">
        <f t="shared" si="43"/>
        <v/>
      </c>
      <c r="P480" s="254"/>
      <c r="Q480" s="254"/>
      <c r="R480" s="254"/>
      <c r="S480" s="254"/>
      <c r="T480" s="254"/>
      <c r="U480" s="254"/>
      <c r="V480" s="254"/>
      <c r="W480" s="254"/>
      <c r="Y480" s="246" t="str">
        <f t="shared" si="44"/>
        <v/>
      </c>
      <c r="Z480" s="247" t="str">
        <f t="shared" si="42"/>
        <v/>
      </c>
      <c r="AA480" s="246" t="str">
        <f t="shared" si="45"/>
        <v/>
      </c>
    </row>
    <row r="481" spans="1:27" ht="18" customHeight="1" x14ac:dyDescent="0.25">
      <c r="A481" s="248" t="str">
        <f t="shared" si="46"/>
        <v/>
      </c>
      <c r="B481" s="249" t="str">
        <f t="shared" si="47"/>
        <v/>
      </c>
      <c r="C481" s="250"/>
      <c r="D481" s="251"/>
      <c r="E481" s="241"/>
      <c r="F481" s="252"/>
      <c r="G481" s="252"/>
      <c r="H481" s="253"/>
      <c r="I481" s="250"/>
      <c r="J481" s="250"/>
      <c r="K481" s="270"/>
      <c r="L481" s="250"/>
      <c r="M481" s="250"/>
      <c r="N481" s="553" t="str">
        <f>CONCATENATE(IF(OR(M481=phu!$I$1,M481=phu!$I$2,M481=phu!$I$3),"Cam Thành Nam",""),IF(OR(M481=phu!$I$4,M481=phu!$I$5,M481=phu!$I$6,M481=phu!$I$7,M481=phu!$I$8,M481=phu!$I$9,M481=phu!$I$10,M481=phu!$I$11,M481=phu!$I$12,M481=phu!$I$13,M481=phu!$I$14),"Cam Nghĩa",""),IF(OR(M481=phu!$I$15,M481=phu!$I$16,M481=phu!$I$17,M481=phu!$I$18,M481=phu!$I$19,M481=phu!$I$20,M481=phu!$I$21),"Cam Phúc Bắc",""),IF(OR(M481=phu!$I$22,M481=phu!$I$23,M481=phu!$I$24,M481=phu!$I$25),"Cam Phúc Nam",""),IF(OR(M481=phu!$I$26,M481=phu!$I$27,M481=phu!$I$28,M481=phu!$I$29,M481=phu!$I$30,M481=phu!$I$31),"Cam Phú",""),IF(OR(M481=phu!$I$32,M481=phu!$I$33,M481=phu!$I$34,M481=phu!$I$35,M481=phu!$I$36,M481=phu!$I$37),"Cam Lộc",""),IF(OR(M481=phu!$I$38,M481=phu!$I$39,M481=phu!$I$40,M481=phu!$I$41,M481=phu!$I$42,M481=phu!$I$43,M481=phu!$I$44),"Cam Thuận",""),IF(OR(M481=phu!$I$45,M481=phu!$I$46,M481=phu!$I$47,M481=phu!$I$48,M481=phu!$I$49,M481=phu!$I$50,M481=phu!$I$51,M481=phu!$I$52,M481=phu!$I$53),"Cam Linh",""),IF(OR(M481=phu!$I$54,M481=phu!$I$55,M481=phu!$I$56,M481=phu!$I$57,M481=phu!$I$58,M481=phu!$I$59,M481=phu!$I$60,M481=phu!$I$61,M481=phu!$I$62),"Cam Lợi",""),IF(OR(M481=phu!$I$63,M481=phu!$I$64,M481=phu!$I$65,M481=phu!$I$66,M481=phu!$I$67,M481=phu!$I$68,M481=phu!$I$69,M481=phu!$I$70,M481=phu!$I$71),"Ba Ngòi",""),IF(OR(M481=phu!$I$72,M481=phu!$I$73,M481=phu!$I$74,M481=phu!$I$75,M481=phu!$I$76,M481=phu!$I$77,M481=phu!$I$78),"Cam Phước Đông",""),IF(OR(M481=phu!$I$79,M481=phu!$I$80,M481=phu!$I$81,M481=phu!$I$82,M481=phu!$I$83,M481=phu!$I$84),"Cam Thịnh Đông",""),IF(OR(M481=phu!$I$85,M481=phu!$I$86,M481=phu!$I$87,M481=phu!$I$88),"Cam Thịnh Tây",""),IF(OR(M481=phu!$I$89,M481=phu!$I$90),"Cam Lập",""),IF(OR(M481=phu!$I$91,M481=phu!$I$92,M481=phu!$I$93),"Cam Bình",""),IF(OR(M481=phu!$I$94,M481=phu!$I$95,M481=phu!$I$96,M481=phu!$I$97,M481=phu!$I$98,M481=phu!$I$99,M481=phu!$I$100),"Huyện khác",""),IF(OR(M481=phu!$I$101,M481=phu!$I$102),"Tỉnh khác",""))</f>
        <v/>
      </c>
      <c r="O481" s="814" t="str">
        <f t="shared" si="43"/>
        <v/>
      </c>
      <c r="P481" s="254"/>
      <c r="Q481" s="254"/>
      <c r="R481" s="254"/>
      <c r="S481" s="254"/>
      <c r="T481" s="254"/>
      <c r="U481" s="254"/>
      <c r="V481" s="254"/>
      <c r="W481" s="254"/>
      <c r="Y481" s="246" t="str">
        <f t="shared" si="44"/>
        <v/>
      </c>
      <c r="Z481" s="247" t="str">
        <f t="shared" si="42"/>
        <v/>
      </c>
      <c r="AA481" s="246" t="str">
        <f t="shared" si="45"/>
        <v/>
      </c>
    </row>
    <row r="482" spans="1:27" ht="18" customHeight="1" x14ac:dyDescent="0.25">
      <c r="A482" s="248" t="str">
        <f t="shared" si="46"/>
        <v/>
      </c>
      <c r="B482" s="249" t="str">
        <f t="shared" si="47"/>
        <v/>
      </c>
      <c r="C482" s="250"/>
      <c r="D482" s="251"/>
      <c r="E482" s="241"/>
      <c r="F482" s="252"/>
      <c r="G482" s="252"/>
      <c r="H482" s="253"/>
      <c r="I482" s="250"/>
      <c r="J482" s="250"/>
      <c r="K482" s="270"/>
      <c r="L482" s="250"/>
      <c r="M482" s="250"/>
      <c r="N482" s="553" t="str">
        <f>CONCATENATE(IF(OR(M482=phu!$I$1,M482=phu!$I$2,M482=phu!$I$3),"Cam Thành Nam",""),IF(OR(M482=phu!$I$4,M482=phu!$I$5,M482=phu!$I$6,M482=phu!$I$7,M482=phu!$I$8,M482=phu!$I$9,M482=phu!$I$10,M482=phu!$I$11,M482=phu!$I$12,M482=phu!$I$13,M482=phu!$I$14),"Cam Nghĩa",""),IF(OR(M482=phu!$I$15,M482=phu!$I$16,M482=phu!$I$17,M482=phu!$I$18,M482=phu!$I$19,M482=phu!$I$20,M482=phu!$I$21),"Cam Phúc Bắc",""),IF(OR(M482=phu!$I$22,M482=phu!$I$23,M482=phu!$I$24,M482=phu!$I$25),"Cam Phúc Nam",""),IF(OR(M482=phu!$I$26,M482=phu!$I$27,M482=phu!$I$28,M482=phu!$I$29,M482=phu!$I$30,M482=phu!$I$31),"Cam Phú",""),IF(OR(M482=phu!$I$32,M482=phu!$I$33,M482=phu!$I$34,M482=phu!$I$35,M482=phu!$I$36,M482=phu!$I$37),"Cam Lộc",""),IF(OR(M482=phu!$I$38,M482=phu!$I$39,M482=phu!$I$40,M482=phu!$I$41,M482=phu!$I$42,M482=phu!$I$43,M482=phu!$I$44),"Cam Thuận",""),IF(OR(M482=phu!$I$45,M482=phu!$I$46,M482=phu!$I$47,M482=phu!$I$48,M482=phu!$I$49,M482=phu!$I$50,M482=phu!$I$51,M482=phu!$I$52,M482=phu!$I$53),"Cam Linh",""),IF(OR(M482=phu!$I$54,M482=phu!$I$55,M482=phu!$I$56,M482=phu!$I$57,M482=phu!$I$58,M482=phu!$I$59,M482=phu!$I$60,M482=phu!$I$61,M482=phu!$I$62),"Cam Lợi",""),IF(OR(M482=phu!$I$63,M482=phu!$I$64,M482=phu!$I$65,M482=phu!$I$66,M482=phu!$I$67,M482=phu!$I$68,M482=phu!$I$69,M482=phu!$I$70,M482=phu!$I$71),"Ba Ngòi",""),IF(OR(M482=phu!$I$72,M482=phu!$I$73,M482=phu!$I$74,M482=phu!$I$75,M482=phu!$I$76,M482=phu!$I$77,M482=phu!$I$78),"Cam Phước Đông",""),IF(OR(M482=phu!$I$79,M482=phu!$I$80,M482=phu!$I$81,M482=phu!$I$82,M482=phu!$I$83,M482=phu!$I$84),"Cam Thịnh Đông",""),IF(OR(M482=phu!$I$85,M482=phu!$I$86,M482=phu!$I$87,M482=phu!$I$88),"Cam Thịnh Tây",""),IF(OR(M482=phu!$I$89,M482=phu!$I$90),"Cam Lập",""),IF(OR(M482=phu!$I$91,M482=phu!$I$92,M482=phu!$I$93),"Cam Bình",""),IF(OR(M482=phu!$I$94,M482=phu!$I$95,M482=phu!$I$96,M482=phu!$I$97,M482=phu!$I$98,M482=phu!$I$99,M482=phu!$I$100),"Huyện khác",""),IF(OR(M482=phu!$I$101,M482=phu!$I$102),"Tỉnh khác",""))</f>
        <v/>
      </c>
      <c r="O482" s="814" t="str">
        <f t="shared" si="43"/>
        <v/>
      </c>
      <c r="P482" s="254"/>
      <c r="Q482" s="254"/>
      <c r="R482" s="254"/>
      <c r="S482" s="254"/>
      <c r="T482" s="254"/>
      <c r="U482" s="254"/>
      <c r="V482" s="254"/>
      <c r="W482" s="254"/>
      <c r="Y482" s="246" t="str">
        <f t="shared" si="44"/>
        <v/>
      </c>
      <c r="Z482" s="247" t="str">
        <f t="shared" si="42"/>
        <v/>
      </c>
      <c r="AA482" s="246" t="str">
        <f t="shared" si="45"/>
        <v/>
      </c>
    </row>
    <row r="483" spans="1:27" ht="18" customHeight="1" x14ac:dyDescent="0.25">
      <c r="A483" s="248" t="str">
        <f t="shared" si="46"/>
        <v/>
      </c>
      <c r="B483" s="249" t="str">
        <f t="shared" si="47"/>
        <v/>
      </c>
      <c r="C483" s="250"/>
      <c r="D483" s="251"/>
      <c r="E483" s="241"/>
      <c r="F483" s="252"/>
      <c r="G483" s="252"/>
      <c r="H483" s="253"/>
      <c r="I483" s="250"/>
      <c r="J483" s="250"/>
      <c r="K483" s="270"/>
      <c r="L483" s="250"/>
      <c r="M483" s="250"/>
      <c r="N483" s="553" t="str">
        <f>CONCATENATE(IF(OR(M483=phu!$I$1,M483=phu!$I$2,M483=phu!$I$3),"Cam Thành Nam",""),IF(OR(M483=phu!$I$4,M483=phu!$I$5,M483=phu!$I$6,M483=phu!$I$7,M483=phu!$I$8,M483=phu!$I$9,M483=phu!$I$10,M483=phu!$I$11,M483=phu!$I$12,M483=phu!$I$13,M483=phu!$I$14),"Cam Nghĩa",""),IF(OR(M483=phu!$I$15,M483=phu!$I$16,M483=phu!$I$17,M483=phu!$I$18,M483=phu!$I$19,M483=phu!$I$20,M483=phu!$I$21),"Cam Phúc Bắc",""),IF(OR(M483=phu!$I$22,M483=phu!$I$23,M483=phu!$I$24,M483=phu!$I$25),"Cam Phúc Nam",""),IF(OR(M483=phu!$I$26,M483=phu!$I$27,M483=phu!$I$28,M483=phu!$I$29,M483=phu!$I$30,M483=phu!$I$31),"Cam Phú",""),IF(OR(M483=phu!$I$32,M483=phu!$I$33,M483=phu!$I$34,M483=phu!$I$35,M483=phu!$I$36,M483=phu!$I$37),"Cam Lộc",""),IF(OR(M483=phu!$I$38,M483=phu!$I$39,M483=phu!$I$40,M483=phu!$I$41,M483=phu!$I$42,M483=phu!$I$43,M483=phu!$I$44),"Cam Thuận",""),IF(OR(M483=phu!$I$45,M483=phu!$I$46,M483=phu!$I$47,M483=phu!$I$48,M483=phu!$I$49,M483=phu!$I$50,M483=phu!$I$51,M483=phu!$I$52,M483=phu!$I$53),"Cam Linh",""),IF(OR(M483=phu!$I$54,M483=phu!$I$55,M483=phu!$I$56,M483=phu!$I$57,M483=phu!$I$58,M483=phu!$I$59,M483=phu!$I$60,M483=phu!$I$61,M483=phu!$I$62),"Cam Lợi",""),IF(OR(M483=phu!$I$63,M483=phu!$I$64,M483=phu!$I$65,M483=phu!$I$66,M483=phu!$I$67,M483=phu!$I$68,M483=phu!$I$69,M483=phu!$I$70,M483=phu!$I$71),"Ba Ngòi",""),IF(OR(M483=phu!$I$72,M483=phu!$I$73,M483=phu!$I$74,M483=phu!$I$75,M483=phu!$I$76,M483=phu!$I$77,M483=phu!$I$78),"Cam Phước Đông",""),IF(OR(M483=phu!$I$79,M483=phu!$I$80,M483=phu!$I$81,M483=phu!$I$82,M483=phu!$I$83,M483=phu!$I$84),"Cam Thịnh Đông",""),IF(OR(M483=phu!$I$85,M483=phu!$I$86,M483=phu!$I$87,M483=phu!$I$88),"Cam Thịnh Tây",""),IF(OR(M483=phu!$I$89,M483=phu!$I$90),"Cam Lập",""),IF(OR(M483=phu!$I$91,M483=phu!$I$92,M483=phu!$I$93),"Cam Bình",""),IF(OR(M483=phu!$I$94,M483=phu!$I$95,M483=phu!$I$96,M483=phu!$I$97,M483=phu!$I$98,M483=phu!$I$99,M483=phu!$I$100),"Huyện khác",""),IF(OR(M483=phu!$I$101,M483=phu!$I$102),"Tỉnh khác",""))</f>
        <v/>
      </c>
      <c r="O483" s="814" t="str">
        <f t="shared" si="43"/>
        <v/>
      </c>
      <c r="P483" s="254"/>
      <c r="Q483" s="254"/>
      <c r="R483" s="254"/>
      <c r="S483" s="254"/>
      <c r="T483" s="254"/>
      <c r="U483" s="254"/>
      <c r="V483" s="254"/>
      <c r="W483" s="254"/>
      <c r="Y483" s="246" t="str">
        <f t="shared" si="44"/>
        <v/>
      </c>
      <c r="Z483" s="247" t="str">
        <f t="shared" si="42"/>
        <v/>
      </c>
      <c r="AA483" s="246" t="str">
        <f t="shared" si="45"/>
        <v/>
      </c>
    </row>
    <row r="484" spans="1:27" ht="18" customHeight="1" x14ac:dyDescent="0.25">
      <c r="A484" s="248" t="str">
        <f t="shared" si="46"/>
        <v/>
      </c>
      <c r="B484" s="249" t="str">
        <f t="shared" si="47"/>
        <v/>
      </c>
      <c r="C484" s="250"/>
      <c r="D484" s="251"/>
      <c r="E484" s="241"/>
      <c r="F484" s="252"/>
      <c r="G484" s="252"/>
      <c r="H484" s="253"/>
      <c r="I484" s="250"/>
      <c r="J484" s="250"/>
      <c r="K484" s="270"/>
      <c r="L484" s="250"/>
      <c r="M484" s="250"/>
      <c r="N484" s="553" t="str">
        <f>CONCATENATE(IF(OR(M484=phu!$I$1,M484=phu!$I$2,M484=phu!$I$3),"Cam Thành Nam",""),IF(OR(M484=phu!$I$4,M484=phu!$I$5,M484=phu!$I$6,M484=phu!$I$7,M484=phu!$I$8,M484=phu!$I$9,M484=phu!$I$10,M484=phu!$I$11,M484=phu!$I$12,M484=phu!$I$13,M484=phu!$I$14),"Cam Nghĩa",""),IF(OR(M484=phu!$I$15,M484=phu!$I$16,M484=phu!$I$17,M484=phu!$I$18,M484=phu!$I$19,M484=phu!$I$20,M484=phu!$I$21),"Cam Phúc Bắc",""),IF(OR(M484=phu!$I$22,M484=phu!$I$23,M484=phu!$I$24,M484=phu!$I$25),"Cam Phúc Nam",""),IF(OR(M484=phu!$I$26,M484=phu!$I$27,M484=phu!$I$28,M484=phu!$I$29,M484=phu!$I$30,M484=phu!$I$31),"Cam Phú",""),IF(OR(M484=phu!$I$32,M484=phu!$I$33,M484=phu!$I$34,M484=phu!$I$35,M484=phu!$I$36,M484=phu!$I$37),"Cam Lộc",""),IF(OR(M484=phu!$I$38,M484=phu!$I$39,M484=phu!$I$40,M484=phu!$I$41,M484=phu!$I$42,M484=phu!$I$43,M484=phu!$I$44),"Cam Thuận",""),IF(OR(M484=phu!$I$45,M484=phu!$I$46,M484=phu!$I$47,M484=phu!$I$48,M484=phu!$I$49,M484=phu!$I$50,M484=phu!$I$51,M484=phu!$I$52,M484=phu!$I$53),"Cam Linh",""),IF(OR(M484=phu!$I$54,M484=phu!$I$55,M484=phu!$I$56,M484=phu!$I$57,M484=phu!$I$58,M484=phu!$I$59,M484=phu!$I$60,M484=phu!$I$61,M484=phu!$I$62),"Cam Lợi",""),IF(OR(M484=phu!$I$63,M484=phu!$I$64,M484=phu!$I$65,M484=phu!$I$66,M484=phu!$I$67,M484=phu!$I$68,M484=phu!$I$69,M484=phu!$I$70,M484=phu!$I$71),"Ba Ngòi",""),IF(OR(M484=phu!$I$72,M484=phu!$I$73,M484=phu!$I$74,M484=phu!$I$75,M484=phu!$I$76,M484=phu!$I$77,M484=phu!$I$78),"Cam Phước Đông",""),IF(OR(M484=phu!$I$79,M484=phu!$I$80,M484=phu!$I$81,M484=phu!$I$82,M484=phu!$I$83,M484=phu!$I$84),"Cam Thịnh Đông",""),IF(OR(M484=phu!$I$85,M484=phu!$I$86,M484=phu!$I$87,M484=phu!$I$88),"Cam Thịnh Tây",""),IF(OR(M484=phu!$I$89,M484=phu!$I$90),"Cam Lập",""),IF(OR(M484=phu!$I$91,M484=phu!$I$92,M484=phu!$I$93),"Cam Bình",""),IF(OR(M484=phu!$I$94,M484=phu!$I$95,M484=phu!$I$96,M484=phu!$I$97,M484=phu!$I$98,M484=phu!$I$99,M484=phu!$I$100),"Huyện khác",""),IF(OR(M484=phu!$I$101,M484=phu!$I$102),"Tỉnh khác",""))</f>
        <v/>
      </c>
      <c r="O484" s="814" t="str">
        <f t="shared" si="43"/>
        <v/>
      </c>
      <c r="P484" s="254"/>
      <c r="Q484" s="254"/>
      <c r="R484" s="254"/>
      <c r="S484" s="254"/>
      <c r="T484" s="254"/>
      <c r="U484" s="254"/>
      <c r="V484" s="254"/>
      <c r="W484" s="254"/>
      <c r="Y484" s="246" t="str">
        <f t="shared" si="44"/>
        <v/>
      </c>
      <c r="Z484" s="247" t="str">
        <f t="shared" si="42"/>
        <v/>
      </c>
      <c r="AA484" s="246" t="str">
        <f t="shared" si="45"/>
        <v/>
      </c>
    </row>
    <row r="485" spans="1:27" ht="18" customHeight="1" x14ac:dyDescent="0.25">
      <c r="A485" s="248" t="str">
        <f t="shared" si="46"/>
        <v/>
      </c>
      <c r="B485" s="249" t="str">
        <f t="shared" si="47"/>
        <v/>
      </c>
      <c r="C485" s="250"/>
      <c r="D485" s="251"/>
      <c r="E485" s="241"/>
      <c r="F485" s="252"/>
      <c r="G485" s="252"/>
      <c r="H485" s="253"/>
      <c r="I485" s="250"/>
      <c r="J485" s="250"/>
      <c r="K485" s="270"/>
      <c r="L485" s="250"/>
      <c r="M485" s="250"/>
      <c r="N485" s="553" t="str">
        <f>CONCATENATE(IF(OR(M485=phu!$I$1,M485=phu!$I$2,M485=phu!$I$3),"Cam Thành Nam",""),IF(OR(M485=phu!$I$4,M485=phu!$I$5,M485=phu!$I$6,M485=phu!$I$7,M485=phu!$I$8,M485=phu!$I$9,M485=phu!$I$10,M485=phu!$I$11,M485=phu!$I$12,M485=phu!$I$13,M485=phu!$I$14),"Cam Nghĩa",""),IF(OR(M485=phu!$I$15,M485=phu!$I$16,M485=phu!$I$17,M485=phu!$I$18,M485=phu!$I$19,M485=phu!$I$20,M485=phu!$I$21),"Cam Phúc Bắc",""),IF(OR(M485=phu!$I$22,M485=phu!$I$23,M485=phu!$I$24,M485=phu!$I$25),"Cam Phúc Nam",""),IF(OR(M485=phu!$I$26,M485=phu!$I$27,M485=phu!$I$28,M485=phu!$I$29,M485=phu!$I$30,M485=phu!$I$31),"Cam Phú",""),IF(OR(M485=phu!$I$32,M485=phu!$I$33,M485=phu!$I$34,M485=phu!$I$35,M485=phu!$I$36,M485=phu!$I$37),"Cam Lộc",""),IF(OR(M485=phu!$I$38,M485=phu!$I$39,M485=phu!$I$40,M485=phu!$I$41,M485=phu!$I$42,M485=phu!$I$43,M485=phu!$I$44),"Cam Thuận",""),IF(OR(M485=phu!$I$45,M485=phu!$I$46,M485=phu!$I$47,M485=phu!$I$48,M485=phu!$I$49,M485=phu!$I$50,M485=phu!$I$51,M485=phu!$I$52,M485=phu!$I$53),"Cam Linh",""),IF(OR(M485=phu!$I$54,M485=phu!$I$55,M485=phu!$I$56,M485=phu!$I$57,M485=phu!$I$58,M485=phu!$I$59,M485=phu!$I$60,M485=phu!$I$61,M485=phu!$I$62),"Cam Lợi",""),IF(OR(M485=phu!$I$63,M485=phu!$I$64,M485=phu!$I$65,M485=phu!$I$66,M485=phu!$I$67,M485=phu!$I$68,M485=phu!$I$69,M485=phu!$I$70,M485=phu!$I$71),"Ba Ngòi",""),IF(OR(M485=phu!$I$72,M485=phu!$I$73,M485=phu!$I$74,M485=phu!$I$75,M485=phu!$I$76,M485=phu!$I$77,M485=phu!$I$78),"Cam Phước Đông",""),IF(OR(M485=phu!$I$79,M485=phu!$I$80,M485=phu!$I$81,M485=phu!$I$82,M485=phu!$I$83,M485=phu!$I$84),"Cam Thịnh Đông",""),IF(OR(M485=phu!$I$85,M485=phu!$I$86,M485=phu!$I$87,M485=phu!$I$88),"Cam Thịnh Tây",""),IF(OR(M485=phu!$I$89,M485=phu!$I$90),"Cam Lập",""),IF(OR(M485=phu!$I$91,M485=phu!$I$92,M485=phu!$I$93),"Cam Bình",""),IF(OR(M485=phu!$I$94,M485=phu!$I$95,M485=phu!$I$96,M485=phu!$I$97,M485=phu!$I$98,M485=phu!$I$99,M485=phu!$I$100),"Huyện khác",""),IF(OR(M485=phu!$I$101,M485=phu!$I$102),"Tỉnh khác",""))</f>
        <v/>
      </c>
      <c r="O485" s="814" t="str">
        <f t="shared" si="43"/>
        <v/>
      </c>
      <c r="P485" s="254"/>
      <c r="Q485" s="254"/>
      <c r="R485" s="254"/>
      <c r="S485" s="254"/>
      <c r="T485" s="254"/>
      <c r="U485" s="254"/>
      <c r="V485" s="254"/>
      <c r="W485" s="254"/>
      <c r="Y485" s="246" t="str">
        <f t="shared" si="44"/>
        <v/>
      </c>
      <c r="Z485" s="247" t="str">
        <f t="shared" si="42"/>
        <v/>
      </c>
      <c r="AA485" s="246" t="str">
        <f t="shared" si="45"/>
        <v/>
      </c>
    </row>
    <row r="486" spans="1:27" ht="18" customHeight="1" x14ac:dyDescent="0.25">
      <c r="A486" s="248" t="str">
        <f t="shared" si="46"/>
        <v/>
      </c>
      <c r="B486" s="249" t="str">
        <f t="shared" si="47"/>
        <v/>
      </c>
      <c r="C486" s="250"/>
      <c r="D486" s="251"/>
      <c r="E486" s="241"/>
      <c r="F486" s="252"/>
      <c r="G486" s="252"/>
      <c r="H486" s="253"/>
      <c r="I486" s="250"/>
      <c r="J486" s="250"/>
      <c r="K486" s="270"/>
      <c r="L486" s="250"/>
      <c r="M486" s="250"/>
      <c r="N486" s="553" t="str">
        <f>CONCATENATE(IF(OR(M486=phu!$I$1,M486=phu!$I$2,M486=phu!$I$3),"Cam Thành Nam",""),IF(OR(M486=phu!$I$4,M486=phu!$I$5,M486=phu!$I$6,M486=phu!$I$7,M486=phu!$I$8,M486=phu!$I$9,M486=phu!$I$10,M486=phu!$I$11,M486=phu!$I$12,M486=phu!$I$13,M486=phu!$I$14),"Cam Nghĩa",""),IF(OR(M486=phu!$I$15,M486=phu!$I$16,M486=phu!$I$17,M486=phu!$I$18,M486=phu!$I$19,M486=phu!$I$20,M486=phu!$I$21),"Cam Phúc Bắc",""),IF(OR(M486=phu!$I$22,M486=phu!$I$23,M486=phu!$I$24,M486=phu!$I$25),"Cam Phúc Nam",""),IF(OR(M486=phu!$I$26,M486=phu!$I$27,M486=phu!$I$28,M486=phu!$I$29,M486=phu!$I$30,M486=phu!$I$31),"Cam Phú",""),IF(OR(M486=phu!$I$32,M486=phu!$I$33,M486=phu!$I$34,M486=phu!$I$35,M486=phu!$I$36,M486=phu!$I$37),"Cam Lộc",""),IF(OR(M486=phu!$I$38,M486=phu!$I$39,M486=phu!$I$40,M486=phu!$I$41,M486=phu!$I$42,M486=phu!$I$43,M486=phu!$I$44),"Cam Thuận",""),IF(OR(M486=phu!$I$45,M486=phu!$I$46,M486=phu!$I$47,M486=phu!$I$48,M486=phu!$I$49,M486=phu!$I$50,M486=phu!$I$51,M486=phu!$I$52,M486=phu!$I$53),"Cam Linh",""),IF(OR(M486=phu!$I$54,M486=phu!$I$55,M486=phu!$I$56,M486=phu!$I$57,M486=phu!$I$58,M486=phu!$I$59,M486=phu!$I$60,M486=phu!$I$61,M486=phu!$I$62),"Cam Lợi",""),IF(OR(M486=phu!$I$63,M486=phu!$I$64,M486=phu!$I$65,M486=phu!$I$66,M486=phu!$I$67,M486=phu!$I$68,M486=phu!$I$69,M486=phu!$I$70,M486=phu!$I$71),"Ba Ngòi",""),IF(OR(M486=phu!$I$72,M486=phu!$I$73,M486=phu!$I$74,M486=phu!$I$75,M486=phu!$I$76,M486=phu!$I$77,M486=phu!$I$78),"Cam Phước Đông",""),IF(OR(M486=phu!$I$79,M486=phu!$I$80,M486=phu!$I$81,M486=phu!$I$82,M486=phu!$I$83,M486=phu!$I$84),"Cam Thịnh Đông",""),IF(OR(M486=phu!$I$85,M486=phu!$I$86,M486=phu!$I$87,M486=phu!$I$88),"Cam Thịnh Tây",""),IF(OR(M486=phu!$I$89,M486=phu!$I$90),"Cam Lập",""),IF(OR(M486=phu!$I$91,M486=phu!$I$92,M486=phu!$I$93),"Cam Bình",""),IF(OR(M486=phu!$I$94,M486=phu!$I$95,M486=phu!$I$96,M486=phu!$I$97,M486=phu!$I$98,M486=phu!$I$99,M486=phu!$I$100),"Huyện khác",""),IF(OR(M486=phu!$I$101,M486=phu!$I$102),"Tỉnh khác",""))</f>
        <v/>
      </c>
      <c r="O486" s="814" t="str">
        <f t="shared" si="43"/>
        <v/>
      </c>
      <c r="P486" s="254"/>
      <c r="Q486" s="254"/>
      <c r="R486" s="254"/>
      <c r="S486" s="254"/>
      <c r="T486" s="254"/>
      <c r="U486" s="254"/>
      <c r="V486" s="254"/>
      <c r="W486" s="254"/>
      <c r="Y486" s="246" t="str">
        <f t="shared" si="44"/>
        <v/>
      </c>
      <c r="Z486" s="247" t="str">
        <f t="shared" si="42"/>
        <v/>
      </c>
      <c r="AA486" s="246" t="str">
        <f t="shared" si="45"/>
        <v/>
      </c>
    </row>
    <row r="487" spans="1:27" ht="18" customHeight="1" x14ac:dyDescent="0.25">
      <c r="A487" s="248" t="str">
        <f t="shared" si="46"/>
        <v/>
      </c>
      <c r="B487" s="249" t="str">
        <f t="shared" si="47"/>
        <v/>
      </c>
      <c r="C487" s="250"/>
      <c r="D487" s="251"/>
      <c r="E487" s="241"/>
      <c r="F487" s="252"/>
      <c r="G487" s="252"/>
      <c r="H487" s="253"/>
      <c r="I487" s="250"/>
      <c r="J487" s="250"/>
      <c r="K487" s="270"/>
      <c r="L487" s="250"/>
      <c r="M487" s="250"/>
      <c r="N487" s="553" t="str">
        <f>CONCATENATE(IF(OR(M487=phu!$I$1,M487=phu!$I$2,M487=phu!$I$3),"Cam Thành Nam",""),IF(OR(M487=phu!$I$4,M487=phu!$I$5,M487=phu!$I$6,M487=phu!$I$7,M487=phu!$I$8,M487=phu!$I$9,M487=phu!$I$10,M487=phu!$I$11,M487=phu!$I$12,M487=phu!$I$13,M487=phu!$I$14),"Cam Nghĩa",""),IF(OR(M487=phu!$I$15,M487=phu!$I$16,M487=phu!$I$17,M487=phu!$I$18,M487=phu!$I$19,M487=phu!$I$20,M487=phu!$I$21),"Cam Phúc Bắc",""),IF(OR(M487=phu!$I$22,M487=phu!$I$23,M487=phu!$I$24,M487=phu!$I$25),"Cam Phúc Nam",""),IF(OR(M487=phu!$I$26,M487=phu!$I$27,M487=phu!$I$28,M487=phu!$I$29,M487=phu!$I$30,M487=phu!$I$31),"Cam Phú",""),IF(OR(M487=phu!$I$32,M487=phu!$I$33,M487=phu!$I$34,M487=phu!$I$35,M487=phu!$I$36,M487=phu!$I$37),"Cam Lộc",""),IF(OR(M487=phu!$I$38,M487=phu!$I$39,M487=phu!$I$40,M487=phu!$I$41,M487=phu!$I$42,M487=phu!$I$43,M487=phu!$I$44),"Cam Thuận",""),IF(OR(M487=phu!$I$45,M487=phu!$I$46,M487=phu!$I$47,M487=phu!$I$48,M487=phu!$I$49,M487=phu!$I$50,M487=phu!$I$51,M487=phu!$I$52,M487=phu!$I$53),"Cam Linh",""),IF(OR(M487=phu!$I$54,M487=phu!$I$55,M487=phu!$I$56,M487=phu!$I$57,M487=phu!$I$58,M487=phu!$I$59,M487=phu!$I$60,M487=phu!$I$61,M487=phu!$I$62),"Cam Lợi",""),IF(OR(M487=phu!$I$63,M487=phu!$I$64,M487=phu!$I$65,M487=phu!$I$66,M487=phu!$I$67,M487=phu!$I$68,M487=phu!$I$69,M487=phu!$I$70,M487=phu!$I$71),"Ba Ngòi",""),IF(OR(M487=phu!$I$72,M487=phu!$I$73,M487=phu!$I$74,M487=phu!$I$75,M487=phu!$I$76,M487=phu!$I$77,M487=phu!$I$78),"Cam Phước Đông",""),IF(OR(M487=phu!$I$79,M487=phu!$I$80,M487=phu!$I$81,M487=phu!$I$82,M487=phu!$I$83,M487=phu!$I$84),"Cam Thịnh Đông",""),IF(OR(M487=phu!$I$85,M487=phu!$I$86,M487=phu!$I$87,M487=phu!$I$88),"Cam Thịnh Tây",""),IF(OR(M487=phu!$I$89,M487=phu!$I$90),"Cam Lập",""),IF(OR(M487=phu!$I$91,M487=phu!$I$92,M487=phu!$I$93),"Cam Bình",""),IF(OR(M487=phu!$I$94,M487=phu!$I$95,M487=phu!$I$96,M487=phu!$I$97,M487=phu!$I$98,M487=phu!$I$99,M487=phu!$I$100),"Huyện khác",""),IF(OR(M487=phu!$I$101,M487=phu!$I$102),"Tỉnh khác",""))</f>
        <v/>
      </c>
      <c r="O487" s="814" t="str">
        <f t="shared" si="43"/>
        <v/>
      </c>
      <c r="P487" s="254"/>
      <c r="Q487" s="254"/>
      <c r="R487" s="254"/>
      <c r="S487" s="254"/>
      <c r="T487" s="254"/>
      <c r="U487" s="254"/>
      <c r="V487" s="254"/>
      <c r="W487" s="254"/>
      <c r="Y487" s="246" t="str">
        <f t="shared" si="44"/>
        <v/>
      </c>
      <c r="Z487" s="247" t="str">
        <f t="shared" si="42"/>
        <v/>
      </c>
      <c r="AA487" s="246" t="str">
        <f t="shared" si="45"/>
        <v/>
      </c>
    </row>
    <row r="488" spans="1:27" ht="18" customHeight="1" x14ac:dyDescent="0.25">
      <c r="A488" s="248" t="str">
        <f t="shared" si="46"/>
        <v/>
      </c>
      <c r="B488" s="249" t="str">
        <f t="shared" si="47"/>
        <v/>
      </c>
      <c r="C488" s="250"/>
      <c r="D488" s="251"/>
      <c r="E488" s="241"/>
      <c r="F488" s="252"/>
      <c r="G488" s="252"/>
      <c r="H488" s="253"/>
      <c r="I488" s="250"/>
      <c r="J488" s="250"/>
      <c r="K488" s="270"/>
      <c r="L488" s="250"/>
      <c r="M488" s="250"/>
      <c r="N488" s="553" t="str">
        <f>CONCATENATE(IF(OR(M488=phu!$I$1,M488=phu!$I$2,M488=phu!$I$3),"Cam Thành Nam",""),IF(OR(M488=phu!$I$4,M488=phu!$I$5,M488=phu!$I$6,M488=phu!$I$7,M488=phu!$I$8,M488=phu!$I$9,M488=phu!$I$10,M488=phu!$I$11,M488=phu!$I$12,M488=phu!$I$13,M488=phu!$I$14),"Cam Nghĩa",""),IF(OR(M488=phu!$I$15,M488=phu!$I$16,M488=phu!$I$17,M488=phu!$I$18,M488=phu!$I$19,M488=phu!$I$20,M488=phu!$I$21),"Cam Phúc Bắc",""),IF(OR(M488=phu!$I$22,M488=phu!$I$23,M488=phu!$I$24,M488=phu!$I$25),"Cam Phúc Nam",""),IF(OR(M488=phu!$I$26,M488=phu!$I$27,M488=phu!$I$28,M488=phu!$I$29,M488=phu!$I$30,M488=phu!$I$31),"Cam Phú",""),IF(OR(M488=phu!$I$32,M488=phu!$I$33,M488=phu!$I$34,M488=phu!$I$35,M488=phu!$I$36,M488=phu!$I$37),"Cam Lộc",""),IF(OR(M488=phu!$I$38,M488=phu!$I$39,M488=phu!$I$40,M488=phu!$I$41,M488=phu!$I$42,M488=phu!$I$43,M488=phu!$I$44),"Cam Thuận",""),IF(OR(M488=phu!$I$45,M488=phu!$I$46,M488=phu!$I$47,M488=phu!$I$48,M488=phu!$I$49,M488=phu!$I$50,M488=phu!$I$51,M488=phu!$I$52,M488=phu!$I$53),"Cam Linh",""),IF(OR(M488=phu!$I$54,M488=phu!$I$55,M488=phu!$I$56,M488=phu!$I$57,M488=phu!$I$58,M488=phu!$I$59,M488=phu!$I$60,M488=phu!$I$61,M488=phu!$I$62),"Cam Lợi",""),IF(OR(M488=phu!$I$63,M488=phu!$I$64,M488=phu!$I$65,M488=phu!$I$66,M488=phu!$I$67,M488=phu!$I$68,M488=phu!$I$69,M488=phu!$I$70,M488=phu!$I$71),"Ba Ngòi",""),IF(OR(M488=phu!$I$72,M488=phu!$I$73,M488=phu!$I$74,M488=phu!$I$75,M488=phu!$I$76,M488=phu!$I$77,M488=phu!$I$78),"Cam Phước Đông",""),IF(OR(M488=phu!$I$79,M488=phu!$I$80,M488=phu!$I$81,M488=phu!$I$82,M488=phu!$I$83,M488=phu!$I$84),"Cam Thịnh Đông",""),IF(OR(M488=phu!$I$85,M488=phu!$I$86,M488=phu!$I$87,M488=phu!$I$88),"Cam Thịnh Tây",""),IF(OR(M488=phu!$I$89,M488=phu!$I$90),"Cam Lập",""),IF(OR(M488=phu!$I$91,M488=phu!$I$92,M488=phu!$I$93),"Cam Bình",""),IF(OR(M488=phu!$I$94,M488=phu!$I$95,M488=phu!$I$96,M488=phu!$I$97,M488=phu!$I$98,M488=phu!$I$99,M488=phu!$I$100),"Huyện khác",""),IF(OR(M488=phu!$I$101,M488=phu!$I$102),"Tỉnh khác",""))</f>
        <v/>
      </c>
      <c r="O488" s="814" t="str">
        <f t="shared" si="43"/>
        <v/>
      </c>
      <c r="P488" s="254"/>
      <c r="Q488" s="254"/>
      <c r="R488" s="254"/>
      <c r="S488" s="254"/>
      <c r="T488" s="254"/>
      <c r="U488" s="254"/>
      <c r="V488" s="254"/>
      <c r="W488" s="254"/>
      <c r="Y488" s="246" t="str">
        <f t="shared" si="44"/>
        <v/>
      </c>
      <c r="Z488" s="247" t="str">
        <f t="shared" si="42"/>
        <v/>
      </c>
      <c r="AA488" s="246" t="str">
        <f t="shared" si="45"/>
        <v/>
      </c>
    </row>
    <row r="489" spans="1:27" ht="18" customHeight="1" x14ac:dyDescent="0.25">
      <c r="A489" s="248" t="str">
        <f t="shared" si="46"/>
        <v/>
      </c>
      <c r="B489" s="249" t="str">
        <f t="shared" si="47"/>
        <v/>
      </c>
      <c r="C489" s="250"/>
      <c r="D489" s="251"/>
      <c r="E489" s="241"/>
      <c r="F489" s="252"/>
      <c r="G489" s="252"/>
      <c r="H489" s="253"/>
      <c r="I489" s="250"/>
      <c r="J489" s="250"/>
      <c r="K489" s="270"/>
      <c r="L489" s="250"/>
      <c r="M489" s="250"/>
      <c r="N489" s="553" t="str">
        <f>CONCATENATE(IF(OR(M489=phu!$I$1,M489=phu!$I$2,M489=phu!$I$3),"Cam Thành Nam",""),IF(OR(M489=phu!$I$4,M489=phu!$I$5,M489=phu!$I$6,M489=phu!$I$7,M489=phu!$I$8,M489=phu!$I$9,M489=phu!$I$10,M489=phu!$I$11,M489=phu!$I$12,M489=phu!$I$13,M489=phu!$I$14),"Cam Nghĩa",""),IF(OR(M489=phu!$I$15,M489=phu!$I$16,M489=phu!$I$17,M489=phu!$I$18,M489=phu!$I$19,M489=phu!$I$20,M489=phu!$I$21),"Cam Phúc Bắc",""),IF(OR(M489=phu!$I$22,M489=phu!$I$23,M489=phu!$I$24,M489=phu!$I$25),"Cam Phúc Nam",""),IF(OR(M489=phu!$I$26,M489=phu!$I$27,M489=phu!$I$28,M489=phu!$I$29,M489=phu!$I$30,M489=phu!$I$31),"Cam Phú",""),IF(OR(M489=phu!$I$32,M489=phu!$I$33,M489=phu!$I$34,M489=phu!$I$35,M489=phu!$I$36,M489=phu!$I$37),"Cam Lộc",""),IF(OR(M489=phu!$I$38,M489=phu!$I$39,M489=phu!$I$40,M489=phu!$I$41,M489=phu!$I$42,M489=phu!$I$43,M489=phu!$I$44),"Cam Thuận",""),IF(OR(M489=phu!$I$45,M489=phu!$I$46,M489=phu!$I$47,M489=phu!$I$48,M489=phu!$I$49,M489=phu!$I$50,M489=phu!$I$51,M489=phu!$I$52,M489=phu!$I$53),"Cam Linh",""),IF(OR(M489=phu!$I$54,M489=phu!$I$55,M489=phu!$I$56,M489=phu!$I$57,M489=phu!$I$58,M489=phu!$I$59,M489=phu!$I$60,M489=phu!$I$61,M489=phu!$I$62),"Cam Lợi",""),IF(OR(M489=phu!$I$63,M489=phu!$I$64,M489=phu!$I$65,M489=phu!$I$66,M489=phu!$I$67,M489=phu!$I$68,M489=phu!$I$69,M489=phu!$I$70,M489=phu!$I$71),"Ba Ngòi",""),IF(OR(M489=phu!$I$72,M489=phu!$I$73,M489=phu!$I$74,M489=phu!$I$75,M489=phu!$I$76,M489=phu!$I$77,M489=phu!$I$78),"Cam Phước Đông",""),IF(OR(M489=phu!$I$79,M489=phu!$I$80,M489=phu!$I$81,M489=phu!$I$82,M489=phu!$I$83,M489=phu!$I$84),"Cam Thịnh Đông",""),IF(OR(M489=phu!$I$85,M489=phu!$I$86,M489=phu!$I$87,M489=phu!$I$88),"Cam Thịnh Tây",""),IF(OR(M489=phu!$I$89,M489=phu!$I$90),"Cam Lập",""),IF(OR(M489=phu!$I$91,M489=phu!$I$92,M489=phu!$I$93),"Cam Bình",""),IF(OR(M489=phu!$I$94,M489=phu!$I$95,M489=phu!$I$96,M489=phu!$I$97,M489=phu!$I$98,M489=phu!$I$99,M489=phu!$I$100),"Huyện khác",""),IF(OR(M489=phu!$I$101,M489=phu!$I$102),"Tỉnh khác",""))</f>
        <v/>
      </c>
      <c r="O489" s="814" t="str">
        <f t="shared" si="43"/>
        <v/>
      </c>
      <c r="P489" s="254"/>
      <c r="Q489" s="254"/>
      <c r="R489" s="254"/>
      <c r="S489" s="254"/>
      <c r="T489" s="254"/>
      <c r="U489" s="254"/>
      <c r="V489" s="254"/>
      <c r="W489" s="254"/>
      <c r="Y489" s="246" t="str">
        <f t="shared" si="44"/>
        <v/>
      </c>
      <c r="Z489" s="247" t="str">
        <f t="shared" si="42"/>
        <v/>
      </c>
      <c r="AA489" s="246" t="str">
        <f t="shared" si="45"/>
        <v/>
      </c>
    </row>
    <row r="490" spans="1:27" ht="18" customHeight="1" x14ac:dyDescent="0.25">
      <c r="A490" s="248" t="str">
        <f t="shared" si="46"/>
        <v/>
      </c>
      <c r="B490" s="249" t="str">
        <f t="shared" si="47"/>
        <v/>
      </c>
      <c r="C490" s="250"/>
      <c r="D490" s="251"/>
      <c r="E490" s="241"/>
      <c r="F490" s="252"/>
      <c r="G490" s="252"/>
      <c r="H490" s="253"/>
      <c r="I490" s="250"/>
      <c r="J490" s="250"/>
      <c r="K490" s="270"/>
      <c r="L490" s="250"/>
      <c r="M490" s="250"/>
      <c r="N490" s="553" t="str">
        <f>CONCATENATE(IF(OR(M490=phu!$I$1,M490=phu!$I$2,M490=phu!$I$3),"Cam Thành Nam",""),IF(OR(M490=phu!$I$4,M490=phu!$I$5,M490=phu!$I$6,M490=phu!$I$7,M490=phu!$I$8,M490=phu!$I$9,M490=phu!$I$10,M490=phu!$I$11,M490=phu!$I$12,M490=phu!$I$13,M490=phu!$I$14),"Cam Nghĩa",""),IF(OR(M490=phu!$I$15,M490=phu!$I$16,M490=phu!$I$17,M490=phu!$I$18,M490=phu!$I$19,M490=phu!$I$20,M490=phu!$I$21),"Cam Phúc Bắc",""),IF(OR(M490=phu!$I$22,M490=phu!$I$23,M490=phu!$I$24,M490=phu!$I$25),"Cam Phúc Nam",""),IF(OR(M490=phu!$I$26,M490=phu!$I$27,M490=phu!$I$28,M490=phu!$I$29,M490=phu!$I$30,M490=phu!$I$31),"Cam Phú",""),IF(OR(M490=phu!$I$32,M490=phu!$I$33,M490=phu!$I$34,M490=phu!$I$35,M490=phu!$I$36,M490=phu!$I$37),"Cam Lộc",""),IF(OR(M490=phu!$I$38,M490=phu!$I$39,M490=phu!$I$40,M490=phu!$I$41,M490=phu!$I$42,M490=phu!$I$43,M490=phu!$I$44),"Cam Thuận",""),IF(OR(M490=phu!$I$45,M490=phu!$I$46,M490=phu!$I$47,M490=phu!$I$48,M490=phu!$I$49,M490=phu!$I$50,M490=phu!$I$51,M490=phu!$I$52,M490=phu!$I$53),"Cam Linh",""),IF(OR(M490=phu!$I$54,M490=phu!$I$55,M490=phu!$I$56,M490=phu!$I$57,M490=phu!$I$58,M490=phu!$I$59,M490=phu!$I$60,M490=phu!$I$61,M490=phu!$I$62),"Cam Lợi",""),IF(OR(M490=phu!$I$63,M490=phu!$I$64,M490=phu!$I$65,M490=phu!$I$66,M490=phu!$I$67,M490=phu!$I$68,M490=phu!$I$69,M490=phu!$I$70,M490=phu!$I$71),"Ba Ngòi",""),IF(OR(M490=phu!$I$72,M490=phu!$I$73,M490=phu!$I$74,M490=phu!$I$75,M490=phu!$I$76,M490=phu!$I$77,M490=phu!$I$78),"Cam Phước Đông",""),IF(OR(M490=phu!$I$79,M490=phu!$I$80,M490=phu!$I$81,M490=phu!$I$82,M490=phu!$I$83,M490=phu!$I$84),"Cam Thịnh Đông",""),IF(OR(M490=phu!$I$85,M490=phu!$I$86,M490=phu!$I$87,M490=phu!$I$88),"Cam Thịnh Tây",""),IF(OR(M490=phu!$I$89,M490=phu!$I$90),"Cam Lập",""),IF(OR(M490=phu!$I$91,M490=phu!$I$92,M490=phu!$I$93),"Cam Bình",""),IF(OR(M490=phu!$I$94,M490=phu!$I$95,M490=phu!$I$96,M490=phu!$I$97,M490=phu!$I$98,M490=phu!$I$99,M490=phu!$I$100),"Huyện khác",""),IF(OR(M490=phu!$I$101,M490=phu!$I$102),"Tỉnh khác",""))</f>
        <v/>
      </c>
      <c r="O490" s="814" t="str">
        <f t="shared" si="43"/>
        <v/>
      </c>
      <c r="P490" s="254"/>
      <c r="Q490" s="254"/>
      <c r="R490" s="254"/>
      <c r="S490" s="254"/>
      <c r="T490" s="254"/>
      <c r="U490" s="254"/>
      <c r="V490" s="254"/>
      <c r="W490" s="254"/>
      <c r="Y490" s="246" t="str">
        <f t="shared" si="44"/>
        <v/>
      </c>
      <c r="Z490" s="247" t="str">
        <f t="shared" si="42"/>
        <v/>
      </c>
      <c r="AA490" s="246" t="str">
        <f t="shared" si="45"/>
        <v/>
      </c>
    </row>
    <row r="491" spans="1:27" ht="18" customHeight="1" x14ac:dyDescent="0.25">
      <c r="A491" s="248" t="str">
        <f t="shared" si="46"/>
        <v/>
      </c>
      <c r="B491" s="249" t="str">
        <f t="shared" si="47"/>
        <v/>
      </c>
      <c r="C491" s="250"/>
      <c r="D491" s="251"/>
      <c r="E491" s="241"/>
      <c r="F491" s="252"/>
      <c r="G491" s="252"/>
      <c r="H491" s="253"/>
      <c r="I491" s="250"/>
      <c r="J491" s="250"/>
      <c r="K491" s="270"/>
      <c r="L491" s="250"/>
      <c r="M491" s="250"/>
      <c r="N491" s="553" t="str">
        <f>CONCATENATE(IF(OR(M491=phu!$I$1,M491=phu!$I$2,M491=phu!$I$3),"Cam Thành Nam",""),IF(OR(M491=phu!$I$4,M491=phu!$I$5,M491=phu!$I$6,M491=phu!$I$7,M491=phu!$I$8,M491=phu!$I$9,M491=phu!$I$10,M491=phu!$I$11,M491=phu!$I$12,M491=phu!$I$13,M491=phu!$I$14),"Cam Nghĩa",""),IF(OR(M491=phu!$I$15,M491=phu!$I$16,M491=phu!$I$17,M491=phu!$I$18,M491=phu!$I$19,M491=phu!$I$20,M491=phu!$I$21),"Cam Phúc Bắc",""),IF(OR(M491=phu!$I$22,M491=phu!$I$23,M491=phu!$I$24,M491=phu!$I$25),"Cam Phúc Nam",""),IF(OR(M491=phu!$I$26,M491=phu!$I$27,M491=phu!$I$28,M491=phu!$I$29,M491=phu!$I$30,M491=phu!$I$31),"Cam Phú",""),IF(OR(M491=phu!$I$32,M491=phu!$I$33,M491=phu!$I$34,M491=phu!$I$35,M491=phu!$I$36,M491=phu!$I$37),"Cam Lộc",""),IF(OR(M491=phu!$I$38,M491=phu!$I$39,M491=phu!$I$40,M491=phu!$I$41,M491=phu!$I$42,M491=phu!$I$43,M491=phu!$I$44),"Cam Thuận",""),IF(OR(M491=phu!$I$45,M491=phu!$I$46,M491=phu!$I$47,M491=phu!$I$48,M491=phu!$I$49,M491=phu!$I$50,M491=phu!$I$51,M491=phu!$I$52,M491=phu!$I$53),"Cam Linh",""),IF(OR(M491=phu!$I$54,M491=phu!$I$55,M491=phu!$I$56,M491=phu!$I$57,M491=phu!$I$58,M491=phu!$I$59,M491=phu!$I$60,M491=phu!$I$61,M491=phu!$I$62),"Cam Lợi",""),IF(OR(M491=phu!$I$63,M491=phu!$I$64,M491=phu!$I$65,M491=phu!$I$66,M491=phu!$I$67,M491=phu!$I$68,M491=phu!$I$69,M491=phu!$I$70,M491=phu!$I$71),"Ba Ngòi",""),IF(OR(M491=phu!$I$72,M491=phu!$I$73,M491=phu!$I$74,M491=phu!$I$75,M491=phu!$I$76,M491=phu!$I$77,M491=phu!$I$78),"Cam Phước Đông",""),IF(OR(M491=phu!$I$79,M491=phu!$I$80,M491=phu!$I$81,M491=phu!$I$82,M491=phu!$I$83,M491=phu!$I$84),"Cam Thịnh Đông",""),IF(OR(M491=phu!$I$85,M491=phu!$I$86,M491=phu!$I$87,M491=phu!$I$88),"Cam Thịnh Tây",""),IF(OR(M491=phu!$I$89,M491=phu!$I$90),"Cam Lập",""),IF(OR(M491=phu!$I$91,M491=phu!$I$92,M491=phu!$I$93),"Cam Bình",""),IF(OR(M491=phu!$I$94,M491=phu!$I$95,M491=phu!$I$96,M491=phu!$I$97,M491=phu!$I$98,M491=phu!$I$99,M491=phu!$I$100),"Huyện khác",""),IF(OR(M491=phu!$I$101,M491=phu!$I$102),"Tỉnh khác",""))</f>
        <v/>
      </c>
      <c r="O491" s="814" t="str">
        <f t="shared" si="43"/>
        <v/>
      </c>
      <c r="P491" s="254"/>
      <c r="Q491" s="254"/>
      <c r="R491" s="254"/>
      <c r="S491" s="254"/>
      <c r="T491" s="254"/>
      <c r="U491" s="254"/>
      <c r="V491" s="254"/>
      <c r="W491" s="254"/>
      <c r="Y491" s="246" t="str">
        <f t="shared" si="44"/>
        <v/>
      </c>
      <c r="Z491" s="247" t="str">
        <f t="shared" si="42"/>
        <v/>
      </c>
      <c r="AA491" s="246" t="str">
        <f t="shared" si="45"/>
        <v/>
      </c>
    </row>
    <row r="492" spans="1:27" ht="18" customHeight="1" x14ac:dyDescent="0.25">
      <c r="A492" s="248" t="str">
        <f t="shared" si="46"/>
        <v/>
      </c>
      <c r="B492" s="249" t="str">
        <f t="shared" si="47"/>
        <v/>
      </c>
      <c r="C492" s="250"/>
      <c r="D492" s="251"/>
      <c r="E492" s="241"/>
      <c r="F492" s="252"/>
      <c r="G492" s="252"/>
      <c r="H492" s="253"/>
      <c r="I492" s="250"/>
      <c r="J492" s="250"/>
      <c r="K492" s="270"/>
      <c r="L492" s="250"/>
      <c r="M492" s="250"/>
      <c r="N492" s="553" t="str">
        <f>CONCATENATE(IF(OR(M492=phu!$I$1,M492=phu!$I$2,M492=phu!$I$3),"Cam Thành Nam",""),IF(OR(M492=phu!$I$4,M492=phu!$I$5,M492=phu!$I$6,M492=phu!$I$7,M492=phu!$I$8,M492=phu!$I$9,M492=phu!$I$10,M492=phu!$I$11,M492=phu!$I$12,M492=phu!$I$13,M492=phu!$I$14),"Cam Nghĩa",""),IF(OR(M492=phu!$I$15,M492=phu!$I$16,M492=phu!$I$17,M492=phu!$I$18,M492=phu!$I$19,M492=phu!$I$20,M492=phu!$I$21),"Cam Phúc Bắc",""),IF(OR(M492=phu!$I$22,M492=phu!$I$23,M492=phu!$I$24,M492=phu!$I$25),"Cam Phúc Nam",""),IF(OR(M492=phu!$I$26,M492=phu!$I$27,M492=phu!$I$28,M492=phu!$I$29,M492=phu!$I$30,M492=phu!$I$31),"Cam Phú",""),IF(OR(M492=phu!$I$32,M492=phu!$I$33,M492=phu!$I$34,M492=phu!$I$35,M492=phu!$I$36,M492=phu!$I$37),"Cam Lộc",""),IF(OR(M492=phu!$I$38,M492=phu!$I$39,M492=phu!$I$40,M492=phu!$I$41,M492=phu!$I$42,M492=phu!$I$43,M492=phu!$I$44),"Cam Thuận",""),IF(OR(M492=phu!$I$45,M492=phu!$I$46,M492=phu!$I$47,M492=phu!$I$48,M492=phu!$I$49,M492=phu!$I$50,M492=phu!$I$51,M492=phu!$I$52,M492=phu!$I$53),"Cam Linh",""),IF(OR(M492=phu!$I$54,M492=phu!$I$55,M492=phu!$I$56,M492=phu!$I$57,M492=phu!$I$58,M492=phu!$I$59,M492=phu!$I$60,M492=phu!$I$61,M492=phu!$I$62),"Cam Lợi",""),IF(OR(M492=phu!$I$63,M492=phu!$I$64,M492=phu!$I$65,M492=phu!$I$66,M492=phu!$I$67,M492=phu!$I$68,M492=phu!$I$69,M492=phu!$I$70,M492=phu!$I$71),"Ba Ngòi",""),IF(OR(M492=phu!$I$72,M492=phu!$I$73,M492=phu!$I$74,M492=phu!$I$75,M492=phu!$I$76,M492=phu!$I$77,M492=phu!$I$78),"Cam Phước Đông",""),IF(OR(M492=phu!$I$79,M492=phu!$I$80,M492=phu!$I$81,M492=phu!$I$82,M492=phu!$I$83,M492=phu!$I$84),"Cam Thịnh Đông",""),IF(OR(M492=phu!$I$85,M492=phu!$I$86,M492=phu!$I$87,M492=phu!$I$88),"Cam Thịnh Tây",""),IF(OR(M492=phu!$I$89,M492=phu!$I$90),"Cam Lập",""),IF(OR(M492=phu!$I$91,M492=phu!$I$92,M492=phu!$I$93),"Cam Bình",""),IF(OR(M492=phu!$I$94,M492=phu!$I$95,M492=phu!$I$96,M492=phu!$I$97,M492=phu!$I$98,M492=phu!$I$99,M492=phu!$I$100),"Huyện khác",""),IF(OR(M492=phu!$I$101,M492=phu!$I$102),"Tỉnh khác",""))</f>
        <v/>
      </c>
      <c r="O492" s="814" t="str">
        <f t="shared" si="43"/>
        <v/>
      </c>
      <c r="P492" s="254"/>
      <c r="Q492" s="254"/>
      <c r="R492" s="254"/>
      <c r="S492" s="254"/>
      <c r="T492" s="254"/>
      <c r="U492" s="254"/>
      <c r="V492" s="254"/>
      <c r="W492" s="254"/>
      <c r="Y492" s="246" t="str">
        <f t="shared" si="44"/>
        <v/>
      </c>
      <c r="Z492" s="247" t="str">
        <f t="shared" si="42"/>
        <v/>
      </c>
      <c r="AA492" s="246" t="str">
        <f t="shared" si="45"/>
        <v/>
      </c>
    </row>
    <row r="493" spans="1:27" ht="18" customHeight="1" x14ac:dyDescent="0.25">
      <c r="A493" s="248" t="str">
        <f t="shared" si="46"/>
        <v/>
      </c>
      <c r="B493" s="249" t="str">
        <f t="shared" si="47"/>
        <v/>
      </c>
      <c r="C493" s="250"/>
      <c r="D493" s="251"/>
      <c r="E493" s="241"/>
      <c r="F493" s="252"/>
      <c r="G493" s="252"/>
      <c r="H493" s="253"/>
      <c r="I493" s="250"/>
      <c r="J493" s="250"/>
      <c r="K493" s="270"/>
      <c r="L493" s="250"/>
      <c r="M493" s="250"/>
      <c r="N493" s="553" t="str">
        <f>CONCATENATE(IF(OR(M493=phu!$I$1,M493=phu!$I$2,M493=phu!$I$3),"Cam Thành Nam",""),IF(OR(M493=phu!$I$4,M493=phu!$I$5,M493=phu!$I$6,M493=phu!$I$7,M493=phu!$I$8,M493=phu!$I$9,M493=phu!$I$10,M493=phu!$I$11,M493=phu!$I$12,M493=phu!$I$13,M493=phu!$I$14),"Cam Nghĩa",""),IF(OR(M493=phu!$I$15,M493=phu!$I$16,M493=phu!$I$17,M493=phu!$I$18,M493=phu!$I$19,M493=phu!$I$20,M493=phu!$I$21),"Cam Phúc Bắc",""),IF(OR(M493=phu!$I$22,M493=phu!$I$23,M493=phu!$I$24,M493=phu!$I$25),"Cam Phúc Nam",""),IF(OR(M493=phu!$I$26,M493=phu!$I$27,M493=phu!$I$28,M493=phu!$I$29,M493=phu!$I$30,M493=phu!$I$31),"Cam Phú",""),IF(OR(M493=phu!$I$32,M493=phu!$I$33,M493=phu!$I$34,M493=phu!$I$35,M493=phu!$I$36,M493=phu!$I$37),"Cam Lộc",""),IF(OR(M493=phu!$I$38,M493=phu!$I$39,M493=phu!$I$40,M493=phu!$I$41,M493=phu!$I$42,M493=phu!$I$43,M493=phu!$I$44),"Cam Thuận",""),IF(OR(M493=phu!$I$45,M493=phu!$I$46,M493=phu!$I$47,M493=phu!$I$48,M493=phu!$I$49,M493=phu!$I$50,M493=phu!$I$51,M493=phu!$I$52,M493=phu!$I$53),"Cam Linh",""),IF(OR(M493=phu!$I$54,M493=phu!$I$55,M493=phu!$I$56,M493=phu!$I$57,M493=phu!$I$58,M493=phu!$I$59,M493=phu!$I$60,M493=phu!$I$61,M493=phu!$I$62),"Cam Lợi",""),IF(OR(M493=phu!$I$63,M493=phu!$I$64,M493=phu!$I$65,M493=phu!$I$66,M493=phu!$I$67,M493=phu!$I$68,M493=phu!$I$69,M493=phu!$I$70,M493=phu!$I$71),"Ba Ngòi",""),IF(OR(M493=phu!$I$72,M493=phu!$I$73,M493=phu!$I$74,M493=phu!$I$75,M493=phu!$I$76,M493=phu!$I$77,M493=phu!$I$78),"Cam Phước Đông",""),IF(OR(M493=phu!$I$79,M493=phu!$I$80,M493=phu!$I$81,M493=phu!$I$82,M493=phu!$I$83,M493=phu!$I$84),"Cam Thịnh Đông",""),IF(OR(M493=phu!$I$85,M493=phu!$I$86,M493=phu!$I$87,M493=phu!$I$88),"Cam Thịnh Tây",""),IF(OR(M493=phu!$I$89,M493=phu!$I$90),"Cam Lập",""),IF(OR(M493=phu!$I$91,M493=phu!$I$92,M493=phu!$I$93),"Cam Bình",""),IF(OR(M493=phu!$I$94,M493=phu!$I$95,M493=phu!$I$96,M493=phu!$I$97,M493=phu!$I$98,M493=phu!$I$99,M493=phu!$I$100),"Huyện khác",""),IF(OR(M493=phu!$I$101,M493=phu!$I$102),"Tỉnh khác",""))</f>
        <v/>
      </c>
      <c r="O493" s="814" t="str">
        <f t="shared" si="43"/>
        <v/>
      </c>
      <c r="P493" s="254"/>
      <c r="Q493" s="254"/>
      <c r="R493" s="254"/>
      <c r="S493" s="254"/>
      <c r="T493" s="254"/>
      <c r="U493" s="254"/>
      <c r="V493" s="254"/>
      <c r="W493" s="254"/>
      <c r="Y493" s="246" t="str">
        <f t="shared" si="44"/>
        <v/>
      </c>
      <c r="Z493" s="247" t="str">
        <f t="shared" si="42"/>
        <v/>
      </c>
      <c r="AA493" s="246" t="str">
        <f t="shared" si="45"/>
        <v/>
      </c>
    </row>
    <row r="494" spans="1:27" ht="18" customHeight="1" x14ac:dyDescent="0.25">
      <c r="A494" s="248" t="str">
        <f t="shared" si="46"/>
        <v/>
      </c>
      <c r="B494" s="249" t="str">
        <f t="shared" si="47"/>
        <v/>
      </c>
      <c r="C494" s="250"/>
      <c r="D494" s="251"/>
      <c r="E494" s="241"/>
      <c r="F494" s="252"/>
      <c r="G494" s="252"/>
      <c r="H494" s="253"/>
      <c r="I494" s="250"/>
      <c r="J494" s="250"/>
      <c r="K494" s="270"/>
      <c r="L494" s="250"/>
      <c r="M494" s="250"/>
      <c r="N494" s="553" t="str">
        <f>CONCATENATE(IF(OR(M494=phu!$I$1,M494=phu!$I$2,M494=phu!$I$3),"Cam Thành Nam",""),IF(OR(M494=phu!$I$4,M494=phu!$I$5,M494=phu!$I$6,M494=phu!$I$7,M494=phu!$I$8,M494=phu!$I$9,M494=phu!$I$10,M494=phu!$I$11,M494=phu!$I$12,M494=phu!$I$13,M494=phu!$I$14),"Cam Nghĩa",""),IF(OR(M494=phu!$I$15,M494=phu!$I$16,M494=phu!$I$17,M494=phu!$I$18,M494=phu!$I$19,M494=phu!$I$20,M494=phu!$I$21),"Cam Phúc Bắc",""),IF(OR(M494=phu!$I$22,M494=phu!$I$23,M494=phu!$I$24,M494=phu!$I$25),"Cam Phúc Nam",""),IF(OR(M494=phu!$I$26,M494=phu!$I$27,M494=phu!$I$28,M494=phu!$I$29,M494=phu!$I$30,M494=phu!$I$31),"Cam Phú",""),IF(OR(M494=phu!$I$32,M494=phu!$I$33,M494=phu!$I$34,M494=phu!$I$35,M494=phu!$I$36,M494=phu!$I$37),"Cam Lộc",""),IF(OR(M494=phu!$I$38,M494=phu!$I$39,M494=phu!$I$40,M494=phu!$I$41,M494=phu!$I$42,M494=phu!$I$43,M494=phu!$I$44),"Cam Thuận",""),IF(OR(M494=phu!$I$45,M494=phu!$I$46,M494=phu!$I$47,M494=phu!$I$48,M494=phu!$I$49,M494=phu!$I$50,M494=phu!$I$51,M494=phu!$I$52,M494=phu!$I$53),"Cam Linh",""),IF(OR(M494=phu!$I$54,M494=phu!$I$55,M494=phu!$I$56,M494=phu!$I$57,M494=phu!$I$58,M494=phu!$I$59,M494=phu!$I$60,M494=phu!$I$61,M494=phu!$I$62),"Cam Lợi",""),IF(OR(M494=phu!$I$63,M494=phu!$I$64,M494=phu!$I$65,M494=phu!$I$66,M494=phu!$I$67,M494=phu!$I$68,M494=phu!$I$69,M494=phu!$I$70,M494=phu!$I$71),"Ba Ngòi",""),IF(OR(M494=phu!$I$72,M494=phu!$I$73,M494=phu!$I$74,M494=phu!$I$75,M494=phu!$I$76,M494=phu!$I$77,M494=phu!$I$78),"Cam Phước Đông",""),IF(OR(M494=phu!$I$79,M494=phu!$I$80,M494=phu!$I$81,M494=phu!$I$82,M494=phu!$I$83,M494=phu!$I$84),"Cam Thịnh Đông",""),IF(OR(M494=phu!$I$85,M494=phu!$I$86,M494=phu!$I$87,M494=phu!$I$88),"Cam Thịnh Tây",""),IF(OR(M494=phu!$I$89,M494=phu!$I$90),"Cam Lập",""),IF(OR(M494=phu!$I$91,M494=phu!$I$92,M494=phu!$I$93),"Cam Bình",""),IF(OR(M494=phu!$I$94,M494=phu!$I$95,M494=phu!$I$96,M494=phu!$I$97,M494=phu!$I$98,M494=phu!$I$99,M494=phu!$I$100),"Huyện khác",""),IF(OR(M494=phu!$I$101,M494=phu!$I$102),"Tỉnh khác",""))</f>
        <v/>
      </c>
      <c r="O494" s="814" t="str">
        <f t="shared" si="43"/>
        <v/>
      </c>
      <c r="P494" s="254"/>
      <c r="Q494" s="254"/>
      <c r="R494" s="254"/>
      <c r="S494" s="254"/>
      <c r="T494" s="254"/>
      <c r="U494" s="254"/>
      <c r="V494" s="254"/>
      <c r="W494" s="254"/>
      <c r="Y494" s="246" t="str">
        <f t="shared" si="44"/>
        <v/>
      </c>
      <c r="Z494" s="247" t="str">
        <f t="shared" si="42"/>
        <v/>
      </c>
      <c r="AA494" s="246" t="str">
        <f t="shared" si="45"/>
        <v/>
      </c>
    </row>
    <row r="495" spans="1:27" ht="18" customHeight="1" x14ac:dyDescent="0.25">
      <c r="A495" s="248" t="str">
        <f t="shared" si="46"/>
        <v/>
      </c>
      <c r="B495" s="249" t="str">
        <f t="shared" si="47"/>
        <v/>
      </c>
      <c r="C495" s="250"/>
      <c r="D495" s="251"/>
      <c r="E495" s="241"/>
      <c r="F495" s="252"/>
      <c r="G495" s="252"/>
      <c r="H495" s="253"/>
      <c r="I495" s="250"/>
      <c r="J495" s="250"/>
      <c r="K495" s="270"/>
      <c r="L495" s="250"/>
      <c r="M495" s="250"/>
      <c r="N495" s="553" t="str">
        <f>CONCATENATE(IF(OR(M495=phu!$I$1,M495=phu!$I$2,M495=phu!$I$3),"Cam Thành Nam",""),IF(OR(M495=phu!$I$4,M495=phu!$I$5,M495=phu!$I$6,M495=phu!$I$7,M495=phu!$I$8,M495=phu!$I$9,M495=phu!$I$10,M495=phu!$I$11,M495=phu!$I$12,M495=phu!$I$13,M495=phu!$I$14),"Cam Nghĩa",""),IF(OR(M495=phu!$I$15,M495=phu!$I$16,M495=phu!$I$17,M495=phu!$I$18,M495=phu!$I$19,M495=phu!$I$20,M495=phu!$I$21),"Cam Phúc Bắc",""),IF(OR(M495=phu!$I$22,M495=phu!$I$23,M495=phu!$I$24,M495=phu!$I$25),"Cam Phúc Nam",""),IF(OR(M495=phu!$I$26,M495=phu!$I$27,M495=phu!$I$28,M495=phu!$I$29,M495=phu!$I$30,M495=phu!$I$31),"Cam Phú",""),IF(OR(M495=phu!$I$32,M495=phu!$I$33,M495=phu!$I$34,M495=phu!$I$35,M495=phu!$I$36,M495=phu!$I$37),"Cam Lộc",""),IF(OR(M495=phu!$I$38,M495=phu!$I$39,M495=phu!$I$40,M495=phu!$I$41,M495=phu!$I$42,M495=phu!$I$43,M495=phu!$I$44),"Cam Thuận",""),IF(OR(M495=phu!$I$45,M495=phu!$I$46,M495=phu!$I$47,M495=phu!$I$48,M495=phu!$I$49,M495=phu!$I$50,M495=phu!$I$51,M495=phu!$I$52,M495=phu!$I$53),"Cam Linh",""),IF(OR(M495=phu!$I$54,M495=phu!$I$55,M495=phu!$I$56,M495=phu!$I$57,M495=phu!$I$58,M495=phu!$I$59,M495=phu!$I$60,M495=phu!$I$61,M495=phu!$I$62),"Cam Lợi",""),IF(OR(M495=phu!$I$63,M495=phu!$I$64,M495=phu!$I$65,M495=phu!$I$66,M495=phu!$I$67,M495=phu!$I$68,M495=phu!$I$69,M495=phu!$I$70,M495=phu!$I$71),"Ba Ngòi",""),IF(OR(M495=phu!$I$72,M495=phu!$I$73,M495=phu!$I$74,M495=phu!$I$75,M495=phu!$I$76,M495=phu!$I$77,M495=phu!$I$78),"Cam Phước Đông",""),IF(OR(M495=phu!$I$79,M495=phu!$I$80,M495=phu!$I$81,M495=phu!$I$82,M495=phu!$I$83,M495=phu!$I$84),"Cam Thịnh Đông",""),IF(OR(M495=phu!$I$85,M495=phu!$I$86,M495=phu!$I$87,M495=phu!$I$88),"Cam Thịnh Tây",""),IF(OR(M495=phu!$I$89,M495=phu!$I$90),"Cam Lập",""),IF(OR(M495=phu!$I$91,M495=phu!$I$92,M495=phu!$I$93),"Cam Bình",""),IF(OR(M495=phu!$I$94,M495=phu!$I$95,M495=phu!$I$96,M495=phu!$I$97,M495=phu!$I$98,M495=phu!$I$99,M495=phu!$I$100),"Huyện khác",""),IF(OR(M495=phu!$I$101,M495=phu!$I$102),"Tỉnh khác",""))</f>
        <v/>
      </c>
      <c r="O495" s="814" t="str">
        <f t="shared" si="43"/>
        <v/>
      </c>
      <c r="P495" s="254"/>
      <c r="Q495" s="254"/>
      <c r="R495" s="254"/>
      <c r="S495" s="254"/>
      <c r="T495" s="254"/>
      <c r="U495" s="254"/>
      <c r="V495" s="254"/>
      <c r="W495" s="254"/>
      <c r="Y495" s="246" t="str">
        <f t="shared" si="44"/>
        <v/>
      </c>
      <c r="Z495" s="247" t="str">
        <f t="shared" si="42"/>
        <v/>
      </c>
      <c r="AA495" s="246" t="str">
        <f t="shared" si="45"/>
        <v/>
      </c>
    </row>
    <row r="496" spans="1:27" ht="18" customHeight="1" x14ac:dyDescent="0.25">
      <c r="A496" s="248" t="str">
        <f t="shared" si="46"/>
        <v/>
      </c>
      <c r="B496" s="249" t="str">
        <f t="shared" si="47"/>
        <v/>
      </c>
      <c r="C496" s="250"/>
      <c r="D496" s="251"/>
      <c r="E496" s="241"/>
      <c r="F496" s="252"/>
      <c r="G496" s="252"/>
      <c r="H496" s="253"/>
      <c r="I496" s="250"/>
      <c r="J496" s="250"/>
      <c r="K496" s="270"/>
      <c r="L496" s="250"/>
      <c r="M496" s="250"/>
      <c r="N496" s="553" t="str">
        <f>CONCATENATE(IF(OR(M496=phu!$I$1,M496=phu!$I$2,M496=phu!$I$3),"Cam Thành Nam",""),IF(OR(M496=phu!$I$4,M496=phu!$I$5,M496=phu!$I$6,M496=phu!$I$7,M496=phu!$I$8,M496=phu!$I$9,M496=phu!$I$10,M496=phu!$I$11,M496=phu!$I$12,M496=phu!$I$13,M496=phu!$I$14),"Cam Nghĩa",""),IF(OR(M496=phu!$I$15,M496=phu!$I$16,M496=phu!$I$17,M496=phu!$I$18,M496=phu!$I$19,M496=phu!$I$20,M496=phu!$I$21),"Cam Phúc Bắc",""),IF(OR(M496=phu!$I$22,M496=phu!$I$23,M496=phu!$I$24,M496=phu!$I$25),"Cam Phúc Nam",""),IF(OR(M496=phu!$I$26,M496=phu!$I$27,M496=phu!$I$28,M496=phu!$I$29,M496=phu!$I$30,M496=phu!$I$31),"Cam Phú",""),IF(OR(M496=phu!$I$32,M496=phu!$I$33,M496=phu!$I$34,M496=phu!$I$35,M496=phu!$I$36,M496=phu!$I$37),"Cam Lộc",""),IF(OR(M496=phu!$I$38,M496=phu!$I$39,M496=phu!$I$40,M496=phu!$I$41,M496=phu!$I$42,M496=phu!$I$43,M496=phu!$I$44),"Cam Thuận",""),IF(OR(M496=phu!$I$45,M496=phu!$I$46,M496=phu!$I$47,M496=phu!$I$48,M496=phu!$I$49,M496=phu!$I$50,M496=phu!$I$51,M496=phu!$I$52,M496=phu!$I$53),"Cam Linh",""),IF(OR(M496=phu!$I$54,M496=phu!$I$55,M496=phu!$I$56,M496=phu!$I$57,M496=phu!$I$58,M496=phu!$I$59,M496=phu!$I$60,M496=phu!$I$61,M496=phu!$I$62),"Cam Lợi",""),IF(OR(M496=phu!$I$63,M496=phu!$I$64,M496=phu!$I$65,M496=phu!$I$66,M496=phu!$I$67,M496=phu!$I$68,M496=phu!$I$69,M496=phu!$I$70,M496=phu!$I$71),"Ba Ngòi",""),IF(OR(M496=phu!$I$72,M496=phu!$I$73,M496=phu!$I$74,M496=phu!$I$75,M496=phu!$I$76,M496=phu!$I$77,M496=phu!$I$78),"Cam Phước Đông",""),IF(OR(M496=phu!$I$79,M496=phu!$I$80,M496=phu!$I$81,M496=phu!$I$82,M496=phu!$I$83,M496=phu!$I$84),"Cam Thịnh Đông",""),IF(OR(M496=phu!$I$85,M496=phu!$I$86,M496=phu!$I$87,M496=phu!$I$88),"Cam Thịnh Tây",""),IF(OR(M496=phu!$I$89,M496=phu!$I$90),"Cam Lập",""),IF(OR(M496=phu!$I$91,M496=phu!$I$92,M496=phu!$I$93),"Cam Bình",""),IF(OR(M496=phu!$I$94,M496=phu!$I$95,M496=phu!$I$96,M496=phu!$I$97,M496=phu!$I$98,M496=phu!$I$99,M496=phu!$I$100),"Huyện khác",""),IF(OR(M496=phu!$I$101,M496=phu!$I$102),"Tỉnh khác",""))</f>
        <v/>
      </c>
      <c r="O496" s="814" t="str">
        <f t="shared" si="43"/>
        <v/>
      </c>
      <c r="P496" s="254"/>
      <c r="Q496" s="254"/>
      <c r="R496" s="254"/>
      <c r="S496" s="254"/>
      <c r="T496" s="254"/>
      <c r="U496" s="254"/>
      <c r="V496" s="254"/>
      <c r="W496" s="254"/>
      <c r="Y496" s="246" t="str">
        <f t="shared" si="44"/>
        <v/>
      </c>
      <c r="Z496" s="247" t="str">
        <f t="shared" si="42"/>
        <v/>
      </c>
      <c r="AA496" s="246" t="str">
        <f t="shared" si="45"/>
        <v/>
      </c>
    </row>
    <row r="497" spans="1:27" ht="18" customHeight="1" x14ac:dyDescent="0.25">
      <c r="A497" s="248" t="str">
        <f t="shared" si="46"/>
        <v/>
      </c>
      <c r="B497" s="249" t="str">
        <f t="shared" si="47"/>
        <v/>
      </c>
      <c r="C497" s="250"/>
      <c r="D497" s="251"/>
      <c r="E497" s="241"/>
      <c r="F497" s="252"/>
      <c r="G497" s="252"/>
      <c r="H497" s="253"/>
      <c r="I497" s="250"/>
      <c r="J497" s="250"/>
      <c r="K497" s="270"/>
      <c r="L497" s="250"/>
      <c r="M497" s="250"/>
      <c r="N497" s="553" t="str">
        <f>CONCATENATE(IF(OR(M497=phu!$I$1,M497=phu!$I$2,M497=phu!$I$3),"Cam Thành Nam",""),IF(OR(M497=phu!$I$4,M497=phu!$I$5,M497=phu!$I$6,M497=phu!$I$7,M497=phu!$I$8,M497=phu!$I$9,M497=phu!$I$10,M497=phu!$I$11,M497=phu!$I$12,M497=phu!$I$13,M497=phu!$I$14),"Cam Nghĩa",""),IF(OR(M497=phu!$I$15,M497=phu!$I$16,M497=phu!$I$17,M497=phu!$I$18,M497=phu!$I$19,M497=phu!$I$20,M497=phu!$I$21),"Cam Phúc Bắc",""),IF(OR(M497=phu!$I$22,M497=phu!$I$23,M497=phu!$I$24,M497=phu!$I$25),"Cam Phúc Nam",""),IF(OR(M497=phu!$I$26,M497=phu!$I$27,M497=phu!$I$28,M497=phu!$I$29,M497=phu!$I$30,M497=phu!$I$31),"Cam Phú",""),IF(OR(M497=phu!$I$32,M497=phu!$I$33,M497=phu!$I$34,M497=phu!$I$35,M497=phu!$I$36,M497=phu!$I$37),"Cam Lộc",""),IF(OR(M497=phu!$I$38,M497=phu!$I$39,M497=phu!$I$40,M497=phu!$I$41,M497=phu!$I$42,M497=phu!$I$43,M497=phu!$I$44),"Cam Thuận",""),IF(OR(M497=phu!$I$45,M497=phu!$I$46,M497=phu!$I$47,M497=phu!$I$48,M497=phu!$I$49,M497=phu!$I$50,M497=phu!$I$51,M497=phu!$I$52,M497=phu!$I$53),"Cam Linh",""),IF(OR(M497=phu!$I$54,M497=phu!$I$55,M497=phu!$I$56,M497=phu!$I$57,M497=phu!$I$58,M497=phu!$I$59,M497=phu!$I$60,M497=phu!$I$61,M497=phu!$I$62),"Cam Lợi",""),IF(OR(M497=phu!$I$63,M497=phu!$I$64,M497=phu!$I$65,M497=phu!$I$66,M497=phu!$I$67,M497=phu!$I$68,M497=phu!$I$69,M497=phu!$I$70,M497=phu!$I$71),"Ba Ngòi",""),IF(OR(M497=phu!$I$72,M497=phu!$I$73,M497=phu!$I$74,M497=phu!$I$75,M497=phu!$I$76,M497=phu!$I$77,M497=phu!$I$78),"Cam Phước Đông",""),IF(OR(M497=phu!$I$79,M497=phu!$I$80,M497=phu!$I$81,M497=phu!$I$82,M497=phu!$I$83,M497=phu!$I$84),"Cam Thịnh Đông",""),IF(OR(M497=phu!$I$85,M497=phu!$I$86,M497=phu!$I$87,M497=phu!$I$88),"Cam Thịnh Tây",""),IF(OR(M497=phu!$I$89,M497=phu!$I$90),"Cam Lập",""),IF(OR(M497=phu!$I$91,M497=phu!$I$92,M497=phu!$I$93),"Cam Bình",""),IF(OR(M497=phu!$I$94,M497=phu!$I$95,M497=phu!$I$96,M497=phu!$I$97,M497=phu!$I$98,M497=phu!$I$99,M497=phu!$I$100),"Huyện khác",""),IF(OR(M497=phu!$I$101,M497=phu!$I$102),"Tỉnh khác",""))</f>
        <v/>
      </c>
      <c r="O497" s="814" t="str">
        <f t="shared" si="43"/>
        <v/>
      </c>
      <c r="P497" s="254"/>
      <c r="Q497" s="254"/>
      <c r="R497" s="254"/>
      <c r="S497" s="254"/>
      <c r="T497" s="254"/>
      <c r="U497" s="254"/>
      <c r="V497" s="254"/>
      <c r="W497" s="254"/>
      <c r="Y497" s="246" t="str">
        <f t="shared" si="44"/>
        <v/>
      </c>
      <c r="Z497" s="247" t="str">
        <f t="shared" si="42"/>
        <v/>
      </c>
      <c r="AA497" s="246" t="str">
        <f t="shared" si="45"/>
        <v/>
      </c>
    </row>
    <row r="498" spans="1:27" ht="18" customHeight="1" x14ac:dyDescent="0.25">
      <c r="A498" s="248" t="str">
        <f t="shared" si="46"/>
        <v/>
      </c>
      <c r="B498" s="249" t="str">
        <f t="shared" si="47"/>
        <v/>
      </c>
      <c r="C498" s="250"/>
      <c r="D498" s="251"/>
      <c r="E498" s="241"/>
      <c r="F498" s="252"/>
      <c r="G498" s="252"/>
      <c r="H498" s="253"/>
      <c r="I498" s="250"/>
      <c r="J498" s="250"/>
      <c r="K498" s="270"/>
      <c r="L498" s="250"/>
      <c r="M498" s="250"/>
      <c r="N498" s="553" t="str">
        <f>CONCATENATE(IF(OR(M498=phu!$I$1,M498=phu!$I$2,M498=phu!$I$3),"Cam Thành Nam",""),IF(OR(M498=phu!$I$4,M498=phu!$I$5,M498=phu!$I$6,M498=phu!$I$7,M498=phu!$I$8,M498=phu!$I$9,M498=phu!$I$10,M498=phu!$I$11,M498=phu!$I$12,M498=phu!$I$13,M498=phu!$I$14),"Cam Nghĩa",""),IF(OR(M498=phu!$I$15,M498=phu!$I$16,M498=phu!$I$17,M498=phu!$I$18,M498=phu!$I$19,M498=phu!$I$20,M498=phu!$I$21),"Cam Phúc Bắc",""),IF(OR(M498=phu!$I$22,M498=phu!$I$23,M498=phu!$I$24,M498=phu!$I$25),"Cam Phúc Nam",""),IF(OR(M498=phu!$I$26,M498=phu!$I$27,M498=phu!$I$28,M498=phu!$I$29,M498=phu!$I$30,M498=phu!$I$31),"Cam Phú",""),IF(OR(M498=phu!$I$32,M498=phu!$I$33,M498=phu!$I$34,M498=phu!$I$35,M498=phu!$I$36,M498=phu!$I$37),"Cam Lộc",""),IF(OR(M498=phu!$I$38,M498=phu!$I$39,M498=phu!$I$40,M498=phu!$I$41,M498=phu!$I$42,M498=phu!$I$43,M498=phu!$I$44),"Cam Thuận",""),IF(OR(M498=phu!$I$45,M498=phu!$I$46,M498=phu!$I$47,M498=phu!$I$48,M498=phu!$I$49,M498=phu!$I$50,M498=phu!$I$51,M498=phu!$I$52,M498=phu!$I$53),"Cam Linh",""),IF(OR(M498=phu!$I$54,M498=phu!$I$55,M498=phu!$I$56,M498=phu!$I$57,M498=phu!$I$58,M498=phu!$I$59,M498=phu!$I$60,M498=phu!$I$61,M498=phu!$I$62),"Cam Lợi",""),IF(OR(M498=phu!$I$63,M498=phu!$I$64,M498=phu!$I$65,M498=phu!$I$66,M498=phu!$I$67,M498=phu!$I$68,M498=phu!$I$69,M498=phu!$I$70,M498=phu!$I$71),"Ba Ngòi",""),IF(OR(M498=phu!$I$72,M498=phu!$I$73,M498=phu!$I$74,M498=phu!$I$75,M498=phu!$I$76,M498=phu!$I$77,M498=phu!$I$78),"Cam Phước Đông",""),IF(OR(M498=phu!$I$79,M498=phu!$I$80,M498=phu!$I$81,M498=phu!$I$82,M498=phu!$I$83,M498=phu!$I$84),"Cam Thịnh Đông",""),IF(OR(M498=phu!$I$85,M498=phu!$I$86,M498=phu!$I$87,M498=phu!$I$88),"Cam Thịnh Tây",""),IF(OR(M498=phu!$I$89,M498=phu!$I$90),"Cam Lập",""),IF(OR(M498=phu!$I$91,M498=phu!$I$92,M498=phu!$I$93),"Cam Bình",""),IF(OR(M498=phu!$I$94,M498=phu!$I$95,M498=phu!$I$96,M498=phu!$I$97,M498=phu!$I$98,M498=phu!$I$99,M498=phu!$I$100),"Huyện khác",""),IF(OR(M498=phu!$I$101,M498=phu!$I$102),"Tỉnh khác",""))</f>
        <v/>
      </c>
      <c r="O498" s="814" t="str">
        <f t="shared" si="43"/>
        <v/>
      </c>
      <c r="P498" s="254"/>
      <c r="Q498" s="254"/>
      <c r="R498" s="254"/>
      <c r="S498" s="254"/>
      <c r="T498" s="254"/>
      <c r="U498" s="254"/>
      <c r="V498" s="254"/>
      <c r="W498" s="254"/>
      <c r="Y498" s="246" t="str">
        <f t="shared" si="44"/>
        <v/>
      </c>
      <c r="Z498" s="247" t="str">
        <f t="shared" si="42"/>
        <v/>
      </c>
      <c r="AA498" s="246" t="str">
        <f t="shared" si="45"/>
        <v/>
      </c>
    </row>
    <row r="499" spans="1:27" ht="18" customHeight="1" x14ac:dyDescent="0.25">
      <c r="A499" s="248" t="str">
        <f t="shared" si="46"/>
        <v/>
      </c>
      <c r="B499" s="249" t="str">
        <f t="shared" si="47"/>
        <v/>
      </c>
      <c r="C499" s="250"/>
      <c r="D499" s="251"/>
      <c r="E499" s="241"/>
      <c r="F499" s="252"/>
      <c r="G499" s="252"/>
      <c r="H499" s="253"/>
      <c r="I499" s="250"/>
      <c r="J499" s="250"/>
      <c r="K499" s="270"/>
      <c r="L499" s="250"/>
      <c r="M499" s="250"/>
      <c r="N499" s="553" t="str">
        <f>CONCATENATE(IF(OR(M499=phu!$I$1,M499=phu!$I$2,M499=phu!$I$3),"Cam Thành Nam",""),IF(OR(M499=phu!$I$4,M499=phu!$I$5,M499=phu!$I$6,M499=phu!$I$7,M499=phu!$I$8,M499=phu!$I$9,M499=phu!$I$10,M499=phu!$I$11,M499=phu!$I$12,M499=phu!$I$13,M499=phu!$I$14),"Cam Nghĩa",""),IF(OR(M499=phu!$I$15,M499=phu!$I$16,M499=phu!$I$17,M499=phu!$I$18,M499=phu!$I$19,M499=phu!$I$20,M499=phu!$I$21),"Cam Phúc Bắc",""),IF(OR(M499=phu!$I$22,M499=phu!$I$23,M499=phu!$I$24,M499=phu!$I$25),"Cam Phúc Nam",""),IF(OR(M499=phu!$I$26,M499=phu!$I$27,M499=phu!$I$28,M499=phu!$I$29,M499=phu!$I$30,M499=phu!$I$31),"Cam Phú",""),IF(OR(M499=phu!$I$32,M499=phu!$I$33,M499=phu!$I$34,M499=phu!$I$35,M499=phu!$I$36,M499=phu!$I$37),"Cam Lộc",""),IF(OR(M499=phu!$I$38,M499=phu!$I$39,M499=phu!$I$40,M499=phu!$I$41,M499=phu!$I$42,M499=phu!$I$43,M499=phu!$I$44),"Cam Thuận",""),IF(OR(M499=phu!$I$45,M499=phu!$I$46,M499=phu!$I$47,M499=phu!$I$48,M499=phu!$I$49,M499=phu!$I$50,M499=phu!$I$51,M499=phu!$I$52,M499=phu!$I$53),"Cam Linh",""),IF(OR(M499=phu!$I$54,M499=phu!$I$55,M499=phu!$I$56,M499=phu!$I$57,M499=phu!$I$58,M499=phu!$I$59,M499=phu!$I$60,M499=phu!$I$61,M499=phu!$I$62),"Cam Lợi",""),IF(OR(M499=phu!$I$63,M499=phu!$I$64,M499=phu!$I$65,M499=phu!$I$66,M499=phu!$I$67,M499=phu!$I$68,M499=phu!$I$69,M499=phu!$I$70,M499=phu!$I$71),"Ba Ngòi",""),IF(OR(M499=phu!$I$72,M499=phu!$I$73,M499=phu!$I$74,M499=phu!$I$75,M499=phu!$I$76,M499=phu!$I$77,M499=phu!$I$78),"Cam Phước Đông",""),IF(OR(M499=phu!$I$79,M499=phu!$I$80,M499=phu!$I$81,M499=phu!$I$82,M499=phu!$I$83,M499=phu!$I$84),"Cam Thịnh Đông",""),IF(OR(M499=phu!$I$85,M499=phu!$I$86,M499=phu!$I$87,M499=phu!$I$88),"Cam Thịnh Tây",""),IF(OR(M499=phu!$I$89,M499=phu!$I$90),"Cam Lập",""),IF(OR(M499=phu!$I$91,M499=phu!$I$92,M499=phu!$I$93),"Cam Bình",""),IF(OR(M499=phu!$I$94,M499=phu!$I$95,M499=phu!$I$96,M499=phu!$I$97,M499=phu!$I$98,M499=phu!$I$99,M499=phu!$I$100),"Huyện khác",""),IF(OR(M499=phu!$I$101,M499=phu!$I$102),"Tỉnh khác",""))</f>
        <v/>
      </c>
      <c r="O499" s="814" t="str">
        <f t="shared" si="43"/>
        <v/>
      </c>
      <c r="P499" s="254"/>
      <c r="Q499" s="254"/>
      <c r="R499" s="254"/>
      <c r="S499" s="254"/>
      <c r="T499" s="254"/>
      <c r="U499" s="254"/>
      <c r="V499" s="254"/>
      <c r="W499" s="254"/>
      <c r="Y499" s="246" t="str">
        <f t="shared" si="44"/>
        <v/>
      </c>
      <c r="Z499" s="247" t="str">
        <f t="shared" si="42"/>
        <v/>
      </c>
      <c r="AA499" s="246" t="str">
        <f t="shared" si="45"/>
        <v/>
      </c>
    </row>
    <row r="500" spans="1:27" ht="18" customHeight="1" x14ac:dyDescent="0.25">
      <c r="A500" s="248" t="str">
        <f t="shared" si="46"/>
        <v/>
      </c>
      <c r="B500" s="249" t="str">
        <f t="shared" si="47"/>
        <v/>
      </c>
      <c r="C500" s="250"/>
      <c r="D500" s="251"/>
      <c r="E500" s="241"/>
      <c r="F500" s="252"/>
      <c r="G500" s="252"/>
      <c r="H500" s="253"/>
      <c r="I500" s="250"/>
      <c r="J500" s="250"/>
      <c r="K500" s="270"/>
      <c r="L500" s="250"/>
      <c r="M500" s="250"/>
      <c r="N500" s="553" t="str">
        <f>CONCATENATE(IF(OR(M500=phu!$I$1,M500=phu!$I$2,M500=phu!$I$3),"Cam Thành Nam",""),IF(OR(M500=phu!$I$4,M500=phu!$I$5,M500=phu!$I$6,M500=phu!$I$7,M500=phu!$I$8,M500=phu!$I$9,M500=phu!$I$10,M500=phu!$I$11,M500=phu!$I$12,M500=phu!$I$13,M500=phu!$I$14),"Cam Nghĩa",""),IF(OR(M500=phu!$I$15,M500=phu!$I$16,M500=phu!$I$17,M500=phu!$I$18,M500=phu!$I$19,M500=phu!$I$20,M500=phu!$I$21),"Cam Phúc Bắc",""),IF(OR(M500=phu!$I$22,M500=phu!$I$23,M500=phu!$I$24,M500=phu!$I$25),"Cam Phúc Nam",""),IF(OR(M500=phu!$I$26,M500=phu!$I$27,M500=phu!$I$28,M500=phu!$I$29,M500=phu!$I$30,M500=phu!$I$31),"Cam Phú",""),IF(OR(M500=phu!$I$32,M500=phu!$I$33,M500=phu!$I$34,M500=phu!$I$35,M500=phu!$I$36,M500=phu!$I$37),"Cam Lộc",""),IF(OR(M500=phu!$I$38,M500=phu!$I$39,M500=phu!$I$40,M500=phu!$I$41,M500=phu!$I$42,M500=phu!$I$43,M500=phu!$I$44),"Cam Thuận",""),IF(OR(M500=phu!$I$45,M500=phu!$I$46,M500=phu!$I$47,M500=phu!$I$48,M500=phu!$I$49,M500=phu!$I$50,M500=phu!$I$51,M500=phu!$I$52,M500=phu!$I$53),"Cam Linh",""),IF(OR(M500=phu!$I$54,M500=phu!$I$55,M500=phu!$I$56,M500=phu!$I$57,M500=phu!$I$58,M500=phu!$I$59,M500=phu!$I$60,M500=phu!$I$61,M500=phu!$I$62),"Cam Lợi",""),IF(OR(M500=phu!$I$63,M500=phu!$I$64,M500=phu!$I$65,M500=phu!$I$66,M500=phu!$I$67,M500=phu!$I$68,M500=phu!$I$69,M500=phu!$I$70,M500=phu!$I$71),"Ba Ngòi",""),IF(OR(M500=phu!$I$72,M500=phu!$I$73,M500=phu!$I$74,M500=phu!$I$75,M500=phu!$I$76,M500=phu!$I$77,M500=phu!$I$78),"Cam Phước Đông",""),IF(OR(M500=phu!$I$79,M500=phu!$I$80,M500=phu!$I$81,M500=phu!$I$82,M500=phu!$I$83,M500=phu!$I$84),"Cam Thịnh Đông",""),IF(OR(M500=phu!$I$85,M500=phu!$I$86,M500=phu!$I$87,M500=phu!$I$88),"Cam Thịnh Tây",""),IF(OR(M500=phu!$I$89,M500=phu!$I$90),"Cam Lập",""),IF(OR(M500=phu!$I$91,M500=phu!$I$92,M500=phu!$I$93),"Cam Bình",""),IF(OR(M500=phu!$I$94,M500=phu!$I$95,M500=phu!$I$96,M500=phu!$I$97,M500=phu!$I$98,M500=phu!$I$99,M500=phu!$I$100),"Huyện khác",""),IF(OR(M500=phu!$I$101,M500=phu!$I$102),"Tỉnh khác",""))</f>
        <v/>
      </c>
      <c r="O500" s="814" t="str">
        <f t="shared" si="43"/>
        <v/>
      </c>
      <c r="P500" s="254"/>
      <c r="Q500" s="254"/>
      <c r="R500" s="254"/>
      <c r="S500" s="254"/>
      <c r="T500" s="254"/>
      <c r="U500" s="254"/>
      <c r="V500" s="254"/>
      <c r="W500" s="254"/>
      <c r="Y500" s="246" t="str">
        <f t="shared" si="44"/>
        <v/>
      </c>
      <c r="Z500" s="247" t="str">
        <f t="shared" si="42"/>
        <v/>
      </c>
      <c r="AA500" s="246" t="str">
        <f t="shared" si="45"/>
        <v/>
      </c>
    </row>
    <row r="501" spans="1:27" ht="18" customHeight="1" x14ac:dyDescent="0.25">
      <c r="A501" s="248" t="str">
        <f t="shared" si="46"/>
        <v/>
      </c>
      <c r="B501" s="249" t="str">
        <f t="shared" si="47"/>
        <v/>
      </c>
      <c r="C501" s="250"/>
      <c r="D501" s="251"/>
      <c r="E501" s="241"/>
      <c r="F501" s="252"/>
      <c r="G501" s="252"/>
      <c r="H501" s="253"/>
      <c r="I501" s="250"/>
      <c r="J501" s="250"/>
      <c r="K501" s="270"/>
      <c r="L501" s="250"/>
      <c r="M501" s="250"/>
      <c r="N501" s="553" t="str">
        <f>CONCATENATE(IF(OR(M501=phu!$I$1,M501=phu!$I$2,M501=phu!$I$3),"Cam Thành Nam",""),IF(OR(M501=phu!$I$4,M501=phu!$I$5,M501=phu!$I$6,M501=phu!$I$7,M501=phu!$I$8,M501=phu!$I$9,M501=phu!$I$10,M501=phu!$I$11,M501=phu!$I$12,M501=phu!$I$13,M501=phu!$I$14),"Cam Nghĩa",""),IF(OR(M501=phu!$I$15,M501=phu!$I$16,M501=phu!$I$17,M501=phu!$I$18,M501=phu!$I$19,M501=phu!$I$20,M501=phu!$I$21),"Cam Phúc Bắc",""),IF(OR(M501=phu!$I$22,M501=phu!$I$23,M501=phu!$I$24,M501=phu!$I$25),"Cam Phúc Nam",""),IF(OR(M501=phu!$I$26,M501=phu!$I$27,M501=phu!$I$28,M501=phu!$I$29,M501=phu!$I$30,M501=phu!$I$31),"Cam Phú",""),IF(OR(M501=phu!$I$32,M501=phu!$I$33,M501=phu!$I$34,M501=phu!$I$35,M501=phu!$I$36,M501=phu!$I$37),"Cam Lộc",""),IF(OR(M501=phu!$I$38,M501=phu!$I$39,M501=phu!$I$40,M501=phu!$I$41,M501=phu!$I$42,M501=phu!$I$43,M501=phu!$I$44),"Cam Thuận",""),IF(OR(M501=phu!$I$45,M501=phu!$I$46,M501=phu!$I$47,M501=phu!$I$48,M501=phu!$I$49,M501=phu!$I$50,M501=phu!$I$51,M501=phu!$I$52,M501=phu!$I$53),"Cam Linh",""),IF(OR(M501=phu!$I$54,M501=phu!$I$55,M501=phu!$I$56,M501=phu!$I$57,M501=phu!$I$58,M501=phu!$I$59,M501=phu!$I$60,M501=phu!$I$61,M501=phu!$I$62),"Cam Lợi",""),IF(OR(M501=phu!$I$63,M501=phu!$I$64,M501=phu!$I$65,M501=phu!$I$66,M501=phu!$I$67,M501=phu!$I$68,M501=phu!$I$69,M501=phu!$I$70,M501=phu!$I$71),"Ba Ngòi",""),IF(OR(M501=phu!$I$72,M501=phu!$I$73,M501=phu!$I$74,M501=phu!$I$75,M501=phu!$I$76,M501=phu!$I$77,M501=phu!$I$78),"Cam Phước Đông",""),IF(OR(M501=phu!$I$79,M501=phu!$I$80,M501=phu!$I$81,M501=phu!$I$82,M501=phu!$I$83,M501=phu!$I$84),"Cam Thịnh Đông",""),IF(OR(M501=phu!$I$85,M501=phu!$I$86,M501=phu!$I$87,M501=phu!$I$88),"Cam Thịnh Tây",""),IF(OR(M501=phu!$I$89,M501=phu!$I$90),"Cam Lập",""),IF(OR(M501=phu!$I$91,M501=phu!$I$92,M501=phu!$I$93),"Cam Bình",""),IF(OR(M501=phu!$I$94,M501=phu!$I$95,M501=phu!$I$96,M501=phu!$I$97,M501=phu!$I$98,M501=phu!$I$99,M501=phu!$I$100),"Huyện khác",""),IF(OR(M501=phu!$I$101,M501=phu!$I$102),"Tỉnh khác",""))</f>
        <v/>
      </c>
      <c r="O501" s="814" t="str">
        <f t="shared" si="43"/>
        <v/>
      </c>
      <c r="P501" s="254"/>
      <c r="Q501" s="254"/>
      <c r="R501" s="254"/>
      <c r="S501" s="254"/>
      <c r="T501" s="254"/>
      <c r="U501" s="254"/>
      <c r="V501" s="254"/>
      <c r="W501" s="254"/>
      <c r="Y501" s="246" t="str">
        <f t="shared" si="44"/>
        <v/>
      </c>
      <c r="Z501" s="247" t="str">
        <f t="shared" si="42"/>
        <v/>
      </c>
      <c r="AA501" s="246" t="str">
        <f t="shared" si="45"/>
        <v/>
      </c>
    </row>
    <row r="502" spans="1:27" ht="18" customHeight="1" x14ac:dyDescent="0.25">
      <c r="A502" s="248" t="str">
        <f t="shared" si="46"/>
        <v/>
      </c>
      <c r="B502" s="249" t="str">
        <f t="shared" si="47"/>
        <v/>
      </c>
      <c r="C502" s="250"/>
      <c r="D502" s="251"/>
      <c r="E502" s="241"/>
      <c r="F502" s="252"/>
      <c r="G502" s="252"/>
      <c r="H502" s="253"/>
      <c r="I502" s="250"/>
      <c r="J502" s="250"/>
      <c r="K502" s="270"/>
      <c r="L502" s="250"/>
      <c r="M502" s="250"/>
      <c r="N502" s="553" t="str">
        <f>CONCATENATE(IF(OR(M502=phu!$I$1,M502=phu!$I$2,M502=phu!$I$3),"Cam Thành Nam",""),IF(OR(M502=phu!$I$4,M502=phu!$I$5,M502=phu!$I$6,M502=phu!$I$7,M502=phu!$I$8,M502=phu!$I$9,M502=phu!$I$10,M502=phu!$I$11,M502=phu!$I$12,M502=phu!$I$13,M502=phu!$I$14),"Cam Nghĩa",""),IF(OR(M502=phu!$I$15,M502=phu!$I$16,M502=phu!$I$17,M502=phu!$I$18,M502=phu!$I$19,M502=phu!$I$20,M502=phu!$I$21),"Cam Phúc Bắc",""),IF(OR(M502=phu!$I$22,M502=phu!$I$23,M502=phu!$I$24,M502=phu!$I$25),"Cam Phúc Nam",""),IF(OR(M502=phu!$I$26,M502=phu!$I$27,M502=phu!$I$28,M502=phu!$I$29,M502=phu!$I$30,M502=phu!$I$31),"Cam Phú",""),IF(OR(M502=phu!$I$32,M502=phu!$I$33,M502=phu!$I$34,M502=phu!$I$35,M502=phu!$I$36,M502=phu!$I$37),"Cam Lộc",""),IF(OR(M502=phu!$I$38,M502=phu!$I$39,M502=phu!$I$40,M502=phu!$I$41,M502=phu!$I$42,M502=phu!$I$43,M502=phu!$I$44),"Cam Thuận",""),IF(OR(M502=phu!$I$45,M502=phu!$I$46,M502=phu!$I$47,M502=phu!$I$48,M502=phu!$I$49,M502=phu!$I$50,M502=phu!$I$51,M502=phu!$I$52,M502=phu!$I$53),"Cam Linh",""),IF(OR(M502=phu!$I$54,M502=phu!$I$55,M502=phu!$I$56,M502=phu!$I$57,M502=phu!$I$58,M502=phu!$I$59,M502=phu!$I$60,M502=phu!$I$61,M502=phu!$I$62),"Cam Lợi",""),IF(OR(M502=phu!$I$63,M502=phu!$I$64,M502=phu!$I$65,M502=phu!$I$66,M502=phu!$I$67,M502=phu!$I$68,M502=phu!$I$69,M502=phu!$I$70,M502=phu!$I$71),"Ba Ngòi",""),IF(OR(M502=phu!$I$72,M502=phu!$I$73,M502=phu!$I$74,M502=phu!$I$75,M502=phu!$I$76,M502=phu!$I$77,M502=phu!$I$78),"Cam Phước Đông",""),IF(OR(M502=phu!$I$79,M502=phu!$I$80,M502=phu!$I$81,M502=phu!$I$82,M502=phu!$I$83,M502=phu!$I$84),"Cam Thịnh Đông",""),IF(OR(M502=phu!$I$85,M502=phu!$I$86,M502=phu!$I$87,M502=phu!$I$88),"Cam Thịnh Tây",""),IF(OR(M502=phu!$I$89,M502=phu!$I$90),"Cam Lập",""),IF(OR(M502=phu!$I$91,M502=phu!$I$92,M502=phu!$I$93),"Cam Bình",""),IF(OR(M502=phu!$I$94,M502=phu!$I$95,M502=phu!$I$96,M502=phu!$I$97,M502=phu!$I$98,M502=phu!$I$99,M502=phu!$I$100),"Huyện khác",""),IF(OR(M502=phu!$I$101,M502=phu!$I$102),"Tỉnh khác",""))</f>
        <v/>
      </c>
      <c r="O502" s="814" t="str">
        <f t="shared" si="43"/>
        <v/>
      </c>
      <c r="P502" s="254"/>
      <c r="Q502" s="254"/>
      <c r="R502" s="254"/>
      <c r="S502" s="254"/>
      <c r="T502" s="254"/>
      <c r="U502" s="254"/>
      <c r="V502" s="254"/>
      <c r="W502" s="254"/>
      <c r="Y502" s="246" t="str">
        <f t="shared" si="44"/>
        <v/>
      </c>
      <c r="Z502" s="247" t="str">
        <f t="shared" si="42"/>
        <v/>
      </c>
      <c r="AA502" s="246" t="str">
        <f t="shared" si="45"/>
        <v/>
      </c>
    </row>
    <row r="503" spans="1:27" ht="18" customHeight="1" x14ac:dyDescent="0.25">
      <c r="A503" s="248" t="str">
        <f t="shared" si="46"/>
        <v/>
      </c>
      <c r="B503" s="249" t="str">
        <f t="shared" si="47"/>
        <v/>
      </c>
      <c r="C503" s="250"/>
      <c r="D503" s="251"/>
      <c r="E503" s="241"/>
      <c r="F503" s="252"/>
      <c r="G503" s="252"/>
      <c r="H503" s="253"/>
      <c r="I503" s="250"/>
      <c r="J503" s="250"/>
      <c r="K503" s="270"/>
      <c r="L503" s="250"/>
      <c r="M503" s="250"/>
      <c r="N503" s="553" t="str">
        <f>CONCATENATE(IF(OR(M503=phu!$I$1,M503=phu!$I$2,M503=phu!$I$3),"Cam Thành Nam",""),IF(OR(M503=phu!$I$4,M503=phu!$I$5,M503=phu!$I$6,M503=phu!$I$7,M503=phu!$I$8,M503=phu!$I$9,M503=phu!$I$10,M503=phu!$I$11,M503=phu!$I$12,M503=phu!$I$13,M503=phu!$I$14),"Cam Nghĩa",""),IF(OR(M503=phu!$I$15,M503=phu!$I$16,M503=phu!$I$17,M503=phu!$I$18,M503=phu!$I$19,M503=phu!$I$20,M503=phu!$I$21),"Cam Phúc Bắc",""),IF(OR(M503=phu!$I$22,M503=phu!$I$23,M503=phu!$I$24,M503=phu!$I$25),"Cam Phúc Nam",""),IF(OR(M503=phu!$I$26,M503=phu!$I$27,M503=phu!$I$28,M503=phu!$I$29,M503=phu!$I$30,M503=phu!$I$31),"Cam Phú",""),IF(OR(M503=phu!$I$32,M503=phu!$I$33,M503=phu!$I$34,M503=phu!$I$35,M503=phu!$I$36,M503=phu!$I$37),"Cam Lộc",""),IF(OR(M503=phu!$I$38,M503=phu!$I$39,M503=phu!$I$40,M503=phu!$I$41,M503=phu!$I$42,M503=phu!$I$43,M503=phu!$I$44),"Cam Thuận",""),IF(OR(M503=phu!$I$45,M503=phu!$I$46,M503=phu!$I$47,M503=phu!$I$48,M503=phu!$I$49,M503=phu!$I$50,M503=phu!$I$51,M503=phu!$I$52,M503=phu!$I$53),"Cam Linh",""),IF(OR(M503=phu!$I$54,M503=phu!$I$55,M503=phu!$I$56,M503=phu!$I$57,M503=phu!$I$58,M503=phu!$I$59,M503=phu!$I$60,M503=phu!$I$61,M503=phu!$I$62),"Cam Lợi",""),IF(OR(M503=phu!$I$63,M503=phu!$I$64,M503=phu!$I$65,M503=phu!$I$66,M503=phu!$I$67,M503=phu!$I$68,M503=phu!$I$69,M503=phu!$I$70,M503=phu!$I$71),"Ba Ngòi",""),IF(OR(M503=phu!$I$72,M503=phu!$I$73,M503=phu!$I$74,M503=phu!$I$75,M503=phu!$I$76,M503=phu!$I$77,M503=phu!$I$78),"Cam Phước Đông",""),IF(OR(M503=phu!$I$79,M503=phu!$I$80,M503=phu!$I$81,M503=phu!$I$82,M503=phu!$I$83,M503=phu!$I$84),"Cam Thịnh Đông",""),IF(OR(M503=phu!$I$85,M503=phu!$I$86,M503=phu!$I$87,M503=phu!$I$88),"Cam Thịnh Tây",""),IF(OR(M503=phu!$I$89,M503=phu!$I$90),"Cam Lập",""),IF(OR(M503=phu!$I$91,M503=phu!$I$92,M503=phu!$I$93),"Cam Bình",""),IF(OR(M503=phu!$I$94,M503=phu!$I$95,M503=phu!$I$96,M503=phu!$I$97,M503=phu!$I$98,M503=phu!$I$99,M503=phu!$I$100),"Huyện khác",""),IF(OR(M503=phu!$I$101,M503=phu!$I$102),"Tỉnh khác",""))</f>
        <v/>
      </c>
      <c r="O503" s="814" t="str">
        <f t="shared" si="43"/>
        <v/>
      </c>
      <c r="P503" s="254"/>
      <c r="Q503" s="254"/>
      <c r="R503" s="254"/>
      <c r="S503" s="254"/>
      <c r="T503" s="254"/>
      <c r="U503" s="254"/>
      <c r="V503" s="254"/>
      <c r="W503" s="254"/>
      <c r="Y503" s="246" t="str">
        <f t="shared" si="44"/>
        <v/>
      </c>
      <c r="Z503" s="247" t="str">
        <f t="shared" si="42"/>
        <v/>
      </c>
      <c r="AA503" s="246" t="str">
        <f t="shared" si="45"/>
        <v/>
      </c>
    </row>
    <row r="504" spans="1:27" ht="18" customHeight="1" x14ac:dyDescent="0.25">
      <c r="A504" s="248" t="str">
        <f t="shared" si="46"/>
        <v/>
      </c>
      <c r="B504" s="249" t="str">
        <f t="shared" si="47"/>
        <v/>
      </c>
      <c r="C504" s="250"/>
      <c r="D504" s="251"/>
      <c r="E504" s="241"/>
      <c r="F504" s="252"/>
      <c r="G504" s="252"/>
      <c r="H504" s="253"/>
      <c r="I504" s="250"/>
      <c r="J504" s="250"/>
      <c r="K504" s="270"/>
      <c r="L504" s="250"/>
      <c r="M504" s="250"/>
      <c r="N504" s="553" t="str">
        <f>CONCATENATE(IF(OR(M504=phu!$I$1,M504=phu!$I$2,M504=phu!$I$3),"Cam Thành Nam",""),IF(OR(M504=phu!$I$4,M504=phu!$I$5,M504=phu!$I$6,M504=phu!$I$7,M504=phu!$I$8,M504=phu!$I$9,M504=phu!$I$10,M504=phu!$I$11,M504=phu!$I$12,M504=phu!$I$13,M504=phu!$I$14),"Cam Nghĩa",""),IF(OR(M504=phu!$I$15,M504=phu!$I$16,M504=phu!$I$17,M504=phu!$I$18,M504=phu!$I$19,M504=phu!$I$20,M504=phu!$I$21),"Cam Phúc Bắc",""),IF(OR(M504=phu!$I$22,M504=phu!$I$23,M504=phu!$I$24,M504=phu!$I$25),"Cam Phúc Nam",""),IF(OR(M504=phu!$I$26,M504=phu!$I$27,M504=phu!$I$28,M504=phu!$I$29,M504=phu!$I$30,M504=phu!$I$31),"Cam Phú",""),IF(OR(M504=phu!$I$32,M504=phu!$I$33,M504=phu!$I$34,M504=phu!$I$35,M504=phu!$I$36,M504=phu!$I$37),"Cam Lộc",""),IF(OR(M504=phu!$I$38,M504=phu!$I$39,M504=phu!$I$40,M504=phu!$I$41,M504=phu!$I$42,M504=phu!$I$43,M504=phu!$I$44),"Cam Thuận",""),IF(OR(M504=phu!$I$45,M504=phu!$I$46,M504=phu!$I$47,M504=phu!$I$48,M504=phu!$I$49,M504=phu!$I$50,M504=phu!$I$51,M504=phu!$I$52,M504=phu!$I$53),"Cam Linh",""),IF(OR(M504=phu!$I$54,M504=phu!$I$55,M504=phu!$I$56,M504=phu!$I$57,M504=phu!$I$58,M504=phu!$I$59,M504=phu!$I$60,M504=phu!$I$61,M504=phu!$I$62),"Cam Lợi",""),IF(OR(M504=phu!$I$63,M504=phu!$I$64,M504=phu!$I$65,M504=phu!$I$66,M504=phu!$I$67,M504=phu!$I$68,M504=phu!$I$69,M504=phu!$I$70,M504=phu!$I$71),"Ba Ngòi",""),IF(OR(M504=phu!$I$72,M504=phu!$I$73,M504=phu!$I$74,M504=phu!$I$75,M504=phu!$I$76,M504=phu!$I$77,M504=phu!$I$78),"Cam Phước Đông",""),IF(OR(M504=phu!$I$79,M504=phu!$I$80,M504=phu!$I$81,M504=phu!$I$82,M504=phu!$I$83,M504=phu!$I$84),"Cam Thịnh Đông",""),IF(OR(M504=phu!$I$85,M504=phu!$I$86,M504=phu!$I$87,M504=phu!$I$88),"Cam Thịnh Tây",""),IF(OR(M504=phu!$I$89,M504=phu!$I$90),"Cam Lập",""),IF(OR(M504=phu!$I$91,M504=phu!$I$92,M504=phu!$I$93),"Cam Bình",""),IF(OR(M504=phu!$I$94,M504=phu!$I$95,M504=phu!$I$96,M504=phu!$I$97,M504=phu!$I$98,M504=phu!$I$99,M504=phu!$I$100),"Huyện khác",""),IF(OR(M504=phu!$I$101,M504=phu!$I$102),"Tỉnh khác",""))</f>
        <v/>
      </c>
      <c r="O504" s="814" t="str">
        <f t="shared" si="43"/>
        <v/>
      </c>
      <c r="P504" s="254"/>
      <c r="Q504" s="254"/>
      <c r="R504" s="254"/>
      <c r="S504" s="254"/>
      <c r="T504" s="254"/>
      <c r="U504" s="254"/>
      <c r="V504" s="254"/>
      <c r="W504" s="254"/>
      <c r="Y504" s="246" t="str">
        <f t="shared" si="44"/>
        <v/>
      </c>
      <c r="Z504" s="247" t="str">
        <f t="shared" si="42"/>
        <v/>
      </c>
      <c r="AA504" s="246" t="str">
        <f t="shared" si="45"/>
        <v/>
      </c>
    </row>
    <row r="505" spans="1:27" ht="18" customHeight="1" x14ac:dyDescent="0.25">
      <c r="A505" s="248" t="str">
        <f t="shared" si="46"/>
        <v/>
      </c>
      <c r="B505" s="249" t="str">
        <f t="shared" si="47"/>
        <v/>
      </c>
      <c r="C505" s="250"/>
      <c r="D505" s="251"/>
      <c r="E505" s="241"/>
      <c r="F505" s="252"/>
      <c r="G505" s="252"/>
      <c r="H505" s="253"/>
      <c r="I505" s="250"/>
      <c r="J505" s="250"/>
      <c r="K505" s="270"/>
      <c r="L505" s="250"/>
      <c r="M505" s="250"/>
      <c r="N505" s="553" t="str">
        <f>CONCATENATE(IF(OR(M505=phu!$I$1,M505=phu!$I$2,M505=phu!$I$3),"Cam Thành Nam",""),IF(OR(M505=phu!$I$4,M505=phu!$I$5,M505=phu!$I$6,M505=phu!$I$7,M505=phu!$I$8,M505=phu!$I$9,M505=phu!$I$10,M505=phu!$I$11,M505=phu!$I$12,M505=phu!$I$13,M505=phu!$I$14),"Cam Nghĩa",""),IF(OR(M505=phu!$I$15,M505=phu!$I$16,M505=phu!$I$17,M505=phu!$I$18,M505=phu!$I$19,M505=phu!$I$20,M505=phu!$I$21),"Cam Phúc Bắc",""),IF(OR(M505=phu!$I$22,M505=phu!$I$23,M505=phu!$I$24,M505=phu!$I$25),"Cam Phúc Nam",""),IF(OR(M505=phu!$I$26,M505=phu!$I$27,M505=phu!$I$28,M505=phu!$I$29,M505=phu!$I$30,M505=phu!$I$31),"Cam Phú",""),IF(OR(M505=phu!$I$32,M505=phu!$I$33,M505=phu!$I$34,M505=phu!$I$35,M505=phu!$I$36,M505=phu!$I$37),"Cam Lộc",""),IF(OR(M505=phu!$I$38,M505=phu!$I$39,M505=phu!$I$40,M505=phu!$I$41,M505=phu!$I$42,M505=phu!$I$43,M505=phu!$I$44),"Cam Thuận",""),IF(OR(M505=phu!$I$45,M505=phu!$I$46,M505=phu!$I$47,M505=phu!$I$48,M505=phu!$I$49,M505=phu!$I$50,M505=phu!$I$51,M505=phu!$I$52,M505=phu!$I$53),"Cam Linh",""),IF(OR(M505=phu!$I$54,M505=phu!$I$55,M505=phu!$I$56,M505=phu!$I$57,M505=phu!$I$58,M505=phu!$I$59,M505=phu!$I$60,M505=phu!$I$61,M505=phu!$I$62),"Cam Lợi",""),IF(OR(M505=phu!$I$63,M505=phu!$I$64,M505=phu!$I$65,M505=phu!$I$66,M505=phu!$I$67,M505=phu!$I$68,M505=phu!$I$69,M505=phu!$I$70,M505=phu!$I$71),"Ba Ngòi",""),IF(OR(M505=phu!$I$72,M505=phu!$I$73,M505=phu!$I$74,M505=phu!$I$75,M505=phu!$I$76,M505=phu!$I$77,M505=phu!$I$78),"Cam Phước Đông",""),IF(OR(M505=phu!$I$79,M505=phu!$I$80,M505=phu!$I$81,M505=phu!$I$82,M505=phu!$I$83,M505=phu!$I$84),"Cam Thịnh Đông",""),IF(OR(M505=phu!$I$85,M505=phu!$I$86,M505=phu!$I$87,M505=phu!$I$88),"Cam Thịnh Tây",""),IF(OR(M505=phu!$I$89,M505=phu!$I$90),"Cam Lập",""),IF(OR(M505=phu!$I$91,M505=phu!$I$92,M505=phu!$I$93),"Cam Bình",""),IF(OR(M505=phu!$I$94,M505=phu!$I$95,M505=phu!$I$96,M505=phu!$I$97,M505=phu!$I$98,M505=phu!$I$99,M505=phu!$I$100),"Huyện khác",""),IF(OR(M505=phu!$I$101,M505=phu!$I$102),"Tỉnh khác",""))</f>
        <v/>
      </c>
      <c r="O505" s="814" t="str">
        <f t="shared" si="43"/>
        <v/>
      </c>
      <c r="P505" s="254"/>
      <c r="Q505" s="254"/>
      <c r="R505" s="254"/>
      <c r="S505" s="254"/>
      <c r="T505" s="254"/>
      <c r="U505" s="254"/>
      <c r="V505" s="254"/>
      <c r="W505" s="254"/>
      <c r="Y505" s="246" t="str">
        <f t="shared" si="44"/>
        <v/>
      </c>
      <c r="Z505" s="247" t="str">
        <f t="shared" si="42"/>
        <v/>
      </c>
      <c r="AA505" s="246" t="str">
        <f t="shared" si="45"/>
        <v/>
      </c>
    </row>
    <row r="506" spans="1:27" ht="18" customHeight="1" x14ac:dyDescent="0.25">
      <c r="A506" s="248" t="str">
        <f t="shared" si="46"/>
        <v/>
      </c>
      <c r="B506" s="249" t="str">
        <f t="shared" si="47"/>
        <v/>
      </c>
      <c r="C506" s="250"/>
      <c r="D506" s="251"/>
      <c r="E506" s="241"/>
      <c r="F506" s="252"/>
      <c r="G506" s="252"/>
      <c r="H506" s="253"/>
      <c r="I506" s="250"/>
      <c r="J506" s="250"/>
      <c r="K506" s="270"/>
      <c r="L506" s="250"/>
      <c r="M506" s="250"/>
      <c r="N506" s="553" t="str">
        <f>CONCATENATE(IF(OR(M506=phu!$I$1,M506=phu!$I$2,M506=phu!$I$3),"Cam Thành Nam",""),IF(OR(M506=phu!$I$4,M506=phu!$I$5,M506=phu!$I$6,M506=phu!$I$7,M506=phu!$I$8,M506=phu!$I$9,M506=phu!$I$10,M506=phu!$I$11,M506=phu!$I$12,M506=phu!$I$13,M506=phu!$I$14),"Cam Nghĩa",""),IF(OR(M506=phu!$I$15,M506=phu!$I$16,M506=phu!$I$17,M506=phu!$I$18,M506=phu!$I$19,M506=phu!$I$20,M506=phu!$I$21),"Cam Phúc Bắc",""),IF(OR(M506=phu!$I$22,M506=phu!$I$23,M506=phu!$I$24,M506=phu!$I$25),"Cam Phúc Nam",""),IF(OR(M506=phu!$I$26,M506=phu!$I$27,M506=phu!$I$28,M506=phu!$I$29,M506=phu!$I$30,M506=phu!$I$31),"Cam Phú",""),IF(OR(M506=phu!$I$32,M506=phu!$I$33,M506=phu!$I$34,M506=phu!$I$35,M506=phu!$I$36,M506=phu!$I$37),"Cam Lộc",""),IF(OR(M506=phu!$I$38,M506=phu!$I$39,M506=phu!$I$40,M506=phu!$I$41,M506=phu!$I$42,M506=phu!$I$43,M506=phu!$I$44),"Cam Thuận",""),IF(OR(M506=phu!$I$45,M506=phu!$I$46,M506=phu!$I$47,M506=phu!$I$48,M506=phu!$I$49,M506=phu!$I$50,M506=phu!$I$51,M506=phu!$I$52,M506=phu!$I$53),"Cam Linh",""),IF(OR(M506=phu!$I$54,M506=phu!$I$55,M506=phu!$I$56,M506=phu!$I$57,M506=phu!$I$58,M506=phu!$I$59,M506=phu!$I$60,M506=phu!$I$61,M506=phu!$I$62),"Cam Lợi",""),IF(OR(M506=phu!$I$63,M506=phu!$I$64,M506=phu!$I$65,M506=phu!$I$66,M506=phu!$I$67,M506=phu!$I$68,M506=phu!$I$69,M506=phu!$I$70,M506=phu!$I$71),"Ba Ngòi",""),IF(OR(M506=phu!$I$72,M506=phu!$I$73,M506=phu!$I$74,M506=phu!$I$75,M506=phu!$I$76,M506=phu!$I$77,M506=phu!$I$78),"Cam Phước Đông",""),IF(OR(M506=phu!$I$79,M506=phu!$I$80,M506=phu!$I$81,M506=phu!$I$82,M506=phu!$I$83,M506=phu!$I$84),"Cam Thịnh Đông",""),IF(OR(M506=phu!$I$85,M506=phu!$I$86,M506=phu!$I$87,M506=phu!$I$88),"Cam Thịnh Tây",""),IF(OR(M506=phu!$I$89,M506=phu!$I$90),"Cam Lập",""),IF(OR(M506=phu!$I$91,M506=phu!$I$92,M506=phu!$I$93),"Cam Bình",""),IF(OR(M506=phu!$I$94,M506=phu!$I$95,M506=phu!$I$96,M506=phu!$I$97,M506=phu!$I$98,M506=phu!$I$99,M506=phu!$I$100),"Huyện khác",""),IF(OR(M506=phu!$I$101,M506=phu!$I$102),"Tỉnh khác",""))</f>
        <v/>
      </c>
      <c r="O506" s="814" t="str">
        <f t="shared" si="43"/>
        <v/>
      </c>
      <c r="P506" s="254"/>
      <c r="Q506" s="254"/>
      <c r="R506" s="254"/>
      <c r="S506" s="254"/>
      <c r="T506" s="254"/>
      <c r="U506" s="254"/>
      <c r="V506" s="254"/>
      <c r="W506" s="254"/>
      <c r="Y506" s="246" t="str">
        <f t="shared" si="44"/>
        <v/>
      </c>
      <c r="Z506" s="247" t="str">
        <f t="shared" si="42"/>
        <v/>
      </c>
      <c r="AA506" s="246" t="str">
        <f t="shared" si="45"/>
        <v/>
      </c>
    </row>
    <row r="507" spans="1:27" ht="18" customHeight="1" x14ac:dyDescent="0.25">
      <c r="A507" s="248" t="str">
        <f t="shared" si="46"/>
        <v/>
      </c>
      <c r="B507" s="249" t="str">
        <f t="shared" si="47"/>
        <v/>
      </c>
      <c r="C507" s="250"/>
      <c r="D507" s="251"/>
      <c r="E507" s="241"/>
      <c r="F507" s="252"/>
      <c r="G507" s="252"/>
      <c r="H507" s="253"/>
      <c r="I507" s="250"/>
      <c r="J507" s="250"/>
      <c r="K507" s="270"/>
      <c r="L507" s="250"/>
      <c r="M507" s="250"/>
      <c r="N507" s="553" t="str">
        <f>CONCATENATE(IF(OR(M507=phu!$I$1,M507=phu!$I$2,M507=phu!$I$3),"Cam Thành Nam",""),IF(OR(M507=phu!$I$4,M507=phu!$I$5,M507=phu!$I$6,M507=phu!$I$7,M507=phu!$I$8,M507=phu!$I$9,M507=phu!$I$10,M507=phu!$I$11,M507=phu!$I$12,M507=phu!$I$13,M507=phu!$I$14),"Cam Nghĩa",""),IF(OR(M507=phu!$I$15,M507=phu!$I$16,M507=phu!$I$17,M507=phu!$I$18,M507=phu!$I$19,M507=phu!$I$20,M507=phu!$I$21),"Cam Phúc Bắc",""),IF(OR(M507=phu!$I$22,M507=phu!$I$23,M507=phu!$I$24,M507=phu!$I$25),"Cam Phúc Nam",""),IF(OR(M507=phu!$I$26,M507=phu!$I$27,M507=phu!$I$28,M507=phu!$I$29,M507=phu!$I$30,M507=phu!$I$31),"Cam Phú",""),IF(OR(M507=phu!$I$32,M507=phu!$I$33,M507=phu!$I$34,M507=phu!$I$35,M507=phu!$I$36,M507=phu!$I$37),"Cam Lộc",""),IF(OR(M507=phu!$I$38,M507=phu!$I$39,M507=phu!$I$40,M507=phu!$I$41,M507=phu!$I$42,M507=phu!$I$43,M507=phu!$I$44),"Cam Thuận",""),IF(OR(M507=phu!$I$45,M507=phu!$I$46,M507=phu!$I$47,M507=phu!$I$48,M507=phu!$I$49,M507=phu!$I$50,M507=phu!$I$51,M507=phu!$I$52,M507=phu!$I$53),"Cam Linh",""),IF(OR(M507=phu!$I$54,M507=phu!$I$55,M507=phu!$I$56,M507=phu!$I$57,M507=phu!$I$58,M507=phu!$I$59,M507=phu!$I$60,M507=phu!$I$61,M507=phu!$I$62),"Cam Lợi",""),IF(OR(M507=phu!$I$63,M507=phu!$I$64,M507=phu!$I$65,M507=phu!$I$66,M507=phu!$I$67,M507=phu!$I$68,M507=phu!$I$69,M507=phu!$I$70,M507=phu!$I$71),"Ba Ngòi",""),IF(OR(M507=phu!$I$72,M507=phu!$I$73,M507=phu!$I$74,M507=phu!$I$75,M507=phu!$I$76,M507=phu!$I$77,M507=phu!$I$78),"Cam Phước Đông",""),IF(OR(M507=phu!$I$79,M507=phu!$I$80,M507=phu!$I$81,M507=phu!$I$82,M507=phu!$I$83,M507=phu!$I$84),"Cam Thịnh Đông",""),IF(OR(M507=phu!$I$85,M507=phu!$I$86,M507=phu!$I$87,M507=phu!$I$88),"Cam Thịnh Tây",""),IF(OR(M507=phu!$I$89,M507=phu!$I$90),"Cam Lập",""),IF(OR(M507=phu!$I$91,M507=phu!$I$92,M507=phu!$I$93),"Cam Bình",""),IF(OR(M507=phu!$I$94,M507=phu!$I$95,M507=phu!$I$96,M507=phu!$I$97,M507=phu!$I$98,M507=phu!$I$99,M507=phu!$I$100),"Huyện khác",""),IF(OR(M507=phu!$I$101,M507=phu!$I$102),"Tỉnh khác",""))</f>
        <v/>
      </c>
      <c r="O507" s="814" t="str">
        <f t="shared" si="43"/>
        <v/>
      </c>
      <c r="P507" s="254"/>
      <c r="Q507" s="254"/>
      <c r="R507" s="254"/>
      <c r="S507" s="254"/>
      <c r="T507" s="254"/>
      <c r="U507" s="254"/>
      <c r="V507" s="254"/>
      <c r="W507" s="254"/>
      <c r="Y507" s="246" t="str">
        <f t="shared" si="44"/>
        <v/>
      </c>
      <c r="Z507" s="247" t="str">
        <f t="shared" si="42"/>
        <v/>
      </c>
      <c r="AA507" s="246" t="str">
        <f t="shared" si="45"/>
        <v/>
      </c>
    </row>
    <row r="508" spans="1:27" ht="18" customHeight="1" x14ac:dyDescent="0.25">
      <c r="A508" s="248" t="str">
        <f t="shared" si="46"/>
        <v/>
      </c>
      <c r="B508" s="249" t="str">
        <f t="shared" si="47"/>
        <v/>
      </c>
      <c r="C508" s="250"/>
      <c r="D508" s="251"/>
      <c r="E508" s="241"/>
      <c r="F508" s="252"/>
      <c r="G508" s="252"/>
      <c r="H508" s="253"/>
      <c r="I508" s="250"/>
      <c r="J508" s="250"/>
      <c r="K508" s="270"/>
      <c r="L508" s="250"/>
      <c r="M508" s="250"/>
      <c r="N508" s="553" t="str">
        <f>CONCATENATE(IF(OR(M508=phu!$I$1,M508=phu!$I$2,M508=phu!$I$3),"Cam Thành Nam",""),IF(OR(M508=phu!$I$4,M508=phu!$I$5,M508=phu!$I$6,M508=phu!$I$7,M508=phu!$I$8,M508=phu!$I$9,M508=phu!$I$10,M508=phu!$I$11,M508=phu!$I$12,M508=phu!$I$13,M508=phu!$I$14),"Cam Nghĩa",""),IF(OR(M508=phu!$I$15,M508=phu!$I$16,M508=phu!$I$17,M508=phu!$I$18,M508=phu!$I$19,M508=phu!$I$20,M508=phu!$I$21),"Cam Phúc Bắc",""),IF(OR(M508=phu!$I$22,M508=phu!$I$23,M508=phu!$I$24,M508=phu!$I$25),"Cam Phúc Nam",""),IF(OR(M508=phu!$I$26,M508=phu!$I$27,M508=phu!$I$28,M508=phu!$I$29,M508=phu!$I$30,M508=phu!$I$31),"Cam Phú",""),IF(OR(M508=phu!$I$32,M508=phu!$I$33,M508=phu!$I$34,M508=phu!$I$35,M508=phu!$I$36,M508=phu!$I$37),"Cam Lộc",""),IF(OR(M508=phu!$I$38,M508=phu!$I$39,M508=phu!$I$40,M508=phu!$I$41,M508=phu!$I$42,M508=phu!$I$43,M508=phu!$I$44),"Cam Thuận",""),IF(OR(M508=phu!$I$45,M508=phu!$I$46,M508=phu!$I$47,M508=phu!$I$48,M508=phu!$I$49,M508=phu!$I$50,M508=phu!$I$51,M508=phu!$I$52,M508=phu!$I$53),"Cam Linh",""),IF(OR(M508=phu!$I$54,M508=phu!$I$55,M508=phu!$I$56,M508=phu!$I$57,M508=phu!$I$58,M508=phu!$I$59,M508=phu!$I$60,M508=phu!$I$61,M508=phu!$I$62),"Cam Lợi",""),IF(OR(M508=phu!$I$63,M508=phu!$I$64,M508=phu!$I$65,M508=phu!$I$66,M508=phu!$I$67,M508=phu!$I$68,M508=phu!$I$69,M508=phu!$I$70,M508=phu!$I$71),"Ba Ngòi",""),IF(OR(M508=phu!$I$72,M508=phu!$I$73,M508=phu!$I$74,M508=phu!$I$75,M508=phu!$I$76,M508=phu!$I$77,M508=phu!$I$78),"Cam Phước Đông",""),IF(OR(M508=phu!$I$79,M508=phu!$I$80,M508=phu!$I$81,M508=phu!$I$82,M508=phu!$I$83,M508=phu!$I$84),"Cam Thịnh Đông",""),IF(OR(M508=phu!$I$85,M508=phu!$I$86,M508=phu!$I$87,M508=phu!$I$88),"Cam Thịnh Tây",""),IF(OR(M508=phu!$I$89,M508=phu!$I$90),"Cam Lập",""),IF(OR(M508=phu!$I$91,M508=phu!$I$92,M508=phu!$I$93),"Cam Bình",""),IF(OR(M508=phu!$I$94,M508=phu!$I$95,M508=phu!$I$96,M508=phu!$I$97,M508=phu!$I$98,M508=phu!$I$99,M508=phu!$I$100),"Huyện khác",""),IF(OR(M508=phu!$I$101,M508=phu!$I$102),"Tỉnh khác",""))</f>
        <v/>
      </c>
      <c r="O508" s="814" t="str">
        <f t="shared" si="43"/>
        <v/>
      </c>
      <c r="P508" s="254"/>
      <c r="Q508" s="254"/>
      <c r="R508" s="254"/>
      <c r="S508" s="254"/>
      <c r="T508" s="254"/>
      <c r="U508" s="254"/>
      <c r="V508" s="254"/>
      <c r="W508" s="254"/>
      <c r="Y508" s="246" t="str">
        <f t="shared" si="44"/>
        <v/>
      </c>
      <c r="Z508" s="247" t="str">
        <f t="shared" si="42"/>
        <v/>
      </c>
      <c r="AA508" s="246" t="str">
        <f t="shared" si="45"/>
        <v/>
      </c>
    </row>
    <row r="509" spans="1:27" ht="18" customHeight="1" x14ac:dyDescent="0.25">
      <c r="A509" s="248" t="str">
        <f t="shared" si="46"/>
        <v/>
      </c>
      <c r="B509" s="249" t="str">
        <f t="shared" si="47"/>
        <v/>
      </c>
      <c r="C509" s="250"/>
      <c r="D509" s="251"/>
      <c r="E509" s="241"/>
      <c r="F509" s="252"/>
      <c r="G509" s="252"/>
      <c r="H509" s="253"/>
      <c r="I509" s="250"/>
      <c r="J509" s="250"/>
      <c r="K509" s="270"/>
      <c r="L509" s="250"/>
      <c r="M509" s="250"/>
      <c r="N509" s="553" t="str">
        <f>CONCATENATE(IF(OR(M509=phu!$I$1,M509=phu!$I$2,M509=phu!$I$3),"Cam Thành Nam",""),IF(OR(M509=phu!$I$4,M509=phu!$I$5,M509=phu!$I$6,M509=phu!$I$7,M509=phu!$I$8,M509=phu!$I$9,M509=phu!$I$10,M509=phu!$I$11,M509=phu!$I$12,M509=phu!$I$13,M509=phu!$I$14),"Cam Nghĩa",""),IF(OR(M509=phu!$I$15,M509=phu!$I$16,M509=phu!$I$17,M509=phu!$I$18,M509=phu!$I$19,M509=phu!$I$20,M509=phu!$I$21),"Cam Phúc Bắc",""),IF(OR(M509=phu!$I$22,M509=phu!$I$23,M509=phu!$I$24,M509=phu!$I$25),"Cam Phúc Nam",""),IF(OR(M509=phu!$I$26,M509=phu!$I$27,M509=phu!$I$28,M509=phu!$I$29,M509=phu!$I$30,M509=phu!$I$31),"Cam Phú",""),IF(OR(M509=phu!$I$32,M509=phu!$I$33,M509=phu!$I$34,M509=phu!$I$35,M509=phu!$I$36,M509=phu!$I$37),"Cam Lộc",""),IF(OR(M509=phu!$I$38,M509=phu!$I$39,M509=phu!$I$40,M509=phu!$I$41,M509=phu!$I$42,M509=phu!$I$43,M509=phu!$I$44),"Cam Thuận",""),IF(OR(M509=phu!$I$45,M509=phu!$I$46,M509=phu!$I$47,M509=phu!$I$48,M509=phu!$I$49,M509=phu!$I$50,M509=phu!$I$51,M509=phu!$I$52,M509=phu!$I$53),"Cam Linh",""),IF(OR(M509=phu!$I$54,M509=phu!$I$55,M509=phu!$I$56,M509=phu!$I$57,M509=phu!$I$58,M509=phu!$I$59,M509=phu!$I$60,M509=phu!$I$61,M509=phu!$I$62),"Cam Lợi",""),IF(OR(M509=phu!$I$63,M509=phu!$I$64,M509=phu!$I$65,M509=phu!$I$66,M509=phu!$I$67,M509=phu!$I$68,M509=phu!$I$69,M509=phu!$I$70,M509=phu!$I$71),"Ba Ngòi",""),IF(OR(M509=phu!$I$72,M509=phu!$I$73,M509=phu!$I$74,M509=phu!$I$75,M509=phu!$I$76,M509=phu!$I$77,M509=phu!$I$78),"Cam Phước Đông",""),IF(OR(M509=phu!$I$79,M509=phu!$I$80,M509=phu!$I$81,M509=phu!$I$82,M509=phu!$I$83,M509=phu!$I$84),"Cam Thịnh Đông",""),IF(OR(M509=phu!$I$85,M509=phu!$I$86,M509=phu!$I$87,M509=phu!$I$88),"Cam Thịnh Tây",""),IF(OR(M509=phu!$I$89,M509=phu!$I$90),"Cam Lập",""),IF(OR(M509=phu!$I$91,M509=phu!$I$92,M509=phu!$I$93),"Cam Bình",""),IF(OR(M509=phu!$I$94,M509=phu!$I$95,M509=phu!$I$96,M509=phu!$I$97,M509=phu!$I$98,M509=phu!$I$99,M509=phu!$I$100),"Huyện khác",""),IF(OR(M509=phu!$I$101,M509=phu!$I$102),"Tỉnh khác",""))</f>
        <v/>
      </c>
      <c r="O509" s="814" t="str">
        <f t="shared" si="43"/>
        <v/>
      </c>
      <c r="P509" s="254"/>
      <c r="Q509" s="254"/>
      <c r="R509" s="254"/>
      <c r="S509" s="254"/>
      <c r="T509" s="254"/>
      <c r="U509" s="254"/>
      <c r="V509" s="254"/>
      <c r="W509" s="254"/>
      <c r="Y509" s="246" t="str">
        <f t="shared" si="44"/>
        <v/>
      </c>
      <c r="Z509" s="247" t="str">
        <f t="shared" si="42"/>
        <v/>
      </c>
      <c r="AA509" s="246" t="str">
        <f t="shared" si="45"/>
        <v/>
      </c>
    </row>
    <row r="510" spans="1:27" ht="18" customHeight="1" x14ac:dyDescent="0.25">
      <c r="A510" s="248" t="str">
        <f t="shared" si="46"/>
        <v/>
      </c>
      <c r="B510" s="249" t="str">
        <f t="shared" si="47"/>
        <v/>
      </c>
      <c r="C510" s="250"/>
      <c r="D510" s="251"/>
      <c r="E510" s="241"/>
      <c r="F510" s="252"/>
      <c r="G510" s="252"/>
      <c r="H510" s="253"/>
      <c r="I510" s="250"/>
      <c r="J510" s="250"/>
      <c r="K510" s="270"/>
      <c r="L510" s="250"/>
      <c r="M510" s="250"/>
      <c r="N510" s="553" t="str">
        <f>CONCATENATE(IF(OR(M510=phu!$I$1,M510=phu!$I$2,M510=phu!$I$3),"Cam Thành Nam",""),IF(OR(M510=phu!$I$4,M510=phu!$I$5,M510=phu!$I$6,M510=phu!$I$7,M510=phu!$I$8,M510=phu!$I$9,M510=phu!$I$10,M510=phu!$I$11,M510=phu!$I$12,M510=phu!$I$13,M510=phu!$I$14),"Cam Nghĩa",""),IF(OR(M510=phu!$I$15,M510=phu!$I$16,M510=phu!$I$17,M510=phu!$I$18,M510=phu!$I$19,M510=phu!$I$20,M510=phu!$I$21),"Cam Phúc Bắc",""),IF(OR(M510=phu!$I$22,M510=phu!$I$23,M510=phu!$I$24,M510=phu!$I$25),"Cam Phúc Nam",""),IF(OR(M510=phu!$I$26,M510=phu!$I$27,M510=phu!$I$28,M510=phu!$I$29,M510=phu!$I$30,M510=phu!$I$31),"Cam Phú",""),IF(OR(M510=phu!$I$32,M510=phu!$I$33,M510=phu!$I$34,M510=phu!$I$35,M510=phu!$I$36,M510=phu!$I$37),"Cam Lộc",""),IF(OR(M510=phu!$I$38,M510=phu!$I$39,M510=phu!$I$40,M510=phu!$I$41,M510=phu!$I$42,M510=phu!$I$43,M510=phu!$I$44),"Cam Thuận",""),IF(OR(M510=phu!$I$45,M510=phu!$I$46,M510=phu!$I$47,M510=phu!$I$48,M510=phu!$I$49,M510=phu!$I$50,M510=phu!$I$51,M510=phu!$I$52,M510=phu!$I$53),"Cam Linh",""),IF(OR(M510=phu!$I$54,M510=phu!$I$55,M510=phu!$I$56,M510=phu!$I$57,M510=phu!$I$58,M510=phu!$I$59,M510=phu!$I$60,M510=phu!$I$61,M510=phu!$I$62),"Cam Lợi",""),IF(OR(M510=phu!$I$63,M510=phu!$I$64,M510=phu!$I$65,M510=phu!$I$66,M510=phu!$I$67,M510=phu!$I$68,M510=phu!$I$69,M510=phu!$I$70,M510=phu!$I$71),"Ba Ngòi",""),IF(OR(M510=phu!$I$72,M510=phu!$I$73,M510=phu!$I$74,M510=phu!$I$75,M510=phu!$I$76,M510=phu!$I$77,M510=phu!$I$78),"Cam Phước Đông",""),IF(OR(M510=phu!$I$79,M510=phu!$I$80,M510=phu!$I$81,M510=phu!$I$82,M510=phu!$I$83,M510=phu!$I$84),"Cam Thịnh Đông",""),IF(OR(M510=phu!$I$85,M510=phu!$I$86,M510=phu!$I$87,M510=phu!$I$88),"Cam Thịnh Tây",""),IF(OR(M510=phu!$I$89,M510=phu!$I$90),"Cam Lập",""),IF(OR(M510=phu!$I$91,M510=phu!$I$92,M510=phu!$I$93),"Cam Bình",""),IF(OR(M510=phu!$I$94,M510=phu!$I$95,M510=phu!$I$96,M510=phu!$I$97,M510=phu!$I$98,M510=phu!$I$99,M510=phu!$I$100),"Huyện khác",""),IF(OR(M510=phu!$I$101,M510=phu!$I$102),"Tỉnh khác",""))</f>
        <v/>
      </c>
      <c r="O510" s="814" t="str">
        <f t="shared" si="43"/>
        <v/>
      </c>
      <c r="P510" s="254"/>
      <c r="Q510" s="254"/>
      <c r="R510" s="254"/>
      <c r="S510" s="254"/>
      <c r="T510" s="254"/>
      <c r="U510" s="254"/>
      <c r="V510" s="254"/>
      <c r="W510" s="254"/>
      <c r="Y510" s="246" t="str">
        <f t="shared" si="44"/>
        <v/>
      </c>
      <c r="Z510" s="247" t="str">
        <f t="shared" si="42"/>
        <v/>
      </c>
      <c r="AA510" s="246" t="str">
        <f t="shared" si="45"/>
        <v/>
      </c>
    </row>
    <row r="511" spans="1:27" ht="18" customHeight="1" x14ac:dyDescent="0.25">
      <c r="A511" s="248" t="str">
        <f t="shared" si="46"/>
        <v/>
      </c>
      <c r="B511" s="249" t="str">
        <f t="shared" si="47"/>
        <v/>
      </c>
      <c r="C511" s="250"/>
      <c r="D511" s="251"/>
      <c r="E511" s="241"/>
      <c r="F511" s="252"/>
      <c r="G511" s="252"/>
      <c r="H511" s="253"/>
      <c r="I511" s="250"/>
      <c r="J511" s="250"/>
      <c r="K511" s="270"/>
      <c r="L511" s="250"/>
      <c r="M511" s="250"/>
      <c r="N511" s="553" t="str">
        <f>CONCATENATE(IF(OR(M511=phu!$I$1,M511=phu!$I$2,M511=phu!$I$3),"Cam Thành Nam",""),IF(OR(M511=phu!$I$4,M511=phu!$I$5,M511=phu!$I$6,M511=phu!$I$7,M511=phu!$I$8,M511=phu!$I$9,M511=phu!$I$10,M511=phu!$I$11,M511=phu!$I$12,M511=phu!$I$13,M511=phu!$I$14),"Cam Nghĩa",""),IF(OR(M511=phu!$I$15,M511=phu!$I$16,M511=phu!$I$17,M511=phu!$I$18,M511=phu!$I$19,M511=phu!$I$20,M511=phu!$I$21),"Cam Phúc Bắc",""),IF(OR(M511=phu!$I$22,M511=phu!$I$23,M511=phu!$I$24,M511=phu!$I$25),"Cam Phúc Nam",""),IF(OR(M511=phu!$I$26,M511=phu!$I$27,M511=phu!$I$28,M511=phu!$I$29,M511=phu!$I$30,M511=phu!$I$31),"Cam Phú",""),IF(OR(M511=phu!$I$32,M511=phu!$I$33,M511=phu!$I$34,M511=phu!$I$35,M511=phu!$I$36,M511=phu!$I$37),"Cam Lộc",""),IF(OR(M511=phu!$I$38,M511=phu!$I$39,M511=phu!$I$40,M511=phu!$I$41,M511=phu!$I$42,M511=phu!$I$43,M511=phu!$I$44),"Cam Thuận",""),IF(OR(M511=phu!$I$45,M511=phu!$I$46,M511=phu!$I$47,M511=phu!$I$48,M511=phu!$I$49,M511=phu!$I$50,M511=phu!$I$51,M511=phu!$I$52,M511=phu!$I$53),"Cam Linh",""),IF(OR(M511=phu!$I$54,M511=phu!$I$55,M511=phu!$I$56,M511=phu!$I$57,M511=phu!$I$58,M511=phu!$I$59,M511=phu!$I$60,M511=phu!$I$61,M511=phu!$I$62),"Cam Lợi",""),IF(OR(M511=phu!$I$63,M511=phu!$I$64,M511=phu!$I$65,M511=phu!$I$66,M511=phu!$I$67,M511=phu!$I$68,M511=phu!$I$69,M511=phu!$I$70,M511=phu!$I$71),"Ba Ngòi",""),IF(OR(M511=phu!$I$72,M511=phu!$I$73,M511=phu!$I$74,M511=phu!$I$75,M511=phu!$I$76,M511=phu!$I$77,M511=phu!$I$78),"Cam Phước Đông",""),IF(OR(M511=phu!$I$79,M511=phu!$I$80,M511=phu!$I$81,M511=phu!$I$82,M511=phu!$I$83,M511=phu!$I$84),"Cam Thịnh Đông",""),IF(OR(M511=phu!$I$85,M511=phu!$I$86,M511=phu!$I$87,M511=phu!$I$88),"Cam Thịnh Tây",""),IF(OR(M511=phu!$I$89,M511=phu!$I$90),"Cam Lập",""),IF(OR(M511=phu!$I$91,M511=phu!$I$92,M511=phu!$I$93),"Cam Bình",""),IF(OR(M511=phu!$I$94,M511=phu!$I$95,M511=phu!$I$96,M511=phu!$I$97,M511=phu!$I$98,M511=phu!$I$99,M511=phu!$I$100),"Huyện khác",""),IF(OR(M511=phu!$I$101,M511=phu!$I$102),"Tỉnh khác",""))</f>
        <v/>
      </c>
      <c r="O511" s="814" t="str">
        <f t="shared" si="43"/>
        <v/>
      </c>
      <c r="P511" s="254"/>
      <c r="Q511" s="254"/>
      <c r="R511" s="254"/>
      <c r="S511" s="254"/>
      <c r="T511" s="254"/>
      <c r="U511" s="254"/>
      <c r="V511" s="254"/>
      <c r="W511" s="254"/>
      <c r="Y511" s="246" t="str">
        <f t="shared" si="44"/>
        <v/>
      </c>
      <c r="Z511" s="247" t="str">
        <f t="shared" si="42"/>
        <v/>
      </c>
      <c r="AA511" s="246" t="str">
        <f t="shared" si="45"/>
        <v/>
      </c>
    </row>
    <row r="512" spans="1:27" ht="18" customHeight="1" x14ac:dyDescent="0.25">
      <c r="A512" s="248" t="str">
        <f t="shared" si="46"/>
        <v/>
      </c>
      <c r="B512" s="249" t="str">
        <f t="shared" si="47"/>
        <v/>
      </c>
      <c r="C512" s="250"/>
      <c r="D512" s="251"/>
      <c r="E512" s="241"/>
      <c r="F512" s="252"/>
      <c r="G512" s="252"/>
      <c r="H512" s="253"/>
      <c r="I512" s="250"/>
      <c r="J512" s="250"/>
      <c r="K512" s="270"/>
      <c r="L512" s="250"/>
      <c r="M512" s="250"/>
      <c r="N512" s="553" t="str">
        <f>CONCATENATE(IF(OR(M512=phu!$I$1,M512=phu!$I$2,M512=phu!$I$3),"Cam Thành Nam",""),IF(OR(M512=phu!$I$4,M512=phu!$I$5,M512=phu!$I$6,M512=phu!$I$7,M512=phu!$I$8,M512=phu!$I$9,M512=phu!$I$10,M512=phu!$I$11,M512=phu!$I$12,M512=phu!$I$13,M512=phu!$I$14),"Cam Nghĩa",""),IF(OR(M512=phu!$I$15,M512=phu!$I$16,M512=phu!$I$17,M512=phu!$I$18,M512=phu!$I$19,M512=phu!$I$20,M512=phu!$I$21),"Cam Phúc Bắc",""),IF(OR(M512=phu!$I$22,M512=phu!$I$23,M512=phu!$I$24,M512=phu!$I$25),"Cam Phúc Nam",""),IF(OR(M512=phu!$I$26,M512=phu!$I$27,M512=phu!$I$28,M512=phu!$I$29,M512=phu!$I$30,M512=phu!$I$31),"Cam Phú",""),IF(OR(M512=phu!$I$32,M512=phu!$I$33,M512=phu!$I$34,M512=phu!$I$35,M512=phu!$I$36,M512=phu!$I$37),"Cam Lộc",""),IF(OR(M512=phu!$I$38,M512=phu!$I$39,M512=phu!$I$40,M512=phu!$I$41,M512=phu!$I$42,M512=phu!$I$43,M512=phu!$I$44),"Cam Thuận",""),IF(OR(M512=phu!$I$45,M512=phu!$I$46,M512=phu!$I$47,M512=phu!$I$48,M512=phu!$I$49,M512=phu!$I$50,M512=phu!$I$51,M512=phu!$I$52,M512=phu!$I$53),"Cam Linh",""),IF(OR(M512=phu!$I$54,M512=phu!$I$55,M512=phu!$I$56,M512=phu!$I$57,M512=phu!$I$58,M512=phu!$I$59,M512=phu!$I$60,M512=phu!$I$61,M512=phu!$I$62),"Cam Lợi",""),IF(OR(M512=phu!$I$63,M512=phu!$I$64,M512=phu!$I$65,M512=phu!$I$66,M512=phu!$I$67,M512=phu!$I$68,M512=phu!$I$69,M512=phu!$I$70,M512=phu!$I$71),"Ba Ngòi",""),IF(OR(M512=phu!$I$72,M512=phu!$I$73,M512=phu!$I$74,M512=phu!$I$75,M512=phu!$I$76,M512=phu!$I$77,M512=phu!$I$78),"Cam Phước Đông",""),IF(OR(M512=phu!$I$79,M512=phu!$I$80,M512=phu!$I$81,M512=phu!$I$82,M512=phu!$I$83,M512=phu!$I$84),"Cam Thịnh Đông",""),IF(OR(M512=phu!$I$85,M512=phu!$I$86,M512=phu!$I$87,M512=phu!$I$88),"Cam Thịnh Tây",""),IF(OR(M512=phu!$I$89,M512=phu!$I$90),"Cam Lập",""),IF(OR(M512=phu!$I$91,M512=phu!$I$92,M512=phu!$I$93),"Cam Bình",""),IF(OR(M512=phu!$I$94,M512=phu!$I$95,M512=phu!$I$96,M512=phu!$I$97,M512=phu!$I$98,M512=phu!$I$99,M512=phu!$I$100),"Huyện khác",""),IF(OR(M512=phu!$I$101,M512=phu!$I$102),"Tỉnh khác",""))</f>
        <v/>
      </c>
      <c r="O512" s="814" t="str">
        <f t="shared" si="43"/>
        <v/>
      </c>
      <c r="P512" s="254"/>
      <c r="Q512" s="254"/>
      <c r="R512" s="254"/>
      <c r="S512" s="254"/>
      <c r="T512" s="254"/>
      <c r="U512" s="254"/>
      <c r="V512" s="254"/>
      <c r="W512" s="254"/>
      <c r="Y512" s="246" t="str">
        <f t="shared" si="44"/>
        <v/>
      </c>
      <c r="Z512" s="247" t="str">
        <f t="shared" si="42"/>
        <v/>
      </c>
      <c r="AA512" s="246" t="str">
        <f t="shared" si="45"/>
        <v/>
      </c>
    </row>
    <row r="513" spans="1:27" ht="18" customHeight="1" x14ac:dyDescent="0.25">
      <c r="A513" s="248" t="str">
        <f t="shared" si="46"/>
        <v/>
      </c>
      <c r="B513" s="249" t="str">
        <f t="shared" si="47"/>
        <v/>
      </c>
      <c r="C513" s="250"/>
      <c r="D513" s="251"/>
      <c r="E513" s="241"/>
      <c r="F513" s="252"/>
      <c r="G513" s="252"/>
      <c r="H513" s="253"/>
      <c r="I513" s="250"/>
      <c r="J513" s="250"/>
      <c r="K513" s="270"/>
      <c r="L513" s="250"/>
      <c r="M513" s="250"/>
      <c r="N513" s="553" t="str">
        <f>CONCATENATE(IF(OR(M513=phu!$I$1,M513=phu!$I$2,M513=phu!$I$3),"Cam Thành Nam",""),IF(OR(M513=phu!$I$4,M513=phu!$I$5,M513=phu!$I$6,M513=phu!$I$7,M513=phu!$I$8,M513=phu!$I$9,M513=phu!$I$10,M513=phu!$I$11,M513=phu!$I$12,M513=phu!$I$13,M513=phu!$I$14),"Cam Nghĩa",""),IF(OR(M513=phu!$I$15,M513=phu!$I$16,M513=phu!$I$17,M513=phu!$I$18,M513=phu!$I$19,M513=phu!$I$20,M513=phu!$I$21),"Cam Phúc Bắc",""),IF(OR(M513=phu!$I$22,M513=phu!$I$23,M513=phu!$I$24,M513=phu!$I$25),"Cam Phúc Nam",""),IF(OR(M513=phu!$I$26,M513=phu!$I$27,M513=phu!$I$28,M513=phu!$I$29,M513=phu!$I$30,M513=phu!$I$31),"Cam Phú",""),IF(OR(M513=phu!$I$32,M513=phu!$I$33,M513=phu!$I$34,M513=phu!$I$35,M513=phu!$I$36,M513=phu!$I$37),"Cam Lộc",""),IF(OR(M513=phu!$I$38,M513=phu!$I$39,M513=phu!$I$40,M513=phu!$I$41,M513=phu!$I$42,M513=phu!$I$43,M513=phu!$I$44),"Cam Thuận",""),IF(OR(M513=phu!$I$45,M513=phu!$I$46,M513=phu!$I$47,M513=phu!$I$48,M513=phu!$I$49,M513=phu!$I$50,M513=phu!$I$51,M513=phu!$I$52,M513=phu!$I$53),"Cam Linh",""),IF(OR(M513=phu!$I$54,M513=phu!$I$55,M513=phu!$I$56,M513=phu!$I$57,M513=phu!$I$58,M513=phu!$I$59,M513=phu!$I$60,M513=phu!$I$61,M513=phu!$I$62),"Cam Lợi",""),IF(OR(M513=phu!$I$63,M513=phu!$I$64,M513=phu!$I$65,M513=phu!$I$66,M513=phu!$I$67,M513=phu!$I$68,M513=phu!$I$69,M513=phu!$I$70,M513=phu!$I$71),"Ba Ngòi",""),IF(OR(M513=phu!$I$72,M513=phu!$I$73,M513=phu!$I$74,M513=phu!$I$75,M513=phu!$I$76,M513=phu!$I$77,M513=phu!$I$78),"Cam Phước Đông",""),IF(OR(M513=phu!$I$79,M513=phu!$I$80,M513=phu!$I$81,M513=phu!$I$82,M513=phu!$I$83,M513=phu!$I$84),"Cam Thịnh Đông",""),IF(OR(M513=phu!$I$85,M513=phu!$I$86,M513=phu!$I$87,M513=phu!$I$88),"Cam Thịnh Tây",""),IF(OR(M513=phu!$I$89,M513=phu!$I$90),"Cam Lập",""),IF(OR(M513=phu!$I$91,M513=phu!$I$92,M513=phu!$I$93),"Cam Bình",""),IF(OR(M513=phu!$I$94,M513=phu!$I$95,M513=phu!$I$96,M513=phu!$I$97,M513=phu!$I$98,M513=phu!$I$99,M513=phu!$I$100),"Huyện khác",""),IF(OR(M513=phu!$I$101,M513=phu!$I$102),"Tỉnh khác",""))</f>
        <v/>
      </c>
      <c r="O513" s="814" t="str">
        <f t="shared" si="43"/>
        <v/>
      </c>
      <c r="P513" s="254"/>
      <c r="Q513" s="254"/>
      <c r="R513" s="254"/>
      <c r="S513" s="254"/>
      <c r="T513" s="254"/>
      <c r="U513" s="254"/>
      <c r="V513" s="254"/>
      <c r="W513" s="254"/>
      <c r="Y513" s="246" t="str">
        <f t="shared" si="44"/>
        <v/>
      </c>
      <c r="Z513" s="247" t="str">
        <f t="shared" si="42"/>
        <v/>
      </c>
      <c r="AA513" s="246" t="str">
        <f t="shared" si="45"/>
        <v/>
      </c>
    </row>
    <row r="514" spans="1:27" ht="18" customHeight="1" x14ac:dyDescent="0.25">
      <c r="A514" s="248" t="str">
        <f t="shared" si="46"/>
        <v/>
      </c>
      <c r="B514" s="249" t="str">
        <f t="shared" si="47"/>
        <v/>
      </c>
      <c r="C514" s="250"/>
      <c r="D514" s="251"/>
      <c r="E514" s="241"/>
      <c r="F514" s="252"/>
      <c r="G514" s="252"/>
      <c r="H514" s="253"/>
      <c r="I514" s="250"/>
      <c r="J514" s="250"/>
      <c r="K514" s="270"/>
      <c r="L514" s="250"/>
      <c r="M514" s="250"/>
      <c r="N514" s="553" t="str">
        <f>CONCATENATE(IF(OR(M514=phu!$I$1,M514=phu!$I$2,M514=phu!$I$3),"Cam Thành Nam",""),IF(OR(M514=phu!$I$4,M514=phu!$I$5,M514=phu!$I$6,M514=phu!$I$7,M514=phu!$I$8,M514=phu!$I$9,M514=phu!$I$10,M514=phu!$I$11,M514=phu!$I$12,M514=phu!$I$13,M514=phu!$I$14),"Cam Nghĩa",""),IF(OR(M514=phu!$I$15,M514=phu!$I$16,M514=phu!$I$17,M514=phu!$I$18,M514=phu!$I$19,M514=phu!$I$20,M514=phu!$I$21),"Cam Phúc Bắc",""),IF(OR(M514=phu!$I$22,M514=phu!$I$23,M514=phu!$I$24,M514=phu!$I$25),"Cam Phúc Nam",""),IF(OR(M514=phu!$I$26,M514=phu!$I$27,M514=phu!$I$28,M514=phu!$I$29,M514=phu!$I$30,M514=phu!$I$31),"Cam Phú",""),IF(OR(M514=phu!$I$32,M514=phu!$I$33,M514=phu!$I$34,M514=phu!$I$35,M514=phu!$I$36,M514=phu!$I$37),"Cam Lộc",""),IF(OR(M514=phu!$I$38,M514=phu!$I$39,M514=phu!$I$40,M514=phu!$I$41,M514=phu!$I$42,M514=phu!$I$43,M514=phu!$I$44),"Cam Thuận",""),IF(OR(M514=phu!$I$45,M514=phu!$I$46,M514=phu!$I$47,M514=phu!$I$48,M514=phu!$I$49,M514=phu!$I$50,M514=phu!$I$51,M514=phu!$I$52,M514=phu!$I$53),"Cam Linh",""),IF(OR(M514=phu!$I$54,M514=phu!$I$55,M514=phu!$I$56,M514=phu!$I$57,M514=phu!$I$58,M514=phu!$I$59,M514=phu!$I$60,M514=phu!$I$61,M514=phu!$I$62),"Cam Lợi",""),IF(OR(M514=phu!$I$63,M514=phu!$I$64,M514=phu!$I$65,M514=phu!$I$66,M514=phu!$I$67,M514=phu!$I$68,M514=phu!$I$69,M514=phu!$I$70,M514=phu!$I$71),"Ba Ngòi",""),IF(OR(M514=phu!$I$72,M514=phu!$I$73,M514=phu!$I$74,M514=phu!$I$75,M514=phu!$I$76,M514=phu!$I$77,M514=phu!$I$78),"Cam Phước Đông",""),IF(OR(M514=phu!$I$79,M514=phu!$I$80,M514=phu!$I$81,M514=phu!$I$82,M514=phu!$I$83,M514=phu!$I$84),"Cam Thịnh Đông",""),IF(OR(M514=phu!$I$85,M514=phu!$I$86,M514=phu!$I$87,M514=phu!$I$88),"Cam Thịnh Tây",""),IF(OR(M514=phu!$I$89,M514=phu!$I$90),"Cam Lập",""),IF(OR(M514=phu!$I$91,M514=phu!$I$92,M514=phu!$I$93),"Cam Bình",""),IF(OR(M514=phu!$I$94,M514=phu!$I$95,M514=phu!$I$96,M514=phu!$I$97,M514=phu!$I$98,M514=phu!$I$99,M514=phu!$I$100),"Huyện khác",""),IF(OR(M514=phu!$I$101,M514=phu!$I$102),"Tỉnh khác",""))</f>
        <v/>
      </c>
      <c r="O514" s="814" t="str">
        <f t="shared" si="43"/>
        <v/>
      </c>
      <c r="P514" s="254"/>
      <c r="Q514" s="254"/>
      <c r="R514" s="254"/>
      <c r="S514" s="254"/>
      <c r="T514" s="254"/>
      <c r="U514" s="254"/>
      <c r="V514" s="254"/>
      <c r="W514" s="254"/>
      <c r="Y514" s="246" t="str">
        <f t="shared" si="44"/>
        <v/>
      </c>
      <c r="Z514" s="247" t="str">
        <f t="shared" si="42"/>
        <v/>
      </c>
      <c r="AA514" s="246" t="str">
        <f t="shared" si="45"/>
        <v/>
      </c>
    </row>
    <row r="515" spans="1:27" ht="18" customHeight="1" x14ac:dyDescent="0.25">
      <c r="A515" s="248" t="str">
        <f t="shared" si="46"/>
        <v/>
      </c>
      <c r="B515" s="249" t="str">
        <f t="shared" si="47"/>
        <v/>
      </c>
      <c r="C515" s="250"/>
      <c r="D515" s="251"/>
      <c r="E515" s="241"/>
      <c r="F515" s="252"/>
      <c r="G515" s="252"/>
      <c r="H515" s="253"/>
      <c r="I515" s="250"/>
      <c r="J515" s="250"/>
      <c r="K515" s="270"/>
      <c r="L515" s="250"/>
      <c r="M515" s="250"/>
      <c r="N515" s="553" t="str">
        <f>CONCATENATE(IF(OR(M515=phu!$I$1,M515=phu!$I$2,M515=phu!$I$3),"Cam Thành Nam",""),IF(OR(M515=phu!$I$4,M515=phu!$I$5,M515=phu!$I$6,M515=phu!$I$7,M515=phu!$I$8,M515=phu!$I$9,M515=phu!$I$10,M515=phu!$I$11,M515=phu!$I$12,M515=phu!$I$13,M515=phu!$I$14),"Cam Nghĩa",""),IF(OR(M515=phu!$I$15,M515=phu!$I$16,M515=phu!$I$17,M515=phu!$I$18,M515=phu!$I$19,M515=phu!$I$20,M515=phu!$I$21),"Cam Phúc Bắc",""),IF(OR(M515=phu!$I$22,M515=phu!$I$23,M515=phu!$I$24,M515=phu!$I$25),"Cam Phúc Nam",""),IF(OR(M515=phu!$I$26,M515=phu!$I$27,M515=phu!$I$28,M515=phu!$I$29,M515=phu!$I$30,M515=phu!$I$31),"Cam Phú",""),IF(OR(M515=phu!$I$32,M515=phu!$I$33,M515=phu!$I$34,M515=phu!$I$35,M515=phu!$I$36,M515=phu!$I$37),"Cam Lộc",""),IF(OR(M515=phu!$I$38,M515=phu!$I$39,M515=phu!$I$40,M515=phu!$I$41,M515=phu!$I$42,M515=phu!$I$43,M515=phu!$I$44),"Cam Thuận",""),IF(OR(M515=phu!$I$45,M515=phu!$I$46,M515=phu!$I$47,M515=phu!$I$48,M515=phu!$I$49,M515=phu!$I$50,M515=phu!$I$51,M515=phu!$I$52,M515=phu!$I$53),"Cam Linh",""),IF(OR(M515=phu!$I$54,M515=phu!$I$55,M515=phu!$I$56,M515=phu!$I$57,M515=phu!$I$58,M515=phu!$I$59,M515=phu!$I$60,M515=phu!$I$61,M515=phu!$I$62),"Cam Lợi",""),IF(OR(M515=phu!$I$63,M515=phu!$I$64,M515=phu!$I$65,M515=phu!$I$66,M515=phu!$I$67,M515=phu!$I$68,M515=phu!$I$69,M515=phu!$I$70,M515=phu!$I$71),"Ba Ngòi",""),IF(OR(M515=phu!$I$72,M515=phu!$I$73,M515=phu!$I$74,M515=phu!$I$75,M515=phu!$I$76,M515=phu!$I$77,M515=phu!$I$78),"Cam Phước Đông",""),IF(OR(M515=phu!$I$79,M515=phu!$I$80,M515=phu!$I$81,M515=phu!$I$82,M515=phu!$I$83,M515=phu!$I$84),"Cam Thịnh Đông",""),IF(OR(M515=phu!$I$85,M515=phu!$I$86,M515=phu!$I$87,M515=phu!$I$88),"Cam Thịnh Tây",""),IF(OR(M515=phu!$I$89,M515=phu!$I$90),"Cam Lập",""),IF(OR(M515=phu!$I$91,M515=phu!$I$92,M515=phu!$I$93),"Cam Bình",""),IF(OR(M515=phu!$I$94,M515=phu!$I$95,M515=phu!$I$96,M515=phu!$I$97,M515=phu!$I$98,M515=phu!$I$99,M515=phu!$I$100),"Huyện khác",""),IF(OR(M515=phu!$I$101,M515=phu!$I$102),"Tỉnh khác",""))</f>
        <v/>
      </c>
      <c r="O515" s="814" t="str">
        <f t="shared" si="43"/>
        <v/>
      </c>
      <c r="P515" s="254"/>
      <c r="Q515" s="254"/>
      <c r="R515" s="254"/>
      <c r="S515" s="254"/>
      <c r="T515" s="254"/>
      <c r="U515" s="254"/>
      <c r="V515" s="254"/>
      <c r="W515" s="254"/>
      <c r="Y515" s="246" t="str">
        <f t="shared" si="44"/>
        <v/>
      </c>
      <c r="Z515" s="247" t="str">
        <f t="shared" si="42"/>
        <v/>
      </c>
      <c r="AA515" s="246" t="str">
        <f t="shared" si="45"/>
        <v/>
      </c>
    </row>
    <row r="516" spans="1:27" ht="18" customHeight="1" x14ac:dyDescent="0.25">
      <c r="A516" s="248" t="str">
        <f t="shared" si="46"/>
        <v/>
      </c>
      <c r="B516" s="249" t="str">
        <f t="shared" si="47"/>
        <v/>
      </c>
      <c r="C516" s="250"/>
      <c r="D516" s="251"/>
      <c r="E516" s="241"/>
      <c r="F516" s="252"/>
      <c r="G516" s="252"/>
      <c r="H516" s="253"/>
      <c r="I516" s="250"/>
      <c r="J516" s="250"/>
      <c r="K516" s="270"/>
      <c r="L516" s="250"/>
      <c r="M516" s="250"/>
      <c r="N516" s="553" t="str">
        <f>CONCATENATE(IF(OR(M516=phu!$I$1,M516=phu!$I$2,M516=phu!$I$3),"Cam Thành Nam",""),IF(OR(M516=phu!$I$4,M516=phu!$I$5,M516=phu!$I$6,M516=phu!$I$7,M516=phu!$I$8,M516=phu!$I$9,M516=phu!$I$10,M516=phu!$I$11,M516=phu!$I$12,M516=phu!$I$13,M516=phu!$I$14),"Cam Nghĩa",""),IF(OR(M516=phu!$I$15,M516=phu!$I$16,M516=phu!$I$17,M516=phu!$I$18,M516=phu!$I$19,M516=phu!$I$20,M516=phu!$I$21),"Cam Phúc Bắc",""),IF(OR(M516=phu!$I$22,M516=phu!$I$23,M516=phu!$I$24,M516=phu!$I$25),"Cam Phúc Nam",""),IF(OR(M516=phu!$I$26,M516=phu!$I$27,M516=phu!$I$28,M516=phu!$I$29,M516=phu!$I$30,M516=phu!$I$31),"Cam Phú",""),IF(OR(M516=phu!$I$32,M516=phu!$I$33,M516=phu!$I$34,M516=phu!$I$35,M516=phu!$I$36,M516=phu!$I$37),"Cam Lộc",""),IF(OR(M516=phu!$I$38,M516=phu!$I$39,M516=phu!$I$40,M516=phu!$I$41,M516=phu!$I$42,M516=phu!$I$43,M516=phu!$I$44),"Cam Thuận",""),IF(OR(M516=phu!$I$45,M516=phu!$I$46,M516=phu!$I$47,M516=phu!$I$48,M516=phu!$I$49,M516=phu!$I$50,M516=phu!$I$51,M516=phu!$I$52,M516=phu!$I$53),"Cam Linh",""),IF(OR(M516=phu!$I$54,M516=phu!$I$55,M516=phu!$I$56,M516=phu!$I$57,M516=phu!$I$58,M516=phu!$I$59,M516=phu!$I$60,M516=phu!$I$61,M516=phu!$I$62),"Cam Lợi",""),IF(OR(M516=phu!$I$63,M516=phu!$I$64,M516=phu!$I$65,M516=phu!$I$66,M516=phu!$I$67,M516=phu!$I$68,M516=phu!$I$69,M516=phu!$I$70,M516=phu!$I$71),"Ba Ngòi",""),IF(OR(M516=phu!$I$72,M516=phu!$I$73,M516=phu!$I$74,M516=phu!$I$75,M516=phu!$I$76,M516=phu!$I$77,M516=phu!$I$78),"Cam Phước Đông",""),IF(OR(M516=phu!$I$79,M516=phu!$I$80,M516=phu!$I$81,M516=phu!$I$82,M516=phu!$I$83,M516=phu!$I$84),"Cam Thịnh Đông",""),IF(OR(M516=phu!$I$85,M516=phu!$I$86,M516=phu!$I$87,M516=phu!$I$88),"Cam Thịnh Tây",""),IF(OR(M516=phu!$I$89,M516=phu!$I$90),"Cam Lập",""),IF(OR(M516=phu!$I$91,M516=phu!$I$92,M516=phu!$I$93),"Cam Bình",""),IF(OR(M516=phu!$I$94,M516=phu!$I$95,M516=phu!$I$96,M516=phu!$I$97,M516=phu!$I$98,M516=phu!$I$99,M516=phu!$I$100),"Huyện khác",""),IF(OR(M516=phu!$I$101,M516=phu!$I$102),"Tỉnh khác",""))</f>
        <v/>
      </c>
      <c r="O516" s="814" t="str">
        <f t="shared" si="43"/>
        <v/>
      </c>
      <c r="P516" s="254"/>
      <c r="Q516" s="254"/>
      <c r="R516" s="254"/>
      <c r="S516" s="254"/>
      <c r="T516" s="254"/>
      <c r="U516" s="254"/>
      <c r="V516" s="254"/>
      <c r="W516" s="254"/>
      <c r="Y516" s="246" t="str">
        <f t="shared" si="44"/>
        <v/>
      </c>
      <c r="Z516" s="247" t="str">
        <f t="shared" si="42"/>
        <v/>
      </c>
      <c r="AA516" s="246" t="str">
        <f t="shared" si="45"/>
        <v/>
      </c>
    </row>
    <row r="517" spans="1:27" ht="18" customHeight="1" x14ac:dyDescent="0.25">
      <c r="A517" s="248" t="str">
        <f t="shared" si="46"/>
        <v/>
      </c>
      <c r="B517" s="249" t="str">
        <f t="shared" si="47"/>
        <v/>
      </c>
      <c r="C517" s="250"/>
      <c r="D517" s="251"/>
      <c r="E517" s="241"/>
      <c r="F517" s="252"/>
      <c r="G517" s="252"/>
      <c r="H517" s="253"/>
      <c r="I517" s="250"/>
      <c r="J517" s="250"/>
      <c r="K517" s="270"/>
      <c r="L517" s="250"/>
      <c r="M517" s="250"/>
      <c r="N517" s="553" t="str">
        <f>CONCATENATE(IF(OR(M517=phu!$I$1,M517=phu!$I$2,M517=phu!$I$3),"Cam Thành Nam",""),IF(OR(M517=phu!$I$4,M517=phu!$I$5,M517=phu!$I$6,M517=phu!$I$7,M517=phu!$I$8,M517=phu!$I$9,M517=phu!$I$10,M517=phu!$I$11,M517=phu!$I$12,M517=phu!$I$13,M517=phu!$I$14),"Cam Nghĩa",""),IF(OR(M517=phu!$I$15,M517=phu!$I$16,M517=phu!$I$17,M517=phu!$I$18,M517=phu!$I$19,M517=phu!$I$20,M517=phu!$I$21),"Cam Phúc Bắc",""),IF(OR(M517=phu!$I$22,M517=phu!$I$23,M517=phu!$I$24,M517=phu!$I$25),"Cam Phúc Nam",""),IF(OR(M517=phu!$I$26,M517=phu!$I$27,M517=phu!$I$28,M517=phu!$I$29,M517=phu!$I$30,M517=phu!$I$31),"Cam Phú",""),IF(OR(M517=phu!$I$32,M517=phu!$I$33,M517=phu!$I$34,M517=phu!$I$35,M517=phu!$I$36,M517=phu!$I$37),"Cam Lộc",""),IF(OR(M517=phu!$I$38,M517=phu!$I$39,M517=phu!$I$40,M517=phu!$I$41,M517=phu!$I$42,M517=phu!$I$43,M517=phu!$I$44),"Cam Thuận",""),IF(OR(M517=phu!$I$45,M517=phu!$I$46,M517=phu!$I$47,M517=phu!$I$48,M517=phu!$I$49,M517=phu!$I$50,M517=phu!$I$51,M517=phu!$I$52,M517=phu!$I$53),"Cam Linh",""),IF(OR(M517=phu!$I$54,M517=phu!$I$55,M517=phu!$I$56,M517=phu!$I$57,M517=phu!$I$58,M517=phu!$I$59,M517=phu!$I$60,M517=phu!$I$61,M517=phu!$I$62),"Cam Lợi",""),IF(OR(M517=phu!$I$63,M517=phu!$I$64,M517=phu!$I$65,M517=phu!$I$66,M517=phu!$I$67,M517=phu!$I$68,M517=phu!$I$69,M517=phu!$I$70,M517=phu!$I$71),"Ba Ngòi",""),IF(OR(M517=phu!$I$72,M517=phu!$I$73,M517=phu!$I$74,M517=phu!$I$75,M517=phu!$I$76,M517=phu!$I$77,M517=phu!$I$78),"Cam Phước Đông",""),IF(OR(M517=phu!$I$79,M517=phu!$I$80,M517=phu!$I$81,M517=phu!$I$82,M517=phu!$I$83,M517=phu!$I$84),"Cam Thịnh Đông",""),IF(OR(M517=phu!$I$85,M517=phu!$I$86,M517=phu!$I$87,M517=phu!$I$88),"Cam Thịnh Tây",""),IF(OR(M517=phu!$I$89,M517=phu!$I$90),"Cam Lập",""),IF(OR(M517=phu!$I$91,M517=phu!$I$92,M517=phu!$I$93),"Cam Bình",""),IF(OR(M517=phu!$I$94,M517=phu!$I$95,M517=phu!$I$96,M517=phu!$I$97,M517=phu!$I$98,M517=phu!$I$99,M517=phu!$I$100),"Huyện khác",""),IF(OR(M517=phu!$I$101,M517=phu!$I$102),"Tỉnh khác",""))</f>
        <v/>
      </c>
      <c r="O517" s="814" t="str">
        <f t="shared" si="43"/>
        <v/>
      </c>
      <c r="P517" s="254"/>
      <c r="Q517" s="254"/>
      <c r="R517" s="254"/>
      <c r="S517" s="254"/>
      <c r="T517" s="254"/>
      <c r="U517" s="254"/>
      <c r="V517" s="254"/>
      <c r="W517" s="254"/>
      <c r="Y517" s="246" t="str">
        <f t="shared" si="44"/>
        <v/>
      </c>
      <c r="Z517" s="247" t="str">
        <f t="shared" si="42"/>
        <v/>
      </c>
      <c r="AA517" s="246" t="str">
        <f t="shared" si="45"/>
        <v/>
      </c>
    </row>
    <row r="518" spans="1:27" ht="18" customHeight="1" x14ac:dyDescent="0.25">
      <c r="A518" s="248" t="str">
        <f t="shared" si="46"/>
        <v/>
      </c>
      <c r="B518" s="249" t="str">
        <f t="shared" si="47"/>
        <v/>
      </c>
      <c r="C518" s="250"/>
      <c r="D518" s="251"/>
      <c r="E518" s="241"/>
      <c r="F518" s="252"/>
      <c r="G518" s="252"/>
      <c r="H518" s="253"/>
      <c r="I518" s="250"/>
      <c r="J518" s="250"/>
      <c r="K518" s="270"/>
      <c r="L518" s="250"/>
      <c r="M518" s="250"/>
      <c r="N518" s="553" t="str">
        <f>CONCATENATE(IF(OR(M518=phu!$I$1,M518=phu!$I$2,M518=phu!$I$3),"Cam Thành Nam",""),IF(OR(M518=phu!$I$4,M518=phu!$I$5,M518=phu!$I$6,M518=phu!$I$7,M518=phu!$I$8,M518=phu!$I$9,M518=phu!$I$10,M518=phu!$I$11,M518=phu!$I$12,M518=phu!$I$13,M518=phu!$I$14),"Cam Nghĩa",""),IF(OR(M518=phu!$I$15,M518=phu!$I$16,M518=phu!$I$17,M518=phu!$I$18,M518=phu!$I$19,M518=phu!$I$20,M518=phu!$I$21),"Cam Phúc Bắc",""),IF(OR(M518=phu!$I$22,M518=phu!$I$23,M518=phu!$I$24,M518=phu!$I$25),"Cam Phúc Nam",""),IF(OR(M518=phu!$I$26,M518=phu!$I$27,M518=phu!$I$28,M518=phu!$I$29,M518=phu!$I$30,M518=phu!$I$31),"Cam Phú",""),IF(OR(M518=phu!$I$32,M518=phu!$I$33,M518=phu!$I$34,M518=phu!$I$35,M518=phu!$I$36,M518=phu!$I$37),"Cam Lộc",""),IF(OR(M518=phu!$I$38,M518=phu!$I$39,M518=phu!$I$40,M518=phu!$I$41,M518=phu!$I$42,M518=phu!$I$43,M518=phu!$I$44),"Cam Thuận",""),IF(OR(M518=phu!$I$45,M518=phu!$I$46,M518=phu!$I$47,M518=phu!$I$48,M518=phu!$I$49,M518=phu!$I$50,M518=phu!$I$51,M518=phu!$I$52,M518=phu!$I$53),"Cam Linh",""),IF(OR(M518=phu!$I$54,M518=phu!$I$55,M518=phu!$I$56,M518=phu!$I$57,M518=phu!$I$58,M518=phu!$I$59,M518=phu!$I$60,M518=phu!$I$61,M518=phu!$I$62),"Cam Lợi",""),IF(OR(M518=phu!$I$63,M518=phu!$I$64,M518=phu!$I$65,M518=phu!$I$66,M518=phu!$I$67,M518=phu!$I$68,M518=phu!$I$69,M518=phu!$I$70,M518=phu!$I$71),"Ba Ngòi",""),IF(OR(M518=phu!$I$72,M518=phu!$I$73,M518=phu!$I$74,M518=phu!$I$75,M518=phu!$I$76,M518=phu!$I$77,M518=phu!$I$78),"Cam Phước Đông",""),IF(OR(M518=phu!$I$79,M518=phu!$I$80,M518=phu!$I$81,M518=phu!$I$82,M518=phu!$I$83,M518=phu!$I$84),"Cam Thịnh Đông",""),IF(OR(M518=phu!$I$85,M518=phu!$I$86,M518=phu!$I$87,M518=phu!$I$88),"Cam Thịnh Tây",""),IF(OR(M518=phu!$I$89,M518=phu!$I$90),"Cam Lập",""),IF(OR(M518=phu!$I$91,M518=phu!$I$92,M518=phu!$I$93),"Cam Bình",""),IF(OR(M518=phu!$I$94,M518=phu!$I$95,M518=phu!$I$96,M518=phu!$I$97,M518=phu!$I$98,M518=phu!$I$99,M518=phu!$I$100),"Huyện khác",""),IF(OR(M518=phu!$I$101,M518=phu!$I$102),"Tỉnh khác",""))</f>
        <v/>
      </c>
      <c r="O518" s="814" t="str">
        <f t="shared" si="43"/>
        <v/>
      </c>
      <c r="P518" s="254"/>
      <c r="Q518" s="254"/>
      <c r="R518" s="254"/>
      <c r="S518" s="254"/>
      <c r="T518" s="254"/>
      <c r="U518" s="254"/>
      <c r="V518" s="254"/>
      <c r="W518" s="254"/>
      <c r="Y518" s="246" t="str">
        <f t="shared" si="44"/>
        <v/>
      </c>
      <c r="Z518" s="247" t="str">
        <f t="shared" ref="Z518:Z581" si="48">IF(H518="","",$Z$1-H518)</f>
        <v/>
      </c>
      <c r="AA518" s="246" t="str">
        <f t="shared" si="45"/>
        <v/>
      </c>
    </row>
    <row r="519" spans="1:27" ht="18" customHeight="1" x14ac:dyDescent="0.25">
      <c r="A519" s="248" t="str">
        <f t="shared" si="46"/>
        <v/>
      </c>
      <c r="B519" s="249" t="str">
        <f t="shared" si="47"/>
        <v/>
      </c>
      <c r="C519" s="250"/>
      <c r="D519" s="251"/>
      <c r="E519" s="241"/>
      <c r="F519" s="252"/>
      <c r="G519" s="252"/>
      <c r="H519" s="253"/>
      <c r="I519" s="250"/>
      <c r="J519" s="250"/>
      <c r="K519" s="270"/>
      <c r="L519" s="250"/>
      <c r="M519" s="250"/>
      <c r="N519" s="553" t="str">
        <f>CONCATENATE(IF(OR(M519=phu!$I$1,M519=phu!$I$2,M519=phu!$I$3),"Cam Thành Nam",""),IF(OR(M519=phu!$I$4,M519=phu!$I$5,M519=phu!$I$6,M519=phu!$I$7,M519=phu!$I$8,M519=phu!$I$9,M519=phu!$I$10,M519=phu!$I$11,M519=phu!$I$12,M519=phu!$I$13,M519=phu!$I$14),"Cam Nghĩa",""),IF(OR(M519=phu!$I$15,M519=phu!$I$16,M519=phu!$I$17,M519=phu!$I$18,M519=phu!$I$19,M519=phu!$I$20,M519=phu!$I$21),"Cam Phúc Bắc",""),IF(OR(M519=phu!$I$22,M519=phu!$I$23,M519=phu!$I$24,M519=phu!$I$25),"Cam Phúc Nam",""),IF(OR(M519=phu!$I$26,M519=phu!$I$27,M519=phu!$I$28,M519=phu!$I$29,M519=phu!$I$30,M519=phu!$I$31),"Cam Phú",""),IF(OR(M519=phu!$I$32,M519=phu!$I$33,M519=phu!$I$34,M519=phu!$I$35,M519=phu!$I$36,M519=phu!$I$37),"Cam Lộc",""),IF(OR(M519=phu!$I$38,M519=phu!$I$39,M519=phu!$I$40,M519=phu!$I$41,M519=phu!$I$42,M519=phu!$I$43,M519=phu!$I$44),"Cam Thuận",""),IF(OR(M519=phu!$I$45,M519=phu!$I$46,M519=phu!$I$47,M519=phu!$I$48,M519=phu!$I$49,M519=phu!$I$50,M519=phu!$I$51,M519=phu!$I$52,M519=phu!$I$53),"Cam Linh",""),IF(OR(M519=phu!$I$54,M519=phu!$I$55,M519=phu!$I$56,M519=phu!$I$57,M519=phu!$I$58,M519=phu!$I$59,M519=phu!$I$60,M519=phu!$I$61,M519=phu!$I$62),"Cam Lợi",""),IF(OR(M519=phu!$I$63,M519=phu!$I$64,M519=phu!$I$65,M519=phu!$I$66,M519=phu!$I$67,M519=phu!$I$68,M519=phu!$I$69,M519=phu!$I$70,M519=phu!$I$71),"Ba Ngòi",""),IF(OR(M519=phu!$I$72,M519=phu!$I$73,M519=phu!$I$74,M519=phu!$I$75,M519=phu!$I$76,M519=phu!$I$77,M519=phu!$I$78),"Cam Phước Đông",""),IF(OR(M519=phu!$I$79,M519=phu!$I$80,M519=phu!$I$81,M519=phu!$I$82,M519=phu!$I$83,M519=phu!$I$84),"Cam Thịnh Đông",""),IF(OR(M519=phu!$I$85,M519=phu!$I$86,M519=phu!$I$87,M519=phu!$I$88),"Cam Thịnh Tây",""),IF(OR(M519=phu!$I$89,M519=phu!$I$90),"Cam Lập",""),IF(OR(M519=phu!$I$91,M519=phu!$I$92,M519=phu!$I$93),"Cam Bình",""),IF(OR(M519=phu!$I$94,M519=phu!$I$95,M519=phu!$I$96,M519=phu!$I$97,M519=phu!$I$98,M519=phu!$I$99,M519=phu!$I$100),"Huyện khác",""),IF(OR(M519=phu!$I$101,M519=phu!$I$102),"Tỉnh khác",""))</f>
        <v/>
      </c>
      <c r="O519" s="814" t="str">
        <f t="shared" ref="O519:O582" si="49">CONCATENATE(IF(OR(N519="Cam Thành Nam",N519="Cam Nghĩa",N519="Cam Phúc Bắc"),"Bắc Cam Ranh",""),IF(OR(N519="Cam Phúc Nam",N519="Cam Phú",N519="Cam Lộc"),"Cam Ranh",""),IF(OR(N519="Cam Thuận",N519="Cam Linh",N519="Cam Lợi"),"Cam Linh",""),IF(OR(N519="Ba Ngòi",N519="Cam Phước Đông"),"Ba Ngòi",""),IF(OR(N519="Cam Thịnh Đông",N519="Cam Thịnh Tây",N519="Cam Lập",N519="Cam Bình"),"Nam Cam Ranh",""),IF(N519="Huyện khác","Huyện khác",""),IF(N519="Tỉnh khác","Tỉnh khác",""))</f>
        <v/>
      </c>
      <c r="P519" s="254"/>
      <c r="Q519" s="254"/>
      <c r="R519" s="254"/>
      <c r="S519" s="254"/>
      <c r="T519" s="254"/>
      <c r="U519" s="254"/>
      <c r="V519" s="254"/>
      <c r="W519" s="254"/>
      <c r="Y519" s="246" t="str">
        <f t="shared" ref="Y519:Y582" si="50">IF(OR(AND(B519="",C519="",D519="",E519="",F519="",G519="",H519="",I519="",J519="",L519="",M519="",N519="",P519="",Q519="",R519="",S519=""),AND(B519&lt;&gt;"",C519&lt;&gt;"",D519&lt;&gt;"",E519&lt;&gt;"",F519&lt;&gt;"",G519&lt;&gt;"",H519&lt;&gt;"",J519&lt;&gt;"",M519&lt;&gt;"",N519&lt;&gt;"",P519&lt;&gt;"",OR(AND(Q519&lt;&gt;"",R519=""),AND(Q519="",R519&lt;&gt;""),AND(Q519&lt;&gt;"",R519&lt;&gt;"")),OR(AND(K519="X",T519&lt;&gt;""),AND(K519="",T519="")))),"","er")</f>
        <v/>
      </c>
      <c r="Z519" s="247" t="str">
        <f t="shared" si="48"/>
        <v/>
      </c>
      <c r="AA519" s="246" t="str">
        <f t="shared" ref="AA519:AA582" si="51">IF(OR(AND(Z519=5,B519&gt;0),AND(Z519=6,B519&gt;1),AND(Z519=7,B519&gt;2),AND(Z519=8,B519&gt;3),AND(Z519=9,B519&gt;4),AND(Z519=10,B519&gt;5),AND(Z519=5,B519=0,L519="X"),AND(Z519=6,B519=1,L519="X"),AND(Z519=7,B519=2,L519="X"),AND(Z519=8,B519=3,L519="X"),AND(Z519=9,B519=4,L519="X"),AND(Z519=10,B519=5,L519="X")),"er","")</f>
        <v/>
      </c>
    </row>
    <row r="520" spans="1:27" ht="18" customHeight="1" x14ac:dyDescent="0.25">
      <c r="A520" s="248" t="str">
        <f t="shared" ref="A520:A583" si="52">IF(OR(A519="",B520="",C520="",D520="",E520=""),"",A519+1)</f>
        <v/>
      </c>
      <c r="B520" s="249" t="str">
        <f t="shared" ref="B520:B583" si="53">IF(C520="","",VALUE(LEFT(C520,1)))</f>
        <v/>
      </c>
      <c r="C520" s="250"/>
      <c r="D520" s="251"/>
      <c r="E520" s="241"/>
      <c r="F520" s="252"/>
      <c r="G520" s="252"/>
      <c r="H520" s="253"/>
      <c r="I520" s="250"/>
      <c r="J520" s="250"/>
      <c r="K520" s="270"/>
      <c r="L520" s="250"/>
      <c r="M520" s="250"/>
      <c r="N520" s="553" t="str">
        <f>CONCATENATE(IF(OR(M520=phu!$I$1,M520=phu!$I$2,M520=phu!$I$3),"Cam Thành Nam",""),IF(OR(M520=phu!$I$4,M520=phu!$I$5,M520=phu!$I$6,M520=phu!$I$7,M520=phu!$I$8,M520=phu!$I$9,M520=phu!$I$10,M520=phu!$I$11,M520=phu!$I$12,M520=phu!$I$13,M520=phu!$I$14),"Cam Nghĩa",""),IF(OR(M520=phu!$I$15,M520=phu!$I$16,M520=phu!$I$17,M520=phu!$I$18,M520=phu!$I$19,M520=phu!$I$20,M520=phu!$I$21),"Cam Phúc Bắc",""),IF(OR(M520=phu!$I$22,M520=phu!$I$23,M520=phu!$I$24,M520=phu!$I$25),"Cam Phúc Nam",""),IF(OR(M520=phu!$I$26,M520=phu!$I$27,M520=phu!$I$28,M520=phu!$I$29,M520=phu!$I$30,M520=phu!$I$31),"Cam Phú",""),IF(OR(M520=phu!$I$32,M520=phu!$I$33,M520=phu!$I$34,M520=phu!$I$35,M520=phu!$I$36,M520=phu!$I$37),"Cam Lộc",""),IF(OR(M520=phu!$I$38,M520=phu!$I$39,M520=phu!$I$40,M520=phu!$I$41,M520=phu!$I$42,M520=phu!$I$43,M520=phu!$I$44),"Cam Thuận",""),IF(OR(M520=phu!$I$45,M520=phu!$I$46,M520=phu!$I$47,M520=phu!$I$48,M520=phu!$I$49,M520=phu!$I$50,M520=phu!$I$51,M520=phu!$I$52,M520=phu!$I$53),"Cam Linh",""),IF(OR(M520=phu!$I$54,M520=phu!$I$55,M520=phu!$I$56,M520=phu!$I$57,M520=phu!$I$58,M520=phu!$I$59,M520=phu!$I$60,M520=phu!$I$61,M520=phu!$I$62),"Cam Lợi",""),IF(OR(M520=phu!$I$63,M520=phu!$I$64,M520=phu!$I$65,M520=phu!$I$66,M520=phu!$I$67,M520=phu!$I$68,M520=phu!$I$69,M520=phu!$I$70,M520=phu!$I$71),"Ba Ngòi",""),IF(OR(M520=phu!$I$72,M520=phu!$I$73,M520=phu!$I$74,M520=phu!$I$75,M520=phu!$I$76,M520=phu!$I$77,M520=phu!$I$78),"Cam Phước Đông",""),IF(OR(M520=phu!$I$79,M520=phu!$I$80,M520=phu!$I$81,M520=phu!$I$82,M520=phu!$I$83,M520=phu!$I$84),"Cam Thịnh Đông",""),IF(OR(M520=phu!$I$85,M520=phu!$I$86,M520=phu!$I$87,M520=phu!$I$88),"Cam Thịnh Tây",""),IF(OR(M520=phu!$I$89,M520=phu!$I$90),"Cam Lập",""),IF(OR(M520=phu!$I$91,M520=phu!$I$92,M520=phu!$I$93),"Cam Bình",""),IF(OR(M520=phu!$I$94,M520=phu!$I$95,M520=phu!$I$96,M520=phu!$I$97,M520=phu!$I$98,M520=phu!$I$99,M520=phu!$I$100),"Huyện khác",""),IF(OR(M520=phu!$I$101,M520=phu!$I$102),"Tỉnh khác",""))</f>
        <v/>
      </c>
      <c r="O520" s="814" t="str">
        <f t="shared" si="49"/>
        <v/>
      </c>
      <c r="P520" s="254"/>
      <c r="Q520" s="254"/>
      <c r="R520" s="254"/>
      <c r="S520" s="254"/>
      <c r="T520" s="254"/>
      <c r="U520" s="254"/>
      <c r="V520" s="254"/>
      <c r="W520" s="254"/>
      <c r="Y520" s="246" t="str">
        <f t="shared" si="50"/>
        <v/>
      </c>
      <c r="Z520" s="247" t="str">
        <f t="shared" si="48"/>
        <v/>
      </c>
      <c r="AA520" s="246" t="str">
        <f t="shared" si="51"/>
        <v/>
      </c>
    </row>
    <row r="521" spans="1:27" ht="18" customHeight="1" x14ac:dyDescent="0.25">
      <c r="A521" s="248" t="str">
        <f t="shared" si="52"/>
        <v/>
      </c>
      <c r="B521" s="249" t="str">
        <f t="shared" si="53"/>
        <v/>
      </c>
      <c r="C521" s="250"/>
      <c r="D521" s="251"/>
      <c r="E521" s="241"/>
      <c r="F521" s="252"/>
      <c r="G521" s="252"/>
      <c r="H521" s="253"/>
      <c r="I521" s="250"/>
      <c r="J521" s="250"/>
      <c r="K521" s="270"/>
      <c r="L521" s="250"/>
      <c r="M521" s="250"/>
      <c r="N521" s="553" t="str">
        <f>CONCATENATE(IF(OR(M521=phu!$I$1,M521=phu!$I$2,M521=phu!$I$3),"Cam Thành Nam",""),IF(OR(M521=phu!$I$4,M521=phu!$I$5,M521=phu!$I$6,M521=phu!$I$7,M521=phu!$I$8,M521=phu!$I$9,M521=phu!$I$10,M521=phu!$I$11,M521=phu!$I$12,M521=phu!$I$13,M521=phu!$I$14),"Cam Nghĩa",""),IF(OR(M521=phu!$I$15,M521=phu!$I$16,M521=phu!$I$17,M521=phu!$I$18,M521=phu!$I$19,M521=phu!$I$20,M521=phu!$I$21),"Cam Phúc Bắc",""),IF(OR(M521=phu!$I$22,M521=phu!$I$23,M521=phu!$I$24,M521=phu!$I$25),"Cam Phúc Nam",""),IF(OR(M521=phu!$I$26,M521=phu!$I$27,M521=phu!$I$28,M521=phu!$I$29,M521=phu!$I$30,M521=phu!$I$31),"Cam Phú",""),IF(OR(M521=phu!$I$32,M521=phu!$I$33,M521=phu!$I$34,M521=phu!$I$35,M521=phu!$I$36,M521=phu!$I$37),"Cam Lộc",""),IF(OR(M521=phu!$I$38,M521=phu!$I$39,M521=phu!$I$40,M521=phu!$I$41,M521=phu!$I$42,M521=phu!$I$43,M521=phu!$I$44),"Cam Thuận",""),IF(OR(M521=phu!$I$45,M521=phu!$I$46,M521=phu!$I$47,M521=phu!$I$48,M521=phu!$I$49,M521=phu!$I$50,M521=phu!$I$51,M521=phu!$I$52,M521=phu!$I$53),"Cam Linh",""),IF(OR(M521=phu!$I$54,M521=phu!$I$55,M521=phu!$I$56,M521=phu!$I$57,M521=phu!$I$58,M521=phu!$I$59,M521=phu!$I$60,M521=phu!$I$61,M521=phu!$I$62),"Cam Lợi",""),IF(OR(M521=phu!$I$63,M521=phu!$I$64,M521=phu!$I$65,M521=phu!$I$66,M521=phu!$I$67,M521=phu!$I$68,M521=phu!$I$69,M521=phu!$I$70,M521=phu!$I$71),"Ba Ngòi",""),IF(OR(M521=phu!$I$72,M521=phu!$I$73,M521=phu!$I$74,M521=phu!$I$75,M521=phu!$I$76,M521=phu!$I$77,M521=phu!$I$78),"Cam Phước Đông",""),IF(OR(M521=phu!$I$79,M521=phu!$I$80,M521=phu!$I$81,M521=phu!$I$82,M521=phu!$I$83,M521=phu!$I$84),"Cam Thịnh Đông",""),IF(OR(M521=phu!$I$85,M521=phu!$I$86,M521=phu!$I$87,M521=phu!$I$88),"Cam Thịnh Tây",""),IF(OR(M521=phu!$I$89,M521=phu!$I$90),"Cam Lập",""),IF(OR(M521=phu!$I$91,M521=phu!$I$92,M521=phu!$I$93),"Cam Bình",""),IF(OR(M521=phu!$I$94,M521=phu!$I$95,M521=phu!$I$96,M521=phu!$I$97,M521=phu!$I$98,M521=phu!$I$99,M521=phu!$I$100),"Huyện khác",""),IF(OR(M521=phu!$I$101,M521=phu!$I$102),"Tỉnh khác",""))</f>
        <v/>
      </c>
      <c r="O521" s="814" t="str">
        <f t="shared" si="49"/>
        <v/>
      </c>
      <c r="P521" s="254"/>
      <c r="Q521" s="254"/>
      <c r="R521" s="254"/>
      <c r="S521" s="254"/>
      <c r="T521" s="254"/>
      <c r="U521" s="254"/>
      <c r="V521" s="254"/>
      <c r="W521" s="254"/>
      <c r="Y521" s="246" t="str">
        <f t="shared" si="50"/>
        <v/>
      </c>
      <c r="Z521" s="247" t="str">
        <f t="shared" si="48"/>
        <v/>
      </c>
      <c r="AA521" s="246" t="str">
        <f t="shared" si="51"/>
        <v/>
      </c>
    </row>
    <row r="522" spans="1:27" ht="18" customHeight="1" x14ac:dyDescent="0.25">
      <c r="A522" s="248" t="str">
        <f t="shared" si="52"/>
        <v/>
      </c>
      <c r="B522" s="249" t="str">
        <f t="shared" si="53"/>
        <v/>
      </c>
      <c r="C522" s="250"/>
      <c r="D522" s="251"/>
      <c r="E522" s="241"/>
      <c r="F522" s="252"/>
      <c r="G522" s="252"/>
      <c r="H522" s="253"/>
      <c r="I522" s="250"/>
      <c r="J522" s="250"/>
      <c r="K522" s="270"/>
      <c r="L522" s="250"/>
      <c r="M522" s="250"/>
      <c r="N522" s="553" t="str">
        <f>CONCATENATE(IF(OR(M522=phu!$I$1,M522=phu!$I$2,M522=phu!$I$3),"Cam Thành Nam",""),IF(OR(M522=phu!$I$4,M522=phu!$I$5,M522=phu!$I$6,M522=phu!$I$7,M522=phu!$I$8,M522=phu!$I$9,M522=phu!$I$10,M522=phu!$I$11,M522=phu!$I$12,M522=phu!$I$13,M522=phu!$I$14),"Cam Nghĩa",""),IF(OR(M522=phu!$I$15,M522=phu!$I$16,M522=phu!$I$17,M522=phu!$I$18,M522=phu!$I$19,M522=phu!$I$20,M522=phu!$I$21),"Cam Phúc Bắc",""),IF(OR(M522=phu!$I$22,M522=phu!$I$23,M522=phu!$I$24,M522=phu!$I$25),"Cam Phúc Nam",""),IF(OR(M522=phu!$I$26,M522=phu!$I$27,M522=phu!$I$28,M522=phu!$I$29,M522=phu!$I$30,M522=phu!$I$31),"Cam Phú",""),IF(OR(M522=phu!$I$32,M522=phu!$I$33,M522=phu!$I$34,M522=phu!$I$35,M522=phu!$I$36,M522=phu!$I$37),"Cam Lộc",""),IF(OR(M522=phu!$I$38,M522=phu!$I$39,M522=phu!$I$40,M522=phu!$I$41,M522=phu!$I$42,M522=phu!$I$43,M522=phu!$I$44),"Cam Thuận",""),IF(OR(M522=phu!$I$45,M522=phu!$I$46,M522=phu!$I$47,M522=phu!$I$48,M522=phu!$I$49,M522=phu!$I$50,M522=phu!$I$51,M522=phu!$I$52,M522=phu!$I$53),"Cam Linh",""),IF(OR(M522=phu!$I$54,M522=phu!$I$55,M522=phu!$I$56,M522=phu!$I$57,M522=phu!$I$58,M522=phu!$I$59,M522=phu!$I$60,M522=phu!$I$61,M522=phu!$I$62),"Cam Lợi",""),IF(OR(M522=phu!$I$63,M522=phu!$I$64,M522=phu!$I$65,M522=phu!$I$66,M522=phu!$I$67,M522=phu!$I$68,M522=phu!$I$69,M522=phu!$I$70,M522=phu!$I$71),"Ba Ngòi",""),IF(OR(M522=phu!$I$72,M522=phu!$I$73,M522=phu!$I$74,M522=phu!$I$75,M522=phu!$I$76,M522=phu!$I$77,M522=phu!$I$78),"Cam Phước Đông",""),IF(OR(M522=phu!$I$79,M522=phu!$I$80,M522=phu!$I$81,M522=phu!$I$82,M522=phu!$I$83,M522=phu!$I$84),"Cam Thịnh Đông",""),IF(OR(M522=phu!$I$85,M522=phu!$I$86,M522=phu!$I$87,M522=phu!$I$88),"Cam Thịnh Tây",""),IF(OR(M522=phu!$I$89,M522=phu!$I$90),"Cam Lập",""),IF(OR(M522=phu!$I$91,M522=phu!$I$92,M522=phu!$I$93),"Cam Bình",""),IF(OR(M522=phu!$I$94,M522=phu!$I$95,M522=phu!$I$96,M522=phu!$I$97,M522=phu!$I$98,M522=phu!$I$99,M522=phu!$I$100),"Huyện khác",""),IF(OR(M522=phu!$I$101,M522=phu!$I$102),"Tỉnh khác",""))</f>
        <v/>
      </c>
      <c r="O522" s="814" t="str">
        <f t="shared" si="49"/>
        <v/>
      </c>
      <c r="P522" s="254"/>
      <c r="Q522" s="254"/>
      <c r="R522" s="254"/>
      <c r="S522" s="254"/>
      <c r="T522" s="254"/>
      <c r="U522" s="254"/>
      <c r="V522" s="254"/>
      <c r="W522" s="254"/>
      <c r="Y522" s="246" t="str">
        <f t="shared" si="50"/>
        <v/>
      </c>
      <c r="Z522" s="247" t="str">
        <f t="shared" si="48"/>
        <v/>
      </c>
      <c r="AA522" s="246" t="str">
        <f t="shared" si="51"/>
        <v/>
      </c>
    </row>
    <row r="523" spans="1:27" ht="18" customHeight="1" x14ac:dyDescent="0.25">
      <c r="A523" s="248" t="str">
        <f t="shared" si="52"/>
        <v/>
      </c>
      <c r="B523" s="249" t="str">
        <f t="shared" si="53"/>
        <v/>
      </c>
      <c r="C523" s="250"/>
      <c r="D523" s="251"/>
      <c r="E523" s="241"/>
      <c r="F523" s="252"/>
      <c r="G523" s="252"/>
      <c r="H523" s="253"/>
      <c r="I523" s="250"/>
      <c r="J523" s="250"/>
      <c r="K523" s="270"/>
      <c r="L523" s="250"/>
      <c r="M523" s="250"/>
      <c r="N523" s="553" t="str">
        <f>CONCATENATE(IF(OR(M523=phu!$I$1,M523=phu!$I$2,M523=phu!$I$3),"Cam Thành Nam",""),IF(OR(M523=phu!$I$4,M523=phu!$I$5,M523=phu!$I$6,M523=phu!$I$7,M523=phu!$I$8,M523=phu!$I$9,M523=phu!$I$10,M523=phu!$I$11,M523=phu!$I$12,M523=phu!$I$13,M523=phu!$I$14),"Cam Nghĩa",""),IF(OR(M523=phu!$I$15,M523=phu!$I$16,M523=phu!$I$17,M523=phu!$I$18,M523=phu!$I$19,M523=phu!$I$20,M523=phu!$I$21),"Cam Phúc Bắc",""),IF(OR(M523=phu!$I$22,M523=phu!$I$23,M523=phu!$I$24,M523=phu!$I$25),"Cam Phúc Nam",""),IF(OR(M523=phu!$I$26,M523=phu!$I$27,M523=phu!$I$28,M523=phu!$I$29,M523=phu!$I$30,M523=phu!$I$31),"Cam Phú",""),IF(OR(M523=phu!$I$32,M523=phu!$I$33,M523=phu!$I$34,M523=phu!$I$35,M523=phu!$I$36,M523=phu!$I$37),"Cam Lộc",""),IF(OR(M523=phu!$I$38,M523=phu!$I$39,M523=phu!$I$40,M523=phu!$I$41,M523=phu!$I$42,M523=phu!$I$43,M523=phu!$I$44),"Cam Thuận",""),IF(OR(M523=phu!$I$45,M523=phu!$I$46,M523=phu!$I$47,M523=phu!$I$48,M523=phu!$I$49,M523=phu!$I$50,M523=phu!$I$51,M523=phu!$I$52,M523=phu!$I$53),"Cam Linh",""),IF(OR(M523=phu!$I$54,M523=phu!$I$55,M523=phu!$I$56,M523=phu!$I$57,M523=phu!$I$58,M523=phu!$I$59,M523=phu!$I$60,M523=phu!$I$61,M523=phu!$I$62),"Cam Lợi",""),IF(OR(M523=phu!$I$63,M523=phu!$I$64,M523=phu!$I$65,M523=phu!$I$66,M523=phu!$I$67,M523=phu!$I$68,M523=phu!$I$69,M523=phu!$I$70,M523=phu!$I$71),"Ba Ngòi",""),IF(OR(M523=phu!$I$72,M523=phu!$I$73,M523=phu!$I$74,M523=phu!$I$75,M523=phu!$I$76,M523=phu!$I$77,M523=phu!$I$78),"Cam Phước Đông",""),IF(OR(M523=phu!$I$79,M523=phu!$I$80,M523=phu!$I$81,M523=phu!$I$82,M523=phu!$I$83,M523=phu!$I$84),"Cam Thịnh Đông",""),IF(OR(M523=phu!$I$85,M523=phu!$I$86,M523=phu!$I$87,M523=phu!$I$88),"Cam Thịnh Tây",""),IF(OR(M523=phu!$I$89,M523=phu!$I$90),"Cam Lập",""),IF(OR(M523=phu!$I$91,M523=phu!$I$92,M523=phu!$I$93),"Cam Bình",""),IF(OR(M523=phu!$I$94,M523=phu!$I$95,M523=phu!$I$96,M523=phu!$I$97,M523=phu!$I$98,M523=phu!$I$99,M523=phu!$I$100),"Huyện khác",""),IF(OR(M523=phu!$I$101,M523=phu!$I$102),"Tỉnh khác",""))</f>
        <v/>
      </c>
      <c r="O523" s="814" t="str">
        <f t="shared" si="49"/>
        <v/>
      </c>
      <c r="P523" s="254"/>
      <c r="Q523" s="254"/>
      <c r="R523" s="254"/>
      <c r="S523" s="254"/>
      <c r="T523" s="254"/>
      <c r="U523" s="254"/>
      <c r="V523" s="254"/>
      <c r="W523" s="254"/>
      <c r="Y523" s="246" t="str">
        <f t="shared" si="50"/>
        <v/>
      </c>
      <c r="Z523" s="247" t="str">
        <f t="shared" si="48"/>
        <v/>
      </c>
      <c r="AA523" s="246" t="str">
        <f t="shared" si="51"/>
        <v/>
      </c>
    </row>
    <row r="524" spans="1:27" ht="18" customHeight="1" x14ac:dyDescent="0.25">
      <c r="A524" s="248" t="str">
        <f t="shared" si="52"/>
        <v/>
      </c>
      <c r="B524" s="249" t="str">
        <f t="shared" si="53"/>
        <v/>
      </c>
      <c r="C524" s="250"/>
      <c r="D524" s="251"/>
      <c r="E524" s="241"/>
      <c r="F524" s="252"/>
      <c r="G524" s="252"/>
      <c r="H524" s="253"/>
      <c r="I524" s="250"/>
      <c r="J524" s="250"/>
      <c r="K524" s="270"/>
      <c r="L524" s="250"/>
      <c r="M524" s="250"/>
      <c r="N524" s="553" t="str">
        <f>CONCATENATE(IF(OR(M524=phu!$I$1,M524=phu!$I$2,M524=phu!$I$3),"Cam Thành Nam",""),IF(OR(M524=phu!$I$4,M524=phu!$I$5,M524=phu!$I$6,M524=phu!$I$7,M524=phu!$I$8,M524=phu!$I$9,M524=phu!$I$10,M524=phu!$I$11,M524=phu!$I$12,M524=phu!$I$13,M524=phu!$I$14),"Cam Nghĩa",""),IF(OR(M524=phu!$I$15,M524=phu!$I$16,M524=phu!$I$17,M524=phu!$I$18,M524=phu!$I$19,M524=phu!$I$20,M524=phu!$I$21),"Cam Phúc Bắc",""),IF(OR(M524=phu!$I$22,M524=phu!$I$23,M524=phu!$I$24,M524=phu!$I$25),"Cam Phúc Nam",""),IF(OR(M524=phu!$I$26,M524=phu!$I$27,M524=phu!$I$28,M524=phu!$I$29,M524=phu!$I$30,M524=phu!$I$31),"Cam Phú",""),IF(OR(M524=phu!$I$32,M524=phu!$I$33,M524=phu!$I$34,M524=phu!$I$35,M524=phu!$I$36,M524=phu!$I$37),"Cam Lộc",""),IF(OR(M524=phu!$I$38,M524=phu!$I$39,M524=phu!$I$40,M524=phu!$I$41,M524=phu!$I$42,M524=phu!$I$43,M524=phu!$I$44),"Cam Thuận",""),IF(OR(M524=phu!$I$45,M524=phu!$I$46,M524=phu!$I$47,M524=phu!$I$48,M524=phu!$I$49,M524=phu!$I$50,M524=phu!$I$51,M524=phu!$I$52,M524=phu!$I$53),"Cam Linh",""),IF(OR(M524=phu!$I$54,M524=phu!$I$55,M524=phu!$I$56,M524=phu!$I$57,M524=phu!$I$58,M524=phu!$I$59,M524=phu!$I$60,M524=phu!$I$61,M524=phu!$I$62),"Cam Lợi",""),IF(OR(M524=phu!$I$63,M524=phu!$I$64,M524=phu!$I$65,M524=phu!$I$66,M524=phu!$I$67,M524=phu!$I$68,M524=phu!$I$69,M524=phu!$I$70,M524=phu!$I$71),"Ba Ngòi",""),IF(OR(M524=phu!$I$72,M524=phu!$I$73,M524=phu!$I$74,M524=phu!$I$75,M524=phu!$I$76,M524=phu!$I$77,M524=phu!$I$78),"Cam Phước Đông",""),IF(OR(M524=phu!$I$79,M524=phu!$I$80,M524=phu!$I$81,M524=phu!$I$82,M524=phu!$I$83,M524=phu!$I$84),"Cam Thịnh Đông",""),IF(OR(M524=phu!$I$85,M524=phu!$I$86,M524=phu!$I$87,M524=phu!$I$88),"Cam Thịnh Tây",""),IF(OR(M524=phu!$I$89,M524=phu!$I$90),"Cam Lập",""),IF(OR(M524=phu!$I$91,M524=phu!$I$92,M524=phu!$I$93),"Cam Bình",""),IF(OR(M524=phu!$I$94,M524=phu!$I$95,M524=phu!$I$96,M524=phu!$I$97,M524=phu!$I$98,M524=phu!$I$99,M524=phu!$I$100),"Huyện khác",""),IF(OR(M524=phu!$I$101,M524=phu!$I$102),"Tỉnh khác",""))</f>
        <v/>
      </c>
      <c r="O524" s="814" t="str">
        <f t="shared" si="49"/>
        <v/>
      </c>
      <c r="P524" s="254"/>
      <c r="Q524" s="254"/>
      <c r="R524" s="254"/>
      <c r="S524" s="254"/>
      <c r="T524" s="254"/>
      <c r="U524" s="254"/>
      <c r="V524" s="254"/>
      <c r="W524" s="254"/>
      <c r="Y524" s="246" t="str">
        <f t="shared" si="50"/>
        <v/>
      </c>
      <c r="Z524" s="247" t="str">
        <f t="shared" si="48"/>
        <v/>
      </c>
      <c r="AA524" s="246" t="str">
        <f t="shared" si="51"/>
        <v/>
      </c>
    </row>
    <row r="525" spans="1:27" ht="18" customHeight="1" x14ac:dyDescent="0.25">
      <c r="A525" s="248" t="str">
        <f t="shared" si="52"/>
        <v/>
      </c>
      <c r="B525" s="249" t="str">
        <f t="shared" si="53"/>
        <v/>
      </c>
      <c r="C525" s="250"/>
      <c r="D525" s="251"/>
      <c r="E525" s="241"/>
      <c r="F525" s="252"/>
      <c r="G525" s="252"/>
      <c r="H525" s="253"/>
      <c r="I525" s="250"/>
      <c r="J525" s="250"/>
      <c r="K525" s="270"/>
      <c r="L525" s="250"/>
      <c r="M525" s="250"/>
      <c r="N525" s="553" t="str">
        <f>CONCATENATE(IF(OR(M525=phu!$I$1,M525=phu!$I$2,M525=phu!$I$3),"Cam Thành Nam",""),IF(OR(M525=phu!$I$4,M525=phu!$I$5,M525=phu!$I$6,M525=phu!$I$7,M525=phu!$I$8,M525=phu!$I$9,M525=phu!$I$10,M525=phu!$I$11,M525=phu!$I$12,M525=phu!$I$13,M525=phu!$I$14),"Cam Nghĩa",""),IF(OR(M525=phu!$I$15,M525=phu!$I$16,M525=phu!$I$17,M525=phu!$I$18,M525=phu!$I$19,M525=phu!$I$20,M525=phu!$I$21),"Cam Phúc Bắc",""),IF(OR(M525=phu!$I$22,M525=phu!$I$23,M525=phu!$I$24,M525=phu!$I$25),"Cam Phúc Nam",""),IF(OR(M525=phu!$I$26,M525=phu!$I$27,M525=phu!$I$28,M525=phu!$I$29,M525=phu!$I$30,M525=phu!$I$31),"Cam Phú",""),IF(OR(M525=phu!$I$32,M525=phu!$I$33,M525=phu!$I$34,M525=phu!$I$35,M525=phu!$I$36,M525=phu!$I$37),"Cam Lộc",""),IF(OR(M525=phu!$I$38,M525=phu!$I$39,M525=phu!$I$40,M525=phu!$I$41,M525=phu!$I$42,M525=phu!$I$43,M525=phu!$I$44),"Cam Thuận",""),IF(OR(M525=phu!$I$45,M525=phu!$I$46,M525=phu!$I$47,M525=phu!$I$48,M525=phu!$I$49,M525=phu!$I$50,M525=phu!$I$51,M525=phu!$I$52,M525=phu!$I$53),"Cam Linh",""),IF(OR(M525=phu!$I$54,M525=phu!$I$55,M525=phu!$I$56,M525=phu!$I$57,M525=phu!$I$58,M525=phu!$I$59,M525=phu!$I$60,M525=phu!$I$61,M525=phu!$I$62),"Cam Lợi",""),IF(OR(M525=phu!$I$63,M525=phu!$I$64,M525=phu!$I$65,M525=phu!$I$66,M525=phu!$I$67,M525=phu!$I$68,M525=phu!$I$69,M525=phu!$I$70,M525=phu!$I$71),"Ba Ngòi",""),IF(OR(M525=phu!$I$72,M525=phu!$I$73,M525=phu!$I$74,M525=phu!$I$75,M525=phu!$I$76,M525=phu!$I$77,M525=phu!$I$78),"Cam Phước Đông",""),IF(OR(M525=phu!$I$79,M525=phu!$I$80,M525=phu!$I$81,M525=phu!$I$82,M525=phu!$I$83,M525=phu!$I$84),"Cam Thịnh Đông",""),IF(OR(M525=phu!$I$85,M525=phu!$I$86,M525=phu!$I$87,M525=phu!$I$88),"Cam Thịnh Tây",""),IF(OR(M525=phu!$I$89,M525=phu!$I$90),"Cam Lập",""),IF(OR(M525=phu!$I$91,M525=phu!$I$92,M525=phu!$I$93),"Cam Bình",""),IF(OR(M525=phu!$I$94,M525=phu!$I$95,M525=phu!$I$96,M525=phu!$I$97,M525=phu!$I$98,M525=phu!$I$99,M525=phu!$I$100),"Huyện khác",""),IF(OR(M525=phu!$I$101,M525=phu!$I$102),"Tỉnh khác",""))</f>
        <v/>
      </c>
      <c r="O525" s="814" t="str">
        <f t="shared" si="49"/>
        <v/>
      </c>
      <c r="P525" s="254"/>
      <c r="Q525" s="254"/>
      <c r="R525" s="254"/>
      <c r="S525" s="254"/>
      <c r="T525" s="254"/>
      <c r="U525" s="254"/>
      <c r="V525" s="254"/>
      <c r="W525" s="254"/>
      <c r="Y525" s="246" t="str">
        <f t="shared" si="50"/>
        <v/>
      </c>
      <c r="Z525" s="247" t="str">
        <f t="shared" si="48"/>
        <v/>
      </c>
      <c r="AA525" s="246" t="str">
        <f t="shared" si="51"/>
        <v/>
      </c>
    </row>
    <row r="526" spans="1:27" ht="18" customHeight="1" x14ac:dyDescent="0.25">
      <c r="A526" s="248" t="str">
        <f t="shared" si="52"/>
        <v/>
      </c>
      <c r="B526" s="249" t="str">
        <f t="shared" si="53"/>
        <v/>
      </c>
      <c r="C526" s="250"/>
      <c r="D526" s="251"/>
      <c r="E526" s="241"/>
      <c r="F526" s="252"/>
      <c r="G526" s="252"/>
      <c r="H526" s="253"/>
      <c r="I526" s="250"/>
      <c r="J526" s="250"/>
      <c r="K526" s="270"/>
      <c r="L526" s="250"/>
      <c r="M526" s="250"/>
      <c r="N526" s="553" t="str">
        <f>CONCATENATE(IF(OR(M526=phu!$I$1,M526=phu!$I$2,M526=phu!$I$3),"Cam Thành Nam",""),IF(OR(M526=phu!$I$4,M526=phu!$I$5,M526=phu!$I$6,M526=phu!$I$7,M526=phu!$I$8,M526=phu!$I$9,M526=phu!$I$10,M526=phu!$I$11,M526=phu!$I$12,M526=phu!$I$13,M526=phu!$I$14),"Cam Nghĩa",""),IF(OR(M526=phu!$I$15,M526=phu!$I$16,M526=phu!$I$17,M526=phu!$I$18,M526=phu!$I$19,M526=phu!$I$20,M526=phu!$I$21),"Cam Phúc Bắc",""),IF(OR(M526=phu!$I$22,M526=phu!$I$23,M526=phu!$I$24,M526=phu!$I$25),"Cam Phúc Nam",""),IF(OR(M526=phu!$I$26,M526=phu!$I$27,M526=phu!$I$28,M526=phu!$I$29,M526=phu!$I$30,M526=phu!$I$31),"Cam Phú",""),IF(OR(M526=phu!$I$32,M526=phu!$I$33,M526=phu!$I$34,M526=phu!$I$35,M526=phu!$I$36,M526=phu!$I$37),"Cam Lộc",""),IF(OR(M526=phu!$I$38,M526=phu!$I$39,M526=phu!$I$40,M526=phu!$I$41,M526=phu!$I$42,M526=phu!$I$43,M526=phu!$I$44),"Cam Thuận",""),IF(OR(M526=phu!$I$45,M526=phu!$I$46,M526=phu!$I$47,M526=phu!$I$48,M526=phu!$I$49,M526=phu!$I$50,M526=phu!$I$51,M526=phu!$I$52,M526=phu!$I$53),"Cam Linh",""),IF(OR(M526=phu!$I$54,M526=phu!$I$55,M526=phu!$I$56,M526=phu!$I$57,M526=phu!$I$58,M526=phu!$I$59,M526=phu!$I$60,M526=phu!$I$61,M526=phu!$I$62),"Cam Lợi",""),IF(OR(M526=phu!$I$63,M526=phu!$I$64,M526=phu!$I$65,M526=phu!$I$66,M526=phu!$I$67,M526=phu!$I$68,M526=phu!$I$69,M526=phu!$I$70,M526=phu!$I$71),"Ba Ngòi",""),IF(OR(M526=phu!$I$72,M526=phu!$I$73,M526=phu!$I$74,M526=phu!$I$75,M526=phu!$I$76,M526=phu!$I$77,M526=phu!$I$78),"Cam Phước Đông",""),IF(OR(M526=phu!$I$79,M526=phu!$I$80,M526=phu!$I$81,M526=phu!$I$82,M526=phu!$I$83,M526=phu!$I$84),"Cam Thịnh Đông",""),IF(OR(M526=phu!$I$85,M526=phu!$I$86,M526=phu!$I$87,M526=phu!$I$88),"Cam Thịnh Tây",""),IF(OR(M526=phu!$I$89,M526=phu!$I$90),"Cam Lập",""),IF(OR(M526=phu!$I$91,M526=phu!$I$92,M526=phu!$I$93),"Cam Bình",""),IF(OR(M526=phu!$I$94,M526=phu!$I$95,M526=phu!$I$96,M526=phu!$I$97,M526=phu!$I$98,M526=phu!$I$99,M526=phu!$I$100),"Huyện khác",""),IF(OR(M526=phu!$I$101,M526=phu!$I$102),"Tỉnh khác",""))</f>
        <v/>
      </c>
      <c r="O526" s="814" t="str">
        <f t="shared" si="49"/>
        <v/>
      </c>
      <c r="P526" s="254"/>
      <c r="Q526" s="254"/>
      <c r="R526" s="254"/>
      <c r="S526" s="254"/>
      <c r="T526" s="254"/>
      <c r="U526" s="254"/>
      <c r="V526" s="254"/>
      <c r="W526" s="254"/>
      <c r="Y526" s="246" t="str">
        <f t="shared" si="50"/>
        <v/>
      </c>
      <c r="Z526" s="247" t="str">
        <f t="shared" si="48"/>
        <v/>
      </c>
      <c r="AA526" s="246" t="str">
        <f t="shared" si="51"/>
        <v/>
      </c>
    </row>
    <row r="527" spans="1:27" ht="18" customHeight="1" x14ac:dyDescent="0.25">
      <c r="A527" s="248" t="str">
        <f t="shared" si="52"/>
        <v/>
      </c>
      <c r="B527" s="249" t="str">
        <f t="shared" si="53"/>
        <v/>
      </c>
      <c r="C527" s="250"/>
      <c r="D527" s="251"/>
      <c r="E527" s="241"/>
      <c r="F527" s="252"/>
      <c r="G527" s="252"/>
      <c r="H527" s="253"/>
      <c r="I527" s="250"/>
      <c r="J527" s="250"/>
      <c r="K527" s="270"/>
      <c r="L527" s="250"/>
      <c r="M527" s="250"/>
      <c r="N527" s="553" t="str">
        <f>CONCATENATE(IF(OR(M527=phu!$I$1,M527=phu!$I$2,M527=phu!$I$3),"Cam Thành Nam",""),IF(OR(M527=phu!$I$4,M527=phu!$I$5,M527=phu!$I$6,M527=phu!$I$7,M527=phu!$I$8,M527=phu!$I$9,M527=phu!$I$10,M527=phu!$I$11,M527=phu!$I$12,M527=phu!$I$13,M527=phu!$I$14),"Cam Nghĩa",""),IF(OR(M527=phu!$I$15,M527=phu!$I$16,M527=phu!$I$17,M527=phu!$I$18,M527=phu!$I$19,M527=phu!$I$20,M527=phu!$I$21),"Cam Phúc Bắc",""),IF(OR(M527=phu!$I$22,M527=phu!$I$23,M527=phu!$I$24,M527=phu!$I$25),"Cam Phúc Nam",""),IF(OR(M527=phu!$I$26,M527=phu!$I$27,M527=phu!$I$28,M527=phu!$I$29,M527=phu!$I$30,M527=phu!$I$31),"Cam Phú",""),IF(OR(M527=phu!$I$32,M527=phu!$I$33,M527=phu!$I$34,M527=phu!$I$35,M527=phu!$I$36,M527=phu!$I$37),"Cam Lộc",""),IF(OR(M527=phu!$I$38,M527=phu!$I$39,M527=phu!$I$40,M527=phu!$I$41,M527=phu!$I$42,M527=phu!$I$43,M527=phu!$I$44),"Cam Thuận",""),IF(OR(M527=phu!$I$45,M527=phu!$I$46,M527=phu!$I$47,M527=phu!$I$48,M527=phu!$I$49,M527=phu!$I$50,M527=phu!$I$51,M527=phu!$I$52,M527=phu!$I$53),"Cam Linh",""),IF(OR(M527=phu!$I$54,M527=phu!$I$55,M527=phu!$I$56,M527=phu!$I$57,M527=phu!$I$58,M527=phu!$I$59,M527=phu!$I$60,M527=phu!$I$61,M527=phu!$I$62),"Cam Lợi",""),IF(OR(M527=phu!$I$63,M527=phu!$I$64,M527=phu!$I$65,M527=phu!$I$66,M527=phu!$I$67,M527=phu!$I$68,M527=phu!$I$69,M527=phu!$I$70,M527=phu!$I$71),"Ba Ngòi",""),IF(OR(M527=phu!$I$72,M527=phu!$I$73,M527=phu!$I$74,M527=phu!$I$75,M527=phu!$I$76,M527=phu!$I$77,M527=phu!$I$78),"Cam Phước Đông",""),IF(OR(M527=phu!$I$79,M527=phu!$I$80,M527=phu!$I$81,M527=phu!$I$82,M527=phu!$I$83,M527=phu!$I$84),"Cam Thịnh Đông",""),IF(OR(M527=phu!$I$85,M527=phu!$I$86,M527=phu!$I$87,M527=phu!$I$88),"Cam Thịnh Tây",""),IF(OR(M527=phu!$I$89,M527=phu!$I$90),"Cam Lập",""),IF(OR(M527=phu!$I$91,M527=phu!$I$92,M527=phu!$I$93),"Cam Bình",""),IF(OR(M527=phu!$I$94,M527=phu!$I$95,M527=phu!$I$96,M527=phu!$I$97,M527=phu!$I$98,M527=phu!$I$99,M527=phu!$I$100),"Huyện khác",""),IF(OR(M527=phu!$I$101,M527=phu!$I$102),"Tỉnh khác",""))</f>
        <v/>
      </c>
      <c r="O527" s="814" t="str">
        <f t="shared" si="49"/>
        <v/>
      </c>
      <c r="P527" s="254"/>
      <c r="Q527" s="254"/>
      <c r="R527" s="254"/>
      <c r="S527" s="254"/>
      <c r="T527" s="254"/>
      <c r="U527" s="254"/>
      <c r="V527" s="254"/>
      <c r="W527" s="254"/>
      <c r="Y527" s="246" t="str">
        <f t="shared" si="50"/>
        <v/>
      </c>
      <c r="Z527" s="247" t="str">
        <f t="shared" si="48"/>
        <v/>
      </c>
      <c r="AA527" s="246" t="str">
        <f t="shared" si="51"/>
        <v/>
      </c>
    </row>
    <row r="528" spans="1:27" ht="18" customHeight="1" x14ac:dyDescent="0.25">
      <c r="A528" s="248" t="str">
        <f t="shared" si="52"/>
        <v/>
      </c>
      <c r="B528" s="249" t="str">
        <f t="shared" si="53"/>
        <v/>
      </c>
      <c r="C528" s="250"/>
      <c r="D528" s="251"/>
      <c r="E528" s="241"/>
      <c r="F528" s="252"/>
      <c r="G528" s="252"/>
      <c r="H528" s="253"/>
      <c r="I528" s="250"/>
      <c r="J528" s="250"/>
      <c r="K528" s="270"/>
      <c r="L528" s="250"/>
      <c r="M528" s="250"/>
      <c r="N528" s="553" t="str">
        <f>CONCATENATE(IF(OR(M528=phu!$I$1,M528=phu!$I$2,M528=phu!$I$3),"Cam Thành Nam",""),IF(OR(M528=phu!$I$4,M528=phu!$I$5,M528=phu!$I$6,M528=phu!$I$7,M528=phu!$I$8,M528=phu!$I$9,M528=phu!$I$10,M528=phu!$I$11,M528=phu!$I$12,M528=phu!$I$13,M528=phu!$I$14),"Cam Nghĩa",""),IF(OR(M528=phu!$I$15,M528=phu!$I$16,M528=phu!$I$17,M528=phu!$I$18,M528=phu!$I$19,M528=phu!$I$20,M528=phu!$I$21),"Cam Phúc Bắc",""),IF(OR(M528=phu!$I$22,M528=phu!$I$23,M528=phu!$I$24,M528=phu!$I$25),"Cam Phúc Nam",""),IF(OR(M528=phu!$I$26,M528=phu!$I$27,M528=phu!$I$28,M528=phu!$I$29,M528=phu!$I$30,M528=phu!$I$31),"Cam Phú",""),IF(OR(M528=phu!$I$32,M528=phu!$I$33,M528=phu!$I$34,M528=phu!$I$35,M528=phu!$I$36,M528=phu!$I$37),"Cam Lộc",""),IF(OR(M528=phu!$I$38,M528=phu!$I$39,M528=phu!$I$40,M528=phu!$I$41,M528=phu!$I$42,M528=phu!$I$43,M528=phu!$I$44),"Cam Thuận",""),IF(OR(M528=phu!$I$45,M528=phu!$I$46,M528=phu!$I$47,M528=phu!$I$48,M528=phu!$I$49,M528=phu!$I$50,M528=phu!$I$51,M528=phu!$I$52,M528=phu!$I$53),"Cam Linh",""),IF(OR(M528=phu!$I$54,M528=phu!$I$55,M528=phu!$I$56,M528=phu!$I$57,M528=phu!$I$58,M528=phu!$I$59,M528=phu!$I$60,M528=phu!$I$61,M528=phu!$I$62),"Cam Lợi",""),IF(OR(M528=phu!$I$63,M528=phu!$I$64,M528=phu!$I$65,M528=phu!$I$66,M528=phu!$I$67,M528=phu!$I$68,M528=phu!$I$69,M528=phu!$I$70,M528=phu!$I$71),"Ba Ngòi",""),IF(OR(M528=phu!$I$72,M528=phu!$I$73,M528=phu!$I$74,M528=phu!$I$75,M528=phu!$I$76,M528=phu!$I$77,M528=phu!$I$78),"Cam Phước Đông",""),IF(OR(M528=phu!$I$79,M528=phu!$I$80,M528=phu!$I$81,M528=phu!$I$82,M528=phu!$I$83,M528=phu!$I$84),"Cam Thịnh Đông",""),IF(OR(M528=phu!$I$85,M528=phu!$I$86,M528=phu!$I$87,M528=phu!$I$88),"Cam Thịnh Tây",""),IF(OR(M528=phu!$I$89,M528=phu!$I$90),"Cam Lập",""),IF(OR(M528=phu!$I$91,M528=phu!$I$92,M528=phu!$I$93),"Cam Bình",""),IF(OR(M528=phu!$I$94,M528=phu!$I$95,M528=phu!$I$96,M528=phu!$I$97,M528=phu!$I$98,M528=phu!$I$99,M528=phu!$I$100),"Huyện khác",""),IF(OR(M528=phu!$I$101,M528=phu!$I$102),"Tỉnh khác",""))</f>
        <v/>
      </c>
      <c r="O528" s="814" t="str">
        <f t="shared" si="49"/>
        <v/>
      </c>
      <c r="P528" s="254"/>
      <c r="Q528" s="254"/>
      <c r="R528" s="254"/>
      <c r="S528" s="254"/>
      <c r="T528" s="254"/>
      <c r="U528" s="254"/>
      <c r="V528" s="254"/>
      <c r="W528" s="254"/>
      <c r="Y528" s="246" t="str">
        <f t="shared" si="50"/>
        <v/>
      </c>
      <c r="Z528" s="247" t="str">
        <f t="shared" si="48"/>
        <v/>
      </c>
      <c r="AA528" s="246" t="str">
        <f t="shared" si="51"/>
        <v/>
      </c>
    </row>
    <row r="529" spans="1:27" ht="18" customHeight="1" x14ac:dyDescent="0.25">
      <c r="A529" s="248" t="str">
        <f t="shared" si="52"/>
        <v/>
      </c>
      <c r="B529" s="249" t="str">
        <f t="shared" si="53"/>
        <v/>
      </c>
      <c r="C529" s="250"/>
      <c r="D529" s="251"/>
      <c r="E529" s="241"/>
      <c r="F529" s="252"/>
      <c r="G529" s="252"/>
      <c r="H529" s="253"/>
      <c r="I529" s="250"/>
      <c r="J529" s="250"/>
      <c r="K529" s="270"/>
      <c r="L529" s="250"/>
      <c r="M529" s="250"/>
      <c r="N529" s="553" t="str">
        <f>CONCATENATE(IF(OR(M529=phu!$I$1,M529=phu!$I$2,M529=phu!$I$3),"Cam Thành Nam",""),IF(OR(M529=phu!$I$4,M529=phu!$I$5,M529=phu!$I$6,M529=phu!$I$7,M529=phu!$I$8,M529=phu!$I$9,M529=phu!$I$10,M529=phu!$I$11,M529=phu!$I$12,M529=phu!$I$13,M529=phu!$I$14),"Cam Nghĩa",""),IF(OR(M529=phu!$I$15,M529=phu!$I$16,M529=phu!$I$17,M529=phu!$I$18,M529=phu!$I$19,M529=phu!$I$20,M529=phu!$I$21),"Cam Phúc Bắc",""),IF(OR(M529=phu!$I$22,M529=phu!$I$23,M529=phu!$I$24,M529=phu!$I$25),"Cam Phúc Nam",""),IF(OR(M529=phu!$I$26,M529=phu!$I$27,M529=phu!$I$28,M529=phu!$I$29,M529=phu!$I$30,M529=phu!$I$31),"Cam Phú",""),IF(OR(M529=phu!$I$32,M529=phu!$I$33,M529=phu!$I$34,M529=phu!$I$35,M529=phu!$I$36,M529=phu!$I$37),"Cam Lộc",""),IF(OR(M529=phu!$I$38,M529=phu!$I$39,M529=phu!$I$40,M529=phu!$I$41,M529=phu!$I$42,M529=phu!$I$43,M529=phu!$I$44),"Cam Thuận",""),IF(OR(M529=phu!$I$45,M529=phu!$I$46,M529=phu!$I$47,M529=phu!$I$48,M529=phu!$I$49,M529=phu!$I$50,M529=phu!$I$51,M529=phu!$I$52,M529=phu!$I$53),"Cam Linh",""),IF(OR(M529=phu!$I$54,M529=phu!$I$55,M529=phu!$I$56,M529=phu!$I$57,M529=phu!$I$58,M529=phu!$I$59,M529=phu!$I$60,M529=phu!$I$61,M529=phu!$I$62),"Cam Lợi",""),IF(OR(M529=phu!$I$63,M529=phu!$I$64,M529=phu!$I$65,M529=phu!$I$66,M529=phu!$I$67,M529=phu!$I$68,M529=phu!$I$69,M529=phu!$I$70,M529=phu!$I$71),"Ba Ngòi",""),IF(OR(M529=phu!$I$72,M529=phu!$I$73,M529=phu!$I$74,M529=phu!$I$75,M529=phu!$I$76,M529=phu!$I$77,M529=phu!$I$78),"Cam Phước Đông",""),IF(OR(M529=phu!$I$79,M529=phu!$I$80,M529=phu!$I$81,M529=phu!$I$82,M529=phu!$I$83,M529=phu!$I$84),"Cam Thịnh Đông",""),IF(OR(M529=phu!$I$85,M529=phu!$I$86,M529=phu!$I$87,M529=phu!$I$88),"Cam Thịnh Tây",""),IF(OR(M529=phu!$I$89,M529=phu!$I$90),"Cam Lập",""),IF(OR(M529=phu!$I$91,M529=phu!$I$92,M529=phu!$I$93),"Cam Bình",""),IF(OR(M529=phu!$I$94,M529=phu!$I$95,M529=phu!$I$96,M529=phu!$I$97,M529=phu!$I$98,M529=phu!$I$99,M529=phu!$I$100),"Huyện khác",""),IF(OR(M529=phu!$I$101,M529=phu!$I$102),"Tỉnh khác",""))</f>
        <v/>
      </c>
      <c r="O529" s="814" t="str">
        <f t="shared" si="49"/>
        <v/>
      </c>
      <c r="P529" s="254"/>
      <c r="Q529" s="254"/>
      <c r="R529" s="254"/>
      <c r="S529" s="254"/>
      <c r="T529" s="254"/>
      <c r="U529" s="254"/>
      <c r="V529" s="254"/>
      <c r="W529" s="254"/>
      <c r="Y529" s="246" t="str">
        <f t="shared" si="50"/>
        <v/>
      </c>
      <c r="Z529" s="247" t="str">
        <f t="shared" si="48"/>
        <v/>
      </c>
      <c r="AA529" s="246" t="str">
        <f t="shared" si="51"/>
        <v/>
      </c>
    </row>
    <row r="530" spans="1:27" ht="18" customHeight="1" x14ac:dyDescent="0.25">
      <c r="A530" s="248" t="str">
        <f t="shared" si="52"/>
        <v/>
      </c>
      <c r="B530" s="249" t="str">
        <f t="shared" si="53"/>
        <v/>
      </c>
      <c r="C530" s="250"/>
      <c r="D530" s="251"/>
      <c r="E530" s="241"/>
      <c r="F530" s="252"/>
      <c r="G530" s="252"/>
      <c r="H530" s="253"/>
      <c r="I530" s="250"/>
      <c r="J530" s="250"/>
      <c r="K530" s="270"/>
      <c r="L530" s="250"/>
      <c r="M530" s="250"/>
      <c r="N530" s="553" t="str">
        <f>CONCATENATE(IF(OR(M530=phu!$I$1,M530=phu!$I$2,M530=phu!$I$3),"Cam Thành Nam",""),IF(OR(M530=phu!$I$4,M530=phu!$I$5,M530=phu!$I$6,M530=phu!$I$7,M530=phu!$I$8,M530=phu!$I$9,M530=phu!$I$10,M530=phu!$I$11,M530=phu!$I$12,M530=phu!$I$13,M530=phu!$I$14),"Cam Nghĩa",""),IF(OR(M530=phu!$I$15,M530=phu!$I$16,M530=phu!$I$17,M530=phu!$I$18,M530=phu!$I$19,M530=phu!$I$20,M530=phu!$I$21),"Cam Phúc Bắc",""),IF(OR(M530=phu!$I$22,M530=phu!$I$23,M530=phu!$I$24,M530=phu!$I$25),"Cam Phúc Nam",""),IF(OR(M530=phu!$I$26,M530=phu!$I$27,M530=phu!$I$28,M530=phu!$I$29,M530=phu!$I$30,M530=phu!$I$31),"Cam Phú",""),IF(OR(M530=phu!$I$32,M530=phu!$I$33,M530=phu!$I$34,M530=phu!$I$35,M530=phu!$I$36,M530=phu!$I$37),"Cam Lộc",""),IF(OR(M530=phu!$I$38,M530=phu!$I$39,M530=phu!$I$40,M530=phu!$I$41,M530=phu!$I$42,M530=phu!$I$43,M530=phu!$I$44),"Cam Thuận",""),IF(OR(M530=phu!$I$45,M530=phu!$I$46,M530=phu!$I$47,M530=phu!$I$48,M530=phu!$I$49,M530=phu!$I$50,M530=phu!$I$51,M530=phu!$I$52,M530=phu!$I$53),"Cam Linh",""),IF(OR(M530=phu!$I$54,M530=phu!$I$55,M530=phu!$I$56,M530=phu!$I$57,M530=phu!$I$58,M530=phu!$I$59,M530=phu!$I$60,M530=phu!$I$61,M530=phu!$I$62),"Cam Lợi",""),IF(OR(M530=phu!$I$63,M530=phu!$I$64,M530=phu!$I$65,M530=phu!$I$66,M530=phu!$I$67,M530=phu!$I$68,M530=phu!$I$69,M530=phu!$I$70,M530=phu!$I$71),"Ba Ngòi",""),IF(OR(M530=phu!$I$72,M530=phu!$I$73,M530=phu!$I$74,M530=phu!$I$75,M530=phu!$I$76,M530=phu!$I$77,M530=phu!$I$78),"Cam Phước Đông",""),IF(OR(M530=phu!$I$79,M530=phu!$I$80,M530=phu!$I$81,M530=phu!$I$82,M530=phu!$I$83,M530=phu!$I$84),"Cam Thịnh Đông",""),IF(OR(M530=phu!$I$85,M530=phu!$I$86,M530=phu!$I$87,M530=phu!$I$88),"Cam Thịnh Tây",""),IF(OR(M530=phu!$I$89,M530=phu!$I$90),"Cam Lập",""),IF(OR(M530=phu!$I$91,M530=phu!$I$92,M530=phu!$I$93),"Cam Bình",""),IF(OR(M530=phu!$I$94,M530=phu!$I$95,M530=phu!$I$96,M530=phu!$I$97,M530=phu!$I$98,M530=phu!$I$99,M530=phu!$I$100),"Huyện khác",""),IF(OR(M530=phu!$I$101,M530=phu!$I$102),"Tỉnh khác",""))</f>
        <v/>
      </c>
      <c r="O530" s="814" t="str">
        <f t="shared" si="49"/>
        <v/>
      </c>
      <c r="P530" s="254"/>
      <c r="Q530" s="254"/>
      <c r="R530" s="254"/>
      <c r="S530" s="254"/>
      <c r="T530" s="254"/>
      <c r="U530" s="254"/>
      <c r="V530" s="254"/>
      <c r="W530" s="254"/>
      <c r="Y530" s="246" t="str">
        <f t="shared" si="50"/>
        <v/>
      </c>
      <c r="Z530" s="247" t="str">
        <f t="shared" si="48"/>
        <v/>
      </c>
      <c r="AA530" s="246" t="str">
        <f t="shared" si="51"/>
        <v/>
      </c>
    </row>
    <row r="531" spans="1:27" ht="18" customHeight="1" x14ac:dyDescent="0.25">
      <c r="A531" s="248" t="str">
        <f t="shared" si="52"/>
        <v/>
      </c>
      <c r="B531" s="249" t="str">
        <f t="shared" si="53"/>
        <v/>
      </c>
      <c r="C531" s="250"/>
      <c r="D531" s="251"/>
      <c r="E531" s="241"/>
      <c r="F531" s="252"/>
      <c r="G531" s="252"/>
      <c r="H531" s="253"/>
      <c r="I531" s="250"/>
      <c r="J531" s="250"/>
      <c r="K531" s="270"/>
      <c r="L531" s="250"/>
      <c r="M531" s="250"/>
      <c r="N531" s="553" t="str">
        <f>CONCATENATE(IF(OR(M531=phu!$I$1,M531=phu!$I$2,M531=phu!$I$3),"Cam Thành Nam",""),IF(OR(M531=phu!$I$4,M531=phu!$I$5,M531=phu!$I$6,M531=phu!$I$7,M531=phu!$I$8,M531=phu!$I$9,M531=phu!$I$10,M531=phu!$I$11,M531=phu!$I$12,M531=phu!$I$13,M531=phu!$I$14),"Cam Nghĩa",""),IF(OR(M531=phu!$I$15,M531=phu!$I$16,M531=phu!$I$17,M531=phu!$I$18,M531=phu!$I$19,M531=phu!$I$20,M531=phu!$I$21),"Cam Phúc Bắc",""),IF(OR(M531=phu!$I$22,M531=phu!$I$23,M531=phu!$I$24,M531=phu!$I$25),"Cam Phúc Nam",""),IF(OR(M531=phu!$I$26,M531=phu!$I$27,M531=phu!$I$28,M531=phu!$I$29,M531=phu!$I$30,M531=phu!$I$31),"Cam Phú",""),IF(OR(M531=phu!$I$32,M531=phu!$I$33,M531=phu!$I$34,M531=phu!$I$35,M531=phu!$I$36,M531=phu!$I$37),"Cam Lộc",""),IF(OR(M531=phu!$I$38,M531=phu!$I$39,M531=phu!$I$40,M531=phu!$I$41,M531=phu!$I$42,M531=phu!$I$43,M531=phu!$I$44),"Cam Thuận",""),IF(OR(M531=phu!$I$45,M531=phu!$I$46,M531=phu!$I$47,M531=phu!$I$48,M531=phu!$I$49,M531=phu!$I$50,M531=phu!$I$51,M531=phu!$I$52,M531=phu!$I$53),"Cam Linh",""),IF(OR(M531=phu!$I$54,M531=phu!$I$55,M531=phu!$I$56,M531=phu!$I$57,M531=phu!$I$58,M531=phu!$I$59,M531=phu!$I$60,M531=phu!$I$61,M531=phu!$I$62),"Cam Lợi",""),IF(OR(M531=phu!$I$63,M531=phu!$I$64,M531=phu!$I$65,M531=phu!$I$66,M531=phu!$I$67,M531=phu!$I$68,M531=phu!$I$69,M531=phu!$I$70,M531=phu!$I$71),"Ba Ngòi",""),IF(OR(M531=phu!$I$72,M531=phu!$I$73,M531=phu!$I$74,M531=phu!$I$75,M531=phu!$I$76,M531=phu!$I$77,M531=phu!$I$78),"Cam Phước Đông",""),IF(OR(M531=phu!$I$79,M531=phu!$I$80,M531=phu!$I$81,M531=phu!$I$82,M531=phu!$I$83,M531=phu!$I$84),"Cam Thịnh Đông",""),IF(OR(M531=phu!$I$85,M531=phu!$I$86,M531=phu!$I$87,M531=phu!$I$88),"Cam Thịnh Tây",""),IF(OR(M531=phu!$I$89,M531=phu!$I$90),"Cam Lập",""),IF(OR(M531=phu!$I$91,M531=phu!$I$92,M531=phu!$I$93),"Cam Bình",""),IF(OR(M531=phu!$I$94,M531=phu!$I$95,M531=phu!$I$96,M531=phu!$I$97,M531=phu!$I$98,M531=phu!$I$99,M531=phu!$I$100),"Huyện khác",""),IF(OR(M531=phu!$I$101,M531=phu!$I$102),"Tỉnh khác",""))</f>
        <v/>
      </c>
      <c r="O531" s="814" t="str">
        <f t="shared" si="49"/>
        <v/>
      </c>
      <c r="P531" s="254"/>
      <c r="Q531" s="254"/>
      <c r="R531" s="254"/>
      <c r="S531" s="254"/>
      <c r="T531" s="254"/>
      <c r="U531" s="254"/>
      <c r="V531" s="254"/>
      <c r="W531" s="254"/>
      <c r="Y531" s="246" t="str">
        <f t="shared" si="50"/>
        <v/>
      </c>
      <c r="Z531" s="247" t="str">
        <f t="shared" si="48"/>
        <v/>
      </c>
      <c r="AA531" s="246" t="str">
        <f t="shared" si="51"/>
        <v/>
      </c>
    </row>
    <row r="532" spans="1:27" ht="18" customHeight="1" x14ac:dyDescent="0.25">
      <c r="A532" s="248" t="str">
        <f t="shared" si="52"/>
        <v/>
      </c>
      <c r="B532" s="249" t="str">
        <f t="shared" si="53"/>
        <v/>
      </c>
      <c r="C532" s="250"/>
      <c r="D532" s="251"/>
      <c r="E532" s="241"/>
      <c r="F532" s="252"/>
      <c r="G532" s="252"/>
      <c r="H532" s="253"/>
      <c r="I532" s="250"/>
      <c r="J532" s="250"/>
      <c r="K532" s="270"/>
      <c r="L532" s="250"/>
      <c r="M532" s="250"/>
      <c r="N532" s="553" t="str">
        <f>CONCATENATE(IF(OR(M532=phu!$I$1,M532=phu!$I$2,M532=phu!$I$3),"Cam Thành Nam",""),IF(OR(M532=phu!$I$4,M532=phu!$I$5,M532=phu!$I$6,M532=phu!$I$7,M532=phu!$I$8,M532=phu!$I$9,M532=phu!$I$10,M532=phu!$I$11,M532=phu!$I$12,M532=phu!$I$13,M532=phu!$I$14),"Cam Nghĩa",""),IF(OR(M532=phu!$I$15,M532=phu!$I$16,M532=phu!$I$17,M532=phu!$I$18,M532=phu!$I$19,M532=phu!$I$20,M532=phu!$I$21),"Cam Phúc Bắc",""),IF(OR(M532=phu!$I$22,M532=phu!$I$23,M532=phu!$I$24,M532=phu!$I$25),"Cam Phúc Nam",""),IF(OR(M532=phu!$I$26,M532=phu!$I$27,M532=phu!$I$28,M532=phu!$I$29,M532=phu!$I$30,M532=phu!$I$31),"Cam Phú",""),IF(OR(M532=phu!$I$32,M532=phu!$I$33,M532=phu!$I$34,M532=phu!$I$35,M532=phu!$I$36,M532=phu!$I$37),"Cam Lộc",""),IF(OR(M532=phu!$I$38,M532=phu!$I$39,M532=phu!$I$40,M532=phu!$I$41,M532=phu!$I$42,M532=phu!$I$43,M532=phu!$I$44),"Cam Thuận",""),IF(OR(M532=phu!$I$45,M532=phu!$I$46,M532=phu!$I$47,M532=phu!$I$48,M532=phu!$I$49,M532=phu!$I$50,M532=phu!$I$51,M532=phu!$I$52,M532=phu!$I$53),"Cam Linh",""),IF(OR(M532=phu!$I$54,M532=phu!$I$55,M532=phu!$I$56,M532=phu!$I$57,M532=phu!$I$58,M532=phu!$I$59,M532=phu!$I$60,M532=phu!$I$61,M532=phu!$I$62),"Cam Lợi",""),IF(OR(M532=phu!$I$63,M532=phu!$I$64,M532=phu!$I$65,M532=phu!$I$66,M532=phu!$I$67,M532=phu!$I$68,M532=phu!$I$69,M532=phu!$I$70,M532=phu!$I$71),"Ba Ngòi",""),IF(OR(M532=phu!$I$72,M532=phu!$I$73,M532=phu!$I$74,M532=phu!$I$75,M532=phu!$I$76,M532=phu!$I$77,M532=phu!$I$78),"Cam Phước Đông",""),IF(OR(M532=phu!$I$79,M532=phu!$I$80,M532=phu!$I$81,M532=phu!$I$82,M532=phu!$I$83,M532=phu!$I$84),"Cam Thịnh Đông",""),IF(OR(M532=phu!$I$85,M532=phu!$I$86,M532=phu!$I$87,M532=phu!$I$88),"Cam Thịnh Tây",""),IF(OR(M532=phu!$I$89,M532=phu!$I$90),"Cam Lập",""),IF(OR(M532=phu!$I$91,M532=phu!$I$92,M532=phu!$I$93),"Cam Bình",""),IF(OR(M532=phu!$I$94,M532=phu!$I$95,M532=phu!$I$96,M532=phu!$I$97,M532=phu!$I$98,M532=phu!$I$99,M532=phu!$I$100),"Huyện khác",""),IF(OR(M532=phu!$I$101,M532=phu!$I$102),"Tỉnh khác",""))</f>
        <v/>
      </c>
      <c r="O532" s="814" t="str">
        <f t="shared" si="49"/>
        <v/>
      </c>
      <c r="P532" s="254"/>
      <c r="Q532" s="254"/>
      <c r="R532" s="254"/>
      <c r="S532" s="254"/>
      <c r="T532" s="254"/>
      <c r="U532" s="254"/>
      <c r="V532" s="254"/>
      <c r="W532" s="254"/>
      <c r="Y532" s="246" t="str">
        <f t="shared" si="50"/>
        <v/>
      </c>
      <c r="Z532" s="247" t="str">
        <f t="shared" si="48"/>
        <v/>
      </c>
      <c r="AA532" s="246" t="str">
        <f t="shared" si="51"/>
        <v/>
      </c>
    </row>
    <row r="533" spans="1:27" ht="18" customHeight="1" x14ac:dyDescent="0.25">
      <c r="A533" s="248" t="str">
        <f t="shared" si="52"/>
        <v/>
      </c>
      <c r="B533" s="249" t="str">
        <f t="shared" si="53"/>
        <v/>
      </c>
      <c r="C533" s="250"/>
      <c r="D533" s="251"/>
      <c r="E533" s="241"/>
      <c r="F533" s="252"/>
      <c r="G533" s="252"/>
      <c r="H533" s="253"/>
      <c r="I533" s="250"/>
      <c r="J533" s="250"/>
      <c r="K533" s="270"/>
      <c r="L533" s="250"/>
      <c r="M533" s="250"/>
      <c r="N533" s="553" t="str">
        <f>CONCATENATE(IF(OR(M533=phu!$I$1,M533=phu!$I$2,M533=phu!$I$3),"Cam Thành Nam",""),IF(OR(M533=phu!$I$4,M533=phu!$I$5,M533=phu!$I$6,M533=phu!$I$7,M533=phu!$I$8,M533=phu!$I$9,M533=phu!$I$10,M533=phu!$I$11,M533=phu!$I$12,M533=phu!$I$13,M533=phu!$I$14),"Cam Nghĩa",""),IF(OR(M533=phu!$I$15,M533=phu!$I$16,M533=phu!$I$17,M533=phu!$I$18,M533=phu!$I$19,M533=phu!$I$20,M533=phu!$I$21),"Cam Phúc Bắc",""),IF(OR(M533=phu!$I$22,M533=phu!$I$23,M533=phu!$I$24,M533=phu!$I$25),"Cam Phúc Nam",""),IF(OR(M533=phu!$I$26,M533=phu!$I$27,M533=phu!$I$28,M533=phu!$I$29,M533=phu!$I$30,M533=phu!$I$31),"Cam Phú",""),IF(OR(M533=phu!$I$32,M533=phu!$I$33,M533=phu!$I$34,M533=phu!$I$35,M533=phu!$I$36,M533=phu!$I$37),"Cam Lộc",""),IF(OR(M533=phu!$I$38,M533=phu!$I$39,M533=phu!$I$40,M533=phu!$I$41,M533=phu!$I$42,M533=phu!$I$43,M533=phu!$I$44),"Cam Thuận",""),IF(OR(M533=phu!$I$45,M533=phu!$I$46,M533=phu!$I$47,M533=phu!$I$48,M533=phu!$I$49,M533=phu!$I$50,M533=phu!$I$51,M533=phu!$I$52,M533=phu!$I$53),"Cam Linh",""),IF(OR(M533=phu!$I$54,M533=phu!$I$55,M533=phu!$I$56,M533=phu!$I$57,M533=phu!$I$58,M533=phu!$I$59,M533=phu!$I$60,M533=phu!$I$61,M533=phu!$I$62),"Cam Lợi",""),IF(OR(M533=phu!$I$63,M533=phu!$I$64,M533=phu!$I$65,M533=phu!$I$66,M533=phu!$I$67,M533=phu!$I$68,M533=phu!$I$69,M533=phu!$I$70,M533=phu!$I$71),"Ba Ngòi",""),IF(OR(M533=phu!$I$72,M533=phu!$I$73,M533=phu!$I$74,M533=phu!$I$75,M533=phu!$I$76,M533=phu!$I$77,M533=phu!$I$78),"Cam Phước Đông",""),IF(OR(M533=phu!$I$79,M533=phu!$I$80,M533=phu!$I$81,M533=phu!$I$82,M533=phu!$I$83,M533=phu!$I$84),"Cam Thịnh Đông",""),IF(OR(M533=phu!$I$85,M533=phu!$I$86,M533=phu!$I$87,M533=phu!$I$88),"Cam Thịnh Tây",""),IF(OR(M533=phu!$I$89,M533=phu!$I$90),"Cam Lập",""),IF(OR(M533=phu!$I$91,M533=phu!$I$92,M533=phu!$I$93),"Cam Bình",""),IF(OR(M533=phu!$I$94,M533=phu!$I$95,M533=phu!$I$96,M533=phu!$I$97,M533=phu!$I$98,M533=phu!$I$99,M533=phu!$I$100),"Huyện khác",""),IF(OR(M533=phu!$I$101,M533=phu!$I$102),"Tỉnh khác",""))</f>
        <v/>
      </c>
      <c r="O533" s="814" t="str">
        <f t="shared" si="49"/>
        <v/>
      </c>
      <c r="P533" s="254"/>
      <c r="Q533" s="254"/>
      <c r="R533" s="254"/>
      <c r="S533" s="254"/>
      <c r="T533" s="254"/>
      <c r="U533" s="254"/>
      <c r="V533" s="254"/>
      <c r="W533" s="254"/>
      <c r="Y533" s="246" t="str">
        <f t="shared" si="50"/>
        <v/>
      </c>
      <c r="Z533" s="247" t="str">
        <f t="shared" si="48"/>
        <v/>
      </c>
      <c r="AA533" s="246" t="str">
        <f t="shared" si="51"/>
        <v/>
      </c>
    </row>
    <row r="534" spans="1:27" ht="18" customHeight="1" x14ac:dyDescent="0.25">
      <c r="A534" s="248" t="str">
        <f t="shared" si="52"/>
        <v/>
      </c>
      <c r="B534" s="249" t="str">
        <f t="shared" si="53"/>
        <v/>
      </c>
      <c r="C534" s="250"/>
      <c r="D534" s="251"/>
      <c r="E534" s="241"/>
      <c r="F534" s="252"/>
      <c r="G534" s="252"/>
      <c r="H534" s="253"/>
      <c r="I534" s="250"/>
      <c r="J534" s="250"/>
      <c r="K534" s="270"/>
      <c r="L534" s="250"/>
      <c r="M534" s="250"/>
      <c r="N534" s="553" t="str">
        <f>CONCATENATE(IF(OR(M534=phu!$I$1,M534=phu!$I$2,M534=phu!$I$3),"Cam Thành Nam",""),IF(OR(M534=phu!$I$4,M534=phu!$I$5,M534=phu!$I$6,M534=phu!$I$7,M534=phu!$I$8,M534=phu!$I$9,M534=phu!$I$10,M534=phu!$I$11,M534=phu!$I$12,M534=phu!$I$13,M534=phu!$I$14),"Cam Nghĩa",""),IF(OR(M534=phu!$I$15,M534=phu!$I$16,M534=phu!$I$17,M534=phu!$I$18,M534=phu!$I$19,M534=phu!$I$20,M534=phu!$I$21),"Cam Phúc Bắc",""),IF(OR(M534=phu!$I$22,M534=phu!$I$23,M534=phu!$I$24,M534=phu!$I$25),"Cam Phúc Nam",""),IF(OR(M534=phu!$I$26,M534=phu!$I$27,M534=phu!$I$28,M534=phu!$I$29,M534=phu!$I$30,M534=phu!$I$31),"Cam Phú",""),IF(OR(M534=phu!$I$32,M534=phu!$I$33,M534=phu!$I$34,M534=phu!$I$35,M534=phu!$I$36,M534=phu!$I$37),"Cam Lộc",""),IF(OR(M534=phu!$I$38,M534=phu!$I$39,M534=phu!$I$40,M534=phu!$I$41,M534=phu!$I$42,M534=phu!$I$43,M534=phu!$I$44),"Cam Thuận",""),IF(OR(M534=phu!$I$45,M534=phu!$I$46,M534=phu!$I$47,M534=phu!$I$48,M534=phu!$I$49,M534=phu!$I$50,M534=phu!$I$51,M534=phu!$I$52,M534=phu!$I$53),"Cam Linh",""),IF(OR(M534=phu!$I$54,M534=phu!$I$55,M534=phu!$I$56,M534=phu!$I$57,M534=phu!$I$58,M534=phu!$I$59,M534=phu!$I$60,M534=phu!$I$61,M534=phu!$I$62),"Cam Lợi",""),IF(OR(M534=phu!$I$63,M534=phu!$I$64,M534=phu!$I$65,M534=phu!$I$66,M534=phu!$I$67,M534=phu!$I$68,M534=phu!$I$69,M534=phu!$I$70,M534=phu!$I$71),"Ba Ngòi",""),IF(OR(M534=phu!$I$72,M534=phu!$I$73,M534=phu!$I$74,M534=phu!$I$75,M534=phu!$I$76,M534=phu!$I$77,M534=phu!$I$78),"Cam Phước Đông",""),IF(OR(M534=phu!$I$79,M534=phu!$I$80,M534=phu!$I$81,M534=phu!$I$82,M534=phu!$I$83,M534=phu!$I$84),"Cam Thịnh Đông",""),IF(OR(M534=phu!$I$85,M534=phu!$I$86,M534=phu!$I$87,M534=phu!$I$88),"Cam Thịnh Tây",""),IF(OR(M534=phu!$I$89,M534=phu!$I$90),"Cam Lập",""),IF(OR(M534=phu!$I$91,M534=phu!$I$92,M534=phu!$I$93),"Cam Bình",""),IF(OR(M534=phu!$I$94,M534=phu!$I$95,M534=phu!$I$96,M534=phu!$I$97,M534=phu!$I$98,M534=phu!$I$99,M534=phu!$I$100),"Huyện khác",""),IF(OR(M534=phu!$I$101,M534=phu!$I$102),"Tỉnh khác",""))</f>
        <v/>
      </c>
      <c r="O534" s="814" t="str">
        <f t="shared" si="49"/>
        <v/>
      </c>
      <c r="P534" s="254"/>
      <c r="Q534" s="254"/>
      <c r="R534" s="254"/>
      <c r="S534" s="254"/>
      <c r="T534" s="254"/>
      <c r="U534" s="254"/>
      <c r="V534" s="254"/>
      <c r="W534" s="254"/>
      <c r="Y534" s="246" t="str">
        <f t="shared" si="50"/>
        <v/>
      </c>
      <c r="Z534" s="247" t="str">
        <f t="shared" si="48"/>
        <v/>
      </c>
      <c r="AA534" s="246" t="str">
        <f t="shared" si="51"/>
        <v/>
      </c>
    </row>
    <row r="535" spans="1:27" ht="18" customHeight="1" x14ac:dyDescent="0.25">
      <c r="A535" s="248" t="str">
        <f t="shared" si="52"/>
        <v/>
      </c>
      <c r="B535" s="249" t="str">
        <f t="shared" si="53"/>
        <v/>
      </c>
      <c r="C535" s="250"/>
      <c r="D535" s="251"/>
      <c r="E535" s="241"/>
      <c r="F535" s="252"/>
      <c r="G535" s="252"/>
      <c r="H535" s="253"/>
      <c r="I535" s="250"/>
      <c r="J535" s="250"/>
      <c r="K535" s="270"/>
      <c r="L535" s="250"/>
      <c r="M535" s="250"/>
      <c r="N535" s="553" t="str">
        <f>CONCATENATE(IF(OR(M535=phu!$I$1,M535=phu!$I$2,M535=phu!$I$3),"Cam Thành Nam",""),IF(OR(M535=phu!$I$4,M535=phu!$I$5,M535=phu!$I$6,M535=phu!$I$7,M535=phu!$I$8,M535=phu!$I$9,M535=phu!$I$10,M535=phu!$I$11,M535=phu!$I$12,M535=phu!$I$13,M535=phu!$I$14),"Cam Nghĩa",""),IF(OR(M535=phu!$I$15,M535=phu!$I$16,M535=phu!$I$17,M535=phu!$I$18,M535=phu!$I$19,M535=phu!$I$20,M535=phu!$I$21),"Cam Phúc Bắc",""),IF(OR(M535=phu!$I$22,M535=phu!$I$23,M535=phu!$I$24,M535=phu!$I$25),"Cam Phúc Nam",""),IF(OR(M535=phu!$I$26,M535=phu!$I$27,M535=phu!$I$28,M535=phu!$I$29,M535=phu!$I$30,M535=phu!$I$31),"Cam Phú",""),IF(OR(M535=phu!$I$32,M535=phu!$I$33,M535=phu!$I$34,M535=phu!$I$35,M535=phu!$I$36,M535=phu!$I$37),"Cam Lộc",""),IF(OR(M535=phu!$I$38,M535=phu!$I$39,M535=phu!$I$40,M535=phu!$I$41,M535=phu!$I$42,M535=phu!$I$43,M535=phu!$I$44),"Cam Thuận",""),IF(OR(M535=phu!$I$45,M535=phu!$I$46,M535=phu!$I$47,M535=phu!$I$48,M535=phu!$I$49,M535=phu!$I$50,M535=phu!$I$51,M535=phu!$I$52,M535=phu!$I$53),"Cam Linh",""),IF(OR(M535=phu!$I$54,M535=phu!$I$55,M535=phu!$I$56,M535=phu!$I$57,M535=phu!$I$58,M535=phu!$I$59,M535=phu!$I$60,M535=phu!$I$61,M535=phu!$I$62),"Cam Lợi",""),IF(OR(M535=phu!$I$63,M535=phu!$I$64,M535=phu!$I$65,M535=phu!$I$66,M535=phu!$I$67,M535=phu!$I$68,M535=phu!$I$69,M535=phu!$I$70,M535=phu!$I$71),"Ba Ngòi",""),IF(OR(M535=phu!$I$72,M535=phu!$I$73,M535=phu!$I$74,M535=phu!$I$75,M535=phu!$I$76,M535=phu!$I$77,M535=phu!$I$78),"Cam Phước Đông",""),IF(OR(M535=phu!$I$79,M535=phu!$I$80,M535=phu!$I$81,M535=phu!$I$82,M535=phu!$I$83,M535=phu!$I$84),"Cam Thịnh Đông",""),IF(OR(M535=phu!$I$85,M535=phu!$I$86,M535=phu!$I$87,M535=phu!$I$88),"Cam Thịnh Tây",""),IF(OR(M535=phu!$I$89,M535=phu!$I$90),"Cam Lập",""),IF(OR(M535=phu!$I$91,M535=phu!$I$92,M535=phu!$I$93),"Cam Bình",""),IF(OR(M535=phu!$I$94,M535=phu!$I$95,M535=phu!$I$96,M535=phu!$I$97,M535=phu!$I$98,M535=phu!$I$99,M535=phu!$I$100),"Huyện khác",""),IF(OR(M535=phu!$I$101,M535=phu!$I$102),"Tỉnh khác",""))</f>
        <v/>
      </c>
      <c r="O535" s="814" t="str">
        <f t="shared" si="49"/>
        <v/>
      </c>
      <c r="P535" s="254"/>
      <c r="Q535" s="254"/>
      <c r="R535" s="254"/>
      <c r="S535" s="254"/>
      <c r="T535" s="254"/>
      <c r="U535" s="254"/>
      <c r="V535" s="254"/>
      <c r="W535" s="254"/>
      <c r="Y535" s="246" t="str">
        <f t="shared" si="50"/>
        <v/>
      </c>
      <c r="Z535" s="247" t="str">
        <f t="shared" si="48"/>
        <v/>
      </c>
      <c r="AA535" s="246" t="str">
        <f t="shared" si="51"/>
        <v/>
      </c>
    </row>
    <row r="536" spans="1:27" ht="18" customHeight="1" x14ac:dyDescent="0.25">
      <c r="A536" s="248" t="str">
        <f t="shared" si="52"/>
        <v/>
      </c>
      <c r="B536" s="249" t="str">
        <f t="shared" si="53"/>
        <v/>
      </c>
      <c r="C536" s="250"/>
      <c r="D536" s="251"/>
      <c r="E536" s="241"/>
      <c r="F536" s="252"/>
      <c r="G536" s="252"/>
      <c r="H536" s="253"/>
      <c r="I536" s="250"/>
      <c r="J536" s="250"/>
      <c r="K536" s="270"/>
      <c r="L536" s="250"/>
      <c r="M536" s="250"/>
      <c r="N536" s="553" t="str">
        <f>CONCATENATE(IF(OR(M536=phu!$I$1,M536=phu!$I$2,M536=phu!$I$3),"Cam Thành Nam",""),IF(OR(M536=phu!$I$4,M536=phu!$I$5,M536=phu!$I$6,M536=phu!$I$7,M536=phu!$I$8,M536=phu!$I$9,M536=phu!$I$10,M536=phu!$I$11,M536=phu!$I$12,M536=phu!$I$13,M536=phu!$I$14),"Cam Nghĩa",""),IF(OR(M536=phu!$I$15,M536=phu!$I$16,M536=phu!$I$17,M536=phu!$I$18,M536=phu!$I$19,M536=phu!$I$20,M536=phu!$I$21),"Cam Phúc Bắc",""),IF(OR(M536=phu!$I$22,M536=phu!$I$23,M536=phu!$I$24,M536=phu!$I$25),"Cam Phúc Nam",""),IF(OR(M536=phu!$I$26,M536=phu!$I$27,M536=phu!$I$28,M536=phu!$I$29,M536=phu!$I$30,M536=phu!$I$31),"Cam Phú",""),IF(OR(M536=phu!$I$32,M536=phu!$I$33,M536=phu!$I$34,M536=phu!$I$35,M536=phu!$I$36,M536=phu!$I$37),"Cam Lộc",""),IF(OR(M536=phu!$I$38,M536=phu!$I$39,M536=phu!$I$40,M536=phu!$I$41,M536=phu!$I$42,M536=phu!$I$43,M536=phu!$I$44),"Cam Thuận",""),IF(OR(M536=phu!$I$45,M536=phu!$I$46,M536=phu!$I$47,M536=phu!$I$48,M536=phu!$I$49,M536=phu!$I$50,M536=phu!$I$51,M536=phu!$I$52,M536=phu!$I$53),"Cam Linh",""),IF(OR(M536=phu!$I$54,M536=phu!$I$55,M536=phu!$I$56,M536=phu!$I$57,M536=phu!$I$58,M536=phu!$I$59,M536=phu!$I$60,M536=phu!$I$61,M536=phu!$I$62),"Cam Lợi",""),IF(OR(M536=phu!$I$63,M536=phu!$I$64,M536=phu!$I$65,M536=phu!$I$66,M536=phu!$I$67,M536=phu!$I$68,M536=phu!$I$69,M536=phu!$I$70,M536=phu!$I$71),"Ba Ngòi",""),IF(OR(M536=phu!$I$72,M536=phu!$I$73,M536=phu!$I$74,M536=phu!$I$75,M536=phu!$I$76,M536=phu!$I$77,M536=phu!$I$78),"Cam Phước Đông",""),IF(OR(M536=phu!$I$79,M536=phu!$I$80,M536=phu!$I$81,M536=phu!$I$82,M536=phu!$I$83,M536=phu!$I$84),"Cam Thịnh Đông",""),IF(OR(M536=phu!$I$85,M536=phu!$I$86,M536=phu!$I$87,M536=phu!$I$88),"Cam Thịnh Tây",""),IF(OR(M536=phu!$I$89,M536=phu!$I$90),"Cam Lập",""),IF(OR(M536=phu!$I$91,M536=phu!$I$92,M536=phu!$I$93),"Cam Bình",""),IF(OR(M536=phu!$I$94,M536=phu!$I$95,M536=phu!$I$96,M536=phu!$I$97,M536=phu!$I$98,M536=phu!$I$99,M536=phu!$I$100),"Huyện khác",""),IF(OR(M536=phu!$I$101,M536=phu!$I$102),"Tỉnh khác",""))</f>
        <v/>
      </c>
      <c r="O536" s="814" t="str">
        <f t="shared" si="49"/>
        <v/>
      </c>
      <c r="P536" s="254"/>
      <c r="Q536" s="254"/>
      <c r="R536" s="254"/>
      <c r="S536" s="254"/>
      <c r="T536" s="254"/>
      <c r="U536" s="254"/>
      <c r="V536" s="254"/>
      <c r="W536" s="254"/>
      <c r="Y536" s="246" t="str">
        <f t="shared" si="50"/>
        <v/>
      </c>
      <c r="Z536" s="247" t="str">
        <f t="shared" si="48"/>
        <v/>
      </c>
      <c r="AA536" s="246" t="str">
        <f t="shared" si="51"/>
        <v/>
      </c>
    </row>
    <row r="537" spans="1:27" ht="18" customHeight="1" x14ac:dyDescent="0.25">
      <c r="A537" s="248" t="str">
        <f t="shared" si="52"/>
        <v/>
      </c>
      <c r="B537" s="249" t="str">
        <f t="shared" si="53"/>
        <v/>
      </c>
      <c r="C537" s="250"/>
      <c r="D537" s="251"/>
      <c r="E537" s="241"/>
      <c r="F537" s="252"/>
      <c r="G537" s="252"/>
      <c r="H537" s="253"/>
      <c r="I537" s="250"/>
      <c r="J537" s="250"/>
      <c r="K537" s="270"/>
      <c r="L537" s="250"/>
      <c r="M537" s="250"/>
      <c r="N537" s="553" t="str">
        <f>CONCATENATE(IF(OR(M537=phu!$I$1,M537=phu!$I$2,M537=phu!$I$3),"Cam Thành Nam",""),IF(OR(M537=phu!$I$4,M537=phu!$I$5,M537=phu!$I$6,M537=phu!$I$7,M537=phu!$I$8,M537=phu!$I$9,M537=phu!$I$10,M537=phu!$I$11,M537=phu!$I$12,M537=phu!$I$13,M537=phu!$I$14),"Cam Nghĩa",""),IF(OR(M537=phu!$I$15,M537=phu!$I$16,M537=phu!$I$17,M537=phu!$I$18,M537=phu!$I$19,M537=phu!$I$20,M537=phu!$I$21),"Cam Phúc Bắc",""),IF(OR(M537=phu!$I$22,M537=phu!$I$23,M537=phu!$I$24,M537=phu!$I$25),"Cam Phúc Nam",""),IF(OR(M537=phu!$I$26,M537=phu!$I$27,M537=phu!$I$28,M537=phu!$I$29,M537=phu!$I$30,M537=phu!$I$31),"Cam Phú",""),IF(OR(M537=phu!$I$32,M537=phu!$I$33,M537=phu!$I$34,M537=phu!$I$35,M537=phu!$I$36,M537=phu!$I$37),"Cam Lộc",""),IF(OR(M537=phu!$I$38,M537=phu!$I$39,M537=phu!$I$40,M537=phu!$I$41,M537=phu!$I$42,M537=phu!$I$43,M537=phu!$I$44),"Cam Thuận",""),IF(OR(M537=phu!$I$45,M537=phu!$I$46,M537=phu!$I$47,M537=phu!$I$48,M537=phu!$I$49,M537=phu!$I$50,M537=phu!$I$51,M537=phu!$I$52,M537=phu!$I$53),"Cam Linh",""),IF(OR(M537=phu!$I$54,M537=phu!$I$55,M537=phu!$I$56,M537=phu!$I$57,M537=phu!$I$58,M537=phu!$I$59,M537=phu!$I$60,M537=phu!$I$61,M537=phu!$I$62),"Cam Lợi",""),IF(OR(M537=phu!$I$63,M537=phu!$I$64,M537=phu!$I$65,M537=phu!$I$66,M537=phu!$I$67,M537=phu!$I$68,M537=phu!$I$69,M537=phu!$I$70,M537=phu!$I$71),"Ba Ngòi",""),IF(OR(M537=phu!$I$72,M537=phu!$I$73,M537=phu!$I$74,M537=phu!$I$75,M537=phu!$I$76,M537=phu!$I$77,M537=phu!$I$78),"Cam Phước Đông",""),IF(OR(M537=phu!$I$79,M537=phu!$I$80,M537=phu!$I$81,M537=phu!$I$82,M537=phu!$I$83,M537=phu!$I$84),"Cam Thịnh Đông",""),IF(OR(M537=phu!$I$85,M537=phu!$I$86,M537=phu!$I$87,M537=phu!$I$88),"Cam Thịnh Tây",""),IF(OR(M537=phu!$I$89,M537=phu!$I$90),"Cam Lập",""),IF(OR(M537=phu!$I$91,M537=phu!$I$92,M537=phu!$I$93),"Cam Bình",""),IF(OR(M537=phu!$I$94,M537=phu!$I$95,M537=phu!$I$96,M537=phu!$I$97,M537=phu!$I$98,M537=phu!$I$99,M537=phu!$I$100),"Huyện khác",""),IF(OR(M537=phu!$I$101,M537=phu!$I$102),"Tỉnh khác",""))</f>
        <v/>
      </c>
      <c r="O537" s="814" t="str">
        <f t="shared" si="49"/>
        <v/>
      </c>
      <c r="P537" s="254"/>
      <c r="Q537" s="254"/>
      <c r="R537" s="254"/>
      <c r="S537" s="254"/>
      <c r="T537" s="254"/>
      <c r="U537" s="254"/>
      <c r="V537" s="254"/>
      <c r="W537" s="254"/>
      <c r="Y537" s="246" t="str">
        <f t="shared" si="50"/>
        <v/>
      </c>
      <c r="Z537" s="247" t="str">
        <f t="shared" si="48"/>
        <v/>
      </c>
      <c r="AA537" s="246" t="str">
        <f t="shared" si="51"/>
        <v/>
      </c>
    </row>
    <row r="538" spans="1:27" ht="18" customHeight="1" x14ac:dyDescent="0.25">
      <c r="A538" s="248" t="str">
        <f t="shared" si="52"/>
        <v/>
      </c>
      <c r="B538" s="249" t="str">
        <f t="shared" si="53"/>
        <v/>
      </c>
      <c r="C538" s="250"/>
      <c r="D538" s="251"/>
      <c r="E538" s="241"/>
      <c r="F538" s="252"/>
      <c r="G538" s="252"/>
      <c r="H538" s="253"/>
      <c r="I538" s="250"/>
      <c r="J538" s="250"/>
      <c r="K538" s="270"/>
      <c r="L538" s="250"/>
      <c r="M538" s="250"/>
      <c r="N538" s="553" t="str">
        <f>CONCATENATE(IF(OR(M538=phu!$I$1,M538=phu!$I$2,M538=phu!$I$3),"Cam Thành Nam",""),IF(OR(M538=phu!$I$4,M538=phu!$I$5,M538=phu!$I$6,M538=phu!$I$7,M538=phu!$I$8,M538=phu!$I$9,M538=phu!$I$10,M538=phu!$I$11,M538=phu!$I$12,M538=phu!$I$13,M538=phu!$I$14),"Cam Nghĩa",""),IF(OR(M538=phu!$I$15,M538=phu!$I$16,M538=phu!$I$17,M538=phu!$I$18,M538=phu!$I$19,M538=phu!$I$20,M538=phu!$I$21),"Cam Phúc Bắc",""),IF(OR(M538=phu!$I$22,M538=phu!$I$23,M538=phu!$I$24,M538=phu!$I$25),"Cam Phúc Nam",""),IF(OR(M538=phu!$I$26,M538=phu!$I$27,M538=phu!$I$28,M538=phu!$I$29,M538=phu!$I$30,M538=phu!$I$31),"Cam Phú",""),IF(OR(M538=phu!$I$32,M538=phu!$I$33,M538=phu!$I$34,M538=phu!$I$35,M538=phu!$I$36,M538=phu!$I$37),"Cam Lộc",""),IF(OR(M538=phu!$I$38,M538=phu!$I$39,M538=phu!$I$40,M538=phu!$I$41,M538=phu!$I$42,M538=phu!$I$43,M538=phu!$I$44),"Cam Thuận",""),IF(OR(M538=phu!$I$45,M538=phu!$I$46,M538=phu!$I$47,M538=phu!$I$48,M538=phu!$I$49,M538=phu!$I$50,M538=phu!$I$51,M538=phu!$I$52,M538=phu!$I$53),"Cam Linh",""),IF(OR(M538=phu!$I$54,M538=phu!$I$55,M538=phu!$I$56,M538=phu!$I$57,M538=phu!$I$58,M538=phu!$I$59,M538=phu!$I$60,M538=phu!$I$61,M538=phu!$I$62),"Cam Lợi",""),IF(OR(M538=phu!$I$63,M538=phu!$I$64,M538=phu!$I$65,M538=phu!$I$66,M538=phu!$I$67,M538=phu!$I$68,M538=phu!$I$69,M538=phu!$I$70,M538=phu!$I$71),"Ba Ngòi",""),IF(OR(M538=phu!$I$72,M538=phu!$I$73,M538=phu!$I$74,M538=phu!$I$75,M538=phu!$I$76,M538=phu!$I$77,M538=phu!$I$78),"Cam Phước Đông",""),IF(OR(M538=phu!$I$79,M538=phu!$I$80,M538=phu!$I$81,M538=phu!$I$82,M538=phu!$I$83,M538=phu!$I$84),"Cam Thịnh Đông",""),IF(OR(M538=phu!$I$85,M538=phu!$I$86,M538=phu!$I$87,M538=phu!$I$88),"Cam Thịnh Tây",""),IF(OR(M538=phu!$I$89,M538=phu!$I$90),"Cam Lập",""),IF(OR(M538=phu!$I$91,M538=phu!$I$92,M538=phu!$I$93),"Cam Bình",""),IF(OR(M538=phu!$I$94,M538=phu!$I$95,M538=phu!$I$96,M538=phu!$I$97,M538=phu!$I$98,M538=phu!$I$99,M538=phu!$I$100),"Huyện khác",""),IF(OR(M538=phu!$I$101,M538=phu!$I$102),"Tỉnh khác",""))</f>
        <v/>
      </c>
      <c r="O538" s="814" t="str">
        <f t="shared" si="49"/>
        <v/>
      </c>
      <c r="P538" s="254"/>
      <c r="Q538" s="254"/>
      <c r="R538" s="254"/>
      <c r="S538" s="254"/>
      <c r="T538" s="254"/>
      <c r="U538" s="254"/>
      <c r="V538" s="254"/>
      <c r="W538" s="254"/>
      <c r="Y538" s="246" t="str">
        <f t="shared" si="50"/>
        <v/>
      </c>
      <c r="Z538" s="247" t="str">
        <f t="shared" si="48"/>
        <v/>
      </c>
      <c r="AA538" s="246" t="str">
        <f t="shared" si="51"/>
        <v/>
      </c>
    </row>
    <row r="539" spans="1:27" ht="18" customHeight="1" x14ac:dyDescent="0.25">
      <c r="A539" s="248" t="str">
        <f t="shared" si="52"/>
        <v/>
      </c>
      <c r="B539" s="249" t="str">
        <f t="shared" si="53"/>
        <v/>
      </c>
      <c r="C539" s="250"/>
      <c r="D539" s="251"/>
      <c r="E539" s="241"/>
      <c r="F539" s="252"/>
      <c r="G539" s="252"/>
      <c r="H539" s="253"/>
      <c r="I539" s="250"/>
      <c r="J539" s="250"/>
      <c r="K539" s="270"/>
      <c r="L539" s="250"/>
      <c r="M539" s="250"/>
      <c r="N539" s="553" t="str">
        <f>CONCATENATE(IF(OR(M539=phu!$I$1,M539=phu!$I$2,M539=phu!$I$3),"Cam Thành Nam",""),IF(OR(M539=phu!$I$4,M539=phu!$I$5,M539=phu!$I$6,M539=phu!$I$7,M539=phu!$I$8,M539=phu!$I$9,M539=phu!$I$10,M539=phu!$I$11,M539=phu!$I$12,M539=phu!$I$13,M539=phu!$I$14),"Cam Nghĩa",""),IF(OR(M539=phu!$I$15,M539=phu!$I$16,M539=phu!$I$17,M539=phu!$I$18,M539=phu!$I$19,M539=phu!$I$20,M539=phu!$I$21),"Cam Phúc Bắc",""),IF(OR(M539=phu!$I$22,M539=phu!$I$23,M539=phu!$I$24,M539=phu!$I$25),"Cam Phúc Nam",""),IF(OR(M539=phu!$I$26,M539=phu!$I$27,M539=phu!$I$28,M539=phu!$I$29,M539=phu!$I$30,M539=phu!$I$31),"Cam Phú",""),IF(OR(M539=phu!$I$32,M539=phu!$I$33,M539=phu!$I$34,M539=phu!$I$35,M539=phu!$I$36,M539=phu!$I$37),"Cam Lộc",""),IF(OR(M539=phu!$I$38,M539=phu!$I$39,M539=phu!$I$40,M539=phu!$I$41,M539=phu!$I$42,M539=phu!$I$43,M539=phu!$I$44),"Cam Thuận",""),IF(OR(M539=phu!$I$45,M539=phu!$I$46,M539=phu!$I$47,M539=phu!$I$48,M539=phu!$I$49,M539=phu!$I$50,M539=phu!$I$51,M539=phu!$I$52,M539=phu!$I$53),"Cam Linh",""),IF(OR(M539=phu!$I$54,M539=phu!$I$55,M539=phu!$I$56,M539=phu!$I$57,M539=phu!$I$58,M539=phu!$I$59,M539=phu!$I$60,M539=phu!$I$61,M539=phu!$I$62),"Cam Lợi",""),IF(OR(M539=phu!$I$63,M539=phu!$I$64,M539=phu!$I$65,M539=phu!$I$66,M539=phu!$I$67,M539=phu!$I$68,M539=phu!$I$69,M539=phu!$I$70,M539=phu!$I$71),"Ba Ngòi",""),IF(OR(M539=phu!$I$72,M539=phu!$I$73,M539=phu!$I$74,M539=phu!$I$75,M539=phu!$I$76,M539=phu!$I$77,M539=phu!$I$78),"Cam Phước Đông",""),IF(OR(M539=phu!$I$79,M539=phu!$I$80,M539=phu!$I$81,M539=phu!$I$82,M539=phu!$I$83,M539=phu!$I$84),"Cam Thịnh Đông",""),IF(OR(M539=phu!$I$85,M539=phu!$I$86,M539=phu!$I$87,M539=phu!$I$88),"Cam Thịnh Tây",""),IF(OR(M539=phu!$I$89,M539=phu!$I$90),"Cam Lập",""),IF(OR(M539=phu!$I$91,M539=phu!$I$92,M539=phu!$I$93),"Cam Bình",""),IF(OR(M539=phu!$I$94,M539=phu!$I$95,M539=phu!$I$96,M539=phu!$I$97,M539=phu!$I$98,M539=phu!$I$99,M539=phu!$I$100),"Huyện khác",""),IF(OR(M539=phu!$I$101,M539=phu!$I$102),"Tỉnh khác",""))</f>
        <v/>
      </c>
      <c r="O539" s="814" t="str">
        <f t="shared" si="49"/>
        <v/>
      </c>
      <c r="P539" s="254"/>
      <c r="Q539" s="254"/>
      <c r="R539" s="254"/>
      <c r="S539" s="254"/>
      <c r="T539" s="254"/>
      <c r="U539" s="254"/>
      <c r="V539" s="254"/>
      <c r="W539" s="254"/>
      <c r="Y539" s="246" t="str">
        <f t="shared" si="50"/>
        <v/>
      </c>
      <c r="Z539" s="247" t="str">
        <f t="shared" si="48"/>
        <v/>
      </c>
      <c r="AA539" s="246" t="str">
        <f t="shared" si="51"/>
        <v/>
      </c>
    </row>
    <row r="540" spans="1:27" ht="18" customHeight="1" x14ac:dyDescent="0.25">
      <c r="A540" s="248" t="str">
        <f t="shared" si="52"/>
        <v/>
      </c>
      <c r="B540" s="249" t="str">
        <f t="shared" si="53"/>
        <v/>
      </c>
      <c r="C540" s="250"/>
      <c r="D540" s="251"/>
      <c r="E540" s="241"/>
      <c r="F540" s="252"/>
      <c r="G540" s="252"/>
      <c r="H540" s="253"/>
      <c r="I540" s="250"/>
      <c r="J540" s="250"/>
      <c r="K540" s="270"/>
      <c r="L540" s="250"/>
      <c r="M540" s="250"/>
      <c r="N540" s="553" t="str">
        <f>CONCATENATE(IF(OR(M540=phu!$I$1,M540=phu!$I$2,M540=phu!$I$3),"Cam Thành Nam",""),IF(OR(M540=phu!$I$4,M540=phu!$I$5,M540=phu!$I$6,M540=phu!$I$7,M540=phu!$I$8,M540=phu!$I$9,M540=phu!$I$10,M540=phu!$I$11,M540=phu!$I$12,M540=phu!$I$13,M540=phu!$I$14),"Cam Nghĩa",""),IF(OR(M540=phu!$I$15,M540=phu!$I$16,M540=phu!$I$17,M540=phu!$I$18,M540=phu!$I$19,M540=phu!$I$20,M540=phu!$I$21),"Cam Phúc Bắc",""),IF(OR(M540=phu!$I$22,M540=phu!$I$23,M540=phu!$I$24,M540=phu!$I$25),"Cam Phúc Nam",""),IF(OR(M540=phu!$I$26,M540=phu!$I$27,M540=phu!$I$28,M540=phu!$I$29,M540=phu!$I$30,M540=phu!$I$31),"Cam Phú",""),IF(OR(M540=phu!$I$32,M540=phu!$I$33,M540=phu!$I$34,M540=phu!$I$35,M540=phu!$I$36,M540=phu!$I$37),"Cam Lộc",""),IF(OR(M540=phu!$I$38,M540=phu!$I$39,M540=phu!$I$40,M540=phu!$I$41,M540=phu!$I$42,M540=phu!$I$43,M540=phu!$I$44),"Cam Thuận",""),IF(OR(M540=phu!$I$45,M540=phu!$I$46,M540=phu!$I$47,M540=phu!$I$48,M540=phu!$I$49,M540=phu!$I$50,M540=phu!$I$51,M540=phu!$I$52,M540=phu!$I$53),"Cam Linh",""),IF(OR(M540=phu!$I$54,M540=phu!$I$55,M540=phu!$I$56,M540=phu!$I$57,M540=phu!$I$58,M540=phu!$I$59,M540=phu!$I$60,M540=phu!$I$61,M540=phu!$I$62),"Cam Lợi",""),IF(OR(M540=phu!$I$63,M540=phu!$I$64,M540=phu!$I$65,M540=phu!$I$66,M540=phu!$I$67,M540=phu!$I$68,M540=phu!$I$69,M540=phu!$I$70,M540=phu!$I$71),"Ba Ngòi",""),IF(OR(M540=phu!$I$72,M540=phu!$I$73,M540=phu!$I$74,M540=phu!$I$75,M540=phu!$I$76,M540=phu!$I$77,M540=phu!$I$78),"Cam Phước Đông",""),IF(OR(M540=phu!$I$79,M540=phu!$I$80,M540=phu!$I$81,M540=phu!$I$82,M540=phu!$I$83,M540=phu!$I$84),"Cam Thịnh Đông",""),IF(OR(M540=phu!$I$85,M540=phu!$I$86,M540=phu!$I$87,M540=phu!$I$88),"Cam Thịnh Tây",""),IF(OR(M540=phu!$I$89,M540=phu!$I$90),"Cam Lập",""),IF(OR(M540=phu!$I$91,M540=phu!$I$92,M540=phu!$I$93),"Cam Bình",""),IF(OR(M540=phu!$I$94,M540=phu!$I$95,M540=phu!$I$96,M540=phu!$I$97,M540=phu!$I$98,M540=phu!$I$99,M540=phu!$I$100),"Huyện khác",""),IF(OR(M540=phu!$I$101,M540=phu!$I$102),"Tỉnh khác",""))</f>
        <v/>
      </c>
      <c r="O540" s="814" t="str">
        <f t="shared" si="49"/>
        <v/>
      </c>
      <c r="P540" s="254"/>
      <c r="Q540" s="254"/>
      <c r="R540" s="254"/>
      <c r="S540" s="254"/>
      <c r="T540" s="254"/>
      <c r="U540" s="254"/>
      <c r="V540" s="254"/>
      <c r="W540" s="254"/>
      <c r="Y540" s="246" t="str">
        <f t="shared" si="50"/>
        <v/>
      </c>
      <c r="Z540" s="247" t="str">
        <f t="shared" si="48"/>
        <v/>
      </c>
      <c r="AA540" s="246" t="str">
        <f t="shared" si="51"/>
        <v/>
      </c>
    </row>
    <row r="541" spans="1:27" ht="18" customHeight="1" x14ac:dyDescent="0.25">
      <c r="A541" s="248" t="str">
        <f t="shared" si="52"/>
        <v/>
      </c>
      <c r="B541" s="249" t="str">
        <f t="shared" si="53"/>
        <v/>
      </c>
      <c r="C541" s="250"/>
      <c r="D541" s="251"/>
      <c r="E541" s="241"/>
      <c r="F541" s="252"/>
      <c r="G541" s="252"/>
      <c r="H541" s="253"/>
      <c r="I541" s="250"/>
      <c r="J541" s="250"/>
      <c r="K541" s="270"/>
      <c r="L541" s="250"/>
      <c r="M541" s="250"/>
      <c r="N541" s="553" t="str">
        <f>CONCATENATE(IF(OR(M541=phu!$I$1,M541=phu!$I$2,M541=phu!$I$3),"Cam Thành Nam",""),IF(OR(M541=phu!$I$4,M541=phu!$I$5,M541=phu!$I$6,M541=phu!$I$7,M541=phu!$I$8,M541=phu!$I$9,M541=phu!$I$10,M541=phu!$I$11,M541=phu!$I$12,M541=phu!$I$13,M541=phu!$I$14),"Cam Nghĩa",""),IF(OR(M541=phu!$I$15,M541=phu!$I$16,M541=phu!$I$17,M541=phu!$I$18,M541=phu!$I$19,M541=phu!$I$20,M541=phu!$I$21),"Cam Phúc Bắc",""),IF(OR(M541=phu!$I$22,M541=phu!$I$23,M541=phu!$I$24,M541=phu!$I$25),"Cam Phúc Nam",""),IF(OR(M541=phu!$I$26,M541=phu!$I$27,M541=phu!$I$28,M541=phu!$I$29,M541=phu!$I$30,M541=phu!$I$31),"Cam Phú",""),IF(OR(M541=phu!$I$32,M541=phu!$I$33,M541=phu!$I$34,M541=phu!$I$35,M541=phu!$I$36,M541=phu!$I$37),"Cam Lộc",""),IF(OR(M541=phu!$I$38,M541=phu!$I$39,M541=phu!$I$40,M541=phu!$I$41,M541=phu!$I$42,M541=phu!$I$43,M541=phu!$I$44),"Cam Thuận",""),IF(OR(M541=phu!$I$45,M541=phu!$I$46,M541=phu!$I$47,M541=phu!$I$48,M541=phu!$I$49,M541=phu!$I$50,M541=phu!$I$51,M541=phu!$I$52,M541=phu!$I$53),"Cam Linh",""),IF(OR(M541=phu!$I$54,M541=phu!$I$55,M541=phu!$I$56,M541=phu!$I$57,M541=phu!$I$58,M541=phu!$I$59,M541=phu!$I$60,M541=phu!$I$61,M541=phu!$I$62),"Cam Lợi",""),IF(OR(M541=phu!$I$63,M541=phu!$I$64,M541=phu!$I$65,M541=phu!$I$66,M541=phu!$I$67,M541=phu!$I$68,M541=phu!$I$69,M541=phu!$I$70,M541=phu!$I$71),"Ba Ngòi",""),IF(OR(M541=phu!$I$72,M541=phu!$I$73,M541=phu!$I$74,M541=phu!$I$75,M541=phu!$I$76,M541=phu!$I$77,M541=phu!$I$78),"Cam Phước Đông",""),IF(OR(M541=phu!$I$79,M541=phu!$I$80,M541=phu!$I$81,M541=phu!$I$82,M541=phu!$I$83,M541=phu!$I$84),"Cam Thịnh Đông",""),IF(OR(M541=phu!$I$85,M541=phu!$I$86,M541=phu!$I$87,M541=phu!$I$88),"Cam Thịnh Tây",""),IF(OR(M541=phu!$I$89,M541=phu!$I$90),"Cam Lập",""),IF(OR(M541=phu!$I$91,M541=phu!$I$92,M541=phu!$I$93),"Cam Bình",""),IF(OR(M541=phu!$I$94,M541=phu!$I$95,M541=phu!$I$96,M541=phu!$I$97,M541=phu!$I$98,M541=phu!$I$99,M541=phu!$I$100),"Huyện khác",""),IF(OR(M541=phu!$I$101,M541=phu!$I$102),"Tỉnh khác",""))</f>
        <v/>
      </c>
      <c r="O541" s="814" t="str">
        <f t="shared" si="49"/>
        <v/>
      </c>
      <c r="P541" s="254"/>
      <c r="Q541" s="254"/>
      <c r="R541" s="254"/>
      <c r="S541" s="254"/>
      <c r="T541" s="254"/>
      <c r="U541" s="254"/>
      <c r="V541" s="254"/>
      <c r="W541" s="254"/>
      <c r="Y541" s="246" t="str">
        <f t="shared" si="50"/>
        <v/>
      </c>
      <c r="Z541" s="247" t="str">
        <f t="shared" si="48"/>
        <v/>
      </c>
      <c r="AA541" s="246" t="str">
        <f t="shared" si="51"/>
        <v/>
      </c>
    </row>
    <row r="542" spans="1:27" ht="18" customHeight="1" x14ac:dyDescent="0.25">
      <c r="A542" s="248" t="str">
        <f t="shared" si="52"/>
        <v/>
      </c>
      <c r="B542" s="249" t="str">
        <f t="shared" si="53"/>
        <v/>
      </c>
      <c r="C542" s="250"/>
      <c r="D542" s="251"/>
      <c r="E542" s="241"/>
      <c r="F542" s="252"/>
      <c r="G542" s="252"/>
      <c r="H542" s="253"/>
      <c r="I542" s="250"/>
      <c r="J542" s="250"/>
      <c r="K542" s="270"/>
      <c r="L542" s="250"/>
      <c r="M542" s="250"/>
      <c r="N542" s="553" t="str">
        <f>CONCATENATE(IF(OR(M542=phu!$I$1,M542=phu!$I$2,M542=phu!$I$3),"Cam Thành Nam",""),IF(OR(M542=phu!$I$4,M542=phu!$I$5,M542=phu!$I$6,M542=phu!$I$7,M542=phu!$I$8,M542=phu!$I$9,M542=phu!$I$10,M542=phu!$I$11,M542=phu!$I$12,M542=phu!$I$13,M542=phu!$I$14),"Cam Nghĩa",""),IF(OR(M542=phu!$I$15,M542=phu!$I$16,M542=phu!$I$17,M542=phu!$I$18,M542=phu!$I$19,M542=phu!$I$20,M542=phu!$I$21),"Cam Phúc Bắc",""),IF(OR(M542=phu!$I$22,M542=phu!$I$23,M542=phu!$I$24,M542=phu!$I$25),"Cam Phúc Nam",""),IF(OR(M542=phu!$I$26,M542=phu!$I$27,M542=phu!$I$28,M542=phu!$I$29,M542=phu!$I$30,M542=phu!$I$31),"Cam Phú",""),IF(OR(M542=phu!$I$32,M542=phu!$I$33,M542=phu!$I$34,M542=phu!$I$35,M542=phu!$I$36,M542=phu!$I$37),"Cam Lộc",""),IF(OR(M542=phu!$I$38,M542=phu!$I$39,M542=phu!$I$40,M542=phu!$I$41,M542=phu!$I$42,M542=phu!$I$43,M542=phu!$I$44),"Cam Thuận",""),IF(OR(M542=phu!$I$45,M542=phu!$I$46,M542=phu!$I$47,M542=phu!$I$48,M542=phu!$I$49,M542=phu!$I$50,M542=phu!$I$51,M542=phu!$I$52,M542=phu!$I$53),"Cam Linh",""),IF(OR(M542=phu!$I$54,M542=phu!$I$55,M542=phu!$I$56,M542=phu!$I$57,M542=phu!$I$58,M542=phu!$I$59,M542=phu!$I$60,M542=phu!$I$61,M542=phu!$I$62),"Cam Lợi",""),IF(OR(M542=phu!$I$63,M542=phu!$I$64,M542=phu!$I$65,M542=phu!$I$66,M542=phu!$I$67,M542=phu!$I$68,M542=phu!$I$69,M542=phu!$I$70,M542=phu!$I$71),"Ba Ngòi",""),IF(OR(M542=phu!$I$72,M542=phu!$I$73,M542=phu!$I$74,M542=phu!$I$75,M542=phu!$I$76,M542=phu!$I$77,M542=phu!$I$78),"Cam Phước Đông",""),IF(OR(M542=phu!$I$79,M542=phu!$I$80,M542=phu!$I$81,M542=phu!$I$82,M542=phu!$I$83,M542=phu!$I$84),"Cam Thịnh Đông",""),IF(OR(M542=phu!$I$85,M542=phu!$I$86,M542=phu!$I$87,M542=phu!$I$88),"Cam Thịnh Tây",""),IF(OR(M542=phu!$I$89,M542=phu!$I$90),"Cam Lập",""),IF(OR(M542=phu!$I$91,M542=phu!$I$92,M542=phu!$I$93),"Cam Bình",""),IF(OR(M542=phu!$I$94,M542=phu!$I$95,M542=phu!$I$96,M542=phu!$I$97,M542=phu!$I$98,M542=phu!$I$99,M542=phu!$I$100),"Huyện khác",""),IF(OR(M542=phu!$I$101,M542=phu!$I$102),"Tỉnh khác",""))</f>
        <v/>
      </c>
      <c r="O542" s="814" t="str">
        <f t="shared" si="49"/>
        <v/>
      </c>
      <c r="P542" s="254"/>
      <c r="Q542" s="254"/>
      <c r="R542" s="254"/>
      <c r="S542" s="254"/>
      <c r="T542" s="254"/>
      <c r="U542" s="254"/>
      <c r="V542" s="254"/>
      <c r="W542" s="254"/>
      <c r="Y542" s="246" t="str">
        <f t="shared" si="50"/>
        <v/>
      </c>
      <c r="Z542" s="247" t="str">
        <f t="shared" si="48"/>
        <v/>
      </c>
      <c r="AA542" s="246" t="str">
        <f t="shared" si="51"/>
        <v/>
      </c>
    </row>
    <row r="543" spans="1:27" ht="18" customHeight="1" x14ac:dyDescent="0.25">
      <c r="A543" s="248" t="str">
        <f t="shared" si="52"/>
        <v/>
      </c>
      <c r="B543" s="249" t="str">
        <f t="shared" si="53"/>
        <v/>
      </c>
      <c r="C543" s="250"/>
      <c r="D543" s="251"/>
      <c r="E543" s="241"/>
      <c r="F543" s="252"/>
      <c r="G543" s="252"/>
      <c r="H543" s="253"/>
      <c r="I543" s="250"/>
      <c r="J543" s="250"/>
      <c r="K543" s="270"/>
      <c r="L543" s="250"/>
      <c r="M543" s="250"/>
      <c r="N543" s="553" t="str">
        <f>CONCATENATE(IF(OR(M543=phu!$I$1,M543=phu!$I$2,M543=phu!$I$3),"Cam Thành Nam",""),IF(OR(M543=phu!$I$4,M543=phu!$I$5,M543=phu!$I$6,M543=phu!$I$7,M543=phu!$I$8,M543=phu!$I$9,M543=phu!$I$10,M543=phu!$I$11,M543=phu!$I$12,M543=phu!$I$13,M543=phu!$I$14),"Cam Nghĩa",""),IF(OR(M543=phu!$I$15,M543=phu!$I$16,M543=phu!$I$17,M543=phu!$I$18,M543=phu!$I$19,M543=phu!$I$20,M543=phu!$I$21),"Cam Phúc Bắc",""),IF(OR(M543=phu!$I$22,M543=phu!$I$23,M543=phu!$I$24,M543=phu!$I$25),"Cam Phúc Nam",""),IF(OR(M543=phu!$I$26,M543=phu!$I$27,M543=phu!$I$28,M543=phu!$I$29,M543=phu!$I$30,M543=phu!$I$31),"Cam Phú",""),IF(OR(M543=phu!$I$32,M543=phu!$I$33,M543=phu!$I$34,M543=phu!$I$35,M543=phu!$I$36,M543=phu!$I$37),"Cam Lộc",""),IF(OR(M543=phu!$I$38,M543=phu!$I$39,M543=phu!$I$40,M543=phu!$I$41,M543=phu!$I$42,M543=phu!$I$43,M543=phu!$I$44),"Cam Thuận",""),IF(OR(M543=phu!$I$45,M543=phu!$I$46,M543=phu!$I$47,M543=phu!$I$48,M543=phu!$I$49,M543=phu!$I$50,M543=phu!$I$51,M543=phu!$I$52,M543=phu!$I$53),"Cam Linh",""),IF(OR(M543=phu!$I$54,M543=phu!$I$55,M543=phu!$I$56,M543=phu!$I$57,M543=phu!$I$58,M543=phu!$I$59,M543=phu!$I$60,M543=phu!$I$61,M543=phu!$I$62),"Cam Lợi",""),IF(OR(M543=phu!$I$63,M543=phu!$I$64,M543=phu!$I$65,M543=phu!$I$66,M543=phu!$I$67,M543=phu!$I$68,M543=phu!$I$69,M543=phu!$I$70,M543=phu!$I$71),"Ba Ngòi",""),IF(OR(M543=phu!$I$72,M543=phu!$I$73,M543=phu!$I$74,M543=phu!$I$75,M543=phu!$I$76,M543=phu!$I$77,M543=phu!$I$78),"Cam Phước Đông",""),IF(OR(M543=phu!$I$79,M543=phu!$I$80,M543=phu!$I$81,M543=phu!$I$82,M543=phu!$I$83,M543=phu!$I$84),"Cam Thịnh Đông",""),IF(OR(M543=phu!$I$85,M543=phu!$I$86,M543=phu!$I$87,M543=phu!$I$88),"Cam Thịnh Tây",""),IF(OR(M543=phu!$I$89,M543=phu!$I$90),"Cam Lập",""),IF(OR(M543=phu!$I$91,M543=phu!$I$92,M543=phu!$I$93),"Cam Bình",""),IF(OR(M543=phu!$I$94,M543=phu!$I$95,M543=phu!$I$96,M543=phu!$I$97,M543=phu!$I$98,M543=phu!$I$99,M543=phu!$I$100),"Huyện khác",""),IF(OR(M543=phu!$I$101,M543=phu!$I$102),"Tỉnh khác",""))</f>
        <v/>
      </c>
      <c r="O543" s="814" t="str">
        <f t="shared" si="49"/>
        <v/>
      </c>
      <c r="P543" s="254"/>
      <c r="Q543" s="254"/>
      <c r="R543" s="254"/>
      <c r="S543" s="254"/>
      <c r="T543" s="254"/>
      <c r="U543" s="254"/>
      <c r="V543" s="254"/>
      <c r="W543" s="254"/>
      <c r="Y543" s="246" t="str">
        <f t="shared" si="50"/>
        <v/>
      </c>
      <c r="Z543" s="247" t="str">
        <f t="shared" si="48"/>
        <v/>
      </c>
      <c r="AA543" s="246" t="str">
        <f t="shared" si="51"/>
        <v/>
      </c>
    </row>
    <row r="544" spans="1:27" ht="18" customHeight="1" x14ac:dyDescent="0.25">
      <c r="A544" s="248" t="str">
        <f t="shared" si="52"/>
        <v/>
      </c>
      <c r="B544" s="249" t="str">
        <f t="shared" si="53"/>
        <v/>
      </c>
      <c r="C544" s="250"/>
      <c r="D544" s="251"/>
      <c r="E544" s="241"/>
      <c r="F544" s="252"/>
      <c r="G544" s="252"/>
      <c r="H544" s="253"/>
      <c r="I544" s="250"/>
      <c r="J544" s="250"/>
      <c r="K544" s="270"/>
      <c r="L544" s="250"/>
      <c r="M544" s="250"/>
      <c r="N544" s="553" t="str">
        <f>CONCATENATE(IF(OR(M544=phu!$I$1,M544=phu!$I$2,M544=phu!$I$3),"Cam Thành Nam",""),IF(OR(M544=phu!$I$4,M544=phu!$I$5,M544=phu!$I$6,M544=phu!$I$7,M544=phu!$I$8,M544=phu!$I$9,M544=phu!$I$10,M544=phu!$I$11,M544=phu!$I$12,M544=phu!$I$13,M544=phu!$I$14),"Cam Nghĩa",""),IF(OR(M544=phu!$I$15,M544=phu!$I$16,M544=phu!$I$17,M544=phu!$I$18,M544=phu!$I$19,M544=phu!$I$20,M544=phu!$I$21),"Cam Phúc Bắc",""),IF(OR(M544=phu!$I$22,M544=phu!$I$23,M544=phu!$I$24,M544=phu!$I$25),"Cam Phúc Nam",""),IF(OR(M544=phu!$I$26,M544=phu!$I$27,M544=phu!$I$28,M544=phu!$I$29,M544=phu!$I$30,M544=phu!$I$31),"Cam Phú",""),IF(OR(M544=phu!$I$32,M544=phu!$I$33,M544=phu!$I$34,M544=phu!$I$35,M544=phu!$I$36,M544=phu!$I$37),"Cam Lộc",""),IF(OR(M544=phu!$I$38,M544=phu!$I$39,M544=phu!$I$40,M544=phu!$I$41,M544=phu!$I$42,M544=phu!$I$43,M544=phu!$I$44),"Cam Thuận",""),IF(OR(M544=phu!$I$45,M544=phu!$I$46,M544=phu!$I$47,M544=phu!$I$48,M544=phu!$I$49,M544=phu!$I$50,M544=phu!$I$51,M544=phu!$I$52,M544=phu!$I$53),"Cam Linh",""),IF(OR(M544=phu!$I$54,M544=phu!$I$55,M544=phu!$I$56,M544=phu!$I$57,M544=phu!$I$58,M544=phu!$I$59,M544=phu!$I$60,M544=phu!$I$61,M544=phu!$I$62),"Cam Lợi",""),IF(OR(M544=phu!$I$63,M544=phu!$I$64,M544=phu!$I$65,M544=phu!$I$66,M544=phu!$I$67,M544=phu!$I$68,M544=phu!$I$69,M544=phu!$I$70,M544=phu!$I$71),"Ba Ngòi",""),IF(OR(M544=phu!$I$72,M544=phu!$I$73,M544=phu!$I$74,M544=phu!$I$75,M544=phu!$I$76,M544=phu!$I$77,M544=phu!$I$78),"Cam Phước Đông",""),IF(OR(M544=phu!$I$79,M544=phu!$I$80,M544=phu!$I$81,M544=phu!$I$82,M544=phu!$I$83,M544=phu!$I$84),"Cam Thịnh Đông",""),IF(OR(M544=phu!$I$85,M544=phu!$I$86,M544=phu!$I$87,M544=phu!$I$88),"Cam Thịnh Tây",""),IF(OR(M544=phu!$I$89,M544=phu!$I$90),"Cam Lập",""),IF(OR(M544=phu!$I$91,M544=phu!$I$92,M544=phu!$I$93),"Cam Bình",""),IF(OR(M544=phu!$I$94,M544=phu!$I$95,M544=phu!$I$96,M544=phu!$I$97,M544=phu!$I$98,M544=phu!$I$99,M544=phu!$I$100),"Huyện khác",""),IF(OR(M544=phu!$I$101,M544=phu!$I$102),"Tỉnh khác",""))</f>
        <v/>
      </c>
      <c r="O544" s="814" t="str">
        <f t="shared" si="49"/>
        <v/>
      </c>
      <c r="P544" s="254"/>
      <c r="Q544" s="254"/>
      <c r="R544" s="254"/>
      <c r="S544" s="254"/>
      <c r="T544" s="254"/>
      <c r="U544" s="254"/>
      <c r="V544" s="254"/>
      <c r="W544" s="254"/>
      <c r="Y544" s="246" t="str">
        <f t="shared" si="50"/>
        <v/>
      </c>
      <c r="Z544" s="247" t="str">
        <f t="shared" si="48"/>
        <v/>
      </c>
      <c r="AA544" s="246" t="str">
        <f t="shared" si="51"/>
        <v/>
      </c>
    </row>
    <row r="545" spans="1:27" ht="18" customHeight="1" x14ac:dyDescent="0.25">
      <c r="A545" s="248" t="str">
        <f t="shared" si="52"/>
        <v/>
      </c>
      <c r="B545" s="249" t="str">
        <f t="shared" si="53"/>
        <v/>
      </c>
      <c r="C545" s="250"/>
      <c r="D545" s="251"/>
      <c r="E545" s="241"/>
      <c r="F545" s="252"/>
      <c r="G545" s="252"/>
      <c r="H545" s="253"/>
      <c r="I545" s="250"/>
      <c r="J545" s="250"/>
      <c r="K545" s="270"/>
      <c r="L545" s="250"/>
      <c r="M545" s="250"/>
      <c r="N545" s="553" t="str">
        <f>CONCATENATE(IF(OR(M545=phu!$I$1,M545=phu!$I$2,M545=phu!$I$3),"Cam Thành Nam",""),IF(OR(M545=phu!$I$4,M545=phu!$I$5,M545=phu!$I$6,M545=phu!$I$7,M545=phu!$I$8,M545=phu!$I$9,M545=phu!$I$10,M545=phu!$I$11,M545=phu!$I$12,M545=phu!$I$13,M545=phu!$I$14),"Cam Nghĩa",""),IF(OR(M545=phu!$I$15,M545=phu!$I$16,M545=phu!$I$17,M545=phu!$I$18,M545=phu!$I$19,M545=phu!$I$20,M545=phu!$I$21),"Cam Phúc Bắc",""),IF(OR(M545=phu!$I$22,M545=phu!$I$23,M545=phu!$I$24,M545=phu!$I$25),"Cam Phúc Nam",""),IF(OR(M545=phu!$I$26,M545=phu!$I$27,M545=phu!$I$28,M545=phu!$I$29,M545=phu!$I$30,M545=phu!$I$31),"Cam Phú",""),IF(OR(M545=phu!$I$32,M545=phu!$I$33,M545=phu!$I$34,M545=phu!$I$35,M545=phu!$I$36,M545=phu!$I$37),"Cam Lộc",""),IF(OR(M545=phu!$I$38,M545=phu!$I$39,M545=phu!$I$40,M545=phu!$I$41,M545=phu!$I$42,M545=phu!$I$43,M545=phu!$I$44),"Cam Thuận",""),IF(OR(M545=phu!$I$45,M545=phu!$I$46,M545=phu!$I$47,M545=phu!$I$48,M545=phu!$I$49,M545=phu!$I$50,M545=phu!$I$51,M545=phu!$I$52,M545=phu!$I$53),"Cam Linh",""),IF(OR(M545=phu!$I$54,M545=phu!$I$55,M545=phu!$I$56,M545=phu!$I$57,M545=phu!$I$58,M545=phu!$I$59,M545=phu!$I$60,M545=phu!$I$61,M545=phu!$I$62),"Cam Lợi",""),IF(OR(M545=phu!$I$63,M545=phu!$I$64,M545=phu!$I$65,M545=phu!$I$66,M545=phu!$I$67,M545=phu!$I$68,M545=phu!$I$69,M545=phu!$I$70,M545=phu!$I$71),"Ba Ngòi",""),IF(OR(M545=phu!$I$72,M545=phu!$I$73,M545=phu!$I$74,M545=phu!$I$75,M545=phu!$I$76,M545=phu!$I$77,M545=phu!$I$78),"Cam Phước Đông",""),IF(OR(M545=phu!$I$79,M545=phu!$I$80,M545=phu!$I$81,M545=phu!$I$82,M545=phu!$I$83,M545=phu!$I$84),"Cam Thịnh Đông",""),IF(OR(M545=phu!$I$85,M545=phu!$I$86,M545=phu!$I$87,M545=phu!$I$88),"Cam Thịnh Tây",""),IF(OR(M545=phu!$I$89,M545=phu!$I$90),"Cam Lập",""),IF(OR(M545=phu!$I$91,M545=phu!$I$92,M545=phu!$I$93),"Cam Bình",""),IF(OR(M545=phu!$I$94,M545=phu!$I$95,M545=phu!$I$96,M545=phu!$I$97,M545=phu!$I$98,M545=phu!$I$99,M545=phu!$I$100),"Huyện khác",""),IF(OR(M545=phu!$I$101,M545=phu!$I$102),"Tỉnh khác",""))</f>
        <v/>
      </c>
      <c r="O545" s="814" t="str">
        <f t="shared" si="49"/>
        <v/>
      </c>
      <c r="P545" s="254"/>
      <c r="Q545" s="254"/>
      <c r="R545" s="254"/>
      <c r="S545" s="254"/>
      <c r="T545" s="254"/>
      <c r="U545" s="254"/>
      <c r="V545" s="254"/>
      <c r="W545" s="254"/>
      <c r="Y545" s="246" t="str">
        <f t="shared" si="50"/>
        <v/>
      </c>
      <c r="Z545" s="247" t="str">
        <f t="shared" si="48"/>
        <v/>
      </c>
      <c r="AA545" s="246" t="str">
        <f t="shared" si="51"/>
        <v/>
      </c>
    </row>
    <row r="546" spans="1:27" ht="18" customHeight="1" x14ac:dyDescent="0.25">
      <c r="A546" s="248" t="str">
        <f t="shared" si="52"/>
        <v/>
      </c>
      <c r="B546" s="249" t="str">
        <f t="shared" si="53"/>
        <v/>
      </c>
      <c r="C546" s="250"/>
      <c r="D546" s="251"/>
      <c r="E546" s="241"/>
      <c r="F546" s="252"/>
      <c r="G546" s="252"/>
      <c r="H546" s="253"/>
      <c r="I546" s="250"/>
      <c r="J546" s="250"/>
      <c r="K546" s="270"/>
      <c r="L546" s="250"/>
      <c r="M546" s="250"/>
      <c r="N546" s="553" t="str">
        <f>CONCATENATE(IF(OR(M546=phu!$I$1,M546=phu!$I$2,M546=phu!$I$3),"Cam Thành Nam",""),IF(OR(M546=phu!$I$4,M546=phu!$I$5,M546=phu!$I$6,M546=phu!$I$7,M546=phu!$I$8,M546=phu!$I$9,M546=phu!$I$10,M546=phu!$I$11,M546=phu!$I$12,M546=phu!$I$13,M546=phu!$I$14),"Cam Nghĩa",""),IF(OR(M546=phu!$I$15,M546=phu!$I$16,M546=phu!$I$17,M546=phu!$I$18,M546=phu!$I$19,M546=phu!$I$20,M546=phu!$I$21),"Cam Phúc Bắc",""),IF(OR(M546=phu!$I$22,M546=phu!$I$23,M546=phu!$I$24,M546=phu!$I$25),"Cam Phúc Nam",""),IF(OR(M546=phu!$I$26,M546=phu!$I$27,M546=phu!$I$28,M546=phu!$I$29,M546=phu!$I$30,M546=phu!$I$31),"Cam Phú",""),IF(OR(M546=phu!$I$32,M546=phu!$I$33,M546=phu!$I$34,M546=phu!$I$35,M546=phu!$I$36,M546=phu!$I$37),"Cam Lộc",""),IF(OR(M546=phu!$I$38,M546=phu!$I$39,M546=phu!$I$40,M546=phu!$I$41,M546=phu!$I$42,M546=phu!$I$43,M546=phu!$I$44),"Cam Thuận",""),IF(OR(M546=phu!$I$45,M546=phu!$I$46,M546=phu!$I$47,M546=phu!$I$48,M546=phu!$I$49,M546=phu!$I$50,M546=phu!$I$51,M546=phu!$I$52,M546=phu!$I$53),"Cam Linh",""),IF(OR(M546=phu!$I$54,M546=phu!$I$55,M546=phu!$I$56,M546=phu!$I$57,M546=phu!$I$58,M546=phu!$I$59,M546=phu!$I$60,M546=phu!$I$61,M546=phu!$I$62),"Cam Lợi",""),IF(OR(M546=phu!$I$63,M546=phu!$I$64,M546=phu!$I$65,M546=phu!$I$66,M546=phu!$I$67,M546=phu!$I$68,M546=phu!$I$69,M546=phu!$I$70,M546=phu!$I$71),"Ba Ngòi",""),IF(OR(M546=phu!$I$72,M546=phu!$I$73,M546=phu!$I$74,M546=phu!$I$75,M546=phu!$I$76,M546=phu!$I$77,M546=phu!$I$78),"Cam Phước Đông",""),IF(OR(M546=phu!$I$79,M546=phu!$I$80,M546=phu!$I$81,M546=phu!$I$82,M546=phu!$I$83,M546=phu!$I$84),"Cam Thịnh Đông",""),IF(OR(M546=phu!$I$85,M546=phu!$I$86,M546=phu!$I$87,M546=phu!$I$88),"Cam Thịnh Tây",""),IF(OR(M546=phu!$I$89,M546=phu!$I$90),"Cam Lập",""),IF(OR(M546=phu!$I$91,M546=phu!$I$92,M546=phu!$I$93),"Cam Bình",""),IF(OR(M546=phu!$I$94,M546=phu!$I$95,M546=phu!$I$96,M546=phu!$I$97,M546=phu!$I$98,M546=phu!$I$99,M546=phu!$I$100),"Huyện khác",""),IF(OR(M546=phu!$I$101,M546=phu!$I$102),"Tỉnh khác",""))</f>
        <v/>
      </c>
      <c r="O546" s="814" t="str">
        <f t="shared" si="49"/>
        <v/>
      </c>
      <c r="P546" s="254"/>
      <c r="Q546" s="254"/>
      <c r="R546" s="254"/>
      <c r="S546" s="254"/>
      <c r="T546" s="254"/>
      <c r="U546" s="254"/>
      <c r="V546" s="254"/>
      <c r="W546" s="254"/>
      <c r="Y546" s="246" t="str">
        <f t="shared" si="50"/>
        <v/>
      </c>
      <c r="Z546" s="247" t="str">
        <f t="shared" si="48"/>
        <v/>
      </c>
      <c r="AA546" s="246" t="str">
        <f t="shared" si="51"/>
        <v/>
      </c>
    </row>
    <row r="547" spans="1:27" ht="18" customHeight="1" x14ac:dyDescent="0.25">
      <c r="A547" s="248" t="str">
        <f t="shared" si="52"/>
        <v/>
      </c>
      <c r="B547" s="249" t="str">
        <f t="shared" si="53"/>
        <v/>
      </c>
      <c r="C547" s="250"/>
      <c r="D547" s="251"/>
      <c r="E547" s="241"/>
      <c r="F547" s="252"/>
      <c r="G547" s="252"/>
      <c r="H547" s="253"/>
      <c r="I547" s="250"/>
      <c r="J547" s="250"/>
      <c r="K547" s="270"/>
      <c r="L547" s="250"/>
      <c r="M547" s="250"/>
      <c r="N547" s="553" t="str">
        <f>CONCATENATE(IF(OR(M547=phu!$I$1,M547=phu!$I$2,M547=phu!$I$3),"Cam Thành Nam",""),IF(OR(M547=phu!$I$4,M547=phu!$I$5,M547=phu!$I$6,M547=phu!$I$7,M547=phu!$I$8,M547=phu!$I$9,M547=phu!$I$10,M547=phu!$I$11,M547=phu!$I$12,M547=phu!$I$13,M547=phu!$I$14),"Cam Nghĩa",""),IF(OR(M547=phu!$I$15,M547=phu!$I$16,M547=phu!$I$17,M547=phu!$I$18,M547=phu!$I$19,M547=phu!$I$20,M547=phu!$I$21),"Cam Phúc Bắc",""),IF(OR(M547=phu!$I$22,M547=phu!$I$23,M547=phu!$I$24,M547=phu!$I$25),"Cam Phúc Nam",""),IF(OR(M547=phu!$I$26,M547=phu!$I$27,M547=phu!$I$28,M547=phu!$I$29,M547=phu!$I$30,M547=phu!$I$31),"Cam Phú",""),IF(OR(M547=phu!$I$32,M547=phu!$I$33,M547=phu!$I$34,M547=phu!$I$35,M547=phu!$I$36,M547=phu!$I$37),"Cam Lộc",""),IF(OR(M547=phu!$I$38,M547=phu!$I$39,M547=phu!$I$40,M547=phu!$I$41,M547=phu!$I$42,M547=phu!$I$43,M547=phu!$I$44),"Cam Thuận",""),IF(OR(M547=phu!$I$45,M547=phu!$I$46,M547=phu!$I$47,M547=phu!$I$48,M547=phu!$I$49,M547=phu!$I$50,M547=phu!$I$51,M547=phu!$I$52,M547=phu!$I$53),"Cam Linh",""),IF(OR(M547=phu!$I$54,M547=phu!$I$55,M547=phu!$I$56,M547=phu!$I$57,M547=phu!$I$58,M547=phu!$I$59,M547=phu!$I$60,M547=phu!$I$61,M547=phu!$I$62),"Cam Lợi",""),IF(OR(M547=phu!$I$63,M547=phu!$I$64,M547=phu!$I$65,M547=phu!$I$66,M547=phu!$I$67,M547=phu!$I$68,M547=phu!$I$69,M547=phu!$I$70,M547=phu!$I$71),"Ba Ngòi",""),IF(OR(M547=phu!$I$72,M547=phu!$I$73,M547=phu!$I$74,M547=phu!$I$75,M547=phu!$I$76,M547=phu!$I$77,M547=phu!$I$78),"Cam Phước Đông",""),IF(OR(M547=phu!$I$79,M547=phu!$I$80,M547=phu!$I$81,M547=phu!$I$82,M547=phu!$I$83,M547=phu!$I$84),"Cam Thịnh Đông",""),IF(OR(M547=phu!$I$85,M547=phu!$I$86,M547=phu!$I$87,M547=phu!$I$88),"Cam Thịnh Tây",""),IF(OR(M547=phu!$I$89,M547=phu!$I$90),"Cam Lập",""),IF(OR(M547=phu!$I$91,M547=phu!$I$92,M547=phu!$I$93),"Cam Bình",""),IF(OR(M547=phu!$I$94,M547=phu!$I$95,M547=phu!$I$96,M547=phu!$I$97,M547=phu!$I$98,M547=phu!$I$99,M547=phu!$I$100),"Huyện khác",""),IF(OR(M547=phu!$I$101,M547=phu!$I$102),"Tỉnh khác",""))</f>
        <v/>
      </c>
      <c r="O547" s="814" t="str">
        <f t="shared" si="49"/>
        <v/>
      </c>
      <c r="P547" s="254"/>
      <c r="Q547" s="254"/>
      <c r="R547" s="254"/>
      <c r="S547" s="254"/>
      <c r="T547" s="254"/>
      <c r="U547" s="254"/>
      <c r="V547" s="254"/>
      <c r="W547" s="254"/>
      <c r="Y547" s="246" t="str">
        <f t="shared" si="50"/>
        <v/>
      </c>
      <c r="Z547" s="247" t="str">
        <f t="shared" si="48"/>
        <v/>
      </c>
      <c r="AA547" s="246" t="str">
        <f t="shared" si="51"/>
        <v/>
      </c>
    </row>
    <row r="548" spans="1:27" ht="18" customHeight="1" x14ac:dyDescent="0.25">
      <c r="A548" s="248" t="str">
        <f t="shared" si="52"/>
        <v/>
      </c>
      <c r="B548" s="249" t="str">
        <f t="shared" si="53"/>
        <v/>
      </c>
      <c r="C548" s="250"/>
      <c r="D548" s="251"/>
      <c r="E548" s="241"/>
      <c r="F548" s="252"/>
      <c r="G548" s="252"/>
      <c r="H548" s="253"/>
      <c r="I548" s="250"/>
      <c r="J548" s="250"/>
      <c r="K548" s="270"/>
      <c r="L548" s="250"/>
      <c r="M548" s="250"/>
      <c r="N548" s="553" t="str">
        <f>CONCATENATE(IF(OR(M548=phu!$I$1,M548=phu!$I$2,M548=phu!$I$3),"Cam Thành Nam",""),IF(OR(M548=phu!$I$4,M548=phu!$I$5,M548=phu!$I$6,M548=phu!$I$7,M548=phu!$I$8,M548=phu!$I$9,M548=phu!$I$10,M548=phu!$I$11,M548=phu!$I$12,M548=phu!$I$13,M548=phu!$I$14),"Cam Nghĩa",""),IF(OR(M548=phu!$I$15,M548=phu!$I$16,M548=phu!$I$17,M548=phu!$I$18,M548=phu!$I$19,M548=phu!$I$20,M548=phu!$I$21),"Cam Phúc Bắc",""),IF(OR(M548=phu!$I$22,M548=phu!$I$23,M548=phu!$I$24,M548=phu!$I$25),"Cam Phúc Nam",""),IF(OR(M548=phu!$I$26,M548=phu!$I$27,M548=phu!$I$28,M548=phu!$I$29,M548=phu!$I$30,M548=phu!$I$31),"Cam Phú",""),IF(OR(M548=phu!$I$32,M548=phu!$I$33,M548=phu!$I$34,M548=phu!$I$35,M548=phu!$I$36,M548=phu!$I$37),"Cam Lộc",""),IF(OR(M548=phu!$I$38,M548=phu!$I$39,M548=phu!$I$40,M548=phu!$I$41,M548=phu!$I$42,M548=phu!$I$43,M548=phu!$I$44),"Cam Thuận",""),IF(OR(M548=phu!$I$45,M548=phu!$I$46,M548=phu!$I$47,M548=phu!$I$48,M548=phu!$I$49,M548=phu!$I$50,M548=phu!$I$51,M548=phu!$I$52,M548=phu!$I$53),"Cam Linh",""),IF(OR(M548=phu!$I$54,M548=phu!$I$55,M548=phu!$I$56,M548=phu!$I$57,M548=phu!$I$58,M548=phu!$I$59,M548=phu!$I$60,M548=phu!$I$61,M548=phu!$I$62),"Cam Lợi",""),IF(OR(M548=phu!$I$63,M548=phu!$I$64,M548=phu!$I$65,M548=phu!$I$66,M548=phu!$I$67,M548=phu!$I$68,M548=phu!$I$69,M548=phu!$I$70,M548=phu!$I$71),"Ba Ngòi",""),IF(OR(M548=phu!$I$72,M548=phu!$I$73,M548=phu!$I$74,M548=phu!$I$75,M548=phu!$I$76,M548=phu!$I$77,M548=phu!$I$78),"Cam Phước Đông",""),IF(OR(M548=phu!$I$79,M548=phu!$I$80,M548=phu!$I$81,M548=phu!$I$82,M548=phu!$I$83,M548=phu!$I$84),"Cam Thịnh Đông",""),IF(OR(M548=phu!$I$85,M548=phu!$I$86,M548=phu!$I$87,M548=phu!$I$88),"Cam Thịnh Tây",""),IF(OR(M548=phu!$I$89,M548=phu!$I$90),"Cam Lập",""),IF(OR(M548=phu!$I$91,M548=phu!$I$92,M548=phu!$I$93),"Cam Bình",""),IF(OR(M548=phu!$I$94,M548=phu!$I$95,M548=phu!$I$96,M548=phu!$I$97,M548=phu!$I$98,M548=phu!$I$99,M548=phu!$I$100),"Huyện khác",""),IF(OR(M548=phu!$I$101,M548=phu!$I$102),"Tỉnh khác",""))</f>
        <v/>
      </c>
      <c r="O548" s="814" t="str">
        <f t="shared" si="49"/>
        <v/>
      </c>
      <c r="P548" s="254"/>
      <c r="Q548" s="254"/>
      <c r="R548" s="254"/>
      <c r="S548" s="254"/>
      <c r="T548" s="254"/>
      <c r="U548" s="254"/>
      <c r="V548" s="254"/>
      <c r="W548" s="254"/>
      <c r="Y548" s="246" t="str">
        <f t="shared" si="50"/>
        <v/>
      </c>
      <c r="Z548" s="247" t="str">
        <f t="shared" si="48"/>
        <v/>
      </c>
      <c r="AA548" s="246" t="str">
        <f t="shared" si="51"/>
        <v/>
      </c>
    </row>
    <row r="549" spans="1:27" ht="18" customHeight="1" x14ac:dyDescent="0.25">
      <c r="A549" s="248" t="str">
        <f t="shared" si="52"/>
        <v/>
      </c>
      <c r="B549" s="249" t="str">
        <f t="shared" si="53"/>
        <v/>
      </c>
      <c r="C549" s="250"/>
      <c r="D549" s="251"/>
      <c r="E549" s="241"/>
      <c r="F549" s="252"/>
      <c r="G549" s="252"/>
      <c r="H549" s="253"/>
      <c r="I549" s="250"/>
      <c r="J549" s="250"/>
      <c r="K549" s="270"/>
      <c r="L549" s="250"/>
      <c r="M549" s="250"/>
      <c r="N549" s="553" t="str">
        <f>CONCATENATE(IF(OR(M549=phu!$I$1,M549=phu!$I$2,M549=phu!$I$3),"Cam Thành Nam",""),IF(OR(M549=phu!$I$4,M549=phu!$I$5,M549=phu!$I$6,M549=phu!$I$7,M549=phu!$I$8,M549=phu!$I$9,M549=phu!$I$10,M549=phu!$I$11,M549=phu!$I$12,M549=phu!$I$13,M549=phu!$I$14),"Cam Nghĩa",""),IF(OR(M549=phu!$I$15,M549=phu!$I$16,M549=phu!$I$17,M549=phu!$I$18,M549=phu!$I$19,M549=phu!$I$20,M549=phu!$I$21),"Cam Phúc Bắc",""),IF(OR(M549=phu!$I$22,M549=phu!$I$23,M549=phu!$I$24,M549=phu!$I$25),"Cam Phúc Nam",""),IF(OR(M549=phu!$I$26,M549=phu!$I$27,M549=phu!$I$28,M549=phu!$I$29,M549=phu!$I$30,M549=phu!$I$31),"Cam Phú",""),IF(OR(M549=phu!$I$32,M549=phu!$I$33,M549=phu!$I$34,M549=phu!$I$35,M549=phu!$I$36,M549=phu!$I$37),"Cam Lộc",""),IF(OR(M549=phu!$I$38,M549=phu!$I$39,M549=phu!$I$40,M549=phu!$I$41,M549=phu!$I$42,M549=phu!$I$43,M549=phu!$I$44),"Cam Thuận",""),IF(OR(M549=phu!$I$45,M549=phu!$I$46,M549=phu!$I$47,M549=phu!$I$48,M549=phu!$I$49,M549=phu!$I$50,M549=phu!$I$51,M549=phu!$I$52,M549=phu!$I$53),"Cam Linh",""),IF(OR(M549=phu!$I$54,M549=phu!$I$55,M549=phu!$I$56,M549=phu!$I$57,M549=phu!$I$58,M549=phu!$I$59,M549=phu!$I$60,M549=phu!$I$61,M549=phu!$I$62),"Cam Lợi",""),IF(OR(M549=phu!$I$63,M549=phu!$I$64,M549=phu!$I$65,M549=phu!$I$66,M549=phu!$I$67,M549=phu!$I$68,M549=phu!$I$69,M549=phu!$I$70,M549=phu!$I$71),"Ba Ngòi",""),IF(OR(M549=phu!$I$72,M549=phu!$I$73,M549=phu!$I$74,M549=phu!$I$75,M549=phu!$I$76,M549=phu!$I$77,M549=phu!$I$78),"Cam Phước Đông",""),IF(OR(M549=phu!$I$79,M549=phu!$I$80,M549=phu!$I$81,M549=phu!$I$82,M549=phu!$I$83,M549=phu!$I$84),"Cam Thịnh Đông",""),IF(OR(M549=phu!$I$85,M549=phu!$I$86,M549=phu!$I$87,M549=phu!$I$88),"Cam Thịnh Tây",""),IF(OR(M549=phu!$I$89,M549=phu!$I$90),"Cam Lập",""),IF(OR(M549=phu!$I$91,M549=phu!$I$92,M549=phu!$I$93),"Cam Bình",""),IF(OR(M549=phu!$I$94,M549=phu!$I$95,M549=phu!$I$96,M549=phu!$I$97,M549=phu!$I$98,M549=phu!$I$99,M549=phu!$I$100),"Huyện khác",""),IF(OR(M549=phu!$I$101,M549=phu!$I$102),"Tỉnh khác",""))</f>
        <v/>
      </c>
      <c r="O549" s="814" t="str">
        <f t="shared" si="49"/>
        <v/>
      </c>
      <c r="P549" s="254"/>
      <c r="Q549" s="254"/>
      <c r="R549" s="254"/>
      <c r="S549" s="254"/>
      <c r="T549" s="254"/>
      <c r="U549" s="254"/>
      <c r="V549" s="254"/>
      <c r="W549" s="254"/>
      <c r="Y549" s="246" t="str">
        <f t="shared" si="50"/>
        <v/>
      </c>
      <c r="Z549" s="247" t="str">
        <f t="shared" si="48"/>
        <v/>
      </c>
      <c r="AA549" s="246" t="str">
        <f t="shared" si="51"/>
        <v/>
      </c>
    </row>
    <row r="550" spans="1:27" ht="18" customHeight="1" x14ac:dyDescent="0.25">
      <c r="A550" s="248" t="str">
        <f t="shared" si="52"/>
        <v/>
      </c>
      <c r="B550" s="249" t="str">
        <f t="shared" si="53"/>
        <v/>
      </c>
      <c r="C550" s="250"/>
      <c r="D550" s="251"/>
      <c r="E550" s="241"/>
      <c r="F550" s="252"/>
      <c r="G550" s="252"/>
      <c r="H550" s="253"/>
      <c r="I550" s="250"/>
      <c r="J550" s="250"/>
      <c r="K550" s="270"/>
      <c r="L550" s="250"/>
      <c r="M550" s="250"/>
      <c r="N550" s="553" t="str">
        <f>CONCATENATE(IF(OR(M550=phu!$I$1,M550=phu!$I$2,M550=phu!$I$3),"Cam Thành Nam",""),IF(OR(M550=phu!$I$4,M550=phu!$I$5,M550=phu!$I$6,M550=phu!$I$7,M550=phu!$I$8,M550=phu!$I$9,M550=phu!$I$10,M550=phu!$I$11,M550=phu!$I$12,M550=phu!$I$13,M550=phu!$I$14),"Cam Nghĩa",""),IF(OR(M550=phu!$I$15,M550=phu!$I$16,M550=phu!$I$17,M550=phu!$I$18,M550=phu!$I$19,M550=phu!$I$20,M550=phu!$I$21),"Cam Phúc Bắc",""),IF(OR(M550=phu!$I$22,M550=phu!$I$23,M550=phu!$I$24,M550=phu!$I$25),"Cam Phúc Nam",""),IF(OR(M550=phu!$I$26,M550=phu!$I$27,M550=phu!$I$28,M550=phu!$I$29,M550=phu!$I$30,M550=phu!$I$31),"Cam Phú",""),IF(OR(M550=phu!$I$32,M550=phu!$I$33,M550=phu!$I$34,M550=phu!$I$35,M550=phu!$I$36,M550=phu!$I$37),"Cam Lộc",""),IF(OR(M550=phu!$I$38,M550=phu!$I$39,M550=phu!$I$40,M550=phu!$I$41,M550=phu!$I$42,M550=phu!$I$43,M550=phu!$I$44),"Cam Thuận",""),IF(OR(M550=phu!$I$45,M550=phu!$I$46,M550=phu!$I$47,M550=phu!$I$48,M550=phu!$I$49,M550=phu!$I$50,M550=phu!$I$51,M550=phu!$I$52,M550=phu!$I$53),"Cam Linh",""),IF(OR(M550=phu!$I$54,M550=phu!$I$55,M550=phu!$I$56,M550=phu!$I$57,M550=phu!$I$58,M550=phu!$I$59,M550=phu!$I$60,M550=phu!$I$61,M550=phu!$I$62),"Cam Lợi",""),IF(OR(M550=phu!$I$63,M550=phu!$I$64,M550=phu!$I$65,M550=phu!$I$66,M550=phu!$I$67,M550=phu!$I$68,M550=phu!$I$69,M550=phu!$I$70,M550=phu!$I$71),"Ba Ngòi",""),IF(OR(M550=phu!$I$72,M550=phu!$I$73,M550=phu!$I$74,M550=phu!$I$75,M550=phu!$I$76,M550=phu!$I$77,M550=phu!$I$78),"Cam Phước Đông",""),IF(OR(M550=phu!$I$79,M550=phu!$I$80,M550=phu!$I$81,M550=phu!$I$82,M550=phu!$I$83,M550=phu!$I$84),"Cam Thịnh Đông",""),IF(OR(M550=phu!$I$85,M550=phu!$I$86,M550=phu!$I$87,M550=phu!$I$88),"Cam Thịnh Tây",""),IF(OR(M550=phu!$I$89,M550=phu!$I$90),"Cam Lập",""),IF(OR(M550=phu!$I$91,M550=phu!$I$92,M550=phu!$I$93),"Cam Bình",""),IF(OR(M550=phu!$I$94,M550=phu!$I$95,M550=phu!$I$96,M550=phu!$I$97,M550=phu!$I$98,M550=phu!$I$99,M550=phu!$I$100),"Huyện khác",""),IF(OR(M550=phu!$I$101,M550=phu!$I$102),"Tỉnh khác",""))</f>
        <v/>
      </c>
      <c r="O550" s="814" t="str">
        <f t="shared" si="49"/>
        <v/>
      </c>
      <c r="P550" s="254"/>
      <c r="Q550" s="254"/>
      <c r="R550" s="254"/>
      <c r="S550" s="254"/>
      <c r="T550" s="254"/>
      <c r="U550" s="254"/>
      <c r="V550" s="254"/>
      <c r="W550" s="254"/>
      <c r="Y550" s="246" t="str">
        <f t="shared" si="50"/>
        <v/>
      </c>
      <c r="Z550" s="247" t="str">
        <f t="shared" si="48"/>
        <v/>
      </c>
      <c r="AA550" s="246" t="str">
        <f t="shared" si="51"/>
        <v/>
      </c>
    </row>
    <row r="551" spans="1:27" ht="18" customHeight="1" x14ac:dyDescent="0.25">
      <c r="A551" s="248" t="str">
        <f t="shared" si="52"/>
        <v/>
      </c>
      <c r="B551" s="249" t="str">
        <f t="shared" si="53"/>
        <v/>
      </c>
      <c r="C551" s="250"/>
      <c r="D551" s="251"/>
      <c r="E551" s="241"/>
      <c r="F551" s="252"/>
      <c r="G551" s="252"/>
      <c r="H551" s="253"/>
      <c r="I551" s="250"/>
      <c r="J551" s="250"/>
      <c r="K551" s="270"/>
      <c r="L551" s="250"/>
      <c r="M551" s="250"/>
      <c r="N551" s="553" t="str">
        <f>CONCATENATE(IF(OR(M551=phu!$I$1,M551=phu!$I$2,M551=phu!$I$3),"Cam Thành Nam",""),IF(OR(M551=phu!$I$4,M551=phu!$I$5,M551=phu!$I$6,M551=phu!$I$7,M551=phu!$I$8,M551=phu!$I$9,M551=phu!$I$10,M551=phu!$I$11,M551=phu!$I$12,M551=phu!$I$13,M551=phu!$I$14),"Cam Nghĩa",""),IF(OR(M551=phu!$I$15,M551=phu!$I$16,M551=phu!$I$17,M551=phu!$I$18,M551=phu!$I$19,M551=phu!$I$20,M551=phu!$I$21),"Cam Phúc Bắc",""),IF(OR(M551=phu!$I$22,M551=phu!$I$23,M551=phu!$I$24,M551=phu!$I$25),"Cam Phúc Nam",""),IF(OR(M551=phu!$I$26,M551=phu!$I$27,M551=phu!$I$28,M551=phu!$I$29,M551=phu!$I$30,M551=phu!$I$31),"Cam Phú",""),IF(OR(M551=phu!$I$32,M551=phu!$I$33,M551=phu!$I$34,M551=phu!$I$35,M551=phu!$I$36,M551=phu!$I$37),"Cam Lộc",""),IF(OR(M551=phu!$I$38,M551=phu!$I$39,M551=phu!$I$40,M551=phu!$I$41,M551=phu!$I$42,M551=phu!$I$43,M551=phu!$I$44),"Cam Thuận",""),IF(OR(M551=phu!$I$45,M551=phu!$I$46,M551=phu!$I$47,M551=phu!$I$48,M551=phu!$I$49,M551=phu!$I$50,M551=phu!$I$51,M551=phu!$I$52,M551=phu!$I$53),"Cam Linh",""),IF(OR(M551=phu!$I$54,M551=phu!$I$55,M551=phu!$I$56,M551=phu!$I$57,M551=phu!$I$58,M551=phu!$I$59,M551=phu!$I$60,M551=phu!$I$61,M551=phu!$I$62),"Cam Lợi",""),IF(OR(M551=phu!$I$63,M551=phu!$I$64,M551=phu!$I$65,M551=phu!$I$66,M551=phu!$I$67,M551=phu!$I$68,M551=phu!$I$69,M551=phu!$I$70,M551=phu!$I$71),"Ba Ngòi",""),IF(OR(M551=phu!$I$72,M551=phu!$I$73,M551=phu!$I$74,M551=phu!$I$75,M551=phu!$I$76,M551=phu!$I$77,M551=phu!$I$78),"Cam Phước Đông",""),IF(OR(M551=phu!$I$79,M551=phu!$I$80,M551=phu!$I$81,M551=phu!$I$82,M551=phu!$I$83,M551=phu!$I$84),"Cam Thịnh Đông",""),IF(OR(M551=phu!$I$85,M551=phu!$I$86,M551=phu!$I$87,M551=phu!$I$88),"Cam Thịnh Tây",""),IF(OR(M551=phu!$I$89,M551=phu!$I$90),"Cam Lập",""),IF(OR(M551=phu!$I$91,M551=phu!$I$92,M551=phu!$I$93),"Cam Bình",""),IF(OR(M551=phu!$I$94,M551=phu!$I$95,M551=phu!$I$96,M551=phu!$I$97,M551=phu!$I$98,M551=phu!$I$99,M551=phu!$I$100),"Huyện khác",""),IF(OR(M551=phu!$I$101,M551=phu!$I$102),"Tỉnh khác",""))</f>
        <v/>
      </c>
      <c r="O551" s="814" t="str">
        <f t="shared" si="49"/>
        <v/>
      </c>
      <c r="P551" s="254"/>
      <c r="Q551" s="254"/>
      <c r="R551" s="254"/>
      <c r="S551" s="254"/>
      <c r="T551" s="254"/>
      <c r="U551" s="254"/>
      <c r="V551" s="254"/>
      <c r="W551" s="254"/>
      <c r="Y551" s="246" t="str">
        <f t="shared" si="50"/>
        <v/>
      </c>
      <c r="Z551" s="247" t="str">
        <f t="shared" si="48"/>
        <v/>
      </c>
      <c r="AA551" s="246" t="str">
        <f t="shared" si="51"/>
        <v/>
      </c>
    </row>
    <row r="552" spans="1:27" ht="18" customHeight="1" x14ac:dyDescent="0.25">
      <c r="A552" s="248" t="str">
        <f t="shared" si="52"/>
        <v/>
      </c>
      <c r="B552" s="249" t="str">
        <f t="shared" si="53"/>
        <v/>
      </c>
      <c r="C552" s="250"/>
      <c r="D552" s="251"/>
      <c r="E552" s="241"/>
      <c r="F552" s="252"/>
      <c r="G552" s="252"/>
      <c r="H552" s="253"/>
      <c r="I552" s="250"/>
      <c r="J552" s="250"/>
      <c r="K552" s="270"/>
      <c r="L552" s="250"/>
      <c r="M552" s="250"/>
      <c r="N552" s="553" t="str">
        <f>CONCATENATE(IF(OR(M552=phu!$I$1,M552=phu!$I$2,M552=phu!$I$3),"Cam Thành Nam",""),IF(OR(M552=phu!$I$4,M552=phu!$I$5,M552=phu!$I$6,M552=phu!$I$7,M552=phu!$I$8,M552=phu!$I$9,M552=phu!$I$10,M552=phu!$I$11,M552=phu!$I$12,M552=phu!$I$13,M552=phu!$I$14),"Cam Nghĩa",""),IF(OR(M552=phu!$I$15,M552=phu!$I$16,M552=phu!$I$17,M552=phu!$I$18,M552=phu!$I$19,M552=phu!$I$20,M552=phu!$I$21),"Cam Phúc Bắc",""),IF(OR(M552=phu!$I$22,M552=phu!$I$23,M552=phu!$I$24,M552=phu!$I$25),"Cam Phúc Nam",""),IF(OR(M552=phu!$I$26,M552=phu!$I$27,M552=phu!$I$28,M552=phu!$I$29,M552=phu!$I$30,M552=phu!$I$31),"Cam Phú",""),IF(OR(M552=phu!$I$32,M552=phu!$I$33,M552=phu!$I$34,M552=phu!$I$35,M552=phu!$I$36,M552=phu!$I$37),"Cam Lộc",""),IF(OR(M552=phu!$I$38,M552=phu!$I$39,M552=phu!$I$40,M552=phu!$I$41,M552=phu!$I$42,M552=phu!$I$43,M552=phu!$I$44),"Cam Thuận",""),IF(OR(M552=phu!$I$45,M552=phu!$I$46,M552=phu!$I$47,M552=phu!$I$48,M552=phu!$I$49,M552=phu!$I$50,M552=phu!$I$51,M552=phu!$I$52,M552=phu!$I$53),"Cam Linh",""),IF(OR(M552=phu!$I$54,M552=phu!$I$55,M552=phu!$I$56,M552=phu!$I$57,M552=phu!$I$58,M552=phu!$I$59,M552=phu!$I$60,M552=phu!$I$61,M552=phu!$I$62),"Cam Lợi",""),IF(OR(M552=phu!$I$63,M552=phu!$I$64,M552=phu!$I$65,M552=phu!$I$66,M552=phu!$I$67,M552=phu!$I$68,M552=phu!$I$69,M552=phu!$I$70,M552=phu!$I$71),"Ba Ngòi",""),IF(OR(M552=phu!$I$72,M552=phu!$I$73,M552=phu!$I$74,M552=phu!$I$75,M552=phu!$I$76,M552=phu!$I$77,M552=phu!$I$78),"Cam Phước Đông",""),IF(OR(M552=phu!$I$79,M552=phu!$I$80,M552=phu!$I$81,M552=phu!$I$82,M552=phu!$I$83,M552=phu!$I$84),"Cam Thịnh Đông",""),IF(OR(M552=phu!$I$85,M552=phu!$I$86,M552=phu!$I$87,M552=phu!$I$88),"Cam Thịnh Tây",""),IF(OR(M552=phu!$I$89,M552=phu!$I$90),"Cam Lập",""),IF(OR(M552=phu!$I$91,M552=phu!$I$92,M552=phu!$I$93),"Cam Bình",""),IF(OR(M552=phu!$I$94,M552=phu!$I$95,M552=phu!$I$96,M552=phu!$I$97,M552=phu!$I$98,M552=phu!$I$99,M552=phu!$I$100),"Huyện khác",""),IF(OR(M552=phu!$I$101,M552=phu!$I$102),"Tỉnh khác",""))</f>
        <v/>
      </c>
      <c r="O552" s="814" t="str">
        <f t="shared" si="49"/>
        <v/>
      </c>
      <c r="P552" s="254"/>
      <c r="Q552" s="254"/>
      <c r="R552" s="254"/>
      <c r="S552" s="254"/>
      <c r="T552" s="254"/>
      <c r="U552" s="254"/>
      <c r="V552" s="254"/>
      <c r="W552" s="254"/>
      <c r="Y552" s="246" t="str">
        <f t="shared" si="50"/>
        <v/>
      </c>
      <c r="Z552" s="247" t="str">
        <f t="shared" si="48"/>
        <v/>
      </c>
      <c r="AA552" s="246" t="str">
        <f t="shared" si="51"/>
        <v/>
      </c>
    </row>
    <row r="553" spans="1:27" ht="18" customHeight="1" x14ac:dyDescent="0.25">
      <c r="A553" s="248" t="str">
        <f t="shared" si="52"/>
        <v/>
      </c>
      <c r="B553" s="249" t="str">
        <f t="shared" si="53"/>
        <v/>
      </c>
      <c r="C553" s="250"/>
      <c r="D553" s="251"/>
      <c r="E553" s="241"/>
      <c r="F553" s="252"/>
      <c r="G553" s="252"/>
      <c r="H553" s="253"/>
      <c r="I553" s="250"/>
      <c r="J553" s="250"/>
      <c r="K553" s="270"/>
      <c r="L553" s="250"/>
      <c r="M553" s="250"/>
      <c r="N553" s="553" t="str">
        <f>CONCATENATE(IF(OR(M553=phu!$I$1,M553=phu!$I$2,M553=phu!$I$3),"Cam Thành Nam",""),IF(OR(M553=phu!$I$4,M553=phu!$I$5,M553=phu!$I$6,M553=phu!$I$7,M553=phu!$I$8,M553=phu!$I$9,M553=phu!$I$10,M553=phu!$I$11,M553=phu!$I$12,M553=phu!$I$13,M553=phu!$I$14),"Cam Nghĩa",""),IF(OR(M553=phu!$I$15,M553=phu!$I$16,M553=phu!$I$17,M553=phu!$I$18,M553=phu!$I$19,M553=phu!$I$20,M553=phu!$I$21),"Cam Phúc Bắc",""),IF(OR(M553=phu!$I$22,M553=phu!$I$23,M553=phu!$I$24,M553=phu!$I$25),"Cam Phúc Nam",""),IF(OR(M553=phu!$I$26,M553=phu!$I$27,M553=phu!$I$28,M553=phu!$I$29,M553=phu!$I$30,M553=phu!$I$31),"Cam Phú",""),IF(OR(M553=phu!$I$32,M553=phu!$I$33,M553=phu!$I$34,M553=phu!$I$35,M553=phu!$I$36,M553=phu!$I$37),"Cam Lộc",""),IF(OR(M553=phu!$I$38,M553=phu!$I$39,M553=phu!$I$40,M553=phu!$I$41,M553=phu!$I$42,M553=phu!$I$43,M553=phu!$I$44),"Cam Thuận",""),IF(OR(M553=phu!$I$45,M553=phu!$I$46,M553=phu!$I$47,M553=phu!$I$48,M553=phu!$I$49,M553=phu!$I$50,M553=phu!$I$51,M553=phu!$I$52,M553=phu!$I$53),"Cam Linh",""),IF(OR(M553=phu!$I$54,M553=phu!$I$55,M553=phu!$I$56,M553=phu!$I$57,M553=phu!$I$58,M553=phu!$I$59,M553=phu!$I$60,M553=phu!$I$61,M553=phu!$I$62),"Cam Lợi",""),IF(OR(M553=phu!$I$63,M553=phu!$I$64,M553=phu!$I$65,M553=phu!$I$66,M553=phu!$I$67,M553=phu!$I$68,M553=phu!$I$69,M553=phu!$I$70,M553=phu!$I$71),"Ba Ngòi",""),IF(OR(M553=phu!$I$72,M553=phu!$I$73,M553=phu!$I$74,M553=phu!$I$75,M553=phu!$I$76,M553=phu!$I$77,M553=phu!$I$78),"Cam Phước Đông",""),IF(OR(M553=phu!$I$79,M553=phu!$I$80,M553=phu!$I$81,M553=phu!$I$82,M553=phu!$I$83,M553=phu!$I$84),"Cam Thịnh Đông",""),IF(OR(M553=phu!$I$85,M553=phu!$I$86,M553=phu!$I$87,M553=phu!$I$88),"Cam Thịnh Tây",""),IF(OR(M553=phu!$I$89,M553=phu!$I$90),"Cam Lập",""),IF(OR(M553=phu!$I$91,M553=phu!$I$92,M553=phu!$I$93),"Cam Bình",""),IF(OR(M553=phu!$I$94,M553=phu!$I$95,M553=phu!$I$96,M553=phu!$I$97,M553=phu!$I$98,M553=phu!$I$99,M553=phu!$I$100),"Huyện khác",""),IF(OR(M553=phu!$I$101,M553=phu!$I$102),"Tỉnh khác",""))</f>
        <v/>
      </c>
      <c r="O553" s="814" t="str">
        <f t="shared" si="49"/>
        <v/>
      </c>
      <c r="P553" s="254"/>
      <c r="Q553" s="254"/>
      <c r="R553" s="254"/>
      <c r="S553" s="254"/>
      <c r="T553" s="254"/>
      <c r="U553" s="254"/>
      <c r="V553" s="254"/>
      <c r="W553" s="254"/>
      <c r="Y553" s="246" t="str">
        <f t="shared" si="50"/>
        <v/>
      </c>
      <c r="Z553" s="247" t="str">
        <f t="shared" si="48"/>
        <v/>
      </c>
      <c r="AA553" s="246" t="str">
        <f t="shared" si="51"/>
        <v/>
      </c>
    </row>
    <row r="554" spans="1:27" ht="18" customHeight="1" x14ac:dyDescent="0.25">
      <c r="A554" s="248" t="str">
        <f t="shared" si="52"/>
        <v/>
      </c>
      <c r="B554" s="249" t="str">
        <f t="shared" si="53"/>
        <v/>
      </c>
      <c r="C554" s="250"/>
      <c r="D554" s="251"/>
      <c r="E554" s="241"/>
      <c r="F554" s="252"/>
      <c r="G554" s="252"/>
      <c r="H554" s="253"/>
      <c r="I554" s="250"/>
      <c r="J554" s="250"/>
      <c r="K554" s="270"/>
      <c r="L554" s="250"/>
      <c r="M554" s="250"/>
      <c r="N554" s="553" t="str">
        <f>CONCATENATE(IF(OR(M554=phu!$I$1,M554=phu!$I$2,M554=phu!$I$3),"Cam Thành Nam",""),IF(OR(M554=phu!$I$4,M554=phu!$I$5,M554=phu!$I$6,M554=phu!$I$7,M554=phu!$I$8,M554=phu!$I$9,M554=phu!$I$10,M554=phu!$I$11,M554=phu!$I$12,M554=phu!$I$13,M554=phu!$I$14),"Cam Nghĩa",""),IF(OR(M554=phu!$I$15,M554=phu!$I$16,M554=phu!$I$17,M554=phu!$I$18,M554=phu!$I$19,M554=phu!$I$20,M554=phu!$I$21),"Cam Phúc Bắc",""),IF(OR(M554=phu!$I$22,M554=phu!$I$23,M554=phu!$I$24,M554=phu!$I$25),"Cam Phúc Nam",""),IF(OR(M554=phu!$I$26,M554=phu!$I$27,M554=phu!$I$28,M554=phu!$I$29,M554=phu!$I$30,M554=phu!$I$31),"Cam Phú",""),IF(OR(M554=phu!$I$32,M554=phu!$I$33,M554=phu!$I$34,M554=phu!$I$35,M554=phu!$I$36,M554=phu!$I$37),"Cam Lộc",""),IF(OR(M554=phu!$I$38,M554=phu!$I$39,M554=phu!$I$40,M554=phu!$I$41,M554=phu!$I$42,M554=phu!$I$43,M554=phu!$I$44),"Cam Thuận",""),IF(OR(M554=phu!$I$45,M554=phu!$I$46,M554=phu!$I$47,M554=phu!$I$48,M554=phu!$I$49,M554=phu!$I$50,M554=phu!$I$51,M554=phu!$I$52,M554=phu!$I$53),"Cam Linh",""),IF(OR(M554=phu!$I$54,M554=phu!$I$55,M554=phu!$I$56,M554=phu!$I$57,M554=phu!$I$58,M554=phu!$I$59,M554=phu!$I$60,M554=phu!$I$61,M554=phu!$I$62),"Cam Lợi",""),IF(OR(M554=phu!$I$63,M554=phu!$I$64,M554=phu!$I$65,M554=phu!$I$66,M554=phu!$I$67,M554=phu!$I$68,M554=phu!$I$69,M554=phu!$I$70,M554=phu!$I$71),"Ba Ngòi",""),IF(OR(M554=phu!$I$72,M554=phu!$I$73,M554=phu!$I$74,M554=phu!$I$75,M554=phu!$I$76,M554=phu!$I$77,M554=phu!$I$78),"Cam Phước Đông",""),IF(OR(M554=phu!$I$79,M554=phu!$I$80,M554=phu!$I$81,M554=phu!$I$82,M554=phu!$I$83,M554=phu!$I$84),"Cam Thịnh Đông",""),IF(OR(M554=phu!$I$85,M554=phu!$I$86,M554=phu!$I$87,M554=phu!$I$88),"Cam Thịnh Tây",""),IF(OR(M554=phu!$I$89,M554=phu!$I$90),"Cam Lập",""),IF(OR(M554=phu!$I$91,M554=phu!$I$92,M554=phu!$I$93),"Cam Bình",""),IF(OR(M554=phu!$I$94,M554=phu!$I$95,M554=phu!$I$96,M554=phu!$I$97,M554=phu!$I$98,M554=phu!$I$99,M554=phu!$I$100),"Huyện khác",""),IF(OR(M554=phu!$I$101,M554=phu!$I$102),"Tỉnh khác",""))</f>
        <v/>
      </c>
      <c r="O554" s="814" t="str">
        <f t="shared" si="49"/>
        <v/>
      </c>
      <c r="P554" s="254"/>
      <c r="Q554" s="254"/>
      <c r="R554" s="254"/>
      <c r="S554" s="254"/>
      <c r="T554" s="254"/>
      <c r="U554" s="254"/>
      <c r="V554" s="254"/>
      <c r="W554" s="254"/>
      <c r="Y554" s="246" t="str">
        <f t="shared" si="50"/>
        <v/>
      </c>
      <c r="Z554" s="247" t="str">
        <f t="shared" si="48"/>
        <v/>
      </c>
      <c r="AA554" s="246" t="str">
        <f t="shared" si="51"/>
        <v/>
      </c>
    </row>
    <row r="555" spans="1:27" ht="18" customHeight="1" x14ac:dyDescent="0.25">
      <c r="A555" s="248" t="str">
        <f t="shared" si="52"/>
        <v/>
      </c>
      <c r="B555" s="249" t="str">
        <f t="shared" si="53"/>
        <v/>
      </c>
      <c r="C555" s="250"/>
      <c r="D555" s="251"/>
      <c r="E555" s="241"/>
      <c r="F555" s="252"/>
      <c r="G555" s="252"/>
      <c r="H555" s="253"/>
      <c r="I555" s="250"/>
      <c r="J555" s="250"/>
      <c r="K555" s="270"/>
      <c r="L555" s="250"/>
      <c r="M555" s="250"/>
      <c r="N555" s="553" t="str">
        <f>CONCATENATE(IF(OR(M555=phu!$I$1,M555=phu!$I$2,M555=phu!$I$3),"Cam Thành Nam",""),IF(OR(M555=phu!$I$4,M555=phu!$I$5,M555=phu!$I$6,M555=phu!$I$7,M555=phu!$I$8,M555=phu!$I$9,M555=phu!$I$10,M555=phu!$I$11,M555=phu!$I$12,M555=phu!$I$13,M555=phu!$I$14),"Cam Nghĩa",""),IF(OR(M555=phu!$I$15,M555=phu!$I$16,M555=phu!$I$17,M555=phu!$I$18,M555=phu!$I$19,M555=phu!$I$20,M555=phu!$I$21),"Cam Phúc Bắc",""),IF(OR(M555=phu!$I$22,M555=phu!$I$23,M555=phu!$I$24,M555=phu!$I$25),"Cam Phúc Nam",""),IF(OR(M555=phu!$I$26,M555=phu!$I$27,M555=phu!$I$28,M555=phu!$I$29,M555=phu!$I$30,M555=phu!$I$31),"Cam Phú",""),IF(OR(M555=phu!$I$32,M555=phu!$I$33,M555=phu!$I$34,M555=phu!$I$35,M555=phu!$I$36,M555=phu!$I$37),"Cam Lộc",""),IF(OR(M555=phu!$I$38,M555=phu!$I$39,M555=phu!$I$40,M555=phu!$I$41,M555=phu!$I$42,M555=phu!$I$43,M555=phu!$I$44),"Cam Thuận",""),IF(OR(M555=phu!$I$45,M555=phu!$I$46,M555=phu!$I$47,M555=phu!$I$48,M555=phu!$I$49,M555=phu!$I$50,M555=phu!$I$51,M555=phu!$I$52,M555=phu!$I$53),"Cam Linh",""),IF(OR(M555=phu!$I$54,M555=phu!$I$55,M555=phu!$I$56,M555=phu!$I$57,M555=phu!$I$58,M555=phu!$I$59,M555=phu!$I$60,M555=phu!$I$61,M555=phu!$I$62),"Cam Lợi",""),IF(OR(M555=phu!$I$63,M555=phu!$I$64,M555=phu!$I$65,M555=phu!$I$66,M555=phu!$I$67,M555=phu!$I$68,M555=phu!$I$69,M555=phu!$I$70,M555=phu!$I$71),"Ba Ngòi",""),IF(OR(M555=phu!$I$72,M555=phu!$I$73,M555=phu!$I$74,M555=phu!$I$75,M555=phu!$I$76,M555=phu!$I$77,M555=phu!$I$78),"Cam Phước Đông",""),IF(OR(M555=phu!$I$79,M555=phu!$I$80,M555=phu!$I$81,M555=phu!$I$82,M555=phu!$I$83,M555=phu!$I$84),"Cam Thịnh Đông",""),IF(OR(M555=phu!$I$85,M555=phu!$I$86,M555=phu!$I$87,M555=phu!$I$88),"Cam Thịnh Tây",""),IF(OR(M555=phu!$I$89,M555=phu!$I$90),"Cam Lập",""),IF(OR(M555=phu!$I$91,M555=phu!$I$92,M555=phu!$I$93),"Cam Bình",""),IF(OR(M555=phu!$I$94,M555=phu!$I$95,M555=phu!$I$96,M555=phu!$I$97,M555=phu!$I$98,M555=phu!$I$99,M555=phu!$I$100),"Huyện khác",""),IF(OR(M555=phu!$I$101,M555=phu!$I$102),"Tỉnh khác",""))</f>
        <v/>
      </c>
      <c r="O555" s="814" t="str">
        <f t="shared" si="49"/>
        <v/>
      </c>
      <c r="P555" s="254"/>
      <c r="Q555" s="254"/>
      <c r="R555" s="254"/>
      <c r="S555" s="254"/>
      <c r="T555" s="254"/>
      <c r="U555" s="254"/>
      <c r="V555" s="254"/>
      <c r="W555" s="254"/>
      <c r="Y555" s="246" t="str">
        <f t="shared" si="50"/>
        <v/>
      </c>
      <c r="Z555" s="247" t="str">
        <f t="shared" si="48"/>
        <v/>
      </c>
      <c r="AA555" s="246" t="str">
        <f t="shared" si="51"/>
        <v/>
      </c>
    </row>
    <row r="556" spans="1:27" ht="18" customHeight="1" x14ac:dyDescent="0.25">
      <c r="A556" s="248" t="str">
        <f t="shared" si="52"/>
        <v/>
      </c>
      <c r="B556" s="249" t="str">
        <f t="shared" si="53"/>
        <v/>
      </c>
      <c r="C556" s="250"/>
      <c r="D556" s="251"/>
      <c r="E556" s="241"/>
      <c r="F556" s="252"/>
      <c r="G556" s="252"/>
      <c r="H556" s="253"/>
      <c r="I556" s="250"/>
      <c r="J556" s="250"/>
      <c r="K556" s="270"/>
      <c r="L556" s="250"/>
      <c r="M556" s="250"/>
      <c r="N556" s="553" t="str">
        <f>CONCATENATE(IF(OR(M556=phu!$I$1,M556=phu!$I$2,M556=phu!$I$3),"Cam Thành Nam",""),IF(OR(M556=phu!$I$4,M556=phu!$I$5,M556=phu!$I$6,M556=phu!$I$7,M556=phu!$I$8,M556=phu!$I$9,M556=phu!$I$10,M556=phu!$I$11,M556=phu!$I$12,M556=phu!$I$13,M556=phu!$I$14),"Cam Nghĩa",""),IF(OR(M556=phu!$I$15,M556=phu!$I$16,M556=phu!$I$17,M556=phu!$I$18,M556=phu!$I$19,M556=phu!$I$20,M556=phu!$I$21),"Cam Phúc Bắc",""),IF(OR(M556=phu!$I$22,M556=phu!$I$23,M556=phu!$I$24,M556=phu!$I$25),"Cam Phúc Nam",""),IF(OR(M556=phu!$I$26,M556=phu!$I$27,M556=phu!$I$28,M556=phu!$I$29,M556=phu!$I$30,M556=phu!$I$31),"Cam Phú",""),IF(OR(M556=phu!$I$32,M556=phu!$I$33,M556=phu!$I$34,M556=phu!$I$35,M556=phu!$I$36,M556=phu!$I$37),"Cam Lộc",""),IF(OR(M556=phu!$I$38,M556=phu!$I$39,M556=phu!$I$40,M556=phu!$I$41,M556=phu!$I$42,M556=phu!$I$43,M556=phu!$I$44),"Cam Thuận",""),IF(OR(M556=phu!$I$45,M556=phu!$I$46,M556=phu!$I$47,M556=phu!$I$48,M556=phu!$I$49,M556=phu!$I$50,M556=phu!$I$51,M556=phu!$I$52,M556=phu!$I$53),"Cam Linh",""),IF(OR(M556=phu!$I$54,M556=phu!$I$55,M556=phu!$I$56,M556=phu!$I$57,M556=phu!$I$58,M556=phu!$I$59,M556=phu!$I$60,M556=phu!$I$61,M556=phu!$I$62),"Cam Lợi",""),IF(OR(M556=phu!$I$63,M556=phu!$I$64,M556=phu!$I$65,M556=phu!$I$66,M556=phu!$I$67,M556=phu!$I$68,M556=phu!$I$69,M556=phu!$I$70,M556=phu!$I$71),"Ba Ngòi",""),IF(OR(M556=phu!$I$72,M556=phu!$I$73,M556=phu!$I$74,M556=phu!$I$75,M556=phu!$I$76,M556=phu!$I$77,M556=phu!$I$78),"Cam Phước Đông",""),IF(OR(M556=phu!$I$79,M556=phu!$I$80,M556=phu!$I$81,M556=phu!$I$82,M556=phu!$I$83,M556=phu!$I$84),"Cam Thịnh Đông",""),IF(OR(M556=phu!$I$85,M556=phu!$I$86,M556=phu!$I$87,M556=phu!$I$88),"Cam Thịnh Tây",""),IF(OR(M556=phu!$I$89,M556=phu!$I$90),"Cam Lập",""),IF(OR(M556=phu!$I$91,M556=phu!$I$92,M556=phu!$I$93),"Cam Bình",""),IF(OR(M556=phu!$I$94,M556=phu!$I$95,M556=phu!$I$96,M556=phu!$I$97,M556=phu!$I$98,M556=phu!$I$99,M556=phu!$I$100),"Huyện khác",""),IF(OR(M556=phu!$I$101,M556=phu!$I$102),"Tỉnh khác",""))</f>
        <v/>
      </c>
      <c r="O556" s="814" t="str">
        <f t="shared" si="49"/>
        <v/>
      </c>
      <c r="P556" s="254"/>
      <c r="Q556" s="254"/>
      <c r="R556" s="254"/>
      <c r="S556" s="254"/>
      <c r="T556" s="254"/>
      <c r="U556" s="254"/>
      <c r="V556" s="254"/>
      <c r="W556" s="254"/>
      <c r="Y556" s="246" t="str">
        <f t="shared" si="50"/>
        <v/>
      </c>
      <c r="Z556" s="247" t="str">
        <f t="shared" si="48"/>
        <v/>
      </c>
      <c r="AA556" s="246" t="str">
        <f t="shared" si="51"/>
        <v/>
      </c>
    </row>
    <row r="557" spans="1:27" ht="18" customHeight="1" x14ac:dyDescent="0.25">
      <c r="A557" s="248" t="str">
        <f t="shared" si="52"/>
        <v/>
      </c>
      <c r="B557" s="249" t="str">
        <f t="shared" si="53"/>
        <v/>
      </c>
      <c r="C557" s="250"/>
      <c r="D557" s="251"/>
      <c r="E557" s="241"/>
      <c r="F557" s="252"/>
      <c r="G557" s="252"/>
      <c r="H557" s="253"/>
      <c r="I557" s="250"/>
      <c r="J557" s="250"/>
      <c r="K557" s="270"/>
      <c r="L557" s="250"/>
      <c r="M557" s="250"/>
      <c r="N557" s="553" t="str">
        <f>CONCATENATE(IF(OR(M557=phu!$I$1,M557=phu!$I$2,M557=phu!$I$3),"Cam Thành Nam",""),IF(OR(M557=phu!$I$4,M557=phu!$I$5,M557=phu!$I$6,M557=phu!$I$7,M557=phu!$I$8,M557=phu!$I$9,M557=phu!$I$10,M557=phu!$I$11,M557=phu!$I$12,M557=phu!$I$13,M557=phu!$I$14),"Cam Nghĩa",""),IF(OR(M557=phu!$I$15,M557=phu!$I$16,M557=phu!$I$17,M557=phu!$I$18,M557=phu!$I$19,M557=phu!$I$20,M557=phu!$I$21),"Cam Phúc Bắc",""),IF(OR(M557=phu!$I$22,M557=phu!$I$23,M557=phu!$I$24,M557=phu!$I$25),"Cam Phúc Nam",""),IF(OR(M557=phu!$I$26,M557=phu!$I$27,M557=phu!$I$28,M557=phu!$I$29,M557=phu!$I$30,M557=phu!$I$31),"Cam Phú",""),IF(OR(M557=phu!$I$32,M557=phu!$I$33,M557=phu!$I$34,M557=phu!$I$35,M557=phu!$I$36,M557=phu!$I$37),"Cam Lộc",""),IF(OR(M557=phu!$I$38,M557=phu!$I$39,M557=phu!$I$40,M557=phu!$I$41,M557=phu!$I$42,M557=phu!$I$43,M557=phu!$I$44),"Cam Thuận",""),IF(OR(M557=phu!$I$45,M557=phu!$I$46,M557=phu!$I$47,M557=phu!$I$48,M557=phu!$I$49,M557=phu!$I$50,M557=phu!$I$51,M557=phu!$I$52,M557=phu!$I$53),"Cam Linh",""),IF(OR(M557=phu!$I$54,M557=phu!$I$55,M557=phu!$I$56,M557=phu!$I$57,M557=phu!$I$58,M557=phu!$I$59,M557=phu!$I$60,M557=phu!$I$61,M557=phu!$I$62),"Cam Lợi",""),IF(OR(M557=phu!$I$63,M557=phu!$I$64,M557=phu!$I$65,M557=phu!$I$66,M557=phu!$I$67,M557=phu!$I$68,M557=phu!$I$69,M557=phu!$I$70,M557=phu!$I$71),"Ba Ngòi",""),IF(OR(M557=phu!$I$72,M557=phu!$I$73,M557=phu!$I$74,M557=phu!$I$75,M557=phu!$I$76,M557=phu!$I$77,M557=phu!$I$78),"Cam Phước Đông",""),IF(OR(M557=phu!$I$79,M557=phu!$I$80,M557=phu!$I$81,M557=phu!$I$82,M557=phu!$I$83,M557=phu!$I$84),"Cam Thịnh Đông",""),IF(OR(M557=phu!$I$85,M557=phu!$I$86,M557=phu!$I$87,M557=phu!$I$88),"Cam Thịnh Tây",""),IF(OR(M557=phu!$I$89,M557=phu!$I$90),"Cam Lập",""),IF(OR(M557=phu!$I$91,M557=phu!$I$92,M557=phu!$I$93),"Cam Bình",""),IF(OR(M557=phu!$I$94,M557=phu!$I$95,M557=phu!$I$96,M557=phu!$I$97,M557=phu!$I$98,M557=phu!$I$99,M557=phu!$I$100),"Huyện khác",""),IF(OR(M557=phu!$I$101,M557=phu!$I$102),"Tỉnh khác",""))</f>
        <v/>
      </c>
      <c r="O557" s="814" t="str">
        <f t="shared" si="49"/>
        <v/>
      </c>
      <c r="P557" s="254"/>
      <c r="Q557" s="254"/>
      <c r="R557" s="254"/>
      <c r="S557" s="254"/>
      <c r="T557" s="254"/>
      <c r="U557" s="254"/>
      <c r="V557" s="254"/>
      <c r="W557" s="254"/>
      <c r="Y557" s="246" t="str">
        <f t="shared" si="50"/>
        <v/>
      </c>
      <c r="Z557" s="247" t="str">
        <f t="shared" si="48"/>
        <v/>
      </c>
      <c r="AA557" s="246" t="str">
        <f t="shared" si="51"/>
        <v/>
      </c>
    </row>
    <row r="558" spans="1:27" ht="18" customHeight="1" x14ac:dyDescent="0.25">
      <c r="A558" s="248" t="str">
        <f t="shared" si="52"/>
        <v/>
      </c>
      <c r="B558" s="249" t="str">
        <f t="shared" si="53"/>
        <v/>
      </c>
      <c r="C558" s="250"/>
      <c r="D558" s="251"/>
      <c r="E558" s="241"/>
      <c r="F558" s="252"/>
      <c r="G558" s="252"/>
      <c r="H558" s="253"/>
      <c r="I558" s="250"/>
      <c r="J558" s="250"/>
      <c r="K558" s="270"/>
      <c r="L558" s="250"/>
      <c r="M558" s="250"/>
      <c r="N558" s="553" t="str">
        <f>CONCATENATE(IF(OR(M558=phu!$I$1,M558=phu!$I$2,M558=phu!$I$3),"Cam Thành Nam",""),IF(OR(M558=phu!$I$4,M558=phu!$I$5,M558=phu!$I$6,M558=phu!$I$7,M558=phu!$I$8,M558=phu!$I$9,M558=phu!$I$10,M558=phu!$I$11,M558=phu!$I$12,M558=phu!$I$13,M558=phu!$I$14),"Cam Nghĩa",""),IF(OR(M558=phu!$I$15,M558=phu!$I$16,M558=phu!$I$17,M558=phu!$I$18,M558=phu!$I$19,M558=phu!$I$20,M558=phu!$I$21),"Cam Phúc Bắc",""),IF(OR(M558=phu!$I$22,M558=phu!$I$23,M558=phu!$I$24,M558=phu!$I$25),"Cam Phúc Nam",""),IF(OR(M558=phu!$I$26,M558=phu!$I$27,M558=phu!$I$28,M558=phu!$I$29,M558=phu!$I$30,M558=phu!$I$31),"Cam Phú",""),IF(OR(M558=phu!$I$32,M558=phu!$I$33,M558=phu!$I$34,M558=phu!$I$35,M558=phu!$I$36,M558=phu!$I$37),"Cam Lộc",""),IF(OR(M558=phu!$I$38,M558=phu!$I$39,M558=phu!$I$40,M558=phu!$I$41,M558=phu!$I$42,M558=phu!$I$43,M558=phu!$I$44),"Cam Thuận",""),IF(OR(M558=phu!$I$45,M558=phu!$I$46,M558=phu!$I$47,M558=phu!$I$48,M558=phu!$I$49,M558=phu!$I$50,M558=phu!$I$51,M558=phu!$I$52,M558=phu!$I$53),"Cam Linh",""),IF(OR(M558=phu!$I$54,M558=phu!$I$55,M558=phu!$I$56,M558=phu!$I$57,M558=phu!$I$58,M558=phu!$I$59,M558=phu!$I$60,M558=phu!$I$61,M558=phu!$I$62),"Cam Lợi",""),IF(OR(M558=phu!$I$63,M558=phu!$I$64,M558=phu!$I$65,M558=phu!$I$66,M558=phu!$I$67,M558=phu!$I$68,M558=phu!$I$69,M558=phu!$I$70,M558=phu!$I$71),"Ba Ngòi",""),IF(OR(M558=phu!$I$72,M558=phu!$I$73,M558=phu!$I$74,M558=phu!$I$75,M558=phu!$I$76,M558=phu!$I$77,M558=phu!$I$78),"Cam Phước Đông",""),IF(OR(M558=phu!$I$79,M558=phu!$I$80,M558=phu!$I$81,M558=phu!$I$82,M558=phu!$I$83,M558=phu!$I$84),"Cam Thịnh Đông",""),IF(OR(M558=phu!$I$85,M558=phu!$I$86,M558=phu!$I$87,M558=phu!$I$88),"Cam Thịnh Tây",""),IF(OR(M558=phu!$I$89,M558=phu!$I$90),"Cam Lập",""),IF(OR(M558=phu!$I$91,M558=phu!$I$92,M558=phu!$I$93),"Cam Bình",""),IF(OR(M558=phu!$I$94,M558=phu!$I$95,M558=phu!$I$96,M558=phu!$I$97,M558=phu!$I$98,M558=phu!$I$99,M558=phu!$I$100),"Huyện khác",""),IF(OR(M558=phu!$I$101,M558=phu!$I$102),"Tỉnh khác",""))</f>
        <v/>
      </c>
      <c r="O558" s="814" t="str">
        <f t="shared" si="49"/>
        <v/>
      </c>
      <c r="P558" s="254"/>
      <c r="Q558" s="254"/>
      <c r="R558" s="254"/>
      <c r="S558" s="254"/>
      <c r="T558" s="254"/>
      <c r="U558" s="254"/>
      <c r="V558" s="254"/>
      <c r="W558" s="254"/>
      <c r="Y558" s="246" t="str">
        <f t="shared" si="50"/>
        <v/>
      </c>
      <c r="Z558" s="247" t="str">
        <f t="shared" si="48"/>
        <v/>
      </c>
      <c r="AA558" s="246" t="str">
        <f t="shared" si="51"/>
        <v/>
      </c>
    </row>
    <row r="559" spans="1:27" ht="18" customHeight="1" x14ac:dyDescent="0.25">
      <c r="A559" s="248" t="str">
        <f t="shared" si="52"/>
        <v/>
      </c>
      <c r="B559" s="249" t="str">
        <f t="shared" si="53"/>
        <v/>
      </c>
      <c r="C559" s="250"/>
      <c r="D559" s="251"/>
      <c r="E559" s="241"/>
      <c r="F559" s="252"/>
      <c r="G559" s="252"/>
      <c r="H559" s="253"/>
      <c r="I559" s="250"/>
      <c r="J559" s="250"/>
      <c r="K559" s="270"/>
      <c r="L559" s="250"/>
      <c r="M559" s="250"/>
      <c r="N559" s="553" t="str">
        <f>CONCATENATE(IF(OR(M559=phu!$I$1,M559=phu!$I$2,M559=phu!$I$3),"Cam Thành Nam",""),IF(OR(M559=phu!$I$4,M559=phu!$I$5,M559=phu!$I$6,M559=phu!$I$7,M559=phu!$I$8,M559=phu!$I$9,M559=phu!$I$10,M559=phu!$I$11,M559=phu!$I$12,M559=phu!$I$13,M559=phu!$I$14),"Cam Nghĩa",""),IF(OR(M559=phu!$I$15,M559=phu!$I$16,M559=phu!$I$17,M559=phu!$I$18,M559=phu!$I$19,M559=phu!$I$20,M559=phu!$I$21),"Cam Phúc Bắc",""),IF(OR(M559=phu!$I$22,M559=phu!$I$23,M559=phu!$I$24,M559=phu!$I$25),"Cam Phúc Nam",""),IF(OR(M559=phu!$I$26,M559=phu!$I$27,M559=phu!$I$28,M559=phu!$I$29,M559=phu!$I$30,M559=phu!$I$31),"Cam Phú",""),IF(OR(M559=phu!$I$32,M559=phu!$I$33,M559=phu!$I$34,M559=phu!$I$35,M559=phu!$I$36,M559=phu!$I$37),"Cam Lộc",""),IF(OR(M559=phu!$I$38,M559=phu!$I$39,M559=phu!$I$40,M559=phu!$I$41,M559=phu!$I$42,M559=phu!$I$43,M559=phu!$I$44),"Cam Thuận",""),IF(OR(M559=phu!$I$45,M559=phu!$I$46,M559=phu!$I$47,M559=phu!$I$48,M559=phu!$I$49,M559=phu!$I$50,M559=phu!$I$51,M559=phu!$I$52,M559=phu!$I$53),"Cam Linh",""),IF(OR(M559=phu!$I$54,M559=phu!$I$55,M559=phu!$I$56,M559=phu!$I$57,M559=phu!$I$58,M559=phu!$I$59,M559=phu!$I$60,M559=phu!$I$61,M559=phu!$I$62),"Cam Lợi",""),IF(OR(M559=phu!$I$63,M559=phu!$I$64,M559=phu!$I$65,M559=phu!$I$66,M559=phu!$I$67,M559=phu!$I$68,M559=phu!$I$69,M559=phu!$I$70,M559=phu!$I$71),"Ba Ngòi",""),IF(OR(M559=phu!$I$72,M559=phu!$I$73,M559=phu!$I$74,M559=phu!$I$75,M559=phu!$I$76,M559=phu!$I$77,M559=phu!$I$78),"Cam Phước Đông",""),IF(OR(M559=phu!$I$79,M559=phu!$I$80,M559=phu!$I$81,M559=phu!$I$82,M559=phu!$I$83,M559=phu!$I$84),"Cam Thịnh Đông",""),IF(OR(M559=phu!$I$85,M559=phu!$I$86,M559=phu!$I$87,M559=phu!$I$88),"Cam Thịnh Tây",""),IF(OR(M559=phu!$I$89,M559=phu!$I$90),"Cam Lập",""),IF(OR(M559=phu!$I$91,M559=phu!$I$92,M559=phu!$I$93),"Cam Bình",""),IF(OR(M559=phu!$I$94,M559=phu!$I$95,M559=phu!$I$96,M559=phu!$I$97,M559=phu!$I$98,M559=phu!$I$99,M559=phu!$I$100),"Huyện khác",""),IF(OR(M559=phu!$I$101,M559=phu!$I$102),"Tỉnh khác",""))</f>
        <v/>
      </c>
      <c r="O559" s="814" t="str">
        <f t="shared" si="49"/>
        <v/>
      </c>
      <c r="P559" s="254"/>
      <c r="Q559" s="254"/>
      <c r="R559" s="254"/>
      <c r="S559" s="254"/>
      <c r="T559" s="254"/>
      <c r="U559" s="254"/>
      <c r="V559" s="254"/>
      <c r="W559" s="254"/>
      <c r="Y559" s="246" t="str">
        <f t="shared" si="50"/>
        <v/>
      </c>
      <c r="Z559" s="247" t="str">
        <f t="shared" si="48"/>
        <v/>
      </c>
      <c r="AA559" s="246" t="str">
        <f t="shared" si="51"/>
        <v/>
      </c>
    </row>
    <row r="560" spans="1:27" ht="18" customHeight="1" x14ac:dyDescent="0.25">
      <c r="A560" s="248" t="str">
        <f t="shared" si="52"/>
        <v/>
      </c>
      <c r="B560" s="249" t="str">
        <f t="shared" si="53"/>
        <v/>
      </c>
      <c r="C560" s="250"/>
      <c r="D560" s="251"/>
      <c r="E560" s="241"/>
      <c r="F560" s="252"/>
      <c r="G560" s="252"/>
      <c r="H560" s="253"/>
      <c r="I560" s="250"/>
      <c r="J560" s="250"/>
      <c r="K560" s="270"/>
      <c r="L560" s="250"/>
      <c r="M560" s="250"/>
      <c r="N560" s="553" t="str">
        <f>CONCATENATE(IF(OR(M560=phu!$I$1,M560=phu!$I$2,M560=phu!$I$3),"Cam Thành Nam",""),IF(OR(M560=phu!$I$4,M560=phu!$I$5,M560=phu!$I$6,M560=phu!$I$7,M560=phu!$I$8,M560=phu!$I$9,M560=phu!$I$10,M560=phu!$I$11,M560=phu!$I$12,M560=phu!$I$13,M560=phu!$I$14),"Cam Nghĩa",""),IF(OR(M560=phu!$I$15,M560=phu!$I$16,M560=phu!$I$17,M560=phu!$I$18,M560=phu!$I$19,M560=phu!$I$20,M560=phu!$I$21),"Cam Phúc Bắc",""),IF(OR(M560=phu!$I$22,M560=phu!$I$23,M560=phu!$I$24,M560=phu!$I$25),"Cam Phúc Nam",""),IF(OR(M560=phu!$I$26,M560=phu!$I$27,M560=phu!$I$28,M560=phu!$I$29,M560=phu!$I$30,M560=phu!$I$31),"Cam Phú",""),IF(OR(M560=phu!$I$32,M560=phu!$I$33,M560=phu!$I$34,M560=phu!$I$35,M560=phu!$I$36,M560=phu!$I$37),"Cam Lộc",""),IF(OR(M560=phu!$I$38,M560=phu!$I$39,M560=phu!$I$40,M560=phu!$I$41,M560=phu!$I$42,M560=phu!$I$43,M560=phu!$I$44),"Cam Thuận",""),IF(OR(M560=phu!$I$45,M560=phu!$I$46,M560=phu!$I$47,M560=phu!$I$48,M560=phu!$I$49,M560=phu!$I$50,M560=phu!$I$51,M560=phu!$I$52,M560=phu!$I$53),"Cam Linh",""),IF(OR(M560=phu!$I$54,M560=phu!$I$55,M560=phu!$I$56,M560=phu!$I$57,M560=phu!$I$58,M560=phu!$I$59,M560=phu!$I$60,M560=phu!$I$61,M560=phu!$I$62),"Cam Lợi",""),IF(OR(M560=phu!$I$63,M560=phu!$I$64,M560=phu!$I$65,M560=phu!$I$66,M560=phu!$I$67,M560=phu!$I$68,M560=phu!$I$69,M560=phu!$I$70,M560=phu!$I$71),"Ba Ngòi",""),IF(OR(M560=phu!$I$72,M560=phu!$I$73,M560=phu!$I$74,M560=phu!$I$75,M560=phu!$I$76,M560=phu!$I$77,M560=phu!$I$78),"Cam Phước Đông",""),IF(OR(M560=phu!$I$79,M560=phu!$I$80,M560=phu!$I$81,M560=phu!$I$82,M560=phu!$I$83,M560=phu!$I$84),"Cam Thịnh Đông",""),IF(OR(M560=phu!$I$85,M560=phu!$I$86,M560=phu!$I$87,M560=phu!$I$88),"Cam Thịnh Tây",""),IF(OR(M560=phu!$I$89,M560=phu!$I$90),"Cam Lập",""),IF(OR(M560=phu!$I$91,M560=phu!$I$92,M560=phu!$I$93),"Cam Bình",""),IF(OR(M560=phu!$I$94,M560=phu!$I$95,M560=phu!$I$96,M560=phu!$I$97,M560=phu!$I$98,M560=phu!$I$99,M560=phu!$I$100),"Huyện khác",""),IF(OR(M560=phu!$I$101,M560=phu!$I$102),"Tỉnh khác",""))</f>
        <v/>
      </c>
      <c r="O560" s="814" t="str">
        <f t="shared" si="49"/>
        <v/>
      </c>
      <c r="P560" s="254"/>
      <c r="Q560" s="254"/>
      <c r="R560" s="254"/>
      <c r="S560" s="254"/>
      <c r="T560" s="254"/>
      <c r="U560" s="254"/>
      <c r="V560" s="254"/>
      <c r="W560" s="254"/>
      <c r="Y560" s="246" t="str">
        <f t="shared" si="50"/>
        <v/>
      </c>
      <c r="Z560" s="247" t="str">
        <f t="shared" si="48"/>
        <v/>
      </c>
      <c r="AA560" s="246" t="str">
        <f t="shared" si="51"/>
        <v/>
      </c>
    </row>
    <row r="561" spans="1:27" ht="18" customHeight="1" x14ac:dyDescent="0.25">
      <c r="A561" s="248" t="str">
        <f t="shared" si="52"/>
        <v/>
      </c>
      <c r="B561" s="249" t="str">
        <f t="shared" si="53"/>
        <v/>
      </c>
      <c r="C561" s="250"/>
      <c r="D561" s="251"/>
      <c r="E561" s="241"/>
      <c r="F561" s="252"/>
      <c r="G561" s="252"/>
      <c r="H561" s="253"/>
      <c r="I561" s="250"/>
      <c r="J561" s="250"/>
      <c r="K561" s="270"/>
      <c r="L561" s="250"/>
      <c r="M561" s="250"/>
      <c r="N561" s="553" t="str">
        <f>CONCATENATE(IF(OR(M561=phu!$I$1,M561=phu!$I$2,M561=phu!$I$3),"Cam Thành Nam",""),IF(OR(M561=phu!$I$4,M561=phu!$I$5,M561=phu!$I$6,M561=phu!$I$7,M561=phu!$I$8,M561=phu!$I$9,M561=phu!$I$10,M561=phu!$I$11,M561=phu!$I$12,M561=phu!$I$13,M561=phu!$I$14),"Cam Nghĩa",""),IF(OR(M561=phu!$I$15,M561=phu!$I$16,M561=phu!$I$17,M561=phu!$I$18,M561=phu!$I$19,M561=phu!$I$20,M561=phu!$I$21),"Cam Phúc Bắc",""),IF(OR(M561=phu!$I$22,M561=phu!$I$23,M561=phu!$I$24,M561=phu!$I$25),"Cam Phúc Nam",""),IF(OR(M561=phu!$I$26,M561=phu!$I$27,M561=phu!$I$28,M561=phu!$I$29,M561=phu!$I$30,M561=phu!$I$31),"Cam Phú",""),IF(OR(M561=phu!$I$32,M561=phu!$I$33,M561=phu!$I$34,M561=phu!$I$35,M561=phu!$I$36,M561=phu!$I$37),"Cam Lộc",""),IF(OR(M561=phu!$I$38,M561=phu!$I$39,M561=phu!$I$40,M561=phu!$I$41,M561=phu!$I$42,M561=phu!$I$43,M561=phu!$I$44),"Cam Thuận",""),IF(OR(M561=phu!$I$45,M561=phu!$I$46,M561=phu!$I$47,M561=phu!$I$48,M561=phu!$I$49,M561=phu!$I$50,M561=phu!$I$51,M561=phu!$I$52,M561=phu!$I$53),"Cam Linh",""),IF(OR(M561=phu!$I$54,M561=phu!$I$55,M561=phu!$I$56,M561=phu!$I$57,M561=phu!$I$58,M561=phu!$I$59,M561=phu!$I$60,M561=phu!$I$61,M561=phu!$I$62),"Cam Lợi",""),IF(OR(M561=phu!$I$63,M561=phu!$I$64,M561=phu!$I$65,M561=phu!$I$66,M561=phu!$I$67,M561=phu!$I$68,M561=phu!$I$69,M561=phu!$I$70,M561=phu!$I$71),"Ba Ngòi",""),IF(OR(M561=phu!$I$72,M561=phu!$I$73,M561=phu!$I$74,M561=phu!$I$75,M561=phu!$I$76,M561=phu!$I$77,M561=phu!$I$78),"Cam Phước Đông",""),IF(OR(M561=phu!$I$79,M561=phu!$I$80,M561=phu!$I$81,M561=phu!$I$82,M561=phu!$I$83,M561=phu!$I$84),"Cam Thịnh Đông",""),IF(OR(M561=phu!$I$85,M561=phu!$I$86,M561=phu!$I$87,M561=phu!$I$88),"Cam Thịnh Tây",""),IF(OR(M561=phu!$I$89,M561=phu!$I$90),"Cam Lập",""),IF(OR(M561=phu!$I$91,M561=phu!$I$92,M561=phu!$I$93),"Cam Bình",""),IF(OR(M561=phu!$I$94,M561=phu!$I$95,M561=phu!$I$96,M561=phu!$I$97,M561=phu!$I$98,M561=phu!$I$99,M561=phu!$I$100),"Huyện khác",""),IF(OR(M561=phu!$I$101,M561=phu!$I$102),"Tỉnh khác",""))</f>
        <v/>
      </c>
      <c r="O561" s="814" t="str">
        <f t="shared" si="49"/>
        <v/>
      </c>
      <c r="P561" s="254"/>
      <c r="Q561" s="254"/>
      <c r="R561" s="254"/>
      <c r="S561" s="254"/>
      <c r="T561" s="254"/>
      <c r="U561" s="254"/>
      <c r="V561" s="254"/>
      <c r="W561" s="254"/>
      <c r="Y561" s="246" t="str">
        <f t="shared" si="50"/>
        <v/>
      </c>
      <c r="Z561" s="247" t="str">
        <f t="shared" si="48"/>
        <v/>
      </c>
      <c r="AA561" s="246" t="str">
        <f t="shared" si="51"/>
        <v/>
      </c>
    </row>
    <row r="562" spans="1:27" ht="18" customHeight="1" x14ac:dyDescent="0.25">
      <c r="A562" s="248" t="str">
        <f t="shared" si="52"/>
        <v/>
      </c>
      <c r="B562" s="249" t="str">
        <f t="shared" si="53"/>
        <v/>
      </c>
      <c r="C562" s="250"/>
      <c r="D562" s="251"/>
      <c r="E562" s="241"/>
      <c r="F562" s="252"/>
      <c r="G562" s="252"/>
      <c r="H562" s="253"/>
      <c r="I562" s="250"/>
      <c r="J562" s="250"/>
      <c r="K562" s="270"/>
      <c r="L562" s="250"/>
      <c r="M562" s="250"/>
      <c r="N562" s="553" t="str">
        <f>CONCATENATE(IF(OR(M562=phu!$I$1,M562=phu!$I$2,M562=phu!$I$3),"Cam Thành Nam",""),IF(OR(M562=phu!$I$4,M562=phu!$I$5,M562=phu!$I$6,M562=phu!$I$7,M562=phu!$I$8,M562=phu!$I$9,M562=phu!$I$10,M562=phu!$I$11,M562=phu!$I$12,M562=phu!$I$13,M562=phu!$I$14),"Cam Nghĩa",""),IF(OR(M562=phu!$I$15,M562=phu!$I$16,M562=phu!$I$17,M562=phu!$I$18,M562=phu!$I$19,M562=phu!$I$20,M562=phu!$I$21),"Cam Phúc Bắc",""),IF(OR(M562=phu!$I$22,M562=phu!$I$23,M562=phu!$I$24,M562=phu!$I$25),"Cam Phúc Nam",""),IF(OR(M562=phu!$I$26,M562=phu!$I$27,M562=phu!$I$28,M562=phu!$I$29,M562=phu!$I$30,M562=phu!$I$31),"Cam Phú",""),IF(OR(M562=phu!$I$32,M562=phu!$I$33,M562=phu!$I$34,M562=phu!$I$35,M562=phu!$I$36,M562=phu!$I$37),"Cam Lộc",""),IF(OR(M562=phu!$I$38,M562=phu!$I$39,M562=phu!$I$40,M562=phu!$I$41,M562=phu!$I$42,M562=phu!$I$43,M562=phu!$I$44),"Cam Thuận",""),IF(OR(M562=phu!$I$45,M562=phu!$I$46,M562=phu!$I$47,M562=phu!$I$48,M562=phu!$I$49,M562=phu!$I$50,M562=phu!$I$51,M562=phu!$I$52,M562=phu!$I$53),"Cam Linh",""),IF(OR(M562=phu!$I$54,M562=phu!$I$55,M562=phu!$I$56,M562=phu!$I$57,M562=phu!$I$58,M562=phu!$I$59,M562=phu!$I$60,M562=phu!$I$61,M562=phu!$I$62),"Cam Lợi",""),IF(OR(M562=phu!$I$63,M562=phu!$I$64,M562=phu!$I$65,M562=phu!$I$66,M562=phu!$I$67,M562=phu!$I$68,M562=phu!$I$69,M562=phu!$I$70,M562=phu!$I$71),"Ba Ngòi",""),IF(OR(M562=phu!$I$72,M562=phu!$I$73,M562=phu!$I$74,M562=phu!$I$75,M562=phu!$I$76,M562=phu!$I$77,M562=phu!$I$78),"Cam Phước Đông",""),IF(OR(M562=phu!$I$79,M562=phu!$I$80,M562=phu!$I$81,M562=phu!$I$82,M562=phu!$I$83,M562=phu!$I$84),"Cam Thịnh Đông",""),IF(OR(M562=phu!$I$85,M562=phu!$I$86,M562=phu!$I$87,M562=phu!$I$88),"Cam Thịnh Tây",""),IF(OR(M562=phu!$I$89,M562=phu!$I$90),"Cam Lập",""),IF(OR(M562=phu!$I$91,M562=phu!$I$92,M562=phu!$I$93),"Cam Bình",""),IF(OR(M562=phu!$I$94,M562=phu!$I$95,M562=phu!$I$96,M562=phu!$I$97,M562=phu!$I$98,M562=phu!$I$99,M562=phu!$I$100),"Huyện khác",""),IF(OR(M562=phu!$I$101,M562=phu!$I$102),"Tỉnh khác",""))</f>
        <v/>
      </c>
      <c r="O562" s="814" t="str">
        <f t="shared" si="49"/>
        <v/>
      </c>
      <c r="P562" s="254"/>
      <c r="Q562" s="254"/>
      <c r="R562" s="254"/>
      <c r="S562" s="254"/>
      <c r="T562" s="254"/>
      <c r="U562" s="254"/>
      <c r="V562" s="254"/>
      <c r="W562" s="254"/>
      <c r="Y562" s="246" t="str">
        <f t="shared" si="50"/>
        <v/>
      </c>
      <c r="Z562" s="247" t="str">
        <f t="shared" si="48"/>
        <v/>
      </c>
      <c r="AA562" s="246" t="str">
        <f t="shared" si="51"/>
        <v/>
      </c>
    </row>
    <row r="563" spans="1:27" ht="18" customHeight="1" x14ac:dyDescent="0.25">
      <c r="A563" s="248" t="str">
        <f t="shared" si="52"/>
        <v/>
      </c>
      <c r="B563" s="249" t="str">
        <f t="shared" si="53"/>
        <v/>
      </c>
      <c r="C563" s="250"/>
      <c r="D563" s="251"/>
      <c r="E563" s="241"/>
      <c r="F563" s="252"/>
      <c r="G563" s="252"/>
      <c r="H563" s="253"/>
      <c r="I563" s="250"/>
      <c r="J563" s="250"/>
      <c r="K563" s="270"/>
      <c r="L563" s="250"/>
      <c r="M563" s="250"/>
      <c r="N563" s="553" t="str">
        <f>CONCATENATE(IF(OR(M563=phu!$I$1,M563=phu!$I$2,M563=phu!$I$3),"Cam Thành Nam",""),IF(OR(M563=phu!$I$4,M563=phu!$I$5,M563=phu!$I$6,M563=phu!$I$7,M563=phu!$I$8,M563=phu!$I$9,M563=phu!$I$10,M563=phu!$I$11,M563=phu!$I$12,M563=phu!$I$13,M563=phu!$I$14),"Cam Nghĩa",""),IF(OR(M563=phu!$I$15,M563=phu!$I$16,M563=phu!$I$17,M563=phu!$I$18,M563=phu!$I$19,M563=phu!$I$20,M563=phu!$I$21),"Cam Phúc Bắc",""),IF(OR(M563=phu!$I$22,M563=phu!$I$23,M563=phu!$I$24,M563=phu!$I$25),"Cam Phúc Nam",""),IF(OR(M563=phu!$I$26,M563=phu!$I$27,M563=phu!$I$28,M563=phu!$I$29,M563=phu!$I$30,M563=phu!$I$31),"Cam Phú",""),IF(OR(M563=phu!$I$32,M563=phu!$I$33,M563=phu!$I$34,M563=phu!$I$35,M563=phu!$I$36,M563=phu!$I$37),"Cam Lộc",""),IF(OR(M563=phu!$I$38,M563=phu!$I$39,M563=phu!$I$40,M563=phu!$I$41,M563=phu!$I$42,M563=phu!$I$43,M563=phu!$I$44),"Cam Thuận",""),IF(OR(M563=phu!$I$45,M563=phu!$I$46,M563=phu!$I$47,M563=phu!$I$48,M563=phu!$I$49,M563=phu!$I$50,M563=phu!$I$51,M563=phu!$I$52,M563=phu!$I$53),"Cam Linh",""),IF(OR(M563=phu!$I$54,M563=phu!$I$55,M563=phu!$I$56,M563=phu!$I$57,M563=phu!$I$58,M563=phu!$I$59,M563=phu!$I$60,M563=phu!$I$61,M563=phu!$I$62),"Cam Lợi",""),IF(OR(M563=phu!$I$63,M563=phu!$I$64,M563=phu!$I$65,M563=phu!$I$66,M563=phu!$I$67,M563=phu!$I$68,M563=phu!$I$69,M563=phu!$I$70,M563=phu!$I$71),"Ba Ngòi",""),IF(OR(M563=phu!$I$72,M563=phu!$I$73,M563=phu!$I$74,M563=phu!$I$75,M563=phu!$I$76,M563=phu!$I$77,M563=phu!$I$78),"Cam Phước Đông",""),IF(OR(M563=phu!$I$79,M563=phu!$I$80,M563=phu!$I$81,M563=phu!$I$82,M563=phu!$I$83,M563=phu!$I$84),"Cam Thịnh Đông",""),IF(OR(M563=phu!$I$85,M563=phu!$I$86,M563=phu!$I$87,M563=phu!$I$88),"Cam Thịnh Tây",""),IF(OR(M563=phu!$I$89,M563=phu!$I$90),"Cam Lập",""),IF(OR(M563=phu!$I$91,M563=phu!$I$92,M563=phu!$I$93),"Cam Bình",""),IF(OR(M563=phu!$I$94,M563=phu!$I$95,M563=phu!$I$96,M563=phu!$I$97,M563=phu!$I$98,M563=phu!$I$99,M563=phu!$I$100),"Huyện khác",""),IF(OR(M563=phu!$I$101,M563=phu!$I$102),"Tỉnh khác",""))</f>
        <v/>
      </c>
      <c r="O563" s="814" t="str">
        <f t="shared" si="49"/>
        <v/>
      </c>
      <c r="P563" s="254"/>
      <c r="Q563" s="254"/>
      <c r="R563" s="254"/>
      <c r="S563" s="254"/>
      <c r="T563" s="254"/>
      <c r="U563" s="254"/>
      <c r="V563" s="254"/>
      <c r="W563" s="254"/>
      <c r="Y563" s="246" t="str">
        <f t="shared" si="50"/>
        <v/>
      </c>
      <c r="Z563" s="247" t="str">
        <f t="shared" si="48"/>
        <v/>
      </c>
      <c r="AA563" s="246" t="str">
        <f t="shared" si="51"/>
        <v/>
      </c>
    </row>
    <row r="564" spans="1:27" ht="18" customHeight="1" x14ac:dyDescent="0.25">
      <c r="A564" s="248" t="str">
        <f t="shared" si="52"/>
        <v/>
      </c>
      <c r="B564" s="249" t="str">
        <f t="shared" si="53"/>
        <v/>
      </c>
      <c r="C564" s="250"/>
      <c r="D564" s="251"/>
      <c r="E564" s="241"/>
      <c r="F564" s="252"/>
      <c r="G564" s="252"/>
      <c r="H564" s="253"/>
      <c r="I564" s="250"/>
      <c r="J564" s="250"/>
      <c r="K564" s="270"/>
      <c r="L564" s="250"/>
      <c r="M564" s="250"/>
      <c r="N564" s="553" t="str">
        <f>CONCATENATE(IF(OR(M564=phu!$I$1,M564=phu!$I$2,M564=phu!$I$3),"Cam Thành Nam",""),IF(OR(M564=phu!$I$4,M564=phu!$I$5,M564=phu!$I$6,M564=phu!$I$7,M564=phu!$I$8,M564=phu!$I$9,M564=phu!$I$10,M564=phu!$I$11,M564=phu!$I$12,M564=phu!$I$13,M564=phu!$I$14),"Cam Nghĩa",""),IF(OR(M564=phu!$I$15,M564=phu!$I$16,M564=phu!$I$17,M564=phu!$I$18,M564=phu!$I$19,M564=phu!$I$20,M564=phu!$I$21),"Cam Phúc Bắc",""),IF(OR(M564=phu!$I$22,M564=phu!$I$23,M564=phu!$I$24,M564=phu!$I$25),"Cam Phúc Nam",""),IF(OR(M564=phu!$I$26,M564=phu!$I$27,M564=phu!$I$28,M564=phu!$I$29,M564=phu!$I$30,M564=phu!$I$31),"Cam Phú",""),IF(OR(M564=phu!$I$32,M564=phu!$I$33,M564=phu!$I$34,M564=phu!$I$35,M564=phu!$I$36,M564=phu!$I$37),"Cam Lộc",""),IF(OR(M564=phu!$I$38,M564=phu!$I$39,M564=phu!$I$40,M564=phu!$I$41,M564=phu!$I$42,M564=phu!$I$43,M564=phu!$I$44),"Cam Thuận",""),IF(OR(M564=phu!$I$45,M564=phu!$I$46,M564=phu!$I$47,M564=phu!$I$48,M564=phu!$I$49,M564=phu!$I$50,M564=phu!$I$51,M564=phu!$I$52,M564=phu!$I$53),"Cam Linh",""),IF(OR(M564=phu!$I$54,M564=phu!$I$55,M564=phu!$I$56,M564=phu!$I$57,M564=phu!$I$58,M564=phu!$I$59,M564=phu!$I$60,M564=phu!$I$61,M564=phu!$I$62),"Cam Lợi",""),IF(OR(M564=phu!$I$63,M564=phu!$I$64,M564=phu!$I$65,M564=phu!$I$66,M564=phu!$I$67,M564=phu!$I$68,M564=phu!$I$69,M564=phu!$I$70,M564=phu!$I$71),"Ba Ngòi",""),IF(OR(M564=phu!$I$72,M564=phu!$I$73,M564=phu!$I$74,M564=phu!$I$75,M564=phu!$I$76,M564=phu!$I$77,M564=phu!$I$78),"Cam Phước Đông",""),IF(OR(M564=phu!$I$79,M564=phu!$I$80,M564=phu!$I$81,M564=phu!$I$82,M564=phu!$I$83,M564=phu!$I$84),"Cam Thịnh Đông",""),IF(OR(M564=phu!$I$85,M564=phu!$I$86,M564=phu!$I$87,M564=phu!$I$88),"Cam Thịnh Tây",""),IF(OR(M564=phu!$I$89,M564=phu!$I$90),"Cam Lập",""),IF(OR(M564=phu!$I$91,M564=phu!$I$92,M564=phu!$I$93),"Cam Bình",""),IF(OR(M564=phu!$I$94,M564=phu!$I$95,M564=phu!$I$96,M564=phu!$I$97,M564=phu!$I$98,M564=phu!$I$99,M564=phu!$I$100),"Huyện khác",""),IF(OR(M564=phu!$I$101,M564=phu!$I$102),"Tỉnh khác",""))</f>
        <v/>
      </c>
      <c r="O564" s="814" t="str">
        <f t="shared" si="49"/>
        <v/>
      </c>
      <c r="P564" s="254"/>
      <c r="Q564" s="254"/>
      <c r="R564" s="254"/>
      <c r="S564" s="254"/>
      <c r="T564" s="254"/>
      <c r="U564" s="254"/>
      <c r="V564" s="254"/>
      <c r="W564" s="254"/>
      <c r="Y564" s="246" t="str">
        <f t="shared" si="50"/>
        <v/>
      </c>
      <c r="Z564" s="247" t="str">
        <f t="shared" si="48"/>
        <v/>
      </c>
      <c r="AA564" s="246" t="str">
        <f t="shared" si="51"/>
        <v/>
      </c>
    </row>
    <row r="565" spans="1:27" ht="18" customHeight="1" x14ac:dyDescent="0.25">
      <c r="A565" s="248" t="str">
        <f t="shared" si="52"/>
        <v/>
      </c>
      <c r="B565" s="249" t="str">
        <f t="shared" si="53"/>
        <v/>
      </c>
      <c r="C565" s="250"/>
      <c r="D565" s="251"/>
      <c r="E565" s="241"/>
      <c r="F565" s="252"/>
      <c r="G565" s="252"/>
      <c r="H565" s="253"/>
      <c r="I565" s="250"/>
      <c r="J565" s="250"/>
      <c r="K565" s="270"/>
      <c r="L565" s="250"/>
      <c r="M565" s="250"/>
      <c r="N565" s="553" t="str">
        <f>CONCATENATE(IF(OR(M565=phu!$I$1,M565=phu!$I$2,M565=phu!$I$3),"Cam Thành Nam",""),IF(OR(M565=phu!$I$4,M565=phu!$I$5,M565=phu!$I$6,M565=phu!$I$7,M565=phu!$I$8,M565=phu!$I$9,M565=phu!$I$10,M565=phu!$I$11,M565=phu!$I$12,M565=phu!$I$13,M565=phu!$I$14),"Cam Nghĩa",""),IF(OR(M565=phu!$I$15,M565=phu!$I$16,M565=phu!$I$17,M565=phu!$I$18,M565=phu!$I$19,M565=phu!$I$20,M565=phu!$I$21),"Cam Phúc Bắc",""),IF(OR(M565=phu!$I$22,M565=phu!$I$23,M565=phu!$I$24,M565=phu!$I$25),"Cam Phúc Nam",""),IF(OR(M565=phu!$I$26,M565=phu!$I$27,M565=phu!$I$28,M565=phu!$I$29,M565=phu!$I$30,M565=phu!$I$31),"Cam Phú",""),IF(OR(M565=phu!$I$32,M565=phu!$I$33,M565=phu!$I$34,M565=phu!$I$35,M565=phu!$I$36,M565=phu!$I$37),"Cam Lộc",""),IF(OR(M565=phu!$I$38,M565=phu!$I$39,M565=phu!$I$40,M565=phu!$I$41,M565=phu!$I$42,M565=phu!$I$43,M565=phu!$I$44),"Cam Thuận",""),IF(OR(M565=phu!$I$45,M565=phu!$I$46,M565=phu!$I$47,M565=phu!$I$48,M565=phu!$I$49,M565=phu!$I$50,M565=phu!$I$51,M565=phu!$I$52,M565=phu!$I$53),"Cam Linh",""),IF(OR(M565=phu!$I$54,M565=phu!$I$55,M565=phu!$I$56,M565=phu!$I$57,M565=phu!$I$58,M565=phu!$I$59,M565=phu!$I$60,M565=phu!$I$61,M565=phu!$I$62),"Cam Lợi",""),IF(OR(M565=phu!$I$63,M565=phu!$I$64,M565=phu!$I$65,M565=phu!$I$66,M565=phu!$I$67,M565=phu!$I$68,M565=phu!$I$69,M565=phu!$I$70,M565=phu!$I$71),"Ba Ngòi",""),IF(OR(M565=phu!$I$72,M565=phu!$I$73,M565=phu!$I$74,M565=phu!$I$75,M565=phu!$I$76,M565=phu!$I$77,M565=phu!$I$78),"Cam Phước Đông",""),IF(OR(M565=phu!$I$79,M565=phu!$I$80,M565=phu!$I$81,M565=phu!$I$82,M565=phu!$I$83,M565=phu!$I$84),"Cam Thịnh Đông",""),IF(OR(M565=phu!$I$85,M565=phu!$I$86,M565=phu!$I$87,M565=phu!$I$88),"Cam Thịnh Tây",""),IF(OR(M565=phu!$I$89,M565=phu!$I$90),"Cam Lập",""),IF(OR(M565=phu!$I$91,M565=phu!$I$92,M565=phu!$I$93),"Cam Bình",""),IF(OR(M565=phu!$I$94,M565=phu!$I$95,M565=phu!$I$96,M565=phu!$I$97,M565=phu!$I$98,M565=phu!$I$99,M565=phu!$I$100),"Huyện khác",""),IF(OR(M565=phu!$I$101,M565=phu!$I$102),"Tỉnh khác",""))</f>
        <v/>
      </c>
      <c r="O565" s="814" t="str">
        <f t="shared" si="49"/>
        <v/>
      </c>
      <c r="P565" s="254"/>
      <c r="Q565" s="254"/>
      <c r="R565" s="254"/>
      <c r="S565" s="254"/>
      <c r="T565" s="254"/>
      <c r="U565" s="254"/>
      <c r="V565" s="254"/>
      <c r="W565" s="254"/>
      <c r="Y565" s="246" t="str">
        <f t="shared" si="50"/>
        <v/>
      </c>
      <c r="Z565" s="247" t="str">
        <f t="shared" si="48"/>
        <v/>
      </c>
      <c r="AA565" s="246" t="str">
        <f t="shared" si="51"/>
        <v/>
      </c>
    </row>
    <row r="566" spans="1:27" ht="18" customHeight="1" x14ac:dyDescent="0.25">
      <c r="A566" s="248" t="str">
        <f t="shared" si="52"/>
        <v/>
      </c>
      <c r="B566" s="249" t="str">
        <f t="shared" si="53"/>
        <v/>
      </c>
      <c r="C566" s="250"/>
      <c r="D566" s="251"/>
      <c r="E566" s="241"/>
      <c r="F566" s="252"/>
      <c r="G566" s="252"/>
      <c r="H566" s="253"/>
      <c r="I566" s="250"/>
      <c r="J566" s="250"/>
      <c r="K566" s="270"/>
      <c r="L566" s="250"/>
      <c r="M566" s="250"/>
      <c r="N566" s="553" t="str">
        <f>CONCATENATE(IF(OR(M566=phu!$I$1,M566=phu!$I$2,M566=phu!$I$3),"Cam Thành Nam",""),IF(OR(M566=phu!$I$4,M566=phu!$I$5,M566=phu!$I$6,M566=phu!$I$7,M566=phu!$I$8,M566=phu!$I$9,M566=phu!$I$10,M566=phu!$I$11,M566=phu!$I$12,M566=phu!$I$13,M566=phu!$I$14),"Cam Nghĩa",""),IF(OR(M566=phu!$I$15,M566=phu!$I$16,M566=phu!$I$17,M566=phu!$I$18,M566=phu!$I$19,M566=phu!$I$20,M566=phu!$I$21),"Cam Phúc Bắc",""),IF(OR(M566=phu!$I$22,M566=phu!$I$23,M566=phu!$I$24,M566=phu!$I$25),"Cam Phúc Nam",""),IF(OR(M566=phu!$I$26,M566=phu!$I$27,M566=phu!$I$28,M566=phu!$I$29,M566=phu!$I$30,M566=phu!$I$31),"Cam Phú",""),IF(OR(M566=phu!$I$32,M566=phu!$I$33,M566=phu!$I$34,M566=phu!$I$35,M566=phu!$I$36,M566=phu!$I$37),"Cam Lộc",""),IF(OR(M566=phu!$I$38,M566=phu!$I$39,M566=phu!$I$40,M566=phu!$I$41,M566=phu!$I$42,M566=phu!$I$43,M566=phu!$I$44),"Cam Thuận",""),IF(OR(M566=phu!$I$45,M566=phu!$I$46,M566=phu!$I$47,M566=phu!$I$48,M566=phu!$I$49,M566=phu!$I$50,M566=phu!$I$51,M566=phu!$I$52,M566=phu!$I$53),"Cam Linh",""),IF(OR(M566=phu!$I$54,M566=phu!$I$55,M566=phu!$I$56,M566=phu!$I$57,M566=phu!$I$58,M566=phu!$I$59,M566=phu!$I$60,M566=phu!$I$61,M566=phu!$I$62),"Cam Lợi",""),IF(OR(M566=phu!$I$63,M566=phu!$I$64,M566=phu!$I$65,M566=phu!$I$66,M566=phu!$I$67,M566=phu!$I$68,M566=phu!$I$69,M566=phu!$I$70,M566=phu!$I$71),"Ba Ngòi",""),IF(OR(M566=phu!$I$72,M566=phu!$I$73,M566=phu!$I$74,M566=phu!$I$75,M566=phu!$I$76,M566=phu!$I$77,M566=phu!$I$78),"Cam Phước Đông",""),IF(OR(M566=phu!$I$79,M566=phu!$I$80,M566=phu!$I$81,M566=phu!$I$82,M566=phu!$I$83,M566=phu!$I$84),"Cam Thịnh Đông",""),IF(OR(M566=phu!$I$85,M566=phu!$I$86,M566=phu!$I$87,M566=phu!$I$88),"Cam Thịnh Tây",""),IF(OR(M566=phu!$I$89,M566=phu!$I$90),"Cam Lập",""),IF(OR(M566=phu!$I$91,M566=phu!$I$92,M566=phu!$I$93),"Cam Bình",""),IF(OR(M566=phu!$I$94,M566=phu!$I$95,M566=phu!$I$96,M566=phu!$I$97,M566=phu!$I$98,M566=phu!$I$99,M566=phu!$I$100),"Huyện khác",""),IF(OR(M566=phu!$I$101,M566=phu!$I$102),"Tỉnh khác",""))</f>
        <v/>
      </c>
      <c r="O566" s="814" t="str">
        <f t="shared" si="49"/>
        <v/>
      </c>
      <c r="P566" s="254"/>
      <c r="Q566" s="254"/>
      <c r="R566" s="254"/>
      <c r="S566" s="254"/>
      <c r="T566" s="254"/>
      <c r="U566" s="254"/>
      <c r="V566" s="254"/>
      <c r="W566" s="254"/>
      <c r="Y566" s="246" t="str">
        <f t="shared" si="50"/>
        <v/>
      </c>
      <c r="Z566" s="247" t="str">
        <f t="shared" si="48"/>
        <v/>
      </c>
      <c r="AA566" s="246" t="str">
        <f t="shared" si="51"/>
        <v/>
      </c>
    </row>
    <row r="567" spans="1:27" ht="18" customHeight="1" x14ac:dyDescent="0.25">
      <c r="A567" s="248" t="str">
        <f t="shared" si="52"/>
        <v/>
      </c>
      <c r="B567" s="249" t="str">
        <f t="shared" si="53"/>
        <v/>
      </c>
      <c r="C567" s="250"/>
      <c r="D567" s="251"/>
      <c r="E567" s="241"/>
      <c r="F567" s="252"/>
      <c r="G567" s="252"/>
      <c r="H567" s="253"/>
      <c r="I567" s="250"/>
      <c r="J567" s="250"/>
      <c r="K567" s="270"/>
      <c r="L567" s="250"/>
      <c r="M567" s="250"/>
      <c r="N567" s="553" t="str">
        <f>CONCATENATE(IF(OR(M567=phu!$I$1,M567=phu!$I$2,M567=phu!$I$3),"Cam Thành Nam",""),IF(OR(M567=phu!$I$4,M567=phu!$I$5,M567=phu!$I$6,M567=phu!$I$7,M567=phu!$I$8,M567=phu!$I$9,M567=phu!$I$10,M567=phu!$I$11,M567=phu!$I$12,M567=phu!$I$13,M567=phu!$I$14),"Cam Nghĩa",""),IF(OR(M567=phu!$I$15,M567=phu!$I$16,M567=phu!$I$17,M567=phu!$I$18,M567=phu!$I$19,M567=phu!$I$20,M567=phu!$I$21),"Cam Phúc Bắc",""),IF(OR(M567=phu!$I$22,M567=phu!$I$23,M567=phu!$I$24,M567=phu!$I$25),"Cam Phúc Nam",""),IF(OR(M567=phu!$I$26,M567=phu!$I$27,M567=phu!$I$28,M567=phu!$I$29,M567=phu!$I$30,M567=phu!$I$31),"Cam Phú",""),IF(OR(M567=phu!$I$32,M567=phu!$I$33,M567=phu!$I$34,M567=phu!$I$35,M567=phu!$I$36,M567=phu!$I$37),"Cam Lộc",""),IF(OR(M567=phu!$I$38,M567=phu!$I$39,M567=phu!$I$40,M567=phu!$I$41,M567=phu!$I$42,M567=phu!$I$43,M567=phu!$I$44),"Cam Thuận",""),IF(OR(M567=phu!$I$45,M567=phu!$I$46,M567=phu!$I$47,M567=phu!$I$48,M567=phu!$I$49,M567=phu!$I$50,M567=phu!$I$51,M567=phu!$I$52,M567=phu!$I$53),"Cam Linh",""),IF(OR(M567=phu!$I$54,M567=phu!$I$55,M567=phu!$I$56,M567=phu!$I$57,M567=phu!$I$58,M567=phu!$I$59,M567=phu!$I$60,M567=phu!$I$61,M567=phu!$I$62),"Cam Lợi",""),IF(OR(M567=phu!$I$63,M567=phu!$I$64,M567=phu!$I$65,M567=phu!$I$66,M567=phu!$I$67,M567=phu!$I$68,M567=phu!$I$69,M567=phu!$I$70,M567=phu!$I$71),"Ba Ngòi",""),IF(OR(M567=phu!$I$72,M567=phu!$I$73,M567=phu!$I$74,M567=phu!$I$75,M567=phu!$I$76,M567=phu!$I$77,M567=phu!$I$78),"Cam Phước Đông",""),IF(OR(M567=phu!$I$79,M567=phu!$I$80,M567=phu!$I$81,M567=phu!$I$82,M567=phu!$I$83,M567=phu!$I$84),"Cam Thịnh Đông",""),IF(OR(M567=phu!$I$85,M567=phu!$I$86,M567=phu!$I$87,M567=phu!$I$88),"Cam Thịnh Tây",""),IF(OR(M567=phu!$I$89,M567=phu!$I$90),"Cam Lập",""),IF(OR(M567=phu!$I$91,M567=phu!$I$92,M567=phu!$I$93),"Cam Bình",""),IF(OR(M567=phu!$I$94,M567=phu!$I$95,M567=phu!$I$96,M567=phu!$I$97,M567=phu!$I$98,M567=phu!$I$99,M567=phu!$I$100),"Huyện khác",""),IF(OR(M567=phu!$I$101,M567=phu!$I$102),"Tỉnh khác",""))</f>
        <v/>
      </c>
      <c r="O567" s="814" t="str">
        <f t="shared" si="49"/>
        <v/>
      </c>
      <c r="P567" s="254"/>
      <c r="Q567" s="254"/>
      <c r="R567" s="254"/>
      <c r="S567" s="254"/>
      <c r="T567" s="254"/>
      <c r="U567" s="254"/>
      <c r="V567" s="254"/>
      <c r="W567" s="254"/>
      <c r="Y567" s="246" t="str">
        <f t="shared" si="50"/>
        <v/>
      </c>
      <c r="Z567" s="247" t="str">
        <f t="shared" si="48"/>
        <v/>
      </c>
      <c r="AA567" s="246" t="str">
        <f t="shared" si="51"/>
        <v/>
      </c>
    </row>
    <row r="568" spans="1:27" ht="18" customHeight="1" x14ac:dyDescent="0.25">
      <c r="A568" s="248" t="str">
        <f t="shared" si="52"/>
        <v/>
      </c>
      <c r="B568" s="249" t="str">
        <f t="shared" si="53"/>
        <v/>
      </c>
      <c r="C568" s="250"/>
      <c r="D568" s="251"/>
      <c r="E568" s="241"/>
      <c r="F568" s="252"/>
      <c r="G568" s="252"/>
      <c r="H568" s="253"/>
      <c r="I568" s="250"/>
      <c r="J568" s="250"/>
      <c r="K568" s="270"/>
      <c r="L568" s="250"/>
      <c r="M568" s="250"/>
      <c r="N568" s="553" t="str">
        <f>CONCATENATE(IF(OR(M568=phu!$I$1,M568=phu!$I$2,M568=phu!$I$3),"Cam Thành Nam",""),IF(OR(M568=phu!$I$4,M568=phu!$I$5,M568=phu!$I$6,M568=phu!$I$7,M568=phu!$I$8,M568=phu!$I$9,M568=phu!$I$10,M568=phu!$I$11,M568=phu!$I$12,M568=phu!$I$13,M568=phu!$I$14),"Cam Nghĩa",""),IF(OR(M568=phu!$I$15,M568=phu!$I$16,M568=phu!$I$17,M568=phu!$I$18,M568=phu!$I$19,M568=phu!$I$20,M568=phu!$I$21),"Cam Phúc Bắc",""),IF(OR(M568=phu!$I$22,M568=phu!$I$23,M568=phu!$I$24,M568=phu!$I$25),"Cam Phúc Nam",""),IF(OR(M568=phu!$I$26,M568=phu!$I$27,M568=phu!$I$28,M568=phu!$I$29,M568=phu!$I$30,M568=phu!$I$31),"Cam Phú",""),IF(OR(M568=phu!$I$32,M568=phu!$I$33,M568=phu!$I$34,M568=phu!$I$35,M568=phu!$I$36,M568=phu!$I$37),"Cam Lộc",""),IF(OR(M568=phu!$I$38,M568=phu!$I$39,M568=phu!$I$40,M568=phu!$I$41,M568=phu!$I$42,M568=phu!$I$43,M568=phu!$I$44),"Cam Thuận",""),IF(OR(M568=phu!$I$45,M568=phu!$I$46,M568=phu!$I$47,M568=phu!$I$48,M568=phu!$I$49,M568=phu!$I$50,M568=phu!$I$51,M568=phu!$I$52,M568=phu!$I$53),"Cam Linh",""),IF(OR(M568=phu!$I$54,M568=phu!$I$55,M568=phu!$I$56,M568=phu!$I$57,M568=phu!$I$58,M568=phu!$I$59,M568=phu!$I$60,M568=phu!$I$61,M568=phu!$I$62),"Cam Lợi",""),IF(OR(M568=phu!$I$63,M568=phu!$I$64,M568=phu!$I$65,M568=phu!$I$66,M568=phu!$I$67,M568=phu!$I$68,M568=phu!$I$69,M568=phu!$I$70,M568=phu!$I$71),"Ba Ngòi",""),IF(OR(M568=phu!$I$72,M568=phu!$I$73,M568=phu!$I$74,M568=phu!$I$75,M568=phu!$I$76,M568=phu!$I$77,M568=phu!$I$78),"Cam Phước Đông",""),IF(OR(M568=phu!$I$79,M568=phu!$I$80,M568=phu!$I$81,M568=phu!$I$82,M568=phu!$I$83,M568=phu!$I$84),"Cam Thịnh Đông",""),IF(OR(M568=phu!$I$85,M568=phu!$I$86,M568=phu!$I$87,M568=phu!$I$88),"Cam Thịnh Tây",""),IF(OR(M568=phu!$I$89,M568=phu!$I$90),"Cam Lập",""),IF(OR(M568=phu!$I$91,M568=phu!$I$92,M568=phu!$I$93),"Cam Bình",""),IF(OR(M568=phu!$I$94,M568=phu!$I$95,M568=phu!$I$96,M568=phu!$I$97,M568=phu!$I$98,M568=phu!$I$99,M568=phu!$I$100),"Huyện khác",""),IF(OR(M568=phu!$I$101,M568=phu!$I$102),"Tỉnh khác",""))</f>
        <v/>
      </c>
      <c r="O568" s="814" t="str">
        <f t="shared" si="49"/>
        <v/>
      </c>
      <c r="P568" s="254"/>
      <c r="Q568" s="254"/>
      <c r="R568" s="254"/>
      <c r="S568" s="254"/>
      <c r="T568" s="254"/>
      <c r="U568" s="254"/>
      <c r="V568" s="254"/>
      <c r="W568" s="254"/>
      <c r="Y568" s="246" t="str">
        <f t="shared" si="50"/>
        <v/>
      </c>
      <c r="Z568" s="247" t="str">
        <f t="shared" si="48"/>
        <v/>
      </c>
      <c r="AA568" s="246" t="str">
        <f t="shared" si="51"/>
        <v/>
      </c>
    </row>
    <row r="569" spans="1:27" ht="18" customHeight="1" x14ac:dyDescent="0.25">
      <c r="A569" s="248" t="str">
        <f t="shared" si="52"/>
        <v/>
      </c>
      <c r="B569" s="249" t="str">
        <f t="shared" si="53"/>
        <v/>
      </c>
      <c r="C569" s="250"/>
      <c r="D569" s="251"/>
      <c r="E569" s="241"/>
      <c r="F569" s="252"/>
      <c r="G569" s="252"/>
      <c r="H569" s="253"/>
      <c r="I569" s="250"/>
      <c r="J569" s="250"/>
      <c r="K569" s="270"/>
      <c r="L569" s="250"/>
      <c r="M569" s="250"/>
      <c r="N569" s="553" t="str">
        <f>CONCATENATE(IF(OR(M569=phu!$I$1,M569=phu!$I$2,M569=phu!$I$3),"Cam Thành Nam",""),IF(OR(M569=phu!$I$4,M569=phu!$I$5,M569=phu!$I$6,M569=phu!$I$7,M569=phu!$I$8,M569=phu!$I$9,M569=phu!$I$10,M569=phu!$I$11,M569=phu!$I$12,M569=phu!$I$13,M569=phu!$I$14),"Cam Nghĩa",""),IF(OR(M569=phu!$I$15,M569=phu!$I$16,M569=phu!$I$17,M569=phu!$I$18,M569=phu!$I$19,M569=phu!$I$20,M569=phu!$I$21),"Cam Phúc Bắc",""),IF(OR(M569=phu!$I$22,M569=phu!$I$23,M569=phu!$I$24,M569=phu!$I$25),"Cam Phúc Nam",""),IF(OR(M569=phu!$I$26,M569=phu!$I$27,M569=phu!$I$28,M569=phu!$I$29,M569=phu!$I$30,M569=phu!$I$31),"Cam Phú",""),IF(OR(M569=phu!$I$32,M569=phu!$I$33,M569=phu!$I$34,M569=phu!$I$35,M569=phu!$I$36,M569=phu!$I$37),"Cam Lộc",""),IF(OR(M569=phu!$I$38,M569=phu!$I$39,M569=phu!$I$40,M569=phu!$I$41,M569=phu!$I$42,M569=phu!$I$43,M569=phu!$I$44),"Cam Thuận",""),IF(OR(M569=phu!$I$45,M569=phu!$I$46,M569=phu!$I$47,M569=phu!$I$48,M569=phu!$I$49,M569=phu!$I$50,M569=phu!$I$51,M569=phu!$I$52,M569=phu!$I$53),"Cam Linh",""),IF(OR(M569=phu!$I$54,M569=phu!$I$55,M569=phu!$I$56,M569=phu!$I$57,M569=phu!$I$58,M569=phu!$I$59,M569=phu!$I$60,M569=phu!$I$61,M569=phu!$I$62),"Cam Lợi",""),IF(OR(M569=phu!$I$63,M569=phu!$I$64,M569=phu!$I$65,M569=phu!$I$66,M569=phu!$I$67,M569=phu!$I$68,M569=phu!$I$69,M569=phu!$I$70,M569=phu!$I$71),"Ba Ngòi",""),IF(OR(M569=phu!$I$72,M569=phu!$I$73,M569=phu!$I$74,M569=phu!$I$75,M569=phu!$I$76,M569=phu!$I$77,M569=phu!$I$78),"Cam Phước Đông",""),IF(OR(M569=phu!$I$79,M569=phu!$I$80,M569=phu!$I$81,M569=phu!$I$82,M569=phu!$I$83,M569=phu!$I$84),"Cam Thịnh Đông",""),IF(OR(M569=phu!$I$85,M569=phu!$I$86,M569=phu!$I$87,M569=phu!$I$88),"Cam Thịnh Tây",""),IF(OR(M569=phu!$I$89,M569=phu!$I$90),"Cam Lập",""),IF(OR(M569=phu!$I$91,M569=phu!$I$92,M569=phu!$I$93),"Cam Bình",""),IF(OR(M569=phu!$I$94,M569=phu!$I$95,M569=phu!$I$96,M569=phu!$I$97,M569=phu!$I$98,M569=phu!$I$99,M569=phu!$I$100),"Huyện khác",""),IF(OR(M569=phu!$I$101,M569=phu!$I$102),"Tỉnh khác",""))</f>
        <v/>
      </c>
      <c r="O569" s="814" t="str">
        <f t="shared" si="49"/>
        <v/>
      </c>
      <c r="P569" s="254"/>
      <c r="Q569" s="254"/>
      <c r="R569" s="254"/>
      <c r="S569" s="254"/>
      <c r="T569" s="254"/>
      <c r="U569" s="254"/>
      <c r="V569" s="254"/>
      <c r="W569" s="254"/>
      <c r="Y569" s="246" t="str">
        <f t="shared" si="50"/>
        <v/>
      </c>
      <c r="Z569" s="247" t="str">
        <f t="shared" si="48"/>
        <v/>
      </c>
      <c r="AA569" s="246" t="str">
        <f t="shared" si="51"/>
        <v/>
      </c>
    </row>
    <row r="570" spans="1:27" ht="18" customHeight="1" x14ac:dyDescent="0.25">
      <c r="A570" s="248" t="str">
        <f t="shared" si="52"/>
        <v/>
      </c>
      <c r="B570" s="249" t="str">
        <f t="shared" si="53"/>
        <v/>
      </c>
      <c r="C570" s="250"/>
      <c r="D570" s="251"/>
      <c r="E570" s="241"/>
      <c r="F570" s="252"/>
      <c r="G570" s="252"/>
      <c r="H570" s="253"/>
      <c r="I570" s="250"/>
      <c r="J570" s="250"/>
      <c r="K570" s="270"/>
      <c r="L570" s="250"/>
      <c r="M570" s="250"/>
      <c r="N570" s="553" t="str">
        <f>CONCATENATE(IF(OR(M570=phu!$I$1,M570=phu!$I$2,M570=phu!$I$3),"Cam Thành Nam",""),IF(OR(M570=phu!$I$4,M570=phu!$I$5,M570=phu!$I$6,M570=phu!$I$7,M570=phu!$I$8,M570=phu!$I$9,M570=phu!$I$10,M570=phu!$I$11,M570=phu!$I$12,M570=phu!$I$13,M570=phu!$I$14),"Cam Nghĩa",""),IF(OR(M570=phu!$I$15,M570=phu!$I$16,M570=phu!$I$17,M570=phu!$I$18,M570=phu!$I$19,M570=phu!$I$20,M570=phu!$I$21),"Cam Phúc Bắc",""),IF(OR(M570=phu!$I$22,M570=phu!$I$23,M570=phu!$I$24,M570=phu!$I$25),"Cam Phúc Nam",""),IF(OR(M570=phu!$I$26,M570=phu!$I$27,M570=phu!$I$28,M570=phu!$I$29,M570=phu!$I$30,M570=phu!$I$31),"Cam Phú",""),IF(OR(M570=phu!$I$32,M570=phu!$I$33,M570=phu!$I$34,M570=phu!$I$35,M570=phu!$I$36,M570=phu!$I$37),"Cam Lộc",""),IF(OR(M570=phu!$I$38,M570=phu!$I$39,M570=phu!$I$40,M570=phu!$I$41,M570=phu!$I$42,M570=phu!$I$43,M570=phu!$I$44),"Cam Thuận",""),IF(OR(M570=phu!$I$45,M570=phu!$I$46,M570=phu!$I$47,M570=phu!$I$48,M570=phu!$I$49,M570=phu!$I$50,M570=phu!$I$51,M570=phu!$I$52,M570=phu!$I$53),"Cam Linh",""),IF(OR(M570=phu!$I$54,M570=phu!$I$55,M570=phu!$I$56,M570=phu!$I$57,M570=phu!$I$58,M570=phu!$I$59,M570=phu!$I$60,M570=phu!$I$61,M570=phu!$I$62),"Cam Lợi",""),IF(OR(M570=phu!$I$63,M570=phu!$I$64,M570=phu!$I$65,M570=phu!$I$66,M570=phu!$I$67,M570=phu!$I$68,M570=phu!$I$69,M570=phu!$I$70,M570=phu!$I$71),"Ba Ngòi",""),IF(OR(M570=phu!$I$72,M570=phu!$I$73,M570=phu!$I$74,M570=phu!$I$75,M570=phu!$I$76,M570=phu!$I$77,M570=phu!$I$78),"Cam Phước Đông",""),IF(OR(M570=phu!$I$79,M570=phu!$I$80,M570=phu!$I$81,M570=phu!$I$82,M570=phu!$I$83,M570=phu!$I$84),"Cam Thịnh Đông",""),IF(OR(M570=phu!$I$85,M570=phu!$I$86,M570=phu!$I$87,M570=phu!$I$88),"Cam Thịnh Tây",""),IF(OR(M570=phu!$I$89,M570=phu!$I$90),"Cam Lập",""),IF(OR(M570=phu!$I$91,M570=phu!$I$92,M570=phu!$I$93),"Cam Bình",""),IF(OR(M570=phu!$I$94,M570=phu!$I$95,M570=phu!$I$96,M570=phu!$I$97,M570=phu!$I$98,M570=phu!$I$99,M570=phu!$I$100),"Huyện khác",""),IF(OR(M570=phu!$I$101,M570=phu!$I$102),"Tỉnh khác",""))</f>
        <v/>
      </c>
      <c r="O570" s="814" t="str">
        <f t="shared" si="49"/>
        <v/>
      </c>
      <c r="P570" s="254"/>
      <c r="Q570" s="254"/>
      <c r="R570" s="254"/>
      <c r="S570" s="254"/>
      <c r="T570" s="254"/>
      <c r="U570" s="254"/>
      <c r="V570" s="254"/>
      <c r="W570" s="254"/>
      <c r="Y570" s="246" t="str">
        <f t="shared" si="50"/>
        <v/>
      </c>
      <c r="Z570" s="247" t="str">
        <f t="shared" si="48"/>
        <v/>
      </c>
      <c r="AA570" s="246" t="str">
        <f t="shared" si="51"/>
        <v/>
      </c>
    </row>
    <row r="571" spans="1:27" ht="18" customHeight="1" x14ac:dyDescent="0.25">
      <c r="A571" s="248" t="str">
        <f t="shared" si="52"/>
        <v/>
      </c>
      <c r="B571" s="249" t="str">
        <f t="shared" si="53"/>
        <v/>
      </c>
      <c r="C571" s="250"/>
      <c r="D571" s="251"/>
      <c r="E571" s="241"/>
      <c r="F571" s="252"/>
      <c r="G571" s="252"/>
      <c r="H571" s="253"/>
      <c r="I571" s="250"/>
      <c r="J571" s="250"/>
      <c r="K571" s="270"/>
      <c r="L571" s="250"/>
      <c r="M571" s="250"/>
      <c r="N571" s="553" t="str">
        <f>CONCATENATE(IF(OR(M571=phu!$I$1,M571=phu!$I$2,M571=phu!$I$3),"Cam Thành Nam",""),IF(OR(M571=phu!$I$4,M571=phu!$I$5,M571=phu!$I$6,M571=phu!$I$7,M571=phu!$I$8,M571=phu!$I$9,M571=phu!$I$10,M571=phu!$I$11,M571=phu!$I$12,M571=phu!$I$13,M571=phu!$I$14),"Cam Nghĩa",""),IF(OR(M571=phu!$I$15,M571=phu!$I$16,M571=phu!$I$17,M571=phu!$I$18,M571=phu!$I$19,M571=phu!$I$20,M571=phu!$I$21),"Cam Phúc Bắc",""),IF(OR(M571=phu!$I$22,M571=phu!$I$23,M571=phu!$I$24,M571=phu!$I$25),"Cam Phúc Nam",""),IF(OR(M571=phu!$I$26,M571=phu!$I$27,M571=phu!$I$28,M571=phu!$I$29,M571=phu!$I$30,M571=phu!$I$31),"Cam Phú",""),IF(OR(M571=phu!$I$32,M571=phu!$I$33,M571=phu!$I$34,M571=phu!$I$35,M571=phu!$I$36,M571=phu!$I$37),"Cam Lộc",""),IF(OR(M571=phu!$I$38,M571=phu!$I$39,M571=phu!$I$40,M571=phu!$I$41,M571=phu!$I$42,M571=phu!$I$43,M571=phu!$I$44),"Cam Thuận",""),IF(OR(M571=phu!$I$45,M571=phu!$I$46,M571=phu!$I$47,M571=phu!$I$48,M571=phu!$I$49,M571=phu!$I$50,M571=phu!$I$51,M571=phu!$I$52,M571=phu!$I$53),"Cam Linh",""),IF(OR(M571=phu!$I$54,M571=phu!$I$55,M571=phu!$I$56,M571=phu!$I$57,M571=phu!$I$58,M571=phu!$I$59,M571=phu!$I$60,M571=phu!$I$61,M571=phu!$I$62),"Cam Lợi",""),IF(OR(M571=phu!$I$63,M571=phu!$I$64,M571=phu!$I$65,M571=phu!$I$66,M571=phu!$I$67,M571=phu!$I$68,M571=phu!$I$69,M571=phu!$I$70,M571=phu!$I$71),"Ba Ngòi",""),IF(OR(M571=phu!$I$72,M571=phu!$I$73,M571=phu!$I$74,M571=phu!$I$75,M571=phu!$I$76,M571=phu!$I$77,M571=phu!$I$78),"Cam Phước Đông",""),IF(OR(M571=phu!$I$79,M571=phu!$I$80,M571=phu!$I$81,M571=phu!$I$82,M571=phu!$I$83,M571=phu!$I$84),"Cam Thịnh Đông",""),IF(OR(M571=phu!$I$85,M571=phu!$I$86,M571=phu!$I$87,M571=phu!$I$88),"Cam Thịnh Tây",""),IF(OR(M571=phu!$I$89,M571=phu!$I$90),"Cam Lập",""),IF(OR(M571=phu!$I$91,M571=phu!$I$92,M571=phu!$I$93),"Cam Bình",""),IF(OR(M571=phu!$I$94,M571=phu!$I$95,M571=phu!$I$96,M571=phu!$I$97,M571=phu!$I$98,M571=phu!$I$99,M571=phu!$I$100),"Huyện khác",""),IF(OR(M571=phu!$I$101,M571=phu!$I$102),"Tỉnh khác",""))</f>
        <v/>
      </c>
      <c r="O571" s="814" t="str">
        <f t="shared" si="49"/>
        <v/>
      </c>
      <c r="P571" s="254"/>
      <c r="Q571" s="254"/>
      <c r="R571" s="254"/>
      <c r="S571" s="254"/>
      <c r="T571" s="254"/>
      <c r="U571" s="254"/>
      <c r="V571" s="254"/>
      <c r="W571" s="254"/>
      <c r="Y571" s="246" t="str">
        <f t="shared" si="50"/>
        <v/>
      </c>
      <c r="Z571" s="247" t="str">
        <f t="shared" si="48"/>
        <v/>
      </c>
      <c r="AA571" s="246" t="str">
        <f t="shared" si="51"/>
        <v/>
      </c>
    </row>
    <row r="572" spans="1:27" ht="18" customHeight="1" x14ac:dyDescent="0.25">
      <c r="A572" s="248" t="str">
        <f t="shared" si="52"/>
        <v/>
      </c>
      <c r="B572" s="249" t="str">
        <f t="shared" si="53"/>
        <v/>
      </c>
      <c r="C572" s="250"/>
      <c r="D572" s="251"/>
      <c r="E572" s="241"/>
      <c r="F572" s="252"/>
      <c r="G572" s="252"/>
      <c r="H572" s="253"/>
      <c r="I572" s="250"/>
      <c r="J572" s="250"/>
      <c r="K572" s="270"/>
      <c r="L572" s="250"/>
      <c r="M572" s="250"/>
      <c r="N572" s="553" t="str">
        <f>CONCATENATE(IF(OR(M572=phu!$I$1,M572=phu!$I$2,M572=phu!$I$3),"Cam Thành Nam",""),IF(OR(M572=phu!$I$4,M572=phu!$I$5,M572=phu!$I$6,M572=phu!$I$7,M572=phu!$I$8,M572=phu!$I$9,M572=phu!$I$10,M572=phu!$I$11,M572=phu!$I$12,M572=phu!$I$13,M572=phu!$I$14),"Cam Nghĩa",""),IF(OR(M572=phu!$I$15,M572=phu!$I$16,M572=phu!$I$17,M572=phu!$I$18,M572=phu!$I$19,M572=phu!$I$20,M572=phu!$I$21),"Cam Phúc Bắc",""),IF(OR(M572=phu!$I$22,M572=phu!$I$23,M572=phu!$I$24,M572=phu!$I$25),"Cam Phúc Nam",""),IF(OR(M572=phu!$I$26,M572=phu!$I$27,M572=phu!$I$28,M572=phu!$I$29,M572=phu!$I$30,M572=phu!$I$31),"Cam Phú",""),IF(OR(M572=phu!$I$32,M572=phu!$I$33,M572=phu!$I$34,M572=phu!$I$35,M572=phu!$I$36,M572=phu!$I$37),"Cam Lộc",""),IF(OR(M572=phu!$I$38,M572=phu!$I$39,M572=phu!$I$40,M572=phu!$I$41,M572=phu!$I$42,M572=phu!$I$43,M572=phu!$I$44),"Cam Thuận",""),IF(OR(M572=phu!$I$45,M572=phu!$I$46,M572=phu!$I$47,M572=phu!$I$48,M572=phu!$I$49,M572=phu!$I$50,M572=phu!$I$51,M572=phu!$I$52,M572=phu!$I$53),"Cam Linh",""),IF(OR(M572=phu!$I$54,M572=phu!$I$55,M572=phu!$I$56,M572=phu!$I$57,M572=phu!$I$58,M572=phu!$I$59,M572=phu!$I$60,M572=phu!$I$61,M572=phu!$I$62),"Cam Lợi",""),IF(OR(M572=phu!$I$63,M572=phu!$I$64,M572=phu!$I$65,M572=phu!$I$66,M572=phu!$I$67,M572=phu!$I$68,M572=phu!$I$69,M572=phu!$I$70,M572=phu!$I$71),"Ba Ngòi",""),IF(OR(M572=phu!$I$72,M572=phu!$I$73,M572=phu!$I$74,M572=phu!$I$75,M572=phu!$I$76,M572=phu!$I$77,M572=phu!$I$78),"Cam Phước Đông",""),IF(OR(M572=phu!$I$79,M572=phu!$I$80,M572=phu!$I$81,M572=phu!$I$82,M572=phu!$I$83,M572=phu!$I$84),"Cam Thịnh Đông",""),IF(OR(M572=phu!$I$85,M572=phu!$I$86,M572=phu!$I$87,M572=phu!$I$88),"Cam Thịnh Tây",""),IF(OR(M572=phu!$I$89,M572=phu!$I$90),"Cam Lập",""),IF(OR(M572=phu!$I$91,M572=phu!$I$92,M572=phu!$I$93),"Cam Bình",""),IF(OR(M572=phu!$I$94,M572=phu!$I$95,M572=phu!$I$96,M572=phu!$I$97,M572=phu!$I$98,M572=phu!$I$99,M572=phu!$I$100),"Huyện khác",""),IF(OR(M572=phu!$I$101,M572=phu!$I$102),"Tỉnh khác",""))</f>
        <v/>
      </c>
      <c r="O572" s="814" t="str">
        <f t="shared" si="49"/>
        <v/>
      </c>
      <c r="P572" s="254"/>
      <c r="Q572" s="254"/>
      <c r="R572" s="254"/>
      <c r="S572" s="254"/>
      <c r="T572" s="254"/>
      <c r="U572" s="254"/>
      <c r="V572" s="254"/>
      <c r="W572" s="254"/>
      <c r="Y572" s="246" t="str">
        <f t="shared" si="50"/>
        <v/>
      </c>
      <c r="Z572" s="247" t="str">
        <f t="shared" si="48"/>
        <v/>
      </c>
      <c r="AA572" s="246" t="str">
        <f t="shared" si="51"/>
        <v/>
      </c>
    </row>
    <row r="573" spans="1:27" ht="18" customHeight="1" x14ac:dyDescent="0.25">
      <c r="A573" s="248" t="str">
        <f t="shared" si="52"/>
        <v/>
      </c>
      <c r="B573" s="249" t="str">
        <f t="shared" si="53"/>
        <v/>
      </c>
      <c r="C573" s="250"/>
      <c r="D573" s="251"/>
      <c r="E573" s="241"/>
      <c r="F573" s="252"/>
      <c r="G573" s="252"/>
      <c r="H573" s="253"/>
      <c r="I573" s="250"/>
      <c r="J573" s="250"/>
      <c r="K573" s="270"/>
      <c r="L573" s="250"/>
      <c r="M573" s="250"/>
      <c r="N573" s="553" t="str">
        <f>CONCATENATE(IF(OR(M573=phu!$I$1,M573=phu!$I$2,M573=phu!$I$3),"Cam Thành Nam",""),IF(OR(M573=phu!$I$4,M573=phu!$I$5,M573=phu!$I$6,M573=phu!$I$7,M573=phu!$I$8,M573=phu!$I$9,M573=phu!$I$10,M573=phu!$I$11,M573=phu!$I$12,M573=phu!$I$13,M573=phu!$I$14),"Cam Nghĩa",""),IF(OR(M573=phu!$I$15,M573=phu!$I$16,M573=phu!$I$17,M573=phu!$I$18,M573=phu!$I$19,M573=phu!$I$20,M573=phu!$I$21),"Cam Phúc Bắc",""),IF(OR(M573=phu!$I$22,M573=phu!$I$23,M573=phu!$I$24,M573=phu!$I$25),"Cam Phúc Nam",""),IF(OR(M573=phu!$I$26,M573=phu!$I$27,M573=phu!$I$28,M573=phu!$I$29,M573=phu!$I$30,M573=phu!$I$31),"Cam Phú",""),IF(OR(M573=phu!$I$32,M573=phu!$I$33,M573=phu!$I$34,M573=phu!$I$35,M573=phu!$I$36,M573=phu!$I$37),"Cam Lộc",""),IF(OR(M573=phu!$I$38,M573=phu!$I$39,M573=phu!$I$40,M573=phu!$I$41,M573=phu!$I$42,M573=phu!$I$43,M573=phu!$I$44),"Cam Thuận",""),IF(OR(M573=phu!$I$45,M573=phu!$I$46,M573=phu!$I$47,M573=phu!$I$48,M573=phu!$I$49,M573=phu!$I$50,M573=phu!$I$51,M573=phu!$I$52,M573=phu!$I$53),"Cam Linh",""),IF(OR(M573=phu!$I$54,M573=phu!$I$55,M573=phu!$I$56,M573=phu!$I$57,M573=phu!$I$58,M573=phu!$I$59,M573=phu!$I$60,M573=phu!$I$61,M573=phu!$I$62),"Cam Lợi",""),IF(OR(M573=phu!$I$63,M573=phu!$I$64,M573=phu!$I$65,M573=phu!$I$66,M573=phu!$I$67,M573=phu!$I$68,M573=phu!$I$69,M573=phu!$I$70,M573=phu!$I$71),"Ba Ngòi",""),IF(OR(M573=phu!$I$72,M573=phu!$I$73,M573=phu!$I$74,M573=phu!$I$75,M573=phu!$I$76,M573=phu!$I$77,M573=phu!$I$78),"Cam Phước Đông",""),IF(OR(M573=phu!$I$79,M573=phu!$I$80,M573=phu!$I$81,M573=phu!$I$82,M573=phu!$I$83,M573=phu!$I$84),"Cam Thịnh Đông",""),IF(OR(M573=phu!$I$85,M573=phu!$I$86,M573=phu!$I$87,M573=phu!$I$88),"Cam Thịnh Tây",""),IF(OR(M573=phu!$I$89,M573=phu!$I$90),"Cam Lập",""),IF(OR(M573=phu!$I$91,M573=phu!$I$92,M573=phu!$I$93),"Cam Bình",""),IF(OR(M573=phu!$I$94,M573=phu!$I$95,M573=phu!$I$96,M573=phu!$I$97,M573=phu!$I$98,M573=phu!$I$99,M573=phu!$I$100),"Huyện khác",""),IF(OR(M573=phu!$I$101,M573=phu!$I$102),"Tỉnh khác",""))</f>
        <v/>
      </c>
      <c r="O573" s="814" t="str">
        <f t="shared" si="49"/>
        <v/>
      </c>
      <c r="P573" s="254"/>
      <c r="Q573" s="254"/>
      <c r="R573" s="254"/>
      <c r="S573" s="254"/>
      <c r="T573" s="254"/>
      <c r="U573" s="254"/>
      <c r="V573" s="254"/>
      <c r="W573" s="254"/>
      <c r="Y573" s="246" t="str">
        <f t="shared" si="50"/>
        <v/>
      </c>
      <c r="Z573" s="247" t="str">
        <f t="shared" si="48"/>
        <v/>
      </c>
      <c r="AA573" s="246" t="str">
        <f t="shared" si="51"/>
        <v/>
      </c>
    </row>
    <row r="574" spans="1:27" ht="18" customHeight="1" x14ac:dyDescent="0.25">
      <c r="A574" s="248" t="str">
        <f t="shared" si="52"/>
        <v/>
      </c>
      <c r="B574" s="249" t="str">
        <f t="shared" si="53"/>
        <v/>
      </c>
      <c r="C574" s="250"/>
      <c r="D574" s="251"/>
      <c r="E574" s="241"/>
      <c r="F574" s="252"/>
      <c r="G574" s="252"/>
      <c r="H574" s="253"/>
      <c r="I574" s="250"/>
      <c r="J574" s="250"/>
      <c r="K574" s="270"/>
      <c r="L574" s="250"/>
      <c r="M574" s="250"/>
      <c r="N574" s="553" t="str">
        <f>CONCATENATE(IF(OR(M574=phu!$I$1,M574=phu!$I$2,M574=phu!$I$3),"Cam Thành Nam",""),IF(OR(M574=phu!$I$4,M574=phu!$I$5,M574=phu!$I$6,M574=phu!$I$7,M574=phu!$I$8,M574=phu!$I$9,M574=phu!$I$10,M574=phu!$I$11,M574=phu!$I$12,M574=phu!$I$13,M574=phu!$I$14),"Cam Nghĩa",""),IF(OR(M574=phu!$I$15,M574=phu!$I$16,M574=phu!$I$17,M574=phu!$I$18,M574=phu!$I$19,M574=phu!$I$20,M574=phu!$I$21),"Cam Phúc Bắc",""),IF(OR(M574=phu!$I$22,M574=phu!$I$23,M574=phu!$I$24,M574=phu!$I$25),"Cam Phúc Nam",""),IF(OR(M574=phu!$I$26,M574=phu!$I$27,M574=phu!$I$28,M574=phu!$I$29,M574=phu!$I$30,M574=phu!$I$31),"Cam Phú",""),IF(OR(M574=phu!$I$32,M574=phu!$I$33,M574=phu!$I$34,M574=phu!$I$35,M574=phu!$I$36,M574=phu!$I$37),"Cam Lộc",""),IF(OR(M574=phu!$I$38,M574=phu!$I$39,M574=phu!$I$40,M574=phu!$I$41,M574=phu!$I$42,M574=phu!$I$43,M574=phu!$I$44),"Cam Thuận",""),IF(OR(M574=phu!$I$45,M574=phu!$I$46,M574=phu!$I$47,M574=phu!$I$48,M574=phu!$I$49,M574=phu!$I$50,M574=phu!$I$51,M574=phu!$I$52,M574=phu!$I$53),"Cam Linh",""),IF(OR(M574=phu!$I$54,M574=phu!$I$55,M574=phu!$I$56,M574=phu!$I$57,M574=phu!$I$58,M574=phu!$I$59,M574=phu!$I$60,M574=phu!$I$61,M574=phu!$I$62),"Cam Lợi",""),IF(OR(M574=phu!$I$63,M574=phu!$I$64,M574=phu!$I$65,M574=phu!$I$66,M574=phu!$I$67,M574=phu!$I$68,M574=phu!$I$69,M574=phu!$I$70,M574=phu!$I$71),"Ba Ngòi",""),IF(OR(M574=phu!$I$72,M574=phu!$I$73,M574=phu!$I$74,M574=phu!$I$75,M574=phu!$I$76,M574=phu!$I$77,M574=phu!$I$78),"Cam Phước Đông",""),IF(OR(M574=phu!$I$79,M574=phu!$I$80,M574=phu!$I$81,M574=phu!$I$82,M574=phu!$I$83,M574=phu!$I$84),"Cam Thịnh Đông",""),IF(OR(M574=phu!$I$85,M574=phu!$I$86,M574=phu!$I$87,M574=phu!$I$88),"Cam Thịnh Tây",""),IF(OR(M574=phu!$I$89,M574=phu!$I$90),"Cam Lập",""),IF(OR(M574=phu!$I$91,M574=phu!$I$92,M574=phu!$I$93),"Cam Bình",""),IF(OR(M574=phu!$I$94,M574=phu!$I$95,M574=phu!$I$96,M574=phu!$I$97,M574=phu!$I$98,M574=phu!$I$99,M574=phu!$I$100),"Huyện khác",""),IF(OR(M574=phu!$I$101,M574=phu!$I$102),"Tỉnh khác",""))</f>
        <v/>
      </c>
      <c r="O574" s="814" t="str">
        <f t="shared" si="49"/>
        <v/>
      </c>
      <c r="P574" s="254"/>
      <c r="Q574" s="254"/>
      <c r="R574" s="254"/>
      <c r="S574" s="254"/>
      <c r="T574" s="254"/>
      <c r="U574" s="254"/>
      <c r="V574" s="254"/>
      <c r="W574" s="254"/>
      <c r="Y574" s="246" t="str">
        <f t="shared" si="50"/>
        <v/>
      </c>
      <c r="Z574" s="247" t="str">
        <f t="shared" si="48"/>
        <v/>
      </c>
      <c r="AA574" s="246" t="str">
        <f t="shared" si="51"/>
        <v/>
      </c>
    </row>
    <row r="575" spans="1:27" ht="18" customHeight="1" x14ac:dyDescent="0.25">
      <c r="A575" s="248" t="str">
        <f t="shared" si="52"/>
        <v/>
      </c>
      <c r="B575" s="249" t="str">
        <f t="shared" si="53"/>
        <v/>
      </c>
      <c r="C575" s="250"/>
      <c r="D575" s="251"/>
      <c r="E575" s="241"/>
      <c r="F575" s="252"/>
      <c r="G575" s="252"/>
      <c r="H575" s="253"/>
      <c r="I575" s="250"/>
      <c r="J575" s="250"/>
      <c r="K575" s="270"/>
      <c r="L575" s="250"/>
      <c r="M575" s="250"/>
      <c r="N575" s="553" t="str">
        <f>CONCATENATE(IF(OR(M575=phu!$I$1,M575=phu!$I$2,M575=phu!$I$3),"Cam Thành Nam",""),IF(OR(M575=phu!$I$4,M575=phu!$I$5,M575=phu!$I$6,M575=phu!$I$7,M575=phu!$I$8,M575=phu!$I$9,M575=phu!$I$10,M575=phu!$I$11,M575=phu!$I$12,M575=phu!$I$13,M575=phu!$I$14),"Cam Nghĩa",""),IF(OR(M575=phu!$I$15,M575=phu!$I$16,M575=phu!$I$17,M575=phu!$I$18,M575=phu!$I$19,M575=phu!$I$20,M575=phu!$I$21),"Cam Phúc Bắc",""),IF(OR(M575=phu!$I$22,M575=phu!$I$23,M575=phu!$I$24,M575=phu!$I$25),"Cam Phúc Nam",""),IF(OR(M575=phu!$I$26,M575=phu!$I$27,M575=phu!$I$28,M575=phu!$I$29,M575=phu!$I$30,M575=phu!$I$31),"Cam Phú",""),IF(OR(M575=phu!$I$32,M575=phu!$I$33,M575=phu!$I$34,M575=phu!$I$35,M575=phu!$I$36,M575=phu!$I$37),"Cam Lộc",""),IF(OR(M575=phu!$I$38,M575=phu!$I$39,M575=phu!$I$40,M575=phu!$I$41,M575=phu!$I$42,M575=phu!$I$43,M575=phu!$I$44),"Cam Thuận",""),IF(OR(M575=phu!$I$45,M575=phu!$I$46,M575=phu!$I$47,M575=phu!$I$48,M575=phu!$I$49,M575=phu!$I$50,M575=phu!$I$51,M575=phu!$I$52,M575=phu!$I$53),"Cam Linh",""),IF(OR(M575=phu!$I$54,M575=phu!$I$55,M575=phu!$I$56,M575=phu!$I$57,M575=phu!$I$58,M575=phu!$I$59,M575=phu!$I$60,M575=phu!$I$61,M575=phu!$I$62),"Cam Lợi",""),IF(OR(M575=phu!$I$63,M575=phu!$I$64,M575=phu!$I$65,M575=phu!$I$66,M575=phu!$I$67,M575=phu!$I$68,M575=phu!$I$69,M575=phu!$I$70,M575=phu!$I$71),"Ba Ngòi",""),IF(OR(M575=phu!$I$72,M575=phu!$I$73,M575=phu!$I$74,M575=phu!$I$75,M575=phu!$I$76,M575=phu!$I$77,M575=phu!$I$78),"Cam Phước Đông",""),IF(OR(M575=phu!$I$79,M575=phu!$I$80,M575=phu!$I$81,M575=phu!$I$82,M575=phu!$I$83,M575=phu!$I$84),"Cam Thịnh Đông",""),IF(OR(M575=phu!$I$85,M575=phu!$I$86,M575=phu!$I$87,M575=phu!$I$88),"Cam Thịnh Tây",""),IF(OR(M575=phu!$I$89,M575=phu!$I$90),"Cam Lập",""),IF(OR(M575=phu!$I$91,M575=phu!$I$92,M575=phu!$I$93),"Cam Bình",""),IF(OR(M575=phu!$I$94,M575=phu!$I$95,M575=phu!$I$96,M575=phu!$I$97,M575=phu!$I$98,M575=phu!$I$99,M575=phu!$I$100),"Huyện khác",""),IF(OR(M575=phu!$I$101,M575=phu!$I$102),"Tỉnh khác",""))</f>
        <v/>
      </c>
      <c r="O575" s="814" t="str">
        <f t="shared" si="49"/>
        <v/>
      </c>
      <c r="P575" s="254"/>
      <c r="Q575" s="254"/>
      <c r="R575" s="254"/>
      <c r="S575" s="254"/>
      <c r="T575" s="254"/>
      <c r="U575" s="254"/>
      <c r="V575" s="254"/>
      <c r="W575" s="254"/>
      <c r="Y575" s="246" t="str">
        <f t="shared" si="50"/>
        <v/>
      </c>
      <c r="Z575" s="247" t="str">
        <f t="shared" si="48"/>
        <v/>
      </c>
      <c r="AA575" s="246" t="str">
        <f t="shared" si="51"/>
        <v/>
      </c>
    </row>
    <row r="576" spans="1:27" ht="18" customHeight="1" x14ac:dyDescent="0.25">
      <c r="A576" s="248" t="str">
        <f t="shared" si="52"/>
        <v/>
      </c>
      <c r="B576" s="249" t="str">
        <f t="shared" si="53"/>
        <v/>
      </c>
      <c r="C576" s="250"/>
      <c r="D576" s="251"/>
      <c r="E576" s="241"/>
      <c r="F576" s="252"/>
      <c r="G576" s="252"/>
      <c r="H576" s="253"/>
      <c r="I576" s="250"/>
      <c r="J576" s="250"/>
      <c r="K576" s="270"/>
      <c r="L576" s="250"/>
      <c r="M576" s="250"/>
      <c r="N576" s="553" t="str">
        <f>CONCATENATE(IF(OR(M576=phu!$I$1,M576=phu!$I$2,M576=phu!$I$3),"Cam Thành Nam",""),IF(OR(M576=phu!$I$4,M576=phu!$I$5,M576=phu!$I$6,M576=phu!$I$7,M576=phu!$I$8,M576=phu!$I$9,M576=phu!$I$10,M576=phu!$I$11,M576=phu!$I$12,M576=phu!$I$13,M576=phu!$I$14),"Cam Nghĩa",""),IF(OR(M576=phu!$I$15,M576=phu!$I$16,M576=phu!$I$17,M576=phu!$I$18,M576=phu!$I$19,M576=phu!$I$20,M576=phu!$I$21),"Cam Phúc Bắc",""),IF(OR(M576=phu!$I$22,M576=phu!$I$23,M576=phu!$I$24,M576=phu!$I$25),"Cam Phúc Nam",""),IF(OR(M576=phu!$I$26,M576=phu!$I$27,M576=phu!$I$28,M576=phu!$I$29,M576=phu!$I$30,M576=phu!$I$31),"Cam Phú",""),IF(OR(M576=phu!$I$32,M576=phu!$I$33,M576=phu!$I$34,M576=phu!$I$35,M576=phu!$I$36,M576=phu!$I$37),"Cam Lộc",""),IF(OR(M576=phu!$I$38,M576=phu!$I$39,M576=phu!$I$40,M576=phu!$I$41,M576=phu!$I$42,M576=phu!$I$43,M576=phu!$I$44),"Cam Thuận",""),IF(OR(M576=phu!$I$45,M576=phu!$I$46,M576=phu!$I$47,M576=phu!$I$48,M576=phu!$I$49,M576=phu!$I$50,M576=phu!$I$51,M576=phu!$I$52,M576=phu!$I$53),"Cam Linh",""),IF(OR(M576=phu!$I$54,M576=phu!$I$55,M576=phu!$I$56,M576=phu!$I$57,M576=phu!$I$58,M576=phu!$I$59,M576=phu!$I$60,M576=phu!$I$61,M576=phu!$I$62),"Cam Lợi",""),IF(OR(M576=phu!$I$63,M576=phu!$I$64,M576=phu!$I$65,M576=phu!$I$66,M576=phu!$I$67,M576=phu!$I$68,M576=phu!$I$69,M576=phu!$I$70,M576=phu!$I$71),"Ba Ngòi",""),IF(OR(M576=phu!$I$72,M576=phu!$I$73,M576=phu!$I$74,M576=phu!$I$75,M576=phu!$I$76,M576=phu!$I$77,M576=phu!$I$78),"Cam Phước Đông",""),IF(OR(M576=phu!$I$79,M576=phu!$I$80,M576=phu!$I$81,M576=phu!$I$82,M576=phu!$I$83,M576=phu!$I$84),"Cam Thịnh Đông",""),IF(OR(M576=phu!$I$85,M576=phu!$I$86,M576=phu!$I$87,M576=phu!$I$88),"Cam Thịnh Tây",""),IF(OR(M576=phu!$I$89,M576=phu!$I$90),"Cam Lập",""),IF(OR(M576=phu!$I$91,M576=phu!$I$92,M576=phu!$I$93),"Cam Bình",""),IF(OR(M576=phu!$I$94,M576=phu!$I$95,M576=phu!$I$96,M576=phu!$I$97,M576=phu!$I$98,M576=phu!$I$99,M576=phu!$I$100),"Huyện khác",""),IF(OR(M576=phu!$I$101,M576=phu!$I$102),"Tỉnh khác",""))</f>
        <v/>
      </c>
      <c r="O576" s="814" t="str">
        <f t="shared" si="49"/>
        <v/>
      </c>
      <c r="P576" s="254"/>
      <c r="Q576" s="254"/>
      <c r="R576" s="254"/>
      <c r="S576" s="254"/>
      <c r="T576" s="254"/>
      <c r="U576" s="254"/>
      <c r="V576" s="254"/>
      <c r="W576" s="254"/>
      <c r="Y576" s="246" t="str">
        <f t="shared" si="50"/>
        <v/>
      </c>
      <c r="Z576" s="247" t="str">
        <f t="shared" si="48"/>
        <v/>
      </c>
      <c r="AA576" s="246" t="str">
        <f t="shared" si="51"/>
        <v/>
      </c>
    </row>
    <row r="577" spans="1:27" ht="18" customHeight="1" x14ac:dyDescent="0.25">
      <c r="A577" s="248" t="str">
        <f t="shared" si="52"/>
        <v/>
      </c>
      <c r="B577" s="249" t="str">
        <f t="shared" si="53"/>
        <v/>
      </c>
      <c r="C577" s="250"/>
      <c r="D577" s="251"/>
      <c r="E577" s="241"/>
      <c r="F577" s="252"/>
      <c r="G577" s="252"/>
      <c r="H577" s="253"/>
      <c r="I577" s="250"/>
      <c r="J577" s="250"/>
      <c r="K577" s="270"/>
      <c r="L577" s="250"/>
      <c r="M577" s="250"/>
      <c r="N577" s="553" t="str">
        <f>CONCATENATE(IF(OR(M577=phu!$I$1,M577=phu!$I$2,M577=phu!$I$3),"Cam Thành Nam",""),IF(OR(M577=phu!$I$4,M577=phu!$I$5,M577=phu!$I$6,M577=phu!$I$7,M577=phu!$I$8,M577=phu!$I$9,M577=phu!$I$10,M577=phu!$I$11,M577=phu!$I$12,M577=phu!$I$13,M577=phu!$I$14),"Cam Nghĩa",""),IF(OR(M577=phu!$I$15,M577=phu!$I$16,M577=phu!$I$17,M577=phu!$I$18,M577=phu!$I$19,M577=phu!$I$20,M577=phu!$I$21),"Cam Phúc Bắc",""),IF(OR(M577=phu!$I$22,M577=phu!$I$23,M577=phu!$I$24,M577=phu!$I$25),"Cam Phúc Nam",""),IF(OR(M577=phu!$I$26,M577=phu!$I$27,M577=phu!$I$28,M577=phu!$I$29,M577=phu!$I$30,M577=phu!$I$31),"Cam Phú",""),IF(OR(M577=phu!$I$32,M577=phu!$I$33,M577=phu!$I$34,M577=phu!$I$35,M577=phu!$I$36,M577=phu!$I$37),"Cam Lộc",""),IF(OR(M577=phu!$I$38,M577=phu!$I$39,M577=phu!$I$40,M577=phu!$I$41,M577=phu!$I$42,M577=phu!$I$43,M577=phu!$I$44),"Cam Thuận",""),IF(OR(M577=phu!$I$45,M577=phu!$I$46,M577=phu!$I$47,M577=phu!$I$48,M577=phu!$I$49,M577=phu!$I$50,M577=phu!$I$51,M577=phu!$I$52,M577=phu!$I$53),"Cam Linh",""),IF(OR(M577=phu!$I$54,M577=phu!$I$55,M577=phu!$I$56,M577=phu!$I$57,M577=phu!$I$58,M577=phu!$I$59,M577=phu!$I$60,M577=phu!$I$61,M577=phu!$I$62),"Cam Lợi",""),IF(OR(M577=phu!$I$63,M577=phu!$I$64,M577=phu!$I$65,M577=phu!$I$66,M577=phu!$I$67,M577=phu!$I$68,M577=phu!$I$69,M577=phu!$I$70,M577=phu!$I$71),"Ba Ngòi",""),IF(OR(M577=phu!$I$72,M577=phu!$I$73,M577=phu!$I$74,M577=phu!$I$75,M577=phu!$I$76,M577=phu!$I$77,M577=phu!$I$78),"Cam Phước Đông",""),IF(OR(M577=phu!$I$79,M577=phu!$I$80,M577=phu!$I$81,M577=phu!$I$82,M577=phu!$I$83,M577=phu!$I$84),"Cam Thịnh Đông",""),IF(OR(M577=phu!$I$85,M577=phu!$I$86,M577=phu!$I$87,M577=phu!$I$88),"Cam Thịnh Tây",""),IF(OR(M577=phu!$I$89,M577=phu!$I$90),"Cam Lập",""),IF(OR(M577=phu!$I$91,M577=phu!$I$92,M577=phu!$I$93),"Cam Bình",""),IF(OR(M577=phu!$I$94,M577=phu!$I$95,M577=phu!$I$96,M577=phu!$I$97,M577=phu!$I$98,M577=phu!$I$99,M577=phu!$I$100),"Huyện khác",""),IF(OR(M577=phu!$I$101,M577=phu!$I$102),"Tỉnh khác",""))</f>
        <v/>
      </c>
      <c r="O577" s="814" t="str">
        <f t="shared" si="49"/>
        <v/>
      </c>
      <c r="P577" s="254"/>
      <c r="Q577" s="254"/>
      <c r="R577" s="254"/>
      <c r="S577" s="254"/>
      <c r="T577" s="254"/>
      <c r="U577" s="254"/>
      <c r="V577" s="254"/>
      <c r="W577" s="254"/>
      <c r="Y577" s="246" t="str">
        <f t="shared" si="50"/>
        <v/>
      </c>
      <c r="Z577" s="247" t="str">
        <f t="shared" si="48"/>
        <v/>
      </c>
      <c r="AA577" s="246" t="str">
        <f t="shared" si="51"/>
        <v/>
      </c>
    </row>
    <row r="578" spans="1:27" ht="18" customHeight="1" x14ac:dyDescent="0.25">
      <c r="A578" s="248" t="str">
        <f t="shared" si="52"/>
        <v/>
      </c>
      <c r="B578" s="249" t="str">
        <f t="shared" si="53"/>
        <v/>
      </c>
      <c r="C578" s="250"/>
      <c r="D578" s="251"/>
      <c r="E578" s="241"/>
      <c r="F578" s="252"/>
      <c r="G578" s="252"/>
      <c r="H578" s="253"/>
      <c r="I578" s="250"/>
      <c r="J578" s="250"/>
      <c r="K578" s="270"/>
      <c r="L578" s="250"/>
      <c r="M578" s="250"/>
      <c r="N578" s="553" t="str">
        <f>CONCATENATE(IF(OR(M578=phu!$I$1,M578=phu!$I$2,M578=phu!$I$3),"Cam Thành Nam",""),IF(OR(M578=phu!$I$4,M578=phu!$I$5,M578=phu!$I$6,M578=phu!$I$7,M578=phu!$I$8,M578=phu!$I$9,M578=phu!$I$10,M578=phu!$I$11,M578=phu!$I$12,M578=phu!$I$13,M578=phu!$I$14),"Cam Nghĩa",""),IF(OR(M578=phu!$I$15,M578=phu!$I$16,M578=phu!$I$17,M578=phu!$I$18,M578=phu!$I$19,M578=phu!$I$20,M578=phu!$I$21),"Cam Phúc Bắc",""),IF(OR(M578=phu!$I$22,M578=phu!$I$23,M578=phu!$I$24,M578=phu!$I$25),"Cam Phúc Nam",""),IF(OR(M578=phu!$I$26,M578=phu!$I$27,M578=phu!$I$28,M578=phu!$I$29,M578=phu!$I$30,M578=phu!$I$31),"Cam Phú",""),IF(OR(M578=phu!$I$32,M578=phu!$I$33,M578=phu!$I$34,M578=phu!$I$35,M578=phu!$I$36,M578=phu!$I$37),"Cam Lộc",""),IF(OR(M578=phu!$I$38,M578=phu!$I$39,M578=phu!$I$40,M578=phu!$I$41,M578=phu!$I$42,M578=phu!$I$43,M578=phu!$I$44),"Cam Thuận",""),IF(OR(M578=phu!$I$45,M578=phu!$I$46,M578=phu!$I$47,M578=phu!$I$48,M578=phu!$I$49,M578=phu!$I$50,M578=phu!$I$51,M578=phu!$I$52,M578=phu!$I$53),"Cam Linh",""),IF(OR(M578=phu!$I$54,M578=phu!$I$55,M578=phu!$I$56,M578=phu!$I$57,M578=phu!$I$58,M578=phu!$I$59,M578=phu!$I$60,M578=phu!$I$61,M578=phu!$I$62),"Cam Lợi",""),IF(OR(M578=phu!$I$63,M578=phu!$I$64,M578=phu!$I$65,M578=phu!$I$66,M578=phu!$I$67,M578=phu!$I$68,M578=phu!$I$69,M578=phu!$I$70,M578=phu!$I$71),"Ba Ngòi",""),IF(OR(M578=phu!$I$72,M578=phu!$I$73,M578=phu!$I$74,M578=phu!$I$75,M578=phu!$I$76,M578=phu!$I$77,M578=phu!$I$78),"Cam Phước Đông",""),IF(OR(M578=phu!$I$79,M578=phu!$I$80,M578=phu!$I$81,M578=phu!$I$82,M578=phu!$I$83,M578=phu!$I$84),"Cam Thịnh Đông",""),IF(OR(M578=phu!$I$85,M578=phu!$I$86,M578=phu!$I$87,M578=phu!$I$88),"Cam Thịnh Tây",""),IF(OR(M578=phu!$I$89,M578=phu!$I$90),"Cam Lập",""),IF(OR(M578=phu!$I$91,M578=phu!$I$92,M578=phu!$I$93),"Cam Bình",""),IF(OR(M578=phu!$I$94,M578=phu!$I$95,M578=phu!$I$96,M578=phu!$I$97,M578=phu!$I$98,M578=phu!$I$99,M578=phu!$I$100),"Huyện khác",""),IF(OR(M578=phu!$I$101,M578=phu!$I$102),"Tỉnh khác",""))</f>
        <v/>
      </c>
      <c r="O578" s="814" t="str">
        <f t="shared" si="49"/>
        <v/>
      </c>
      <c r="P578" s="254"/>
      <c r="Q578" s="254"/>
      <c r="R578" s="254"/>
      <c r="S578" s="254"/>
      <c r="T578" s="254"/>
      <c r="U578" s="254"/>
      <c r="V578" s="254"/>
      <c r="W578" s="254"/>
      <c r="Y578" s="246" t="str">
        <f t="shared" si="50"/>
        <v/>
      </c>
      <c r="Z578" s="247" t="str">
        <f t="shared" si="48"/>
        <v/>
      </c>
      <c r="AA578" s="246" t="str">
        <f t="shared" si="51"/>
        <v/>
      </c>
    </row>
    <row r="579" spans="1:27" ht="18" customHeight="1" x14ac:dyDescent="0.25">
      <c r="A579" s="248" t="str">
        <f t="shared" si="52"/>
        <v/>
      </c>
      <c r="B579" s="249" t="str">
        <f t="shared" si="53"/>
        <v/>
      </c>
      <c r="C579" s="250"/>
      <c r="D579" s="251"/>
      <c r="E579" s="241"/>
      <c r="F579" s="252"/>
      <c r="G579" s="252"/>
      <c r="H579" s="253"/>
      <c r="I579" s="250"/>
      <c r="J579" s="250"/>
      <c r="K579" s="270"/>
      <c r="L579" s="250"/>
      <c r="M579" s="250"/>
      <c r="N579" s="553" t="str">
        <f>CONCATENATE(IF(OR(M579=phu!$I$1,M579=phu!$I$2,M579=phu!$I$3),"Cam Thành Nam",""),IF(OR(M579=phu!$I$4,M579=phu!$I$5,M579=phu!$I$6,M579=phu!$I$7,M579=phu!$I$8,M579=phu!$I$9,M579=phu!$I$10,M579=phu!$I$11,M579=phu!$I$12,M579=phu!$I$13,M579=phu!$I$14),"Cam Nghĩa",""),IF(OR(M579=phu!$I$15,M579=phu!$I$16,M579=phu!$I$17,M579=phu!$I$18,M579=phu!$I$19,M579=phu!$I$20,M579=phu!$I$21),"Cam Phúc Bắc",""),IF(OR(M579=phu!$I$22,M579=phu!$I$23,M579=phu!$I$24,M579=phu!$I$25),"Cam Phúc Nam",""),IF(OR(M579=phu!$I$26,M579=phu!$I$27,M579=phu!$I$28,M579=phu!$I$29,M579=phu!$I$30,M579=phu!$I$31),"Cam Phú",""),IF(OR(M579=phu!$I$32,M579=phu!$I$33,M579=phu!$I$34,M579=phu!$I$35,M579=phu!$I$36,M579=phu!$I$37),"Cam Lộc",""),IF(OR(M579=phu!$I$38,M579=phu!$I$39,M579=phu!$I$40,M579=phu!$I$41,M579=phu!$I$42,M579=phu!$I$43,M579=phu!$I$44),"Cam Thuận",""),IF(OR(M579=phu!$I$45,M579=phu!$I$46,M579=phu!$I$47,M579=phu!$I$48,M579=phu!$I$49,M579=phu!$I$50,M579=phu!$I$51,M579=phu!$I$52,M579=phu!$I$53),"Cam Linh",""),IF(OR(M579=phu!$I$54,M579=phu!$I$55,M579=phu!$I$56,M579=phu!$I$57,M579=phu!$I$58,M579=phu!$I$59,M579=phu!$I$60,M579=phu!$I$61,M579=phu!$I$62),"Cam Lợi",""),IF(OR(M579=phu!$I$63,M579=phu!$I$64,M579=phu!$I$65,M579=phu!$I$66,M579=phu!$I$67,M579=phu!$I$68,M579=phu!$I$69,M579=phu!$I$70,M579=phu!$I$71),"Ba Ngòi",""),IF(OR(M579=phu!$I$72,M579=phu!$I$73,M579=phu!$I$74,M579=phu!$I$75,M579=phu!$I$76,M579=phu!$I$77,M579=phu!$I$78),"Cam Phước Đông",""),IF(OR(M579=phu!$I$79,M579=phu!$I$80,M579=phu!$I$81,M579=phu!$I$82,M579=phu!$I$83,M579=phu!$I$84),"Cam Thịnh Đông",""),IF(OR(M579=phu!$I$85,M579=phu!$I$86,M579=phu!$I$87,M579=phu!$I$88),"Cam Thịnh Tây",""),IF(OR(M579=phu!$I$89,M579=phu!$I$90),"Cam Lập",""),IF(OR(M579=phu!$I$91,M579=phu!$I$92,M579=phu!$I$93),"Cam Bình",""),IF(OR(M579=phu!$I$94,M579=phu!$I$95,M579=phu!$I$96,M579=phu!$I$97,M579=phu!$I$98,M579=phu!$I$99,M579=phu!$I$100),"Huyện khác",""),IF(OR(M579=phu!$I$101,M579=phu!$I$102),"Tỉnh khác",""))</f>
        <v/>
      </c>
      <c r="O579" s="814" t="str">
        <f t="shared" si="49"/>
        <v/>
      </c>
      <c r="P579" s="254"/>
      <c r="Q579" s="254"/>
      <c r="R579" s="254"/>
      <c r="S579" s="254"/>
      <c r="T579" s="254"/>
      <c r="U579" s="254"/>
      <c r="V579" s="254"/>
      <c r="W579" s="254"/>
      <c r="Y579" s="246" t="str">
        <f t="shared" si="50"/>
        <v/>
      </c>
      <c r="Z579" s="247" t="str">
        <f t="shared" si="48"/>
        <v/>
      </c>
      <c r="AA579" s="246" t="str">
        <f t="shared" si="51"/>
        <v/>
      </c>
    </row>
    <row r="580" spans="1:27" ht="18" customHeight="1" x14ac:dyDescent="0.25">
      <c r="A580" s="248" t="str">
        <f t="shared" si="52"/>
        <v/>
      </c>
      <c r="B580" s="249" t="str">
        <f t="shared" si="53"/>
        <v/>
      </c>
      <c r="C580" s="250"/>
      <c r="D580" s="251"/>
      <c r="E580" s="241"/>
      <c r="F580" s="252"/>
      <c r="G580" s="252"/>
      <c r="H580" s="253"/>
      <c r="I580" s="250"/>
      <c r="J580" s="250"/>
      <c r="K580" s="270"/>
      <c r="L580" s="250"/>
      <c r="M580" s="250"/>
      <c r="N580" s="553" t="str">
        <f>CONCATENATE(IF(OR(M580=phu!$I$1,M580=phu!$I$2,M580=phu!$I$3),"Cam Thành Nam",""),IF(OR(M580=phu!$I$4,M580=phu!$I$5,M580=phu!$I$6,M580=phu!$I$7,M580=phu!$I$8,M580=phu!$I$9,M580=phu!$I$10,M580=phu!$I$11,M580=phu!$I$12,M580=phu!$I$13,M580=phu!$I$14),"Cam Nghĩa",""),IF(OR(M580=phu!$I$15,M580=phu!$I$16,M580=phu!$I$17,M580=phu!$I$18,M580=phu!$I$19,M580=phu!$I$20,M580=phu!$I$21),"Cam Phúc Bắc",""),IF(OR(M580=phu!$I$22,M580=phu!$I$23,M580=phu!$I$24,M580=phu!$I$25),"Cam Phúc Nam",""),IF(OR(M580=phu!$I$26,M580=phu!$I$27,M580=phu!$I$28,M580=phu!$I$29,M580=phu!$I$30,M580=phu!$I$31),"Cam Phú",""),IF(OR(M580=phu!$I$32,M580=phu!$I$33,M580=phu!$I$34,M580=phu!$I$35,M580=phu!$I$36,M580=phu!$I$37),"Cam Lộc",""),IF(OR(M580=phu!$I$38,M580=phu!$I$39,M580=phu!$I$40,M580=phu!$I$41,M580=phu!$I$42,M580=phu!$I$43,M580=phu!$I$44),"Cam Thuận",""),IF(OR(M580=phu!$I$45,M580=phu!$I$46,M580=phu!$I$47,M580=phu!$I$48,M580=phu!$I$49,M580=phu!$I$50,M580=phu!$I$51,M580=phu!$I$52,M580=phu!$I$53),"Cam Linh",""),IF(OR(M580=phu!$I$54,M580=phu!$I$55,M580=phu!$I$56,M580=phu!$I$57,M580=phu!$I$58,M580=phu!$I$59,M580=phu!$I$60,M580=phu!$I$61,M580=phu!$I$62),"Cam Lợi",""),IF(OR(M580=phu!$I$63,M580=phu!$I$64,M580=phu!$I$65,M580=phu!$I$66,M580=phu!$I$67,M580=phu!$I$68,M580=phu!$I$69,M580=phu!$I$70,M580=phu!$I$71),"Ba Ngòi",""),IF(OR(M580=phu!$I$72,M580=phu!$I$73,M580=phu!$I$74,M580=phu!$I$75,M580=phu!$I$76,M580=phu!$I$77,M580=phu!$I$78),"Cam Phước Đông",""),IF(OR(M580=phu!$I$79,M580=phu!$I$80,M580=phu!$I$81,M580=phu!$I$82,M580=phu!$I$83,M580=phu!$I$84),"Cam Thịnh Đông",""),IF(OR(M580=phu!$I$85,M580=phu!$I$86,M580=phu!$I$87,M580=phu!$I$88),"Cam Thịnh Tây",""),IF(OR(M580=phu!$I$89,M580=phu!$I$90),"Cam Lập",""),IF(OR(M580=phu!$I$91,M580=phu!$I$92,M580=phu!$I$93),"Cam Bình",""),IF(OR(M580=phu!$I$94,M580=phu!$I$95,M580=phu!$I$96,M580=phu!$I$97,M580=phu!$I$98,M580=phu!$I$99,M580=phu!$I$100),"Huyện khác",""),IF(OR(M580=phu!$I$101,M580=phu!$I$102),"Tỉnh khác",""))</f>
        <v/>
      </c>
      <c r="O580" s="814" t="str">
        <f t="shared" si="49"/>
        <v/>
      </c>
      <c r="P580" s="254"/>
      <c r="Q580" s="254"/>
      <c r="R580" s="254"/>
      <c r="S580" s="254"/>
      <c r="T580" s="254"/>
      <c r="U580" s="254"/>
      <c r="V580" s="254"/>
      <c r="W580" s="254"/>
      <c r="Y580" s="246" t="str">
        <f t="shared" si="50"/>
        <v/>
      </c>
      <c r="Z580" s="247" t="str">
        <f t="shared" si="48"/>
        <v/>
      </c>
      <c r="AA580" s="246" t="str">
        <f t="shared" si="51"/>
        <v/>
      </c>
    </row>
    <row r="581" spans="1:27" ht="18" customHeight="1" x14ac:dyDescent="0.25">
      <c r="A581" s="248" t="str">
        <f t="shared" si="52"/>
        <v/>
      </c>
      <c r="B581" s="249" t="str">
        <f t="shared" si="53"/>
        <v/>
      </c>
      <c r="C581" s="250"/>
      <c r="D581" s="251"/>
      <c r="E581" s="241"/>
      <c r="F581" s="252"/>
      <c r="G581" s="252"/>
      <c r="H581" s="253"/>
      <c r="I581" s="250"/>
      <c r="J581" s="250"/>
      <c r="K581" s="270"/>
      <c r="L581" s="250"/>
      <c r="M581" s="250"/>
      <c r="N581" s="553" t="str">
        <f>CONCATENATE(IF(OR(M581=phu!$I$1,M581=phu!$I$2,M581=phu!$I$3),"Cam Thành Nam",""),IF(OR(M581=phu!$I$4,M581=phu!$I$5,M581=phu!$I$6,M581=phu!$I$7,M581=phu!$I$8,M581=phu!$I$9,M581=phu!$I$10,M581=phu!$I$11,M581=phu!$I$12,M581=phu!$I$13,M581=phu!$I$14),"Cam Nghĩa",""),IF(OR(M581=phu!$I$15,M581=phu!$I$16,M581=phu!$I$17,M581=phu!$I$18,M581=phu!$I$19,M581=phu!$I$20,M581=phu!$I$21),"Cam Phúc Bắc",""),IF(OR(M581=phu!$I$22,M581=phu!$I$23,M581=phu!$I$24,M581=phu!$I$25),"Cam Phúc Nam",""),IF(OR(M581=phu!$I$26,M581=phu!$I$27,M581=phu!$I$28,M581=phu!$I$29,M581=phu!$I$30,M581=phu!$I$31),"Cam Phú",""),IF(OR(M581=phu!$I$32,M581=phu!$I$33,M581=phu!$I$34,M581=phu!$I$35,M581=phu!$I$36,M581=phu!$I$37),"Cam Lộc",""),IF(OR(M581=phu!$I$38,M581=phu!$I$39,M581=phu!$I$40,M581=phu!$I$41,M581=phu!$I$42,M581=phu!$I$43,M581=phu!$I$44),"Cam Thuận",""),IF(OR(M581=phu!$I$45,M581=phu!$I$46,M581=phu!$I$47,M581=phu!$I$48,M581=phu!$I$49,M581=phu!$I$50,M581=phu!$I$51,M581=phu!$I$52,M581=phu!$I$53),"Cam Linh",""),IF(OR(M581=phu!$I$54,M581=phu!$I$55,M581=phu!$I$56,M581=phu!$I$57,M581=phu!$I$58,M581=phu!$I$59,M581=phu!$I$60,M581=phu!$I$61,M581=phu!$I$62),"Cam Lợi",""),IF(OR(M581=phu!$I$63,M581=phu!$I$64,M581=phu!$I$65,M581=phu!$I$66,M581=phu!$I$67,M581=phu!$I$68,M581=phu!$I$69,M581=phu!$I$70,M581=phu!$I$71),"Ba Ngòi",""),IF(OR(M581=phu!$I$72,M581=phu!$I$73,M581=phu!$I$74,M581=phu!$I$75,M581=phu!$I$76,M581=phu!$I$77,M581=phu!$I$78),"Cam Phước Đông",""),IF(OR(M581=phu!$I$79,M581=phu!$I$80,M581=phu!$I$81,M581=phu!$I$82,M581=phu!$I$83,M581=phu!$I$84),"Cam Thịnh Đông",""),IF(OR(M581=phu!$I$85,M581=phu!$I$86,M581=phu!$I$87,M581=phu!$I$88),"Cam Thịnh Tây",""),IF(OR(M581=phu!$I$89,M581=phu!$I$90),"Cam Lập",""),IF(OR(M581=phu!$I$91,M581=phu!$I$92,M581=phu!$I$93),"Cam Bình",""),IF(OR(M581=phu!$I$94,M581=phu!$I$95,M581=phu!$I$96,M581=phu!$I$97,M581=phu!$I$98,M581=phu!$I$99,M581=phu!$I$100),"Huyện khác",""),IF(OR(M581=phu!$I$101,M581=phu!$I$102),"Tỉnh khác",""))</f>
        <v/>
      </c>
      <c r="O581" s="814" t="str">
        <f t="shared" si="49"/>
        <v/>
      </c>
      <c r="P581" s="254"/>
      <c r="Q581" s="254"/>
      <c r="R581" s="254"/>
      <c r="S581" s="254"/>
      <c r="T581" s="254"/>
      <c r="U581" s="254"/>
      <c r="V581" s="254"/>
      <c r="W581" s="254"/>
      <c r="Y581" s="246" t="str">
        <f t="shared" si="50"/>
        <v/>
      </c>
      <c r="Z581" s="247" t="str">
        <f t="shared" si="48"/>
        <v/>
      </c>
      <c r="AA581" s="246" t="str">
        <f t="shared" si="51"/>
        <v/>
      </c>
    </row>
    <row r="582" spans="1:27" ht="18" customHeight="1" x14ac:dyDescent="0.25">
      <c r="A582" s="248" t="str">
        <f t="shared" si="52"/>
        <v/>
      </c>
      <c r="B582" s="249" t="str">
        <f t="shared" si="53"/>
        <v/>
      </c>
      <c r="C582" s="250"/>
      <c r="D582" s="251"/>
      <c r="E582" s="241"/>
      <c r="F582" s="252"/>
      <c r="G582" s="252"/>
      <c r="H582" s="253"/>
      <c r="I582" s="250"/>
      <c r="J582" s="250"/>
      <c r="K582" s="270"/>
      <c r="L582" s="250"/>
      <c r="M582" s="250"/>
      <c r="N582" s="553" t="str">
        <f>CONCATENATE(IF(OR(M582=phu!$I$1,M582=phu!$I$2,M582=phu!$I$3),"Cam Thành Nam",""),IF(OR(M582=phu!$I$4,M582=phu!$I$5,M582=phu!$I$6,M582=phu!$I$7,M582=phu!$I$8,M582=phu!$I$9,M582=phu!$I$10,M582=phu!$I$11,M582=phu!$I$12,M582=phu!$I$13,M582=phu!$I$14),"Cam Nghĩa",""),IF(OR(M582=phu!$I$15,M582=phu!$I$16,M582=phu!$I$17,M582=phu!$I$18,M582=phu!$I$19,M582=phu!$I$20,M582=phu!$I$21),"Cam Phúc Bắc",""),IF(OR(M582=phu!$I$22,M582=phu!$I$23,M582=phu!$I$24,M582=phu!$I$25),"Cam Phúc Nam",""),IF(OR(M582=phu!$I$26,M582=phu!$I$27,M582=phu!$I$28,M582=phu!$I$29,M582=phu!$I$30,M582=phu!$I$31),"Cam Phú",""),IF(OR(M582=phu!$I$32,M582=phu!$I$33,M582=phu!$I$34,M582=phu!$I$35,M582=phu!$I$36,M582=phu!$I$37),"Cam Lộc",""),IF(OR(M582=phu!$I$38,M582=phu!$I$39,M582=phu!$I$40,M582=phu!$I$41,M582=phu!$I$42,M582=phu!$I$43,M582=phu!$I$44),"Cam Thuận",""),IF(OR(M582=phu!$I$45,M582=phu!$I$46,M582=phu!$I$47,M582=phu!$I$48,M582=phu!$I$49,M582=phu!$I$50,M582=phu!$I$51,M582=phu!$I$52,M582=phu!$I$53),"Cam Linh",""),IF(OR(M582=phu!$I$54,M582=phu!$I$55,M582=phu!$I$56,M582=phu!$I$57,M582=phu!$I$58,M582=phu!$I$59,M582=phu!$I$60,M582=phu!$I$61,M582=phu!$I$62),"Cam Lợi",""),IF(OR(M582=phu!$I$63,M582=phu!$I$64,M582=phu!$I$65,M582=phu!$I$66,M582=phu!$I$67,M582=phu!$I$68,M582=phu!$I$69,M582=phu!$I$70,M582=phu!$I$71),"Ba Ngòi",""),IF(OR(M582=phu!$I$72,M582=phu!$I$73,M582=phu!$I$74,M582=phu!$I$75,M582=phu!$I$76,M582=phu!$I$77,M582=phu!$I$78),"Cam Phước Đông",""),IF(OR(M582=phu!$I$79,M582=phu!$I$80,M582=phu!$I$81,M582=phu!$I$82,M582=phu!$I$83,M582=phu!$I$84),"Cam Thịnh Đông",""),IF(OR(M582=phu!$I$85,M582=phu!$I$86,M582=phu!$I$87,M582=phu!$I$88),"Cam Thịnh Tây",""),IF(OR(M582=phu!$I$89,M582=phu!$I$90),"Cam Lập",""),IF(OR(M582=phu!$I$91,M582=phu!$I$92,M582=phu!$I$93),"Cam Bình",""),IF(OR(M582=phu!$I$94,M582=phu!$I$95,M582=phu!$I$96,M582=phu!$I$97,M582=phu!$I$98,M582=phu!$I$99,M582=phu!$I$100),"Huyện khác",""),IF(OR(M582=phu!$I$101,M582=phu!$I$102),"Tỉnh khác",""))</f>
        <v/>
      </c>
      <c r="O582" s="814" t="str">
        <f t="shared" si="49"/>
        <v/>
      </c>
      <c r="P582" s="254"/>
      <c r="Q582" s="254"/>
      <c r="R582" s="254"/>
      <c r="S582" s="254"/>
      <c r="T582" s="254"/>
      <c r="U582" s="254"/>
      <c r="V582" s="254"/>
      <c r="W582" s="254"/>
      <c r="Y582" s="246" t="str">
        <f t="shared" si="50"/>
        <v/>
      </c>
      <c r="Z582" s="247" t="str">
        <f t="shared" ref="Z582:Z645" si="54">IF(H582="","",$Z$1-H582)</f>
        <v/>
      </c>
      <c r="AA582" s="246" t="str">
        <f t="shared" si="51"/>
        <v/>
      </c>
    </row>
    <row r="583" spans="1:27" ht="18" customHeight="1" x14ac:dyDescent="0.25">
      <c r="A583" s="248" t="str">
        <f t="shared" si="52"/>
        <v/>
      </c>
      <c r="B583" s="249" t="str">
        <f t="shared" si="53"/>
        <v/>
      </c>
      <c r="C583" s="250"/>
      <c r="D583" s="251"/>
      <c r="E583" s="241"/>
      <c r="F583" s="252"/>
      <c r="G583" s="252"/>
      <c r="H583" s="253"/>
      <c r="I583" s="250"/>
      <c r="J583" s="250"/>
      <c r="K583" s="270"/>
      <c r="L583" s="250"/>
      <c r="M583" s="250"/>
      <c r="N583" s="553" t="str">
        <f>CONCATENATE(IF(OR(M583=phu!$I$1,M583=phu!$I$2,M583=phu!$I$3),"Cam Thành Nam",""),IF(OR(M583=phu!$I$4,M583=phu!$I$5,M583=phu!$I$6,M583=phu!$I$7,M583=phu!$I$8,M583=phu!$I$9,M583=phu!$I$10,M583=phu!$I$11,M583=phu!$I$12,M583=phu!$I$13,M583=phu!$I$14),"Cam Nghĩa",""),IF(OR(M583=phu!$I$15,M583=phu!$I$16,M583=phu!$I$17,M583=phu!$I$18,M583=phu!$I$19,M583=phu!$I$20,M583=phu!$I$21),"Cam Phúc Bắc",""),IF(OR(M583=phu!$I$22,M583=phu!$I$23,M583=phu!$I$24,M583=phu!$I$25),"Cam Phúc Nam",""),IF(OR(M583=phu!$I$26,M583=phu!$I$27,M583=phu!$I$28,M583=phu!$I$29,M583=phu!$I$30,M583=phu!$I$31),"Cam Phú",""),IF(OR(M583=phu!$I$32,M583=phu!$I$33,M583=phu!$I$34,M583=phu!$I$35,M583=phu!$I$36,M583=phu!$I$37),"Cam Lộc",""),IF(OR(M583=phu!$I$38,M583=phu!$I$39,M583=phu!$I$40,M583=phu!$I$41,M583=phu!$I$42,M583=phu!$I$43,M583=phu!$I$44),"Cam Thuận",""),IF(OR(M583=phu!$I$45,M583=phu!$I$46,M583=phu!$I$47,M583=phu!$I$48,M583=phu!$I$49,M583=phu!$I$50,M583=phu!$I$51,M583=phu!$I$52,M583=phu!$I$53),"Cam Linh",""),IF(OR(M583=phu!$I$54,M583=phu!$I$55,M583=phu!$I$56,M583=phu!$I$57,M583=phu!$I$58,M583=phu!$I$59,M583=phu!$I$60,M583=phu!$I$61,M583=phu!$I$62),"Cam Lợi",""),IF(OR(M583=phu!$I$63,M583=phu!$I$64,M583=phu!$I$65,M583=phu!$I$66,M583=phu!$I$67,M583=phu!$I$68,M583=phu!$I$69,M583=phu!$I$70,M583=phu!$I$71),"Ba Ngòi",""),IF(OR(M583=phu!$I$72,M583=phu!$I$73,M583=phu!$I$74,M583=phu!$I$75,M583=phu!$I$76,M583=phu!$I$77,M583=phu!$I$78),"Cam Phước Đông",""),IF(OR(M583=phu!$I$79,M583=phu!$I$80,M583=phu!$I$81,M583=phu!$I$82,M583=phu!$I$83,M583=phu!$I$84),"Cam Thịnh Đông",""),IF(OR(M583=phu!$I$85,M583=phu!$I$86,M583=phu!$I$87,M583=phu!$I$88),"Cam Thịnh Tây",""),IF(OR(M583=phu!$I$89,M583=phu!$I$90),"Cam Lập",""),IF(OR(M583=phu!$I$91,M583=phu!$I$92,M583=phu!$I$93),"Cam Bình",""),IF(OR(M583=phu!$I$94,M583=phu!$I$95,M583=phu!$I$96,M583=phu!$I$97,M583=phu!$I$98,M583=phu!$I$99,M583=phu!$I$100),"Huyện khác",""),IF(OR(M583=phu!$I$101,M583=phu!$I$102),"Tỉnh khác",""))</f>
        <v/>
      </c>
      <c r="O583" s="814" t="str">
        <f t="shared" ref="O583:O646" si="55">CONCATENATE(IF(OR(N583="Cam Thành Nam",N583="Cam Nghĩa",N583="Cam Phúc Bắc"),"Bắc Cam Ranh",""),IF(OR(N583="Cam Phúc Nam",N583="Cam Phú",N583="Cam Lộc"),"Cam Ranh",""),IF(OR(N583="Cam Thuận",N583="Cam Linh",N583="Cam Lợi"),"Cam Linh",""),IF(OR(N583="Ba Ngòi",N583="Cam Phước Đông"),"Ba Ngòi",""),IF(OR(N583="Cam Thịnh Đông",N583="Cam Thịnh Tây",N583="Cam Lập",N583="Cam Bình"),"Nam Cam Ranh",""),IF(N583="Huyện khác","Huyện khác",""),IF(N583="Tỉnh khác","Tỉnh khác",""))</f>
        <v/>
      </c>
      <c r="P583" s="254"/>
      <c r="Q583" s="254"/>
      <c r="R583" s="254"/>
      <c r="S583" s="254"/>
      <c r="T583" s="254"/>
      <c r="U583" s="254"/>
      <c r="V583" s="254"/>
      <c r="W583" s="254"/>
      <c r="Y583" s="246" t="str">
        <f t="shared" ref="Y583:Y646" si="56">IF(OR(AND(B583="",C583="",D583="",E583="",F583="",G583="",H583="",I583="",J583="",L583="",M583="",N583="",P583="",Q583="",R583="",S583=""),AND(B583&lt;&gt;"",C583&lt;&gt;"",D583&lt;&gt;"",E583&lt;&gt;"",F583&lt;&gt;"",G583&lt;&gt;"",H583&lt;&gt;"",J583&lt;&gt;"",M583&lt;&gt;"",N583&lt;&gt;"",P583&lt;&gt;"",OR(AND(Q583&lt;&gt;"",R583=""),AND(Q583="",R583&lt;&gt;""),AND(Q583&lt;&gt;"",R583&lt;&gt;"")),OR(AND(K583="X",T583&lt;&gt;""),AND(K583="",T583="")))),"","er")</f>
        <v/>
      </c>
      <c r="Z583" s="247" t="str">
        <f t="shared" si="54"/>
        <v/>
      </c>
      <c r="AA583" s="246" t="str">
        <f t="shared" ref="AA583:AA646" si="57">IF(OR(AND(Z583=5,B583&gt;0),AND(Z583=6,B583&gt;1),AND(Z583=7,B583&gt;2),AND(Z583=8,B583&gt;3),AND(Z583=9,B583&gt;4),AND(Z583=10,B583&gt;5),AND(Z583=5,B583=0,L583="X"),AND(Z583=6,B583=1,L583="X"),AND(Z583=7,B583=2,L583="X"),AND(Z583=8,B583=3,L583="X"),AND(Z583=9,B583=4,L583="X"),AND(Z583=10,B583=5,L583="X")),"er","")</f>
        <v/>
      </c>
    </row>
    <row r="584" spans="1:27" ht="18" customHeight="1" x14ac:dyDescent="0.25">
      <c r="A584" s="248" t="str">
        <f t="shared" ref="A584:A647" si="58">IF(OR(A583="",B584="",C584="",D584="",E584=""),"",A583+1)</f>
        <v/>
      </c>
      <c r="B584" s="249" t="str">
        <f t="shared" ref="B584:B647" si="59">IF(C584="","",VALUE(LEFT(C584,1)))</f>
        <v/>
      </c>
      <c r="C584" s="250"/>
      <c r="D584" s="251"/>
      <c r="E584" s="241"/>
      <c r="F584" s="252"/>
      <c r="G584" s="252"/>
      <c r="H584" s="253"/>
      <c r="I584" s="250"/>
      <c r="J584" s="250"/>
      <c r="K584" s="270"/>
      <c r="L584" s="250"/>
      <c r="M584" s="250"/>
      <c r="N584" s="553" t="str">
        <f>CONCATENATE(IF(OR(M584=phu!$I$1,M584=phu!$I$2,M584=phu!$I$3),"Cam Thành Nam",""),IF(OR(M584=phu!$I$4,M584=phu!$I$5,M584=phu!$I$6,M584=phu!$I$7,M584=phu!$I$8,M584=phu!$I$9,M584=phu!$I$10,M584=phu!$I$11,M584=phu!$I$12,M584=phu!$I$13,M584=phu!$I$14),"Cam Nghĩa",""),IF(OR(M584=phu!$I$15,M584=phu!$I$16,M584=phu!$I$17,M584=phu!$I$18,M584=phu!$I$19,M584=phu!$I$20,M584=phu!$I$21),"Cam Phúc Bắc",""),IF(OR(M584=phu!$I$22,M584=phu!$I$23,M584=phu!$I$24,M584=phu!$I$25),"Cam Phúc Nam",""),IF(OR(M584=phu!$I$26,M584=phu!$I$27,M584=phu!$I$28,M584=phu!$I$29,M584=phu!$I$30,M584=phu!$I$31),"Cam Phú",""),IF(OR(M584=phu!$I$32,M584=phu!$I$33,M584=phu!$I$34,M584=phu!$I$35,M584=phu!$I$36,M584=phu!$I$37),"Cam Lộc",""),IF(OR(M584=phu!$I$38,M584=phu!$I$39,M584=phu!$I$40,M584=phu!$I$41,M584=phu!$I$42,M584=phu!$I$43,M584=phu!$I$44),"Cam Thuận",""),IF(OR(M584=phu!$I$45,M584=phu!$I$46,M584=phu!$I$47,M584=phu!$I$48,M584=phu!$I$49,M584=phu!$I$50,M584=phu!$I$51,M584=phu!$I$52,M584=phu!$I$53),"Cam Linh",""),IF(OR(M584=phu!$I$54,M584=phu!$I$55,M584=phu!$I$56,M584=phu!$I$57,M584=phu!$I$58,M584=phu!$I$59,M584=phu!$I$60,M584=phu!$I$61,M584=phu!$I$62),"Cam Lợi",""),IF(OR(M584=phu!$I$63,M584=phu!$I$64,M584=phu!$I$65,M584=phu!$I$66,M584=phu!$I$67,M584=phu!$I$68,M584=phu!$I$69,M584=phu!$I$70,M584=phu!$I$71),"Ba Ngòi",""),IF(OR(M584=phu!$I$72,M584=phu!$I$73,M584=phu!$I$74,M584=phu!$I$75,M584=phu!$I$76,M584=phu!$I$77,M584=phu!$I$78),"Cam Phước Đông",""),IF(OR(M584=phu!$I$79,M584=phu!$I$80,M584=phu!$I$81,M584=phu!$I$82,M584=phu!$I$83,M584=phu!$I$84),"Cam Thịnh Đông",""),IF(OR(M584=phu!$I$85,M584=phu!$I$86,M584=phu!$I$87,M584=phu!$I$88),"Cam Thịnh Tây",""),IF(OR(M584=phu!$I$89,M584=phu!$I$90),"Cam Lập",""),IF(OR(M584=phu!$I$91,M584=phu!$I$92,M584=phu!$I$93),"Cam Bình",""),IF(OR(M584=phu!$I$94,M584=phu!$I$95,M584=phu!$I$96,M584=phu!$I$97,M584=phu!$I$98,M584=phu!$I$99,M584=phu!$I$100),"Huyện khác",""),IF(OR(M584=phu!$I$101,M584=phu!$I$102),"Tỉnh khác",""))</f>
        <v/>
      </c>
      <c r="O584" s="814" t="str">
        <f t="shared" si="55"/>
        <v/>
      </c>
      <c r="P584" s="254"/>
      <c r="Q584" s="254"/>
      <c r="R584" s="254"/>
      <c r="S584" s="254"/>
      <c r="T584" s="254"/>
      <c r="U584" s="254"/>
      <c r="V584" s="254"/>
      <c r="W584" s="254"/>
      <c r="Y584" s="246" t="str">
        <f t="shared" si="56"/>
        <v/>
      </c>
      <c r="Z584" s="247" t="str">
        <f t="shared" si="54"/>
        <v/>
      </c>
      <c r="AA584" s="246" t="str">
        <f t="shared" si="57"/>
        <v/>
      </c>
    </row>
    <row r="585" spans="1:27" ht="18" customHeight="1" x14ac:dyDescent="0.25">
      <c r="A585" s="248" t="str">
        <f t="shared" si="58"/>
        <v/>
      </c>
      <c r="B585" s="249" t="str">
        <f t="shared" si="59"/>
        <v/>
      </c>
      <c r="C585" s="250"/>
      <c r="D585" s="251"/>
      <c r="E585" s="241"/>
      <c r="F585" s="252"/>
      <c r="G585" s="252"/>
      <c r="H585" s="253"/>
      <c r="I585" s="250"/>
      <c r="J585" s="250"/>
      <c r="K585" s="270"/>
      <c r="L585" s="250"/>
      <c r="M585" s="543"/>
      <c r="N585" s="553" t="str">
        <f>CONCATENATE(IF(OR(M585=phu!$I$1,M585=phu!$I$2,M585=phu!$I$3),"Cam Thành Nam",""),IF(OR(M585=phu!$I$4,M585=phu!$I$5,M585=phu!$I$6,M585=phu!$I$7,M585=phu!$I$8,M585=phu!$I$9,M585=phu!$I$10,M585=phu!$I$11,M585=phu!$I$12,M585=phu!$I$13,M585=phu!$I$14),"Cam Nghĩa",""),IF(OR(M585=phu!$I$15,M585=phu!$I$16,M585=phu!$I$17,M585=phu!$I$18,M585=phu!$I$19,M585=phu!$I$20,M585=phu!$I$21),"Cam Phúc Bắc",""),IF(OR(M585=phu!$I$22,M585=phu!$I$23,M585=phu!$I$24,M585=phu!$I$25),"Cam Phúc Nam",""),IF(OR(M585=phu!$I$26,M585=phu!$I$27,M585=phu!$I$28,M585=phu!$I$29,M585=phu!$I$30,M585=phu!$I$31),"Cam Phú",""),IF(OR(M585=phu!$I$32,M585=phu!$I$33,M585=phu!$I$34,M585=phu!$I$35,M585=phu!$I$36,M585=phu!$I$37),"Cam Lộc",""),IF(OR(M585=phu!$I$38,M585=phu!$I$39,M585=phu!$I$40,M585=phu!$I$41,M585=phu!$I$42,M585=phu!$I$43,M585=phu!$I$44),"Cam Thuận",""),IF(OR(M585=phu!$I$45,M585=phu!$I$46,M585=phu!$I$47,M585=phu!$I$48,M585=phu!$I$49,M585=phu!$I$50,M585=phu!$I$51,M585=phu!$I$52,M585=phu!$I$53),"Cam Linh",""),IF(OR(M585=phu!$I$54,M585=phu!$I$55,M585=phu!$I$56,M585=phu!$I$57,M585=phu!$I$58,M585=phu!$I$59,M585=phu!$I$60,M585=phu!$I$61,M585=phu!$I$62),"Cam Lợi",""),IF(OR(M585=phu!$I$63,M585=phu!$I$64,M585=phu!$I$65,M585=phu!$I$66,M585=phu!$I$67,M585=phu!$I$68,M585=phu!$I$69,M585=phu!$I$70,M585=phu!$I$71),"Ba Ngòi",""),IF(OR(M585=phu!$I$72,M585=phu!$I$73,M585=phu!$I$74,M585=phu!$I$75,M585=phu!$I$76,M585=phu!$I$77,M585=phu!$I$78),"Cam Phước Đông",""),IF(OR(M585=phu!$I$79,M585=phu!$I$80,M585=phu!$I$81,M585=phu!$I$82,M585=phu!$I$83,M585=phu!$I$84),"Cam Thịnh Đông",""),IF(OR(M585=phu!$I$85,M585=phu!$I$86,M585=phu!$I$87,M585=phu!$I$88),"Cam Thịnh Tây",""),IF(OR(M585=phu!$I$89,M585=phu!$I$90),"Cam Lập",""),IF(OR(M585=phu!$I$91,M585=phu!$I$92,M585=phu!$I$93),"Cam Bình",""),IF(OR(M585=phu!$I$94,M585=phu!$I$95,M585=phu!$I$96,M585=phu!$I$97,M585=phu!$I$98,M585=phu!$I$99,M585=phu!$I$100),"Huyện khác",""),IF(OR(M585=phu!$I$101,M585=phu!$I$102),"Tỉnh khác",""))</f>
        <v/>
      </c>
      <c r="O585" s="814" t="str">
        <f t="shared" si="55"/>
        <v/>
      </c>
      <c r="P585" s="254"/>
      <c r="Q585" s="254"/>
      <c r="R585" s="254"/>
      <c r="S585" s="254"/>
      <c r="T585" s="254"/>
      <c r="U585" s="254"/>
      <c r="V585" s="254"/>
      <c r="W585" s="254"/>
      <c r="Y585" s="246" t="str">
        <f t="shared" si="56"/>
        <v/>
      </c>
      <c r="Z585" s="247" t="str">
        <f t="shared" si="54"/>
        <v/>
      </c>
      <c r="AA585" s="246" t="str">
        <f t="shared" si="57"/>
        <v/>
      </c>
    </row>
    <row r="586" spans="1:27" ht="18" customHeight="1" x14ac:dyDescent="0.25">
      <c r="A586" s="248" t="str">
        <f t="shared" si="58"/>
        <v/>
      </c>
      <c r="B586" s="249" t="str">
        <f t="shared" si="59"/>
        <v/>
      </c>
      <c r="C586" s="250"/>
      <c r="D586" s="251"/>
      <c r="E586" s="241"/>
      <c r="F586" s="252"/>
      <c r="G586" s="252"/>
      <c r="H586" s="253"/>
      <c r="I586" s="250"/>
      <c r="J586" s="250"/>
      <c r="K586" s="270"/>
      <c r="L586" s="250"/>
      <c r="M586" s="250"/>
      <c r="N586" s="553" t="str">
        <f>CONCATENATE(IF(OR(M586=phu!$I$1,M586=phu!$I$2,M586=phu!$I$3),"Cam Thành Nam",""),IF(OR(M586=phu!$I$4,M586=phu!$I$5,M586=phu!$I$6,M586=phu!$I$7,M586=phu!$I$8,M586=phu!$I$9,M586=phu!$I$10,M586=phu!$I$11,M586=phu!$I$12,M586=phu!$I$13,M586=phu!$I$14),"Cam Nghĩa",""),IF(OR(M586=phu!$I$15,M586=phu!$I$16,M586=phu!$I$17,M586=phu!$I$18,M586=phu!$I$19,M586=phu!$I$20,M586=phu!$I$21),"Cam Phúc Bắc",""),IF(OR(M586=phu!$I$22,M586=phu!$I$23,M586=phu!$I$24,M586=phu!$I$25),"Cam Phúc Nam",""),IF(OR(M586=phu!$I$26,M586=phu!$I$27,M586=phu!$I$28,M586=phu!$I$29,M586=phu!$I$30,M586=phu!$I$31),"Cam Phú",""),IF(OR(M586=phu!$I$32,M586=phu!$I$33,M586=phu!$I$34,M586=phu!$I$35,M586=phu!$I$36,M586=phu!$I$37),"Cam Lộc",""),IF(OR(M586=phu!$I$38,M586=phu!$I$39,M586=phu!$I$40,M586=phu!$I$41,M586=phu!$I$42,M586=phu!$I$43,M586=phu!$I$44),"Cam Thuận",""),IF(OR(M586=phu!$I$45,M586=phu!$I$46,M586=phu!$I$47,M586=phu!$I$48,M586=phu!$I$49,M586=phu!$I$50,M586=phu!$I$51,M586=phu!$I$52,M586=phu!$I$53),"Cam Linh",""),IF(OR(M586=phu!$I$54,M586=phu!$I$55,M586=phu!$I$56,M586=phu!$I$57,M586=phu!$I$58,M586=phu!$I$59,M586=phu!$I$60,M586=phu!$I$61,M586=phu!$I$62),"Cam Lợi",""),IF(OR(M586=phu!$I$63,M586=phu!$I$64,M586=phu!$I$65,M586=phu!$I$66,M586=phu!$I$67,M586=phu!$I$68,M586=phu!$I$69,M586=phu!$I$70,M586=phu!$I$71),"Ba Ngòi",""),IF(OR(M586=phu!$I$72,M586=phu!$I$73,M586=phu!$I$74,M586=phu!$I$75,M586=phu!$I$76,M586=phu!$I$77,M586=phu!$I$78),"Cam Phước Đông",""),IF(OR(M586=phu!$I$79,M586=phu!$I$80,M586=phu!$I$81,M586=phu!$I$82,M586=phu!$I$83,M586=phu!$I$84),"Cam Thịnh Đông",""),IF(OR(M586=phu!$I$85,M586=phu!$I$86,M586=phu!$I$87,M586=phu!$I$88),"Cam Thịnh Tây",""),IF(OR(M586=phu!$I$89,M586=phu!$I$90),"Cam Lập",""),IF(OR(M586=phu!$I$91,M586=phu!$I$92,M586=phu!$I$93),"Cam Bình",""),IF(OR(M586=phu!$I$94,M586=phu!$I$95,M586=phu!$I$96,M586=phu!$I$97,M586=phu!$I$98,M586=phu!$I$99,M586=phu!$I$100),"Huyện khác",""),IF(OR(M586=phu!$I$101,M586=phu!$I$102),"Tỉnh khác",""))</f>
        <v/>
      </c>
      <c r="O586" s="814" t="str">
        <f t="shared" si="55"/>
        <v/>
      </c>
      <c r="P586" s="254"/>
      <c r="Q586" s="254"/>
      <c r="R586" s="254"/>
      <c r="S586" s="254"/>
      <c r="T586" s="254"/>
      <c r="U586" s="254"/>
      <c r="V586" s="254"/>
      <c r="W586" s="254"/>
      <c r="Y586" s="246" t="str">
        <f t="shared" si="56"/>
        <v/>
      </c>
      <c r="Z586" s="247" t="str">
        <f t="shared" si="54"/>
        <v/>
      </c>
      <c r="AA586" s="246" t="str">
        <f t="shared" si="57"/>
        <v/>
      </c>
    </row>
    <row r="587" spans="1:27" ht="18" customHeight="1" x14ac:dyDescent="0.25">
      <c r="A587" s="248" t="str">
        <f t="shared" si="58"/>
        <v/>
      </c>
      <c r="B587" s="249" t="str">
        <f t="shared" si="59"/>
        <v/>
      </c>
      <c r="C587" s="250"/>
      <c r="D587" s="251"/>
      <c r="E587" s="241"/>
      <c r="F587" s="252"/>
      <c r="G587" s="252"/>
      <c r="H587" s="253"/>
      <c r="I587" s="250"/>
      <c r="J587" s="250"/>
      <c r="K587" s="270"/>
      <c r="L587" s="250"/>
      <c r="M587" s="250"/>
      <c r="N587" s="553" t="str">
        <f>CONCATENATE(IF(OR(M587=phu!$I$1,M587=phu!$I$2,M587=phu!$I$3),"Cam Thành Nam",""),IF(OR(M587=phu!$I$4,M587=phu!$I$5,M587=phu!$I$6,M587=phu!$I$7,M587=phu!$I$8,M587=phu!$I$9,M587=phu!$I$10,M587=phu!$I$11,M587=phu!$I$12,M587=phu!$I$13,M587=phu!$I$14),"Cam Nghĩa",""),IF(OR(M587=phu!$I$15,M587=phu!$I$16,M587=phu!$I$17,M587=phu!$I$18,M587=phu!$I$19,M587=phu!$I$20,M587=phu!$I$21),"Cam Phúc Bắc",""),IF(OR(M587=phu!$I$22,M587=phu!$I$23,M587=phu!$I$24,M587=phu!$I$25),"Cam Phúc Nam",""),IF(OR(M587=phu!$I$26,M587=phu!$I$27,M587=phu!$I$28,M587=phu!$I$29,M587=phu!$I$30,M587=phu!$I$31),"Cam Phú",""),IF(OR(M587=phu!$I$32,M587=phu!$I$33,M587=phu!$I$34,M587=phu!$I$35,M587=phu!$I$36,M587=phu!$I$37),"Cam Lộc",""),IF(OR(M587=phu!$I$38,M587=phu!$I$39,M587=phu!$I$40,M587=phu!$I$41,M587=phu!$I$42,M587=phu!$I$43,M587=phu!$I$44),"Cam Thuận",""),IF(OR(M587=phu!$I$45,M587=phu!$I$46,M587=phu!$I$47,M587=phu!$I$48,M587=phu!$I$49,M587=phu!$I$50,M587=phu!$I$51,M587=phu!$I$52,M587=phu!$I$53),"Cam Linh",""),IF(OR(M587=phu!$I$54,M587=phu!$I$55,M587=phu!$I$56,M587=phu!$I$57,M587=phu!$I$58,M587=phu!$I$59,M587=phu!$I$60,M587=phu!$I$61,M587=phu!$I$62),"Cam Lợi",""),IF(OR(M587=phu!$I$63,M587=phu!$I$64,M587=phu!$I$65,M587=phu!$I$66,M587=phu!$I$67,M587=phu!$I$68,M587=phu!$I$69,M587=phu!$I$70,M587=phu!$I$71),"Ba Ngòi",""),IF(OR(M587=phu!$I$72,M587=phu!$I$73,M587=phu!$I$74,M587=phu!$I$75,M587=phu!$I$76,M587=phu!$I$77,M587=phu!$I$78),"Cam Phước Đông",""),IF(OR(M587=phu!$I$79,M587=phu!$I$80,M587=phu!$I$81,M587=phu!$I$82,M587=phu!$I$83,M587=phu!$I$84),"Cam Thịnh Đông",""),IF(OR(M587=phu!$I$85,M587=phu!$I$86,M587=phu!$I$87,M587=phu!$I$88),"Cam Thịnh Tây",""),IF(OR(M587=phu!$I$89,M587=phu!$I$90),"Cam Lập",""),IF(OR(M587=phu!$I$91,M587=phu!$I$92,M587=phu!$I$93),"Cam Bình",""),IF(OR(M587=phu!$I$94,M587=phu!$I$95,M587=phu!$I$96,M587=phu!$I$97,M587=phu!$I$98,M587=phu!$I$99,M587=phu!$I$100),"Huyện khác",""),IF(OR(M587=phu!$I$101,M587=phu!$I$102),"Tỉnh khác",""))</f>
        <v/>
      </c>
      <c r="O587" s="814" t="str">
        <f t="shared" si="55"/>
        <v/>
      </c>
      <c r="P587" s="254"/>
      <c r="Q587" s="254"/>
      <c r="R587" s="254"/>
      <c r="S587" s="254"/>
      <c r="T587" s="254"/>
      <c r="U587" s="254"/>
      <c r="V587" s="254"/>
      <c r="W587" s="254"/>
      <c r="Y587" s="246" t="str">
        <f t="shared" si="56"/>
        <v/>
      </c>
      <c r="Z587" s="247" t="str">
        <f t="shared" si="54"/>
        <v/>
      </c>
      <c r="AA587" s="246" t="str">
        <f t="shared" si="57"/>
        <v/>
      </c>
    </row>
    <row r="588" spans="1:27" ht="18" customHeight="1" x14ac:dyDescent="0.25">
      <c r="A588" s="248" t="str">
        <f t="shared" si="58"/>
        <v/>
      </c>
      <c r="B588" s="249" t="str">
        <f t="shared" si="59"/>
        <v/>
      </c>
      <c r="C588" s="250"/>
      <c r="D588" s="251"/>
      <c r="E588" s="241"/>
      <c r="F588" s="252"/>
      <c r="G588" s="252"/>
      <c r="H588" s="253"/>
      <c r="I588" s="250"/>
      <c r="J588" s="250"/>
      <c r="K588" s="270"/>
      <c r="L588" s="250"/>
      <c r="M588" s="250"/>
      <c r="N588" s="553" t="str">
        <f>CONCATENATE(IF(OR(M588=phu!$I$1,M588=phu!$I$2,M588=phu!$I$3),"Cam Thành Nam",""),IF(OR(M588=phu!$I$4,M588=phu!$I$5,M588=phu!$I$6,M588=phu!$I$7,M588=phu!$I$8,M588=phu!$I$9,M588=phu!$I$10,M588=phu!$I$11,M588=phu!$I$12,M588=phu!$I$13,M588=phu!$I$14),"Cam Nghĩa",""),IF(OR(M588=phu!$I$15,M588=phu!$I$16,M588=phu!$I$17,M588=phu!$I$18,M588=phu!$I$19,M588=phu!$I$20,M588=phu!$I$21),"Cam Phúc Bắc",""),IF(OR(M588=phu!$I$22,M588=phu!$I$23,M588=phu!$I$24,M588=phu!$I$25),"Cam Phúc Nam",""),IF(OR(M588=phu!$I$26,M588=phu!$I$27,M588=phu!$I$28,M588=phu!$I$29,M588=phu!$I$30,M588=phu!$I$31),"Cam Phú",""),IF(OR(M588=phu!$I$32,M588=phu!$I$33,M588=phu!$I$34,M588=phu!$I$35,M588=phu!$I$36,M588=phu!$I$37),"Cam Lộc",""),IF(OR(M588=phu!$I$38,M588=phu!$I$39,M588=phu!$I$40,M588=phu!$I$41,M588=phu!$I$42,M588=phu!$I$43,M588=phu!$I$44),"Cam Thuận",""),IF(OR(M588=phu!$I$45,M588=phu!$I$46,M588=phu!$I$47,M588=phu!$I$48,M588=phu!$I$49,M588=phu!$I$50,M588=phu!$I$51,M588=phu!$I$52,M588=phu!$I$53),"Cam Linh",""),IF(OR(M588=phu!$I$54,M588=phu!$I$55,M588=phu!$I$56,M588=phu!$I$57,M588=phu!$I$58,M588=phu!$I$59,M588=phu!$I$60,M588=phu!$I$61,M588=phu!$I$62),"Cam Lợi",""),IF(OR(M588=phu!$I$63,M588=phu!$I$64,M588=phu!$I$65,M588=phu!$I$66,M588=phu!$I$67,M588=phu!$I$68,M588=phu!$I$69,M588=phu!$I$70,M588=phu!$I$71),"Ba Ngòi",""),IF(OR(M588=phu!$I$72,M588=phu!$I$73,M588=phu!$I$74,M588=phu!$I$75,M588=phu!$I$76,M588=phu!$I$77,M588=phu!$I$78),"Cam Phước Đông",""),IF(OR(M588=phu!$I$79,M588=phu!$I$80,M588=phu!$I$81,M588=phu!$I$82,M588=phu!$I$83,M588=phu!$I$84),"Cam Thịnh Đông",""),IF(OR(M588=phu!$I$85,M588=phu!$I$86,M588=phu!$I$87,M588=phu!$I$88),"Cam Thịnh Tây",""),IF(OR(M588=phu!$I$89,M588=phu!$I$90),"Cam Lập",""),IF(OR(M588=phu!$I$91,M588=phu!$I$92,M588=phu!$I$93),"Cam Bình",""),IF(OR(M588=phu!$I$94,M588=phu!$I$95,M588=phu!$I$96,M588=phu!$I$97,M588=phu!$I$98,M588=phu!$I$99,M588=phu!$I$100),"Huyện khác",""),IF(OR(M588=phu!$I$101,M588=phu!$I$102),"Tỉnh khác",""))</f>
        <v/>
      </c>
      <c r="O588" s="814" t="str">
        <f t="shared" si="55"/>
        <v/>
      </c>
      <c r="P588" s="254"/>
      <c r="Q588" s="254"/>
      <c r="R588" s="254"/>
      <c r="S588" s="254"/>
      <c r="T588" s="254"/>
      <c r="U588" s="254"/>
      <c r="V588" s="254"/>
      <c r="W588" s="254"/>
      <c r="Y588" s="246" t="str">
        <f t="shared" si="56"/>
        <v/>
      </c>
      <c r="Z588" s="247" t="str">
        <f t="shared" si="54"/>
        <v/>
      </c>
      <c r="AA588" s="246" t="str">
        <f t="shared" si="57"/>
        <v/>
      </c>
    </row>
    <row r="589" spans="1:27" ht="18" customHeight="1" x14ac:dyDescent="0.25">
      <c r="A589" s="248" t="str">
        <f t="shared" si="58"/>
        <v/>
      </c>
      <c r="B589" s="249" t="str">
        <f t="shared" si="59"/>
        <v/>
      </c>
      <c r="C589" s="250"/>
      <c r="D589" s="251"/>
      <c r="E589" s="241"/>
      <c r="F589" s="252"/>
      <c r="G589" s="252"/>
      <c r="H589" s="253"/>
      <c r="I589" s="250"/>
      <c r="J589" s="250"/>
      <c r="K589" s="270"/>
      <c r="L589" s="250"/>
      <c r="M589" s="250"/>
      <c r="N589" s="553" t="str">
        <f>CONCATENATE(IF(OR(M589=phu!$I$1,M589=phu!$I$2,M589=phu!$I$3),"Cam Thành Nam",""),IF(OR(M589=phu!$I$4,M589=phu!$I$5,M589=phu!$I$6,M589=phu!$I$7,M589=phu!$I$8,M589=phu!$I$9,M589=phu!$I$10,M589=phu!$I$11,M589=phu!$I$12,M589=phu!$I$13,M589=phu!$I$14),"Cam Nghĩa",""),IF(OR(M589=phu!$I$15,M589=phu!$I$16,M589=phu!$I$17,M589=phu!$I$18,M589=phu!$I$19,M589=phu!$I$20,M589=phu!$I$21),"Cam Phúc Bắc",""),IF(OR(M589=phu!$I$22,M589=phu!$I$23,M589=phu!$I$24,M589=phu!$I$25),"Cam Phúc Nam",""),IF(OR(M589=phu!$I$26,M589=phu!$I$27,M589=phu!$I$28,M589=phu!$I$29,M589=phu!$I$30,M589=phu!$I$31),"Cam Phú",""),IF(OR(M589=phu!$I$32,M589=phu!$I$33,M589=phu!$I$34,M589=phu!$I$35,M589=phu!$I$36,M589=phu!$I$37),"Cam Lộc",""),IF(OR(M589=phu!$I$38,M589=phu!$I$39,M589=phu!$I$40,M589=phu!$I$41,M589=phu!$I$42,M589=phu!$I$43,M589=phu!$I$44),"Cam Thuận",""),IF(OR(M589=phu!$I$45,M589=phu!$I$46,M589=phu!$I$47,M589=phu!$I$48,M589=phu!$I$49,M589=phu!$I$50,M589=phu!$I$51,M589=phu!$I$52,M589=phu!$I$53),"Cam Linh",""),IF(OR(M589=phu!$I$54,M589=phu!$I$55,M589=phu!$I$56,M589=phu!$I$57,M589=phu!$I$58,M589=phu!$I$59,M589=phu!$I$60,M589=phu!$I$61,M589=phu!$I$62),"Cam Lợi",""),IF(OR(M589=phu!$I$63,M589=phu!$I$64,M589=phu!$I$65,M589=phu!$I$66,M589=phu!$I$67,M589=phu!$I$68,M589=phu!$I$69,M589=phu!$I$70,M589=phu!$I$71),"Ba Ngòi",""),IF(OR(M589=phu!$I$72,M589=phu!$I$73,M589=phu!$I$74,M589=phu!$I$75,M589=phu!$I$76,M589=phu!$I$77,M589=phu!$I$78),"Cam Phước Đông",""),IF(OR(M589=phu!$I$79,M589=phu!$I$80,M589=phu!$I$81,M589=phu!$I$82,M589=phu!$I$83,M589=phu!$I$84),"Cam Thịnh Đông",""),IF(OR(M589=phu!$I$85,M589=phu!$I$86,M589=phu!$I$87,M589=phu!$I$88),"Cam Thịnh Tây",""),IF(OR(M589=phu!$I$89,M589=phu!$I$90),"Cam Lập",""),IF(OR(M589=phu!$I$91,M589=phu!$I$92,M589=phu!$I$93),"Cam Bình",""),IF(OR(M589=phu!$I$94,M589=phu!$I$95,M589=phu!$I$96,M589=phu!$I$97,M589=phu!$I$98,M589=phu!$I$99,M589=phu!$I$100),"Huyện khác",""),IF(OR(M589=phu!$I$101,M589=phu!$I$102),"Tỉnh khác",""))</f>
        <v/>
      </c>
      <c r="O589" s="814" t="str">
        <f t="shared" si="55"/>
        <v/>
      </c>
      <c r="P589" s="254"/>
      <c r="Q589" s="254"/>
      <c r="R589" s="254"/>
      <c r="S589" s="254"/>
      <c r="T589" s="254"/>
      <c r="U589" s="254"/>
      <c r="V589" s="254"/>
      <c r="W589" s="254"/>
      <c r="Y589" s="246" t="str">
        <f t="shared" si="56"/>
        <v/>
      </c>
      <c r="Z589" s="247" t="str">
        <f t="shared" si="54"/>
        <v/>
      </c>
      <c r="AA589" s="246" t="str">
        <f t="shared" si="57"/>
        <v/>
      </c>
    </row>
    <row r="590" spans="1:27" ht="18" customHeight="1" x14ac:dyDescent="0.25">
      <c r="A590" s="248" t="str">
        <f t="shared" si="58"/>
        <v/>
      </c>
      <c r="B590" s="249" t="str">
        <f t="shared" si="59"/>
        <v/>
      </c>
      <c r="C590" s="250"/>
      <c r="D590" s="251"/>
      <c r="E590" s="241"/>
      <c r="F590" s="252"/>
      <c r="G590" s="252"/>
      <c r="H590" s="253"/>
      <c r="I590" s="250"/>
      <c r="J590" s="250"/>
      <c r="K590" s="270"/>
      <c r="L590" s="250"/>
      <c r="M590" s="250"/>
      <c r="N590" s="553" t="str">
        <f>CONCATENATE(IF(OR(M590=phu!$I$1,M590=phu!$I$2,M590=phu!$I$3),"Cam Thành Nam",""),IF(OR(M590=phu!$I$4,M590=phu!$I$5,M590=phu!$I$6,M590=phu!$I$7,M590=phu!$I$8,M590=phu!$I$9,M590=phu!$I$10,M590=phu!$I$11,M590=phu!$I$12,M590=phu!$I$13,M590=phu!$I$14),"Cam Nghĩa",""),IF(OR(M590=phu!$I$15,M590=phu!$I$16,M590=phu!$I$17,M590=phu!$I$18,M590=phu!$I$19,M590=phu!$I$20,M590=phu!$I$21),"Cam Phúc Bắc",""),IF(OR(M590=phu!$I$22,M590=phu!$I$23,M590=phu!$I$24,M590=phu!$I$25),"Cam Phúc Nam",""),IF(OR(M590=phu!$I$26,M590=phu!$I$27,M590=phu!$I$28,M590=phu!$I$29,M590=phu!$I$30,M590=phu!$I$31),"Cam Phú",""),IF(OR(M590=phu!$I$32,M590=phu!$I$33,M590=phu!$I$34,M590=phu!$I$35,M590=phu!$I$36,M590=phu!$I$37),"Cam Lộc",""),IF(OR(M590=phu!$I$38,M590=phu!$I$39,M590=phu!$I$40,M590=phu!$I$41,M590=phu!$I$42,M590=phu!$I$43,M590=phu!$I$44),"Cam Thuận",""),IF(OR(M590=phu!$I$45,M590=phu!$I$46,M590=phu!$I$47,M590=phu!$I$48,M590=phu!$I$49,M590=phu!$I$50,M590=phu!$I$51,M590=phu!$I$52,M590=phu!$I$53),"Cam Linh",""),IF(OR(M590=phu!$I$54,M590=phu!$I$55,M590=phu!$I$56,M590=phu!$I$57,M590=phu!$I$58,M590=phu!$I$59,M590=phu!$I$60,M590=phu!$I$61,M590=phu!$I$62),"Cam Lợi",""),IF(OR(M590=phu!$I$63,M590=phu!$I$64,M590=phu!$I$65,M590=phu!$I$66,M590=phu!$I$67,M590=phu!$I$68,M590=phu!$I$69,M590=phu!$I$70,M590=phu!$I$71),"Ba Ngòi",""),IF(OR(M590=phu!$I$72,M590=phu!$I$73,M590=phu!$I$74,M590=phu!$I$75,M590=phu!$I$76,M590=phu!$I$77,M590=phu!$I$78),"Cam Phước Đông",""),IF(OR(M590=phu!$I$79,M590=phu!$I$80,M590=phu!$I$81,M590=phu!$I$82,M590=phu!$I$83,M590=phu!$I$84),"Cam Thịnh Đông",""),IF(OR(M590=phu!$I$85,M590=phu!$I$86,M590=phu!$I$87,M590=phu!$I$88),"Cam Thịnh Tây",""),IF(OR(M590=phu!$I$89,M590=phu!$I$90),"Cam Lập",""),IF(OR(M590=phu!$I$91,M590=phu!$I$92,M590=phu!$I$93),"Cam Bình",""),IF(OR(M590=phu!$I$94,M590=phu!$I$95,M590=phu!$I$96,M590=phu!$I$97,M590=phu!$I$98,M590=phu!$I$99,M590=phu!$I$100),"Huyện khác",""),IF(OR(M590=phu!$I$101,M590=phu!$I$102),"Tỉnh khác",""))</f>
        <v/>
      </c>
      <c r="O590" s="814" t="str">
        <f t="shared" si="55"/>
        <v/>
      </c>
      <c r="P590" s="254"/>
      <c r="Q590" s="254"/>
      <c r="R590" s="254"/>
      <c r="S590" s="254"/>
      <c r="T590" s="254"/>
      <c r="U590" s="254"/>
      <c r="V590" s="254"/>
      <c r="W590" s="254"/>
      <c r="Y590" s="246" t="str">
        <f t="shared" si="56"/>
        <v/>
      </c>
      <c r="Z590" s="247" t="str">
        <f t="shared" si="54"/>
        <v/>
      </c>
      <c r="AA590" s="246" t="str">
        <f t="shared" si="57"/>
        <v/>
      </c>
    </row>
    <row r="591" spans="1:27" ht="18" customHeight="1" x14ac:dyDescent="0.25">
      <c r="A591" s="248" t="str">
        <f t="shared" si="58"/>
        <v/>
      </c>
      <c r="B591" s="249" t="str">
        <f t="shared" si="59"/>
        <v/>
      </c>
      <c r="C591" s="250"/>
      <c r="D591" s="251"/>
      <c r="E591" s="241"/>
      <c r="F591" s="252"/>
      <c r="G591" s="252"/>
      <c r="H591" s="253"/>
      <c r="I591" s="250"/>
      <c r="J591" s="250"/>
      <c r="K591" s="270"/>
      <c r="L591" s="250"/>
      <c r="M591" s="250"/>
      <c r="N591" s="553" t="str">
        <f>CONCATENATE(IF(OR(M591=phu!$I$1,M591=phu!$I$2,M591=phu!$I$3),"Cam Thành Nam",""),IF(OR(M591=phu!$I$4,M591=phu!$I$5,M591=phu!$I$6,M591=phu!$I$7,M591=phu!$I$8,M591=phu!$I$9,M591=phu!$I$10,M591=phu!$I$11,M591=phu!$I$12,M591=phu!$I$13,M591=phu!$I$14),"Cam Nghĩa",""),IF(OR(M591=phu!$I$15,M591=phu!$I$16,M591=phu!$I$17,M591=phu!$I$18,M591=phu!$I$19,M591=phu!$I$20,M591=phu!$I$21),"Cam Phúc Bắc",""),IF(OR(M591=phu!$I$22,M591=phu!$I$23,M591=phu!$I$24,M591=phu!$I$25),"Cam Phúc Nam",""),IF(OR(M591=phu!$I$26,M591=phu!$I$27,M591=phu!$I$28,M591=phu!$I$29,M591=phu!$I$30,M591=phu!$I$31),"Cam Phú",""),IF(OR(M591=phu!$I$32,M591=phu!$I$33,M591=phu!$I$34,M591=phu!$I$35,M591=phu!$I$36,M591=phu!$I$37),"Cam Lộc",""),IF(OR(M591=phu!$I$38,M591=phu!$I$39,M591=phu!$I$40,M591=phu!$I$41,M591=phu!$I$42,M591=phu!$I$43,M591=phu!$I$44),"Cam Thuận",""),IF(OR(M591=phu!$I$45,M591=phu!$I$46,M591=phu!$I$47,M591=phu!$I$48,M591=phu!$I$49,M591=phu!$I$50,M591=phu!$I$51,M591=phu!$I$52,M591=phu!$I$53),"Cam Linh",""),IF(OR(M591=phu!$I$54,M591=phu!$I$55,M591=phu!$I$56,M591=phu!$I$57,M591=phu!$I$58,M591=phu!$I$59,M591=phu!$I$60,M591=phu!$I$61,M591=phu!$I$62),"Cam Lợi",""),IF(OR(M591=phu!$I$63,M591=phu!$I$64,M591=phu!$I$65,M591=phu!$I$66,M591=phu!$I$67,M591=phu!$I$68,M591=phu!$I$69,M591=phu!$I$70,M591=phu!$I$71),"Ba Ngòi",""),IF(OR(M591=phu!$I$72,M591=phu!$I$73,M591=phu!$I$74,M591=phu!$I$75,M591=phu!$I$76,M591=phu!$I$77,M591=phu!$I$78),"Cam Phước Đông",""),IF(OR(M591=phu!$I$79,M591=phu!$I$80,M591=phu!$I$81,M591=phu!$I$82,M591=phu!$I$83,M591=phu!$I$84),"Cam Thịnh Đông",""),IF(OR(M591=phu!$I$85,M591=phu!$I$86,M591=phu!$I$87,M591=phu!$I$88),"Cam Thịnh Tây",""),IF(OR(M591=phu!$I$89,M591=phu!$I$90),"Cam Lập",""),IF(OR(M591=phu!$I$91,M591=phu!$I$92,M591=phu!$I$93),"Cam Bình",""),IF(OR(M591=phu!$I$94,M591=phu!$I$95,M591=phu!$I$96,M591=phu!$I$97,M591=phu!$I$98,M591=phu!$I$99,M591=phu!$I$100),"Huyện khác",""),IF(OR(M591=phu!$I$101,M591=phu!$I$102),"Tỉnh khác",""))</f>
        <v/>
      </c>
      <c r="O591" s="814" t="str">
        <f t="shared" si="55"/>
        <v/>
      </c>
      <c r="P591" s="254"/>
      <c r="Q591" s="254"/>
      <c r="R591" s="254"/>
      <c r="S591" s="254"/>
      <c r="T591" s="254"/>
      <c r="U591" s="254"/>
      <c r="V591" s="254"/>
      <c r="W591" s="254"/>
      <c r="Y591" s="246" t="str">
        <f t="shared" si="56"/>
        <v/>
      </c>
      <c r="Z591" s="247" t="str">
        <f t="shared" si="54"/>
        <v/>
      </c>
      <c r="AA591" s="246" t="str">
        <f t="shared" si="57"/>
        <v/>
      </c>
    </row>
    <row r="592" spans="1:27" ht="18" customHeight="1" x14ac:dyDescent="0.25">
      <c r="A592" s="248" t="str">
        <f t="shared" si="58"/>
        <v/>
      </c>
      <c r="B592" s="249" t="str">
        <f t="shared" si="59"/>
        <v/>
      </c>
      <c r="C592" s="250"/>
      <c r="D592" s="251"/>
      <c r="E592" s="241"/>
      <c r="F592" s="252"/>
      <c r="G592" s="252"/>
      <c r="H592" s="253"/>
      <c r="I592" s="250"/>
      <c r="J592" s="250"/>
      <c r="K592" s="270"/>
      <c r="L592" s="250"/>
      <c r="M592" s="250"/>
      <c r="N592" s="553" t="str">
        <f>CONCATENATE(IF(OR(M592=phu!$I$1,M592=phu!$I$2,M592=phu!$I$3),"Cam Thành Nam",""),IF(OR(M592=phu!$I$4,M592=phu!$I$5,M592=phu!$I$6,M592=phu!$I$7,M592=phu!$I$8,M592=phu!$I$9,M592=phu!$I$10,M592=phu!$I$11,M592=phu!$I$12,M592=phu!$I$13,M592=phu!$I$14),"Cam Nghĩa",""),IF(OR(M592=phu!$I$15,M592=phu!$I$16,M592=phu!$I$17,M592=phu!$I$18,M592=phu!$I$19,M592=phu!$I$20,M592=phu!$I$21),"Cam Phúc Bắc",""),IF(OR(M592=phu!$I$22,M592=phu!$I$23,M592=phu!$I$24,M592=phu!$I$25),"Cam Phúc Nam",""),IF(OR(M592=phu!$I$26,M592=phu!$I$27,M592=phu!$I$28,M592=phu!$I$29,M592=phu!$I$30,M592=phu!$I$31),"Cam Phú",""),IF(OR(M592=phu!$I$32,M592=phu!$I$33,M592=phu!$I$34,M592=phu!$I$35,M592=phu!$I$36,M592=phu!$I$37),"Cam Lộc",""),IF(OR(M592=phu!$I$38,M592=phu!$I$39,M592=phu!$I$40,M592=phu!$I$41,M592=phu!$I$42,M592=phu!$I$43,M592=phu!$I$44),"Cam Thuận",""),IF(OR(M592=phu!$I$45,M592=phu!$I$46,M592=phu!$I$47,M592=phu!$I$48,M592=phu!$I$49,M592=phu!$I$50,M592=phu!$I$51,M592=phu!$I$52,M592=phu!$I$53),"Cam Linh",""),IF(OR(M592=phu!$I$54,M592=phu!$I$55,M592=phu!$I$56,M592=phu!$I$57,M592=phu!$I$58,M592=phu!$I$59,M592=phu!$I$60,M592=phu!$I$61,M592=phu!$I$62),"Cam Lợi",""),IF(OR(M592=phu!$I$63,M592=phu!$I$64,M592=phu!$I$65,M592=phu!$I$66,M592=phu!$I$67,M592=phu!$I$68,M592=phu!$I$69,M592=phu!$I$70,M592=phu!$I$71),"Ba Ngòi",""),IF(OR(M592=phu!$I$72,M592=phu!$I$73,M592=phu!$I$74,M592=phu!$I$75,M592=phu!$I$76,M592=phu!$I$77,M592=phu!$I$78),"Cam Phước Đông",""),IF(OR(M592=phu!$I$79,M592=phu!$I$80,M592=phu!$I$81,M592=phu!$I$82,M592=phu!$I$83,M592=phu!$I$84),"Cam Thịnh Đông",""),IF(OR(M592=phu!$I$85,M592=phu!$I$86,M592=phu!$I$87,M592=phu!$I$88),"Cam Thịnh Tây",""),IF(OR(M592=phu!$I$89,M592=phu!$I$90),"Cam Lập",""),IF(OR(M592=phu!$I$91,M592=phu!$I$92,M592=phu!$I$93),"Cam Bình",""),IF(OR(M592=phu!$I$94,M592=phu!$I$95,M592=phu!$I$96,M592=phu!$I$97,M592=phu!$I$98,M592=phu!$I$99,M592=phu!$I$100),"Huyện khác",""),IF(OR(M592=phu!$I$101,M592=phu!$I$102),"Tỉnh khác",""))</f>
        <v/>
      </c>
      <c r="O592" s="814" t="str">
        <f t="shared" si="55"/>
        <v/>
      </c>
      <c r="P592" s="254"/>
      <c r="Q592" s="254"/>
      <c r="R592" s="254"/>
      <c r="S592" s="254"/>
      <c r="T592" s="254"/>
      <c r="U592" s="254"/>
      <c r="V592" s="254"/>
      <c r="W592" s="254"/>
      <c r="Y592" s="246" t="str">
        <f t="shared" si="56"/>
        <v/>
      </c>
      <c r="Z592" s="247" t="str">
        <f t="shared" si="54"/>
        <v/>
      </c>
      <c r="AA592" s="246" t="str">
        <f t="shared" si="57"/>
        <v/>
      </c>
    </row>
    <row r="593" spans="1:27" ht="18" customHeight="1" x14ac:dyDescent="0.25">
      <c r="A593" s="248" t="str">
        <f t="shared" si="58"/>
        <v/>
      </c>
      <c r="B593" s="249" t="str">
        <f t="shared" si="59"/>
        <v/>
      </c>
      <c r="C593" s="250"/>
      <c r="D593" s="251"/>
      <c r="E593" s="241"/>
      <c r="F593" s="252"/>
      <c r="G593" s="252"/>
      <c r="H593" s="253"/>
      <c r="I593" s="250"/>
      <c r="J593" s="250"/>
      <c r="K593" s="270"/>
      <c r="L593" s="250"/>
      <c r="M593" s="250"/>
      <c r="N593" s="553" t="str">
        <f>CONCATENATE(IF(OR(M593=phu!$I$1,M593=phu!$I$2,M593=phu!$I$3),"Cam Thành Nam",""),IF(OR(M593=phu!$I$4,M593=phu!$I$5,M593=phu!$I$6,M593=phu!$I$7,M593=phu!$I$8,M593=phu!$I$9,M593=phu!$I$10,M593=phu!$I$11,M593=phu!$I$12,M593=phu!$I$13,M593=phu!$I$14),"Cam Nghĩa",""),IF(OR(M593=phu!$I$15,M593=phu!$I$16,M593=phu!$I$17,M593=phu!$I$18,M593=phu!$I$19,M593=phu!$I$20,M593=phu!$I$21),"Cam Phúc Bắc",""),IF(OR(M593=phu!$I$22,M593=phu!$I$23,M593=phu!$I$24,M593=phu!$I$25),"Cam Phúc Nam",""),IF(OR(M593=phu!$I$26,M593=phu!$I$27,M593=phu!$I$28,M593=phu!$I$29,M593=phu!$I$30,M593=phu!$I$31),"Cam Phú",""),IF(OR(M593=phu!$I$32,M593=phu!$I$33,M593=phu!$I$34,M593=phu!$I$35,M593=phu!$I$36,M593=phu!$I$37),"Cam Lộc",""),IF(OR(M593=phu!$I$38,M593=phu!$I$39,M593=phu!$I$40,M593=phu!$I$41,M593=phu!$I$42,M593=phu!$I$43,M593=phu!$I$44),"Cam Thuận",""),IF(OR(M593=phu!$I$45,M593=phu!$I$46,M593=phu!$I$47,M593=phu!$I$48,M593=phu!$I$49,M593=phu!$I$50,M593=phu!$I$51,M593=phu!$I$52,M593=phu!$I$53),"Cam Linh",""),IF(OR(M593=phu!$I$54,M593=phu!$I$55,M593=phu!$I$56,M593=phu!$I$57,M593=phu!$I$58,M593=phu!$I$59,M593=phu!$I$60,M593=phu!$I$61,M593=phu!$I$62),"Cam Lợi",""),IF(OR(M593=phu!$I$63,M593=phu!$I$64,M593=phu!$I$65,M593=phu!$I$66,M593=phu!$I$67,M593=phu!$I$68,M593=phu!$I$69,M593=phu!$I$70,M593=phu!$I$71),"Ba Ngòi",""),IF(OR(M593=phu!$I$72,M593=phu!$I$73,M593=phu!$I$74,M593=phu!$I$75,M593=phu!$I$76,M593=phu!$I$77,M593=phu!$I$78),"Cam Phước Đông",""),IF(OR(M593=phu!$I$79,M593=phu!$I$80,M593=phu!$I$81,M593=phu!$I$82,M593=phu!$I$83,M593=phu!$I$84),"Cam Thịnh Đông",""),IF(OR(M593=phu!$I$85,M593=phu!$I$86,M593=phu!$I$87,M593=phu!$I$88),"Cam Thịnh Tây",""),IF(OR(M593=phu!$I$89,M593=phu!$I$90),"Cam Lập",""),IF(OR(M593=phu!$I$91,M593=phu!$I$92,M593=phu!$I$93),"Cam Bình",""),IF(OR(M593=phu!$I$94,M593=phu!$I$95,M593=phu!$I$96,M593=phu!$I$97,M593=phu!$I$98,M593=phu!$I$99,M593=phu!$I$100),"Huyện khác",""),IF(OR(M593=phu!$I$101,M593=phu!$I$102),"Tỉnh khác",""))</f>
        <v/>
      </c>
      <c r="O593" s="814" t="str">
        <f t="shared" si="55"/>
        <v/>
      </c>
      <c r="P593" s="254"/>
      <c r="Q593" s="254"/>
      <c r="R593" s="254"/>
      <c r="S593" s="254"/>
      <c r="T593" s="254"/>
      <c r="U593" s="254"/>
      <c r="V593" s="254"/>
      <c r="W593" s="254"/>
      <c r="Y593" s="246" t="str">
        <f t="shared" si="56"/>
        <v/>
      </c>
      <c r="Z593" s="247" t="str">
        <f t="shared" si="54"/>
        <v/>
      </c>
      <c r="AA593" s="246" t="str">
        <f t="shared" si="57"/>
        <v/>
      </c>
    </row>
    <row r="594" spans="1:27" ht="18" customHeight="1" x14ac:dyDescent="0.25">
      <c r="A594" s="248" t="str">
        <f t="shared" si="58"/>
        <v/>
      </c>
      <c r="B594" s="249" t="str">
        <f t="shared" si="59"/>
        <v/>
      </c>
      <c r="C594" s="250"/>
      <c r="D594" s="251"/>
      <c r="E594" s="241"/>
      <c r="F594" s="252"/>
      <c r="G594" s="252"/>
      <c r="H594" s="253"/>
      <c r="I594" s="250"/>
      <c r="J594" s="250"/>
      <c r="K594" s="270"/>
      <c r="L594" s="250"/>
      <c r="M594" s="250"/>
      <c r="N594" s="553" t="str">
        <f>CONCATENATE(IF(OR(M594=phu!$I$1,M594=phu!$I$2,M594=phu!$I$3),"Cam Thành Nam",""),IF(OR(M594=phu!$I$4,M594=phu!$I$5,M594=phu!$I$6,M594=phu!$I$7,M594=phu!$I$8,M594=phu!$I$9,M594=phu!$I$10,M594=phu!$I$11,M594=phu!$I$12,M594=phu!$I$13,M594=phu!$I$14),"Cam Nghĩa",""),IF(OR(M594=phu!$I$15,M594=phu!$I$16,M594=phu!$I$17,M594=phu!$I$18,M594=phu!$I$19,M594=phu!$I$20,M594=phu!$I$21),"Cam Phúc Bắc",""),IF(OR(M594=phu!$I$22,M594=phu!$I$23,M594=phu!$I$24,M594=phu!$I$25),"Cam Phúc Nam",""),IF(OR(M594=phu!$I$26,M594=phu!$I$27,M594=phu!$I$28,M594=phu!$I$29,M594=phu!$I$30,M594=phu!$I$31),"Cam Phú",""),IF(OR(M594=phu!$I$32,M594=phu!$I$33,M594=phu!$I$34,M594=phu!$I$35,M594=phu!$I$36,M594=phu!$I$37),"Cam Lộc",""),IF(OR(M594=phu!$I$38,M594=phu!$I$39,M594=phu!$I$40,M594=phu!$I$41,M594=phu!$I$42,M594=phu!$I$43,M594=phu!$I$44),"Cam Thuận",""),IF(OR(M594=phu!$I$45,M594=phu!$I$46,M594=phu!$I$47,M594=phu!$I$48,M594=phu!$I$49,M594=phu!$I$50,M594=phu!$I$51,M594=phu!$I$52,M594=phu!$I$53),"Cam Linh",""),IF(OR(M594=phu!$I$54,M594=phu!$I$55,M594=phu!$I$56,M594=phu!$I$57,M594=phu!$I$58,M594=phu!$I$59,M594=phu!$I$60,M594=phu!$I$61,M594=phu!$I$62),"Cam Lợi",""),IF(OR(M594=phu!$I$63,M594=phu!$I$64,M594=phu!$I$65,M594=phu!$I$66,M594=phu!$I$67,M594=phu!$I$68,M594=phu!$I$69,M594=phu!$I$70,M594=phu!$I$71),"Ba Ngòi",""),IF(OR(M594=phu!$I$72,M594=phu!$I$73,M594=phu!$I$74,M594=phu!$I$75,M594=phu!$I$76,M594=phu!$I$77,M594=phu!$I$78),"Cam Phước Đông",""),IF(OR(M594=phu!$I$79,M594=phu!$I$80,M594=phu!$I$81,M594=phu!$I$82,M594=phu!$I$83,M594=phu!$I$84),"Cam Thịnh Đông",""),IF(OR(M594=phu!$I$85,M594=phu!$I$86,M594=phu!$I$87,M594=phu!$I$88),"Cam Thịnh Tây",""),IF(OR(M594=phu!$I$89,M594=phu!$I$90),"Cam Lập",""),IF(OR(M594=phu!$I$91,M594=phu!$I$92,M594=phu!$I$93),"Cam Bình",""),IF(OR(M594=phu!$I$94,M594=phu!$I$95,M594=phu!$I$96,M594=phu!$I$97,M594=phu!$I$98,M594=phu!$I$99,M594=phu!$I$100),"Huyện khác",""),IF(OR(M594=phu!$I$101,M594=phu!$I$102),"Tỉnh khác",""))</f>
        <v/>
      </c>
      <c r="O594" s="814" t="str">
        <f t="shared" si="55"/>
        <v/>
      </c>
      <c r="P594" s="254"/>
      <c r="Q594" s="254"/>
      <c r="R594" s="254"/>
      <c r="S594" s="254"/>
      <c r="T594" s="254"/>
      <c r="U594" s="254"/>
      <c r="V594" s="254"/>
      <c r="W594" s="254"/>
      <c r="Y594" s="246" t="str">
        <f t="shared" si="56"/>
        <v/>
      </c>
      <c r="Z594" s="247" t="str">
        <f t="shared" si="54"/>
        <v/>
      </c>
      <c r="AA594" s="246" t="str">
        <f t="shared" si="57"/>
        <v/>
      </c>
    </row>
    <row r="595" spans="1:27" ht="18" customHeight="1" x14ac:dyDescent="0.25">
      <c r="A595" s="248" t="str">
        <f t="shared" si="58"/>
        <v/>
      </c>
      <c r="B595" s="249" t="str">
        <f t="shared" si="59"/>
        <v/>
      </c>
      <c r="C595" s="250"/>
      <c r="D595" s="251"/>
      <c r="E595" s="241"/>
      <c r="F595" s="252"/>
      <c r="G595" s="252"/>
      <c r="H595" s="253"/>
      <c r="I595" s="250"/>
      <c r="J595" s="250"/>
      <c r="K595" s="270"/>
      <c r="L595" s="250"/>
      <c r="M595" s="250"/>
      <c r="N595" s="553" t="str">
        <f>CONCATENATE(IF(OR(M595=phu!$I$1,M595=phu!$I$2,M595=phu!$I$3),"Cam Thành Nam",""),IF(OR(M595=phu!$I$4,M595=phu!$I$5,M595=phu!$I$6,M595=phu!$I$7,M595=phu!$I$8,M595=phu!$I$9,M595=phu!$I$10,M595=phu!$I$11,M595=phu!$I$12,M595=phu!$I$13,M595=phu!$I$14),"Cam Nghĩa",""),IF(OR(M595=phu!$I$15,M595=phu!$I$16,M595=phu!$I$17,M595=phu!$I$18,M595=phu!$I$19,M595=phu!$I$20,M595=phu!$I$21),"Cam Phúc Bắc",""),IF(OR(M595=phu!$I$22,M595=phu!$I$23,M595=phu!$I$24,M595=phu!$I$25),"Cam Phúc Nam",""),IF(OR(M595=phu!$I$26,M595=phu!$I$27,M595=phu!$I$28,M595=phu!$I$29,M595=phu!$I$30,M595=phu!$I$31),"Cam Phú",""),IF(OR(M595=phu!$I$32,M595=phu!$I$33,M595=phu!$I$34,M595=phu!$I$35,M595=phu!$I$36,M595=phu!$I$37),"Cam Lộc",""),IF(OR(M595=phu!$I$38,M595=phu!$I$39,M595=phu!$I$40,M595=phu!$I$41,M595=phu!$I$42,M595=phu!$I$43,M595=phu!$I$44),"Cam Thuận",""),IF(OR(M595=phu!$I$45,M595=phu!$I$46,M595=phu!$I$47,M595=phu!$I$48,M595=phu!$I$49,M595=phu!$I$50,M595=phu!$I$51,M595=phu!$I$52,M595=phu!$I$53),"Cam Linh",""),IF(OR(M595=phu!$I$54,M595=phu!$I$55,M595=phu!$I$56,M595=phu!$I$57,M595=phu!$I$58,M595=phu!$I$59,M595=phu!$I$60,M595=phu!$I$61,M595=phu!$I$62),"Cam Lợi",""),IF(OR(M595=phu!$I$63,M595=phu!$I$64,M595=phu!$I$65,M595=phu!$I$66,M595=phu!$I$67,M595=phu!$I$68,M595=phu!$I$69,M595=phu!$I$70,M595=phu!$I$71),"Ba Ngòi",""),IF(OR(M595=phu!$I$72,M595=phu!$I$73,M595=phu!$I$74,M595=phu!$I$75,M595=phu!$I$76,M595=phu!$I$77,M595=phu!$I$78),"Cam Phước Đông",""),IF(OR(M595=phu!$I$79,M595=phu!$I$80,M595=phu!$I$81,M595=phu!$I$82,M595=phu!$I$83,M595=phu!$I$84),"Cam Thịnh Đông",""),IF(OR(M595=phu!$I$85,M595=phu!$I$86,M595=phu!$I$87,M595=phu!$I$88),"Cam Thịnh Tây",""),IF(OR(M595=phu!$I$89,M595=phu!$I$90),"Cam Lập",""),IF(OR(M595=phu!$I$91,M595=phu!$I$92,M595=phu!$I$93),"Cam Bình",""),IF(OR(M595=phu!$I$94,M595=phu!$I$95,M595=phu!$I$96,M595=phu!$I$97,M595=phu!$I$98,M595=phu!$I$99,M595=phu!$I$100),"Huyện khác",""),IF(OR(M595=phu!$I$101,M595=phu!$I$102),"Tỉnh khác",""))</f>
        <v/>
      </c>
      <c r="O595" s="814" t="str">
        <f t="shared" si="55"/>
        <v/>
      </c>
      <c r="P595" s="254"/>
      <c r="Q595" s="254"/>
      <c r="R595" s="254"/>
      <c r="S595" s="254"/>
      <c r="T595" s="254"/>
      <c r="U595" s="254"/>
      <c r="V595" s="254"/>
      <c r="W595" s="254"/>
      <c r="Y595" s="246" t="str">
        <f t="shared" si="56"/>
        <v/>
      </c>
      <c r="Z595" s="247" t="str">
        <f t="shared" si="54"/>
        <v/>
      </c>
      <c r="AA595" s="246" t="str">
        <f t="shared" si="57"/>
        <v/>
      </c>
    </row>
    <row r="596" spans="1:27" ht="18" customHeight="1" x14ac:dyDescent="0.25">
      <c r="A596" s="248" t="str">
        <f t="shared" si="58"/>
        <v/>
      </c>
      <c r="B596" s="249" t="str">
        <f t="shared" si="59"/>
        <v/>
      </c>
      <c r="C596" s="250"/>
      <c r="D596" s="251"/>
      <c r="E596" s="241"/>
      <c r="F596" s="252"/>
      <c r="G596" s="252"/>
      <c r="H596" s="253"/>
      <c r="I596" s="250"/>
      <c r="J596" s="250"/>
      <c r="K596" s="270"/>
      <c r="L596" s="250"/>
      <c r="M596" s="250"/>
      <c r="N596" s="553" t="str">
        <f>CONCATENATE(IF(OR(M596=phu!$I$1,M596=phu!$I$2,M596=phu!$I$3),"Cam Thành Nam",""),IF(OR(M596=phu!$I$4,M596=phu!$I$5,M596=phu!$I$6,M596=phu!$I$7,M596=phu!$I$8,M596=phu!$I$9,M596=phu!$I$10,M596=phu!$I$11,M596=phu!$I$12,M596=phu!$I$13,M596=phu!$I$14),"Cam Nghĩa",""),IF(OR(M596=phu!$I$15,M596=phu!$I$16,M596=phu!$I$17,M596=phu!$I$18,M596=phu!$I$19,M596=phu!$I$20,M596=phu!$I$21),"Cam Phúc Bắc",""),IF(OR(M596=phu!$I$22,M596=phu!$I$23,M596=phu!$I$24,M596=phu!$I$25),"Cam Phúc Nam",""),IF(OR(M596=phu!$I$26,M596=phu!$I$27,M596=phu!$I$28,M596=phu!$I$29,M596=phu!$I$30,M596=phu!$I$31),"Cam Phú",""),IF(OR(M596=phu!$I$32,M596=phu!$I$33,M596=phu!$I$34,M596=phu!$I$35,M596=phu!$I$36,M596=phu!$I$37),"Cam Lộc",""),IF(OR(M596=phu!$I$38,M596=phu!$I$39,M596=phu!$I$40,M596=phu!$I$41,M596=phu!$I$42,M596=phu!$I$43,M596=phu!$I$44),"Cam Thuận",""),IF(OR(M596=phu!$I$45,M596=phu!$I$46,M596=phu!$I$47,M596=phu!$I$48,M596=phu!$I$49,M596=phu!$I$50,M596=phu!$I$51,M596=phu!$I$52,M596=phu!$I$53),"Cam Linh",""),IF(OR(M596=phu!$I$54,M596=phu!$I$55,M596=phu!$I$56,M596=phu!$I$57,M596=phu!$I$58,M596=phu!$I$59,M596=phu!$I$60,M596=phu!$I$61,M596=phu!$I$62),"Cam Lợi",""),IF(OR(M596=phu!$I$63,M596=phu!$I$64,M596=phu!$I$65,M596=phu!$I$66,M596=phu!$I$67,M596=phu!$I$68,M596=phu!$I$69,M596=phu!$I$70,M596=phu!$I$71),"Ba Ngòi",""),IF(OR(M596=phu!$I$72,M596=phu!$I$73,M596=phu!$I$74,M596=phu!$I$75,M596=phu!$I$76,M596=phu!$I$77,M596=phu!$I$78),"Cam Phước Đông",""),IF(OR(M596=phu!$I$79,M596=phu!$I$80,M596=phu!$I$81,M596=phu!$I$82,M596=phu!$I$83,M596=phu!$I$84),"Cam Thịnh Đông",""),IF(OR(M596=phu!$I$85,M596=phu!$I$86,M596=phu!$I$87,M596=phu!$I$88),"Cam Thịnh Tây",""),IF(OR(M596=phu!$I$89,M596=phu!$I$90),"Cam Lập",""),IF(OR(M596=phu!$I$91,M596=phu!$I$92,M596=phu!$I$93),"Cam Bình",""),IF(OR(M596=phu!$I$94,M596=phu!$I$95,M596=phu!$I$96,M596=phu!$I$97,M596=phu!$I$98,M596=phu!$I$99,M596=phu!$I$100),"Huyện khác",""),IF(OR(M596=phu!$I$101,M596=phu!$I$102),"Tỉnh khác",""))</f>
        <v/>
      </c>
      <c r="O596" s="814" t="str">
        <f t="shared" si="55"/>
        <v/>
      </c>
      <c r="P596" s="254"/>
      <c r="Q596" s="254"/>
      <c r="R596" s="254"/>
      <c r="S596" s="254"/>
      <c r="T596" s="254"/>
      <c r="U596" s="254"/>
      <c r="V596" s="254"/>
      <c r="W596" s="254"/>
      <c r="Y596" s="246" t="str">
        <f t="shared" si="56"/>
        <v/>
      </c>
      <c r="Z596" s="247" t="str">
        <f t="shared" si="54"/>
        <v/>
      </c>
      <c r="AA596" s="246" t="str">
        <f t="shared" si="57"/>
        <v/>
      </c>
    </row>
    <row r="597" spans="1:27" ht="18" customHeight="1" x14ac:dyDescent="0.25">
      <c r="A597" s="248" t="str">
        <f t="shared" si="58"/>
        <v/>
      </c>
      <c r="B597" s="249" t="str">
        <f t="shared" si="59"/>
        <v/>
      </c>
      <c r="C597" s="250"/>
      <c r="D597" s="251"/>
      <c r="E597" s="241"/>
      <c r="F597" s="252"/>
      <c r="G597" s="252"/>
      <c r="H597" s="253"/>
      <c r="I597" s="250"/>
      <c r="J597" s="250"/>
      <c r="K597" s="270"/>
      <c r="L597" s="250"/>
      <c r="M597" s="250"/>
      <c r="N597" s="553" t="str">
        <f>CONCATENATE(IF(OR(M597=phu!$I$1,M597=phu!$I$2,M597=phu!$I$3),"Cam Thành Nam",""),IF(OR(M597=phu!$I$4,M597=phu!$I$5,M597=phu!$I$6,M597=phu!$I$7,M597=phu!$I$8,M597=phu!$I$9,M597=phu!$I$10,M597=phu!$I$11,M597=phu!$I$12,M597=phu!$I$13,M597=phu!$I$14),"Cam Nghĩa",""),IF(OR(M597=phu!$I$15,M597=phu!$I$16,M597=phu!$I$17,M597=phu!$I$18,M597=phu!$I$19,M597=phu!$I$20,M597=phu!$I$21),"Cam Phúc Bắc",""),IF(OR(M597=phu!$I$22,M597=phu!$I$23,M597=phu!$I$24,M597=phu!$I$25),"Cam Phúc Nam",""),IF(OR(M597=phu!$I$26,M597=phu!$I$27,M597=phu!$I$28,M597=phu!$I$29,M597=phu!$I$30,M597=phu!$I$31),"Cam Phú",""),IF(OR(M597=phu!$I$32,M597=phu!$I$33,M597=phu!$I$34,M597=phu!$I$35,M597=phu!$I$36,M597=phu!$I$37),"Cam Lộc",""),IF(OR(M597=phu!$I$38,M597=phu!$I$39,M597=phu!$I$40,M597=phu!$I$41,M597=phu!$I$42,M597=phu!$I$43,M597=phu!$I$44),"Cam Thuận",""),IF(OR(M597=phu!$I$45,M597=phu!$I$46,M597=phu!$I$47,M597=phu!$I$48,M597=phu!$I$49,M597=phu!$I$50,M597=phu!$I$51,M597=phu!$I$52,M597=phu!$I$53),"Cam Linh",""),IF(OR(M597=phu!$I$54,M597=phu!$I$55,M597=phu!$I$56,M597=phu!$I$57,M597=phu!$I$58,M597=phu!$I$59,M597=phu!$I$60,M597=phu!$I$61,M597=phu!$I$62),"Cam Lợi",""),IF(OR(M597=phu!$I$63,M597=phu!$I$64,M597=phu!$I$65,M597=phu!$I$66,M597=phu!$I$67,M597=phu!$I$68,M597=phu!$I$69,M597=phu!$I$70,M597=phu!$I$71),"Ba Ngòi",""),IF(OR(M597=phu!$I$72,M597=phu!$I$73,M597=phu!$I$74,M597=phu!$I$75,M597=phu!$I$76,M597=phu!$I$77,M597=phu!$I$78),"Cam Phước Đông",""),IF(OR(M597=phu!$I$79,M597=phu!$I$80,M597=phu!$I$81,M597=phu!$I$82,M597=phu!$I$83,M597=phu!$I$84),"Cam Thịnh Đông",""),IF(OR(M597=phu!$I$85,M597=phu!$I$86,M597=phu!$I$87,M597=phu!$I$88),"Cam Thịnh Tây",""),IF(OR(M597=phu!$I$89,M597=phu!$I$90),"Cam Lập",""),IF(OR(M597=phu!$I$91,M597=phu!$I$92,M597=phu!$I$93),"Cam Bình",""),IF(OR(M597=phu!$I$94,M597=phu!$I$95,M597=phu!$I$96,M597=phu!$I$97,M597=phu!$I$98,M597=phu!$I$99,M597=phu!$I$100),"Huyện khác",""),IF(OR(M597=phu!$I$101,M597=phu!$I$102),"Tỉnh khác",""))</f>
        <v/>
      </c>
      <c r="O597" s="814" t="str">
        <f t="shared" si="55"/>
        <v/>
      </c>
      <c r="P597" s="254"/>
      <c r="Q597" s="254"/>
      <c r="R597" s="254"/>
      <c r="S597" s="254"/>
      <c r="T597" s="254"/>
      <c r="U597" s="254"/>
      <c r="V597" s="254"/>
      <c r="W597" s="254"/>
      <c r="Y597" s="246" t="str">
        <f t="shared" si="56"/>
        <v/>
      </c>
      <c r="Z597" s="247" t="str">
        <f t="shared" si="54"/>
        <v/>
      </c>
      <c r="AA597" s="246" t="str">
        <f t="shared" si="57"/>
        <v/>
      </c>
    </row>
    <row r="598" spans="1:27" ht="18" customHeight="1" x14ac:dyDescent="0.25">
      <c r="A598" s="248" t="str">
        <f t="shared" si="58"/>
        <v/>
      </c>
      <c r="B598" s="249" t="str">
        <f t="shared" si="59"/>
        <v/>
      </c>
      <c r="C598" s="250"/>
      <c r="D598" s="251"/>
      <c r="E598" s="241"/>
      <c r="F598" s="252"/>
      <c r="G598" s="252"/>
      <c r="H598" s="253"/>
      <c r="I598" s="250"/>
      <c r="J598" s="250"/>
      <c r="K598" s="270"/>
      <c r="L598" s="250"/>
      <c r="M598" s="250"/>
      <c r="N598" s="553" t="str">
        <f>CONCATENATE(IF(OR(M598=phu!$I$1,M598=phu!$I$2,M598=phu!$I$3),"Cam Thành Nam",""),IF(OR(M598=phu!$I$4,M598=phu!$I$5,M598=phu!$I$6,M598=phu!$I$7,M598=phu!$I$8,M598=phu!$I$9,M598=phu!$I$10,M598=phu!$I$11,M598=phu!$I$12,M598=phu!$I$13,M598=phu!$I$14),"Cam Nghĩa",""),IF(OR(M598=phu!$I$15,M598=phu!$I$16,M598=phu!$I$17,M598=phu!$I$18,M598=phu!$I$19,M598=phu!$I$20,M598=phu!$I$21),"Cam Phúc Bắc",""),IF(OR(M598=phu!$I$22,M598=phu!$I$23,M598=phu!$I$24,M598=phu!$I$25),"Cam Phúc Nam",""),IF(OR(M598=phu!$I$26,M598=phu!$I$27,M598=phu!$I$28,M598=phu!$I$29,M598=phu!$I$30,M598=phu!$I$31),"Cam Phú",""),IF(OR(M598=phu!$I$32,M598=phu!$I$33,M598=phu!$I$34,M598=phu!$I$35,M598=phu!$I$36,M598=phu!$I$37),"Cam Lộc",""),IF(OR(M598=phu!$I$38,M598=phu!$I$39,M598=phu!$I$40,M598=phu!$I$41,M598=phu!$I$42,M598=phu!$I$43,M598=phu!$I$44),"Cam Thuận",""),IF(OR(M598=phu!$I$45,M598=phu!$I$46,M598=phu!$I$47,M598=phu!$I$48,M598=phu!$I$49,M598=phu!$I$50,M598=phu!$I$51,M598=phu!$I$52,M598=phu!$I$53),"Cam Linh",""),IF(OR(M598=phu!$I$54,M598=phu!$I$55,M598=phu!$I$56,M598=phu!$I$57,M598=phu!$I$58,M598=phu!$I$59,M598=phu!$I$60,M598=phu!$I$61,M598=phu!$I$62),"Cam Lợi",""),IF(OR(M598=phu!$I$63,M598=phu!$I$64,M598=phu!$I$65,M598=phu!$I$66,M598=phu!$I$67,M598=phu!$I$68,M598=phu!$I$69,M598=phu!$I$70,M598=phu!$I$71),"Ba Ngòi",""),IF(OR(M598=phu!$I$72,M598=phu!$I$73,M598=phu!$I$74,M598=phu!$I$75,M598=phu!$I$76,M598=phu!$I$77,M598=phu!$I$78),"Cam Phước Đông",""),IF(OR(M598=phu!$I$79,M598=phu!$I$80,M598=phu!$I$81,M598=phu!$I$82,M598=phu!$I$83,M598=phu!$I$84),"Cam Thịnh Đông",""),IF(OR(M598=phu!$I$85,M598=phu!$I$86,M598=phu!$I$87,M598=phu!$I$88),"Cam Thịnh Tây",""),IF(OR(M598=phu!$I$89,M598=phu!$I$90),"Cam Lập",""),IF(OR(M598=phu!$I$91,M598=phu!$I$92,M598=phu!$I$93),"Cam Bình",""),IF(OR(M598=phu!$I$94,M598=phu!$I$95,M598=phu!$I$96,M598=phu!$I$97,M598=phu!$I$98,M598=phu!$I$99,M598=phu!$I$100),"Huyện khác",""),IF(OR(M598=phu!$I$101,M598=phu!$I$102),"Tỉnh khác",""))</f>
        <v/>
      </c>
      <c r="O598" s="814" t="str">
        <f t="shared" si="55"/>
        <v/>
      </c>
      <c r="P598" s="254"/>
      <c r="Q598" s="254"/>
      <c r="R598" s="254"/>
      <c r="S598" s="254"/>
      <c r="T598" s="254"/>
      <c r="U598" s="254"/>
      <c r="V598" s="254"/>
      <c r="W598" s="254"/>
      <c r="Y598" s="246" t="str">
        <f t="shared" si="56"/>
        <v/>
      </c>
      <c r="Z598" s="247" t="str">
        <f t="shared" si="54"/>
        <v/>
      </c>
      <c r="AA598" s="246" t="str">
        <f t="shared" si="57"/>
        <v/>
      </c>
    </row>
    <row r="599" spans="1:27" ht="18" customHeight="1" x14ac:dyDescent="0.25">
      <c r="A599" s="248" t="str">
        <f t="shared" si="58"/>
        <v/>
      </c>
      <c r="B599" s="249" t="str">
        <f t="shared" si="59"/>
        <v/>
      </c>
      <c r="C599" s="250"/>
      <c r="D599" s="251"/>
      <c r="E599" s="241"/>
      <c r="F599" s="252"/>
      <c r="G599" s="252"/>
      <c r="H599" s="253"/>
      <c r="I599" s="250"/>
      <c r="J599" s="250"/>
      <c r="K599" s="270"/>
      <c r="L599" s="250"/>
      <c r="M599" s="250"/>
      <c r="N599" s="553" t="str">
        <f>CONCATENATE(IF(OR(M599=phu!$I$1,M599=phu!$I$2,M599=phu!$I$3),"Cam Thành Nam",""),IF(OR(M599=phu!$I$4,M599=phu!$I$5,M599=phu!$I$6,M599=phu!$I$7,M599=phu!$I$8,M599=phu!$I$9,M599=phu!$I$10,M599=phu!$I$11,M599=phu!$I$12,M599=phu!$I$13,M599=phu!$I$14),"Cam Nghĩa",""),IF(OR(M599=phu!$I$15,M599=phu!$I$16,M599=phu!$I$17,M599=phu!$I$18,M599=phu!$I$19,M599=phu!$I$20,M599=phu!$I$21),"Cam Phúc Bắc",""),IF(OR(M599=phu!$I$22,M599=phu!$I$23,M599=phu!$I$24,M599=phu!$I$25),"Cam Phúc Nam",""),IF(OR(M599=phu!$I$26,M599=phu!$I$27,M599=phu!$I$28,M599=phu!$I$29,M599=phu!$I$30,M599=phu!$I$31),"Cam Phú",""),IF(OR(M599=phu!$I$32,M599=phu!$I$33,M599=phu!$I$34,M599=phu!$I$35,M599=phu!$I$36,M599=phu!$I$37),"Cam Lộc",""),IF(OR(M599=phu!$I$38,M599=phu!$I$39,M599=phu!$I$40,M599=phu!$I$41,M599=phu!$I$42,M599=phu!$I$43,M599=phu!$I$44),"Cam Thuận",""),IF(OR(M599=phu!$I$45,M599=phu!$I$46,M599=phu!$I$47,M599=phu!$I$48,M599=phu!$I$49,M599=phu!$I$50,M599=phu!$I$51,M599=phu!$I$52,M599=phu!$I$53),"Cam Linh",""),IF(OR(M599=phu!$I$54,M599=phu!$I$55,M599=phu!$I$56,M599=phu!$I$57,M599=phu!$I$58,M599=phu!$I$59,M599=phu!$I$60,M599=phu!$I$61,M599=phu!$I$62),"Cam Lợi",""),IF(OR(M599=phu!$I$63,M599=phu!$I$64,M599=phu!$I$65,M599=phu!$I$66,M599=phu!$I$67,M599=phu!$I$68,M599=phu!$I$69,M599=phu!$I$70,M599=phu!$I$71),"Ba Ngòi",""),IF(OR(M599=phu!$I$72,M599=phu!$I$73,M599=phu!$I$74,M599=phu!$I$75,M599=phu!$I$76,M599=phu!$I$77,M599=phu!$I$78),"Cam Phước Đông",""),IF(OR(M599=phu!$I$79,M599=phu!$I$80,M599=phu!$I$81,M599=phu!$I$82,M599=phu!$I$83,M599=phu!$I$84),"Cam Thịnh Đông",""),IF(OR(M599=phu!$I$85,M599=phu!$I$86,M599=phu!$I$87,M599=phu!$I$88),"Cam Thịnh Tây",""),IF(OR(M599=phu!$I$89,M599=phu!$I$90),"Cam Lập",""),IF(OR(M599=phu!$I$91,M599=phu!$I$92,M599=phu!$I$93),"Cam Bình",""),IF(OR(M599=phu!$I$94,M599=phu!$I$95,M599=phu!$I$96,M599=phu!$I$97,M599=phu!$I$98,M599=phu!$I$99,M599=phu!$I$100),"Huyện khác",""),IF(OR(M599=phu!$I$101,M599=phu!$I$102),"Tỉnh khác",""))</f>
        <v/>
      </c>
      <c r="O599" s="814" t="str">
        <f t="shared" si="55"/>
        <v/>
      </c>
      <c r="P599" s="254"/>
      <c r="Q599" s="254"/>
      <c r="R599" s="254"/>
      <c r="S599" s="254"/>
      <c r="T599" s="254"/>
      <c r="U599" s="254"/>
      <c r="V599" s="254"/>
      <c r="W599" s="254"/>
      <c r="Y599" s="246" t="str">
        <f t="shared" si="56"/>
        <v/>
      </c>
      <c r="Z599" s="247" t="str">
        <f t="shared" si="54"/>
        <v/>
      </c>
      <c r="AA599" s="246" t="str">
        <f t="shared" si="57"/>
        <v/>
      </c>
    </row>
    <row r="600" spans="1:27" ht="18" customHeight="1" x14ac:dyDescent="0.25">
      <c r="A600" s="248" t="str">
        <f t="shared" si="58"/>
        <v/>
      </c>
      <c r="B600" s="249" t="str">
        <f t="shared" si="59"/>
        <v/>
      </c>
      <c r="C600" s="250"/>
      <c r="D600" s="251"/>
      <c r="E600" s="241"/>
      <c r="F600" s="252"/>
      <c r="G600" s="252"/>
      <c r="H600" s="253"/>
      <c r="I600" s="250"/>
      <c r="J600" s="250"/>
      <c r="K600" s="270"/>
      <c r="L600" s="250"/>
      <c r="M600" s="250"/>
      <c r="N600" s="553" t="str">
        <f>CONCATENATE(IF(OR(M600=phu!$I$1,M600=phu!$I$2,M600=phu!$I$3),"Cam Thành Nam",""),IF(OR(M600=phu!$I$4,M600=phu!$I$5,M600=phu!$I$6,M600=phu!$I$7,M600=phu!$I$8,M600=phu!$I$9,M600=phu!$I$10,M600=phu!$I$11,M600=phu!$I$12,M600=phu!$I$13,M600=phu!$I$14),"Cam Nghĩa",""),IF(OR(M600=phu!$I$15,M600=phu!$I$16,M600=phu!$I$17,M600=phu!$I$18,M600=phu!$I$19,M600=phu!$I$20,M600=phu!$I$21),"Cam Phúc Bắc",""),IF(OR(M600=phu!$I$22,M600=phu!$I$23,M600=phu!$I$24,M600=phu!$I$25),"Cam Phúc Nam",""),IF(OR(M600=phu!$I$26,M600=phu!$I$27,M600=phu!$I$28,M600=phu!$I$29,M600=phu!$I$30,M600=phu!$I$31),"Cam Phú",""),IF(OR(M600=phu!$I$32,M600=phu!$I$33,M600=phu!$I$34,M600=phu!$I$35,M600=phu!$I$36,M600=phu!$I$37),"Cam Lộc",""),IF(OR(M600=phu!$I$38,M600=phu!$I$39,M600=phu!$I$40,M600=phu!$I$41,M600=phu!$I$42,M600=phu!$I$43,M600=phu!$I$44),"Cam Thuận",""),IF(OR(M600=phu!$I$45,M600=phu!$I$46,M600=phu!$I$47,M600=phu!$I$48,M600=phu!$I$49,M600=phu!$I$50,M600=phu!$I$51,M600=phu!$I$52,M600=phu!$I$53),"Cam Linh",""),IF(OR(M600=phu!$I$54,M600=phu!$I$55,M600=phu!$I$56,M600=phu!$I$57,M600=phu!$I$58,M600=phu!$I$59,M600=phu!$I$60,M600=phu!$I$61,M600=phu!$I$62),"Cam Lợi",""),IF(OR(M600=phu!$I$63,M600=phu!$I$64,M600=phu!$I$65,M600=phu!$I$66,M600=phu!$I$67,M600=phu!$I$68,M600=phu!$I$69,M600=phu!$I$70,M600=phu!$I$71),"Ba Ngòi",""),IF(OR(M600=phu!$I$72,M600=phu!$I$73,M600=phu!$I$74,M600=phu!$I$75,M600=phu!$I$76,M600=phu!$I$77,M600=phu!$I$78),"Cam Phước Đông",""),IF(OR(M600=phu!$I$79,M600=phu!$I$80,M600=phu!$I$81,M600=phu!$I$82,M600=phu!$I$83,M600=phu!$I$84),"Cam Thịnh Đông",""),IF(OR(M600=phu!$I$85,M600=phu!$I$86,M600=phu!$I$87,M600=phu!$I$88),"Cam Thịnh Tây",""),IF(OR(M600=phu!$I$89,M600=phu!$I$90),"Cam Lập",""),IF(OR(M600=phu!$I$91,M600=phu!$I$92,M600=phu!$I$93),"Cam Bình",""),IF(OR(M600=phu!$I$94,M600=phu!$I$95,M600=phu!$I$96,M600=phu!$I$97,M600=phu!$I$98,M600=phu!$I$99,M600=phu!$I$100),"Huyện khác",""),IF(OR(M600=phu!$I$101,M600=phu!$I$102),"Tỉnh khác",""))</f>
        <v/>
      </c>
      <c r="O600" s="814" t="str">
        <f t="shared" si="55"/>
        <v/>
      </c>
      <c r="P600" s="254"/>
      <c r="Q600" s="254"/>
      <c r="R600" s="254"/>
      <c r="S600" s="254"/>
      <c r="T600" s="254"/>
      <c r="U600" s="254"/>
      <c r="V600" s="254"/>
      <c r="W600" s="254"/>
      <c r="Y600" s="246" t="str">
        <f t="shared" si="56"/>
        <v/>
      </c>
      <c r="Z600" s="247" t="str">
        <f t="shared" si="54"/>
        <v/>
      </c>
      <c r="AA600" s="246" t="str">
        <f t="shared" si="57"/>
        <v/>
      </c>
    </row>
    <row r="601" spans="1:27" ht="18" customHeight="1" x14ac:dyDescent="0.25">
      <c r="A601" s="248" t="str">
        <f t="shared" si="58"/>
        <v/>
      </c>
      <c r="B601" s="249" t="str">
        <f t="shared" si="59"/>
        <v/>
      </c>
      <c r="C601" s="250"/>
      <c r="D601" s="251"/>
      <c r="E601" s="241"/>
      <c r="F601" s="252"/>
      <c r="G601" s="252"/>
      <c r="H601" s="253"/>
      <c r="I601" s="250"/>
      <c r="J601" s="250"/>
      <c r="K601" s="270"/>
      <c r="L601" s="250"/>
      <c r="M601" s="250"/>
      <c r="N601" s="553" t="str">
        <f>CONCATENATE(IF(OR(M601=phu!$I$1,M601=phu!$I$2,M601=phu!$I$3),"Cam Thành Nam",""),IF(OR(M601=phu!$I$4,M601=phu!$I$5,M601=phu!$I$6,M601=phu!$I$7,M601=phu!$I$8,M601=phu!$I$9,M601=phu!$I$10,M601=phu!$I$11,M601=phu!$I$12,M601=phu!$I$13,M601=phu!$I$14),"Cam Nghĩa",""),IF(OR(M601=phu!$I$15,M601=phu!$I$16,M601=phu!$I$17,M601=phu!$I$18,M601=phu!$I$19,M601=phu!$I$20,M601=phu!$I$21),"Cam Phúc Bắc",""),IF(OR(M601=phu!$I$22,M601=phu!$I$23,M601=phu!$I$24,M601=phu!$I$25),"Cam Phúc Nam",""),IF(OR(M601=phu!$I$26,M601=phu!$I$27,M601=phu!$I$28,M601=phu!$I$29,M601=phu!$I$30,M601=phu!$I$31),"Cam Phú",""),IF(OR(M601=phu!$I$32,M601=phu!$I$33,M601=phu!$I$34,M601=phu!$I$35,M601=phu!$I$36,M601=phu!$I$37),"Cam Lộc",""),IF(OR(M601=phu!$I$38,M601=phu!$I$39,M601=phu!$I$40,M601=phu!$I$41,M601=phu!$I$42,M601=phu!$I$43,M601=phu!$I$44),"Cam Thuận",""),IF(OR(M601=phu!$I$45,M601=phu!$I$46,M601=phu!$I$47,M601=phu!$I$48,M601=phu!$I$49,M601=phu!$I$50,M601=phu!$I$51,M601=phu!$I$52,M601=phu!$I$53),"Cam Linh",""),IF(OR(M601=phu!$I$54,M601=phu!$I$55,M601=phu!$I$56,M601=phu!$I$57,M601=phu!$I$58,M601=phu!$I$59,M601=phu!$I$60,M601=phu!$I$61,M601=phu!$I$62),"Cam Lợi",""),IF(OR(M601=phu!$I$63,M601=phu!$I$64,M601=phu!$I$65,M601=phu!$I$66,M601=phu!$I$67,M601=phu!$I$68,M601=phu!$I$69,M601=phu!$I$70,M601=phu!$I$71),"Ba Ngòi",""),IF(OR(M601=phu!$I$72,M601=phu!$I$73,M601=phu!$I$74,M601=phu!$I$75,M601=phu!$I$76,M601=phu!$I$77,M601=phu!$I$78),"Cam Phước Đông",""),IF(OR(M601=phu!$I$79,M601=phu!$I$80,M601=phu!$I$81,M601=phu!$I$82,M601=phu!$I$83,M601=phu!$I$84),"Cam Thịnh Đông",""),IF(OR(M601=phu!$I$85,M601=phu!$I$86,M601=phu!$I$87,M601=phu!$I$88),"Cam Thịnh Tây",""),IF(OR(M601=phu!$I$89,M601=phu!$I$90),"Cam Lập",""),IF(OR(M601=phu!$I$91,M601=phu!$I$92,M601=phu!$I$93),"Cam Bình",""),IF(OR(M601=phu!$I$94,M601=phu!$I$95,M601=phu!$I$96,M601=phu!$I$97,M601=phu!$I$98,M601=phu!$I$99,M601=phu!$I$100),"Huyện khác",""),IF(OR(M601=phu!$I$101,M601=phu!$I$102),"Tỉnh khác",""))</f>
        <v/>
      </c>
      <c r="O601" s="814" t="str">
        <f t="shared" si="55"/>
        <v/>
      </c>
      <c r="P601" s="254"/>
      <c r="Q601" s="254"/>
      <c r="R601" s="254"/>
      <c r="S601" s="254"/>
      <c r="T601" s="254"/>
      <c r="U601" s="254"/>
      <c r="V601" s="254"/>
      <c r="W601" s="254"/>
      <c r="Y601" s="246" t="str">
        <f t="shared" si="56"/>
        <v/>
      </c>
      <c r="Z601" s="247" t="str">
        <f t="shared" si="54"/>
        <v/>
      </c>
      <c r="AA601" s="246" t="str">
        <f t="shared" si="57"/>
        <v/>
      </c>
    </row>
    <row r="602" spans="1:27" ht="18" customHeight="1" x14ac:dyDescent="0.25">
      <c r="A602" s="248" t="str">
        <f t="shared" si="58"/>
        <v/>
      </c>
      <c r="B602" s="249" t="str">
        <f t="shared" si="59"/>
        <v/>
      </c>
      <c r="C602" s="250"/>
      <c r="D602" s="251"/>
      <c r="E602" s="241"/>
      <c r="F602" s="252"/>
      <c r="G602" s="252"/>
      <c r="H602" s="253"/>
      <c r="I602" s="250"/>
      <c r="J602" s="250"/>
      <c r="K602" s="270"/>
      <c r="L602" s="250"/>
      <c r="M602" s="250"/>
      <c r="N602" s="553" t="str">
        <f>CONCATENATE(IF(OR(M602=phu!$I$1,M602=phu!$I$2,M602=phu!$I$3),"Cam Thành Nam",""),IF(OR(M602=phu!$I$4,M602=phu!$I$5,M602=phu!$I$6,M602=phu!$I$7,M602=phu!$I$8,M602=phu!$I$9,M602=phu!$I$10,M602=phu!$I$11,M602=phu!$I$12,M602=phu!$I$13,M602=phu!$I$14),"Cam Nghĩa",""),IF(OR(M602=phu!$I$15,M602=phu!$I$16,M602=phu!$I$17,M602=phu!$I$18,M602=phu!$I$19,M602=phu!$I$20,M602=phu!$I$21),"Cam Phúc Bắc",""),IF(OR(M602=phu!$I$22,M602=phu!$I$23,M602=phu!$I$24,M602=phu!$I$25),"Cam Phúc Nam",""),IF(OR(M602=phu!$I$26,M602=phu!$I$27,M602=phu!$I$28,M602=phu!$I$29,M602=phu!$I$30,M602=phu!$I$31),"Cam Phú",""),IF(OR(M602=phu!$I$32,M602=phu!$I$33,M602=phu!$I$34,M602=phu!$I$35,M602=phu!$I$36,M602=phu!$I$37),"Cam Lộc",""),IF(OR(M602=phu!$I$38,M602=phu!$I$39,M602=phu!$I$40,M602=phu!$I$41,M602=phu!$I$42,M602=phu!$I$43,M602=phu!$I$44),"Cam Thuận",""),IF(OR(M602=phu!$I$45,M602=phu!$I$46,M602=phu!$I$47,M602=phu!$I$48,M602=phu!$I$49,M602=phu!$I$50,M602=phu!$I$51,M602=phu!$I$52,M602=phu!$I$53),"Cam Linh",""),IF(OR(M602=phu!$I$54,M602=phu!$I$55,M602=phu!$I$56,M602=phu!$I$57,M602=phu!$I$58,M602=phu!$I$59,M602=phu!$I$60,M602=phu!$I$61,M602=phu!$I$62),"Cam Lợi",""),IF(OR(M602=phu!$I$63,M602=phu!$I$64,M602=phu!$I$65,M602=phu!$I$66,M602=phu!$I$67,M602=phu!$I$68,M602=phu!$I$69,M602=phu!$I$70,M602=phu!$I$71),"Ba Ngòi",""),IF(OR(M602=phu!$I$72,M602=phu!$I$73,M602=phu!$I$74,M602=phu!$I$75,M602=phu!$I$76,M602=phu!$I$77,M602=phu!$I$78),"Cam Phước Đông",""),IF(OR(M602=phu!$I$79,M602=phu!$I$80,M602=phu!$I$81,M602=phu!$I$82,M602=phu!$I$83,M602=phu!$I$84),"Cam Thịnh Đông",""),IF(OR(M602=phu!$I$85,M602=phu!$I$86,M602=phu!$I$87,M602=phu!$I$88),"Cam Thịnh Tây",""),IF(OR(M602=phu!$I$89,M602=phu!$I$90),"Cam Lập",""),IF(OR(M602=phu!$I$91,M602=phu!$I$92,M602=phu!$I$93),"Cam Bình",""),IF(OR(M602=phu!$I$94,M602=phu!$I$95,M602=phu!$I$96,M602=phu!$I$97,M602=phu!$I$98,M602=phu!$I$99,M602=phu!$I$100),"Huyện khác",""),IF(OR(M602=phu!$I$101,M602=phu!$I$102),"Tỉnh khác",""))</f>
        <v/>
      </c>
      <c r="O602" s="814" t="str">
        <f t="shared" si="55"/>
        <v/>
      </c>
      <c r="P602" s="254"/>
      <c r="Q602" s="254"/>
      <c r="R602" s="254"/>
      <c r="S602" s="254"/>
      <c r="T602" s="254"/>
      <c r="U602" s="254"/>
      <c r="V602" s="254"/>
      <c r="W602" s="254"/>
      <c r="Y602" s="246" t="str">
        <f t="shared" si="56"/>
        <v/>
      </c>
      <c r="Z602" s="247" t="str">
        <f t="shared" si="54"/>
        <v/>
      </c>
      <c r="AA602" s="246" t="str">
        <f t="shared" si="57"/>
        <v/>
      </c>
    </row>
    <row r="603" spans="1:27" ht="18" customHeight="1" x14ac:dyDescent="0.25">
      <c r="A603" s="248" t="str">
        <f t="shared" si="58"/>
        <v/>
      </c>
      <c r="B603" s="249" t="str">
        <f t="shared" si="59"/>
        <v/>
      </c>
      <c r="C603" s="250"/>
      <c r="D603" s="251"/>
      <c r="E603" s="241"/>
      <c r="F603" s="252"/>
      <c r="G603" s="252"/>
      <c r="H603" s="253"/>
      <c r="I603" s="250"/>
      <c r="J603" s="250"/>
      <c r="K603" s="270"/>
      <c r="L603" s="250"/>
      <c r="M603" s="250"/>
      <c r="N603" s="553" t="str">
        <f>CONCATENATE(IF(OR(M603=phu!$I$1,M603=phu!$I$2,M603=phu!$I$3),"Cam Thành Nam",""),IF(OR(M603=phu!$I$4,M603=phu!$I$5,M603=phu!$I$6,M603=phu!$I$7,M603=phu!$I$8,M603=phu!$I$9,M603=phu!$I$10,M603=phu!$I$11,M603=phu!$I$12,M603=phu!$I$13,M603=phu!$I$14),"Cam Nghĩa",""),IF(OR(M603=phu!$I$15,M603=phu!$I$16,M603=phu!$I$17,M603=phu!$I$18,M603=phu!$I$19,M603=phu!$I$20,M603=phu!$I$21),"Cam Phúc Bắc",""),IF(OR(M603=phu!$I$22,M603=phu!$I$23,M603=phu!$I$24,M603=phu!$I$25),"Cam Phúc Nam",""),IF(OR(M603=phu!$I$26,M603=phu!$I$27,M603=phu!$I$28,M603=phu!$I$29,M603=phu!$I$30,M603=phu!$I$31),"Cam Phú",""),IF(OR(M603=phu!$I$32,M603=phu!$I$33,M603=phu!$I$34,M603=phu!$I$35,M603=phu!$I$36,M603=phu!$I$37),"Cam Lộc",""),IF(OR(M603=phu!$I$38,M603=phu!$I$39,M603=phu!$I$40,M603=phu!$I$41,M603=phu!$I$42,M603=phu!$I$43,M603=phu!$I$44),"Cam Thuận",""),IF(OR(M603=phu!$I$45,M603=phu!$I$46,M603=phu!$I$47,M603=phu!$I$48,M603=phu!$I$49,M603=phu!$I$50,M603=phu!$I$51,M603=phu!$I$52,M603=phu!$I$53),"Cam Linh",""),IF(OR(M603=phu!$I$54,M603=phu!$I$55,M603=phu!$I$56,M603=phu!$I$57,M603=phu!$I$58,M603=phu!$I$59,M603=phu!$I$60,M603=phu!$I$61,M603=phu!$I$62),"Cam Lợi",""),IF(OR(M603=phu!$I$63,M603=phu!$I$64,M603=phu!$I$65,M603=phu!$I$66,M603=phu!$I$67,M603=phu!$I$68,M603=phu!$I$69,M603=phu!$I$70,M603=phu!$I$71),"Ba Ngòi",""),IF(OR(M603=phu!$I$72,M603=phu!$I$73,M603=phu!$I$74,M603=phu!$I$75,M603=phu!$I$76,M603=phu!$I$77,M603=phu!$I$78),"Cam Phước Đông",""),IF(OR(M603=phu!$I$79,M603=phu!$I$80,M603=phu!$I$81,M603=phu!$I$82,M603=phu!$I$83,M603=phu!$I$84),"Cam Thịnh Đông",""),IF(OR(M603=phu!$I$85,M603=phu!$I$86,M603=phu!$I$87,M603=phu!$I$88),"Cam Thịnh Tây",""),IF(OR(M603=phu!$I$89,M603=phu!$I$90),"Cam Lập",""),IF(OR(M603=phu!$I$91,M603=phu!$I$92,M603=phu!$I$93),"Cam Bình",""),IF(OR(M603=phu!$I$94,M603=phu!$I$95,M603=phu!$I$96,M603=phu!$I$97,M603=phu!$I$98,M603=phu!$I$99,M603=phu!$I$100),"Huyện khác",""),IF(OR(M603=phu!$I$101,M603=phu!$I$102),"Tỉnh khác",""))</f>
        <v/>
      </c>
      <c r="O603" s="814" t="str">
        <f t="shared" si="55"/>
        <v/>
      </c>
      <c r="P603" s="254"/>
      <c r="Q603" s="254"/>
      <c r="R603" s="254"/>
      <c r="S603" s="254"/>
      <c r="T603" s="254"/>
      <c r="U603" s="254"/>
      <c r="V603" s="254"/>
      <c r="W603" s="254"/>
      <c r="Y603" s="246" t="str">
        <f t="shared" si="56"/>
        <v/>
      </c>
      <c r="Z603" s="247" t="str">
        <f t="shared" si="54"/>
        <v/>
      </c>
      <c r="AA603" s="246" t="str">
        <f t="shared" si="57"/>
        <v/>
      </c>
    </row>
    <row r="604" spans="1:27" ht="18" customHeight="1" x14ac:dyDescent="0.25">
      <c r="A604" s="248" t="str">
        <f t="shared" si="58"/>
        <v/>
      </c>
      <c r="B604" s="249" t="str">
        <f t="shared" si="59"/>
        <v/>
      </c>
      <c r="C604" s="250"/>
      <c r="D604" s="251"/>
      <c r="E604" s="241"/>
      <c r="F604" s="252"/>
      <c r="G604" s="252"/>
      <c r="H604" s="253"/>
      <c r="I604" s="250"/>
      <c r="J604" s="250"/>
      <c r="K604" s="270"/>
      <c r="L604" s="250"/>
      <c r="M604" s="250"/>
      <c r="N604" s="553" t="str">
        <f>CONCATENATE(IF(OR(M604=phu!$I$1,M604=phu!$I$2,M604=phu!$I$3),"Cam Thành Nam",""),IF(OR(M604=phu!$I$4,M604=phu!$I$5,M604=phu!$I$6,M604=phu!$I$7,M604=phu!$I$8,M604=phu!$I$9,M604=phu!$I$10,M604=phu!$I$11,M604=phu!$I$12,M604=phu!$I$13,M604=phu!$I$14),"Cam Nghĩa",""),IF(OR(M604=phu!$I$15,M604=phu!$I$16,M604=phu!$I$17,M604=phu!$I$18,M604=phu!$I$19,M604=phu!$I$20,M604=phu!$I$21),"Cam Phúc Bắc",""),IF(OR(M604=phu!$I$22,M604=phu!$I$23,M604=phu!$I$24,M604=phu!$I$25),"Cam Phúc Nam",""),IF(OR(M604=phu!$I$26,M604=phu!$I$27,M604=phu!$I$28,M604=phu!$I$29,M604=phu!$I$30,M604=phu!$I$31),"Cam Phú",""),IF(OR(M604=phu!$I$32,M604=phu!$I$33,M604=phu!$I$34,M604=phu!$I$35,M604=phu!$I$36,M604=phu!$I$37),"Cam Lộc",""),IF(OR(M604=phu!$I$38,M604=phu!$I$39,M604=phu!$I$40,M604=phu!$I$41,M604=phu!$I$42,M604=phu!$I$43,M604=phu!$I$44),"Cam Thuận",""),IF(OR(M604=phu!$I$45,M604=phu!$I$46,M604=phu!$I$47,M604=phu!$I$48,M604=phu!$I$49,M604=phu!$I$50,M604=phu!$I$51,M604=phu!$I$52,M604=phu!$I$53),"Cam Linh",""),IF(OR(M604=phu!$I$54,M604=phu!$I$55,M604=phu!$I$56,M604=phu!$I$57,M604=phu!$I$58,M604=phu!$I$59,M604=phu!$I$60,M604=phu!$I$61,M604=phu!$I$62),"Cam Lợi",""),IF(OR(M604=phu!$I$63,M604=phu!$I$64,M604=phu!$I$65,M604=phu!$I$66,M604=phu!$I$67,M604=phu!$I$68,M604=phu!$I$69,M604=phu!$I$70,M604=phu!$I$71),"Ba Ngòi",""),IF(OR(M604=phu!$I$72,M604=phu!$I$73,M604=phu!$I$74,M604=phu!$I$75,M604=phu!$I$76,M604=phu!$I$77,M604=phu!$I$78),"Cam Phước Đông",""),IF(OR(M604=phu!$I$79,M604=phu!$I$80,M604=phu!$I$81,M604=phu!$I$82,M604=phu!$I$83,M604=phu!$I$84),"Cam Thịnh Đông",""),IF(OR(M604=phu!$I$85,M604=phu!$I$86,M604=phu!$I$87,M604=phu!$I$88),"Cam Thịnh Tây",""),IF(OR(M604=phu!$I$89,M604=phu!$I$90),"Cam Lập",""),IF(OR(M604=phu!$I$91,M604=phu!$I$92,M604=phu!$I$93),"Cam Bình",""),IF(OR(M604=phu!$I$94,M604=phu!$I$95,M604=phu!$I$96,M604=phu!$I$97,M604=phu!$I$98,M604=phu!$I$99,M604=phu!$I$100),"Huyện khác",""),IF(OR(M604=phu!$I$101,M604=phu!$I$102),"Tỉnh khác",""))</f>
        <v/>
      </c>
      <c r="O604" s="814" t="str">
        <f t="shared" si="55"/>
        <v/>
      </c>
      <c r="P604" s="254"/>
      <c r="Q604" s="254"/>
      <c r="R604" s="254"/>
      <c r="S604" s="254"/>
      <c r="T604" s="254"/>
      <c r="U604" s="254"/>
      <c r="V604" s="254"/>
      <c r="W604" s="254"/>
      <c r="Y604" s="246" t="str">
        <f t="shared" si="56"/>
        <v/>
      </c>
      <c r="Z604" s="247" t="str">
        <f t="shared" si="54"/>
        <v/>
      </c>
      <c r="AA604" s="246" t="str">
        <f t="shared" si="57"/>
        <v/>
      </c>
    </row>
    <row r="605" spans="1:27" ht="18" customHeight="1" x14ac:dyDescent="0.25">
      <c r="A605" s="248" t="str">
        <f t="shared" si="58"/>
        <v/>
      </c>
      <c r="B605" s="249" t="str">
        <f t="shared" si="59"/>
        <v/>
      </c>
      <c r="C605" s="250"/>
      <c r="D605" s="251"/>
      <c r="E605" s="241"/>
      <c r="F605" s="252"/>
      <c r="G605" s="252"/>
      <c r="H605" s="253"/>
      <c r="I605" s="250"/>
      <c r="J605" s="250"/>
      <c r="K605" s="270"/>
      <c r="L605" s="250"/>
      <c r="M605" s="250"/>
      <c r="N605" s="553" t="str">
        <f>CONCATENATE(IF(OR(M605=phu!$I$1,M605=phu!$I$2,M605=phu!$I$3),"Cam Thành Nam",""),IF(OR(M605=phu!$I$4,M605=phu!$I$5,M605=phu!$I$6,M605=phu!$I$7,M605=phu!$I$8,M605=phu!$I$9,M605=phu!$I$10,M605=phu!$I$11,M605=phu!$I$12,M605=phu!$I$13,M605=phu!$I$14),"Cam Nghĩa",""),IF(OR(M605=phu!$I$15,M605=phu!$I$16,M605=phu!$I$17,M605=phu!$I$18,M605=phu!$I$19,M605=phu!$I$20,M605=phu!$I$21),"Cam Phúc Bắc",""),IF(OR(M605=phu!$I$22,M605=phu!$I$23,M605=phu!$I$24,M605=phu!$I$25),"Cam Phúc Nam",""),IF(OR(M605=phu!$I$26,M605=phu!$I$27,M605=phu!$I$28,M605=phu!$I$29,M605=phu!$I$30,M605=phu!$I$31),"Cam Phú",""),IF(OR(M605=phu!$I$32,M605=phu!$I$33,M605=phu!$I$34,M605=phu!$I$35,M605=phu!$I$36,M605=phu!$I$37),"Cam Lộc",""),IF(OR(M605=phu!$I$38,M605=phu!$I$39,M605=phu!$I$40,M605=phu!$I$41,M605=phu!$I$42,M605=phu!$I$43,M605=phu!$I$44),"Cam Thuận",""),IF(OR(M605=phu!$I$45,M605=phu!$I$46,M605=phu!$I$47,M605=phu!$I$48,M605=phu!$I$49,M605=phu!$I$50,M605=phu!$I$51,M605=phu!$I$52,M605=phu!$I$53),"Cam Linh",""),IF(OR(M605=phu!$I$54,M605=phu!$I$55,M605=phu!$I$56,M605=phu!$I$57,M605=phu!$I$58,M605=phu!$I$59,M605=phu!$I$60,M605=phu!$I$61,M605=phu!$I$62),"Cam Lợi",""),IF(OR(M605=phu!$I$63,M605=phu!$I$64,M605=phu!$I$65,M605=phu!$I$66,M605=phu!$I$67,M605=phu!$I$68,M605=phu!$I$69,M605=phu!$I$70,M605=phu!$I$71),"Ba Ngòi",""),IF(OR(M605=phu!$I$72,M605=phu!$I$73,M605=phu!$I$74,M605=phu!$I$75,M605=phu!$I$76,M605=phu!$I$77,M605=phu!$I$78),"Cam Phước Đông",""),IF(OR(M605=phu!$I$79,M605=phu!$I$80,M605=phu!$I$81,M605=phu!$I$82,M605=phu!$I$83,M605=phu!$I$84),"Cam Thịnh Đông",""),IF(OR(M605=phu!$I$85,M605=phu!$I$86,M605=phu!$I$87,M605=phu!$I$88),"Cam Thịnh Tây",""),IF(OR(M605=phu!$I$89,M605=phu!$I$90),"Cam Lập",""),IF(OR(M605=phu!$I$91,M605=phu!$I$92,M605=phu!$I$93),"Cam Bình",""),IF(OR(M605=phu!$I$94,M605=phu!$I$95,M605=phu!$I$96,M605=phu!$I$97,M605=phu!$I$98,M605=phu!$I$99,M605=phu!$I$100),"Huyện khác",""),IF(OR(M605=phu!$I$101,M605=phu!$I$102),"Tỉnh khác",""))</f>
        <v/>
      </c>
      <c r="O605" s="814" t="str">
        <f t="shared" si="55"/>
        <v/>
      </c>
      <c r="P605" s="254"/>
      <c r="Q605" s="254"/>
      <c r="R605" s="254"/>
      <c r="S605" s="254"/>
      <c r="T605" s="254"/>
      <c r="U605" s="254"/>
      <c r="V605" s="254"/>
      <c r="W605" s="254"/>
      <c r="Y605" s="246" t="str">
        <f t="shared" si="56"/>
        <v/>
      </c>
      <c r="Z605" s="247" t="str">
        <f t="shared" si="54"/>
        <v/>
      </c>
      <c r="AA605" s="246" t="str">
        <f t="shared" si="57"/>
        <v/>
      </c>
    </row>
    <row r="606" spans="1:27" ht="18" customHeight="1" x14ac:dyDescent="0.25">
      <c r="A606" s="248" t="str">
        <f t="shared" si="58"/>
        <v/>
      </c>
      <c r="B606" s="249" t="str">
        <f t="shared" si="59"/>
        <v/>
      </c>
      <c r="C606" s="250"/>
      <c r="D606" s="251"/>
      <c r="E606" s="241"/>
      <c r="F606" s="252"/>
      <c r="G606" s="252"/>
      <c r="H606" s="253"/>
      <c r="I606" s="250"/>
      <c r="J606" s="250"/>
      <c r="K606" s="270"/>
      <c r="L606" s="250"/>
      <c r="M606" s="250"/>
      <c r="N606" s="553" t="str">
        <f>CONCATENATE(IF(OR(M606=phu!$I$1,M606=phu!$I$2,M606=phu!$I$3),"Cam Thành Nam",""),IF(OR(M606=phu!$I$4,M606=phu!$I$5,M606=phu!$I$6,M606=phu!$I$7,M606=phu!$I$8,M606=phu!$I$9,M606=phu!$I$10,M606=phu!$I$11,M606=phu!$I$12,M606=phu!$I$13,M606=phu!$I$14),"Cam Nghĩa",""),IF(OR(M606=phu!$I$15,M606=phu!$I$16,M606=phu!$I$17,M606=phu!$I$18,M606=phu!$I$19,M606=phu!$I$20,M606=phu!$I$21),"Cam Phúc Bắc",""),IF(OR(M606=phu!$I$22,M606=phu!$I$23,M606=phu!$I$24,M606=phu!$I$25),"Cam Phúc Nam",""),IF(OR(M606=phu!$I$26,M606=phu!$I$27,M606=phu!$I$28,M606=phu!$I$29,M606=phu!$I$30,M606=phu!$I$31),"Cam Phú",""),IF(OR(M606=phu!$I$32,M606=phu!$I$33,M606=phu!$I$34,M606=phu!$I$35,M606=phu!$I$36,M606=phu!$I$37),"Cam Lộc",""),IF(OR(M606=phu!$I$38,M606=phu!$I$39,M606=phu!$I$40,M606=phu!$I$41,M606=phu!$I$42,M606=phu!$I$43,M606=phu!$I$44),"Cam Thuận",""),IF(OR(M606=phu!$I$45,M606=phu!$I$46,M606=phu!$I$47,M606=phu!$I$48,M606=phu!$I$49,M606=phu!$I$50,M606=phu!$I$51,M606=phu!$I$52,M606=phu!$I$53),"Cam Linh",""),IF(OR(M606=phu!$I$54,M606=phu!$I$55,M606=phu!$I$56,M606=phu!$I$57,M606=phu!$I$58,M606=phu!$I$59,M606=phu!$I$60,M606=phu!$I$61,M606=phu!$I$62),"Cam Lợi",""),IF(OR(M606=phu!$I$63,M606=phu!$I$64,M606=phu!$I$65,M606=phu!$I$66,M606=phu!$I$67,M606=phu!$I$68,M606=phu!$I$69,M606=phu!$I$70,M606=phu!$I$71),"Ba Ngòi",""),IF(OR(M606=phu!$I$72,M606=phu!$I$73,M606=phu!$I$74,M606=phu!$I$75,M606=phu!$I$76,M606=phu!$I$77,M606=phu!$I$78),"Cam Phước Đông",""),IF(OR(M606=phu!$I$79,M606=phu!$I$80,M606=phu!$I$81,M606=phu!$I$82,M606=phu!$I$83,M606=phu!$I$84),"Cam Thịnh Đông",""),IF(OR(M606=phu!$I$85,M606=phu!$I$86,M606=phu!$I$87,M606=phu!$I$88),"Cam Thịnh Tây",""),IF(OR(M606=phu!$I$89,M606=phu!$I$90),"Cam Lập",""),IF(OR(M606=phu!$I$91,M606=phu!$I$92,M606=phu!$I$93),"Cam Bình",""),IF(OR(M606=phu!$I$94,M606=phu!$I$95,M606=phu!$I$96,M606=phu!$I$97,M606=phu!$I$98,M606=phu!$I$99,M606=phu!$I$100),"Huyện khác",""),IF(OR(M606=phu!$I$101,M606=phu!$I$102),"Tỉnh khác",""))</f>
        <v/>
      </c>
      <c r="O606" s="814" t="str">
        <f t="shared" si="55"/>
        <v/>
      </c>
      <c r="P606" s="254"/>
      <c r="Q606" s="254"/>
      <c r="R606" s="254"/>
      <c r="S606" s="254"/>
      <c r="T606" s="254"/>
      <c r="U606" s="254"/>
      <c r="V606" s="254"/>
      <c r="W606" s="254"/>
      <c r="Y606" s="246" t="str">
        <f t="shared" si="56"/>
        <v/>
      </c>
      <c r="Z606" s="247" t="str">
        <f t="shared" si="54"/>
        <v/>
      </c>
      <c r="AA606" s="246" t="str">
        <f t="shared" si="57"/>
        <v/>
      </c>
    </row>
    <row r="607" spans="1:27" ht="18" customHeight="1" x14ac:dyDescent="0.25">
      <c r="A607" s="248" t="str">
        <f t="shared" si="58"/>
        <v/>
      </c>
      <c r="B607" s="249" t="str">
        <f t="shared" si="59"/>
        <v/>
      </c>
      <c r="C607" s="250"/>
      <c r="D607" s="251"/>
      <c r="E607" s="241"/>
      <c r="F607" s="252"/>
      <c r="G607" s="252"/>
      <c r="H607" s="253"/>
      <c r="I607" s="250"/>
      <c r="J607" s="250"/>
      <c r="K607" s="270"/>
      <c r="L607" s="250"/>
      <c r="M607" s="250"/>
      <c r="N607" s="553" t="str">
        <f>CONCATENATE(IF(OR(M607=phu!$I$1,M607=phu!$I$2,M607=phu!$I$3),"Cam Thành Nam",""),IF(OR(M607=phu!$I$4,M607=phu!$I$5,M607=phu!$I$6,M607=phu!$I$7,M607=phu!$I$8,M607=phu!$I$9,M607=phu!$I$10,M607=phu!$I$11,M607=phu!$I$12,M607=phu!$I$13,M607=phu!$I$14),"Cam Nghĩa",""),IF(OR(M607=phu!$I$15,M607=phu!$I$16,M607=phu!$I$17,M607=phu!$I$18,M607=phu!$I$19,M607=phu!$I$20,M607=phu!$I$21),"Cam Phúc Bắc",""),IF(OR(M607=phu!$I$22,M607=phu!$I$23,M607=phu!$I$24,M607=phu!$I$25),"Cam Phúc Nam",""),IF(OR(M607=phu!$I$26,M607=phu!$I$27,M607=phu!$I$28,M607=phu!$I$29,M607=phu!$I$30,M607=phu!$I$31),"Cam Phú",""),IF(OR(M607=phu!$I$32,M607=phu!$I$33,M607=phu!$I$34,M607=phu!$I$35,M607=phu!$I$36,M607=phu!$I$37),"Cam Lộc",""),IF(OR(M607=phu!$I$38,M607=phu!$I$39,M607=phu!$I$40,M607=phu!$I$41,M607=phu!$I$42,M607=phu!$I$43,M607=phu!$I$44),"Cam Thuận",""),IF(OR(M607=phu!$I$45,M607=phu!$I$46,M607=phu!$I$47,M607=phu!$I$48,M607=phu!$I$49,M607=phu!$I$50,M607=phu!$I$51,M607=phu!$I$52,M607=phu!$I$53),"Cam Linh",""),IF(OR(M607=phu!$I$54,M607=phu!$I$55,M607=phu!$I$56,M607=phu!$I$57,M607=phu!$I$58,M607=phu!$I$59,M607=phu!$I$60,M607=phu!$I$61,M607=phu!$I$62),"Cam Lợi",""),IF(OR(M607=phu!$I$63,M607=phu!$I$64,M607=phu!$I$65,M607=phu!$I$66,M607=phu!$I$67,M607=phu!$I$68,M607=phu!$I$69,M607=phu!$I$70,M607=phu!$I$71),"Ba Ngòi",""),IF(OR(M607=phu!$I$72,M607=phu!$I$73,M607=phu!$I$74,M607=phu!$I$75,M607=phu!$I$76,M607=phu!$I$77,M607=phu!$I$78),"Cam Phước Đông",""),IF(OR(M607=phu!$I$79,M607=phu!$I$80,M607=phu!$I$81,M607=phu!$I$82,M607=phu!$I$83,M607=phu!$I$84),"Cam Thịnh Đông",""),IF(OR(M607=phu!$I$85,M607=phu!$I$86,M607=phu!$I$87,M607=phu!$I$88),"Cam Thịnh Tây",""),IF(OR(M607=phu!$I$89,M607=phu!$I$90),"Cam Lập",""),IF(OR(M607=phu!$I$91,M607=phu!$I$92,M607=phu!$I$93),"Cam Bình",""),IF(OR(M607=phu!$I$94,M607=phu!$I$95,M607=phu!$I$96,M607=phu!$I$97,M607=phu!$I$98,M607=phu!$I$99,M607=phu!$I$100),"Huyện khác",""),IF(OR(M607=phu!$I$101,M607=phu!$I$102),"Tỉnh khác",""))</f>
        <v/>
      </c>
      <c r="O607" s="814" t="str">
        <f t="shared" si="55"/>
        <v/>
      </c>
      <c r="P607" s="254"/>
      <c r="Q607" s="254"/>
      <c r="R607" s="254"/>
      <c r="S607" s="254"/>
      <c r="T607" s="254"/>
      <c r="U607" s="254"/>
      <c r="V607" s="254"/>
      <c r="W607" s="254"/>
      <c r="Y607" s="246" t="str">
        <f t="shared" si="56"/>
        <v/>
      </c>
      <c r="Z607" s="247" t="str">
        <f t="shared" si="54"/>
        <v/>
      </c>
      <c r="AA607" s="246" t="str">
        <f t="shared" si="57"/>
        <v/>
      </c>
    </row>
    <row r="608" spans="1:27" ht="18" customHeight="1" x14ac:dyDescent="0.25">
      <c r="A608" s="248" t="str">
        <f t="shared" si="58"/>
        <v/>
      </c>
      <c r="B608" s="249" t="str">
        <f t="shared" si="59"/>
        <v/>
      </c>
      <c r="C608" s="250"/>
      <c r="D608" s="251"/>
      <c r="E608" s="241"/>
      <c r="F608" s="252"/>
      <c r="G608" s="252"/>
      <c r="H608" s="253"/>
      <c r="I608" s="250"/>
      <c r="J608" s="250"/>
      <c r="K608" s="270"/>
      <c r="L608" s="250"/>
      <c r="M608" s="250"/>
      <c r="N608" s="553" t="str">
        <f>CONCATENATE(IF(OR(M608=phu!$I$1,M608=phu!$I$2,M608=phu!$I$3),"Cam Thành Nam",""),IF(OR(M608=phu!$I$4,M608=phu!$I$5,M608=phu!$I$6,M608=phu!$I$7,M608=phu!$I$8,M608=phu!$I$9,M608=phu!$I$10,M608=phu!$I$11,M608=phu!$I$12,M608=phu!$I$13,M608=phu!$I$14),"Cam Nghĩa",""),IF(OR(M608=phu!$I$15,M608=phu!$I$16,M608=phu!$I$17,M608=phu!$I$18,M608=phu!$I$19,M608=phu!$I$20,M608=phu!$I$21),"Cam Phúc Bắc",""),IF(OR(M608=phu!$I$22,M608=phu!$I$23,M608=phu!$I$24,M608=phu!$I$25),"Cam Phúc Nam",""),IF(OR(M608=phu!$I$26,M608=phu!$I$27,M608=phu!$I$28,M608=phu!$I$29,M608=phu!$I$30,M608=phu!$I$31),"Cam Phú",""),IF(OR(M608=phu!$I$32,M608=phu!$I$33,M608=phu!$I$34,M608=phu!$I$35,M608=phu!$I$36,M608=phu!$I$37),"Cam Lộc",""),IF(OR(M608=phu!$I$38,M608=phu!$I$39,M608=phu!$I$40,M608=phu!$I$41,M608=phu!$I$42,M608=phu!$I$43,M608=phu!$I$44),"Cam Thuận",""),IF(OR(M608=phu!$I$45,M608=phu!$I$46,M608=phu!$I$47,M608=phu!$I$48,M608=phu!$I$49,M608=phu!$I$50,M608=phu!$I$51,M608=phu!$I$52,M608=phu!$I$53),"Cam Linh",""),IF(OR(M608=phu!$I$54,M608=phu!$I$55,M608=phu!$I$56,M608=phu!$I$57,M608=phu!$I$58,M608=phu!$I$59,M608=phu!$I$60,M608=phu!$I$61,M608=phu!$I$62),"Cam Lợi",""),IF(OR(M608=phu!$I$63,M608=phu!$I$64,M608=phu!$I$65,M608=phu!$I$66,M608=phu!$I$67,M608=phu!$I$68,M608=phu!$I$69,M608=phu!$I$70,M608=phu!$I$71),"Ba Ngòi",""),IF(OR(M608=phu!$I$72,M608=phu!$I$73,M608=phu!$I$74,M608=phu!$I$75,M608=phu!$I$76,M608=phu!$I$77,M608=phu!$I$78),"Cam Phước Đông",""),IF(OR(M608=phu!$I$79,M608=phu!$I$80,M608=phu!$I$81,M608=phu!$I$82,M608=phu!$I$83,M608=phu!$I$84),"Cam Thịnh Đông",""),IF(OR(M608=phu!$I$85,M608=phu!$I$86,M608=phu!$I$87,M608=phu!$I$88),"Cam Thịnh Tây",""),IF(OR(M608=phu!$I$89,M608=phu!$I$90),"Cam Lập",""),IF(OR(M608=phu!$I$91,M608=phu!$I$92,M608=phu!$I$93),"Cam Bình",""),IF(OR(M608=phu!$I$94,M608=phu!$I$95,M608=phu!$I$96,M608=phu!$I$97,M608=phu!$I$98,M608=phu!$I$99,M608=phu!$I$100),"Huyện khác",""),IF(OR(M608=phu!$I$101,M608=phu!$I$102),"Tỉnh khác",""))</f>
        <v/>
      </c>
      <c r="O608" s="814" t="str">
        <f t="shared" si="55"/>
        <v/>
      </c>
      <c r="P608" s="254"/>
      <c r="Q608" s="254"/>
      <c r="R608" s="254"/>
      <c r="S608" s="254"/>
      <c r="T608" s="254"/>
      <c r="U608" s="254"/>
      <c r="V608" s="254"/>
      <c r="W608" s="254"/>
      <c r="Y608" s="246" t="str">
        <f t="shared" si="56"/>
        <v/>
      </c>
      <c r="Z608" s="247" t="str">
        <f t="shared" si="54"/>
        <v/>
      </c>
      <c r="AA608" s="246" t="str">
        <f t="shared" si="57"/>
        <v/>
      </c>
    </row>
    <row r="609" spans="1:27" ht="18" customHeight="1" x14ac:dyDescent="0.25">
      <c r="A609" s="248" t="str">
        <f t="shared" si="58"/>
        <v/>
      </c>
      <c r="B609" s="249" t="str">
        <f t="shared" si="59"/>
        <v/>
      </c>
      <c r="C609" s="250"/>
      <c r="D609" s="251"/>
      <c r="E609" s="241"/>
      <c r="F609" s="252"/>
      <c r="G609" s="252"/>
      <c r="H609" s="253"/>
      <c r="I609" s="250"/>
      <c r="J609" s="250"/>
      <c r="K609" s="270"/>
      <c r="L609" s="250"/>
      <c r="M609" s="250"/>
      <c r="N609" s="553" t="str">
        <f>CONCATENATE(IF(OR(M609=phu!$I$1,M609=phu!$I$2,M609=phu!$I$3),"Cam Thành Nam",""),IF(OR(M609=phu!$I$4,M609=phu!$I$5,M609=phu!$I$6,M609=phu!$I$7,M609=phu!$I$8,M609=phu!$I$9,M609=phu!$I$10,M609=phu!$I$11,M609=phu!$I$12,M609=phu!$I$13,M609=phu!$I$14),"Cam Nghĩa",""),IF(OR(M609=phu!$I$15,M609=phu!$I$16,M609=phu!$I$17,M609=phu!$I$18,M609=phu!$I$19,M609=phu!$I$20,M609=phu!$I$21),"Cam Phúc Bắc",""),IF(OR(M609=phu!$I$22,M609=phu!$I$23,M609=phu!$I$24,M609=phu!$I$25),"Cam Phúc Nam",""),IF(OR(M609=phu!$I$26,M609=phu!$I$27,M609=phu!$I$28,M609=phu!$I$29,M609=phu!$I$30,M609=phu!$I$31),"Cam Phú",""),IF(OR(M609=phu!$I$32,M609=phu!$I$33,M609=phu!$I$34,M609=phu!$I$35,M609=phu!$I$36,M609=phu!$I$37),"Cam Lộc",""),IF(OR(M609=phu!$I$38,M609=phu!$I$39,M609=phu!$I$40,M609=phu!$I$41,M609=phu!$I$42,M609=phu!$I$43,M609=phu!$I$44),"Cam Thuận",""),IF(OR(M609=phu!$I$45,M609=phu!$I$46,M609=phu!$I$47,M609=phu!$I$48,M609=phu!$I$49,M609=phu!$I$50,M609=phu!$I$51,M609=phu!$I$52,M609=phu!$I$53),"Cam Linh",""),IF(OR(M609=phu!$I$54,M609=phu!$I$55,M609=phu!$I$56,M609=phu!$I$57,M609=phu!$I$58,M609=phu!$I$59,M609=phu!$I$60,M609=phu!$I$61,M609=phu!$I$62),"Cam Lợi",""),IF(OR(M609=phu!$I$63,M609=phu!$I$64,M609=phu!$I$65,M609=phu!$I$66,M609=phu!$I$67,M609=phu!$I$68,M609=phu!$I$69,M609=phu!$I$70,M609=phu!$I$71),"Ba Ngòi",""),IF(OR(M609=phu!$I$72,M609=phu!$I$73,M609=phu!$I$74,M609=phu!$I$75,M609=phu!$I$76,M609=phu!$I$77,M609=phu!$I$78),"Cam Phước Đông",""),IF(OR(M609=phu!$I$79,M609=phu!$I$80,M609=phu!$I$81,M609=phu!$I$82,M609=phu!$I$83,M609=phu!$I$84),"Cam Thịnh Đông",""),IF(OR(M609=phu!$I$85,M609=phu!$I$86,M609=phu!$I$87,M609=phu!$I$88),"Cam Thịnh Tây",""),IF(OR(M609=phu!$I$89,M609=phu!$I$90),"Cam Lập",""),IF(OR(M609=phu!$I$91,M609=phu!$I$92,M609=phu!$I$93),"Cam Bình",""),IF(OR(M609=phu!$I$94,M609=phu!$I$95,M609=phu!$I$96,M609=phu!$I$97,M609=phu!$I$98,M609=phu!$I$99,M609=phu!$I$100),"Huyện khác",""),IF(OR(M609=phu!$I$101,M609=phu!$I$102),"Tỉnh khác",""))</f>
        <v/>
      </c>
      <c r="O609" s="814" t="str">
        <f t="shared" si="55"/>
        <v/>
      </c>
      <c r="P609" s="254"/>
      <c r="Q609" s="254"/>
      <c r="R609" s="254"/>
      <c r="S609" s="254"/>
      <c r="T609" s="254"/>
      <c r="U609" s="254"/>
      <c r="V609" s="254"/>
      <c r="W609" s="254"/>
      <c r="Y609" s="246" t="str">
        <f t="shared" si="56"/>
        <v/>
      </c>
      <c r="Z609" s="247" t="str">
        <f t="shared" si="54"/>
        <v/>
      </c>
      <c r="AA609" s="246" t="str">
        <f t="shared" si="57"/>
        <v/>
      </c>
    </row>
    <row r="610" spans="1:27" ht="18" customHeight="1" x14ac:dyDescent="0.25">
      <c r="A610" s="248" t="str">
        <f t="shared" si="58"/>
        <v/>
      </c>
      <c r="B610" s="249" t="str">
        <f t="shared" si="59"/>
        <v/>
      </c>
      <c r="C610" s="250"/>
      <c r="D610" s="251"/>
      <c r="E610" s="241"/>
      <c r="F610" s="252"/>
      <c r="G610" s="252"/>
      <c r="H610" s="253"/>
      <c r="I610" s="250"/>
      <c r="J610" s="250"/>
      <c r="K610" s="270"/>
      <c r="L610" s="250"/>
      <c r="M610" s="250"/>
      <c r="N610" s="553" t="str">
        <f>CONCATENATE(IF(OR(M610=phu!$I$1,M610=phu!$I$2,M610=phu!$I$3),"Cam Thành Nam",""),IF(OR(M610=phu!$I$4,M610=phu!$I$5,M610=phu!$I$6,M610=phu!$I$7,M610=phu!$I$8,M610=phu!$I$9,M610=phu!$I$10,M610=phu!$I$11,M610=phu!$I$12,M610=phu!$I$13,M610=phu!$I$14),"Cam Nghĩa",""),IF(OR(M610=phu!$I$15,M610=phu!$I$16,M610=phu!$I$17,M610=phu!$I$18,M610=phu!$I$19,M610=phu!$I$20,M610=phu!$I$21),"Cam Phúc Bắc",""),IF(OR(M610=phu!$I$22,M610=phu!$I$23,M610=phu!$I$24,M610=phu!$I$25),"Cam Phúc Nam",""),IF(OR(M610=phu!$I$26,M610=phu!$I$27,M610=phu!$I$28,M610=phu!$I$29,M610=phu!$I$30,M610=phu!$I$31),"Cam Phú",""),IF(OR(M610=phu!$I$32,M610=phu!$I$33,M610=phu!$I$34,M610=phu!$I$35,M610=phu!$I$36,M610=phu!$I$37),"Cam Lộc",""),IF(OR(M610=phu!$I$38,M610=phu!$I$39,M610=phu!$I$40,M610=phu!$I$41,M610=phu!$I$42,M610=phu!$I$43,M610=phu!$I$44),"Cam Thuận",""),IF(OR(M610=phu!$I$45,M610=phu!$I$46,M610=phu!$I$47,M610=phu!$I$48,M610=phu!$I$49,M610=phu!$I$50,M610=phu!$I$51,M610=phu!$I$52,M610=phu!$I$53),"Cam Linh",""),IF(OR(M610=phu!$I$54,M610=phu!$I$55,M610=phu!$I$56,M610=phu!$I$57,M610=phu!$I$58,M610=phu!$I$59,M610=phu!$I$60,M610=phu!$I$61,M610=phu!$I$62),"Cam Lợi",""),IF(OR(M610=phu!$I$63,M610=phu!$I$64,M610=phu!$I$65,M610=phu!$I$66,M610=phu!$I$67,M610=phu!$I$68,M610=phu!$I$69,M610=phu!$I$70,M610=phu!$I$71),"Ba Ngòi",""),IF(OR(M610=phu!$I$72,M610=phu!$I$73,M610=phu!$I$74,M610=phu!$I$75,M610=phu!$I$76,M610=phu!$I$77,M610=phu!$I$78),"Cam Phước Đông",""),IF(OR(M610=phu!$I$79,M610=phu!$I$80,M610=phu!$I$81,M610=phu!$I$82,M610=phu!$I$83,M610=phu!$I$84),"Cam Thịnh Đông",""),IF(OR(M610=phu!$I$85,M610=phu!$I$86,M610=phu!$I$87,M610=phu!$I$88),"Cam Thịnh Tây",""),IF(OR(M610=phu!$I$89,M610=phu!$I$90),"Cam Lập",""),IF(OR(M610=phu!$I$91,M610=phu!$I$92,M610=phu!$I$93),"Cam Bình",""),IF(OR(M610=phu!$I$94,M610=phu!$I$95,M610=phu!$I$96,M610=phu!$I$97,M610=phu!$I$98,M610=phu!$I$99,M610=phu!$I$100),"Huyện khác",""),IF(OR(M610=phu!$I$101,M610=phu!$I$102),"Tỉnh khác",""))</f>
        <v/>
      </c>
      <c r="O610" s="814" t="str">
        <f t="shared" si="55"/>
        <v/>
      </c>
      <c r="P610" s="254"/>
      <c r="Q610" s="254"/>
      <c r="R610" s="254"/>
      <c r="S610" s="254"/>
      <c r="T610" s="254"/>
      <c r="U610" s="254"/>
      <c r="V610" s="254"/>
      <c r="W610" s="254"/>
      <c r="Y610" s="246" t="str">
        <f t="shared" si="56"/>
        <v/>
      </c>
      <c r="Z610" s="247" t="str">
        <f t="shared" si="54"/>
        <v/>
      </c>
      <c r="AA610" s="246" t="str">
        <f t="shared" si="57"/>
        <v/>
      </c>
    </row>
    <row r="611" spans="1:27" ht="18" customHeight="1" x14ac:dyDescent="0.25">
      <c r="A611" s="248" t="str">
        <f t="shared" si="58"/>
        <v/>
      </c>
      <c r="B611" s="249" t="str">
        <f t="shared" si="59"/>
        <v/>
      </c>
      <c r="C611" s="250"/>
      <c r="D611" s="251"/>
      <c r="E611" s="241"/>
      <c r="F611" s="252"/>
      <c r="G611" s="252"/>
      <c r="H611" s="253"/>
      <c r="I611" s="250"/>
      <c r="J611" s="250"/>
      <c r="K611" s="270"/>
      <c r="L611" s="250"/>
      <c r="M611" s="250"/>
      <c r="N611" s="553" t="str">
        <f>CONCATENATE(IF(OR(M611=phu!$I$1,M611=phu!$I$2,M611=phu!$I$3),"Cam Thành Nam",""),IF(OR(M611=phu!$I$4,M611=phu!$I$5,M611=phu!$I$6,M611=phu!$I$7,M611=phu!$I$8,M611=phu!$I$9,M611=phu!$I$10,M611=phu!$I$11,M611=phu!$I$12,M611=phu!$I$13,M611=phu!$I$14),"Cam Nghĩa",""),IF(OR(M611=phu!$I$15,M611=phu!$I$16,M611=phu!$I$17,M611=phu!$I$18,M611=phu!$I$19,M611=phu!$I$20,M611=phu!$I$21),"Cam Phúc Bắc",""),IF(OR(M611=phu!$I$22,M611=phu!$I$23,M611=phu!$I$24,M611=phu!$I$25),"Cam Phúc Nam",""),IF(OR(M611=phu!$I$26,M611=phu!$I$27,M611=phu!$I$28,M611=phu!$I$29,M611=phu!$I$30,M611=phu!$I$31),"Cam Phú",""),IF(OR(M611=phu!$I$32,M611=phu!$I$33,M611=phu!$I$34,M611=phu!$I$35,M611=phu!$I$36,M611=phu!$I$37),"Cam Lộc",""),IF(OR(M611=phu!$I$38,M611=phu!$I$39,M611=phu!$I$40,M611=phu!$I$41,M611=phu!$I$42,M611=phu!$I$43,M611=phu!$I$44),"Cam Thuận",""),IF(OR(M611=phu!$I$45,M611=phu!$I$46,M611=phu!$I$47,M611=phu!$I$48,M611=phu!$I$49,M611=phu!$I$50,M611=phu!$I$51,M611=phu!$I$52,M611=phu!$I$53),"Cam Linh",""),IF(OR(M611=phu!$I$54,M611=phu!$I$55,M611=phu!$I$56,M611=phu!$I$57,M611=phu!$I$58,M611=phu!$I$59,M611=phu!$I$60,M611=phu!$I$61,M611=phu!$I$62),"Cam Lợi",""),IF(OR(M611=phu!$I$63,M611=phu!$I$64,M611=phu!$I$65,M611=phu!$I$66,M611=phu!$I$67,M611=phu!$I$68,M611=phu!$I$69,M611=phu!$I$70,M611=phu!$I$71),"Ba Ngòi",""),IF(OR(M611=phu!$I$72,M611=phu!$I$73,M611=phu!$I$74,M611=phu!$I$75,M611=phu!$I$76,M611=phu!$I$77,M611=phu!$I$78),"Cam Phước Đông",""),IF(OR(M611=phu!$I$79,M611=phu!$I$80,M611=phu!$I$81,M611=phu!$I$82,M611=phu!$I$83,M611=phu!$I$84),"Cam Thịnh Đông",""),IF(OR(M611=phu!$I$85,M611=phu!$I$86,M611=phu!$I$87,M611=phu!$I$88),"Cam Thịnh Tây",""),IF(OR(M611=phu!$I$89,M611=phu!$I$90),"Cam Lập",""),IF(OR(M611=phu!$I$91,M611=phu!$I$92,M611=phu!$I$93),"Cam Bình",""),IF(OR(M611=phu!$I$94,M611=phu!$I$95,M611=phu!$I$96,M611=phu!$I$97,M611=phu!$I$98,M611=phu!$I$99,M611=phu!$I$100),"Huyện khác",""),IF(OR(M611=phu!$I$101,M611=phu!$I$102),"Tỉnh khác",""))</f>
        <v/>
      </c>
      <c r="O611" s="814" t="str">
        <f t="shared" si="55"/>
        <v/>
      </c>
      <c r="P611" s="254"/>
      <c r="Q611" s="254"/>
      <c r="R611" s="254"/>
      <c r="S611" s="254"/>
      <c r="T611" s="254"/>
      <c r="U611" s="254"/>
      <c r="V611" s="254"/>
      <c r="W611" s="254"/>
      <c r="Y611" s="246" t="str">
        <f t="shared" si="56"/>
        <v/>
      </c>
      <c r="Z611" s="247" t="str">
        <f t="shared" si="54"/>
        <v/>
      </c>
      <c r="AA611" s="246" t="str">
        <f t="shared" si="57"/>
        <v/>
      </c>
    </row>
    <row r="612" spans="1:27" ht="18" customHeight="1" x14ac:dyDescent="0.25">
      <c r="A612" s="248" t="str">
        <f t="shared" si="58"/>
        <v/>
      </c>
      <c r="B612" s="249" t="str">
        <f t="shared" si="59"/>
        <v/>
      </c>
      <c r="C612" s="250"/>
      <c r="D612" s="251"/>
      <c r="E612" s="241"/>
      <c r="F612" s="252"/>
      <c r="G612" s="252"/>
      <c r="H612" s="253"/>
      <c r="I612" s="250"/>
      <c r="J612" s="250"/>
      <c r="K612" s="270"/>
      <c r="L612" s="250"/>
      <c r="M612" s="250"/>
      <c r="N612" s="553" t="str">
        <f>CONCATENATE(IF(OR(M612=phu!$I$1,M612=phu!$I$2,M612=phu!$I$3),"Cam Thành Nam",""),IF(OR(M612=phu!$I$4,M612=phu!$I$5,M612=phu!$I$6,M612=phu!$I$7,M612=phu!$I$8,M612=phu!$I$9,M612=phu!$I$10,M612=phu!$I$11,M612=phu!$I$12,M612=phu!$I$13,M612=phu!$I$14),"Cam Nghĩa",""),IF(OR(M612=phu!$I$15,M612=phu!$I$16,M612=phu!$I$17,M612=phu!$I$18,M612=phu!$I$19,M612=phu!$I$20,M612=phu!$I$21),"Cam Phúc Bắc",""),IF(OR(M612=phu!$I$22,M612=phu!$I$23,M612=phu!$I$24,M612=phu!$I$25),"Cam Phúc Nam",""),IF(OR(M612=phu!$I$26,M612=phu!$I$27,M612=phu!$I$28,M612=phu!$I$29,M612=phu!$I$30,M612=phu!$I$31),"Cam Phú",""),IF(OR(M612=phu!$I$32,M612=phu!$I$33,M612=phu!$I$34,M612=phu!$I$35,M612=phu!$I$36,M612=phu!$I$37),"Cam Lộc",""),IF(OR(M612=phu!$I$38,M612=phu!$I$39,M612=phu!$I$40,M612=phu!$I$41,M612=phu!$I$42,M612=phu!$I$43,M612=phu!$I$44),"Cam Thuận",""),IF(OR(M612=phu!$I$45,M612=phu!$I$46,M612=phu!$I$47,M612=phu!$I$48,M612=phu!$I$49,M612=phu!$I$50,M612=phu!$I$51,M612=phu!$I$52,M612=phu!$I$53),"Cam Linh",""),IF(OR(M612=phu!$I$54,M612=phu!$I$55,M612=phu!$I$56,M612=phu!$I$57,M612=phu!$I$58,M612=phu!$I$59,M612=phu!$I$60,M612=phu!$I$61,M612=phu!$I$62),"Cam Lợi",""),IF(OR(M612=phu!$I$63,M612=phu!$I$64,M612=phu!$I$65,M612=phu!$I$66,M612=phu!$I$67,M612=phu!$I$68,M612=phu!$I$69,M612=phu!$I$70,M612=phu!$I$71),"Ba Ngòi",""),IF(OR(M612=phu!$I$72,M612=phu!$I$73,M612=phu!$I$74,M612=phu!$I$75,M612=phu!$I$76,M612=phu!$I$77,M612=phu!$I$78),"Cam Phước Đông",""),IF(OR(M612=phu!$I$79,M612=phu!$I$80,M612=phu!$I$81,M612=phu!$I$82,M612=phu!$I$83,M612=phu!$I$84),"Cam Thịnh Đông",""),IF(OR(M612=phu!$I$85,M612=phu!$I$86,M612=phu!$I$87,M612=phu!$I$88),"Cam Thịnh Tây",""),IF(OR(M612=phu!$I$89,M612=phu!$I$90),"Cam Lập",""),IF(OR(M612=phu!$I$91,M612=phu!$I$92,M612=phu!$I$93),"Cam Bình",""),IF(OR(M612=phu!$I$94,M612=phu!$I$95,M612=phu!$I$96,M612=phu!$I$97,M612=phu!$I$98,M612=phu!$I$99,M612=phu!$I$100),"Huyện khác",""),IF(OR(M612=phu!$I$101,M612=phu!$I$102),"Tỉnh khác",""))</f>
        <v/>
      </c>
      <c r="O612" s="814" t="str">
        <f t="shared" si="55"/>
        <v/>
      </c>
      <c r="P612" s="254"/>
      <c r="Q612" s="254"/>
      <c r="R612" s="254"/>
      <c r="S612" s="254"/>
      <c r="T612" s="254"/>
      <c r="U612" s="254"/>
      <c r="V612" s="254"/>
      <c r="W612" s="254"/>
      <c r="Y612" s="246" t="str">
        <f t="shared" si="56"/>
        <v/>
      </c>
      <c r="Z612" s="247" t="str">
        <f t="shared" si="54"/>
        <v/>
      </c>
      <c r="AA612" s="246" t="str">
        <f t="shared" si="57"/>
        <v/>
      </c>
    </row>
    <row r="613" spans="1:27" ht="18" customHeight="1" x14ac:dyDescent="0.25">
      <c r="A613" s="248" t="str">
        <f t="shared" si="58"/>
        <v/>
      </c>
      <c r="B613" s="249" t="str">
        <f t="shared" si="59"/>
        <v/>
      </c>
      <c r="C613" s="250"/>
      <c r="D613" s="251"/>
      <c r="E613" s="241"/>
      <c r="F613" s="252"/>
      <c r="G613" s="252"/>
      <c r="H613" s="253"/>
      <c r="I613" s="250"/>
      <c r="J613" s="250"/>
      <c r="K613" s="270"/>
      <c r="L613" s="250"/>
      <c r="M613" s="250"/>
      <c r="N613" s="553" t="str">
        <f>CONCATENATE(IF(OR(M613=phu!$I$1,M613=phu!$I$2,M613=phu!$I$3),"Cam Thành Nam",""),IF(OR(M613=phu!$I$4,M613=phu!$I$5,M613=phu!$I$6,M613=phu!$I$7,M613=phu!$I$8,M613=phu!$I$9,M613=phu!$I$10,M613=phu!$I$11,M613=phu!$I$12,M613=phu!$I$13,M613=phu!$I$14),"Cam Nghĩa",""),IF(OR(M613=phu!$I$15,M613=phu!$I$16,M613=phu!$I$17,M613=phu!$I$18,M613=phu!$I$19,M613=phu!$I$20,M613=phu!$I$21),"Cam Phúc Bắc",""),IF(OR(M613=phu!$I$22,M613=phu!$I$23,M613=phu!$I$24,M613=phu!$I$25),"Cam Phúc Nam",""),IF(OR(M613=phu!$I$26,M613=phu!$I$27,M613=phu!$I$28,M613=phu!$I$29,M613=phu!$I$30,M613=phu!$I$31),"Cam Phú",""),IF(OR(M613=phu!$I$32,M613=phu!$I$33,M613=phu!$I$34,M613=phu!$I$35,M613=phu!$I$36,M613=phu!$I$37),"Cam Lộc",""),IF(OR(M613=phu!$I$38,M613=phu!$I$39,M613=phu!$I$40,M613=phu!$I$41,M613=phu!$I$42,M613=phu!$I$43,M613=phu!$I$44),"Cam Thuận",""),IF(OR(M613=phu!$I$45,M613=phu!$I$46,M613=phu!$I$47,M613=phu!$I$48,M613=phu!$I$49,M613=phu!$I$50,M613=phu!$I$51,M613=phu!$I$52,M613=phu!$I$53),"Cam Linh",""),IF(OR(M613=phu!$I$54,M613=phu!$I$55,M613=phu!$I$56,M613=phu!$I$57,M613=phu!$I$58,M613=phu!$I$59,M613=phu!$I$60,M613=phu!$I$61,M613=phu!$I$62),"Cam Lợi",""),IF(OR(M613=phu!$I$63,M613=phu!$I$64,M613=phu!$I$65,M613=phu!$I$66,M613=phu!$I$67,M613=phu!$I$68,M613=phu!$I$69,M613=phu!$I$70,M613=phu!$I$71),"Ba Ngòi",""),IF(OR(M613=phu!$I$72,M613=phu!$I$73,M613=phu!$I$74,M613=phu!$I$75,M613=phu!$I$76,M613=phu!$I$77,M613=phu!$I$78),"Cam Phước Đông",""),IF(OR(M613=phu!$I$79,M613=phu!$I$80,M613=phu!$I$81,M613=phu!$I$82,M613=phu!$I$83,M613=phu!$I$84),"Cam Thịnh Đông",""),IF(OR(M613=phu!$I$85,M613=phu!$I$86,M613=phu!$I$87,M613=phu!$I$88),"Cam Thịnh Tây",""),IF(OR(M613=phu!$I$89,M613=phu!$I$90),"Cam Lập",""),IF(OR(M613=phu!$I$91,M613=phu!$I$92,M613=phu!$I$93),"Cam Bình",""),IF(OR(M613=phu!$I$94,M613=phu!$I$95,M613=phu!$I$96,M613=phu!$I$97,M613=phu!$I$98,M613=phu!$I$99,M613=phu!$I$100),"Huyện khác",""),IF(OR(M613=phu!$I$101,M613=phu!$I$102),"Tỉnh khác",""))</f>
        <v/>
      </c>
      <c r="O613" s="814" t="str">
        <f t="shared" si="55"/>
        <v/>
      </c>
      <c r="P613" s="254"/>
      <c r="Q613" s="254"/>
      <c r="R613" s="254"/>
      <c r="S613" s="254"/>
      <c r="T613" s="254"/>
      <c r="U613" s="254"/>
      <c r="V613" s="254"/>
      <c r="W613" s="254"/>
      <c r="Y613" s="246" t="str">
        <f t="shared" si="56"/>
        <v/>
      </c>
      <c r="Z613" s="247" t="str">
        <f t="shared" si="54"/>
        <v/>
      </c>
      <c r="AA613" s="246" t="str">
        <f t="shared" si="57"/>
        <v/>
      </c>
    </row>
    <row r="614" spans="1:27" ht="18" customHeight="1" x14ac:dyDescent="0.25">
      <c r="A614" s="248" t="str">
        <f t="shared" si="58"/>
        <v/>
      </c>
      <c r="B614" s="249" t="str">
        <f t="shared" si="59"/>
        <v/>
      </c>
      <c r="C614" s="250"/>
      <c r="D614" s="251"/>
      <c r="E614" s="241"/>
      <c r="F614" s="252"/>
      <c r="G614" s="252"/>
      <c r="H614" s="253"/>
      <c r="I614" s="250"/>
      <c r="J614" s="250"/>
      <c r="K614" s="270"/>
      <c r="L614" s="250"/>
      <c r="M614" s="250"/>
      <c r="N614" s="553" t="str">
        <f>CONCATENATE(IF(OR(M614=phu!$I$1,M614=phu!$I$2,M614=phu!$I$3),"Cam Thành Nam",""),IF(OR(M614=phu!$I$4,M614=phu!$I$5,M614=phu!$I$6,M614=phu!$I$7,M614=phu!$I$8,M614=phu!$I$9,M614=phu!$I$10,M614=phu!$I$11,M614=phu!$I$12,M614=phu!$I$13,M614=phu!$I$14),"Cam Nghĩa",""),IF(OR(M614=phu!$I$15,M614=phu!$I$16,M614=phu!$I$17,M614=phu!$I$18,M614=phu!$I$19,M614=phu!$I$20,M614=phu!$I$21),"Cam Phúc Bắc",""),IF(OR(M614=phu!$I$22,M614=phu!$I$23,M614=phu!$I$24,M614=phu!$I$25),"Cam Phúc Nam",""),IF(OR(M614=phu!$I$26,M614=phu!$I$27,M614=phu!$I$28,M614=phu!$I$29,M614=phu!$I$30,M614=phu!$I$31),"Cam Phú",""),IF(OR(M614=phu!$I$32,M614=phu!$I$33,M614=phu!$I$34,M614=phu!$I$35,M614=phu!$I$36,M614=phu!$I$37),"Cam Lộc",""),IF(OR(M614=phu!$I$38,M614=phu!$I$39,M614=phu!$I$40,M614=phu!$I$41,M614=phu!$I$42,M614=phu!$I$43,M614=phu!$I$44),"Cam Thuận",""),IF(OR(M614=phu!$I$45,M614=phu!$I$46,M614=phu!$I$47,M614=phu!$I$48,M614=phu!$I$49,M614=phu!$I$50,M614=phu!$I$51,M614=phu!$I$52,M614=phu!$I$53),"Cam Linh",""),IF(OR(M614=phu!$I$54,M614=phu!$I$55,M614=phu!$I$56,M614=phu!$I$57,M614=phu!$I$58,M614=phu!$I$59,M614=phu!$I$60,M614=phu!$I$61,M614=phu!$I$62),"Cam Lợi",""),IF(OR(M614=phu!$I$63,M614=phu!$I$64,M614=phu!$I$65,M614=phu!$I$66,M614=phu!$I$67,M614=phu!$I$68,M614=phu!$I$69,M614=phu!$I$70,M614=phu!$I$71),"Ba Ngòi",""),IF(OR(M614=phu!$I$72,M614=phu!$I$73,M614=phu!$I$74,M614=phu!$I$75,M614=phu!$I$76,M614=phu!$I$77,M614=phu!$I$78),"Cam Phước Đông",""),IF(OR(M614=phu!$I$79,M614=phu!$I$80,M614=phu!$I$81,M614=phu!$I$82,M614=phu!$I$83,M614=phu!$I$84),"Cam Thịnh Đông",""),IF(OR(M614=phu!$I$85,M614=phu!$I$86,M614=phu!$I$87,M614=phu!$I$88),"Cam Thịnh Tây",""),IF(OR(M614=phu!$I$89,M614=phu!$I$90),"Cam Lập",""),IF(OR(M614=phu!$I$91,M614=phu!$I$92,M614=phu!$I$93),"Cam Bình",""),IF(OR(M614=phu!$I$94,M614=phu!$I$95,M614=phu!$I$96,M614=phu!$I$97,M614=phu!$I$98,M614=phu!$I$99,M614=phu!$I$100),"Huyện khác",""),IF(OR(M614=phu!$I$101,M614=phu!$I$102),"Tỉnh khác",""))</f>
        <v/>
      </c>
      <c r="O614" s="814" t="str">
        <f t="shared" si="55"/>
        <v/>
      </c>
      <c r="P614" s="254"/>
      <c r="Q614" s="254"/>
      <c r="R614" s="254"/>
      <c r="S614" s="254"/>
      <c r="T614" s="254"/>
      <c r="U614" s="254"/>
      <c r="V614" s="254"/>
      <c r="W614" s="254"/>
      <c r="Y614" s="246" t="str">
        <f t="shared" si="56"/>
        <v/>
      </c>
      <c r="Z614" s="247" t="str">
        <f t="shared" si="54"/>
        <v/>
      </c>
      <c r="AA614" s="246" t="str">
        <f t="shared" si="57"/>
        <v/>
      </c>
    </row>
    <row r="615" spans="1:27" ht="18" customHeight="1" x14ac:dyDescent="0.25">
      <c r="A615" s="248" t="str">
        <f t="shared" si="58"/>
        <v/>
      </c>
      <c r="B615" s="249" t="str">
        <f t="shared" si="59"/>
        <v/>
      </c>
      <c r="C615" s="250"/>
      <c r="D615" s="251"/>
      <c r="E615" s="241"/>
      <c r="F615" s="252"/>
      <c r="G615" s="252"/>
      <c r="H615" s="253"/>
      <c r="I615" s="250"/>
      <c r="J615" s="250"/>
      <c r="K615" s="270"/>
      <c r="L615" s="250"/>
      <c r="M615" s="250"/>
      <c r="N615" s="553" t="str">
        <f>CONCATENATE(IF(OR(M615=phu!$I$1,M615=phu!$I$2,M615=phu!$I$3),"Cam Thành Nam",""),IF(OR(M615=phu!$I$4,M615=phu!$I$5,M615=phu!$I$6,M615=phu!$I$7,M615=phu!$I$8,M615=phu!$I$9,M615=phu!$I$10,M615=phu!$I$11,M615=phu!$I$12,M615=phu!$I$13,M615=phu!$I$14),"Cam Nghĩa",""),IF(OR(M615=phu!$I$15,M615=phu!$I$16,M615=phu!$I$17,M615=phu!$I$18,M615=phu!$I$19,M615=phu!$I$20,M615=phu!$I$21),"Cam Phúc Bắc",""),IF(OR(M615=phu!$I$22,M615=phu!$I$23,M615=phu!$I$24,M615=phu!$I$25),"Cam Phúc Nam",""),IF(OR(M615=phu!$I$26,M615=phu!$I$27,M615=phu!$I$28,M615=phu!$I$29,M615=phu!$I$30,M615=phu!$I$31),"Cam Phú",""),IF(OR(M615=phu!$I$32,M615=phu!$I$33,M615=phu!$I$34,M615=phu!$I$35,M615=phu!$I$36,M615=phu!$I$37),"Cam Lộc",""),IF(OR(M615=phu!$I$38,M615=phu!$I$39,M615=phu!$I$40,M615=phu!$I$41,M615=phu!$I$42,M615=phu!$I$43,M615=phu!$I$44),"Cam Thuận",""),IF(OR(M615=phu!$I$45,M615=phu!$I$46,M615=phu!$I$47,M615=phu!$I$48,M615=phu!$I$49,M615=phu!$I$50,M615=phu!$I$51,M615=phu!$I$52,M615=phu!$I$53),"Cam Linh",""),IF(OR(M615=phu!$I$54,M615=phu!$I$55,M615=phu!$I$56,M615=phu!$I$57,M615=phu!$I$58,M615=phu!$I$59,M615=phu!$I$60,M615=phu!$I$61,M615=phu!$I$62),"Cam Lợi",""),IF(OR(M615=phu!$I$63,M615=phu!$I$64,M615=phu!$I$65,M615=phu!$I$66,M615=phu!$I$67,M615=phu!$I$68,M615=phu!$I$69,M615=phu!$I$70,M615=phu!$I$71),"Ba Ngòi",""),IF(OR(M615=phu!$I$72,M615=phu!$I$73,M615=phu!$I$74,M615=phu!$I$75,M615=phu!$I$76,M615=phu!$I$77,M615=phu!$I$78),"Cam Phước Đông",""),IF(OR(M615=phu!$I$79,M615=phu!$I$80,M615=phu!$I$81,M615=phu!$I$82,M615=phu!$I$83,M615=phu!$I$84),"Cam Thịnh Đông",""),IF(OR(M615=phu!$I$85,M615=phu!$I$86,M615=phu!$I$87,M615=phu!$I$88),"Cam Thịnh Tây",""),IF(OR(M615=phu!$I$89,M615=phu!$I$90),"Cam Lập",""),IF(OR(M615=phu!$I$91,M615=phu!$I$92,M615=phu!$I$93),"Cam Bình",""),IF(OR(M615=phu!$I$94,M615=phu!$I$95,M615=phu!$I$96,M615=phu!$I$97,M615=phu!$I$98,M615=phu!$I$99,M615=phu!$I$100),"Huyện khác",""),IF(OR(M615=phu!$I$101,M615=phu!$I$102),"Tỉnh khác",""))</f>
        <v/>
      </c>
      <c r="O615" s="814" t="str">
        <f t="shared" si="55"/>
        <v/>
      </c>
      <c r="P615" s="254"/>
      <c r="Q615" s="254"/>
      <c r="R615" s="254"/>
      <c r="S615" s="254"/>
      <c r="T615" s="254"/>
      <c r="U615" s="254"/>
      <c r="V615" s="254"/>
      <c r="W615" s="254"/>
      <c r="Y615" s="246" t="str">
        <f t="shared" si="56"/>
        <v/>
      </c>
      <c r="Z615" s="247" t="str">
        <f t="shared" si="54"/>
        <v/>
      </c>
      <c r="AA615" s="246" t="str">
        <f t="shared" si="57"/>
        <v/>
      </c>
    </row>
    <row r="616" spans="1:27" ht="18" customHeight="1" x14ac:dyDescent="0.25">
      <c r="A616" s="248" t="str">
        <f t="shared" si="58"/>
        <v/>
      </c>
      <c r="B616" s="249" t="str">
        <f t="shared" si="59"/>
        <v/>
      </c>
      <c r="C616" s="250"/>
      <c r="D616" s="251"/>
      <c r="E616" s="241"/>
      <c r="F616" s="252"/>
      <c r="G616" s="252"/>
      <c r="H616" s="253"/>
      <c r="I616" s="250"/>
      <c r="J616" s="250"/>
      <c r="K616" s="270"/>
      <c r="L616" s="250"/>
      <c r="M616" s="250"/>
      <c r="N616" s="553" t="str">
        <f>CONCATENATE(IF(OR(M616=phu!$I$1,M616=phu!$I$2,M616=phu!$I$3),"Cam Thành Nam",""),IF(OR(M616=phu!$I$4,M616=phu!$I$5,M616=phu!$I$6,M616=phu!$I$7,M616=phu!$I$8,M616=phu!$I$9,M616=phu!$I$10,M616=phu!$I$11,M616=phu!$I$12,M616=phu!$I$13,M616=phu!$I$14),"Cam Nghĩa",""),IF(OR(M616=phu!$I$15,M616=phu!$I$16,M616=phu!$I$17,M616=phu!$I$18,M616=phu!$I$19,M616=phu!$I$20,M616=phu!$I$21),"Cam Phúc Bắc",""),IF(OR(M616=phu!$I$22,M616=phu!$I$23,M616=phu!$I$24,M616=phu!$I$25),"Cam Phúc Nam",""),IF(OR(M616=phu!$I$26,M616=phu!$I$27,M616=phu!$I$28,M616=phu!$I$29,M616=phu!$I$30,M616=phu!$I$31),"Cam Phú",""),IF(OR(M616=phu!$I$32,M616=phu!$I$33,M616=phu!$I$34,M616=phu!$I$35,M616=phu!$I$36,M616=phu!$I$37),"Cam Lộc",""),IF(OR(M616=phu!$I$38,M616=phu!$I$39,M616=phu!$I$40,M616=phu!$I$41,M616=phu!$I$42,M616=phu!$I$43,M616=phu!$I$44),"Cam Thuận",""),IF(OR(M616=phu!$I$45,M616=phu!$I$46,M616=phu!$I$47,M616=phu!$I$48,M616=phu!$I$49,M616=phu!$I$50,M616=phu!$I$51,M616=phu!$I$52,M616=phu!$I$53),"Cam Linh",""),IF(OR(M616=phu!$I$54,M616=phu!$I$55,M616=phu!$I$56,M616=phu!$I$57,M616=phu!$I$58,M616=phu!$I$59,M616=phu!$I$60,M616=phu!$I$61,M616=phu!$I$62),"Cam Lợi",""),IF(OR(M616=phu!$I$63,M616=phu!$I$64,M616=phu!$I$65,M616=phu!$I$66,M616=phu!$I$67,M616=phu!$I$68,M616=phu!$I$69,M616=phu!$I$70,M616=phu!$I$71),"Ba Ngòi",""),IF(OR(M616=phu!$I$72,M616=phu!$I$73,M616=phu!$I$74,M616=phu!$I$75,M616=phu!$I$76,M616=phu!$I$77,M616=phu!$I$78),"Cam Phước Đông",""),IF(OR(M616=phu!$I$79,M616=phu!$I$80,M616=phu!$I$81,M616=phu!$I$82,M616=phu!$I$83,M616=phu!$I$84),"Cam Thịnh Đông",""),IF(OR(M616=phu!$I$85,M616=phu!$I$86,M616=phu!$I$87,M616=phu!$I$88),"Cam Thịnh Tây",""),IF(OR(M616=phu!$I$89,M616=phu!$I$90),"Cam Lập",""),IF(OR(M616=phu!$I$91,M616=phu!$I$92,M616=phu!$I$93),"Cam Bình",""),IF(OR(M616=phu!$I$94,M616=phu!$I$95,M616=phu!$I$96,M616=phu!$I$97,M616=phu!$I$98,M616=phu!$I$99,M616=phu!$I$100),"Huyện khác",""),IF(OR(M616=phu!$I$101,M616=phu!$I$102),"Tỉnh khác",""))</f>
        <v/>
      </c>
      <c r="O616" s="814" t="str">
        <f t="shared" si="55"/>
        <v/>
      </c>
      <c r="P616" s="254"/>
      <c r="Q616" s="254"/>
      <c r="R616" s="254"/>
      <c r="S616" s="254"/>
      <c r="T616" s="254"/>
      <c r="U616" s="254"/>
      <c r="V616" s="254"/>
      <c r="W616" s="254"/>
      <c r="Y616" s="246" t="str">
        <f t="shared" si="56"/>
        <v/>
      </c>
      <c r="Z616" s="247" t="str">
        <f t="shared" si="54"/>
        <v/>
      </c>
      <c r="AA616" s="246" t="str">
        <f t="shared" si="57"/>
        <v/>
      </c>
    </row>
    <row r="617" spans="1:27" ht="18" customHeight="1" x14ac:dyDescent="0.25">
      <c r="A617" s="248" t="str">
        <f t="shared" si="58"/>
        <v/>
      </c>
      <c r="B617" s="249" t="str">
        <f t="shared" si="59"/>
        <v/>
      </c>
      <c r="C617" s="250"/>
      <c r="D617" s="251"/>
      <c r="E617" s="241"/>
      <c r="F617" s="252"/>
      <c r="G617" s="252"/>
      <c r="H617" s="253"/>
      <c r="I617" s="250"/>
      <c r="J617" s="250"/>
      <c r="K617" s="270"/>
      <c r="L617" s="250"/>
      <c r="M617" s="250"/>
      <c r="N617" s="553" t="str">
        <f>CONCATENATE(IF(OR(M617=phu!$I$1,M617=phu!$I$2,M617=phu!$I$3),"Cam Thành Nam",""),IF(OR(M617=phu!$I$4,M617=phu!$I$5,M617=phu!$I$6,M617=phu!$I$7,M617=phu!$I$8,M617=phu!$I$9,M617=phu!$I$10,M617=phu!$I$11,M617=phu!$I$12,M617=phu!$I$13,M617=phu!$I$14),"Cam Nghĩa",""),IF(OR(M617=phu!$I$15,M617=phu!$I$16,M617=phu!$I$17,M617=phu!$I$18,M617=phu!$I$19,M617=phu!$I$20,M617=phu!$I$21),"Cam Phúc Bắc",""),IF(OR(M617=phu!$I$22,M617=phu!$I$23,M617=phu!$I$24,M617=phu!$I$25),"Cam Phúc Nam",""),IF(OR(M617=phu!$I$26,M617=phu!$I$27,M617=phu!$I$28,M617=phu!$I$29,M617=phu!$I$30,M617=phu!$I$31),"Cam Phú",""),IF(OR(M617=phu!$I$32,M617=phu!$I$33,M617=phu!$I$34,M617=phu!$I$35,M617=phu!$I$36,M617=phu!$I$37),"Cam Lộc",""),IF(OR(M617=phu!$I$38,M617=phu!$I$39,M617=phu!$I$40,M617=phu!$I$41,M617=phu!$I$42,M617=phu!$I$43,M617=phu!$I$44),"Cam Thuận",""),IF(OR(M617=phu!$I$45,M617=phu!$I$46,M617=phu!$I$47,M617=phu!$I$48,M617=phu!$I$49,M617=phu!$I$50,M617=phu!$I$51,M617=phu!$I$52,M617=phu!$I$53),"Cam Linh",""),IF(OR(M617=phu!$I$54,M617=phu!$I$55,M617=phu!$I$56,M617=phu!$I$57,M617=phu!$I$58,M617=phu!$I$59,M617=phu!$I$60,M617=phu!$I$61,M617=phu!$I$62),"Cam Lợi",""),IF(OR(M617=phu!$I$63,M617=phu!$I$64,M617=phu!$I$65,M617=phu!$I$66,M617=phu!$I$67,M617=phu!$I$68,M617=phu!$I$69,M617=phu!$I$70,M617=phu!$I$71),"Ba Ngòi",""),IF(OR(M617=phu!$I$72,M617=phu!$I$73,M617=phu!$I$74,M617=phu!$I$75,M617=phu!$I$76,M617=phu!$I$77,M617=phu!$I$78),"Cam Phước Đông",""),IF(OR(M617=phu!$I$79,M617=phu!$I$80,M617=phu!$I$81,M617=phu!$I$82,M617=phu!$I$83,M617=phu!$I$84),"Cam Thịnh Đông",""),IF(OR(M617=phu!$I$85,M617=phu!$I$86,M617=phu!$I$87,M617=phu!$I$88),"Cam Thịnh Tây",""),IF(OR(M617=phu!$I$89,M617=phu!$I$90),"Cam Lập",""),IF(OR(M617=phu!$I$91,M617=phu!$I$92,M617=phu!$I$93),"Cam Bình",""),IF(OR(M617=phu!$I$94,M617=phu!$I$95,M617=phu!$I$96,M617=phu!$I$97,M617=phu!$I$98,M617=phu!$I$99,M617=phu!$I$100),"Huyện khác",""),IF(OR(M617=phu!$I$101,M617=phu!$I$102),"Tỉnh khác",""))</f>
        <v/>
      </c>
      <c r="O617" s="814" t="str">
        <f t="shared" si="55"/>
        <v/>
      </c>
      <c r="P617" s="254"/>
      <c r="Q617" s="254"/>
      <c r="R617" s="254"/>
      <c r="S617" s="254"/>
      <c r="T617" s="254"/>
      <c r="U617" s="254"/>
      <c r="V617" s="254"/>
      <c r="W617" s="254"/>
      <c r="Y617" s="246" t="str">
        <f t="shared" si="56"/>
        <v/>
      </c>
      <c r="Z617" s="247" t="str">
        <f t="shared" si="54"/>
        <v/>
      </c>
      <c r="AA617" s="246" t="str">
        <f t="shared" si="57"/>
        <v/>
      </c>
    </row>
    <row r="618" spans="1:27" ht="18" customHeight="1" x14ac:dyDescent="0.25">
      <c r="A618" s="248" t="str">
        <f t="shared" si="58"/>
        <v/>
      </c>
      <c r="B618" s="249" t="str">
        <f t="shared" si="59"/>
        <v/>
      </c>
      <c r="C618" s="250"/>
      <c r="D618" s="251"/>
      <c r="E618" s="241"/>
      <c r="F618" s="252"/>
      <c r="G618" s="252"/>
      <c r="H618" s="253"/>
      <c r="I618" s="250"/>
      <c r="J618" s="250"/>
      <c r="K618" s="270"/>
      <c r="L618" s="250"/>
      <c r="M618" s="250"/>
      <c r="N618" s="553" t="str">
        <f>CONCATENATE(IF(OR(M618=phu!$I$1,M618=phu!$I$2,M618=phu!$I$3),"Cam Thành Nam",""),IF(OR(M618=phu!$I$4,M618=phu!$I$5,M618=phu!$I$6,M618=phu!$I$7,M618=phu!$I$8,M618=phu!$I$9,M618=phu!$I$10,M618=phu!$I$11,M618=phu!$I$12,M618=phu!$I$13,M618=phu!$I$14),"Cam Nghĩa",""),IF(OR(M618=phu!$I$15,M618=phu!$I$16,M618=phu!$I$17,M618=phu!$I$18,M618=phu!$I$19,M618=phu!$I$20,M618=phu!$I$21),"Cam Phúc Bắc",""),IF(OR(M618=phu!$I$22,M618=phu!$I$23,M618=phu!$I$24,M618=phu!$I$25),"Cam Phúc Nam",""),IF(OR(M618=phu!$I$26,M618=phu!$I$27,M618=phu!$I$28,M618=phu!$I$29,M618=phu!$I$30,M618=phu!$I$31),"Cam Phú",""),IF(OR(M618=phu!$I$32,M618=phu!$I$33,M618=phu!$I$34,M618=phu!$I$35,M618=phu!$I$36,M618=phu!$I$37),"Cam Lộc",""),IF(OR(M618=phu!$I$38,M618=phu!$I$39,M618=phu!$I$40,M618=phu!$I$41,M618=phu!$I$42,M618=phu!$I$43,M618=phu!$I$44),"Cam Thuận",""),IF(OR(M618=phu!$I$45,M618=phu!$I$46,M618=phu!$I$47,M618=phu!$I$48,M618=phu!$I$49,M618=phu!$I$50,M618=phu!$I$51,M618=phu!$I$52,M618=phu!$I$53),"Cam Linh",""),IF(OR(M618=phu!$I$54,M618=phu!$I$55,M618=phu!$I$56,M618=phu!$I$57,M618=phu!$I$58,M618=phu!$I$59,M618=phu!$I$60,M618=phu!$I$61,M618=phu!$I$62),"Cam Lợi",""),IF(OR(M618=phu!$I$63,M618=phu!$I$64,M618=phu!$I$65,M618=phu!$I$66,M618=phu!$I$67,M618=phu!$I$68,M618=phu!$I$69,M618=phu!$I$70,M618=phu!$I$71),"Ba Ngòi",""),IF(OR(M618=phu!$I$72,M618=phu!$I$73,M618=phu!$I$74,M618=phu!$I$75,M618=phu!$I$76,M618=phu!$I$77,M618=phu!$I$78),"Cam Phước Đông",""),IF(OR(M618=phu!$I$79,M618=phu!$I$80,M618=phu!$I$81,M618=phu!$I$82,M618=phu!$I$83,M618=phu!$I$84),"Cam Thịnh Đông",""),IF(OR(M618=phu!$I$85,M618=phu!$I$86,M618=phu!$I$87,M618=phu!$I$88),"Cam Thịnh Tây",""),IF(OR(M618=phu!$I$89,M618=phu!$I$90),"Cam Lập",""),IF(OR(M618=phu!$I$91,M618=phu!$I$92,M618=phu!$I$93),"Cam Bình",""),IF(OR(M618=phu!$I$94,M618=phu!$I$95,M618=phu!$I$96,M618=phu!$I$97,M618=phu!$I$98,M618=phu!$I$99,M618=phu!$I$100),"Huyện khác",""),IF(OR(M618=phu!$I$101,M618=phu!$I$102),"Tỉnh khác",""))</f>
        <v/>
      </c>
      <c r="O618" s="814" t="str">
        <f t="shared" si="55"/>
        <v/>
      </c>
      <c r="P618" s="254"/>
      <c r="Q618" s="254"/>
      <c r="R618" s="254"/>
      <c r="S618" s="254"/>
      <c r="T618" s="254"/>
      <c r="U618" s="254"/>
      <c r="V618" s="254"/>
      <c r="W618" s="254"/>
      <c r="Y618" s="246" t="str">
        <f t="shared" si="56"/>
        <v/>
      </c>
      <c r="Z618" s="247" t="str">
        <f t="shared" si="54"/>
        <v/>
      </c>
      <c r="AA618" s="246" t="str">
        <f t="shared" si="57"/>
        <v/>
      </c>
    </row>
    <row r="619" spans="1:27" ht="18" customHeight="1" x14ac:dyDescent="0.25">
      <c r="A619" s="248" t="str">
        <f t="shared" si="58"/>
        <v/>
      </c>
      <c r="B619" s="249" t="str">
        <f t="shared" si="59"/>
        <v/>
      </c>
      <c r="C619" s="250"/>
      <c r="D619" s="251"/>
      <c r="E619" s="241"/>
      <c r="F619" s="252"/>
      <c r="G619" s="252"/>
      <c r="H619" s="253"/>
      <c r="I619" s="250"/>
      <c r="J619" s="250"/>
      <c r="K619" s="270"/>
      <c r="L619" s="250"/>
      <c r="M619" s="250"/>
      <c r="N619" s="553" t="str">
        <f>CONCATENATE(IF(OR(M619=phu!$I$1,M619=phu!$I$2,M619=phu!$I$3),"Cam Thành Nam",""),IF(OR(M619=phu!$I$4,M619=phu!$I$5,M619=phu!$I$6,M619=phu!$I$7,M619=phu!$I$8,M619=phu!$I$9,M619=phu!$I$10,M619=phu!$I$11,M619=phu!$I$12,M619=phu!$I$13,M619=phu!$I$14),"Cam Nghĩa",""),IF(OR(M619=phu!$I$15,M619=phu!$I$16,M619=phu!$I$17,M619=phu!$I$18,M619=phu!$I$19,M619=phu!$I$20,M619=phu!$I$21),"Cam Phúc Bắc",""),IF(OR(M619=phu!$I$22,M619=phu!$I$23,M619=phu!$I$24,M619=phu!$I$25),"Cam Phúc Nam",""),IF(OR(M619=phu!$I$26,M619=phu!$I$27,M619=phu!$I$28,M619=phu!$I$29,M619=phu!$I$30,M619=phu!$I$31),"Cam Phú",""),IF(OR(M619=phu!$I$32,M619=phu!$I$33,M619=phu!$I$34,M619=phu!$I$35,M619=phu!$I$36,M619=phu!$I$37),"Cam Lộc",""),IF(OR(M619=phu!$I$38,M619=phu!$I$39,M619=phu!$I$40,M619=phu!$I$41,M619=phu!$I$42,M619=phu!$I$43,M619=phu!$I$44),"Cam Thuận",""),IF(OR(M619=phu!$I$45,M619=phu!$I$46,M619=phu!$I$47,M619=phu!$I$48,M619=phu!$I$49,M619=phu!$I$50,M619=phu!$I$51,M619=phu!$I$52,M619=phu!$I$53),"Cam Linh",""),IF(OR(M619=phu!$I$54,M619=phu!$I$55,M619=phu!$I$56,M619=phu!$I$57,M619=phu!$I$58,M619=phu!$I$59,M619=phu!$I$60,M619=phu!$I$61,M619=phu!$I$62),"Cam Lợi",""),IF(OR(M619=phu!$I$63,M619=phu!$I$64,M619=phu!$I$65,M619=phu!$I$66,M619=phu!$I$67,M619=phu!$I$68,M619=phu!$I$69,M619=phu!$I$70,M619=phu!$I$71),"Ba Ngòi",""),IF(OR(M619=phu!$I$72,M619=phu!$I$73,M619=phu!$I$74,M619=phu!$I$75,M619=phu!$I$76,M619=phu!$I$77,M619=phu!$I$78),"Cam Phước Đông",""),IF(OR(M619=phu!$I$79,M619=phu!$I$80,M619=phu!$I$81,M619=phu!$I$82,M619=phu!$I$83,M619=phu!$I$84),"Cam Thịnh Đông",""),IF(OR(M619=phu!$I$85,M619=phu!$I$86,M619=phu!$I$87,M619=phu!$I$88),"Cam Thịnh Tây",""),IF(OR(M619=phu!$I$89,M619=phu!$I$90),"Cam Lập",""),IF(OR(M619=phu!$I$91,M619=phu!$I$92,M619=phu!$I$93),"Cam Bình",""),IF(OR(M619=phu!$I$94,M619=phu!$I$95,M619=phu!$I$96,M619=phu!$I$97,M619=phu!$I$98,M619=phu!$I$99,M619=phu!$I$100),"Huyện khác",""),IF(OR(M619=phu!$I$101,M619=phu!$I$102),"Tỉnh khác",""))</f>
        <v/>
      </c>
      <c r="O619" s="814" t="str">
        <f t="shared" si="55"/>
        <v/>
      </c>
      <c r="P619" s="254"/>
      <c r="Q619" s="254"/>
      <c r="R619" s="254"/>
      <c r="S619" s="254"/>
      <c r="T619" s="254"/>
      <c r="U619" s="254"/>
      <c r="V619" s="254"/>
      <c r="W619" s="254"/>
      <c r="Y619" s="246" t="str">
        <f t="shared" si="56"/>
        <v/>
      </c>
      <c r="Z619" s="247" t="str">
        <f t="shared" si="54"/>
        <v/>
      </c>
      <c r="AA619" s="246" t="str">
        <f t="shared" si="57"/>
        <v/>
      </c>
    </row>
    <row r="620" spans="1:27" ht="18" customHeight="1" x14ac:dyDescent="0.25">
      <c r="A620" s="248" t="str">
        <f t="shared" si="58"/>
        <v/>
      </c>
      <c r="B620" s="249" t="str">
        <f t="shared" si="59"/>
        <v/>
      </c>
      <c r="C620" s="250"/>
      <c r="D620" s="251"/>
      <c r="E620" s="241"/>
      <c r="F620" s="252"/>
      <c r="G620" s="252"/>
      <c r="H620" s="253"/>
      <c r="I620" s="250"/>
      <c r="J620" s="250"/>
      <c r="K620" s="270"/>
      <c r="L620" s="250"/>
      <c r="M620" s="250"/>
      <c r="N620" s="553" t="str">
        <f>CONCATENATE(IF(OR(M620=phu!$I$1,M620=phu!$I$2,M620=phu!$I$3),"Cam Thành Nam",""),IF(OR(M620=phu!$I$4,M620=phu!$I$5,M620=phu!$I$6,M620=phu!$I$7,M620=phu!$I$8,M620=phu!$I$9,M620=phu!$I$10,M620=phu!$I$11,M620=phu!$I$12,M620=phu!$I$13,M620=phu!$I$14),"Cam Nghĩa",""),IF(OR(M620=phu!$I$15,M620=phu!$I$16,M620=phu!$I$17,M620=phu!$I$18,M620=phu!$I$19,M620=phu!$I$20,M620=phu!$I$21),"Cam Phúc Bắc",""),IF(OR(M620=phu!$I$22,M620=phu!$I$23,M620=phu!$I$24,M620=phu!$I$25),"Cam Phúc Nam",""),IF(OR(M620=phu!$I$26,M620=phu!$I$27,M620=phu!$I$28,M620=phu!$I$29,M620=phu!$I$30,M620=phu!$I$31),"Cam Phú",""),IF(OR(M620=phu!$I$32,M620=phu!$I$33,M620=phu!$I$34,M620=phu!$I$35,M620=phu!$I$36,M620=phu!$I$37),"Cam Lộc",""),IF(OR(M620=phu!$I$38,M620=phu!$I$39,M620=phu!$I$40,M620=phu!$I$41,M620=phu!$I$42,M620=phu!$I$43,M620=phu!$I$44),"Cam Thuận",""),IF(OR(M620=phu!$I$45,M620=phu!$I$46,M620=phu!$I$47,M620=phu!$I$48,M620=phu!$I$49,M620=phu!$I$50,M620=phu!$I$51,M620=phu!$I$52,M620=phu!$I$53),"Cam Linh",""),IF(OR(M620=phu!$I$54,M620=phu!$I$55,M620=phu!$I$56,M620=phu!$I$57,M620=phu!$I$58,M620=phu!$I$59,M620=phu!$I$60,M620=phu!$I$61,M620=phu!$I$62),"Cam Lợi",""),IF(OR(M620=phu!$I$63,M620=phu!$I$64,M620=phu!$I$65,M620=phu!$I$66,M620=phu!$I$67,M620=phu!$I$68,M620=phu!$I$69,M620=phu!$I$70,M620=phu!$I$71),"Ba Ngòi",""),IF(OR(M620=phu!$I$72,M620=phu!$I$73,M620=phu!$I$74,M620=phu!$I$75,M620=phu!$I$76,M620=phu!$I$77,M620=phu!$I$78),"Cam Phước Đông",""),IF(OR(M620=phu!$I$79,M620=phu!$I$80,M620=phu!$I$81,M620=phu!$I$82,M620=phu!$I$83,M620=phu!$I$84),"Cam Thịnh Đông",""),IF(OR(M620=phu!$I$85,M620=phu!$I$86,M620=phu!$I$87,M620=phu!$I$88),"Cam Thịnh Tây",""),IF(OR(M620=phu!$I$89,M620=phu!$I$90),"Cam Lập",""),IF(OR(M620=phu!$I$91,M620=phu!$I$92,M620=phu!$I$93),"Cam Bình",""),IF(OR(M620=phu!$I$94,M620=phu!$I$95,M620=phu!$I$96,M620=phu!$I$97,M620=phu!$I$98,M620=phu!$I$99,M620=phu!$I$100),"Huyện khác",""),IF(OR(M620=phu!$I$101,M620=phu!$I$102),"Tỉnh khác",""))</f>
        <v/>
      </c>
      <c r="O620" s="814" t="str">
        <f t="shared" si="55"/>
        <v/>
      </c>
      <c r="P620" s="254"/>
      <c r="Q620" s="254"/>
      <c r="R620" s="254"/>
      <c r="S620" s="254"/>
      <c r="T620" s="254"/>
      <c r="U620" s="254"/>
      <c r="V620" s="254"/>
      <c r="W620" s="254"/>
      <c r="Y620" s="246" t="str">
        <f t="shared" si="56"/>
        <v/>
      </c>
      <c r="Z620" s="247" t="str">
        <f t="shared" si="54"/>
        <v/>
      </c>
      <c r="AA620" s="246" t="str">
        <f t="shared" si="57"/>
        <v/>
      </c>
    </row>
    <row r="621" spans="1:27" ht="18" customHeight="1" x14ac:dyDescent="0.25">
      <c r="A621" s="248" t="str">
        <f t="shared" si="58"/>
        <v/>
      </c>
      <c r="B621" s="249" t="str">
        <f t="shared" si="59"/>
        <v/>
      </c>
      <c r="C621" s="250"/>
      <c r="D621" s="251"/>
      <c r="E621" s="241"/>
      <c r="F621" s="252"/>
      <c r="G621" s="252"/>
      <c r="H621" s="253"/>
      <c r="I621" s="250"/>
      <c r="J621" s="250"/>
      <c r="K621" s="270"/>
      <c r="L621" s="250"/>
      <c r="M621" s="250"/>
      <c r="N621" s="553" t="str">
        <f>CONCATENATE(IF(OR(M621=phu!$I$1,M621=phu!$I$2,M621=phu!$I$3),"Cam Thành Nam",""),IF(OR(M621=phu!$I$4,M621=phu!$I$5,M621=phu!$I$6,M621=phu!$I$7,M621=phu!$I$8,M621=phu!$I$9,M621=phu!$I$10,M621=phu!$I$11,M621=phu!$I$12,M621=phu!$I$13,M621=phu!$I$14),"Cam Nghĩa",""),IF(OR(M621=phu!$I$15,M621=phu!$I$16,M621=phu!$I$17,M621=phu!$I$18,M621=phu!$I$19,M621=phu!$I$20,M621=phu!$I$21),"Cam Phúc Bắc",""),IF(OR(M621=phu!$I$22,M621=phu!$I$23,M621=phu!$I$24,M621=phu!$I$25),"Cam Phúc Nam",""),IF(OR(M621=phu!$I$26,M621=phu!$I$27,M621=phu!$I$28,M621=phu!$I$29,M621=phu!$I$30,M621=phu!$I$31),"Cam Phú",""),IF(OR(M621=phu!$I$32,M621=phu!$I$33,M621=phu!$I$34,M621=phu!$I$35,M621=phu!$I$36,M621=phu!$I$37),"Cam Lộc",""),IF(OR(M621=phu!$I$38,M621=phu!$I$39,M621=phu!$I$40,M621=phu!$I$41,M621=phu!$I$42,M621=phu!$I$43,M621=phu!$I$44),"Cam Thuận",""),IF(OR(M621=phu!$I$45,M621=phu!$I$46,M621=phu!$I$47,M621=phu!$I$48,M621=phu!$I$49,M621=phu!$I$50,M621=phu!$I$51,M621=phu!$I$52,M621=phu!$I$53),"Cam Linh",""),IF(OR(M621=phu!$I$54,M621=phu!$I$55,M621=phu!$I$56,M621=phu!$I$57,M621=phu!$I$58,M621=phu!$I$59,M621=phu!$I$60,M621=phu!$I$61,M621=phu!$I$62),"Cam Lợi",""),IF(OR(M621=phu!$I$63,M621=phu!$I$64,M621=phu!$I$65,M621=phu!$I$66,M621=phu!$I$67,M621=phu!$I$68,M621=phu!$I$69,M621=phu!$I$70,M621=phu!$I$71),"Ba Ngòi",""),IF(OR(M621=phu!$I$72,M621=phu!$I$73,M621=phu!$I$74,M621=phu!$I$75,M621=phu!$I$76,M621=phu!$I$77,M621=phu!$I$78),"Cam Phước Đông",""),IF(OR(M621=phu!$I$79,M621=phu!$I$80,M621=phu!$I$81,M621=phu!$I$82,M621=phu!$I$83,M621=phu!$I$84),"Cam Thịnh Đông",""),IF(OR(M621=phu!$I$85,M621=phu!$I$86,M621=phu!$I$87,M621=phu!$I$88),"Cam Thịnh Tây",""),IF(OR(M621=phu!$I$89,M621=phu!$I$90),"Cam Lập",""),IF(OR(M621=phu!$I$91,M621=phu!$I$92,M621=phu!$I$93),"Cam Bình",""),IF(OR(M621=phu!$I$94,M621=phu!$I$95,M621=phu!$I$96,M621=phu!$I$97,M621=phu!$I$98,M621=phu!$I$99,M621=phu!$I$100),"Huyện khác",""),IF(OR(M621=phu!$I$101,M621=phu!$I$102),"Tỉnh khác",""))</f>
        <v/>
      </c>
      <c r="O621" s="814" t="str">
        <f t="shared" si="55"/>
        <v/>
      </c>
      <c r="P621" s="254"/>
      <c r="Q621" s="254"/>
      <c r="R621" s="254"/>
      <c r="S621" s="254"/>
      <c r="T621" s="254"/>
      <c r="U621" s="254"/>
      <c r="V621" s="254"/>
      <c r="W621" s="254"/>
      <c r="Y621" s="246" t="str">
        <f t="shared" si="56"/>
        <v/>
      </c>
      <c r="Z621" s="247" t="str">
        <f t="shared" si="54"/>
        <v/>
      </c>
      <c r="AA621" s="246" t="str">
        <f t="shared" si="57"/>
        <v/>
      </c>
    </row>
    <row r="622" spans="1:27" ht="18" customHeight="1" x14ac:dyDescent="0.25">
      <c r="A622" s="248" t="str">
        <f t="shared" si="58"/>
        <v/>
      </c>
      <c r="B622" s="249" t="str">
        <f t="shared" si="59"/>
        <v/>
      </c>
      <c r="C622" s="250"/>
      <c r="D622" s="251"/>
      <c r="E622" s="241"/>
      <c r="F622" s="252"/>
      <c r="G622" s="252"/>
      <c r="H622" s="253"/>
      <c r="I622" s="250"/>
      <c r="J622" s="250"/>
      <c r="K622" s="270"/>
      <c r="L622" s="250"/>
      <c r="M622" s="250"/>
      <c r="N622" s="553" t="str">
        <f>CONCATENATE(IF(OR(M622=phu!$I$1,M622=phu!$I$2,M622=phu!$I$3),"Cam Thành Nam",""),IF(OR(M622=phu!$I$4,M622=phu!$I$5,M622=phu!$I$6,M622=phu!$I$7,M622=phu!$I$8,M622=phu!$I$9,M622=phu!$I$10,M622=phu!$I$11,M622=phu!$I$12,M622=phu!$I$13,M622=phu!$I$14),"Cam Nghĩa",""),IF(OR(M622=phu!$I$15,M622=phu!$I$16,M622=phu!$I$17,M622=phu!$I$18,M622=phu!$I$19,M622=phu!$I$20,M622=phu!$I$21),"Cam Phúc Bắc",""),IF(OR(M622=phu!$I$22,M622=phu!$I$23,M622=phu!$I$24,M622=phu!$I$25),"Cam Phúc Nam",""),IF(OR(M622=phu!$I$26,M622=phu!$I$27,M622=phu!$I$28,M622=phu!$I$29,M622=phu!$I$30,M622=phu!$I$31),"Cam Phú",""),IF(OR(M622=phu!$I$32,M622=phu!$I$33,M622=phu!$I$34,M622=phu!$I$35,M622=phu!$I$36,M622=phu!$I$37),"Cam Lộc",""),IF(OR(M622=phu!$I$38,M622=phu!$I$39,M622=phu!$I$40,M622=phu!$I$41,M622=phu!$I$42,M622=phu!$I$43,M622=phu!$I$44),"Cam Thuận",""),IF(OR(M622=phu!$I$45,M622=phu!$I$46,M622=phu!$I$47,M622=phu!$I$48,M622=phu!$I$49,M622=phu!$I$50,M622=phu!$I$51,M622=phu!$I$52,M622=phu!$I$53),"Cam Linh",""),IF(OR(M622=phu!$I$54,M622=phu!$I$55,M622=phu!$I$56,M622=phu!$I$57,M622=phu!$I$58,M622=phu!$I$59,M622=phu!$I$60,M622=phu!$I$61,M622=phu!$I$62),"Cam Lợi",""),IF(OR(M622=phu!$I$63,M622=phu!$I$64,M622=phu!$I$65,M622=phu!$I$66,M622=phu!$I$67,M622=phu!$I$68,M622=phu!$I$69,M622=phu!$I$70,M622=phu!$I$71),"Ba Ngòi",""),IF(OR(M622=phu!$I$72,M622=phu!$I$73,M622=phu!$I$74,M622=phu!$I$75,M622=phu!$I$76,M622=phu!$I$77,M622=phu!$I$78),"Cam Phước Đông",""),IF(OR(M622=phu!$I$79,M622=phu!$I$80,M622=phu!$I$81,M622=phu!$I$82,M622=phu!$I$83,M622=phu!$I$84),"Cam Thịnh Đông",""),IF(OR(M622=phu!$I$85,M622=phu!$I$86,M622=phu!$I$87,M622=phu!$I$88),"Cam Thịnh Tây",""),IF(OR(M622=phu!$I$89,M622=phu!$I$90),"Cam Lập",""),IF(OR(M622=phu!$I$91,M622=phu!$I$92,M622=phu!$I$93),"Cam Bình",""),IF(OR(M622=phu!$I$94,M622=phu!$I$95,M622=phu!$I$96,M622=phu!$I$97,M622=phu!$I$98,M622=phu!$I$99,M622=phu!$I$100),"Huyện khác",""),IF(OR(M622=phu!$I$101,M622=phu!$I$102),"Tỉnh khác",""))</f>
        <v/>
      </c>
      <c r="O622" s="814" t="str">
        <f t="shared" si="55"/>
        <v/>
      </c>
      <c r="P622" s="254"/>
      <c r="Q622" s="254"/>
      <c r="R622" s="254"/>
      <c r="S622" s="254"/>
      <c r="T622" s="254"/>
      <c r="U622" s="254"/>
      <c r="V622" s="254"/>
      <c r="W622" s="254"/>
      <c r="Y622" s="246" t="str">
        <f t="shared" si="56"/>
        <v/>
      </c>
      <c r="Z622" s="247" t="str">
        <f t="shared" si="54"/>
        <v/>
      </c>
      <c r="AA622" s="246" t="str">
        <f t="shared" si="57"/>
        <v/>
      </c>
    </row>
    <row r="623" spans="1:27" ht="18" customHeight="1" x14ac:dyDescent="0.25">
      <c r="A623" s="248" t="str">
        <f t="shared" si="58"/>
        <v/>
      </c>
      <c r="B623" s="249" t="str">
        <f t="shared" si="59"/>
        <v/>
      </c>
      <c r="C623" s="250"/>
      <c r="D623" s="251"/>
      <c r="E623" s="241"/>
      <c r="F623" s="252"/>
      <c r="G623" s="252"/>
      <c r="H623" s="253"/>
      <c r="I623" s="250"/>
      <c r="J623" s="250"/>
      <c r="K623" s="270"/>
      <c r="L623" s="250"/>
      <c r="M623" s="250"/>
      <c r="N623" s="553" t="str">
        <f>CONCATENATE(IF(OR(M623=phu!$I$1,M623=phu!$I$2,M623=phu!$I$3),"Cam Thành Nam",""),IF(OR(M623=phu!$I$4,M623=phu!$I$5,M623=phu!$I$6,M623=phu!$I$7,M623=phu!$I$8,M623=phu!$I$9,M623=phu!$I$10,M623=phu!$I$11,M623=phu!$I$12,M623=phu!$I$13,M623=phu!$I$14),"Cam Nghĩa",""),IF(OR(M623=phu!$I$15,M623=phu!$I$16,M623=phu!$I$17,M623=phu!$I$18,M623=phu!$I$19,M623=phu!$I$20,M623=phu!$I$21),"Cam Phúc Bắc",""),IF(OR(M623=phu!$I$22,M623=phu!$I$23,M623=phu!$I$24,M623=phu!$I$25),"Cam Phúc Nam",""),IF(OR(M623=phu!$I$26,M623=phu!$I$27,M623=phu!$I$28,M623=phu!$I$29,M623=phu!$I$30,M623=phu!$I$31),"Cam Phú",""),IF(OR(M623=phu!$I$32,M623=phu!$I$33,M623=phu!$I$34,M623=phu!$I$35,M623=phu!$I$36,M623=phu!$I$37),"Cam Lộc",""),IF(OR(M623=phu!$I$38,M623=phu!$I$39,M623=phu!$I$40,M623=phu!$I$41,M623=phu!$I$42,M623=phu!$I$43,M623=phu!$I$44),"Cam Thuận",""),IF(OR(M623=phu!$I$45,M623=phu!$I$46,M623=phu!$I$47,M623=phu!$I$48,M623=phu!$I$49,M623=phu!$I$50,M623=phu!$I$51,M623=phu!$I$52,M623=phu!$I$53),"Cam Linh",""),IF(OR(M623=phu!$I$54,M623=phu!$I$55,M623=phu!$I$56,M623=phu!$I$57,M623=phu!$I$58,M623=phu!$I$59,M623=phu!$I$60,M623=phu!$I$61,M623=phu!$I$62),"Cam Lợi",""),IF(OR(M623=phu!$I$63,M623=phu!$I$64,M623=phu!$I$65,M623=phu!$I$66,M623=phu!$I$67,M623=phu!$I$68,M623=phu!$I$69,M623=phu!$I$70,M623=phu!$I$71),"Ba Ngòi",""),IF(OR(M623=phu!$I$72,M623=phu!$I$73,M623=phu!$I$74,M623=phu!$I$75,M623=phu!$I$76,M623=phu!$I$77,M623=phu!$I$78),"Cam Phước Đông",""),IF(OR(M623=phu!$I$79,M623=phu!$I$80,M623=phu!$I$81,M623=phu!$I$82,M623=phu!$I$83,M623=phu!$I$84),"Cam Thịnh Đông",""),IF(OR(M623=phu!$I$85,M623=phu!$I$86,M623=phu!$I$87,M623=phu!$I$88),"Cam Thịnh Tây",""),IF(OR(M623=phu!$I$89,M623=phu!$I$90),"Cam Lập",""),IF(OR(M623=phu!$I$91,M623=phu!$I$92,M623=phu!$I$93),"Cam Bình",""),IF(OR(M623=phu!$I$94,M623=phu!$I$95,M623=phu!$I$96,M623=phu!$I$97,M623=phu!$I$98,M623=phu!$I$99,M623=phu!$I$100),"Huyện khác",""),IF(OR(M623=phu!$I$101,M623=phu!$I$102),"Tỉnh khác",""))</f>
        <v/>
      </c>
      <c r="O623" s="814" t="str">
        <f t="shared" si="55"/>
        <v/>
      </c>
      <c r="P623" s="254"/>
      <c r="Q623" s="254"/>
      <c r="R623" s="254"/>
      <c r="S623" s="254"/>
      <c r="T623" s="254"/>
      <c r="U623" s="254"/>
      <c r="V623" s="254"/>
      <c r="W623" s="254"/>
      <c r="Y623" s="246" t="str">
        <f t="shared" si="56"/>
        <v/>
      </c>
      <c r="Z623" s="247" t="str">
        <f t="shared" si="54"/>
        <v/>
      </c>
      <c r="AA623" s="246" t="str">
        <f t="shared" si="57"/>
        <v/>
      </c>
    </row>
    <row r="624" spans="1:27" ht="18" customHeight="1" x14ac:dyDescent="0.25">
      <c r="A624" s="248" t="str">
        <f t="shared" si="58"/>
        <v/>
      </c>
      <c r="B624" s="249" t="str">
        <f t="shared" si="59"/>
        <v/>
      </c>
      <c r="C624" s="250"/>
      <c r="D624" s="251"/>
      <c r="E624" s="241"/>
      <c r="F624" s="252"/>
      <c r="G624" s="252"/>
      <c r="H624" s="253"/>
      <c r="I624" s="250"/>
      <c r="J624" s="250"/>
      <c r="K624" s="270"/>
      <c r="L624" s="250"/>
      <c r="M624" s="250"/>
      <c r="N624" s="553" t="str">
        <f>CONCATENATE(IF(OR(M624=phu!$I$1,M624=phu!$I$2,M624=phu!$I$3),"Cam Thành Nam",""),IF(OR(M624=phu!$I$4,M624=phu!$I$5,M624=phu!$I$6,M624=phu!$I$7,M624=phu!$I$8,M624=phu!$I$9,M624=phu!$I$10,M624=phu!$I$11,M624=phu!$I$12,M624=phu!$I$13,M624=phu!$I$14),"Cam Nghĩa",""),IF(OR(M624=phu!$I$15,M624=phu!$I$16,M624=phu!$I$17,M624=phu!$I$18,M624=phu!$I$19,M624=phu!$I$20,M624=phu!$I$21),"Cam Phúc Bắc",""),IF(OR(M624=phu!$I$22,M624=phu!$I$23,M624=phu!$I$24,M624=phu!$I$25),"Cam Phúc Nam",""),IF(OR(M624=phu!$I$26,M624=phu!$I$27,M624=phu!$I$28,M624=phu!$I$29,M624=phu!$I$30,M624=phu!$I$31),"Cam Phú",""),IF(OR(M624=phu!$I$32,M624=phu!$I$33,M624=phu!$I$34,M624=phu!$I$35,M624=phu!$I$36,M624=phu!$I$37),"Cam Lộc",""),IF(OR(M624=phu!$I$38,M624=phu!$I$39,M624=phu!$I$40,M624=phu!$I$41,M624=phu!$I$42,M624=phu!$I$43,M624=phu!$I$44),"Cam Thuận",""),IF(OR(M624=phu!$I$45,M624=phu!$I$46,M624=phu!$I$47,M624=phu!$I$48,M624=phu!$I$49,M624=phu!$I$50,M624=phu!$I$51,M624=phu!$I$52,M624=phu!$I$53),"Cam Linh",""),IF(OR(M624=phu!$I$54,M624=phu!$I$55,M624=phu!$I$56,M624=phu!$I$57,M624=phu!$I$58,M624=phu!$I$59,M624=phu!$I$60,M624=phu!$I$61,M624=phu!$I$62),"Cam Lợi",""),IF(OR(M624=phu!$I$63,M624=phu!$I$64,M624=phu!$I$65,M624=phu!$I$66,M624=phu!$I$67,M624=phu!$I$68,M624=phu!$I$69,M624=phu!$I$70,M624=phu!$I$71),"Ba Ngòi",""),IF(OR(M624=phu!$I$72,M624=phu!$I$73,M624=phu!$I$74,M624=phu!$I$75,M624=phu!$I$76,M624=phu!$I$77,M624=phu!$I$78),"Cam Phước Đông",""),IF(OR(M624=phu!$I$79,M624=phu!$I$80,M624=phu!$I$81,M624=phu!$I$82,M624=phu!$I$83,M624=phu!$I$84),"Cam Thịnh Đông",""),IF(OR(M624=phu!$I$85,M624=phu!$I$86,M624=phu!$I$87,M624=phu!$I$88),"Cam Thịnh Tây",""),IF(OR(M624=phu!$I$89,M624=phu!$I$90),"Cam Lập",""),IF(OR(M624=phu!$I$91,M624=phu!$I$92,M624=phu!$I$93),"Cam Bình",""),IF(OR(M624=phu!$I$94,M624=phu!$I$95,M624=phu!$I$96,M624=phu!$I$97,M624=phu!$I$98,M624=phu!$I$99,M624=phu!$I$100),"Huyện khác",""),IF(OR(M624=phu!$I$101,M624=phu!$I$102),"Tỉnh khác",""))</f>
        <v/>
      </c>
      <c r="O624" s="814" t="str">
        <f t="shared" si="55"/>
        <v/>
      </c>
      <c r="P624" s="254"/>
      <c r="Q624" s="254"/>
      <c r="R624" s="254"/>
      <c r="S624" s="254"/>
      <c r="T624" s="254"/>
      <c r="U624" s="254"/>
      <c r="V624" s="254"/>
      <c r="W624" s="254"/>
      <c r="Y624" s="246" t="str">
        <f t="shared" si="56"/>
        <v/>
      </c>
      <c r="Z624" s="247" t="str">
        <f t="shared" si="54"/>
        <v/>
      </c>
      <c r="AA624" s="246" t="str">
        <f t="shared" si="57"/>
        <v/>
      </c>
    </row>
    <row r="625" spans="1:27" ht="18" customHeight="1" x14ac:dyDescent="0.25">
      <c r="A625" s="248" t="str">
        <f t="shared" si="58"/>
        <v/>
      </c>
      <c r="B625" s="249" t="str">
        <f t="shared" si="59"/>
        <v/>
      </c>
      <c r="C625" s="250"/>
      <c r="D625" s="251"/>
      <c r="E625" s="241"/>
      <c r="F625" s="252"/>
      <c r="G625" s="252"/>
      <c r="H625" s="253"/>
      <c r="I625" s="250"/>
      <c r="J625" s="250"/>
      <c r="K625" s="270"/>
      <c r="L625" s="250"/>
      <c r="M625" s="250"/>
      <c r="N625" s="553" t="str">
        <f>CONCATENATE(IF(OR(M625=phu!$I$1,M625=phu!$I$2,M625=phu!$I$3),"Cam Thành Nam",""),IF(OR(M625=phu!$I$4,M625=phu!$I$5,M625=phu!$I$6,M625=phu!$I$7,M625=phu!$I$8,M625=phu!$I$9,M625=phu!$I$10,M625=phu!$I$11,M625=phu!$I$12,M625=phu!$I$13,M625=phu!$I$14),"Cam Nghĩa",""),IF(OR(M625=phu!$I$15,M625=phu!$I$16,M625=phu!$I$17,M625=phu!$I$18,M625=phu!$I$19,M625=phu!$I$20,M625=phu!$I$21),"Cam Phúc Bắc",""),IF(OR(M625=phu!$I$22,M625=phu!$I$23,M625=phu!$I$24,M625=phu!$I$25),"Cam Phúc Nam",""),IF(OR(M625=phu!$I$26,M625=phu!$I$27,M625=phu!$I$28,M625=phu!$I$29,M625=phu!$I$30,M625=phu!$I$31),"Cam Phú",""),IF(OR(M625=phu!$I$32,M625=phu!$I$33,M625=phu!$I$34,M625=phu!$I$35,M625=phu!$I$36,M625=phu!$I$37),"Cam Lộc",""),IF(OR(M625=phu!$I$38,M625=phu!$I$39,M625=phu!$I$40,M625=phu!$I$41,M625=phu!$I$42,M625=phu!$I$43,M625=phu!$I$44),"Cam Thuận",""),IF(OR(M625=phu!$I$45,M625=phu!$I$46,M625=phu!$I$47,M625=phu!$I$48,M625=phu!$I$49,M625=phu!$I$50,M625=phu!$I$51,M625=phu!$I$52,M625=phu!$I$53),"Cam Linh",""),IF(OR(M625=phu!$I$54,M625=phu!$I$55,M625=phu!$I$56,M625=phu!$I$57,M625=phu!$I$58,M625=phu!$I$59,M625=phu!$I$60,M625=phu!$I$61,M625=phu!$I$62),"Cam Lợi",""),IF(OR(M625=phu!$I$63,M625=phu!$I$64,M625=phu!$I$65,M625=phu!$I$66,M625=phu!$I$67,M625=phu!$I$68,M625=phu!$I$69,M625=phu!$I$70,M625=phu!$I$71),"Ba Ngòi",""),IF(OR(M625=phu!$I$72,M625=phu!$I$73,M625=phu!$I$74,M625=phu!$I$75,M625=phu!$I$76,M625=phu!$I$77,M625=phu!$I$78),"Cam Phước Đông",""),IF(OR(M625=phu!$I$79,M625=phu!$I$80,M625=phu!$I$81,M625=phu!$I$82,M625=phu!$I$83,M625=phu!$I$84),"Cam Thịnh Đông",""),IF(OR(M625=phu!$I$85,M625=phu!$I$86,M625=phu!$I$87,M625=phu!$I$88),"Cam Thịnh Tây",""),IF(OR(M625=phu!$I$89,M625=phu!$I$90),"Cam Lập",""),IF(OR(M625=phu!$I$91,M625=phu!$I$92,M625=phu!$I$93),"Cam Bình",""),IF(OR(M625=phu!$I$94,M625=phu!$I$95,M625=phu!$I$96,M625=phu!$I$97,M625=phu!$I$98,M625=phu!$I$99,M625=phu!$I$100),"Huyện khác",""),IF(OR(M625=phu!$I$101,M625=phu!$I$102),"Tỉnh khác",""))</f>
        <v/>
      </c>
      <c r="O625" s="814" t="str">
        <f t="shared" si="55"/>
        <v/>
      </c>
      <c r="P625" s="254"/>
      <c r="Q625" s="254"/>
      <c r="R625" s="254"/>
      <c r="S625" s="254"/>
      <c r="T625" s="254"/>
      <c r="U625" s="254"/>
      <c r="V625" s="254"/>
      <c r="W625" s="254"/>
      <c r="Y625" s="246" t="str">
        <f t="shared" si="56"/>
        <v/>
      </c>
      <c r="Z625" s="247" t="str">
        <f t="shared" si="54"/>
        <v/>
      </c>
      <c r="AA625" s="246" t="str">
        <f t="shared" si="57"/>
        <v/>
      </c>
    </row>
    <row r="626" spans="1:27" ht="18" customHeight="1" x14ac:dyDescent="0.25">
      <c r="A626" s="248" t="str">
        <f t="shared" si="58"/>
        <v/>
      </c>
      <c r="B626" s="249" t="str">
        <f t="shared" si="59"/>
        <v/>
      </c>
      <c r="C626" s="250"/>
      <c r="D626" s="251"/>
      <c r="E626" s="241"/>
      <c r="F626" s="252"/>
      <c r="G626" s="252"/>
      <c r="H626" s="253"/>
      <c r="I626" s="250"/>
      <c r="J626" s="250"/>
      <c r="K626" s="270"/>
      <c r="L626" s="250"/>
      <c r="M626" s="250"/>
      <c r="N626" s="553" t="str">
        <f>CONCATENATE(IF(OR(M626=phu!$I$1,M626=phu!$I$2,M626=phu!$I$3),"Cam Thành Nam",""),IF(OR(M626=phu!$I$4,M626=phu!$I$5,M626=phu!$I$6,M626=phu!$I$7,M626=phu!$I$8,M626=phu!$I$9,M626=phu!$I$10,M626=phu!$I$11,M626=phu!$I$12,M626=phu!$I$13,M626=phu!$I$14),"Cam Nghĩa",""),IF(OR(M626=phu!$I$15,M626=phu!$I$16,M626=phu!$I$17,M626=phu!$I$18,M626=phu!$I$19,M626=phu!$I$20,M626=phu!$I$21),"Cam Phúc Bắc",""),IF(OR(M626=phu!$I$22,M626=phu!$I$23,M626=phu!$I$24,M626=phu!$I$25),"Cam Phúc Nam",""),IF(OR(M626=phu!$I$26,M626=phu!$I$27,M626=phu!$I$28,M626=phu!$I$29,M626=phu!$I$30,M626=phu!$I$31),"Cam Phú",""),IF(OR(M626=phu!$I$32,M626=phu!$I$33,M626=phu!$I$34,M626=phu!$I$35,M626=phu!$I$36,M626=phu!$I$37),"Cam Lộc",""),IF(OR(M626=phu!$I$38,M626=phu!$I$39,M626=phu!$I$40,M626=phu!$I$41,M626=phu!$I$42,M626=phu!$I$43,M626=phu!$I$44),"Cam Thuận",""),IF(OR(M626=phu!$I$45,M626=phu!$I$46,M626=phu!$I$47,M626=phu!$I$48,M626=phu!$I$49,M626=phu!$I$50,M626=phu!$I$51,M626=phu!$I$52,M626=phu!$I$53),"Cam Linh",""),IF(OR(M626=phu!$I$54,M626=phu!$I$55,M626=phu!$I$56,M626=phu!$I$57,M626=phu!$I$58,M626=phu!$I$59,M626=phu!$I$60,M626=phu!$I$61,M626=phu!$I$62),"Cam Lợi",""),IF(OR(M626=phu!$I$63,M626=phu!$I$64,M626=phu!$I$65,M626=phu!$I$66,M626=phu!$I$67,M626=phu!$I$68,M626=phu!$I$69,M626=phu!$I$70,M626=phu!$I$71),"Ba Ngòi",""),IF(OR(M626=phu!$I$72,M626=phu!$I$73,M626=phu!$I$74,M626=phu!$I$75,M626=phu!$I$76,M626=phu!$I$77,M626=phu!$I$78),"Cam Phước Đông",""),IF(OR(M626=phu!$I$79,M626=phu!$I$80,M626=phu!$I$81,M626=phu!$I$82,M626=phu!$I$83,M626=phu!$I$84),"Cam Thịnh Đông",""),IF(OR(M626=phu!$I$85,M626=phu!$I$86,M626=phu!$I$87,M626=phu!$I$88),"Cam Thịnh Tây",""),IF(OR(M626=phu!$I$89,M626=phu!$I$90),"Cam Lập",""),IF(OR(M626=phu!$I$91,M626=phu!$I$92,M626=phu!$I$93),"Cam Bình",""),IF(OR(M626=phu!$I$94,M626=phu!$I$95,M626=phu!$I$96,M626=phu!$I$97,M626=phu!$I$98,M626=phu!$I$99,M626=phu!$I$100),"Huyện khác",""),IF(OR(M626=phu!$I$101,M626=phu!$I$102),"Tỉnh khác",""))</f>
        <v/>
      </c>
      <c r="O626" s="814" t="str">
        <f t="shared" si="55"/>
        <v/>
      </c>
      <c r="P626" s="254"/>
      <c r="Q626" s="254"/>
      <c r="R626" s="254"/>
      <c r="S626" s="254"/>
      <c r="T626" s="254"/>
      <c r="U626" s="254"/>
      <c r="V626" s="254"/>
      <c r="W626" s="254"/>
      <c r="Y626" s="246" t="str">
        <f t="shared" si="56"/>
        <v/>
      </c>
      <c r="Z626" s="247" t="str">
        <f t="shared" si="54"/>
        <v/>
      </c>
      <c r="AA626" s="246" t="str">
        <f t="shared" si="57"/>
        <v/>
      </c>
    </row>
    <row r="627" spans="1:27" ht="18" customHeight="1" x14ac:dyDescent="0.25">
      <c r="A627" s="248" t="str">
        <f t="shared" si="58"/>
        <v/>
      </c>
      <c r="B627" s="249" t="str">
        <f t="shared" si="59"/>
        <v/>
      </c>
      <c r="C627" s="250"/>
      <c r="D627" s="251"/>
      <c r="E627" s="241"/>
      <c r="F627" s="252"/>
      <c r="G627" s="252"/>
      <c r="H627" s="253"/>
      <c r="I627" s="250"/>
      <c r="J627" s="250"/>
      <c r="K627" s="270"/>
      <c r="L627" s="250"/>
      <c r="M627" s="250"/>
      <c r="N627" s="553" t="str">
        <f>CONCATENATE(IF(OR(M627=phu!$I$1,M627=phu!$I$2,M627=phu!$I$3),"Cam Thành Nam",""),IF(OR(M627=phu!$I$4,M627=phu!$I$5,M627=phu!$I$6,M627=phu!$I$7,M627=phu!$I$8,M627=phu!$I$9,M627=phu!$I$10,M627=phu!$I$11,M627=phu!$I$12,M627=phu!$I$13,M627=phu!$I$14),"Cam Nghĩa",""),IF(OR(M627=phu!$I$15,M627=phu!$I$16,M627=phu!$I$17,M627=phu!$I$18,M627=phu!$I$19,M627=phu!$I$20,M627=phu!$I$21),"Cam Phúc Bắc",""),IF(OR(M627=phu!$I$22,M627=phu!$I$23,M627=phu!$I$24,M627=phu!$I$25),"Cam Phúc Nam",""),IF(OR(M627=phu!$I$26,M627=phu!$I$27,M627=phu!$I$28,M627=phu!$I$29,M627=phu!$I$30,M627=phu!$I$31),"Cam Phú",""),IF(OR(M627=phu!$I$32,M627=phu!$I$33,M627=phu!$I$34,M627=phu!$I$35,M627=phu!$I$36,M627=phu!$I$37),"Cam Lộc",""),IF(OR(M627=phu!$I$38,M627=phu!$I$39,M627=phu!$I$40,M627=phu!$I$41,M627=phu!$I$42,M627=phu!$I$43,M627=phu!$I$44),"Cam Thuận",""),IF(OR(M627=phu!$I$45,M627=phu!$I$46,M627=phu!$I$47,M627=phu!$I$48,M627=phu!$I$49,M627=phu!$I$50,M627=phu!$I$51,M627=phu!$I$52,M627=phu!$I$53),"Cam Linh",""),IF(OR(M627=phu!$I$54,M627=phu!$I$55,M627=phu!$I$56,M627=phu!$I$57,M627=phu!$I$58,M627=phu!$I$59,M627=phu!$I$60,M627=phu!$I$61,M627=phu!$I$62),"Cam Lợi",""),IF(OR(M627=phu!$I$63,M627=phu!$I$64,M627=phu!$I$65,M627=phu!$I$66,M627=phu!$I$67,M627=phu!$I$68,M627=phu!$I$69,M627=phu!$I$70,M627=phu!$I$71),"Ba Ngòi",""),IF(OR(M627=phu!$I$72,M627=phu!$I$73,M627=phu!$I$74,M627=phu!$I$75,M627=phu!$I$76,M627=phu!$I$77,M627=phu!$I$78),"Cam Phước Đông",""),IF(OR(M627=phu!$I$79,M627=phu!$I$80,M627=phu!$I$81,M627=phu!$I$82,M627=phu!$I$83,M627=phu!$I$84),"Cam Thịnh Đông",""),IF(OR(M627=phu!$I$85,M627=phu!$I$86,M627=phu!$I$87,M627=phu!$I$88),"Cam Thịnh Tây",""),IF(OR(M627=phu!$I$89,M627=phu!$I$90),"Cam Lập",""),IF(OR(M627=phu!$I$91,M627=phu!$I$92,M627=phu!$I$93),"Cam Bình",""),IF(OR(M627=phu!$I$94,M627=phu!$I$95,M627=phu!$I$96,M627=phu!$I$97,M627=phu!$I$98,M627=phu!$I$99,M627=phu!$I$100),"Huyện khác",""),IF(OR(M627=phu!$I$101,M627=phu!$I$102),"Tỉnh khác",""))</f>
        <v/>
      </c>
      <c r="O627" s="814" t="str">
        <f t="shared" si="55"/>
        <v/>
      </c>
      <c r="P627" s="254"/>
      <c r="Q627" s="254"/>
      <c r="R627" s="254"/>
      <c r="S627" s="254"/>
      <c r="T627" s="254"/>
      <c r="U627" s="254"/>
      <c r="V627" s="254"/>
      <c r="W627" s="254"/>
      <c r="Y627" s="246" t="str">
        <f t="shared" si="56"/>
        <v/>
      </c>
      <c r="Z627" s="247" t="str">
        <f t="shared" si="54"/>
        <v/>
      </c>
      <c r="AA627" s="246" t="str">
        <f t="shared" si="57"/>
        <v/>
      </c>
    </row>
    <row r="628" spans="1:27" ht="18" customHeight="1" x14ac:dyDescent="0.25">
      <c r="A628" s="248" t="str">
        <f t="shared" si="58"/>
        <v/>
      </c>
      <c r="B628" s="249" t="str">
        <f t="shared" si="59"/>
        <v/>
      </c>
      <c r="C628" s="250"/>
      <c r="D628" s="251"/>
      <c r="E628" s="241"/>
      <c r="F628" s="252"/>
      <c r="G628" s="252"/>
      <c r="H628" s="253"/>
      <c r="I628" s="250"/>
      <c r="J628" s="250"/>
      <c r="K628" s="270"/>
      <c r="L628" s="250"/>
      <c r="M628" s="250"/>
      <c r="N628" s="553" t="str">
        <f>CONCATENATE(IF(OR(M628=phu!$I$1,M628=phu!$I$2,M628=phu!$I$3),"Cam Thành Nam",""),IF(OR(M628=phu!$I$4,M628=phu!$I$5,M628=phu!$I$6,M628=phu!$I$7,M628=phu!$I$8,M628=phu!$I$9,M628=phu!$I$10,M628=phu!$I$11,M628=phu!$I$12,M628=phu!$I$13,M628=phu!$I$14),"Cam Nghĩa",""),IF(OR(M628=phu!$I$15,M628=phu!$I$16,M628=phu!$I$17,M628=phu!$I$18,M628=phu!$I$19,M628=phu!$I$20,M628=phu!$I$21),"Cam Phúc Bắc",""),IF(OR(M628=phu!$I$22,M628=phu!$I$23,M628=phu!$I$24,M628=phu!$I$25),"Cam Phúc Nam",""),IF(OR(M628=phu!$I$26,M628=phu!$I$27,M628=phu!$I$28,M628=phu!$I$29,M628=phu!$I$30,M628=phu!$I$31),"Cam Phú",""),IF(OR(M628=phu!$I$32,M628=phu!$I$33,M628=phu!$I$34,M628=phu!$I$35,M628=phu!$I$36,M628=phu!$I$37),"Cam Lộc",""),IF(OR(M628=phu!$I$38,M628=phu!$I$39,M628=phu!$I$40,M628=phu!$I$41,M628=phu!$I$42,M628=phu!$I$43,M628=phu!$I$44),"Cam Thuận",""),IF(OR(M628=phu!$I$45,M628=phu!$I$46,M628=phu!$I$47,M628=phu!$I$48,M628=phu!$I$49,M628=phu!$I$50,M628=phu!$I$51,M628=phu!$I$52,M628=phu!$I$53),"Cam Linh",""),IF(OR(M628=phu!$I$54,M628=phu!$I$55,M628=phu!$I$56,M628=phu!$I$57,M628=phu!$I$58,M628=phu!$I$59,M628=phu!$I$60,M628=phu!$I$61,M628=phu!$I$62),"Cam Lợi",""),IF(OR(M628=phu!$I$63,M628=phu!$I$64,M628=phu!$I$65,M628=phu!$I$66,M628=phu!$I$67,M628=phu!$I$68,M628=phu!$I$69,M628=phu!$I$70,M628=phu!$I$71),"Ba Ngòi",""),IF(OR(M628=phu!$I$72,M628=phu!$I$73,M628=phu!$I$74,M628=phu!$I$75,M628=phu!$I$76,M628=phu!$I$77,M628=phu!$I$78),"Cam Phước Đông",""),IF(OR(M628=phu!$I$79,M628=phu!$I$80,M628=phu!$I$81,M628=phu!$I$82,M628=phu!$I$83,M628=phu!$I$84),"Cam Thịnh Đông",""),IF(OR(M628=phu!$I$85,M628=phu!$I$86,M628=phu!$I$87,M628=phu!$I$88),"Cam Thịnh Tây",""),IF(OR(M628=phu!$I$89,M628=phu!$I$90),"Cam Lập",""),IF(OR(M628=phu!$I$91,M628=phu!$I$92,M628=phu!$I$93),"Cam Bình",""),IF(OR(M628=phu!$I$94,M628=phu!$I$95,M628=phu!$I$96,M628=phu!$I$97,M628=phu!$I$98,M628=phu!$I$99,M628=phu!$I$100),"Huyện khác",""),IF(OR(M628=phu!$I$101,M628=phu!$I$102),"Tỉnh khác",""))</f>
        <v/>
      </c>
      <c r="O628" s="814" t="str">
        <f t="shared" si="55"/>
        <v/>
      </c>
      <c r="P628" s="254"/>
      <c r="Q628" s="254"/>
      <c r="R628" s="254"/>
      <c r="S628" s="254"/>
      <c r="T628" s="254"/>
      <c r="U628" s="254"/>
      <c r="V628" s="254"/>
      <c r="W628" s="254"/>
      <c r="Y628" s="246" t="str">
        <f t="shared" si="56"/>
        <v/>
      </c>
      <c r="Z628" s="247" t="str">
        <f t="shared" si="54"/>
        <v/>
      </c>
      <c r="AA628" s="246" t="str">
        <f t="shared" si="57"/>
        <v/>
      </c>
    </row>
    <row r="629" spans="1:27" ht="18" customHeight="1" x14ac:dyDescent="0.25">
      <c r="A629" s="248" t="str">
        <f t="shared" si="58"/>
        <v/>
      </c>
      <c r="B629" s="249" t="str">
        <f t="shared" si="59"/>
        <v/>
      </c>
      <c r="C629" s="250"/>
      <c r="D629" s="251"/>
      <c r="E629" s="241"/>
      <c r="F629" s="252"/>
      <c r="G629" s="252"/>
      <c r="H629" s="253"/>
      <c r="I629" s="250"/>
      <c r="J629" s="250"/>
      <c r="K629" s="270"/>
      <c r="L629" s="250"/>
      <c r="M629" s="250"/>
      <c r="N629" s="553" t="str">
        <f>CONCATENATE(IF(OR(M629=phu!$I$1,M629=phu!$I$2,M629=phu!$I$3),"Cam Thành Nam",""),IF(OR(M629=phu!$I$4,M629=phu!$I$5,M629=phu!$I$6,M629=phu!$I$7,M629=phu!$I$8,M629=phu!$I$9,M629=phu!$I$10,M629=phu!$I$11,M629=phu!$I$12,M629=phu!$I$13,M629=phu!$I$14),"Cam Nghĩa",""),IF(OR(M629=phu!$I$15,M629=phu!$I$16,M629=phu!$I$17,M629=phu!$I$18,M629=phu!$I$19,M629=phu!$I$20,M629=phu!$I$21),"Cam Phúc Bắc",""),IF(OR(M629=phu!$I$22,M629=phu!$I$23,M629=phu!$I$24,M629=phu!$I$25),"Cam Phúc Nam",""),IF(OR(M629=phu!$I$26,M629=phu!$I$27,M629=phu!$I$28,M629=phu!$I$29,M629=phu!$I$30,M629=phu!$I$31),"Cam Phú",""),IF(OR(M629=phu!$I$32,M629=phu!$I$33,M629=phu!$I$34,M629=phu!$I$35,M629=phu!$I$36,M629=phu!$I$37),"Cam Lộc",""),IF(OR(M629=phu!$I$38,M629=phu!$I$39,M629=phu!$I$40,M629=phu!$I$41,M629=phu!$I$42,M629=phu!$I$43,M629=phu!$I$44),"Cam Thuận",""),IF(OR(M629=phu!$I$45,M629=phu!$I$46,M629=phu!$I$47,M629=phu!$I$48,M629=phu!$I$49,M629=phu!$I$50,M629=phu!$I$51,M629=phu!$I$52,M629=phu!$I$53),"Cam Linh",""),IF(OR(M629=phu!$I$54,M629=phu!$I$55,M629=phu!$I$56,M629=phu!$I$57,M629=phu!$I$58,M629=phu!$I$59,M629=phu!$I$60,M629=phu!$I$61,M629=phu!$I$62),"Cam Lợi",""),IF(OR(M629=phu!$I$63,M629=phu!$I$64,M629=phu!$I$65,M629=phu!$I$66,M629=phu!$I$67,M629=phu!$I$68,M629=phu!$I$69,M629=phu!$I$70,M629=phu!$I$71),"Ba Ngòi",""),IF(OR(M629=phu!$I$72,M629=phu!$I$73,M629=phu!$I$74,M629=phu!$I$75,M629=phu!$I$76,M629=phu!$I$77,M629=phu!$I$78),"Cam Phước Đông",""),IF(OR(M629=phu!$I$79,M629=phu!$I$80,M629=phu!$I$81,M629=phu!$I$82,M629=phu!$I$83,M629=phu!$I$84),"Cam Thịnh Đông",""),IF(OR(M629=phu!$I$85,M629=phu!$I$86,M629=phu!$I$87,M629=phu!$I$88),"Cam Thịnh Tây",""),IF(OR(M629=phu!$I$89,M629=phu!$I$90),"Cam Lập",""),IF(OR(M629=phu!$I$91,M629=phu!$I$92,M629=phu!$I$93),"Cam Bình",""),IF(OR(M629=phu!$I$94,M629=phu!$I$95,M629=phu!$I$96,M629=phu!$I$97,M629=phu!$I$98,M629=phu!$I$99,M629=phu!$I$100),"Huyện khác",""),IF(OR(M629=phu!$I$101,M629=phu!$I$102),"Tỉnh khác",""))</f>
        <v/>
      </c>
      <c r="O629" s="814" t="str">
        <f t="shared" si="55"/>
        <v/>
      </c>
      <c r="P629" s="254"/>
      <c r="Q629" s="254"/>
      <c r="R629" s="254"/>
      <c r="S629" s="254"/>
      <c r="T629" s="254"/>
      <c r="U629" s="254"/>
      <c r="V629" s="254"/>
      <c r="W629" s="254"/>
      <c r="Y629" s="246" t="str">
        <f t="shared" si="56"/>
        <v/>
      </c>
      <c r="Z629" s="247" t="str">
        <f t="shared" si="54"/>
        <v/>
      </c>
      <c r="AA629" s="246" t="str">
        <f t="shared" si="57"/>
        <v/>
      </c>
    </row>
    <row r="630" spans="1:27" ht="18" customHeight="1" x14ac:dyDescent="0.25">
      <c r="A630" s="248" t="str">
        <f t="shared" si="58"/>
        <v/>
      </c>
      <c r="B630" s="249" t="str">
        <f t="shared" si="59"/>
        <v/>
      </c>
      <c r="C630" s="250"/>
      <c r="D630" s="251"/>
      <c r="E630" s="241"/>
      <c r="F630" s="252"/>
      <c r="G630" s="252"/>
      <c r="H630" s="253"/>
      <c r="I630" s="250"/>
      <c r="J630" s="250"/>
      <c r="K630" s="270"/>
      <c r="L630" s="250"/>
      <c r="M630" s="250"/>
      <c r="N630" s="553" t="str">
        <f>CONCATENATE(IF(OR(M630=phu!$I$1,M630=phu!$I$2,M630=phu!$I$3),"Cam Thành Nam",""),IF(OR(M630=phu!$I$4,M630=phu!$I$5,M630=phu!$I$6,M630=phu!$I$7,M630=phu!$I$8,M630=phu!$I$9,M630=phu!$I$10,M630=phu!$I$11,M630=phu!$I$12,M630=phu!$I$13,M630=phu!$I$14),"Cam Nghĩa",""),IF(OR(M630=phu!$I$15,M630=phu!$I$16,M630=phu!$I$17,M630=phu!$I$18,M630=phu!$I$19,M630=phu!$I$20,M630=phu!$I$21),"Cam Phúc Bắc",""),IF(OR(M630=phu!$I$22,M630=phu!$I$23,M630=phu!$I$24,M630=phu!$I$25),"Cam Phúc Nam",""),IF(OR(M630=phu!$I$26,M630=phu!$I$27,M630=phu!$I$28,M630=phu!$I$29,M630=phu!$I$30,M630=phu!$I$31),"Cam Phú",""),IF(OR(M630=phu!$I$32,M630=phu!$I$33,M630=phu!$I$34,M630=phu!$I$35,M630=phu!$I$36,M630=phu!$I$37),"Cam Lộc",""),IF(OR(M630=phu!$I$38,M630=phu!$I$39,M630=phu!$I$40,M630=phu!$I$41,M630=phu!$I$42,M630=phu!$I$43,M630=phu!$I$44),"Cam Thuận",""),IF(OR(M630=phu!$I$45,M630=phu!$I$46,M630=phu!$I$47,M630=phu!$I$48,M630=phu!$I$49,M630=phu!$I$50,M630=phu!$I$51,M630=phu!$I$52,M630=phu!$I$53),"Cam Linh",""),IF(OR(M630=phu!$I$54,M630=phu!$I$55,M630=phu!$I$56,M630=phu!$I$57,M630=phu!$I$58,M630=phu!$I$59,M630=phu!$I$60,M630=phu!$I$61,M630=phu!$I$62),"Cam Lợi",""),IF(OR(M630=phu!$I$63,M630=phu!$I$64,M630=phu!$I$65,M630=phu!$I$66,M630=phu!$I$67,M630=phu!$I$68,M630=phu!$I$69,M630=phu!$I$70,M630=phu!$I$71),"Ba Ngòi",""),IF(OR(M630=phu!$I$72,M630=phu!$I$73,M630=phu!$I$74,M630=phu!$I$75,M630=phu!$I$76,M630=phu!$I$77,M630=phu!$I$78),"Cam Phước Đông",""),IF(OR(M630=phu!$I$79,M630=phu!$I$80,M630=phu!$I$81,M630=phu!$I$82,M630=phu!$I$83,M630=phu!$I$84),"Cam Thịnh Đông",""),IF(OR(M630=phu!$I$85,M630=phu!$I$86,M630=phu!$I$87,M630=phu!$I$88),"Cam Thịnh Tây",""),IF(OR(M630=phu!$I$89,M630=phu!$I$90),"Cam Lập",""),IF(OR(M630=phu!$I$91,M630=phu!$I$92,M630=phu!$I$93),"Cam Bình",""),IF(OR(M630=phu!$I$94,M630=phu!$I$95,M630=phu!$I$96,M630=phu!$I$97,M630=phu!$I$98,M630=phu!$I$99,M630=phu!$I$100),"Huyện khác",""),IF(OR(M630=phu!$I$101,M630=phu!$I$102),"Tỉnh khác",""))</f>
        <v/>
      </c>
      <c r="O630" s="814" t="str">
        <f t="shared" si="55"/>
        <v/>
      </c>
      <c r="P630" s="254"/>
      <c r="Q630" s="254"/>
      <c r="R630" s="254"/>
      <c r="S630" s="254"/>
      <c r="T630" s="254"/>
      <c r="U630" s="254"/>
      <c r="V630" s="254"/>
      <c r="W630" s="254"/>
      <c r="Y630" s="246" t="str">
        <f t="shared" si="56"/>
        <v/>
      </c>
      <c r="Z630" s="247" t="str">
        <f t="shared" si="54"/>
        <v/>
      </c>
      <c r="AA630" s="246" t="str">
        <f t="shared" si="57"/>
        <v/>
      </c>
    </row>
    <row r="631" spans="1:27" ht="18" customHeight="1" x14ac:dyDescent="0.25">
      <c r="A631" s="248" t="str">
        <f t="shared" si="58"/>
        <v/>
      </c>
      <c r="B631" s="249" t="str">
        <f t="shared" si="59"/>
        <v/>
      </c>
      <c r="C631" s="250"/>
      <c r="D631" s="251"/>
      <c r="E631" s="241"/>
      <c r="F631" s="252"/>
      <c r="G631" s="252"/>
      <c r="H631" s="253"/>
      <c r="I631" s="250"/>
      <c r="J631" s="250"/>
      <c r="K631" s="270"/>
      <c r="L631" s="250"/>
      <c r="M631" s="250"/>
      <c r="N631" s="553" t="str">
        <f>CONCATENATE(IF(OR(M631=phu!$I$1,M631=phu!$I$2,M631=phu!$I$3),"Cam Thành Nam",""),IF(OR(M631=phu!$I$4,M631=phu!$I$5,M631=phu!$I$6,M631=phu!$I$7,M631=phu!$I$8,M631=phu!$I$9,M631=phu!$I$10,M631=phu!$I$11,M631=phu!$I$12,M631=phu!$I$13,M631=phu!$I$14),"Cam Nghĩa",""),IF(OR(M631=phu!$I$15,M631=phu!$I$16,M631=phu!$I$17,M631=phu!$I$18,M631=phu!$I$19,M631=phu!$I$20,M631=phu!$I$21),"Cam Phúc Bắc",""),IF(OR(M631=phu!$I$22,M631=phu!$I$23,M631=phu!$I$24,M631=phu!$I$25),"Cam Phúc Nam",""),IF(OR(M631=phu!$I$26,M631=phu!$I$27,M631=phu!$I$28,M631=phu!$I$29,M631=phu!$I$30,M631=phu!$I$31),"Cam Phú",""),IF(OR(M631=phu!$I$32,M631=phu!$I$33,M631=phu!$I$34,M631=phu!$I$35,M631=phu!$I$36,M631=phu!$I$37),"Cam Lộc",""),IF(OR(M631=phu!$I$38,M631=phu!$I$39,M631=phu!$I$40,M631=phu!$I$41,M631=phu!$I$42,M631=phu!$I$43,M631=phu!$I$44),"Cam Thuận",""),IF(OR(M631=phu!$I$45,M631=phu!$I$46,M631=phu!$I$47,M631=phu!$I$48,M631=phu!$I$49,M631=phu!$I$50,M631=phu!$I$51,M631=phu!$I$52,M631=phu!$I$53),"Cam Linh",""),IF(OR(M631=phu!$I$54,M631=phu!$I$55,M631=phu!$I$56,M631=phu!$I$57,M631=phu!$I$58,M631=phu!$I$59,M631=phu!$I$60,M631=phu!$I$61,M631=phu!$I$62),"Cam Lợi",""),IF(OR(M631=phu!$I$63,M631=phu!$I$64,M631=phu!$I$65,M631=phu!$I$66,M631=phu!$I$67,M631=phu!$I$68,M631=phu!$I$69,M631=phu!$I$70,M631=phu!$I$71),"Ba Ngòi",""),IF(OR(M631=phu!$I$72,M631=phu!$I$73,M631=phu!$I$74,M631=phu!$I$75,M631=phu!$I$76,M631=phu!$I$77,M631=phu!$I$78),"Cam Phước Đông",""),IF(OR(M631=phu!$I$79,M631=phu!$I$80,M631=phu!$I$81,M631=phu!$I$82,M631=phu!$I$83,M631=phu!$I$84),"Cam Thịnh Đông",""),IF(OR(M631=phu!$I$85,M631=phu!$I$86,M631=phu!$I$87,M631=phu!$I$88),"Cam Thịnh Tây",""),IF(OR(M631=phu!$I$89,M631=phu!$I$90),"Cam Lập",""),IF(OR(M631=phu!$I$91,M631=phu!$I$92,M631=phu!$I$93),"Cam Bình",""),IF(OR(M631=phu!$I$94,M631=phu!$I$95,M631=phu!$I$96,M631=phu!$I$97,M631=phu!$I$98,M631=phu!$I$99,M631=phu!$I$100),"Huyện khác",""),IF(OR(M631=phu!$I$101,M631=phu!$I$102),"Tỉnh khác",""))</f>
        <v/>
      </c>
      <c r="O631" s="814" t="str">
        <f t="shared" si="55"/>
        <v/>
      </c>
      <c r="P631" s="254"/>
      <c r="Q631" s="254"/>
      <c r="R631" s="254"/>
      <c r="S631" s="254"/>
      <c r="T631" s="254"/>
      <c r="U631" s="254"/>
      <c r="V631" s="254"/>
      <c r="W631" s="254"/>
      <c r="Y631" s="246" t="str">
        <f t="shared" si="56"/>
        <v/>
      </c>
      <c r="Z631" s="247" t="str">
        <f t="shared" si="54"/>
        <v/>
      </c>
      <c r="AA631" s="246" t="str">
        <f t="shared" si="57"/>
        <v/>
      </c>
    </row>
    <row r="632" spans="1:27" ht="18" customHeight="1" x14ac:dyDescent="0.25">
      <c r="A632" s="248" t="str">
        <f t="shared" si="58"/>
        <v/>
      </c>
      <c r="B632" s="249" t="str">
        <f t="shared" si="59"/>
        <v/>
      </c>
      <c r="C632" s="250"/>
      <c r="D632" s="251"/>
      <c r="E632" s="241"/>
      <c r="F632" s="252"/>
      <c r="G632" s="252"/>
      <c r="H632" s="253"/>
      <c r="I632" s="250"/>
      <c r="J632" s="250"/>
      <c r="K632" s="270"/>
      <c r="L632" s="250"/>
      <c r="M632" s="250"/>
      <c r="N632" s="553" t="str">
        <f>CONCATENATE(IF(OR(M632=phu!$I$1,M632=phu!$I$2,M632=phu!$I$3),"Cam Thành Nam",""),IF(OR(M632=phu!$I$4,M632=phu!$I$5,M632=phu!$I$6,M632=phu!$I$7,M632=phu!$I$8,M632=phu!$I$9,M632=phu!$I$10,M632=phu!$I$11,M632=phu!$I$12,M632=phu!$I$13,M632=phu!$I$14),"Cam Nghĩa",""),IF(OR(M632=phu!$I$15,M632=phu!$I$16,M632=phu!$I$17,M632=phu!$I$18,M632=phu!$I$19,M632=phu!$I$20,M632=phu!$I$21),"Cam Phúc Bắc",""),IF(OR(M632=phu!$I$22,M632=phu!$I$23,M632=phu!$I$24,M632=phu!$I$25),"Cam Phúc Nam",""),IF(OR(M632=phu!$I$26,M632=phu!$I$27,M632=phu!$I$28,M632=phu!$I$29,M632=phu!$I$30,M632=phu!$I$31),"Cam Phú",""),IF(OR(M632=phu!$I$32,M632=phu!$I$33,M632=phu!$I$34,M632=phu!$I$35,M632=phu!$I$36,M632=phu!$I$37),"Cam Lộc",""),IF(OR(M632=phu!$I$38,M632=phu!$I$39,M632=phu!$I$40,M632=phu!$I$41,M632=phu!$I$42,M632=phu!$I$43,M632=phu!$I$44),"Cam Thuận",""),IF(OR(M632=phu!$I$45,M632=phu!$I$46,M632=phu!$I$47,M632=phu!$I$48,M632=phu!$I$49,M632=phu!$I$50,M632=phu!$I$51,M632=phu!$I$52,M632=phu!$I$53),"Cam Linh",""),IF(OR(M632=phu!$I$54,M632=phu!$I$55,M632=phu!$I$56,M632=phu!$I$57,M632=phu!$I$58,M632=phu!$I$59,M632=phu!$I$60,M632=phu!$I$61,M632=phu!$I$62),"Cam Lợi",""),IF(OR(M632=phu!$I$63,M632=phu!$I$64,M632=phu!$I$65,M632=phu!$I$66,M632=phu!$I$67,M632=phu!$I$68,M632=phu!$I$69,M632=phu!$I$70,M632=phu!$I$71),"Ba Ngòi",""),IF(OR(M632=phu!$I$72,M632=phu!$I$73,M632=phu!$I$74,M632=phu!$I$75,M632=phu!$I$76,M632=phu!$I$77,M632=phu!$I$78),"Cam Phước Đông",""),IF(OR(M632=phu!$I$79,M632=phu!$I$80,M632=phu!$I$81,M632=phu!$I$82,M632=phu!$I$83,M632=phu!$I$84),"Cam Thịnh Đông",""),IF(OR(M632=phu!$I$85,M632=phu!$I$86,M632=phu!$I$87,M632=phu!$I$88),"Cam Thịnh Tây",""),IF(OR(M632=phu!$I$89,M632=phu!$I$90),"Cam Lập",""),IF(OR(M632=phu!$I$91,M632=phu!$I$92,M632=phu!$I$93),"Cam Bình",""),IF(OR(M632=phu!$I$94,M632=phu!$I$95,M632=phu!$I$96,M632=phu!$I$97,M632=phu!$I$98,M632=phu!$I$99,M632=phu!$I$100),"Huyện khác",""),IF(OR(M632=phu!$I$101,M632=phu!$I$102),"Tỉnh khác",""))</f>
        <v/>
      </c>
      <c r="O632" s="814" t="str">
        <f t="shared" si="55"/>
        <v/>
      </c>
      <c r="P632" s="254"/>
      <c r="Q632" s="254"/>
      <c r="R632" s="254"/>
      <c r="S632" s="254"/>
      <c r="T632" s="254"/>
      <c r="U632" s="254"/>
      <c r="V632" s="254"/>
      <c r="W632" s="254"/>
      <c r="Y632" s="246" t="str">
        <f t="shared" si="56"/>
        <v/>
      </c>
      <c r="Z632" s="247" t="str">
        <f t="shared" si="54"/>
        <v/>
      </c>
      <c r="AA632" s="246" t="str">
        <f t="shared" si="57"/>
        <v/>
      </c>
    </row>
    <row r="633" spans="1:27" ht="18" customHeight="1" x14ac:dyDescent="0.25">
      <c r="A633" s="248" t="str">
        <f t="shared" si="58"/>
        <v/>
      </c>
      <c r="B633" s="249" t="str">
        <f t="shared" si="59"/>
        <v/>
      </c>
      <c r="C633" s="250"/>
      <c r="D633" s="251"/>
      <c r="E633" s="241"/>
      <c r="F633" s="252"/>
      <c r="G633" s="252"/>
      <c r="H633" s="253"/>
      <c r="I633" s="250"/>
      <c r="J633" s="250"/>
      <c r="K633" s="270"/>
      <c r="L633" s="250"/>
      <c r="M633" s="250"/>
      <c r="N633" s="553" t="str">
        <f>CONCATENATE(IF(OR(M633=phu!$I$1,M633=phu!$I$2,M633=phu!$I$3),"Cam Thành Nam",""),IF(OR(M633=phu!$I$4,M633=phu!$I$5,M633=phu!$I$6,M633=phu!$I$7,M633=phu!$I$8,M633=phu!$I$9,M633=phu!$I$10,M633=phu!$I$11,M633=phu!$I$12,M633=phu!$I$13,M633=phu!$I$14),"Cam Nghĩa",""),IF(OR(M633=phu!$I$15,M633=phu!$I$16,M633=phu!$I$17,M633=phu!$I$18,M633=phu!$I$19,M633=phu!$I$20,M633=phu!$I$21),"Cam Phúc Bắc",""),IF(OR(M633=phu!$I$22,M633=phu!$I$23,M633=phu!$I$24,M633=phu!$I$25),"Cam Phúc Nam",""),IF(OR(M633=phu!$I$26,M633=phu!$I$27,M633=phu!$I$28,M633=phu!$I$29,M633=phu!$I$30,M633=phu!$I$31),"Cam Phú",""),IF(OR(M633=phu!$I$32,M633=phu!$I$33,M633=phu!$I$34,M633=phu!$I$35,M633=phu!$I$36,M633=phu!$I$37),"Cam Lộc",""),IF(OR(M633=phu!$I$38,M633=phu!$I$39,M633=phu!$I$40,M633=phu!$I$41,M633=phu!$I$42,M633=phu!$I$43,M633=phu!$I$44),"Cam Thuận",""),IF(OR(M633=phu!$I$45,M633=phu!$I$46,M633=phu!$I$47,M633=phu!$I$48,M633=phu!$I$49,M633=phu!$I$50,M633=phu!$I$51,M633=phu!$I$52,M633=phu!$I$53),"Cam Linh",""),IF(OR(M633=phu!$I$54,M633=phu!$I$55,M633=phu!$I$56,M633=phu!$I$57,M633=phu!$I$58,M633=phu!$I$59,M633=phu!$I$60,M633=phu!$I$61,M633=phu!$I$62),"Cam Lợi",""),IF(OR(M633=phu!$I$63,M633=phu!$I$64,M633=phu!$I$65,M633=phu!$I$66,M633=phu!$I$67,M633=phu!$I$68,M633=phu!$I$69,M633=phu!$I$70,M633=phu!$I$71),"Ba Ngòi",""),IF(OR(M633=phu!$I$72,M633=phu!$I$73,M633=phu!$I$74,M633=phu!$I$75,M633=phu!$I$76,M633=phu!$I$77,M633=phu!$I$78),"Cam Phước Đông",""),IF(OR(M633=phu!$I$79,M633=phu!$I$80,M633=phu!$I$81,M633=phu!$I$82,M633=phu!$I$83,M633=phu!$I$84),"Cam Thịnh Đông",""),IF(OR(M633=phu!$I$85,M633=phu!$I$86,M633=phu!$I$87,M633=phu!$I$88),"Cam Thịnh Tây",""),IF(OR(M633=phu!$I$89,M633=phu!$I$90),"Cam Lập",""),IF(OR(M633=phu!$I$91,M633=phu!$I$92,M633=phu!$I$93),"Cam Bình",""),IF(OR(M633=phu!$I$94,M633=phu!$I$95,M633=phu!$I$96,M633=phu!$I$97,M633=phu!$I$98,M633=phu!$I$99,M633=phu!$I$100),"Huyện khác",""),IF(OR(M633=phu!$I$101,M633=phu!$I$102),"Tỉnh khác",""))</f>
        <v/>
      </c>
      <c r="O633" s="814" t="str">
        <f t="shared" si="55"/>
        <v/>
      </c>
      <c r="P633" s="254"/>
      <c r="Q633" s="254"/>
      <c r="R633" s="254"/>
      <c r="S633" s="254"/>
      <c r="T633" s="254"/>
      <c r="U633" s="254"/>
      <c r="V633" s="254"/>
      <c r="W633" s="254"/>
      <c r="Y633" s="246" t="str">
        <f t="shared" si="56"/>
        <v/>
      </c>
      <c r="Z633" s="247" t="str">
        <f t="shared" si="54"/>
        <v/>
      </c>
      <c r="AA633" s="246" t="str">
        <f t="shared" si="57"/>
        <v/>
      </c>
    </row>
    <row r="634" spans="1:27" ht="18" customHeight="1" x14ac:dyDescent="0.25">
      <c r="A634" s="248" t="str">
        <f t="shared" si="58"/>
        <v/>
      </c>
      <c r="B634" s="249" t="str">
        <f t="shared" si="59"/>
        <v/>
      </c>
      <c r="C634" s="250"/>
      <c r="D634" s="251"/>
      <c r="E634" s="241"/>
      <c r="F634" s="252"/>
      <c r="G634" s="252"/>
      <c r="H634" s="253"/>
      <c r="I634" s="250"/>
      <c r="J634" s="250"/>
      <c r="K634" s="270"/>
      <c r="L634" s="250"/>
      <c r="M634" s="250"/>
      <c r="N634" s="553" t="str">
        <f>CONCATENATE(IF(OR(M634=phu!$I$1,M634=phu!$I$2,M634=phu!$I$3),"Cam Thành Nam",""),IF(OR(M634=phu!$I$4,M634=phu!$I$5,M634=phu!$I$6,M634=phu!$I$7,M634=phu!$I$8,M634=phu!$I$9,M634=phu!$I$10,M634=phu!$I$11,M634=phu!$I$12,M634=phu!$I$13,M634=phu!$I$14),"Cam Nghĩa",""),IF(OR(M634=phu!$I$15,M634=phu!$I$16,M634=phu!$I$17,M634=phu!$I$18,M634=phu!$I$19,M634=phu!$I$20,M634=phu!$I$21),"Cam Phúc Bắc",""),IF(OR(M634=phu!$I$22,M634=phu!$I$23,M634=phu!$I$24,M634=phu!$I$25),"Cam Phúc Nam",""),IF(OR(M634=phu!$I$26,M634=phu!$I$27,M634=phu!$I$28,M634=phu!$I$29,M634=phu!$I$30,M634=phu!$I$31),"Cam Phú",""),IF(OR(M634=phu!$I$32,M634=phu!$I$33,M634=phu!$I$34,M634=phu!$I$35,M634=phu!$I$36,M634=phu!$I$37),"Cam Lộc",""),IF(OR(M634=phu!$I$38,M634=phu!$I$39,M634=phu!$I$40,M634=phu!$I$41,M634=phu!$I$42,M634=phu!$I$43,M634=phu!$I$44),"Cam Thuận",""),IF(OR(M634=phu!$I$45,M634=phu!$I$46,M634=phu!$I$47,M634=phu!$I$48,M634=phu!$I$49,M634=phu!$I$50,M634=phu!$I$51,M634=phu!$I$52,M634=phu!$I$53),"Cam Linh",""),IF(OR(M634=phu!$I$54,M634=phu!$I$55,M634=phu!$I$56,M634=phu!$I$57,M634=phu!$I$58,M634=phu!$I$59,M634=phu!$I$60,M634=phu!$I$61,M634=phu!$I$62),"Cam Lợi",""),IF(OR(M634=phu!$I$63,M634=phu!$I$64,M634=phu!$I$65,M634=phu!$I$66,M634=phu!$I$67,M634=phu!$I$68,M634=phu!$I$69,M634=phu!$I$70,M634=phu!$I$71),"Ba Ngòi",""),IF(OR(M634=phu!$I$72,M634=phu!$I$73,M634=phu!$I$74,M634=phu!$I$75,M634=phu!$I$76,M634=phu!$I$77,M634=phu!$I$78),"Cam Phước Đông",""),IF(OR(M634=phu!$I$79,M634=phu!$I$80,M634=phu!$I$81,M634=phu!$I$82,M634=phu!$I$83,M634=phu!$I$84),"Cam Thịnh Đông",""),IF(OR(M634=phu!$I$85,M634=phu!$I$86,M634=phu!$I$87,M634=phu!$I$88),"Cam Thịnh Tây",""),IF(OR(M634=phu!$I$89,M634=phu!$I$90),"Cam Lập",""),IF(OR(M634=phu!$I$91,M634=phu!$I$92,M634=phu!$I$93),"Cam Bình",""),IF(OR(M634=phu!$I$94,M634=phu!$I$95,M634=phu!$I$96,M634=phu!$I$97,M634=phu!$I$98,M634=phu!$I$99,M634=phu!$I$100),"Huyện khác",""),IF(OR(M634=phu!$I$101,M634=phu!$I$102),"Tỉnh khác",""))</f>
        <v/>
      </c>
      <c r="O634" s="814" t="str">
        <f t="shared" si="55"/>
        <v/>
      </c>
      <c r="P634" s="254"/>
      <c r="Q634" s="254"/>
      <c r="R634" s="254"/>
      <c r="S634" s="254"/>
      <c r="T634" s="254"/>
      <c r="U634" s="254"/>
      <c r="V634" s="254"/>
      <c r="W634" s="254"/>
      <c r="Y634" s="246" t="str">
        <f t="shared" si="56"/>
        <v/>
      </c>
      <c r="Z634" s="247" t="str">
        <f t="shared" si="54"/>
        <v/>
      </c>
      <c r="AA634" s="246" t="str">
        <f t="shared" si="57"/>
        <v/>
      </c>
    </row>
    <row r="635" spans="1:27" ht="18" customHeight="1" x14ac:dyDescent="0.25">
      <c r="A635" s="248" t="str">
        <f t="shared" si="58"/>
        <v/>
      </c>
      <c r="B635" s="249" t="str">
        <f t="shared" si="59"/>
        <v/>
      </c>
      <c r="C635" s="250"/>
      <c r="D635" s="251"/>
      <c r="E635" s="241"/>
      <c r="F635" s="252"/>
      <c r="G635" s="252"/>
      <c r="H635" s="253"/>
      <c r="I635" s="250"/>
      <c r="J635" s="250"/>
      <c r="K635" s="270"/>
      <c r="L635" s="250"/>
      <c r="M635" s="250"/>
      <c r="N635" s="553" t="str">
        <f>CONCATENATE(IF(OR(M635=phu!$I$1,M635=phu!$I$2,M635=phu!$I$3),"Cam Thành Nam",""),IF(OR(M635=phu!$I$4,M635=phu!$I$5,M635=phu!$I$6,M635=phu!$I$7,M635=phu!$I$8,M635=phu!$I$9,M635=phu!$I$10,M635=phu!$I$11,M635=phu!$I$12,M635=phu!$I$13,M635=phu!$I$14),"Cam Nghĩa",""),IF(OR(M635=phu!$I$15,M635=phu!$I$16,M635=phu!$I$17,M635=phu!$I$18,M635=phu!$I$19,M635=phu!$I$20,M635=phu!$I$21),"Cam Phúc Bắc",""),IF(OR(M635=phu!$I$22,M635=phu!$I$23,M635=phu!$I$24,M635=phu!$I$25),"Cam Phúc Nam",""),IF(OR(M635=phu!$I$26,M635=phu!$I$27,M635=phu!$I$28,M635=phu!$I$29,M635=phu!$I$30,M635=phu!$I$31),"Cam Phú",""),IF(OR(M635=phu!$I$32,M635=phu!$I$33,M635=phu!$I$34,M635=phu!$I$35,M635=phu!$I$36,M635=phu!$I$37),"Cam Lộc",""),IF(OR(M635=phu!$I$38,M635=phu!$I$39,M635=phu!$I$40,M635=phu!$I$41,M635=phu!$I$42,M635=phu!$I$43,M635=phu!$I$44),"Cam Thuận",""),IF(OR(M635=phu!$I$45,M635=phu!$I$46,M635=phu!$I$47,M635=phu!$I$48,M635=phu!$I$49,M635=phu!$I$50,M635=phu!$I$51,M635=phu!$I$52,M635=phu!$I$53),"Cam Linh",""),IF(OR(M635=phu!$I$54,M635=phu!$I$55,M635=phu!$I$56,M635=phu!$I$57,M635=phu!$I$58,M635=phu!$I$59,M635=phu!$I$60,M635=phu!$I$61,M635=phu!$I$62),"Cam Lợi",""),IF(OR(M635=phu!$I$63,M635=phu!$I$64,M635=phu!$I$65,M635=phu!$I$66,M635=phu!$I$67,M635=phu!$I$68,M635=phu!$I$69,M635=phu!$I$70,M635=phu!$I$71),"Ba Ngòi",""),IF(OR(M635=phu!$I$72,M635=phu!$I$73,M635=phu!$I$74,M635=phu!$I$75,M635=phu!$I$76,M635=phu!$I$77,M635=phu!$I$78),"Cam Phước Đông",""),IF(OR(M635=phu!$I$79,M635=phu!$I$80,M635=phu!$I$81,M635=phu!$I$82,M635=phu!$I$83,M635=phu!$I$84),"Cam Thịnh Đông",""),IF(OR(M635=phu!$I$85,M635=phu!$I$86,M635=phu!$I$87,M635=phu!$I$88),"Cam Thịnh Tây",""),IF(OR(M635=phu!$I$89,M635=phu!$I$90),"Cam Lập",""),IF(OR(M635=phu!$I$91,M635=phu!$I$92,M635=phu!$I$93),"Cam Bình",""),IF(OR(M635=phu!$I$94,M635=phu!$I$95,M635=phu!$I$96,M635=phu!$I$97,M635=phu!$I$98,M635=phu!$I$99,M635=phu!$I$100),"Huyện khác",""),IF(OR(M635=phu!$I$101,M635=phu!$I$102),"Tỉnh khác",""))</f>
        <v/>
      </c>
      <c r="O635" s="814" t="str">
        <f t="shared" si="55"/>
        <v/>
      </c>
      <c r="P635" s="254"/>
      <c r="Q635" s="254"/>
      <c r="R635" s="254"/>
      <c r="S635" s="254"/>
      <c r="T635" s="254"/>
      <c r="U635" s="254"/>
      <c r="V635" s="254"/>
      <c r="W635" s="254"/>
      <c r="Y635" s="246" t="str">
        <f t="shared" si="56"/>
        <v/>
      </c>
      <c r="Z635" s="247" t="str">
        <f t="shared" si="54"/>
        <v/>
      </c>
      <c r="AA635" s="246" t="str">
        <f t="shared" si="57"/>
        <v/>
      </c>
    </row>
    <row r="636" spans="1:27" ht="18" customHeight="1" x14ac:dyDescent="0.25">
      <c r="A636" s="248" t="str">
        <f t="shared" si="58"/>
        <v/>
      </c>
      <c r="B636" s="249" t="str">
        <f t="shared" si="59"/>
        <v/>
      </c>
      <c r="C636" s="250"/>
      <c r="D636" s="251"/>
      <c r="E636" s="241"/>
      <c r="F636" s="252"/>
      <c r="G636" s="252"/>
      <c r="H636" s="253"/>
      <c r="I636" s="250"/>
      <c r="J636" s="250"/>
      <c r="K636" s="270"/>
      <c r="L636" s="250"/>
      <c r="M636" s="250"/>
      <c r="N636" s="553" t="str">
        <f>CONCATENATE(IF(OR(M636=phu!$I$1,M636=phu!$I$2,M636=phu!$I$3),"Cam Thành Nam",""),IF(OR(M636=phu!$I$4,M636=phu!$I$5,M636=phu!$I$6,M636=phu!$I$7,M636=phu!$I$8,M636=phu!$I$9,M636=phu!$I$10,M636=phu!$I$11,M636=phu!$I$12,M636=phu!$I$13,M636=phu!$I$14),"Cam Nghĩa",""),IF(OR(M636=phu!$I$15,M636=phu!$I$16,M636=phu!$I$17,M636=phu!$I$18,M636=phu!$I$19,M636=phu!$I$20,M636=phu!$I$21),"Cam Phúc Bắc",""),IF(OR(M636=phu!$I$22,M636=phu!$I$23,M636=phu!$I$24,M636=phu!$I$25),"Cam Phúc Nam",""),IF(OR(M636=phu!$I$26,M636=phu!$I$27,M636=phu!$I$28,M636=phu!$I$29,M636=phu!$I$30,M636=phu!$I$31),"Cam Phú",""),IF(OR(M636=phu!$I$32,M636=phu!$I$33,M636=phu!$I$34,M636=phu!$I$35,M636=phu!$I$36,M636=phu!$I$37),"Cam Lộc",""),IF(OR(M636=phu!$I$38,M636=phu!$I$39,M636=phu!$I$40,M636=phu!$I$41,M636=phu!$I$42,M636=phu!$I$43,M636=phu!$I$44),"Cam Thuận",""),IF(OR(M636=phu!$I$45,M636=phu!$I$46,M636=phu!$I$47,M636=phu!$I$48,M636=phu!$I$49,M636=phu!$I$50,M636=phu!$I$51,M636=phu!$I$52,M636=phu!$I$53),"Cam Linh",""),IF(OR(M636=phu!$I$54,M636=phu!$I$55,M636=phu!$I$56,M636=phu!$I$57,M636=phu!$I$58,M636=phu!$I$59,M636=phu!$I$60,M636=phu!$I$61,M636=phu!$I$62),"Cam Lợi",""),IF(OR(M636=phu!$I$63,M636=phu!$I$64,M636=phu!$I$65,M636=phu!$I$66,M636=phu!$I$67,M636=phu!$I$68,M636=phu!$I$69,M636=phu!$I$70,M636=phu!$I$71),"Ba Ngòi",""),IF(OR(M636=phu!$I$72,M636=phu!$I$73,M636=phu!$I$74,M636=phu!$I$75,M636=phu!$I$76,M636=phu!$I$77,M636=phu!$I$78),"Cam Phước Đông",""),IF(OR(M636=phu!$I$79,M636=phu!$I$80,M636=phu!$I$81,M636=phu!$I$82,M636=phu!$I$83,M636=phu!$I$84),"Cam Thịnh Đông",""),IF(OR(M636=phu!$I$85,M636=phu!$I$86,M636=phu!$I$87,M636=phu!$I$88),"Cam Thịnh Tây",""),IF(OR(M636=phu!$I$89,M636=phu!$I$90),"Cam Lập",""),IF(OR(M636=phu!$I$91,M636=phu!$I$92,M636=phu!$I$93),"Cam Bình",""),IF(OR(M636=phu!$I$94,M636=phu!$I$95,M636=phu!$I$96,M636=phu!$I$97,M636=phu!$I$98,M636=phu!$I$99,M636=phu!$I$100),"Huyện khác",""),IF(OR(M636=phu!$I$101,M636=phu!$I$102),"Tỉnh khác",""))</f>
        <v/>
      </c>
      <c r="O636" s="814" t="str">
        <f t="shared" si="55"/>
        <v/>
      </c>
      <c r="P636" s="254"/>
      <c r="Q636" s="254"/>
      <c r="R636" s="254"/>
      <c r="S636" s="254"/>
      <c r="T636" s="254"/>
      <c r="U636" s="254"/>
      <c r="V636" s="254"/>
      <c r="W636" s="254"/>
      <c r="Y636" s="246" t="str">
        <f t="shared" si="56"/>
        <v/>
      </c>
      <c r="Z636" s="247" t="str">
        <f t="shared" si="54"/>
        <v/>
      </c>
      <c r="AA636" s="246" t="str">
        <f t="shared" si="57"/>
        <v/>
      </c>
    </row>
    <row r="637" spans="1:27" ht="18" customHeight="1" x14ac:dyDescent="0.25">
      <c r="A637" s="248" t="str">
        <f t="shared" si="58"/>
        <v/>
      </c>
      <c r="B637" s="249" t="str">
        <f t="shared" si="59"/>
        <v/>
      </c>
      <c r="C637" s="250"/>
      <c r="D637" s="251"/>
      <c r="E637" s="241"/>
      <c r="F637" s="252"/>
      <c r="G637" s="252"/>
      <c r="H637" s="253"/>
      <c r="I637" s="250"/>
      <c r="J637" s="250"/>
      <c r="K637" s="270"/>
      <c r="L637" s="250"/>
      <c r="M637" s="250"/>
      <c r="N637" s="553" t="str">
        <f>CONCATENATE(IF(OR(M637=phu!$I$1,M637=phu!$I$2,M637=phu!$I$3),"Cam Thành Nam",""),IF(OR(M637=phu!$I$4,M637=phu!$I$5,M637=phu!$I$6,M637=phu!$I$7,M637=phu!$I$8,M637=phu!$I$9,M637=phu!$I$10,M637=phu!$I$11,M637=phu!$I$12,M637=phu!$I$13,M637=phu!$I$14),"Cam Nghĩa",""),IF(OR(M637=phu!$I$15,M637=phu!$I$16,M637=phu!$I$17,M637=phu!$I$18,M637=phu!$I$19,M637=phu!$I$20,M637=phu!$I$21),"Cam Phúc Bắc",""),IF(OR(M637=phu!$I$22,M637=phu!$I$23,M637=phu!$I$24,M637=phu!$I$25),"Cam Phúc Nam",""),IF(OR(M637=phu!$I$26,M637=phu!$I$27,M637=phu!$I$28,M637=phu!$I$29,M637=phu!$I$30,M637=phu!$I$31),"Cam Phú",""),IF(OR(M637=phu!$I$32,M637=phu!$I$33,M637=phu!$I$34,M637=phu!$I$35,M637=phu!$I$36,M637=phu!$I$37),"Cam Lộc",""),IF(OR(M637=phu!$I$38,M637=phu!$I$39,M637=phu!$I$40,M637=phu!$I$41,M637=phu!$I$42,M637=phu!$I$43,M637=phu!$I$44),"Cam Thuận",""),IF(OR(M637=phu!$I$45,M637=phu!$I$46,M637=phu!$I$47,M637=phu!$I$48,M637=phu!$I$49,M637=phu!$I$50,M637=phu!$I$51,M637=phu!$I$52,M637=phu!$I$53),"Cam Linh",""),IF(OR(M637=phu!$I$54,M637=phu!$I$55,M637=phu!$I$56,M637=phu!$I$57,M637=phu!$I$58,M637=phu!$I$59,M637=phu!$I$60,M637=phu!$I$61,M637=phu!$I$62),"Cam Lợi",""),IF(OR(M637=phu!$I$63,M637=phu!$I$64,M637=phu!$I$65,M637=phu!$I$66,M637=phu!$I$67,M637=phu!$I$68,M637=phu!$I$69,M637=phu!$I$70,M637=phu!$I$71),"Ba Ngòi",""),IF(OR(M637=phu!$I$72,M637=phu!$I$73,M637=phu!$I$74,M637=phu!$I$75,M637=phu!$I$76,M637=phu!$I$77,M637=phu!$I$78),"Cam Phước Đông",""),IF(OR(M637=phu!$I$79,M637=phu!$I$80,M637=phu!$I$81,M637=phu!$I$82,M637=phu!$I$83,M637=phu!$I$84),"Cam Thịnh Đông",""),IF(OR(M637=phu!$I$85,M637=phu!$I$86,M637=phu!$I$87,M637=phu!$I$88),"Cam Thịnh Tây",""),IF(OR(M637=phu!$I$89,M637=phu!$I$90),"Cam Lập",""),IF(OR(M637=phu!$I$91,M637=phu!$I$92,M637=phu!$I$93),"Cam Bình",""),IF(OR(M637=phu!$I$94,M637=phu!$I$95,M637=phu!$I$96,M637=phu!$I$97,M637=phu!$I$98,M637=phu!$I$99,M637=phu!$I$100),"Huyện khác",""),IF(OR(M637=phu!$I$101,M637=phu!$I$102),"Tỉnh khác",""))</f>
        <v/>
      </c>
      <c r="O637" s="814" t="str">
        <f t="shared" si="55"/>
        <v/>
      </c>
      <c r="P637" s="254"/>
      <c r="Q637" s="254"/>
      <c r="R637" s="254"/>
      <c r="S637" s="254"/>
      <c r="T637" s="254"/>
      <c r="U637" s="254"/>
      <c r="V637" s="254"/>
      <c r="W637" s="254"/>
      <c r="Y637" s="246" t="str">
        <f t="shared" si="56"/>
        <v/>
      </c>
      <c r="Z637" s="247" t="str">
        <f t="shared" si="54"/>
        <v/>
      </c>
      <c r="AA637" s="246" t="str">
        <f t="shared" si="57"/>
        <v/>
      </c>
    </row>
    <row r="638" spans="1:27" ht="18" customHeight="1" x14ac:dyDescent="0.25">
      <c r="A638" s="248" t="str">
        <f t="shared" si="58"/>
        <v/>
      </c>
      <c r="B638" s="249" t="str">
        <f t="shared" si="59"/>
        <v/>
      </c>
      <c r="C638" s="250"/>
      <c r="D638" s="251"/>
      <c r="E638" s="241"/>
      <c r="F638" s="252"/>
      <c r="G638" s="252"/>
      <c r="H638" s="253"/>
      <c r="I638" s="250"/>
      <c r="J638" s="250"/>
      <c r="K638" s="270"/>
      <c r="L638" s="250"/>
      <c r="M638" s="250"/>
      <c r="N638" s="553" t="str">
        <f>CONCATENATE(IF(OR(M638=phu!$I$1,M638=phu!$I$2,M638=phu!$I$3),"Cam Thành Nam",""),IF(OR(M638=phu!$I$4,M638=phu!$I$5,M638=phu!$I$6,M638=phu!$I$7,M638=phu!$I$8,M638=phu!$I$9,M638=phu!$I$10,M638=phu!$I$11,M638=phu!$I$12,M638=phu!$I$13,M638=phu!$I$14),"Cam Nghĩa",""),IF(OR(M638=phu!$I$15,M638=phu!$I$16,M638=phu!$I$17,M638=phu!$I$18,M638=phu!$I$19,M638=phu!$I$20,M638=phu!$I$21),"Cam Phúc Bắc",""),IF(OR(M638=phu!$I$22,M638=phu!$I$23,M638=phu!$I$24,M638=phu!$I$25),"Cam Phúc Nam",""),IF(OR(M638=phu!$I$26,M638=phu!$I$27,M638=phu!$I$28,M638=phu!$I$29,M638=phu!$I$30,M638=phu!$I$31),"Cam Phú",""),IF(OR(M638=phu!$I$32,M638=phu!$I$33,M638=phu!$I$34,M638=phu!$I$35,M638=phu!$I$36,M638=phu!$I$37),"Cam Lộc",""),IF(OR(M638=phu!$I$38,M638=phu!$I$39,M638=phu!$I$40,M638=phu!$I$41,M638=phu!$I$42,M638=phu!$I$43,M638=phu!$I$44),"Cam Thuận",""),IF(OR(M638=phu!$I$45,M638=phu!$I$46,M638=phu!$I$47,M638=phu!$I$48,M638=phu!$I$49,M638=phu!$I$50,M638=phu!$I$51,M638=phu!$I$52,M638=phu!$I$53),"Cam Linh",""),IF(OR(M638=phu!$I$54,M638=phu!$I$55,M638=phu!$I$56,M638=phu!$I$57,M638=phu!$I$58,M638=phu!$I$59,M638=phu!$I$60,M638=phu!$I$61,M638=phu!$I$62),"Cam Lợi",""),IF(OR(M638=phu!$I$63,M638=phu!$I$64,M638=phu!$I$65,M638=phu!$I$66,M638=phu!$I$67,M638=phu!$I$68,M638=phu!$I$69,M638=phu!$I$70,M638=phu!$I$71),"Ba Ngòi",""),IF(OR(M638=phu!$I$72,M638=phu!$I$73,M638=phu!$I$74,M638=phu!$I$75,M638=phu!$I$76,M638=phu!$I$77,M638=phu!$I$78),"Cam Phước Đông",""),IF(OR(M638=phu!$I$79,M638=phu!$I$80,M638=phu!$I$81,M638=phu!$I$82,M638=phu!$I$83,M638=phu!$I$84),"Cam Thịnh Đông",""),IF(OR(M638=phu!$I$85,M638=phu!$I$86,M638=phu!$I$87,M638=phu!$I$88),"Cam Thịnh Tây",""),IF(OR(M638=phu!$I$89,M638=phu!$I$90),"Cam Lập",""),IF(OR(M638=phu!$I$91,M638=phu!$I$92,M638=phu!$I$93),"Cam Bình",""),IF(OR(M638=phu!$I$94,M638=phu!$I$95,M638=phu!$I$96,M638=phu!$I$97,M638=phu!$I$98,M638=phu!$I$99,M638=phu!$I$100),"Huyện khác",""),IF(OR(M638=phu!$I$101,M638=phu!$I$102),"Tỉnh khác",""))</f>
        <v/>
      </c>
      <c r="O638" s="814" t="str">
        <f t="shared" si="55"/>
        <v/>
      </c>
      <c r="P638" s="254"/>
      <c r="Q638" s="254"/>
      <c r="R638" s="254"/>
      <c r="S638" s="254"/>
      <c r="T638" s="254"/>
      <c r="U638" s="254"/>
      <c r="V638" s="254"/>
      <c r="W638" s="254"/>
      <c r="Y638" s="246" t="str">
        <f t="shared" si="56"/>
        <v/>
      </c>
      <c r="Z638" s="247" t="str">
        <f t="shared" si="54"/>
        <v/>
      </c>
      <c r="AA638" s="246" t="str">
        <f t="shared" si="57"/>
        <v/>
      </c>
    </row>
    <row r="639" spans="1:27" ht="18" customHeight="1" x14ac:dyDescent="0.25">
      <c r="A639" s="248" t="str">
        <f t="shared" si="58"/>
        <v/>
      </c>
      <c r="B639" s="249" t="str">
        <f t="shared" si="59"/>
        <v/>
      </c>
      <c r="C639" s="250"/>
      <c r="D639" s="251"/>
      <c r="E639" s="241"/>
      <c r="F639" s="252"/>
      <c r="G639" s="252"/>
      <c r="H639" s="253"/>
      <c r="I639" s="250"/>
      <c r="J639" s="250"/>
      <c r="K639" s="270"/>
      <c r="L639" s="250"/>
      <c r="M639" s="250"/>
      <c r="N639" s="553" t="str">
        <f>CONCATENATE(IF(OR(M639=phu!$I$1,M639=phu!$I$2,M639=phu!$I$3),"Cam Thành Nam",""),IF(OR(M639=phu!$I$4,M639=phu!$I$5,M639=phu!$I$6,M639=phu!$I$7,M639=phu!$I$8,M639=phu!$I$9,M639=phu!$I$10,M639=phu!$I$11,M639=phu!$I$12,M639=phu!$I$13,M639=phu!$I$14),"Cam Nghĩa",""),IF(OR(M639=phu!$I$15,M639=phu!$I$16,M639=phu!$I$17,M639=phu!$I$18,M639=phu!$I$19,M639=phu!$I$20,M639=phu!$I$21),"Cam Phúc Bắc",""),IF(OR(M639=phu!$I$22,M639=phu!$I$23,M639=phu!$I$24,M639=phu!$I$25),"Cam Phúc Nam",""),IF(OR(M639=phu!$I$26,M639=phu!$I$27,M639=phu!$I$28,M639=phu!$I$29,M639=phu!$I$30,M639=phu!$I$31),"Cam Phú",""),IF(OR(M639=phu!$I$32,M639=phu!$I$33,M639=phu!$I$34,M639=phu!$I$35,M639=phu!$I$36,M639=phu!$I$37),"Cam Lộc",""),IF(OR(M639=phu!$I$38,M639=phu!$I$39,M639=phu!$I$40,M639=phu!$I$41,M639=phu!$I$42,M639=phu!$I$43,M639=phu!$I$44),"Cam Thuận",""),IF(OR(M639=phu!$I$45,M639=phu!$I$46,M639=phu!$I$47,M639=phu!$I$48,M639=phu!$I$49,M639=phu!$I$50,M639=phu!$I$51,M639=phu!$I$52,M639=phu!$I$53),"Cam Linh",""),IF(OR(M639=phu!$I$54,M639=phu!$I$55,M639=phu!$I$56,M639=phu!$I$57,M639=phu!$I$58,M639=phu!$I$59,M639=phu!$I$60,M639=phu!$I$61,M639=phu!$I$62),"Cam Lợi",""),IF(OR(M639=phu!$I$63,M639=phu!$I$64,M639=phu!$I$65,M639=phu!$I$66,M639=phu!$I$67,M639=phu!$I$68,M639=phu!$I$69,M639=phu!$I$70,M639=phu!$I$71),"Ba Ngòi",""),IF(OR(M639=phu!$I$72,M639=phu!$I$73,M639=phu!$I$74,M639=phu!$I$75,M639=phu!$I$76,M639=phu!$I$77,M639=phu!$I$78),"Cam Phước Đông",""),IF(OR(M639=phu!$I$79,M639=phu!$I$80,M639=phu!$I$81,M639=phu!$I$82,M639=phu!$I$83,M639=phu!$I$84),"Cam Thịnh Đông",""),IF(OR(M639=phu!$I$85,M639=phu!$I$86,M639=phu!$I$87,M639=phu!$I$88),"Cam Thịnh Tây",""),IF(OR(M639=phu!$I$89,M639=phu!$I$90),"Cam Lập",""),IF(OR(M639=phu!$I$91,M639=phu!$I$92,M639=phu!$I$93),"Cam Bình",""),IF(OR(M639=phu!$I$94,M639=phu!$I$95,M639=phu!$I$96,M639=phu!$I$97,M639=phu!$I$98,M639=phu!$I$99,M639=phu!$I$100),"Huyện khác",""),IF(OR(M639=phu!$I$101,M639=phu!$I$102),"Tỉnh khác",""))</f>
        <v/>
      </c>
      <c r="O639" s="814" t="str">
        <f t="shared" si="55"/>
        <v/>
      </c>
      <c r="P639" s="254"/>
      <c r="Q639" s="254"/>
      <c r="R639" s="254"/>
      <c r="S639" s="254"/>
      <c r="T639" s="254"/>
      <c r="U639" s="254"/>
      <c r="V639" s="254"/>
      <c r="W639" s="254"/>
      <c r="Y639" s="246" t="str">
        <f t="shared" si="56"/>
        <v/>
      </c>
      <c r="Z639" s="247" t="str">
        <f t="shared" si="54"/>
        <v/>
      </c>
      <c r="AA639" s="246" t="str">
        <f t="shared" si="57"/>
        <v/>
      </c>
    </row>
    <row r="640" spans="1:27" ht="18" customHeight="1" x14ac:dyDescent="0.25">
      <c r="A640" s="248" t="str">
        <f t="shared" si="58"/>
        <v/>
      </c>
      <c r="B640" s="249" t="str">
        <f t="shared" si="59"/>
        <v/>
      </c>
      <c r="C640" s="250"/>
      <c r="D640" s="251"/>
      <c r="E640" s="241"/>
      <c r="F640" s="252"/>
      <c r="G640" s="252"/>
      <c r="H640" s="253"/>
      <c r="I640" s="250"/>
      <c r="J640" s="250"/>
      <c r="K640" s="270"/>
      <c r="L640" s="250"/>
      <c r="M640" s="250"/>
      <c r="N640" s="553" t="str">
        <f>CONCATENATE(IF(OR(M640=phu!$I$1,M640=phu!$I$2,M640=phu!$I$3),"Cam Thành Nam",""),IF(OR(M640=phu!$I$4,M640=phu!$I$5,M640=phu!$I$6,M640=phu!$I$7,M640=phu!$I$8,M640=phu!$I$9,M640=phu!$I$10,M640=phu!$I$11,M640=phu!$I$12,M640=phu!$I$13,M640=phu!$I$14),"Cam Nghĩa",""),IF(OR(M640=phu!$I$15,M640=phu!$I$16,M640=phu!$I$17,M640=phu!$I$18,M640=phu!$I$19,M640=phu!$I$20,M640=phu!$I$21),"Cam Phúc Bắc",""),IF(OR(M640=phu!$I$22,M640=phu!$I$23,M640=phu!$I$24,M640=phu!$I$25),"Cam Phúc Nam",""),IF(OR(M640=phu!$I$26,M640=phu!$I$27,M640=phu!$I$28,M640=phu!$I$29,M640=phu!$I$30,M640=phu!$I$31),"Cam Phú",""),IF(OR(M640=phu!$I$32,M640=phu!$I$33,M640=phu!$I$34,M640=phu!$I$35,M640=phu!$I$36,M640=phu!$I$37),"Cam Lộc",""),IF(OR(M640=phu!$I$38,M640=phu!$I$39,M640=phu!$I$40,M640=phu!$I$41,M640=phu!$I$42,M640=phu!$I$43,M640=phu!$I$44),"Cam Thuận",""),IF(OR(M640=phu!$I$45,M640=phu!$I$46,M640=phu!$I$47,M640=phu!$I$48,M640=phu!$I$49,M640=phu!$I$50,M640=phu!$I$51,M640=phu!$I$52,M640=phu!$I$53),"Cam Linh",""),IF(OR(M640=phu!$I$54,M640=phu!$I$55,M640=phu!$I$56,M640=phu!$I$57,M640=phu!$I$58,M640=phu!$I$59,M640=phu!$I$60,M640=phu!$I$61,M640=phu!$I$62),"Cam Lợi",""),IF(OR(M640=phu!$I$63,M640=phu!$I$64,M640=phu!$I$65,M640=phu!$I$66,M640=phu!$I$67,M640=phu!$I$68,M640=phu!$I$69,M640=phu!$I$70,M640=phu!$I$71),"Ba Ngòi",""),IF(OR(M640=phu!$I$72,M640=phu!$I$73,M640=phu!$I$74,M640=phu!$I$75,M640=phu!$I$76,M640=phu!$I$77,M640=phu!$I$78),"Cam Phước Đông",""),IF(OR(M640=phu!$I$79,M640=phu!$I$80,M640=phu!$I$81,M640=phu!$I$82,M640=phu!$I$83,M640=phu!$I$84),"Cam Thịnh Đông",""),IF(OR(M640=phu!$I$85,M640=phu!$I$86,M640=phu!$I$87,M640=phu!$I$88),"Cam Thịnh Tây",""),IF(OR(M640=phu!$I$89,M640=phu!$I$90),"Cam Lập",""),IF(OR(M640=phu!$I$91,M640=phu!$I$92,M640=phu!$I$93),"Cam Bình",""),IF(OR(M640=phu!$I$94,M640=phu!$I$95,M640=phu!$I$96,M640=phu!$I$97,M640=phu!$I$98,M640=phu!$I$99,M640=phu!$I$100),"Huyện khác",""),IF(OR(M640=phu!$I$101,M640=phu!$I$102),"Tỉnh khác",""))</f>
        <v/>
      </c>
      <c r="O640" s="814" t="str">
        <f t="shared" si="55"/>
        <v/>
      </c>
      <c r="P640" s="254"/>
      <c r="Q640" s="254"/>
      <c r="R640" s="254"/>
      <c r="S640" s="254"/>
      <c r="T640" s="254"/>
      <c r="U640" s="254"/>
      <c r="V640" s="254"/>
      <c r="W640" s="254"/>
      <c r="Y640" s="246" t="str">
        <f t="shared" si="56"/>
        <v/>
      </c>
      <c r="Z640" s="247" t="str">
        <f t="shared" si="54"/>
        <v/>
      </c>
      <c r="AA640" s="246" t="str">
        <f t="shared" si="57"/>
        <v/>
      </c>
    </row>
    <row r="641" spans="1:27" ht="18" customHeight="1" x14ac:dyDescent="0.25">
      <c r="A641" s="248" t="str">
        <f t="shared" si="58"/>
        <v/>
      </c>
      <c r="B641" s="249" t="str">
        <f t="shared" si="59"/>
        <v/>
      </c>
      <c r="C641" s="250"/>
      <c r="D641" s="251"/>
      <c r="E641" s="241"/>
      <c r="F641" s="252"/>
      <c r="G641" s="252"/>
      <c r="H641" s="253"/>
      <c r="I641" s="250"/>
      <c r="J641" s="250"/>
      <c r="K641" s="270"/>
      <c r="L641" s="250"/>
      <c r="M641" s="250"/>
      <c r="N641" s="553" t="str">
        <f>CONCATENATE(IF(OR(M641=phu!$I$1,M641=phu!$I$2,M641=phu!$I$3),"Cam Thành Nam",""),IF(OR(M641=phu!$I$4,M641=phu!$I$5,M641=phu!$I$6,M641=phu!$I$7,M641=phu!$I$8,M641=phu!$I$9,M641=phu!$I$10,M641=phu!$I$11,M641=phu!$I$12,M641=phu!$I$13,M641=phu!$I$14),"Cam Nghĩa",""),IF(OR(M641=phu!$I$15,M641=phu!$I$16,M641=phu!$I$17,M641=phu!$I$18,M641=phu!$I$19,M641=phu!$I$20,M641=phu!$I$21),"Cam Phúc Bắc",""),IF(OR(M641=phu!$I$22,M641=phu!$I$23,M641=phu!$I$24,M641=phu!$I$25),"Cam Phúc Nam",""),IF(OR(M641=phu!$I$26,M641=phu!$I$27,M641=phu!$I$28,M641=phu!$I$29,M641=phu!$I$30,M641=phu!$I$31),"Cam Phú",""),IF(OR(M641=phu!$I$32,M641=phu!$I$33,M641=phu!$I$34,M641=phu!$I$35,M641=phu!$I$36,M641=phu!$I$37),"Cam Lộc",""),IF(OR(M641=phu!$I$38,M641=phu!$I$39,M641=phu!$I$40,M641=phu!$I$41,M641=phu!$I$42,M641=phu!$I$43,M641=phu!$I$44),"Cam Thuận",""),IF(OR(M641=phu!$I$45,M641=phu!$I$46,M641=phu!$I$47,M641=phu!$I$48,M641=phu!$I$49,M641=phu!$I$50,M641=phu!$I$51,M641=phu!$I$52,M641=phu!$I$53),"Cam Linh",""),IF(OR(M641=phu!$I$54,M641=phu!$I$55,M641=phu!$I$56,M641=phu!$I$57,M641=phu!$I$58,M641=phu!$I$59,M641=phu!$I$60,M641=phu!$I$61,M641=phu!$I$62),"Cam Lợi",""),IF(OR(M641=phu!$I$63,M641=phu!$I$64,M641=phu!$I$65,M641=phu!$I$66,M641=phu!$I$67,M641=phu!$I$68,M641=phu!$I$69,M641=phu!$I$70,M641=phu!$I$71),"Ba Ngòi",""),IF(OR(M641=phu!$I$72,M641=phu!$I$73,M641=phu!$I$74,M641=phu!$I$75,M641=phu!$I$76,M641=phu!$I$77,M641=phu!$I$78),"Cam Phước Đông",""),IF(OR(M641=phu!$I$79,M641=phu!$I$80,M641=phu!$I$81,M641=phu!$I$82,M641=phu!$I$83,M641=phu!$I$84),"Cam Thịnh Đông",""),IF(OR(M641=phu!$I$85,M641=phu!$I$86,M641=phu!$I$87,M641=phu!$I$88),"Cam Thịnh Tây",""),IF(OR(M641=phu!$I$89,M641=phu!$I$90),"Cam Lập",""),IF(OR(M641=phu!$I$91,M641=phu!$I$92,M641=phu!$I$93),"Cam Bình",""),IF(OR(M641=phu!$I$94,M641=phu!$I$95,M641=phu!$I$96,M641=phu!$I$97,M641=phu!$I$98,M641=phu!$I$99,M641=phu!$I$100),"Huyện khác",""),IF(OR(M641=phu!$I$101,M641=phu!$I$102),"Tỉnh khác",""))</f>
        <v/>
      </c>
      <c r="O641" s="814" t="str">
        <f t="shared" si="55"/>
        <v/>
      </c>
      <c r="P641" s="254"/>
      <c r="Q641" s="254"/>
      <c r="R641" s="254"/>
      <c r="S641" s="254"/>
      <c r="T641" s="254"/>
      <c r="U641" s="254"/>
      <c r="V641" s="254"/>
      <c r="W641" s="254"/>
      <c r="Y641" s="246" t="str">
        <f t="shared" si="56"/>
        <v/>
      </c>
      <c r="Z641" s="247" t="str">
        <f t="shared" si="54"/>
        <v/>
      </c>
      <c r="AA641" s="246" t="str">
        <f t="shared" si="57"/>
        <v/>
      </c>
    </row>
    <row r="642" spans="1:27" ht="18" customHeight="1" x14ac:dyDescent="0.25">
      <c r="A642" s="248" t="str">
        <f t="shared" si="58"/>
        <v/>
      </c>
      <c r="B642" s="249" t="str">
        <f t="shared" si="59"/>
        <v/>
      </c>
      <c r="C642" s="250"/>
      <c r="D642" s="251"/>
      <c r="E642" s="241"/>
      <c r="F642" s="252"/>
      <c r="G642" s="252"/>
      <c r="H642" s="253"/>
      <c r="I642" s="250"/>
      <c r="J642" s="250"/>
      <c r="K642" s="270"/>
      <c r="L642" s="250"/>
      <c r="M642" s="250"/>
      <c r="N642" s="553" t="str">
        <f>CONCATENATE(IF(OR(M642=phu!$I$1,M642=phu!$I$2,M642=phu!$I$3),"Cam Thành Nam",""),IF(OR(M642=phu!$I$4,M642=phu!$I$5,M642=phu!$I$6,M642=phu!$I$7,M642=phu!$I$8,M642=phu!$I$9,M642=phu!$I$10,M642=phu!$I$11,M642=phu!$I$12,M642=phu!$I$13,M642=phu!$I$14),"Cam Nghĩa",""),IF(OR(M642=phu!$I$15,M642=phu!$I$16,M642=phu!$I$17,M642=phu!$I$18,M642=phu!$I$19,M642=phu!$I$20,M642=phu!$I$21),"Cam Phúc Bắc",""),IF(OR(M642=phu!$I$22,M642=phu!$I$23,M642=phu!$I$24,M642=phu!$I$25),"Cam Phúc Nam",""),IF(OR(M642=phu!$I$26,M642=phu!$I$27,M642=phu!$I$28,M642=phu!$I$29,M642=phu!$I$30,M642=phu!$I$31),"Cam Phú",""),IF(OR(M642=phu!$I$32,M642=phu!$I$33,M642=phu!$I$34,M642=phu!$I$35,M642=phu!$I$36,M642=phu!$I$37),"Cam Lộc",""),IF(OR(M642=phu!$I$38,M642=phu!$I$39,M642=phu!$I$40,M642=phu!$I$41,M642=phu!$I$42,M642=phu!$I$43,M642=phu!$I$44),"Cam Thuận",""),IF(OR(M642=phu!$I$45,M642=phu!$I$46,M642=phu!$I$47,M642=phu!$I$48,M642=phu!$I$49,M642=phu!$I$50,M642=phu!$I$51,M642=phu!$I$52,M642=phu!$I$53),"Cam Linh",""),IF(OR(M642=phu!$I$54,M642=phu!$I$55,M642=phu!$I$56,M642=phu!$I$57,M642=phu!$I$58,M642=phu!$I$59,M642=phu!$I$60,M642=phu!$I$61,M642=phu!$I$62),"Cam Lợi",""),IF(OR(M642=phu!$I$63,M642=phu!$I$64,M642=phu!$I$65,M642=phu!$I$66,M642=phu!$I$67,M642=phu!$I$68,M642=phu!$I$69,M642=phu!$I$70,M642=phu!$I$71),"Ba Ngòi",""),IF(OR(M642=phu!$I$72,M642=phu!$I$73,M642=phu!$I$74,M642=phu!$I$75,M642=phu!$I$76,M642=phu!$I$77,M642=phu!$I$78),"Cam Phước Đông",""),IF(OR(M642=phu!$I$79,M642=phu!$I$80,M642=phu!$I$81,M642=phu!$I$82,M642=phu!$I$83,M642=phu!$I$84),"Cam Thịnh Đông",""),IF(OR(M642=phu!$I$85,M642=phu!$I$86,M642=phu!$I$87,M642=phu!$I$88),"Cam Thịnh Tây",""),IF(OR(M642=phu!$I$89,M642=phu!$I$90),"Cam Lập",""),IF(OR(M642=phu!$I$91,M642=phu!$I$92,M642=phu!$I$93),"Cam Bình",""),IF(OR(M642=phu!$I$94,M642=phu!$I$95,M642=phu!$I$96,M642=phu!$I$97,M642=phu!$I$98,M642=phu!$I$99,M642=phu!$I$100),"Huyện khác",""),IF(OR(M642=phu!$I$101,M642=phu!$I$102),"Tỉnh khác",""))</f>
        <v/>
      </c>
      <c r="O642" s="814" t="str">
        <f t="shared" si="55"/>
        <v/>
      </c>
      <c r="P642" s="254"/>
      <c r="Q642" s="254"/>
      <c r="R642" s="254"/>
      <c r="S642" s="254"/>
      <c r="T642" s="254"/>
      <c r="U642" s="254"/>
      <c r="V642" s="254"/>
      <c r="W642" s="254"/>
      <c r="Y642" s="246" t="str">
        <f t="shared" si="56"/>
        <v/>
      </c>
      <c r="Z642" s="247" t="str">
        <f t="shared" si="54"/>
        <v/>
      </c>
      <c r="AA642" s="246" t="str">
        <f t="shared" si="57"/>
        <v/>
      </c>
    </row>
    <row r="643" spans="1:27" ht="18" customHeight="1" x14ac:dyDescent="0.25">
      <c r="A643" s="248" t="str">
        <f t="shared" si="58"/>
        <v/>
      </c>
      <c r="B643" s="249" t="str">
        <f t="shared" si="59"/>
        <v/>
      </c>
      <c r="C643" s="250"/>
      <c r="D643" s="251"/>
      <c r="E643" s="241"/>
      <c r="F643" s="252"/>
      <c r="G643" s="252"/>
      <c r="H643" s="253"/>
      <c r="I643" s="250"/>
      <c r="J643" s="250"/>
      <c r="K643" s="270"/>
      <c r="L643" s="250"/>
      <c r="M643" s="250"/>
      <c r="N643" s="553" t="str">
        <f>CONCATENATE(IF(OR(M643=phu!$I$1,M643=phu!$I$2,M643=phu!$I$3),"Cam Thành Nam",""),IF(OR(M643=phu!$I$4,M643=phu!$I$5,M643=phu!$I$6,M643=phu!$I$7,M643=phu!$I$8,M643=phu!$I$9,M643=phu!$I$10,M643=phu!$I$11,M643=phu!$I$12,M643=phu!$I$13,M643=phu!$I$14),"Cam Nghĩa",""),IF(OR(M643=phu!$I$15,M643=phu!$I$16,M643=phu!$I$17,M643=phu!$I$18,M643=phu!$I$19,M643=phu!$I$20,M643=phu!$I$21),"Cam Phúc Bắc",""),IF(OR(M643=phu!$I$22,M643=phu!$I$23,M643=phu!$I$24,M643=phu!$I$25),"Cam Phúc Nam",""),IF(OR(M643=phu!$I$26,M643=phu!$I$27,M643=phu!$I$28,M643=phu!$I$29,M643=phu!$I$30,M643=phu!$I$31),"Cam Phú",""),IF(OR(M643=phu!$I$32,M643=phu!$I$33,M643=phu!$I$34,M643=phu!$I$35,M643=phu!$I$36,M643=phu!$I$37),"Cam Lộc",""),IF(OR(M643=phu!$I$38,M643=phu!$I$39,M643=phu!$I$40,M643=phu!$I$41,M643=phu!$I$42,M643=phu!$I$43,M643=phu!$I$44),"Cam Thuận",""),IF(OR(M643=phu!$I$45,M643=phu!$I$46,M643=phu!$I$47,M643=phu!$I$48,M643=phu!$I$49,M643=phu!$I$50,M643=phu!$I$51,M643=phu!$I$52,M643=phu!$I$53),"Cam Linh",""),IF(OR(M643=phu!$I$54,M643=phu!$I$55,M643=phu!$I$56,M643=phu!$I$57,M643=phu!$I$58,M643=phu!$I$59,M643=phu!$I$60,M643=phu!$I$61,M643=phu!$I$62),"Cam Lợi",""),IF(OR(M643=phu!$I$63,M643=phu!$I$64,M643=phu!$I$65,M643=phu!$I$66,M643=phu!$I$67,M643=phu!$I$68,M643=phu!$I$69,M643=phu!$I$70,M643=phu!$I$71),"Ba Ngòi",""),IF(OR(M643=phu!$I$72,M643=phu!$I$73,M643=phu!$I$74,M643=phu!$I$75,M643=phu!$I$76,M643=phu!$I$77,M643=phu!$I$78),"Cam Phước Đông",""),IF(OR(M643=phu!$I$79,M643=phu!$I$80,M643=phu!$I$81,M643=phu!$I$82,M643=phu!$I$83,M643=phu!$I$84),"Cam Thịnh Đông",""),IF(OR(M643=phu!$I$85,M643=phu!$I$86,M643=phu!$I$87,M643=phu!$I$88),"Cam Thịnh Tây",""),IF(OR(M643=phu!$I$89,M643=phu!$I$90),"Cam Lập",""),IF(OR(M643=phu!$I$91,M643=phu!$I$92,M643=phu!$I$93),"Cam Bình",""),IF(OR(M643=phu!$I$94,M643=phu!$I$95,M643=phu!$I$96,M643=phu!$I$97,M643=phu!$I$98,M643=phu!$I$99,M643=phu!$I$100),"Huyện khác",""),IF(OR(M643=phu!$I$101,M643=phu!$I$102),"Tỉnh khác",""))</f>
        <v/>
      </c>
      <c r="O643" s="814" t="str">
        <f t="shared" si="55"/>
        <v/>
      </c>
      <c r="P643" s="254"/>
      <c r="Q643" s="254"/>
      <c r="R643" s="254"/>
      <c r="S643" s="254"/>
      <c r="T643" s="254"/>
      <c r="U643" s="254"/>
      <c r="V643" s="254"/>
      <c r="W643" s="254"/>
      <c r="Y643" s="246" t="str">
        <f t="shared" si="56"/>
        <v/>
      </c>
      <c r="Z643" s="247" t="str">
        <f t="shared" si="54"/>
        <v/>
      </c>
      <c r="AA643" s="246" t="str">
        <f t="shared" si="57"/>
        <v/>
      </c>
    </row>
    <row r="644" spans="1:27" ht="18" customHeight="1" x14ac:dyDescent="0.25">
      <c r="A644" s="248" t="str">
        <f t="shared" si="58"/>
        <v/>
      </c>
      <c r="B644" s="249" t="str">
        <f t="shared" si="59"/>
        <v/>
      </c>
      <c r="C644" s="250"/>
      <c r="D644" s="251"/>
      <c r="E644" s="241"/>
      <c r="F644" s="252"/>
      <c r="G644" s="252"/>
      <c r="H644" s="253"/>
      <c r="I644" s="250"/>
      <c r="J644" s="250"/>
      <c r="K644" s="270"/>
      <c r="L644" s="250"/>
      <c r="M644" s="250"/>
      <c r="N644" s="553" t="str">
        <f>CONCATENATE(IF(OR(M644=phu!$I$1,M644=phu!$I$2,M644=phu!$I$3),"Cam Thành Nam",""),IF(OR(M644=phu!$I$4,M644=phu!$I$5,M644=phu!$I$6,M644=phu!$I$7,M644=phu!$I$8,M644=phu!$I$9,M644=phu!$I$10,M644=phu!$I$11,M644=phu!$I$12,M644=phu!$I$13,M644=phu!$I$14),"Cam Nghĩa",""),IF(OR(M644=phu!$I$15,M644=phu!$I$16,M644=phu!$I$17,M644=phu!$I$18,M644=phu!$I$19,M644=phu!$I$20,M644=phu!$I$21),"Cam Phúc Bắc",""),IF(OR(M644=phu!$I$22,M644=phu!$I$23,M644=phu!$I$24,M644=phu!$I$25),"Cam Phúc Nam",""),IF(OR(M644=phu!$I$26,M644=phu!$I$27,M644=phu!$I$28,M644=phu!$I$29,M644=phu!$I$30,M644=phu!$I$31),"Cam Phú",""),IF(OR(M644=phu!$I$32,M644=phu!$I$33,M644=phu!$I$34,M644=phu!$I$35,M644=phu!$I$36,M644=phu!$I$37),"Cam Lộc",""),IF(OR(M644=phu!$I$38,M644=phu!$I$39,M644=phu!$I$40,M644=phu!$I$41,M644=phu!$I$42,M644=phu!$I$43,M644=phu!$I$44),"Cam Thuận",""),IF(OR(M644=phu!$I$45,M644=phu!$I$46,M644=phu!$I$47,M644=phu!$I$48,M644=phu!$I$49,M644=phu!$I$50,M644=phu!$I$51,M644=phu!$I$52,M644=phu!$I$53),"Cam Linh",""),IF(OR(M644=phu!$I$54,M644=phu!$I$55,M644=phu!$I$56,M644=phu!$I$57,M644=phu!$I$58,M644=phu!$I$59,M644=phu!$I$60,M644=phu!$I$61,M644=phu!$I$62),"Cam Lợi",""),IF(OR(M644=phu!$I$63,M644=phu!$I$64,M644=phu!$I$65,M644=phu!$I$66,M644=phu!$I$67,M644=phu!$I$68,M644=phu!$I$69,M644=phu!$I$70,M644=phu!$I$71),"Ba Ngòi",""),IF(OR(M644=phu!$I$72,M644=phu!$I$73,M644=phu!$I$74,M644=phu!$I$75,M644=phu!$I$76,M644=phu!$I$77,M644=phu!$I$78),"Cam Phước Đông",""),IF(OR(M644=phu!$I$79,M644=phu!$I$80,M644=phu!$I$81,M644=phu!$I$82,M644=phu!$I$83,M644=phu!$I$84),"Cam Thịnh Đông",""),IF(OR(M644=phu!$I$85,M644=phu!$I$86,M644=phu!$I$87,M644=phu!$I$88),"Cam Thịnh Tây",""),IF(OR(M644=phu!$I$89,M644=phu!$I$90),"Cam Lập",""),IF(OR(M644=phu!$I$91,M644=phu!$I$92,M644=phu!$I$93),"Cam Bình",""),IF(OR(M644=phu!$I$94,M644=phu!$I$95,M644=phu!$I$96,M644=phu!$I$97,M644=phu!$I$98,M644=phu!$I$99,M644=phu!$I$100),"Huyện khác",""),IF(OR(M644=phu!$I$101,M644=phu!$I$102),"Tỉnh khác",""))</f>
        <v/>
      </c>
      <c r="O644" s="814" t="str">
        <f t="shared" si="55"/>
        <v/>
      </c>
      <c r="P644" s="254"/>
      <c r="Q644" s="254"/>
      <c r="R644" s="254"/>
      <c r="S644" s="254"/>
      <c r="T644" s="254"/>
      <c r="U644" s="254"/>
      <c r="V644" s="254"/>
      <c r="W644" s="254"/>
      <c r="Y644" s="246" t="str">
        <f t="shared" si="56"/>
        <v/>
      </c>
      <c r="Z644" s="247" t="str">
        <f t="shared" si="54"/>
        <v/>
      </c>
      <c r="AA644" s="246" t="str">
        <f t="shared" si="57"/>
        <v/>
      </c>
    </row>
    <row r="645" spans="1:27" ht="18" customHeight="1" x14ac:dyDescent="0.25">
      <c r="A645" s="248" t="str">
        <f t="shared" si="58"/>
        <v/>
      </c>
      <c r="B645" s="249" t="str">
        <f t="shared" si="59"/>
        <v/>
      </c>
      <c r="C645" s="250"/>
      <c r="D645" s="251"/>
      <c r="E645" s="241"/>
      <c r="F645" s="252"/>
      <c r="G645" s="252"/>
      <c r="H645" s="253"/>
      <c r="I645" s="250"/>
      <c r="J645" s="250"/>
      <c r="K645" s="270"/>
      <c r="L645" s="250"/>
      <c r="M645" s="250"/>
      <c r="N645" s="553" t="str">
        <f>CONCATENATE(IF(OR(M645=phu!$I$1,M645=phu!$I$2,M645=phu!$I$3),"Cam Thành Nam",""),IF(OR(M645=phu!$I$4,M645=phu!$I$5,M645=phu!$I$6,M645=phu!$I$7,M645=phu!$I$8,M645=phu!$I$9,M645=phu!$I$10,M645=phu!$I$11,M645=phu!$I$12,M645=phu!$I$13,M645=phu!$I$14),"Cam Nghĩa",""),IF(OR(M645=phu!$I$15,M645=phu!$I$16,M645=phu!$I$17,M645=phu!$I$18,M645=phu!$I$19,M645=phu!$I$20,M645=phu!$I$21),"Cam Phúc Bắc",""),IF(OR(M645=phu!$I$22,M645=phu!$I$23,M645=phu!$I$24,M645=phu!$I$25),"Cam Phúc Nam",""),IF(OR(M645=phu!$I$26,M645=phu!$I$27,M645=phu!$I$28,M645=phu!$I$29,M645=phu!$I$30,M645=phu!$I$31),"Cam Phú",""),IF(OR(M645=phu!$I$32,M645=phu!$I$33,M645=phu!$I$34,M645=phu!$I$35,M645=phu!$I$36,M645=phu!$I$37),"Cam Lộc",""),IF(OR(M645=phu!$I$38,M645=phu!$I$39,M645=phu!$I$40,M645=phu!$I$41,M645=phu!$I$42,M645=phu!$I$43,M645=phu!$I$44),"Cam Thuận",""),IF(OR(M645=phu!$I$45,M645=phu!$I$46,M645=phu!$I$47,M645=phu!$I$48,M645=phu!$I$49,M645=phu!$I$50,M645=phu!$I$51,M645=phu!$I$52,M645=phu!$I$53),"Cam Linh",""),IF(OR(M645=phu!$I$54,M645=phu!$I$55,M645=phu!$I$56,M645=phu!$I$57,M645=phu!$I$58,M645=phu!$I$59,M645=phu!$I$60,M645=phu!$I$61,M645=phu!$I$62),"Cam Lợi",""),IF(OR(M645=phu!$I$63,M645=phu!$I$64,M645=phu!$I$65,M645=phu!$I$66,M645=phu!$I$67,M645=phu!$I$68,M645=phu!$I$69,M645=phu!$I$70,M645=phu!$I$71),"Ba Ngòi",""),IF(OR(M645=phu!$I$72,M645=phu!$I$73,M645=phu!$I$74,M645=phu!$I$75,M645=phu!$I$76,M645=phu!$I$77,M645=phu!$I$78),"Cam Phước Đông",""),IF(OR(M645=phu!$I$79,M645=phu!$I$80,M645=phu!$I$81,M645=phu!$I$82,M645=phu!$I$83,M645=phu!$I$84),"Cam Thịnh Đông",""),IF(OR(M645=phu!$I$85,M645=phu!$I$86,M645=phu!$I$87,M645=phu!$I$88),"Cam Thịnh Tây",""),IF(OR(M645=phu!$I$89,M645=phu!$I$90),"Cam Lập",""),IF(OR(M645=phu!$I$91,M645=phu!$I$92,M645=phu!$I$93),"Cam Bình",""),IF(OR(M645=phu!$I$94,M645=phu!$I$95,M645=phu!$I$96,M645=phu!$I$97,M645=phu!$I$98,M645=phu!$I$99,M645=phu!$I$100),"Huyện khác",""),IF(OR(M645=phu!$I$101,M645=phu!$I$102),"Tỉnh khác",""))</f>
        <v/>
      </c>
      <c r="O645" s="814" t="str">
        <f t="shared" si="55"/>
        <v/>
      </c>
      <c r="P645" s="254"/>
      <c r="Q645" s="254"/>
      <c r="R645" s="254"/>
      <c r="S645" s="254"/>
      <c r="T645" s="254"/>
      <c r="U645" s="254"/>
      <c r="V645" s="254"/>
      <c r="W645" s="254"/>
      <c r="Y645" s="246" t="str">
        <f t="shared" si="56"/>
        <v/>
      </c>
      <c r="Z645" s="247" t="str">
        <f t="shared" si="54"/>
        <v/>
      </c>
      <c r="AA645" s="246" t="str">
        <f t="shared" si="57"/>
        <v/>
      </c>
    </row>
    <row r="646" spans="1:27" ht="18" customHeight="1" x14ac:dyDescent="0.25">
      <c r="A646" s="248" t="str">
        <f t="shared" si="58"/>
        <v/>
      </c>
      <c r="B646" s="249" t="str">
        <f t="shared" si="59"/>
        <v/>
      </c>
      <c r="C646" s="250"/>
      <c r="D646" s="251"/>
      <c r="E646" s="241"/>
      <c r="F646" s="252"/>
      <c r="G646" s="252"/>
      <c r="H646" s="253"/>
      <c r="I646" s="250"/>
      <c r="J646" s="250"/>
      <c r="K646" s="270"/>
      <c r="L646" s="250"/>
      <c r="M646" s="250"/>
      <c r="N646" s="553" t="str">
        <f>CONCATENATE(IF(OR(M646=phu!$I$1,M646=phu!$I$2,M646=phu!$I$3),"Cam Thành Nam",""),IF(OR(M646=phu!$I$4,M646=phu!$I$5,M646=phu!$I$6,M646=phu!$I$7,M646=phu!$I$8,M646=phu!$I$9,M646=phu!$I$10,M646=phu!$I$11,M646=phu!$I$12,M646=phu!$I$13,M646=phu!$I$14),"Cam Nghĩa",""),IF(OR(M646=phu!$I$15,M646=phu!$I$16,M646=phu!$I$17,M646=phu!$I$18,M646=phu!$I$19,M646=phu!$I$20,M646=phu!$I$21),"Cam Phúc Bắc",""),IF(OR(M646=phu!$I$22,M646=phu!$I$23,M646=phu!$I$24,M646=phu!$I$25),"Cam Phúc Nam",""),IF(OR(M646=phu!$I$26,M646=phu!$I$27,M646=phu!$I$28,M646=phu!$I$29,M646=phu!$I$30,M646=phu!$I$31),"Cam Phú",""),IF(OR(M646=phu!$I$32,M646=phu!$I$33,M646=phu!$I$34,M646=phu!$I$35,M646=phu!$I$36,M646=phu!$I$37),"Cam Lộc",""),IF(OR(M646=phu!$I$38,M646=phu!$I$39,M646=phu!$I$40,M646=phu!$I$41,M646=phu!$I$42,M646=phu!$I$43,M646=phu!$I$44),"Cam Thuận",""),IF(OR(M646=phu!$I$45,M646=phu!$I$46,M646=phu!$I$47,M646=phu!$I$48,M646=phu!$I$49,M646=phu!$I$50,M646=phu!$I$51,M646=phu!$I$52,M646=phu!$I$53),"Cam Linh",""),IF(OR(M646=phu!$I$54,M646=phu!$I$55,M646=phu!$I$56,M646=phu!$I$57,M646=phu!$I$58,M646=phu!$I$59,M646=phu!$I$60,M646=phu!$I$61,M646=phu!$I$62),"Cam Lợi",""),IF(OR(M646=phu!$I$63,M646=phu!$I$64,M646=phu!$I$65,M646=phu!$I$66,M646=phu!$I$67,M646=phu!$I$68,M646=phu!$I$69,M646=phu!$I$70,M646=phu!$I$71),"Ba Ngòi",""),IF(OR(M646=phu!$I$72,M646=phu!$I$73,M646=phu!$I$74,M646=phu!$I$75,M646=phu!$I$76,M646=phu!$I$77,M646=phu!$I$78),"Cam Phước Đông",""),IF(OR(M646=phu!$I$79,M646=phu!$I$80,M646=phu!$I$81,M646=phu!$I$82,M646=phu!$I$83,M646=phu!$I$84),"Cam Thịnh Đông",""),IF(OR(M646=phu!$I$85,M646=phu!$I$86,M646=phu!$I$87,M646=phu!$I$88),"Cam Thịnh Tây",""),IF(OR(M646=phu!$I$89,M646=phu!$I$90),"Cam Lập",""),IF(OR(M646=phu!$I$91,M646=phu!$I$92,M646=phu!$I$93),"Cam Bình",""),IF(OR(M646=phu!$I$94,M646=phu!$I$95,M646=phu!$I$96,M646=phu!$I$97,M646=phu!$I$98,M646=phu!$I$99,M646=phu!$I$100),"Huyện khác",""),IF(OR(M646=phu!$I$101,M646=phu!$I$102),"Tỉnh khác",""))</f>
        <v/>
      </c>
      <c r="O646" s="814" t="str">
        <f t="shared" si="55"/>
        <v/>
      </c>
      <c r="P646" s="254"/>
      <c r="Q646" s="254"/>
      <c r="R646" s="254"/>
      <c r="S646" s="254"/>
      <c r="T646" s="254"/>
      <c r="U646" s="254"/>
      <c r="V646" s="254"/>
      <c r="W646" s="254"/>
      <c r="Y646" s="246" t="str">
        <f t="shared" si="56"/>
        <v/>
      </c>
      <c r="Z646" s="247" t="str">
        <f t="shared" ref="Z646:Z709" si="60">IF(H646="","",$Z$1-H646)</f>
        <v/>
      </c>
      <c r="AA646" s="246" t="str">
        <f t="shared" si="57"/>
        <v/>
      </c>
    </row>
    <row r="647" spans="1:27" ht="18" customHeight="1" x14ac:dyDescent="0.25">
      <c r="A647" s="248" t="str">
        <f t="shared" si="58"/>
        <v/>
      </c>
      <c r="B647" s="249" t="str">
        <f t="shared" si="59"/>
        <v/>
      </c>
      <c r="C647" s="250"/>
      <c r="D647" s="251"/>
      <c r="E647" s="241"/>
      <c r="F647" s="252"/>
      <c r="G647" s="252"/>
      <c r="H647" s="253"/>
      <c r="I647" s="250"/>
      <c r="J647" s="250"/>
      <c r="K647" s="270"/>
      <c r="L647" s="250"/>
      <c r="M647" s="250"/>
      <c r="N647" s="553" t="str">
        <f>CONCATENATE(IF(OR(M647=phu!$I$1,M647=phu!$I$2,M647=phu!$I$3),"Cam Thành Nam",""),IF(OR(M647=phu!$I$4,M647=phu!$I$5,M647=phu!$I$6,M647=phu!$I$7,M647=phu!$I$8,M647=phu!$I$9,M647=phu!$I$10,M647=phu!$I$11,M647=phu!$I$12,M647=phu!$I$13,M647=phu!$I$14),"Cam Nghĩa",""),IF(OR(M647=phu!$I$15,M647=phu!$I$16,M647=phu!$I$17,M647=phu!$I$18,M647=phu!$I$19,M647=phu!$I$20,M647=phu!$I$21),"Cam Phúc Bắc",""),IF(OR(M647=phu!$I$22,M647=phu!$I$23,M647=phu!$I$24,M647=phu!$I$25),"Cam Phúc Nam",""),IF(OR(M647=phu!$I$26,M647=phu!$I$27,M647=phu!$I$28,M647=phu!$I$29,M647=phu!$I$30,M647=phu!$I$31),"Cam Phú",""),IF(OR(M647=phu!$I$32,M647=phu!$I$33,M647=phu!$I$34,M647=phu!$I$35,M647=phu!$I$36,M647=phu!$I$37),"Cam Lộc",""),IF(OR(M647=phu!$I$38,M647=phu!$I$39,M647=phu!$I$40,M647=phu!$I$41,M647=phu!$I$42,M647=phu!$I$43,M647=phu!$I$44),"Cam Thuận",""),IF(OR(M647=phu!$I$45,M647=phu!$I$46,M647=phu!$I$47,M647=phu!$I$48,M647=phu!$I$49,M647=phu!$I$50,M647=phu!$I$51,M647=phu!$I$52,M647=phu!$I$53),"Cam Linh",""),IF(OR(M647=phu!$I$54,M647=phu!$I$55,M647=phu!$I$56,M647=phu!$I$57,M647=phu!$I$58,M647=phu!$I$59,M647=phu!$I$60,M647=phu!$I$61,M647=phu!$I$62),"Cam Lợi",""),IF(OR(M647=phu!$I$63,M647=phu!$I$64,M647=phu!$I$65,M647=phu!$I$66,M647=phu!$I$67,M647=phu!$I$68,M647=phu!$I$69,M647=phu!$I$70,M647=phu!$I$71),"Ba Ngòi",""),IF(OR(M647=phu!$I$72,M647=phu!$I$73,M647=phu!$I$74,M647=phu!$I$75,M647=phu!$I$76,M647=phu!$I$77,M647=phu!$I$78),"Cam Phước Đông",""),IF(OR(M647=phu!$I$79,M647=phu!$I$80,M647=phu!$I$81,M647=phu!$I$82,M647=phu!$I$83,M647=phu!$I$84),"Cam Thịnh Đông",""),IF(OR(M647=phu!$I$85,M647=phu!$I$86,M647=phu!$I$87,M647=phu!$I$88),"Cam Thịnh Tây",""),IF(OR(M647=phu!$I$89,M647=phu!$I$90),"Cam Lập",""),IF(OR(M647=phu!$I$91,M647=phu!$I$92,M647=phu!$I$93),"Cam Bình",""),IF(OR(M647=phu!$I$94,M647=phu!$I$95,M647=phu!$I$96,M647=phu!$I$97,M647=phu!$I$98,M647=phu!$I$99,M647=phu!$I$100),"Huyện khác",""),IF(OR(M647=phu!$I$101,M647=phu!$I$102),"Tỉnh khác",""))</f>
        <v/>
      </c>
      <c r="O647" s="814" t="str">
        <f t="shared" ref="O647:O710" si="61">CONCATENATE(IF(OR(N647="Cam Thành Nam",N647="Cam Nghĩa",N647="Cam Phúc Bắc"),"Bắc Cam Ranh",""),IF(OR(N647="Cam Phúc Nam",N647="Cam Phú",N647="Cam Lộc"),"Cam Ranh",""),IF(OR(N647="Cam Thuận",N647="Cam Linh",N647="Cam Lợi"),"Cam Linh",""),IF(OR(N647="Ba Ngòi",N647="Cam Phước Đông"),"Ba Ngòi",""),IF(OR(N647="Cam Thịnh Đông",N647="Cam Thịnh Tây",N647="Cam Lập",N647="Cam Bình"),"Nam Cam Ranh",""),IF(N647="Huyện khác","Huyện khác",""),IF(N647="Tỉnh khác","Tỉnh khác",""))</f>
        <v/>
      </c>
      <c r="P647" s="254"/>
      <c r="Q647" s="254"/>
      <c r="R647" s="254"/>
      <c r="S647" s="254"/>
      <c r="T647" s="254"/>
      <c r="U647" s="254"/>
      <c r="V647" s="254"/>
      <c r="W647" s="254"/>
      <c r="Y647" s="246" t="str">
        <f t="shared" ref="Y647:Y710" si="62">IF(OR(AND(B647="",C647="",D647="",E647="",F647="",G647="",H647="",I647="",J647="",L647="",M647="",N647="",P647="",Q647="",R647="",S647=""),AND(B647&lt;&gt;"",C647&lt;&gt;"",D647&lt;&gt;"",E647&lt;&gt;"",F647&lt;&gt;"",G647&lt;&gt;"",H647&lt;&gt;"",J647&lt;&gt;"",M647&lt;&gt;"",N647&lt;&gt;"",P647&lt;&gt;"",OR(AND(Q647&lt;&gt;"",R647=""),AND(Q647="",R647&lt;&gt;""),AND(Q647&lt;&gt;"",R647&lt;&gt;"")),OR(AND(K647="X",T647&lt;&gt;""),AND(K647="",T647="")))),"","er")</f>
        <v/>
      </c>
      <c r="Z647" s="247" t="str">
        <f t="shared" si="60"/>
        <v/>
      </c>
      <c r="AA647" s="246" t="str">
        <f t="shared" ref="AA647:AA710" si="63">IF(OR(AND(Z647=5,B647&gt;0),AND(Z647=6,B647&gt;1),AND(Z647=7,B647&gt;2),AND(Z647=8,B647&gt;3),AND(Z647=9,B647&gt;4),AND(Z647=10,B647&gt;5),AND(Z647=5,B647=0,L647="X"),AND(Z647=6,B647=1,L647="X"),AND(Z647=7,B647=2,L647="X"),AND(Z647=8,B647=3,L647="X"),AND(Z647=9,B647=4,L647="X"),AND(Z647=10,B647=5,L647="X")),"er","")</f>
        <v/>
      </c>
    </row>
    <row r="648" spans="1:27" ht="18" customHeight="1" x14ac:dyDescent="0.25">
      <c r="A648" s="248" t="str">
        <f t="shared" ref="A648:A711" si="64">IF(OR(A647="",B648="",C648="",D648="",E648=""),"",A647+1)</f>
        <v/>
      </c>
      <c r="B648" s="249" t="str">
        <f t="shared" ref="B648:B711" si="65">IF(C648="","",VALUE(LEFT(C648,1)))</f>
        <v/>
      </c>
      <c r="C648" s="250"/>
      <c r="D648" s="251"/>
      <c r="E648" s="241"/>
      <c r="F648" s="252"/>
      <c r="G648" s="252"/>
      <c r="H648" s="253"/>
      <c r="I648" s="250"/>
      <c r="J648" s="250"/>
      <c r="K648" s="270"/>
      <c r="L648" s="250"/>
      <c r="M648" s="250"/>
      <c r="N648" s="553" t="str">
        <f>CONCATENATE(IF(OR(M648=phu!$I$1,M648=phu!$I$2,M648=phu!$I$3),"Cam Thành Nam",""),IF(OR(M648=phu!$I$4,M648=phu!$I$5,M648=phu!$I$6,M648=phu!$I$7,M648=phu!$I$8,M648=phu!$I$9,M648=phu!$I$10,M648=phu!$I$11,M648=phu!$I$12,M648=phu!$I$13,M648=phu!$I$14),"Cam Nghĩa",""),IF(OR(M648=phu!$I$15,M648=phu!$I$16,M648=phu!$I$17,M648=phu!$I$18,M648=phu!$I$19,M648=phu!$I$20,M648=phu!$I$21),"Cam Phúc Bắc",""),IF(OR(M648=phu!$I$22,M648=phu!$I$23,M648=phu!$I$24,M648=phu!$I$25),"Cam Phúc Nam",""),IF(OR(M648=phu!$I$26,M648=phu!$I$27,M648=phu!$I$28,M648=phu!$I$29,M648=phu!$I$30,M648=phu!$I$31),"Cam Phú",""),IF(OR(M648=phu!$I$32,M648=phu!$I$33,M648=phu!$I$34,M648=phu!$I$35,M648=phu!$I$36,M648=phu!$I$37),"Cam Lộc",""),IF(OR(M648=phu!$I$38,M648=phu!$I$39,M648=phu!$I$40,M648=phu!$I$41,M648=phu!$I$42,M648=phu!$I$43,M648=phu!$I$44),"Cam Thuận",""),IF(OR(M648=phu!$I$45,M648=phu!$I$46,M648=phu!$I$47,M648=phu!$I$48,M648=phu!$I$49,M648=phu!$I$50,M648=phu!$I$51,M648=phu!$I$52,M648=phu!$I$53),"Cam Linh",""),IF(OR(M648=phu!$I$54,M648=phu!$I$55,M648=phu!$I$56,M648=phu!$I$57,M648=phu!$I$58,M648=phu!$I$59,M648=phu!$I$60,M648=phu!$I$61,M648=phu!$I$62),"Cam Lợi",""),IF(OR(M648=phu!$I$63,M648=phu!$I$64,M648=phu!$I$65,M648=phu!$I$66,M648=phu!$I$67,M648=phu!$I$68,M648=phu!$I$69,M648=phu!$I$70,M648=phu!$I$71),"Ba Ngòi",""),IF(OR(M648=phu!$I$72,M648=phu!$I$73,M648=phu!$I$74,M648=phu!$I$75,M648=phu!$I$76,M648=phu!$I$77,M648=phu!$I$78),"Cam Phước Đông",""),IF(OR(M648=phu!$I$79,M648=phu!$I$80,M648=phu!$I$81,M648=phu!$I$82,M648=phu!$I$83,M648=phu!$I$84),"Cam Thịnh Đông",""),IF(OR(M648=phu!$I$85,M648=phu!$I$86,M648=phu!$I$87,M648=phu!$I$88),"Cam Thịnh Tây",""),IF(OR(M648=phu!$I$89,M648=phu!$I$90),"Cam Lập",""),IF(OR(M648=phu!$I$91,M648=phu!$I$92,M648=phu!$I$93),"Cam Bình",""),IF(OR(M648=phu!$I$94,M648=phu!$I$95,M648=phu!$I$96,M648=phu!$I$97,M648=phu!$I$98,M648=phu!$I$99,M648=phu!$I$100),"Huyện khác",""),IF(OR(M648=phu!$I$101,M648=phu!$I$102),"Tỉnh khác",""))</f>
        <v/>
      </c>
      <c r="O648" s="814" t="str">
        <f t="shared" si="61"/>
        <v/>
      </c>
      <c r="P648" s="254"/>
      <c r="Q648" s="254"/>
      <c r="R648" s="254"/>
      <c r="S648" s="254"/>
      <c r="T648" s="254"/>
      <c r="U648" s="254"/>
      <c r="V648" s="254"/>
      <c r="W648" s="254"/>
      <c r="Y648" s="246" t="str">
        <f t="shared" si="62"/>
        <v/>
      </c>
      <c r="Z648" s="247" t="str">
        <f t="shared" si="60"/>
        <v/>
      </c>
      <c r="AA648" s="246" t="str">
        <f t="shared" si="63"/>
        <v/>
      </c>
    </row>
    <row r="649" spans="1:27" ht="18" customHeight="1" x14ac:dyDescent="0.25">
      <c r="A649" s="248" t="str">
        <f t="shared" si="64"/>
        <v/>
      </c>
      <c r="B649" s="249" t="str">
        <f t="shared" si="65"/>
        <v/>
      </c>
      <c r="C649" s="250"/>
      <c r="D649" s="251"/>
      <c r="E649" s="241"/>
      <c r="F649" s="252"/>
      <c r="G649" s="252"/>
      <c r="H649" s="253"/>
      <c r="I649" s="250"/>
      <c r="J649" s="250"/>
      <c r="K649" s="270"/>
      <c r="L649" s="250"/>
      <c r="M649" s="250"/>
      <c r="N649" s="553" t="str">
        <f>CONCATENATE(IF(OR(M649=phu!$I$1,M649=phu!$I$2,M649=phu!$I$3),"Cam Thành Nam",""),IF(OR(M649=phu!$I$4,M649=phu!$I$5,M649=phu!$I$6,M649=phu!$I$7,M649=phu!$I$8,M649=phu!$I$9,M649=phu!$I$10,M649=phu!$I$11,M649=phu!$I$12,M649=phu!$I$13,M649=phu!$I$14),"Cam Nghĩa",""),IF(OR(M649=phu!$I$15,M649=phu!$I$16,M649=phu!$I$17,M649=phu!$I$18,M649=phu!$I$19,M649=phu!$I$20,M649=phu!$I$21),"Cam Phúc Bắc",""),IF(OR(M649=phu!$I$22,M649=phu!$I$23,M649=phu!$I$24,M649=phu!$I$25),"Cam Phúc Nam",""),IF(OR(M649=phu!$I$26,M649=phu!$I$27,M649=phu!$I$28,M649=phu!$I$29,M649=phu!$I$30,M649=phu!$I$31),"Cam Phú",""),IF(OR(M649=phu!$I$32,M649=phu!$I$33,M649=phu!$I$34,M649=phu!$I$35,M649=phu!$I$36,M649=phu!$I$37),"Cam Lộc",""),IF(OR(M649=phu!$I$38,M649=phu!$I$39,M649=phu!$I$40,M649=phu!$I$41,M649=phu!$I$42,M649=phu!$I$43,M649=phu!$I$44),"Cam Thuận",""),IF(OR(M649=phu!$I$45,M649=phu!$I$46,M649=phu!$I$47,M649=phu!$I$48,M649=phu!$I$49,M649=phu!$I$50,M649=phu!$I$51,M649=phu!$I$52,M649=phu!$I$53),"Cam Linh",""),IF(OR(M649=phu!$I$54,M649=phu!$I$55,M649=phu!$I$56,M649=phu!$I$57,M649=phu!$I$58,M649=phu!$I$59,M649=phu!$I$60,M649=phu!$I$61,M649=phu!$I$62),"Cam Lợi",""),IF(OR(M649=phu!$I$63,M649=phu!$I$64,M649=phu!$I$65,M649=phu!$I$66,M649=phu!$I$67,M649=phu!$I$68,M649=phu!$I$69,M649=phu!$I$70,M649=phu!$I$71),"Ba Ngòi",""),IF(OR(M649=phu!$I$72,M649=phu!$I$73,M649=phu!$I$74,M649=phu!$I$75,M649=phu!$I$76,M649=phu!$I$77,M649=phu!$I$78),"Cam Phước Đông",""),IF(OR(M649=phu!$I$79,M649=phu!$I$80,M649=phu!$I$81,M649=phu!$I$82,M649=phu!$I$83,M649=phu!$I$84),"Cam Thịnh Đông",""),IF(OR(M649=phu!$I$85,M649=phu!$I$86,M649=phu!$I$87,M649=phu!$I$88),"Cam Thịnh Tây",""),IF(OR(M649=phu!$I$89,M649=phu!$I$90),"Cam Lập",""),IF(OR(M649=phu!$I$91,M649=phu!$I$92,M649=phu!$I$93),"Cam Bình",""),IF(OR(M649=phu!$I$94,M649=phu!$I$95,M649=phu!$I$96,M649=phu!$I$97,M649=phu!$I$98,M649=phu!$I$99,M649=phu!$I$100),"Huyện khác",""),IF(OR(M649=phu!$I$101,M649=phu!$I$102),"Tỉnh khác",""))</f>
        <v/>
      </c>
      <c r="O649" s="814" t="str">
        <f t="shared" si="61"/>
        <v/>
      </c>
      <c r="P649" s="254"/>
      <c r="Q649" s="254"/>
      <c r="R649" s="254"/>
      <c r="S649" s="254"/>
      <c r="T649" s="254"/>
      <c r="U649" s="254"/>
      <c r="V649" s="254"/>
      <c r="W649" s="254"/>
      <c r="Y649" s="246" t="str">
        <f t="shared" si="62"/>
        <v/>
      </c>
      <c r="Z649" s="247" t="str">
        <f t="shared" si="60"/>
        <v/>
      </c>
      <c r="AA649" s="246" t="str">
        <f t="shared" si="63"/>
        <v/>
      </c>
    </row>
    <row r="650" spans="1:27" ht="18" customHeight="1" x14ac:dyDescent="0.25">
      <c r="A650" s="248" t="str">
        <f t="shared" si="64"/>
        <v/>
      </c>
      <c r="B650" s="249" t="str">
        <f t="shared" si="65"/>
        <v/>
      </c>
      <c r="C650" s="250"/>
      <c r="D650" s="251"/>
      <c r="E650" s="241"/>
      <c r="F650" s="252"/>
      <c r="G650" s="252"/>
      <c r="H650" s="253"/>
      <c r="I650" s="250"/>
      <c r="J650" s="250"/>
      <c r="K650" s="270"/>
      <c r="L650" s="250"/>
      <c r="M650" s="250"/>
      <c r="N650" s="553" t="str">
        <f>CONCATENATE(IF(OR(M650=phu!$I$1,M650=phu!$I$2,M650=phu!$I$3),"Cam Thành Nam",""),IF(OR(M650=phu!$I$4,M650=phu!$I$5,M650=phu!$I$6,M650=phu!$I$7,M650=phu!$I$8,M650=phu!$I$9,M650=phu!$I$10,M650=phu!$I$11,M650=phu!$I$12,M650=phu!$I$13,M650=phu!$I$14),"Cam Nghĩa",""),IF(OR(M650=phu!$I$15,M650=phu!$I$16,M650=phu!$I$17,M650=phu!$I$18,M650=phu!$I$19,M650=phu!$I$20,M650=phu!$I$21),"Cam Phúc Bắc",""),IF(OR(M650=phu!$I$22,M650=phu!$I$23,M650=phu!$I$24,M650=phu!$I$25),"Cam Phúc Nam",""),IF(OR(M650=phu!$I$26,M650=phu!$I$27,M650=phu!$I$28,M650=phu!$I$29,M650=phu!$I$30,M650=phu!$I$31),"Cam Phú",""),IF(OR(M650=phu!$I$32,M650=phu!$I$33,M650=phu!$I$34,M650=phu!$I$35,M650=phu!$I$36,M650=phu!$I$37),"Cam Lộc",""),IF(OR(M650=phu!$I$38,M650=phu!$I$39,M650=phu!$I$40,M650=phu!$I$41,M650=phu!$I$42,M650=phu!$I$43,M650=phu!$I$44),"Cam Thuận",""),IF(OR(M650=phu!$I$45,M650=phu!$I$46,M650=phu!$I$47,M650=phu!$I$48,M650=phu!$I$49,M650=phu!$I$50,M650=phu!$I$51,M650=phu!$I$52,M650=phu!$I$53),"Cam Linh",""),IF(OR(M650=phu!$I$54,M650=phu!$I$55,M650=phu!$I$56,M650=phu!$I$57,M650=phu!$I$58,M650=phu!$I$59,M650=phu!$I$60,M650=phu!$I$61,M650=phu!$I$62),"Cam Lợi",""),IF(OR(M650=phu!$I$63,M650=phu!$I$64,M650=phu!$I$65,M650=phu!$I$66,M650=phu!$I$67,M650=phu!$I$68,M650=phu!$I$69,M650=phu!$I$70,M650=phu!$I$71),"Ba Ngòi",""),IF(OR(M650=phu!$I$72,M650=phu!$I$73,M650=phu!$I$74,M650=phu!$I$75,M650=phu!$I$76,M650=phu!$I$77,M650=phu!$I$78),"Cam Phước Đông",""),IF(OR(M650=phu!$I$79,M650=phu!$I$80,M650=phu!$I$81,M650=phu!$I$82,M650=phu!$I$83,M650=phu!$I$84),"Cam Thịnh Đông",""),IF(OR(M650=phu!$I$85,M650=phu!$I$86,M650=phu!$I$87,M650=phu!$I$88),"Cam Thịnh Tây",""),IF(OR(M650=phu!$I$89,M650=phu!$I$90),"Cam Lập",""),IF(OR(M650=phu!$I$91,M650=phu!$I$92,M650=phu!$I$93),"Cam Bình",""),IF(OR(M650=phu!$I$94,M650=phu!$I$95,M650=phu!$I$96,M650=phu!$I$97,M650=phu!$I$98,M650=phu!$I$99,M650=phu!$I$100),"Huyện khác",""),IF(OR(M650=phu!$I$101,M650=phu!$I$102),"Tỉnh khác",""))</f>
        <v/>
      </c>
      <c r="O650" s="814" t="str">
        <f t="shared" si="61"/>
        <v/>
      </c>
      <c r="P650" s="254"/>
      <c r="Q650" s="254"/>
      <c r="R650" s="254"/>
      <c r="S650" s="254"/>
      <c r="T650" s="254"/>
      <c r="U650" s="254"/>
      <c r="V650" s="254"/>
      <c r="W650" s="254"/>
      <c r="Y650" s="246" t="str">
        <f t="shared" si="62"/>
        <v/>
      </c>
      <c r="Z650" s="247" t="str">
        <f t="shared" si="60"/>
        <v/>
      </c>
      <c r="AA650" s="246" t="str">
        <f t="shared" si="63"/>
        <v/>
      </c>
    </row>
    <row r="651" spans="1:27" ht="18" customHeight="1" x14ac:dyDescent="0.25">
      <c r="A651" s="248" t="str">
        <f t="shared" si="64"/>
        <v/>
      </c>
      <c r="B651" s="249" t="str">
        <f t="shared" si="65"/>
        <v/>
      </c>
      <c r="C651" s="250"/>
      <c r="D651" s="251"/>
      <c r="E651" s="241"/>
      <c r="F651" s="252"/>
      <c r="G651" s="252"/>
      <c r="H651" s="253"/>
      <c r="I651" s="250"/>
      <c r="J651" s="250"/>
      <c r="K651" s="270"/>
      <c r="L651" s="250"/>
      <c r="M651" s="250"/>
      <c r="N651" s="553" t="str">
        <f>CONCATENATE(IF(OR(M651=phu!$I$1,M651=phu!$I$2,M651=phu!$I$3),"Cam Thành Nam",""),IF(OR(M651=phu!$I$4,M651=phu!$I$5,M651=phu!$I$6,M651=phu!$I$7,M651=phu!$I$8,M651=phu!$I$9,M651=phu!$I$10,M651=phu!$I$11,M651=phu!$I$12,M651=phu!$I$13,M651=phu!$I$14),"Cam Nghĩa",""),IF(OR(M651=phu!$I$15,M651=phu!$I$16,M651=phu!$I$17,M651=phu!$I$18,M651=phu!$I$19,M651=phu!$I$20,M651=phu!$I$21),"Cam Phúc Bắc",""),IF(OR(M651=phu!$I$22,M651=phu!$I$23,M651=phu!$I$24,M651=phu!$I$25),"Cam Phúc Nam",""),IF(OR(M651=phu!$I$26,M651=phu!$I$27,M651=phu!$I$28,M651=phu!$I$29,M651=phu!$I$30,M651=phu!$I$31),"Cam Phú",""),IF(OR(M651=phu!$I$32,M651=phu!$I$33,M651=phu!$I$34,M651=phu!$I$35,M651=phu!$I$36,M651=phu!$I$37),"Cam Lộc",""),IF(OR(M651=phu!$I$38,M651=phu!$I$39,M651=phu!$I$40,M651=phu!$I$41,M651=phu!$I$42,M651=phu!$I$43,M651=phu!$I$44),"Cam Thuận",""),IF(OR(M651=phu!$I$45,M651=phu!$I$46,M651=phu!$I$47,M651=phu!$I$48,M651=phu!$I$49,M651=phu!$I$50,M651=phu!$I$51,M651=phu!$I$52,M651=phu!$I$53),"Cam Linh",""),IF(OR(M651=phu!$I$54,M651=phu!$I$55,M651=phu!$I$56,M651=phu!$I$57,M651=phu!$I$58,M651=phu!$I$59,M651=phu!$I$60,M651=phu!$I$61,M651=phu!$I$62),"Cam Lợi",""),IF(OR(M651=phu!$I$63,M651=phu!$I$64,M651=phu!$I$65,M651=phu!$I$66,M651=phu!$I$67,M651=phu!$I$68,M651=phu!$I$69,M651=phu!$I$70,M651=phu!$I$71),"Ba Ngòi",""),IF(OR(M651=phu!$I$72,M651=phu!$I$73,M651=phu!$I$74,M651=phu!$I$75,M651=phu!$I$76,M651=phu!$I$77,M651=phu!$I$78),"Cam Phước Đông",""),IF(OR(M651=phu!$I$79,M651=phu!$I$80,M651=phu!$I$81,M651=phu!$I$82,M651=phu!$I$83,M651=phu!$I$84),"Cam Thịnh Đông",""),IF(OR(M651=phu!$I$85,M651=phu!$I$86,M651=phu!$I$87,M651=phu!$I$88),"Cam Thịnh Tây",""),IF(OR(M651=phu!$I$89,M651=phu!$I$90),"Cam Lập",""),IF(OR(M651=phu!$I$91,M651=phu!$I$92,M651=phu!$I$93),"Cam Bình",""),IF(OR(M651=phu!$I$94,M651=phu!$I$95,M651=phu!$I$96,M651=phu!$I$97,M651=phu!$I$98,M651=phu!$I$99,M651=phu!$I$100),"Huyện khác",""),IF(OR(M651=phu!$I$101,M651=phu!$I$102),"Tỉnh khác",""))</f>
        <v/>
      </c>
      <c r="O651" s="814" t="str">
        <f t="shared" si="61"/>
        <v/>
      </c>
      <c r="P651" s="254"/>
      <c r="Q651" s="254"/>
      <c r="R651" s="254"/>
      <c r="S651" s="254"/>
      <c r="T651" s="254"/>
      <c r="U651" s="254"/>
      <c r="V651" s="254"/>
      <c r="W651" s="254"/>
      <c r="Y651" s="246" t="str">
        <f t="shared" si="62"/>
        <v/>
      </c>
      <c r="Z651" s="247" t="str">
        <f t="shared" si="60"/>
        <v/>
      </c>
      <c r="AA651" s="246" t="str">
        <f t="shared" si="63"/>
        <v/>
      </c>
    </row>
    <row r="652" spans="1:27" ht="18" customHeight="1" x14ac:dyDescent="0.25">
      <c r="A652" s="248" t="str">
        <f t="shared" si="64"/>
        <v/>
      </c>
      <c r="B652" s="249" t="str">
        <f t="shared" si="65"/>
        <v/>
      </c>
      <c r="C652" s="250"/>
      <c r="D652" s="251"/>
      <c r="E652" s="241"/>
      <c r="F652" s="252"/>
      <c r="G652" s="252"/>
      <c r="H652" s="253"/>
      <c r="I652" s="250"/>
      <c r="J652" s="250"/>
      <c r="K652" s="270"/>
      <c r="L652" s="250"/>
      <c r="M652" s="250"/>
      <c r="N652" s="553" t="str">
        <f>CONCATENATE(IF(OR(M652=phu!$I$1,M652=phu!$I$2,M652=phu!$I$3),"Cam Thành Nam",""),IF(OR(M652=phu!$I$4,M652=phu!$I$5,M652=phu!$I$6,M652=phu!$I$7,M652=phu!$I$8,M652=phu!$I$9,M652=phu!$I$10,M652=phu!$I$11,M652=phu!$I$12,M652=phu!$I$13,M652=phu!$I$14),"Cam Nghĩa",""),IF(OR(M652=phu!$I$15,M652=phu!$I$16,M652=phu!$I$17,M652=phu!$I$18,M652=phu!$I$19,M652=phu!$I$20,M652=phu!$I$21),"Cam Phúc Bắc",""),IF(OR(M652=phu!$I$22,M652=phu!$I$23,M652=phu!$I$24,M652=phu!$I$25),"Cam Phúc Nam",""),IF(OR(M652=phu!$I$26,M652=phu!$I$27,M652=phu!$I$28,M652=phu!$I$29,M652=phu!$I$30,M652=phu!$I$31),"Cam Phú",""),IF(OR(M652=phu!$I$32,M652=phu!$I$33,M652=phu!$I$34,M652=phu!$I$35,M652=phu!$I$36,M652=phu!$I$37),"Cam Lộc",""),IF(OR(M652=phu!$I$38,M652=phu!$I$39,M652=phu!$I$40,M652=phu!$I$41,M652=phu!$I$42,M652=phu!$I$43,M652=phu!$I$44),"Cam Thuận",""),IF(OR(M652=phu!$I$45,M652=phu!$I$46,M652=phu!$I$47,M652=phu!$I$48,M652=phu!$I$49,M652=phu!$I$50,M652=phu!$I$51,M652=phu!$I$52,M652=phu!$I$53),"Cam Linh",""),IF(OR(M652=phu!$I$54,M652=phu!$I$55,M652=phu!$I$56,M652=phu!$I$57,M652=phu!$I$58,M652=phu!$I$59,M652=phu!$I$60,M652=phu!$I$61,M652=phu!$I$62),"Cam Lợi",""),IF(OR(M652=phu!$I$63,M652=phu!$I$64,M652=phu!$I$65,M652=phu!$I$66,M652=phu!$I$67,M652=phu!$I$68,M652=phu!$I$69,M652=phu!$I$70,M652=phu!$I$71),"Ba Ngòi",""),IF(OR(M652=phu!$I$72,M652=phu!$I$73,M652=phu!$I$74,M652=phu!$I$75,M652=phu!$I$76,M652=phu!$I$77,M652=phu!$I$78),"Cam Phước Đông",""),IF(OR(M652=phu!$I$79,M652=phu!$I$80,M652=phu!$I$81,M652=phu!$I$82,M652=phu!$I$83,M652=phu!$I$84),"Cam Thịnh Đông",""),IF(OR(M652=phu!$I$85,M652=phu!$I$86,M652=phu!$I$87,M652=phu!$I$88),"Cam Thịnh Tây",""),IF(OR(M652=phu!$I$89,M652=phu!$I$90),"Cam Lập",""),IF(OR(M652=phu!$I$91,M652=phu!$I$92,M652=phu!$I$93),"Cam Bình",""),IF(OR(M652=phu!$I$94,M652=phu!$I$95,M652=phu!$I$96,M652=phu!$I$97,M652=phu!$I$98,M652=phu!$I$99,M652=phu!$I$100),"Huyện khác",""),IF(OR(M652=phu!$I$101,M652=phu!$I$102),"Tỉnh khác",""))</f>
        <v/>
      </c>
      <c r="O652" s="814" t="str">
        <f t="shared" si="61"/>
        <v/>
      </c>
      <c r="P652" s="254"/>
      <c r="Q652" s="254"/>
      <c r="R652" s="254"/>
      <c r="S652" s="254"/>
      <c r="T652" s="254"/>
      <c r="U652" s="254"/>
      <c r="V652" s="254"/>
      <c r="W652" s="254"/>
      <c r="Y652" s="246" t="str">
        <f t="shared" si="62"/>
        <v/>
      </c>
      <c r="Z652" s="247" t="str">
        <f t="shared" si="60"/>
        <v/>
      </c>
      <c r="AA652" s="246" t="str">
        <f t="shared" si="63"/>
        <v/>
      </c>
    </row>
    <row r="653" spans="1:27" ht="18" customHeight="1" x14ac:dyDescent="0.25">
      <c r="A653" s="248" t="str">
        <f t="shared" si="64"/>
        <v/>
      </c>
      <c r="B653" s="249" t="str">
        <f t="shared" si="65"/>
        <v/>
      </c>
      <c r="C653" s="250"/>
      <c r="D653" s="251"/>
      <c r="E653" s="241"/>
      <c r="F653" s="252"/>
      <c r="G653" s="252"/>
      <c r="H653" s="253"/>
      <c r="I653" s="250"/>
      <c r="J653" s="250"/>
      <c r="K653" s="270"/>
      <c r="L653" s="250"/>
      <c r="M653" s="250"/>
      <c r="N653" s="553" t="str">
        <f>CONCATENATE(IF(OR(M653=phu!$I$1,M653=phu!$I$2,M653=phu!$I$3),"Cam Thành Nam",""),IF(OR(M653=phu!$I$4,M653=phu!$I$5,M653=phu!$I$6,M653=phu!$I$7,M653=phu!$I$8,M653=phu!$I$9,M653=phu!$I$10,M653=phu!$I$11,M653=phu!$I$12,M653=phu!$I$13,M653=phu!$I$14),"Cam Nghĩa",""),IF(OR(M653=phu!$I$15,M653=phu!$I$16,M653=phu!$I$17,M653=phu!$I$18,M653=phu!$I$19,M653=phu!$I$20,M653=phu!$I$21),"Cam Phúc Bắc",""),IF(OR(M653=phu!$I$22,M653=phu!$I$23,M653=phu!$I$24,M653=phu!$I$25),"Cam Phúc Nam",""),IF(OR(M653=phu!$I$26,M653=phu!$I$27,M653=phu!$I$28,M653=phu!$I$29,M653=phu!$I$30,M653=phu!$I$31),"Cam Phú",""),IF(OR(M653=phu!$I$32,M653=phu!$I$33,M653=phu!$I$34,M653=phu!$I$35,M653=phu!$I$36,M653=phu!$I$37),"Cam Lộc",""),IF(OR(M653=phu!$I$38,M653=phu!$I$39,M653=phu!$I$40,M653=phu!$I$41,M653=phu!$I$42,M653=phu!$I$43,M653=phu!$I$44),"Cam Thuận",""),IF(OR(M653=phu!$I$45,M653=phu!$I$46,M653=phu!$I$47,M653=phu!$I$48,M653=phu!$I$49,M653=phu!$I$50,M653=phu!$I$51,M653=phu!$I$52,M653=phu!$I$53),"Cam Linh",""),IF(OR(M653=phu!$I$54,M653=phu!$I$55,M653=phu!$I$56,M653=phu!$I$57,M653=phu!$I$58,M653=phu!$I$59,M653=phu!$I$60,M653=phu!$I$61,M653=phu!$I$62),"Cam Lợi",""),IF(OR(M653=phu!$I$63,M653=phu!$I$64,M653=phu!$I$65,M653=phu!$I$66,M653=phu!$I$67,M653=phu!$I$68,M653=phu!$I$69,M653=phu!$I$70,M653=phu!$I$71),"Ba Ngòi",""),IF(OR(M653=phu!$I$72,M653=phu!$I$73,M653=phu!$I$74,M653=phu!$I$75,M653=phu!$I$76,M653=phu!$I$77,M653=phu!$I$78),"Cam Phước Đông",""),IF(OR(M653=phu!$I$79,M653=phu!$I$80,M653=phu!$I$81,M653=phu!$I$82,M653=phu!$I$83,M653=phu!$I$84),"Cam Thịnh Đông",""),IF(OR(M653=phu!$I$85,M653=phu!$I$86,M653=phu!$I$87,M653=phu!$I$88),"Cam Thịnh Tây",""),IF(OR(M653=phu!$I$89,M653=phu!$I$90),"Cam Lập",""),IF(OR(M653=phu!$I$91,M653=phu!$I$92,M653=phu!$I$93),"Cam Bình",""),IF(OR(M653=phu!$I$94,M653=phu!$I$95,M653=phu!$I$96,M653=phu!$I$97,M653=phu!$I$98,M653=phu!$I$99,M653=phu!$I$100),"Huyện khác",""),IF(OR(M653=phu!$I$101,M653=phu!$I$102),"Tỉnh khác",""))</f>
        <v/>
      </c>
      <c r="O653" s="814" t="str">
        <f t="shared" si="61"/>
        <v/>
      </c>
      <c r="P653" s="254"/>
      <c r="Q653" s="254"/>
      <c r="R653" s="254"/>
      <c r="S653" s="254"/>
      <c r="T653" s="254"/>
      <c r="U653" s="254"/>
      <c r="V653" s="254"/>
      <c r="W653" s="254"/>
      <c r="Y653" s="246" t="str">
        <f t="shared" si="62"/>
        <v/>
      </c>
      <c r="Z653" s="247" t="str">
        <f t="shared" si="60"/>
        <v/>
      </c>
      <c r="AA653" s="246" t="str">
        <f t="shared" si="63"/>
        <v/>
      </c>
    </row>
    <row r="654" spans="1:27" ht="18" customHeight="1" x14ac:dyDescent="0.25">
      <c r="A654" s="248" t="str">
        <f t="shared" si="64"/>
        <v/>
      </c>
      <c r="B654" s="249" t="str">
        <f t="shared" si="65"/>
        <v/>
      </c>
      <c r="C654" s="250"/>
      <c r="D654" s="251"/>
      <c r="E654" s="241"/>
      <c r="F654" s="252"/>
      <c r="G654" s="252"/>
      <c r="H654" s="253"/>
      <c r="I654" s="250"/>
      <c r="J654" s="250"/>
      <c r="K654" s="270"/>
      <c r="L654" s="250"/>
      <c r="M654" s="250"/>
      <c r="N654" s="553" t="str">
        <f>CONCATENATE(IF(OR(M654=phu!$I$1,M654=phu!$I$2,M654=phu!$I$3),"Cam Thành Nam",""),IF(OR(M654=phu!$I$4,M654=phu!$I$5,M654=phu!$I$6,M654=phu!$I$7,M654=phu!$I$8,M654=phu!$I$9,M654=phu!$I$10,M654=phu!$I$11,M654=phu!$I$12,M654=phu!$I$13,M654=phu!$I$14),"Cam Nghĩa",""),IF(OR(M654=phu!$I$15,M654=phu!$I$16,M654=phu!$I$17,M654=phu!$I$18,M654=phu!$I$19,M654=phu!$I$20,M654=phu!$I$21),"Cam Phúc Bắc",""),IF(OR(M654=phu!$I$22,M654=phu!$I$23,M654=phu!$I$24,M654=phu!$I$25),"Cam Phúc Nam",""),IF(OR(M654=phu!$I$26,M654=phu!$I$27,M654=phu!$I$28,M654=phu!$I$29,M654=phu!$I$30,M654=phu!$I$31),"Cam Phú",""),IF(OR(M654=phu!$I$32,M654=phu!$I$33,M654=phu!$I$34,M654=phu!$I$35,M654=phu!$I$36,M654=phu!$I$37),"Cam Lộc",""),IF(OR(M654=phu!$I$38,M654=phu!$I$39,M654=phu!$I$40,M654=phu!$I$41,M654=phu!$I$42,M654=phu!$I$43,M654=phu!$I$44),"Cam Thuận",""),IF(OR(M654=phu!$I$45,M654=phu!$I$46,M654=phu!$I$47,M654=phu!$I$48,M654=phu!$I$49,M654=phu!$I$50,M654=phu!$I$51,M654=phu!$I$52,M654=phu!$I$53),"Cam Linh",""),IF(OR(M654=phu!$I$54,M654=phu!$I$55,M654=phu!$I$56,M654=phu!$I$57,M654=phu!$I$58,M654=phu!$I$59,M654=phu!$I$60,M654=phu!$I$61,M654=phu!$I$62),"Cam Lợi",""),IF(OR(M654=phu!$I$63,M654=phu!$I$64,M654=phu!$I$65,M654=phu!$I$66,M654=phu!$I$67,M654=phu!$I$68,M654=phu!$I$69,M654=phu!$I$70,M654=phu!$I$71),"Ba Ngòi",""),IF(OR(M654=phu!$I$72,M654=phu!$I$73,M654=phu!$I$74,M654=phu!$I$75,M654=phu!$I$76,M654=phu!$I$77,M654=phu!$I$78),"Cam Phước Đông",""),IF(OR(M654=phu!$I$79,M654=phu!$I$80,M654=phu!$I$81,M654=phu!$I$82,M654=phu!$I$83,M654=phu!$I$84),"Cam Thịnh Đông",""),IF(OR(M654=phu!$I$85,M654=phu!$I$86,M654=phu!$I$87,M654=phu!$I$88),"Cam Thịnh Tây",""),IF(OR(M654=phu!$I$89,M654=phu!$I$90),"Cam Lập",""),IF(OR(M654=phu!$I$91,M654=phu!$I$92,M654=phu!$I$93),"Cam Bình",""),IF(OR(M654=phu!$I$94,M654=phu!$I$95,M654=phu!$I$96,M654=phu!$I$97,M654=phu!$I$98,M654=phu!$I$99,M654=phu!$I$100),"Huyện khác",""),IF(OR(M654=phu!$I$101,M654=phu!$I$102),"Tỉnh khác",""))</f>
        <v/>
      </c>
      <c r="O654" s="814" t="str">
        <f t="shared" si="61"/>
        <v/>
      </c>
      <c r="P654" s="254"/>
      <c r="Q654" s="254"/>
      <c r="R654" s="254"/>
      <c r="S654" s="254"/>
      <c r="T654" s="254"/>
      <c r="U654" s="254"/>
      <c r="V654" s="254"/>
      <c r="W654" s="254"/>
      <c r="Y654" s="246" t="str">
        <f t="shared" si="62"/>
        <v/>
      </c>
      <c r="Z654" s="247" t="str">
        <f t="shared" si="60"/>
        <v/>
      </c>
      <c r="AA654" s="246" t="str">
        <f t="shared" si="63"/>
        <v/>
      </c>
    </row>
    <row r="655" spans="1:27" ht="18" customHeight="1" x14ac:dyDescent="0.25">
      <c r="A655" s="248" t="str">
        <f t="shared" si="64"/>
        <v/>
      </c>
      <c r="B655" s="249" t="str">
        <f t="shared" si="65"/>
        <v/>
      </c>
      <c r="C655" s="250"/>
      <c r="D655" s="251"/>
      <c r="E655" s="241"/>
      <c r="F655" s="252"/>
      <c r="G655" s="252"/>
      <c r="H655" s="253"/>
      <c r="I655" s="250"/>
      <c r="J655" s="250"/>
      <c r="K655" s="270"/>
      <c r="L655" s="250"/>
      <c r="M655" s="250"/>
      <c r="N655" s="553" t="str">
        <f>CONCATENATE(IF(OR(M655=phu!$I$1,M655=phu!$I$2,M655=phu!$I$3),"Cam Thành Nam",""),IF(OR(M655=phu!$I$4,M655=phu!$I$5,M655=phu!$I$6,M655=phu!$I$7,M655=phu!$I$8,M655=phu!$I$9,M655=phu!$I$10,M655=phu!$I$11,M655=phu!$I$12,M655=phu!$I$13,M655=phu!$I$14),"Cam Nghĩa",""),IF(OR(M655=phu!$I$15,M655=phu!$I$16,M655=phu!$I$17,M655=phu!$I$18,M655=phu!$I$19,M655=phu!$I$20,M655=phu!$I$21),"Cam Phúc Bắc",""),IF(OR(M655=phu!$I$22,M655=phu!$I$23,M655=phu!$I$24,M655=phu!$I$25),"Cam Phúc Nam",""),IF(OR(M655=phu!$I$26,M655=phu!$I$27,M655=phu!$I$28,M655=phu!$I$29,M655=phu!$I$30,M655=phu!$I$31),"Cam Phú",""),IF(OR(M655=phu!$I$32,M655=phu!$I$33,M655=phu!$I$34,M655=phu!$I$35,M655=phu!$I$36,M655=phu!$I$37),"Cam Lộc",""),IF(OR(M655=phu!$I$38,M655=phu!$I$39,M655=phu!$I$40,M655=phu!$I$41,M655=phu!$I$42,M655=phu!$I$43,M655=phu!$I$44),"Cam Thuận",""),IF(OR(M655=phu!$I$45,M655=phu!$I$46,M655=phu!$I$47,M655=phu!$I$48,M655=phu!$I$49,M655=phu!$I$50,M655=phu!$I$51,M655=phu!$I$52,M655=phu!$I$53),"Cam Linh",""),IF(OR(M655=phu!$I$54,M655=phu!$I$55,M655=phu!$I$56,M655=phu!$I$57,M655=phu!$I$58,M655=phu!$I$59,M655=phu!$I$60,M655=phu!$I$61,M655=phu!$I$62),"Cam Lợi",""),IF(OR(M655=phu!$I$63,M655=phu!$I$64,M655=phu!$I$65,M655=phu!$I$66,M655=phu!$I$67,M655=phu!$I$68,M655=phu!$I$69,M655=phu!$I$70,M655=phu!$I$71),"Ba Ngòi",""),IF(OR(M655=phu!$I$72,M655=phu!$I$73,M655=phu!$I$74,M655=phu!$I$75,M655=phu!$I$76,M655=phu!$I$77,M655=phu!$I$78),"Cam Phước Đông",""),IF(OR(M655=phu!$I$79,M655=phu!$I$80,M655=phu!$I$81,M655=phu!$I$82,M655=phu!$I$83,M655=phu!$I$84),"Cam Thịnh Đông",""),IF(OR(M655=phu!$I$85,M655=phu!$I$86,M655=phu!$I$87,M655=phu!$I$88),"Cam Thịnh Tây",""),IF(OR(M655=phu!$I$89,M655=phu!$I$90),"Cam Lập",""),IF(OR(M655=phu!$I$91,M655=phu!$I$92,M655=phu!$I$93),"Cam Bình",""),IF(OR(M655=phu!$I$94,M655=phu!$I$95,M655=phu!$I$96,M655=phu!$I$97,M655=phu!$I$98,M655=phu!$I$99,M655=phu!$I$100),"Huyện khác",""),IF(OR(M655=phu!$I$101,M655=phu!$I$102),"Tỉnh khác",""))</f>
        <v/>
      </c>
      <c r="O655" s="814" t="str">
        <f t="shared" si="61"/>
        <v/>
      </c>
      <c r="P655" s="254"/>
      <c r="Q655" s="254"/>
      <c r="R655" s="254"/>
      <c r="S655" s="254"/>
      <c r="T655" s="254"/>
      <c r="U655" s="254"/>
      <c r="V655" s="254"/>
      <c r="W655" s="254"/>
      <c r="Y655" s="246" t="str">
        <f t="shared" si="62"/>
        <v/>
      </c>
      <c r="Z655" s="247" t="str">
        <f t="shared" si="60"/>
        <v/>
      </c>
      <c r="AA655" s="246" t="str">
        <f t="shared" si="63"/>
        <v/>
      </c>
    </row>
    <row r="656" spans="1:27" ht="18" customHeight="1" x14ac:dyDescent="0.25">
      <c r="A656" s="248" t="str">
        <f t="shared" si="64"/>
        <v/>
      </c>
      <c r="B656" s="249" t="str">
        <f t="shared" si="65"/>
        <v/>
      </c>
      <c r="C656" s="250"/>
      <c r="D656" s="251"/>
      <c r="E656" s="241"/>
      <c r="F656" s="252"/>
      <c r="G656" s="252"/>
      <c r="H656" s="253"/>
      <c r="I656" s="250"/>
      <c r="J656" s="250"/>
      <c r="K656" s="270"/>
      <c r="L656" s="250"/>
      <c r="M656" s="250"/>
      <c r="N656" s="553" t="str">
        <f>CONCATENATE(IF(OR(M656=phu!$I$1,M656=phu!$I$2,M656=phu!$I$3),"Cam Thành Nam",""),IF(OR(M656=phu!$I$4,M656=phu!$I$5,M656=phu!$I$6,M656=phu!$I$7,M656=phu!$I$8,M656=phu!$I$9,M656=phu!$I$10,M656=phu!$I$11,M656=phu!$I$12,M656=phu!$I$13,M656=phu!$I$14),"Cam Nghĩa",""),IF(OR(M656=phu!$I$15,M656=phu!$I$16,M656=phu!$I$17,M656=phu!$I$18,M656=phu!$I$19,M656=phu!$I$20,M656=phu!$I$21),"Cam Phúc Bắc",""),IF(OR(M656=phu!$I$22,M656=phu!$I$23,M656=phu!$I$24,M656=phu!$I$25),"Cam Phúc Nam",""),IF(OR(M656=phu!$I$26,M656=phu!$I$27,M656=phu!$I$28,M656=phu!$I$29,M656=phu!$I$30,M656=phu!$I$31),"Cam Phú",""),IF(OR(M656=phu!$I$32,M656=phu!$I$33,M656=phu!$I$34,M656=phu!$I$35,M656=phu!$I$36,M656=phu!$I$37),"Cam Lộc",""),IF(OR(M656=phu!$I$38,M656=phu!$I$39,M656=phu!$I$40,M656=phu!$I$41,M656=phu!$I$42,M656=phu!$I$43,M656=phu!$I$44),"Cam Thuận",""),IF(OR(M656=phu!$I$45,M656=phu!$I$46,M656=phu!$I$47,M656=phu!$I$48,M656=phu!$I$49,M656=phu!$I$50,M656=phu!$I$51,M656=phu!$I$52,M656=phu!$I$53),"Cam Linh",""),IF(OR(M656=phu!$I$54,M656=phu!$I$55,M656=phu!$I$56,M656=phu!$I$57,M656=phu!$I$58,M656=phu!$I$59,M656=phu!$I$60,M656=phu!$I$61,M656=phu!$I$62),"Cam Lợi",""),IF(OR(M656=phu!$I$63,M656=phu!$I$64,M656=phu!$I$65,M656=phu!$I$66,M656=phu!$I$67,M656=phu!$I$68,M656=phu!$I$69,M656=phu!$I$70,M656=phu!$I$71),"Ba Ngòi",""),IF(OR(M656=phu!$I$72,M656=phu!$I$73,M656=phu!$I$74,M656=phu!$I$75,M656=phu!$I$76,M656=phu!$I$77,M656=phu!$I$78),"Cam Phước Đông",""),IF(OR(M656=phu!$I$79,M656=phu!$I$80,M656=phu!$I$81,M656=phu!$I$82,M656=phu!$I$83,M656=phu!$I$84),"Cam Thịnh Đông",""),IF(OR(M656=phu!$I$85,M656=phu!$I$86,M656=phu!$I$87,M656=phu!$I$88),"Cam Thịnh Tây",""),IF(OR(M656=phu!$I$89,M656=phu!$I$90),"Cam Lập",""),IF(OR(M656=phu!$I$91,M656=phu!$I$92,M656=phu!$I$93),"Cam Bình",""),IF(OR(M656=phu!$I$94,M656=phu!$I$95,M656=phu!$I$96,M656=phu!$I$97,M656=phu!$I$98,M656=phu!$I$99,M656=phu!$I$100),"Huyện khác",""),IF(OR(M656=phu!$I$101,M656=phu!$I$102),"Tỉnh khác",""))</f>
        <v/>
      </c>
      <c r="O656" s="814" t="str">
        <f t="shared" si="61"/>
        <v/>
      </c>
      <c r="P656" s="254"/>
      <c r="Q656" s="254"/>
      <c r="R656" s="254"/>
      <c r="S656" s="254"/>
      <c r="T656" s="254"/>
      <c r="U656" s="254"/>
      <c r="V656" s="254"/>
      <c r="W656" s="254"/>
      <c r="Y656" s="246" t="str">
        <f t="shared" si="62"/>
        <v/>
      </c>
      <c r="Z656" s="247" t="str">
        <f t="shared" si="60"/>
        <v/>
      </c>
      <c r="AA656" s="246" t="str">
        <f t="shared" si="63"/>
        <v/>
      </c>
    </row>
    <row r="657" spans="1:27" ht="18" customHeight="1" x14ac:dyDescent="0.25">
      <c r="A657" s="248" t="str">
        <f t="shared" si="64"/>
        <v/>
      </c>
      <c r="B657" s="249" t="str">
        <f t="shared" si="65"/>
        <v/>
      </c>
      <c r="C657" s="250"/>
      <c r="D657" s="251"/>
      <c r="E657" s="241"/>
      <c r="F657" s="252"/>
      <c r="G657" s="252"/>
      <c r="H657" s="253"/>
      <c r="I657" s="250"/>
      <c r="J657" s="250"/>
      <c r="K657" s="270"/>
      <c r="L657" s="250"/>
      <c r="M657" s="250"/>
      <c r="N657" s="553" t="str">
        <f>CONCATENATE(IF(OR(M657=phu!$I$1,M657=phu!$I$2,M657=phu!$I$3),"Cam Thành Nam",""),IF(OR(M657=phu!$I$4,M657=phu!$I$5,M657=phu!$I$6,M657=phu!$I$7,M657=phu!$I$8,M657=phu!$I$9,M657=phu!$I$10,M657=phu!$I$11,M657=phu!$I$12,M657=phu!$I$13,M657=phu!$I$14),"Cam Nghĩa",""),IF(OR(M657=phu!$I$15,M657=phu!$I$16,M657=phu!$I$17,M657=phu!$I$18,M657=phu!$I$19,M657=phu!$I$20,M657=phu!$I$21),"Cam Phúc Bắc",""),IF(OR(M657=phu!$I$22,M657=phu!$I$23,M657=phu!$I$24,M657=phu!$I$25),"Cam Phúc Nam",""),IF(OR(M657=phu!$I$26,M657=phu!$I$27,M657=phu!$I$28,M657=phu!$I$29,M657=phu!$I$30,M657=phu!$I$31),"Cam Phú",""),IF(OR(M657=phu!$I$32,M657=phu!$I$33,M657=phu!$I$34,M657=phu!$I$35,M657=phu!$I$36,M657=phu!$I$37),"Cam Lộc",""),IF(OR(M657=phu!$I$38,M657=phu!$I$39,M657=phu!$I$40,M657=phu!$I$41,M657=phu!$I$42,M657=phu!$I$43,M657=phu!$I$44),"Cam Thuận",""),IF(OR(M657=phu!$I$45,M657=phu!$I$46,M657=phu!$I$47,M657=phu!$I$48,M657=phu!$I$49,M657=phu!$I$50,M657=phu!$I$51,M657=phu!$I$52,M657=phu!$I$53),"Cam Linh",""),IF(OR(M657=phu!$I$54,M657=phu!$I$55,M657=phu!$I$56,M657=phu!$I$57,M657=phu!$I$58,M657=phu!$I$59,M657=phu!$I$60,M657=phu!$I$61,M657=phu!$I$62),"Cam Lợi",""),IF(OR(M657=phu!$I$63,M657=phu!$I$64,M657=phu!$I$65,M657=phu!$I$66,M657=phu!$I$67,M657=phu!$I$68,M657=phu!$I$69,M657=phu!$I$70,M657=phu!$I$71),"Ba Ngòi",""),IF(OR(M657=phu!$I$72,M657=phu!$I$73,M657=phu!$I$74,M657=phu!$I$75,M657=phu!$I$76,M657=phu!$I$77,M657=phu!$I$78),"Cam Phước Đông",""),IF(OR(M657=phu!$I$79,M657=phu!$I$80,M657=phu!$I$81,M657=phu!$I$82,M657=phu!$I$83,M657=phu!$I$84),"Cam Thịnh Đông",""),IF(OR(M657=phu!$I$85,M657=phu!$I$86,M657=phu!$I$87,M657=phu!$I$88),"Cam Thịnh Tây",""),IF(OR(M657=phu!$I$89,M657=phu!$I$90),"Cam Lập",""),IF(OR(M657=phu!$I$91,M657=phu!$I$92,M657=phu!$I$93),"Cam Bình",""),IF(OR(M657=phu!$I$94,M657=phu!$I$95,M657=phu!$I$96,M657=phu!$I$97,M657=phu!$I$98,M657=phu!$I$99,M657=phu!$I$100),"Huyện khác",""),IF(OR(M657=phu!$I$101,M657=phu!$I$102),"Tỉnh khác",""))</f>
        <v/>
      </c>
      <c r="O657" s="814" t="str">
        <f t="shared" si="61"/>
        <v/>
      </c>
      <c r="P657" s="254"/>
      <c r="Q657" s="254"/>
      <c r="R657" s="254"/>
      <c r="S657" s="254"/>
      <c r="T657" s="254"/>
      <c r="U657" s="254"/>
      <c r="V657" s="254"/>
      <c r="W657" s="254"/>
      <c r="Y657" s="246" t="str">
        <f t="shared" si="62"/>
        <v/>
      </c>
      <c r="Z657" s="247" t="str">
        <f t="shared" si="60"/>
        <v/>
      </c>
      <c r="AA657" s="246" t="str">
        <f t="shared" si="63"/>
        <v/>
      </c>
    </row>
    <row r="658" spans="1:27" ht="18" customHeight="1" x14ac:dyDescent="0.25">
      <c r="A658" s="248" t="str">
        <f t="shared" si="64"/>
        <v/>
      </c>
      <c r="B658" s="249" t="str">
        <f t="shared" si="65"/>
        <v/>
      </c>
      <c r="C658" s="250"/>
      <c r="D658" s="251"/>
      <c r="E658" s="241"/>
      <c r="F658" s="252"/>
      <c r="G658" s="252"/>
      <c r="H658" s="253"/>
      <c r="I658" s="250"/>
      <c r="J658" s="250"/>
      <c r="K658" s="270"/>
      <c r="L658" s="250"/>
      <c r="M658" s="250"/>
      <c r="N658" s="553" t="str">
        <f>CONCATENATE(IF(OR(M658=phu!$I$1,M658=phu!$I$2,M658=phu!$I$3),"Cam Thành Nam",""),IF(OR(M658=phu!$I$4,M658=phu!$I$5,M658=phu!$I$6,M658=phu!$I$7,M658=phu!$I$8,M658=phu!$I$9,M658=phu!$I$10,M658=phu!$I$11,M658=phu!$I$12,M658=phu!$I$13,M658=phu!$I$14),"Cam Nghĩa",""),IF(OR(M658=phu!$I$15,M658=phu!$I$16,M658=phu!$I$17,M658=phu!$I$18,M658=phu!$I$19,M658=phu!$I$20,M658=phu!$I$21),"Cam Phúc Bắc",""),IF(OR(M658=phu!$I$22,M658=phu!$I$23,M658=phu!$I$24,M658=phu!$I$25),"Cam Phúc Nam",""),IF(OR(M658=phu!$I$26,M658=phu!$I$27,M658=phu!$I$28,M658=phu!$I$29,M658=phu!$I$30,M658=phu!$I$31),"Cam Phú",""),IF(OR(M658=phu!$I$32,M658=phu!$I$33,M658=phu!$I$34,M658=phu!$I$35,M658=phu!$I$36,M658=phu!$I$37),"Cam Lộc",""),IF(OR(M658=phu!$I$38,M658=phu!$I$39,M658=phu!$I$40,M658=phu!$I$41,M658=phu!$I$42,M658=phu!$I$43,M658=phu!$I$44),"Cam Thuận",""),IF(OR(M658=phu!$I$45,M658=phu!$I$46,M658=phu!$I$47,M658=phu!$I$48,M658=phu!$I$49,M658=phu!$I$50,M658=phu!$I$51,M658=phu!$I$52,M658=phu!$I$53),"Cam Linh",""),IF(OR(M658=phu!$I$54,M658=phu!$I$55,M658=phu!$I$56,M658=phu!$I$57,M658=phu!$I$58,M658=phu!$I$59,M658=phu!$I$60,M658=phu!$I$61,M658=phu!$I$62),"Cam Lợi",""),IF(OR(M658=phu!$I$63,M658=phu!$I$64,M658=phu!$I$65,M658=phu!$I$66,M658=phu!$I$67,M658=phu!$I$68,M658=phu!$I$69,M658=phu!$I$70,M658=phu!$I$71),"Ba Ngòi",""),IF(OR(M658=phu!$I$72,M658=phu!$I$73,M658=phu!$I$74,M658=phu!$I$75,M658=phu!$I$76,M658=phu!$I$77,M658=phu!$I$78),"Cam Phước Đông",""),IF(OR(M658=phu!$I$79,M658=phu!$I$80,M658=phu!$I$81,M658=phu!$I$82,M658=phu!$I$83,M658=phu!$I$84),"Cam Thịnh Đông",""),IF(OR(M658=phu!$I$85,M658=phu!$I$86,M658=phu!$I$87,M658=phu!$I$88),"Cam Thịnh Tây",""),IF(OR(M658=phu!$I$89,M658=phu!$I$90),"Cam Lập",""),IF(OR(M658=phu!$I$91,M658=phu!$I$92,M658=phu!$I$93),"Cam Bình",""),IF(OR(M658=phu!$I$94,M658=phu!$I$95,M658=phu!$I$96,M658=phu!$I$97,M658=phu!$I$98,M658=phu!$I$99,M658=phu!$I$100),"Huyện khác",""),IF(OR(M658=phu!$I$101,M658=phu!$I$102),"Tỉnh khác",""))</f>
        <v/>
      </c>
      <c r="O658" s="814" t="str">
        <f t="shared" si="61"/>
        <v/>
      </c>
      <c r="P658" s="254"/>
      <c r="Q658" s="254"/>
      <c r="R658" s="254"/>
      <c r="S658" s="254"/>
      <c r="T658" s="254"/>
      <c r="U658" s="254"/>
      <c r="V658" s="254"/>
      <c r="W658" s="254"/>
      <c r="Y658" s="246" t="str">
        <f t="shared" si="62"/>
        <v/>
      </c>
      <c r="Z658" s="247" t="str">
        <f t="shared" si="60"/>
        <v/>
      </c>
      <c r="AA658" s="246" t="str">
        <f t="shared" si="63"/>
        <v/>
      </c>
    </row>
    <row r="659" spans="1:27" ht="18" customHeight="1" x14ac:dyDescent="0.25">
      <c r="A659" s="248" t="str">
        <f t="shared" si="64"/>
        <v/>
      </c>
      <c r="B659" s="249" t="str">
        <f t="shared" si="65"/>
        <v/>
      </c>
      <c r="C659" s="250"/>
      <c r="D659" s="251"/>
      <c r="E659" s="241"/>
      <c r="F659" s="252"/>
      <c r="G659" s="252"/>
      <c r="H659" s="253"/>
      <c r="I659" s="250"/>
      <c r="J659" s="250"/>
      <c r="K659" s="270"/>
      <c r="L659" s="250"/>
      <c r="M659" s="250"/>
      <c r="N659" s="553" t="str">
        <f>CONCATENATE(IF(OR(M659=phu!$I$1,M659=phu!$I$2,M659=phu!$I$3),"Cam Thành Nam",""),IF(OR(M659=phu!$I$4,M659=phu!$I$5,M659=phu!$I$6,M659=phu!$I$7,M659=phu!$I$8,M659=phu!$I$9,M659=phu!$I$10,M659=phu!$I$11,M659=phu!$I$12,M659=phu!$I$13,M659=phu!$I$14),"Cam Nghĩa",""),IF(OR(M659=phu!$I$15,M659=phu!$I$16,M659=phu!$I$17,M659=phu!$I$18,M659=phu!$I$19,M659=phu!$I$20,M659=phu!$I$21),"Cam Phúc Bắc",""),IF(OR(M659=phu!$I$22,M659=phu!$I$23,M659=phu!$I$24,M659=phu!$I$25),"Cam Phúc Nam",""),IF(OR(M659=phu!$I$26,M659=phu!$I$27,M659=phu!$I$28,M659=phu!$I$29,M659=phu!$I$30,M659=phu!$I$31),"Cam Phú",""),IF(OR(M659=phu!$I$32,M659=phu!$I$33,M659=phu!$I$34,M659=phu!$I$35,M659=phu!$I$36,M659=phu!$I$37),"Cam Lộc",""),IF(OR(M659=phu!$I$38,M659=phu!$I$39,M659=phu!$I$40,M659=phu!$I$41,M659=phu!$I$42,M659=phu!$I$43,M659=phu!$I$44),"Cam Thuận",""),IF(OR(M659=phu!$I$45,M659=phu!$I$46,M659=phu!$I$47,M659=phu!$I$48,M659=phu!$I$49,M659=phu!$I$50,M659=phu!$I$51,M659=phu!$I$52,M659=phu!$I$53),"Cam Linh",""),IF(OR(M659=phu!$I$54,M659=phu!$I$55,M659=phu!$I$56,M659=phu!$I$57,M659=phu!$I$58,M659=phu!$I$59,M659=phu!$I$60,M659=phu!$I$61,M659=phu!$I$62),"Cam Lợi",""),IF(OR(M659=phu!$I$63,M659=phu!$I$64,M659=phu!$I$65,M659=phu!$I$66,M659=phu!$I$67,M659=phu!$I$68,M659=phu!$I$69,M659=phu!$I$70,M659=phu!$I$71),"Ba Ngòi",""),IF(OR(M659=phu!$I$72,M659=phu!$I$73,M659=phu!$I$74,M659=phu!$I$75,M659=phu!$I$76,M659=phu!$I$77,M659=phu!$I$78),"Cam Phước Đông",""),IF(OR(M659=phu!$I$79,M659=phu!$I$80,M659=phu!$I$81,M659=phu!$I$82,M659=phu!$I$83,M659=phu!$I$84),"Cam Thịnh Đông",""),IF(OR(M659=phu!$I$85,M659=phu!$I$86,M659=phu!$I$87,M659=phu!$I$88),"Cam Thịnh Tây",""),IF(OR(M659=phu!$I$89,M659=phu!$I$90),"Cam Lập",""),IF(OR(M659=phu!$I$91,M659=phu!$I$92,M659=phu!$I$93),"Cam Bình",""),IF(OR(M659=phu!$I$94,M659=phu!$I$95,M659=phu!$I$96,M659=phu!$I$97,M659=phu!$I$98,M659=phu!$I$99,M659=phu!$I$100),"Huyện khác",""),IF(OR(M659=phu!$I$101,M659=phu!$I$102),"Tỉnh khác",""))</f>
        <v/>
      </c>
      <c r="O659" s="814" t="str">
        <f t="shared" si="61"/>
        <v/>
      </c>
      <c r="P659" s="254"/>
      <c r="Q659" s="254"/>
      <c r="R659" s="254"/>
      <c r="S659" s="254"/>
      <c r="T659" s="254"/>
      <c r="U659" s="254"/>
      <c r="V659" s="254"/>
      <c r="W659" s="254"/>
      <c r="Y659" s="246" t="str">
        <f t="shared" si="62"/>
        <v/>
      </c>
      <c r="Z659" s="247" t="str">
        <f t="shared" si="60"/>
        <v/>
      </c>
      <c r="AA659" s="246" t="str">
        <f t="shared" si="63"/>
        <v/>
      </c>
    </row>
    <row r="660" spans="1:27" ht="18" customHeight="1" x14ac:dyDescent="0.25">
      <c r="A660" s="248" t="str">
        <f t="shared" si="64"/>
        <v/>
      </c>
      <c r="B660" s="249" t="str">
        <f t="shared" si="65"/>
        <v/>
      </c>
      <c r="C660" s="250"/>
      <c r="D660" s="251"/>
      <c r="E660" s="241"/>
      <c r="F660" s="252"/>
      <c r="G660" s="252"/>
      <c r="H660" s="253"/>
      <c r="I660" s="250"/>
      <c r="J660" s="250"/>
      <c r="K660" s="270"/>
      <c r="L660" s="250"/>
      <c r="M660" s="250"/>
      <c r="N660" s="553" t="str">
        <f>CONCATENATE(IF(OR(M660=phu!$I$1,M660=phu!$I$2,M660=phu!$I$3),"Cam Thành Nam",""),IF(OR(M660=phu!$I$4,M660=phu!$I$5,M660=phu!$I$6,M660=phu!$I$7,M660=phu!$I$8,M660=phu!$I$9,M660=phu!$I$10,M660=phu!$I$11,M660=phu!$I$12,M660=phu!$I$13,M660=phu!$I$14),"Cam Nghĩa",""),IF(OR(M660=phu!$I$15,M660=phu!$I$16,M660=phu!$I$17,M660=phu!$I$18,M660=phu!$I$19,M660=phu!$I$20,M660=phu!$I$21),"Cam Phúc Bắc",""),IF(OR(M660=phu!$I$22,M660=phu!$I$23,M660=phu!$I$24,M660=phu!$I$25),"Cam Phúc Nam",""),IF(OR(M660=phu!$I$26,M660=phu!$I$27,M660=phu!$I$28,M660=phu!$I$29,M660=phu!$I$30,M660=phu!$I$31),"Cam Phú",""),IF(OR(M660=phu!$I$32,M660=phu!$I$33,M660=phu!$I$34,M660=phu!$I$35,M660=phu!$I$36,M660=phu!$I$37),"Cam Lộc",""),IF(OR(M660=phu!$I$38,M660=phu!$I$39,M660=phu!$I$40,M660=phu!$I$41,M660=phu!$I$42,M660=phu!$I$43,M660=phu!$I$44),"Cam Thuận",""),IF(OR(M660=phu!$I$45,M660=phu!$I$46,M660=phu!$I$47,M660=phu!$I$48,M660=phu!$I$49,M660=phu!$I$50,M660=phu!$I$51,M660=phu!$I$52,M660=phu!$I$53),"Cam Linh",""),IF(OR(M660=phu!$I$54,M660=phu!$I$55,M660=phu!$I$56,M660=phu!$I$57,M660=phu!$I$58,M660=phu!$I$59,M660=phu!$I$60,M660=phu!$I$61,M660=phu!$I$62),"Cam Lợi",""),IF(OR(M660=phu!$I$63,M660=phu!$I$64,M660=phu!$I$65,M660=phu!$I$66,M660=phu!$I$67,M660=phu!$I$68,M660=phu!$I$69,M660=phu!$I$70,M660=phu!$I$71),"Ba Ngòi",""),IF(OR(M660=phu!$I$72,M660=phu!$I$73,M660=phu!$I$74,M660=phu!$I$75,M660=phu!$I$76,M660=phu!$I$77,M660=phu!$I$78),"Cam Phước Đông",""),IF(OR(M660=phu!$I$79,M660=phu!$I$80,M660=phu!$I$81,M660=phu!$I$82,M660=phu!$I$83,M660=phu!$I$84),"Cam Thịnh Đông",""),IF(OR(M660=phu!$I$85,M660=phu!$I$86,M660=phu!$I$87,M660=phu!$I$88),"Cam Thịnh Tây",""),IF(OR(M660=phu!$I$89,M660=phu!$I$90),"Cam Lập",""),IF(OR(M660=phu!$I$91,M660=phu!$I$92,M660=phu!$I$93),"Cam Bình",""),IF(OR(M660=phu!$I$94,M660=phu!$I$95,M660=phu!$I$96,M660=phu!$I$97,M660=phu!$I$98,M660=phu!$I$99,M660=phu!$I$100),"Huyện khác",""),IF(OR(M660=phu!$I$101,M660=phu!$I$102),"Tỉnh khác",""))</f>
        <v/>
      </c>
      <c r="O660" s="814" t="str">
        <f t="shared" si="61"/>
        <v/>
      </c>
      <c r="P660" s="254"/>
      <c r="Q660" s="254"/>
      <c r="R660" s="254"/>
      <c r="S660" s="254"/>
      <c r="T660" s="254"/>
      <c r="U660" s="254"/>
      <c r="V660" s="254"/>
      <c r="W660" s="254"/>
      <c r="Y660" s="246" t="str">
        <f t="shared" si="62"/>
        <v/>
      </c>
      <c r="Z660" s="247" t="str">
        <f t="shared" si="60"/>
        <v/>
      </c>
      <c r="AA660" s="246" t="str">
        <f t="shared" si="63"/>
        <v/>
      </c>
    </row>
    <row r="661" spans="1:27" ht="18" customHeight="1" x14ac:dyDescent="0.25">
      <c r="A661" s="248" t="str">
        <f t="shared" si="64"/>
        <v/>
      </c>
      <c r="B661" s="249" t="str">
        <f t="shared" si="65"/>
        <v/>
      </c>
      <c r="C661" s="250"/>
      <c r="D661" s="251"/>
      <c r="E661" s="241"/>
      <c r="F661" s="252"/>
      <c r="G661" s="252"/>
      <c r="H661" s="253"/>
      <c r="I661" s="250"/>
      <c r="J661" s="250"/>
      <c r="K661" s="270"/>
      <c r="L661" s="250"/>
      <c r="M661" s="250"/>
      <c r="N661" s="553" t="str">
        <f>CONCATENATE(IF(OR(M661=phu!$I$1,M661=phu!$I$2,M661=phu!$I$3),"Cam Thành Nam",""),IF(OR(M661=phu!$I$4,M661=phu!$I$5,M661=phu!$I$6,M661=phu!$I$7,M661=phu!$I$8,M661=phu!$I$9,M661=phu!$I$10,M661=phu!$I$11,M661=phu!$I$12,M661=phu!$I$13,M661=phu!$I$14),"Cam Nghĩa",""),IF(OR(M661=phu!$I$15,M661=phu!$I$16,M661=phu!$I$17,M661=phu!$I$18,M661=phu!$I$19,M661=phu!$I$20,M661=phu!$I$21),"Cam Phúc Bắc",""),IF(OR(M661=phu!$I$22,M661=phu!$I$23,M661=phu!$I$24,M661=phu!$I$25),"Cam Phúc Nam",""),IF(OR(M661=phu!$I$26,M661=phu!$I$27,M661=phu!$I$28,M661=phu!$I$29,M661=phu!$I$30,M661=phu!$I$31),"Cam Phú",""),IF(OR(M661=phu!$I$32,M661=phu!$I$33,M661=phu!$I$34,M661=phu!$I$35,M661=phu!$I$36,M661=phu!$I$37),"Cam Lộc",""),IF(OR(M661=phu!$I$38,M661=phu!$I$39,M661=phu!$I$40,M661=phu!$I$41,M661=phu!$I$42,M661=phu!$I$43,M661=phu!$I$44),"Cam Thuận",""),IF(OR(M661=phu!$I$45,M661=phu!$I$46,M661=phu!$I$47,M661=phu!$I$48,M661=phu!$I$49,M661=phu!$I$50,M661=phu!$I$51,M661=phu!$I$52,M661=phu!$I$53),"Cam Linh",""),IF(OR(M661=phu!$I$54,M661=phu!$I$55,M661=phu!$I$56,M661=phu!$I$57,M661=phu!$I$58,M661=phu!$I$59,M661=phu!$I$60,M661=phu!$I$61,M661=phu!$I$62),"Cam Lợi",""),IF(OR(M661=phu!$I$63,M661=phu!$I$64,M661=phu!$I$65,M661=phu!$I$66,M661=phu!$I$67,M661=phu!$I$68,M661=phu!$I$69,M661=phu!$I$70,M661=phu!$I$71),"Ba Ngòi",""),IF(OR(M661=phu!$I$72,M661=phu!$I$73,M661=phu!$I$74,M661=phu!$I$75,M661=phu!$I$76,M661=phu!$I$77,M661=phu!$I$78),"Cam Phước Đông",""),IF(OR(M661=phu!$I$79,M661=phu!$I$80,M661=phu!$I$81,M661=phu!$I$82,M661=phu!$I$83,M661=phu!$I$84),"Cam Thịnh Đông",""),IF(OR(M661=phu!$I$85,M661=phu!$I$86,M661=phu!$I$87,M661=phu!$I$88),"Cam Thịnh Tây",""),IF(OR(M661=phu!$I$89,M661=phu!$I$90),"Cam Lập",""),IF(OR(M661=phu!$I$91,M661=phu!$I$92,M661=phu!$I$93),"Cam Bình",""),IF(OR(M661=phu!$I$94,M661=phu!$I$95,M661=phu!$I$96,M661=phu!$I$97,M661=phu!$I$98,M661=phu!$I$99,M661=phu!$I$100),"Huyện khác",""),IF(OR(M661=phu!$I$101,M661=phu!$I$102),"Tỉnh khác",""))</f>
        <v/>
      </c>
      <c r="O661" s="814" t="str">
        <f t="shared" si="61"/>
        <v/>
      </c>
      <c r="P661" s="254"/>
      <c r="Q661" s="254"/>
      <c r="R661" s="254"/>
      <c r="S661" s="254"/>
      <c r="T661" s="254"/>
      <c r="U661" s="254"/>
      <c r="V661" s="254"/>
      <c r="W661" s="254"/>
      <c r="Y661" s="246" t="str">
        <f t="shared" si="62"/>
        <v/>
      </c>
      <c r="Z661" s="247" t="str">
        <f t="shared" si="60"/>
        <v/>
      </c>
      <c r="AA661" s="246" t="str">
        <f t="shared" si="63"/>
        <v/>
      </c>
    </row>
    <row r="662" spans="1:27" ht="18" customHeight="1" x14ac:dyDescent="0.25">
      <c r="A662" s="248" t="str">
        <f t="shared" si="64"/>
        <v/>
      </c>
      <c r="B662" s="249" t="str">
        <f t="shared" si="65"/>
        <v/>
      </c>
      <c r="C662" s="250"/>
      <c r="D662" s="251"/>
      <c r="E662" s="241"/>
      <c r="F662" s="252"/>
      <c r="G662" s="252"/>
      <c r="H662" s="253"/>
      <c r="I662" s="250"/>
      <c r="J662" s="250"/>
      <c r="K662" s="270"/>
      <c r="L662" s="250"/>
      <c r="M662" s="250"/>
      <c r="N662" s="553" t="str">
        <f>CONCATENATE(IF(OR(M662=phu!$I$1,M662=phu!$I$2,M662=phu!$I$3),"Cam Thành Nam",""),IF(OR(M662=phu!$I$4,M662=phu!$I$5,M662=phu!$I$6,M662=phu!$I$7,M662=phu!$I$8,M662=phu!$I$9,M662=phu!$I$10,M662=phu!$I$11,M662=phu!$I$12,M662=phu!$I$13,M662=phu!$I$14),"Cam Nghĩa",""),IF(OR(M662=phu!$I$15,M662=phu!$I$16,M662=phu!$I$17,M662=phu!$I$18,M662=phu!$I$19,M662=phu!$I$20,M662=phu!$I$21),"Cam Phúc Bắc",""),IF(OR(M662=phu!$I$22,M662=phu!$I$23,M662=phu!$I$24,M662=phu!$I$25),"Cam Phúc Nam",""),IF(OR(M662=phu!$I$26,M662=phu!$I$27,M662=phu!$I$28,M662=phu!$I$29,M662=phu!$I$30,M662=phu!$I$31),"Cam Phú",""),IF(OR(M662=phu!$I$32,M662=phu!$I$33,M662=phu!$I$34,M662=phu!$I$35,M662=phu!$I$36,M662=phu!$I$37),"Cam Lộc",""),IF(OR(M662=phu!$I$38,M662=phu!$I$39,M662=phu!$I$40,M662=phu!$I$41,M662=phu!$I$42,M662=phu!$I$43,M662=phu!$I$44),"Cam Thuận",""),IF(OR(M662=phu!$I$45,M662=phu!$I$46,M662=phu!$I$47,M662=phu!$I$48,M662=phu!$I$49,M662=phu!$I$50,M662=phu!$I$51,M662=phu!$I$52,M662=phu!$I$53),"Cam Linh",""),IF(OR(M662=phu!$I$54,M662=phu!$I$55,M662=phu!$I$56,M662=phu!$I$57,M662=phu!$I$58,M662=phu!$I$59,M662=phu!$I$60,M662=phu!$I$61,M662=phu!$I$62),"Cam Lợi",""),IF(OR(M662=phu!$I$63,M662=phu!$I$64,M662=phu!$I$65,M662=phu!$I$66,M662=phu!$I$67,M662=phu!$I$68,M662=phu!$I$69,M662=phu!$I$70,M662=phu!$I$71),"Ba Ngòi",""),IF(OR(M662=phu!$I$72,M662=phu!$I$73,M662=phu!$I$74,M662=phu!$I$75,M662=phu!$I$76,M662=phu!$I$77,M662=phu!$I$78),"Cam Phước Đông",""),IF(OR(M662=phu!$I$79,M662=phu!$I$80,M662=phu!$I$81,M662=phu!$I$82,M662=phu!$I$83,M662=phu!$I$84),"Cam Thịnh Đông",""),IF(OR(M662=phu!$I$85,M662=phu!$I$86,M662=phu!$I$87,M662=phu!$I$88),"Cam Thịnh Tây",""),IF(OR(M662=phu!$I$89,M662=phu!$I$90),"Cam Lập",""),IF(OR(M662=phu!$I$91,M662=phu!$I$92,M662=phu!$I$93),"Cam Bình",""),IF(OR(M662=phu!$I$94,M662=phu!$I$95,M662=phu!$I$96,M662=phu!$I$97,M662=phu!$I$98,M662=phu!$I$99,M662=phu!$I$100),"Huyện khác",""),IF(OR(M662=phu!$I$101,M662=phu!$I$102),"Tỉnh khác",""))</f>
        <v/>
      </c>
      <c r="O662" s="814" t="str">
        <f t="shared" si="61"/>
        <v/>
      </c>
      <c r="P662" s="254"/>
      <c r="Q662" s="254"/>
      <c r="R662" s="254"/>
      <c r="S662" s="254"/>
      <c r="T662" s="254"/>
      <c r="U662" s="254"/>
      <c r="V662" s="254"/>
      <c r="W662" s="254"/>
      <c r="Y662" s="246" t="str">
        <f t="shared" si="62"/>
        <v/>
      </c>
      <c r="Z662" s="247" t="str">
        <f t="shared" si="60"/>
        <v/>
      </c>
      <c r="AA662" s="246" t="str">
        <f t="shared" si="63"/>
        <v/>
      </c>
    </row>
    <row r="663" spans="1:27" ht="18" customHeight="1" x14ac:dyDescent="0.25">
      <c r="A663" s="248" t="str">
        <f t="shared" si="64"/>
        <v/>
      </c>
      <c r="B663" s="249" t="str">
        <f t="shared" si="65"/>
        <v/>
      </c>
      <c r="C663" s="250"/>
      <c r="D663" s="251"/>
      <c r="E663" s="241"/>
      <c r="F663" s="252"/>
      <c r="G663" s="252"/>
      <c r="H663" s="253"/>
      <c r="I663" s="250"/>
      <c r="J663" s="250"/>
      <c r="K663" s="270"/>
      <c r="L663" s="250"/>
      <c r="M663" s="250"/>
      <c r="N663" s="553" t="str">
        <f>CONCATENATE(IF(OR(M663=phu!$I$1,M663=phu!$I$2,M663=phu!$I$3),"Cam Thành Nam",""),IF(OR(M663=phu!$I$4,M663=phu!$I$5,M663=phu!$I$6,M663=phu!$I$7,M663=phu!$I$8,M663=phu!$I$9,M663=phu!$I$10,M663=phu!$I$11,M663=phu!$I$12,M663=phu!$I$13,M663=phu!$I$14),"Cam Nghĩa",""),IF(OR(M663=phu!$I$15,M663=phu!$I$16,M663=phu!$I$17,M663=phu!$I$18,M663=phu!$I$19,M663=phu!$I$20,M663=phu!$I$21),"Cam Phúc Bắc",""),IF(OR(M663=phu!$I$22,M663=phu!$I$23,M663=phu!$I$24,M663=phu!$I$25),"Cam Phúc Nam",""),IF(OR(M663=phu!$I$26,M663=phu!$I$27,M663=phu!$I$28,M663=phu!$I$29,M663=phu!$I$30,M663=phu!$I$31),"Cam Phú",""),IF(OR(M663=phu!$I$32,M663=phu!$I$33,M663=phu!$I$34,M663=phu!$I$35,M663=phu!$I$36,M663=phu!$I$37),"Cam Lộc",""),IF(OR(M663=phu!$I$38,M663=phu!$I$39,M663=phu!$I$40,M663=phu!$I$41,M663=phu!$I$42,M663=phu!$I$43,M663=phu!$I$44),"Cam Thuận",""),IF(OR(M663=phu!$I$45,M663=phu!$I$46,M663=phu!$I$47,M663=phu!$I$48,M663=phu!$I$49,M663=phu!$I$50,M663=phu!$I$51,M663=phu!$I$52,M663=phu!$I$53),"Cam Linh",""),IF(OR(M663=phu!$I$54,M663=phu!$I$55,M663=phu!$I$56,M663=phu!$I$57,M663=phu!$I$58,M663=phu!$I$59,M663=phu!$I$60,M663=phu!$I$61,M663=phu!$I$62),"Cam Lợi",""),IF(OR(M663=phu!$I$63,M663=phu!$I$64,M663=phu!$I$65,M663=phu!$I$66,M663=phu!$I$67,M663=phu!$I$68,M663=phu!$I$69,M663=phu!$I$70,M663=phu!$I$71),"Ba Ngòi",""),IF(OR(M663=phu!$I$72,M663=phu!$I$73,M663=phu!$I$74,M663=phu!$I$75,M663=phu!$I$76,M663=phu!$I$77,M663=phu!$I$78),"Cam Phước Đông",""),IF(OR(M663=phu!$I$79,M663=phu!$I$80,M663=phu!$I$81,M663=phu!$I$82,M663=phu!$I$83,M663=phu!$I$84),"Cam Thịnh Đông",""),IF(OR(M663=phu!$I$85,M663=phu!$I$86,M663=phu!$I$87,M663=phu!$I$88),"Cam Thịnh Tây",""),IF(OR(M663=phu!$I$89,M663=phu!$I$90),"Cam Lập",""),IF(OR(M663=phu!$I$91,M663=phu!$I$92,M663=phu!$I$93),"Cam Bình",""),IF(OR(M663=phu!$I$94,M663=phu!$I$95,M663=phu!$I$96,M663=phu!$I$97,M663=phu!$I$98,M663=phu!$I$99,M663=phu!$I$100),"Huyện khác",""),IF(OR(M663=phu!$I$101,M663=phu!$I$102),"Tỉnh khác",""))</f>
        <v/>
      </c>
      <c r="O663" s="814" t="str">
        <f t="shared" si="61"/>
        <v/>
      </c>
      <c r="P663" s="254"/>
      <c r="Q663" s="254"/>
      <c r="R663" s="254"/>
      <c r="S663" s="254"/>
      <c r="T663" s="254"/>
      <c r="U663" s="254"/>
      <c r="V663" s="254"/>
      <c r="W663" s="254"/>
      <c r="Y663" s="246" t="str">
        <f t="shared" si="62"/>
        <v/>
      </c>
      <c r="Z663" s="247" t="str">
        <f t="shared" si="60"/>
        <v/>
      </c>
      <c r="AA663" s="246" t="str">
        <f t="shared" si="63"/>
        <v/>
      </c>
    </row>
    <row r="664" spans="1:27" ht="18" customHeight="1" x14ac:dyDescent="0.25">
      <c r="A664" s="248" t="str">
        <f t="shared" si="64"/>
        <v/>
      </c>
      <c r="B664" s="249" t="str">
        <f t="shared" si="65"/>
        <v/>
      </c>
      <c r="C664" s="250"/>
      <c r="D664" s="251"/>
      <c r="E664" s="241"/>
      <c r="F664" s="252"/>
      <c r="G664" s="252"/>
      <c r="H664" s="253"/>
      <c r="I664" s="250"/>
      <c r="J664" s="250"/>
      <c r="K664" s="270"/>
      <c r="L664" s="250"/>
      <c r="M664" s="250"/>
      <c r="N664" s="553" t="str">
        <f>CONCATENATE(IF(OR(M664=phu!$I$1,M664=phu!$I$2,M664=phu!$I$3),"Cam Thành Nam",""),IF(OR(M664=phu!$I$4,M664=phu!$I$5,M664=phu!$I$6,M664=phu!$I$7,M664=phu!$I$8,M664=phu!$I$9,M664=phu!$I$10,M664=phu!$I$11,M664=phu!$I$12,M664=phu!$I$13,M664=phu!$I$14),"Cam Nghĩa",""),IF(OR(M664=phu!$I$15,M664=phu!$I$16,M664=phu!$I$17,M664=phu!$I$18,M664=phu!$I$19,M664=phu!$I$20,M664=phu!$I$21),"Cam Phúc Bắc",""),IF(OR(M664=phu!$I$22,M664=phu!$I$23,M664=phu!$I$24,M664=phu!$I$25),"Cam Phúc Nam",""),IF(OR(M664=phu!$I$26,M664=phu!$I$27,M664=phu!$I$28,M664=phu!$I$29,M664=phu!$I$30,M664=phu!$I$31),"Cam Phú",""),IF(OR(M664=phu!$I$32,M664=phu!$I$33,M664=phu!$I$34,M664=phu!$I$35,M664=phu!$I$36,M664=phu!$I$37),"Cam Lộc",""),IF(OR(M664=phu!$I$38,M664=phu!$I$39,M664=phu!$I$40,M664=phu!$I$41,M664=phu!$I$42,M664=phu!$I$43,M664=phu!$I$44),"Cam Thuận",""),IF(OR(M664=phu!$I$45,M664=phu!$I$46,M664=phu!$I$47,M664=phu!$I$48,M664=phu!$I$49,M664=phu!$I$50,M664=phu!$I$51,M664=phu!$I$52,M664=phu!$I$53),"Cam Linh",""),IF(OR(M664=phu!$I$54,M664=phu!$I$55,M664=phu!$I$56,M664=phu!$I$57,M664=phu!$I$58,M664=phu!$I$59,M664=phu!$I$60,M664=phu!$I$61,M664=phu!$I$62),"Cam Lợi",""),IF(OR(M664=phu!$I$63,M664=phu!$I$64,M664=phu!$I$65,M664=phu!$I$66,M664=phu!$I$67,M664=phu!$I$68,M664=phu!$I$69,M664=phu!$I$70,M664=phu!$I$71),"Ba Ngòi",""),IF(OR(M664=phu!$I$72,M664=phu!$I$73,M664=phu!$I$74,M664=phu!$I$75,M664=phu!$I$76,M664=phu!$I$77,M664=phu!$I$78),"Cam Phước Đông",""),IF(OR(M664=phu!$I$79,M664=phu!$I$80,M664=phu!$I$81,M664=phu!$I$82,M664=phu!$I$83,M664=phu!$I$84),"Cam Thịnh Đông",""),IF(OR(M664=phu!$I$85,M664=phu!$I$86,M664=phu!$I$87,M664=phu!$I$88),"Cam Thịnh Tây",""),IF(OR(M664=phu!$I$89,M664=phu!$I$90),"Cam Lập",""),IF(OR(M664=phu!$I$91,M664=phu!$I$92,M664=phu!$I$93),"Cam Bình",""),IF(OR(M664=phu!$I$94,M664=phu!$I$95,M664=phu!$I$96,M664=phu!$I$97,M664=phu!$I$98,M664=phu!$I$99,M664=phu!$I$100),"Huyện khác",""),IF(OR(M664=phu!$I$101,M664=phu!$I$102),"Tỉnh khác",""))</f>
        <v/>
      </c>
      <c r="O664" s="814" t="str">
        <f t="shared" si="61"/>
        <v/>
      </c>
      <c r="P664" s="254"/>
      <c r="Q664" s="254"/>
      <c r="R664" s="254"/>
      <c r="S664" s="254"/>
      <c r="T664" s="254"/>
      <c r="U664" s="254"/>
      <c r="V664" s="254"/>
      <c r="W664" s="254"/>
      <c r="Y664" s="246" t="str">
        <f t="shared" si="62"/>
        <v/>
      </c>
      <c r="Z664" s="247" t="str">
        <f t="shared" si="60"/>
        <v/>
      </c>
      <c r="AA664" s="246" t="str">
        <f t="shared" si="63"/>
        <v/>
      </c>
    </row>
    <row r="665" spans="1:27" ht="18" customHeight="1" x14ac:dyDescent="0.25">
      <c r="A665" s="248" t="str">
        <f t="shared" si="64"/>
        <v/>
      </c>
      <c r="B665" s="249" t="str">
        <f t="shared" si="65"/>
        <v/>
      </c>
      <c r="C665" s="250"/>
      <c r="D665" s="251"/>
      <c r="E665" s="241"/>
      <c r="F665" s="252"/>
      <c r="G665" s="252"/>
      <c r="H665" s="253"/>
      <c r="I665" s="250"/>
      <c r="J665" s="250"/>
      <c r="K665" s="270"/>
      <c r="L665" s="250"/>
      <c r="M665" s="250"/>
      <c r="N665" s="553" t="str">
        <f>CONCATENATE(IF(OR(M665=phu!$I$1,M665=phu!$I$2,M665=phu!$I$3),"Cam Thành Nam",""),IF(OR(M665=phu!$I$4,M665=phu!$I$5,M665=phu!$I$6,M665=phu!$I$7,M665=phu!$I$8,M665=phu!$I$9,M665=phu!$I$10,M665=phu!$I$11,M665=phu!$I$12,M665=phu!$I$13,M665=phu!$I$14),"Cam Nghĩa",""),IF(OR(M665=phu!$I$15,M665=phu!$I$16,M665=phu!$I$17,M665=phu!$I$18,M665=phu!$I$19,M665=phu!$I$20,M665=phu!$I$21),"Cam Phúc Bắc",""),IF(OR(M665=phu!$I$22,M665=phu!$I$23,M665=phu!$I$24,M665=phu!$I$25),"Cam Phúc Nam",""),IF(OR(M665=phu!$I$26,M665=phu!$I$27,M665=phu!$I$28,M665=phu!$I$29,M665=phu!$I$30,M665=phu!$I$31),"Cam Phú",""),IF(OR(M665=phu!$I$32,M665=phu!$I$33,M665=phu!$I$34,M665=phu!$I$35,M665=phu!$I$36,M665=phu!$I$37),"Cam Lộc",""),IF(OR(M665=phu!$I$38,M665=phu!$I$39,M665=phu!$I$40,M665=phu!$I$41,M665=phu!$I$42,M665=phu!$I$43,M665=phu!$I$44),"Cam Thuận",""),IF(OR(M665=phu!$I$45,M665=phu!$I$46,M665=phu!$I$47,M665=phu!$I$48,M665=phu!$I$49,M665=phu!$I$50,M665=phu!$I$51,M665=phu!$I$52,M665=phu!$I$53),"Cam Linh",""),IF(OR(M665=phu!$I$54,M665=phu!$I$55,M665=phu!$I$56,M665=phu!$I$57,M665=phu!$I$58,M665=phu!$I$59,M665=phu!$I$60,M665=phu!$I$61,M665=phu!$I$62),"Cam Lợi",""),IF(OR(M665=phu!$I$63,M665=phu!$I$64,M665=phu!$I$65,M665=phu!$I$66,M665=phu!$I$67,M665=phu!$I$68,M665=phu!$I$69,M665=phu!$I$70,M665=phu!$I$71),"Ba Ngòi",""),IF(OR(M665=phu!$I$72,M665=phu!$I$73,M665=phu!$I$74,M665=phu!$I$75,M665=phu!$I$76,M665=phu!$I$77,M665=phu!$I$78),"Cam Phước Đông",""),IF(OR(M665=phu!$I$79,M665=phu!$I$80,M665=phu!$I$81,M665=phu!$I$82,M665=phu!$I$83,M665=phu!$I$84),"Cam Thịnh Đông",""),IF(OR(M665=phu!$I$85,M665=phu!$I$86,M665=phu!$I$87,M665=phu!$I$88),"Cam Thịnh Tây",""),IF(OR(M665=phu!$I$89,M665=phu!$I$90),"Cam Lập",""),IF(OR(M665=phu!$I$91,M665=phu!$I$92,M665=phu!$I$93),"Cam Bình",""),IF(OR(M665=phu!$I$94,M665=phu!$I$95,M665=phu!$I$96,M665=phu!$I$97,M665=phu!$I$98,M665=phu!$I$99,M665=phu!$I$100),"Huyện khác",""),IF(OR(M665=phu!$I$101,M665=phu!$I$102),"Tỉnh khác",""))</f>
        <v/>
      </c>
      <c r="O665" s="814" t="str">
        <f t="shared" si="61"/>
        <v/>
      </c>
      <c r="P665" s="254"/>
      <c r="Q665" s="254"/>
      <c r="R665" s="254"/>
      <c r="S665" s="254"/>
      <c r="T665" s="254"/>
      <c r="U665" s="254"/>
      <c r="V665" s="254"/>
      <c r="W665" s="254"/>
      <c r="Y665" s="246" t="str">
        <f t="shared" si="62"/>
        <v/>
      </c>
      <c r="Z665" s="247" t="str">
        <f t="shared" si="60"/>
        <v/>
      </c>
      <c r="AA665" s="246" t="str">
        <f t="shared" si="63"/>
        <v/>
      </c>
    </row>
    <row r="666" spans="1:27" ht="18" customHeight="1" x14ac:dyDescent="0.25">
      <c r="A666" s="248" t="str">
        <f t="shared" si="64"/>
        <v/>
      </c>
      <c r="B666" s="249" t="str">
        <f t="shared" si="65"/>
        <v/>
      </c>
      <c r="C666" s="250"/>
      <c r="D666" s="251"/>
      <c r="E666" s="241"/>
      <c r="F666" s="252"/>
      <c r="G666" s="252"/>
      <c r="H666" s="253"/>
      <c r="I666" s="250"/>
      <c r="J666" s="250"/>
      <c r="K666" s="270"/>
      <c r="L666" s="250"/>
      <c r="M666" s="250"/>
      <c r="N666" s="553" t="str">
        <f>CONCATENATE(IF(OR(M666=phu!$I$1,M666=phu!$I$2,M666=phu!$I$3),"Cam Thành Nam",""),IF(OR(M666=phu!$I$4,M666=phu!$I$5,M666=phu!$I$6,M666=phu!$I$7,M666=phu!$I$8,M666=phu!$I$9,M666=phu!$I$10,M666=phu!$I$11,M666=phu!$I$12,M666=phu!$I$13,M666=phu!$I$14),"Cam Nghĩa",""),IF(OR(M666=phu!$I$15,M666=phu!$I$16,M666=phu!$I$17,M666=phu!$I$18,M666=phu!$I$19,M666=phu!$I$20,M666=phu!$I$21),"Cam Phúc Bắc",""),IF(OR(M666=phu!$I$22,M666=phu!$I$23,M666=phu!$I$24,M666=phu!$I$25),"Cam Phúc Nam",""),IF(OR(M666=phu!$I$26,M666=phu!$I$27,M666=phu!$I$28,M666=phu!$I$29,M666=phu!$I$30,M666=phu!$I$31),"Cam Phú",""),IF(OR(M666=phu!$I$32,M666=phu!$I$33,M666=phu!$I$34,M666=phu!$I$35,M666=phu!$I$36,M666=phu!$I$37),"Cam Lộc",""),IF(OR(M666=phu!$I$38,M666=phu!$I$39,M666=phu!$I$40,M666=phu!$I$41,M666=phu!$I$42,M666=phu!$I$43,M666=phu!$I$44),"Cam Thuận",""),IF(OR(M666=phu!$I$45,M666=phu!$I$46,M666=phu!$I$47,M666=phu!$I$48,M666=phu!$I$49,M666=phu!$I$50,M666=phu!$I$51,M666=phu!$I$52,M666=phu!$I$53),"Cam Linh",""),IF(OR(M666=phu!$I$54,M666=phu!$I$55,M666=phu!$I$56,M666=phu!$I$57,M666=phu!$I$58,M666=phu!$I$59,M666=phu!$I$60,M666=phu!$I$61,M666=phu!$I$62),"Cam Lợi",""),IF(OR(M666=phu!$I$63,M666=phu!$I$64,M666=phu!$I$65,M666=phu!$I$66,M666=phu!$I$67,M666=phu!$I$68,M666=phu!$I$69,M666=phu!$I$70,M666=phu!$I$71),"Ba Ngòi",""),IF(OR(M666=phu!$I$72,M666=phu!$I$73,M666=phu!$I$74,M666=phu!$I$75,M666=phu!$I$76,M666=phu!$I$77,M666=phu!$I$78),"Cam Phước Đông",""),IF(OR(M666=phu!$I$79,M666=phu!$I$80,M666=phu!$I$81,M666=phu!$I$82,M666=phu!$I$83,M666=phu!$I$84),"Cam Thịnh Đông",""),IF(OR(M666=phu!$I$85,M666=phu!$I$86,M666=phu!$I$87,M666=phu!$I$88),"Cam Thịnh Tây",""),IF(OR(M666=phu!$I$89,M666=phu!$I$90),"Cam Lập",""),IF(OR(M666=phu!$I$91,M666=phu!$I$92,M666=phu!$I$93),"Cam Bình",""),IF(OR(M666=phu!$I$94,M666=phu!$I$95,M666=phu!$I$96,M666=phu!$I$97,M666=phu!$I$98,M666=phu!$I$99,M666=phu!$I$100),"Huyện khác",""),IF(OR(M666=phu!$I$101,M666=phu!$I$102),"Tỉnh khác",""))</f>
        <v/>
      </c>
      <c r="O666" s="814" t="str">
        <f t="shared" si="61"/>
        <v/>
      </c>
      <c r="P666" s="254"/>
      <c r="Q666" s="254"/>
      <c r="R666" s="254"/>
      <c r="S666" s="254"/>
      <c r="T666" s="254"/>
      <c r="U666" s="254"/>
      <c r="V666" s="254"/>
      <c r="W666" s="254"/>
      <c r="Y666" s="246" t="str">
        <f t="shared" si="62"/>
        <v/>
      </c>
      <c r="Z666" s="247" t="str">
        <f t="shared" si="60"/>
        <v/>
      </c>
      <c r="AA666" s="246" t="str">
        <f t="shared" si="63"/>
        <v/>
      </c>
    </row>
    <row r="667" spans="1:27" ht="18" customHeight="1" x14ac:dyDescent="0.25">
      <c r="A667" s="248" t="str">
        <f t="shared" si="64"/>
        <v/>
      </c>
      <c r="B667" s="249" t="str">
        <f t="shared" si="65"/>
        <v/>
      </c>
      <c r="C667" s="250"/>
      <c r="D667" s="251"/>
      <c r="E667" s="241"/>
      <c r="F667" s="252"/>
      <c r="G667" s="252"/>
      <c r="H667" s="253"/>
      <c r="I667" s="250"/>
      <c r="J667" s="250"/>
      <c r="K667" s="270"/>
      <c r="L667" s="250"/>
      <c r="M667" s="250"/>
      <c r="N667" s="553" t="str">
        <f>CONCATENATE(IF(OR(M667=phu!$I$1,M667=phu!$I$2,M667=phu!$I$3),"Cam Thành Nam",""),IF(OR(M667=phu!$I$4,M667=phu!$I$5,M667=phu!$I$6,M667=phu!$I$7,M667=phu!$I$8,M667=phu!$I$9,M667=phu!$I$10,M667=phu!$I$11,M667=phu!$I$12,M667=phu!$I$13,M667=phu!$I$14),"Cam Nghĩa",""),IF(OR(M667=phu!$I$15,M667=phu!$I$16,M667=phu!$I$17,M667=phu!$I$18,M667=phu!$I$19,M667=phu!$I$20,M667=phu!$I$21),"Cam Phúc Bắc",""),IF(OR(M667=phu!$I$22,M667=phu!$I$23,M667=phu!$I$24,M667=phu!$I$25),"Cam Phúc Nam",""),IF(OR(M667=phu!$I$26,M667=phu!$I$27,M667=phu!$I$28,M667=phu!$I$29,M667=phu!$I$30,M667=phu!$I$31),"Cam Phú",""),IF(OR(M667=phu!$I$32,M667=phu!$I$33,M667=phu!$I$34,M667=phu!$I$35,M667=phu!$I$36,M667=phu!$I$37),"Cam Lộc",""),IF(OR(M667=phu!$I$38,M667=phu!$I$39,M667=phu!$I$40,M667=phu!$I$41,M667=phu!$I$42,M667=phu!$I$43,M667=phu!$I$44),"Cam Thuận",""),IF(OR(M667=phu!$I$45,M667=phu!$I$46,M667=phu!$I$47,M667=phu!$I$48,M667=phu!$I$49,M667=phu!$I$50,M667=phu!$I$51,M667=phu!$I$52,M667=phu!$I$53),"Cam Linh",""),IF(OR(M667=phu!$I$54,M667=phu!$I$55,M667=phu!$I$56,M667=phu!$I$57,M667=phu!$I$58,M667=phu!$I$59,M667=phu!$I$60,M667=phu!$I$61,M667=phu!$I$62),"Cam Lợi",""),IF(OR(M667=phu!$I$63,M667=phu!$I$64,M667=phu!$I$65,M667=phu!$I$66,M667=phu!$I$67,M667=phu!$I$68,M667=phu!$I$69,M667=phu!$I$70,M667=phu!$I$71),"Ba Ngòi",""),IF(OR(M667=phu!$I$72,M667=phu!$I$73,M667=phu!$I$74,M667=phu!$I$75,M667=phu!$I$76,M667=phu!$I$77,M667=phu!$I$78),"Cam Phước Đông",""),IF(OR(M667=phu!$I$79,M667=phu!$I$80,M667=phu!$I$81,M667=phu!$I$82,M667=phu!$I$83,M667=phu!$I$84),"Cam Thịnh Đông",""),IF(OR(M667=phu!$I$85,M667=phu!$I$86,M667=phu!$I$87,M667=phu!$I$88),"Cam Thịnh Tây",""),IF(OR(M667=phu!$I$89,M667=phu!$I$90),"Cam Lập",""),IF(OR(M667=phu!$I$91,M667=phu!$I$92,M667=phu!$I$93),"Cam Bình",""),IF(OR(M667=phu!$I$94,M667=phu!$I$95,M667=phu!$I$96,M667=phu!$I$97,M667=phu!$I$98,M667=phu!$I$99,M667=phu!$I$100),"Huyện khác",""),IF(OR(M667=phu!$I$101,M667=phu!$I$102),"Tỉnh khác",""))</f>
        <v/>
      </c>
      <c r="O667" s="814" t="str">
        <f t="shared" si="61"/>
        <v/>
      </c>
      <c r="P667" s="254"/>
      <c r="Q667" s="254"/>
      <c r="R667" s="254"/>
      <c r="S667" s="254"/>
      <c r="T667" s="254"/>
      <c r="U667" s="254"/>
      <c r="V667" s="254"/>
      <c r="W667" s="254"/>
      <c r="Y667" s="246" t="str">
        <f t="shared" si="62"/>
        <v/>
      </c>
      <c r="Z667" s="247" t="str">
        <f t="shared" si="60"/>
        <v/>
      </c>
      <c r="AA667" s="246" t="str">
        <f t="shared" si="63"/>
        <v/>
      </c>
    </row>
    <row r="668" spans="1:27" ht="18" customHeight="1" x14ac:dyDescent="0.25">
      <c r="A668" s="248" t="str">
        <f t="shared" si="64"/>
        <v/>
      </c>
      <c r="B668" s="249" t="str">
        <f t="shared" si="65"/>
        <v/>
      </c>
      <c r="C668" s="250"/>
      <c r="D668" s="251"/>
      <c r="E668" s="241"/>
      <c r="F668" s="252"/>
      <c r="G668" s="252"/>
      <c r="H668" s="253"/>
      <c r="I668" s="250"/>
      <c r="J668" s="250"/>
      <c r="K668" s="270"/>
      <c r="L668" s="250"/>
      <c r="M668" s="250"/>
      <c r="N668" s="553" t="str">
        <f>CONCATENATE(IF(OR(M668=phu!$I$1,M668=phu!$I$2,M668=phu!$I$3),"Cam Thành Nam",""),IF(OR(M668=phu!$I$4,M668=phu!$I$5,M668=phu!$I$6,M668=phu!$I$7,M668=phu!$I$8,M668=phu!$I$9,M668=phu!$I$10,M668=phu!$I$11,M668=phu!$I$12,M668=phu!$I$13,M668=phu!$I$14),"Cam Nghĩa",""),IF(OR(M668=phu!$I$15,M668=phu!$I$16,M668=phu!$I$17,M668=phu!$I$18,M668=phu!$I$19,M668=phu!$I$20,M668=phu!$I$21),"Cam Phúc Bắc",""),IF(OR(M668=phu!$I$22,M668=phu!$I$23,M668=phu!$I$24,M668=phu!$I$25),"Cam Phúc Nam",""),IF(OR(M668=phu!$I$26,M668=phu!$I$27,M668=phu!$I$28,M668=phu!$I$29,M668=phu!$I$30,M668=phu!$I$31),"Cam Phú",""),IF(OR(M668=phu!$I$32,M668=phu!$I$33,M668=phu!$I$34,M668=phu!$I$35,M668=phu!$I$36,M668=phu!$I$37),"Cam Lộc",""),IF(OR(M668=phu!$I$38,M668=phu!$I$39,M668=phu!$I$40,M668=phu!$I$41,M668=phu!$I$42,M668=phu!$I$43,M668=phu!$I$44),"Cam Thuận",""),IF(OR(M668=phu!$I$45,M668=phu!$I$46,M668=phu!$I$47,M668=phu!$I$48,M668=phu!$I$49,M668=phu!$I$50,M668=phu!$I$51,M668=phu!$I$52,M668=phu!$I$53),"Cam Linh",""),IF(OR(M668=phu!$I$54,M668=phu!$I$55,M668=phu!$I$56,M668=phu!$I$57,M668=phu!$I$58,M668=phu!$I$59,M668=phu!$I$60,M668=phu!$I$61,M668=phu!$I$62),"Cam Lợi",""),IF(OR(M668=phu!$I$63,M668=phu!$I$64,M668=phu!$I$65,M668=phu!$I$66,M668=phu!$I$67,M668=phu!$I$68,M668=phu!$I$69,M668=phu!$I$70,M668=phu!$I$71),"Ba Ngòi",""),IF(OR(M668=phu!$I$72,M668=phu!$I$73,M668=phu!$I$74,M668=phu!$I$75,M668=phu!$I$76,M668=phu!$I$77,M668=phu!$I$78),"Cam Phước Đông",""),IF(OR(M668=phu!$I$79,M668=phu!$I$80,M668=phu!$I$81,M668=phu!$I$82,M668=phu!$I$83,M668=phu!$I$84),"Cam Thịnh Đông",""),IF(OR(M668=phu!$I$85,M668=phu!$I$86,M668=phu!$I$87,M668=phu!$I$88),"Cam Thịnh Tây",""),IF(OR(M668=phu!$I$89,M668=phu!$I$90),"Cam Lập",""),IF(OR(M668=phu!$I$91,M668=phu!$I$92,M668=phu!$I$93),"Cam Bình",""),IF(OR(M668=phu!$I$94,M668=phu!$I$95,M668=phu!$I$96,M668=phu!$I$97,M668=phu!$I$98,M668=phu!$I$99,M668=phu!$I$100),"Huyện khác",""),IF(OR(M668=phu!$I$101,M668=phu!$I$102),"Tỉnh khác",""))</f>
        <v/>
      </c>
      <c r="O668" s="814" t="str">
        <f t="shared" si="61"/>
        <v/>
      </c>
      <c r="P668" s="254"/>
      <c r="Q668" s="254"/>
      <c r="R668" s="254"/>
      <c r="S668" s="254"/>
      <c r="T668" s="254"/>
      <c r="U668" s="254"/>
      <c r="V668" s="254"/>
      <c r="W668" s="254"/>
      <c r="Y668" s="246" t="str">
        <f t="shared" si="62"/>
        <v/>
      </c>
      <c r="Z668" s="247" t="str">
        <f t="shared" si="60"/>
        <v/>
      </c>
      <c r="AA668" s="246" t="str">
        <f t="shared" si="63"/>
        <v/>
      </c>
    </row>
    <row r="669" spans="1:27" ht="18" customHeight="1" x14ac:dyDescent="0.25">
      <c r="A669" s="248" t="str">
        <f t="shared" si="64"/>
        <v/>
      </c>
      <c r="B669" s="249" t="str">
        <f t="shared" si="65"/>
        <v/>
      </c>
      <c r="C669" s="250"/>
      <c r="D669" s="251"/>
      <c r="E669" s="241"/>
      <c r="F669" s="252"/>
      <c r="G669" s="252"/>
      <c r="H669" s="253"/>
      <c r="I669" s="250"/>
      <c r="J669" s="250"/>
      <c r="K669" s="270"/>
      <c r="L669" s="250"/>
      <c r="M669" s="250"/>
      <c r="N669" s="553" t="str">
        <f>CONCATENATE(IF(OR(M669=phu!$I$1,M669=phu!$I$2,M669=phu!$I$3),"Cam Thành Nam",""),IF(OR(M669=phu!$I$4,M669=phu!$I$5,M669=phu!$I$6,M669=phu!$I$7,M669=phu!$I$8,M669=phu!$I$9,M669=phu!$I$10,M669=phu!$I$11,M669=phu!$I$12,M669=phu!$I$13,M669=phu!$I$14),"Cam Nghĩa",""),IF(OR(M669=phu!$I$15,M669=phu!$I$16,M669=phu!$I$17,M669=phu!$I$18,M669=phu!$I$19,M669=phu!$I$20,M669=phu!$I$21),"Cam Phúc Bắc",""),IF(OR(M669=phu!$I$22,M669=phu!$I$23,M669=phu!$I$24,M669=phu!$I$25),"Cam Phúc Nam",""),IF(OR(M669=phu!$I$26,M669=phu!$I$27,M669=phu!$I$28,M669=phu!$I$29,M669=phu!$I$30,M669=phu!$I$31),"Cam Phú",""),IF(OR(M669=phu!$I$32,M669=phu!$I$33,M669=phu!$I$34,M669=phu!$I$35,M669=phu!$I$36,M669=phu!$I$37),"Cam Lộc",""),IF(OR(M669=phu!$I$38,M669=phu!$I$39,M669=phu!$I$40,M669=phu!$I$41,M669=phu!$I$42,M669=phu!$I$43,M669=phu!$I$44),"Cam Thuận",""),IF(OR(M669=phu!$I$45,M669=phu!$I$46,M669=phu!$I$47,M669=phu!$I$48,M669=phu!$I$49,M669=phu!$I$50,M669=phu!$I$51,M669=phu!$I$52,M669=phu!$I$53),"Cam Linh",""),IF(OR(M669=phu!$I$54,M669=phu!$I$55,M669=phu!$I$56,M669=phu!$I$57,M669=phu!$I$58,M669=phu!$I$59,M669=phu!$I$60,M669=phu!$I$61,M669=phu!$I$62),"Cam Lợi",""),IF(OR(M669=phu!$I$63,M669=phu!$I$64,M669=phu!$I$65,M669=phu!$I$66,M669=phu!$I$67,M669=phu!$I$68,M669=phu!$I$69,M669=phu!$I$70,M669=phu!$I$71),"Ba Ngòi",""),IF(OR(M669=phu!$I$72,M669=phu!$I$73,M669=phu!$I$74,M669=phu!$I$75,M669=phu!$I$76,M669=phu!$I$77,M669=phu!$I$78),"Cam Phước Đông",""),IF(OR(M669=phu!$I$79,M669=phu!$I$80,M669=phu!$I$81,M669=phu!$I$82,M669=phu!$I$83,M669=phu!$I$84),"Cam Thịnh Đông",""),IF(OR(M669=phu!$I$85,M669=phu!$I$86,M669=phu!$I$87,M669=phu!$I$88),"Cam Thịnh Tây",""),IF(OR(M669=phu!$I$89,M669=phu!$I$90),"Cam Lập",""),IF(OR(M669=phu!$I$91,M669=phu!$I$92,M669=phu!$I$93),"Cam Bình",""),IF(OR(M669=phu!$I$94,M669=phu!$I$95,M669=phu!$I$96,M669=phu!$I$97,M669=phu!$I$98,M669=phu!$I$99,M669=phu!$I$100),"Huyện khác",""),IF(OR(M669=phu!$I$101,M669=phu!$I$102),"Tỉnh khác",""))</f>
        <v/>
      </c>
      <c r="O669" s="814" t="str">
        <f t="shared" si="61"/>
        <v/>
      </c>
      <c r="P669" s="254"/>
      <c r="Q669" s="254"/>
      <c r="R669" s="254"/>
      <c r="S669" s="254"/>
      <c r="T669" s="254"/>
      <c r="U669" s="254"/>
      <c r="V669" s="254"/>
      <c r="W669" s="254"/>
      <c r="Y669" s="246" t="str">
        <f t="shared" si="62"/>
        <v/>
      </c>
      <c r="Z669" s="247" t="str">
        <f t="shared" si="60"/>
        <v/>
      </c>
      <c r="AA669" s="246" t="str">
        <f t="shared" si="63"/>
        <v/>
      </c>
    </row>
    <row r="670" spans="1:27" ht="18" customHeight="1" x14ac:dyDescent="0.25">
      <c r="A670" s="248" t="str">
        <f t="shared" si="64"/>
        <v/>
      </c>
      <c r="B670" s="249" t="str">
        <f t="shared" si="65"/>
        <v/>
      </c>
      <c r="C670" s="250"/>
      <c r="D670" s="251"/>
      <c r="E670" s="241"/>
      <c r="F670" s="252"/>
      <c r="G670" s="252"/>
      <c r="H670" s="253"/>
      <c r="I670" s="250"/>
      <c r="J670" s="250"/>
      <c r="K670" s="270"/>
      <c r="L670" s="250"/>
      <c r="M670" s="250"/>
      <c r="N670" s="553" t="str">
        <f>CONCATENATE(IF(OR(M670=phu!$I$1,M670=phu!$I$2,M670=phu!$I$3),"Cam Thành Nam",""),IF(OR(M670=phu!$I$4,M670=phu!$I$5,M670=phu!$I$6,M670=phu!$I$7,M670=phu!$I$8,M670=phu!$I$9,M670=phu!$I$10,M670=phu!$I$11,M670=phu!$I$12,M670=phu!$I$13,M670=phu!$I$14),"Cam Nghĩa",""),IF(OR(M670=phu!$I$15,M670=phu!$I$16,M670=phu!$I$17,M670=phu!$I$18,M670=phu!$I$19,M670=phu!$I$20,M670=phu!$I$21),"Cam Phúc Bắc",""),IF(OR(M670=phu!$I$22,M670=phu!$I$23,M670=phu!$I$24,M670=phu!$I$25),"Cam Phúc Nam",""),IF(OR(M670=phu!$I$26,M670=phu!$I$27,M670=phu!$I$28,M670=phu!$I$29,M670=phu!$I$30,M670=phu!$I$31),"Cam Phú",""),IF(OR(M670=phu!$I$32,M670=phu!$I$33,M670=phu!$I$34,M670=phu!$I$35,M670=phu!$I$36,M670=phu!$I$37),"Cam Lộc",""),IF(OR(M670=phu!$I$38,M670=phu!$I$39,M670=phu!$I$40,M670=phu!$I$41,M670=phu!$I$42,M670=phu!$I$43,M670=phu!$I$44),"Cam Thuận",""),IF(OR(M670=phu!$I$45,M670=phu!$I$46,M670=phu!$I$47,M670=phu!$I$48,M670=phu!$I$49,M670=phu!$I$50,M670=phu!$I$51,M670=phu!$I$52,M670=phu!$I$53),"Cam Linh",""),IF(OR(M670=phu!$I$54,M670=phu!$I$55,M670=phu!$I$56,M670=phu!$I$57,M670=phu!$I$58,M670=phu!$I$59,M670=phu!$I$60,M670=phu!$I$61,M670=phu!$I$62),"Cam Lợi",""),IF(OR(M670=phu!$I$63,M670=phu!$I$64,M670=phu!$I$65,M670=phu!$I$66,M670=phu!$I$67,M670=phu!$I$68,M670=phu!$I$69,M670=phu!$I$70,M670=phu!$I$71),"Ba Ngòi",""),IF(OR(M670=phu!$I$72,M670=phu!$I$73,M670=phu!$I$74,M670=phu!$I$75,M670=phu!$I$76,M670=phu!$I$77,M670=phu!$I$78),"Cam Phước Đông",""),IF(OR(M670=phu!$I$79,M670=phu!$I$80,M670=phu!$I$81,M670=phu!$I$82,M670=phu!$I$83,M670=phu!$I$84),"Cam Thịnh Đông",""),IF(OR(M670=phu!$I$85,M670=phu!$I$86,M670=phu!$I$87,M670=phu!$I$88),"Cam Thịnh Tây",""),IF(OR(M670=phu!$I$89,M670=phu!$I$90),"Cam Lập",""),IF(OR(M670=phu!$I$91,M670=phu!$I$92,M670=phu!$I$93),"Cam Bình",""),IF(OR(M670=phu!$I$94,M670=phu!$I$95,M670=phu!$I$96,M670=phu!$I$97,M670=phu!$I$98,M670=phu!$I$99,M670=phu!$I$100),"Huyện khác",""),IF(OR(M670=phu!$I$101,M670=phu!$I$102),"Tỉnh khác",""))</f>
        <v/>
      </c>
      <c r="O670" s="814" t="str">
        <f t="shared" si="61"/>
        <v/>
      </c>
      <c r="P670" s="254"/>
      <c r="Q670" s="254"/>
      <c r="R670" s="254"/>
      <c r="S670" s="254"/>
      <c r="T670" s="254"/>
      <c r="U670" s="254"/>
      <c r="V670" s="254"/>
      <c r="W670" s="254"/>
      <c r="Y670" s="246" t="str">
        <f t="shared" si="62"/>
        <v/>
      </c>
      <c r="Z670" s="247" t="str">
        <f t="shared" si="60"/>
        <v/>
      </c>
      <c r="AA670" s="246" t="str">
        <f t="shared" si="63"/>
        <v/>
      </c>
    </row>
    <row r="671" spans="1:27" ht="18" customHeight="1" x14ac:dyDescent="0.25">
      <c r="A671" s="248" t="str">
        <f t="shared" si="64"/>
        <v/>
      </c>
      <c r="B671" s="249" t="str">
        <f t="shared" si="65"/>
        <v/>
      </c>
      <c r="C671" s="250"/>
      <c r="D671" s="251"/>
      <c r="E671" s="241"/>
      <c r="F671" s="252"/>
      <c r="G671" s="252"/>
      <c r="H671" s="253"/>
      <c r="I671" s="250"/>
      <c r="J671" s="250"/>
      <c r="K671" s="270"/>
      <c r="L671" s="250"/>
      <c r="M671" s="250"/>
      <c r="N671" s="553" t="str">
        <f>CONCATENATE(IF(OR(M671=phu!$I$1,M671=phu!$I$2,M671=phu!$I$3),"Cam Thành Nam",""),IF(OR(M671=phu!$I$4,M671=phu!$I$5,M671=phu!$I$6,M671=phu!$I$7,M671=phu!$I$8,M671=phu!$I$9,M671=phu!$I$10,M671=phu!$I$11,M671=phu!$I$12,M671=phu!$I$13,M671=phu!$I$14),"Cam Nghĩa",""),IF(OR(M671=phu!$I$15,M671=phu!$I$16,M671=phu!$I$17,M671=phu!$I$18,M671=phu!$I$19,M671=phu!$I$20,M671=phu!$I$21),"Cam Phúc Bắc",""),IF(OR(M671=phu!$I$22,M671=phu!$I$23,M671=phu!$I$24,M671=phu!$I$25),"Cam Phúc Nam",""),IF(OR(M671=phu!$I$26,M671=phu!$I$27,M671=phu!$I$28,M671=phu!$I$29,M671=phu!$I$30,M671=phu!$I$31),"Cam Phú",""),IF(OR(M671=phu!$I$32,M671=phu!$I$33,M671=phu!$I$34,M671=phu!$I$35,M671=phu!$I$36,M671=phu!$I$37),"Cam Lộc",""),IF(OR(M671=phu!$I$38,M671=phu!$I$39,M671=phu!$I$40,M671=phu!$I$41,M671=phu!$I$42,M671=phu!$I$43,M671=phu!$I$44),"Cam Thuận",""),IF(OR(M671=phu!$I$45,M671=phu!$I$46,M671=phu!$I$47,M671=phu!$I$48,M671=phu!$I$49,M671=phu!$I$50,M671=phu!$I$51,M671=phu!$I$52,M671=phu!$I$53),"Cam Linh",""),IF(OR(M671=phu!$I$54,M671=phu!$I$55,M671=phu!$I$56,M671=phu!$I$57,M671=phu!$I$58,M671=phu!$I$59,M671=phu!$I$60,M671=phu!$I$61,M671=phu!$I$62),"Cam Lợi",""),IF(OR(M671=phu!$I$63,M671=phu!$I$64,M671=phu!$I$65,M671=phu!$I$66,M671=phu!$I$67,M671=phu!$I$68,M671=phu!$I$69,M671=phu!$I$70,M671=phu!$I$71),"Ba Ngòi",""),IF(OR(M671=phu!$I$72,M671=phu!$I$73,M671=phu!$I$74,M671=phu!$I$75,M671=phu!$I$76,M671=phu!$I$77,M671=phu!$I$78),"Cam Phước Đông",""),IF(OR(M671=phu!$I$79,M671=phu!$I$80,M671=phu!$I$81,M671=phu!$I$82,M671=phu!$I$83,M671=phu!$I$84),"Cam Thịnh Đông",""),IF(OR(M671=phu!$I$85,M671=phu!$I$86,M671=phu!$I$87,M671=phu!$I$88),"Cam Thịnh Tây",""),IF(OR(M671=phu!$I$89,M671=phu!$I$90),"Cam Lập",""),IF(OR(M671=phu!$I$91,M671=phu!$I$92,M671=phu!$I$93),"Cam Bình",""),IF(OR(M671=phu!$I$94,M671=phu!$I$95,M671=phu!$I$96,M671=phu!$I$97,M671=phu!$I$98,M671=phu!$I$99,M671=phu!$I$100),"Huyện khác",""),IF(OR(M671=phu!$I$101,M671=phu!$I$102),"Tỉnh khác",""))</f>
        <v/>
      </c>
      <c r="O671" s="814" t="str">
        <f t="shared" si="61"/>
        <v/>
      </c>
      <c r="P671" s="254"/>
      <c r="Q671" s="254"/>
      <c r="R671" s="254"/>
      <c r="S671" s="254"/>
      <c r="T671" s="254"/>
      <c r="U671" s="254"/>
      <c r="V671" s="254"/>
      <c r="W671" s="254"/>
      <c r="Y671" s="246" t="str">
        <f t="shared" si="62"/>
        <v/>
      </c>
      <c r="Z671" s="247" t="str">
        <f t="shared" si="60"/>
        <v/>
      </c>
      <c r="AA671" s="246" t="str">
        <f t="shared" si="63"/>
        <v/>
      </c>
    </row>
    <row r="672" spans="1:27" ht="18" customHeight="1" x14ac:dyDescent="0.25">
      <c r="A672" s="248" t="str">
        <f t="shared" si="64"/>
        <v/>
      </c>
      <c r="B672" s="249" t="str">
        <f t="shared" si="65"/>
        <v/>
      </c>
      <c r="C672" s="250"/>
      <c r="D672" s="251"/>
      <c r="E672" s="241"/>
      <c r="F672" s="252"/>
      <c r="G672" s="252"/>
      <c r="H672" s="253"/>
      <c r="I672" s="250"/>
      <c r="J672" s="250"/>
      <c r="K672" s="270"/>
      <c r="L672" s="250"/>
      <c r="M672" s="250"/>
      <c r="N672" s="553" t="str">
        <f>CONCATENATE(IF(OR(M672=phu!$I$1,M672=phu!$I$2,M672=phu!$I$3),"Cam Thành Nam",""),IF(OR(M672=phu!$I$4,M672=phu!$I$5,M672=phu!$I$6,M672=phu!$I$7,M672=phu!$I$8,M672=phu!$I$9,M672=phu!$I$10,M672=phu!$I$11,M672=phu!$I$12,M672=phu!$I$13,M672=phu!$I$14),"Cam Nghĩa",""),IF(OR(M672=phu!$I$15,M672=phu!$I$16,M672=phu!$I$17,M672=phu!$I$18,M672=phu!$I$19,M672=phu!$I$20,M672=phu!$I$21),"Cam Phúc Bắc",""),IF(OR(M672=phu!$I$22,M672=phu!$I$23,M672=phu!$I$24,M672=phu!$I$25),"Cam Phúc Nam",""),IF(OR(M672=phu!$I$26,M672=phu!$I$27,M672=phu!$I$28,M672=phu!$I$29,M672=phu!$I$30,M672=phu!$I$31),"Cam Phú",""),IF(OR(M672=phu!$I$32,M672=phu!$I$33,M672=phu!$I$34,M672=phu!$I$35,M672=phu!$I$36,M672=phu!$I$37),"Cam Lộc",""),IF(OR(M672=phu!$I$38,M672=phu!$I$39,M672=phu!$I$40,M672=phu!$I$41,M672=phu!$I$42,M672=phu!$I$43,M672=phu!$I$44),"Cam Thuận",""),IF(OR(M672=phu!$I$45,M672=phu!$I$46,M672=phu!$I$47,M672=phu!$I$48,M672=phu!$I$49,M672=phu!$I$50,M672=phu!$I$51,M672=phu!$I$52,M672=phu!$I$53),"Cam Linh",""),IF(OR(M672=phu!$I$54,M672=phu!$I$55,M672=phu!$I$56,M672=phu!$I$57,M672=phu!$I$58,M672=phu!$I$59,M672=phu!$I$60,M672=phu!$I$61,M672=phu!$I$62),"Cam Lợi",""),IF(OR(M672=phu!$I$63,M672=phu!$I$64,M672=phu!$I$65,M672=phu!$I$66,M672=phu!$I$67,M672=phu!$I$68,M672=phu!$I$69,M672=phu!$I$70,M672=phu!$I$71),"Ba Ngòi",""),IF(OR(M672=phu!$I$72,M672=phu!$I$73,M672=phu!$I$74,M672=phu!$I$75,M672=phu!$I$76,M672=phu!$I$77,M672=phu!$I$78),"Cam Phước Đông",""),IF(OR(M672=phu!$I$79,M672=phu!$I$80,M672=phu!$I$81,M672=phu!$I$82,M672=phu!$I$83,M672=phu!$I$84),"Cam Thịnh Đông",""),IF(OR(M672=phu!$I$85,M672=phu!$I$86,M672=phu!$I$87,M672=phu!$I$88),"Cam Thịnh Tây",""),IF(OR(M672=phu!$I$89,M672=phu!$I$90),"Cam Lập",""),IF(OR(M672=phu!$I$91,M672=phu!$I$92,M672=phu!$I$93),"Cam Bình",""),IF(OR(M672=phu!$I$94,M672=phu!$I$95,M672=phu!$I$96,M672=phu!$I$97,M672=phu!$I$98,M672=phu!$I$99,M672=phu!$I$100),"Huyện khác",""),IF(OR(M672=phu!$I$101,M672=phu!$I$102),"Tỉnh khác",""))</f>
        <v/>
      </c>
      <c r="O672" s="814" t="str">
        <f t="shared" si="61"/>
        <v/>
      </c>
      <c r="P672" s="254"/>
      <c r="Q672" s="254"/>
      <c r="R672" s="254"/>
      <c r="S672" s="254"/>
      <c r="T672" s="254"/>
      <c r="U672" s="254"/>
      <c r="V672" s="254"/>
      <c r="W672" s="254"/>
      <c r="Y672" s="246" t="str">
        <f t="shared" si="62"/>
        <v/>
      </c>
      <c r="Z672" s="247" t="str">
        <f t="shared" si="60"/>
        <v/>
      </c>
      <c r="AA672" s="246" t="str">
        <f t="shared" si="63"/>
        <v/>
      </c>
    </row>
    <row r="673" spans="1:27" ht="18" customHeight="1" x14ac:dyDescent="0.25">
      <c r="A673" s="248" t="str">
        <f t="shared" si="64"/>
        <v/>
      </c>
      <c r="B673" s="249" t="str">
        <f t="shared" si="65"/>
        <v/>
      </c>
      <c r="C673" s="250"/>
      <c r="D673" s="251"/>
      <c r="E673" s="241"/>
      <c r="F673" s="252"/>
      <c r="G673" s="252"/>
      <c r="H673" s="253"/>
      <c r="I673" s="250"/>
      <c r="J673" s="250"/>
      <c r="K673" s="270"/>
      <c r="L673" s="250"/>
      <c r="M673" s="250"/>
      <c r="N673" s="553" t="str">
        <f>CONCATENATE(IF(OR(M673=phu!$I$1,M673=phu!$I$2,M673=phu!$I$3),"Cam Thành Nam",""),IF(OR(M673=phu!$I$4,M673=phu!$I$5,M673=phu!$I$6,M673=phu!$I$7,M673=phu!$I$8,M673=phu!$I$9,M673=phu!$I$10,M673=phu!$I$11,M673=phu!$I$12,M673=phu!$I$13,M673=phu!$I$14),"Cam Nghĩa",""),IF(OR(M673=phu!$I$15,M673=phu!$I$16,M673=phu!$I$17,M673=phu!$I$18,M673=phu!$I$19,M673=phu!$I$20,M673=phu!$I$21),"Cam Phúc Bắc",""),IF(OR(M673=phu!$I$22,M673=phu!$I$23,M673=phu!$I$24,M673=phu!$I$25),"Cam Phúc Nam",""),IF(OR(M673=phu!$I$26,M673=phu!$I$27,M673=phu!$I$28,M673=phu!$I$29,M673=phu!$I$30,M673=phu!$I$31),"Cam Phú",""),IF(OR(M673=phu!$I$32,M673=phu!$I$33,M673=phu!$I$34,M673=phu!$I$35,M673=phu!$I$36,M673=phu!$I$37),"Cam Lộc",""),IF(OR(M673=phu!$I$38,M673=phu!$I$39,M673=phu!$I$40,M673=phu!$I$41,M673=phu!$I$42,M673=phu!$I$43,M673=phu!$I$44),"Cam Thuận",""),IF(OR(M673=phu!$I$45,M673=phu!$I$46,M673=phu!$I$47,M673=phu!$I$48,M673=phu!$I$49,M673=phu!$I$50,M673=phu!$I$51,M673=phu!$I$52,M673=phu!$I$53),"Cam Linh",""),IF(OR(M673=phu!$I$54,M673=phu!$I$55,M673=phu!$I$56,M673=phu!$I$57,M673=phu!$I$58,M673=phu!$I$59,M673=phu!$I$60,M673=phu!$I$61,M673=phu!$I$62),"Cam Lợi",""),IF(OR(M673=phu!$I$63,M673=phu!$I$64,M673=phu!$I$65,M673=phu!$I$66,M673=phu!$I$67,M673=phu!$I$68,M673=phu!$I$69,M673=phu!$I$70,M673=phu!$I$71),"Ba Ngòi",""),IF(OR(M673=phu!$I$72,M673=phu!$I$73,M673=phu!$I$74,M673=phu!$I$75,M673=phu!$I$76,M673=phu!$I$77,M673=phu!$I$78),"Cam Phước Đông",""),IF(OR(M673=phu!$I$79,M673=phu!$I$80,M673=phu!$I$81,M673=phu!$I$82,M673=phu!$I$83,M673=phu!$I$84),"Cam Thịnh Đông",""),IF(OR(M673=phu!$I$85,M673=phu!$I$86,M673=phu!$I$87,M673=phu!$I$88),"Cam Thịnh Tây",""),IF(OR(M673=phu!$I$89,M673=phu!$I$90),"Cam Lập",""),IF(OR(M673=phu!$I$91,M673=phu!$I$92,M673=phu!$I$93),"Cam Bình",""),IF(OR(M673=phu!$I$94,M673=phu!$I$95,M673=phu!$I$96,M673=phu!$I$97,M673=phu!$I$98,M673=phu!$I$99,M673=phu!$I$100),"Huyện khác",""),IF(OR(M673=phu!$I$101,M673=phu!$I$102),"Tỉnh khác",""))</f>
        <v/>
      </c>
      <c r="O673" s="814" t="str">
        <f t="shared" si="61"/>
        <v/>
      </c>
      <c r="P673" s="254"/>
      <c r="Q673" s="254"/>
      <c r="R673" s="254"/>
      <c r="S673" s="254"/>
      <c r="T673" s="254"/>
      <c r="U673" s="254"/>
      <c r="V673" s="254"/>
      <c r="W673" s="254"/>
      <c r="Y673" s="246" t="str">
        <f t="shared" si="62"/>
        <v/>
      </c>
      <c r="Z673" s="247" t="str">
        <f t="shared" si="60"/>
        <v/>
      </c>
      <c r="AA673" s="246" t="str">
        <f t="shared" si="63"/>
        <v/>
      </c>
    </row>
    <row r="674" spans="1:27" ht="18" customHeight="1" x14ac:dyDescent="0.25">
      <c r="A674" s="248" t="str">
        <f t="shared" si="64"/>
        <v/>
      </c>
      <c r="B674" s="249" t="str">
        <f t="shared" si="65"/>
        <v/>
      </c>
      <c r="C674" s="250"/>
      <c r="D674" s="251"/>
      <c r="E674" s="241"/>
      <c r="F674" s="252"/>
      <c r="G674" s="252"/>
      <c r="H674" s="253"/>
      <c r="I674" s="250"/>
      <c r="J674" s="250"/>
      <c r="K674" s="270"/>
      <c r="L674" s="250"/>
      <c r="M674" s="250"/>
      <c r="N674" s="553" t="str">
        <f>CONCATENATE(IF(OR(M674=phu!$I$1,M674=phu!$I$2,M674=phu!$I$3),"Cam Thành Nam",""),IF(OR(M674=phu!$I$4,M674=phu!$I$5,M674=phu!$I$6,M674=phu!$I$7,M674=phu!$I$8,M674=phu!$I$9,M674=phu!$I$10,M674=phu!$I$11,M674=phu!$I$12,M674=phu!$I$13,M674=phu!$I$14),"Cam Nghĩa",""),IF(OR(M674=phu!$I$15,M674=phu!$I$16,M674=phu!$I$17,M674=phu!$I$18,M674=phu!$I$19,M674=phu!$I$20,M674=phu!$I$21),"Cam Phúc Bắc",""),IF(OR(M674=phu!$I$22,M674=phu!$I$23,M674=phu!$I$24,M674=phu!$I$25),"Cam Phúc Nam",""),IF(OR(M674=phu!$I$26,M674=phu!$I$27,M674=phu!$I$28,M674=phu!$I$29,M674=phu!$I$30,M674=phu!$I$31),"Cam Phú",""),IF(OR(M674=phu!$I$32,M674=phu!$I$33,M674=phu!$I$34,M674=phu!$I$35,M674=phu!$I$36,M674=phu!$I$37),"Cam Lộc",""),IF(OR(M674=phu!$I$38,M674=phu!$I$39,M674=phu!$I$40,M674=phu!$I$41,M674=phu!$I$42,M674=phu!$I$43,M674=phu!$I$44),"Cam Thuận",""),IF(OR(M674=phu!$I$45,M674=phu!$I$46,M674=phu!$I$47,M674=phu!$I$48,M674=phu!$I$49,M674=phu!$I$50,M674=phu!$I$51,M674=phu!$I$52,M674=phu!$I$53),"Cam Linh",""),IF(OR(M674=phu!$I$54,M674=phu!$I$55,M674=phu!$I$56,M674=phu!$I$57,M674=phu!$I$58,M674=phu!$I$59,M674=phu!$I$60,M674=phu!$I$61,M674=phu!$I$62),"Cam Lợi",""),IF(OR(M674=phu!$I$63,M674=phu!$I$64,M674=phu!$I$65,M674=phu!$I$66,M674=phu!$I$67,M674=phu!$I$68,M674=phu!$I$69,M674=phu!$I$70,M674=phu!$I$71),"Ba Ngòi",""),IF(OR(M674=phu!$I$72,M674=phu!$I$73,M674=phu!$I$74,M674=phu!$I$75,M674=phu!$I$76,M674=phu!$I$77,M674=phu!$I$78),"Cam Phước Đông",""),IF(OR(M674=phu!$I$79,M674=phu!$I$80,M674=phu!$I$81,M674=phu!$I$82,M674=phu!$I$83,M674=phu!$I$84),"Cam Thịnh Đông",""),IF(OR(M674=phu!$I$85,M674=phu!$I$86,M674=phu!$I$87,M674=phu!$I$88),"Cam Thịnh Tây",""),IF(OR(M674=phu!$I$89,M674=phu!$I$90),"Cam Lập",""),IF(OR(M674=phu!$I$91,M674=phu!$I$92,M674=phu!$I$93),"Cam Bình",""),IF(OR(M674=phu!$I$94,M674=phu!$I$95,M674=phu!$I$96,M674=phu!$I$97,M674=phu!$I$98,M674=phu!$I$99,M674=phu!$I$100),"Huyện khác",""),IF(OR(M674=phu!$I$101,M674=phu!$I$102),"Tỉnh khác",""))</f>
        <v/>
      </c>
      <c r="O674" s="814" t="str">
        <f t="shared" si="61"/>
        <v/>
      </c>
      <c r="P674" s="254"/>
      <c r="Q674" s="254"/>
      <c r="R674" s="254"/>
      <c r="S674" s="254"/>
      <c r="T674" s="254"/>
      <c r="U674" s="254"/>
      <c r="V674" s="254"/>
      <c r="W674" s="254"/>
      <c r="Y674" s="246" t="str">
        <f t="shared" si="62"/>
        <v/>
      </c>
      <c r="Z674" s="247" t="str">
        <f t="shared" si="60"/>
        <v/>
      </c>
      <c r="AA674" s="246" t="str">
        <f t="shared" si="63"/>
        <v/>
      </c>
    </row>
    <row r="675" spans="1:27" ht="18" customHeight="1" x14ac:dyDescent="0.25">
      <c r="A675" s="248" t="str">
        <f t="shared" si="64"/>
        <v/>
      </c>
      <c r="B675" s="249" t="str">
        <f t="shared" si="65"/>
        <v/>
      </c>
      <c r="C675" s="250"/>
      <c r="D675" s="251"/>
      <c r="E675" s="241"/>
      <c r="F675" s="252"/>
      <c r="G675" s="252"/>
      <c r="H675" s="253"/>
      <c r="I675" s="250"/>
      <c r="J675" s="250"/>
      <c r="K675" s="270"/>
      <c r="L675" s="250"/>
      <c r="M675" s="250"/>
      <c r="N675" s="553" t="str">
        <f>CONCATENATE(IF(OR(M675=phu!$I$1,M675=phu!$I$2,M675=phu!$I$3),"Cam Thành Nam",""),IF(OR(M675=phu!$I$4,M675=phu!$I$5,M675=phu!$I$6,M675=phu!$I$7,M675=phu!$I$8,M675=phu!$I$9,M675=phu!$I$10,M675=phu!$I$11,M675=phu!$I$12,M675=phu!$I$13,M675=phu!$I$14),"Cam Nghĩa",""),IF(OR(M675=phu!$I$15,M675=phu!$I$16,M675=phu!$I$17,M675=phu!$I$18,M675=phu!$I$19,M675=phu!$I$20,M675=phu!$I$21),"Cam Phúc Bắc",""),IF(OR(M675=phu!$I$22,M675=phu!$I$23,M675=phu!$I$24,M675=phu!$I$25),"Cam Phúc Nam",""),IF(OR(M675=phu!$I$26,M675=phu!$I$27,M675=phu!$I$28,M675=phu!$I$29,M675=phu!$I$30,M675=phu!$I$31),"Cam Phú",""),IF(OR(M675=phu!$I$32,M675=phu!$I$33,M675=phu!$I$34,M675=phu!$I$35,M675=phu!$I$36,M675=phu!$I$37),"Cam Lộc",""),IF(OR(M675=phu!$I$38,M675=phu!$I$39,M675=phu!$I$40,M675=phu!$I$41,M675=phu!$I$42,M675=phu!$I$43,M675=phu!$I$44),"Cam Thuận",""),IF(OR(M675=phu!$I$45,M675=phu!$I$46,M675=phu!$I$47,M675=phu!$I$48,M675=phu!$I$49,M675=phu!$I$50,M675=phu!$I$51,M675=phu!$I$52,M675=phu!$I$53),"Cam Linh",""),IF(OR(M675=phu!$I$54,M675=phu!$I$55,M675=phu!$I$56,M675=phu!$I$57,M675=phu!$I$58,M675=phu!$I$59,M675=phu!$I$60,M675=phu!$I$61,M675=phu!$I$62),"Cam Lợi",""),IF(OR(M675=phu!$I$63,M675=phu!$I$64,M675=phu!$I$65,M675=phu!$I$66,M675=phu!$I$67,M675=phu!$I$68,M675=phu!$I$69,M675=phu!$I$70,M675=phu!$I$71),"Ba Ngòi",""),IF(OR(M675=phu!$I$72,M675=phu!$I$73,M675=phu!$I$74,M675=phu!$I$75,M675=phu!$I$76,M675=phu!$I$77,M675=phu!$I$78),"Cam Phước Đông",""),IF(OR(M675=phu!$I$79,M675=phu!$I$80,M675=phu!$I$81,M675=phu!$I$82,M675=phu!$I$83,M675=phu!$I$84),"Cam Thịnh Đông",""),IF(OR(M675=phu!$I$85,M675=phu!$I$86,M675=phu!$I$87,M675=phu!$I$88),"Cam Thịnh Tây",""),IF(OR(M675=phu!$I$89,M675=phu!$I$90),"Cam Lập",""),IF(OR(M675=phu!$I$91,M675=phu!$I$92,M675=phu!$I$93),"Cam Bình",""),IF(OR(M675=phu!$I$94,M675=phu!$I$95,M675=phu!$I$96,M675=phu!$I$97,M675=phu!$I$98,M675=phu!$I$99,M675=phu!$I$100),"Huyện khác",""),IF(OR(M675=phu!$I$101,M675=phu!$I$102),"Tỉnh khác",""))</f>
        <v/>
      </c>
      <c r="O675" s="814" t="str">
        <f t="shared" si="61"/>
        <v/>
      </c>
      <c r="P675" s="254"/>
      <c r="Q675" s="254"/>
      <c r="R675" s="254"/>
      <c r="S675" s="254"/>
      <c r="T675" s="254"/>
      <c r="U675" s="254"/>
      <c r="V675" s="254"/>
      <c r="W675" s="254"/>
      <c r="Y675" s="246" t="str">
        <f t="shared" si="62"/>
        <v/>
      </c>
      <c r="Z675" s="247" t="str">
        <f t="shared" si="60"/>
        <v/>
      </c>
      <c r="AA675" s="246" t="str">
        <f t="shared" si="63"/>
        <v/>
      </c>
    </row>
    <row r="676" spans="1:27" ht="18" customHeight="1" x14ac:dyDescent="0.25">
      <c r="A676" s="248" t="str">
        <f t="shared" si="64"/>
        <v/>
      </c>
      <c r="B676" s="249" t="str">
        <f t="shared" si="65"/>
        <v/>
      </c>
      <c r="C676" s="250"/>
      <c r="D676" s="251"/>
      <c r="E676" s="241"/>
      <c r="F676" s="252"/>
      <c r="G676" s="252"/>
      <c r="H676" s="253"/>
      <c r="I676" s="250"/>
      <c r="J676" s="250"/>
      <c r="K676" s="270"/>
      <c r="L676" s="250"/>
      <c r="M676" s="250"/>
      <c r="N676" s="553" t="str">
        <f>CONCATENATE(IF(OR(M676=phu!$I$1,M676=phu!$I$2,M676=phu!$I$3),"Cam Thành Nam",""),IF(OR(M676=phu!$I$4,M676=phu!$I$5,M676=phu!$I$6,M676=phu!$I$7,M676=phu!$I$8,M676=phu!$I$9,M676=phu!$I$10,M676=phu!$I$11,M676=phu!$I$12,M676=phu!$I$13,M676=phu!$I$14),"Cam Nghĩa",""),IF(OR(M676=phu!$I$15,M676=phu!$I$16,M676=phu!$I$17,M676=phu!$I$18,M676=phu!$I$19,M676=phu!$I$20,M676=phu!$I$21),"Cam Phúc Bắc",""),IF(OR(M676=phu!$I$22,M676=phu!$I$23,M676=phu!$I$24,M676=phu!$I$25),"Cam Phúc Nam",""),IF(OR(M676=phu!$I$26,M676=phu!$I$27,M676=phu!$I$28,M676=phu!$I$29,M676=phu!$I$30,M676=phu!$I$31),"Cam Phú",""),IF(OR(M676=phu!$I$32,M676=phu!$I$33,M676=phu!$I$34,M676=phu!$I$35,M676=phu!$I$36,M676=phu!$I$37),"Cam Lộc",""),IF(OR(M676=phu!$I$38,M676=phu!$I$39,M676=phu!$I$40,M676=phu!$I$41,M676=phu!$I$42,M676=phu!$I$43,M676=phu!$I$44),"Cam Thuận",""),IF(OR(M676=phu!$I$45,M676=phu!$I$46,M676=phu!$I$47,M676=phu!$I$48,M676=phu!$I$49,M676=phu!$I$50,M676=phu!$I$51,M676=phu!$I$52,M676=phu!$I$53),"Cam Linh",""),IF(OR(M676=phu!$I$54,M676=phu!$I$55,M676=phu!$I$56,M676=phu!$I$57,M676=phu!$I$58,M676=phu!$I$59,M676=phu!$I$60,M676=phu!$I$61,M676=phu!$I$62),"Cam Lợi",""),IF(OR(M676=phu!$I$63,M676=phu!$I$64,M676=phu!$I$65,M676=phu!$I$66,M676=phu!$I$67,M676=phu!$I$68,M676=phu!$I$69,M676=phu!$I$70,M676=phu!$I$71),"Ba Ngòi",""),IF(OR(M676=phu!$I$72,M676=phu!$I$73,M676=phu!$I$74,M676=phu!$I$75,M676=phu!$I$76,M676=phu!$I$77,M676=phu!$I$78),"Cam Phước Đông",""),IF(OR(M676=phu!$I$79,M676=phu!$I$80,M676=phu!$I$81,M676=phu!$I$82,M676=phu!$I$83,M676=phu!$I$84),"Cam Thịnh Đông",""),IF(OR(M676=phu!$I$85,M676=phu!$I$86,M676=phu!$I$87,M676=phu!$I$88),"Cam Thịnh Tây",""),IF(OR(M676=phu!$I$89,M676=phu!$I$90),"Cam Lập",""),IF(OR(M676=phu!$I$91,M676=phu!$I$92,M676=phu!$I$93),"Cam Bình",""),IF(OR(M676=phu!$I$94,M676=phu!$I$95,M676=phu!$I$96,M676=phu!$I$97,M676=phu!$I$98,M676=phu!$I$99,M676=phu!$I$100),"Huyện khác",""),IF(OR(M676=phu!$I$101,M676=phu!$I$102),"Tỉnh khác",""))</f>
        <v/>
      </c>
      <c r="O676" s="814" t="str">
        <f t="shared" si="61"/>
        <v/>
      </c>
      <c r="P676" s="254"/>
      <c r="Q676" s="254"/>
      <c r="R676" s="254"/>
      <c r="S676" s="254"/>
      <c r="T676" s="254"/>
      <c r="U676" s="254"/>
      <c r="V676" s="254"/>
      <c r="W676" s="254"/>
      <c r="Y676" s="246" t="str">
        <f t="shared" si="62"/>
        <v/>
      </c>
      <c r="Z676" s="247" t="str">
        <f t="shared" si="60"/>
        <v/>
      </c>
      <c r="AA676" s="246" t="str">
        <f t="shared" si="63"/>
        <v/>
      </c>
    </row>
    <row r="677" spans="1:27" ht="18" customHeight="1" x14ac:dyDescent="0.25">
      <c r="A677" s="248" t="str">
        <f t="shared" si="64"/>
        <v/>
      </c>
      <c r="B677" s="249" t="str">
        <f t="shared" si="65"/>
        <v/>
      </c>
      <c r="C677" s="250"/>
      <c r="D677" s="251"/>
      <c r="E677" s="241"/>
      <c r="F677" s="252"/>
      <c r="G677" s="252"/>
      <c r="H677" s="253"/>
      <c r="I677" s="250"/>
      <c r="J677" s="250"/>
      <c r="K677" s="270"/>
      <c r="L677" s="250"/>
      <c r="M677" s="250"/>
      <c r="N677" s="553" t="str">
        <f>CONCATENATE(IF(OR(M677=phu!$I$1,M677=phu!$I$2,M677=phu!$I$3),"Cam Thành Nam",""),IF(OR(M677=phu!$I$4,M677=phu!$I$5,M677=phu!$I$6,M677=phu!$I$7,M677=phu!$I$8,M677=phu!$I$9,M677=phu!$I$10,M677=phu!$I$11,M677=phu!$I$12,M677=phu!$I$13,M677=phu!$I$14),"Cam Nghĩa",""),IF(OR(M677=phu!$I$15,M677=phu!$I$16,M677=phu!$I$17,M677=phu!$I$18,M677=phu!$I$19,M677=phu!$I$20,M677=phu!$I$21),"Cam Phúc Bắc",""),IF(OR(M677=phu!$I$22,M677=phu!$I$23,M677=phu!$I$24,M677=phu!$I$25),"Cam Phúc Nam",""),IF(OR(M677=phu!$I$26,M677=phu!$I$27,M677=phu!$I$28,M677=phu!$I$29,M677=phu!$I$30,M677=phu!$I$31),"Cam Phú",""),IF(OR(M677=phu!$I$32,M677=phu!$I$33,M677=phu!$I$34,M677=phu!$I$35,M677=phu!$I$36,M677=phu!$I$37),"Cam Lộc",""),IF(OR(M677=phu!$I$38,M677=phu!$I$39,M677=phu!$I$40,M677=phu!$I$41,M677=phu!$I$42,M677=phu!$I$43,M677=phu!$I$44),"Cam Thuận",""),IF(OR(M677=phu!$I$45,M677=phu!$I$46,M677=phu!$I$47,M677=phu!$I$48,M677=phu!$I$49,M677=phu!$I$50,M677=phu!$I$51,M677=phu!$I$52,M677=phu!$I$53),"Cam Linh",""),IF(OR(M677=phu!$I$54,M677=phu!$I$55,M677=phu!$I$56,M677=phu!$I$57,M677=phu!$I$58,M677=phu!$I$59,M677=phu!$I$60,M677=phu!$I$61,M677=phu!$I$62),"Cam Lợi",""),IF(OR(M677=phu!$I$63,M677=phu!$I$64,M677=phu!$I$65,M677=phu!$I$66,M677=phu!$I$67,M677=phu!$I$68,M677=phu!$I$69,M677=phu!$I$70,M677=phu!$I$71),"Ba Ngòi",""),IF(OR(M677=phu!$I$72,M677=phu!$I$73,M677=phu!$I$74,M677=phu!$I$75,M677=phu!$I$76,M677=phu!$I$77,M677=phu!$I$78),"Cam Phước Đông",""),IF(OR(M677=phu!$I$79,M677=phu!$I$80,M677=phu!$I$81,M677=phu!$I$82,M677=phu!$I$83,M677=phu!$I$84),"Cam Thịnh Đông",""),IF(OR(M677=phu!$I$85,M677=phu!$I$86,M677=phu!$I$87,M677=phu!$I$88),"Cam Thịnh Tây",""),IF(OR(M677=phu!$I$89,M677=phu!$I$90),"Cam Lập",""),IF(OR(M677=phu!$I$91,M677=phu!$I$92,M677=phu!$I$93),"Cam Bình",""),IF(OR(M677=phu!$I$94,M677=phu!$I$95,M677=phu!$I$96,M677=phu!$I$97,M677=phu!$I$98,M677=phu!$I$99,M677=phu!$I$100),"Huyện khác",""),IF(OR(M677=phu!$I$101,M677=phu!$I$102),"Tỉnh khác",""))</f>
        <v/>
      </c>
      <c r="O677" s="814" t="str">
        <f t="shared" si="61"/>
        <v/>
      </c>
      <c r="P677" s="254"/>
      <c r="Q677" s="254"/>
      <c r="R677" s="254"/>
      <c r="S677" s="254"/>
      <c r="T677" s="254"/>
      <c r="U677" s="254"/>
      <c r="V677" s="254"/>
      <c r="W677" s="254"/>
      <c r="Y677" s="246" t="str">
        <f t="shared" si="62"/>
        <v/>
      </c>
      <c r="Z677" s="247" t="str">
        <f t="shared" si="60"/>
        <v/>
      </c>
      <c r="AA677" s="246" t="str">
        <f t="shared" si="63"/>
        <v/>
      </c>
    </row>
    <row r="678" spans="1:27" ht="18" customHeight="1" x14ac:dyDescent="0.25">
      <c r="A678" s="248" t="str">
        <f t="shared" si="64"/>
        <v/>
      </c>
      <c r="B678" s="249" t="str">
        <f t="shared" si="65"/>
        <v/>
      </c>
      <c r="C678" s="250"/>
      <c r="D678" s="251"/>
      <c r="E678" s="241"/>
      <c r="F678" s="252"/>
      <c r="G678" s="252"/>
      <c r="H678" s="253"/>
      <c r="I678" s="250"/>
      <c r="J678" s="250"/>
      <c r="K678" s="270"/>
      <c r="L678" s="250"/>
      <c r="M678" s="250"/>
      <c r="N678" s="553" t="str">
        <f>CONCATENATE(IF(OR(M678=phu!$I$1,M678=phu!$I$2,M678=phu!$I$3),"Cam Thành Nam",""),IF(OR(M678=phu!$I$4,M678=phu!$I$5,M678=phu!$I$6,M678=phu!$I$7,M678=phu!$I$8,M678=phu!$I$9,M678=phu!$I$10,M678=phu!$I$11,M678=phu!$I$12,M678=phu!$I$13,M678=phu!$I$14),"Cam Nghĩa",""),IF(OR(M678=phu!$I$15,M678=phu!$I$16,M678=phu!$I$17,M678=phu!$I$18,M678=phu!$I$19,M678=phu!$I$20,M678=phu!$I$21),"Cam Phúc Bắc",""),IF(OR(M678=phu!$I$22,M678=phu!$I$23,M678=phu!$I$24,M678=phu!$I$25),"Cam Phúc Nam",""),IF(OR(M678=phu!$I$26,M678=phu!$I$27,M678=phu!$I$28,M678=phu!$I$29,M678=phu!$I$30,M678=phu!$I$31),"Cam Phú",""),IF(OR(M678=phu!$I$32,M678=phu!$I$33,M678=phu!$I$34,M678=phu!$I$35,M678=phu!$I$36,M678=phu!$I$37),"Cam Lộc",""),IF(OR(M678=phu!$I$38,M678=phu!$I$39,M678=phu!$I$40,M678=phu!$I$41,M678=phu!$I$42,M678=phu!$I$43,M678=phu!$I$44),"Cam Thuận",""),IF(OR(M678=phu!$I$45,M678=phu!$I$46,M678=phu!$I$47,M678=phu!$I$48,M678=phu!$I$49,M678=phu!$I$50,M678=phu!$I$51,M678=phu!$I$52,M678=phu!$I$53),"Cam Linh",""),IF(OR(M678=phu!$I$54,M678=phu!$I$55,M678=phu!$I$56,M678=phu!$I$57,M678=phu!$I$58,M678=phu!$I$59,M678=phu!$I$60,M678=phu!$I$61,M678=phu!$I$62),"Cam Lợi",""),IF(OR(M678=phu!$I$63,M678=phu!$I$64,M678=phu!$I$65,M678=phu!$I$66,M678=phu!$I$67,M678=phu!$I$68,M678=phu!$I$69,M678=phu!$I$70,M678=phu!$I$71),"Ba Ngòi",""),IF(OR(M678=phu!$I$72,M678=phu!$I$73,M678=phu!$I$74,M678=phu!$I$75,M678=phu!$I$76,M678=phu!$I$77,M678=phu!$I$78),"Cam Phước Đông",""),IF(OR(M678=phu!$I$79,M678=phu!$I$80,M678=phu!$I$81,M678=phu!$I$82,M678=phu!$I$83,M678=phu!$I$84),"Cam Thịnh Đông",""),IF(OR(M678=phu!$I$85,M678=phu!$I$86,M678=phu!$I$87,M678=phu!$I$88),"Cam Thịnh Tây",""),IF(OR(M678=phu!$I$89,M678=phu!$I$90),"Cam Lập",""),IF(OR(M678=phu!$I$91,M678=phu!$I$92,M678=phu!$I$93),"Cam Bình",""),IF(OR(M678=phu!$I$94,M678=phu!$I$95,M678=phu!$I$96,M678=phu!$I$97,M678=phu!$I$98,M678=phu!$I$99,M678=phu!$I$100),"Huyện khác",""),IF(OR(M678=phu!$I$101,M678=phu!$I$102),"Tỉnh khác",""))</f>
        <v/>
      </c>
      <c r="O678" s="814" t="str">
        <f t="shared" si="61"/>
        <v/>
      </c>
      <c r="P678" s="254"/>
      <c r="Q678" s="254"/>
      <c r="R678" s="254"/>
      <c r="S678" s="254"/>
      <c r="T678" s="254"/>
      <c r="U678" s="254"/>
      <c r="V678" s="254"/>
      <c r="W678" s="254"/>
      <c r="Y678" s="246" t="str">
        <f t="shared" si="62"/>
        <v/>
      </c>
      <c r="Z678" s="247" t="str">
        <f t="shared" si="60"/>
        <v/>
      </c>
      <c r="AA678" s="246" t="str">
        <f t="shared" si="63"/>
        <v/>
      </c>
    </row>
    <row r="679" spans="1:27" ht="18" customHeight="1" x14ac:dyDescent="0.25">
      <c r="A679" s="248" t="str">
        <f t="shared" si="64"/>
        <v/>
      </c>
      <c r="B679" s="249" t="str">
        <f t="shared" si="65"/>
        <v/>
      </c>
      <c r="C679" s="250"/>
      <c r="D679" s="251"/>
      <c r="E679" s="241"/>
      <c r="F679" s="252"/>
      <c r="G679" s="252"/>
      <c r="H679" s="253"/>
      <c r="I679" s="250"/>
      <c r="J679" s="250"/>
      <c r="K679" s="270"/>
      <c r="L679" s="250"/>
      <c r="M679" s="250"/>
      <c r="N679" s="553" t="str">
        <f>CONCATENATE(IF(OR(M679=phu!$I$1,M679=phu!$I$2,M679=phu!$I$3),"Cam Thành Nam",""),IF(OR(M679=phu!$I$4,M679=phu!$I$5,M679=phu!$I$6,M679=phu!$I$7,M679=phu!$I$8,M679=phu!$I$9,M679=phu!$I$10,M679=phu!$I$11,M679=phu!$I$12,M679=phu!$I$13,M679=phu!$I$14),"Cam Nghĩa",""),IF(OR(M679=phu!$I$15,M679=phu!$I$16,M679=phu!$I$17,M679=phu!$I$18,M679=phu!$I$19,M679=phu!$I$20,M679=phu!$I$21),"Cam Phúc Bắc",""),IF(OR(M679=phu!$I$22,M679=phu!$I$23,M679=phu!$I$24,M679=phu!$I$25),"Cam Phúc Nam",""),IF(OR(M679=phu!$I$26,M679=phu!$I$27,M679=phu!$I$28,M679=phu!$I$29,M679=phu!$I$30,M679=phu!$I$31),"Cam Phú",""),IF(OR(M679=phu!$I$32,M679=phu!$I$33,M679=phu!$I$34,M679=phu!$I$35,M679=phu!$I$36,M679=phu!$I$37),"Cam Lộc",""),IF(OR(M679=phu!$I$38,M679=phu!$I$39,M679=phu!$I$40,M679=phu!$I$41,M679=phu!$I$42,M679=phu!$I$43,M679=phu!$I$44),"Cam Thuận",""),IF(OR(M679=phu!$I$45,M679=phu!$I$46,M679=phu!$I$47,M679=phu!$I$48,M679=phu!$I$49,M679=phu!$I$50,M679=phu!$I$51,M679=phu!$I$52,M679=phu!$I$53),"Cam Linh",""),IF(OR(M679=phu!$I$54,M679=phu!$I$55,M679=phu!$I$56,M679=phu!$I$57,M679=phu!$I$58,M679=phu!$I$59,M679=phu!$I$60,M679=phu!$I$61,M679=phu!$I$62),"Cam Lợi",""),IF(OR(M679=phu!$I$63,M679=phu!$I$64,M679=phu!$I$65,M679=phu!$I$66,M679=phu!$I$67,M679=phu!$I$68,M679=phu!$I$69,M679=phu!$I$70,M679=phu!$I$71),"Ba Ngòi",""),IF(OR(M679=phu!$I$72,M679=phu!$I$73,M679=phu!$I$74,M679=phu!$I$75,M679=phu!$I$76,M679=phu!$I$77,M679=phu!$I$78),"Cam Phước Đông",""),IF(OR(M679=phu!$I$79,M679=phu!$I$80,M679=phu!$I$81,M679=phu!$I$82,M679=phu!$I$83,M679=phu!$I$84),"Cam Thịnh Đông",""),IF(OR(M679=phu!$I$85,M679=phu!$I$86,M679=phu!$I$87,M679=phu!$I$88),"Cam Thịnh Tây",""),IF(OR(M679=phu!$I$89,M679=phu!$I$90),"Cam Lập",""),IF(OR(M679=phu!$I$91,M679=phu!$I$92,M679=phu!$I$93),"Cam Bình",""),IF(OR(M679=phu!$I$94,M679=phu!$I$95,M679=phu!$I$96,M679=phu!$I$97,M679=phu!$I$98,M679=phu!$I$99,M679=phu!$I$100),"Huyện khác",""),IF(OR(M679=phu!$I$101,M679=phu!$I$102),"Tỉnh khác",""))</f>
        <v/>
      </c>
      <c r="O679" s="814" t="str">
        <f t="shared" si="61"/>
        <v/>
      </c>
      <c r="P679" s="254"/>
      <c r="Q679" s="254"/>
      <c r="R679" s="254"/>
      <c r="S679" s="254"/>
      <c r="T679" s="254"/>
      <c r="U679" s="254"/>
      <c r="V679" s="254"/>
      <c r="W679" s="254"/>
      <c r="Y679" s="246" t="str">
        <f t="shared" si="62"/>
        <v/>
      </c>
      <c r="Z679" s="247" t="str">
        <f t="shared" si="60"/>
        <v/>
      </c>
      <c r="AA679" s="246" t="str">
        <f t="shared" si="63"/>
        <v/>
      </c>
    </row>
    <row r="680" spans="1:27" ht="18" customHeight="1" x14ac:dyDescent="0.25">
      <c r="A680" s="248" t="str">
        <f t="shared" si="64"/>
        <v/>
      </c>
      <c r="B680" s="249" t="str">
        <f t="shared" si="65"/>
        <v/>
      </c>
      <c r="C680" s="250"/>
      <c r="D680" s="251"/>
      <c r="E680" s="241"/>
      <c r="F680" s="252"/>
      <c r="G680" s="252"/>
      <c r="H680" s="253"/>
      <c r="I680" s="250"/>
      <c r="J680" s="250"/>
      <c r="K680" s="270"/>
      <c r="L680" s="250"/>
      <c r="M680" s="250"/>
      <c r="N680" s="553" t="str">
        <f>CONCATENATE(IF(OR(M680=phu!$I$1,M680=phu!$I$2,M680=phu!$I$3),"Cam Thành Nam",""),IF(OR(M680=phu!$I$4,M680=phu!$I$5,M680=phu!$I$6,M680=phu!$I$7,M680=phu!$I$8,M680=phu!$I$9,M680=phu!$I$10,M680=phu!$I$11,M680=phu!$I$12,M680=phu!$I$13,M680=phu!$I$14),"Cam Nghĩa",""),IF(OR(M680=phu!$I$15,M680=phu!$I$16,M680=phu!$I$17,M680=phu!$I$18,M680=phu!$I$19,M680=phu!$I$20,M680=phu!$I$21),"Cam Phúc Bắc",""),IF(OR(M680=phu!$I$22,M680=phu!$I$23,M680=phu!$I$24,M680=phu!$I$25),"Cam Phúc Nam",""),IF(OR(M680=phu!$I$26,M680=phu!$I$27,M680=phu!$I$28,M680=phu!$I$29,M680=phu!$I$30,M680=phu!$I$31),"Cam Phú",""),IF(OR(M680=phu!$I$32,M680=phu!$I$33,M680=phu!$I$34,M680=phu!$I$35,M680=phu!$I$36,M680=phu!$I$37),"Cam Lộc",""),IF(OR(M680=phu!$I$38,M680=phu!$I$39,M680=phu!$I$40,M680=phu!$I$41,M680=phu!$I$42,M680=phu!$I$43,M680=phu!$I$44),"Cam Thuận",""),IF(OR(M680=phu!$I$45,M680=phu!$I$46,M680=phu!$I$47,M680=phu!$I$48,M680=phu!$I$49,M680=phu!$I$50,M680=phu!$I$51,M680=phu!$I$52,M680=phu!$I$53),"Cam Linh",""),IF(OR(M680=phu!$I$54,M680=phu!$I$55,M680=phu!$I$56,M680=phu!$I$57,M680=phu!$I$58,M680=phu!$I$59,M680=phu!$I$60,M680=phu!$I$61,M680=phu!$I$62),"Cam Lợi",""),IF(OR(M680=phu!$I$63,M680=phu!$I$64,M680=phu!$I$65,M680=phu!$I$66,M680=phu!$I$67,M680=phu!$I$68,M680=phu!$I$69,M680=phu!$I$70,M680=phu!$I$71),"Ba Ngòi",""),IF(OR(M680=phu!$I$72,M680=phu!$I$73,M680=phu!$I$74,M680=phu!$I$75,M680=phu!$I$76,M680=phu!$I$77,M680=phu!$I$78),"Cam Phước Đông",""),IF(OR(M680=phu!$I$79,M680=phu!$I$80,M680=phu!$I$81,M680=phu!$I$82,M680=phu!$I$83,M680=phu!$I$84),"Cam Thịnh Đông",""),IF(OR(M680=phu!$I$85,M680=phu!$I$86,M680=phu!$I$87,M680=phu!$I$88),"Cam Thịnh Tây",""),IF(OR(M680=phu!$I$89,M680=phu!$I$90),"Cam Lập",""),IF(OR(M680=phu!$I$91,M680=phu!$I$92,M680=phu!$I$93),"Cam Bình",""),IF(OR(M680=phu!$I$94,M680=phu!$I$95,M680=phu!$I$96,M680=phu!$I$97,M680=phu!$I$98,M680=phu!$I$99,M680=phu!$I$100),"Huyện khác",""),IF(OR(M680=phu!$I$101,M680=phu!$I$102),"Tỉnh khác",""))</f>
        <v/>
      </c>
      <c r="O680" s="814" t="str">
        <f t="shared" si="61"/>
        <v/>
      </c>
      <c r="P680" s="254"/>
      <c r="Q680" s="254"/>
      <c r="R680" s="254"/>
      <c r="S680" s="254"/>
      <c r="T680" s="254"/>
      <c r="U680" s="254"/>
      <c r="V680" s="254"/>
      <c r="W680" s="254"/>
      <c r="Y680" s="246" t="str">
        <f t="shared" si="62"/>
        <v/>
      </c>
      <c r="Z680" s="247" t="str">
        <f t="shared" si="60"/>
        <v/>
      </c>
      <c r="AA680" s="246" t="str">
        <f t="shared" si="63"/>
        <v/>
      </c>
    </row>
    <row r="681" spans="1:27" ht="18" customHeight="1" x14ac:dyDescent="0.25">
      <c r="A681" s="248" t="str">
        <f t="shared" si="64"/>
        <v/>
      </c>
      <c r="B681" s="249" t="str">
        <f t="shared" si="65"/>
        <v/>
      </c>
      <c r="C681" s="250"/>
      <c r="D681" s="251"/>
      <c r="E681" s="241"/>
      <c r="F681" s="252"/>
      <c r="G681" s="252"/>
      <c r="H681" s="253"/>
      <c r="I681" s="250"/>
      <c r="J681" s="250"/>
      <c r="K681" s="270"/>
      <c r="L681" s="250"/>
      <c r="M681" s="250"/>
      <c r="N681" s="553" t="str">
        <f>CONCATENATE(IF(OR(M681=phu!$I$1,M681=phu!$I$2,M681=phu!$I$3),"Cam Thành Nam",""),IF(OR(M681=phu!$I$4,M681=phu!$I$5,M681=phu!$I$6,M681=phu!$I$7,M681=phu!$I$8,M681=phu!$I$9,M681=phu!$I$10,M681=phu!$I$11,M681=phu!$I$12,M681=phu!$I$13,M681=phu!$I$14),"Cam Nghĩa",""),IF(OR(M681=phu!$I$15,M681=phu!$I$16,M681=phu!$I$17,M681=phu!$I$18,M681=phu!$I$19,M681=phu!$I$20,M681=phu!$I$21),"Cam Phúc Bắc",""),IF(OR(M681=phu!$I$22,M681=phu!$I$23,M681=phu!$I$24,M681=phu!$I$25),"Cam Phúc Nam",""),IF(OR(M681=phu!$I$26,M681=phu!$I$27,M681=phu!$I$28,M681=phu!$I$29,M681=phu!$I$30,M681=phu!$I$31),"Cam Phú",""),IF(OR(M681=phu!$I$32,M681=phu!$I$33,M681=phu!$I$34,M681=phu!$I$35,M681=phu!$I$36,M681=phu!$I$37),"Cam Lộc",""),IF(OR(M681=phu!$I$38,M681=phu!$I$39,M681=phu!$I$40,M681=phu!$I$41,M681=phu!$I$42,M681=phu!$I$43,M681=phu!$I$44),"Cam Thuận",""),IF(OR(M681=phu!$I$45,M681=phu!$I$46,M681=phu!$I$47,M681=phu!$I$48,M681=phu!$I$49,M681=phu!$I$50,M681=phu!$I$51,M681=phu!$I$52,M681=phu!$I$53),"Cam Linh",""),IF(OR(M681=phu!$I$54,M681=phu!$I$55,M681=phu!$I$56,M681=phu!$I$57,M681=phu!$I$58,M681=phu!$I$59,M681=phu!$I$60,M681=phu!$I$61,M681=phu!$I$62),"Cam Lợi",""),IF(OR(M681=phu!$I$63,M681=phu!$I$64,M681=phu!$I$65,M681=phu!$I$66,M681=phu!$I$67,M681=phu!$I$68,M681=phu!$I$69,M681=phu!$I$70,M681=phu!$I$71),"Ba Ngòi",""),IF(OR(M681=phu!$I$72,M681=phu!$I$73,M681=phu!$I$74,M681=phu!$I$75,M681=phu!$I$76,M681=phu!$I$77,M681=phu!$I$78),"Cam Phước Đông",""),IF(OR(M681=phu!$I$79,M681=phu!$I$80,M681=phu!$I$81,M681=phu!$I$82,M681=phu!$I$83,M681=phu!$I$84),"Cam Thịnh Đông",""),IF(OR(M681=phu!$I$85,M681=phu!$I$86,M681=phu!$I$87,M681=phu!$I$88),"Cam Thịnh Tây",""),IF(OR(M681=phu!$I$89,M681=phu!$I$90),"Cam Lập",""),IF(OR(M681=phu!$I$91,M681=phu!$I$92,M681=phu!$I$93),"Cam Bình",""),IF(OR(M681=phu!$I$94,M681=phu!$I$95,M681=phu!$I$96,M681=phu!$I$97,M681=phu!$I$98,M681=phu!$I$99,M681=phu!$I$100),"Huyện khác",""),IF(OR(M681=phu!$I$101,M681=phu!$I$102),"Tỉnh khác",""))</f>
        <v/>
      </c>
      <c r="O681" s="814" t="str">
        <f t="shared" si="61"/>
        <v/>
      </c>
      <c r="P681" s="254"/>
      <c r="Q681" s="254"/>
      <c r="R681" s="254"/>
      <c r="S681" s="254"/>
      <c r="T681" s="254"/>
      <c r="U681" s="254"/>
      <c r="V681" s="254"/>
      <c r="W681" s="254"/>
      <c r="Y681" s="246" t="str">
        <f t="shared" si="62"/>
        <v/>
      </c>
      <c r="Z681" s="247" t="str">
        <f t="shared" si="60"/>
        <v/>
      </c>
      <c r="AA681" s="246" t="str">
        <f t="shared" si="63"/>
        <v/>
      </c>
    </row>
    <row r="682" spans="1:27" ht="18" customHeight="1" x14ac:dyDescent="0.25">
      <c r="A682" s="248" t="str">
        <f t="shared" si="64"/>
        <v/>
      </c>
      <c r="B682" s="249" t="str">
        <f t="shared" si="65"/>
        <v/>
      </c>
      <c r="C682" s="250"/>
      <c r="D682" s="251"/>
      <c r="E682" s="241"/>
      <c r="F682" s="252"/>
      <c r="G682" s="252"/>
      <c r="H682" s="253"/>
      <c r="I682" s="250"/>
      <c r="J682" s="250"/>
      <c r="K682" s="270"/>
      <c r="L682" s="250"/>
      <c r="M682" s="250"/>
      <c r="N682" s="553" t="str">
        <f>CONCATENATE(IF(OR(M682=phu!$I$1,M682=phu!$I$2,M682=phu!$I$3),"Cam Thành Nam",""),IF(OR(M682=phu!$I$4,M682=phu!$I$5,M682=phu!$I$6,M682=phu!$I$7,M682=phu!$I$8,M682=phu!$I$9,M682=phu!$I$10,M682=phu!$I$11,M682=phu!$I$12,M682=phu!$I$13,M682=phu!$I$14),"Cam Nghĩa",""),IF(OR(M682=phu!$I$15,M682=phu!$I$16,M682=phu!$I$17,M682=phu!$I$18,M682=phu!$I$19,M682=phu!$I$20,M682=phu!$I$21),"Cam Phúc Bắc",""),IF(OR(M682=phu!$I$22,M682=phu!$I$23,M682=phu!$I$24,M682=phu!$I$25),"Cam Phúc Nam",""),IF(OR(M682=phu!$I$26,M682=phu!$I$27,M682=phu!$I$28,M682=phu!$I$29,M682=phu!$I$30,M682=phu!$I$31),"Cam Phú",""),IF(OR(M682=phu!$I$32,M682=phu!$I$33,M682=phu!$I$34,M682=phu!$I$35,M682=phu!$I$36,M682=phu!$I$37),"Cam Lộc",""),IF(OR(M682=phu!$I$38,M682=phu!$I$39,M682=phu!$I$40,M682=phu!$I$41,M682=phu!$I$42,M682=phu!$I$43,M682=phu!$I$44),"Cam Thuận",""),IF(OR(M682=phu!$I$45,M682=phu!$I$46,M682=phu!$I$47,M682=phu!$I$48,M682=phu!$I$49,M682=phu!$I$50,M682=phu!$I$51,M682=phu!$I$52,M682=phu!$I$53),"Cam Linh",""),IF(OR(M682=phu!$I$54,M682=phu!$I$55,M682=phu!$I$56,M682=phu!$I$57,M682=phu!$I$58,M682=phu!$I$59,M682=phu!$I$60,M682=phu!$I$61,M682=phu!$I$62),"Cam Lợi",""),IF(OR(M682=phu!$I$63,M682=phu!$I$64,M682=phu!$I$65,M682=phu!$I$66,M682=phu!$I$67,M682=phu!$I$68,M682=phu!$I$69,M682=phu!$I$70,M682=phu!$I$71),"Ba Ngòi",""),IF(OR(M682=phu!$I$72,M682=phu!$I$73,M682=phu!$I$74,M682=phu!$I$75,M682=phu!$I$76,M682=phu!$I$77,M682=phu!$I$78),"Cam Phước Đông",""),IF(OR(M682=phu!$I$79,M682=phu!$I$80,M682=phu!$I$81,M682=phu!$I$82,M682=phu!$I$83,M682=phu!$I$84),"Cam Thịnh Đông",""),IF(OR(M682=phu!$I$85,M682=phu!$I$86,M682=phu!$I$87,M682=phu!$I$88),"Cam Thịnh Tây",""),IF(OR(M682=phu!$I$89,M682=phu!$I$90),"Cam Lập",""),IF(OR(M682=phu!$I$91,M682=phu!$I$92,M682=phu!$I$93),"Cam Bình",""),IF(OR(M682=phu!$I$94,M682=phu!$I$95,M682=phu!$I$96,M682=phu!$I$97,M682=phu!$I$98,M682=phu!$I$99,M682=phu!$I$100),"Huyện khác",""),IF(OR(M682=phu!$I$101,M682=phu!$I$102),"Tỉnh khác",""))</f>
        <v/>
      </c>
      <c r="O682" s="814" t="str">
        <f t="shared" si="61"/>
        <v/>
      </c>
      <c r="P682" s="254"/>
      <c r="Q682" s="254"/>
      <c r="R682" s="254"/>
      <c r="S682" s="254"/>
      <c r="T682" s="254"/>
      <c r="U682" s="254"/>
      <c r="V682" s="254"/>
      <c r="W682" s="254"/>
      <c r="Y682" s="246" t="str">
        <f t="shared" si="62"/>
        <v/>
      </c>
      <c r="Z682" s="247" t="str">
        <f t="shared" si="60"/>
        <v/>
      </c>
      <c r="AA682" s="246" t="str">
        <f t="shared" si="63"/>
        <v/>
      </c>
    </row>
    <row r="683" spans="1:27" ht="18" customHeight="1" x14ac:dyDescent="0.25">
      <c r="A683" s="248" t="str">
        <f t="shared" si="64"/>
        <v/>
      </c>
      <c r="B683" s="249" t="str">
        <f t="shared" si="65"/>
        <v/>
      </c>
      <c r="C683" s="250"/>
      <c r="D683" s="251"/>
      <c r="E683" s="241"/>
      <c r="F683" s="252"/>
      <c r="G683" s="252"/>
      <c r="H683" s="253"/>
      <c r="I683" s="250"/>
      <c r="J683" s="250"/>
      <c r="K683" s="270"/>
      <c r="L683" s="250"/>
      <c r="M683" s="250"/>
      <c r="N683" s="553" t="str">
        <f>CONCATENATE(IF(OR(M683=phu!$I$1,M683=phu!$I$2,M683=phu!$I$3),"Cam Thành Nam",""),IF(OR(M683=phu!$I$4,M683=phu!$I$5,M683=phu!$I$6,M683=phu!$I$7,M683=phu!$I$8,M683=phu!$I$9,M683=phu!$I$10,M683=phu!$I$11,M683=phu!$I$12,M683=phu!$I$13,M683=phu!$I$14),"Cam Nghĩa",""),IF(OR(M683=phu!$I$15,M683=phu!$I$16,M683=phu!$I$17,M683=phu!$I$18,M683=phu!$I$19,M683=phu!$I$20,M683=phu!$I$21),"Cam Phúc Bắc",""),IF(OR(M683=phu!$I$22,M683=phu!$I$23,M683=phu!$I$24,M683=phu!$I$25),"Cam Phúc Nam",""),IF(OR(M683=phu!$I$26,M683=phu!$I$27,M683=phu!$I$28,M683=phu!$I$29,M683=phu!$I$30,M683=phu!$I$31),"Cam Phú",""),IF(OR(M683=phu!$I$32,M683=phu!$I$33,M683=phu!$I$34,M683=phu!$I$35,M683=phu!$I$36,M683=phu!$I$37),"Cam Lộc",""),IF(OR(M683=phu!$I$38,M683=phu!$I$39,M683=phu!$I$40,M683=phu!$I$41,M683=phu!$I$42,M683=phu!$I$43,M683=phu!$I$44),"Cam Thuận",""),IF(OR(M683=phu!$I$45,M683=phu!$I$46,M683=phu!$I$47,M683=phu!$I$48,M683=phu!$I$49,M683=phu!$I$50,M683=phu!$I$51,M683=phu!$I$52,M683=phu!$I$53),"Cam Linh",""),IF(OR(M683=phu!$I$54,M683=phu!$I$55,M683=phu!$I$56,M683=phu!$I$57,M683=phu!$I$58,M683=phu!$I$59,M683=phu!$I$60,M683=phu!$I$61,M683=phu!$I$62),"Cam Lợi",""),IF(OR(M683=phu!$I$63,M683=phu!$I$64,M683=phu!$I$65,M683=phu!$I$66,M683=phu!$I$67,M683=phu!$I$68,M683=phu!$I$69,M683=phu!$I$70,M683=phu!$I$71),"Ba Ngòi",""),IF(OR(M683=phu!$I$72,M683=phu!$I$73,M683=phu!$I$74,M683=phu!$I$75,M683=phu!$I$76,M683=phu!$I$77,M683=phu!$I$78),"Cam Phước Đông",""),IF(OR(M683=phu!$I$79,M683=phu!$I$80,M683=phu!$I$81,M683=phu!$I$82,M683=phu!$I$83,M683=phu!$I$84),"Cam Thịnh Đông",""),IF(OR(M683=phu!$I$85,M683=phu!$I$86,M683=phu!$I$87,M683=phu!$I$88),"Cam Thịnh Tây",""),IF(OR(M683=phu!$I$89,M683=phu!$I$90),"Cam Lập",""),IF(OR(M683=phu!$I$91,M683=phu!$I$92,M683=phu!$I$93),"Cam Bình",""),IF(OR(M683=phu!$I$94,M683=phu!$I$95,M683=phu!$I$96,M683=phu!$I$97,M683=phu!$I$98,M683=phu!$I$99,M683=phu!$I$100),"Huyện khác",""),IF(OR(M683=phu!$I$101,M683=phu!$I$102),"Tỉnh khác",""))</f>
        <v/>
      </c>
      <c r="O683" s="814" t="str">
        <f t="shared" si="61"/>
        <v/>
      </c>
      <c r="P683" s="254"/>
      <c r="Q683" s="254"/>
      <c r="R683" s="254"/>
      <c r="S683" s="254"/>
      <c r="T683" s="254"/>
      <c r="U683" s="254"/>
      <c r="V683" s="254"/>
      <c r="W683" s="254"/>
      <c r="Y683" s="246" t="str">
        <f t="shared" si="62"/>
        <v/>
      </c>
      <c r="Z683" s="247" t="str">
        <f t="shared" si="60"/>
        <v/>
      </c>
      <c r="AA683" s="246" t="str">
        <f t="shared" si="63"/>
        <v/>
      </c>
    </row>
    <row r="684" spans="1:27" ht="18" customHeight="1" x14ac:dyDescent="0.25">
      <c r="A684" s="248" t="str">
        <f t="shared" si="64"/>
        <v/>
      </c>
      <c r="B684" s="249" t="str">
        <f t="shared" si="65"/>
        <v/>
      </c>
      <c r="C684" s="250"/>
      <c r="D684" s="251"/>
      <c r="E684" s="241"/>
      <c r="F684" s="252"/>
      <c r="G684" s="252"/>
      <c r="H684" s="253"/>
      <c r="I684" s="250"/>
      <c r="J684" s="250"/>
      <c r="K684" s="270"/>
      <c r="L684" s="250"/>
      <c r="M684" s="250"/>
      <c r="N684" s="553" t="str">
        <f>CONCATENATE(IF(OR(M684=phu!$I$1,M684=phu!$I$2,M684=phu!$I$3),"Cam Thành Nam",""),IF(OR(M684=phu!$I$4,M684=phu!$I$5,M684=phu!$I$6,M684=phu!$I$7,M684=phu!$I$8,M684=phu!$I$9,M684=phu!$I$10,M684=phu!$I$11,M684=phu!$I$12,M684=phu!$I$13,M684=phu!$I$14),"Cam Nghĩa",""),IF(OR(M684=phu!$I$15,M684=phu!$I$16,M684=phu!$I$17,M684=phu!$I$18,M684=phu!$I$19,M684=phu!$I$20,M684=phu!$I$21),"Cam Phúc Bắc",""),IF(OR(M684=phu!$I$22,M684=phu!$I$23,M684=phu!$I$24,M684=phu!$I$25),"Cam Phúc Nam",""),IF(OR(M684=phu!$I$26,M684=phu!$I$27,M684=phu!$I$28,M684=phu!$I$29,M684=phu!$I$30,M684=phu!$I$31),"Cam Phú",""),IF(OR(M684=phu!$I$32,M684=phu!$I$33,M684=phu!$I$34,M684=phu!$I$35,M684=phu!$I$36,M684=phu!$I$37),"Cam Lộc",""),IF(OR(M684=phu!$I$38,M684=phu!$I$39,M684=phu!$I$40,M684=phu!$I$41,M684=phu!$I$42,M684=phu!$I$43,M684=phu!$I$44),"Cam Thuận",""),IF(OR(M684=phu!$I$45,M684=phu!$I$46,M684=phu!$I$47,M684=phu!$I$48,M684=phu!$I$49,M684=phu!$I$50,M684=phu!$I$51,M684=phu!$I$52,M684=phu!$I$53),"Cam Linh",""),IF(OR(M684=phu!$I$54,M684=phu!$I$55,M684=phu!$I$56,M684=phu!$I$57,M684=phu!$I$58,M684=phu!$I$59,M684=phu!$I$60,M684=phu!$I$61,M684=phu!$I$62),"Cam Lợi",""),IF(OR(M684=phu!$I$63,M684=phu!$I$64,M684=phu!$I$65,M684=phu!$I$66,M684=phu!$I$67,M684=phu!$I$68,M684=phu!$I$69,M684=phu!$I$70,M684=phu!$I$71),"Ba Ngòi",""),IF(OR(M684=phu!$I$72,M684=phu!$I$73,M684=phu!$I$74,M684=phu!$I$75,M684=phu!$I$76,M684=phu!$I$77,M684=phu!$I$78),"Cam Phước Đông",""),IF(OR(M684=phu!$I$79,M684=phu!$I$80,M684=phu!$I$81,M684=phu!$I$82,M684=phu!$I$83,M684=phu!$I$84),"Cam Thịnh Đông",""),IF(OR(M684=phu!$I$85,M684=phu!$I$86,M684=phu!$I$87,M684=phu!$I$88),"Cam Thịnh Tây",""),IF(OR(M684=phu!$I$89,M684=phu!$I$90),"Cam Lập",""),IF(OR(M684=phu!$I$91,M684=phu!$I$92,M684=phu!$I$93),"Cam Bình",""),IF(OR(M684=phu!$I$94,M684=phu!$I$95,M684=phu!$I$96,M684=phu!$I$97,M684=phu!$I$98,M684=phu!$I$99,M684=phu!$I$100),"Huyện khác",""),IF(OR(M684=phu!$I$101,M684=phu!$I$102),"Tỉnh khác",""))</f>
        <v/>
      </c>
      <c r="O684" s="814" t="str">
        <f t="shared" si="61"/>
        <v/>
      </c>
      <c r="P684" s="254"/>
      <c r="Q684" s="254"/>
      <c r="R684" s="254"/>
      <c r="S684" s="254"/>
      <c r="T684" s="254"/>
      <c r="U684" s="254"/>
      <c r="V684" s="254"/>
      <c r="W684" s="254"/>
      <c r="Y684" s="246" t="str">
        <f t="shared" si="62"/>
        <v/>
      </c>
      <c r="Z684" s="247" t="str">
        <f t="shared" si="60"/>
        <v/>
      </c>
      <c r="AA684" s="246" t="str">
        <f t="shared" si="63"/>
        <v/>
      </c>
    </row>
    <row r="685" spans="1:27" ht="18" customHeight="1" x14ac:dyDescent="0.25">
      <c r="A685" s="248" t="str">
        <f t="shared" si="64"/>
        <v/>
      </c>
      <c r="B685" s="249" t="str">
        <f t="shared" si="65"/>
        <v/>
      </c>
      <c r="C685" s="250"/>
      <c r="D685" s="251"/>
      <c r="E685" s="241"/>
      <c r="F685" s="252"/>
      <c r="G685" s="252"/>
      <c r="H685" s="253"/>
      <c r="I685" s="250"/>
      <c r="J685" s="250"/>
      <c r="K685" s="270"/>
      <c r="L685" s="250"/>
      <c r="M685" s="250"/>
      <c r="N685" s="553" t="str">
        <f>CONCATENATE(IF(OR(M685=phu!$I$1,M685=phu!$I$2,M685=phu!$I$3),"Cam Thành Nam",""),IF(OR(M685=phu!$I$4,M685=phu!$I$5,M685=phu!$I$6,M685=phu!$I$7,M685=phu!$I$8,M685=phu!$I$9,M685=phu!$I$10,M685=phu!$I$11,M685=phu!$I$12,M685=phu!$I$13,M685=phu!$I$14),"Cam Nghĩa",""),IF(OR(M685=phu!$I$15,M685=phu!$I$16,M685=phu!$I$17,M685=phu!$I$18,M685=phu!$I$19,M685=phu!$I$20,M685=phu!$I$21),"Cam Phúc Bắc",""),IF(OR(M685=phu!$I$22,M685=phu!$I$23,M685=phu!$I$24,M685=phu!$I$25),"Cam Phúc Nam",""),IF(OR(M685=phu!$I$26,M685=phu!$I$27,M685=phu!$I$28,M685=phu!$I$29,M685=phu!$I$30,M685=phu!$I$31),"Cam Phú",""),IF(OR(M685=phu!$I$32,M685=phu!$I$33,M685=phu!$I$34,M685=phu!$I$35,M685=phu!$I$36,M685=phu!$I$37),"Cam Lộc",""),IF(OR(M685=phu!$I$38,M685=phu!$I$39,M685=phu!$I$40,M685=phu!$I$41,M685=phu!$I$42,M685=phu!$I$43,M685=phu!$I$44),"Cam Thuận",""),IF(OR(M685=phu!$I$45,M685=phu!$I$46,M685=phu!$I$47,M685=phu!$I$48,M685=phu!$I$49,M685=phu!$I$50,M685=phu!$I$51,M685=phu!$I$52,M685=phu!$I$53),"Cam Linh",""),IF(OR(M685=phu!$I$54,M685=phu!$I$55,M685=phu!$I$56,M685=phu!$I$57,M685=phu!$I$58,M685=phu!$I$59,M685=phu!$I$60,M685=phu!$I$61,M685=phu!$I$62),"Cam Lợi",""),IF(OR(M685=phu!$I$63,M685=phu!$I$64,M685=phu!$I$65,M685=phu!$I$66,M685=phu!$I$67,M685=phu!$I$68,M685=phu!$I$69,M685=phu!$I$70,M685=phu!$I$71),"Ba Ngòi",""),IF(OR(M685=phu!$I$72,M685=phu!$I$73,M685=phu!$I$74,M685=phu!$I$75,M685=phu!$I$76,M685=phu!$I$77,M685=phu!$I$78),"Cam Phước Đông",""),IF(OR(M685=phu!$I$79,M685=phu!$I$80,M685=phu!$I$81,M685=phu!$I$82,M685=phu!$I$83,M685=phu!$I$84),"Cam Thịnh Đông",""),IF(OR(M685=phu!$I$85,M685=phu!$I$86,M685=phu!$I$87,M685=phu!$I$88),"Cam Thịnh Tây",""),IF(OR(M685=phu!$I$89,M685=phu!$I$90),"Cam Lập",""),IF(OR(M685=phu!$I$91,M685=phu!$I$92,M685=phu!$I$93),"Cam Bình",""),IF(OR(M685=phu!$I$94,M685=phu!$I$95,M685=phu!$I$96,M685=phu!$I$97,M685=phu!$I$98,M685=phu!$I$99,M685=phu!$I$100),"Huyện khác",""),IF(OR(M685=phu!$I$101,M685=phu!$I$102),"Tỉnh khác",""))</f>
        <v/>
      </c>
      <c r="O685" s="814" t="str">
        <f t="shared" si="61"/>
        <v/>
      </c>
      <c r="P685" s="254"/>
      <c r="Q685" s="254"/>
      <c r="R685" s="254"/>
      <c r="S685" s="254"/>
      <c r="T685" s="254"/>
      <c r="U685" s="254"/>
      <c r="V685" s="254"/>
      <c r="W685" s="254"/>
      <c r="Y685" s="246" t="str">
        <f t="shared" si="62"/>
        <v/>
      </c>
      <c r="Z685" s="247" t="str">
        <f t="shared" si="60"/>
        <v/>
      </c>
      <c r="AA685" s="246" t="str">
        <f t="shared" si="63"/>
        <v/>
      </c>
    </row>
    <row r="686" spans="1:27" ht="18" customHeight="1" x14ac:dyDescent="0.25">
      <c r="A686" s="248" t="str">
        <f t="shared" si="64"/>
        <v/>
      </c>
      <c r="B686" s="249" t="str">
        <f t="shared" si="65"/>
        <v/>
      </c>
      <c r="C686" s="250"/>
      <c r="D686" s="251"/>
      <c r="E686" s="241"/>
      <c r="F686" s="252"/>
      <c r="G686" s="252"/>
      <c r="H686" s="253"/>
      <c r="I686" s="250"/>
      <c r="J686" s="250"/>
      <c r="K686" s="270"/>
      <c r="L686" s="250"/>
      <c r="M686" s="250"/>
      <c r="N686" s="553" t="str">
        <f>CONCATENATE(IF(OR(M686=phu!$I$1,M686=phu!$I$2,M686=phu!$I$3),"Cam Thành Nam",""),IF(OR(M686=phu!$I$4,M686=phu!$I$5,M686=phu!$I$6,M686=phu!$I$7,M686=phu!$I$8,M686=phu!$I$9,M686=phu!$I$10,M686=phu!$I$11,M686=phu!$I$12,M686=phu!$I$13,M686=phu!$I$14),"Cam Nghĩa",""),IF(OR(M686=phu!$I$15,M686=phu!$I$16,M686=phu!$I$17,M686=phu!$I$18,M686=phu!$I$19,M686=phu!$I$20,M686=phu!$I$21),"Cam Phúc Bắc",""),IF(OR(M686=phu!$I$22,M686=phu!$I$23,M686=phu!$I$24,M686=phu!$I$25),"Cam Phúc Nam",""),IF(OR(M686=phu!$I$26,M686=phu!$I$27,M686=phu!$I$28,M686=phu!$I$29,M686=phu!$I$30,M686=phu!$I$31),"Cam Phú",""),IF(OR(M686=phu!$I$32,M686=phu!$I$33,M686=phu!$I$34,M686=phu!$I$35,M686=phu!$I$36,M686=phu!$I$37),"Cam Lộc",""),IF(OR(M686=phu!$I$38,M686=phu!$I$39,M686=phu!$I$40,M686=phu!$I$41,M686=phu!$I$42,M686=phu!$I$43,M686=phu!$I$44),"Cam Thuận",""),IF(OR(M686=phu!$I$45,M686=phu!$I$46,M686=phu!$I$47,M686=phu!$I$48,M686=phu!$I$49,M686=phu!$I$50,M686=phu!$I$51,M686=phu!$I$52,M686=phu!$I$53),"Cam Linh",""),IF(OR(M686=phu!$I$54,M686=phu!$I$55,M686=phu!$I$56,M686=phu!$I$57,M686=phu!$I$58,M686=phu!$I$59,M686=phu!$I$60,M686=phu!$I$61,M686=phu!$I$62),"Cam Lợi",""),IF(OR(M686=phu!$I$63,M686=phu!$I$64,M686=phu!$I$65,M686=phu!$I$66,M686=phu!$I$67,M686=phu!$I$68,M686=phu!$I$69,M686=phu!$I$70,M686=phu!$I$71),"Ba Ngòi",""),IF(OR(M686=phu!$I$72,M686=phu!$I$73,M686=phu!$I$74,M686=phu!$I$75,M686=phu!$I$76,M686=phu!$I$77,M686=phu!$I$78),"Cam Phước Đông",""),IF(OR(M686=phu!$I$79,M686=phu!$I$80,M686=phu!$I$81,M686=phu!$I$82,M686=phu!$I$83,M686=phu!$I$84),"Cam Thịnh Đông",""),IF(OR(M686=phu!$I$85,M686=phu!$I$86,M686=phu!$I$87,M686=phu!$I$88),"Cam Thịnh Tây",""),IF(OR(M686=phu!$I$89,M686=phu!$I$90),"Cam Lập",""),IF(OR(M686=phu!$I$91,M686=phu!$I$92,M686=phu!$I$93),"Cam Bình",""),IF(OR(M686=phu!$I$94,M686=phu!$I$95,M686=phu!$I$96,M686=phu!$I$97,M686=phu!$I$98,M686=phu!$I$99,M686=phu!$I$100),"Huyện khác",""),IF(OR(M686=phu!$I$101,M686=phu!$I$102),"Tỉnh khác",""))</f>
        <v/>
      </c>
      <c r="O686" s="814" t="str">
        <f t="shared" si="61"/>
        <v/>
      </c>
      <c r="P686" s="254"/>
      <c r="Q686" s="254"/>
      <c r="R686" s="254"/>
      <c r="S686" s="254"/>
      <c r="T686" s="254"/>
      <c r="U686" s="254"/>
      <c r="V686" s="254"/>
      <c r="W686" s="254"/>
      <c r="Y686" s="246" t="str">
        <f t="shared" si="62"/>
        <v/>
      </c>
      <c r="Z686" s="247" t="str">
        <f t="shared" si="60"/>
        <v/>
      </c>
      <c r="AA686" s="246" t="str">
        <f t="shared" si="63"/>
        <v/>
      </c>
    </row>
    <row r="687" spans="1:27" ht="18" customHeight="1" x14ac:dyDescent="0.25">
      <c r="A687" s="248" t="str">
        <f t="shared" si="64"/>
        <v/>
      </c>
      <c r="B687" s="249" t="str">
        <f t="shared" si="65"/>
        <v/>
      </c>
      <c r="C687" s="250"/>
      <c r="D687" s="251"/>
      <c r="E687" s="241"/>
      <c r="F687" s="252"/>
      <c r="G687" s="252"/>
      <c r="H687" s="253"/>
      <c r="I687" s="250"/>
      <c r="J687" s="250"/>
      <c r="K687" s="270"/>
      <c r="L687" s="250"/>
      <c r="M687" s="250"/>
      <c r="N687" s="553" t="str">
        <f>CONCATENATE(IF(OR(M687=phu!$I$1,M687=phu!$I$2,M687=phu!$I$3),"Cam Thành Nam",""),IF(OR(M687=phu!$I$4,M687=phu!$I$5,M687=phu!$I$6,M687=phu!$I$7,M687=phu!$I$8,M687=phu!$I$9,M687=phu!$I$10,M687=phu!$I$11,M687=phu!$I$12,M687=phu!$I$13,M687=phu!$I$14),"Cam Nghĩa",""),IF(OR(M687=phu!$I$15,M687=phu!$I$16,M687=phu!$I$17,M687=phu!$I$18,M687=phu!$I$19,M687=phu!$I$20,M687=phu!$I$21),"Cam Phúc Bắc",""),IF(OR(M687=phu!$I$22,M687=phu!$I$23,M687=phu!$I$24,M687=phu!$I$25),"Cam Phúc Nam",""),IF(OR(M687=phu!$I$26,M687=phu!$I$27,M687=phu!$I$28,M687=phu!$I$29,M687=phu!$I$30,M687=phu!$I$31),"Cam Phú",""),IF(OR(M687=phu!$I$32,M687=phu!$I$33,M687=phu!$I$34,M687=phu!$I$35,M687=phu!$I$36,M687=phu!$I$37),"Cam Lộc",""),IF(OR(M687=phu!$I$38,M687=phu!$I$39,M687=phu!$I$40,M687=phu!$I$41,M687=phu!$I$42,M687=phu!$I$43,M687=phu!$I$44),"Cam Thuận",""),IF(OR(M687=phu!$I$45,M687=phu!$I$46,M687=phu!$I$47,M687=phu!$I$48,M687=phu!$I$49,M687=phu!$I$50,M687=phu!$I$51,M687=phu!$I$52,M687=phu!$I$53),"Cam Linh",""),IF(OR(M687=phu!$I$54,M687=phu!$I$55,M687=phu!$I$56,M687=phu!$I$57,M687=phu!$I$58,M687=phu!$I$59,M687=phu!$I$60,M687=phu!$I$61,M687=phu!$I$62),"Cam Lợi",""),IF(OR(M687=phu!$I$63,M687=phu!$I$64,M687=phu!$I$65,M687=phu!$I$66,M687=phu!$I$67,M687=phu!$I$68,M687=phu!$I$69,M687=phu!$I$70,M687=phu!$I$71),"Ba Ngòi",""),IF(OR(M687=phu!$I$72,M687=phu!$I$73,M687=phu!$I$74,M687=phu!$I$75,M687=phu!$I$76,M687=phu!$I$77,M687=phu!$I$78),"Cam Phước Đông",""),IF(OR(M687=phu!$I$79,M687=phu!$I$80,M687=phu!$I$81,M687=phu!$I$82,M687=phu!$I$83,M687=phu!$I$84),"Cam Thịnh Đông",""),IF(OR(M687=phu!$I$85,M687=phu!$I$86,M687=phu!$I$87,M687=phu!$I$88),"Cam Thịnh Tây",""),IF(OR(M687=phu!$I$89,M687=phu!$I$90),"Cam Lập",""),IF(OR(M687=phu!$I$91,M687=phu!$I$92,M687=phu!$I$93),"Cam Bình",""),IF(OR(M687=phu!$I$94,M687=phu!$I$95,M687=phu!$I$96,M687=phu!$I$97,M687=phu!$I$98,M687=phu!$I$99,M687=phu!$I$100),"Huyện khác",""),IF(OR(M687=phu!$I$101,M687=phu!$I$102),"Tỉnh khác",""))</f>
        <v/>
      </c>
      <c r="O687" s="814" t="str">
        <f t="shared" si="61"/>
        <v/>
      </c>
      <c r="P687" s="254"/>
      <c r="Q687" s="254"/>
      <c r="R687" s="254"/>
      <c r="S687" s="254"/>
      <c r="T687" s="254"/>
      <c r="U687" s="254"/>
      <c r="V687" s="254"/>
      <c r="W687" s="254"/>
      <c r="Y687" s="246" t="str">
        <f t="shared" si="62"/>
        <v/>
      </c>
      <c r="Z687" s="247" t="str">
        <f t="shared" si="60"/>
        <v/>
      </c>
      <c r="AA687" s="246" t="str">
        <f t="shared" si="63"/>
        <v/>
      </c>
    </row>
    <row r="688" spans="1:27" ht="18" customHeight="1" x14ac:dyDescent="0.25">
      <c r="A688" s="248" t="str">
        <f t="shared" si="64"/>
        <v/>
      </c>
      <c r="B688" s="249" t="str">
        <f t="shared" si="65"/>
        <v/>
      </c>
      <c r="C688" s="250"/>
      <c r="D688" s="251"/>
      <c r="E688" s="241"/>
      <c r="F688" s="252"/>
      <c r="G688" s="252"/>
      <c r="H688" s="253"/>
      <c r="I688" s="250"/>
      <c r="J688" s="250"/>
      <c r="K688" s="270"/>
      <c r="L688" s="250"/>
      <c r="M688" s="250"/>
      <c r="N688" s="553" t="str">
        <f>CONCATENATE(IF(OR(M688=phu!$I$1,M688=phu!$I$2,M688=phu!$I$3),"Cam Thành Nam",""),IF(OR(M688=phu!$I$4,M688=phu!$I$5,M688=phu!$I$6,M688=phu!$I$7,M688=phu!$I$8,M688=phu!$I$9,M688=phu!$I$10,M688=phu!$I$11,M688=phu!$I$12,M688=phu!$I$13,M688=phu!$I$14),"Cam Nghĩa",""),IF(OR(M688=phu!$I$15,M688=phu!$I$16,M688=phu!$I$17,M688=phu!$I$18,M688=phu!$I$19,M688=phu!$I$20,M688=phu!$I$21),"Cam Phúc Bắc",""),IF(OR(M688=phu!$I$22,M688=phu!$I$23,M688=phu!$I$24,M688=phu!$I$25),"Cam Phúc Nam",""),IF(OR(M688=phu!$I$26,M688=phu!$I$27,M688=phu!$I$28,M688=phu!$I$29,M688=phu!$I$30,M688=phu!$I$31),"Cam Phú",""),IF(OR(M688=phu!$I$32,M688=phu!$I$33,M688=phu!$I$34,M688=phu!$I$35,M688=phu!$I$36,M688=phu!$I$37),"Cam Lộc",""),IF(OR(M688=phu!$I$38,M688=phu!$I$39,M688=phu!$I$40,M688=phu!$I$41,M688=phu!$I$42,M688=phu!$I$43,M688=phu!$I$44),"Cam Thuận",""),IF(OR(M688=phu!$I$45,M688=phu!$I$46,M688=phu!$I$47,M688=phu!$I$48,M688=phu!$I$49,M688=phu!$I$50,M688=phu!$I$51,M688=phu!$I$52,M688=phu!$I$53),"Cam Linh",""),IF(OR(M688=phu!$I$54,M688=phu!$I$55,M688=phu!$I$56,M688=phu!$I$57,M688=phu!$I$58,M688=phu!$I$59,M688=phu!$I$60,M688=phu!$I$61,M688=phu!$I$62),"Cam Lợi",""),IF(OR(M688=phu!$I$63,M688=phu!$I$64,M688=phu!$I$65,M688=phu!$I$66,M688=phu!$I$67,M688=phu!$I$68,M688=phu!$I$69,M688=phu!$I$70,M688=phu!$I$71),"Ba Ngòi",""),IF(OR(M688=phu!$I$72,M688=phu!$I$73,M688=phu!$I$74,M688=phu!$I$75,M688=phu!$I$76,M688=phu!$I$77,M688=phu!$I$78),"Cam Phước Đông",""),IF(OR(M688=phu!$I$79,M688=phu!$I$80,M688=phu!$I$81,M688=phu!$I$82,M688=phu!$I$83,M688=phu!$I$84),"Cam Thịnh Đông",""),IF(OR(M688=phu!$I$85,M688=phu!$I$86,M688=phu!$I$87,M688=phu!$I$88),"Cam Thịnh Tây",""),IF(OR(M688=phu!$I$89,M688=phu!$I$90),"Cam Lập",""),IF(OR(M688=phu!$I$91,M688=phu!$I$92,M688=phu!$I$93),"Cam Bình",""),IF(OR(M688=phu!$I$94,M688=phu!$I$95,M688=phu!$I$96,M688=phu!$I$97,M688=phu!$I$98,M688=phu!$I$99,M688=phu!$I$100),"Huyện khác",""),IF(OR(M688=phu!$I$101,M688=phu!$I$102),"Tỉnh khác",""))</f>
        <v/>
      </c>
      <c r="O688" s="814" t="str">
        <f t="shared" si="61"/>
        <v/>
      </c>
      <c r="P688" s="254"/>
      <c r="Q688" s="254"/>
      <c r="R688" s="254"/>
      <c r="S688" s="254"/>
      <c r="T688" s="254"/>
      <c r="U688" s="254"/>
      <c r="V688" s="254"/>
      <c r="W688" s="254"/>
      <c r="Y688" s="246" t="str">
        <f t="shared" si="62"/>
        <v/>
      </c>
      <c r="Z688" s="247" t="str">
        <f t="shared" si="60"/>
        <v/>
      </c>
      <c r="AA688" s="246" t="str">
        <f t="shared" si="63"/>
        <v/>
      </c>
    </row>
    <row r="689" spans="1:27" ht="18" customHeight="1" x14ac:dyDescent="0.25">
      <c r="A689" s="248" t="str">
        <f t="shared" si="64"/>
        <v/>
      </c>
      <c r="B689" s="249" t="str">
        <f t="shared" si="65"/>
        <v/>
      </c>
      <c r="C689" s="250"/>
      <c r="D689" s="251"/>
      <c r="E689" s="241"/>
      <c r="F689" s="252"/>
      <c r="G689" s="252"/>
      <c r="H689" s="253"/>
      <c r="I689" s="250"/>
      <c r="J689" s="250"/>
      <c r="K689" s="270"/>
      <c r="L689" s="250"/>
      <c r="M689" s="250"/>
      <c r="N689" s="553" t="str">
        <f>CONCATENATE(IF(OR(M689=phu!$I$1,M689=phu!$I$2,M689=phu!$I$3),"Cam Thành Nam",""),IF(OR(M689=phu!$I$4,M689=phu!$I$5,M689=phu!$I$6,M689=phu!$I$7,M689=phu!$I$8,M689=phu!$I$9,M689=phu!$I$10,M689=phu!$I$11,M689=phu!$I$12,M689=phu!$I$13,M689=phu!$I$14),"Cam Nghĩa",""),IF(OR(M689=phu!$I$15,M689=phu!$I$16,M689=phu!$I$17,M689=phu!$I$18,M689=phu!$I$19,M689=phu!$I$20,M689=phu!$I$21),"Cam Phúc Bắc",""),IF(OR(M689=phu!$I$22,M689=phu!$I$23,M689=phu!$I$24,M689=phu!$I$25),"Cam Phúc Nam",""),IF(OR(M689=phu!$I$26,M689=phu!$I$27,M689=phu!$I$28,M689=phu!$I$29,M689=phu!$I$30,M689=phu!$I$31),"Cam Phú",""),IF(OR(M689=phu!$I$32,M689=phu!$I$33,M689=phu!$I$34,M689=phu!$I$35,M689=phu!$I$36,M689=phu!$I$37),"Cam Lộc",""),IF(OR(M689=phu!$I$38,M689=phu!$I$39,M689=phu!$I$40,M689=phu!$I$41,M689=phu!$I$42,M689=phu!$I$43,M689=phu!$I$44),"Cam Thuận",""),IF(OR(M689=phu!$I$45,M689=phu!$I$46,M689=phu!$I$47,M689=phu!$I$48,M689=phu!$I$49,M689=phu!$I$50,M689=phu!$I$51,M689=phu!$I$52,M689=phu!$I$53),"Cam Linh",""),IF(OR(M689=phu!$I$54,M689=phu!$I$55,M689=phu!$I$56,M689=phu!$I$57,M689=phu!$I$58,M689=phu!$I$59,M689=phu!$I$60,M689=phu!$I$61,M689=phu!$I$62),"Cam Lợi",""),IF(OR(M689=phu!$I$63,M689=phu!$I$64,M689=phu!$I$65,M689=phu!$I$66,M689=phu!$I$67,M689=phu!$I$68,M689=phu!$I$69,M689=phu!$I$70,M689=phu!$I$71),"Ba Ngòi",""),IF(OR(M689=phu!$I$72,M689=phu!$I$73,M689=phu!$I$74,M689=phu!$I$75,M689=phu!$I$76,M689=phu!$I$77,M689=phu!$I$78),"Cam Phước Đông",""),IF(OR(M689=phu!$I$79,M689=phu!$I$80,M689=phu!$I$81,M689=phu!$I$82,M689=phu!$I$83,M689=phu!$I$84),"Cam Thịnh Đông",""),IF(OR(M689=phu!$I$85,M689=phu!$I$86,M689=phu!$I$87,M689=phu!$I$88),"Cam Thịnh Tây",""),IF(OR(M689=phu!$I$89,M689=phu!$I$90),"Cam Lập",""),IF(OR(M689=phu!$I$91,M689=phu!$I$92,M689=phu!$I$93),"Cam Bình",""),IF(OR(M689=phu!$I$94,M689=phu!$I$95,M689=phu!$I$96,M689=phu!$I$97,M689=phu!$I$98,M689=phu!$I$99,M689=phu!$I$100),"Huyện khác",""),IF(OR(M689=phu!$I$101,M689=phu!$I$102),"Tỉnh khác",""))</f>
        <v/>
      </c>
      <c r="O689" s="814" t="str">
        <f t="shared" si="61"/>
        <v/>
      </c>
      <c r="P689" s="254"/>
      <c r="Q689" s="254"/>
      <c r="R689" s="254"/>
      <c r="S689" s="254"/>
      <c r="T689" s="254"/>
      <c r="U689" s="254"/>
      <c r="V689" s="254"/>
      <c r="W689" s="254"/>
      <c r="Y689" s="246" t="str">
        <f t="shared" si="62"/>
        <v/>
      </c>
      <c r="Z689" s="247" t="str">
        <f t="shared" si="60"/>
        <v/>
      </c>
      <c r="AA689" s="246" t="str">
        <f t="shared" si="63"/>
        <v/>
      </c>
    </row>
    <row r="690" spans="1:27" ht="18" customHeight="1" x14ac:dyDescent="0.25">
      <c r="A690" s="248" t="str">
        <f t="shared" si="64"/>
        <v/>
      </c>
      <c r="B690" s="249" t="str">
        <f t="shared" si="65"/>
        <v/>
      </c>
      <c r="C690" s="250"/>
      <c r="D690" s="251"/>
      <c r="E690" s="241"/>
      <c r="F690" s="252"/>
      <c r="G690" s="252"/>
      <c r="H690" s="253"/>
      <c r="I690" s="250"/>
      <c r="J690" s="250"/>
      <c r="K690" s="270"/>
      <c r="L690" s="250"/>
      <c r="M690" s="250"/>
      <c r="N690" s="553" t="str">
        <f>CONCATENATE(IF(OR(M690=phu!$I$1,M690=phu!$I$2,M690=phu!$I$3),"Cam Thành Nam",""),IF(OR(M690=phu!$I$4,M690=phu!$I$5,M690=phu!$I$6,M690=phu!$I$7,M690=phu!$I$8,M690=phu!$I$9,M690=phu!$I$10,M690=phu!$I$11,M690=phu!$I$12,M690=phu!$I$13,M690=phu!$I$14),"Cam Nghĩa",""),IF(OR(M690=phu!$I$15,M690=phu!$I$16,M690=phu!$I$17,M690=phu!$I$18,M690=phu!$I$19,M690=phu!$I$20,M690=phu!$I$21),"Cam Phúc Bắc",""),IF(OR(M690=phu!$I$22,M690=phu!$I$23,M690=phu!$I$24,M690=phu!$I$25),"Cam Phúc Nam",""),IF(OR(M690=phu!$I$26,M690=phu!$I$27,M690=phu!$I$28,M690=phu!$I$29,M690=phu!$I$30,M690=phu!$I$31),"Cam Phú",""),IF(OR(M690=phu!$I$32,M690=phu!$I$33,M690=phu!$I$34,M690=phu!$I$35,M690=phu!$I$36,M690=phu!$I$37),"Cam Lộc",""),IF(OR(M690=phu!$I$38,M690=phu!$I$39,M690=phu!$I$40,M690=phu!$I$41,M690=phu!$I$42,M690=phu!$I$43,M690=phu!$I$44),"Cam Thuận",""),IF(OR(M690=phu!$I$45,M690=phu!$I$46,M690=phu!$I$47,M690=phu!$I$48,M690=phu!$I$49,M690=phu!$I$50,M690=phu!$I$51,M690=phu!$I$52,M690=phu!$I$53),"Cam Linh",""),IF(OR(M690=phu!$I$54,M690=phu!$I$55,M690=phu!$I$56,M690=phu!$I$57,M690=phu!$I$58,M690=phu!$I$59,M690=phu!$I$60,M690=phu!$I$61,M690=phu!$I$62),"Cam Lợi",""),IF(OR(M690=phu!$I$63,M690=phu!$I$64,M690=phu!$I$65,M690=phu!$I$66,M690=phu!$I$67,M690=phu!$I$68,M690=phu!$I$69,M690=phu!$I$70,M690=phu!$I$71),"Ba Ngòi",""),IF(OR(M690=phu!$I$72,M690=phu!$I$73,M690=phu!$I$74,M690=phu!$I$75,M690=phu!$I$76,M690=phu!$I$77,M690=phu!$I$78),"Cam Phước Đông",""),IF(OR(M690=phu!$I$79,M690=phu!$I$80,M690=phu!$I$81,M690=phu!$I$82,M690=phu!$I$83,M690=phu!$I$84),"Cam Thịnh Đông",""),IF(OR(M690=phu!$I$85,M690=phu!$I$86,M690=phu!$I$87,M690=phu!$I$88),"Cam Thịnh Tây",""),IF(OR(M690=phu!$I$89,M690=phu!$I$90),"Cam Lập",""),IF(OR(M690=phu!$I$91,M690=phu!$I$92,M690=phu!$I$93),"Cam Bình",""),IF(OR(M690=phu!$I$94,M690=phu!$I$95,M690=phu!$I$96,M690=phu!$I$97,M690=phu!$I$98,M690=phu!$I$99,M690=phu!$I$100),"Huyện khác",""),IF(OR(M690=phu!$I$101,M690=phu!$I$102),"Tỉnh khác",""))</f>
        <v/>
      </c>
      <c r="O690" s="814" t="str">
        <f t="shared" si="61"/>
        <v/>
      </c>
      <c r="P690" s="254"/>
      <c r="Q690" s="254"/>
      <c r="R690" s="254"/>
      <c r="S690" s="254"/>
      <c r="T690" s="254"/>
      <c r="U690" s="254"/>
      <c r="V690" s="254"/>
      <c r="W690" s="254"/>
      <c r="Y690" s="246" t="str">
        <f t="shared" si="62"/>
        <v/>
      </c>
      <c r="Z690" s="247" t="str">
        <f t="shared" si="60"/>
        <v/>
      </c>
      <c r="AA690" s="246" t="str">
        <f t="shared" si="63"/>
        <v/>
      </c>
    </row>
    <row r="691" spans="1:27" ht="18" customHeight="1" x14ac:dyDescent="0.25">
      <c r="A691" s="248" t="str">
        <f t="shared" si="64"/>
        <v/>
      </c>
      <c r="B691" s="249" t="str">
        <f t="shared" si="65"/>
        <v/>
      </c>
      <c r="C691" s="250"/>
      <c r="D691" s="251"/>
      <c r="E691" s="241"/>
      <c r="F691" s="252"/>
      <c r="G691" s="252"/>
      <c r="H691" s="253"/>
      <c r="I691" s="250"/>
      <c r="J691" s="250"/>
      <c r="K691" s="270"/>
      <c r="L691" s="250"/>
      <c r="M691" s="250"/>
      <c r="N691" s="553" t="str">
        <f>CONCATENATE(IF(OR(M691=phu!$I$1,M691=phu!$I$2,M691=phu!$I$3),"Cam Thành Nam",""),IF(OR(M691=phu!$I$4,M691=phu!$I$5,M691=phu!$I$6,M691=phu!$I$7,M691=phu!$I$8,M691=phu!$I$9,M691=phu!$I$10,M691=phu!$I$11,M691=phu!$I$12,M691=phu!$I$13,M691=phu!$I$14),"Cam Nghĩa",""),IF(OR(M691=phu!$I$15,M691=phu!$I$16,M691=phu!$I$17,M691=phu!$I$18,M691=phu!$I$19,M691=phu!$I$20,M691=phu!$I$21),"Cam Phúc Bắc",""),IF(OR(M691=phu!$I$22,M691=phu!$I$23,M691=phu!$I$24,M691=phu!$I$25),"Cam Phúc Nam",""),IF(OR(M691=phu!$I$26,M691=phu!$I$27,M691=phu!$I$28,M691=phu!$I$29,M691=phu!$I$30,M691=phu!$I$31),"Cam Phú",""),IF(OR(M691=phu!$I$32,M691=phu!$I$33,M691=phu!$I$34,M691=phu!$I$35,M691=phu!$I$36,M691=phu!$I$37),"Cam Lộc",""),IF(OR(M691=phu!$I$38,M691=phu!$I$39,M691=phu!$I$40,M691=phu!$I$41,M691=phu!$I$42,M691=phu!$I$43,M691=phu!$I$44),"Cam Thuận",""),IF(OR(M691=phu!$I$45,M691=phu!$I$46,M691=phu!$I$47,M691=phu!$I$48,M691=phu!$I$49,M691=phu!$I$50,M691=phu!$I$51,M691=phu!$I$52,M691=phu!$I$53),"Cam Linh",""),IF(OR(M691=phu!$I$54,M691=phu!$I$55,M691=phu!$I$56,M691=phu!$I$57,M691=phu!$I$58,M691=phu!$I$59,M691=phu!$I$60,M691=phu!$I$61,M691=phu!$I$62),"Cam Lợi",""),IF(OR(M691=phu!$I$63,M691=phu!$I$64,M691=phu!$I$65,M691=phu!$I$66,M691=phu!$I$67,M691=phu!$I$68,M691=phu!$I$69,M691=phu!$I$70,M691=phu!$I$71),"Ba Ngòi",""),IF(OR(M691=phu!$I$72,M691=phu!$I$73,M691=phu!$I$74,M691=phu!$I$75,M691=phu!$I$76,M691=phu!$I$77,M691=phu!$I$78),"Cam Phước Đông",""),IF(OR(M691=phu!$I$79,M691=phu!$I$80,M691=phu!$I$81,M691=phu!$I$82,M691=phu!$I$83,M691=phu!$I$84),"Cam Thịnh Đông",""),IF(OR(M691=phu!$I$85,M691=phu!$I$86,M691=phu!$I$87,M691=phu!$I$88),"Cam Thịnh Tây",""),IF(OR(M691=phu!$I$89,M691=phu!$I$90),"Cam Lập",""),IF(OR(M691=phu!$I$91,M691=phu!$I$92,M691=phu!$I$93),"Cam Bình",""),IF(OR(M691=phu!$I$94,M691=phu!$I$95,M691=phu!$I$96,M691=phu!$I$97,M691=phu!$I$98,M691=phu!$I$99,M691=phu!$I$100),"Huyện khác",""),IF(OR(M691=phu!$I$101,M691=phu!$I$102),"Tỉnh khác",""))</f>
        <v/>
      </c>
      <c r="O691" s="814" t="str">
        <f t="shared" si="61"/>
        <v/>
      </c>
      <c r="P691" s="254"/>
      <c r="Q691" s="254"/>
      <c r="R691" s="254"/>
      <c r="S691" s="254"/>
      <c r="T691" s="254"/>
      <c r="U691" s="254"/>
      <c r="V691" s="254"/>
      <c r="W691" s="254"/>
      <c r="Y691" s="246" t="str">
        <f t="shared" si="62"/>
        <v/>
      </c>
      <c r="Z691" s="247" t="str">
        <f t="shared" si="60"/>
        <v/>
      </c>
      <c r="AA691" s="246" t="str">
        <f t="shared" si="63"/>
        <v/>
      </c>
    </row>
    <row r="692" spans="1:27" ht="18" customHeight="1" x14ac:dyDescent="0.25">
      <c r="A692" s="248" t="str">
        <f t="shared" si="64"/>
        <v/>
      </c>
      <c r="B692" s="249" t="str">
        <f t="shared" si="65"/>
        <v/>
      </c>
      <c r="C692" s="250"/>
      <c r="D692" s="251"/>
      <c r="E692" s="241"/>
      <c r="F692" s="252"/>
      <c r="G692" s="252"/>
      <c r="H692" s="253"/>
      <c r="I692" s="250"/>
      <c r="J692" s="250"/>
      <c r="K692" s="270"/>
      <c r="L692" s="250"/>
      <c r="M692" s="250"/>
      <c r="N692" s="553" t="str">
        <f>CONCATENATE(IF(OR(M692=phu!$I$1,M692=phu!$I$2,M692=phu!$I$3),"Cam Thành Nam",""),IF(OR(M692=phu!$I$4,M692=phu!$I$5,M692=phu!$I$6,M692=phu!$I$7,M692=phu!$I$8,M692=phu!$I$9,M692=phu!$I$10,M692=phu!$I$11,M692=phu!$I$12,M692=phu!$I$13,M692=phu!$I$14),"Cam Nghĩa",""),IF(OR(M692=phu!$I$15,M692=phu!$I$16,M692=phu!$I$17,M692=phu!$I$18,M692=phu!$I$19,M692=phu!$I$20,M692=phu!$I$21),"Cam Phúc Bắc",""),IF(OR(M692=phu!$I$22,M692=phu!$I$23,M692=phu!$I$24,M692=phu!$I$25),"Cam Phúc Nam",""),IF(OR(M692=phu!$I$26,M692=phu!$I$27,M692=phu!$I$28,M692=phu!$I$29,M692=phu!$I$30,M692=phu!$I$31),"Cam Phú",""),IF(OR(M692=phu!$I$32,M692=phu!$I$33,M692=phu!$I$34,M692=phu!$I$35,M692=phu!$I$36,M692=phu!$I$37),"Cam Lộc",""),IF(OR(M692=phu!$I$38,M692=phu!$I$39,M692=phu!$I$40,M692=phu!$I$41,M692=phu!$I$42,M692=phu!$I$43,M692=phu!$I$44),"Cam Thuận",""),IF(OR(M692=phu!$I$45,M692=phu!$I$46,M692=phu!$I$47,M692=phu!$I$48,M692=phu!$I$49,M692=phu!$I$50,M692=phu!$I$51,M692=phu!$I$52,M692=phu!$I$53),"Cam Linh",""),IF(OR(M692=phu!$I$54,M692=phu!$I$55,M692=phu!$I$56,M692=phu!$I$57,M692=phu!$I$58,M692=phu!$I$59,M692=phu!$I$60,M692=phu!$I$61,M692=phu!$I$62),"Cam Lợi",""),IF(OR(M692=phu!$I$63,M692=phu!$I$64,M692=phu!$I$65,M692=phu!$I$66,M692=phu!$I$67,M692=phu!$I$68,M692=phu!$I$69,M692=phu!$I$70,M692=phu!$I$71),"Ba Ngòi",""),IF(OR(M692=phu!$I$72,M692=phu!$I$73,M692=phu!$I$74,M692=phu!$I$75,M692=phu!$I$76,M692=phu!$I$77,M692=phu!$I$78),"Cam Phước Đông",""),IF(OR(M692=phu!$I$79,M692=phu!$I$80,M692=phu!$I$81,M692=phu!$I$82,M692=phu!$I$83,M692=phu!$I$84),"Cam Thịnh Đông",""),IF(OR(M692=phu!$I$85,M692=phu!$I$86,M692=phu!$I$87,M692=phu!$I$88),"Cam Thịnh Tây",""),IF(OR(M692=phu!$I$89,M692=phu!$I$90),"Cam Lập",""),IF(OR(M692=phu!$I$91,M692=phu!$I$92,M692=phu!$I$93),"Cam Bình",""),IF(OR(M692=phu!$I$94,M692=phu!$I$95,M692=phu!$I$96,M692=phu!$I$97,M692=phu!$I$98,M692=phu!$I$99,M692=phu!$I$100),"Huyện khác",""),IF(OR(M692=phu!$I$101,M692=phu!$I$102),"Tỉnh khác",""))</f>
        <v/>
      </c>
      <c r="O692" s="814" t="str">
        <f t="shared" si="61"/>
        <v/>
      </c>
      <c r="P692" s="254"/>
      <c r="Q692" s="254"/>
      <c r="R692" s="254"/>
      <c r="S692" s="254"/>
      <c r="T692" s="254"/>
      <c r="U692" s="254"/>
      <c r="V692" s="254"/>
      <c r="W692" s="254"/>
      <c r="Y692" s="246" t="str">
        <f t="shared" si="62"/>
        <v/>
      </c>
      <c r="Z692" s="247" t="str">
        <f t="shared" si="60"/>
        <v/>
      </c>
      <c r="AA692" s="246" t="str">
        <f t="shared" si="63"/>
        <v/>
      </c>
    </row>
    <row r="693" spans="1:27" ht="18" customHeight="1" x14ac:dyDescent="0.25">
      <c r="A693" s="248" t="str">
        <f t="shared" si="64"/>
        <v/>
      </c>
      <c r="B693" s="249" t="str">
        <f t="shared" si="65"/>
        <v/>
      </c>
      <c r="C693" s="250"/>
      <c r="D693" s="251"/>
      <c r="E693" s="241"/>
      <c r="F693" s="252"/>
      <c r="G693" s="252"/>
      <c r="H693" s="253"/>
      <c r="I693" s="250"/>
      <c r="J693" s="250"/>
      <c r="K693" s="270"/>
      <c r="L693" s="250"/>
      <c r="M693" s="250"/>
      <c r="N693" s="553" t="str">
        <f>CONCATENATE(IF(OR(M693=phu!$I$1,M693=phu!$I$2,M693=phu!$I$3),"Cam Thành Nam",""),IF(OR(M693=phu!$I$4,M693=phu!$I$5,M693=phu!$I$6,M693=phu!$I$7,M693=phu!$I$8,M693=phu!$I$9,M693=phu!$I$10,M693=phu!$I$11,M693=phu!$I$12,M693=phu!$I$13,M693=phu!$I$14),"Cam Nghĩa",""),IF(OR(M693=phu!$I$15,M693=phu!$I$16,M693=phu!$I$17,M693=phu!$I$18,M693=phu!$I$19,M693=phu!$I$20,M693=phu!$I$21),"Cam Phúc Bắc",""),IF(OR(M693=phu!$I$22,M693=phu!$I$23,M693=phu!$I$24,M693=phu!$I$25),"Cam Phúc Nam",""),IF(OR(M693=phu!$I$26,M693=phu!$I$27,M693=phu!$I$28,M693=phu!$I$29,M693=phu!$I$30,M693=phu!$I$31),"Cam Phú",""),IF(OR(M693=phu!$I$32,M693=phu!$I$33,M693=phu!$I$34,M693=phu!$I$35,M693=phu!$I$36,M693=phu!$I$37),"Cam Lộc",""),IF(OR(M693=phu!$I$38,M693=phu!$I$39,M693=phu!$I$40,M693=phu!$I$41,M693=phu!$I$42,M693=phu!$I$43,M693=phu!$I$44),"Cam Thuận",""),IF(OR(M693=phu!$I$45,M693=phu!$I$46,M693=phu!$I$47,M693=phu!$I$48,M693=phu!$I$49,M693=phu!$I$50,M693=phu!$I$51,M693=phu!$I$52,M693=phu!$I$53),"Cam Linh",""),IF(OR(M693=phu!$I$54,M693=phu!$I$55,M693=phu!$I$56,M693=phu!$I$57,M693=phu!$I$58,M693=phu!$I$59,M693=phu!$I$60,M693=phu!$I$61,M693=phu!$I$62),"Cam Lợi",""),IF(OR(M693=phu!$I$63,M693=phu!$I$64,M693=phu!$I$65,M693=phu!$I$66,M693=phu!$I$67,M693=phu!$I$68,M693=phu!$I$69,M693=phu!$I$70,M693=phu!$I$71),"Ba Ngòi",""),IF(OR(M693=phu!$I$72,M693=phu!$I$73,M693=phu!$I$74,M693=phu!$I$75,M693=phu!$I$76,M693=phu!$I$77,M693=phu!$I$78),"Cam Phước Đông",""),IF(OR(M693=phu!$I$79,M693=phu!$I$80,M693=phu!$I$81,M693=phu!$I$82,M693=phu!$I$83,M693=phu!$I$84),"Cam Thịnh Đông",""),IF(OR(M693=phu!$I$85,M693=phu!$I$86,M693=phu!$I$87,M693=phu!$I$88),"Cam Thịnh Tây",""),IF(OR(M693=phu!$I$89,M693=phu!$I$90),"Cam Lập",""),IF(OR(M693=phu!$I$91,M693=phu!$I$92,M693=phu!$I$93),"Cam Bình",""),IF(OR(M693=phu!$I$94,M693=phu!$I$95,M693=phu!$I$96,M693=phu!$I$97,M693=phu!$I$98,M693=phu!$I$99,M693=phu!$I$100),"Huyện khác",""),IF(OR(M693=phu!$I$101,M693=phu!$I$102),"Tỉnh khác",""))</f>
        <v/>
      </c>
      <c r="O693" s="814" t="str">
        <f t="shared" si="61"/>
        <v/>
      </c>
      <c r="P693" s="254"/>
      <c r="Q693" s="254"/>
      <c r="R693" s="254"/>
      <c r="S693" s="254"/>
      <c r="T693" s="254"/>
      <c r="U693" s="254"/>
      <c r="V693" s="254"/>
      <c r="W693" s="254"/>
      <c r="Y693" s="246" t="str">
        <f t="shared" si="62"/>
        <v/>
      </c>
      <c r="Z693" s="247" t="str">
        <f t="shared" si="60"/>
        <v/>
      </c>
      <c r="AA693" s="246" t="str">
        <f t="shared" si="63"/>
        <v/>
      </c>
    </row>
    <row r="694" spans="1:27" ht="18" customHeight="1" x14ac:dyDescent="0.25">
      <c r="A694" s="248" t="str">
        <f t="shared" si="64"/>
        <v/>
      </c>
      <c r="B694" s="249" t="str">
        <f t="shared" si="65"/>
        <v/>
      </c>
      <c r="C694" s="250"/>
      <c r="D694" s="251"/>
      <c r="E694" s="241"/>
      <c r="F694" s="252"/>
      <c r="G694" s="252"/>
      <c r="H694" s="253"/>
      <c r="I694" s="250"/>
      <c r="J694" s="250"/>
      <c r="K694" s="270"/>
      <c r="L694" s="250"/>
      <c r="M694" s="250"/>
      <c r="N694" s="553" t="str">
        <f>CONCATENATE(IF(OR(M694=phu!$I$1,M694=phu!$I$2,M694=phu!$I$3),"Cam Thành Nam",""),IF(OR(M694=phu!$I$4,M694=phu!$I$5,M694=phu!$I$6,M694=phu!$I$7,M694=phu!$I$8,M694=phu!$I$9,M694=phu!$I$10,M694=phu!$I$11,M694=phu!$I$12,M694=phu!$I$13,M694=phu!$I$14),"Cam Nghĩa",""),IF(OR(M694=phu!$I$15,M694=phu!$I$16,M694=phu!$I$17,M694=phu!$I$18,M694=phu!$I$19,M694=phu!$I$20,M694=phu!$I$21),"Cam Phúc Bắc",""),IF(OR(M694=phu!$I$22,M694=phu!$I$23,M694=phu!$I$24,M694=phu!$I$25),"Cam Phúc Nam",""),IF(OR(M694=phu!$I$26,M694=phu!$I$27,M694=phu!$I$28,M694=phu!$I$29,M694=phu!$I$30,M694=phu!$I$31),"Cam Phú",""),IF(OR(M694=phu!$I$32,M694=phu!$I$33,M694=phu!$I$34,M694=phu!$I$35,M694=phu!$I$36,M694=phu!$I$37),"Cam Lộc",""),IF(OR(M694=phu!$I$38,M694=phu!$I$39,M694=phu!$I$40,M694=phu!$I$41,M694=phu!$I$42,M694=phu!$I$43,M694=phu!$I$44),"Cam Thuận",""),IF(OR(M694=phu!$I$45,M694=phu!$I$46,M694=phu!$I$47,M694=phu!$I$48,M694=phu!$I$49,M694=phu!$I$50,M694=phu!$I$51,M694=phu!$I$52,M694=phu!$I$53),"Cam Linh",""),IF(OR(M694=phu!$I$54,M694=phu!$I$55,M694=phu!$I$56,M694=phu!$I$57,M694=phu!$I$58,M694=phu!$I$59,M694=phu!$I$60,M694=phu!$I$61,M694=phu!$I$62),"Cam Lợi",""),IF(OR(M694=phu!$I$63,M694=phu!$I$64,M694=phu!$I$65,M694=phu!$I$66,M694=phu!$I$67,M694=phu!$I$68,M694=phu!$I$69,M694=phu!$I$70,M694=phu!$I$71),"Ba Ngòi",""),IF(OR(M694=phu!$I$72,M694=phu!$I$73,M694=phu!$I$74,M694=phu!$I$75,M694=phu!$I$76,M694=phu!$I$77,M694=phu!$I$78),"Cam Phước Đông",""),IF(OR(M694=phu!$I$79,M694=phu!$I$80,M694=phu!$I$81,M694=phu!$I$82,M694=phu!$I$83,M694=phu!$I$84),"Cam Thịnh Đông",""),IF(OR(M694=phu!$I$85,M694=phu!$I$86,M694=phu!$I$87,M694=phu!$I$88),"Cam Thịnh Tây",""),IF(OR(M694=phu!$I$89,M694=phu!$I$90),"Cam Lập",""),IF(OR(M694=phu!$I$91,M694=phu!$I$92,M694=phu!$I$93),"Cam Bình",""),IF(OR(M694=phu!$I$94,M694=phu!$I$95,M694=phu!$I$96,M694=phu!$I$97,M694=phu!$I$98,M694=phu!$I$99,M694=phu!$I$100),"Huyện khác",""),IF(OR(M694=phu!$I$101,M694=phu!$I$102),"Tỉnh khác",""))</f>
        <v/>
      </c>
      <c r="O694" s="814" t="str">
        <f t="shared" si="61"/>
        <v/>
      </c>
      <c r="P694" s="254"/>
      <c r="Q694" s="254"/>
      <c r="R694" s="254"/>
      <c r="S694" s="254"/>
      <c r="T694" s="254"/>
      <c r="U694" s="254"/>
      <c r="V694" s="254"/>
      <c r="W694" s="254"/>
      <c r="Y694" s="246" t="str">
        <f t="shared" si="62"/>
        <v/>
      </c>
      <c r="Z694" s="247" t="str">
        <f t="shared" si="60"/>
        <v/>
      </c>
      <c r="AA694" s="246" t="str">
        <f t="shared" si="63"/>
        <v/>
      </c>
    </row>
    <row r="695" spans="1:27" ht="18" customHeight="1" x14ac:dyDescent="0.25">
      <c r="A695" s="248" t="str">
        <f t="shared" si="64"/>
        <v/>
      </c>
      <c r="B695" s="249" t="str">
        <f t="shared" si="65"/>
        <v/>
      </c>
      <c r="C695" s="250"/>
      <c r="D695" s="251"/>
      <c r="E695" s="241"/>
      <c r="F695" s="252"/>
      <c r="G695" s="252"/>
      <c r="H695" s="253"/>
      <c r="I695" s="250"/>
      <c r="J695" s="250"/>
      <c r="K695" s="270"/>
      <c r="L695" s="250"/>
      <c r="M695" s="250"/>
      <c r="N695" s="553" t="str">
        <f>CONCATENATE(IF(OR(M695=phu!$I$1,M695=phu!$I$2,M695=phu!$I$3),"Cam Thành Nam",""),IF(OR(M695=phu!$I$4,M695=phu!$I$5,M695=phu!$I$6,M695=phu!$I$7,M695=phu!$I$8,M695=phu!$I$9,M695=phu!$I$10,M695=phu!$I$11,M695=phu!$I$12,M695=phu!$I$13,M695=phu!$I$14),"Cam Nghĩa",""),IF(OR(M695=phu!$I$15,M695=phu!$I$16,M695=phu!$I$17,M695=phu!$I$18,M695=phu!$I$19,M695=phu!$I$20,M695=phu!$I$21),"Cam Phúc Bắc",""),IF(OR(M695=phu!$I$22,M695=phu!$I$23,M695=phu!$I$24,M695=phu!$I$25),"Cam Phúc Nam",""),IF(OR(M695=phu!$I$26,M695=phu!$I$27,M695=phu!$I$28,M695=phu!$I$29,M695=phu!$I$30,M695=phu!$I$31),"Cam Phú",""),IF(OR(M695=phu!$I$32,M695=phu!$I$33,M695=phu!$I$34,M695=phu!$I$35,M695=phu!$I$36,M695=phu!$I$37),"Cam Lộc",""),IF(OR(M695=phu!$I$38,M695=phu!$I$39,M695=phu!$I$40,M695=phu!$I$41,M695=phu!$I$42,M695=phu!$I$43,M695=phu!$I$44),"Cam Thuận",""),IF(OR(M695=phu!$I$45,M695=phu!$I$46,M695=phu!$I$47,M695=phu!$I$48,M695=phu!$I$49,M695=phu!$I$50,M695=phu!$I$51,M695=phu!$I$52,M695=phu!$I$53),"Cam Linh",""),IF(OR(M695=phu!$I$54,M695=phu!$I$55,M695=phu!$I$56,M695=phu!$I$57,M695=phu!$I$58,M695=phu!$I$59,M695=phu!$I$60,M695=phu!$I$61,M695=phu!$I$62),"Cam Lợi",""),IF(OR(M695=phu!$I$63,M695=phu!$I$64,M695=phu!$I$65,M695=phu!$I$66,M695=phu!$I$67,M695=phu!$I$68,M695=phu!$I$69,M695=phu!$I$70,M695=phu!$I$71),"Ba Ngòi",""),IF(OR(M695=phu!$I$72,M695=phu!$I$73,M695=phu!$I$74,M695=phu!$I$75,M695=phu!$I$76,M695=phu!$I$77,M695=phu!$I$78),"Cam Phước Đông",""),IF(OR(M695=phu!$I$79,M695=phu!$I$80,M695=phu!$I$81,M695=phu!$I$82,M695=phu!$I$83,M695=phu!$I$84),"Cam Thịnh Đông",""),IF(OR(M695=phu!$I$85,M695=phu!$I$86,M695=phu!$I$87,M695=phu!$I$88),"Cam Thịnh Tây",""),IF(OR(M695=phu!$I$89,M695=phu!$I$90),"Cam Lập",""),IF(OR(M695=phu!$I$91,M695=phu!$I$92,M695=phu!$I$93),"Cam Bình",""),IF(OR(M695=phu!$I$94,M695=phu!$I$95,M695=phu!$I$96,M695=phu!$I$97,M695=phu!$I$98,M695=phu!$I$99,M695=phu!$I$100),"Huyện khác",""),IF(OR(M695=phu!$I$101,M695=phu!$I$102),"Tỉnh khác",""))</f>
        <v/>
      </c>
      <c r="O695" s="814" t="str">
        <f t="shared" si="61"/>
        <v/>
      </c>
      <c r="P695" s="254"/>
      <c r="Q695" s="254"/>
      <c r="R695" s="254"/>
      <c r="S695" s="254"/>
      <c r="T695" s="254"/>
      <c r="U695" s="254"/>
      <c r="V695" s="254"/>
      <c r="W695" s="254"/>
      <c r="Y695" s="246" t="str">
        <f t="shared" si="62"/>
        <v/>
      </c>
      <c r="Z695" s="247" t="str">
        <f t="shared" si="60"/>
        <v/>
      </c>
      <c r="AA695" s="246" t="str">
        <f t="shared" si="63"/>
        <v/>
      </c>
    </row>
    <row r="696" spans="1:27" ht="18" customHeight="1" x14ac:dyDescent="0.25">
      <c r="A696" s="248" t="str">
        <f t="shared" si="64"/>
        <v/>
      </c>
      <c r="B696" s="249" t="str">
        <f t="shared" si="65"/>
        <v/>
      </c>
      <c r="C696" s="250"/>
      <c r="D696" s="251"/>
      <c r="E696" s="241"/>
      <c r="F696" s="252"/>
      <c r="G696" s="252"/>
      <c r="H696" s="253"/>
      <c r="I696" s="250"/>
      <c r="J696" s="250"/>
      <c r="K696" s="270"/>
      <c r="L696" s="250"/>
      <c r="M696" s="250"/>
      <c r="N696" s="553" t="str">
        <f>CONCATENATE(IF(OR(M696=phu!$I$1,M696=phu!$I$2,M696=phu!$I$3),"Cam Thành Nam",""),IF(OR(M696=phu!$I$4,M696=phu!$I$5,M696=phu!$I$6,M696=phu!$I$7,M696=phu!$I$8,M696=phu!$I$9,M696=phu!$I$10,M696=phu!$I$11,M696=phu!$I$12,M696=phu!$I$13,M696=phu!$I$14),"Cam Nghĩa",""),IF(OR(M696=phu!$I$15,M696=phu!$I$16,M696=phu!$I$17,M696=phu!$I$18,M696=phu!$I$19,M696=phu!$I$20,M696=phu!$I$21),"Cam Phúc Bắc",""),IF(OR(M696=phu!$I$22,M696=phu!$I$23,M696=phu!$I$24,M696=phu!$I$25),"Cam Phúc Nam",""),IF(OR(M696=phu!$I$26,M696=phu!$I$27,M696=phu!$I$28,M696=phu!$I$29,M696=phu!$I$30,M696=phu!$I$31),"Cam Phú",""),IF(OR(M696=phu!$I$32,M696=phu!$I$33,M696=phu!$I$34,M696=phu!$I$35,M696=phu!$I$36,M696=phu!$I$37),"Cam Lộc",""),IF(OR(M696=phu!$I$38,M696=phu!$I$39,M696=phu!$I$40,M696=phu!$I$41,M696=phu!$I$42,M696=phu!$I$43,M696=phu!$I$44),"Cam Thuận",""),IF(OR(M696=phu!$I$45,M696=phu!$I$46,M696=phu!$I$47,M696=phu!$I$48,M696=phu!$I$49,M696=phu!$I$50,M696=phu!$I$51,M696=phu!$I$52,M696=phu!$I$53),"Cam Linh",""),IF(OR(M696=phu!$I$54,M696=phu!$I$55,M696=phu!$I$56,M696=phu!$I$57,M696=phu!$I$58,M696=phu!$I$59,M696=phu!$I$60,M696=phu!$I$61,M696=phu!$I$62),"Cam Lợi",""),IF(OR(M696=phu!$I$63,M696=phu!$I$64,M696=phu!$I$65,M696=phu!$I$66,M696=phu!$I$67,M696=phu!$I$68,M696=phu!$I$69,M696=phu!$I$70,M696=phu!$I$71),"Ba Ngòi",""),IF(OR(M696=phu!$I$72,M696=phu!$I$73,M696=phu!$I$74,M696=phu!$I$75,M696=phu!$I$76,M696=phu!$I$77,M696=phu!$I$78),"Cam Phước Đông",""),IF(OR(M696=phu!$I$79,M696=phu!$I$80,M696=phu!$I$81,M696=phu!$I$82,M696=phu!$I$83,M696=phu!$I$84),"Cam Thịnh Đông",""),IF(OR(M696=phu!$I$85,M696=phu!$I$86,M696=phu!$I$87,M696=phu!$I$88),"Cam Thịnh Tây",""),IF(OR(M696=phu!$I$89,M696=phu!$I$90),"Cam Lập",""),IF(OR(M696=phu!$I$91,M696=phu!$I$92,M696=phu!$I$93),"Cam Bình",""),IF(OR(M696=phu!$I$94,M696=phu!$I$95,M696=phu!$I$96,M696=phu!$I$97,M696=phu!$I$98,M696=phu!$I$99,M696=phu!$I$100),"Huyện khác",""),IF(OR(M696=phu!$I$101,M696=phu!$I$102),"Tỉnh khác",""))</f>
        <v/>
      </c>
      <c r="O696" s="814" t="str">
        <f t="shared" si="61"/>
        <v/>
      </c>
      <c r="P696" s="254"/>
      <c r="Q696" s="254"/>
      <c r="R696" s="254"/>
      <c r="S696" s="254"/>
      <c r="T696" s="254"/>
      <c r="U696" s="254"/>
      <c r="V696" s="254"/>
      <c r="W696" s="254"/>
      <c r="Y696" s="246" t="str">
        <f t="shared" si="62"/>
        <v/>
      </c>
      <c r="Z696" s="247" t="str">
        <f t="shared" si="60"/>
        <v/>
      </c>
      <c r="AA696" s="246" t="str">
        <f t="shared" si="63"/>
        <v/>
      </c>
    </row>
    <row r="697" spans="1:27" ht="18" customHeight="1" x14ac:dyDescent="0.25">
      <c r="A697" s="248" t="str">
        <f t="shared" si="64"/>
        <v/>
      </c>
      <c r="B697" s="249" t="str">
        <f t="shared" si="65"/>
        <v/>
      </c>
      <c r="C697" s="250"/>
      <c r="D697" s="251"/>
      <c r="E697" s="241"/>
      <c r="F697" s="252"/>
      <c r="G697" s="252"/>
      <c r="H697" s="253"/>
      <c r="I697" s="250"/>
      <c r="J697" s="250"/>
      <c r="K697" s="270"/>
      <c r="L697" s="250"/>
      <c r="M697" s="250"/>
      <c r="N697" s="553" t="str">
        <f>CONCATENATE(IF(OR(M697=phu!$I$1,M697=phu!$I$2,M697=phu!$I$3),"Cam Thành Nam",""),IF(OR(M697=phu!$I$4,M697=phu!$I$5,M697=phu!$I$6,M697=phu!$I$7,M697=phu!$I$8,M697=phu!$I$9,M697=phu!$I$10,M697=phu!$I$11,M697=phu!$I$12,M697=phu!$I$13,M697=phu!$I$14),"Cam Nghĩa",""),IF(OR(M697=phu!$I$15,M697=phu!$I$16,M697=phu!$I$17,M697=phu!$I$18,M697=phu!$I$19,M697=phu!$I$20,M697=phu!$I$21),"Cam Phúc Bắc",""),IF(OR(M697=phu!$I$22,M697=phu!$I$23,M697=phu!$I$24,M697=phu!$I$25),"Cam Phúc Nam",""),IF(OR(M697=phu!$I$26,M697=phu!$I$27,M697=phu!$I$28,M697=phu!$I$29,M697=phu!$I$30,M697=phu!$I$31),"Cam Phú",""),IF(OR(M697=phu!$I$32,M697=phu!$I$33,M697=phu!$I$34,M697=phu!$I$35,M697=phu!$I$36,M697=phu!$I$37),"Cam Lộc",""),IF(OR(M697=phu!$I$38,M697=phu!$I$39,M697=phu!$I$40,M697=phu!$I$41,M697=phu!$I$42,M697=phu!$I$43,M697=phu!$I$44),"Cam Thuận",""),IF(OR(M697=phu!$I$45,M697=phu!$I$46,M697=phu!$I$47,M697=phu!$I$48,M697=phu!$I$49,M697=phu!$I$50,M697=phu!$I$51,M697=phu!$I$52,M697=phu!$I$53),"Cam Linh",""),IF(OR(M697=phu!$I$54,M697=phu!$I$55,M697=phu!$I$56,M697=phu!$I$57,M697=phu!$I$58,M697=phu!$I$59,M697=phu!$I$60,M697=phu!$I$61,M697=phu!$I$62),"Cam Lợi",""),IF(OR(M697=phu!$I$63,M697=phu!$I$64,M697=phu!$I$65,M697=phu!$I$66,M697=phu!$I$67,M697=phu!$I$68,M697=phu!$I$69,M697=phu!$I$70,M697=phu!$I$71),"Ba Ngòi",""),IF(OR(M697=phu!$I$72,M697=phu!$I$73,M697=phu!$I$74,M697=phu!$I$75,M697=phu!$I$76,M697=phu!$I$77,M697=phu!$I$78),"Cam Phước Đông",""),IF(OR(M697=phu!$I$79,M697=phu!$I$80,M697=phu!$I$81,M697=phu!$I$82,M697=phu!$I$83,M697=phu!$I$84),"Cam Thịnh Đông",""),IF(OR(M697=phu!$I$85,M697=phu!$I$86,M697=phu!$I$87,M697=phu!$I$88),"Cam Thịnh Tây",""),IF(OR(M697=phu!$I$89,M697=phu!$I$90),"Cam Lập",""),IF(OR(M697=phu!$I$91,M697=phu!$I$92,M697=phu!$I$93),"Cam Bình",""),IF(OR(M697=phu!$I$94,M697=phu!$I$95,M697=phu!$I$96,M697=phu!$I$97,M697=phu!$I$98,M697=phu!$I$99,M697=phu!$I$100),"Huyện khác",""),IF(OR(M697=phu!$I$101,M697=phu!$I$102),"Tỉnh khác",""))</f>
        <v/>
      </c>
      <c r="O697" s="814" t="str">
        <f t="shared" si="61"/>
        <v/>
      </c>
      <c r="P697" s="254"/>
      <c r="Q697" s="254"/>
      <c r="R697" s="254"/>
      <c r="S697" s="254"/>
      <c r="T697" s="254"/>
      <c r="U697" s="254"/>
      <c r="V697" s="254"/>
      <c r="W697" s="254"/>
      <c r="Y697" s="246" t="str">
        <f t="shared" si="62"/>
        <v/>
      </c>
      <c r="Z697" s="247" t="str">
        <f t="shared" si="60"/>
        <v/>
      </c>
      <c r="AA697" s="246" t="str">
        <f t="shared" si="63"/>
        <v/>
      </c>
    </row>
    <row r="698" spans="1:27" ht="18" customHeight="1" x14ac:dyDescent="0.25">
      <c r="A698" s="248" t="str">
        <f t="shared" si="64"/>
        <v/>
      </c>
      <c r="B698" s="249" t="str">
        <f t="shared" si="65"/>
        <v/>
      </c>
      <c r="C698" s="250"/>
      <c r="D698" s="251"/>
      <c r="E698" s="241"/>
      <c r="F698" s="252"/>
      <c r="G698" s="252"/>
      <c r="H698" s="253"/>
      <c r="I698" s="250"/>
      <c r="J698" s="250"/>
      <c r="K698" s="270"/>
      <c r="L698" s="250"/>
      <c r="M698" s="250"/>
      <c r="N698" s="553" t="str">
        <f>CONCATENATE(IF(OR(M698=phu!$I$1,M698=phu!$I$2,M698=phu!$I$3),"Cam Thành Nam",""),IF(OR(M698=phu!$I$4,M698=phu!$I$5,M698=phu!$I$6,M698=phu!$I$7,M698=phu!$I$8,M698=phu!$I$9,M698=phu!$I$10,M698=phu!$I$11,M698=phu!$I$12,M698=phu!$I$13,M698=phu!$I$14),"Cam Nghĩa",""),IF(OR(M698=phu!$I$15,M698=phu!$I$16,M698=phu!$I$17,M698=phu!$I$18,M698=phu!$I$19,M698=phu!$I$20,M698=phu!$I$21),"Cam Phúc Bắc",""),IF(OR(M698=phu!$I$22,M698=phu!$I$23,M698=phu!$I$24,M698=phu!$I$25),"Cam Phúc Nam",""),IF(OR(M698=phu!$I$26,M698=phu!$I$27,M698=phu!$I$28,M698=phu!$I$29,M698=phu!$I$30,M698=phu!$I$31),"Cam Phú",""),IF(OR(M698=phu!$I$32,M698=phu!$I$33,M698=phu!$I$34,M698=phu!$I$35,M698=phu!$I$36,M698=phu!$I$37),"Cam Lộc",""),IF(OR(M698=phu!$I$38,M698=phu!$I$39,M698=phu!$I$40,M698=phu!$I$41,M698=phu!$I$42,M698=phu!$I$43,M698=phu!$I$44),"Cam Thuận",""),IF(OR(M698=phu!$I$45,M698=phu!$I$46,M698=phu!$I$47,M698=phu!$I$48,M698=phu!$I$49,M698=phu!$I$50,M698=phu!$I$51,M698=phu!$I$52,M698=phu!$I$53),"Cam Linh",""),IF(OR(M698=phu!$I$54,M698=phu!$I$55,M698=phu!$I$56,M698=phu!$I$57,M698=phu!$I$58,M698=phu!$I$59,M698=phu!$I$60,M698=phu!$I$61,M698=phu!$I$62),"Cam Lợi",""),IF(OR(M698=phu!$I$63,M698=phu!$I$64,M698=phu!$I$65,M698=phu!$I$66,M698=phu!$I$67,M698=phu!$I$68,M698=phu!$I$69,M698=phu!$I$70,M698=phu!$I$71),"Ba Ngòi",""),IF(OR(M698=phu!$I$72,M698=phu!$I$73,M698=phu!$I$74,M698=phu!$I$75,M698=phu!$I$76,M698=phu!$I$77,M698=phu!$I$78),"Cam Phước Đông",""),IF(OR(M698=phu!$I$79,M698=phu!$I$80,M698=phu!$I$81,M698=phu!$I$82,M698=phu!$I$83,M698=phu!$I$84),"Cam Thịnh Đông",""),IF(OR(M698=phu!$I$85,M698=phu!$I$86,M698=phu!$I$87,M698=phu!$I$88),"Cam Thịnh Tây",""),IF(OR(M698=phu!$I$89,M698=phu!$I$90),"Cam Lập",""),IF(OR(M698=phu!$I$91,M698=phu!$I$92,M698=phu!$I$93),"Cam Bình",""),IF(OR(M698=phu!$I$94,M698=phu!$I$95,M698=phu!$I$96,M698=phu!$I$97,M698=phu!$I$98,M698=phu!$I$99,M698=phu!$I$100),"Huyện khác",""),IF(OR(M698=phu!$I$101,M698=phu!$I$102),"Tỉnh khác",""))</f>
        <v/>
      </c>
      <c r="O698" s="814" t="str">
        <f t="shared" si="61"/>
        <v/>
      </c>
      <c r="P698" s="254"/>
      <c r="Q698" s="254"/>
      <c r="R698" s="254"/>
      <c r="S698" s="254"/>
      <c r="T698" s="254"/>
      <c r="U698" s="254"/>
      <c r="V698" s="254"/>
      <c r="W698" s="254"/>
      <c r="Y698" s="246" t="str">
        <f t="shared" si="62"/>
        <v/>
      </c>
      <c r="Z698" s="247" t="str">
        <f t="shared" si="60"/>
        <v/>
      </c>
      <c r="AA698" s="246" t="str">
        <f t="shared" si="63"/>
        <v/>
      </c>
    </row>
    <row r="699" spans="1:27" ht="18" customHeight="1" x14ac:dyDescent="0.25">
      <c r="A699" s="248" t="str">
        <f t="shared" si="64"/>
        <v/>
      </c>
      <c r="B699" s="249" t="str">
        <f t="shared" si="65"/>
        <v/>
      </c>
      <c r="C699" s="250"/>
      <c r="D699" s="251"/>
      <c r="E699" s="241"/>
      <c r="F699" s="252"/>
      <c r="G699" s="252"/>
      <c r="H699" s="253"/>
      <c r="I699" s="250"/>
      <c r="J699" s="250"/>
      <c r="K699" s="270"/>
      <c r="L699" s="250"/>
      <c r="M699" s="250"/>
      <c r="N699" s="553" t="str">
        <f>CONCATENATE(IF(OR(M699=phu!$I$1,M699=phu!$I$2,M699=phu!$I$3),"Cam Thành Nam",""),IF(OR(M699=phu!$I$4,M699=phu!$I$5,M699=phu!$I$6,M699=phu!$I$7,M699=phu!$I$8,M699=phu!$I$9,M699=phu!$I$10,M699=phu!$I$11,M699=phu!$I$12,M699=phu!$I$13,M699=phu!$I$14),"Cam Nghĩa",""),IF(OR(M699=phu!$I$15,M699=phu!$I$16,M699=phu!$I$17,M699=phu!$I$18,M699=phu!$I$19,M699=phu!$I$20,M699=phu!$I$21),"Cam Phúc Bắc",""),IF(OR(M699=phu!$I$22,M699=phu!$I$23,M699=phu!$I$24,M699=phu!$I$25),"Cam Phúc Nam",""),IF(OR(M699=phu!$I$26,M699=phu!$I$27,M699=phu!$I$28,M699=phu!$I$29,M699=phu!$I$30,M699=phu!$I$31),"Cam Phú",""),IF(OR(M699=phu!$I$32,M699=phu!$I$33,M699=phu!$I$34,M699=phu!$I$35,M699=phu!$I$36,M699=phu!$I$37),"Cam Lộc",""),IF(OR(M699=phu!$I$38,M699=phu!$I$39,M699=phu!$I$40,M699=phu!$I$41,M699=phu!$I$42,M699=phu!$I$43,M699=phu!$I$44),"Cam Thuận",""),IF(OR(M699=phu!$I$45,M699=phu!$I$46,M699=phu!$I$47,M699=phu!$I$48,M699=phu!$I$49,M699=phu!$I$50,M699=phu!$I$51,M699=phu!$I$52,M699=phu!$I$53),"Cam Linh",""),IF(OR(M699=phu!$I$54,M699=phu!$I$55,M699=phu!$I$56,M699=phu!$I$57,M699=phu!$I$58,M699=phu!$I$59,M699=phu!$I$60,M699=phu!$I$61,M699=phu!$I$62),"Cam Lợi",""),IF(OR(M699=phu!$I$63,M699=phu!$I$64,M699=phu!$I$65,M699=phu!$I$66,M699=phu!$I$67,M699=phu!$I$68,M699=phu!$I$69,M699=phu!$I$70,M699=phu!$I$71),"Ba Ngòi",""),IF(OR(M699=phu!$I$72,M699=phu!$I$73,M699=phu!$I$74,M699=phu!$I$75,M699=phu!$I$76,M699=phu!$I$77,M699=phu!$I$78),"Cam Phước Đông",""),IF(OR(M699=phu!$I$79,M699=phu!$I$80,M699=phu!$I$81,M699=phu!$I$82,M699=phu!$I$83,M699=phu!$I$84),"Cam Thịnh Đông",""),IF(OR(M699=phu!$I$85,M699=phu!$I$86,M699=phu!$I$87,M699=phu!$I$88),"Cam Thịnh Tây",""),IF(OR(M699=phu!$I$89,M699=phu!$I$90),"Cam Lập",""),IF(OR(M699=phu!$I$91,M699=phu!$I$92,M699=phu!$I$93),"Cam Bình",""),IF(OR(M699=phu!$I$94,M699=phu!$I$95,M699=phu!$I$96,M699=phu!$I$97,M699=phu!$I$98,M699=phu!$I$99,M699=phu!$I$100),"Huyện khác",""),IF(OR(M699=phu!$I$101,M699=phu!$I$102),"Tỉnh khác",""))</f>
        <v/>
      </c>
      <c r="O699" s="814" t="str">
        <f t="shared" si="61"/>
        <v/>
      </c>
      <c r="P699" s="254"/>
      <c r="Q699" s="254"/>
      <c r="R699" s="254"/>
      <c r="S699" s="254"/>
      <c r="T699" s="254"/>
      <c r="U699" s="254"/>
      <c r="V699" s="254"/>
      <c r="W699" s="254"/>
      <c r="Y699" s="246" t="str">
        <f t="shared" si="62"/>
        <v/>
      </c>
      <c r="Z699" s="247" t="str">
        <f t="shared" si="60"/>
        <v/>
      </c>
      <c r="AA699" s="246" t="str">
        <f t="shared" si="63"/>
        <v/>
      </c>
    </row>
    <row r="700" spans="1:27" ht="18" customHeight="1" x14ac:dyDescent="0.25">
      <c r="A700" s="248" t="str">
        <f t="shared" si="64"/>
        <v/>
      </c>
      <c r="B700" s="249" t="str">
        <f t="shared" si="65"/>
        <v/>
      </c>
      <c r="C700" s="250"/>
      <c r="D700" s="251"/>
      <c r="E700" s="241"/>
      <c r="F700" s="252"/>
      <c r="G700" s="252"/>
      <c r="H700" s="253"/>
      <c r="I700" s="250"/>
      <c r="J700" s="250"/>
      <c r="K700" s="270"/>
      <c r="L700" s="250"/>
      <c r="M700" s="250"/>
      <c r="N700" s="553" t="str">
        <f>CONCATENATE(IF(OR(M700=phu!$I$1,M700=phu!$I$2,M700=phu!$I$3),"Cam Thành Nam",""),IF(OR(M700=phu!$I$4,M700=phu!$I$5,M700=phu!$I$6,M700=phu!$I$7,M700=phu!$I$8,M700=phu!$I$9,M700=phu!$I$10,M700=phu!$I$11,M700=phu!$I$12,M700=phu!$I$13,M700=phu!$I$14),"Cam Nghĩa",""),IF(OR(M700=phu!$I$15,M700=phu!$I$16,M700=phu!$I$17,M700=phu!$I$18,M700=phu!$I$19,M700=phu!$I$20,M700=phu!$I$21),"Cam Phúc Bắc",""),IF(OR(M700=phu!$I$22,M700=phu!$I$23,M700=phu!$I$24,M700=phu!$I$25),"Cam Phúc Nam",""),IF(OR(M700=phu!$I$26,M700=phu!$I$27,M700=phu!$I$28,M700=phu!$I$29,M700=phu!$I$30,M700=phu!$I$31),"Cam Phú",""),IF(OR(M700=phu!$I$32,M700=phu!$I$33,M700=phu!$I$34,M700=phu!$I$35,M700=phu!$I$36,M700=phu!$I$37),"Cam Lộc",""),IF(OR(M700=phu!$I$38,M700=phu!$I$39,M700=phu!$I$40,M700=phu!$I$41,M700=phu!$I$42,M700=phu!$I$43,M700=phu!$I$44),"Cam Thuận",""),IF(OR(M700=phu!$I$45,M700=phu!$I$46,M700=phu!$I$47,M700=phu!$I$48,M700=phu!$I$49,M700=phu!$I$50,M700=phu!$I$51,M700=phu!$I$52,M700=phu!$I$53),"Cam Linh",""),IF(OR(M700=phu!$I$54,M700=phu!$I$55,M700=phu!$I$56,M700=phu!$I$57,M700=phu!$I$58,M700=phu!$I$59,M700=phu!$I$60,M700=phu!$I$61,M700=phu!$I$62),"Cam Lợi",""),IF(OR(M700=phu!$I$63,M700=phu!$I$64,M700=phu!$I$65,M700=phu!$I$66,M700=phu!$I$67,M700=phu!$I$68,M700=phu!$I$69,M700=phu!$I$70,M700=phu!$I$71),"Ba Ngòi",""),IF(OR(M700=phu!$I$72,M700=phu!$I$73,M700=phu!$I$74,M700=phu!$I$75,M700=phu!$I$76,M700=phu!$I$77,M700=phu!$I$78),"Cam Phước Đông",""),IF(OR(M700=phu!$I$79,M700=phu!$I$80,M700=phu!$I$81,M700=phu!$I$82,M700=phu!$I$83,M700=phu!$I$84),"Cam Thịnh Đông",""),IF(OR(M700=phu!$I$85,M700=phu!$I$86,M700=phu!$I$87,M700=phu!$I$88),"Cam Thịnh Tây",""),IF(OR(M700=phu!$I$89,M700=phu!$I$90),"Cam Lập",""),IF(OR(M700=phu!$I$91,M700=phu!$I$92,M700=phu!$I$93),"Cam Bình",""),IF(OR(M700=phu!$I$94,M700=phu!$I$95,M700=phu!$I$96,M700=phu!$I$97,M700=phu!$I$98,M700=phu!$I$99,M700=phu!$I$100),"Huyện khác",""),IF(OR(M700=phu!$I$101,M700=phu!$I$102),"Tỉnh khác",""))</f>
        <v/>
      </c>
      <c r="O700" s="814" t="str">
        <f t="shared" si="61"/>
        <v/>
      </c>
      <c r="P700" s="254"/>
      <c r="Q700" s="254"/>
      <c r="R700" s="254"/>
      <c r="S700" s="254"/>
      <c r="T700" s="254"/>
      <c r="U700" s="254"/>
      <c r="V700" s="254"/>
      <c r="W700" s="254"/>
      <c r="Y700" s="246" t="str">
        <f t="shared" si="62"/>
        <v/>
      </c>
      <c r="Z700" s="247" t="str">
        <f t="shared" si="60"/>
        <v/>
      </c>
      <c r="AA700" s="246" t="str">
        <f t="shared" si="63"/>
        <v/>
      </c>
    </row>
    <row r="701" spans="1:27" ht="18" customHeight="1" x14ac:dyDescent="0.25">
      <c r="A701" s="248" t="str">
        <f t="shared" si="64"/>
        <v/>
      </c>
      <c r="B701" s="249" t="str">
        <f t="shared" si="65"/>
        <v/>
      </c>
      <c r="C701" s="250"/>
      <c r="D701" s="251"/>
      <c r="E701" s="241"/>
      <c r="F701" s="252"/>
      <c r="G701" s="252"/>
      <c r="H701" s="253"/>
      <c r="I701" s="250"/>
      <c r="J701" s="250"/>
      <c r="K701" s="270"/>
      <c r="L701" s="250"/>
      <c r="M701" s="250"/>
      <c r="N701" s="553" t="str">
        <f>CONCATENATE(IF(OR(M701=phu!$I$1,M701=phu!$I$2,M701=phu!$I$3),"Cam Thành Nam",""),IF(OR(M701=phu!$I$4,M701=phu!$I$5,M701=phu!$I$6,M701=phu!$I$7,M701=phu!$I$8,M701=phu!$I$9,M701=phu!$I$10,M701=phu!$I$11,M701=phu!$I$12,M701=phu!$I$13,M701=phu!$I$14),"Cam Nghĩa",""),IF(OR(M701=phu!$I$15,M701=phu!$I$16,M701=phu!$I$17,M701=phu!$I$18,M701=phu!$I$19,M701=phu!$I$20,M701=phu!$I$21),"Cam Phúc Bắc",""),IF(OR(M701=phu!$I$22,M701=phu!$I$23,M701=phu!$I$24,M701=phu!$I$25),"Cam Phúc Nam",""),IF(OR(M701=phu!$I$26,M701=phu!$I$27,M701=phu!$I$28,M701=phu!$I$29,M701=phu!$I$30,M701=phu!$I$31),"Cam Phú",""),IF(OR(M701=phu!$I$32,M701=phu!$I$33,M701=phu!$I$34,M701=phu!$I$35,M701=phu!$I$36,M701=phu!$I$37),"Cam Lộc",""),IF(OR(M701=phu!$I$38,M701=phu!$I$39,M701=phu!$I$40,M701=phu!$I$41,M701=phu!$I$42,M701=phu!$I$43,M701=phu!$I$44),"Cam Thuận",""),IF(OR(M701=phu!$I$45,M701=phu!$I$46,M701=phu!$I$47,M701=phu!$I$48,M701=phu!$I$49,M701=phu!$I$50,M701=phu!$I$51,M701=phu!$I$52,M701=phu!$I$53),"Cam Linh",""),IF(OR(M701=phu!$I$54,M701=phu!$I$55,M701=phu!$I$56,M701=phu!$I$57,M701=phu!$I$58,M701=phu!$I$59,M701=phu!$I$60,M701=phu!$I$61,M701=phu!$I$62),"Cam Lợi",""),IF(OR(M701=phu!$I$63,M701=phu!$I$64,M701=phu!$I$65,M701=phu!$I$66,M701=phu!$I$67,M701=phu!$I$68,M701=phu!$I$69,M701=phu!$I$70,M701=phu!$I$71),"Ba Ngòi",""),IF(OR(M701=phu!$I$72,M701=phu!$I$73,M701=phu!$I$74,M701=phu!$I$75,M701=phu!$I$76,M701=phu!$I$77,M701=phu!$I$78),"Cam Phước Đông",""),IF(OR(M701=phu!$I$79,M701=phu!$I$80,M701=phu!$I$81,M701=phu!$I$82,M701=phu!$I$83,M701=phu!$I$84),"Cam Thịnh Đông",""),IF(OR(M701=phu!$I$85,M701=phu!$I$86,M701=phu!$I$87,M701=phu!$I$88),"Cam Thịnh Tây",""),IF(OR(M701=phu!$I$89,M701=phu!$I$90),"Cam Lập",""),IF(OR(M701=phu!$I$91,M701=phu!$I$92,M701=phu!$I$93),"Cam Bình",""),IF(OR(M701=phu!$I$94,M701=phu!$I$95,M701=phu!$I$96,M701=phu!$I$97,M701=phu!$I$98,M701=phu!$I$99,M701=phu!$I$100),"Huyện khác",""),IF(OR(M701=phu!$I$101,M701=phu!$I$102),"Tỉnh khác",""))</f>
        <v/>
      </c>
      <c r="O701" s="814" t="str">
        <f t="shared" si="61"/>
        <v/>
      </c>
      <c r="P701" s="254"/>
      <c r="Q701" s="254"/>
      <c r="R701" s="254"/>
      <c r="S701" s="254"/>
      <c r="T701" s="254"/>
      <c r="U701" s="254"/>
      <c r="V701" s="254"/>
      <c r="W701" s="254"/>
      <c r="Y701" s="246" t="str">
        <f t="shared" si="62"/>
        <v/>
      </c>
      <c r="Z701" s="247" t="str">
        <f t="shared" si="60"/>
        <v/>
      </c>
      <c r="AA701" s="246" t="str">
        <f t="shared" si="63"/>
        <v/>
      </c>
    </row>
    <row r="702" spans="1:27" ht="18" customHeight="1" x14ac:dyDescent="0.25">
      <c r="A702" s="248" t="str">
        <f t="shared" si="64"/>
        <v/>
      </c>
      <c r="B702" s="249" t="str">
        <f t="shared" si="65"/>
        <v/>
      </c>
      <c r="C702" s="250"/>
      <c r="D702" s="251"/>
      <c r="E702" s="241"/>
      <c r="F702" s="252"/>
      <c r="G702" s="252"/>
      <c r="H702" s="253"/>
      <c r="I702" s="250"/>
      <c r="J702" s="250"/>
      <c r="K702" s="270"/>
      <c r="L702" s="250"/>
      <c r="M702" s="250"/>
      <c r="N702" s="553" t="str">
        <f>CONCATENATE(IF(OR(M702=phu!$I$1,M702=phu!$I$2,M702=phu!$I$3),"Cam Thành Nam",""),IF(OR(M702=phu!$I$4,M702=phu!$I$5,M702=phu!$I$6,M702=phu!$I$7,M702=phu!$I$8,M702=phu!$I$9,M702=phu!$I$10,M702=phu!$I$11,M702=phu!$I$12,M702=phu!$I$13,M702=phu!$I$14),"Cam Nghĩa",""),IF(OR(M702=phu!$I$15,M702=phu!$I$16,M702=phu!$I$17,M702=phu!$I$18,M702=phu!$I$19,M702=phu!$I$20,M702=phu!$I$21),"Cam Phúc Bắc",""),IF(OR(M702=phu!$I$22,M702=phu!$I$23,M702=phu!$I$24,M702=phu!$I$25),"Cam Phúc Nam",""),IF(OR(M702=phu!$I$26,M702=phu!$I$27,M702=phu!$I$28,M702=phu!$I$29,M702=phu!$I$30,M702=phu!$I$31),"Cam Phú",""),IF(OR(M702=phu!$I$32,M702=phu!$I$33,M702=phu!$I$34,M702=phu!$I$35,M702=phu!$I$36,M702=phu!$I$37),"Cam Lộc",""),IF(OR(M702=phu!$I$38,M702=phu!$I$39,M702=phu!$I$40,M702=phu!$I$41,M702=phu!$I$42,M702=phu!$I$43,M702=phu!$I$44),"Cam Thuận",""),IF(OR(M702=phu!$I$45,M702=phu!$I$46,M702=phu!$I$47,M702=phu!$I$48,M702=phu!$I$49,M702=phu!$I$50,M702=phu!$I$51,M702=phu!$I$52,M702=phu!$I$53),"Cam Linh",""),IF(OR(M702=phu!$I$54,M702=phu!$I$55,M702=phu!$I$56,M702=phu!$I$57,M702=phu!$I$58,M702=phu!$I$59,M702=phu!$I$60,M702=phu!$I$61,M702=phu!$I$62),"Cam Lợi",""),IF(OR(M702=phu!$I$63,M702=phu!$I$64,M702=phu!$I$65,M702=phu!$I$66,M702=phu!$I$67,M702=phu!$I$68,M702=phu!$I$69,M702=phu!$I$70,M702=phu!$I$71),"Ba Ngòi",""),IF(OR(M702=phu!$I$72,M702=phu!$I$73,M702=phu!$I$74,M702=phu!$I$75,M702=phu!$I$76,M702=phu!$I$77,M702=phu!$I$78),"Cam Phước Đông",""),IF(OR(M702=phu!$I$79,M702=phu!$I$80,M702=phu!$I$81,M702=phu!$I$82,M702=phu!$I$83,M702=phu!$I$84),"Cam Thịnh Đông",""),IF(OR(M702=phu!$I$85,M702=phu!$I$86,M702=phu!$I$87,M702=phu!$I$88),"Cam Thịnh Tây",""),IF(OR(M702=phu!$I$89,M702=phu!$I$90),"Cam Lập",""),IF(OR(M702=phu!$I$91,M702=phu!$I$92,M702=phu!$I$93),"Cam Bình",""),IF(OR(M702=phu!$I$94,M702=phu!$I$95,M702=phu!$I$96,M702=phu!$I$97,M702=phu!$I$98,M702=phu!$I$99,M702=phu!$I$100),"Huyện khác",""),IF(OR(M702=phu!$I$101,M702=phu!$I$102),"Tỉnh khác",""))</f>
        <v/>
      </c>
      <c r="O702" s="814" t="str">
        <f t="shared" si="61"/>
        <v/>
      </c>
      <c r="P702" s="254"/>
      <c r="Q702" s="254"/>
      <c r="R702" s="254"/>
      <c r="S702" s="254"/>
      <c r="T702" s="254"/>
      <c r="U702" s="254"/>
      <c r="V702" s="254"/>
      <c r="W702" s="254"/>
      <c r="Y702" s="246" t="str">
        <f t="shared" si="62"/>
        <v/>
      </c>
      <c r="Z702" s="247" t="str">
        <f t="shared" si="60"/>
        <v/>
      </c>
      <c r="AA702" s="246" t="str">
        <f t="shared" si="63"/>
        <v/>
      </c>
    </row>
    <row r="703" spans="1:27" ht="18" customHeight="1" x14ac:dyDescent="0.25">
      <c r="A703" s="248" t="str">
        <f t="shared" si="64"/>
        <v/>
      </c>
      <c r="B703" s="249" t="str">
        <f t="shared" si="65"/>
        <v/>
      </c>
      <c r="C703" s="250"/>
      <c r="D703" s="251"/>
      <c r="E703" s="241"/>
      <c r="F703" s="252"/>
      <c r="G703" s="252"/>
      <c r="H703" s="253"/>
      <c r="I703" s="250"/>
      <c r="J703" s="250"/>
      <c r="K703" s="270"/>
      <c r="L703" s="250"/>
      <c r="M703" s="250"/>
      <c r="N703" s="553" t="str">
        <f>CONCATENATE(IF(OR(M703=phu!$I$1,M703=phu!$I$2,M703=phu!$I$3),"Cam Thành Nam",""),IF(OR(M703=phu!$I$4,M703=phu!$I$5,M703=phu!$I$6,M703=phu!$I$7,M703=phu!$I$8,M703=phu!$I$9,M703=phu!$I$10,M703=phu!$I$11,M703=phu!$I$12,M703=phu!$I$13,M703=phu!$I$14),"Cam Nghĩa",""),IF(OR(M703=phu!$I$15,M703=phu!$I$16,M703=phu!$I$17,M703=phu!$I$18,M703=phu!$I$19,M703=phu!$I$20,M703=phu!$I$21),"Cam Phúc Bắc",""),IF(OR(M703=phu!$I$22,M703=phu!$I$23,M703=phu!$I$24,M703=phu!$I$25),"Cam Phúc Nam",""),IF(OR(M703=phu!$I$26,M703=phu!$I$27,M703=phu!$I$28,M703=phu!$I$29,M703=phu!$I$30,M703=phu!$I$31),"Cam Phú",""),IF(OR(M703=phu!$I$32,M703=phu!$I$33,M703=phu!$I$34,M703=phu!$I$35,M703=phu!$I$36,M703=phu!$I$37),"Cam Lộc",""),IF(OR(M703=phu!$I$38,M703=phu!$I$39,M703=phu!$I$40,M703=phu!$I$41,M703=phu!$I$42,M703=phu!$I$43,M703=phu!$I$44),"Cam Thuận",""),IF(OR(M703=phu!$I$45,M703=phu!$I$46,M703=phu!$I$47,M703=phu!$I$48,M703=phu!$I$49,M703=phu!$I$50,M703=phu!$I$51,M703=phu!$I$52,M703=phu!$I$53),"Cam Linh",""),IF(OR(M703=phu!$I$54,M703=phu!$I$55,M703=phu!$I$56,M703=phu!$I$57,M703=phu!$I$58,M703=phu!$I$59,M703=phu!$I$60,M703=phu!$I$61,M703=phu!$I$62),"Cam Lợi",""),IF(OR(M703=phu!$I$63,M703=phu!$I$64,M703=phu!$I$65,M703=phu!$I$66,M703=phu!$I$67,M703=phu!$I$68,M703=phu!$I$69,M703=phu!$I$70,M703=phu!$I$71),"Ba Ngòi",""),IF(OR(M703=phu!$I$72,M703=phu!$I$73,M703=phu!$I$74,M703=phu!$I$75,M703=phu!$I$76,M703=phu!$I$77,M703=phu!$I$78),"Cam Phước Đông",""),IF(OR(M703=phu!$I$79,M703=phu!$I$80,M703=phu!$I$81,M703=phu!$I$82,M703=phu!$I$83,M703=phu!$I$84),"Cam Thịnh Đông",""),IF(OR(M703=phu!$I$85,M703=phu!$I$86,M703=phu!$I$87,M703=phu!$I$88),"Cam Thịnh Tây",""),IF(OR(M703=phu!$I$89,M703=phu!$I$90),"Cam Lập",""),IF(OR(M703=phu!$I$91,M703=phu!$I$92,M703=phu!$I$93),"Cam Bình",""),IF(OR(M703=phu!$I$94,M703=phu!$I$95,M703=phu!$I$96,M703=phu!$I$97,M703=phu!$I$98,M703=phu!$I$99,M703=phu!$I$100),"Huyện khác",""),IF(OR(M703=phu!$I$101,M703=phu!$I$102),"Tỉnh khác",""))</f>
        <v/>
      </c>
      <c r="O703" s="814" t="str">
        <f t="shared" si="61"/>
        <v/>
      </c>
      <c r="P703" s="254"/>
      <c r="Q703" s="254"/>
      <c r="R703" s="254"/>
      <c r="S703" s="254"/>
      <c r="T703" s="254"/>
      <c r="U703" s="254"/>
      <c r="V703" s="254"/>
      <c r="W703" s="254"/>
      <c r="Y703" s="246" t="str">
        <f t="shared" si="62"/>
        <v/>
      </c>
      <c r="Z703" s="247" t="str">
        <f t="shared" si="60"/>
        <v/>
      </c>
      <c r="AA703" s="246" t="str">
        <f t="shared" si="63"/>
        <v/>
      </c>
    </row>
    <row r="704" spans="1:27" ht="18" customHeight="1" x14ac:dyDescent="0.25">
      <c r="A704" s="248" t="str">
        <f t="shared" si="64"/>
        <v/>
      </c>
      <c r="B704" s="249" t="str">
        <f t="shared" si="65"/>
        <v/>
      </c>
      <c r="C704" s="250"/>
      <c r="D704" s="251"/>
      <c r="E704" s="241"/>
      <c r="F704" s="252"/>
      <c r="G704" s="252"/>
      <c r="H704" s="253"/>
      <c r="I704" s="250"/>
      <c r="J704" s="250"/>
      <c r="K704" s="270"/>
      <c r="L704" s="250"/>
      <c r="M704" s="250"/>
      <c r="N704" s="553" t="str">
        <f>CONCATENATE(IF(OR(M704=phu!$I$1,M704=phu!$I$2,M704=phu!$I$3),"Cam Thành Nam",""),IF(OR(M704=phu!$I$4,M704=phu!$I$5,M704=phu!$I$6,M704=phu!$I$7,M704=phu!$I$8,M704=phu!$I$9,M704=phu!$I$10,M704=phu!$I$11,M704=phu!$I$12,M704=phu!$I$13,M704=phu!$I$14),"Cam Nghĩa",""),IF(OR(M704=phu!$I$15,M704=phu!$I$16,M704=phu!$I$17,M704=phu!$I$18,M704=phu!$I$19,M704=phu!$I$20,M704=phu!$I$21),"Cam Phúc Bắc",""),IF(OR(M704=phu!$I$22,M704=phu!$I$23,M704=phu!$I$24,M704=phu!$I$25),"Cam Phúc Nam",""),IF(OR(M704=phu!$I$26,M704=phu!$I$27,M704=phu!$I$28,M704=phu!$I$29,M704=phu!$I$30,M704=phu!$I$31),"Cam Phú",""),IF(OR(M704=phu!$I$32,M704=phu!$I$33,M704=phu!$I$34,M704=phu!$I$35,M704=phu!$I$36,M704=phu!$I$37),"Cam Lộc",""),IF(OR(M704=phu!$I$38,M704=phu!$I$39,M704=phu!$I$40,M704=phu!$I$41,M704=phu!$I$42,M704=phu!$I$43,M704=phu!$I$44),"Cam Thuận",""),IF(OR(M704=phu!$I$45,M704=phu!$I$46,M704=phu!$I$47,M704=phu!$I$48,M704=phu!$I$49,M704=phu!$I$50,M704=phu!$I$51,M704=phu!$I$52,M704=phu!$I$53),"Cam Linh",""),IF(OR(M704=phu!$I$54,M704=phu!$I$55,M704=phu!$I$56,M704=phu!$I$57,M704=phu!$I$58,M704=phu!$I$59,M704=phu!$I$60,M704=phu!$I$61,M704=phu!$I$62),"Cam Lợi",""),IF(OR(M704=phu!$I$63,M704=phu!$I$64,M704=phu!$I$65,M704=phu!$I$66,M704=phu!$I$67,M704=phu!$I$68,M704=phu!$I$69,M704=phu!$I$70,M704=phu!$I$71),"Ba Ngòi",""),IF(OR(M704=phu!$I$72,M704=phu!$I$73,M704=phu!$I$74,M704=phu!$I$75,M704=phu!$I$76,M704=phu!$I$77,M704=phu!$I$78),"Cam Phước Đông",""),IF(OR(M704=phu!$I$79,M704=phu!$I$80,M704=phu!$I$81,M704=phu!$I$82,M704=phu!$I$83,M704=phu!$I$84),"Cam Thịnh Đông",""),IF(OR(M704=phu!$I$85,M704=phu!$I$86,M704=phu!$I$87,M704=phu!$I$88),"Cam Thịnh Tây",""),IF(OR(M704=phu!$I$89,M704=phu!$I$90),"Cam Lập",""),IF(OR(M704=phu!$I$91,M704=phu!$I$92,M704=phu!$I$93),"Cam Bình",""),IF(OR(M704=phu!$I$94,M704=phu!$I$95,M704=phu!$I$96,M704=phu!$I$97,M704=phu!$I$98,M704=phu!$I$99,M704=phu!$I$100),"Huyện khác",""),IF(OR(M704=phu!$I$101,M704=phu!$I$102),"Tỉnh khác",""))</f>
        <v/>
      </c>
      <c r="O704" s="814" t="str">
        <f t="shared" si="61"/>
        <v/>
      </c>
      <c r="P704" s="254"/>
      <c r="Q704" s="254"/>
      <c r="R704" s="254"/>
      <c r="S704" s="254"/>
      <c r="T704" s="254"/>
      <c r="U704" s="254"/>
      <c r="V704" s="254"/>
      <c r="W704" s="254"/>
      <c r="Y704" s="246" t="str">
        <f t="shared" si="62"/>
        <v/>
      </c>
      <c r="Z704" s="247" t="str">
        <f t="shared" si="60"/>
        <v/>
      </c>
      <c r="AA704" s="246" t="str">
        <f t="shared" si="63"/>
        <v/>
      </c>
    </row>
    <row r="705" spans="1:27" ht="18" customHeight="1" x14ac:dyDescent="0.25">
      <c r="A705" s="248" t="str">
        <f t="shared" si="64"/>
        <v/>
      </c>
      <c r="B705" s="249" t="str">
        <f t="shared" si="65"/>
        <v/>
      </c>
      <c r="C705" s="250"/>
      <c r="D705" s="251"/>
      <c r="E705" s="241"/>
      <c r="F705" s="252"/>
      <c r="G705" s="252"/>
      <c r="H705" s="253"/>
      <c r="I705" s="250"/>
      <c r="J705" s="250"/>
      <c r="K705" s="270"/>
      <c r="L705" s="250"/>
      <c r="M705" s="250"/>
      <c r="N705" s="553" t="str">
        <f>CONCATENATE(IF(OR(M705=phu!$I$1,M705=phu!$I$2,M705=phu!$I$3),"Cam Thành Nam",""),IF(OR(M705=phu!$I$4,M705=phu!$I$5,M705=phu!$I$6,M705=phu!$I$7,M705=phu!$I$8,M705=phu!$I$9,M705=phu!$I$10,M705=phu!$I$11,M705=phu!$I$12,M705=phu!$I$13,M705=phu!$I$14),"Cam Nghĩa",""),IF(OR(M705=phu!$I$15,M705=phu!$I$16,M705=phu!$I$17,M705=phu!$I$18,M705=phu!$I$19,M705=phu!$I$20,M705=phu!$I$21),"Cam Phúc Bắc",""),IF(OR(M705=phu!$I$22,M705=phu!$I$23,M705=phu!$I$24,M705=phu!$I$25),"Cam Phúc Nam",""),IF(OR(M705=phu!$I$26,M705=phu!$I$27,M705=phu!$I$28,M705=phu!$I$29,M705=phu!$I$30,M705=phu!$I$31),"Cam Phú",""),IF(OR(M705=phu!$I$32,M705=phu!$I$33,M705=phu!$I$34,M705=phu!$I$35,M705=phu!$I$36,M705=phu!$I$37),"Cam Lộc",""),IF(OR(M705=phu!$I$38,M705=phu!$I$39,M705=phu!$I$40,M705=phu!$I$41,M705=phu!$I$42,M705=phu!$I$43,M705=phu!$I$44),"Cam Thuận",""),IF(OR(M705=phu!$I$45,M705=phu!$I$46,M705=phu!$I$47,M705=phu!$I$48,M705=phu!$I$49,M705=phu!$I$50,M705=phu!$I$51,M705=phu!$I$52,M705=phu!$I$53),"Cam Linh",""),IF(OR(M705=phu!$I$54,M705=phu!$I$55,M705=phu!$I$56,M705=phu!$I$57,M705=phu!$I$58,M705=phu!$I$59,M705=phu!$I$60,M705=phu!$I$61,M705=phu!$I$62),"Cam Lợi",""),IF(OR(M705=phu!$I$63,M705=phu!$I$64,M705=phu!$I$65,M705=phu!$I$66,M705=phu!$I$67,M705=phu!$I$68,M705=phu!$I$69,M705=phu!$I$70,M705=phu!$I$71),"Ba Ngòi",""),IF(OR(M705=phu!$I$72,M705=phu!$I$73,M705=phu!$I$74,M705=phu!$I$75,M705=phu!$I$76,M705=phu!$I$77,M705=phu!$I$78),"Cam Phước Đông",""),IF(OR(M705=phu!$I$79,M705=phu!$I$80,M705=phu!$I$81,M705=phu!$I$82,M705=phu!$I$83,M705=phu!$I$84),"Cam Thịnh Đông",""),IF(OR(M705=phu!$I$85,M705=phu!$I$86,M705=phu!$I$87,M705=phu!$I$88),"Cam Thịnh Tây",""),IF(OR(M705=phu!$I$89,M705=phu!$I$90),"Cam Lập",""),IF(OR(M705=phu!$I$91,M705=phu!$I$92,M705=phu!$I$93),"Cam Bình",""),IF(OR(M705=phu!$I$94,M705=phu!$I$95,M705=phu!$I$96,M705=phu!$I$97,M705=phu!$I$98,M705=phu!$I$99,M705=phu!$I$100),"Huyện khác",""),IF(OR(M705=phu!$I$101,M705=phu!$I$102),"Tỉnh khác",""))</f>
        <v/>
      </c>
      <c r="O705" s="814" t="str">
        <f t="shared" si="61"/>
        <v/>
      </c>
      <c r="P705" s="254"/>
      <c r="Q705" s="254"/>
      <c r="R705" s="254"/>
      <c r="S705" s="254"/>
      <c r="T705" s="254"/>
      <c r="U705" s="254"/>
      <c r="V705" s="254"/>
      <c r="W705" s="254"/>
      <c r="Y705" s="246" t="str">
        <f t="shared" si="62"/>
        <v/>
      </c>
      <c r="Z705" s="247" t="str">
        <f t="shared" si="60"/>
        <v/>
      </c>
      <c r="AA705" s="246" t="str">
        <f t="shared" si="63"/>
        <v/>
      </c>
    </row>
    <row r="706" spans="1:27" ht="18" customHeight="1" x14ac:dyDescent="0.25">
      <c r="A706" s="248" t="str">
        <f t="shared" si="64"/>
        <v/>
      </c>
      <c r="B706" s="249" t="str">
        <f t="shared" si="65"/>
        <v/>
      </c>
      <c r="C706" s="250"/>
      <c r="D706" s="251"/>
      <c r="E706" s="241"/>
      <c r="F706" s="252"/>
      <c r="G706" s="252"/>
      <c r="H706" s="253"/>
      <c r="I706" s="250"/>
      <c r="J706" s="250"/>
      <c r="K706" s="270"/>
      <c r="L706" s="250"/>
      <c r="M706" s="250"/>
      <c r="N706" s="553" t="str">
        <f>CONCATENATE(IF(OR(M706=phu!$I$1,M706=phu!$I$2,M706=phu!$I$3),"Cam Thành Nam",""),IF(OR(M706=phu!$I$4,M706=phu!$I$5,M706=phu!$I$6,M706=phu!$I$7,M706=phu!$I$8,M706=phu!$I$9,M706=phu!$I$10,M706=phu!$I$11,M706=phu!$I$12,M706=phu!$I$13,M706=phu!$I$14),"Cam Nghĩa",""),IF(OR(M706=phu!$I$15,M706=phu!$I$16,M706=phu!$I$17,M706=phu!$I$18,M706=phu!$I$19,M706=phu!$I$20,M706=phu!$I$21),"Cam Phúc Bắc",""),IF(OR(M706=phu!$I$22,M706=phu!$I$23,M706=phu!$I$24,M706=phu!$I$25),"Cam Phúc Nam",""),IF(OR(M706=phu!$I$26,M706=phu!$I$27,M706=phu!$I$28,M706=phu!$I$29,M706=phu!$I$30,M706=phu!$I$31),"Cam Phú",""),IF(OR(M706=phu!$I$32,M706=phu!$I$33,M706=phu!$I$34,M706=phu!$I$35,M706=phu!$I$36,M706=phu!$I$37),"Cam Lộc",""),IF(OR(M706=phu!$I$38,M706=phu!$I$39,M706=phu!$I$40,M706=phu!$I$41,M706=phu!$I$42,M706=phu!$I$43,M706=phu!$I$44),"Cam Thuận",""),IF(OR(M706=phu!$I$45,M706=phu!$I$46,M706=phu!$I$47,M706=phu!$I$48,M706=phu!$I$49,M706=phu!$I$50,M706=phu!$I$51,M706=phu!$I$52,M706=phu!$I$53),"Cam Linh",""),IF(OR(M706=phu!$I$54,M706=phu!$I$55,M706=phu!$I$56,M706=phu!$I$57,M706=phu!$I$58,M706=phu!$I$59,M706=phu!$I$60,M706=phu!$I$61,M706=phu!$I$62),"Cam Lợi",""),IF(OR(M706=phu!$I$63,M706=phu!$I$64,M706=phu!$I$65,M706=phu!$I$66,M706=phu!$I$67,M706=phu!$I$68,M706=phu!$I$69,M706=phu!$I$70,M706=phu!$I$71),"Ba Ngòi",""),IF(OR(M706=phu!$I$72,M706=phu!$I$73,M706=phu!$I$74,M706=phu!$I$75,M706=phu!$I$76,M706=phu!$I$77,M706=phu!$I$78),"Cam Phước Đông",""),IF(OR(M706=phu!$I$79,M706=phu!$I$80,M706=phu!$I$81,M706=phu!$I$82,M706=phu!$I$83,M706=phu!$I$84),"Cam Thịnh Đông",""),IF(OR(M706=phu!$I$85,M706=phu!$I$86,M706=phu!$I$87,M706=phu!$I$88),"Cam Thịnh Tây",""),IF(OR(M706=phu!$I$89,M706=phu!$I$90),"Cam Lập",""),IF(OR(M706=phu!$I$91,M706=phu!$I$92,M706=phu!$I$93),"Cam Bình",""),IF(OR(M706=phu!$I$94,M706=phu!$I$95,M706=phu!$I$96,M706=phu!$I$97,M706=phu!$I$98,M706=phu!$I$99,M706=phu!$I$100),"Huyện khác",""),IF(OR(M706=phu!$I$101,M706=phu!$I$102),"Tỉnh khác",""))</f>
        <v/>
      </c>
      <c r="O706" s="814" t="str">
        <f t="shared" si="61"/>
        <v/>
      </c>
      <c r="P706" s="254"/>
      <c r="Q706" s="254"/>
      <c r="R706" s="254"/>
      <c r="S706" s="254"/>
      <c r="T706" s="254"/>
      <c r="U706" s="254"/>
      <c r="V706" s="254"/>
      <c r="W706" s="254"/>
      <c r="Y706" s="246" t="str">
        <f t="shared" si="62"/>
        <v/>
      </c>
      <c r="Z706" s="247" t="str">
        <f t="shared" si="60"/>
        <v/>
      </c>
      <c r="AA706" s="246" t="str">
        <f t="shared" si="63"/>
        <v/>
      </c>
    </row>
    <row r="707" spans="1:27" ht="18" customHeight="1" x14ac:dyDescent="0.25">
      <c r="A707" s="248" t="str">
        <f t="shared" si="64"/>
        <v/>
      </c>
      <c r="B707" s="249" t="str">
        <f t="shared" si="65"/>
        <v/>
      </c>
      <c r="C707" s="250"/>
      <c r="D707" s="251"/>
      <c r="E707" s="241"/>
      <c r="F707" s="252"/>
      <c r="G707" s="252"/>
      <c r="H707" s="253"/>
      <c r="I707" s="250"/>
      <c r="J707" s="250"/>
      <c r="K707" s="270"/>
      <c r="L707" s="250"/>
      <c r="M707" s="250"/>
      <c r="N707" s="553" t="str">
        <f>CONCATENATE(IF(OR(M707=phu!$I$1,M707=phu!$I$2,M707=phu!$I$3),"Cam Thành Nam",""),IF(OR(M707=phu!$I$4,M707=phu!$I$5,M707=phu!$I$6,M707=phu!$I$7,M707=phu!$I$8,M707=phu!$I$9,M707=phu!$I$10,M707=phu!$I$11,M707=phu!$I$12,M707=phu!$I$13,M707=phu!$I$14),"Cam Nghĩa",""),IF(OR(M707=phu!$I$15,M707=phu!$I$16,M707=phu!$I$17,M707=phu!$I$18,M707=phu!$I$19,M707=phu!$I$20,M707=phu!$I$21),"Cam Phúc Bắc",""),IF(OR(M707=phu!$I$22,M707=phu!$I$23,M707=phu!$I$24,M707=phu!$I$25),"Cam Phúc Nam",""),IF(OR(M707=phu!$I$26,M707=phu!$I$27,M707=phu!$I$28,M707=phu!$I$29,M707=phu!$I$30,M707=phu!$I$31),"Cam Phú",""),IF(OR(M707=phu!$I$32,M707=phu!$I$33,M707=phu!$I$34,M707=phu!$I$35,M707=phu!$I$36,M707=phu!$I$37),"Cam Lộc",""),IF(OR(M707=phu!$I$38,M707=phu!$I$39,M707=phu!$I$40,M707=phu!$I$41,M707=phu!$I$42,M707=phu!$I$43,M707=phu!$I$44),"Cam Thuận",""),IF(OR(M707=phu!$I$45,M707=phu!$I$46,M707=phu!$I$47,M707=phu!$I$48,M707=phu!$I$49,M707=phu!$I$50,M707=phu!$I$51,M707=phu!$I$52,M707=phu!$I$53),"Cam Linh",""),IF(OR(M707=phu!$I$54,M707=phu!$I$55,M707=phu!$I$56,M707=phu!$I$57,M707=phu!$I$58,M707=phu!$I$59,M707=phu!$I$60,M707=phu!$I$61,M707=phu!$I$62),"Cam Lợi",""),IF(OR(M707=phu!$I$63,M707=phu!$I$64,M707=phu!$I$65,M707=phu!$I$66,M707=phu!$I$67,M707=phu!$I$68,M707=phu!$I$69,M707=phu!$I$70,M707=phu!$I$71),"Ba Ngòi",""),IF(OR(M707=phu!$I$72,M707=phu!$I$73,M707=phu!$I$74,M707=phu!$I$75,M707=phu!$I$76,M707=phu!$I$77,M707=phu!$I$78),"Cam Phước Đông",""),IF(OR(M707=phu!$I$79,M707=phu!$I$80,M707=phu!$I$81,M707=phu!$I$82,M707=phu!$I$83,M707=phu!$I$84),"Cam Thịnh Đông",""),IF(OR(M707=phu!$I$85,M707=phu!$I$86,M707=phu!$I$87,M707=phu!$I$88),"Cam Thịnh Tây",""),IF(OR(M707=phu!$I$89,M707=phu!$I$90),"Cam Lập",""),IF(OR(M707=phu!$I$91,M707=phu!$I$92,M707=phu!$I$93),"Cam Bình",""),IF(OR(M707=phu!$I$94,M707=phu!$I$95,M707=phu!$I$96,M707=phu!$I$97,M707=phu!$I$98,M707=phu!$I$99,M707=phu!$I$100),"Huyện khác",""),IF(OR(M707=phu!$I$101,M707=phu!$I$102),"Tỉnh khác",""))</f>
        <v/>
      </c>
      <c r="O707" s="814" t="str">
        <f t="shared" si="61"/>
        <v/>
      </c>
      <c r="P707" s="254"/>
      <c r="Q707" s="254"/>
      <c r="R707" s="254"/>
      <c r="S707" s="254"/>
      <c r="T707" s="254"/>
      <c r="U707" s="254"/>
      <c r="V707" s="254"/>
      <c r="W707" s="254"/>
      <c r="Y707" s="246" t="str">
        <f t="shared" si="62"/>
        <v/>
      </c>
      <c r="Z707" s="247" t="str">
        <f t="shared" si="60"/>
        <v/>
      </c>
      <c r="AA707" s="246" t="str">
        <f t="shared" si="63"/>
        <v/>
      </c>
    </row>
    <row r="708" spans="1:27" ht="18" customHeight="1" x14ac:dyDescent="0.25">
      <c r="A708" s="248" t="str">
        <f t="shared" si="64"/>
        <v/>
      </c>
      <c r="B708" s="249" t="str">
        <f t="shared" si="65"/>
        <v/>
      </c>
      <c r="C708" s="250"/>
      <c r="D708" s="251"/>
      <c r="E708" s="241"/>
      <c r="F708" s="252"/>
      <c r="G708" s="252"/>
      <c r="H708" s="253"/>
      <c r="I708" s="250"/>
      <c r="J708" s="250"/>
      <c r="K708" s="270"/>
      <c r="L708" s="250"/>
      <c r="M708" s="250"/>
      <c r="N708" s="553" t="str">
        <f>CONCATENATE(IF(OR(M708=phu!$I$1,M708=phu!$I$2,M708=phu!$I$3),"Cam Thành Nam",""),IF(OR(M708=phu!$I$4,M708=phu!$I$5,M708=phu!$I$6,M708=phu!$I$7,M708=phu!$I$8,M708=phu!$I$9,M708=phu!$I$10,M708=phu!$I$11,M708=phu!$I$12,M708=phu!$I$13,M708=phu!$I$14),"Cam Nghĩa",""),IF(OR(M708=phu!$I$15,M708=phu!$I$16,M708=phu!$I$17,M708=phu!$I$18,M708=phu!$I$19,M708=phu!$I$20,M708=phu!$I$21),"Cam Phúc Bắc",""),IF(OR(M708=phu!$I$22,M708=phu!$I$23,M708=phu!$I$24,M708=phu!$I$25),"Cam Phúc Nam",""),IF(OR(M708=phu!$I$26,M708=phu!$I$27,M708=phu!$I$28,M708=phu!$I$29,M708=phu!$I$30,M708=phu!$I$31),"Cam Phú",""),IF(OR(M708=phu!$I$32,M708=phu!$I$33,M708=phu!$I$34,M708=phu!$I$35,M708=phu!$I$36,M708=phu!$I$37),"Cam Lộc",""),IF(OR(M708=phu!$I$38,M708=phu!$I$39,M708=phu!$I$40,M708=phu!$I$41,M708=phu!$I$42,M708=phu!$I$43,M708=phu!$I$44),"Cam Thuận",""),IF(OR(M708=phu!$I$45,M708=phu!$I$46,M708=phu!$I$47,M708=phu!$I$48,M708=phu!$I$49,M708=phu!$I$50,M708=phu!$I$51,M708=phu!$I$52,M708=phu!$I$53),"Cam Linh",""),IF(OR(M708=phu!$I$54,M708=phu!$I$55,M708=phu!$I$56,M708=phu!$I$57,M708=phu!$I$58,M708=phu!$I$59,M708=phu!$I$60,M708=phu!$I$61,M708=phu!$I$62),"Cam Lợi",""),IF(OR(M708=phu!$I$63,M708=phu!$I$64,M708=phu!$I$65,M708=phu!$I$66,M708=phu!$I$67,M708=phu!$I$68,M708=phu!$I$69,M708=phu!$I$70,M708=phu!$I$71),"Ba Ngòi",""),IF(OR(M708=phu!$I$72,M708=phu!$I$73,M708=phu!$I$74,M708=phu!$I$75,M708=phu!$I$76,M708=phu!$I$77,M708=phu!$I$78),"Cam Phước Đông",""),IF(OR(M708=phu!$I$79,M708=phu!$I$80,M708=phu!$I$81,M708=phu!$I$82,M708=phu!$I$83,M708=phu!$I$84),"Cam Thịnh Đông",""),IF(OR(M708=phu!$I$85,M708=phu!$I$86,M708=phu!$I$87,M708=phu!$I$88),"Cam Thịnh Tây",""),IF(OR(M708=phu!$I$89,M708=phu!$I$90),"Cam Lập",""),IF(OR(M708=phu!$I$91,M708=phu!$I$92,M708=phu!$I$93),"Cam Bình",""),IF(OR(M708=phu!$I$94,M708=phu!$I$95,M708=phu!$I$96,M708=phu!$I$97,M708=phu!$I$98,M708=phu!$I$99,M708=phu!$I$100),"Huyện khác",""),IF(OR(M708=phu!$I$101,M708=phu!$I$102),"Tỉnh khác",""))</f>
        <v/>
      </c>
      <c r="O708" s="814" t="str">
        <f t="shared" si="61"/>
        <v/>
      </c>
      <c r="P708" s="254"/>
      <c r="Q708" s="254"/>
      <c r="R708" s="254"/>
      <c r="S708" s="254"/>
      <c r="T708" s="254"/>
      <c r="U708" s="254"/>
      <c r="V708" s="254"/>
      <c r="W708" s="254"/>
      <c r="Y708" s="246" t="str">
        <f t="shared" si="62"/>
        <v/>
      </c>
      <c r="Z708" s="247" t="str">
        <f t="shared" si="60"/>
        <v/>
      </c>
      <c r="AA708" s="246" t="str">
        <f t="shared" si="63"/>
        <v/>
      </c>
    </row>
    <row r="709" spans="1:27" ht="18" customHeight="1" x14ac:dyDescent="0.25">
      <c r="A709" s="248" t="str">
        <f t="shared" si="64"/>
        <v/>
      </c>
      <c r="B709" s="249" t="str">
        <f t="shared" si="65"/>
        <v/>
      </c>
      <c r="C709" s="250"/>
      <c r="D709" s="251"/>
      <c r="E709" s="241"/>
      <c r="F709" s="252"/>
      <c r="G709" s="252"/>
      <c r="H709" s="253"/>
      <c r="I709" s="250"/>
      <c r="J709" s="250"/>
      <c r="K709" s="270"/>
      <c r="L709" s="250"/>
      <c r="M709" s="250"/>
      <c r="N709" s="553" t="str">
        <f>CONCATENATE(IF(OR(M709=phu!$I$1,M709=phu!$I$2,M709=phu!$I$3),"Cam Thành Nam",""),IF(OR(M709=phu!$I$4,M709=phu!$I$5,M709=phu!$I$6,M709=phu!$I$7,M709=phu!$I$8,M709=phu!$I$9,M709=phu!$I$10,M709=phu!$I$11,M709=phu!$I$12,M709=phu!$I$13,M709=phu!$I$14),"Cam Nghĩa",""),IF(OR(M709=phu!$I$15,M709=phu!$I$16,M709=phu!$I$17,M709=phu!$I$18,M709=phu!$I$19,M709=phu!$I$20,M709=phu!$I$21),"Cam Phúc Bắc",""),IF(OR(M709=phu!$I$22,M709=phu!$I$23,M709=phu!$I$24,M709=phu!$I$25),"Cam Phúc Nam",""),IF(OR(M709=phu!$I$26,M709=phu!$I$27,M709=phu!$I$28,M709=phu!$I$29,M709=phu!$I$30,M709=phu!$I$31),"Cam Phú",""),IF(OR(M709=phu!$I$32,M709=phu!$I$33,M709=phu!$I$34,M709=phu!$I$35,M709=phu!$I$36,M709=phu!$I$37),"Cam Lộc",""),IF(OR(M709=phu!$I$38,M709=phu!$I$39,M709=phu!$I$40,M709=phu!$I$41,M709=phu!$I$42,M709=phu!$I$43,M709=phu!$I$44),"Cam Thuận",""),IF(OR(M709=phu!$I$45,M709=phu!$I$46,M709=phu!$I$47,M709=phu!$I$48,M709=phu!$I$49,M709=phu!$I$50,M709=phu!$I$51,M709=phu!$I$52,M709=phu!$I$53),"Cam Linh",""),IF(OR(M709=phu!$I$54,M709=phu!$I$55,M709=phu!$I$56,M709=phu!$I$57,M709=phu!$I$58,M709=phu!$I$59,M709=phu!$I$60,M709=phu!$I$61,M709=phu!$I$62),"Cam Lợi",""),IF(OR(M709=phu!$I$63,M709=phu!$I$64,M709=phu!$I$65,M709=phu!$I$66,M709=phu!$I$67,M709=phu!$I$68,M709=phu!$I$69,M709=phu!$I$70,M709=phu!$I$71),"Ba Ngòi",""),IF(OR(M709=phu!$I$72,M709=phu!$I$73,M709=phu!$I$74,M709=phu!$I$75,M709=phu!$I$76,M709=phu!$I$77,M709=phu!$I$78),"Cam Phước Đông",""),IF(OR(M709=phu!$I$79,M709=phu!$I$80,M709=phu!$I$81,M709=phu!$I$82,M709=phu!$I$83,M709=phu!$I$84),"Cam Thịnh Đông",""),IF(OR(M709=phu!$I$85,M709=phu!$I$86,M709=phu!$I$87,M709=phu!$I$88),"Cam Thịnh Tây",""),IF(OR(M709=phu!$I$89,M709=phu!$I$90),"Cam Lập",""),IF(OR(M709=phu!$I$91,M709=phu!$I$92,M709=phu!$I$93),"Cam Bình",""),IF(OR(M709=phu!$I$94,M709=phu!$I$95,M709=phu!$I$96,M709=phu!$I$97,M709=phu!$I$98,M709=phu!$I$99,M709=phu!$I$100),"Huyện khác",""),IF(OR(M709=phu!$I$101,M709=phu!$I$102),"Tỉnh khác",""))</f>
        <v/>
      </c>
      <c r="O709" s="814" t="str">
        <f t="shared" si="61"/>
        <v/>
      </c>
      <c r="P709" s="254"/>
      <c r="Q709" s="254"/>
      <c r="R709" s="254"/>
      <c r="S709" s="254"/>
      <c r="T709" s="254"/>
      <c r="U709" s="254"/>
      <c r="V709" s="254"/>
      <c r="W709" s="254"/>
      <c r="Y709" s="246" t="str">
        <f t="shared" si="62"/>
        <v/>
      </c>
      <c r="Z709" s="247" t="str">
        <f t="shared" si="60"/>
        <v/>
      </c>
      <c r="AA709" s="246" t="str">
        <f t="shared" si="63"/>
        <v/>
      </c>
    </row>
    <row r="710" spans="1:27" ht="18" customHeight="1" x14ac:dyDescent="0.25">
      <c r="A710" s="248" t="str">
        <f t="shared" si="64"/>
        <v/>
      </c>
      <c r="B710" s="249" t="str">
        <f t="shared" si="65"/>
        <v/>
      </c>
      <c r="C710" s="250"/>
      <c r="D710" s="251"/>
      <c r="E710" s="241"/>
      <c r="F710" s="252"/>
      <c r="G710" s="252"/>
      <c r="H710" s="253"/>
      <c r="I710" s="250"/>
      <c r="J710" s="250"/>
      <c r="K710" s="270"/>
      <c r="L710" s="250"/>
      <c r="M710" s="250"/>
      <c r="N710" s="553" t="str">
        <f>CONCATENATE(IF(OR(M710=phu!$I$1,M710=phu!$I$2,M710=phu!$I$3),"Cam Thành Nam",""),IF(OR(M710=phu!$I$4,M710=phu!$I$5,M710=phu!$I$6,M710=phu!$I$7,M710=phu!$I$8,M710=phu!$I$9,M710=phu!$I$10,M710=phu!$I$11,M710=phu!$I$12,M710=phu!$I$13,M710=phu!$I$14),"Cam Nghĩa",""),IF(OR(M710=phu!$I$15,M710=phu!$I$16,M710=phu!$I$17,M710=phu!$I$18,M710=phu!$I$19,M710=phu!$I$20,M710=phu!$I$21),"Cam Phúc Bắc",""),IF(OR(M710=phu!$I$22,M710=phu!$I$23,M710=phu!$I$24,M710=phu!$I$25),"Cam Phúc Nam",""),IF(OR(M710=phu!$I$26,M710=phu!$I$27,M710=phu!$I$28,M710=phu!$I$29,M710=phu!$I$30,M710=phu!$I$31),"Cam Phú",""),IF(OR(M710=phu!$I$32,M710=phu!$I$33,M710=phu!$I$34,M710=phu!$I$35,M710=phu!$I$36,M710=phu!$I$37),"Cam Lộc",""),IF(OR(M710=phu!$I$38,M710=phu!$I$39,M710=phu!$I$40,M710=phu!$I$41,M710=phu!$I$42,M710=phu!$I$43,M710=phu!$I$44),"Cam Thuận",""),IF(OR(M710=phu!$I$45,M710=phu!$I$46,M710=phu!$I$47,M710=phu!$I$48,M710=phu!$I$49,M710=phu!$I$50,M710=phu!$I$51,M710=phu!$I$52,M710=phu!$I$53),"Cam Linh",""),IF(OR(M710=phu!$I$54,M710=phu!$I$55,M710=phu!$I$56,M710=phu!$I$57,M710=phu!$I$58,M710=phu!$I$59,M710=phu!$I$60,M710=phu!$I$61,M710=phu!$I$62),"Cam Lợi",""),IF(OR(M710=phu!$I$63,M710=phu!$I$64,M710=phu!$I$65,M710=phu!$I$66,M710=phu!$I$67,M710=phu!$I$68,M710=phu!$I$69,M710=phu!$I$70,M710=phu!$I$71),"Ba Ngòi",""),IF(OR(M710=phu!$I$72,M710=phu!$I$73,M710=phu!$I$74,M710=phu!$I$75,M710=phu!$I$76,M710=phu!$I$77,M710=phu!$I$78),"Cam Phước Đông",""),IF(OR(M710=phu!$I$79,M710=phu!$I$80,M710=phu!$I$81,M710=phu!$I$82,M710=phu!$I$83,M710=phu!$I$84),"Cam Thịnh Đông",""),IF(OR(M710=phu!$I$85,M710=phu!$I$86,M710=phu!$I$87,M710=phu!$I$88),"Cam Thịnh Tây",""),IF(OR(M710=phu!$I$89,M710=phu!$I$90),"Cam Lập",""),IF(OR(M710=phu!$I$91,M710=phu!$I$92,M710=phu!$I$93),"Cam Bình",""),IF(OR(M710=phu!$I$94,M710=phu!$I$95,M710=phu!$I$96,M710=phu!$I$97,M710=phu!$I$98,M710=phu!$I$99,M710=phu!$I$100),"Huyện khác",""),IF(OR(M710=phu!$I$101,M710=phu!$I$102),"Tỉnh khác",""))</f>
        <v/>
      </c>
      <c r="O710" s="814" t="str">
        <f t="shared" si="61"/>
        <v/>
      </c>
      <c r="P710" s="254"/>
      <c r="Q710" s="254"/>
      <c r="R710" s="254"/>
      <c r="S710" s="254"/>
      <c r="T710" s="254"/>
      <c r="U710" s="254"/>
      <c r="V710" s="254"/>
      <c r="W710" s="254"/>
      <c r="Y710" s="246" t="str">
        <f t="shared" si="62"/>
        <v/>
      </c>
      <c r="Z710" s="247" t="str">
        <f t="shared" ref="Z710:Z773" si="66">IF(H710="","",$Z$1-H710)</f>
        <v/>
      </c>
      <c r="AA710" s="246" t="str">
        <f t="shared" si="63"/>
        <v/>
      </c>
    </row>
    <row r="711" spans="1:27" ht="18" customHeight="1" x14ac:dyDescent="0.25">
      <c r="A711" s="248" t="str">
        <f t="shared" si="64"/>
        <v/>
      </c>
      <c r="B711" s="249" t="str">
        <f t="shared" si="65"/>
        <v/>
      </c>
      <c r="C711" s="250"/>
      <c r="D711" s="251"/>
      <c r="E711" s="241"/>
      <c r="F711" s="252"/>
      <c r="G711" s="252"/>
      <c r="H711" s="253"/>
      <c r="I711" s="250"/>
      <c r="J711" s="250"/>
      <c r="K711" s="270"/>
      <c r="L711" s="250"/>
      <c r="M711" s="250"/>
      <c r="N711" s="553" t="str">
        <f>CONCATENATE(IF(OR(M711=phu!$I$1,M711=phu!$I$2,M711=phu!$I$3),"Cam Thành Nam",""),IF(OR(M711=phu!$I$4,M711=phu!$I$5,M711=phu!$I$6,M711=phu!$I$7,M711=phu!$I$8,M711=phu!$I$9,M711=phu!$I$10,M711=phu!$I$11,M711=phu!$I$12,M711=phu!$I$13,M711=phu!$I$14),"Cam Nghĩa",""),IF(OR(M711=phu!$I$15,M711=phu!$I$16,M711=phu!$I$17,M711=phu!$I$18,M711=phu!$I$19,M711=phu!$I$20,M711=phu!$I$21),"Cam Phúc Bắc",""),IF(OR(M711=phu!$I$22,M711=phu!$I$23,M711=phu!$I$24,M711=phu!$I$25),"Cam Phúc Nam",""),IF(OR(M711=phu!$I$26,M711=phu!$I$27,M711=phu!$I$28,M711=phu!$I$29,M711=phu!$I$30,M711=phu!$I$31),"Cam Phú",""),IF(OR(M711=phu!$I$32,M711=phu!$I$33,M711=phu!$I$34,M711=phu!$I$35,M711=phu!$I$36,M711=phu!$I$37),"Cam Lộc",""),IF(OR(M711=phu!$I$38,M711=phu!$I$39,M711=phu!$I$40,M711=phu!$I$41,M711=phu!$I$42,M711=phu!$I$43,M711=phu!$I$44),"Cam Thuận",""),IF(OR(M711=phu!$I$45,M711=phu!$I$46,M711=phu!$I$47,M711=phu!$I$48,M711=phu!$I$49,M711=phu!$I$50,M711=phu!$I$51,M711=phu!$I$52,M711=phu!$I$53),"Cam Linh",""),IF(OR(M711=phu!$I$54,M711=phu!$I$55,M711=phu!$I$56,M711=phu!$I$57,M711=phu!$I$58,M711=phu!$I$59,M711=phu!$I$60,M711=phu!$I$61,M711=phu!$I$62),"Cam Lợi",""),IF(OR(M711=phu!$I$63,M711=phu!$I$64,M711=phu!$I$65,M711=phu!$I$66,M711=phu!$I$67,M711=phu!$I$68,M711=phu!$I$69,M711=phu!$I$70,M711=phu!$I$71),"Ba Ngòi",""),IF(OR(M711=phu!$I$72,M711=phu!$I$73,M711=phu!$I$74,M711=phu!$I$75,M711=phu!$I$76,M711=phu!$I$77,M711=phu!$I$78),"Cam Phước Đông",""),IF(OR(M711=phu!$I$79,M711=phu!$I$80,M711=phu!$I$81,M711=phu!$I$82,M711=phu!$I$83,M711=phu!$I$84),"Cam Thịnh Đông",""),IF(OR(M711=phu!$I$85,M711=phu!$I$86,M711=phu!$I$87,M711=phu!$I$88),"Cam Thịnh Tây",""),IF(OR(M711=phu!$I$89,M711=phu!$I$90),"Cam Lập",""),IF(OR(M711=phu!$I$91,M711=phu!$I$92,M711=phu!$I$93),"Cam Bình",""),IF(OR(M711=phu!$I$94,M711=phu!$I$95,M711=phu!$I$96,M711=phu!$I$97,M711=phu!$I$98,M711=phu!$I$99,M711=phu!$I$100),"Huyện khác",""),IF(OR(M711=phu!$I$101,M711=phu!$I$102),"Tỉnh khác",""))</f>
        <v/>
      </c>
      <c r="O711" s="814" t="str">
        <f t="shared" ref="O711:O774" si="67">CONCATENATE(IF(OR(N711="Cam Thành Nam",N711="Cam Nghĩa",N711="Cam Phúc Bắc"),"Bắc Cam Ranh",""),IF(OR(N711="Cam Phúc Nam",N711="Cam Phú",N711="Cam Lộc"),"Cam Ranh",""),IF(OR(N711="Cam Thuận",N711="Cam Linh",N711="Cam Lợi"),"Cam Linh",""),IF(OR(N711="Ba Ngòi",N711="Cam Phước Đông"),"Ba Ngòi",""),IF(OR(N711="Cam Thịnh Đông",N711="Cam Thịnh Tây",N711="Cam Lập",N711="Cam Bình"),"Nam Cam Ranh",""),IF(N711="Huyện khác","Huyện khác",""),IF(N711="Tỉnh khác","Tỉnh khác",""))</f>
        <v/>
      </c>
      <c r="P711" s="254"/>
      <c r="Q711" s="254"/>
      <c r="R711" s="254"/>
      <c r="S711" s="254"/>
      <c r="T711" s="254"/>
      <c r="U711" s="254"/>
      <c r="V711" s="254"/>
      <c r="W711" s="254"/>
      <c r="Y711" s="246" t="str">
        <f t="shared" ref="Y711:Y774" si="68">IF(OR(AND(B711="",C711="",D711="",E711="",F711="",G711="",H711="",I711="",J711="",L711="",M711="",N711="",P711="",Q711="",R711="",S711=""),AND(B711&lt;&gt;"",C711&lt;&gt;"",D711&lt;&gt;"",E711&lt;&gt;"",F711&lt;&gt;"",G711&lt;&gt;"",H711&lt;&gt;"",J711&lt;&gt;"",M711&lt;&gt;"",N711&lt;&gt;"",P711&lt;&gt;"",OR(AND(Q711&lt;&gt;"",R711=""),AND(Q711="",R711&lt;&gt;""),AND(Q711&lt;&gt;"",R711&lt;&gt;"")),OR(AND(K711="X",T711&lt;&gt;""),AND(K711="",T711="")))),"","er")</f>
        <v/>
      </c>
      <c r="Z711" s="247" t="str">
        <f t="shared" si="66"/>
        <v/>
      </c>
      <c r="AA711" s="246" t="str">
        <f t="shared" ref="AA711:AA774" si="69">IF(OR(AND(Z711=5,B711&gt;0),AND(Z711=6,B711&gt;1),AND(Z711=7,B711&gt;2),AND(Z711=8,B711&gt;3),AND(Z711=9,B711&gt;4),AND(Z711=10,B711&gt;5),AND(Z711=5,B711=0,L711="X"),AND(Z711=6,B711=1,L711="X"),AND(Z711=7,B711=2,L711="X"),AND(Z711=8,B711=3,L711="X"),AND(Z711=9,B711=4,L711="X"),AND(Z711=10,B711=5,L711="X")),"er","")</f>
        <v/>
      </c>
    </row>
    <row r="712" spans="1:27" ht="18" customHeight="1" x14ac:dyDescent="0.25">
      <c r="A712" s="248" t="str">
        <f t="shared" ref="A712:A775" si="70">IF(OR(A711="",B712="",C712="",D712="",E712=""),"",A711+1)</f>
        <v/>
      </c>
      <c r="B712" s="249" t="str">
        <f t="shared" ref="B712:B775" si="71">IF(C712="","",VALUE(LEFT(C712,1)))</f>
        <v/>
      </c>
      <c r="C712" s="250"/>
      <c r="D712" s="251"/>
      <c r="E712" s="241"/>
      <c r="F712" s="252"/>
      <c r="G712" s="252"/>
      <c r="H712" s="253"/>
      <c r="I712" s="250"/>
      <c r="J712" s="250"/>
      <c r="K712" s="270"/>
      <c r="L712" s="250"/>
      <c r="M712" s="250"/>
      <c r="N712" s="553" t="str">
        <f>CONCATENATE(IF(OR(M712=phu!$I$1,M712=phu!$I$2,M712=phu!$I$3),"Cam Thành Nam",""),IF(OR(M712=phu!$I$4,M712=phu!$I$5,M712=phu!$I$6,M712=phu!$I$7,M712=phu!$I$8,M712=phu!$I$9,M712=phu!$I$10,M712=phu!$I$11,M712=phu!$I$12,M712=phu!$I$13,M712=phu!$I$14),"Cam Nghĩa",""),IF(OR(M712=phu!$I$15,M712=phu!$I$16,M712=phu!$I$17,M712=phu!$I$18,M712=phu!$I$19,M712=phu!$I$20,M712=phu!$I$21),"Cam Phúc Bắc",""),IF(OR(M712=phu!$I$22,M712=phu!$I$23,M712=phu!$I$24,M712=phu!$I$25),"Cam Phúc Nam",""),IF(OR(M712=phu!$I$26,M712=phu!$I$27,M712=phu!$I$28,M712=phu!$I$29,M712=phu!$I$30,M712=phu!$I$31),"Cam Phú",""),IF(OR(M712=phu!$I$32,M712=phu!$I$33,M712=phu!$I$34,M712=phu!$I$35,M712=phu!$I$36,M712=phu!$I$37),"Cam Lộc",""),IF(OR(M712=phu!$I$38,M712=phu!$I$39,M712=phu!$I$40,M712=phu!$I$41,M712=phu!$I$42,M712=phu!$I$43,M712=phu!$I$44),"Cam Thuận",""),IF(OR(M712=phu!$I$45,M712=phu!$I$46,M712=phu!$I$47,M712=phu!$I$48,M712=phu!$I$49,M712=phu!$I$50,M712=phu!$I$51,M712=phu!$I$52,M712=phu!$I$53),"Cam Linh",""),IF(OR(M712=phu!$I$54,M712=phu!$I$55,M712=phu!$I$56,M712=phu!$I$57,M712=phu!$I$58,M712=phu!$I$59,M712=phu!$I$60,M712=phu!$I$61,M712=phu!$I$62),"Cam Lợi",""),IF(OR(M712=phu!$I$63,M712=phu!$I$64,M712=phu!$I$65,M712=phu!$I$66,M712=phu!$I$67,M712=phu!$I$68,M712=phu!$I$69,M712=phu!$I$70,M712=phu!$I$71),"Ba Ngòi",""),IF(OR(M712=phu!$I$72,M712=phu!$I$73,M712=phu!$I$74,M712=phu!$I$75,M712=phu!$I$76,M712=phu!$I$77,M712=phu!$I$78),"Cam Phước Đông",""),IF(OR(M712=phu!$I$79,M712=phu!$I$80,M712=phu!$I$81,M712=phu!$I$82,M712=phu!$I$83,M712=phu!$I$84),"Cam Thịnh Đông",""),IF(OR(M712=phu!$I$85,M712=phu!$I$86,M712=phu!$I$87,M712=phu!$I$88),"Cam Thịnh Tây",""),IF(OR(M712=phu!$I$89,M712=phu!$I$90),"Cam Lập",""),IF(OR(M712=phu!$I$91,M712=phu!$I$92,M712=phu!$I$93),"Cam Bình",""),IF(OR(M712=phu!$I$94,M712=phu!$I$95,M712=phu!$I$96,M712=phu!$I$97,M712=phu!$I$98,M712=phu!$I$99,M712=phu!$I$100),"Huyện khác",""),IF(OR(M712=phu!$I$101,M712=phu!$I$102),"Tỉnh khác",""))</f>
        <v/>
      </c>
      <c r="O712" s="814" t="str">
        <f t="shared" si="67"/>
        <v/>
      </c>
      <c r="P712" s="254"/>
      <c r="Q712" s="254"/>
      <c r="R712" s="254"/>
      <c r="S712" s="254"/>
      <c r="T712" s="254"/>
      <c r="U712" s="254"/>
      <c r="V712" s="254"/>
      <c r="W712" s="254"/>
      <c r="Y712" s="246" t="str">
        <f t="shared" si="68"/>
        <v/>
      </c>
      <c r="Z712" s="247" t="str">
        <f t="shared" si="66"/>
        <v/>
      </c>
      <c r="AA712" s="246" t="str">
        <f t="shared" si="69"/>
        <v/>
      </c>
    </row>
    <row r="713" spans="1:27" ht="18" customHeight="1" x14ac:dyDescent="0.25">
      <c r="A713" s="248" t="str">
        <f t="shared" si="70"/>
        <v/>
      </c>
      <c r="B713" s="249" t="str">
        <f t="shared" si="71"/>
        <v/>
      </c>
      <c r="C713" s="250"/>
      <c r="D713" s="251"/>
      <c r="E713" s="241"/>
      <c r="F713" s="252"/>
      <c r="G713" s="252"/>
      <c r="H713" s="253"/>
      <c r="I713" s="250"/>
      <c r="J713" s="250"/>
      <c r="K713" s="270"/>
      <c r="L713" s="250"/>
      <c r="M713" s="250"/>
      <c r="N713" s="553" t="str">
        <f>CONCATENATE(IF(OR(M713=phu!$I$1,M713=phu!$I$2,M713=phu!$I$3),"Cam Thành Nam",""),IF(OR(M713=phu!$I$4,M713=phu!$I$5,M713=phu!$I$6,M713=phu!$I$7,M713=phu!$I$8,M713=phu!$I$9,M713=phu!$I$10,M713=phu!$I$11,M713=phu!$I$12,M713=phu!$I$13,M713=phu!$I$14),"Cam Nghĩa",""),IF(OR(M713=phu!$I$15,M713=phu!$I$16,M713=phu!$I$17,M713=phu!$I$18,M713=phu!$I$19,M713=phu!$I$20,M713=phu!$I$21),"Cam Phúc Bắc",""),IF(OR(M713=phu!$I$22,M713=phu!$I$23,M713=phu!$I$24,M713=phu!$I$25),"Cam Phúc Nam",""),IF(OR(M713=phu!$I$26,M713=phu!$I$27,M713=phu!$I$28,M713=phu!$I$29,M713=phu!$I$30,M713=phu!$I$31),"Cam Phú",""),IF(OR(M713=phu!$I$32,M713=phu!$I$33,M713=phu!$I$34,M713=phu!$I$35,M713=phu!$I$36,M713=phu!$I$37),"Cam Lộc",""),IF(OR(M713=phu!$I$38,M713=phu!$I$39,M713=phu!$I$40,M713=phu!$I$41,M713=phu!$I$42,M713=phu!$I$43,M713=phu!$I$44),"Cam Thuận",""),IF(OR(M713=phu!$I$45,M713=phu!$I$46,M713=phu!$I$47,M713=phu!$I$48,M713=phu!$I$49,M713=phu!$I$50,M713=phu!$I$51,M713=phu!$I$52,M713=phu!$I$53),"Cam Linh",""),IF(OR(M713=phu!$I$54,M713=phu!$I$55,M713=phu!$I$56,M713=phu!$I$57,M713=phu!$I$58,M713=phu!$I$59,M713=phu!$I$60,M713=phu!$I$61,M713=phu!$I$62),"Cam Lợi",""),IF(OR(M713=phu!$I$63,M713=phu!$I$64,M713=phu!$I$65,M713=phu!$I$66,M713=phu!$I$67,M713=phu!$I$68,M713=phu!$I$69,M713=phu!$I$70,M713=phu!$I$71),"Ba Ngòi",""),IF(OR(M713=phu!$I$72,M713=phu!$I$73,M713=phu!$I$74,M713=phu!$I$75,M713=phu!$I$76,M713=phu!$I$77,M713=phu!$I$78),"Cam Phước Đông",""),IF(OR(M713=phu!$I$79,M713=phu!$I$80,M713=phu!$I$81,M713=phu!$I$82,M713=phu!$I$83,M713=phu!$I$84),"Cam Thịnh Đông",""),IF(OR(M713=phu!$I$85,M713=phu!$I$86,M713=phu!$I$87,M713=phu!$I$88),"Cam Thịnh Tây",""),IF(OR(M713=phu!$I$89,M713=phu!$I$90),"Cam Lập",""),IF(OR(M713=phu!$I$91,M713=phu!$I$92,M713=phu!$I$93),"Cam Bình",""),IF(OR(M713=phu!$I$94,M713=phu!$I$95,M713=phu!$I$96,M713=phu!$I$97,M713=phu!$I$98,M713=phu!$I$99,M713=phu!$I$100),"Huyện khác",""),IF(OR(M713=phu!$I$101,M713=phu!$I$102),"Tỉnh khác",""))</f>
        <v/>
      </c>
      <c r="O713" s="814" t="str">
        <f t="shared" si="67"/>
        <v/>
      </c>
      <c r="P713" s="254"/>
      <c r="Q713" s="254"/>
      <c r="R713" s="254"/>
      <c r="S713" s="254"/>
      <c r="T713" s="254"/>
      <c r="U713" s="254"/>
      <c r="V713" s="254"/>
      <c r="W713" s="254"/>
      <c r="Y713" s="246" t="str">
        <f t="shared" si="68"/>
        <v/>
      </c>
      <c r="Z713" s="247" t="str">
        <f t="shared" si="66"/>
        <v/>
      </c>
      <c r="AA713" s="246" t="str">
        <f t="shared" si="69"/>
        <v/>
      </c>
    </row>
    <row r="714" spans="1:27" ht="18" customHeight="1" x14ac:dyDescent="0.25">
      <c r="A714" s="248" t="str">
        <f t="shared" si="70"/>
        <v/>
      </c>
      <c r="B714" s="249" t="str">
        <f t="shared" si="71"/>
        <v/>
      </c>
      <c r="C714" s="250"/>
      <c r="D714" s="251"/>
      <c r="E714" s="241"/>
      <c r="F714" s="252"/>
      <c r="G714" s="252"/>
      <c r="H714" s="253"/>
      <c r="I714" s="250"/>
      <c r="J714" s="250"/>
      <c r="K714" s="270"/>
      <c r="L714" s="250"/>
      <c r="M714" s="250"/>
      <c r="N714" s="553" t="str">
        <f>CONCATENATE(IF(OR(M714=phu!$I$1,M714=phu!$I$2,M714=phu!$I$3),"Cam Thành Nam",""),IF(OR(M714=phu!$I$4,M714=phu!$I$5,M714=phu!$I$6,M714=phu!$I$7,M714=phu!$I$8,M714=phu!$I$9,M714=phu!$I$10,M714=phu!$I$11,M714=phu!$I$12,M714=phu!$I$13,M714=phu!$I$14),"Cam Nghĩa",""),IF(OR(M714=phu!$I$15,M714=phu!$I$16,M714=phu!$I$17,M714=phu!$I$18,M714=phu!$I$19,M714=phu!$I$20,M714=phu!$I$21),"Cam Phúc Bắc",""),IF(OR(M714=phu!$I$22,M714=phu!$I$23,M714=phu!$I$24,M714=phu!$I$25),"Cam Phúc Nam",""),IF(OR(M714=phu!$I$26,M714=phu!$I$27,M714=phu!$I$28,M714=phu!$I$29,M714=phu!$I$30,M714=phu!$I$31),"Cam Phú",""),IF(OR(M714=phu!$I$32,M714=phu!$I$33,M714=phu!$I$34,M714=phu!$I$35,M714=phu!$I$36,M714=phu!$I$37),"Cam Lộc",""),IF(OR(M714=phu!$I$38,M714=phu!$I$39,M714=phu!$I$40,M714=phu!$I$41,M714=phu!$I$42,M714=phu!$I$43,M714=phu!$I$44),"Cam Thuận",""),IF(OR(M714=phu!$I$45,M714=phu!$I$46,M714=phu!$I$47,M714=phu!$I$48,M714=phu!$I$49,M714=phu!$I$50,M714=phu!$I$51,M714=phu!$I$52,M714=phu!$I$53),"Cam Linh",""),IF(OR(M714=phu!$I$54,M714=phu!$I$55,M714=phu!$I$56,M714=phu!$I$57,M714=phu!$I$58,M714=phu!$I$59,M714=phu!$I$60,M714=phu!$I$61,M714=phu!$I$62),"Cam Lợi",""),IF(OR(M714=phu!$I$63,M714=phu!$I$64,M714=phu!$I$65,M714=phu!$I$66,M714=phu!$I$67,M714=phu!$I$68,M714=phu!$I$69,M714=phu!$I$70,M714=phu!$I$71),"Ba Ngòi",""),IF(OR(M714=phu!$I$72,M714=phu!$I$73,M714=phu!$I$74,M714=phu!$I$75,M714=phu!$I$76,M714=phu!$I$77,M714=phu!$I$78),"Cam Phước Đông",""),IF(OR(M714=phu!$I$79,M714=phu!$I$80,M714=phu!$I$81,M714=phu!$I$82,M714=phu!$I$83,M714=phu!$I$84),"Cam Thịnh Đông",""),IF(OR(M714=phu!$I$85,M714=phu!$I$86,M714=phu!$I$87,M714=phu!$I$88),"Cam Thịnh Tây",""),IF(OR(M714=phu!$I$89,M714=phu!$I$90),"Cam Lập",""),IF(OR(M714=phu!$I$91,M714=phu!$I$92,M714=phu!$I$93),"Cam Bình",""),IF(OR(M714=phu!$I$94,M714=phu!$I$95,M714=phu!$I$96,M714=phu!$I$97,M714=phu!$I$98,M714=phu!$I$99,M714=phu!$I$100),"Huyện khác",""),IF(OR(M714=phu!$I$101,M714=phu!$I$102),"Tỉnh khác",""))</f>
        <v/>
      </c>
      <c r="O714" s="814" t="str">
        <f t="shared" si="67"/>
        <v/>
      </c>
      <c r="P714" s="254"/>
      <c r="Q714" s="254"/>
      <c r="R714" s="254"/>
      <c r="S714" s="254"/>
      <c r="T714" s="254"/>
      <c r="U714" s="254"/>
      <c r="V714" s="254"/>
      <c r="W714" s="254"/>
      <c r="Y714" s="246" t="str">
        <f t="shared" si="68"/>
        <v/>
      </c>
      <c r="Z714" s="247" t="str">
        <f t="shared" si="66"/>
        <v/>
      </c>
      <c r="AA714" s="246" t="str">
        <f t="shared" si="69"/>
        <v/>
      </c>
    </row>
    <row r="715" spans="1:27" ht="18" customHeight="1" x14ac:dyDescent="0.25">
      <c r="A715" s="248" t="str">
        <f t="shared" si="70"/>
        <v/>
      </c>
      <c r="B715" s="249" t="str">
        <f t="shared" si="71"/>
        <v/>
      </c>
      <c r="C715" s="250"/>
      <c r="D715" s="251"/>
      <c r="E715" s="241"/>
      <c r="F715" s="252"/>
      <c r="G715" s="252"/>
      <c r="H715" s="253"/>
      <c r="I715" s="250"/>
      <c r="J715" s="250"/>
      <c r="K715" s="270"/>
      <c r="L715" s="250"/>
      <c r="M715" s="250"/>
      <c r="N715" s="553" t="str">
        <f>CONCATENATE(IF(OR(M715=phu!$I$1,M715=phu!$I$2,M715=phu!$I$3),"Cam Thành Nam",""),IF(OR(M715=phu!$I$4,M715=phu!$I$5,M715=phu!$I$6,M715=phu!$I$7,M715=phu!$I$8,M715=phu!$I$9,M715=phu!$I$10,M715=phu!$I$11,M715=phu!$I$12,M715=phu!$I$13,M715=phu!$I$14),"Cam Nghĩa",""),IF(OR(M715=phu!$I$15,M715=phu!$I$16,M715=phu!$I$17,M715=phu!$I$18,M715=phu!$I$19,M715=phu!$I$20,M715=phu!$I$21),"Cam Phúc Bắc",""),IF(OR(M715=phu!$I$22,M715=phu!$I$23,M715=phu!$I$24,M715=phu!$I$25),"Cam Phúc Nam",""),IF(OR(M715=phu!$I$26,M715=phu!$I$27,M715=phu!$I$28,M715=phu!$I$29,M715=phu!$I$30,M715=phu!$I$31),"Cam Phú",""),IF(OR(M715=phu!$I$32,M715=phu!$I$33,M715=phu!$I$34,M715=phu!$I$35,M715=phu!$I$36,M715=phu!$I$37),"Cam Lộc",""),IF(OR(M715=phu!$I$38,M715=phu!$I$39,M715=phu!$I$40,M715=phu!$I$41,M715=phu!$I$42,M715=phu!$I$43,M715=phu!$I$44),"Cam Thuận",""),IF(OR(M715=phu!$I$45,M715=phu!$I$46,M715=phu!$I$47,M715=phu!$I$48,M715=phu!$I$49,M715=phu!$I$50,M715=phu!$I$51,M715=phu!$I$52,M715=phu!$I$53),"Cam Linh",""),IF(OR(M715=phu!$I$54,M715=phu!$I$55,M715=phu!$I$56,M715=phu!$I$57,M715=phu!$I$58,M715=phu!$I$59,M715=phu!$I$60,M715=phu!$I$61,M715=phu!$I$62),"Cam Lợi",""),IF(OR(M715=phu!$I$63,M715=phu!$I$64,M715=phu!$I$65,M715=phu!$I$66,M715=phu!$I$67,M715=phu!$I$68,M715=phu!$I$69,M715=phu!$I$70,M715=phu!$I$71),"Ba Ngòi",""),IF(OR(M715=phu!$I$72,M715=phu!$I$73,M715=phu!$I$74,M715=phu!$I$75,M715=phu!$I$76,M715=phu!$I$77,M715=phu!$I$78),"Cam Phước Đông",""),IF(OR(M715=phu!$I$79,M715=phu!$I$80,M715=phu!$I$81,M715=phu!$I$82,M715=phu!$I$83,M715=phu!$I$84),"Cam Thịnh Đông",""),IF(OR(M715=phu!$I$85,M715=phu!$I$86,M715=phu!$I$87,M715=phu!$I$88),"Cam Thịnh Tây",""),IF(OR(M715=phu!$I$89,M715=phu!$I$90),"Cam Lập",""),IF(OR(M715=phu!$I$91,M715=phu!$I$92,M715=phu!$I$93),"Cam Bình",""),IF(OR(M715=phu!$I$94,M715=phu!$I$95,M715=phu!$I$96,M715=phu!$I$97,M715=phu!$I$98,M715=phu!$I$99,M715=phu!$I$100),"Huyện khác",""),IF(OR(M715=phu!$I$101,M715=phu!$I$102),"Tỉnh khác",""))</f>
        <v/>
      </c>
      <c r="O715" s="814" t="str">
        <f t="shared" si="67"/>
        <v/>
      </c>
      <c r="P715" s="254"/>
      <c r="Q715" s="254"/>
      <c r="R715" s="254"/>
      <c r="S715" s="254"/>
      <c r="T715" s="254"/>
      <c r="U715" s="254"/>
      <c r="V715" s="254"/>
      <c r="W715" s="254"/>
      <c r="Y715" s="246" t="str">
        <f t="shared" si="68"/>
        <v/>
      </c>
      <c r="Z715" s="247" t="str">
        <f t="shared" si="66"/>
        <v/>
      </c>
      <c r="AA715" s="246" t="str">
        <f t="shared" si="69"/>
        <v/>
      </c>
    </row>
    <row r="716" spans="1:27" ht="18" customHeight="1" x14ac:dyDescent="0.25">
      <c r="A716" s="248" t="str">
        <f t="shared" si="70"/>
        <v/>
      </c>
      <c r="B716" s="249" t="str">
        <f t="shared" si="71"/>
        <v/>
      </c>
      <c r="C716" s="250"/>
      <c r="D716" s="251"/>
      <c r="E716" s="241"/>
      <c r="F716" s="252"/>
      <c r="G716" s="252"/>
      <c r="H716" s="253"/>
      <c r="I716" s="250"/>
      <c r="J716" s="250"/>
      <c r="K716" s="270"/>
      <c r="L716" s="250"/>
      <c r="M716" s="250"/>
      <c r="N716" s="553" t="str">
        <f>CONCATENATE(IF(OR(M716=phu!$I$1,M716=phu!$I$2,M716=phu!$I$3),"Cam Thành Nam",""),IF(OR(M716=phu!$I$4,M716=phu!$I$5,M716=phu!$I$6,M716=phu!$I$7,M716=phu!$I$8,M716=phu!$I$9,M716=phu!$I$10,M716=phu!$I$11,M716=phu!$I$12,M716=phu!$I$13,M716=phu!$I$14),"Cam Nghĩa",""),IF(OR(M716=phu!$I$15,M716=phu!$I$16,M716=phu!$I$17,M716=phu!$I$18,M716=phu!$I$19,M716=phu!$I$20,M716=phu!$I$21),"Cam Phúc Bắc",""),IF(OR(M716=phu!$I$22,M716=phu!$I$23,M716=phu!$I$24,M716=phu!$I$25),"Cam Phúc Nam",""),IF(OR(M716=phu!$I$26,M716=phu!$I$27,M716=phu!$I$28,M716=phu!$I$29,M716=phu!$I$30,M716=phu!$I$31),"Cam Phú",""),IF(OR(M716=phu!$I$32,M716=phu!$I$33,M716=phu!$I$34,M716=phu!$I$35,M716=phu!$I$36,M716=phu!$I$37),"Cam Lộc",""),IF(OR(M716=phu!$I$38,M716=phu!$I$39,M716=phu!$I$40,M716=phu!$I$41,M716=phu!$I$42,M716=phu!$I$43,M716=phu!$I$44),"Cam Thuận",""),IF(OR(M716=phu!$I$45,M716=phu!$I$46,M716=phu!$I$47,M716=phu!$I$48,M716=phu!$I$49,M716=phu!$I$50,M716=phu!$I$51,M716=phu!$I$52,M716=phu!$I$53),"Cam Linh",""),IF(OR(M716=phu!$I$54,M716=phu!$I$55,M716=phu!$I$56,M716=phu!$I$57,M716=phu!$I$58,M716=phu!$I$59,M716=phu!$I$60,M716=phu!$I$61,M716=phu!$I$62),"Cam Lợi",""),IF(OR(M716=phu!$I$63,M716=phu!$I$64,M716=phu!$I$65,M716=phu!$I$66,M716=phu!$I$67,M716=phu!$I$68,M716=phu!$I$69,M716=phu!$I$70,M716=phu!$I$71),"Ba Ngòi",""),IF(OR(M716=phu!$I$72,M716=phu!$I$73,M716=phu!$I$74,M716=phu!$I$75,M716=phu!$I$76,M716=phu!$I$77,M716=phu!$I$78),"Cam Phước Đông",""),IF(OR(M716=phu!$I$79,M716=phu!$I$80,M716=phu!$I$81,M716=phu!$I$82,M716=phu!$I$83,M716=phu!$I$84),"Cam Thịnh Đông",""),IF(OR(M716=phu!$I$85,M716=phu!$I$86,M716=phu!$I$87,M716=phu!$I$88),"Cam Thịnh Tây",""),IF(OR(M716=phu!$I$89,M716=phu!$I$90),"Cam Lập",""),IF(OR(M716=phu!$I$91,M716=phu!$I$92,M716=phu!$I$93),"Cam Bình",""),IF(OR(M716=phu!$I$94,M716=phu!$I$95,M716=phu!$I$96,M716=phu!$I$97,M716=phu!$I$98,M716=phu!$I$99,M716=phu!$I$100),"Huyện khác",""),IF(OR(M716=phu!$I$101,M716=phu!$I$102),"Tỉnh khác",""))</f>
        <v/>
      </c>
      <c r="O716" s="814" t="str">
        <f t="shared" si="67"/>
        <v/>
      </c>
      <c r="P716" s="254"/>
      <c r="Q716" s="254"/>
      <c r="R716" s="254"/>
      <c r="S716" s="254"/>
      <c r="T716" s="254"/>
      <c r="U716" s="254"/>
      <c r="V716" s="254"/>
      <c r="W716" s="254"/>
      <c r="Y716" s="246" t="str">
        <f t="shared" si="68"/>
        <v/>
      </c>
      <c r="Z716" s="247" t="str">
        <f t="shared" si="66"/>
        <v/>
      </c>
      <c r="AA716" s="246" t="str">
        <f t="shared" si="69"/>
        <v/>
      </c>
    </row>
    <row r="717" spans="1:27" ht="18" customHeight="1" x14ac:dyDescent="0.25">
      <c r="A717" s="248" t="str">
        <f t="shared" si="70"/>
        <v/>
      </c>
      <c r="B717" s="249" t="str">
        <f t="shared" si="71"/>
        <v/>
      </c>
      <c r="C717" s="250"/>
      <c r="D717" s="251"/>
      <c r="E717" s="241"/>
      <c r="F717" s="252"/>
      <c r="G717" s="252"/>
      <c r="H717" s="253"/>
      <c r="I717" s="250"/>
      <c r="J717" s="250"/>
      <c r="K717" s="270"/>
      <c r="L717" s="250"/>
      <c r="M717" s="250"/>
      <c r="N717" s="553" t="str">
        <f>CONCATENATE(IF(OR(M717=phu!$I$1,M717=phu!$I$2,M717=phu!$I$3),"Cam Thành Nam",""),IF(OR(M717=phu!$I$4,M717=phu!$I$5,M717=phu!$I$6,M717=phu!$I$7,M717=phu!$I$8,M717=phu!$I$9,M717=phu!$I$10,M717=phu!$I$11,M717=phu!$I$12,M717=phu!$I$13,M717=phu!$I$14),"Cam Nghĩa",""),IF(OR(M717=phu!$I$15,M717=phu!$I$16,M717=phu!$I$17,M717=phu!$I$18,M717=phu!$I$19,M717=phu!$I$20,M717=phu!$I$21),"Cam Phúc Bắc",""),IF(OR(M717=phu!$I$22,M717=phu!$I$23,M717=phu!$I$24,M717=phu!$I$25),"Cam Phúc Nam",""),IF(OR(M717=phu!$I$26,M717=phu!$I$27,M717=phu!$I$28,M717=phu!$I$29,M717=phu!$I$30,M717=phu!$I$31),"Cam Phú",""),IF(OR(M717=phu!$I$32,M717=phu!$I$33,M717=phu!$I$34,M717=phu!$I$35,M717=phu!$I$36,M717=phu!$I$37),"Cam Lộc",""),IF(OR(M717=phu!$I$38,M717=phu!$I$39,M717=phu!$I$40,M717=phu!$I$41,M717=phu!$I$42,M717=phu!$I$43,M717=phu!$I$44),"Cam Thuận",""),IF(OR(M717=phu!$I$45,M717=phu!$I$46,M717=phu!$I$47,M717=phu!$I$48,M717=phu!$I$49,M717=phu!$I$50,M717=phu!$I$51,M717=phu!$I$52,M717=phu!$I$53),"Cam Linh",""),IF(OR(M717=phu!$I$54,M717=phu!$I$55,M717=phu!$I$56,M717=phu!$I$57,M717=phu!$I$58,M717=phu!$I$59,M717=phu!$I$60,M717=phu!$I$61,M717=phu!$I$62),"Cam Lợi",""),IF(OR(M717=phu!$I$63,M717=phu!$I$64,M717=phu!$I$65,M717=phu!$I$66,M717=phu!$I$67,M717=phu!$I$68,M717=phu!$I$69,M717=phu!$I$70,M717=phu!$I$71),"Ba Ngòi",""),IF(OR(M717=phu!$I$72,M717=phu!$I$73,M717=phu!$I$74,M717=phu!$I$75,M717=phu!$I$76,M717=phu!$I$77,M717=phu!$I$78),"Cam Phước Đông",""),IF(OR(M717=phu!$I$79,M717=phu!$I$80,M717=phu!$I$81,M717=phu!$I$82,M717=phu!$I$83,M717=phu!$I$84),"Cam Thịnh Đông",""),IF(OR(M717=phu!$I$85,M717=phu!$I$86,M717=phu!$I$87,M717=phu!$I$88),"Cam Thịnh Tây",""),IF(OR(M717=phu!$I$89,M717=phu!$I$90),"Cam Lập",""),IF(OR(M717=phu!$I$91,M717=phu!$I$92,M717=phu!$I$93),"Cam Bình",""),IF(OR(M717=phu!$I$94,M717=phu!$I$95,M717=phu!$I$96,M717=phu!$I$97,M717=phu!$I$98,M717=phu!$I$99,M717=phu!$I$100),"Huyện khác",""),IF(OR(M717=phu!$I$101,M717=phu!$I$102),"Tỉnh khác",""))</f>
        <v/>
      </c>
      <c r="O717" s="814" t="str">
        <f t="shared" si="67"/>
        <v/>
      </c>
      <c r="P717" s="254"/>
      <c r="Q717" s="254"/>
      <c r="R717" s="254"/>
      <c r="S717" s="254"/>
      <c r="T717" s="254"/>
      <c r="U717" s="254"/>
      <c r="V717" s="254"/>
      <c r="W717" s="254"/>
      <c r="Y717" s="246" t="str">
        <f t="shared" si="68"/>
        <v/>
      </c>
      <c r="Z717" s="247" t="str">
        <f t="shared" si="66"/>
        <v/>
      </c>
      <c r="AA717" s="246" t="str">
        <f t="shared" si="69"/>
        <v/>
      </c>
    </row>
    <row r="718" spans="1:27" ht="18" customHeight="1" x14ac:dyDescent="0.25">
      <c r="A718" s="248" t="str">
        <f t="shared" si="70"/>
        <v/>
      </c>
      <c r="B718" s="249" t="str">
        <f t="shared" si="71"/>
        <v/>
      </c>
      <c r="C718" s="250"/>
      <c r="D718" s="251"/>
      <c r="E718" s="241"/>
      <c r="F718" s="252"/>
      <c r="G718" s="252"/>
      <c r="H718" s="253"/>
      <c r="I718" s="250"/>
      <c r="J718" s="250"/>
      <c r="K718" s="270"/>
      <c r="L718" s="250"/>
      <c r="M718" s="250"/>
      <c r="N718" s="553" t="str">
        <f>CONCATENATE(IF(OR(M718=phu!$I$1,M718=phu!$I$2,M718=phu!$I$3),"Cam Thành Nam",""),IF(OR(M718=phu!$I$4,M718=phu!$I$5,M718=phu!$I$6,M718=phu!$I$7,M718=phu!$I$8,M718=phu!$I$9,M718=phu!$I$10,M718=phu!$I$11,M718=phu!$I$12,M718=phu!$I$13,M718=phu!$I$14),"Cam Nghĩa",""),IF(OR(M718=phu!$I$15,M718=phu!$I$16,M718=phu!$I$17,M718=phu!$I$18,M718=phu!$I$19,M718=phu!$I$20,M718=phu!$I$21),"Cam Phúc Bắc",""),IF(OR(M718=phu!$I$22,M718=phu!$I$23,M718=phu!$I$24,M718=phu!$I$25),"Cam Phúc Nam",""),IF(OR(M718=phu!$I$26,M718=phu!$I$27,M718=phu!$I$28,M718=phu!$I$29,M718=phu!$I$30,M718=phu!$I$31),"Cam Phú",""),IF(OR(M718=phu!$I$32,M718=phu!$I$33,M718=phu!$I$34,M718=phu!$I$35,M718=phu!$I$36,M718=phu!$I$37),"Cam Lộc",""),IF(OR(M718=phu!$I$38,M718=phu!$I$39,M718=phu!$I$40,M718=phu!$I$41,M718=phu!$I$42,M718=phu!$I$43,M718=phu!$I$44),"Cam Thuận",""),IF(OR(M718=phu!$I$45,M718=phu!$I$46,M718=phu!$I$47,M718=phu!$I$48,M718=phu!$I$49,M718=phu!$I$50,M718=phu!$I$51,M718=phu!$I$52,M718=phu!$I$53),"Cam Linh",""),IF(OR(M718=phu!$I$54,M718=phu!$I$55,M718=phu!$I$56,M718=phu!$I$57,M718=phu!$I$58,M718=phu!$I$59,M718=phu!$I$60,M718=phu!$I$61,M718=phu!$I$62),"Cam Lợi",""),IF(OR(M718=phu!$I$63,M718=phu!$I$64,M718=phu!$I$65,M718=phu!$I$66,M718=phu!$I$67,M718=phu!$I$68,M718=phu!$I$69,M718=phu!$I$70,M718=phu!$I$71),"Ba Ngòi",""),IF(OR(M718=phu!$I$72,M718=phu!$I$73,M718=phu!$I$74,M718=phu!$I$75,M718=phu!$I$76,M718=phu!$I$77,M718=phu!$I$78),"Cam Phước Đông",""),IF(OR(M718=phu!$I$79,M718=phu!$I$80,M718=phu!$I$81,M718=phu!$I$82,M718=phu!$I$83,M718=phu!$I$84),"Cam Thịnh Đông",""),IF(OR(M718=phu!$I$85,M718=phu!$I$86,M718=phu!$I$87,M718=phu!$I$88),"Cam Thịnh Tây",""),IF(OR(M718=phu!$I$89,M718=phu!$I$90),"Cam Lập",""),IF(OR(M718=phu!$I$91,M718=phu!$I$92,M718=phu!$I$93),"Cam Bình",""),IF(OR(M718=phu!$I$94,M718=phu!$I$95,M718=phu!$I$96,M718=phu!$I$97,M718=phu!$I$98,M718=phu!$I$99,M718=phu!$I$100),"Huyện khác",""),IF(OR(M718=phu!$I$101,M718=phu!$I$102),"Tỉnh khác",""))</f>
        <v/>
      </c>
      <c r="O718" s="814" t="str">
        <f t="shared" si="67"/>
        <v/>
      </c>
      <c r="P718" s="254"/>
      <c r="Q718" s="254"/>
      <c r="R718" s="254"/>
      <c r="S718" s="254"/>
      <c r="T718" s="254"/>
      <c r="U718" s="254"/>
      <c r="V718" s="254"/>
      <c r="W718" s="254"/>
      <c r="Y718" s="246" t="str">
        <f t="shared" si="68"/>
        <v/>
      </c>
      <c r="Z718" s="247" t="str">
        <f t="shared" si="66"/>
        <v/>
      </c>
      <c r="AA718" s="246" t="str">
        <f t="shared" si="69"/>
        <v/>
      </c>
    </row>
    <row r="719" spans="1:27" ht="18" customHeight="1" x14ac:dyDescent="0.25">
      <c r="A719" s="248" t="str">
        <f t="shared" si="70"/>
        <v/>
      </c>
      <c r="B719" s="249" t="str">
        <f t="shared" si="71"/>
        <v/>
      </c>
      <c r="C719" s="250"/>
      <c r="D719" s="251"/>
      <c r="E719" s="241"/>
      <c r="F719" s="252"/>
      <c r="G719" s="252"/>
      <c r="H719" s="253"/>
      <c r="I719" s="250"/>
      <c r="J719" s="250"/>
      <c r="K719" s="270"/>
      <c r="L719" s="250"/>
      <c r="M719" s="250"/>
      <c r="N719" s="553" t="str">
        <f>CONCATENATE(IF(OR(M719=phu!$I$1,M719=phu!$I$2,M719=phu!$I$3),"Cam Thành Nam",""),IF(OR(M719=phu!$I$4,M719=phu!$I$5,M719=phu!$I$6,M719=phu!$I$7,M719=phu!$I$8,M719=phu!$I$9,M719=phu!$I$10,M719=phu!$I$11,M719=phu!$I$12,M719=phu!$I$13,M719=phu!$I$14),"Cam Nghĩa",""),IF(OR(M719=phu!$I$15,M719=phu!$I$16,M719=phu!$I$17,M719=phu!$I$18,M719=phu!$I$19,M719=phu!$I$20,M719=phu!$I$21),"Cam Phúc Bắc",""),IF(OR(M719=phu!$I$22,M719=phu!$I$23,M719=phu!$I$24,M719=phu!$I$25),"Cam Phúc Nam",""),IF(OR(M719=phu!$I$26,M719=phu!$I$27,M719=phu!$I$28,M719=phu!$I$29,M719=phu!$I$30,M719=phu!$I$31),"Cam Phú",""),IF(OR(M719=phu!$I$32,M719=phu!$I$33,M719=phu!$I$34,M719=phu!$I$35,M719=phu!$I$36,M719=phu!$I$37),"Cam Lộc",""),IF(OR(M719=phu!$I$38,M719=phu!$I$39,M719=phu!$I$40,M719=phu!$I$41,M719=phu!$I$42,M719=phu!$I$43,M719=phu!$I$44),"Cam Thuận",""),IF(OR(M719=phu!$I$45,M719=phu!$I$46,M719=phu!$I$47,M719=phu!$I$48,M719=phu!$I$49,M719=phu!$I$50,M719=phu!$I$51,M719=phu!$I$52,M719=phu!$I$53),"Cam Linh",""),IF(OR(M719=phu!$I$54,M719=phu!$I$55,M719=phu!$I$56,M719=phu!$I$57,M719=phu!$I$58,M719=phu!$I$59,M719=phu!$I$60,M719=phu!$I$61,M719=phu!$I$62),"Cam Lợi",""),IF(OR(M719=phu!$I$63,M719=phu!$I$64,M719=phu!$I$65,M719=phu!$I$66,M719=phu!$I$67,M719=phu!$I$68,M719=phu!$I$69,M719=phu!$I$70,M719=phu!$I$71),"Ba Ngòi",""),IF(OR(M719=phu!$I$72,M719=phu!$I$73,M719=phu!$I$74,M719=phu!$I$75,M719=phu!$I$76,M719=phu!$I$77,M719=phu!$I$78),"Cam Phước Đông",""),IF(OR(M719=phu!$I$79,M719=phu!$I$80,M719=phu!$I$81,M719=phu!$I$82,M719=phu!$I$83,M719=phu!$I$84),"Cam Thịnh Đông",""),IF(OR(M719=phu!$I$85,M719=phu!$I$86,M719=phu!$I$87,M719=phu!$I$88),"Cam Thịnh Tây",""),IF(OR(M719=phu!$I$89,M719=phu!$I$90),"Cam Lập",""),IF(OR(M719=phu!$I$91,M719=phu!$I$92,M719=phu!$I$93),"Cam Bình",""),IF(OR(M719=phu!$I$94,M719=phu!$I$95,M719=phu!$I$96,M719=phu!$I$97,M719=phu!$I$98,M719=phu!$I$99,M719=phu!$I$100),"Huyện khác",""),IF(OR(M719=phu!$I$101,M719=phu!$I$102),"Tỉnh khác",""))</f>
        <v/>
      </c>
      <c r="O719" s="814" t="str">
        <f t="shared" si="67"/>
        <v/>
      </c>
      <c r="P719" s="254"/>
      <c r="Q719" s="254"/>
      <c r="R719" s="254"/>
      <c r="S719" s="254"/>
      <c r="T719" s="254"/>
      <c r="U719" s="254"/>
      <c r="V719" s="254"/>
      <c r="W719" s="254"/>
      <c r="Y719" s="246" t="str">
        <f t="shared" si="68"/>
        <v/>
      </c>
      <c r="Z719" s="247" t="str">
        <f t="shared" si="66"/>
        <v/>
      </c>
      <c r="AA719" s="246" t="str">
        <f t="shared" si="69"/>
        <v/>
      </c>
    </row>
    <row r="720" spans="1:27" ht="18" customHeight="1" x14ac:dyDescent="0.25">
      <c r="A720" s="248" t="str">
        <f t="shared" si="70"/>
        <v/>
      </c>
      <c r="B720" s="249" t="str">
        <f t="shared" si="71"/>
        <v/>
      </c>
      <c r="C720" s="250"/>
      <c r="D720" s="251"/>
      <c r="E720" s="241"/>
      <c r="F720" s="252"/>
      <c r="G720" s="252"/>
      <c r="H720" s="253"/>
      <c r="I720" s="250"/>
      <c r="J720" s="250"/>
      <c r="K720" s="270"/>
      <c r="L720" s="250"/>
      <c r="M720" s="250"/>
      <c r="N720" s="553" t="str">
        <f>CONCATENATE(IF(OR(M720=phu!$I$1,M720=phu!$I$2,M720=phu!$I$3),"Cam Thành Nam",""),IF(OR(M720=phu!$I$4,M720=phu!$I$5,M720=phu!$I$6,M720=phu!$I$7,M720=phu!$I$8,M720=phu!$I$9,M720=phu!$I$10,M720=phu!$I$11,M720=phu!$I$12,M720=phu!$I$13,M720=phu!$I$14),"Cam Nghĩa",""),IF(OR(M720=phu!$I$15,M720=phu!$I$16,M720=phu!$I$17,M720=phu!$I$18,M720=phu!$I$19,M720=phu!$I$20,M720=phu!$I$21),"Cam Phúc Bắc",""),IF(OR(M720=phu!$I$22,M720=phu!$I$23,M720=phu!$I$24,M720=phu!$I$25),"Cam Phúc Nam",""),IF(OR(M720=phu!$I$26,M720=phu!$I$27,M720=phu!$I$28,M720=phu!$I$29,M720=phu!$I$30,M720=phu!$I$31),"Cam Phú",""),IF(OR(M720=phu!$I$32,M720=phu!$I$33,M720=phu!$I$34,M720=phu!$I$35,M720=phu!$I$36,M720=phu!$I$37),"Cam Lộc",""),IF(OR(M720=phu!$I$38,M720=phu!$I$39,M720=phu!$I$40,M720=phu!$I$41,M720=phu!$I$42,M720=phu!$I$43,M720=phu!$I$44),"Cam Thuận",""),IF(OR(M720=phu!$I$45,M720=phu!$I$46,M720=phu!$I$47,M720=phu!$I$48,M720=phu!$I$49,M720=phu!$I$50,M720=phu!$I$51,M720=phu!$I$52,M720=phu!$I$53),"Cam Linh",""),IF(OR(M720=phu!$I$54,M720=phu!$I$55,M720=phu!$I$56,M720=phu!$I$57,M720=phu!$I$58,M720=phu!$I$59,M720=phu!$I$60,M720=phu!$I$61,M720=phu!$I$62),"Cam Lợi",""),IF(OR(M720=phu!$I$63,M720=phu!$I$64,M720=phu!$I$65,M720=phu!$I$66,M720=phu!$I$67,M720=phu!$I$68,M720=phu!$I$69,M720=phu!$I$70,M720=phu!$I$71),"Ba Ngòi",""),IF(OR(M720=phu!$I$72,M720=phu!$I$73,M720=phu!$I$74,M720=phu!$I$75,M720=phu!$I$76,M720=phu!$I$77,M720=phu!$I$78),"Cam Phước Đông",""),IF(OR(M720=phu!$I$79,M720=phu!$I$80,M720=phu!$I$81,M720=phu!$I$82,M720=phu!$I$83,M720=phu!$I$84),"Cam Thịnh Đông",""),IF(OR(M720=phu!$I$85,M720=phu!$I$86,M720=phu!$I$87,M720=phu!$I$88),"Cam Thịnh Tây",""),IF(OR(M720=phu!$I$89,M720=phu!$I$90),"Cam Lập",""),IF(OR(M720=phu!$I$91,M720=phu!$I$92,M720=phu!$I$93),"Cam Bình",""),IF(OR(M720=phu!$I$94,M720=phu!$I$95,M720=phu!$I$96,M720=phu!$I$97,M720=phu!$I$98,M720=phu!$I$99,M720=phu!$I$100),"Huyện khác",""),IF(OR(M720=phu!$I$101,M720=phu!$I$102),"Tỉnh khác",""))</f>
        <v/>
      </c>
      <c r="O720" s="814" t="str">
        <f t="shared" si="67"/>
        <v/>
      </c>
      <c r="P720" s="254"/>
      <c r="Q720" s="254"/>
      <c r="R720" s="254"/>
      <c r="S720" s="254"/>
      <c r="T720" s="254"/>
      <c r="U720" s="254"/>
      <c r="V720" s="254"/>
      <c r="W720" s="254"/>
      <c r="Y720" s="246" t="str">
        <f t="shared" si="68"/>
        <v/>
      </c>
      <c r="Z720" s="247" t="str">
        <f t="shared" si="66"/>
        <v/>
      </c>
      <c r="AA720" s="246" t="str">
        <f t="shared" si="69"/>
        <v/>
      </c>
    </row>
    <row r="721" spans="1:27" ht="18" customHeight="1" x14ac:dyDescent="0.25">
      <c r="A721" s="248" t="str">
        <f t="shared" si="70"/>
        <v/>
      </c>
      <c r="B721" s="249" t="str">
        <f t="shared" si="71"/>
        <v/>
      </c>
      <c r="C721" s="250"/>
      <c r="D721" s="251"/>
      <c r="E721" s="241"/>
      <c r="F721" s="252"/>
      <c r="G721" s="252"/>
      <c r="H721" s="253"/>
      <c r="I721" s="250"/>
      <c r="J721" s="250"/>
      <c r="K721" s="270"/>
      <c r="L721" s="250"/>
      <c r="M721" s="250"/>
      <c r="N721" s="553" t="str">
        <f>CONCATENATE(IF(OR(M721=phu!$I$1,M721=phu!$I$2,M721=phu!$I$3),"Cam Thành Nam",""),IF(OR(M721=phu!$I$4,M721=phu!$I$5,M721=phu!$I$6,M721=phu!$I$7,M721=phu!$I$8,M721=phu!$I$9,M721=phu!$I$10,M721=phu!$I$11,M721=phu!$I$12,M721=phu!$I$13,M721=phu!$I$14),"Cam Nghĩa",""),IF(OR(M721=phu!$I$15,M721=phu!$I$16,M721=phu!$I$17,M721=phu!$I$18,M721=phu!$I$19,M721=phu!$I$20,M721=phu!$I$21),"Cam Phúc Bắc",""),IF(OR(M721=phu!$I$22,M721=phu!$I$23,M721=phu!$I$24,M721=phu!$I$25),"Cam Phúc Nam",""),IF(OR(M721=phu!$I$26,M721=phu!$I$27,M721=phu!$I$28,M721=phu!$I$29,M721=phu!$I$30,M721=phu!$I$31),"Cam Phú",""),IF(OR(M721=phu!$I$32,M721=phu!$I$33,M721=phu!$I$34,M721=phu!$I$35,M721=phu!$I$36,M721=phu!$I$37),"Cam Lộc",""),IF(OR(M721=phu!$I$38,M721=phu!$I$39,M721=phu!$I$40,M721=phu!$I$41,M721=phu!$I$42,M721=phu!$I$43,M721=phu!$I$44),"Cam Thuận",""),IF(OR(M721=phu!$I$45,M721=phu!$I$46,M721=phu!$I$47,M721=phu!$I$48,M721=phu!$I$49,M721=phu!$I$50,M721=phu!$I$51,M721=phu!$I$52,M721=phu!$I$53),"Cam Linh",""),IF(OR(M721=phu!$I$54,M721=phu!$I$55,M721=phu!$I$56,M721=phu!$I$57,M721=phu!$I$58,M721=phu!$I$59,M721=phu!$I$60,M721=phu!$I$61,M721=phu!$I$62),"Cam Lợi",""),IF(OR(M721=phu!$I$63,M721=phu!$I$64,M721=phu!$I$65,M721=phu!$I$66,M721=phu!$I$67,M721=phu!$I$68,M721=phu!$I$69,M721=phu!$I$70,M721=phu!$I$71),"Ba Ngòi",""),IF(OR(M721=phu!$I$72,M721=phu!$I$73,M721=phu!$I$74,M721=phu!$I$75,M721=phu!$I$76,M721=phu!$I$77,M721=phu!$I$78),"Cam Phước Đông",""),IF(OR(M721=phu!$I$79,M721=phu!$I$80,M721=phu!$I$81,M721=phu!$I$82,M721=phu!$I$83,M721=phu!$I$84),"Cam Thịnh Đông",""),IF(OR(M721=phu!$I$85,M721=phu!$I$86,M721=phu!$I$87,M721=phu!$I$88),"Cam Thịnh Tây",""),IF(OR(M721=phu!$I$89,M721=phu!$I$90),"Cam Lập",""),IF(OR(M721=phu!$I$91,M721=phu!$I$92,M721=phu!$I$93),"Cam Bình",""),IF(OR(M721=phu!$I$94,M721=phu!$I$95,M721=phu!$I$96,M721=phu!$I$97,M721=phu!$I$98,M721=phu!$I$99,M721=phu!$I$100),"Huyện khác",""),IF(OR(M721=phu!$I$101,M721=phu!$I$102),"Tỉnh khác",""))</f>
        <v/>
      </c>
      <c r="O721" s="814" t="str">
        <f t="shared" si="67"/>
        <v/>
      </c>
      <c r="P721" s="254"/>
      <c r="Q721" s="254"/>
      <c r="R721" s="254"/>
      <c r="S721" s="254"/>
      <c r="T721" s="254"/>
      <c r="U721" s="254"/>
      <c r="V721" s="254"/>
      <c r="W721" s="254"/>
      <c r="Y721" s="246" t="str">
        <f t="shared" si="68"/>
        <v/>
      </c>
      <c r="Z721" s="247" t="str">
        <f t="shared" si="66"/>
        <v/>
      </c>
      <c r="AA721" s="246" t="str">
        <f t="shared" si="69"/>
        <v/>
      </c>
    </row>
    <row r="722" spans="1:27" ht="18" customHeight="1" x14ac:dyDescent="0.25">
      <c r="A722" s="248" t="str">
        <f t="shared" si="70"/>
        <v/>
      </c>
      <c r="B722" s="249" t="str">
        <f t="shared" si="71"/>
        <v/>
      </c>
      <c r="C722" s="250"/>
      <c r="D722" s="251"/>
      <c r="E722" s="241"/>
      <c r="F722" s="252"/>
      <c r="G722" s="252"/>
      <c r="H722" s="253"/>
      <c r="I722" s="250"/>
      <c r="J722" s="250"/>
      <c r="K722" s="270"/>
      <c r="L722" s="250"/>
      <c r="M722" s="250"/>
      <c r="N722" s="553" t="str">
        <f>CONCATENATE(IF(OR(M722=phu!$I$1,M722=phu!$I$2,M722=phu!$I$3),"Cam Thành Nam",""),IF(OR(M722=phu!$I$4,M722=phu!$I$5,M722=phu!$I$6,M722=phu!$I$7,M722=phu!$I$8,M722=phu!$I$9,M722=phu!$I$10,M722=phu!$I$11,M722=phu!$I$12,M722=phu!$I$13,M722=phu!$I$14),"Cam Nghĩa",""),IF(OR(M722=phu!$I$15,M722=phu!$I$16,M722=phu!$I$17,M722=phu!$I$18,M722=phu!$I$19,M722=phu!$I$20,M722=phu!$I$21),"Cam Phúc Bắc",""),IF(OR(M722=phu!$I$22,M722=phu!$I$23,M722=phu!$I$24,M722=phu!$I$25),"Cam Phúc Nam",""),IF(OR(M722=phu!$I$26,M722=phu!$I$27,M722=phu!$I$28,M722=phu!$I$29,M722=phu!$I$30,M722=phu!$I$31),"Cam Phú",""),IF(OR(M722=phu!$I$32,M722=phu!$I$33,M722=phu!$I$34,M722=phu!$I$35,M722=phu!$I$36,M722=phu!$I$37),"Cam Lộc",""),IF(OR(M722=phu!$I$38,M722=phu!$I$39,M722=phu!$I$40,M722=phu!$I$41,M722=phu!$I$42,M722=phu!$I$43,M722=phu!$I$44),"Cam Thuận",""),IF(OR(M722=phu!$I$45,M722=phu!$I$46,M722=phu!$I$47,M722=phu!$I$48,M722=phu!$I$49,M722=phu!$I$50,M722=phu!$I$51,M722=phu!$I$52,M722=phu!$I$53),"Cam Linh",""),IF(OR(M722=phu!$I$54,M722=phu!$I$55,M722=phu!$I$56,M722=phu!$I$57,M722=phu!$I$58,M722=phu!$I$59,M722=phu!$I$60,M722=phu!$I$61,M722=phu!$I$62),"Cam Lợi",""),IF(OR(M722=phu!$I$63,M722=phu!$I$64,M722=phu!$I$65,M722=phu!$I$66,M722=phu!$I$67,M722=phu!$I$68,M722=phu!$I$69,M722=phu!$I$70,M722=phu!$I$71),"Ba Ngòi",""),IF(OR(M722=phu!$I$72,M722=phu!$I$73,M722=phu!$I$74,M722=phu!$I$75,M722=phu!$I$76,M722=phu!$I$77,M722=phu!$I$78),"Cam Phước Đông",""),IF(OR(M722=phu!$I$79,M722=phu!$I$80,M722=phu!$I$81,M722=phu!$I$82,M722=phu!$I$83,M722=phu!$I$84),"Cam Thịnh Đông",""),IF(OR(M722=phu!$I$85,M722=phu!$I$86,M722=phu!$I$87,M722=phu!$I$88),"Cam Thịnh Tây",""),IF(OR(M722=phu!$I$89,M722=phu!$I$90),"Cam Lập",""),IF(OR(M722=phu!$I$91,M722=phu!$I$92,M722=phu!$I$93),"Cam Bình",""),IF(OR(M722=phu!$I$94,M722=phu!$I$95,M722=phu!$I$96,M722=phu!$I$97,M722=phu!$I$98,M722=phu!$I$99,M722=phu!$I$100),"Huyện khác",""),IF(OR(M722=phu!$I$101,M722=phu!$I$102),"Tỉnh khác",""))</f>
        <v/>
      </c>
      <c r="O722" s="814" t="str">
        <f t="shared" si="67"/>
        <v/>
      </c>
      <c r="P722" s="254"/>
      <c r="Q722" s="254"/>
      <c r="R722" s="254"/>
      <c r="S722" s="254"/>
      <c r="T722" s="254"/>
      <c r="U722" s="254"/>
      <c r="V722" s="254"/>
      <c r="W722" s="254"/>
      <c r="Y722" s="246" t="str">
        <f t="shared" si="68"/>
        <v/>
      </c>
      <c r="Z722" s="247" t="str">
        <f t="shared" si="66"/>
        <v/>
      </c>
      <c r="AA722" s="246" t="str">
        <f t="shared" si="69"/>
        <v/>
      </c>
    </row>
    <row r="723" spans="1:27" ht="18" customHeight="1" x14ac:dyDescent="0.25">
      <c r="A723" s="248" t="str">
        <f t="shared" si="70"/>
        <v/>
      </c>
      <c r="B723" s="249" t="str">
        <f t="shared" si="71"/>
        <v/>
      </c>
      <c r="C723" s="250"/>
      <c r="D723" s="251"/>
      <c r="E723" s="241"/>
      <c r="F723" s="252"/>
      <c r="G723" s="252"/>
      <c r="H723" s="253"/>
      <c r="I723" s="250"/>
      <c r="J723" s="250"/>
      <c r="K723" s="270"/>
      <c r="L723" s="250"/>
      <c r="M723" s="250"/>
      <c r="N723" s="553" t="str">
        <f>CONCATENATE(IF(OR(M723=phu!$I$1,M723=phu!$I$2,M723=phu!$I$3),"Cam Thành Nam",""),IF(OR(M723=phu!$I$4,M723=phu!$I$5,M723=phu!$I$6,M723=phu!$I$7,M723=phu!$I$8,M723=phu!$I$9,M723=phu!$I$10,M723=phu!$I$11,M723=phu!$I$12,M723=phu!$I$13,M723=phu!$I$14),"Cam Nghĩa",""),IF(OR(M723=phu!$I$15,M723=phu!$I$16,M723=phu!$I$17,M723=phu!$I$18,M723=phu!$I$19,M723=phu!$I$20,M723=phu!$I$21),"Cam Phúc Bắc",""),IF(OR(M723=phu!$I$22,M723=phu!$I$23,M723=phu!$I$24,M723=phu!$I$25),"Cam Phúc Nam",""),IF(OR(M723=phu!$I$26,M723=phu!$I$27,M723=phu!$I$28,M723=phu!$I$29,M723=phu!$I$30,M723=phu!$I$31),"Cam Phú",""),IF(OR(M723=phu!$I$32,M723=phu!$I$33,M723=phu!$I$34,M723=phu!$I$35,M723=phu!$I$36,M723=phu!$I$37),"Cam Lộc",""),IF(OR(M723=phu!$I$38,M723=phu!$I$39,M723=phu!$I$40,M723=phu!$I$41,M723=phu!$I$42,M723=phu!$I$43,M723=phu!$I$44),"Cam Thuận",""),IF(OR(M723=phu!$I$45,M723=phu!$I$46,M723=phu!$I$47,M723=phu!$I$48,M723=phu!$I$49,M723=phu!$I$50,M723=phu!$I$51,M723=phu!$I$52,M723=phu!$I$53),"Cam Linh",""),IF(OR(M723=phu!$I$54,M723=phu!$I$55,M723=phu!$I$56,M723=phu!$I$57,M723=phu!$I$58,M723=phu!$I$59,M723=phu!$I$60,M723=phu!$I$61,M723=phu!$I$62),"Cam Lợi",""),IF(OR(M723=phu!$I$63,M723=phu!$I$64,M723=phu!$I$65,M723=phu!$I$66,M723=phu!$I$67,M723=phu!$I$68,M723=phu!$I$69,M723=phu!$I$70,M723=phu!$I$71),"Ba Ngòi",""),IF(OR(M723=phu!$I$72,M723=phu!$I$73,M723=phu!$I$74,M723=phu!$I$75,M723=phu!$I$76,M723=phu!$I$77,M723=phu!$I$78),"Cam Phước Đông",""),IF(OR(M723=phu!$I$79,M723=phu!$I$80,M723=phu!$I$81,M723=phu!$I$82,M723=phu!$I$83,M723=phu!$I$84),"Cam Thịnh Đông",""),IF(OR(M723=phu!$I$85,M723=phu!$I$86,M723=phu!$I$87,M723=phu!$I$88),"Cam Thịnh Tây",""),IF(OR(M723=phu!$I$89,M723=phu!$I$90),"Cam Lập",""),IF(OR(M723=phu!$I$91,M723=phu!$I$92,M723=phu!$I$93),"Cam Bình",""),IF(OR(M723=phu!$I$94,M723=phu!$I$95,M723=phu!$I$96,M723=phu!$I$97,M723=phu!$I$98,M723=phu!$I$99,M723=phu!$I$100),"Huyện khác",""),IF(OR(M723=phu!$I$101,M723=phu!$I$102),"Tỉnh khác",""))</f>
        <v/>
      </c>
      <c r="O723" s="814" t="str">
        <f t="shared" si="67"/>
        <v/>
      </c>
      <c r="P723" s="254"/>
      <c r="Q723" s="254"/>
      <c r="R723" s="254"/>
      <c r="S723" s="254"/>
      <c r="T723" s="254"/>
      <c r="U723" s="254"/>
      <c r="V723" s="254"/>
      <c r="W723" s="254"/>
      <c r="Y723" s="246" t="str">
        <f t="shared" si="68"/>
        <v/>
      </c>
      <c r="Z723" s="247" t="str">
        <f t="shared" si="66"/>
        <v/>
      </c>
      <c r="AA723" s="246" t="str">
        <f t="shared" si="69"/>
        <v/>
      </c>
    </row>
    <row r="724" spans="1:27" ht="18" customHeight="1" x14ac:dyDescent="0.25">
      <c r="A724" s="248" t="str">
        <f t="shared" si="70"/>
        <v/>
      </c>
      <c r="B724" s="249" t="str">
        <f t="shared" si="71"/>
        <v/>
      </c>
      <c r="C724" s="250"/>
      <c r="D724" s="251"/>
      <c r="E724" s="241"/>
      <c r="F724" s="252"/>
      <c r="G724" s="252"/>
      <c r="H724" s="253"/>
      <c r="I724" s="250"/>
      <c r="J724" s="250"/>
      <c r="K724" s="270"/>
      <c r="L724" s="250"/>
      <c r="M724" s="250"/>
      <c r="N724" s="553" t="str">
        <f>CONCATENATE(IF(OR(M724=phu!$I$1,M724=phu!$I$2,M724=phu!$I$3),"Cam Thành Nam",""),IF(OR(M724=phu!$I$4,M724=phu!$I$5,M724=phu!$I$6,M724=phu!$I$7,M724=phu!$I$8,M724=phu!$I$9,M724=phu!$I$10,M724=phu!$I$11,M724=phu!$I$12,M724=phu!$I$13,M724=phu!$I$14),"Cam Nghĩa",""),IF(OR(M724=phu!$I$15,M724=phu!$I$16,M724=phu!$I$17,M724=phu!$I$18,M724=phu!$I$19,M724=phu!$I$20,M724=phu!$I$21),"Cam Phúc Bắc",""),IF(OR(M724=phu!$I$22,M724=phu!$I$23,M724=phu!$I$24,M724=phu!$I$25),"Cam Phúc Nam",""),IF(OR(M724=phu!$I$26,M724=phu!$I$27,M724=phu!$I$28,M724=phu!$I$29,M724=phu!$I$30,M724=phu!$I$31),"Cam Phú",""),IF(OR(M724=phu!$I$32,M724=phu!$I$33,M724=phu!$I$34,M724=phu!$I$35,M724=phu!$I$36,M724=phu!$I$37),"Cam Lộc",""),IF(OR(M724=phu!$I$38,M724=phu!$I$39,M724=phu!$I$40,M724=phu!$I$41,M724=phu!$I$42,M724=phu!$I$43,M724=phu!$I$44),"Cam Thuận",""),IF(OR(M724=phu!$I$45,M724=phu!$I$46,M724=phu!$I$47,M724=phu!$I$48,M724=phu!$I$49,M724=phu!$I$50,M724=phu!$I$51,M724=phu!$I$52,M724=phu!$I$53),"Cam Linh",""),IF(OR(M724=phu!$I$54,M724=phu!$I$55,M724=phu!$I$56,M724=phu!$I$57,M724=phu!$I$58,M724=phu!$I$59,M724=phu!$I$60,M724=phu!$I$61,M724=phu!$I$62),"Cam Lợi",""),IF(OR(M724=phu!$I$63,M724=phu!$I$64,M724=phu!$I$65,M724=phu!$I$66,M724=phu!$I$67,M724=phu!$I$68,M724=phu!$I$69,M724=phu!$I$70,M724=phu!$I$71),"Ba Ngòi",""),IF(OR(M724=phu!$I$72,M724=phu!$I$73,M724=phu!$I$74,M724=phu!$I$75,M724=phu!$I$76,M724=phu!$I$77,M724=phu!$I$78),"Cam Phước Đông",""),IF(OR(M724=phu!$I$79,M724=phu!$I$80,M724=phu!$I$81,M724=phu!$I$82,M724=phu!$I$83,M724=phu!$I$84),"Cam Thịnh Đông",""),IF(OR(M724=phu!$I$85,M724=phu!$I$86,M724=phu!$I$87,M724=phu!$I$88),"Cam Thịnh Tây",""),IF(OR(M724=phu!$I$89,M724=phu!$I$90),"Cam Lập",""),IF(OR(M724=phu!$I$91,M724=phu!$I$92,M724=phu!$I$93),"Cam Bình",""),IF(OR(M724=phu!$I$94,M724=phu!$I$95,M724=phu!$I$96,M724=phu!$I$97,M724=phu!$I$98,M724=phu!$I$99,M724=phu!$I$100),"Huyện khác",""),IF(OR(M724=phu!$I$101,M724=phu!$I$102),"Tỉnh khác",""))</f>
        <v/>
      </c>
      <c r="O724" s="814" t="str">
        <f t="shared" si="67"/>
        <v/>
      </c>
      <c r="P724" s="254"/>
      <c r="Q724" s="254"/>
      <c r="R724" s="254"/>
      <c r="S724" s="254"/>
      <c r="T724" s="254"/>
      <c r="U724" s="254"/>
      <c r="V724" s="254"/>
      <c r="W724" s="254"/>
      <c r="Y724" s="246" t="str">
        <f t="shared" si="68"/>
        <v/>
      </c>
      <c r="Z724" s="247" t="str">
        <f t="shared" si="66"/>
        <v/>
      </c>
      <c r="AA724" s="246" t="str">
        <f t="shared" si="69"/>
        <v/>
      </c>
    </row>
    <row r="725" spans="1:27" ht="18" customHeight="1" x14ac:dyDescent="0.25">
      <c r="A725" s="248" t="str">
        <f t="shared" si="70"/>
        <v/>
      </c>
      <c r="B725" s="249" t="str">
        <f t="shared" si="71"/>
        <v/>
      </c>
      <c r="C725" s="250"/>
      <c r="D725" s="251"/>
      <c r="E725" s="241"/>
      <c r="F725" s="252"/>
      <c r="G725" s="252"/>
      <c r="H725" s="253"/>
      <c r="I725" s="250"/>
      <c r="J725" s="250"/>
      <c r="K725" s="270"/>
      <c r="L725" s="250"/>
      <c r="M725" s="250"/>
      <c r="N725" s="553" t="str">
        <f>CONCATENATE(IF(OR(M725=phu!$I$1,M725=phu!$I$2,M725=phu!$I$3),"Cam Thành Nam",""),IF(OR(M725=phu!$I$4,M725=phu!$I$5,M725=phu!$I$6,M725=phu!$I$7,M725=phu!$I$8,M725=phu!$I$9,M725=phu!$I$10,M725=phu!$I$11,M725=phu!$I$12,M725=phu!$I$13,M725=phu!$I$14),"Cam Nghĩa",""),IF(OR(M725=phu!$I$15,M725=phu!$I$16,M725=phu!$I$17,M725=phu!$I$18,M725=phu!$I$19,M725=phu!$I$20,M725=phu!$I$21),"Cam Phúc Bắc",""),IF(OR(M725=phu!$I$22,M725=phu!$I$23,M725=phu!$I$24,M725=phu!$I$25),"Cam Phúc Nam",""),IF(OR(M725=phu!$I$26,M725=phu!$I$27,M725=phu!$I$28,M725=phu!$I$29,M725=phu!$I$30,M725=phu!$I$31),"Cam Phú",""),IF(OR(M725=phu!$I$32,M725=phu!$I$33,M725=phu!$I$34,M725=phu!$I$35,M725=phu!$I$36,M725=phu!$I$37),"Cam Lộc",""),IF(OR(M725=phu!$I$38,M725=phu!$I$39,M725=phu!$I$40,M725=phu!$I$41,M725=phu!$I$42,M725=phu!$I$43,M725=phu!$I$44),"Cam Thuận",""),IF(OR(M725=phu!$I$45,M725=phu!$I$46,M725=phu!$I$47,M725=phu!$I$48,M725=phu!$I$49,M725=phu!$I$50,M725=phu!$I$51,M725=phu!$I$52,M725=phu!$I$53),"Cam Linh",""),IF(OR(M725=phu!$I$54,M725=phu!$I$55,M725=phu!$I$56,M725=phu!$I$57,M725=phu!$I$58,M725=phu!$I$59,M725=phu!$I$60,M725=phu!$I$61,M725=phu!$I$62),"Cam Lợi",""),IF(OR(M725=phu!$I$63,M725=phu!$I$64,M725=phu!$I$65,M725=phu!$I$66,M725=phu!$I$67,M725=phu!$I$68,M725=phu!$I$69,M725=phu!$I$70,M725=phu!$I$71),"Ba Ngòi",""),IF(OR(M725=phu!$I$72,M725=phu!$I$73,M725=phu!$I$74,M725=phu!$I$75,M725=phu!$I$76,M725=phu!$I$77,M725=phu!$I$78),"Cam Phước Đông",""),IF(OR(M725=phu!$I$79,M725=phu!$I$80,M725=phu!$I$81,M725=phu!$I$82,M725=phu!$I$83,M725=phu!$I$84),"Cam Thịnh Đông",""),IF(OR(M725=phu!$I$85,M725=phu!$I$86,M725=phu!$I$87,M725=phu!$I$88),"Cam Thịnh Tây",""),IF(OR(M725=phu!$I$89,M725=phu!$I$90),"Cam Lập",""),IF(OR(M725=phu!$I$91,M725=phu!$I$92,M725=phu!$I$93),"Cam Bình",""),IF(OR(M725=phu!$I$94,M725=phu!$I$95,M725=phu!$I$96,M725=phu!$I$97,M725=phu!$I$98,M725=phu!$I$99,M725=phu!$I$100),"Huyện khác",""),IF(OR(M725=phu!$I$101,M725=phu!$I$102),"Tỉnh khác",""))</f>
        <v/>
      </c>
      <c r="O725" s="814" t="str">
        <f t="shared" si="67"/>
        <v/>
      </c>
      <c r="P725" s="254"/>
      <c r="Q725" s="254"/>
      <c r="R725" s="254"/>
      <c r="S725" s="254"/>
      <c r="T725" s="254"/>
      <c r="U725" s="254"/>
      <c r="V725" s="254"/>
      <c r="W725" s="254"/>
      <c r="Y725" s="246" t="str">
        <f t="shared" si="68"/>
        <v/>
      </c>
      <c r="Z725" s="247" t="str">
        <f t="shared" si="66"/>
        <v/>
      </c>
      <c r="AA725" s="246" t="str">
        <f t="shared" si="69"/>
        <v/>
      </c>
    </row>
    <row r="726" spans="1:27" ht="18" customHeight="1" x14ac:dyDescent="0.25">
      <c r="A726" s="248" t="str">
        <f t="shared" si="70"/>
        <v/>
      </c>
      <c r="B726" s="249" t="str">
        <f t="shared" si="71"/>
        <v/>
      </c>
      <c r="C726" s="250"/>
      <c r="D726" s="251"/>
      <c r="E726" s="241"/>
      <c r="F726" s="252"/>
      <c r="G726" s="252"/>
      <c r="H726" s="253"/>
      <c r="I726" s="250"/>
      <c r="J726" s="250"/>
      <c r="K726" s="270"/>
      <c r="L726" s="250"/>
      <c r="M726" s="250"/>
      <c r="N726" s="553" t="str">
        <f>CONCATENATE(IF(OR(M726=phu!$I$1,M726=phu!$I$2,M726=phu!$I$3),"Cam Thành Nam",""),IF(OR(M726=phu!$I$4,M726=phu!$I$5,M726=phu!$I$6,M726=phu!$I$7,M726=phu!$I$8,M726=phu!$I$9,M726=phu!$I$10,M726=phu!$I$11,M726=phu!$I$12,M726=phu!$I$13,M726=phu!$I$14),"Cam Nghĩa",""),IF(OR(M726=phu!$I$15,M726=phu!$I$16,M726=phu!$I$17,M726=phu!$I$18,M726=phu!$I$19,M726=phu!$I$20,M726=phu!$I$21),"Cam Phúc Bắc",""),IF(OR(M726=phu!$I$22,M726=phu!$I$23,M726=phu!$I$24,M726=phu!$I$25),"Cam Phúc Nam",""),IF(OR(M726=phu!$I$26,M726=phu!$I$27,M726=phu!$I$28,M726=phu!$I$29,M726=phu!$I$30,M726=phu!$I$31),"Cam Phú",""),IF(OR(M726=phu!$I$32,M726=phu!$I$33,M726=phu!$I$34,M726=phu!$I$35,M726=phu!$I$36,M726=phu!$I$37),"Cam Lộc",""),IF(OR(M726=phu!$I$38,M726=phu!$I$39,M726=phu!$I$40,M726=phu!$I$41,M726=phu!$I$42,M726=phu!$I$43,M726=phu!$I$44),"Cam Thuận",""),IF(OR(M726=phu!$I$45,M726=phu!$I$46,M726=phu!$I$47,M726=phu!$I$48,M726=phu!$I$49,M726=phu!$I$50,M726=phu!$I$51,M726=phu!$I$52,M726=phu!$I$53),"Cam Linh",""),IF(OR(M726=phu!$I$54,M726=phu!$I$55,M726=phu!$I$56,M726=phu!$I$57,M726=phu!$I$58,M726=phu!$I$59,M726=phu!$I$60,M726=phu!$I$61,M726=phu!$I$62),"Cam Lợi",""),IF(OR(M726=phu!$I$63,M726=phu!$I$64,M726=phu!$I$65,M726=phu!$I$66,M726=phu!$I$67,M726=phu!$I$68,M726=phu!$I$69,M726=phu!$I$70,M726=phu!$I$71),"Ba Ngòi",""),IF(OR(M726=phu!$I$72,M726=phu!$I$73,M726=phu!$I$74,M726=phu!$I$75,M726=phu!$I$76,M726=phu!$I$77,M726=phu!$I$78),"Cam Phước Đông",""),IF(OR(M726=phu!$I$79,M726=phu!$I$80,M726=phu!$I$81,M726=phu!$I$82,M726=phu!$I$83,M726=phu!$I$84),"Cam Thịnh Đông",""),IF(OR(M726=phu!$I$85,M726=phu!$I$86,M726=phu!$I$87,M726=phu!$I$88),"Cam Thịnh Tây",""),IF(OR(M726=phu!$I$89,M726=phu!$I$90),"Cam Lập",""),IF(OR(M726=phu!$I$91,M726=phu!$I$92,M726=phu!$I$93),"Cam Bình",""),IF(OR(M726=phu!$I$94,M726=phu!$I$95,M726=phu!$I$96,M726=phu!$I$97,M726=phu!$I$98,M726=phu!$I$99,M726=phu!$I$100),"Huyện khác",""),IF(OR(M726=phu!$I$101,M726=phu!$I$102),"Tỉnh khác",""))</f>
        <v/>
      </c>
      <c r="O726" s="814" t="str">
        <f t="shared" si="67"/>
        <v/>
      </c>
      <c r="P726" s="254"/>
      <c r="Q726" s="254"/>
      <c r="R726" s="254"/>
      <c r="S726" s="254"/>
      <c r="T726" s="254"/>
      <c r="U726" s="254"/>
      <c r="V726" s="254"/>
      <c r="W726" s="254"/>
      <c r="Y726" s="246" t="str">
        <f t="shared" si="68"/>
        <v/>
      </c>
      <c r="Z726" s="247" t="str">
        <f t="shared" si="66"/>
        <v/>
      </c>
      <c r="AA726" s="246" t="str">
        <f t="shared" si="69"/>
        <v/>
      </c>
    </row>
    <row r="727" spans="1:27" ht="18" customHeight="1" x14ac:dyDescent="0.25">
      <c r="A727" s="248" t="str">
        <f t="shared" si="70"/>
        <v/>
      </c>
      <c r="B727" s="249" t="str">
        <f t="shared" si="71"/>
        <v/>
      </c>
      <c r="C727" s="250"/>
      <c r="D727" s="251"/>
      <c r="E727" s="241"/>
      <c r="F727" s="252"/>
      <c r="G727" s="252"/>
      <c r="H727" s="253"/>
      <c r="I727" s="250"/>
      <c r="J727" s="250"/>
      <c r="K727" s="270"/>
      <c r="L727" s="250"/>
      <c r="M727" s="250"/>
      <c r="N727" s="553" t="str">
        <f>CONCATENATE(IF(OR(M727=phu!$I$1,M727=phu!$I$2,M727=phu!$I$3),"Cam Thành Nam",""),IF(OR(M727=phu!$I$4,M727=phu!$I$5,M727=phu!$I$6,M727=phu!$I$7,M727=phu!$I$8,M727=phu!$I$9,M727=phu!$I$10,M727=phu!$I$11,M727=phu!$I$12,M727=phu!$I$13,M727=phu!$I$14),"Cam Nghĩa",""),IF(OR(M727=phu!$I$15,M727=phu!$I$16,M727=phu!$I$17,M727=phu!$I$18,M727=phu!$I$19,M727=phu!$I$20,M727=phu!$I$21),"Cam Phúc Bắc",""),IF(OR(M727=phu!$I$22,M727=phu!$I$23,M727=phu!$I$24,M727=phu!$I$25),"Cam Phúc Nam",""),IF(OR(M727=phu!$I$26,M727=phu!$I$27,M727=phu!$I$28,M727=phu!$I$29,M727=phu!$I$30,M727=phu!$I$31),"Cam Phú",""),IF(OR(M727=phu!$I$32,M727=phu!$I$33,M727=phu!$I$34,M727=phu!$I$35,M727=phu!$I$36,M727=phu!$I$37),"Cam Lộc",""),IF(OR(M727=phu!$I$38,M727=phu!$I$39,M727=phu!$I$40,M727=phu!$I$41,M727=phu!$I$42,M727=phu!$I$43,M727=phu!$I$44),"Cam Thuận",""),IF(OR(M727=phu!$I$45,M727=phu!$I$46,M727=phu!$I$47,M727=phu!$I$48,M727=phu!$I$49,M727=phu!$I$50,M727=phu!$I$51,M727=phu!$I$52,M727=phu!$I$53),"Cam Linh",""),IF(OR(M727=phu!$I$54,M727=phu!$I$55,M727=phu!$I$56,M727=phu!$I$57,M727=phu!$I$58,M727=phu!$I$59,M727=phu!$I$60,M727=phu!$I$61,M727=phu!$I$62),"Cam Lợi",""),IF(OR(M727=phu!$I$63,M727=phu!$I$64,M727=phu!$I$65,M727=phu!$I$66,M727=phu!$I$67,M727=phu!$I$68,M727=phu!$I$69,M727=phu!$I$70,M727=phu!$I$71),"Ba Ngòi",""),IF(OR(M727=phu!$I$72,M727=phu!$I$73,M727=phu!$I$74,M727=phu!$I$75,M727=phu!$I$76,M727=phu!$I$77,M727=phu!$I$78),"Cam Phước Đông",""),IF(OR(M727=phu!$I$79,M727=phu!$I$80,M727=phu!$I$81,M727=phu!$I$82,M727=phu!$I$83,M727=phu!$I$84),"Cam Thịnh Đông",""),IF(OR(M727=phu!$I$85,M727=phu!$I$86,M727=phu!$I$87,M727=phu!$I$88),"Cam Thịnh Tây",""),IF(OR(M727=phu!$I$89,M727=phu!$I$90),"Cam Lập",""),IF(OR(M727=phu!$I$91,M727=phu!$I$92,M727=phu!$I$93),"Cam Bình",""),IF(OR(M727=phu!$I$94,M727=phu!$I$95,M727=phu!$I$96,M727=phu!$I$97,M727=phu!$I$98,M727=phu!$I$99,M727=phu!$I$100),"Huyện khác",""),IF(OR(M727=phu!$I$101,M727=phu!$I$102),"Tỉnh khác",""))</f>
        <v/>
      </c>
      <c r="O727" s="814" t="str">
        <f t="shared" si="67"/>
        <v/>
      </c>
      <c r="P727" s="254"/>
      <c r="Q727" s="254"/>
      <c r="R727" s="254"/>
      <c r="S727" s="254"/>
      <c r="T727" s="254"/>
      <c r="U727" s="254"/>
      <c r="V727" s="254"/>
      <c r="W727" s="254"/>
      <c r="Y727" s="246" t="str">
        <f t="shared" si="68"/>
        <v/>
      </c>
      <c r="Z727" s="247" t="str">
        <f t="shared" si="66"/>
        <v/>
      </c>
      <c r="AA727" s="246" t="str">
        <f t="shared" si="69"/>
        <v/>
      </c>
    </row>
    <row r="728" spans="1:27" ht="18" customHeight="1" x14ac:dyDescent="0.25">
      <c r="A728" s="248" t="str">
        <f t="shared" si="70"/>
        <v/>
      </c>
      <c r="B728" s="249" t="str">
        <f t="shared" si="71"/>
        <v/>
      </c>
      <c r="C728" s="250"/>
      <c r="D728" s="251"/>
      <c r="E728" s="241"/>
      <c r="F728" s="252"/>
      <c r="G728" s="252"/>
      <c r="H728" s="253"/>
      <c r="I728" s="250"/>
      <c r="J728" s="250"/>
      <c r="K728" s="270"/>
      <c r="L728" s="250"/>
      <c r="M728" s="250"/>
      <c r="N728" s="553" t="str">
        <f>CONCATENATE(IF(OR(M728=phu!$I$1,M728=phu!$I$2,M728=phu!$I$3),"Cam Thành Nam",""),IF(OR(M728=phu!$I$4,M728=phu!$I$5,M728=phu!$I$6,M728=phu!$I$7,M728=phu!$I$8,M728=phu!$I$9,M728=phu!$I$10,M728=phu!$I$11,M728=phu!$I$12,M728=phu!$I$13,M728=phu!$I$14),"Cam Nghĩa",""),IF(OR(M728=phu!$I$15,M728=phu!$I$16,M728=phu!$I$17,M728=phu!$I$18,M728=phu!$I$19,M728=phu!$I$20,M728=phu!$I$21),"Cam Phúc Bắc",""),IF(OR(M728=phu!$I$22,M728=phu!$I$23,M728=phu!$I$24,M728=phu!$I$25),"Cam Phúc Nam",""),IF(OR(M728=phu!$I$26,M728=phu!$I$27,M728=phu!$I$28,M728=phu!$I$29,M728=phu!$I$30,M728=phu!$I$31),"Cam Phú",""),IF(OR(M728=phu!$I$32,M728=phu!$I$33,M728=phu!$I$34,M728=phu!$I$35,M728=phu!$I$36,M728=phu!$I$37),"Cam Lộc",""),IF(OR(M728=phu!$I$38,M728=phu!$I$39,M728=phu!$I$40,M728=phu!$I$41,M728=phu!$I$42,M728=phu!$I$43,M728=phu!$I$44),"Cam Thuận",""),IF(OR(M728=phu!$I$45,M728=phu!$I$46,M728=phu!$I$47,M728=phu!$I$48,M728=phu!$I$49,M728=phu!$I$50,M728=phu!$I$51,M728=phu!$I$52,M728=phu!$I$53),"Cam Linh",""),IF(OR(M728=phu!$I$54,M728=phu!$I$55,M728=phu!$I$56,M728=phu!$I$57,M728=phu!$I$58,M728=phu!$I$59,M728=phu!$I$60,M728=phu!$I$61,M728=phu!$I$62),"Cam Lợi",""),IF(OR(M728=phu!$I$63,M728=phu!$I$64,M728=phu!$I$65,M728=phu!$I$66,M728=phu!$I$67,M728=phu!$I$68,M728=phu!$I$69,M728=phu!$I$70,M728=phu!$I$71),"Ba Ngòi",""),IF(OR(M728=phu!$I$72,M728=phu!$I$73,M728=phu!$I$74,M728=phu!$I$75,M728=phu!$I$76,M728=phu!$I$77,M728=phu!$I$78),"Cam Phước Đông",""),IF(OR(M728=phu!$I$79,M728=phu!$I$80,M728=phu!$I$81,M728=phu!$I$82,M728=phu!$I$83,M728=phu!$I$84),"Cam Thịnh Đông",""),IF(OR(M728=phu!$I$85,M728=phu!$I$86,M728=phu!$I$87,M728=phu!$I$88),"Cam Thịnh Tây",""),IF(OR(M728=phu!$I$89,M728=phu!$I$90),"Cam Lập",""),IF(OR(M728=phu!$I$91,M728=phu!$I$92,M728=phu!$I$93),"Cam Bình",""),IF(OR(M728=phu!$I$94,M728=phu!$I$95,M728=phu!$I$96,M728=phu!$I$97,M728=phu!$I$98,M728=phu!$I$99,M728=phu!$I$100),"Huyện khác",""),IF(OR(M728=phu!$I$101,M728=phu!$I$102),"Tỉnh khác",""))</f>
        <v/>
      </c>
      <c r="O728" s="814" t="str">
        <f t="shared" si="67"/>
        <v/>
      </c>
      <c r="P728" s="254"/>
      <c r="Q728" s="254"/>
      <c r="R728" s="254"/>
      <c r="S728" s="254"/>
      <c r="T728" s="254"/>
      <c r="U728" s="254"/>
      <c r="V728" s="254"/>
      <c r="W728" s="254"/>
      <c r="Y728" s="246" t="str">
        <f t="shared" si="68"/>
        <v/>
      </c>
      <c r="Z728" s="247" t="str">
        <f t="shared" si="66"/>
        <v/>
      </c>
      <c r="AA728" s="246" t="str">
        <f t="shared" si="69"/>
        <v/>
      </c>
    </row>
    <row r="729" spans="1:27" ht="18" customHeight="1" x14ac:dyDescent="0.25">
      <c r="A729" s="248" t="str">
        <f t="shared" si="70"/>
        <v/>
      </c>
      <c r="B729" s="249" t="str">
        <f t="shared" si="71"/>
        <v/>
      </c>
      <c r="C729" s="250"/>
      <c r="D729" s="251"/>
      <c r="E729" s="241"/>
      <c r="F729" s="252"/>
      <c r="G729" s="252"/>
      <c r="H729" s="253"/>
      <c r="I729" s="250"/>
      <c r="J729" s="250"/>
      <c r="K729" s="270"/>
      <c r="L729" s="250"/>
      <c r="M729" s="250"/>
      <c r="N729" s="553" t="str">
        <f>CONCATENATE(IF(OR(M729=phu!$I$1,M729=phu!$I$2,M729=phu!$I$3),"Cam Thành Nam",""),IF(OR(M729=phu!$I$4,M729=phu!$I$5,M729=phu!$I$6,M729=phu!$I$7,M729=phu!$I$8,M729=phu!$I$9,M729=phu!$I$10,M729=phu!$I$11,M729=phu!$I$12,M729=phu!$I$13,M729=phu!$I$14),"Cam Nghĩa",""),IF(OR(M729=phu!$I$15,M729=phu!$I$16,M729=phu!$I$17,M729=phu!$I$18,M729=phu!$I$19,M729=phu!$I$20,M729=phu!$I$21),"Cam Phúc Bắc",""),IF(OR(M729=phu!$I$22,M729=phu!$I$23,M729=phu!$I$24,M729=phu!$I$25),"Cam Phúc Nam",""),IF(OR(M729=phu!$I$26,M729=phu!$I$27,M729=phu!$I$28,M729=phu!$I$29,M729=phu!$I$30,M729=phu!$I$31),"Cam Phú",""),IF(OR(M729=phu!$I$32,M729=phu!$I$33,M729=phu!$I$34,M729=phu!$I$35,M729=phu!$I$36,M729=phu!$I$37),"Cam Lộc",""),IF(OR(M729=phu!$I$38,M729=phu!$I$39,M729=phu!$I$40,M729=phu!$I$41,M729=phu!$I$42,M729=phu!$I$43,M729=phu!$I$44),"Cam Thuận",""),IF(OR(M729=phu!$I$45,M729=phu!$I$46,M729=phu!$I$47,M729=phu!$I$48,M729=phu!$I$49,M729=phu!$I$50,M729=phu!$I$51,M729=phu!$I$52,M729=phu!$I$53),"Cam Linh",""),IF(OR(M729=phu!$I$54,M729=phu!$I$55,M729=phu!$I$56,M729=phu!$I$57,M729=phu!$I$58,M729=phu!$I$59,M729=phu!$I$60,M729=phu!$I$61,M729=phu!$I$62),"Cam Lợi",""),IF(OR(M729=phu!$I$63,M729=phu!$I$64,M729=phu!$I$65,M729=phu!$I$66,M729=phu!$I$67,M729=phu!$I$68,M729=phu!$I$69,M729=phu!$I$70,M729=phu!$I$71),"Ba Ngòi",""),IF(OR(M729=phu!$I$72,M729=phu!$I$73,M729=phu!$I$74,M729=phu!$I$75,M729=phu!$I$76,M729=phu!$I$77,M729=phu!$I$78),"Cam Phước Đông",""),IF(OR(M729=phu!$I$79,M729=phu!$I$80,M729=phu!$I$81,M729=phu!$I$82,M729=phu!$I$83,M729=phu!$I$84),"Cam Thịnh Đông",""),IF(OR(M729=phu!$I$85,M729=phu!$I$86,M729=phu!$I$87,M729=phu!$I$88),"Cam Thịnh Tây",""),IF(OR(M729=phu!$I$89,M729=phu!$I$90),"Cam Lập",""),IF(OR(M729=phu!$I$91,M729=phu!$I$92,M729=phu!$I$93),"Cam Bình",""),IF(OR(M729=phu!$I$94,M729=phu!$I$95,M729=phu!$I$96,M729=phu!$I$97,M729=phu!$I$98,M729=phu!$I$99,M729=phu!$I$100),"Huyện khác",""),IF(OR(M729=phu!$I$101,M729=phu!$I$102),"Tỉnh khác",""))</f>
        <v/>
      </c>
      <c r="O729" s="814" t="str">
        <f t="shared" si="67"/>
        <v/>
      </c>
      <c r="P729" s="254"/>
      <c r="Q729" s="254"/>
      <c r="R729" s="254"/>
      <c r="S729" s="254"/>
      <c r="T729" s="254"/>
      <c r="U729" s="254"/>
      <c r="V729" s="254"/>
      <c r="W729" s="254"/>
      <c r="Y729" s="246" t="str">
        <f t="shared" si="68"/>
        <v/>
      </c>
      <c r="Z729" s="247" t="str">
        <f t="shared" si="66"/>
        <v/>
      </c>
      <c r="AA729" s="246" t="str">
        <f t="shared" si="69"/>
        <v/>
      </c>
    </row>
    <row r="730" spans="1:27" ht="18" customHeight="1" x14ac:dyDescent="0.25">
      <c r="A730" s="248" t="str">
        <f t="shared" si="70"/>
        <v/>
      </c>
      <c r="B730" s="249" t="str">
        <f t="shared" si="71"/>
        <v/>
      </c>
      <c r="C730" s="250"/>
      <c r="D730" s="251"/>
      <c r="E730" s="241"/>
      <c r="F730" s="252"/>
      <c r="G730" s="252"/>
      <c r="H730" s="253"/>
      <c r="I730" s="250"/>
      <c r="J730" s="250"/>
      <c r="K730" s="270"/>
      <c r="L730" s="250"/>
      <c r="M730" s="250"/>
      <c r="N730" s="553" t="str">
        <f>CONCATENATE(IF(OR(M730=phu!$I$1,M730=phu!$I$2,M730=phu!$I$3),"Cam Thành Nam",""),IF(OR(M730=phu!$I$4,M730=phu!$I$5,M730=phu!$I$6,M730=phu!$I$7,M730=phu!$I$8,M730=phu!$I$9,M730=phu!$I$10,M730=phu!$I$11,M730=phu!$I$12,M730=phu!$I$13,M730=phu!$I$14),"Cam Nghĩa",""),IF(OR(M730=phu!$I$15,M730=phu!$I$16,M730=phu!$I$17,M730=phu!$I$18,M730=phu!$I$19,M730=phu!$I$20,M730=phu!$I$21),"Cam Phúc Bắc",""),IF(OR(M730=phu!$I$22,M730=phu!$I$23,M730=phu!$I$24,M730=phu!$I$25),"Cam Phúc Nam",""),IF(OR(M730=phu!$I$26,M730=phu!$I$27,M730=phu!$I$28,M730=phu!$I$29,M730=phu!$I$30,M730=phu!$I$31),"Cam Phú",""),IF(OR(M730=phu!$I$32,M730=phu!$I$33,M730=phu!$I$34,M730=phu!$I$35,M730=phu!$I$36,M730=phu!$I$37),"Cam Lộc",""),IF(OR(M730=phu!$I$38,M730=phu!$I$39,M730=phu!$I$40,M730=phu!$I$41,M730=phu!$I$42,M730=phu!$I$43,M730=phu!$I$44),"Cam Thuận",""),IF(OR(M730=phu!$I$45,M730=phu!$I$46,M730=phu!$I$47,M730=phu!$I$48,M730=phu!$I$49,M730=phu!$I$50,M730=phu!$I$51,M730=phu!$I$52,M730=phu!$I$53),"Cam Linh",""),IF(OR(M730=phu!$I$54,M730=phu!$I$55,M730=phu!$I$56,M730=phu!$I$57,M730=phu!$I$58,M730=phu!$I$59,M730=phu!$I$60,M730=phu!$I$61,M730=phu!$I$62),"Cam Lợi",""),IF(OR(M730=phu!$I$63,M730=phu!$I$64,M730=phu!$I$65,M730=phu!$I$66,M730=phu!$I$67,M730=phu!$I$68,M730=phu!$I$69,M730=phu!$I$70,M730=phu!$I$71),"Ba Ngòi",""),IF(OR(M730=phu!$I$72,M730=phu!$I$73,M730=phu!$I$74,M730=phu!$I$75,M730=phu!$I$76,M730=phu!$I$77,M730=phu!$I$78),"Cam Phước Đông",""),IF(OR(M730=phu!$I$79,M730=phu!$I$80,M730=phu!$I$81,M730=phu!$I$82,M730=phu!$I$83,M730=phu!$I$84),"Cam Thịnh Đông",""),IF(OR(M730=phu!$I$85,M730=phu!$I$86,M730=phu!$I$87,M730=phu!$I$88),"Cam Thịnh Tây",""),IF(OR(M730=phu!$I$89,M730=phu!$I$90),"Cam Lập",""),IF(OR(M730=phu!$I$91,M730=phu!$I$92,M730=phu!$I$93),"Cam Bình",""),IF(OR(M730=phu!$I$94,M730=phu!$I$95,M730=phu!$I$96,M730=phu!$I$97,M730=phu!$I$98,M730=phu!$I$99,M730=phu!$I$100),"Huyện khác",""),IF(OR(M730=phu!$I$101,M730=phu!$I$102),"Tỉnh khác",""))</f>
        <v/>
      </c>
      <c r="O730" s="814" t="str">
        <f t="shared" si="67"/>
        <v/>
      </c>
      <c r="P730" s="254"/>
      <c r="Q730" s="254"/>
      <c r="R730" s="254"/>
      <c r="S730" s="254"/>
      <c r="T730" s="254"/>
      <c r="U730" s="254"/>
      <c r="V730" s="254"/>
      <c r="W730" s="254"/>
      <c r="Y730" s="246" t="str">
        <f t="shared" si="68"/>
        <v/>
      </c>
      <c r="Z730" s="247" t="str">
        <f t="shared" si="66"/>
        <v/>
      </c>
      <c r="AA730" s="246" t="str">
        <f t="shared" si="69"/>
        <v/>
      </c>
    </row>
    <row r="731" spans="1:27" ht="18" customHeight="1" x14ac:dyDescent="0.25">
      <c r="A731" s="248" t="str">
        <f t="shared" si="70"/>
        <v/>
      </c>
      <c r="B731" s="249" t="str">
        <f t="shared" si="71"/>
        <v/>
      </c>
      <c r="C731" s="250"/>
      <c r="D731" s="251"/>
      <c r="E731" s="241"/>
      <c r="F731" s="252"/>
      <c r="G731" s="252"/>
      <c r="H731" s="253"/>
      <c r="I731" s="250"/>
      <c r="J731" s="250"/>
      <c r="K731" s="270"/>
      <c r="L731" s="250"/>
      <c r="M731" s="250"/>
      <c r="N731" s="553" t="str">
        <f>CONCATENATE(IF(OR(M731=phu!$I$1,M731=phu!$I$2,M731=phu!$I$3),"Cam Thành Nam",""),IF(OR(M731=phu!$I$4,M731=phu!$I$5,M731=phu!$I$6,M731=phu!$I$7,M731=phu!$I$8,M731=phu!$I$9,M731=phu!$I$10,M731=phu!$I$11,M731=phu!$I$12,M731=phu!$I$13,M731=phu!$I$14),"Cam Nghĩa",""),IF(OR(M731=phu!$I$15,M731=phu!$I$16,M731=phu!$I$17,M731=phu!$I$18,M731=phu!$I$19,M731=phu!$I$20,M731=phu!$I$21),"Cam Phúc Bắc",""),IF(OR(M731=phu!$I$22,M731=phu!$I$23,M731=phu!$I$24,M731=phu!$I$25),"Cam Phúc Nam",""),IF(OR(M731=phu!$I$26,M731=phu!$I$27,M731=phu!$I$28,M731=phu!$I$29,M731=phu!$I$30,M731=phu!$I$31),"Cam Phú",""),IF(OR(M731=phu!$I$32,M731=phu!$I$33,M731=phu!$I$34,M731=phu!$I$35,M731=phu!$I$36,M731=phu!$I$37),"Cam Lộc",""),IF(OR(M731=phu!$I$38,M731=phu!$I$39,M731=phu!$I$40,M731=phu!$I$41,M731=phu!$I$42,M731=phu!$I$43,M731=phu!$I$44),"Cam Thuận",""),IF(OR(M731=phu!$I$45,M731=phu!$I$46,M731=phu!$I$47,M731=phu!$I$48,M731=phu!$I$49,M731=phu!$I$50,M731=phu!$I$51,M731=phu!$I$52,M731=phu!$I$53),"Cam Linh",""),IF(OR(M731=phu!$I$54,M731=phu!$I$55,M731=phu!$I$56,M731=phu!$I$57,M731=phu!$I$58,M731=phu!$I$59,M731=phu!$I$60,M731=phu!$I$61,M731=phu!$I$62),"Cam Lợi",""),IF(OR(M731=phu!$I$63,M731=phu!$I$64,M731=phu!$I$65,M731=phu!$I$66,M731=phu!$I$67,M731=phu!$I$68,M731=phu!$I$69,M731=phu!$I$70,M731=phu!$I$71),"Ba Ngòi",""),IF(OR(M731=phu!$I$72,M731=phu!$I$73,M731=phu!$I$74,M731=phu!$I$75,M731=phu!$I$76,M731=phu!$I$77,M731=phu!$I$78),"Cam Phước Đông",""),IF(OR(M731=phu!$I$79,M731=phu!$I$80,M731=phu!$I$81,M731=phu!$I$82,M731=phu!$I$83,M731=phu!$I$84),"Cam Thịnh Đông",""),IF(OR(M731=phu!$I$85,M731=phu!$I$86,M731=phu!$I$87,M731=phu!$I$88),"Cam Thịnh Tây",""),IF(OR(M731=phu!$I$89,M731=phu!$I$90),"Cam Lập",""),IF(OR(M731=phu!$I$91,M731=phu!$I$92,M731=phu!$I$93),"Cam Bình",""),IF(OR(M731=phu!$I$94,M731=phu!$I$95,M731=phu!$I$96,M731=phu!$I$97,M731=phu!$I$98,M731=phu!$I$99,M731=phu!$I$100),"Huyện khác",""),IF(OR(M731=phu!$I$101,M731=phu!$I$102),"Tỉnh khác",""))</f>
        <v/>
      </c>
      <c r="O731" s="814" t="str">
        <f t="shared" si="67"/>
        <v/>
      </c>
      <c r="P731" s="254"/>
      <c r="Q731" s="254"/>
      <c r="R731" s="254"/>
      <c r="S731" s="254"/>
      <c r="T731" s="254"/>
      <c r="U731" s="254"/>
      <c r="V731" s="254"/>
      <c r="W731" s="254"/>
      <c r="Y731" s="246" t="str">
        <f t="shared" si="68"/>
        <v/>
      </c>
      <c r="Z731" s="247" t="str">
        <f t="shared" si="66"/>
        <v/>
      </c>
      <c r="AA731" s="246" t="str">
        <f t="shared" si="69"/>
        <v/>
      </c>
    </row>
    <row r="732" spans="1:27" ht="18" customHeight="1" x14ac:dyDescent="0.25">
      <c r="A732" s="248" t="str">
        <f t="shared" si="70"/>
        <v/>
      </c>
      <c r="B732" s="249" t="str">
        <f t="shared" si="71"/>
        <v/>
      </c>
      <c r="C732" s="250"/>
      <c r="D732" s="251"/>
      <c r="E732" s="241"/>
      <c r="F732" s="252"/>
      <c r="G732" s="252"/>
      <c r="H732" s="253"/>
      <c r="I732" s="250"/>
      <c r="J732" s="250"/>
      <c r="K732" s="270"/>
      <c r="L732" s="250"/>
      <c r="M732" s="250"/>
      <c r="N732" s="553" t="str">
        <f>CONCATENATE(IF(OR(M732=phu!$I$1,M732=phu!$I$2,M732=phu!$I$3),"Cam Thành Nam",""),IF(OR(M732=phu!$I$4,M732=phu!$I$5,M732=phu!$I$6,M732=phu!$I$7,M732=phu!$I$8,M732=phu!$I$9,M732=phu!$I$10,M732=phu!$I$11,M732=phu!$I$12,M732=phu!$I$13,M732=phu!$I$14),"Cam Nghĩa",""),IF(OR(M732=phu!$I$15,M732=phu!$I$16,M732=phu!$I$17,M732=phu!$I$18,M732=phu!$I$19,M732=phu!$I$20,M732=phu!$I$21),"Cam Phúc Bắc",""),IF(OR(M732=phu!$I$22,M732=phu!$I$23,M732=phu!$I$24,M732=phu!$I$25),"Cam Phúc Nam",""),IF(OR(M732=phu!$I$26,M732=phu!$I$27,M732=phu!$I$28,M732=phu!$I$29,M732=phu!$I$30,M732=phu!$I$31),"Cam Phú",""),IF(OR(M732=phu!$I$32,M732=phu!$I$33,M732=phu!$I$34,M732=phu!$I$35,M732=phu!$I$36,M732=phu!$I$37),"Cam Lộc",""),IF(OR(M732=phu!$I$38,M732=phu!$I$39,M732=phu!$I$40,M732=phu!$I$41,M732=phu!$I$42,M732=phu!$I$43,M732=phu!$I$44),"Cam Thuận",""),IF(OR(M732=phu!$I$45,M732=phu!$I$46,M732=phu!$I$47,M732=phu!$I$48,M732=phu!$I$49,M732=phu!$I$50,M732=phu!$I$51,M732=phu!$I$52,M732=phu!$I$53),"Cam Linh",""),IF(OR(M732=phu!$I$54,M732=phu!$I$55,M732=phu!$I$56,M732=phu!$I$57,M732=phu!$I$58,M732=phu!$I$59,M732=phu!$I$60,M732=phu!$I$61,M732=phu!$I$62),"Cam Lợi",""),IF(OR(M732=phu!$I$63,M732=phu!$I$64,M732=phu!$I$65,M732=phu!$I$66,M732=phu!$I$67,M732=phu!$I$68,M732=phu!$I$69,M732=phu!$I$70,M732=phu!$I$71),"Ba Ngòi",""),IF(OR(M732=phu!$I$72,M732=phu!$I$73,M732=phu!$I$74,M732=phu!$I$75,M732=phu!$I$76,M732=phu!$I$77,M732=phu!$I$78),"Cam Phước Đông",""),IF(OR(M732=phu!$I$79,M732=phu!$I$80,M732=phu!$I$81,M732=phu!$I$82,M732=phu!$I$83,M732=phu!$I$84),"Cam Thịnh Đông",""),IF(OR(M732=phu!$I$85,M732=phu!$I$86,M732=phu!$I$87,M732=phu!$I$88),"Cam Thịnh Tây",""),IF(OR(M732=phu!$I$89,M732=phu!$I$90),"Cam Lập",""),IF(OR(M732=phu!$I$91,M732=phu!$I$92,M732=phu!$I$93),"Cam Bình",""),IF(OR(M732=phu!$I$94,M732=phu!$I$95,M732=phu!$I$96,M732=phu!$I$97,M732=phu!$I$98,M732=phu!$I$99,M732=phu!$I$100),"Huyện khác",""),IF(OR(M732=phu!$I$101,M732=phu!$I$102),"Tỉnh khác",""))</f>
        <v/>
      </c>
      <c r="O732" s="814" t="str">
        <f t="shared" si="67"/>
        <v/>
      </c>
      <c r="P732" s="254"/>
      <c r="Q732" s="254"/>
      <c r="R732" s="254"/>
      <c r="S732" s="254"/>
      <c r="T732" s="254"/>
      <c r="U732" s="254"/>
      <c r="V732" s="254"/>
      <c r="W732" s="254"/>
      <c r="Y732" s="246" t="str">
        <f t="shared" si="68"/>
        <v/>
      </c>
      <c r="Z732" s="247" t="str">
        <f t="shared" si="66"/>
        <v/>
      </c>
      <c r="AA732" s="246" t="str">
        <f t="shared" si="69"/>
        <v/>
      </c>
    </row>
    <row r="733" spans="1:27" ht="18" customHeight="1" x14ac:dyDescent="0.25">
      <c r="A733" s="248" t="str">
        <f t="shared" si="70"/>
        <v/>
      </c>
      <c r="B733" s="249" t="str">
        <f t="shared" si="71"/>
        <v/>
      </c>
      <c r="C733" s="250"/>
      <c r="D733" s="251"/>
      <c r="E733" s="241"/>
      <c r="F733" s="252"/>
      <c r="G733" s="252"/>
      <c r="H733" s="253"/>
      <c r="I733" s="250"/>
      <c r="J733" s="250"/>
      <c r="K733" s="270"/>
      <c r="L733" s="250"/>
      <c r="M733" s="250"/>
      <c r="N733" s="553" t="str">
        <f>CONCATENATE(IF(OR(M733=phu!$I$1,M733=phu!$I$2,M733=phu!$I$3),"Cam Thành Nam",""),IF(OR(M733=phu!$I$4,M733=phu!$I$5,M733=phu!$I$6,M733=phu!$I$7,M733=phu!$I$8,M733=phu!$I$9,M733=phu!$I$10,M733=phu!$I$11,M733=phu!$I$12,M733=phu!$I$13,M733=phu!$I$14),"Cam Nghĩa",""),IF(OR(M733=phu!$I$15,M733=phu!$I$16,M733=phu!$I$17,M733=phu!$I$18,M733=phu!$I$19,M733=phu!$I$20,M733=phu!$I$21),"Cam Phúc Bắc",""),IF(OR(M733=phu!$I$22,M733=phu!$I$23,M733=phu!$I$24,M733=phu!$I$25),"Cam Phúc Nam",""),IF(OR(M733=phu!$I$26,M733=phu!$I$27,M733=phu!$I$28,M733=phu!$I$29,M733=phu!$I$30,M733=phu!$I$31),"Cam Phú",""),IF(OR(M733=phu!$I$32,M733=phu!$I$33,M733=phu!$I$34,M733=phu!$I$35,M733=phu!$I$36,M733=phu!$I$37),"Cam Lộc",""),IF(OR(M733=phu!$I$38,M733=phu!$I$39,M733=phu!$I$40,M733=phu!$I$41,M733=phu!$I$42,M733=phu!$I$43,M733=phu!$I$44),"Cam Thuận",""),IF(OR(M733=phu!$I$45,M733=phu!$I$46,M733=phu!$I$47,M733=phu!$I$48,M733=phu!$I$49,M733=phu!$I$50,M733=phu!$I$51,M733=phu!$I$52,M733=phu!$I$53),"Cam Linh",""),IF(OR(M733=phu!$I$54,M733=phu!$I$55,M733=phu!$I$56,M733=phu!$I$57,M733=phu!$I$58,M733=phu!$I$59,M733=phu!$I$60,M733=phu!$I$61,M733=phu!$I$62),"Cam Lợi",""),IF(OR(M733=phu!$I$63,M733=phu!$I$64,M733=phu!$I$65,M733=phu!$I$66,M733=phu!$I$67,M733=phu!$I$68,M733=phu!$I$69,M733=phu!$I$70,M733=phu!$I$71),"Ba Ngòi",""),IF(OR(M733=phu!$I$72,M733=phu!$I$73,M733=phu!$I$74,M733=phu!$I$75,M733=phu!$I$76,M733=phu!$I$77,M733=phu!$I$78),"Cam Phước Đông",""),IF(OR(M733=phu!$I$79,M733=phu!$I$80,M733=phu!$I$81,M733=phu!$I$82,M733=phu!$I$83,M733=phu!$I$84),"Cam Thịnh Đông",""),IF(OR(M733=phu!$I$85,M733=phu!$I$86,M733=phu!$I$87,M733=phu!$I$88),"Cam Thịnh Tây",""),IF(OR(M733=phu!$I$89,M733=phu!$I$90),"Cam Lập",""),IF(OR(M733=phu!$I$91,M733=phu!$I$92,M733=phu!$I$93),"Cam Bình",""),IF(OR(M733=phu!$I$94,M733=phu!$I$95,M733=phu!$I$96,M733=phu!$I$97,M733=phu!$I$98,M733=phu!$I$99,M733=phu!$I$100),"Huyện khác",""),IF(OR(M733=phu!$I$101,M733=phu!$I$102),"Tỉnh khác",""))</f>
        <v/>
      </c>
      <c r="O733" s="814" t="str">
        <f t="shared" si="67"/>
        <v/>
      </c>
      <c r="P733" s="254"/>
      <c r="Q733" s="254"/>
      <c r="R733" s="254"/>
      <c r="S733" s="254"/>
      <c r="T733" s="254"/>
      <c r="U733" s="254"/>
      <c r="V733" s="254"/>
      <c r="W733" s="254"/>
      <c r="Y733" s="246" t="str">
        <f t="shared" si="68"/>
        <v/>
      </c>
      <c r="Z733" s="247" t="str">
        <f t="shared" si="66"/>
        <v/>
      </c>
      <c r="AA733" s="246" t="str">
        <f t="shared" si="69"/>
        <v/>
      </c>
    </row>
    <row r="734" spans="1:27" ht="18" customHeight="1" x14ac:dyDescent="0.25">
      <c r="A734" s="248" t="str">
        <f t="shared" si="70"/>
        <v/>
      </c>
      <c r="B734" s="249" t="str">
        <f t="shared" si="71"/>
        <v/>
      </c>
      <c r="C734" s="250"/>
      <c r="D734" s="251"/>
      <c r="E734" s="241"/>
      <c r="F734" s="252"/>
      <c r="G734" s="252"/>
      <c r="H734" s="253"/>
      <c r="I734" s="250"/>
      <c r="J734" s="250"/>
      <c r="K734" s="270"/>
      <c r="L734" s="250"/>
      <c r="M734" s="250"/>
      <c r="N734" s="553" t="str">
        <f>CONCATENATE(IF(OR(M734=phu!$I$1,M734=phu!$I$2,M734=phu!$I$3),"Cam Thành Nam",""),IF(OR(M734=phu!$I$4,M734=phu!$I$5,M734=phu!$I$6,M734=phu!$I$7,M734=phu!$I$8,M734=phu!$I$9,M734=phu!$I$10,M734=phu!$I$11,M734=phu!$I$12,M734=phu!$I$13,M734=phu!$I$14),"Cam Nghĩa",""),IF(OR(M734=phu!$I$15,M734=phu!$I$16,M734=phu!$I$17,M734=phu!$I$18,M734=phu!$I$19,M734=phu!$I$20,M734=phu!$I$21),"Cam Phúc Bắc",""),IF(OR(M734=phu!$I$22,M734=phu!$I$23,M734=phu!$I$24,M734=phu!$I$25),"Cam Phúc Nam",""),IF(OR(M734=phu!$I$26,M734=phu!$I$27,M734=phu!$I$28,M734=phu!$I$29,M734=phu!$I$30,M734=phu!$I$31),"Cam Phú",""),IF(OR(M734=phu!$I$32,M734=phu!$I$33,M734=phu!$I$34,M734=phu!$I$35,M734=phu!$I$36,M734=phu!$I$37),"Cam Lộc",""),IF(OR(M734=phu!$I$38,M734=phu!$I$39,M734=phu!$I$40,M734=phu!$I$41,M734=phu!$I$42,M734=phu!$I$43,M734=phu!$I$44),"Cam Thuận",""),IF(OR(M734=phu!$I$45,M734=phu!$I$46,M734=phu!$I$47,M734=phu!$I$48,M734=phu!$I$49,M734=phu!$I$50,M734=phu!$I$51,M734=phu!$I$52,M734=phu!$I$53),"Cam Linh",""),IF(OR(M734=phu!$I$54,M734=phu!$I$55,M734=phu!$I$56,M734=phu!$I$57,M734=phu!$I$58,M734=phu!$I$59,M734=phu!$I$60,M734=phu!$I$61,M734=phu!$I$62),"Cam Lợi",""),IF(OR(M734=phu!$I$63,M734=phu!$I$64,M734=phu!$I$65,M734=phu!$I$66,M734=phu!$I$67,M734=phu!$I$68,M734=phu!$I$69,M734=phu!$I$70,M734=phu!$I$71),"Ba Ngòi",""),IF(OR(M734=phu!$I$72,M734=phu!$I$73,M734=phu!$I$74,M734=phu!$I$75,M734=phu!$I$76,M734=phu!$I$77,M734=phu!$I$78),"Cam Phước Đông",""),IF(OR(M734=phu!$I$79,M734=phu!$I$80,M734=phu!$I$81,M734=phu!$I$82,M734=phu!$I$83,M734=phu!$I$84),"Cam Thịnh Đông",""),IF(OR(M734=phu!$I$85,M734=phu!$I$86,M734=phu!$I$87,M734=phu!$I$88),"Cam Thịnh Tây",""),IF(OR(M734=phu!$I$89,M734=phu!$I$90),"Cam Lập",""),IF(OR(M734=phu!$I$91,M734=phu!$I$92,M734=phu!$I$93),"Cam Bình",""),IF(OR(M734=phu!$I$94,M734=phu!$I$95,M734=phu!$I$96,M734=phu!$I$97,M734=phu!$I$98,M734=phu!$I$99,M734=phu!$I$100),"Huyện khác",""),IF(OR(M734=phu!$I$101,M734=phu!$I$102),"Tỉnh khác",""))</f>
        <v/>
      </c>
      <c r="O734" s="814" t="str">
        <f t="shared" si="67"/>
        <v/>
      </c>
      <c r="P734" s="254"/>
      <c r="Q734" s="254"/>
      <c r="R734" s="254"/>
      <c r="S734" s="254"/>
      <c r="T734" s="254"/>
      <c r="U734" s="254"/>
      <c r="V734" s="254"/>
      <c r="W734" s="254"/>
      <c r="Y734" s="246" t="str">
        <f t="shared" si="68"/>
        <v/>
      </c>
      <c r="Z734" s="247" t="str">
        <f t="shared" si="66"/>
        <v/>
      </c>
      <c r="AA734" s="246" t="str">
        <f t="shared" si="69"/>
        <v/>
      </c>
    </row>
    <row r="735" spans="1:27" ht="18" customHeight="1" x14ac:dyDescent="0.25">
      <c r="A735" s="248" t="str">
        <f t="shared" si="70"/>
        <v/>
      </c>
      <c r="B735" s="249" t="str">
        <f t="shared" si="71"/>
        <v/>
      </c>
      <c r="C735" s="250"/>
      <c r="D735" s="251"/>
      <c r="E735" s="241"/>
      <c r="F735" s="252"/>
      <c r="G735" s="252"/>
      <c r="H735" s="253"/>
      <c r="I735" s="250"/>
      <c r="J735" s="250"/>
      <c r="K735" s="270"/>
      <c r="L735" s="250"/>
      <c r="M735" s="250"/>
      <c r="N735" s="553" t="str">
        <f>CONCATENATE(IF(OR(M735=phu!$I$1,M735=phu!$I$2,M735=phu!$I$3),"Cam Thành Nam",""),IF(OR(M735=phu!$I$4,M735=phu!$I$5,M735=phu!$I$6,M735=phu!$I$7,M735=phu!$I$8,M735=phu!$I$9,M735=phu!$I$10,M735=phu!$I$11,M735=phu!$I$12,M735=phu!$I$13,M735=phu!$I$14),"Cam Nghĩa",""),IF(OR(M735=phu!$I$15,M735=phu!$I$16,M735=phu!$I$17,M735=phu!$I$18,M735=phu!$I$19,M735=phu!$I$20,M735=phu!$I$21),"Cam Phúc Bắc",""),IF(OR(M735=phu!$I$22,M735=phu!$I$23,M735=phu!$I$24,M735=phu!$I$25),"Cam Phúc Nam",""),IF(OR(M735=phu!$I$26,M735=phu!$I$27,M735=phu!$I$28,M735=phu!$I$29,M735=phu!$I$30,M735=phu!$I$31),"Cam Phú",""),IF(OR(M735=phu!$I$32,M735=phu!$I$33,M735=phu!$I$34,M735=phu!$I$35,M735=phu!$I$36,M735=phu!$I$37),"Cam Lộc",""),IF(OR(M735=phu!$I$38,M735=phu!$I$39,M735=phu!$I$40,M735=phu!$I$41,M735=phu!$I$42,M735=phu!$I$43,M735=phu!$I$44),"Cam Thuận",""),IF(OR(M735=phu!$I$45,M735=phu!$I$46,M735=phu!$I$47,M735=phu!$I$48,M735=phu!$I$49,M735=phu!$I$50,M735=phu!$I$51,M735=phu!$I$52,M735=phu!$I$53),"Cam Linh",""),IF(OR(M735=phu!$I$54,M735=phu!$I$55,M735=phu!$I$56,M735=phu!$I$57,M735=phu!$I$58,M735=phu!$I$59,M735=phu!$I$60,M735=phu!$I$61,M735=phu!$I$62),"Cam Lợi",""),IF(OR(M735=phu!$I$63,M735=phu!$I$64,M735=phu!$I$65,M735=phu!$I$66,M735=phu!$I$67,M735=phu!$I$68,M735=phu!$I$69,M735=phu!$I$70,M735=phu!$I$71),"Ba Ngòi",""),IF(OR(M735=phu!$I$72,M735=phu!$I$73,M735=phu!$I$74,M735=phu!$I$75,M735=phu!$I$76,M735=phu!$I$77,M735=phu!$I$78),"Cam Phước Đông",""),IF(OR(M735=phu!$I$79,M735=phu!$I$80,M735=phu!$I$81,M735=phu!$I$82,M735=phu!$I$83,M735=phu!$I$84),"Cam Thịnh Đông",""),IF(OR(M735=phu!$I$85,M735=phu!$I$86,M735=phu!$I$87,M735=phu!$I$88),"Cam Thịnh Tây",""),IF(OR(M735=phu!$I$89,M735=phu!$I$90),"Cam Lập",""),IF(OR(M735=phu!$I$91,M735=phu!$I$92,M735=phu!$I$93),"Cam Bình",""),IF(OR(M735=phu!$I$94,M735=phu!$I$95,M735=phu!$I$96,M735=phu!$I$97,M735=phu!$I$98,M735=phu!$I$99,M735=phu!$I$100),"Huyện khác",""),IF(OR(M735=phu!$I$101,M735=phu!$I$102),"Tỉnh khác",""))</f>
        <v/>
      </c>
      <c r="O735" s="814" t="str">
        <f t="shared" si="67"/>
        <v/>
      </c>
      <c r="P735" s="254"/>
      <c r="Q735" s="254"/>
      <c r="R735" s="254"/>
      <c r="S735" s="254"/>
      <c r="T735" s="254"/>
      <c r="U735" s="254"/>
      <c r="V735" s="254"/>
      <c r="W735" s="254"/>
      <c r="Y735" s="246" t="str">
        <f t="shared" si="68"/>
        <v/>
      </c>
      <c r="Z735" s="247" t="str">
        <f t="shared" si="66"/>
        <v/>
      </c>
      <c r="AA735" s="246" t="str">
        <f t="shared" si="69"/>
        <v/>
      </c>
    </row>
    <row r="736" spans="1:27" ht="18" customHeight="1" x14ac:dyDescent="0.25">
      <c r="A736" s="248" t="str">
        <f t="shared" si="70"/>
        <v/>
      </c>
      <c r="B736" s="249" t="str">
        <f t="shared" si="71"/>
        <v/>
      </c>
      <c r="C736" s="250"/>
      <c r="D736" s="251"/>
      <c r="E736" s="241"/>
      <c r="F736" s="252"/>
      <c r="G736" s="252"/>
      <c r="H736" s="253"/>
      <c r="I736" s="250"/>
      <c r="J736" s="250"/>
      <c r="K736" s="270"/>
      <c r="L736" s="250"/>
      <c r="M736" s="250"/>
      <c r="N736" s="553" t="str">
        <f>CONCATENATE(IF(OR(M736=phu!$I$1,M736=phu!$I$2,M736=phu!$I$3),"Cam Thành Nam",""),IF(OR(M736=phu!$I$4,M736=phu!$I$5,M736=phu!$I$6,M736=phu!$I$7,M736=phu!$I$8,M736=phu!$I$9,M736=phu!$I$10,M736=phu!$I$11,M736=phu!$I$12,M736=phu!$I$13,M736=phu!$I$14),"Cam Nghĩa",""),IF(OR(M736=phu!$I$15,M736=phu!$I$16,M736=phu!$I$17,M736=phu!$I$18,M736=phu!$I$19,M736=phu!$I$20,M736=phu!$I$21),"Cam Phúc Bắc",""),IF(OR(M736=phu!$I$22,M736=phu!$I$23,M736=phu!$I$24,M736=phu!$I$25),"Cam Phúc Nam",""),IF(OR(M736=phu!$I$26,M736=phu!$I$27,M736=phu!$I$28,M736=phu!$I$29,M736=phu!$I$30,M736=phu!$I$31),"Cam Phú",""),IF(OR(M736=phu!$I$32,M736=phu!$I$33,M736=phu!$I$34,M736=phu!$I$35,M736=phu!$I$36,M736=phu!$I$37),"Cam Lộc",""),IF(OR(M736=phu!$I$38,M736=phu!$I$39,M736=phu!$I$40,M736=phu!$I$41,M736=phu!$I$42,M736=phu!$I$43,M736=phu!$I$44),"Cam Thuận",""),IF(OR(M736=phu!$I$45,M736=phu!$I$46,M736=phu!$I$47,M736=phu!$I$48,M736=phu!$I$49,M736=phu!$I$50,M736=phu!$I$51,M736=phu!$I$52,M736=phu!$I$53),"Cam Linh",""),IF(OR(M736=phu!$I$54,M736=phu!$I$55,M736=phu!$I$56,M736=phu!$I$57,M736=phu!$I$58,M736=phu!$I$59,M736=phu!$I$60,M736=phu!$I$61,M736=phu!$I$62),"Cam Lợi",""),IF(OR(M736=phu!$I$63,M736=phu!$I$64,M736=phu!$I$65,M736=phu!$I$66,M736=phu!$I$67,M736=phu!$I$68,M736=phu!$I$69,M736=phu!$I$70,M736=phu!$I$71),"Ba Ngòi",""),IF(OR(M736=phu!$I$72,M736=phu!$I$73,M736=phu!$I$74,M736=phu!$I$75,M736=phu!$I$76,M736=phu!$I$77,M736=phu!$I$78),"Cam Phước Đông",""),IF(OR(M736=phu!$I$79,M736=phu!$I$80,M736=phu!$I$81,M736=phu!$I$82,M736=phu!$I$83,M736=phu!$I$84),"Cam Thịnh Đông",""),IF(OR(M736=phu!$I$85,M736=phu!$I$86,M736=phu!$I$87,M736=phu!$I$88),"Cam Thịnh Tây",""),IF(OR(M736=phu!$I$89,M736=phu!$I$90),"Cam Lập",""),IF(OR(M736=phu!$I$91,M736=phu!$I$92,M736=phu!$I$93),"Cam Bình",""),IF(OR(M736=phu!$I$94,M736=phu!$I$95,M736=phu!$I$96,M736=phu!$I$97,M736=phu!$I$98,M736=phu!$I$99,M736=phu!$I$100),"Huyện khác",""),IF(OR(M736=phu!$I$101,M736=phu!$I$102),"Tỉnh khác",""))</f>
        <v/>
      </c>
      <c r="O736" s="814" t="str">
        <f t="shared" si="67"/>
        <v/>
      </c>
      <c r="P736" s="254"/>
      <c r="Q736" s="254"/>
      <c r="R736" s="254"/>
      <c r="S736" s="254"/>
      <c r="T736" s="254"/>
      <c r="U736" s="254"/>
      <c r="V736" s="254"/>
      <c r="W736" s="254"/>
      <c r="Y736" s="246" t="str">
        <f t="shared" si="68"/>
        <v/>
      </c>
      <c r="Z736" s="247" t="str">
        <f t="shared" si="66"/>
        <v/>
      </c>
      <c r="AA736" s="246" t="str">
        <f t="shared" si="69"/>
        <v/>
      </c>
    </row>
    <row r="737" spans="1:27" ht="18" customHeight="1" x14ac:dyDescent="0.25">
      <c r="A737" s="248" t="str">
        <f t="shared" si="70"/>
        <v/>
      </c>
      <c r="B737" s="249" t="str">
        <f t="shared" si="71"/>
        <v/>
      </c>
      <c r="C737" s="250"/>
      <c r="D737" s="251"/>
      <c r="E737" s="241"/>
      <c r="F737" s="252"/>
      <c r="G737" s="252"/>
      <c r="H737" s="253"/>
      <c r="I737" s="250"/>
      <c r="J737" s="250"/>
      <c r="K737" s="270"/>
      <c r="L737" s="250"/>
      <c r="M737" s="250"/>
      <c r="N737" s="553" t="str">
        <f>CONCATENATE(IF(OR(M737=phu!$I$1,M737=phu!$I$2,M737=phu!$I$3),"Cam Thành Nam",""),IF(OR(M737=phu!$I$4,M737=phu!$I$5,M737=phu!$I$6,M737=phu!$I$7,M737=phu!$I$8,M737=phu!$I$9,M737=phu!$I$10,M737=phu!$I$11,M737=phu!$I$12,M737=phu!$I$13,M737=phu!$I$14),"Cam Nghĩa",""),IF(OR(M737=phu!$I$15,M737=phu!$I$16,M737=phu!$I$17,M737=phu!$I$18,M737=phu!$I$19,M737=phu!$I$20,M737=phu!$I$21),"Cam Phúc Bắc",""),IF(OR(M737=phu!$I$22,M737=phu!$I$23,M737=phu!$I$24,M737=phu!$I$25),"Cam Phúc Nam",""),IF(OR(M737=phu!$I$26,M737=phu!$I$27,M737=phu!$I$28,M737=phu!$I$29,M737=phu!$I$30,M737=phu!$I$31),"Cam Phú",""),IF(OR(M737=phu!$I$32,M737=phu!$I$33,M737=phu!$I$34,M737=phu!$I$35,M737=phu!$I$36,M737=phu!$I$37),"Cam Lộc",""),IF(OR(M737=phu!$I$38,M737=phu!$I$39,M737=phu!$I$40,M737=phu!$I$41,M737=phu!$I$42,M737=phu!$I$43,M737=phu!$I$44),"Cam Thuận",""),IF(OR(M737=phu!$I$45,M737=phu!$I$46,M737=phu!$I$47,M737=phu!$I$48,M737=phu!$I$49,M737=phu!$I$50,M737=phu!$I$51,M737=phu!$I$52,M737=phu!$I$53),"Cam Linh",""),IF(OR(M737=phu!$I$54,M737=phu!$I$55,M737=phu!$I$56,M737=phu!$I$57,M737=phu!$I$58,M737=phu!$I$59,M737=phu!$I$60,M737=phu!$I$61,M737=phu!$I$62),"Cam Lợi",""),IF(OR(M737=phu!$I$63,M737=phu!$I$64,M737=phu!$I$65,M737=phu!$I$66,M737=phu!$I$67,M737=phu!$I$68,M737=phu!$I$69,M737=phu!$I$70,M737=phu!$I$71),"Ba Ngòi",""),IF(OR(M737=phu!$I$72,M737=phu!$I$73,M737=phu!$I$74,M737=phu!$I$75,M737=phu!$I$76,M737=phu!$I$77,M737=phu!$I$78),"Cam Phước Đông",""),IF(OR(M737=phu!$I$79,M737=phu!$I$80,M737=phu!$I$81,M737=phu!$I$82,M737=phu!$I$83,M737=phu!$I$84),"Cam Thịnh Đông",""),IF(OR(M737=phu!$I$85,M737=phu!$I$86,M737=phu!$I$87,M737=phu!$I$88),"Cam Thịnh Tây",""),IF(OR(M737=phu!$I$89,M737=phu!$I$90),"Cam Lập",""),IF(OR(M737=phu!$I$91,M737=phu!$I$92,M737=phu!$I$93),"Cam Bình",""),IF(OR(M737=phu!$I$94,M737=phu!$I$95,M737=phu!$I$96,M737=phu!$I$97,M737=phu!$I$98,M737=phu!$I$99,M737=phu!$I$100),"Huyện khác",""),IF(OR(M737=phu!$I$101,M737=phu!$I$102),"Tỉnh khác",""))</f>
        <v/>
      </c>
      <c r="O737" s="814" t="str">
        <f t="shared" si="67"/>
        <v/>
      </c>
      <c r="P737" s="254"/>
      <c r="Q737" s="254"/>
      <c r="R737" s="254"/>
      <c r="S737" s="254"/>
      <c r="T737" s="254"/>
      <c r="U737" s="254"/>
      <c r="V737" s="254"/>
      <c r="W737" s="254"/>
      <c r="Y737" s="246" t="str">
        <f t="shared" si="68"/>
        <v/>
      </c>
      <c r="Z737" s="247" t="str">
        <f t="shared" si="66"/>
        <v/>
      </c>
      <c r="AA737" s="246" t="str">
        <f t="shared" si="69"/>
        <v/>
      </c>
    </row>
    <row r="738" spans="1:27" ht="18" customHeight="1" x14ac:dyDescent="0.25">
      <c r="A738" s="248" t="str">
        <f t="shared" si="70"/>
        <v/>
      </c>
      <c r="B738" s="249" t="str">
        <f t="shared" si="71"/>
        <v/>
      </c>
      <c r="C738" s="250"/>
      <c r="D738" s="251"/>
      <c r="E738" s="241"/>
      <c r="F738" s="252"/>
      <c r="G738" s="252"/>
      <c r="H738" s="253"/>
      <c r="I738" s="250"/>
      <c r="J738" s="250"/>
      <c r="K738" s="270"/>
      <c r="L738" s="250"/>
      <c r="M738" s="250"/>
      <c r="N738" s="553" t="str">
        <f>CONCATENATE(IF(OR(M738=phu!$I$1,M738=phu!$I$2,M738=phu!$I$3),"Cam Thành Nam",""),IF(OR(M738=phu!$I$4,M738=phu!$I$5,M738=phu!$I$6,M738=phu!$I$7,M738=phu!$I$8,M738=phu!$I$9,M738=phu!$I$10,M738=phu!$I$11,M738=phu!$I$12,M738=phu!$I$13,M738=phu!$I$14),"Cam Nghĩa",""),IF(OR(M738=phu!$I$15,M738=phu!$I$16,M738=phu!$I$17,M738=phu!$I$18,M738=phu!$I$19,M738=phu!$I$20,M738=phu!$I$21),"Cam Phúc Bắc",""),IF(OR(M738=phu!$I$22,M738=phu!$I$23,M738=phu!$I$24,M738=phu!$I$25),"Cam Phúc Nam",""),IF(OR(M738=phu!$I$26,M738=phu!$I$27,M738=phu!$I$28,M738=phu!$I$29,M738=phu!$I$30,M738=phu!$I$31),"Cam Phú",""),IF(OR(M738=phu!$I$32,M738=phu!$I$33,M738=phu!$I$34,M738=phu!$I$35,M738=phu!$I$36,M738=phu!$I$37),"Cam Lộc",""),IF(OR(M738=phu!$I$38,M738=phu!$I$39,M738=phu!$I$40,M738=phu!$I$41,M738=phu!$I$42,M738=phu!$I$43,M738=phu!$I$44),"Cam Thuận",""),IF(OR(M738=phu!$I$45,M738=phu!$I$46,M738=phu!$I$47,M738=phu!$I$48,M738=phu!$I$49,M738=phu!$I$50,M738=phu!$I$51,M738=phu!$I$52,M738=phu!$I$53),"Cam Linh",""),IF(OR(M738=phu!$I$54,M738=phu!$I$55,M738=phu!$I$56,M738=phu!$I$57,M738=phu!$I$58,M738=phu!$I$59,M738=phu!$I$60,M738=phu!$I$61,M738=phu!$I$62),"Cam Lợi",""),IF(OR(M738=phu!$I$63,M738=phu!$I$64,M738=phu!$I$65,M738=phu!$I$66,M738=phu!$I$67,M738=phu!$I$68,M738=phu!$I$69,M738=phu!$I$70,M738=phu!$I$71),"Ba Ngòi",""),IF(OR(M738=phu!$I$72,M738=phu!$I$73,M738=phu!$I$74,M738=phu!$I$75,M738=phu!$I$76,M738=phu!$I$77,M738=phu!$I$78),"Cam Phước Đông",""),IF(OR(M738=phu!$I$79,M738=phu!$I$80,M738=phu!$I$81,M738=phu!$I$82,M738=phu!$I$83,M738=phu!$I$84),"Cam Thịnh Đông",""),IF(OR(M738=phu!$I$85,M738=phu!$I$86,M738=phu!$I$87,M738=phu!$I$88),"Cam Thịnh Tây",""),IF(OR(M738=phu!$I$89,M738=phu!$I$90),"Cam Lập",""),IF(OR(M738=phu!$I$91,M738=phu!$I$92,M738=phu!$I$93),"Cam Bình",""),IF(OR(M738=phu!$I$94,M738=phu!$I$95,M738=phu!$I$96,M738=phu!$I$97,M738=phu!$I$98,M738=phu!$I$99,M738=phu!$I$100),"Huyện khác",""),IF(OR(M738=phu!$I$101,M738=phu!$I$102),"Tỉnh khác",""))</f>
        <v/>
      </c>
      <c r="O738" s="814" t="str">
        <f t="shared" si="67"/>
        <v/>
      </c>
      <c r="P738" s="254"/>
      <c r="Q738" s="254"/>
      <c r="R738" s="254"/>
      <c r="S738" s="254"/>
      <c r="T738" s="254"/>
      <c r="U738" s="254"/>
      <c r="V738" s="254"/>
      <c r="W738" s="254"/>
      <c r="Y738" s="246" t="str">
        <f t="shared" si="68"/>
        <v/>
      </c>
      <c r="Z738" s="247" t="str">
        <f t="shared" si="66"/>
        <v/>
      </c>
      <c r="AA738" s="246" t="str">
        <f t="shared" si="69"/>
        <v/>
      </c>
    </row>
    <row r="739" spans="1:27" ht="18" customHeight="1" x14ac:dyDescent="0.25">
      <c r="A739" s="248" t="str">
        <f t="shared" si="70"/>
        <v/>
      </c>
      <c r="B739" s="249" t="str">
        <f t="shared" si="71"/>
        <v/>
      </c>
      <c r="C739" s="250"/>
      <c r="D739" s="251"/>
      <c r="E739" s="241"/>
      <c r="F739" s="252"/>
      <c r="G739" s="252"/>
      <c r="H739" s="253"/>
      <c r="I739" s="250"/>
      <c r="J739" s="250"/>
      <c r="K739" s="270"/>
      <c r="L739" s="250"/>
      <c r="M739" s="250"/>
      <c r="N739" s="553" t="str">
        <f>CONCATENATE(IF(OR(M739=phu!$I$1,M739=phu!$I$2,M739=phu!$I$3),"Cam Thành Nam",""),IF(OR(M739=phu!$I$4,M739=phu!$I$5,M739=phu!$I$6,M739=phu!$I$7,M739=phu!$I$8,M739=phu!$I$9,M739=phu!$I$10,M739=phu!$I$11,M739=phu!$I$12,M739=phu!$I$13,M739=phu!$I$14),"Cam Nghĩa",""),IF(OR(M739=phu!$I$15,M739=phu!$I$16,M739=phu!$I$17,M739=phu!$I$18,M739=phu!$I$19,M739=phu!$I$20,M739=phu!$I$21),"Cam Phúc Bắc",""),IF(OR(M739=phu!$I$22,M739=phu!$I$23,M739=phu!$I$24,M739=phu!$I$25),"Cam Phúc Nam",""),IF(OR(M739=phu!$I$26,M739=phu!$I$27,M739=phu!$I$28,M739=phu!$I$29,M739=phu!$I$30,M739=phu!$I$31),"Cam Phú",""),IF(OR(M739=phu!$I$32,M739=phu!$I$33,M739=phu!$I$34,M739=phu!$I$35,M739=phu!$I$36,M739=phu!$I$37),"Cam Lộc",""),IF(OR(M739=phu!$I$38,M739=phu!$I$39,M739=phu!$I$40,M739=phu!$I$41,M739=phu!$I$42,M739=phu!$I$43,M739=phu!$I$44),"Cam Thuận",""),IF(OR(M739=phu!$I$45,M739=phu!$I$46,M739=phu!$I$47,M739=phu!$I$48,M739=phu!$I$49,M739=phu!$I$50,M739=phu!$I$51,M739=phu!$I$52,M739=phu!$I$53),"Cam Linh",""),IF(OR(M739=phu!$I$54,M739=phu!$I$55,M739=phu!$I$56,M739=phu!$I$57,M739=phu!$I$58,M739=phu!$I$59,M739=phu!$I$60,M739=phu!$I$61,M739=phu!$I$62),"Cam Lợi",""),IF(OR(M739=phu!$I$63,M739=phu!$I$64,M739=phu!$I$65,M739=phu!$I$66,M739=phu!$I$67,M739=phu!$I$68,M739=phu!$I$69,M739=phu!$I$70,M739=phu!$I$71),"Ba Ngòi",""),IF(OR(M739=phu!$I$72,M739=phu!$I$73,M739=phu!$I$74,M739=phu!$I$75,M739=phu!$I$76,M739=phu!$I$77,M739=phu!$I$78),"Cam Phước Đông",""),IF(OR(M739=phu!$I$79,M739=phu!$I$80,M739=phu!$I$81,M739=phu!$I$82,M739=phu!$I$83,M739=phu!$I$84),"Cam Thịnh Đông",""),IF(OR(M739=phu!$I$85,M739=phu!$I$86,M739=phu!$I$87,M739=phu!$I$88),"Cam Thịnh Tây",""),IF(OR(M739=phu!$I$89,M739=phu!$I$90),"Cam Lập",""),IF(OR(M739=phu!$I$91,M739=phu!$I$92,M739=phu!$I$93),"Cam Bình",""),IF(OR(M739=phu!$I$94,M739=phu!$I$95,M739=phu!$I$96,M739=phu!$I$97,M739=phu!$I$98,M739=phu!$I$99,M739=phu!$I$100),"Huyện khác",""),IF(OR(M739=phu!$I$101,M739=phu!$I$102),"Tỉnh khác",""))</f>
        <v/>
      </c>
      <c r="O739" s="814" t="str">
        <f t="shared" si="67"/>
        <v/>
      </c>
      <c r="P739" s="254"/>
      <c r="Q739" s="254"/>
      <c r="R739" s="254"/>
      <c r="S739" s="254"/>
      <c r="T739" s="254"/>
      <c r="U739" s="254"/>
      <c r="V739" s="254"/>
      <c r="W739" s="254"/>
      <c r="Y739" s="246" t="str">
        <f t="shared" si="68"/>
        <v/>
      </c>
      <c r="Z739" s="247" t="str">
        <f t="shared" si="66"/>
        <v/>
      </c>
      <c r="AA739" s="246" t="str">
        <f t="shared" si="69"/>
        <v/>
      </c>
    </row>
    <row r="740" spans="1:27" ht="18" customHeight="1" x14ac:dyDescent="0.25">
      <c r="A740" s="248" t="str">
        <f t="shared" si="70"/>
        <v/>
      </c>
      <c r="B740" s="249" t="str">
        <f t="shared" si="71"/>
        <v/>
      </c>
      <c r="C740" s="250"/>
      <c r="D740" s="251"/>
      <c r="E740" s="241"/>
      <c r="F740" s="252"/>
      <c r="G740" s="252"/>
      <c r="H740" s="253"/>
      <c r="I740" s="250"/>
      <c r="J740" s="250"/>
      <c r="K740" s="270"/>
      <c r="L740" s="250"/>
      <c r="M740" s="250"/>
      <c r="N740" s="553" t="str">
        <f>CONCATENATE(IF(OR(M740=phu!$I$1,M740=phu!$I$2,M740=phu!$I$3),"Cam Thành Nam",""),IF(OR(M740=phu!$I$4,M740=phu!$I$5,M740=phu!$I$6,M740=phu!$I$7,M740=phu!$I$8,M740=phu!$I$9,M740=phu!$I$10,M740=phu!$I$11,M740=phu!$I$12,M740=phu!$I$13,M740=phu!$I$14),"Cam Nghĩa",""),IF(OR(M740=phu!$I$15,M740=phu!$I$16,M740=phu!$I$17,M740=phu!$I$18,M740=phu!$I$19,M740=phu!$I$20,M740=phu!$I$21),"Cam Phúc Bắc",""),IF(OR(M740=phu!$I$22,M740=phu!$I$23,M740=phu!$I$24,M740=phu!$I$25),"Cam Phúc Nam",""),IF(OR(M740=phu!$I$26,M740=phu!$I$27,M740=phu!$I$28,M740=phu!$I$29,M740=phu!$I$30,M740=phu!$I$31),"Cam Phú",""),IF(OR(M740=phu!$I$32,M740=phu!$I$33,M740=phu!$I$34,M740=phu!$I$35,M740=phu!$I$36,M740=phu!$I$37),"Cam Lộc",""),IF(OR(M740=phu!$I$38,M740=phu!$I$39,M740=phu!$I$40,M740=phu!$I$41,M740=phu!$I$42,M740=phu!$I$43,M740=phu!$I$44),"Cam Thuận",""),IF(OR(M740=phu!$I$45,M740=phu!$I$46,M740=phu!$I$47,M740=phu!$I$48,M740=phu!$I$49,M740=phu!$I$50,M740=phu!$I$51,M740=phu!$I$52,M740=phu!$I$53),"Cam Linh",""),IF(OR(M740=phu!$I$54,M740=phu!$I$55,M740=phu!$I$56,M740=phu!$I$57,M740=phu!$I$58,M740=phu!$I$59,M740=phu!$I$60,M740=phu!$I$61,M740=phu!$I$62),"Cam Lợi",""),IF(OR(M740=phu!$I$63,M740=phu!$I$64,M740=phu!$I$65,M740=phu!$I$66,M740=phu!$I$67,M740=phu!$I$68,M740=phu!$I$69,M740=phu!$I$70,M740=phu!$I$71),"Ba Ngòi",""),IF(OR(M740=phu!$I$72,M740=phu!$I$73,M740=phu!$I$74,M740=phu!$I$75,M740=phu!$I$76,M740=phu!$I$77,M740=phu!$I$78),"Cam Phước Đông",""),IF(OR(M740=phu!$I$79,M740=phu!$I$80,M740=phu!$I$81,M740=phu!$I$82,M740=phu!$I$83,M740=phu!$I$84),"Cam Thịnh Đông",""),IF(OR(M740=phu!$I$85,M740=phu!$I$86,M740=phu!$I$87,M740=phu!$I$88),"Cam Thịnh Tây",""),IF(OR(M740=phu!$I$89,M740=phu!$I$90),"Cam Lập",""),IF(OR(M740=phu!$I$91,M740=phu!$I$92,M740=phu!$I$93),"Cam Bình",""),IF(OR(M740=phu!$I$94,M740=phu!$I$95,M740=phu!$I$96,M740=phu!$I$97,M740=phu!$I$98,M740=phu!$I$99,M740=phu!$I$100),"Huyện khác",""),IF(OR(M740=phu!$I$101,M740=phu!$I$102),"Tỉnh khác",""))</f>
        <v/>
      </c>
      <c r="O740" s="814" t="str">
        <f t="shared" si="67"/>
        <v/>
      </c>
      <c r="P740" s="254"/>
      <c r="Q740" s="254"/>
      <c r="R740" s="254"/>
      <c r="S740" s="254"/>
      <c r="T740" s="254"/>
      <c r="U740" s="254"/>
      <c r="V740" s="254"/>
      <c r="W740" s="254"/>
      <c r="Y740" s="246" t="str">
        <f t="shared" si="68"/>
        <v/>
      </c>
      <c r="Z740" s="247" t="str">
        <f t="shared" si="66"/>
        <v/>
      </c>
      <c r="AA740" s="246" t="str">
        <f t="shared" si="69"/>
        <v/>
      </c>
    </row>
    <row r="741" spans="1:27" ht="18" customHeight="1" x14ac:dyDescent="0.25">
      <c r="A741" s="248" t="str">
        <f t="shared" si="70"/>
        <v/>
      </c>
      <c r="B741" s="249" t="str">
        <f t="shared" si="71"/>
        <v/>
      </c>
      <c r="C741" s="250"/>
      <c r="D741" s="251"/>
      <c r="E741" s="241"/>
      <c r="F741" s="252"/>
      <c r="G741" s="252"/>
      <c r="H741" s="253"/>
      <c r="I741" s="250"/>
      <c r="J741" s="250"/>
      <c r="K741" s="270"/>
      <c r="L741" s="250"/>
      <c r="M741" s="250"/>
      <c r="N741" s="553" t="str">
        <f>CONCATENATE(IF(OR(M741=phu!$I$1,M741=phu!$I$2,M741=phu!$I$3),"Cam Thành Nam",""),IF(OR(M741=phu!$I$4,M741=phu!$I$5,M741=phu!$I$6,M741=phu!$I$7,M741=phu!$I$8,M741=phu!$I$9,M741=phu!$I$10,M741=phu!$I$11,M741=phu!$I$12,M741=phu!$I$13,M741=phu!$I$14),"Cam Nghĩa",""),IF(OR(M741=phu!$I$15,M741=phu!$I$16,M741=phu!$I$17,M741=phu!$I$18,M741=phu!$I$19,M741=phu!$I$20,M741=phu!$I$21),"Cam Phúc Bắc",""),IF(OR(M741=phu!$I$22,M741=phu!$I$23,M741=phu!$I$24,M741=phu!$I$25),"Cam Phúc Nam",""),IF(OR(M741=phu!$I$26,M741=phu!$I$27,M741=phu!$I$28,M741=phu!$I$29,M741=phu!$I$30,M741=phu!$I$31),"Cam Phú",""),IF(OR(M741=phu!$I$32,M741=phu!$I$33,M741=phu!$I$34,M741=phu!$I$35,M741=phu!$I$36,M741=phu!$I$37),"Cam Lộc",""),IF(OR(M741=phu!$I$38,M741=phu!$I$39,M741=phu!$I$40,M741=phu!$I$41,M741=phu!$I$42,M741=phu!$I$43,M741=phu!$I$44),"Cam Thuận",""),IF(OR(M741=phu!$I$45,M741=phu!$I$46,M741=phu!$I$47,M741=phu!$I$48,M741=phu!$I$49,M741=phu!$I$50,M741=phu!$I$51,M741=phu!$I$52,M741=phu!$I$53),"Cam Linh",""),IF(OR(M741=phu!$I$54,M741=phu!$I$55,M741=phu!$I$56,M741=phu!$I$57,M741=phu!$I$58,M741=phu!$I$59,M741=phu!$I$60,M741=phu!$I$61,M741=phu!$I$62),"Cam Lợi",""),IF(OR(M741=phu!$I$63,M741=phu!$I$64,M741=phu!$I$65,M741=phu!$I$66,M741=phu!$I$67,M741=phu!$I$68,M741=phu!$I$69,M741=phu!$I$70,M741=phu!$I$71),"Ba Ngòi",""),IF(OR(M741=phu!$I$72,M741=phu!$I$73,M741=phu!$I$74,M741=phu!$I$75,M741=phu!$I$76,M741=phu!$I$77,M741=phu!$I$78),"Cam Phước Đông",""),IF(OR(M741=phu!$I$79,M741=phu!$I$80,M741=phu!$I$81,M741=phu!$I$82,M741=phu!$I$83,M741=phu!$I$84),"Cam Thịnh Đông",""),IF(OR(M741=phu!$I$85,M741=phu!$I$86,M741=phu!$I$87,M741=phu!$I$88),"Cam Thịnh Tây",""),IF(OR(M741=phu!$I$89,M741=phu!$I$90),"Cam Lập",""),IF(OR(M741=phu!$I$91,M741=phu!$I$92,M741=phu!$I$93),"Cam Bình",""),IF(OR(M741=phu!$I$94,M741=phu!$I$95,M741=phu!$I$96,M741=phu!$I$97,M741=phu!$I$98,M741=phu!$I$99,M741=phu!$I$100),"Huyện khác",""),IF(OR(M741=phu!$I$101,M741=phu!$I$102),"Tỉnh khác",""))</f>
        <v/>
      </c>
      <c r="O741" s="814" t="str">
        <f t="shared" si="67"/>
        <v/>
      </c>
      <c r="P741" s="254"/>
      <c r="Q741" s="254"/>
      <c r="R741" s="254"/>
      <c r="S741" s="254"/>
      <c r="T741" s="254"/>
      <c r="U741" s="254"/>
      <c r="V741" s="254"/>
      <c r="W741" s="254"/>
      <c r="Y741" s="246" t="str">
        <f t="shared" si="68"/>
        <v/>
      </c>
      <c r="Z741" s="247" t="str">
        <f t="shared" si="66"/>
        <v/>
      </c>
      <c r="AA741" s="246" t="str">
        <f t="shared" si="69"/>
        <v/>
      </c>
    </row>
    <row r="742" spans="1:27" ht="18" customHeight="1" x14ac:dyDescent="0.25">
      <c r="A742" s="248" t="str">
        <f t="shared" si="70"/>
        <v/>
      </c>
      <c r="B742" s="249" t="str">
        <f t="shared" si="71"/>
        <v/>
      </c>
      <c r="C742" s="250"/>
      <c r="D742" s="251"/>
      <c r="E742" s="241"/>
      <c r="F742" s="252"/>
      <c r="G742" s="252"/>
      <c r="H742" s="253"/>
      <c r="I742" s="250"/>
      <c r="J742" s="250"/>
      <c r="K742" s="270"/>
      <c r="L742" s="250"/>
      <c r="M742" s="250"/>
      <c r="N742" s="553" t="str">
        <f>CONCATENATE(IF(OR(M742=phu!$I$1,M742=phu!$I$2,M742=phu!$I$3),"Cam Thành Nam",""),IF(OR(M742=phu!$I$4,M742=phu!$I$5,M742=phu!$I$6,M742=phu!$I$7,M742=phu!$I$8,M742=phu!$I$9,M742=phu!$I$10,M742=phu!$I$11,M742=phu!$I$12,M742=phu!$I$13,M742=phu!$I$14),"Cam Nghĩa",""),IF(OR(M742=phu!$I$15,M742=phu!$I$16,M742=phu!$I$17,M742=phu!$I$18,M742=phu!$I$19,M742=phu!$I$20,M742=phu!$I$21),"Cam Phúc Bắc",""),IF(OR(M742=phu!$I$22,M742=phu!$I$23,M742=phu!$I$24,M742=phu!$I$25),"Cam Phúc Nam",""),IF(OR(M742=phu!$I$26,M742=phu!$I$27,M742=phu!$I$28,M742=phu!$I$29,M742=phu!$I$30,M742=phu!$I$31),"Cam Phú",""),IF(OR(M742=phu!$I$32,M742=phu!$I$33,M742=phu!$I$34,M742=phu!$I$35,M742=phu!$I$36,M742=phu!$I$37),"Cam Lộc",""),IF(OR(M742=phu!$I$38,M742=phu!$I$39,M742=phu!$I$40,M742=phu!$I$41,M742=phu!$I$42,M742=phu!$I$43,M742=phu!$I$44),"Cam Thuận",""),IF(OR(M742=phu!$I$45,M742=phu!$I$46,M742=phu!$I$47,M742=phu!$I$48,M742=phu!$I$49,M742=phu!$I$50,M742=phu!$I$51,M742=phu!$I$52,M742=phu!$I$53),"Cam Linh",""),IF(OR(M742=phu!$I$54,M742=phu!$I$55,M742=phu!$I$56,M742=phu!$I$57,M742=phu!$I$58,M742=phu!$I$59,M742=phu!$I$60,M742=phu!$I$61,M742=phu!$I$62),"Cam Lợi",""),IF(OR(M742=phu!$I$63,M742=phu!$I$64,M742=phu!$I$65,M742=phu!$I$66,M742=phu!$I$67,M742=phu!$I$68,M742=phu!$I$69,M742=phu!$I$70,M742=phu!$I$71),"Ba Ngòi",""),IF(OR(M742=phu!$I$72,M742=phu!$I$73,M742=phu!$I$74,M742=phu!$I$75,M742=phu!$I$76,M742=phu!$I$77,M742=phu!$I$78),"Cam Phước Đông",""),IF(OR(M742=phu!$I$79,M742=phu!$I$80,M742=phu!$I$81,M742=phu!$I$82,M742=phu!$I$83,M742=phu!$I$84),"Cam Thịnh Đông",""),IF(OR(M742=phu!$I$85,M742=phu!$I$86,M742=phu!$I$87,M742=phu!$I$88),"Cam Thịnh Tây",""),IF(OR(M742=phu!$I$89,M742=phu!$I$90),"Cam Lập",""),IF(OR(M742=phu!$I$91,M742=phu!$I$92,M742=phu!$I$93),"Cam Bình",""),IF(OR(M742=phu!$I$94,M742=phu!$I$95,M742=phu!$I$96,M742=phu!$I$97,M742=phu!$I$98,M742=phu!$I$99,M742=phu!$I$100),"Huyện khác",""),IF(OR(M742=phu!$I$101,M742=phu!$I$102),"Tỉnh khác",""))</f>
        <v/>
      </c>
      <c r="O742" s="814" t="str">
        <f t="shared" si="67"/>
        <v/>
      </c>
      <c r="P742" s="254"/>
      <c r="Q742" s="254"/>
      <c r="R742" s="254"/>
      <c r="S742" s="254"/>
      <c r="T742" s="254"/>
      <c r="U742" s="254"/>
      <c r="V742" s="254"/>
      <c r="W742" s="254"/>
      <c r="Y742" s="246" t="str">
        <f t="shared" si="68"/>
        <v/>
      </c>
      <c r="Z742" s="247" t="str">
        <f t="shared" si="66"/>
        <v/>
      </c>
      <c r="AA742" s="246" t="str">
        <f t="shared" si="69"/>
        <v/>
      </c>
    </row>
    <row r="743" spans="1:27" ht="18" customHeight="1" x14ac:dyDescent="0.25">
      <c r="A743" s="248" t="str">
        <f t="shared" si="70"/>
        <v/>
      </c>
      <c r="B743" s="249" t="str">
        <f t="shared" si="71"/>
        <v/>
      </c>
      <c r="C743" s="250"/>
      <c r="D743" s="251"/>
      <c r="E743" s="241"/>
      <c r="F743" s="252"/>
      <c r="G743" s="252"/>
      <c r="H743" s="253"/>
      <c r="I743" s="250"/>
      <c r="J743" s="250"/>
      <c r="K743" s="270"/>
      <c r="L743" s="250"/>
      <c r="M743" s="250"/>
      <c r="N743" s="553" t="str">
        <f>CONCATENATE(IF(OR(M743=phu!$I$1,M743=phu!$I$2,M743=phu!$I$3),"Cam Thành Nam",""),IF(OR(M743=phu!$I$4,M743=phu!$I$5,M743=phu!$I$6,M743=phu!$I$7,M743=phu!$I$8,M743=phu!$I$9,M743=phu!$I$10,M743=phu!$I$11,M743=phu!$I$12,M743=phu!$I$13,M743=phu!$I$14),"Cam Nghĩa",""),IF(OR(M743=phu!$I$15,M743=phu!$I$16,M743=phu!$I$17,M743=phu!$I$18,M743=phu!$I$19,M743=phu!$I$20,M743=phu!$I$21),"Cam Phúc Bắc",""),IF(OR(M743=phu!$I$22,M743=phu!$I$23,M743=phu!$I$24,M743=phu!$I$25),"Cam Phúc Nam",""),IF(OR(M743=phu!$I$26,M743=phu!$I$27,M743=phu!$I$28,M743=phu!$I$29,M743=phu!$I$30,M743=phu!$I$31),"Cam Phú",""),IF(OR(M743=phu!$I$32,M743=phu!$I$33,M743=phu!$I$34,M743=phu!$I$35,M743=phu!$I$36,M743=phu!$I$37),"Cam Lộc",""),IF(OR(M743=phu!$I$38,M743=phu!$I$39,M743=phu!$I$40,M743=phu!$I$41,M743=phu!$I$42,M743=phu!$I$43,M743=phu!$I$44),"Cam Thuận",""),IF(OR(M743=phu!$I$45,M743=phu!$I$46,M743=phu!$I$47,M743=phu!$I$48,M743=phu!$I$49,M743=phu!$I$50,M743=phu!$I$51,M743=phu!$I$52,M743=phu!$I$53),"Cam Linh",""),IF(OR(M743=phu!$I$54,M743=phu!$I$55,M743=phu!$I$56,M743=phu!$I$57,M743=phu!$I$58,M743=phu!$I$59,M743=phu!$I$60,M743=phu!$I$61,M743=phu!$I$62),"Cam Lợi",""),IF(OR(M743=phu!$I$63,M743=phu!$I$64,M743=phu!$I$65,M743=phu!$I$66,M743=phu!$I$67,M743=phu!$I$68,M743=phu!$I$69,M743=phu!$I$70,M743=phu!$I$71),"Ba Ngòi",""),IF(OR(M743=phu!$I$72,M743=phu!$I$73,M743=phu!$I$74,M743=phu!$I$75,M743=phu!$I$76,M743=phu!$I$77,M743=phu!$I$78),"Cam Phước Đông",""),IF(OR(M743=phu!$I$79,M743=phu!$I$80,M743=phu!$I$81,M743=phu!$I$82,M743=phu!$I$83,M743=phu!$I$84),"Cam Thịnh Đông",""),IF(OR(M743=phu!$I$85,M743=phu!$I$86,M743=phu!$I$87,M743=phu!$I$88),"Cam Thịnh Tây",""),IF(OR(M743=phu!$I$89,M743=phu!$I$90),"Cam Lập",""),IF(OR(M743=phu!$I$91,M743=phu!$I$92,M743=phu!$I$93),"Cam Bình",""),IF(OR(M743=phu!$I$94,M743=phu!$I$95,M743=phu!$I$96,M743=phu!$I$97,M743=phu!$I$98,M743=phu!$I$99,M743=phu!$I$100),"Huyện khác",""),IF(OR(M743=phu!$I$101,M743=phu!$I$102),"Tỉnh khác",""))</f>
        <v/>
      </c>
      <c r="O743" s="814" t="str">
        <f t="shared" si="67"/>
        <v/>
      </c>
      <c r="P743" s="254"/>
      <c r="Q743" s="254"/>
      <c r="R743" s="254"/>
      <c r="S743" s="254"/>
      <c r="T743" s="254"/>
      <c r="U743" s="254"/>
      <c r="V743" s="254"/>
      <c r="W743" s="254"/>
      <c r="Y743" s="246" t="str">
        <f t="shared" si="68"/>
        <v/>
      </c>
      <c r="Z743" s="247" t="str">
        <f t="shared" si="66"/>
        <v/>
      </c>
      <c r="AA743" s="246" t="str">
        <f t="shared" si="69"/>
        <v/>
      </c>
    </row>
    <row r="744" spans="1:27" ht="18" customHeight="1" x14ac:dyDescent="0.25">
      <c r="A744" s="248" t="str">
        <f t="shared" si="70"/>
        <v/>
      </c>
      <c r="B744" s="249" t="str">
        <f t="shared" si="71"/>
        <v/>
      </c>
      <c r="C744" s="250"/>
      <c r="D744" s="251"/>
      <c r="E744" s="241"/>
      <c r="F744" s="252"/>
      <c r="G744" s="252"/>
      <c r="H744" s="253"/>
      <c r="I744" s="250"/>
      <c r="J744" s="250"/>
      <c r="K744" s="270"/>
      <c r="L744" s="250"/>
      <c r="M744" s="250"/>
      <c r="N744" s="553" t="str">
        <f>CONCATENATE(IF(OR(M744=phu!$I$1,M744=phu!$I$2,M744=phu!$I$3),"Cam Thành Nam",""),IF(OR(M744=phu!$I$4,M744=phu!$I$5,M744=phu!$I$6,M744=phu!$I$7,M744=phu!$I$8,M744=phu!$I$9,M744=phu!$I$10,M744=phu!$I$11,M744=phu!$I$12,M744=phu!$I$13,M744=phu!$I$14),"Cam Nghĩa",""),IF(OR(M744=phu!$I$15,M744=phu!$I$16,M744=phu!$I$17,M744=phu!$I$18,M744=phu!$I$19,M744=phu!$I$20,M744=phu!$I$21),"Cam Phúc Bắc",""),IF(OR(M744=phu!$I$22,M744=phu!$I$23,M744=phu!$I$24,M744=phu!$I$25),"Cam Phúc Nam",""),IF(OR(M744=phu!$I$26,M744=phu!$I$27,M744=phu!$I$28,M744=phu!$I$29,M744=phu!$I$30,M744=phu!$I$31),"Cam Phú",""),IF(OR(M744=phu!$I$32,M744=phu!$I$33,M744=phu!$I$34,M744=phu!$I$35,M744=phu!$I$36,M744=phu!$I$37),"Cam Lộc",""),IF(OR(M744=phu!$I$38,M744=phu!$I$39,M744=phu!$I$40,M744=phu!$I$41,M744=phu!$I$42,M744=phu!$I$43,M744=phu!$I$44),"Cam Thuận",""),IF(OR(M744=phu!$I$45,M744=phu!$I$46,M744=phu!$I$47,M744=phu!$I$48,M744=phu!$I$49,M744=phu!$I$50,M744=phu!$I$51,M744=phu!$I$52,M744=phu!$I$53),"Cam Linh",""),IF(OR(M744=phu!$I$54,M744=phu!$I$55,M744=phu!$I$56,M744=phu!$I$57,M744=phu!$I$58,M744=phu!$I$59,M744=phu!$I$60,M744=phu!$I$61,M744=phu!$I$62),"Cam Lợi",""),IF(OR(M744=phu!$I$63,M744=phu!$I$64,M744=phu!$I$65,M744=phu!$I$66,M744=phu!$I$67,M744=phu!$I$68,M744=phu!$I$69,M744=phu!$I$70,M744=phu!$I$71),"Ba Ngòi",""),IF(OR(M744=phu!$I$72,M744=phu!$I$73,M744=phu!$I$74,M744=phu!$I$75,M744=phu!$I$76,M744=phu!$I$77,M744=phu!$I$78),"Cam Phước Đông",""),IF(OR(M744=phu!$I$79,M744=phu!$I$80,M744=phu!$I$81,M744=phu!$I$82,M744=phu!$I$83,M744=phu!$I$84),"Cam Thịnh Đông",""),IF(OR(M744=phu!$I$85,M744=phu!$I$86,M744=phu!$I$87,M744=phu!$I$88),"Cam Thịnh Tây",""),IF(OR(M744=phu!$I$89,M744=phu!$I$90),"Cam Lập",""),IF(OR(M744=phu!$I$91,M744=phu!$I$92,M744=phu!$I$93),"Cam Bình",""),IF(OR(M744=phu!$I$94,M744=phu!$I$95,M744=phu!$I$96,M744=phu!$I$97,M744=phu!$I$98,M744=phu!$I$99,M744=phu!$I$100),"Huyện khác",""),IF(OR(M744=phu!$I$101,M744=phu!$I$102),"Tỉnh khác",""))</f>
        <v/>
      </c>
      <c r="O744" s="814" t="str">
        <f t="shared" si="67"/>
        <v/>
      </c>
      <c r="P744" s="254"/>
      <c r="Q744" s="254"/>
      <c r="R744" s="254"/>
      <c r="S744" s="254"/>
      <c r="T744" s="254"/>
      <c r="U744" s="254"/>
      <c r="V744" s="254"/>
      <c r="W744" s="254"/>
      <c r="Y744" s="246" t="str">
        <f t="shared" si="68"/>
        <v/>
      </c>
      <c r="Z744" s="247" t="str">
        <f t="shared" si="66"/>
        <v/>
      </c>
      <c r="AA744" s="246" t="str">
        <f t="shared" si="69"/>
        <v/>
      </c>
    </row>
    <row r="745" spans="1:27" ht="18" customHeight="1" x14ac:dyDescent="0.25">
      <c r="A745" s="248" t="str">
        <f t="shared" si="70"/>
        <v/>
      </c>
      <c r="B745" s="249" t="str">
        <f t="shared" si="71"/>
        <v/>
      </c>
      <c r="C745" s="250"/>
      <c r="D745" s="251"/>
      <c r="E745" s="241"/>
      <c r="F745" s="252"/>
      <c r="G745" s="252"/>
      <c r="H745" s="253"/>
      <c r="I745" s="250"/>
      <c r="J745" s="250"/>
      <c r="K745" s="270"/>
      <c r="L745" s="250"/>
      <c r="M745" s="250"/>
      <c r="N745" s="553" t="str">
        <f>CONCATENATE(IF(OR(M745=phu!$I$1,M745=phu!$I$2,M745=phu!$I$3),"Cam Thành Nam",""),IF(OR(M745=phu!$I$4,M745=phu!$I$5,M745=phu!$I$6,M745=phu!$I$7,M745=phu!$I$8,M745=phu!$I$9,M745=phu!$I$10,M745=phu!$I$11,M745=phu!$I$12,M745=phu!$I$13,M745=phu!$I$14),"Cam Nghĩa",""),IF(OR(M745=phu!$I$15,M745=phu!$I$16,M745=phu!$I$17,M745=phu!$I$18,M745=phu!$I$19,M745=phu!$I$20,M745=phu!$I$21),"Cam Phúc Bắc",""),IF(OR(M745=phu!$I$22,M745=phu!$I$23,M745=phu!$I$24,M745=phu!$I$25),"Cam Phúc Nam",""),IF(OR(M745=phu!$I$26,M745=phu!$I$27,M745=phu!$I$28,M745=phu!$I$29,M745=phu!$I$30,M745=phu!$I$31),"Cam Phú",""),IF(OR(M745=phu!$I$32,M745=phu!$I$33,M745=phu!$I$34,M745=phu!$I$35,M745=phu!$I$36,M745=phu!$I$37),"Cam Lộc",""),IF(OR(M745=phu!$I$38,M745=phu!$I$39,M745=phu!$I$40,M745=phu!$I$41,M745=phu!$I$42,M745=phu!$I$43,M745=phu!$I$44),"Cam Thuận",""),IF(OR(M745=phu!$I$45,M745=phu!$I$46,M745=phu!$I$47,M745=phu!$I$48,M745=phu!$I$49,M745=phu!$I$50,M745=phu!$I$51,M745=phu!$I$52,M745=phu!$I$53),"Cam Linh",""),IF(OR(M745=phu!$I$54,M745=phu!$I$55,M745=phu!$I$56,M745=phu!$I$57,M745=phu!$I$58,M745=phu!$I$59,M745=phu!$I$60,M745=phu!$I$61,M745=phu!$I$62),"Cam Lợi",""),IF(OR(M745=phu!$I$63,M745=phu!$I$64,M745=phu!$I$65,M745=phu!$I$66,M745=phu!$I$67,M745=phu!$I$68,M745=phu!$I$69,M745=phu!$I$70,M745=phu!$I$71),"Ba Ngòi",""),IF(OR(M745=phu!$I$72,M745=phu!$I$73,M745=phu!$I$74,M745=phu!$I$75,M745=phu!$I$76,M745=phu!$I$77,M745=phu!$I$78),"Cam Phước Đông",""),IF(OR(M745=phu!$I$79,M745=phu!$I$80,M745=phu!$I$81,M745=phu!$I$82,M745=phu!$I$83,M745=phu!$I$84),"Cam Thịnh Đông",""),IF(OR(M745=phu!$I$85,M745=phu!$I$86,M745=phu!$I$87,M745=phu!$I$88),"Cam Thịnh Tây",""),IF(OR(M745=phu!$I$89,M745=phu!$I$90),"Cam Lập",""),IF(OR(M745=phu!$I$91,M745=phu!$I$92,M745=phu!$I$93),"Cam Bình",""),IF(OR(M745=phu!$I$94,M745=phu!$I$95,M745=phu!$I$96,M745=phu!$I$97,M745=phu!$I$98,M745=phu!$I$99,M745=phu!$I$100),"Huyện khác",""),IF(OR(M745=phu!$I$101,M745=phu!$I$102),"Tỉnh khác",""))</f>
        <v/>
      </c>
      <c r="O745" s="814" t="str">
        <f t="shared" si="67"/>
        <v/>
      </c>
      <c r="P745" s="254"/>
      <c r="Q745" s="254"/>
      <c r="R745" s="254"/>
      <c r="S745" s="254"/>
      <c r="T745" s="254"/>
      <c r="U745" s="254"/>
      <c r="V745" s="254"/>
      <c r="W745" s="254"/>
      <c r="Y745" s="246" t="str">
        <f t="shared" si="68"/>
        <v/>
      </c>
      <c r="Z745" s="247" t="str">
        <f t="shared" si="66"/>
        <v/>
      </c>
      <c r="AA745" s="246" t="str">
        <f t="shared" si="69"/>
        <v/>
      </c>
    </row>
    <row r="746" spans="1:27" ht="18" customHeight="1" x14ac:dyDescent="0.25">
      <c r="A746" s="248" t="str">
        <f t="shared" si="70"/>
        <v/>
      </c>
      <c r="B746" s="249" t="str">
        <f t="shared" si="71"/>
        <v/>
      </c>
      <c r="C746" s="250"/>
      <c r="D746" s="251"/>
      <c r="E746" s="241"/>
      <c r="F746" s="252"/>
      <c r="G746" s="252"/>
      <c r="H746" s="253"/>
      <c r="I746" s="250"/>
      <c r="J746" s="250"/>
      <c r="K746" s="270"/>
      <c r="L746" s="250"/>
      <c r="M746" s="250"/>
      <c r="N746" s="553" t="str">
        <f>CONCATENATE(IF(OR(M746=phu!$I$1,M746=phu!$I$2,M746=phu!$I$3),"Cam Thành Nam",""),IF(OR(M746=phu!$I$4,M746=phu!$I$5,M746=phu!$I$6,M746=phu!$I$7,M746=phu!$I$8,M746=phu!$I$9,M746=phu!$I$10,M746=phu!$I$11,M746=phu!$I$12,M746=phu!$I$13,M746=phu!$I$14),"Cam Nghĩa",""),IF(OR(M746=phu!$I$15,M746=phu!$I$16,M746=phu!$I$17,M746=phu!$I$18,M746=phu!$I$19,M746=phu!$I$20,M746=phu!$I$21),"Cam Phúc Bắc",""),IF(OR(M746=phu!$I$22,M746=phu!$I$23,M746=phu!$I$24,M746=phu!$I$25),"Cam Phúc Nam",""),IF(OR(M746=phu!$I$26,M746=phu!$I$27,M746=phu!$I$28,M746=phu!$I$29,M746=phu!$I$30,M746=phu!$I$31),"Cam Phú",""),IF(OR(M746=phu!$I$32,M746=phu!$I$33,M746=phu!$I$34,M746=phu!$I$35,M746=phu!$I$36,M746=phu!$I$37),"Cam Lộc",""),IF(OR(M746=phu!$I$38,M746=phu!$I$39,M746=phu!$I$40,M746=phu!$I$41,M746=phu!$I$42,M746=phu!$I$43,M746=phu!$I$44),"Cam Thuận",""),IF(OR(M746=phu!$I$45,M746=phu!$I$46,M746=phu!$I$47,M746=phu!$I$48,M746=phu!$I$49,M746=phu!$I$50,M746=phu!$I$51,M746=phu!$I$52,M746=phu!$I$53),"Cam Linh",""),IF(OR(M746=phu!$I$54,M746=phu!$I$55,M746=phu!$I$56,M746=phu!$I$57,M746=phu!$I$58,M746=phu!$I$59,M746=phu!$I$60,M746=phu!$I$61,M746=phu!$I$62),"Cam Lợi",""),IF(OR(M746=phu!$I$63,M746=phu!$I$64,M746=phu!$I$65,M746=phu!$I$66,M746=phu!$I$67,M746=phu!$I$68,M746=phu!$I$69,M746=phu!$I$70,M746=phu!$I$71),"Ba Ngòi",""),IF(OR(M746=phu!$I$72,M746=phu!$I$73,M746=phu!$I$74,M746=phu!$I$75,M746=phu!$I$76,M746=phu!$I$77,M746=phu!$I$78),"Cam Phước Đông",""),IF(OR(M746=phu!$I$79,M746=phu!$I$80,M746=phu!$I$81,M746=phu!$I$82,M746=phu!$I$83,M746=phu!$I$84),"Cam Thịnh Đông",""),IF(OR(M746=phu!$I$85,M746=phu!$I$86,M746=phu!$I$87,M746=phu!$I$88),"Cam Thịnh Tây",""),IF(OR(M746=phu!$I$89,M746=phu!$I$90),"Cam Lập",""),IF(OR(M746=phu!$I$91,M746=phu!$I$92,M746=phu!$I$93),"Cam Bình",""),IF(OR(M746=phu!$I$94,M746=phu!$I$95,M746=phu!$I$96,M746=phu!$I$97,M746=phu!$I$98,M746=phu!$I$99,M746=phu!$I$100),"Huyện khác",""),IF(OR(M746=phu!$I$101,M746=phu!$I$102),"Tỉnh khác",""))</f>
        <v/>
      </c>
      <c r="O746" s="814" t="str">
        <f t="shared" si="67"/>
        <v/>
      </c>
      <c r="P746" s="254"/>
      <c r="Q746" s="254"/>
      <c r="R746" s="254"/>
      <c r="S746" s="254"/>
      <c r="T746" s="254"/>
      <c r="U746" s="254"/>
      <c r="V746" s="254"/>
      <c r="W746" s="254"/>
      <c r="Y746" s="246" t="str">
        <f t="shared" si="68"/>
        <v/>
      </c>
      <c r="Z746" s="247" t="str">
        <f t="shared" si="66"/>
        <v/>
      </c>
      <c r="AA746" s="246" t="str">
        <f t="shared" si="69"/>
        <v/>
      </c>
    </row>
    <row r="747" spans="1:27" ht="18" customHeight="1" x14ac:dyDescent="0.25">
      <c r="A747" s="248" t="str">
        <f t="shared" si="70"/>
        <v/>
      </c>
      <c r="B747" s="249" t="str">
        <f t="shared" si="71"/>
        <v/>
      </c>
      <c r="C747" s="250"/>
      <c r="D747" s="251"/>
      <c r="E747" s="241"/>
      <c r="F747" s="252"/>
      <c r="G747" s="252"/>
      <c r="H747" s="253"/>
      <c r="I747" s="250"/>
      <c r="J747" s="250"/>
      <c r="K747" s="270"/>
      <c r="L747" s="250"/>
      <c r="M747" s="250"/>
      <c r="N747" s="553" t="str">
        <f>CONCATENATE(IF(OR(M747=phu!$I$1,M747=phu!$I$2,M747=phu!$I$3),"Cam Thành Nam",""),IF(OR(M747=phu!$I$4,M747=phu!$I$5,M747=phu!$I$6,M747=phu!$I$7,M747=phu!$I$8,M747=phu!$I$9,M747=phu!$I$10,M747=phu!$I$11,M747=phu!$I$12,M747=phu!$I$13,M747=phu!$I$14),"Cam Nghĩa",""),IF(OR(M747=phu!$I$15,M747=phu!$I$16,M747=phu!$I$17,M747=phu!$I$18,M747=phu!$I$19,M747=phu!$I$20,M747=phu!$I$21),"Cam Phúc Bắc",""),IF(OR(M747=phu!$I$22,M747=phu!$I$23,M747=phu!$I$24,M747=phu!$I$25),"Cam Phúc Nam",""),IF(OR(M747=phu!$I$26,M747=phu!$I$27,M747=phu!$I$28,M747=phu!$I$29,M747=phu!$I$30,M747=phu!$I$31),"Cam Phú",""),IF(OR(M747=phu!$I$32,M747=phu!$I$33,M747=phu!$I$34,M747=phu!$I$35,M747=phu!$I$36,M747=phu!$I$37),"Cam Lộc",""),IF(OR(M747=phu!$I$38,M747=phu!$I$39,M747=phu!$I$40,M747=phu!$I$41,M747=phu!$I$42,M747=phu!$I$43,M747=phu!$I$44),"Cam Thuận",""),IF(OR(M747=phu!$I$45,M747=phu!$I$46,M747=phu!$I$47,M747=phu!$I$48,M747=phu!$I$49,M747=phu!$I$50,M747=phu!$I$51,M747=phu!$I$52,M747=phu!$I$53),"Cam Linh",""),IF(OR(M747=phu!$I$54,M747=phu!$I$55,M747=phu!$I$56,M747=phu!$I$57,M747=phu!$I$58,M747=phu!$I$59,M747=phu!$I$60,M747=phu!$I$61,M747=phu!$I$62),"Cam Lợi",""),IF(OR(M747=phu!$I$63,M747=phu!$I$64,M747=phu!$I$65,M747=phu!$I$66,M747=phu!$I$67,M747=phu!$I$68,M747=phu!$I$69,M747=phu!$I$70,M747=phu!$I$71),"Ba Ngòi",""),IF(OR(M747=phu!$I$72,M747=phu!$I$73,M747=phu!$I$74,M747=phu!$I$75,M747=phu!$I$76,M747=phu!$I$77,M747=phu!$I$78),"Cam Phước Đông",""),IF(OR(M747=phu!$I$79,M747=phu!$I$80,M747=phu!$I$81,M747=phu!$I$82,M747=phu!$I$83,M747=phu!$I$84),"Cam Thịnh Đông",""),IF(OR(M747=phu!$I$85,M747=phu!$I$86,M747=phu!$I$87,M747=phu!$I$88),"Cam Thịnh Tây",""),IF(OR(M747=phu!$I$89,M747=phu!$I$90),"Cam Lập",""),IF(OR(M747=phu!$I$91,M747=phu!$I$92,M747=phu!$I$93),"Cam Bình",""),IF(OR(M747=phu!$I$94,M747=phu!$I$95,M747=phu!$I$96,M747=phu!$I$97,M747=phu!$I$98,M747=phu!$I$99,M747=phu!$I$100),"Huyện khác",""),IF(OR(M747=phu!$I$101,M747=phu!$I$102),"Tỉnh khác",""))</f>
        <v/>
      </c>
      <c r="O747" s="814" t="str">
        <f t="shared" si="67"/>
        <v/>
      </c>
      <c r="P747" s="254"/>
      <c r="Q747" s="254"/>
      <c r="R747" s="254"/>
      <c r="S747" s="254"/>
      <c r="T747" s="254"/>
      <c r="U747" s="254"/>
      <c r="V747" s="254"/>
      <c r="W747" s="254"/>
      <c r="Y747" s="246" t="str">
        <f t="shared" si="68"/>
        <v/>
      </c>
      <c r="Z747" s="247" t="str">
        <f t="shared" si="66"/>
        <v/>
      </c>
      <c r="AA747" s="246" t="str">
        <f t="shared" si="69"/>
        <v/>
      </c>
    </row>
    <row r="748" spans="1:27" ht="18" customHeight="1" x14ac:dyDescent="0.25">
      <c r="A748" s="248" t="str">
        <f t="shared" si="70"/>
        <v/>
      </c>
      <c r="B748" s="249" t="str">
        <f t="shared" si="71"/>
        <v/>
      </c>
      <c r="C748" s="250"/>
      <c r="D748" s="251"/>
      <c r="E748" s="241"/>
      <c r="F748" s="252"/>
      <c r="G748" s="252"/>
      <c r="H748" s="253"/>
      <c r="I748" s="250"/>
      <c r="J748" s="250"/>
      <c r="K748" s="270"/>
      <c r="L748" s="250"/>
      <c r="M748" s="250"/>
      <c r="N748" s="553" t="str">
        <f>CONCATENATE(IF(OR(M748=phu!$I$1,M748=phu!$I$2,M748=phu!$I$3),"Cam Thành Nam",""),IF(OR(M748=phu!$I$4,M748=phu!$I$5,M748=phu!$I$6,M748=phu!$I$7,M748=phu!$I$8,M748=phu!$I$9,M748=phu!$I$10,M748=phu!$I$11,M748=phu!$I$12,M748=phu!$I$13,M748=phu!$I$14),"Cam Nghĩa",""),IF(OR(M748=phu!$I$15,M748=phu!$I$16,M748=phu!$I$17,M748=phu!$I$18,M748=phu!$I$19,M748=phu!$I$20,M748=phu!$I$21),"Cam Phúc Bắc",""),IF(OR(M748=phu!$I$22,M748=phu!$I$23,M748=phu!$I$24,M748=phu!$I$25),"Cam Phúc Nam",""),IF(OR(M748=phu!$I$26,M748=phu!$I$27,M748=phu!$I$28,M748=phu!$I$29,M748=phu!$I$30,M748=phu!$I$31),"Cam Phú",""),IF(OR(M748=phu!$I$32,M748=phu!$I$33,M748=phu!$I$34,M748=phu!$I$35,M748=phu!$I$36,M748=phu!$I$37),"Cam Lộc",""),IF(OR(M748=phu!$I$38,M748=phu!$I$39,M748=phu!$I$40,M748=phu!$I$41,M748=phu!$I$42,M748=phu!$I$43,M748=phu!$I$44),"Cam Thuận",""),IF(OR(M748=phu!$I$45,M748=phu!$I$46,M748=phu!$I$47,M748=phu!$I$48,M748=phu!$I$49,M748=phu!$I$50,M748=phu!$I$51,M748=phu!$I$52,M748=phu!$I$53),"Cam Linh",""),IF(OR(M748=phu!$I$54,M748=phu!$I$55,M748=phu!$I$56,M748=phu!$I$57,M748=phu!$I$58,M748=phu!$I$59,M748=phu!$I$60,M748=phu!$I$61,M748=phu!$I$62),"Cam Lợi",""),IF(OR(M748=phu!$I$63,M748=phu!$I$64,M748=phu!$I$65,M748=phu!$I$66,M748=phu!$I$67,M748=phu!$I$68,M748=phu!$I$69,M748=phu!$I$70,M748=phu!$I$71),"Ba Ngòi",""),IF(OR(M748=phu!$I$72,M748=phu!$I$73,M748=phu!$I$74,M748=phu!$I$75,M748=phu!$I$76,M748=phu!$I$77,M748=phu!$I$78),"Cam Phước Đông",""),IF(OR(M748=phu!$I$79,M748=phu!$I$80,M748=phu!$I$81,M748=phu!$I$82,M748=phu!$I$83,M748=phu!$I$84),"Cam Thịnh Đông",""),IF(OR(M748=phu!$I$85,M748=phu!$I$86,M748=phu!$I$87,M748=phu!$I$88),"Cam Thịnh Tây",""),IF(OR(M748=phu!$I$89,M748=phu!$I$90),"Cam Lập",""),IF(OR(M748=phu!$I$91,M748=phu!$I$92,M748=phu!$I$93),"Cam Bình",""),IF(OR(M748=phu!$I$94,M748=phu!$I$95,M748=phu!$I$96,M748=phu!$I$97,M748=phu!$I$98,M748=phu!$I$99,M748=phu!$I$100),"Huyện khác",""),IF(OR(M748=phu!$I$101,M748=phu!$I$102),"Tỉnh khác",""))</f>
        <v/>
      </c>
      <c r="O748" s="814" t="str">
        <f t="shared" si="67"/>
        <v/>
      </c>
      <c r="P748" s="254"/>
      <c r="Q748" s="254"/>
      <c r="R748" s="254"/>
      <c r="S748" s="254"/>
      <c r="T748" s="254"/>
      <c r="U748" s="254"/>
      <c r="V748" s="254"/>
      <c r="W748" s="254"/>
      <c r="Y748" s="246" t="str">
        <f t="shared" si="68"/>
        <v/>
      </c>
      <c r="Z748" s="247" t="str">
        <f t="shared" si="66"/>
        <v/>
      </c>
      <c r="AA748" s="246" t="str">
        <f t="shared" si="69"/>
        <v/>
      </c>
    </row>
    <row r="749" spans="1:27" ht="18" customHeight="1" x14ac:dyDescent="0.25">
      <c r="A749" s="248" t="str">
        <f t="shared" si="70"/>
        <v/>
      </c>
      <c r="B749" s="249" t="str">
        <f t="shared" si="71"/>
        <v/>
      </c>
      <c r="C749" s="250"/>
      <c r="D749" s="251"/>
      <c r="E749" s="241"/>
      <c r="F749" s="252"/>
      <c r="G749" s="252"/>
      <c r="H749" s="253"/>
      <c r="I749" s="250"/>
      <c r="J749" s="250"/>
      <c r="K749" s="270"/>
      <c r="L749" s="250"/>
      <c r="M749" s="250"/>
      <c r="N749" s="553" t="str">
        <f>CONCATENATE(IF(OR(M749=phu!$I$1,M749=phu!$I$2,M749=phu!$I$3),"Cam Thành Nam",""),IF(OR(M749=phu!$I$4,M749=phu!$I$5,M749=phu!$I$6,M749=phu!$I$7,M749=phu!$I$8,M749=phu!$I$9,M749=phu!$I$10,M749=phu!$I$11,M749=phu!$I$12,M749=phu!$I$13,M749=phu!$I$14),"Cam Nghĩa",""),IF(OR(M749=phu!$I$15,M749=phu!$I$16,M749=phu!$I$17,M749=phu!$I$18,M749=phu!$I$19,M749=phu!$I$20,M749=phu!$I$21),"Cam Phúc Bắc",""),IF(OR(M749=phu!$I$22,M749=phu!$I$23,M749=phu!$I$24,M749=phu!$I$25),"Cam Phúc Nam",""),IF(OR(M749=phu!$I$26,M749=phu!$I$27,M749=phu!$I$28,M749=phu!$I$29,M749=phu!$I$30,M749=phu!$I$31),"Cam Phú",""),IF(OR(M749=phu!$I$32,M749=phu!$I$33,M749=phu!$I$34,M749=phu!$I$35,M749=phu!$I$36,M749=phu!$I$37),"Cam Lộc",""),IF(OR(M749=phu!$I$38,M749=phu!$I$39,M749=phu!$I$40,M749=phu!$I$41,M749=phu!$I$42,M749=phu!$I$43,M749=phu!$I$44),"Cam Thuận",""),IF(OR(M749=phu!$I$45,M749=phu!$I$46,M749=phu!$I$47,M749=phu!$I$48,M749=phu!$I$49,M749=phu!$I$50,M749=phu!$I$51,M749=phu!$I$52,M749=phu!$I$53),"Cam Linh",""),IF(OR(M749=phu!$I$54,M749=phu!$I$55,M749=phu!$I$56,M749=phu!$I$57,M749=phu!$I$58,M749=phu!$I$59,M749=phu!$I$60,M749=phu!$I$61,M749=phu!$I$62),"Cam Lợi",""),IF(OR(M749=phu!$I$63,M749=phu!$I$64,M749=phu!$I$65,M749=phu!$I$66,M749=phu!$I$67,M749=phu!$I$68,M749=phu!$I$69,M749=phu!$I$70,M749=phu!$I$71),"Ba Ngòi",""),IF(OR(M749=phu!$I$72,M749=phu!$I$73,M749=phu!$I$74,M749=phu!$I$75,M749=phu!$I$76,M749=phu!$I$77,M749=phu!$I$78),"Cam Phước Đông",""),IF(OR(M749=phu!$I$79,M749=phu!$I$80,M749=phu!$I$81,M749=phu!$I$82,M749=phu!$I$83,M749=phu!$I$84),"Cam Thịnh Đông",""),IF(OR(M749=phu!$I$85,M749=phu!$I$86,M749=phu!$I$87,M749=phu!$I$88),"Cam Thịnh Tây",""),IF(OR(M749=phu!$I$89,M749=phu!$I$90),"Cam Lập",""),IF(OR(M749=phu!$I$91,M749=phu!$I$92,M749=phu!$I$93),"Cam Bình",""),IF(OR(M749=phu!$I$94,M749=phu!$I$95,M749=phu!$I$96,M749=phu!$I$97,M749=phu!$I$98,M749=phu!$I$99,M749=phu!$I$100),"Huyện khác",""),IF(OR(M749=phu!$I$101,M749=phu!$I$102),"Tỉnh khác",""))</f>
        <v/>
      </c>
      <c r="O749" s="814" t="str">
        <f t="shared" si="67"/>
        <v/>
      </c>
      <c r="P749" s="254"/>
      <c r="Q749" s="254"/>
      <c r="R749" s="254"/>
      <c r="S749" s="254"/>
      <c r="T749" s="254"/>
      <c r="U749" s="254"/>
      <c r="V749" s="254"/>
      <c r="W749" s="254"/>
      <c r="Y749" s="246" t="str">
        <f t="shared" si="68"/>
        <v/>
      </c>
      <c r="Z749" s="247" t="str">
        <f t="shared" si="66"/>
        <v/>
      </c>
      <c r="AA749" s="246" t="str">
        <f t="shared" si="69"/>
        <v/>
      </c>
    </row>
    <row r="750" spans="1:27" ht="18" customHeight="1" x14ac:dyDescent="0.25">
      <c r="A750" s="248" t="str">
        <f t="shared" si="70"/>
        <v/>
      </c>
      <c r="B750" s="249" t="str">
        <f t="shared" si="71"/>
        <v/>
      </c>
      <c r="C750" s="250"/>
      <c r="D750" s="251"/>
      <c r="E750" s="241"/>
      <c r="F750" s="252"/>
      <c r="G750" s="252"/>
      <c r="H750" s="253"/>
      <c r="I750" s="250"/>
      <c r="J750" s="250"/>
      <c r="K750" s="270"/>
      <c r="L750" s="250"/>
      <c r="M750" s="250"/>
      <c r="N750" s="553" t="str">
        <f>CONCATENATE(IF(OR(M750=phu!$I$1,M750=phu!$I$2,M750=phu!$I$3),"Cam Thành Nam",""),IF(OR(M750=phu!$I$4,M750=phu!$I$5,M750=phu!$I$6,M750=phu!$I$7,M750=phu!$I$8,M750=phu!$I$9,M750=phu!$I$10,M750=phu!$I$11,M750=phu!$I$12,M750=phu!$I$13,M750=phu!$I$14),"Cam Nghĩa",""),IF(OR(M750=phu!$I$15,M750=phu!$I$16,M750=phu!$I$17,M750=phu!$I$18,M750=phu!$I$19,M750=phu!$I$20,M750=phu!$I$21),"Cam Phúc Bắc",""),IF(OR(M750=phu!$I$22,M750=phu!$I$23,M750=phu!$I$24,M750=phu!$I$25),"Cam Phúc Nam",""),IF(OR(M750=phu!$I$26,M750=phu!$I$27,M750=phu!$I$28,M750=phu!$I$29,M750=phu!$I$30,M750=phu!$I$31),"Cam Phú",""),IF(OR(M750=phu!$I$32,M750=phu!$I$33,M750=phu!$I$34,M750=phu!$I$35,M750=phu!$I$36,M750=phu!$I$37),"Cam Lộc",""),IF(OR(M750=phu!$I$38,M750=phu!$I$39,M750=phu!$I$40,M750=phu!$I$41,M750=phu!$I$42,M750=phu!$I$43,M750=phu!$I$44),"Cam Thuận",""),IF(OR(M750=phu!$I$45,M750=phu!$I$46,M750=phu!$I$47,M750=phu!$I$48,M750=phu!$I$49,M750=phu!$I$50,M750=phu!$I$51,M750=phu!$I$52,M750=phu!$I$53),"Cam Linh",""),IF(OR(M750=phu!$I$54,M750=phu!$I$55,M750=phu!$I$56,M750=phu!$I$57,M750=phu!$I$58,M750=phu!$I$59,M750=phu!$I$60,M750=phu!$I$61,M750=phu!$I$62),"Cam Lợi",""),IF(OR(M750=phu!$I$63,M750=phu!$I$64,M750=phu!$I$65,M750=phu!$I$66,M750=phu!$I$67,M750=phu!$I$68,M750=phu!$I$69,M750=phu!$I$70,M750=phu!$I$71),"Ba Ngòi",""),IF(OR(M750=phu!$I$72,M750=phu!$I$73,M750=phu!$I$74,M750=phu!$I$75,M750=phu!$I$76,M750=phu!$I$77,M750=phu!$I$78),"Cam Phước Đông",""),IF(OR(M750=phu!$I$79,M750=phu!$I$80,M750=phu!$I$81,M750=phu!$I$82,M750=phu!$I$83,M750=phu!$I$84),"Cam Thịnh Đông",""),IF(OR(M750=phu!$I$85,M750=phu!$I$86,M750=phu!$I$87,M750=phu!$I$88),"Cam Thịnh Tây",""),IF(OR(M750=phu!$I$89,M750=phu!$I$90),"Cam Lập",""),IF(OR(M750=phu!$I$91,M750=phu!$I$92,M750=phu!$I$93),"Cam Bình",""),IF(OR(M750=phu!$I$94,M750=phu!$I$95,M750=phu!$I$96,M750=phu!$I$97,M750=phu!$I$98,M750=phu!$I$99,M750=phu!$I$100),"Huyện khác",""),IF(OR(M750=phu!$I$101,M750=phu!$I$102),"Tỉnh khác",""))</f>
        <v/>
      </c>
      <c r="O750" s="814" t="str">
        <f t="shared" si="67"/>
        <v/>
      </c>
      <c r="P750" s="254"/>
      <c r="Q750" s="254"/>
      <c r="R750" s="254"/>
      <c r="S750" s="254"/>
      <c r="T750" s="254"/>
      <c r="U750" s="254"/>
      <c r="V750" s="254"/>
      <c r="W750" s="254"/>
      <c r="Y750" s="246" t="str">
        <f t="shared" si="68"/>
        <v/>
      </c>
      <c r="Z750" s="247" t="str">
        <f t="shared" si="66"/>
        <v/>
      </c>
      <c r="AA750" s="246" t="str">
        <f t="shared" si="69"/>
        <v/>
      </c>
    </row>
    <row r="751" spans="1:27" ht="18" customHeight="1" x14ac:dyDescent="0.25">
      <c r="A751" s="248" t="str">
        <f t="shared" si="70"/>
        <v/>
      </c>
      <c r="B751" s="249" t="str">
        <f t="shared" si="71"/>
        <v/>
      </c>
      <c r="C751" s="250"/>
      <c r="D751" s="251"/>
      <c r="E751" s="241"/>
      <c r="F751" s="252"/>
      <c r="G751" s="252"/>
      <c r="H751" s="253"/>
      <c r="I751" s="250"/>
      <c r="J751" s="250"/>
      <c r="K751" s="270"/>
      <c r="L751" s="250"/>
      <c r="M751" s="250"/>
      <c r="N751" s="553" t="str">
        <f>CONCATENATE(IF(OR(M751=phu!$I$1,M751=phu!$I$2,M751=phu!$I$3),"Cam Thành Nam",""),IF(OR(M751=phu!$I$4,M751=phu!$I$5,M751=phu!$I$6,M751=phu!$I$7,M751=phu!$I$8,M751=phu!$I$9,M751=phu!$I$10,M751=phu!$I$11,M751=phu!$I$12,M751=phu!$I$13,M751=phu!$I$14),"Cam Nghĩa",""),IF(OR(M751=phu!$I$15,M751=phu!$I$16,M751=phu!$I$17,M751=phu!$I$18,M751=phu!$I$19,M751=phu!$I$20,M751=phu!$I$21),"Cam Phúc Bắc",""),IF(OR(M751=phu!$I$22,M751=phu!$I$23,M751=phu!$I$24,M751=phu!$I$25),"Cam Phúc Nam",""),IF(OR(M751=phu!$I$26,M751=phu!$I$27,M751=phu!$I$28,M751=phu!$I$29,M751=phu!$I$30,M751=phu!$I$31),"Cam Phú",""),IF(OR(M751=phu!$I$32,M751=phu!$I$33,M751=phu!$I$34,M751=phu!$I$35,M751=phu!$I$36,M751=phu!$I$37),"Cam Lộc",""),IF(OR(M751=phu!$I$38,M751=phu!$I$39,M751=phu!$I$40,M751=phu!$I$41,M751=phu!$I$42,M751=phu!$I$43,M751=phu!$I$44),"Cam Thuận",""),IF(OR(M751=phu!$I$45,M751=phu!$I$46,M751=phu!$I$47,M751=phu!$I$48,M751=phu!$I$49,M751=phu!$I$50,M751=phu!$I$51,M751=phu!$I$52,M751=phu!$I$53),"Cam Linh",""),IF(OR(M751=phu!$I$54,M751=phu!$I$55,M751=phu!$I$56,M751=phu!$I$57,M751=phu!$I$58,M751=phu!$I$59,M751=phu!$I$60,M751=phu!$I$61,M751=phu!$I$62),"Cam Lợi",""),IF(OR(M751=phu!$I$63,M751=phu!$I$64,M751=phu!$I$65,M751=phu!$I$66,M751=phu!$I$67,M751=phu!$I$68,M751=phu!$I$69,M751=phu!$I$70,M751=phu!$I$71),"Ba Ngòi",""),IF(OR(M751=phu!$I$72,M751=phu!$I$73,M751=phu!$I$74,M751=phu!$I$75,M751=phu!$I$76,M751=phu!$I$77,M751=phu!$I$78),"Cam Phước Đông",""),IF(OR(M751=phu!$I$79,M751=phu!$I$80,M751=phu!$I$81,M751=phu!$I$82,M751=phu!$I$83,M751=phu!$I$84),"Cam Thịnh Đông",""),IF(OR(M751=phu!$I$85,M751=phu!$I$86,M751=phu!$I$87,M751=phu!$I$88),"Cam Thịnh Tây",""),IF(OR(M751=phu!$I$89,M751=phu!$I$90),"Cam Lập",""),IF(OR(M751=phu!$I$91,M751=phu!$I$92,M751=phu!$I$93),"Cam Bình",""),IF(OR(M751=phu!$I$94,M751=phu!$I$95,M751=phu!$I$96,M751=phu!$I$97,M751=phu!$I$98,M751=phu!$I$99,M751=phu!$I$100),"Huyện khác",""),IF(OR(M751=phu!$I$101,M751=phu!$I$102),"Tỉnh khác",""))</f>
        <v/>
      </c>
      <c r="O751" s="814" t="str">
        <f t="shared" si="67"/>
        <v/>
      </c>
      <c r="P751" s="254"/>
      <c r="Q751" s="254"/>
      <c r="R751" s="254"/>
      <c r="S751" s="254"/>
      <c r="T751" s="254"/>
      <c r="U751" s="254"/>
      <c r="V751" s="254"/>
      <c r="W751" s="254"/>
      <c r="Y751" s="246" t="str">
        <f t="shared" si="68"/>
        <v/>
      </c>
      <c r="Z751" s="247" t="str">
        <f t="shared" si="66"/>
        <v/>
      </c>
      <c r="AA751" s="246" t="str">
        <f t="shared" si="69"/>
        <v/>
      </c>
    </row>
    <row r="752" spans="1:27" ht="18" customHeight="1" x14ac:dyDescent="0.25">
      <c r="A752" s="248" t="str">
        <f t="shared" si="70"/>
        <v/>
      </c>
      <c r="B752" s="249" t="str">
        <f t="shared" si="71"/>
        <v/>
      </c>
      <c r="C752" s="250"/>
      <c r="D752" s="251"/>
      <c r="E752" s="241"/>
      <c r="F752" s="252"/>
      <c r="G752" s="252"/>
      <c r="H752" s="253"/>
      <c r="I752" s="250"/>
      <c r="J752" s="250"/>
      <c r="K752" s="270"/>
      <c r="L752" s="250"/>
      <c r="M752" s="250"/>
      <c r="N752" s="553" t="str">
        <f>CONCATENATE(IF(OR(M752=phu!$I$1,M752=phu!$I$2,M752=phu!$I$3),"Cam Thành Nam",""),IF(OR(M752=phu!$I$4,M752=phu!$I$5,M752=phu!$I$6,M752=phu!$I$7,M752=phu!$I$8,M752=phu!$I$9,M752=phu!$I$10,M752=phu!$I$11,M752=phu!$I$12,M752=phu!$I$13,M752=phu!$I$14),"Cam Nghĩa",""),IF(OR(M752=phu!$I$15,M752=phu!$I$16,M752=phu!$I$17,M752=phu!$I$18,M752=phu!$I$19,M752=phu!$I$20,M752=phu!$I$21),"Cam Phúc Bắc",""),IF(OR(M752=phu!$I$22,M752=phu!$I$23,M752=phu!$I$24,M752=phu!$I$25),"Cam Phúc Nam",""),IF(OR(M752=phu!$I$26,M752=phu!$I$27,M752=phu!$I$28,M752=phu!$I$29,M752=phu!$I$30,M752=phu!$I$31),"Cam Phú",""),IF(OR(M752=phu!$I$32,M752=phu!$I$33,M752=phu!$I$34,M752=phu!$I$35,M752=phu!$I$36,M752=phu!$I$37),"Cam Lộc",""),IF(OR(M752=phu!$I$38,M752=phu!$I$39,M752=phu!$I$40,M752=phu!$I$41,M752=phu!$I$42,M752=phu!$I$43,M752=phu!$I$44),"Cam Thuận",""),IF(OR(M752=phu!$I$45,M752=phu!$I$46,M752=phu!$I$47,M752=phu!$I$48,M752=phu!$I$49,M752=phu!$I$50,M752=phu!$I$51,M752=phu!$I$52,M752=phu!$I$53),"Cam Linh",""),IF(OR(M752=phu!$I$54,M752=phu!$I$55,M752=phu!$I$56,M752=phu!$I$57,M752=phu!$I$58,M752=phu!$I$59,M752=phu!$I$60,M752=phu!$I$61,M752=phu!$I$62),"Cam Lợi",""),IF(OR(M752=phu!$I$63,M752=phu!$I$64,M752=phu!$I$65,M752=phu!$I$66,M752=phu!$I$67,M752=phu!$I$68,M752=phu!$I$69,M752=phu!$I$70,M752=phu!$I$71),"Ba Ngòi",""),IF(OR(M752=phu!$I$72,M752=phu!$I$73,M752=phu!$I$74,M752=phu!$I$75,M752=phu!$I$76,M752=phu!$I$77,M752=phu!$I$78),"Cam Phước Đông",""),IF(OR(M752=phu!$I$79,M752=phu!$I$80,M752=phu!$I$81,M752=phu!$I$82,M752=phu!$I$83,M752=phu!$I$84),"Cam Thịnh Đông",""),IF(OR(M752=phu!$I$85,M752=phu!$I$86,M752=phu!$I$87,M752=phu!$I$88),"Cam Thịnh Tây",""),IF(OR(M752=phu!$I$89,M752=phu!$I$90),"Cam Lập",""),IF(OR(M752=phu!$I$91,M752=phu!$I$92,M752=phu!$I$93),"Cam Bình",""),IF(OR(M752=phu!$I$94,M752=phu!$I$95,M752=phu!$I$96,M752=phu!$I$97,M752=phu!$I$98,M752=phu!$I$99,M752=phu!$I$100),"Huyện khác",""),IF(OR(M752=phu!$I$101,M752=phu!$I$102),"Tỉnh khác",""))</f>
        <v/>
      </c>
      <c r="O752" s="814" t="str">
        <f t="shared" si="67"/>
        <v/>
      </c>
      <c r="P752" s="254"/>
      <c r="Q752" s="254"/>
      <c r="R752" s="254"/>
      <c r="S752" s="254"/>
      <c r="T752" s="254"/>
      <c r="U752" s="254"/>
      <c r="V752" s="254"/>
      <c r="W752" s="254"/>
      <c r="Y752" s="246" t="str">
        <f t="shared" si="68"/>
        <v/>
      </c>
      <c r="Z752" s="247" t="str">
        <f t="shared" si="66"/>
        <v/>
      </c>
      <c r="AA752" s="246" t="str">
        <f t="shared" si="69"/>
        <v/>
      </c>
    </row>
    <row r="753" spans="1:27" ht="18" customHeight="1" x14ac:dyDescent="0.25">
      <c r="A753" s="248" t="str">
        <f t="shared" si="70"/>
        <v/>
      </c>
      <c r="B753" s="249" t="str">
        <f t="shared" si="71"/>
        <v/>
      </c>
      <c r="C753" s="250"/>
      <c r="D753" s="251"/>
      <c r="E753" s="241"/>
      <c r="F753" s="252"/>
      <c r="G753" s="252"/>
      <c r="H753" s="253"/>
      <c r="I753" s="250"/>
      <c r="J753" s="250"/>
      <c r="K753" s="270"/>
      <c r="L753" s="250"/>
      <c r="M753" s="250"/>
      <c r="N753" s="553" t="str">
        <f>CONCATENATE(IF(OR(M753=phu!$I$1,M753=phu!$I$2,M753=phu!$I$3),"Cam Thành Nam",""),IF(OR(M753=phu!$I$4,M753=phu!$I$5,M753=phu!$I$6,M753=phu!$I$7,M753=phu!$I$8,M753=phu!$I$9,M753=phu!$I$10,M753=phu!$I$11,M753=phu!$I$12,M753=phu!$I$13,M753=phu!$I$14),"Cam Nghĩa",""),IF(OR(M753=phu!$I$15,M753=phu!$I$16,M753=phu!$I$17,M753=phu!$I$18,M753=phu!$I$19,M753=phu!$I$20,M753=phu!$I$21),"Cam Phúc Bắc",""),IF(OR(M753=phu!$I$22,M753=phu!$I$23,M753=phu!$I$24,M753=phu!$I$25),"Cam Phúc Nam",""),IF(OR(M753=phu!$I$26,M753=phu!$I$27,M753=phu!$I$28,M753=phu!$I$29,M753=phu!$I$30,M753=phu!$I$31),"Cam Phú",""),IF(OR(M753=phu!$I$32,M753=phu!$I$33,M753=phu!$I$34,M753=phu!$I$35,M753=phu!$I$36,M753=phu!$I$37),"Cam Lộc",""),IF(OR(M753=phu!$I$38,M753=phu!$I$39,M753=phu!$I$40,M753=phu!$I$41,M753=phu!$I$42,M753=phu!$I$43,M753=phu!$I$44),"Cam Thuận",""),IF(OR(M753=phu!$I$45,M753=phu!$I$46,M753=phu!$I$47,M753=phu!$I$48,M753=phu!$I$49,M753=phu!$I$50,M753=phu!$I$51,M753=phu!$I$52,M753=phu!$I$53),"Cam Linh",""),IF(OR(M753=phu!$I$54,M753=phu!$I$55,M753=phu!$I$56,M753=phu!$I$57,M753=phu!$I$58,M753=phu!$I$59,M753=phu!$I$60,M753=phu!$I$61,M753=phu!$I$62),"Cam Lợi",""),IF(OR(M753=phu!$I$63,M753=phu!$I$64,M753=phu!$I$65,M753=phu!$I$66,M753=phu!$I$67,M753=phu!$I$68,M753=phu!$I$69,M753=phu!$I$70,M753=phu!$I$71),"Ba Ngòi",""),IF(OR(M753=phu!$I$72,M753=phu!$I$73,M753=phu!$I$74,M753=phu!$I$75,M753=phu!$I$76,M753=phu!$I$77,M753=phu!$I$78),"Cam Phước Đông",""),IF(OR(M753=phu!$I$79,M753=phu!$I$80,M753=phu!$I$81,M753=phu!$I$82,M753=phu!$I$83,M753=phu!$I$84),"Cam Thịnh Đông",""),IF(OR(M753=phu!$I$85,M753=phu!$I$86,M753=phu!$I$87,M753=phu!$I$88),"Cam Thịnh Tây",""),IF(OR(M753=phu!$I$89,M753=phu!$I$90),"Cam Lập",""),IF(OR(M753=phu!$I$91,M753=phu!$I$92,M753=phu!$I$93),"Cam Bình",""),IF(OR(M753=phu!$I$94,M753=phu!$I$95,M753=phu!$I$96,M753=phu!$I$97,M753=phu!$I$98,M753=phu!$I$99,M753=phu!$I$100),"Huyện khác",""),IF(OR(M753=phu!$I$101,M753=phu!$I$102),"Tỉnh khác",""))</f>
        <v/>
      </c>
      <c r="O753" s="814" t="str">
        <f t="shared" si="67"/>
        <v/>
      </c>
      <c r="P753" s="254"/>
      <c r="Q753" s="254"/>
      <c r="R753" s="254"/>
      <c r="S753" s="254"/>
      <c r="T753" s="254"/>
      <c r="U753" s="254"/>
      <c r="V753" s="254"/>
      <c r="W753" s="254"/>
      <c r="Y753" s="246" t="str">
        <f t="shared" si="68"/>
        <v/>
      </c>
      <c r="Z753" s="247" t="str">
        <f t="shared" si="66"/>
        <v/>
      </c>
      <c r="AA753" s="246" t="str">
        <f t="shared" si="69"/>
        <v/>
      </c>
    </row>
    <row r="754" spans="1:27" ht="18" customHeight="1" x14ac:dyDescent="0.25">
      <c r="A754" s="248" t="str">
        <f t="shared" si="70"/>
        <v/>
      </c>
      <c r="B754" s="249" t="str">
        <f t="shared" si="71"/>
        <v/>
      </c>
      <c r="C754" s="250"/>
      <c r="D754" s="251"/>
      <c r="E754" s="241"/>
      <c r="F754" s="252"/>
      <c r="G754" s="252"/>
      <c r="H754" s="253"/>
      <c r="I754" s="250"/>
      <c r="J754" s="250"/>
      <c r="K754" s="270"/>
      <c r="L754" s="250"/>
      <c r="M754" s="250"/>
      <c r="N754" s="553" t="str">
        <f>CONCATENATE(IF(OR(M754=phu!$I$1,M754=phu!$I$2,M754=phu!$I$3),"Cam Thành Nam",""),IF(OR(M754=phu!$I$4,M754=phu!$I$5,M754=phu!$I$6,M754=phu!$I$7,M754=phu!$I$8,M754=phu!$I$9,M754=phu!$I$10,M754=phu!$I$11,M754=phu!$I$12,M754=phu!$I$13,M754=phu!$I$14),"Cam Nghĩa",""),IF(OR(M754=phu!$I$15,M754=phu!$I$16,M754=phu!$I$17,M754=phu!$I$18,M754=phu!$I$19,M754=phu!$I$20,M754=phu!$I$21),"Cam Phúc Bắc",""),IF(OR(M754=phu!$I$22,M754=phu!$I$23,M754=phu!$I$24,M754=phu!$I$25),"Cam Phúc Nam",""),IF(OR(M754=phu!$I$26,M754=phu!$I$27,M754=phu!$I$28,M754=phu!$I$29,M754=phu!$I$30,M754=phu!$I$31),"Cam Phú",""),IF(OR(M754=phu!$I$32,M754=phu!$I$33,M754=phu!$I$34,M754=phu!$I$35,M754=phu!$I$36,M754=phu!$I$37),"Cam Lộc",""),IF(OR(M754=phu!$I$38,M754=phu!$I$39,M754=phu!$I$40,M754=phu!$I$41,M754=phu!$I$42,M754=phu!$I$43,M754=phu!$I$44),"Cam Thuận",""),IF(OR(M754=phu!$I$45,M754=phu!$I$46,M754=phu!$I$47,M754=phu!$I$48,M754=phu!$I$49,M754=phu!$I$50,M754=phu!$I$51,M754=phu!$I$52,M754=phu!$I$53),"Cam Linh",""),IF(OR(M754=phu!$I$54,M754=phu!$I$55,M754=phu!$I$56,M754=phu!$I$57,M754=phu!$I$58,M754=phu!$I$59,M754=phu!$I$60,M754=phu!$I$61,M754=phu!$I$62),"Cam Lợi",""),IF(OR(M754=phu!$I$63,M754=phu!$I$64,M754=phu!$I$65,M754=phu!$I$66,M754=phu!$I$67,M754=phu!$I$68,M754=phu!$I$69,M754=phu!$I$70,M754=phu!$I$71),"Ba Ngòi",""),IF(OR(M754=phu!$I$72,M754=phu!$I$73,M754=phu!$I$74,M754=phu!$I$75,M754=phu!$I$76,M754=phu!$I$77,M754=phu!$I$78),"Cam Phước Đông",""),IF(OR(M754=phu!$I$79,M754=phu!$I$80,M754=phu!$I$81,M754=phu!$I$82,M754=phu!$I$83,M754=phu!$I$84),"Cam Thịnh Đông",""),IF(OR(M754=phu!$I$85,M754=phu!$I$86,M754=phu!$I$87,M754=phu!$I$88),"Cam Thịnh Tây",""),IF(OR(M754=phu!$I$89,M754=phu!$I$90),"Cam Lập",""),IF(OR(M754=phu!$I$91,M754=phu!$I$92,M754=phu!$I$93),"Cam Bình",""),IF(OR(M754=phu!$I$94,M754=phu!$I$95,M754=phu!$I$96,M754=phu!$I$97,M754=phu!$I$98,M754=phu!$I$99,M754=phu!$I$100),"Huyện khác",""),IF(OR(M754=phu!$I$101,M754=phu!$I$102),"Tỉnh khác",""))</f>
        <v/>
      </c>
      <c r="O754" s="814" t="str">
        <f t="shared" si="67"/>
        <v/>
      </c>
      <c r="P754" s="254"/>
      <c r="Q754" s="254"/>
      <c r="R754" s="254"/>
      <c r="S754" s="254"/>
      <c r="T754" s="254"/>
      <c r="U754" s="254"/>
      <c r="V754" s="254"/>
      <c r="W754" s="254"/>
      <c r="Y754" s="246" t="str">
        <f t="shared" si="68"/>
        <v/>
      </c>
      <c r="Z754" s="247" t="str">
        <f t="shared" si="66"/>
        <v/>
      </c>
      <c r="AA754" s="246" t="str">
        <f t="shared" si="69"/>
        <v/>
      </c>
    </row>
    <row r="755" spans="1:27" ht="18" customHeight="1" x14ac:dyDescent="0.25">
      <c r="A755" s="248" t="str">
        <f t="shared" si="70"/>
        <v/>
      </c>
      <c r="B755" s="249" t="str">
        <f t="shared" si="71"/>
        <v/>
      </c>
      <c r="C755" s="250"/>
      <c r="D755" s="251"/>
      <c r="E755" s="241"/>
      <c r="F755" s="252"/>
      <c r="G755" s="252"/>
      <c r="H755" s="253"/>
      <c r="I755" s="250"/>
      <c r="J755" s="250"/>
      <c r="K755" s="270"/>
      <c r="L755" s="250"/>
      <c r="M755" s="250"/>
      <c r="N755" s="553" t="str">
        <f>CONCATENATE(IF(OR(M755=phu!$I$1,M755=phu!$I$2,M755=phu!$I$3),"Cam Thành Nam",""),IF(OR(M755=phu!$I$4,M755=phu!$I$5,M755=phu!$I$6,M755=phu!$I$7,M755=phu!$I$8,M755=phu!$I$9,M755=phu!$I$10,M755=phu!$I$11,M755=phu!$I$12,M755=phu!$I$13,M755=phu!$I$14),"Cam Nghĩa",""),IF(OR(M755=phu!$I$15,M755=phu!$I$16,M755=phu!$I$17,M755=phu!$I$18,M755=phu!$I$19,M755=phu!$I$20,M755=phu!$I$21),"Cam Phúc Bắc",""),IF(OR(M755=phu!$I$22,M755=phu!$I$23,M755=phu!$I$24,M755=phu!$I$25),"Cam Phúc Nam",""),IF(OR(M755=phu!$I$26,M755=phu!$I$27,M755=phu!$I$28,M755=phu!$I$29,M755=phu!$I$30,M755=phu!$I$31),"Cam Phú",""),IF(OR(M755=phu!$I$32,M755=phu!$I$33,M755=phu!$I$34,M755=phu!$I$35,M755=phu!$I$36,M755=phu!$I$37),"Cam Lộc",""),IF(OR(M755=phu!$I$38,M755=phu!$I$39,M755=phu!$I$40,M755=phu!$I$41,M755=phu!$I$42,M755=phu!$I$43,M755=phu!$I$44),"Cam Thuận",""),IF(OR(M755=phu!$I$45,M755=phu!$I$46,M755=phu!$I$47,M755=phu!$I$48,M755=phu!$I$49,M755=phu!$I$50,M755=phu!$I$51,M755=phu!$I$52,M755=phu!$I$53),"Cam Linh",""),IF(OR(M755=phu!$I$54,M755=phu!$I$55,M755=phu!$I$56,M755=phu!$I$57,M755=phu!$I$58,M755=phu!$I$59,M755=phu!$I$60,M755=phu!$I$61,M755=phu!$I$62),"Cam Lợi",""),IF(OR(M755=phu!$I$63,M755=phu!$I$64,M755=phu!$I$65,M755=phu!$I$66,M755=phu!$I$67,M755=phu!$I$68,M755=phu!$I$69,M755=phu!$I$70,M755=phu!$I$71),"Ba Ngòi",""),IF(OR(M755=phu!$I$72,M755=phu!$I$73,M755=phu!$I$74,M755=phu!$I$75,M755=phu!$I$76,M755=phu!$I$77,M755=phu!$I$78),"Cam Phước Đông",""),IF(OR(M755=phu!$I$79,M755=phu!$I$80,M755=phu!$I$81,M755=phu!$I$82,M755=phu!$I$83,M755=phu!$I$84),"Cam Thịnh Đông",""),IF(OR(M755=phu!$I$85,M755=phu!$I$86,M755=phu!$I$87,M755=phu!$I$88),"Cam Thịnh Tây",""),IF(OR(M755=phu!$I$89,M755=phu!$I$90),"Cam Lập",""),IF(OR(M755=phu!$I$91,M755=phu!$I$92,M755=phu!$I$93),"Cam Bình",""),IF(OR(M755=phu!$I$94,M755=phu!$I$95,M755=phu!$I$96,M755=phu!$I$97,M755=phu!$I$98,M755=phu!$I$99,M755=phu!$I$100),"Huyện khác",""),IF(OR(M755=phu!$I$101,M755=phu!$I$102),"Tỉnh khác",""))</f>
        <v/>
      </c>
      <c r="O755" s="814" t="str">
        <f t="shared" si="67"/>
        <v/>
      </c>
      <c r="P755" s="254"/>
      <c r="Q755" s="254"/>
      <c r="R755" s="254"/>
      <c r="S755" s="254"/>
      <c r="T755" s="254"/>
      <c r="U755" s="254"/>
      <c r="V755" s="254"/>
      <c r="W755" s="254"/>
      <c r="Y755" s="246" t="str">
        <f t="shared" si="68"/>
        <v/>
      </c>
      <c r="Z755" s="247" t="str">
        <f t="shared" si="66"/>
        <v/>
      </c>
      <c r="AA755" s="246" t="str">
        <f t="shared" si="69"/>
        <v/>
      </c>
    </row>
    <row r="756" spans="1:27" ht="18" customHeight="1" x14ac:dyDescent="0.25">
      <c r="A756" s="248" t="str">
        <f t="shared" si="70"/>
        <v/>
      </c>
      <c r="B756" s="249" t="str">
        <f t="shared" si="71"/>
        <v/>
      </c>
      <c r="C756" s="250"/>
      <c r="D756" s="251"/>
      <c r="E756" s="241"/>
      <c r="F756" s="252"/>
      <c r="G756" s="252"/>
      <c r="H756" s="253"/>
      <c r="I756" s="250"/>
      <c r="J756" s="250"/>
      <c r="K756" s="270"/>
      <c r="L756" s="250"/>
      <c r="M756" s="250"/>
      <c r="N756" s="553" t="str">
        <f>CONCATENATE(IF(OR(M756=phu!$I$1,M756=phu!$I$2,M756=phu!$I$3),"Cam Thành Nam",""),IF(OR(M756=phu!$I$4,M756=phu!$I$5,M756=phu!$I$6,M756=phu!$I$7,M756=phu!$I$8,M756=phu!$I$9,M756=phu!$I$10,M756=phu!$I$11,M756=phu!$I$12,M756=phu!$I$13,M756=phu!$I$14),"Cam Nghĩa",""),IF(OR(M756=phu!$I$15,M756=phu!$I$16,M756=phu!$I$17,M756=phu!$I$18,M756=phu!$I$19,M756=phu!$I$20,M756=phu!$I$21),"Cam Phúc Bắc",""),IF(OR(M756=phu!$I$22,M756=phu!$I$23,M756=phu!$I$24,M756=phu!$I$25),"Cam Phúc Nam",""),IF(OR(M756=phu!$I$26,M756=phu!$I$27,M756=phu!$I$28,M756=phu!$I$29,M756=phu!$I$30,M756=phu!$I$31),"Cam Phú",""),IF(OR(M756=phu!$I$32,M756=phu!$I$33,M756=phu!$I$34,M756=phu!$I$35,M756=phu!$I$36,M756=phu!$I$37),"Cam Lộc",""),IF(OR(M756=phu!$I$38,M756=phu!$I$39,M756=phu!$I$40,M756=phu!$I$41,M756=phu!$I$42,M756=phu!$I$43,M756=phu!$I$44),"Cam Thuận",""),IF(OR(M756=phu!$I$45,M756=phu!$I$46,M756=phu!$I$47,M756=phu!$I$48,M756=phu!$I$49,M756=phu!$I$50,M756=phu!$I$51,M756=phu!$I$52,M756=phu!$I$53),"Cam Linh",""),IF(OR(M756=phu!$I$54,M756=phu!$I$55,M756=phu!$I$56,M756=phu!$I$57,M756=phu!$I$58,M756=phu!$I$59,M756=phu!$I$60,M756=phu!$I$61,M756=phu!$I$62),"Cam Lợi",""),IF(OR(M756=phu!$I$63,M756=phu!$I$64,M756=phu!$I$65,M756=phu!$I$66,M756=phu!$I$67,M756=phu!$I$68,M756=phu!$I$69,M756=phu!$I$70,M756=phu!$I$71),"Ba Ngòi",""),IF(OR(M756=phu!$I$72,M756=phu!$I$73,M756=phu!$I$74,M756=phu!$I$75,M756=phu!$I$76,M756=phu!$I$77,M756=phu!$I$78),"Cam Phước Đông",""),IF(OR(M756=phu!$I$79,M756=phu!$I$80,M756=phu!$I$81,M756=phu!$I$82,M756=phu!$I$83,M756=phu!$I$84),"Cam Thịnh Đông",""),IF(OR(M756=phu!$I$85,M756=phu!$I$86,M756=phu!$I$87,M756=phu!$I$88),"Cam Thịnh Tây",""),IF(OR(M756=phu!$I$89,M756=phu!$I$90),"Cam Lập",""),IF(OR(M756=phu!$I$91,M756=phu!$I$92,M756=phu!$I$93),"Cam Bình",""),IF(OR(M756=phu!$I$94,M756=phu!$I$95,M756=phu!$I$96,M756=phu!$I$97,M756=phu!$I$98,M756=phu!$I$99,M756=phu!$I$100),"Huyện khác",""),IF(OR(M756=phu!$I$101,M756=phu!$I$102),"Tỉnh khác",""))</f>
        <v/>
      </c>
      <c r="O756" s="814" t="str">
        <f t="shared" si="67"/>
        <v/>
      </c>
      <c r="P756" s="254"/>
      <c r="Q756" s="254"/>
      <c r="R756" s="254"/>
      <c r="S756" s="254"/>
      <c r="T756" s="254"/>
      <c r="U756" s="254"/>
      <c r="V756" s="254"/>
      <c r="W756" s="254"/>
      <c r="Y756" s="246" t="str">
        <f t="shared" si="68"/>
        <v/>
      </c>
      <c r="Z756" s="247" t="str">
        <f t="shared" si="66"/>
        <v/>
      </c>
      <c r="AA756" s="246" t="str">
        <f t="shared" si="69"/>
        <v/>
      </c>
    </row>
    <row r="757" spans="1:27" ht="18" customHeight="1" x14ac:dyDescent="0.25">
      <c r="A757" s="248" t="str">
        <f t="shared" si="70"/>
        <v/>
      </c>
      <c r="B757" s="249" t="str">
        <f t="shared" si="71"/>
        <v/>
      </c>
      <c r="C757" s="250"/>
      <c r="D757" s="251"/>
      <c r="E757" s="241"/>
      <c r="F757" s="252"/>
      <c r="G757" s="252"/>
      <c r="H757" s="253"/>
      <c r="I757" s="250"/>
      <c r="J757" s="250"/>
      <c r="K757" s="270"/>
      <c r="L757" s="250"/>
      <c r="M757" s="250"/>
      <c r="N757" s="553" t="str">
        <f>CONCATENATE(IF(OR(M757=phu!$I$1,M757=phu!$I$2,M757=phu!$I$3),"Cam Thành Nam",""),IF(OR(M757=phu!$I$4,M757=phu!$I$5,M757=phu!$I$6,M757=phu!$I$7,M757=phu!$I$8,M757=phu!$I$9,M757=phu!$I$10,M757=phu!$I$11,M757=phu!$I$12,M757=phu!$I$13,M757=phu!$I$14),"Cam Nghĩa",""),IF(OR(M757=phu!$I$15,M757=phu!$I$16,M757=phu!$I$17,M757=phu!$I$18,M757=phu!$I$19,M757=phu!$I$20,M757=phu!$I$21),"Cam Phúc Bắc",""),IF(OR(M757=phu!$I$22,M757=phu!$I$23,M757=phu!$I$24,M757=phu!$I$25),"Cam Phúc Nam",""),IF(OR(M757=phu!$I$26,M757=phu!$I$27,M757=phu!$I$28,M757=phu!$I$29,M757=phu!$I$30,M757=phu!$I$31),"Cam Phú",""),IF(OR(M757=phu!$I$32,M757=phu!$I$33,M757=phu!$I$34,M757=phu!$I$35,M757=phu!$I$36,M757=phu!$I$37),"Cam Lộc",""),IF(OR(M757=phu!$I$38,M757=phu!$I$39,M757=phu!$I$40,M757=phu!$I$41,M757=phu!$I$42,M757=phu!$I$43,M757=phu!$I$44),"Cam Thuận",""),IF(OR(M757=phu!$I$45,M757=phu!$I$46,M757=phu!$I$47,M757=phu!$I$48,M757=phu!$I$49,M757=phu!$I$50,M757=phu!$I$51,M757=phu!$I$52,M757=phu!$I$53),"Cam Linh",""),IF(OR(M757=phu!$I$54,M757=phu!$I$55,M757=phu!$I$56,M757=phu!$I$57,M757=phu!$I$58,M757=phu!$I$59,M757=phu!$I$60,M757=phu!$I$61,M757=phu!$I$62),"Cam Lợi",""),IF(OR(M757=phu!$I$63,M757=phu!$I$64,M757=phu!$I$65,M757=phu!$I$66,M757=phu!$I$67,M757=phu!$I$68,M757=phu!$I$69,M757=phu!$I$70,M757=phu!$I$71),"Ba Ngòi",""),IF(OR(M757=phu!$I$72,M757=phu!$I$73,M757=phu!$I$74,M757=phu!$I$75,M757=phu!$I$76,M757=phu!$I$77,M757=phu!$I$78),"Cam Phước Đông",""),IF(OR(M757=phu!$I$79,M757=phu!$I$80,M757=phu!$I$81,M757=phu!$I$82,M757=phu!$I$83,M757=phu!$I$84),"Cam Thịnh Đông",""),IF(OR(M757=phu!$I$85,M757=phu!$I$86,M757=phu!$I$87,M757=phu!$I$88),"Cam Thịnh Tây",""),IF(OR(M757=phu!$I$89,M757=phu!$I$90),"Cam Lập",""),IF(OR(M757=phu!$I$91,M757=phu!$I$92,M757=phu!$I$93),"Cam Bình",""),IF(OR(M757=phu!$I$94,M757=phu!$I$95,M757=phu!$I$96,M757=phu!$I$97,M757=phu!$I$98,M757=phu!$I$99,M757=phu!$I$100),"Huyện khác",""),IF(OR(M757=phu!$I$101,M757=phu!$I$102),"Tỉnh khác",""))</f>
        <v/>
      </c>
      <c r="O757" s="814" t="str">
        <f t="shared" si="67"/>
        <v/>
      </c>
      <c r="P757" s="254"/>
      <c r="Q757" s="254"/>
      <c r="R757" s="254"/>
      <c r="S757" s="254"/>
      <c r="T757" s="254"/>
      <c r="U757" s="254"/>
      <c r="V757" s="254"/>
      <c r="W757" s="254"/>
      <c r="Y757" s="246" t="str">
        <f t="shared" si="68"/>
        <v/>
      </c>
      <c r="Z757" s="247" t="str">
        <f t="shared" si="66"/>
        <v/>
      </c>
      <c r="AA757" s="246" t="str">
        <f t="shared" si="69"/>
        <v/>
      </c>
    </row>
    <row r="758" spans="1:27" ht="18" customHeight="1" x14ac:dyDescent="0.25">
      <c r="A758" s="248" t="str">
        <f t="shared" si="70"/>
        <v/>
      </c>
      <c r="B758" s="249" t="str">
        <f t="shared" si="71"/>
        <v/>
      </c>
      <c r="C758" s="250"/>
      <c r="D758" s="251"/>
      <c r="E758" s="241"/>
      <c r="F758" s="252"/>
      <c r="G758" s="252"/>
      <c r="H758" s="253"/>
      <c r="I758" s="250"/>
      <c r="J758" s="250"/>
      <c r="K758" s="270"/>
      <c r="L758" s="250"/>
      <c r="M758" s="250"/>
      <c r="N758" s="553" t="str">
        <f>CONCATENATE(IF(OR(M758=phu!$I$1,M758=phu!$I$2,M758=phu!$I$3),"Cam Thành Nam",""),IF(OR(M758=phu!$I$4,M758=phu!$I$5,M758=phu!$I$6,M758=phu!$I$7,M758=phu!$I$8,M758=phu!$I$9,M758=phu!$I$10,M758=phu!$I$11,M758=phu!$I$12,M758=phu!$I$13,M758=phu!$I$14),"Cam Nghĩa",""),IF(OR(M758=phu!$I$15,M758=phu!$I$16,M758=phu!$I$17,M758=phu!$I$18,M758=phu!$I$19,M758=phu!$I$20,M758=phu!$I$21),"Cam Phúc Bắc",""),IF(OR(M758=phu!$I$22,M758=phu!$I$23,M758=phu!$I$24,M758=phu!$I$25),"Cam Phúc Nam",""),IF(OR(M758=phu!$I$26,M758=phu!$I$27,M758=phu!$I$28,M758=phu!$I$29,M758=phu!$I$30,M758=phu!$I$31),"Cam Phú",""),IF(OR(M758=phu!$I$32,M758=phu!$I$33,M758=phu!$I$34,M758=phu!$I$35,M758=phu!$I$36,M758=phu!$I$37),"Cam Lộc",""),IF(OR(M758=phu!$I$38,M758=phu!$I$39,M758=phu!$I$40,M758=phu!$I$41,M758=phu!$I$42,M758=phu!$I$43,M758=phu!$I$44),"Cam Thuận",""),IF(OR(M758=phu!$I$45,M758=phu!$I$46,M758=phu!$I$47,M758=phu!$I$48,M758=phu!$I$49,M758=phu!$I$50,M758=phu!$I$51,M758=phu!$I$52,M758=phu!$I$53),"Cam Linh",""),IF(OR(M758=phu!$I$54,M758=phu!$I$55,M758=phu!$I$56,M758=phu!$I$57,M758=phu!$I$58,M758=phu!$I$59,M758=phu!$I$60,M758=phu!$I$61,M758=phu!$I$62),"Cam Lợi",""),IF(OR(M758=phu!$I$63,M758=phu!$I$64,M758=phu!$I$65,M758=phu!$I$66,M758=phu!$I$67,M758=phu!$I$68,M758=phu!$I$69,M758=phu!$I$70,M758=phu!$I$71),"Ba Ngòi",""),IF(OR(M758=phu!$I$72,M758=phu!$I$73,M758=phu!$I$74,M758=phu!$I$75,M758=phu!$I$76,M758=phu!$I$77,M758=phu!$I$78),"Cam Phước Đông",""),IF(OR(M758=phu!$I$79,M758=phu!$I$80,M758=phu!$I$81,M758=phu!$I$82,M758=phu!$I$83,M758=phu!$I$84),"Cam Thịnh Đông",""),IF(OR(M758=phu!$I$85,M758=phu!$I$86,M758=phu!$I$87,M758=phu!$I$88),"Cam Thịnh Tây",""),IF(OR(M758=phu!$I$89,M758=phu!$I$90),"Cam Lập",""),IF(OR(M758=phu!$I$91,M758=phu!$I$92,M758=phu!$I$93),"Cam Bình",""),IF(OR(M758=phu!$I$94,M758=phu!$I$95,M758=phu!$I$96,M758=phu!$I$97,M758=phu!$I$98,M758=phu!$I$99,M758=phu!$I$100),"Huyện khác",""),IF(OR(M758=phu!$I$101,M758=phu!$I$102),"Tỉnh khác",""))</f>
        <v/>
      </c>
      <c r="O758" s="814" t="str">
        <f t="shared" si="67"/>
        <v/>
      </c>
      <c r="P758" s="254"/>
      <c r="Q758" s="254"/>
      <c r="R758" s="254"/>
      <c r="S758" s="254"/>
      <c r="T758" s="254"/>
      <c r="U758" s="254"/>
      <c r="V758" s="254"/>
      <c r="W758" s="254"/>
      <c r="Y758" s="246" t="str">
        <f t="shared" si="68"/>
        <v/>
      </c>
      <c r="Z758" s="247" t="str">
        <f t="shared" si="66"/>
        <v/>
      </c>
      <c r="AA758" s="246" t="str">
        <f t="shared" si="69"/>
        <v/>
      </c>
    </row>
    <row r="759" spans="1:27" ht="18" customHeight="1" x14ac:dyDescent="0.25">
      <c r="A759" s="248" t="str">
        <f t="shared" si="70"/>
        <v/>
      </c>
      <c r="B759" s="249" t="str">
        <f t="shared" si="71"/>
        <v/>
      </c>
      <c r="C759" s="250"/>
      <c r="D759" s="251"/>
      <c r="E759" s="241"/>
      <c r="F759" s="252"/>
      <c r="G759" s="252"/>
      <c r="H759" s="253"/>
      <c r="I759" s="250"/>
      <c r="J759" s="250"/>
      <c r="K759" s="270"/>
      <c r="L759" s="250"/>
      <c r="M759" s="250"/>
      <c r="N759" s="553" t="str">
        <f>CONCATENATE(IF(OR(M759=phu!$I$1,M759=phu!$I$2,M759=phu!$I$3),"Cam Thành Nam",""),IF(OR(M759=phu!$I$4,M759=phu!$I$5,M759=phu!$I$6,M759=phu!$I$7,M759=phu!$I$8,M759=phu!$I$9,M759=phu!$I$10,M759=phu!$I$11,M759=phu!$I$12,M759=phu!$I$13,M759=phu!$I$14),"Cam Nghĩa",""),IF(OR(M759=phu!$I$15,M759=phu!$I$16,M759=phu!$I$17,M759=phu!$I$18,M759=phu!$I$19,M759=phu!$I$20,M759=phu!$I$21),"Cam Phúc Bắc",""),IF(OR(M759=phu!$I$22,M759=phu!$I$23,M759=phu!$I$24,M759=phu!$I$25),"Cam Phúc Nam",""),IF(OR(M759=phu!$I$26,M759=phu!$I$27,M759=phu!$I$28,M759=phu!$I$29,M759=phu!$I$30,M759=phu!$I$31),"Cam Phú",""),IF(OR(M759=phu!$I$32,M759=phu!$I$33,M759=phu!$I$34,M759=phu!$I$35,M759=phu!$I$36,M759=phu!$I$37),"Cam Lộc",""),IF(OR(M759=phu!$I$38,M759=phu!$I$39,M759=phu!$I$40,M759=phu!$I$41,M759=phu!$I$42,M759=phu!$I$43,M759=phu!$I$44),"Cam Thuận",""),IF(OR(M759=phu!$I$45,M759=phu!$I$46,M759=phu!$I$47,M759=phu!$I$48,M759=phu!$I$49,M759=phu!$I$50,M759=phu!$I$51,M759=phu!$I$52,M759=phu!$I$53),"Cam Linh",""),IF(OR(M759=phu!$I$54,M759=phu!$I$55,M759=phu!$I$56,M759=phu!$I$57,M759=phu!$I$58,M759=phu!$I$59,M759=phu!$I$60,M759=phu!$I$61,M759=phu!$I$62),"Cam Lợi",""),IF(OR(M759=phu!$I$63,M759=phu!$I$64,M759=phu!$I$65,M759=phu!$I$66,M759=phu!$I$67,M759=phu!$I$68,M759=phu!$I$69,M759=phu!$I$70,M759=phu!$I$71),"Ba Ngòi",""),IF(OR(M759=phu!$I$72,M759=phu!$I$73,M759=phu!$I$74,M759=phu!$I$75,M759=phu!$I$76,M759=phu!$I$77,M759=phu!$I$78),"Cam Phước Đông",""),IF(OR(M759=phu!$I$79,M759=phu!$I$80,M759=phu!$I$81,M759=phu!$I$82,M759=phu!$I$83,M759=phu!$I$84),"Cam Thịnh Đông",""),IF(OR(M759=phu!$I$85,M759=phu!$I$86,M759=phu!$I$87,M759=phu!$I$88),"Cam Thịnh Tây",""),IF(OR(M759=phu!$I$89,M759=phu!$I$90),"Cam Lập",""),IF(OR(M759=phu!$I$91,M759=phu!$I$92,M759=phu!$I$93),"Cam Bình",""),IF(OR(M759=phu!$I$94,M759=phu!$I$95,M759=phu!$I$96,M759=phu!$I$97,M759=phu!$I$98,M759=phu!$I$99,M759=phu!$I$100),"Huyện khác",""),IF(OR(M759=phu!$I$101,M759=phu!$I$102),"Tỉnh khác",""))</f>
        <v/>
      </c>
      <c r="O759" s="814" t="str">
        <f t="shared" si="67"/>
        <v/>
      </c>
      <c r="P759" s="254"/>
      <c r="Q759" s="254"/>
      <c r="R759" s="254"/>
      <c r="S759" s="254"/>
      <c r="T759" s="254"/>
      <c r="U759" s="254"/>
      <c r="V759" s="254"/>
      <c r="W759" s="254"/>
      <c r="Y759" s="246" t="str">
        <f t="shared" si="68"/>
        <v/>
      </c>
      <c r="Z759" s="247" t="str">
        <f t="shared" si="66"/>
        <v/>
      </c>
      <c r="AA759" s="246" t="str">
        <f t="shared" si="69"/>
        <v/>
      </c>
    </row>
    <row r="760" spans="1:27" ht="18" customHeight="1" x14ac:dyDescent="0.25">
      <c r="A760" s="248" t="str">
        <f t="shared" si="70"/>
        <v/>
      </c>
      <c r="B760" s="249" t="str">
        <f t="shared" si="71"/>
        <v/>
      </c>
      <c r="C760" s="250"/>
      <c r="D760" s="251"/>
      <c r="E760" s="241"/>
      <c r="F760" s="252"/>
      <c r="G760" s="252"/>
      <c r="H760" s="253"/>
      <c r="I760" s="250"/>
      <c r="J760" s="250"/>
      <c r="K760" s="270"/>
      <c r="L760" s="250"/>
      <c r="M760" s="250"/>
      <c r="N760" s="553" t="str">
        <f>CONCATENATE(IF(OR(M760=phu!$I$1,M760=phu!$I$2,M760=phu!$I$3),"Cam Thành Nam",""),IF(OR(M760=phu!$I$4,M760=phu!$I$5,M760=phu!$I$6,M760=phu!$I$7,M760=phu!$I$8,M760=phu!$I$9,M760=phu!$I$10,M760=phu!$I$11,M760=phu!$I$12,M760=phu!$I$13,M760=phu!$I$14),"Cam Nghĩa",""),IF(OR(M760=phu!$I$15,M760=phu!$I$16,M760=phu!$I$17,M760=phu!$I$18,M760=phu!$I$19,M760=phu!$I$20,M760=phu!$I$21),"Cam Phúc Bắc",""),IF(OR(M760=phu!$I$22,M760=phu!$I$23,M760=phu!$I$24,M760=phu!$I$25),"Cam Phúc Nam",""),IF(OR(M760=phu!$I$26,M760=phu!$I$27,M760=phu!$I$28,M760=phu!$I$29,M760=phu!$I$30,M760=phu!$I$31),"Cam Phú",""),IF(OR(M760=phu!$I$32,M760=phu!$I$33,M760=phu!$I$34,M760=phu!$I$35,M760=phu!$I$36,M760=phu!$I$37),"Cam Lộc",""),IF(OR(M760=phu!$I$38,M760=phu!$I$39,M760=phu!$I$40,M760=phu!$I$41,M760=phu!$I$42,M760=phu!$I$43,M760=phu!$I$44),"Cam Thuận",""),IF(OR(M760=phu!$I$45,M760=phu!$I$46,M760=phu!$I$47,M760=phu!$I$48,M760=phu!$I$49,M760=phu!$I$50,M760=phu!$I$51,M760=phu!$I$52,M760=phu!$I$53),"Cam Linh",""),IF(OR(M760=phu!$I$54,M760=phu!$I$55,M760=phu!$I$56,M760=phu!$I$57,M760=phu!$I$58,M760=phu!$I$59,M760=phu!$I$60,M760=phu!$I$61,M760=phu!$I$62),"Cam Lợi",""),IF(OR(M760=phu!$I$63,M760=phu!$I$64,M760=phu!$I$65,M760=phu!$I$66,M760=phu!$I$67,M760=phu!$I$68,M760=phu!$I$69,M760=phu!$I$70,M760=phu!$I$71),"Ba Ngòi",""),IF(OR(M760=phu!$I$72,M760=phu!$I$73,M760=phu!$I$74,M760=phu!$I$75,M760=phu!$I$76,M760=phu!$I$77,M760=phu!$I$78),"Cam Phước Đông",""),IF(OR(M760=phu!$I$79,M760=phu!$I$80,M760=phu!$I$81,M760=phu!$I$82,M760=phu!$I$83,M760=phu!$I$84),"Cam Thịnh Đông",""),IF(OR(M760=phu!$I$85,M760=phu!$I$86,M760=phu!$I$87,M760=phu!$I$88),"Cam Thịnh Tây",""),IF(OR(M760=phu!$I$89,M760=phu!$I$90),"Cam Lập",""),IF(OR(M760=phu!$I$91,M760=phu!$I$92,M760=phu!$I$93),"Cam Bình",""),IF(OR(M760=phu!$I$94,M760=phu!$I$95,M760=phu!$I$96,M760=phu!$I$97,M760=phu!$I$98,M760=phu!$I$99,M760=phu!$I$100),"Huyện khác",""),IF(OR(M760=phu!$I$101,M760=phu!$I$102),"Tỉnh khác",""))</f>
        <v/>
      </c>
      <c r="O760" s="814" t="str">
        <f t="shared" si="67"/>
        <v/>
      </c>
      <c r="P760" s="254"/>
      <c r="Q760" s="254"/>
      <c r="R760" s="254"/>
      <c r="S760" s="254"/>
      <c r="T760" s="254"/>
      <c r="U760" s="254"/>
      <c r="V760" s="254"/>
      <c r="W760" s="254"/>
      <c r="Y760" s="246" t="str">
        <f t="shared" si="68"/>
        <v/>
      </c>
      <c r="Z760" s="247" t="str">
        <f t="shared" si="66"/>
        <v/>
      </c>
      <c r="AA760" s="246" t="str">
        <f t="shared" si="69"/>
        <v/>
      </c>
    </row>
    <row r="761" spans="1:27" ht="18" customHeight="1" x14ac:dyDescent="0.25">
      <c r="A761" s="248" t="str">
        <f t="shared" si="70"/>
        <v/>
      </c>
      <c r="B761" s="249" t="str">
        <f t="shared" si="71"/>
        <v/>
      </c>
      <c r="C761" s="250"/>
      <c r="D761" s="251"/>
      <c r="E761" s="241"/>
      <c r="F761" s="252"/>
      <c r="G761" s="252"/>
      <c r="H761" s="253"/>
      <c r="I761" s="250"/>
      <c r="J761" s="250"/>
      <c r="K761" s="270"/>
      <c r="L761" s="250"/>
      <c r="M761" s="250"/>
      <c r="N761" s="553" t="str">
        <f>CONCATENATE(IF(OR(M761=phu!$I$1,M761=phu!$I$2,M761=phu!$I$3),"Cam Thành Nam",""),IF(OR(M761=phu!$I$4,M761=phu!$I$5,M761=phu!$I$6,M761=phu!$I$7,M761=phu!$I$8,M761=phu!$I$9,M761=phu!$I$10,M761=phu!$I$11,M761=phu!$I$12,M761=phu!$I$13,M761=phu!$I$14),"Cam Nghĩa",""),IF(OR(M761=phu!$I$15,M761=phu!$I$16,M761=phu!$I$17,M761=phu!$I$18,M761=phu!$I$19,M761=phu!$I$20,M761=phu!$I$21),"Cam Phúc Bắc",""),IF(OR(M761=phu!$I$22,M761=phu!$I$23,M761=phu!$I$24,M761=phu!$I$25),"Cam Phúc Nam",""),IF(OR(M761=phu!$I$26,M761=phu!$I$27,M761=phu!$I$28,M761=phu!$I$29,M761=phu!$I$30,M761=phu!$I$31),"Cam Phú",""),IF(OR(M761=phu!$I$32,M761=phu!$I$33,M761=phu!$I$34,M761=phu!$I$35,M761=phu!$I$36,M761=phu!$I$37),"Cam Lộc",""),IF(OR(M761=phu!$I$38,M761=phu!$I$39,M761=phu!$I$40,M761=phu!$I$41,M761=phu!$I$42,M761=phu!$I$43,M761=phu!$I$44),"Cam Thuận",""),IF(OR(M761=phu!$I$45,M761=phu!$I$46,M761=phu!$I$47,M761=phu!$I$48,M761=phu!$I$49,M761=phu!$I$50,M761=phu!$I$51,M761=phu!$I$52,M761=phu!$I$53),"Cam Linh",""),IF(OR(M761=phu!$I$54,M761=phu!$I$55,M761=phu!$I$56,M761=phu!$I$57,M761=phu!$I$58,M761=phu!$I$59,M761=phu!$I$60,M761=phu!$I$61,M761=phu!$I$62),"Cam Lợi",""),IF(OR(M761=phu!$I$63,M761=phu!$I$64,M761=phu!$I$65,M761=phu!$I$66,M761=phu!$I$67,M761=phu!$I$68,M761=phu!$I$69,M761=phu!$I$70,M761=phu!$I$71),"Ba Ngòi",""),IF(OR(M761=phu!$I$72,M761=phu!$I$73,M761=phu!$I$74,M761=phu!$I$75,M761=phu!$I$76,M761=phu!$I$77,M761=phu!$I$78),"Cam Phước Đông",""),IF(OR(M761=phu!$I$79,M761=phu!$I$80,M761=phu!$I$81,M761=phu!$I$82,M761=phu!$I$83,M761=phu!$I$84),"Cam Thịnh Đông",""),IF(OR(M761=phu!$I$85,M761=phu!$I$86,M761=phu!$I$87,M761=phu!$I$88),"Cam Thịnh Tây",""),IF(OR(M761=phu!$I$89,M761=phu!$I$90),"Cam Lập",""),IF(OR(M761=phu!$I$91,M761=phu!$I$92,M761=phu!$I$93),"Cam Bình",""),IF(OR(M761=phu!$I$94,M761=phu!$I$95,M761=phu!$I$96,M761=phu!$I$97,M761=phu!$I$98,M761=phu!$I$99,M761=phu!$I$100),"Huyện khác",""),IF(OR(M761=phu!$I$101,M761=phu!$I$102),"Tỉnh khác",""))</f>
        <v/>
      </c>
      <c r="O761" s="814" t="str">
        <f t="shared" si="67"/>
        <v/>
      </c>
      <c r="P761" s="254"/>
      <c r="Q761" s="254"/>
      <c r="R761" s="254"/>
      <c r="S761" s="254"/>
      <c r="T761" s="254"/>
      <c r="U761" s="254"/>
      <c r="V761" s="254"/>
      <c r="W761" s="254"/>
      <c r="Y761" s="246" t="str">
        <f t="shared" si="68"/>
        <v/>
      </c>
      <c r="Z761" s="247" t="str">
        <f t="shared" si="66"/>
        <v/>
      </c>
      <c r="AA761" s="246" t="str">
        <f t="shared" si="69"/>
        <v/>
      </c>
    </row>
    <row r="762" spans="1:27" ht="18" customHeight="1" x14ac:dyDescent="0.25">
      <c r="A762" s="248" t="str">
        <f t="shared" si="70"/>
        <v/>
      </c>
      <c r="B762" s="249" t="str">
        <f t="shared" si="71"/>
        <v/>
      </c>
      <c r="C762" s="250"/>
      <c r="D762" s="251"/>
      <c r="E762" s="241"/>
      <c r="F762" s="252"/>
      <c r="G762" s="252"/>
      <c r="H762" s="253"/>
      <c r="I762" s="250"/>
      <c r="J762" s="250"/>
      <c r="K762" s="270"/>
      <c r="L762" s="250"/>
      <c r="M762" s="250"/>
      <c r="N762" s="553" t="str">
        <f>CONCATENATE(IF(OR(M762=phu!$I$1,M762=phu!$I$2,M762=phu!$I$3),"Cam Thành Nam",""),IF(OR(M762=phu!$I$4,M762=phu!$I$5,M762=phu!$I$6,M762=phu!$I$7,M762=phu!$I$8,M762=phu!$I$9,M762=phu!$I$10,M762=phu!$I$11,M762=phu!$I$12,M762=phu!$I$13,M762=phu!$I$14),"Cam Nghĩa",""),IF(OR(M762=phu!$I$15,M762=phu!$I$16,M762=phu!$I$17,M762=phu!$I$18,M762=phu!$I$19,M762=phu!$I$20,M762=phu!$I$21),"Cam Phúc Bắc",""),IF(OR(M762=phu!$I$22,M762=phu!$I$23,M762=phu!$I$24,M762=phu!$I$25),"Cam Phúc Nam",""),IF(OR(M762=phu!$I$26,M762=phu!$I$27,M762=phu!$I$28,M762=phu!$I$29,M762=phu!$I$30,M762=phu!$I$31),"Cam Phú",""),IF(OR(M762=phu!$I$32,M762=phu!$I$33,M762=phu!$I$34,M762=phu!$I$35,M762=phu!$I$36,M762=phu!$I$37),"Cam Lộc",""),IF(OR(M762=phu!$I$38,M762=phu!$I$39,M762=phu!$I$40,M762=phu!$I$41,M762=phu!$I$42,M762=phu!$I$43,M762=phu!$I$44),"Cam Thuận",""),IF(OR(M762=phu!$I$45,M762=phu!$I$46,M762=phu!$I$47,M762=phu!$I$48,M762=phu!$I$49,M762=phu!$I$50,M762=phu!$I$51,M762=phu!$I$52,M762=phu!$I$53),"Cam Linh",""),IF(OR(M762=phu!$I$54,M762=phu!$I$55,M762=phu!$I$56,M762=phu!$I$57,M762=phu!$I$58,M762=phu!$I$59,M762=phu!$I$60,M762=phu!$I$61,M762=phu!$I$62),"Cam Lợi",""),IF(OR(M762=phu!$I$63,M762=phu!$I$64,M762=phu!$I$65,M762=phu!$I$66,M762=phu!$I$67,M762=phu!$I$68,M762=phu!$I$69,M762=phu!$I$70,M762=phu!$I$71),"Ba Ngòi",""),IF(OR(M762=phu!$I$72,M762=phu!$I$73,M762=phu!$I$74,M762=phu!$I$75,M762=phu!$I$76,M762=phu!$I$77,M762=phu!$I$78),"Cam Phước Đông",""),IF(OR(M762=phu!$I$79,M762=phu!$I$80,M762=phu!$I$81,M762=phu!$I$82,M762=phu!$I$83,M762=phu!$I$84),"Cam Thịnh Đông",""),IF(OR(M762=phu!$I$85,M762=phu!$I$86,M762=phu!$I$87,M762=phu!$I$88),"Cam Thịnh Tây",""),IF(OR(M762=phu!$I$89,M762=phu!$I$90),"Cam Lập",""),IF(OR(M762=phu!$I$91,M762=phu!$I$92,M762=phu!$I$93),"Cam Bình",""),IF(OR(M762=phu!$I$94,M762=phu!$I$95,M762=phu!$I$96,M762=phu!$I$97,M762=phu!$I$98,M762=phu!$I$99,M762=phu!$I$100),"Huyện khác",""),IF(OR(M762=phu!$I$101,M762=phu!$I$102),"Tỉnh khác",""))</f>
        <v/>
      </c>
      <c r="O762" s="814" t="str">
        <f t="shared" si="67"/>
        <v/>
      </c>
      <c r="P762" s="254"/>
      <c r="Q762" s="254"/>
      <c r="R762" s="254"/>
      <c r="S762" s="254"/>
      <c r="T762" s="254"/>
      <c r="U762" s="254"/>
      <c r="V762" s="254"/>
      <c r="W762" s="254"/>
      <c r="Y762" s="246" t="str">
        <f t="shared" si="68"/>
        <v/>
      </c>
      <c r="Z762" s="247" t="str">
        <f t="shared" si="66"/>
        <v/>
      </c>
      <c r="AA762" s="246" t="str">
        <f t="shared" si="69"/>
        <v/>
      </c>
    </row>
    <row r="763" spans="1:27" ht="18" customHeight="1" x14ac:dyDescent="0.25">
      <c r="A763" s="248" t="str">
        <f t="shared" si="70"/>
        <v/>
      </c>
      <c r="B763" s="249" t="str">
        <f t="shared" si="71"/>
        <v/>
      </c>
      <c r="C763" s="250"/>
      <c r="D763" s="251"/>
      <c r="E763" s="241"/>
      <c r="F763" s="252"/>
      <c r="G763" s="252"/>
      <c r="H763" s="253"/>
      <c r="I763" s="250"/>
      <c r="J763" s="250"/>
      <c r="K763" s="270"/>
      <c r="L763" s="250"/>
      <c r="M763" s="250"/>
      <c r="N763" s="553" t="str">
        <f>CONCATENATE(IF(OR(M763=phu!$I$1,M763=phu!$I$2,M763=phu!$I$3),"Cam Thành Nam",""),IF(OR(M763=phu!$I$4,M763=phu!$I$5,M763=phu!$I$6,M763=phu!$I$7,M763=phu!$I$8,M763=phu!$I$9,M763=phu!$I$10,M763=phu!$I$11,M763=phu!$I$12,M763=phu!$I$13,M763=phu!$I$14),"Cam Nghĩa",""),IF(OR(M763=phu!$I$15,M763=phu!$I$16,M763=phu!$I$17,M763=phu!$I$18,M763=phu!$I$19,M763=phu!$I$20,M763=phu!$I$21),"Cam Phúc Bắc",""),IF(OR(M763=phu!$I$22,M763=phu!$I$23,M763=phu!$I$24,M763=phu!$I$25),"Cam Phúc Nam",""),IF(OR(M763=phu!$I$26,M763=phu!$I$27,M763=phu!$I$28,M763=phu!$I$29,M763=phu!$I$30,M763=phu!$I$31),"Cam Phú",""),IF(OR(M763=phu!$I$32,M763=phu!$I$33,M763=phu!$I$34,M763=phu!$I$35,M763=phu!$I$36,M763=phu!$I$37),"Cam Lộc",""),IF(OR(M763=phu!$I$38,M763=phu!$I$39,M763=phu!$I$40,M763=phu!$I$41,M763=phu!$I$42,M763=phu!$I$43,M763=phu!$I$44),"Cam Thuận",""),IF(OR(M763=phu!$I$45,M763=phu!$I$46,M763=phu!$I$47,M763=phu!$I$48,M763=phu!$I$49,M763=phu!$I$50,M763=phu!$I$51,M763=phu!$I$52,M763=phu!$I$53),"Cam Linh",""),IF(OR(M763=phu!$I$54,M763=phu!$I$55,M763=phu!$I$56,M763=phu!$I$57,M763=phu!$I$58,M763=phu!$I$59,M763=phu!$I$60,M763=phu!$I$61,M763=phu!$I$62),"Cam Lợi",""),IF(OR(M763=phu!$I$63,M763=phu!$I$64,M763=phu!$I$65,M763=phu!$I$66,M763=phu!$I$67,M763=phu!$I$68,M763=phu!$I$69,M763=phu!$I$70,M763=phu!$I$71),"Ba Ngòi",""),IF(OR(M763=phu!$I$72,M763=phu!$I$73,M763=phu!$I$74,M763=phu!$I$75,M763=phu!$I$76,M763=phu!$I$77,M763=phu!$I$78),"Cam Phước Đông",""),IF(OR(M763=phu!$I$79,M763=phu!$I$80,M763=phu!$I$81,M763=phu!$I$82,M763=phu!$I$83,M763=phu!$I$84),"Cam Thịnh Đông",""),IF(OR(M763=phu!$I$85,M763=phu!$I$86,M763=phu!$I$87,M763=phu!$I$88),"Cam Thịnh Tây",""),IF(OR(M763=phu!$I$89,M763=phu!$I$90),"Cam Lập",""),IF(OR(M763=phu!$I$91,M763=phu!$I$92,M763=phu!$I$93),"Cam Bình",""),IF(OR(M763=phu!$I$94,M763=phu!$I$95,M763=phu!$I$96,M763=phu!$I$97,M763=phu!$I$98,M763=phu!$I$99,M763=phu!$I$100),"Huyện khác",""),IF(OR(M763=phu!$I$101,M763=phu!$I$102),"Tỉnh khác",""))</f>
        <v/>
      </c>
      <c r="O763" s="814" t="str">
        <f t="shared" si="67"/>
        <v/>
      </c>
      <c r="P763" s="254"/>
      <c r="Q763" s="254"/>
      <c r="R763" s="254"/>
      <c r="S763" s="254"/>
      <c r="T763" s="254"/>
      <c r="U763" s="254"/>
      <c r="V763" s="254"/>
      <c r="W763" s="254"/>
      <c r="Y763" s="246" t="str">
        <f t="shared" si="68"/>
        <v/>
      </c>
      <c r="Z763" s="247" t="str">
        <f t="shared" si="66"/>
        <v/>
      </c>
      <c r="AA763" s="246" t="str">
        <f t="shared" si="69"/>
        <v/>
      </c>
    </row>
    <row r="764" spans="1:27" ht="18" customHeight="1" x14ac:dyDescent="0.25">
      <c r="A764" s="248" t="str">
        <f t="shared" si="70"/>
        <v/>
      </c>
      <c r="B764" s="249" t="str">
        <f t="shared" si="71"/>
        <v/>
      </c>
      <c r="C764" s="250"/>
      <c r="D764" s="251"/>
      <c r="E764" s="241"/>
      <c r="F764" s="252"/>
      <c r="G764" s="252"/>
      <c r="H764" s="253"/>
      <c r="I764" s="250"/>
      <c r="J764" s="250"/>
      <c r="K764" s="270"/>
      <c r="L764" s="250"/>
      <c r="M764" s="250"/>
      <c r="N764" s="553" t="str">
        <f>CONCATENATE(IF(OR(M764=phu!$I$1,M764=phu!$I$2,M764=phu!$I$3),"Cam Thành Nam",""),IF(OR(M764=phu!$I$4,M764=phu!$I$5,M764=phu!$I$6,M764=phu!$I$7,M764=phu!$I$8,M764=phu!$I$9,M764=phu!$I$10,M764=phu!$I$11,M764=phu!$I$12,M764=phu!$I$13,M764=phu!$I$14),"Cam Nghĩa",""),IF(OR(M764=phu!$I$15,M764=phu!$I$16,M764=phu!$I$17,M764=phu!$I$18,M764=phu!$I$19,M764=phu!$I$20,M764=phu!$I$21),"Cam Phúc Bắc",""),IF(OR(M764=phu!$I$22,M764=phu!$I$23,M764=phu!$I$24,M764=phu!$I$25),"Cam Phúc Nam",""),IF(OR(M764=phu!$I$26,M764=phu!$I$27,M764=phu!$I$28,M764=phu!$I$29,M764=phu!$I$30,M764=phu!$I$31),"Cam Phú",""),IF(OR(M764=phu!$I$32,M764=phu!$I$33,M764=phu!$I$34,M764=phu!$I$35,M764=phu!$I$36,M764=phu!$I$37),"Cam Lộc",""),IF(OR(M764=phu!$I$38,M764=phu!$I$39,M764=phu!$I$40,M764=phu!$I$41,M764=phu!$I$42,M764=phu!$I$43,M764=phu!$I$44),"Cam Thuận",""),IF(OR(M764=phu!$I$45,M764=phu!$I$46,M764=phu!$I$47,M764=phu!$I$48,M764=phu!$I$49,M764=phu!$I$50,M764=phu!$I$51,M764=phu!$I$52,M764=phu!$I$53),"Cam Linh",""),IF(OR(M764=phu!$I$54,M764=phu!$I$55,M764=phu!$I$56,M764=phu!$I$57,M764=phu!$I$58,M764=phu!$I$59,M764=phu!$I$60,M764=phu!$I$61,M764=phu!$I$62),"Cam Lợi",""),IF(OR(M764=phu!$I$63,M764=phu!$I$64,M764=phu!$I$65,M764=phu!$I$66,M764=phu!$I$67,M764=phu!$I$68,M764=phu!$I$69,M764=phu!$I$70,M764=phu!$I$71),"Ba Ngòi",""),IF(OR(M764=phu!$I$72,M764=phu!$I$73,M764=phu!$I$74,M764=phu!$I$75,M764=phu!$I$76,M764=phu!$I$77,M764=phu!$I$78),"Cam Phước Đông",""),IF(OR(M764=phu!$I$79,M764=phu!$I$80,M764=phu!$I$81,M764=phu!$I$82,M764=phu!$I$83,M764=phu!$I$84),"Cam Thịnh Đông",""),IF(OR(M764=phu!$I$85,M764=phu!$I$86,M764=phu!$I$87,M764=phu!$I$88),"Cam Thịnh Tây",""),IF(OR(M764=phu!$I$89,M764=phu!$I$90),"Cam Lập",""),IF(OR(M764=phu!$I$91,M764=phu!$I$92,M764=phu!$I$93),"Cam Bình",""),IF(OR(M764=phu!$I$94,M764=phu!$I$95,M764=phu!$I$96,M764=phu!$I$97,M764=phu!$I$98,M764=phu!$I$99,M764=phu!$I$100),"Huyện khác",""),IF(OR(M764=phu!$I$101,M764=phu!$I$102),"Tỉnh khác",""))</f>
        <v/>
      </c>
      <c r="O764" s="814" t="str">
        <f t="shared" si="67"/>
        <v/>
      </c>
      <c r="P764" s="254"/>
      <c r="Q764" s="254"/>
      <c r="R764" s="254"/>
      <c r="S764" s="254"/>
      <c r="T764" s="254"/>
      <c r="U764" s="254"/>
      <c r="V764" s="254"/>
      <c r="W764" s="254"/>
      <c r="Y764" s="246" t="str">
        <f t="shared" si="68"/>
        <v/>
      </c>
      <c r="Z764" s="247" t="str">
        <f t="shared" si="66"/>
        <v/>
      </c>
      <c r="AA764" s="246" t="str">
        <f t="shared" si="69"/>
        <v/>
      </c>
    </row>
    <row r="765" spans="1:27" ht="18" customHeight="1" x14ac:dyDescent="0.25">
      <c r="A765" s="248" t="str">
        <f t="shared" si="70"/>
        <v/>
      </c>
      <c r="B765" s="249" t="str">
        <f t="shared" si="71"/>
        <v/>
      </c>
      <c r="C765" s="250"/>
      <c r="D765" s="251"/>
      <c r="E765" s="241"/>
      <c r="F765" s="252"/>
      <c r="G765" s="252"/>
      <c r="H765" s="253"/>
      <c r="I765" s="250"/>
      <c r="J765" s="250"/>
      <c r="K765" s="270"/>
      <c r="L765" s="250"/>
      <c r="M765" s="250"/>
      <c r="N765" s="553" t="str">
        <f>CONCATENATE(IF(OR(M765=phu!$I$1,M765=phu!$I$2,M765=phu!$I$3),"Cam Thành Nam",""),IF(OR(M765=phu!$I$4,M765=phu!$I$5,M765=phu!$I$6,M765=phu!$I$7,M765=phu!$I$8,M765=phu!$I$9,M765=phu!$I$10,M765=phu!$I$11,M765=phu!$I$12,M765=phu!$I$13,M765=phu!$I$14),"Cam Nghĩa",""),IF(OR(M765=phu!$I$15,M765=phu!$I$16,M765=phu!$I$17,M765=phu!$I$18,M765=phu!$I$19,M765=phu!$I$20,M765=phu!$I$21),"Cam Phúc Bắc",""),IF(OR(M765=phu!$I$22,M765=phu!$I$23,M765=phu!$I$24,M765=phu!$I$25),"Cam Phúc Nam",""),IF(OR(M765=phu!$I$26,M765=phu!$I$27,M765=phu!$I$28,M765=phu!$I$29,M765=phu!$I$30,M765=phu!$I$31),"Cam Phú",""),IF(OR(M765=phu!$I$32,M765=phu!$I$33,M765=phu!$I$34,M765=phu!$I$35,M765=phu!$I$36,M765=phu!$I$37),"Cam Lộc",""),IF(OR(M765=phu!$I$38,M765=phu!$I$39,M765=phu!$I$40,M765=phu!$I$41,M765=phu!$I$42,M765=phu!$I$43,M765=phu!$I$44),"Cam Thuận",""),IF(OR(M765=phu!$I$45,M765=phu!$I$46,M765=phu!$I$47,M765=phu!$I$48,M765=phu!$I$49,M765=phu!$I$50,M765=phu!$I$51,M765=phu!$I$52,M765=phu!$I$53),"Cam Linh",""),IF(OR(M765=phu!$I$54,M765=phu!$I$55,M765=phu!$I$56,M765=phu!$I$57,M765=phu!$I$58,M765=phu!$I$59,M765=phu!$I$60,M765=phu!$I$61,M765=phu!$I$62),"Cam Lợi",""),IF(OR(M765=phu!$I$63,M765=phu!$I$64,M765=phu!$I$65,M765=phu!$I$66,M765=phu!$I$67,M765=phu!$I$68,M765=phu!$I$69,M765=phu!$I$70,M765=phu!$I$71),"Ba Ngòi",""),IF(OR(M765=phu!$I$72,M765=phu!$I$73,M765=phu!$I$74,M765=phu!$I$75,M765=phu!$I$76,M765=phu!$I$77,M765=phu!$I$78),"Cam Phước Đông",""),IF(OR(M765=phu!$I$79,M765=phu!$I$80,M765=phu!$I$81,M765=phu!$I$82,M765=phu!$I$83,M765=phu!$I$84),"Cam Thịnh Đông",""),IF(OR(M765=phu!$I$85,M765=phu!$I$86,M765=phu!$I$87,M765=phu!$I$88),"Cam Thịnh Tây",""),IF(OR(M765=phu!$I$89,M765=phu!$I$90),"Cam Lập",""),IF(OR(M765=phu!$I$91,M765=phu!$I$92,M765=phu!$I$93),"Cam Bình",""),IF(OR(M765=phu!$I$94,M765=phu!$I$95,M765=phu!$I$96,M765=phu!$I$97,M765=phu!$I$98,M765=phu!$I$99,M765=phu!$I$100),"Huyện khác",""),IF(OR(M765=phu!$I$101,M765=phu!$I$102),"Tỉnh khác",""))</f>
        <v/>
      </c>
      <c r="O765" s="814" t="str">
        <f t="shared" si="67"/>
        <v/>
      </c>
      <c r="P765" s="254"/>
      <c r="Q765" s="254"/>
      <c r="R765" s="254"/>
      <c r="S765" s="254"/>
      <c r="T765" s="254"/>
      <c r="U765" s="254"/>
      <c r="V765" s="254"/>
      <c r="W765" s="254"/>
      <c r="Y765" s="246" t="str">
        <f t="shared" si="68"/>
        <v/>
      </c>
      <c r="Z765" s="247" t="str">
        <f t="shared" si="66"/>
        <v/>
      </c>
      <c r="AA765" s="246" t="str">
        <f t="shared" si="69"/>
        <v/>
      </c>
    </row>
    <row r="766" spans="1:27" ht="18" customHeight="1" x14ac:dyDescent="0.25">
      <c r="A766" s="248" t="str">
        <f t="shared" si="70"/>
        <v/>
      </c>
      <c r="B766" s="249" t="str">
        <f t="shared" si="71"/>
        <v/>
      </c>
      <c r="C766" s="250"/>
      <c r="D766" s="251"/>
      <c r="E766" s="241"/>
      <c r="F766" s="252"/>
      <c r="G766" s="252"/>
      <c r="H766" s="253"/>
      <c r="I766" s="250"/>
      <c r="J766" s="250"/>
      <c r="K766" s="270"/>
      <c r="L766" s="250"/>
      <c r="M766" s="250"/>
      <c r="N766" s="553" t="str">
        <f>CONCATENATE(IF(OR(M766=phu!$I$1,M766=phu!$I$2,M766=phu!$I$3),"Cam Thành Nam",""),IF(OR(M766=phu!$I$4,M766=phu!$I$5,M766=phu!$I$6,M766=phu!$I$7,M766=phu!$I$8,M766=phu!$I$9,M766=phu!$I$10,M766=phu!$I$11,M766=phu!$I$12,M766=phu!$I$13,M766=phu!$I$14),"Cam Nghĩa",""),IF(OR(M766=phu!$I$15,M766=phu!$I$16,M766=phu!$I$17,M766=phu!$I$18,M766=phu!$I$19,M766=phu!$I$20,M766=phu!$I$21),"Cam Phúc Bắc",""),IF(OR(M766=phu!$I$22,M766=phu!$I$23,M766=phu!$I$24,M766=phu!$I$25),"Cam Phúc Nam",""),IF(OR(M766=phu!$I$26,M766=phu!$I$27,M766=phu!$I$28,M766=phu!$I$29,M766=phu!$I$30,M766=phu!$I$31),"Cam Phú",""),IF(OR(M766=phu!$I$32,M766=phu!$I$33,M766=phu!$I$34,M766=phu!$I$35,M766=phu!$I$36,M766=phu!$I$37),"Cam Lộc",""),IF(OR(M766=phu!$I$38,M766=phu!$I$39,M766=phu!$I$40,M766=phu!$I$41,M766=phu!$I$42,M766=phu!$I$43,M766=phu!$I$44),"Cam Thuận",""),IF(OR(M766=phu!$I$45,M766=phu!$I$46,M766=phu!$I$47,M766=phu!$I$48,M766=phu!$I$49,M766=phu!$I$50,M766=phu!$I$51,M766=phu!$I$52,M766=phu!$I$53),"Cam Linh",""),IF(OR(M766=phu!$I$54,M766=phu!$I$55,M766=phu!$I$56,M766=phu!$I$57,M766=phu!$I$58,M766=phu!$I$59,M766=phu!$I$60,M766=phu!$I$61,M766=phu!$I$62),"Cam Lợi",""),IF(OR(M766=phu!$I$63,M766=phu!$I$64,M766=phu!$I$65,M766=phu!$I$66,M766=phu!$I$67,M766=phu!$I$68,M766=phu!$I$69,M766=phu!$I$70,M766=phu!$I$71),"Ba Ngòi",""),IF(OR(M766=phu!$I$72,M766=phu!$I$73,M766=phu!$I$74,M766=phu!$I$75,M766=phu!$I$76,M766=phu!$I$77,M766=phu!$I$78),"Cam Phước Đông",""),IF(OR(M766=phu!$I$79,M766=phu!$I$80,M766=phu!$I$81,M766=phu!$I$82,M766=phu!$I$83,M766=phu!$I$84),"Cam Thịnh Đông",""),IF(OR(M766=phu!$I$85,M766=phu!$I$86,M766=phu!$I$87,M766=phu!$I$88),"Cam Thịnh Tây",""),IF(OR(M766=phu!$I$89,M766=phu!$I$90),"Cam Lập",""),IF(OR(M766=phu!$I$91,M766=phu!$I$92,M766=phu!$I$93),"Cam Bình",""),IF(OR(M766=phu!$I$94,M766=phu!$I$95,M766=phu!$I$96,M766=phu!$I$97,M766=phu!$I$98,M766=phu!$I$99,M766=phu!$I$100),"Huyện khác",""),IF(OR(M766=phu!$I$101,M766=phu!$I$102),"Tỉnh khác",""))</f>
        <v/>
      </c>
      <c r="O766" s="814" t="str">
        <f t="shared" si="67"/>
        <v/>
      </c>
      <c r="P766" s="254"/>
      <c r="Q766" s="254"/>
      <c r="R766" s="254"/>
      <c r="S766" s="254"/>
      <c r="T766" s="254"/>
      <c r="U766" s="254"/>
      <c r="V766" s="254"/>
      <c r="W766" s="254"/>
      <c r="Y766" s="246" t="str">
        <f t="shared" si="68"/>
        <v/>
      </c>
      <c r="Z766" s="247" t="str">
        <f t="shared" si="66"/>
        <v/>
      </c>
      <c r="AA766" s="246" t="str">
        <f t="shared" si="69"/>
        <v/>
      </c>
    </row>
    <row r="767" spans="1:27" ht="18" customHeight="1" x14ac:dyDescent="0.25">
      <c r="A767" s="248" t="str">
        <f t="shared" si="70"/>
        <v/>
      </c>
      <c r="B767" s="249" t="str">
        <f t="shared" si="71"/>
        <v/>
      </c>
      <c r="C767" s="250"/>
      <c r="D767" s="251"/>
      <c r="E767" s="241"/>
      <c r="F767" s="252"/>
      <c r="G767" s="252"/>
      <c r="H767" s="253"/>
      <c r="I767" s="250"/>
      <c r="J767" s="250"/>
      <c r="K767" s="270"/>
      <c r="L767" s="250"/>
      <c r="M767" s="250"/>
      <c r="N767" s="553" t="str">
        <f>CONCATENATE(IF(OR(M767=phu!$I$1,M767=phu!$I$2,M767=phu!$I$3),"Cam Thành Nam",""),IF(OR(M767=phu!$I$4,M767=phu!$I$5,M767=phu!$I$6,M767=phu!$I$7,M767=phu!$I$8,M767=phu!$I$9,M767=phu!$I$10,M767=phu!$I$11,M767=phu!$I$12,M767=phu!$I$13,M767=phu!$I$14),"Cam Nghĩa",""),IF(OR(M767=phu!$I$15,M767=phu!$I$16,M767=phu!$I$17,M767=phu!$I$18,M767=phu!$I$19,M767=phu!$I$20,M767=phu!$I$21),"Cam Phúc Bắc",""),IF(OR(M767=phu!$I$22,M767=phu!$I$23,M767=phu!$I$24,M767=phu!$I$25),"Cam Phúc Nam",""),IF(OR(M767=phu!$I$26,M767=phu!$I$27,M767=phu!$I$28,M767=phu!$I$29,M767=phu!$I$30,M767=phu!$I$31),"Cam Phú",""),IF(OR(M767=phu!$I$32,M767=phu!$I$33,M767=phu!$I$34,M767=phu!$I$35,M767=phu!$I$36,M767=phu!$I$37),"Cam Lộc",""),IF(OR(M767=phu!$I$38,M767=phu!$I$39,M767=phu!$I$40,M767=phu!$I$41,M767=phu!$I$42,M767=phu!$I$43,M767=phu!$I$44),"Cam Thuận",""),IF(OR(M767=phu!$I$45,M767=phu!$I$46,M767=phu!$I$47,M767=phu!$I$48,M767=phu!$I$49,M767=phu!$I$50,M767=phu!$I$51,M767=phu!$I$52,M767=phu!$I$53),"Cam Linh",""),IF(OR(M767=phu!$I$54,M767=phu!$I$55,M767=phu!$I$56,M767=phu!$I$57,M767=phu!$I$58,M767=phu!$I$59,M767=phu!$I$60,M767=phu!$I$61,M767=phu!$I$62),"Cam Lợi",""),IF(OR(M767=phu!$I$63,M767=phu!$I$64,M767=phu!$I$65,M767=phu!$I$66,M767=phu!$I$67,M767=phu!$I$68,M767=phu!$I$69,M767=phu!$I$70,M767=phu!$I$71),"Ba Ngòi",""),IF(OR(M767=phu!$I$72,M767=phu!$I$73,M767=phu!$I$74,M767=phu!$I$75,M767=phu!$I$76,M767=phu!$I$77,M767=phu!$I$78),"Cam Phước Đông",""),IF(OR(M767=phu!$I$79,M767=phu!$I$80,M767=phu!$I$81,M767=phu!$I$82,M767=phu!$I$83,M767=phu!$I$84),"Cam Thịnh Đông",""),IF(OR(M767=phu!$I$85,M767=phu!$I$86,M767=phu!$I$87,M767=phu!$I$88),"Cam Thịnh Tây",""),IF(OR(M767=phu!$I$89,M767=phu!$I$90),"Cam Lập",""),IF(OR(M767=phu!$I$91,M767=phu!$I$92,M767=phu!$I$93),"Cam Bình",""),IF(OR(M767=phu!$I$94,M767=phu!$I$95,M767=phu!$I$96,M767=phu!$I$97,M767=phu!$I$98,M767=phu!$I$99,M767=phu!$I$100),"Huyện khác",""),IF(OR(M767=phu!$I$101,M767=phu!$I$102),"Tỉnh khác",""))</f>
        <v/>
      </c>
      <c r="O767" s="814" t="str">
        <f t="shared" si="67"/>
        <v/>
      </c>
      <c r="P767" s="254"/>
      <c r="Q767" s="254"/>
      <c r="R767" s="254"/>
      <c r="S767" s="254"/>
      <c r="T767" s="254"/>
      <c r="U767" s="254"/>
      <c r="V767" s="254"/>
      <c r="W767" s="254"/>
      <c r="Y767" s="246" t="str">
        <f t="shared" si="68"/>
        <v/>
      </c>
      <c r="Z767" s="247" t="str">
        <f t="shared" si="66"/>
        <v/>
      </c>
      <c r="AA767" s="246" t="str">
        <f t="shared" si="69"/>
        <v/>
      </c>
    </row>
    <row r="768" spans="1:27" ht="18" customHeight="1" x14ac:dyDescent="0.25">
      <c r="A768" s="248" t="str">
        <f t="shared" si="70"/>
        <v/>
      </c>
      <c r="B768" s="249" t="str">
        <f t="shared" si="71"/>
        <v/>
      </c>
      <c r="C768" s="250"/>
      <c r="D768" s="251"/>
      <c r="E768" s="241"/>
      <c r="F768" s="252"/>
      <c r="G768" s="252"/>
      <c r="H768" s="253"/>
      <c r="I768" s="250"/>
      <c r="J768" s="250"/>
      <c r="K768" s="270"/>
      <c r="L768" s="250"/>
      <c r="M768" s="250"/>
      <c r="N768" s="553" t="str">
        <f>CONCATENATE(IF(OR(M768=phu!$I$1,M768=phu!$I$2,M768=phu!$I$3),"Cam Thành Nam",""),IF(OR(M768=phu!$I$4,M768=phu!$I$5,M768=phu!$I$6,M768=phu!$I$7,M768=phu!$I$8,M768=phu!$I$9,M768=phu!$I$10,M768=phu!$I$11,M768=phu!$I$12,M768=phu!$I$13,M768=phu!$I$14),"Cam Nghĩa",""),IF(OR(M768=phu!$I$15,M768=phu!$I$16,M768=phu!$I$17,M768=phu!$I$18,M768=phu!$I$19,M768=phu!$I$20,M768=phu!$I$21),"Cam Phúc Bắc",""),IF(OR(M768=phu!$I$22,M768=phu!$I$23,M768=phu!$I$24,M768=phu!$I$25),"Cam Phúc Nam",""),IF(OR(M768=phu!$I$26,M768=phu!$I$27,M768=phu!$I$28,M768=phu!$I$29,M768=phu!$I$30,M768=phu!$I$31),"Cam Phú",""),IF(OR(M768=phu!$I$32,M768=phu!$I$33,M768=phu!$I$34,M768=phu!$I$35,M768=phu!$I$36,M768=phu!$I$37),"Cam Lộc",""),IF(OR(M768=phu!$I$38,M768=phu!$I$39,M768=phu!$I$40,M768=phu!$I$41,M768=phu!$I$42,M768=phu!$I$43,M768=phu!$I$44),"Cam Thuận",""),IF(OR(M768=phu!$I$45,M768=phu!$I$46,M768=phu!$I$47,M768=phu!$I$48,M768=phu!$I$49,M768=phu!$I$50,M768=phu!$I$51,M768=phu!$I$52,M768=phu!$I$53),"Cam Linh",""),IF(OR(M768=phu!$I$54,M768=phu!$I$55,M768=phu!$I$56,M768=phu!$I$57,M768=phu!$I$58,M768=phu!$I$59,M768=phu!$I$60,M768=phu!$I$61,M768=phu!$I$62),"Cam Lợi",""),IF(OR(M768=phu!$I$63,M768=phu!$I$64,M768=phu!$I$65,M768=phu!$I$66,M768=phu!$I$67,M768=phu!$I$68,M768=phu!$I$69,M768=phu!$I$70,M768=phu!$I$71),"Ba Ngòi",""),IF(OR(M768=phu!$I$72,M768=phu!$I$73,M768=phu!$I$74,M768=phu!$I$75,M768=phu!$I$76,M768=phu!$I$77,M768=phu!$I$78),"Cam Phước Đông",""),IF(OR(M768=phu!$I$79,M768=phu!$I$80,M768=phu!$I$81,M768=phu!$I$82,M768=phu!$I$83,M768=phu!$I$84),"Cam Thịnh Đông",""),IF(OR(M768=phu!$I$85,M768=phu!$I$86,M768=phu!$I$87,M768=phu!$I$88),"Cam Thịnh Tây",""),IF(OR(M768=phu!$I$89,M768=phu!$I$90),"Cam Lập",""),IF(OR(M768=phu!$I$91,M768=phu!$I$92,M768=phu!$I$93),"Cam Bình",""),IF(OR(M768=phu!$I$94,M768=phu!$I$95,M768=phu!$I$96,M768=phu!$I$97,M768=phu!$I$98,M768=phu!$I$99,M768=phu!$I$100),"Huyện khác",""),IF(OR(M768=phu!$I$101,M768=phu!$I$102),"Tỉnh khác",""))</f>
        <v/>
      </c>
      <c r="O768" s="814" t="str">
        <f t="shared" si="67"/>
        <v/>
      </c>
      <c r="P768" s="254"/>
      <c r="Q768" s="254"/>
      <c r="R768" s="254"/>
      <c r="S768" s="254"/>
      <c r="T768" s="254"/>
      <c r="U768" s="254"/>
      <c r="V768" s="254"/>
      <c r="W768" s="254"/>
      <c r="Y768" s="246" t="str">
        <f t="shared" si="68"/>
        <v/>
      </c>
      <c r="Z768" s="247" t="str">
        <f t="shared" si="66"/>
        <v/>
      </c>
      <c r="AA768" s="246" t="str">
        <f t="shared" si="69"/>
        <v/>
      </c>
    </row>
    <row r="769" spans="1:27" ht="18" customHeight="1" x14ac:dyDescent="0.25">
      <c r="A769" s="248" t="str">
        <f t="shared" si="70"/>
        <v/>
      </c>
      <c r="B769" s="249" t="str">
        <f t="shared" si="71"/>
        <v/>
      </c>
      <c r="C769" s="250"/>
      <c r="D769" s="251"/>
      <c r="E769" s="241"/>
      <c r="F769" s="252"/>
      <c r="G769" s="252"/>
      <c r="H769" s="253"/>
      <c r="I769" s="250"/>
      <c r="J769" s="250"/>
      <c r="K769" s="270"/>
      <c r="L769" s="250"/>
      <c r="M769" s="250"/>
      <c r="N769" s="553" t="str">
        <f>CONCATENATE(IF(OR(M769=phu!$I$1,M769=phu!$I$2,M769=phu!$I$3),"Cam Thành Nam",""),IF(OR(M769=phu!$I$4,M769=phu!$I$5,M769=phu!$I$6,M769=phu!$I$7,M769=phu!$I$8,M769=phu!$I$9,M769=phu!$I$10,M769=phu!$I$11,M769=phu!$I$12,M769=phu!$I$13,M769=phu!$I$14),"Cam Nghĩa",""),IF(OR(M769=phu!$I$15,M769=phu!$I$16,M769=phu!$I$17,M769=phu!$I$18,M769=phu!$I$19,M769=phu!$I$20,M769=phu!$I$21),"Cam Phúc Bắc",""),IF(OR(M769=phu!$I$22,M769=phu!$I$23,M769=phu!$I$24,M769=phu!$I$25),"Cam Phúc Nam",""),IF(OR(M769=phu!$I$26,M769=phu!$I$27,M769=phu!$I$28,M769=phu!$I$29,M769=phu!$I$30,M769=phu!$I$31),"Cam Phú",""),IF(OR(M769=phu!$I$32,M769=phu!$I$33,M769=phu!$I$34,M769=phu!$I$35,M769=phu!$I$36,M769=phu!$I$37),"Cam Lộc",""),IF(OR(M769=phu!$I$38,M769=phu!$I$39,M769=phu!$I$40,M769=phu!$I$41,M769=phu!$I$42,M769=phu!$I$43,M769=phu!$I$44),"Cam Thuận",""),IF(OR(M769=phu!$I$45,M769=phu!$I$46,M769=phu!$I$47,M769=phu!$I$48,M769=phu!$I$49,M769=phu!$I$50,M769=phu!$I$51,M769=phu!$I$52,M769=phu!$I$53),"Cam Linh",""),IF(OR(M769=phu!$I$54,M769=phu!$I$55,M769=phu!$I$56,M769=phu!$I$57,M769=phu!$I$58,M769=phu!$I$59,M769=phu!$I$60,M769=phu!$I$61,M769=phu!$I$62),"Cam Lợi",""),IF(OR(M769=phu!$I$63,M769=phu!$I$64,M769=phu!$I$65,M769=phu!$I$66,M769=phu!$I$67,M769=phu!$I$68,M769=phu!$I$69,M769=phu!$I$70,M769=phu!$I$71),"Ba Ngòi",""),IF(OR(M769=phu!$I$72,M769=phu!$I$73,M769=phu!$I$74,M769=phu!$I$75,M769=phu!$I$76,M769=phu!$I$77,M769=phu!$I$78),"Cam Phước Đông",""),IF(OR(M769=phu!$I$79,M769=phu!$I$80,M769=phu!$I$81,M769=phu!$I$82,M769=phu!$I$83,M769=phu!$I$84),"Cam Thịnh Đông",""),IF(OR(M769=phu!$I$85,M769=phu!$I$86,M769=phu!$I$87,M769=phu!$I$88),"Cam Thịnh Tây",""),IF(OR(M769=phu!$I$89,M769=phu!$I$90),"Cam Lập",""),IF(OR(M769=phu!$I$91,M769=phu!$I$92,M769=phu!$I$93),"Cam Bình",""),IF(OR(M769=phu!$I$94,M769=phu!$I$95,M769=phu!$I$96,M769=phu!$I$97,M769=phu!$I$98,M769=phu!$I$99,M769=phu!$I$100),"Huyện khác",""),IF(OR(M769=phu!$I$101,M769=phu!$I$102),"Tỉnh khác",""))</f>
        <v/>
      </c>
      <c r="O769" s="814" t="str">
        <f t="shared" si="67"/>
        <v/>
      </c>
      <c r="P769" s="254"/>
      <c r="Q769" s="254"/>
      <c r="R769" s="254"/>
      <c r="S769" s="254"/>
      <c r="T769" s="254"/>
      <c r="U769" s="254"/>
      <c r="V769" s="254"/>
      <c r="W769" s="254"/>
      <c r="Y769" s="246" t="str">
        <f t="shared" si="68"/>
        <v/>
      </c>
      <c r="Z769" s="247" t="str">
        <f t="shared" si="66"/>
        <v/>
      </c>
      <c r="AA769" s="246" t="str">
        <f t="shared" si="69"/>
        <v/>
      </c>
    </row>
    <row r="770" spans="1:27" ht="18" customHeight="1" x14ac:dyDescent="0.25">
      <c r="A770" s="248" t="str">
        <f t="shared" si="70"/>
        <v/>
      </c>
      <c r="B770" s="249" t="str">
        <f t="shared" si="71"/>
        <v/>
      </c>
      <c r="C770" s="250"/>
      <c r="D770" s="251"/>
      <c r="E770" s="241"/>
      <c r="F770" s="252"/>
      <c r="G770" s="252"/>
      <c r="H770" s="253"/>
      <c r="I770" s="250"/>
      <c r="J770" s="250"/>
      <c r="K770" s="270"/>
      <c r="L770" s="250"/>
      <c r="M770" s="250"/>
      <c r="N770" s="553" t="str">
        <f>CONCATENATE(IF(OR(M770=phu!$I$1,M770=phu!$I$2,M770=phu!$I$3),"Cam Thành Nam",""),IF(OR(M770=phu!$I$4,M770=phu!$I$5,M770=phu!$I$6,M770=phu!$I$7,M770=phu!$I$8,M770=phu!$I$9,M770=phu!$I$10,M770=phu!$I$11,M770=phu!$I$12,M770=phu!$I$13,M770=phu!$I$14),"Cam Nghĩa",""),IF(OR(M770=phu!$I$15,M770=phu!$I$16,M770=phu!$I$17,M770=phu!$I$18,M770=phu!$I$19,M770=phu!$I$20,M770=phu!$I$21),"Cam Phúc Bắc",""),IF(OR(M770=phu!$I$22,M770=phu!$I$23,M770=phu!$I$24,M770=phu!$I$25),"Cam Phúc Nam",""),IF(OR(M770=phu!$I$26,M770=phu!$I$27,M770=phu!$I$28,M770=phu!$I$29,M770=phu!$I$30,M770=phu!$I$31),"Cam Phú",""),IF(OR(M770=phu!$I$32,M770=phu!$I$33,M770=phu!$I$34,M770=phu!$I$35,M770=phu!$I$36,M770=phu!$I$37),"Cam Lộc",""),IF(OR(M770=phu!$I$38,M770=phu!$I$39,M770=phu!$I$40,M770=phu!$I$41,M770=phu!$I$42,M770=phu!$I$43,M770=phu!$I$44),"Cam Thuận",""),IF(OR(M770=phu!$I$45,M770=phu!$I$46,M770=phu!$I$47,M770=phu!$I$48,M770=phu!$I$49,M770=phu!$I$50,M770=phu!$I$51,M770=phu!$I$52,M770=phu!$I$53),"Cam Linh",""),IF(OR(M770=phu!$I$54,M770=phu!$I$55,M770=phu!$I$56,M770=phu!$I$57,M770=phu!$I$58,M770=phu!$I$59,M770=phu!$I$60,M770=phu!$I$61,M770=phu!$I$62),"Cam Lợi",""),IF(OR(M770=phu!$I$63,M770=phu!$I$64,M770=phu!$I$65,M770=phu!$I$66,M770=phu!$I$67,M770=phu!$I$68,M770=phu!$I$69,M770=phu!$I$70,M770=phu!$I$71),"Ba Ngòi",""),IF(OR(M770=phu!$I$72,M770=phu!$I$73,M770=phu!$I$74,M770=phu!$I$75,M770=phu!$I$76,M770=phu!$I$77,M770=phu!$I$78),"Cam Phước Đông",""),IF(OR(M770=phu!$I$79,M770=phu!$I$80,M770=phu!$I$81,M770=phu!$I$82,M770=phu!$I$83,M770=phu!$I$84),"Cam Thịnh Đông",""),IF(OR(M770=phu!$I$85,M770=phu!$I$86,M770=phu!$I$87,M770=phu!$I$88),"Cam Thịnh Tây",""),IF(OR(M770=phu!$I$89,M770=phu!$I$90),"Cam Lập",""),IF(OR(M770=phu!$I$91,M770=phu!$I$92,M770=phu!$I$93),"Cam Bình",""),IF(OR(M770=phu!$I$94,M770=phu!$I$95,M770=phu!$I$96,M770=phu!$I$97,M770=phu!$I$98,M770=phu!$I$99,M770=phu!$I$100),"Huyện khác",""),IF(OR(M770=phu!$I$101,M770=phu!$I$102),"Tỉnh khác",""))</f>
        <v/>
      </c>
      <c r="O770" s="814" t="str">
        <f t="shared" si="67"/>
        <v/>
      </c>
      <c r="P770" s="254"/>
      <c r="Q770" s="254"/>
      <c r="R770" s="254"/>
      <c r="S770" s="254"/>
      <c r="T770" s="254"/>
      <c r="U770" s="254"/>
      <c r="V770" s="254"/>
      <c r="W770" s="254"/>
      <c r="Y770" s="246" t="str">
        <f t="shared" si="68"/>
        <v/>
      </c>
      <c r="Z770" s="247" t="str">
        <f t="shared" si="66"/>
        <v/>
      </c>
      <c r="AA770" s="246" t="str">
        <f t="shared" si="69"/>
        <v/>
      </c>
    </row>
    <row r="771" spans="1:27" ht="18" customHeight="1" x14ac:dyDescent="0.25">
      <c r="A771" s="248" t="str">
        <f t="shared" si="70"/>
        <v/>
      </c>
      <c r="B771" s="249" t="str">
        <f t="shared" si="71"/>
        <v/>
      </c>
      <c r="C771" s="250"/>
      <c r="D771" s="251"/>
      <c r="E771" s="241"/>
      <c r="F771" s="252"/>
      <c r="G771" s="252"/>
      <c r="H771" s="253"/>
      <c r="I771" s="250"/>
      <c r="J771" s="250"/>
      <c r="K771" s="270"/>
      <c r="L771" s="250"/>
      <c r="M771" s="250"/>
      <c r="N771" s="553" t="str">
        <f>CONCATENATE(IF(OR(M771=phu!$I$1,M771=phu!$I$2,M771=phu!$I$3),"Cam Thành Nam",""),IF(OR(M771=phu!$I$4,M771=phu!$I$5,M771=phu!$I$6,M771=phu!$I$7,M771=phu!$I$8,M771=phu!$I$9,M771=phu!$I$10,M771=phu!$I$11,M771=phu!$I$12,M771=phu!$I$13,M771=phu!$I$14),"Cam Nghĩa",""),IF(OR(M771=phu!$I$15,M771=phu!$I$16,M771=phu!$I$17,M771=phu!$I$18,M771=phu!$I$19,M771=phu!$I$20,M771=phu!$I$21),"Cam Phúc Bắc",""),IF(OR(M771=phu!$I$22,M771=phu!$I$23,M771=phu!$I$24,M771=phu!$I$25),"Cam Phúc Nam",""),IF(OR(M771=phu!$I$26,M771=phu!$I$27,M771=phu!$I$28,M771=phu!$I$29,M771=phu!$I$30,M771=phu!$I$31),"Cam Phú",""),IF(OR(M771=phu!$I$32,M771=phu!$I$33,M771=phu!$I$34,M771=phu!$I$35,M771=phu!$I$36,M771=phu!$I$37),"Cam Lộc",""),IF(OR(M771=phu!$I$38,M771=phu!$I$39,M771=phu!$I$40,M771=phu!$I$41,M771=phu!$I$42,M771=phu!$I$43,M771=phu!$I$44),"Cam Thuận",""),IF(OR(M771=phu!$I$45,M771=phu!$I$46,M771=phu!$I$47,M771=phu!$I$48,M771=phu!$I$49,M771=phu!$I$50,M771=phu!$I$51,M771=phu!$I$52,M771=phu!$I$53),"Cam Linh",""),IF(OR(M771=phu!$I$54,M771=phu!$I$55,M771=phu!$I$56,M771=phu!$I$57,M771=phu!$I$58,M771=phu!$I$59,M771=phu!$I$60,M771=phu!$I$61,M771=phu!$I$62),"Cam Lợi",""),IF(OR(M771=phu!$I$63,M771=phu!$I$64,M771=phu!$I$65,M771=phu!$I$66,M771=phu!$I$67,M771=phu!$I$68,M771=phu!$I$69,M771=phu!$I$70,M771=phu!$I$71),"Ba Ngòi",""),IF(OR(M771=phu!$I$72,M771=phu!$I$73,M771=phu!$I$74,M771=phu!$I$75,M771=phu!$I$76,M771=phu!$I$77,M771=phu!$I$78),"Cam Phước Đông",""),IF(OR(M771=phu!$I$79,M771=phu!$I$80,M771=phu!$I$81,M771=phu!$I$82,M771=phu!$I$83,M771=phu!$I$84),"Cam Thịnh Đông",""),IF(OR(M771=phu!$I$85,M771=phu!$I$86,M771=phu!$I$87,M771=phu!$I$88),"Cam Thịnh Tây",""),IF(OR(M771=phu!$I$89,M771=phu!$I$90),"Cam Lập",""),IF(OR(M771=phu!$I$91,M771=phu!$I$92,M771=phu!$I$93),"Cam Bình",""),IF(OR(M771=phu!$I$94,M771=phu!$I$95,M771=phu!$I$96,M771=phu!$I$97,M771=phu!$I$98,M771=phu!$I$99,M771=phu!$I$100),"Huyện khác",""),IF(OR(M771=phu!$I$101,M771=phu!$I$102),"Tỉnh khác",""))</f>
        <v/>
      </c>
      <c r="O771" s="814" t="str">
        <f t="shared" si="67"/>
        <v/>
      </c>
      <c r="P771" s="254"/>
      <c r="Q771" s="254"/>
      <c r="R771" s="254"/>
      <c r="S771" s="254"/>
      <c r="T771" s="254"/>
      <c r="U771" s="254"/>
      <c r="V771" s="254"/>
      <c r="W771" s="254"/>
      <c r="Y771" s="246" t="str">
        <f t="shared" si="68"/>
        <v/>
      </c>
      <c r="Z771" s="247" t="str">
        <f t="shared" si="66"/>
        <v/>
      </c>
      <c r="AA771" s="246" t="str">
        <f t="shared" si="69"/>
        <v/>
      </c>
    </row>
    <row r="772" spans="1:27" ht="18" customHeight="1" x14ac:dyDescent="0.25">
      <c r="A772" s="248" t="str">
        <f t="shared" si="70"/>
        <v/>
      </c>
      <c r="B772" s="249" t="str">
        <f t="shared" si="71"/>
        <v/>
      </c>
      <c r="C772" s="250"/>
      <c r="D772" s="251"/>
      <c r="E772" s="241"/>
      <c r="F772" s="252"/>
      <c r="G772" s="252"/>
      <c r="H772" s="253"/>
      <c r="I772" s="250"/>
      <c r="J772" s="250"/>
      <c r="K772" s="270"/>
      <c r="L772" s="250"/>
      <c r="M772" s="250"/>
      <c r="N772" s="553" t="str">
        <f>CONCATENATE(IF(OR(M772=phu!$I$1,M772=phu!$I$2,M772=phu!$I$3),"Cam Thành Nam",""),IF(OR(M772=phu!$I$4,M772=phu!$I$5,M772=phu!$I$6,M772=phu!$I$7,M772=phu!$I$8,M772=phu!$I$9,M772=phu!$I$10,M772=phu!$I$11,M772=phu!$I$12,M772=phu!$I$13,M772=phu!$I$14),"Cam Nghĩa",""),IF(OR(M772=phu!$I$15,M772=phu!$I$16,M772=phu!$I$17,M772=phu!$I$18,M772=phu!$I$19,M772=phu!$I$20,M772=phu!$I$21),"Cam Phúc Bắc",""),IF(OR(M772=phu!$I$22,M772=phu!$I$23,M772=phu!$I$24,M772=phu!$I$25),"Cam Phúc Nam",""),IF(OR(M772=phu!$I$26,M772=phu!$I$27,M772=phu!$I$28,M772=phu!$I$29,M772=phu!$I$30,M772=phu!$I$31),"Cam Phú",""),IF(OR(M772=phu!$I$32,M772=phu!$I$33,M772=phu!$I$34,M772=phu!$I$35,M772=phu!$I$36,M772=phu!$I$37),"Cam Lộc",""),IF(OR(M772=phu!$I$38,M772=phu!$I$39,M772=phu!$I$40,M772=phu!$I$41,M772=phu!$I$42,M772=phu!$I$43,M772=phu!$I$44),"Cam Thuận",""),IF(OR(M772=phu!$I$45,M772=phu!$I$46,M772=phu!$I$47,M772=phu!$I$48,M772=phu!$I$49,M772=phu!$I$50,M772=phu!$I$51,M772=phu!$I$52,M772=phu!$I$53),"Cam Linh",""),IF(OR(M772=phu!$I$54,M772=phu!$I$55,M772=phu!$I$56,M772=phu!$I$57,M772=phu!$I$58,M772=phu!$I$59,M772=phu!$I$60,M772=phu!$I$61,M772=phu!$I$62),"Cam Lợi",""),IF(OR(M772=phu!$I$63,M772=phu!$I$64,M772=phu!$I$65,M772=phu!$I$66,M772=phu!$I$67,M772=phu!$I$68,M772=phu!$I$69,M772=phu!$I$70,M772=phu!$I$71),"Ba Ngòi",""),IF(OR(M772=phu!$I$72,M772=phu!$I$73,M772=phu!$I$74,M772=phu!$I$75,M772=phu!$I$76,M772=phu!$I$77,M772=phu!$I$78),"Cam Phước Đông",""),IF(OR(M772=phu!$I$79,M772=phu!$I$80,M772=phu!$I$81,M772=phu!$I$82,M772=phu!$I$83,M772=phu!$I$84),"Cam Thịnh Đông",""),IF(OR(M772=phu!$I$85,M772=phu!$I$86,M772=phu!$I$87,M772=phu!$I$88),"Cam Thịnh Tây",""),IF(OR(M772=phu!$I$89,M772=phu!$I$90),"Cam Lập",""),IF(OR(M772=phu!$I$91,M772=phu!$I$92,M772=phu!$I$93),"Cam Bình",""),IF(OR(M772=phu!$I$94,M772=phu!$I$95,M772=phu!$I$96,M772=phu!$I$97,M772=phu!$I$98,M772=phu!$I$99,M772=phu!$I$100),"Huyện khác",""),IF(OR(M772=phu!$I$101,M772=phu!$I$102),"Tỉnh khác",""))</f>
        <v/>
      </c>
      <c r="O772" s="814" t="str">
        <f t="shared" si="67"/>
        <v/>
      </c>
      <c r="P772" s="254"/>
      <c r="Q772" s="254"/>
      <c r="R772" s="254"/>
      <c r="S772" s="254"/>
      <c r="T772" s="254"/>
      <c r="U772" s="254"/>
      <c r="V772" s="254"/>
      <c r="W772" s="254"/>
      <c r="Y772" s="246" t="str">
        <f t="shared" si="68"/>
        <v/>
      </c>
      <c r="Z772" s="247" t="str">
        <f t="shared" si="66"/>
        <v/>
      </c>
      <c r="AA772" s="246" t="str">
        <f t="shared" si="69"/>
        <v/>
      </c>
    </row>
    <row r="773" spans="1:27" ht="18" customHeight="1" x14ac:dyDescent="0.25">
      <c r="A773" s="248" t="str">
        <f t="shared" si="70"/>
        <v/>
      </c>
      <c r="B773" s="249" t="str">
        <f t="shared" si="71"/>
        <v/>
      </c>
      <c r="C773" s="250"/>
      <c r="D773" s="251"/>
      <c r="E773" s="241"/>
      <c r="F773" s="252"/>
      <c r="G773" s="252"/>
      <c r="H773" s="253"/>
      <c r="I773" s="250"/>
      <c r="J773" s="250"/>
      <c r="K773" s="270"/>
      <c r="L773" s="250"/>
      <c r="M773" s="250"/>
      <c r="N773" s="553" t="str">
        <f>CONCATENATE(IF(OR(M773=phu!$I$1,M773=phu!$I$2,M773=phu!$I$3),"Cam Thành Nam",""),IF(OR(M773=phu!$I$4,M773=phu!$I$5,M773=phu!$I$6,M773=phu!$I$7,M773=phu!$I$8,M773=phu!$I$9,M773=phu!$I$10,M773=phu!$I$11,M773=phu!$I$12,M773=phu!$I$13,M773=phu!$I$14),"Cam Nghĩa",""),IF(OR(M773=phu!$I$15,M773=phu!$I$16,M773=phu!$I$17,M773=phu!$I$18,M773=phu!$I$19,M773=phu!$I$20,M773=phu!$I$21),"Cam Phúc Bắc",""),IF(OR(M773=phu!$I$22,M773=phu!$I$23,M773=phu!$I$24,M773=phu!$I$25),"Cam Phúc Nam",""),IF(OR(M773=phu!$I$26,M773=phu!$I$27,M773=phu!$I$28,M773=phu!$I$29,M773=phu!$I$30,M773=phu!$I$31),"Cam Phú",""),IF(OR(M773=phu!$I$32,M773=phu!$I$33,M773=phu!$I$34,M773=phu!$I$35,M773=phu!$I$36,M773=phu!$I$37),"Cam Lộc",""),IF(OR(M773=phu!$I$38,M773=phu!$I$39,M773=phu!$I$40,M773=phu!$I$41,M773=phu!$I$42,M773=phu!$I$43,M773=phu!$I$44),"Cam Thuận",""),IF(OR(M773=phu!$I$45,M773=phu!$I$46,M773=phu!$I$47,M773=phu!$I$48,M773=phu!$I$49,M773=phu!$I$50,M773=phu!$I$51,M773=phu!$I$52,M773=phu!$I$53),"Cam Linh",""),IF(OR(M773=phu!$I$54,M773=phu!$I$55,M773=phu!$I$56,M773=phu!$I$57,M773=phu!$I$58,M773=phu!$I$59,M773=phu!$I$60,M773=phu!$I$61,M773=phu!$I$62),"Cam Lợi",""),IF(OR(M773=phu!$I$63,M773=phu!$I$64,M773=phu!$I$65,M773=phu!$I$66,M773=phu!$I$67,M773=phu!$I$68,M773=phu!$I$69,M773=phu!$I$70,M773=phu!$I$71),"Ba Ngòi",""),IF(OR(M773=phu!$I$72,M773=phu!$I$73,M773=phu!$I$74,M773=phu!$I$75,M773=phu!$I$76,M773=phu!$I$77,M773=phu!$I$78),"Cam Phước Đông",""),IF(OR(M773=phu!$I$79,M773=phu!$I$80,M773=phu!$I$81,M773=phu!$I$82,M773=phu!$I$83,M773=phu!$I$84),"Cam Thịnh Đông",""),IF(OR(M773=phu!$I$85,M773=phu!$I$86,M773=phu!$I$87,M773=phu!$I$88),"Cam Thịnh Tây",""),IF(OR(M773=phu!$I$89,M773=phu!$I$90),"Cam Lập",""),IF(OR(M773=phu!$I$91,M773=phu!$I$92,M773=phu!$I$93),"Cam Bình",""),IF(OR(M773=phu!$I$94,M773=phu!$I$95,M773=phu!$I$96,M773=phu!$I$97,M773=phu!$I$98,M773=phu!$I$99,M773=phu!$I$100),"Huyện khác",""),IF(OR(M773=phu!$I$101,M773=phu!$I$102),"Tỉnh khác",""))</f>
        <v/>
      </c>
      <c r="O773" s="814" t="str">
        <f t="shared" si="67"/>
        <v/>
      </c>
      <c r="P773" s="254"/>
      <c r="Q773" s="254"/>
      <c r="R773" s="254"/>
      <c r="S773" s="254"/>
      <c r="T773" s="254"/>
      <c r="U773" s="254"/>
      <c r="V773" s="254"/>
      <c r="W773" s="254"/>
      <c r="Y773" s="246" t="str">
        <f t="shared" si="68"/>
        <v/>
      </c>
      <c r="Z773" s="247" t="str">
        <f t="shared" si="66"/>
        <v/>
      </c>
      <c r="AA773" s="246" t="str">
        <f t="shared" si="69"/>
        <v/>
      </c>
    </row>
    <row r="774" spans="1:27" ht="18" customHeight="1" x14ac:dyDescent="0.25">
      <c r="A774" s="248" t="str">
        <f t="shared" si="70"/>
        <v/>
      </c>
      <c r="B774" s="249" t="str">
        <f t="shared" si="71"/>
        <v/>
      </c>
      <c r="C774" s="250"/>
      <c r="D774" s="251"/>
      <c r="E774" s="241"/>
      <c r="F774" s="252"/>
      <c r="G774" s="252"/>
      <c r="H774" s="253"/>
      <c r="I774" s="250"/>
      <c r="J774" s="250"/>
      <c r="K774" s="270"/>
      <c r="L774" s="250"/>
      <c r="M774" s="250"/>
      <c r="N774" s="553" t="str">
        <f>CONCATENATE(IF(OR(M774=phu!$I$1,M774=phu!$I$2,M774=phu!$I$3),"Cam Thành Nam",""),IF(OR(M774=phu!$I$4,M774=phu!$I$5,M774=phu!$I$6,M774=phu!$I$7,M774=phu!$I$8,M774=phu!$I$9,M774=phu!$I$10,M774=phu!$I$11,M774=phu!$I$12,M774=phu!$I$13,M774=phu!$I$14),"Cam Nghĩa",""),IF(OR(M774=phu!$I$15,M774=phu!$I$16,M774=phu!$I$17,M774=phu!$I$18,M774=phu!$I$19,M774=phu!$I$20,M774=phu!$I$21),"Cam Phúc Bắc",""),IF(OR(M774=phu!$I$22,M774=phu!$I$23,M774=phu!$I$24,M774=phu!$I$25),"Cam Phúc Nam",""),IF(OR(M774=phu!$I$26,M774=phu!$I$27,M774=phu!$I$28,M774=phu!$I$29,M774=phu!$I$30,M774=phu!$I$31),"Cam Phú",""),IF(OR(M774=phu!$I$32,M774=phu!$I$33,M774=phu!$I$34,M774=phu!$I$35,M774=phu!$I$36,M774=phu!$I$37),"Cam Lộc",""),IF(OR(M774=phu!$I$38,M774=phu!$I$39,M774=phu!$I$40,M774=phu!$I$41,M774=phu!$I$42,M774=phu!$I$43,M774=phu!$I$44),"Cam Thuận",""),IF(OR(M774=phu!$I$45,M774=phu!$I$46,M774=phu!$I$47,M774=phu!$I$48,M774=phu!$I$49,M774=phu!$I$50,M774=phu!$I$51,M774=phu!$I$52,M774=phu!$I$53),"Cam Linh",""),IF(OR(M774=phu!$I$54,M774=phu!$I$55,M774=phu!$I$56,M774=phu!$I$57,M774=phu!$I$58,M774=phu!$I$59,M774=phu!$I$60,M774=phu!$I$61,M774=phu!$I$62),"Cam Lợi",""),IF(OR(M774=phu!$I$63,M774=phu!$I$64,M774=phu!$I$65,M774=phu!$I$66,M774=phu!$I$67,M774=phu!$I$68,M774=phu!$I$69,M774=phu!$I$70,M774=phu!$I$71),"Ba Ngòi",""),IF(OR(M774=phu!$I$72,M774=phu!$I$73,M774=phu!$I$74,M774=phu!$I$75,M774=phu!$I$76,M774=phu!$I$77,M774=phu!$I$78),"Cam Phước Đông",""),IF(OR(M774=phu!$I$79,M774=phu!$I$80,M774=phu!$I$81,M774=phu!$I$82,M774=phu!$I$83,M774=phu!$I$84),"Cam Thịnh Đông",""),IF(OR(M774=phu!$I$85,M774=phu!$I$86,M774=phu!$I$87,M774=phu!$I$88),"Cam Thịnh Tây",""),IF(OR(M774=phu!$I$89,M774=phu!$I$90),"Cam Lập",""),IF(OR(M774=phu!$I$91,M774=phu!$I$92,M774=phu!$I$93),"Cam Bình",""),IF(OR(M774=phu!$I$94,M774=phu!$I$95,M774=phu!$I$96,M774=phu!$I$97,M774=phu!$I$98,M774=phu!$I$99,M774=phu!$I$100),"Huyện khác",""),IF(OR(M774=phu!$I$101,M774=phu!$I$102),"Tỉnh khác",""))</f>
        <v/>
      </c>
      <c r="O774" s="814" t="str">
        <f t="shared" si="67"/>
        <v/>
      </c>
      <c r="P774" s="254"/>
      <c r="Q774" s="254"/>
      <c r="R774" s="254"/>
      <c r="S774" s="254"/>
      <c r="T774" s="254"/>
      <c r="U774" s="254"/>
      <c r="V774" s="254"/>
      <c r="W774" s="254"/>
      <c r="Y774" s="246" t="str">
        <f t="shared" si="68"/>
        <v/>
      </c>
      <c r="Z774" s="247" t="str">
        <f t="shared" ref="Z774:Z837" si="72">IF(H774="","",$Z$1-H774)</f>
        <v/>
      </c>
      <c r="AA774" s="246" t="str">
        <f t="shared" si="69"/>
        <v/>
      </c>
    </row>
    <row r="775" spans="1:27" ht="18" customHeight="1" x14ac:dyDescent="0.25">
      <c r="A775" s="248" t="str">
        <f t="shared" si="70"/>
        <v/>
      </c>
      <c r="B775" s="249" t="str">
        <f t="shared" si="71"/>
        <v/>
      </c>
      <c r="C775" s="250"/>
      <c r="D775" s="251"/>
      <c r="E775" s="241"/>
      <c r="F775" s="252"/>
      <c r="G775" s="252"/>
      <c r="H775" s="253"/>
      <c r="I775" s="250"/>
      <c r="J775" s="250"/>
      <c r="K775" s="270"/>
      <c r="L775" s="250"/>
      <c r="M775" s="250"/>
      <c r="N775" s="553" t="str">
        <f>CONCATENATE(IF(OR(M775=phu!$I$1,M775=phu!$I$2,M775=phu!$I$3),"Cam Thành Nam",""),IF(OR(M775=phu!$I$4,M775=phu!$I$5,M775=phu!$I$6,M775=phu!$I$7,M775=phu!$I$8,M775=phu!$I$9,M775=phu!$I$10,M775=phu!$I$11,M775=phu!$I$12,M775=phu!$I$13,M775=phu!$I$14),"Cam Nghĩa",""),IF(OR(M775=phu!$I$15,M775=phu!$I$16,M775=phu!$I$17,M775=phu!$I$18,M775=phu!$I$19,M775=phu!$I$20,M775=phu!$I$21),"Cam Phúc Bắc",""),IF(OR(M775=phu!$I$22,M775=phu!$I$23,M775=phu!$I$24,M775=phu!$I$25),"Cam Phúc Nam",""),IF(OR(M775=phu!$I$26,M775=phu!$I$27,M775=phu!$I$28,M775=phu!$I$29,M775=phu!$I$30,M775=phu!$I$31),"Cam Phú",""),IF(OR(M775=phu!$I$32,M775=phu!$I$33,M775=phu!$I$34,M775=phu!$I$35,M775=phu!$I$36,M775=phu!$I$37),"Cam Lộc",""),IF(OR(M775=phu!$I$38,M775=phu!$I$39,M775=phu!$I$40,M775=phu!$I$41,M775=phu!$I$42,M775=phu!$I$43,M775=phu!$I$44),"Cam Thuận",""),IF(OR(M775=phu!$I$45,M775=phu!$I$46,M775=phu!$I$47,M775=phu!$I$48,M775=phu!$I$49,M775=phu!$I$50,M775=phu!$I$51,M775=phu!$I$52,M775=phu!$I$53),"Cam Linh",""),IF(OR(M775=phu!$I$54,M775=phu!$I$55,M775=phu!$I$56,M775=phu!$I$57,M775=phu!$I$58,M775=phu!$I$59,M775=phu!$I$60,M775=phu!$I$61,M775=phu!$I$62),"Cam Lợi",""),IF(OR(M775=phu!$I$63,M775=phu!$I$64,M775=phu!$I$65,M775=phu!$I$66,M775=phu!$I$67,M775=phu!$I$68,M775=phu!$I$69,M775=phu!$I$70,M775=phu!$I$71),"Ba Ngòi",""),IF(OR(M775=phu!$I$72,M775=phu!$I$73,M775=phu!$I$74,M775=phu!$I$75,M775=phu!$I$76,M775=phu!$I$77,M775=phu!$I$78),"Cam Phước Đông",""),IF(OR(M775=phu!$I$79,M775=phu!$I$80,M775=phu!$I$81,M775=phu!$I$82,M775=phu!$I$83,M775=phu!$I$84),"Cam Thịnh Đông",""),IF(OR(M775=phu!$I$85,M775=phu!$I$86,M775=phu!$I$87,M775=phu!$I$88),"Cam Thịnh Tây",""),IF(OR(M775=phu!$I$89,M775=phu!$I$90),"Cam Lập",""),IF(OR(M775=phu!$I$91,M775=phu!$I$92,M775=phu!$I$93),"Cam Bình",""),IF(OR(M775=phu!$I$94,M775=phu!$I$95,M775=phu!$I$96,M775=phu!$I$97,M775=phu!$I$98,M775=phu!$I$99,M775=phu!$I$100),"Huyện khác",""),IF(OR(M775=phu!$I$101,M775=phu!$I$102),"Tỉnh khác",""))</f>
        <v/>
      </c>
      <c r="O775" s="814" t="str">
        <f t="shared" ref="O775:O838" si="73">CONCATENATE(IF(OR(N775="Cam Thành Nam",N775="Cam Nghĩa",N775="Cam Phúc Bắc"),"Bắc Cam Ranh",""),IF(OR(N775="Cam Phúc Nam",N775="Cam Phú",N775="Cam Lộc"),"Cam Ranh",""),IF(OR(N775="Cam Thuận",N775="Cam Linh",N775="Cam Lợi"),"Cam Linh",""),IF(OR(N775="Ba Ngòi",N775="Cam Phước Đông"),"Ba Ngòi",""),IF(OR(N775="Cam Thịnh Đông",N775="Cam Thịnh Tây",N775="Cam Lập",N775="Cam Bình"),"Nam Cam Ranh",""),IF(N775="Huyện khác","Huyện khác",""),IF(N775="Tỉnh khác","Tỉnh khác",""))</f>
        <v/>
      </c>
      <c r="P775" s="254"/>
      <c r="Q775" s="254"/>
      <c r="R775" s="254"/>
      <c r="S775" s="254"/>
      <c r="T775" s="254"/>
      <c r="U775" s="254"/>
      <c r="V775" s="254"/>
      <c r="W775" s="254"/>
      <c r="Y775" s="246" t="str">
        <f t="shared" ref="Y775:Y838" si="74">IF(OR(AND(B775="",C775="",D775="",E775="",F775="",G775="",H775="",I775="",J775="",L775="",M775="",N775="",P775="",Q775="",R775="",S775=""),AND(B775&lt;&gt;"",C775&lt;&gt;"",D775&lt;&gt;"",E775&lt;&gt;"",F775&lt;&gt;"",G775&lt;&gt;"",H775&lt;&gt;"",J775&lt;&gt;"",M775&lt;&gt;"",N775&lt;&gt;"",P775&lt;&gt;"",OR(AND(Q775&lt;&gt;"",R775=""),AND(Q775="",R775&lt;&gt;""),AND(Q775&lt;&gt;"",R775&lt;&gt;"")),OR(AND(K775="X",T775&lt;&gt;""),AND(K775="",T775="")))),"","er")</f>
        <v/>
      </c>
      <c r="Z775" s="247" t="str">
        <f t="shared" si="72"/>
        <v/>
      </c>
      <c r="AA775" s="246" t="str">
        <f t="shared" ref="AA775:AA838" si="75">IF(OR(AND(Z775=5,B775&gt;0),AND(Z775=6,B775&gt;1),AND(Z775=7,B775&gt;2),AND(Z775=8,B775&gt;3),AND(Z775=9,B775&gt;4),AND(Z775=10,B775&gt;5),AND(Z775=5,B775=0,L775="X"),AND(Z775=6,B775=1,L775="X"),AND(Z775=7,B775=2,L775="X"),AND(Z775=8,B775=3,L775="X"),AND(Z775=9,B775=4,L775="X"),AND(Z775=10,B775=5,L775="X")),"er","")</f>
        <v/>
      </c>
    </row>
    <row r="776" spans="1:27" ht="18" customHeight="1" x14ac:dyDescent="0.25">
      <c r="A776" s="248" t="str">
        <f t="shared" ref="A776:A839" si="76">IF(OR(A775="",B776="",C776="",D776="",E776=""),"",A775+1)</f>
        <v/>
      </c>
      <c r="B776" s="249" t="str">
        <f t="shared" ref="B776:B839" si="77">IF(C776="","",VALUE(LEFT(C776,1)))</f>
        <v/>
      </c>
      <c r="C776" s="250"/>
      <c r="D776" s="251"/>
      <c r="E776" s="241"/>
      <c r="F776" s="252"/>
      <c r="G776" s="252"/>
      <c r="H776" s="253"/>
      <c r="I776" s="250"/>
      <c r="J776" s="250"/>
      <c r="K776" s="270"/>
      <c r="L776" s="250"/>
      <c r="M776" s="250"/>
      <c r="N776" s="553" t="str">
        <f>CONCATENATE(IF(OR(M776=phu!$I$1,M776=phu!$I$2,M776=phu!$I$3),"Cam Thành Nam",""),IF(OR(M776=phu!$I$4,M776=phu!$I$5,M776=phu!$I$6,M776=phu!$I$7,M776=phu!$I$8,M776=phu!$I$9,M776=phu!$I$10,M776=phu!$I$11,M776=phu!$I$12,M776=phu!$I$13,M776=phu!$I$14),"Cam Nghĩa",""),IF(OR(M776=phu!$I$15,M776=phu!$I$16,M776=phu!$I$17,M776=phu!$I$18,M776=phu!$I$19,M776=phu!$I$20,M776=phu!$I$21),"Cam Phúc Bắc",""),IF(OR(M776=phu!$I$22,M776=phu!$I$23,M776=phu!$I$24,M776=phu!$I$25),"Cam Phúc Nam",""),IF(OR(M776=phu!$I$26,M776=phu!$I$27,M776=phu!$I$28,M776=phu!$I$29,M776=phu!$I$30,M776=phu!$I$31),"Cam Phú",""),IF(OR(M776=phu!$I$32,M776=phu!$I$33,M776=phu!$I$34,M776=phu!$I$35,M776=phu!$I$36,M776=phu!$I$37),"Cam Lộc",""),IF(OR(M776=phu!$I$38,M776=phu!$I$39,M776=phu!$I$40,M776=phu!$I$41,M776=phu!$I$42,M776=phu!$I$43,M776=phu!$I$44),"Cam Thuận",""),IF(OR(M776=phu!$I$45,M776=phu!$I$46,M776=phu!$I$47,M776=phu!$I$48,M776=phu!$I$49,M776=phu!$I$50,M776=phu!$I$51,M776=phu!$I$52,M776=phu!$I$53),"Cam Linh",""),IF(OR(M776=phu!$I$54,M776=phu!$I$55,M776=phu!$I$56,M776=phu!$I$57,M776=phu!$I$58,M776=phu!$I$59,M776=phu!$I$60,M776=phu!$I$61,M776=phu!$I$62),"Cam Lợi",""),IF(OR(M776=phu!$I$63,M776=phu!$I$64,M776=phu!$I$65,M776=phu!$I$66,M776=phu!$I$67,M776=phu!$I$68,M776=phu!$I$69,M776=phu!$I$70,M776=phu!$I$71),"Ba Ngòi",""),IF(OR(M776=phu!$I$72,M776=phu!$I$73,M776=phu!$I$74,M776=phu!$I$75,M776=phu!$I$76,M776=phu!$I$77,M776=phu!$I$78),"Cam Phước Đông",""),IF(OR(M776=phu!$I$79,M776=phu!$I$80,M776=phu!$I$81,M776=phu!$I$82,M776=phu!$I$83,M776=phu!$I$84),"Cam Thịnh Đông",""),IF(OR(M776=phu!$I$85,M776=phu!$I$86,M776=phu!$I$87,M776=phu!$I$88),"Cam Thịnh Tây",""),IF(OR(M776=phu!$I$89,M776=phu!$I$90),"Cam Lập",""),IF(OR(M776=phu!$I$91,M776=phu!$I$92,M776=phu!$I$93),"Cam Bình",""),IF(OR(M776=phu!$I$94,M776=phu!$I$95,M776=phu!$I$96,M776=phu!$I$97,M776=phu!$I$98,M776=phu!$I$99,M776=phu!$I$100),"Huyện khác",""),IF(OR(M776=phu!$I$101,M776=phu!$I$102),"Tỉnh khác",""))</f>
        <v/>
      </c>
      <c r="O776" s="814" t="str">
        <f t="shared" si="73"/>
        <v/>
      </c>
      <c r="P776" s="254"/>
      <c r="Q776" s="254"/>
      <c r="R776" s="254"/>
      <c r="S776" s="254"/>
      <c r="T776" s="254"/>
      <c r="U776" s="254"/>
      <c r="V776" s="254"/>
      <c r="W776" s="254"/>
      <c r="Y776" s="246" t="str">
        <f t="shared" si="74"/>
        <v/>
      </c>
      <c r="Z776" s="247" t="str">
        <f t="shared" si="72"/>
        <v/>
      </c>
      <c r="AA776" s="246" t="str">
        <f t="shared" si="75"/>
        <v/>
      </c>
    </row>
    <row r="777" spans="1:27" ht="18" customHeight="1" x14ac:dyDescent="0.25">
      <c r="A777" s="248" t="str">
        <f t="shared" si="76"/>
        <v/>
      </c>
      <c r="B777" s="249" t="str">
        <f t="shared" si="77"/>
        <v/>
      </c>
      <c r="C777" s="250"/>
      <c r="D777" s="251"/>
      <c r="E777" s="241"/>
      <c r="F777" s="252"/>
      <c r="G777" s="252"/>
      <c r="H777" s="253"/>
      <c r="I777" s="250"/>
      <c r="J777" s="250"/>
      <c r="K777" s="270"/>
      <c r="L777" s="250"/>
      <c r="M777" s="250"/>
      <c r="N777" s="553" t="str">
        <f>CONCATENATE(IF(OR(M777=phu!$I$1,M777=phu!$I$2,M777=phu!$I$3),"Cam Thành Nam",""),IF(OR(M777=phu!$I$4,M777=phu!$I$5,M777=phu!$I$6,M777=phu!$I$7,M777=phu!$I$8,M777=phu!$I$9,M777=phu!$I$10,M777=phu!$I$11,M777=phu!$I$12,M777=phu!$I$13,M777=phu!$I$14),"Cam Nghĩa",""),IF(OR(M777=phu!$I$15,M777=phu!$I$16,M777=phu!$I$17,M777=phu!$I$18,M777=phu!$I$19,M777=phu!$I$20,M777=phu!$I$21),"Cam Phúc Bắc",""),IF(OR(M777=phu!$I$22,M777=phu!$I$23,M777=phu!$I$24,M777=phu!$I$25),"Cam Phúc Nam",""),IF(OR(M777=phu!$I$26,M777=phu!$I$27,M777=phu!$I$28,M777=phu!$I$29,M777=phu!$I$30,M777=phu!$I$31),"Cam Phú",""),IF(OR(M777=phu!$I$32,M777=phu!$I$33,M777=phu!$I$34,M777=phu!$I$35,M777=phu!$I$36,M777=phu!$I$37),"Cam Lộc",""),IF(OR(M777=phu!$I$38,M777=phu!$I$39,M777=phu!$I$40,M777=phu!$I$41,M777=phu!$I$42,M777=phu!$I$43,M777=phu!$I$44),"Cam Thuận",""),IF(OR(M777=phu!$I$45,M777=phu!$I$46,M777=phu!$I$47,M777=phu!$I$48,M777=phu!$I$49,M777=phu!$I$50,M777=phu!$I$51,M777=phu!$I$52,M777=phu!$I$53),"Cam Linh",""),IF(OR(M777=phu!$I$54,M777=phu!$I$55,M777=phu!$I$56,M777=phu!$I$57,M777=phu!$I$58,M777=phu!$I$59,M777=phu!$I$60,M777=phu!$I$61,M777=phu!$I$62),"Cam Lợi",""),IF(OR(M777=phu!$I$63,M777=phu!$I$64,M777=phu!$I$65,M777=phu!$I$66,M777=phu!$I$67,M777=phu!$I$68,M777=phu!$I$69,M777=phu!$I$70,M777=phu!$I$71),"Ba Ngòi",""),IF(OR(M777=phu!$I$72,M777=phu!$I$73,M777=phu!$I$74,M777=phu!$I$75,M777=phu!$I$76,M777=phu!$I$77,M777=phu!$I$78),"Cam Phước Đông",""),IF(OR(M777=phu!$I$79,M777=phu!$I$80,M777=phu!$I$81,M777=phu!$I$82,M777=phu!$I$83,M777=phu!$I$84),"Cam Thịnh Đông",""),IF(OR(M777=phu!$I$85,M777=phu!$I$86,M777=phu!$I$87,M777=phu!$I$88),"Cam Thịnh Tây",""),IF(OR(M777=phu!$I$89,M777=phu!$I$90),"Cam Lập",""),IF(OR(M777=phu!$I$91,M777=phu!$I$92,M777=phu!$I$93),"Cam Bình",""),IF(OR(M777=phu!$I$94,M777=phu!$I$95,M777=phu!$I$96,M777=phu!$I$97,M777=phu!$I$98,M777=phu!$I$99,M777=phu!$I$100),"Huyện khác",""),IF(OR(M777=phu!$I$101,M777=phu!$I$102),"Tỉnh khác",""))</f>
        <v/>
      </c>
      <c r="O777" s="814" t="str">
        <f t="shared" si="73"/>
        <v/>
      </c>
      <c r="P777" s="254"/>
      <c r="Q777" s="254"/>
      <c r="R777" s="254"/>
      <c r="S777" s="254"/>
      <c r="T777" s="254"/>
      <c r="U777" s="254"/>
      <c r="V777" s="254"/>
      <c r="W777" s="254"/>
      <c r="Y777" s="246" t="str">
        <f t="shared" si="74"/>
        <v/>
      </c>
      <c r="Z777" s="247" t="str">
        <f t="shared" si="72"/>
        <v/>
      </c>
      <c r="AA777" s="246" t="str">
        <f t="shared" si="75"/>
        <v/>
      </c>
    </row>
    <row r="778" spans="1:27" ht="18" customHeight="1" x14ac:dyDescent="0.25">
      <c r="A778" s="248" t="str">
        <f t="shared" si="76"/>
        <v/>
      </c>
      <c r="B778" s="249" t="str">
        <f t="shared" si="77"/>
        <v/>
      </c>
      <c r="C778" s="250"/>
      <c r="D778" s="251"/>
      <c r="E778" s="241"/>
      <c r="F778" s="252"/>
      <c r="G778" s="252"/>
      <c r="H778" s="253"/>
      <c r="I778" s="250"/>
      <c r="J778" s="250"/>
      <c r="K778" s="270"/>
      <c r="L778" s="250"/>
      <c r="M778" s="250"/>
      <c r="N778" s="553" t="str">
        <f>CONCATENATE(IF(OR(M778=phu!$I$1,M778=phu!$I$2,M778=phu!$I$3),"Cam Thành Nam",""),IF(OR(M778=phu!$I$4,M778=phu!$I$5,M778=phu!$I$6,M778=phu!$I$7,M778=phu!$I$8,M778=phu!$I$9,M778=phu!$I$10,M778=phu!$I$11,M778=phu!$I$12,M778=phu!$I$13,M778=phu!$I$14),"Cam Nghĩa",""),IF(OR(M778=phu!$I$15,M778=phu!$I$16,M778=phu!$I$17,M778=phu!$I$18,M778=phu!$I$19,M778=phu!$I$20,M778=phu!$I$21),"Cam Phúc Bắc",""),IF(OR(M778=phu!$I$22,M778=phu!$I$23,M778=phu!$I$24,M778=phu!$I$25),"Cam Phúc Nam",""),IF(OR(M778=phu!$I$26,M778=phu!$I$27,M778=phu!$I$28,M778=phu!$I$29,M778=phu!$I$30,M778=phu!$I$31),"Cam Phú",""),IF(OR(M778=phu!$I$32,M778=phu!$I$33,M778=phu!$I$34,M778=phu!$I$35,M778=phu!$I$36,M778=phu!$I$37),"Cam Lộc",""),IF(OR(M778=phu!$I$38,M778=phu!$I$39,M778=phu!$I$40,M778=phu!$I$41,M778=phu!$I$42,M778=phu!$I$43,M778=phu!$I$44),"Cam Thuận",""),IF(OR(M778=phu!$I$45,M778=phu!$I$46,M778=phu!$I$47,M778=phu!$I$48,M778=phu!$I$49,M778=phu!$I$50,M778=phu!$I$51,M778=phu!$I$52,M778=phu!$I$53),"Cam Linh",""),IF(OR(M778=phu!$I$54,M778=phu!$I$55,M778=phu!$I$56,M778=phu!$I$57,M778=phu!$I$58,M778=phu!$I$59,M778=phu!$I$60,M778=phu!$I$61,M778=phu!$I$62),"Cam Lợi",""),IF(OR(M778=phu!$I$63,M778=phu!$I$64,M778=phu!$I$65,M778=phu!$I$66,M778=phu!$I$67,M778=phu!$I$68,M778=phu!$I$69,M778=phu!$I$70,M778=phu!$I$71),"Ba Ngòi",""),IF(OR(M778=phu!$I$72,M778=phu!$I$73,M778=phu!$I$74,M778=phu!$I$75,M778=phu!$I$76,M778=phu!$I$77,M778=phu!$I$78),"Cam Phước Đông",""),IF(OR(M778=phu!$I$79,M778=phu!$I$80,M778=phu!$I$81,M778=phu!$I$82,M778=phu!$I$83,M778=phu!$I$84),"Cam Thịnh Đông",""),IF(OR(M778=phu!$I$85,M778=phu!$I$86,M778=phu!$I$87,M778=phu!$I$88),"Cam Thịnh Tây",""),IF(OR(M778=phu!$I$89,M778=phu!$I$90),"Cam Lập",""),IF(OR(M778=phu!$I$91,M778=phu!$I$92,M778=phu!$I$93),"Cam Bình",""),IF(OR(M778=phu!$I$94,M778=phu!$I$95,M778=phu!$I$96,M778=phu!$I$97,M778=phu!$I$98,M778=phu!$I$99,M778=phu!$I$100),"Huyện khác",""),IF(OR(M778=phu!$I$101,M778=phu!$I$102),"Tỉnh khác",""))</f>
        <v/>
      </c>
      <c r="O778" s="814" t="str">
        <f t="shared" si="73"/>
        <v/>
      </c>
      <c r="P778" s="254"/>
      <c r="Q778" s="254"/>
      <c r="R778" s="254"/>
      <c r="S778" s="254"/>
      <c r="T778" s="254"/>
      <c r="U778" s="254"/>
      <c r="V778" s="254"/>
      <c r="W778" s="254"/>
      <c r="Y778" s="246" t="str">
        <f t="shared" si="74"/>
        <v/>
      </c>
      <c r="Z778" s="247" t="str">
        <f t="shared" si="72"/>
        <v/>
      </c>
      <c r="AA778" s="246" t="str">
        <f t="shared" si="75"/>
        <v/>
      </c>
    </row>
    <row r="779" spans="1:27" ht="18" customHeight="1" x14ac:dyDescent="0.25">
      <c r="A779" s="248" t="str">
        <f t="shared" si="76"/>
        <v/>
      </c>
      <c r="B779" s="249" t="str">
        <f t="shared" si="77"/>
        <v/>
      </c>
      <c r="C779" s="250"/>
      <c r="D779" s="251"/>
      <c r="E779" s="241"/>
      <c r="F779" s="252"/>
      <c r="G779" s="252"/>
      <c r="H779" s="253"/>
      <c r="I779" s="250"/>
      <c r="J779" s="250"/>
      <c r="K779" s="270"/>
      <c r="L779" s="250"/>
      <c r="M779" s="250"/>
      <c r="N779" s="553" t="str">
        <f>CONCATENATE(IF(OR(M779=phu!$I$1,M779=phu!$I$2,M779=phu!$I$3),"Cam Thành Nam",""),IF(OR(M779=phu!$I$4,M779=phu!$I$5,M779=phu!$I$6,M779=phu!$I$7,M779=phu!$I$8,M779=phu!$I$9,M779=phu!$I$10,M779=phu!$I$11,M779=phu!$I$12,M779=phu!$I$13,M779=phu!$I$14),"Cam Nghĩa",""),IF(OR(M779=phu!$I$15,M779=phu!$I$16,M779=phu!$I$17,M779=phu!$I$18,M779=phu!$I$19,M779=phu!$I$20,M779=phu!$I$21),"Cam Phúc Bắc",""),IF(OR(M779=phu!$I$22,M779=phu!$I$23,M779=phu!$I$24,M779=phu!$I$25),"Cam Phúc Nam",""),IF(OR(M779=phu!$I$26,M779=phu!$I$27,M779=phu!$I$28,M779=phu!$I$29,M779=phu!$I$30,M779=phu!$I$31),"Cam Phú",""),IF(OR(M779=phu!$I$32,M779=phu!$I$33,M779=phu!$I$34,M779=phu!$I$35,M779=phu!$I$36,M779=phu!$I$37),"Cam Lộc",""),IF(OR(M779=phu!$I$38,M779=phu!$I$39,M779=phu!$I$40,M779=phu!$I$41,M779=phu!$I$42,M779=phu!$I$43,M779=phu!$I$44),"Cam Thuận",""),IF(OR(M779=phu!$I$45,M779=phu!$I$46,M779=phu!$I$47,M779=phu!$I$48,M779=phu!$I$49,M779=phu!$I$50,M779=phu!$I$51,M779=phu!$I$52,M779=phu!$I$53),"Cam Linh",""),IF(OR(M779=phu!$I$54,M779=phu!$I$55,M779=phu!$I$56,M779=phu!$I$57,M779=phu!$I$58,M779=phu!$I$59,M779=phu!$I$60,M779=phu!$I$61,M779=phu!$I$62),"Cam Lợi",""),IF(OR(M779=phu!$I$63,M779=phu!$I$64,M779=phu!$I$65,M779=phu!$I$66,M779=phu!$I$67,M779=phu!$I$68,M779=phu!$I$69,M779=phu!$I$70,M779=phu!$I$71),"Ba Ngòi",""),IF(OR(M779=phu!$I$72,M779=phu!$I$73,M779=phu!$I$74,M779=phu!$I$75,M779=phu!$I$76,M779=phu!$I$77,M779=phu!$I$78),"Cam Phước Đông",""),IF(OR(M779=phu!$I$79,M779=phu!$I$80,M779=phu!$I$81,M779=phu!$I$82,M779=phu!$I$83,M779=phu!$I$84),"Cam Thịnh Đông",""),IF(OR(M779=phu!$I$85,M779=phu!$I$86,M779=phu!$I$87,M779=phu!$I$88),"Cam Thịnh Tây",""),IF(OR(M779=phu!$I$89,M779=phu!$I$90),"Cam Lập",""),IF(OR(M779=phu!$I$91,M779=phu!$I$92,M779=phu!$I$93),"Cam Bình",""),IF(OR(M779=phu!$I$94,M779=phu!$I$95,M779=phu!$I$96,M779=phu!$I$97,M779=phu!$I$98,M779=phu!$I$99,M779=phu!$I$100),"Huyện khác",""),IF(OR(M779=phu!$I$101,M779=phu!$I$102),"Tỉnh khác",""))</f>
        <v/>
      </c>
      <c r="O779" s="814" t="str">
        <f t="shared" si="73"/>
        <v/>
      </c>
      <c r="P779" s="254"/>
      <c r="Q779" s="254"/>
      <c r="R779" s="254"/>
      <c r="S779" s="254"/>
      <c r="T779" s="254"/>
      <c r="U779" s="254"/>
      <c r="V779" s="254"/>
      <c r="W779" s="254"/>
      <c r="Y779" s="246" t="str">
        <f t="shared" si="74"/>
        <v/>
      </c>
      <c r="Z779" s="247" t="str">
        <f t="shared" si="72"/>
        <v/>
      </c>
      <c r="AA779" s="246" t="str">
        <f t="shared" si="75"/>
        <v/>
      </c>
    </row>
    <row r="780" spans="1:27" ht="18" customHeight="1" x14ac:dyDescent="0.25">
      <c r="A780" s="248" t="str">
        <f t="shared" si="76"/>
        <v/>
      </c>
      <c r="B780" s="249" t="str">
        <f t="shared" si="77"/>
        <v/>
      </c>
      <c r="C780" s="250"/>
      <c r="D780" s="251"/>
      <c r="E780" s="241"/>
      <c r="F780" s="252"/>
      <c r="G780" s="252"/>
      <c r="H780" s="253"/>
      <c r="I780" s="250"/>
      <c r="J780" s="250"/>
      <c r="K780" s="270"/>
      <c r="L780" s="250"/>
      <c r="M780" s="250"/>
      <c r="N780" s="553" t="str">
        <f>CONCATENATE(IF(OR(M780=phu!$I$1,M780=phu!$I$2,M780=phu!$I$3),"Cam Thành Nam",""),IF(OR(M780=phu!$I$4,M780=phu!$I$5,M780=phu!$I$6,M780=phu!$I$7,M780=phu!$I$8,M780=phu!$I$9,M780=phu!$I$10,M780=phu!$I$11,M780=phu!$I$12,M780=phu!$I$13,M780=phu!$I$14),"Cam Nghĩa",""),IF(OR(M780=phu!$I$15,M780=phu!$I$16,M780=phu!$I$17,M780=phu!$I$18,M780=phu!$I$19,M780=phu!$I$20,M780=phu!$I$21),"Cam Phúc Bắc",""),IF(OR(M780=phu!$I$22,M780=phu!$I$23,M780=phu!$I$24,M780=phu!$I$25),"Cam Phúc Nam",""),IF(OR(M780=phu!$I$26,M780=phu!$I$27,M780=phu!$I$28,M780=phu!$I$29,M780=phu!$I$30,M780=phu!$I$31),"Cam Phú",""),IF(OR(M780=phu!$I$32,M780=phu!$I$33,M780=phu!$I$34,M780=phu!$I$35,M780=phu!$I$36,M780=phu!$I$37),"Cam Lộc",""),IF(OR(M780=phu!$I$38,M780=phu!$I$39,M780=phu!$I$40,M780=phu!$I$41,M780=phu!$I$42,M780=phu!$I$43,M780=phu!$I$44),"Cam Thuận",""),IF(OR(M780=phu!$I$45,M780=phu!$I$46,M780=phu!$I$47,M780=phu!$I$48,M780=phu!$I$49,M780=phu!$I$50,M780=phu!$I$51,M780=phu!$I$52,M780=phu!$I$53),"Cam Linh",""),IF(OR(M780=phu!$I$54,M780=phu!$I$55,M780=phu!$I$56,M780=phu!$I$57,M780=phu!$I$58,M780=phu!$I$59,M780=phu!$I$60,M780=phu!$I$61,M780=phu!$I$62),"Cam Lợi",""),IF(OR(M780=phu!$I$63,M780=phu!$I$64,M780=phu!$I$65,M780=phu!$I$66,M780=phu!$I$67,M780=phu!$I$68,M780=phu!$I$69,M780=phu!$I$70,M780=phu!$I$71),"Ba Ngòi",""),IF(OR(M780=phu!$I$72,M780=phu!$I$73,M780=phu!$I$74,M780=phu!$I$75,M780=phu!$I$76,M780=phu!$I$77,M780=phu!$I$78),"Cam Phước Đông",""),IF(OR(M780=phu!$I$79,M780=phu!$I$80,M780=phu!$I$81,M780=phu!$I$82,M780=phu!$I$83,M780=phu!$I$84),"Cam Thịnh Đông",""),IF(OR(M780=phu!$I$85,M780=phu!$I$86,M780=phu!$I$87,M780=phu!$I$88),"Cam Thịnh Tây",""),IF(OR(M780=phu!$I$89,M780=phu!$I$90),"Cam Lập",""),IF(OR(M780=phu!$I$91,M780=phu!$I$92,M780=phu!$I$93),"Cam Bình",""),IF(OR(M780=phu!$I$94,M780=phu!$I$95,M780=phu!$I$96,M780=phu!$I$97,M780=phu!$I$98,M780=phu!$I$99,M780=phu!$I$100),"Huyện khác",""),IF(OR(M780=phu!$I$101,M780=phu!$I$102),"Tỉnh khác",""))</f>
        <v/>
      </c>
      <c r="O780" s="814" t="str">
        <f t="shared" si="73"/>
        <v/>
      </c>
      <c r="P780" s="254"/>
      <c r="Q780" s="254"/>
      <c r="R780" s="254"/>
      <c r="S780" s="254"/>
      <c r="T780" s="254"/>
      <c r="U780" s="254"/>
      <c r="V780" s="254"/>
      <c r="W780" s="254"/>
      <c r="Y780" s="246" t="str">
        <f t="shared" si="74"/>
        <v/>
      </c>
      <c r="Z780" s="247" t="str">
        <f t="shared" si="72"/>
        <v/>
      </c>
      <c r="AA780" s="246" t="str">
        <f t="shared" si="75"/>
        <v/>
      </c>
    </row>
    <row r="781" spans="1:27" ht="18" customHeight="1" x14ac:dyDescent="0.25">
      <c r="A781" s="248" t="str">
        <f t="shared" si="76"/>
        <v/>
      </c>
      <c r="B781" s="249" t="str">
        <f t="shared" si="77"/>
        <v/>
      </c>
      <c r="C781" s="250"/>
      <c r="D781" s="251"/>
      <c r="E781" s="241"/>
      <c r="F781" s="252"/>
      <c r="G781" s="252"/>
      <c r="H781" s="253"/>
      <c r="I781" s="250"/>
      <c r="J781" s="250"/>
      <c r="K781" s="270"/>
      <c r="L781" s="250"/>
      <c r="M781" s="250"/>
      <c r="N781" s="553" t="str">
        <f>CONCATENATE(IF(OR(M781=phu!$I$1,M781=phu!$I$2,M781=phu!$I$3),"Cam Thành Nam",""),IF(OR(M781=phu!$I$4,M781=phu!$I$5,M781=phu!$I$6,M781=phu!$I$7,M781=phu!$I$8,M781=phu!$I$9,M781=phu!$I$10,M781=phu!$I$11,M781=phu!$I$12,M781=phu!$I$13,M781=phu!$I$14),"Cam Nghĩa",""),IF(OR(M781=phu!$I$15,M781=phu!$I$16,M781=phu!$I$17,M781=phu!$I$18,M781=phu!$I$19,M781=phu!$I$20,M781=phu!$I$21),"Cam Phúc Bắc",""),IF(OR(M781=phu!$I$22,M781=phu!$I$23,M781=phu!$I$24,M781=phu!$I$25),"Cam Phúc Nam",""),IF(OR(M781=phu!$I$26,M781=phu!$I$27,M781=phu!$I$28,M781=phu!$I$29,M781=phu!$I$30,M781=phu!$I$31),"Cam Phú",""),IF(OR(M781=phu!$I$32,M781=phu!$I$33,M781=phu!$I$34,M781=phu!$I$35,M781=phu!$I$36,M781=phu!$I$37),"Cam Lộc",""),IF(OR(M781=phu!$I$38,M781=phu!$I$39,M781=phu!$I$40,M781=phu!$I$41,M781=phu!$I$42,M781=phu!$I$43,M781=phu!$I$44),"Cam Thuận",""),IF(OR(M781=phu!$I$45,M781=phu!$I$46,M781=phu!$I$47,M781=phu!$I$48,M781=phu!$I$49,M781=phu!$I$50,M781=phu!$I$51,M781=phu!$I$52,M781=phu!$I$53),"Cam Linh",""),IF(OR(M781=phu!$I$54,M781=phu!$I$55,M781=phu!$I$56,M781=phu!$I$57,M781=phu!$I$58,M781=phu!$I$59,M781=phu!$I$60,M781=phu!$I$61,M781=phu!$I$62),"Cam Lợi",""),IF(OR(M781=phu!$I$63,M781=phu!$I$64,M781=phu!$I$65,M781=phu!$I$66,M781=phu!$I$67,M781=phu!$I$68,M781=phu!$I$69,M781=phu!$I$70,M781=phu!$I$71),"Ba Ngòi",""),IF(OR(M781=phu!$I$72,M781=phu!$I$73,M781=phu!$I$74,M781=phu!$I$75,M781=phu!$I$76,M781=phu!$I$77,M781=phu!$I$78),"Cam Phước Đông",""),IF(OR(M781=phu!$I$79,M781=phu!$I$80,M781=phu!$I$81,M781=phu!$I$82,M781=phu!$I$83,M781=phu!$I$84),"Cam Thịnh Đông",""),IF(OR(M781=phu!$I$85,M781=phu!$I$86,M781=phu!$I$87,M781=phu!$I$88),"Cam Thịnh Tây",""),IF(OR(M781=phu!$I$89,M781=phu!$I$90),"Cam Lập",""),IF(OR(M781=phu!$I$91,M781=phu!$I$92,M781=phu!$I$93),"Cam Bình",""),IF(OR(M781=phu!$I$94,M781=phu!$I$95,M781=phu!$I$96,M781=phu!$I$97,M781=phu!$I$98,M781=phu!$I$99,M781=phu!$I$100),"Huyện khác",""),IF(OR(M781=phu!$I$101,M781=phu!$I$102),"Tỉnh khác",""))</f>
        <v/>
      </c>
      <c r="O781" s="814" t="str">
        <f t="shared" si="73"/>
        <v/>
      </c>
      <c r="P781" s="254"/>
      <c r="Q781" s="254"/>
      <c r="R781" s="254"/>
      <c r="S781" s="254"/>
      <c r="T781" s="254"/>
      <c r="U781" s="254"/>
      <c r="V781" s="254"/>
      <c r="W781" s="254"/>
      <c r="Y781" s="246" t="str">
        <f t="shared" si="74"/>
        <v/>
      </c>
      <c r="Z781" s="247" t="str">
        <f t="shared" si="72"/>
        <v/>
      </c>
      <c r="AA781" s="246" t="str">
        <f t="shared" si="75"/>
        <v/>
      </c>
    </row>
    <row r="782" spans="1:27" ht="18" customHeight="1" x14ac:dyDescent="0.25">
      <c r="A782" s="248" t="str">
        <f t="shared" si="76"/>
        <v/>
      </c>
      <c r="B782" s="249" t="str">
        <f t="shared" si="77"/>
        <v/>
      </c>
      <c r="C782" s="250"/>
      <c r="D782" s="251"/>
      <c r="E782" s="241"/>
      <c r="F782" s="252"/>
      <c r="G782" s="252"/>
      <c r="H782" s="253"/>
      <c r="I782" s="250"/>
      <c r="J782" s="250"/>
      <c r="K782" s="270"/>
      <c r="L782" s="250"/>
      <c r="M782" s="250"/>
      <c r="N782" s="553" t="str">
        <f>CONCATENATE(IF(OR(M782=phu!$I$1,M782=phu!$I$2,M782=phu!$I$3),"Cam Thành Nam",""),IF(OR(M782=phu!$I$4,M782=phu!$I$5,M782=phu!$I$6,M782=phu!$I$7,M782=phu!$I$8,M782=phu!$I$9,M782=phu!$I$10,M782=phu!$I$11,M782=phu!$I$12,M782=phu!$I$13,M782=phu!$I$14),"Cam Nghĩa",""),IF(OR(M782=phu!$I$15,M782=phu!$I$16,M782=phu!$I$17,M782=phu!$I$18,M782=phu!$I$19,M782=phu!$I$20,M782=phu!$I$21),"Cam Phúc Bắc",""),IF(OR(M782=phu!$I$22,M782=phu!$I$23,M782=phu!$I$24,M782=phu!$I$25),"Cam Phúc Nam",""),IF(OR(M782=phu!$I$26,M782=phu!$I$27,M782=phu!$I$28,M782=phu!$I$29,M782=phu!$I$30,M782=phu!$I$31),"Cam Phú",""),IF(OR(M782=phu!$I$32,M782=phu!$I$33,M782=phu!$I$34,M782=phu!$I$35,M782=phu!$I$36,M782=phu!$I$37),"Cam Lộc",""),IF(OR(M782=phu!$I$38,M782=phu!$I$39,M782=phu!$I$40,M782=phu!$I$41,M782=phu!$I$42,M782=phu!$I$43,M782=phu!$I$44),"Cam Thuận",""),IF(OR(M782=phu!$I$45,M782=phu!$I$46,M782=phu!$I$47,M782=phu!$I$48,M782=phu!$I$49,M782=phu!$I$50,M782=phu!$I$51,M782=phu!$I$52,M782=phu!$I$53),"Cam Linh",""),IF(OR(M782=phu!$I$54,M782=phu!$I$55,M782=phu!$I$56,M782=phu!$I$57,M782=phu!$I$58,M782=phu!$I$59,M782=phu!$I$60,M782=phu!$I$61,M782=phu!$I$62),"Cam Lợi",""),IF(OR(M782=phu!$I$63,M782=phu!$I$64,M782=phu!$I$65,M782=phu!$I$66,M782=phu!$I$67,M782=phu!$I$68,M782=phu!$I$69,M782=phu!$I$70,M782=phu!$I$71),"Ba Ngòi",""),IF(OR(M782=phu!$I$72,M782=phu!$I$73,M782=phu!$I$74,M782=phu!$I$75,M782=phu!$I$76,M782=phu!$I$77,M782=phu!$I$78),"Cam Phước Đông",""),IF(OR(M782=phu!$I$79,M782=phu!$I$80,M782=phu!$I$81,M782=phu!$I$82,M782=phu!$I$83,M782=phu!$I$84),"Cam Thịnh Đông",""),IF(OR(M782=phu!$I$85,M782=phu!$I$86,M782=phu!$I$87,M782=phu!$I$88),"Cam Thịnh Tây",""),IF(OR(M782=phu!$I$89,M782=phu!$I$90),"Cam Lập",""),IF(OR(M782=phu!$I$91,M782=phu!$I$92,M782=phu!$I$93),"Cam Bình",""),IF(OR(M782=phu!$I$94,M782=phu!$I$95,M782=phu!$I$96,M782=phu!$I$97,M782=phu!$I$98,M782=phu!$I$99,M782=phu!$I$100),"Huyện khác",""),IF(OR(M782=phu!$I$101,M782=phu!$I$102),"Tỉnh khác",""))</f>
        <v/>
      </c>
      <c r="O782" s="814" t="str">
        <f t="shared" si="73"/>
        <v/>
      </c>
      <c r="P782" s="254"/>
      <c r="Q782" s="254"/>
      <c r="R782" s="254"/>
      <c r="S782" s="254"/>
      <c r="T782" s="254"/>
      <c r="U782" s="254"/>
      <c r="V782" s="254"/>
      <c r="W782" s="254"/>
      <c r="Y782" s="246" t="str">
        <f t="shared" si="74"/>
        <v/>
      </c>
      <c r="Z782" s="247" t="str">
        <f t="shared" si="72"/>
        <v/>
      </c>
      <c r="AA782" s="246" t="str">
        <f t="shared" si="75"/>
        <v/>
      </c>
    </row>
    <row r="783" spans="1:27" ht="18" customHeight="1" x14ac:dyDescent="0.25">
      <c r="A783" s="248" t="str">
        <f t="shared" si="76"/>
        <v/>
      </c>
      <c r="B783" s="249" t="str">
        <f t="shared" si="77"/>
        <v/>
      </c>
      <c r="C783" s="250"/>
      <c r="D783" s="251"/>
      <c r="E783" s="241"/>
      <c r="F783" s="252"/>
      <c r="G783" s="252"/>
      <c r="H783" s="253"/>
      <c r="I783" s="250"/>
      <c r="J783" s="250"/>
      <c r="K783" s="270"/>
      <c r="L783" s="250"/>
      <c r="M783" s="250"/>
      <c r="N783" s="553" t="str">
        <f>CONCATENATE(IF(OR(M783=phu!$I$1,M783=phu!$I$2,M783=phu!$I$3),"Cam Thành Nam",""),IF(OR(M783=phu!$I$4,M783=phu!$I$5,M783=phu!$I$6,M783=phu!$I$7,M783=phu!$I$8,M783=phu!$I$9,M783=phu!$I$10,M783=phu!$I$11,M783=phu!$I$12,M783=phu!$I$13,M783=phu!$I$14),"Cam Nghĩa",""),IF(OR(M783=phu!$I$15,M783=phu!$I$16,M783=phu!$I$17,M783=phu!$I$18,M783=phu!$I$19,M783=phu!$I$20,M783=phu!$I$21),"Cam Phúc Bắc",""),IF(OR(M783=phu!$I$22,M783=phu!$I$23,M783=phu!$I$24,M783=phu!$I$25),"Cam Phúc Nam",""),IF(OR(M783=phu!$I$26,M783=phu!$I$27,M783=phu!$I$28,M783=phu!$I$29,M783=phu!$I$30,M783=phu!$I$31),"Cam Phú",""),IF(OR(M783=phu!$I$32,M783=phu!$I$33,M783=phu!$I$34,M783=phu!$I$35,M783=phu!$I$36,M783=phu!$I$37),"Cam Lộc",""),IF(OR(M783=phu!$I$38,M783=phu!$I$39,M783=phu!$I$40,M783=phu!$I$41,M783=phu!$I$42,M783=phu!$I$43,M783=phu!$I$44),"Cam Thuận",""),IF(OR(M783=phu!$I$45,M783=phu!$I$46,M783=phu!$I$47,M783=phu!$I$48,M783=phu!$I$49,M783=phu!$I$50,M783=phu!$I$51,M783=phu!$I$52,M783=phu!$I$53),"Cam Linh",""),IF(OR(M783=phu!$I$54,M783=phu!$I$55,M783=phu!$I$56,M783=phu!$I$57,M783=phu!$I$58,M783=phu!$I$59,M783=phu!$I$60,M783=phu!$I$61,M783=phu!$I$62),"Cam Lợi",""),IF(OR(M783=phu!$I$63,M783=phu!$I$64,M783=phu!$I$65,M783=phu!$I$66,M783=phu!$I$67,M783=phu!$I$68,M783=phu!$I$69,M783=phu!$I$70,M783=phu!$I$71),"Ba Ngòi",""),IF(OR(M783=phu!$I$72,M783=phu!$I$73,M783=phu!$I$74,M783=phu!$I$75,M783=phu!$I$76,M783=phu!$I$77,M783=phu!$I$78),"Cam Phước Đông",""),IF(OR(M783=phu!$I$79,M783=phu!$I$80,M783=phu!$I$81,M783=phu!$I$82,M783=phu!$I$83,M783=phu!$I$84),"Cam Thịnh Đông",""),IF(OR(M783=phu!$I$85,M783=phu!$I$86,M783=phu!$I$87,M783=phu!$I$88),"Cam Thịnh Tây",""),IF(OR(M783=phu!$I$89,M783=phu!$I$90),"Cam Lập",""),IF(OR(M783=phu!$I$91,M783=phu!$I$92,M783=phu!$I$93),"Cam Bình",""),IF(OR(M783=phu!$I$94,M783=phu!$I$95,M783=phu!$I$96,M783=phu!$I$97,M783=phu!$I$98,M783=phu!$I$99,M783=phu!$I$100),"Huyện khác",""),IF(OR(M783=phu!$I$101,M783=phu!$I$102),"Tỉnh khác",""))</f>
        <v/>
      </c>
      <c r="O783" s="814" t="str">
        <f t="shared" si="73"/>
        <v/>
      </c>
      <c r="P783" s="254"/>
      <c r="Q783" s="254"/>
      <c r="R783" s="254"/>
      <c r="S783" s="254"/>
      <c r="T783" s="254"/>
      <c r="U783" s="254"/>
      <c r="V783" s="254"/>
      <c r="W783" s="254"/>
      <c r="Y783" s="246" t="str">
        <f t="shared" si="74"/>
        <v/>
      </c>
      <c r="Z783" s="247" t="str">
        <f t="shared" si="72"/>
        <v/>
      </c>
      <c r="AA783" s="246" t="str">
        <f t="shared" si="75"/>
        <v/>
      </c>
    </row>
    <row r="784" spans="1:27" ht="18" customHeight="1" x14ac:dyDescent="0.25">
      <c r="A784" s="248" t="str">
        <f t="shared" si="76"/>
        <v/>
      </c>
      <c r="B784" s="249" t="str">
        <f t="shared" si="77"/>
        <v/>
      </c>
      <c r="C784" s="250"/>
      <c r="D784" s="251"/>
      <c r="E784" s="241"/>
      <c r="F784" s="252"/>
      <c r="G784" s="252"/>
      <c r="H784" s="253"/>
      <c r="I784" s="250"/>
      <c r="J784" s="250"/>
      <c r="K784" s="270"/>
      <c r="L784" s="250"/>
      <c r="M784" s="250"/>
      <c r="N784" s="553" t="str">
        <f>CONCATENATE(IF(OR(M784=phu!$I$1,M784=phu!$I$2,M784=phu!$I$3),"Cam Thành Nam",""),IF(OR(M784=phu!$I$4,M784=phu!$I$5,M784=phu!$I$6,M784=phu!$I$7,M784=phu!$I$8,M784=phu!$I$9,M784=phu!$I$10,M784=phu!$I$11,M784=phu!$I$12,M784=phu!$I$13,M784=phu!$I$14),"Cam Nghĩa",""),IF(OR(M784=phu!$I$15,M784=phu!$I$16,M784=phu!$I$17,M784=phu!$I$18,M784=phu!$I$19,M784=phu!$I$20,M784=phu!$I$21),"Cam Phúc Bắc",""),IF(OR(M784=phu!$I$22,M784=phu!$I$23,M784=phu!$I$24,M784=phu!$I$25),"Cam Phúc Nam",""),IF(OR(M784=phu!$I$26,M784=phu!$I$27,M784=phu!$I$28,M784=phu!$I$29,M784=phu!$I$30,M784=phu!$I$31),"Cam Phú",""),IF(OR(M784=phu!$I$32,M784=phu!$I$33,M784=phu!$I$34,M784=phu!$I$35,M784=phu!$I$36,M784=phu!$I$37),"Cam Lộc",""),IF(OR(M784=phu!$I$38,M784=phu!$I$39,M784=phu!$I$40,M784=phu!$I$41,M784=phu!$I$42,M784=phu!$I$43,M784=phu!$I$44),"Cam Thuận",""),IF(OR(M784=phu!$I$45,M784=phu!$I$46,M784=phu!$I$47,M784=phu!$I$48,M784=phu!$I$49,M784=phu!$I$50,M784=phu!$I$51,M784=phu!$I$52,M784=phu!$I$53),"Cam Linh",""),IF(OR(M784=phu!$I$54,M784=phu!$I$55,M784=phu!$I$56,M784=phu!$I$57,M784=phu!$I$58,M784=phu!$I$59,M784=phu!$I$60,M784=phu!$I$61,M784=phu!$I$62),"Cam Lợi",""),IF(OR(M784=phu!$I$63,M784=phu!$I$64,M784=phu!$I$65,M784=phu!$I$66,M784=phu!$I$67,M784=phu!$I$68,M784=phu!$I$69,M784=phu!$I$70,M784=phu!$I$71),"Ba Ngòi",""),IF(OR(M784=phu!$I$72,M784=phu!$I$73,M784=phu!$I$74,M784=phu!$I$75,M784=phu!$I$76,M784=phu!$I$77,M784=phu!$I$78),"Cam Phước Đông",""),IF(OR(M784=phu!$I$79,M784=phu!$I$80,M784=phu!$I$81,M784=phu!$I$82,M784=phu!$I$83,M784=phu!$I$84),"Cam Thịnh Đông",""),IF(OR(M784=phu!$I$85,M784=phu!$I$86,M784=phu!$I$87,M784=phu!$I$88),"Cam Thịnh Tây",""),IF(OR(M784=phu!$I$89,M784=phu!$I$90),"Cam Lập",""),IF(OR(M784=phu!$I$91,M784=phu!$I$92,M784=phu!$I$93),"Cam Bình",""),IF(OR(M784=phu!$I$94,M784=phu!$I$95,M784=phu!$I$96,M784=phu!$I$97,M784=phu!$I$98,M784=phu!$I$99,M784=phu!$I$100),"Huyện khác",""),IF(OR(M784=phu!$I$101,M784=phu!$I$102),"Tỉnh khác",""))</f>
        <v/>
      </c>
      <c r="O784" s="814" t="str">
        <f t="shared" si="73"/>
        <v/>
      </c>
      <c r="P784" s="254"/>
      <c r="Q784" s="254"/>
      <c r="R784" s="254"/>
      <c r="S784" s="254"/>
      <c r="T784" s="254"/>
      <c r="U784" s="254"/>
      <c r="V784" s="254"/>
      <c r="W784" s="254"/>
      <c r="Y784" s="246" t="str">
        <f t="shared" si="74"/>
        <v/>
      </c>
      <c r="Z784" s="247" t="str">
        <f t="shared" si="72"/>
        <v/>
      </c>
      <c r="AA784" s="246" t="str">
        <f t="shared" si="75"/>
        <v/>
      </c>
    </row>
    <row r="785" spans="1:27" ht="18" customHeight="1" x14ac:dyDescent="0.25">
      <c r="A785" s="248" t="str">
        <f t="shared" si="76"/>
        <v/>
      </c>
      <c r="B785" s="249" t="str">
        <f t="shared" si="77"/>
        <v/>
      </c>
      <c r="C785" s="250"/>
      <c r="D785" s="251"/>
      <c r="E785" s="241"/>
      <c r="F785" s="252"/>
      <c r="G785" s="252"/>
      <c r="H785" s="253"/>
      <c r="I785" s="250"/>
      <c r="J785" s="250"/>
      <c r="K785" s="270"/>
      <c r="L785" s="250"/>
      <c r="M785" s="250"/>
      <c r="N785" s="553" t="str">
        <f>CONCATENATE(IF(OR(M785=phu!$I$1,M785=phu!$I$2,M785=phu!$I$3),"Cam Thành Nam",""),IF(OR(M785=phu!$I$4,M785=phu!$I$5,M785=phu!$I$6,M785=phu!$I$7,M785=phu!$I$8,M785=phu!$I$9,M785=phu!$I$10,M785=phu!$I$11,M785=phu!$I$12,M785=phu!$I$13,M785=phu!$I$14),"Cam Nghĩa",""),IF(OR(M785=phu!$I$15,M785=phu!$I$16,M785=phu!$I$17,M785=phu!$I$18,M785=phu!$I$19,M785=phu!$I$20,M785=phu!$I$21),"Cam Phúc Bắc",""),IF(OR(M785=phu!$I$22,M785=phu!$I$23,M785=phu!$I$24,M785=phu!$I$25),"Cam Phúc Nam",""),IF(OR(M785=phu!$I$26,M785=phu!$I$27,M785=phu!$I$28,M785=phu!$I$29,M785=phu!$I$30,M785=phu!$I$31),"Cam Phú",""),IF(OR(M785=phu!$I$32,M785=phu!$I$33,M785=phu!$I$34,M785=phu!$I$35,M785=phu!$I$36,M785=phu!$I$37),"Cam Lộc",""),IF(OR(M785=phu!$I$38,M785=phu!$I$39,M785=phu!$I$40,M785=phu!$I$41,M785=phu!$I$42,M785=phu!$I$43,M785=phu!$I$44),"Cam Thuận",""),IF(OR(M785=phu!$I$45,M785=phu!$I$46,M785=phu!$I$47,M785=phu!$I$48,M785=phu!$I$49,M785=phu!$I$50,M785=phu!$I$51,M785=phu!$I$52,M785=phu!$I$53),"Cam Linh",""),IF(OR(M785=phu!$I$54,M785=phu!$I$55,M785=phu!$I$56,M785=phu!$I$57,M785=phu!$I$58,M785=phu!$I$59,M785=phu!$I$60,M785=phu!$I$61,M785=phu!$I$62),"Cam Lợi",""),IF(OR(M785=phu!$I$63,M785=phu!$I$64,M785=phu!$I$65,M785=phu!$I$66,M785=phu!$I$67,M785=phu!$I$68,M785=phu!$I$69,M785=phu!$I$70,M785=phu!$I$71),"Ba Ngòi",""),IF(OR(M785=phu!$I$72,M785=phu!$I$73,M785=phu!$I$74,M785=phu!$I$75,M785=phu!$I$76,M785=phu!$I$77,M785=phu!$I$78),"Cam Phước Đông",""),IF(OR(M785=phu!$I$79,M785=phu!$I$80,M785=phu!$I$81,M785=phu!$I$82,M785=phu!$I$83,M785=phu!$I$84),"Cam Thịnh Đông",""),IF(OR(M785=phu!$I$85,M785=phu!$I$86,M785=phu!$I$87,M785=phu!$I$88),"Cam Thịnh Tây",""),IF(OR(M785=phu!$I$89,M785=phu!$I$90),"Cam Lập",""),IF(OR(M785=phu!$I$91,M785=phu!$I$92,M785=phu!$I$93),"Cam Bình",""),IF(OR(M785=phu!$I$94,M785=phu!$I$95,M785=phu!$I$96,M785=phu!$I$97,M785=phu!$I$98,M785=phu!$I$99,M785=phu!$I$100),"Huyện khác",""),IF(OR(M785=phu!$I$101,M785=phu!$I$102),"Tỉnh khác",""))</f>
        <v/>
      </c>
      <c r="O785" s="814" t="str">
        <f t="shared" si="73"/>
        <v/>
      </c>
      <c r="P785" s="254"/>
      <c r="Q785" s="254"/>
      <c r="R785" s="254"/>
      <c r="S785" s="254"/>
      <c r="T785" s="254"/>
      <c r="U785" s="254"/>
      <c r="V785" s="254"/>
      <c r="W785" s="254"/>
      <c r="Y785" s="246" t="str">
        <f t="shared" si="74"/>
        <v/>
      </c>
      <c r="Z785" s="247" t="str">
        <f t="shared" si="72"/>
        <v/>
      </c>
      <c r="AA785" s="246" t="str">
        <f t="shared" si="75"/>
        <v/>
      </c>
    </row>
    <row r="786" spans="1:27" x14ac:dyDescent="0.25">
      <c r="A786" s="248" t="str">
        <f t="shared" si="76"/>
        <v/>
      </c>
      <c r="B786" s="249" t="str">
        <f t="shared" si="77"/>
        <v/>
      </c>
      <c r="C786" s="250"/>
      <c r="D786" s="251"/>
      <c r="E786" s="241"/>
      <c r="F786" s="252"/>
      <c r="G786" s="252"/>
      <c r="H786" s="253"/>
      <c r="I786" s="250"/>
      <c r="J786" s="250"/>
      <c r="K786" s="270"/>
      <c r="L786" s="250"/>
      <c r="M786" s="250"/>
      <c r="N786" s="553" t="str">
        <f>CONCATENATE(IF(OR(M786=phu!$I$1,M786=phu!$I$2,M786=phu!$I$3),"Cam Thành Nam",""),IF(OR(M786=phu!$I$4,M786=phu!$I$5,M786=phu!$I$6,M786=phu!$I$7,M786=phu!$I$8,M786=phu!$I$9,M786=phu!$I$10,M786=phu!$I$11,M786=phu!$I$12,M786=phu!$I$13,M786=phu!$I$14),"Cam Nghĩa",""),IF(OR(M786=phu!$I$15,M786=phu!$I$16,M786=phu!$I$17,M786=phu!$I$18,M786=phu!$I$19,M786=phu!$I$20,M786=phu!$I$21),"Cam Phúc Bắc",""),IF(OR(M786=phu!$I$22,M786=phu!$I$23,M786=phu!$I$24,M786=phu!$I$25),"Cam Phúc Nam",""),IF(OR(M786=phu!$I$26,M786=phu!$I$27,M786=phu!$I$28,M786=phu!$I$29,M786=phu!$I$30,M786=phu!$I$31),"Cam Phú",""),IF(OR(M786=phu!$I$32,M786=phu!$I$33,M786=phu!$I$34,M786=phu!$I$35,M786=phu!$I$36,M786=phu!$I$37),"Cam Lộc",""),IF(OR(M786=phu!$I$38,M786=phu!$I$39,M786=phu!$I$40,M786=phu!$I$41,M786=phu!$I$42,M786=phu!$I$43,M786=phu!$I$44),"Cam Thuận",""),IF(OR(M786=phu!$I$45,M786=phu!$I$46,M786=phu!$I$47,M786=phu!$I$48,M786=phu!$I$49,M786=phu!$I$50,M786=phu!$I$51,M786=phu!$I$52,M786=phu!$I$53),"Cam Linh",""),IF(OR(M786=phu!$I$54,M786=phu!$I$55,M786=phu!$I$56,M786=phu!$I$57,M786=phu!$I$58,M786=phu!$I$59,M786=phu!$I$60,M786=phu!$I$61,M786=phu!$I$62),"Cam Lợi",""),IF(OR(M786=phu!$I$63,M786=phu!$I$64,M786=phu!$I$65,M786=phu!$I$66,M786=phu!$I$67,M786=phu!$I$68,M786=phu!$I$69,M786=phu!$I$70,M786=phu!$I$71),"Ba Ngòi",""),IF(OR(M786=phu!$I$72,M786=phu!$I$73,M786=phu!$I$74,M786=phu!$I$75,M786=phu!$I$76,M786=phu!$I$77,M786=phu!$I$78),"Cam Phước Đông",""),IF(OR(M786=phu!$I$79,M786=phu!$I$80,M786=phu!$I$81,M786=phu!$I$82,M786=phu!$I$83,M786=phu!$I$84),"Cam Thịnh Đông",""),IF(OR(M786=phu!$I$85,M786=phu!$I$86,M786=phu!$I$87,M786=phu!$I$88),"Cam Thịnh Tây",""),IF(OR(M786=phu!$I$89,M786=phu!$I$90),"Cam Lập",""),IF(OR(M786=phu!$I$91,M786=phu!$I$92,M786=phu!$I$93),"Cam Bình",""),IF(OR(M786=phu!$I$94,M786=phu!$I$95,M786=phu!$I$96,M786=phu!$I$97,M786=phu!$I$98,M786=phu!$I$99,M786=phu!$I$100),"Huyện khác",""),IF(OR(M786=phu!$I$101,M786=phu!$I$102),"Tỉnh khác",""))</f>
        <v/>
      </c>
      <c r="O786" s="814" t="str">
        <f t="shared" si="73"/>
        <v/>
      </c>
      <c r="P786" s="254"/>
      <c r="Q786" s="254"/>
      <c r="R786" s="254"/>
      <c r="S786" s="254"/>
      <c r="T786" s="254"/>
      <c r="U786" s="254"/>
      <c r="V786" s="254"/>
      <c r="W786" s="254"/>
      <c r="Y786" s="246" t="str">
        <f t="shared" si="74"/>
        <v/>
      </c>
      <c r="Z786" s="247" t="str">
        <f t="shared" si="72"/>
        <v/>
      </c>
      <c r="AA786" s="246" t="str">
        <f t="shared" si="75"/>
        <v/>
      </c>
    </row>
    <row r="787" spans="1:27" x14ac:dyDescent="0.25">
      <c r="A787" s="248" t="str">
        <f t="shared" si="76"/>
        <v/>
      </c>
      <c r="B787" s="249" t="str">
        <f t="shared" si="77"/>
        <v/>
      </c>
      <c r="C787" s="250"/>
      <c r="D787" s="251"/>
      <c r="E787" s="241"/>
      <c r="F787" s="252"/>
      <c r="G787" s="252"/>
      <c r="H787" s="253"/>
      <c r="I787" s="250"/>
      <c r="J787" s="250"/>
      <c r="K787" s="270"/>
      <c r="L787" s="250"/>
      <c r="M787" s="250"/>
      <c r="N787" s="553" t="str">
        <f>CONCATENATE(IF(OR(M787=phu!$I$1,M787=phu!$I$2,M787=phu!$I$3),"Cam Thành Nam",""),IF(OR(M787=phu!$I$4,M787=phu!$I$5,M787=phu!$I$6,M787=phu!$I$7,M787=phu!$I$8,M787=phu!$I$9,M787=phu!$I$10,M787=phu!$I$11,M787=phu!$I$12,M787=phu!$I$13,M787=phu!$I$14),"Cam Nghĩa",""),IF(OR(M787=phu!$I$15,M787=phu!$I$16,M787=phu!$I$17,M787=phu!$I$18,M787=phu!$I$19,M787=phu!$I$20,M787=phu!$I$21),"Cam Phúc Bắc",""),IF(OR(M787=phu!$I$22,M787=phu!$I$23,M787=phu!$I$24,M787=phu!$I$25),"Cam Phúc Nam",""),IF(OR(M787=phu!$I$26,M787=phu!$I$27,M787=phu!$I$28,M787=phu!$I$29,M787=phu!$I$30,M787=phu!$I$31),"Cam Phú",""),IF(OR(M787=phu!$I$32,M787=phu!$I$33,M787=phu!$I$34,M787=phu!$I$35,M787=phu!$I$36,M787=phu!$I$37),"Cam Lộc",""),IF(OR(M787=phu!$I$38,M787=phu!$I$39,M787=phu!$I$40,M787=phu!$I$41,M787=phu!$I$42,M787=phu!$I$43,M787=phu!$I$44),"Cam Thuận",""),IF(OR(M787=phu!$I$45,M787=phu!$I$46,M787=phu!$I$47,M787=phu!$I$48,M787=phu!$I$49,M787=phu!$I$50,M787=phu!$I$51,M787=phu!$I$52,M787=phu!$I$53),"Cam Linh",""),IF(OR(M787=phu!$I$54,M787=phu!$I$55,M787=phu!$I$56,M787=phu!$I$57,M787=phu!$I$58,M787=phu!$I$59,M787=phu!$I$60,M787=phu!$I$61,M787=phu!$I$62),"Cam Lợi",""),IF(OR(M787=phu!$I$63,M787=phu!$I$64,M787=phu!$I$65,M787=phu!$I$66,M787=phu!$I$67,M787=phu!$I$68,M787=phu!$I$69,M787=phu!$I$70,M787=phu!$I$71),"Ba Ngòi",""),IF(OR(M787=phu!$I$72,M787=phu!$I$73,M787=phu!$I$74,M787=phu!$I$75,M787=phu!$I$76,M787=phu!$I$77,M787=phu!$I$78),"Cam Phước Đông",""),IF(OR(M787=phu!$I$79,M787=phu!$I$80,M787=phu!$I$81,M787=phu!$I$82,M787=phu!$I$83,M787=phu!$I$84),"Cam Thịnh Đông",""),IF(OR(M787=phu!$I$85,M787=phu!$I$86,M787=phu!$I$87,M787=phu!$I$88),"Cam Thịnh Tây",""),IF(OR(M787=phu!$I$89,M787=phu!$I$90),"Cam Lập",""),IF(OR(M787=phu!$I$91,M787=phu!$I$92,M787=phu!$I$93),"Cam Bình",""),IF(OR(M787=phu!$I$94,M787=phu!$I$95,M787=phu!$I$96,M787=phu!$I$97,M787=phu!$I$98,M787=phu!$I$99,M787=phu!$I$100),"Huyện khác",""),IF(OR(M787=phu!$I$101,M787=phu!$I$102),"Tỉnh khác",""))</f>
        <v/>
      </c>
      <c r="O787" s="814" t="str">
        <f t="shared" si="73"/>
        <v/>
      </c>
      <c r="P787" s="254"/>
      <c r="Q787" s="254"/>
      <c r="R787" s="254"/>
      <c r="S787" s="254"/>
      <c r="T787" s="254"/>
      <c r="U787" s="254"/>
      <c r="V787" s="254"/>
      <c r="W787" s="254"/>
      <c r="Y787" s="246" t="str">
        <f t="shared" si="74"/>
        <v/>
      </c>
      <c r="Z787" s="247" t="str">
        <f t="shared" si="72"/>
        <v/>
      </c>
      <c r="AA787" s="246" t="str">
        <f t="shared" si="75"/>
        <v/>
      </c>
    </row>
    <row r="788" spans="1:27" x14ac:dyDescent="0.25">
      <c r="A788" s="248" t="str">
        <f t="shared" si="76"/>
        <v/>
      </c>
      <c r="B788" s="249" t="str">
        <f t="shared" si="77"/>
        <v/>
      </c>
      <c r="C788" s="250"/>
      <c r="D788" s="251"/>
      <c r="E788" s="241"/>
      <c r="F788" s="252"/>
      <c r="G788" s="252"/>
      <c r="H788" s="253"/>
      <c r="I788" s="250"/>
      <c r="J788" s="250"/>
      <c r="K788" s="270"/>
      <c r="L788" s="250"/>
      <c r="M788" s="250"/>
      <c r="N788" s="553" t="str">
        <f>CONCATENATE(IF(OR(M788=phu!$I$1,M788=phu!$I$2,M788=phu!$I$3),"Cam Thành Nam",""),IF(OR(M788=phu!$I$4,M788=phu!$I$5,M788=phu!$I$6,M788=phu!$I$7,M788=phu!$I$8,M788=phu!$I$9,M788=phu!$I$10,M788=phu!$I$11,M788=phu!$I$12,M788=phu!$I$13,M788=phu!$I$14),"Cam Nghĩa",""),IF(OR(M788=phu!$I$15,M788=phu!$I$16,M788=phu!$I$17,M788=phu!$I$18,M788=phu!$I$19,M788=phu!$I$20,M788=phu!$I$21),"Cam Phúc Bắc",""),IF(OR(M788=phu!$I$22,M788=phu!$I$23,M788=phu!$I$24,M788=phu!$I$25),"Cam Phúc Nam",""),IF(OR(M788=phu!$I$26,M788=phu!$I$27,M788=phu!$I$28,M788=phu!$I$29,M788=phu!$I$30,M788=phu!$I$31),"Cam Phú",""),IF(OR(M788=phu!$I$32,M788=phu!$I$33,M788=phu!$I$34,M788=phu!$I$35,M788=phu!$I$36,M788=phu!$I$37),"Cam Lộc",""),IF(OR(M788=phu!$I$38,M788=phu!$I$39,M788=phu!$I$40,M788=phu!$I$41,M788=phu!$I$42,M788=phu!$I$43,M788=phu!$I$44),"Cam Thuận",""),IF(OR(M788=phu!$I$45,M788=phu!$I$46,M788=phu!$I$47,M788=phu!$I$48,M788=phu!$I$49,M788=phu!$I$50,M788=phu!$I$51,M788=phu!$I$52,M788=phu!$I$53),"Cam Linh",""),IF(OR(M788=phu!$I$54,M788=phu!$I$55,M788=phu!$I$56,M788=phu!$I$57,M788=phu!$I$58,M788=phu!$I$59,M788=phu!$I$60,M788=phu!$I$61,M788=phu!$I$62),"Cam Lợi",""),IF(OR(M788=phu!$I$63,M788=phu!$I$64,M788=phu!$I$65,M788=phu!$I$66,M788=phu!$I$67,M788=phu!$I$68,M788=phu!$I$69,M788=phu!$I$70,M788=phu!$I$71),"Ba Ngòi",""),IF(OR(M788=phu!$I$72,M788=phu!$I$73,M788=phu!$I$74,M788=phu!$I$75,M788=phu!$I$76,M788=phu!$I$77,M788=phu!$I$78),"Cam Phước Đông",""),IF(OR(M788=phu!$I$79,M788=phu!$I$80,M788=phu!$I$81,M788=phu!$I$82,M788=phu!$I$83,M788=phu!$I$84),"Cam Thịnh Đông",""),IF(OR(M788=phu!$I$85,M788=phu!$I$86,M788=phu!$I$87,M788=phu!$I$88),"Cam Thịnh Tây",""),IF(OR(M788=phu!$I$89,M788=phu!$I$90),"Cam Lập",""),IF(OR(M788=phu!$I$91,M788=phu!$I$92,M788=phu!$I$93),"Cam Bình",""),IF(OR(M788=phu!$I$94,M788=phu!$I$95,M788=phu!$I$96,M788=phu!$I$97,M788=phu!$I$98,M788=phu!$I$99,M788=phu!$I$100),"Huyện khác",""),IF(OR(M788=phu!$I$101,M788=phu!$I$102),"Tỉnh khác",""))</f>
        <v/>
      </c>
      <c r="O788" s="814" t="str">
        <f t="shared" si="73"/>
        <v/>
      </c>
      <c r="P788" s="254"/>
      <c r="Q788" s="254"/>
      <c r="R788" s="254"/>
      <c r="S788" s="254"/>
      <c r="T788" s="254"/>
      <c r="U788" s="254"/>
      <c r="V788" s="254"/>
      <c r="W788" s="254"/>
      <c r="Y788" s="246" t="str">
        <f t="shared" si="74"/>
        <v/>
      </c>
      <c r="Z788" s="247" t="str">
        <f t="shared" si="72"/>
        <v/>
      </c>
      <c r="AA788" s="246" t="str">
        <f t="shared" si="75"/>
        <v/>
      </c>
    </row>
    <row r="789" spans="1:27" x14ac:dyDescent="0.25">
      <c r="A789" s="248" t="str">
        <f t="shared" si="76"/>
        <v/>
      </c>
      <c r="B789" s="249" t="str">
        <f t="shared" si="77"/>
        <v/>
      </c>
      <c r="C789" s="250"/>
      <c r="D789" s="251"/>
      <c r="E789" s="241"/>
      <c r="F789" s="252"/>
      <c r="G789" s="252"/>
      <c r="H789" s="253"/>
      <c r="I789" s="250"/>
      <c r="J789" s="250"/>
      <c r="K789" s="270"/>
      <c r="L789" s="250"/>
      <c r="M789" s="250"/>
      <c r="N789" s="553" t="str">
        <f>CONCATENATE(IF(OR(M789=phu!$I$1,M789=phu!$I$2,M789=phu!$I$3),"Cam Thành Nam",""),IF(OR(M789=phu!$I$4,M789=phu!$I$5,M789=phu!$I$6,M789=phu!$I$7,M789=phu!$I$8,M789=phu!$I$9,M789=phu!$I$10,M789=phu!$I$11,M789=phu!$I$12,M789=phu!$I$13,M789=phu!$I$14),"Cam Nghĩa",""),IF(OR(M789=phu!$I$15,M789=phu!$I$16,M789=phu!$I$17,M789=phu!$I$18,M789=phu!$I$19,M789=phu!$I$20,M789=phu!$I$21),"Cam Phúc Bắc",""),IF(OR(M789=phu!$I$22,M789=phu!$I$23,M789=phu!$I$24,M789=phu!$I$25),"Cam Phúc Nam",""),IF(OR(M789=phu!$I$26,M789=phu!$I$27,M789=phu!$I$28,M789=phu!$I$29,M789=phu!$I$30,M789=phu!$I$31),"Cam Phú",""),IF(OR(M789=phu!$I$32,M789=phu!$I$33,M789=phu!$I$34,M789=phu!$I$35,M789=phu!$I$36,M789=phu!$I$37),"Cam Lộc",""),IF(OR(M789=phu!$I$38,M789=phu!$I$39,M789=phu!$I$40,M789=phu!$I$41,M789=phu!$I$42,M789=phu!$I$43,M789=phu!$I$44),"Cam Thuận",""),IF(OR(M789=phu!$I$45,M789=phu!$I$46,M789=phu!$I$47,M789=phu!$I$48,M789=phu!$I$49,M789=phu!$I$50,M789=phu!$I$51,M789=phu!$I$52,M789=phu!$I$53),"Cam Linh",""),IF(OR(M789=phu!$I$54,M789=phu!$I$55,M789=phu!$I$56,M789=phu!$I$57,M789=phu!$I$58,M789=phu!$I$59,M789=phu!$I$60,M789=phu!$I$61,M789=phu!$I$62),"Cam Lợi",""),IF(OR(M789=phu!$I$63,M789=phu!$I$64,M789=phu!$I$65,M789=phu!$I$66,M789=phu!$I$67,M789=phu!$I$68,M789=phu!$I$69,M789=phu!$I$70,M789=phu!$I$71),"Ba Ngòi",""),IF(OR(M789=phu!$I$72,M789=phu!$I$73,M789=phu!$I$74,M789=phu!$I$75,M789=phu!$I$76,M789=phu!$I$77,M789=phu!$I$78),"Cam Phước Đông",""),IF(OR(M789=phu!$I$79,M789=phu!$I$80,M789=phu!$I$81,M789=phu!$I$82,M789=phu!$I$83,M789=phu!$I$84),"Cam Thịnh Đông",""),IF(OR(M789=phu!$I$85,M789=phu!$I$86,M789=phu!$I$87,M789=phu!$I$88),"Cam Thịnh Tây",""),IF(OR(M789=phu!$I$89,M789=phu!$I$90),"Cam Lập",""),IF(OR(M789=phu!$I$91,M789=phu!$I$92,M789=phu!$I$93),"Cam Bình",""),IF(OR(M789=phu!$I$94,M789=phu!$I$95,M789=phu!$I$96,M789=phu!$I$97,M789=phu!$I$98,M789=phu!$I$99,M789=phu!$I$100),"Huyện khác",""),IF(OR(M789=phu!$I$101,M789=phu!$I$102),"Tỉnh khác",""))</f>
        <v/>
      </c>
      <c r="O789" s="814" t="str">
        <f t="shared" si="73"/>
        <v/>
      </c>
      <c r="P789" s="254"/>
      <c r="Q789" s="254"/>
      <c r="R789" s="254"/>
      <c r="S789" s="254"/>
      <c r="T789" s="254"/>
      <c r="U789" s="254"/>
      <c r="V789" s="254"/>
      <c r="W789" s="254"/>
      <c r="Y789" s="246" t="str">
        <f t="shared" si="74"/>
        <v/>
      </c>
      <c r="Z789" s="247" t="str">
        <f t="shared" si="72"/>
        <v/>
      </c>
      <c r="AA789" s="246" t="str">
        <f t="shared" si="75"/>
        <v/>
      </c>
    </row>
    <row r="790" spans="1:27" x14ac:dyDescent="0.25">
      <c r="A790" s="248" t="str">
        <f t="shared" si="76"/>
        <v/>
      </c>
      <c r="B790" s="249" t="str">
        <f t="shared" si="77"/>
        <v/>
      </c>
      <c r="C790" s="250"/>
      <c r="D790" s="251"/>
      <c r="E790" s="241"/>
      <c r="F790" s="252"/>
      <c r="G790" s="252"/>
      <c r="H790" s="253"/>
      <c r="I790" s="250"/>
      <c r="J790" s="250"/>
      <c r="K790" s="270"/>
      <c r="L790" s="250"/>
      <c r="M790" s="250"/>
      <c r="N790" s="553" t="str">
        <f>CONCATENATE(IF(OR(M790=phu!$I$1,M790=phu!$I$2,M790=phu!$I$3),"Cam Thành Nam",""),IF(OR(M790=phu!$I$4,M790=phu!$I$5,M790=phu!$I$6,M790=phu!$I$7,M790=phu!$I$8,M790=phu!$I$9,M790=phu!$I$10,M790=phu!$I$11,M790=phu!$I$12,M790=phu!$I$13,M790=phu!$I$14),"Cam Nghĩa",""),IF(OR(M790=phu!$I$15,M790=phu!$I$16,M790=phu!$I$17,M790=phu!$I$18,M790=phu!$I$19,M790=phu!$I$20,M790=phu!$I$21),"Cam Phúc Bắc",""),IF(OR(M790=phu!$I$22,M790=phu!$I$23,M790=phu!$I$24,M790=phu!$I$25),"Cam Phúc Nam",""),IF(OR(M790=phu!$I$26,M790=phu!$I$27,M790=phu!$I$28,M790=phu!$I$29,M790=phu!$I$30,M790=phu!$I$31),"Cam Phú",""),IF(OR(M790=phu!$I$32,M790=phu!$I$33,M790=phu!$I$34,M790=phu!$I$35,M790=phu!$I$36,M790=phu!$I$37),"Cam Lộc",""),IF(OR(M790=phu!$I$38,M790=phu!$I$39,M790=phu!$I$40,M790=phu!$I$41,M790=phu!$I$42,M790=phu!$I$43,M790=phu!$I$44),"Cam Thuận",""),IF(OR(M790=phu!$I$45,M790=phu!$I$46,M790=phu!$I$47,M790=phu!$I$48,M790=phu!$I$49,M790=phu!$I$50,M790=phu!$I$51,M790=phu!$I$52,M790=phu!$I$53),"Cam Linh",""),IF(OR(M790=phu!$I$54,M790=phu!$I$55,M790=phu!$I$56,M790=phu!$I$57,M790=phu!$I$58,M790=phu!$I$59,M790=phu!$I$60,M790=phu!$I$61,M790=phu!$I$62),"Cam Lợi",""),IF(OR(M790=phu!$I$63,M790=phu!$I$64,M790=phu!$I$65,M790=phu!$I$66,M790=phu!$I$67,M790=phu!$I$68,M790=phu!$I$69,M790=phu!$I$70,M790=phu!$I$71),"Ba Ngòi",""),IF(OR(M790=phu!$I$72,M790=phu!$I$73,M790=phu!$I$74,M790=phu!$I$75,M790=phu!$I$76,M790=phu!$I$77,M790=phu!$I$78),"Cam Phước Đông",""),IF(OR(M790=phu!$I$79,M790=phu!$I$80,M790=phu!$I$81,M790=phu!$I$82,M790=phu!$I$83,M790=phu!$I$84),"Cam Thịnh Đông",""),IF(OR(M790=phu!$I$85,M790=phu!$I$86,M790=phu!$I$87,M790=phu!$I$88),"Cam Thịnh Tây",""),IF(OR(M790=phu!$I$89,M790=phu!$I$90),"Cam Lập",""),IF(OR(M790=phu!$I$91,M790=phu!$I$92,M790=phu!$I$93),"Cam Bình",""),IF(OR(M790=phu!$I$94,M790=phu!$I$95,M790=phu!$I$96,M790=phu!$I$97,M790=phu!$I$98,M790=phu!$I$99,M790=phu!$I$100),"Huyện khác",""),IF(OR(M790=phu!$I$101,M790=phu!$I$102),"Tỉnh khác",""))</f>
        <v/>
      </c>
      <c r="O790" s="814" t="str">
        <f t="shared" si="73"/>
        <v/>
      </c>
      <c r="P790" s="254"/>
      <c r="Q790" s="254"/>
      <c r="R790" s="254"/>
      <c r="S790" s="254"/>
      <c r="T790" s="254"/>
      <c r="U790" s="254"/>
      <c r="V790" s="254"/>
      <c r="W790" s="254"/>
      <c r="Y790" s="246" t="str">
        <f t="shared" si="74"/>
        <v/>
      </c>
      <c r="Z790" s="247" t="str">
        <f t="shared" si="72"/>
        <v/>
      </c>
      <c r="AA790" s="246" t="str">
        <f t="shared" si="75"/>
        <v/>
      </c>
    </row>
    <row r="791" spans="1:27" x14ac:dyDescent="0.25">
      <c r="A791" s="248" t="str">
        <f t="shared" si="76"/>
        <v/>
      </c>
      <c r="B791" s="249" t="str">
        <f t="shared" si="77"/>
        <v/>
      </c>
      <c r="C791" s="250"/>
      <c r="D791" s="251"/>
      <c r="E791" s="241"/>
      <c r="F791" s="252"/>
      <c r="G791" s="252"/>
      <c r="H791" s="253"/>
      <c r="I791" s="250"/>
      <c r="J791" s="250"/>
      <c r="K791" s="270"/>
      <c r="L791" s="250"/>
      <c r="M791" s="250"/>
      <c r="N791" s="553" t="str">
        <f>CONCATENATE(IF(OR(M791=phu!$I$1,M791=phu!$I$2,M791=phu!$I$3),"Cam Thành Nam",""),IF(OR(M791=phu!$I$4,M791=phu!$I$5,M791=phu!$I$6,M791=phu!$I$7,M791=phu!$I$8,M791=phu!$I$9,M791=phu!$I$10,M791=phu!$I$11,M791=phu!$I$12,M791=phu!$I$13,M791=phu!$I$14),"Cam Nghĩa",""),IF(OR(M791=phu!$I$15,M791=phu!$I$16,M791=phu!$I$17,M791=phu!$I$18,M791=phu!$I$19,M791=phu!$I$20,M791=phu!$I$21),"Cam Phúc Bắc",""),IF(OR(M791=phu!$I$22,M791=phu!$I$23,M791=phu!$I$24,M791=phu!$I$25),"Cam Phúc Nam",""),IF(OR(M791=phu!$I$26,M791=phu!$I$27,M791=phu!$I$28,M791=phu!$I$29,M791=phu!$I$30,M791=phu!$I$31),"Cam Phú",""),IF(OR(M791=phu!$I$32,M791=phu!$I$33,M791=phu!$I$34,M791=phu!$I$35,M791=phu!$I$36,M791=phu!$I$37),"Cam Lộc",""),IF(OR(M791=phu!$I$38,M791=phu!$I$39,M791=phu!$I$40,M791=phu!$I$41,M791=phu!$I$42,M791=phu!$I$43,M791=phu!$I$44),"Cam Thuận",""),IF(OR(M791=phu!$I$45,M791=phu!$I$46,M791=phu!$I$47,M791=phu!$I$48,M791=phu!$I$49,M791=phu!$I$50,M791=phu!$I$51,M791=phu!$I$52,M791=phu!$I$53),"Cam Linh",""),IF(OR(M791=phu!$I$54,M791=phu!$I$55,M791=phu!$I$56,M791=phu!$I$57,M791=phu!$I$58,M791=phu!$I$59,M791=phu!$I$60,M791=phu!$I$61,M791=phu!$I$62),"Cam Lợi",""),IF(OR(M791=phu!$I$63,M791=phu!$I$64,M791=phu!$I$65,M791=phu!$I$66,M791=phu!$I$67,M791=phu!$I$68,M791=phu!$I$69,M791=phu!$I$70,M791=phu!$I$71),"Ba Ngòi",""),IF(OR(M791=phu!$I$72,M791=phu!$I$73,M791=phu!$I$74,M791=phu!$I$75,M791=phu!$I$76,M791=phu!$I$77,M791=phu!$I$78),"Cam Phước Đông",""),IF(OR(M791=phu!$I$79,M791=phu!$I$80,M791=phu!$I$81,M791=phu!$I$82,M791=phu!$I$83,M791=phu!$I$84),"Cam Thịnh Đông",""),IF(OR(M791=phu!$I$85,M791=phu!$I$86,M791=phu!$I$87,M791=phu!$I$88),"Cam Thịnh Tây",""),IF(OR(M791=phu!$I$89,M791=phu!$I$90),"Cam Lập",""),IF(OR(M791=phu!$I$91,M791=phu!$I$92,M791=phu!$I$93),"Cam Bình",""),IF(OR(M791=phu!$I$94,M791=phu!$I$95,M791=phu!$I$96,M791=phu!$I$97,M791=phu!$I$98,M791=phu!$I$99,M791=phu!$I$100),"Huyện khác",""),IF(OR(M791=phu!$I$101,M791=phu!$I$102),"Tỉnh khác",""))</f>
        <v/>
      </c>
      <c r="O791" s="814" t="str">
        <f t="shared" si="73"/>
        <v/>
      </c>
      <c r="P791" s="254"/>
      <c r="Q791" s="254"/>
      <c r="R791" s="254"/>
      <c r="S791" s="254"/>
      <c r="T791" s="254"/>
      <c r="U791" s="254"/>
      <c r="V791" s="254"/>
      <c r="W791" s="254"/>
      <c r="Y791" s="246" t="str">
        <f t="shared" si="74"/>
        <v/>
      </c>
      <c r="Z791" s="247" t="str">
        <f t="shared" si="72"/>
        <v/>
      </c>
      <c r="AA791" s="246" t="str">
        <f t="shared" si="75"/>
        <v/>
      </c>
    </row>
    <row r="792" spans="1:27" x14ac:dyDescent="0.25">
      <c r="A792" s="248" t="str">
        <f t="shared" si="76"/>
        <v/>
      </c>
      <c r="B792" s="249" t="str">
        <f t="shared" si="77"/>
        <v/>
      </c>
      <c r="C792" s="250"/>
      <c r="D792" s="251"/>
      <c r="E792" s="241"/>
      <c r="F792" s="252"/>
      <c r="G792" s="252"/>
      <c r="H792" s="253"/>
      <c r="I792" s="250"/>
      <c r="J792" s="250"/>
      <c r="K792" s="270"/>
      <c r="L792" s="250"/>
      <c r="M792" s="250"/>
      <c r="N792" s="553" t="str">
        <f>CONCATENATE(IF(OR(M792=phu!$I$1,M792=phu!$I$2,M792=phu!$I$3),"Cam Thành Nam",""),IF(OR(M792=phu!$I$4,M792=phu!$I$5,M792=phu!$I$6,M792=phu!$I$7,M792=phu!$I$8,M792=phu!$I$9,M792=phu!$I$10,M792=phu!$I$11,M792=phu!$I$12,M792=phu!$I$13,M792=phu!$I$14),"Cam Nghĩa",""),IF(OR(M792=phu!$I$15,M792=phu!$I$16,M792=phu!$I$17,M792=phu!$I$18,M792=phu!$I$19,M792=phu!$I$20,M792=phu!$I$21),"Cam Phúc Bắc",""),IF(OR(M792=phu!$I$22,M792=phu!$I$23,M792=phu!$I$24,M792=phu!$I$25),"Cam Phúc Nam",""),IF(OR(M792=phu!$I$26,M792=phu!$I$27,M792=phu!$I$28,M792=phu!$I$29,M792=phu!$I$30,M792=phu!$I$31),"Cam Phú",""),IF(OR(M792=phu!$I$32,M792=phu!$I$33,M792=phu!$I$34,M792=phu!$I$35,M792=phu!$I$36,M792=phu!$I$37),"Cam Lộc",""),IF(OR(M792=phu!$I$38,M792=phu!$I$39,M792=phu!$I$40,M792=phu!$I$41,M792=phu!$I$42,M792=phu!$I$43,M792=phu!$I$44),"Cam Thuận",""),IF(OR(M792=phu!$I$45,M792=phu!$I$46,M792=phu!$I$47,M792=phu!$I$48,M792=phu!$I$49,M792=phu!$I$50,M792=phu!$I$51,M792=phu!$I$52,M792=phu!$I$53),"Cam Linh",""),IF(OR(M792=phu!$I$54,M792=phu!$I$55,M792=phu!$I$56,M792=phu!$I$57,M792=phu!$I$58,M792=phu!$I$59,M792=phu!$I$60,M792=phu!$I$61,M792=phu!$I$62),"Cam Lợi",""),IF(OR(M792=phu!$I$63,M792=phu!$I$64,M792=phu!$I$65,M792=phu!$I$66,M792=phu!$I$67,M792=phu!$I$68,M792=phu!$I$69,M792=phu!$I$70,M792=phu!$I$71),"Ba Ngòi",""),IF(OR(M792=phu!$I$72,M792=phu!$I$73,M792=phu!$I$74,M792=phu!$I$75,M792=phu!$I$76,M792=phu!$I$77,M792=phu!$I$78),"Cam Phước Đông",""),IF(OR(M792=phu!$I$79,M792=phu!$I$80,M792=phu!$I$81,M792=phu!$I$82,M792=phu!$I$83,M792=phu!$I$84),"Cam Thịnh Đông",""),IF(OR(M792=phu!$I$85,M792=phu!$I$86,M792=phu!$I$87,M792=phu!$I$88),"Cam Thịnh Tây",""),IF(OR(M792=phu!$I$89,M792=phu!$I$90),"Cam Lập",""),IF(OR(M792=phu!$I$91,M792=phu!$I$92,M792=phu!$I$93),"Cam Bình",""),IF(OR(M792=phu!$I$94,M792=phu!$I$95,M792=phu!$I$96,M792=phu!$I$97,M792=phu!$I$98,M792=phu!$I$99,M792=phu!$I$100),"Huyện khác",""),IF(OR(M792=phu!$I$101,M792=phu!$I$102),"Tỉnh khác",""))</f>
        <v/>
      </c>
      <c r="O792" s="814" t="str">
        <f t="shared" si="73"/>
        <v/>
      </c>
      <c r="P792" s="254"/>
      <c r="Q792" s="254"/>
      <c r="R792" s="254"/>
      <c r="S792" s="254"/>
      <c r="T792" s="254"/>
      <c r="U792" s="254"/>
      <c r="V792" s="254"/>
      <c r="W792" s="254"/>
      <c r="Y792" s="246" t="str">
        <f t="shared" si="74"/>
        <v/>
      </c>
      <c r="Z792" s="247" t="str">
        <f t="shared" si="72"/>
        <v/>
      </c>
      <c r="AA792" s="246" t="str">
        <f t="shared" si="75"/>
        <v/>
      </c>
    </row>
    <row r="793" spans="1:27" x14ac:dyDescent="0.25">
      <c r="A793" s="248" t="str">
        <f t="shared" si="76"/>
        <v/>
      </c>
      <c r="B793" s="249" t="str">
        <f t="shared" si="77"/>
        <v/>
      </c>
      <c r="C793" s="250"/>
      <c r="D793" s="251"/>
      <c r="E793" s="241"/>
      <c r="F793" s="252"/>
      <c r="G793" s="252"/>
      <c r="H793" s="253"/>
      <c r="I793" s="250"/>
      <c r="J793" s="250"/>
      <c r="K793" s="270"/>
      <c r="L793" s="250"/>
      <c r="M793" s="250"/>
      <c r="N793" s="553" t="str">
        <f>CONCATENATE(IF(OR(M793=phu!$I$1,M793=phu!$I$2,M793=phu!$I$3),"Cam Thành Nam",""),IF(OR(M793=phu!$I$4,M793=phu!$I$5,M793=phu!$I$6,M793=phu!$I$7,M793=phu!$I$8,M793=phu!$I$9,M793=phu!$I$10,M793=phu!$I$11,M793=phu!$I$12,M793=phu!$I$13,M793=phu!$I$14),"Cam Nghĩa",""),IF(OR(M793=phu!$I$15,M793=phu!$I$16,M793=phu!$I$17,M793=phu!$I$18,M793=phu!$I$19,M793=phu!$I$20,M793=phu!$I$21),"Cam Phúc Bắc",""),IF(OR(M793=phu!$I$22,M793=phu!$I$23,M793=phu!$I$24,M793=phu!$I$25),"Cam Phúc Nam",""),IF(OR(M793=phu!$I$26,M793=phu!$I$27,M793=phu!$I$28,M793=phu!$I$29,M793=phu!$I$30,M793=phu!$I$31),"Cam Phú",""),IF(OR(M793=phu!$I$32,M793=phu!$I$33,M793=phu!$I$34,M793=phu!$I$35,M793=phu!$I$36,M793=phu!$I$37),"Cam Lộc",""),IF(OR(M793=phu!$I$38,M793=phu!$I$39,M793=phu!$I$40,M793=phu!$I$41,M793=phu!$I$42,M793=phu!$I$43,M793=phu!$I$44),"Cam Thuận",""),IF(OR(M793=phu!$I$45,M793=phu!$I$46,M793=phu!$I$47,M793=phu!$I$48,M793=phu!$I$49,M793=phu!$I$50,M793=phu!$I$51,M793=phu!$I$52,M793=phu!$I$53),"Cam Linh",""),IF(OR(M793=phu!$I$54,M793=phu!$I$55,M793=phu!$I$56,M793=phu!$I$57,M793=phu!$I$58,M793=phu!$I$59,M793=phu!$I$60,M793=phu!$I$61,M793=phu!$I$62),"Cam Lợi",""),IF(OR(M793=phu!$I$63,M793=phu!$I$64,M793=phu!$I$65,M793=phu!$I$66,M793=phu!$I$67,M793=phu!$I$68,M793=phu!$I$69,M793=phu!$I$70,M793=phu!$I$71),"Ba Ngòi",""),IF(OR(M793=phu!$I$72,M793=phu!$I$73,M793=phu!$I$74,M793=phu!$I$75,M793=phu!$I$76,M793=phu!$I$77,M793=phu!$I$78),"Cam Phước Đông",""),IF(OR(M793=phu!$I$79,M793=phu!$I$80,M793=phu!$I$81,M793=phu!$I$82,M793=phu!$I$83,M793=phu!$I$84),"Cam Thịnh Đông",""),IF(OR(M793=phu!$I$85,M793=phu!$I$86,M793=phu!$I$87,M793=phu!$I$88),"Cam Thịnh Tây",""),IF(OR(M793=phu!$I$89,M793=phu!$I$90),"Cam Lập",""),IF(OR(M793=phu!$I$91,M793=phu!$I$92,M793=phu!$I$93),"Cam Bình",""),IF(OR(M793=phu!$I$94,M793=phu!$I$95,M793=phu!$I$96,M793=phu!$I$97,M793=phu!$I$98,M793=phu!$I$99,M793=phu!$I$100),"Huyện khác",""),IF(OR(M793=phu!$I$101,M793=phu!$I$102),"Tỉnh khác",""))</f>
        <v/>
      </c>
      <c r="O793" s="814" t="str">
        <f t="shared" si="73"/>
        <v/>
      </c>
      <c r="P793" s="254"/>
      <c r="Q793" s="254"/>
      <c r="R793" s="254"/>
      <c r="S793" s="254"/>
      <c r="T793" s="254"/>
      <c r="U793" s="254"/>
      <c r="V793" s="254"/>
      <c r="W793" s="254"/>
      <c r="Y793" s="246" t="str">
        <f t="shared" si="74"/>
        <v/>
      </c>
      <c r="Z793" s="247" t="str">
        <f t="shared" si="72"/>
        <v/>
      </c>
      <c r="AA793" s="246" t="str">
        <f t="shared" si="75"/>
        <v/>
      </c>
    </row>
    <row r="794" spans="1:27" x14ac:dyDescent="0.25">
      <c r="A794" s="248" t="str">
        <f t="shared" si="76"/>
        <v/>
      </c>
      <c r="B794" s="249" t="str">
        <f t="shared" si="77"/>
        <v/>
      </c>
      <c r="C794" s="250"/>
      <c r="D794" s="251"/>
      <c r="E794" s="241"/>
      <c r="F794" s="252"/>
      <c r="G794" s="252"/>
      <c r="H794" s="253"/>
      <c r="I794" s="250"/>
      <c r="J794" s="250"/>
      <c r="K794" s="270"/>
      <c r="L794" s="250"/>
      <c r="M794" s="250"/>
      <c r="N794" s="553" t="str">
        <f>CONCATENATE(IF(OR(M794=phu!$I$1,M794=phu!$I$2,M794=phu!$I$3),"Cam Thành Nam",""),IF(OR(M794=phu!$I$4,M794=phu!$I$5,M794=phu!$I$6,M794=phu!$I$7,M794=phu!$I$8,M794=phu!$I$9,M794=phu!$I$10,M794=phu!$I$11,M794=phu!$I$12,M794=phu!$I$13,M794=phu!$I$14),"Cam Nghĩa",""),IF(OR(M794=phu!$I$15,M794=phu!$I$16,M794=phu!$I$17,M794=phu!$I$18,M794=phu!$I$19,M794=phu!$I$20,M794=phu!$I$21),"Cam Phúc Bắc",""),IF(OR(M794=phu!$I$22,M794=phu!$I$23,M794=phu!$I$24,M794=phu!$I$25),"Cam Phúc Nam",""),IF(OR(M794=phu!$I$26,M794=phu!$I$27,M794=phu!$I$28,M794=phu!$I$29,M794=phu!$I$30,M794=phu!$I$31),"Cam Phú",""),IF(OR(M794=phu!$I$32,M794=phu!$I$33,M794=phu!$I$34,M794=phu!$I$35,M794=phu!$I$36,M794=phu!$I$37),"Cam Lộc",""),IF(OR(M794=phu!$I$38,M794=phu!$I$39,M794=phu!$I$40,M794=phu!$I$41,M794=phu!$I$42,M794=phu!$I$43,M794=phu!$I$44),"Cam Thuận",""),IF(OR(M794=phu!$I$45,M794=phu!$I$46,M794=phu!$I$47,M794=phu!$I$48,M794=phu!$I$49,M794=phu!$I$50,M794=phu!$I$51,M794=phu!$I$52,M794=phu!$I$53),"Cam Linh",""),IF(OR(M794=phu!$I$54,M794=phu!$I$55,M794=phu!$I$56,M794=phu!$I$57,M794=phu!$I$58,M794=phu!$I$59,M794=phu!$I$60,M794=phu!$I$61,M794=phu!$I$62),"Cam Lợi",""),IF(OR(M794=phu!$I$63,M794=phu!$I$64,M794=phu!$I$65,M794=phu!$I$66,M794=phu!$I$67,M794=phu!$I$68,M794=phu!$I$69,M794=phu!$I$70,M794=phu!$I$71),"Ba Ngòi",""),IF(OR(M794=phu!$I$72,M794=phu!$I$73,M794=phu!$I$74,M794=phu!$I$75,M794=phu!$I$76,M794=phu!$I$77,M794=phu!$I$78),"Cam Phước Đông",""),IF(OR(M794=phu!$I$79,M794=phu!$I$80,M794=phu!$I$81,M794=phu!$I$82,M794=phu!$I$83,M794=phu!$I$84),"Cam Thịnh Đông",""),IF(OR(M794=phu!$I$85,M794=phu!$I$86,M794=phu!$I$87,M794=phu!$I$88),"Cam Thịnh Tây",""),IF(OR(M794=phu!$I$89,M794=phu!$I$90),"Cam Lập",""),IF(OR(M794=phu!$I$91,M794=phu!$I$92,M794=phu!$I$93),"Cam Bình",""),IF(OR(M794=phu!$I$94,M794=phu!$I$95,M794=phu!$I$96,M794=phu!$I$97,M794=phu!$I$98,M794=phu!$I$99,M794=phu!$I$100),"Huyện khác",""),IF(OR(M794=phu!$I$101,M794=phu!$I$102),"Tỉnh khác",""))</f>
        <v/>
      </c>
      <c r="O794" s="814" t="str">
        <f t="shared" si="73"/>
        <v/>
      </c>
      <c r="P794" s="254"/>
      <c r="Q794" s="254"/>
      <c r="R794" s="254"/>
      <c r="S794" s="254"/>
      <c r="T794" s="254"/>
      <c r="U794" s="254"/>
      <c r="V794" s="254"/>
      <c r="W794" s="254"/>
      <c r="Y794" s="246" t="str">
        <f t="shared" si="74"/>
        <v/>
      </c>
      <c r="Z794" s="247" t="str">
        <f t="shared" si="72"/>
        <v/>
      </c>
      <c r="AA794" s="246" t="str">
        <f t="shared" si="75"/>
        <v/>
      </c>
    </row>
    <row r="795" spans="1:27" x14ac:dyDescent="0.25">
      <c r="A795" s="248" t="str">
        <f t="shared" si="76"/>
        <v/>
      </c>
      <c r="B795" s="249" t="str">
        <f t="shared" si="77"/>
        <v/>
      </c>
      <c r="C795" s="250"/>
      <c r="D795" s="251"/>
      <c r="E795" s="241"/>
      <c r="F795" s="252"/>
      <c r="G795" s="252"/>
      <c r="H795" s="253"/>
      <c r="I795" s="250"/>
      <c r="J795" s="250"/>
      <c r="K795" s="270"/>
      <c r="L795" s="250"/>
      <c r="M795" s="250"/>
      <c r="N795" s="553" t="str">
        <f>CONCATENATE(IF(OR(M795=phu!$I$1,M795=phu!$I$2,M795=phu!$I$3),"Cam Thành Nam",""),IF(OR(M795=phu!$I$4,M795=phu!$I$5,M795=phu!$I$6,M795=phu!$I$7,M795=phu!$I$8,M795=phu!$I$9,M795=phu!$I$10,M795=phu!$I$11,M795=phu!$I$12,M795=phu!$I$13,M795=phu!$I$14),"Cam Nghĩa",""),IF(OR(M795=phu!$I$15,M795=phu!$I$16,M795=phu!$I$17,M795=phu!$I$18,M795=phu!$I$19,M795=phu!$I$20,M795=phu!$I$21),"Cam Phúc Bắc",""),IF(OR(M795=phu!$I$22,M795=phu!$I$23,M795=phu!$I$24,M795=phu!$I$25),"Cam Phúc Nam",""),IF(OR(M795=phu!$I$26,M795=phu!$I$27,M795=phu!$I$28,M795=phu!$I$29,M795=phu!$I$30,M795=phu!$I$31),"Cam Phú",""),IF(OR(M795=phu!$I$32,M795=phu!$I$33,M795=phu!$I$34,M795=phu!$I$35,M795=phu!$I$36,M795=phu!$I$37),"Cam Lộc",""),IF(OR(M795=phu!$I$38,M795=phu!$I$39,M795=phu!$I$40,M795=phu!$I$41,M795=phu!$I$42,M795=phu!$I$43,M795=phu!$I$44),"Cam Thuận",""),IF(OR(M795=phu!$I$45,M795=phu!$I$46,M795=phu!$I$47,M795=phu!$I$48,M795=phu!$I$49,M795=phu!$I$50,M795=phu!$I$51,M795=phu!$I$52,M795=phu!$I$53),"Cam Linh",""),IF(OR(M795=phu!$I$54,M795=phu!$I$55,M795=phu!$I$56,M795=phu!$I$57,M795=phu!$I$58,M795=phu!$I$59,M795=phu!$I$60,M795=phu!$I$61,M795=phu!$I$62),"Cam Lợi",""),IF(OR(M795=phu!$I$63,M795=phu!$I$64,M795=phu!$I$65,M795=phu!$I$66,M795=phu!$I$67,M795=phu!$I$68,M795=phu!$I$69,M795=phu!$I$70,M795=phu!$I$71),"Ba Ngòi",""),IF(OR(M795=phu!$I$72,M795=phu!$I$73,M795=phu!$I$74,M795=phu!$I$75,M795=phu!$I$76,M795=phu!$I$77,M795=phu!$I$78),"Cam Phước Đông",""),IF(OR(M795=phu!$I$79,M795=phu!$I$80,M795=phu!$I$81,M795=phu!$I$82,M795=phu!$I$83,M795=phu!$I$84),"Cam Thịnh Đông",""),IF(OR(M795=phu!$I$85,M795=phu!$I$86,M795=phu!$I$87,M795=phu!$I$88),"Cam Thịnh Tây",""),IF(OR(M795=phu!$I$89,M795=phu!$I$90),"Cam Lập",""),IF(OR(M795=phu!$I$91,M795=phu!$I$92,M795=phu!$I$93),"Cam Bình",""),IF(OR(M795=phu!$I$94,M795=phu!$I$95,M795=phu!$I$96,M795=phu!$I$97,M795=phu!$I$98,M795=phu!$I$99,M795=phu!$I$100),"Huyện khác",""),IF(OR(M795=phu!$I$101,M795=phu!$I$102),"Tỉnh khác",""))</f>
        <v/>
      </c>
      <c r="O795" s="814" t="str">
        <f t="shared" si="73"/>
        <v/>
      </c>
      <c r="P795" s="254"/>
      <c r="Q795" s="254"/>
      <c r="R795" s="254"/>
      <c r="S795" s="254"/>
      <c r="T795" s="254"/>
      <c r="U795" s="254"/>
      <c r="V795" s="254"/>
      <c r="W795" s="254"/>
      <c r="Y795" s="246" t="str">
        <f t="shared" si="74"/>
        <v/>
      </c>
      <c r="Z795" s="247" t="str">
        <f t="shared" si="72"/>
        <v/>
      </c>
      <c r="AA795" s="246" t="str">
        <f t="shared" si="75"/>
        <v/>
      </c>
    </row>
    <row r="796" spans="1:27" x14ac:dyDescent="0.25">
      <c r="A796" s="248" t="str">
        <f t="shared" si="76"/>
        <v/>
      </c>
      <c r="B796" s="249" t="str">
        <f t="shared" si="77"/>
        <v/>
      </c>
      <c r="C796" s="250"/>
      <c r="D796" s="251"/>
      <c r="E796" s="241"/>
      <c r="F796" s="252"/>
      <c r="G796" s="252"/>
      <c r="H796" s="253"/>
      <c r="I796" s="250"/>
      <c r="J796" s="250"/>
      <c r="K796" s="270"/>
      <c r="L796" s="250"/>
      <c r="M796" s="250"/>
      <c r="N796" s="553" t="str">
        <f>CONCATENATE(IF(OR(M796=phu!$I$1,M796=phu!$I$2,M796=phu!$I$3),"Cam Thành Nam",""),IF(OR(M796=phu!$I$4,M796=phu!$I$5,M796=phu!$I$6,M796=phu!$I$7,M796=phu!$I$8,M796=phu!$I$9,M796=phu!$I$10,M796=phu!$I$11,M796=phu!$I$12,M796=phu!$I$13,M796=phu!$I$14),"Cam Nghĩa",""),IF(OR(M796=phu!$I$15,M796=phu!$I$16,M796=phu!$I$17,M796=phu!$I$18,M796=phu!$I$19,M796=phu!$I$20,M796=phu!$I$21),"Cam Phúc Bắc",""),IF(OR(M796=phu!$I$22,M796=phu!$I$23,M796=phu!$I$24,M796=phu!$I$25),"Cam Phúc Nam",""),IF(OR(M796=phu!$I$26,M796=phu!$I$27,M796=phu!$I$28,M796=phu!$I$29,M796=phu!$I$30,M796=phu!$I$31),"Cam Phú",""),IF(OR(M796=phu!$I$32,M796=phu!$I$33,M796=phu!$I$34,M796=phu!$I$35,M796=phu!$I$36,M796=phu!$I$37),"Cam Lộc",""),IF(OR(M796=phu!$I$38,M796=phu!$I$39,M796=phu!$I$40,M796=phu!$I$41,M796=phu!$I$42,M796=phu!$I$43,M796=phu!$I$44),"Cam Thuận",""),IF(OR(M796=phu!$I$45,M796=phu!$I$46,M796=phu!$I$47,M796=phu!$I$48,M796=phu!$I$49,M796=phu!$I$50,M796=phu!$I$51,M796=phu!$I$52,M796=phu!$I$53),"Cam Linh",""),IF(OR(M796=phu!$I$54,M796=phu!$I$55,M796=phu!$I$56,M796=phu!$I$57,M796=phu!$I$58,M796=phu!$I$59,M796=phu!$I$60,M796=phu!$I$61,M796=phu!$I$62),"Cam Lợi",""),IF(OR(M796=phu!$I$63,M796=phu!$I$64,M796=phu!$I$65,M796=phu!$I$66,M796=phu!$I$67,M796=phu!$I$68,M796=phu!$I$69,M796=phu!$I$70,M796=phu!$I$71),"Ba Ngòi",""),IF(OR(M796=phu!$I$72,M796=phu!$I$73,M796=phu!$I$74,M796=phu!$I$75,M796=phu!$I$76,M796=phu!$I$77,M796=phu!$I$78),"Cam Phước Đông",""),IF(OR(M796=phu!$I$79,M796=phu!$I$80,M796=phu!$I$81,M796=phu!$I$82,M796=phu!$I$83,M796=phu!$I$84),"Cam Thịnh Đông",""),IF(OR(M796=phu!$I$85,M796=phu!$I$86,M796=phu!$I$87,M796=phu!$I$88),"Cam Thịnh Tây",""),IF(OR(M796=phu!$I$89,M796=phu!$I$90),"Cam Lập",""),IF(OR(M796=phu!$I$91,M796=phu!$I$92,M796=phu!$I$93),"Cam Bình",""),IF(OR(M796=phu!$I$94,M796=phu!$I$95,M796=phu!$I$96,M796=phu!$I$97,M796=phu!$I$98,M796=phu!$I$99,M796=phu!$I$100),"Huyện khác",""),IF(OR(M796=phu!$I$101,M796=phu!$I$102),"Tỉnh khác",""))</f>
        <v/>
      </c>
      <c r="O796" s="814" t="str">
        <f t="shared" si="73"/>
        <v/>
      </c>
      <c r="P796" s="254"/>
      <c r="Q796" s="254"/>
      <c r="R796" s="254"/>
      <c r="S796" s="254"/>
      <c r="T796" s="254"/>
      <c r="U796" s="254"/>
      <c r="V796" s="254"/>
      <c r="W796" s="254"/>
      <c r="Y796" s="246" t="str">
        <f t="shared" si="74"/>
        <v/>
      </c>
      <c r="Z796" s="247" t="str">
        <f t="shared" si="72"/>
        <v/>
      </c>
      <c r="AA796" s="246" t="str">
        <f t="shared" si="75"/>
        <v/>
      </c>
    </row>
    <row r="797" spans="1:27" x14ac:dyDescent="0.25">
      <c r="A797" s="248" t="str">
        <f t="shared" si="76"/>
        <v/>
      </c>
      <c r="B797" s="249" t="str">
        <f t="shared" si="77"/>
        <v/>
      </c>
      <c r="C797" s="250"/>
      <c r="D797" s="251"/>
      <c r="E797" s="241"/>
      <c r="F797" s="252"/>
      <c r="G797" s="252"/>
      <c r="H797" s="253"/>
      <c r="I797" s="250"/>
      <c r="J797" s="250"/>
      <c r="K797" s="270"/>
      <c r="L797" s="250"/>
      <c r="M797" s="250"/>
      <c r="N797" s="553" t="str">
        <f>CONCATENATE(IF(OR(M797=phu!$I$1,M797=phu!$I$2,M797=phu!$I$3),"Cam Thành Nam",""),IF(OR(M797=phu!$I$4,M797=phu!$I$5,M797=phu!$I$6,M797=phu!$I$7,M797=phu!$I$8,M797=phu!$I$9,M797=phu!$I$10,M797=phu!$I$11,M797=phu!$I$12,M797=phu!$I$13,M797=phu!$I$14),"Cam Nghĩa",""),IF(OR(M797=phu!$I$15,M797=phu!$I$16,M797=phu!$I$17,M797=phu!$I$18,M797=phu!$I$19,M797=phu!$I$20,M797=phu!$I$21),"Cam Phúc Bắc",""),IF(OR(M797=phu!$I$22,M797=phu!$I$23,M797=phu!$I$24,M797=phu!$I$25),"Cam Phúc Nam",""),IF(OR(M797=phu!$I$26,M797=phu!$I$27,M797=phu!$I$28,M797=phu!$I$29,M797=phu!$I$30,M797=phu!$I$31),"Cam Phú",""),IF(OR(M797=phu!$I$32,M797=phu!$I$33,M797=phu!$I$34,M797=phu!$I$35,M797=phu!$I$36,M797=phu!$I$37),"Cam Lộc",""),IF(OR(M797=phu!$I$38,M797=phu!$I$39,M797=phu!$I$40,M797=phu!$I$41,M797=phu!$I$42,M797=phu!$I$43,M797=phu!$I$44),"Cam Thuận",""),IF(OR(M797=phu!$I$45,M797=phu!$I$46,M797=phu!$I$47,M797=phu!$I$48,M797=phu!$I$49,M797=phu!$I$50,M797=phu!$I$51,M797=phu!$I$52,M797=phu!$I$53),"Cam Linh",""),IF(OR(M797=phu!$I$54,M797=phu!$I$55,M797=phu!$I$56,M797=phu!$I$57,M797=phu!$I$58,M797=phu!$I$59,M797=phu!$I$60,M797=phu!$I$61,M797=phu!$I$62),"Cam Lợi",""),IF(OR(M797=phu!$I$63,M797=phu!$I$64,M797=phu!$I$65,M797=phu!$I$66,M797=phu!$I$67,M797=phu!$I$68,M797=phu!$I$69,M797=phu!$I$70,M797=phu!$I$71),"Ba Ngòi",""),IF(OR(M797=phu!$I$72,M797=phu!$I$73,M797=phu!$I$74,M797=phu!$I$75,M797=phu!$I$76,M797=phu!$I$77,M797=phu!$I$78),"Cam Phước Đông",""),IF(OR(M797=phu!$I$79,M797=phu!$I$80,M797=phu!$I$81,M797=phu!$I$82,M797=phu!$I$83,M797=phu!$I$84),"Cam Thịnh Đông",""),IF(OR(M797=phu!$I$85,M797=phu!$I$86,M797=phu!$I$87,M797=phu!$I$88),"Cam Thịnh Tây",""),IF(OR(M797=phu!$I$89,M797=phu!$I$90),"Cam Lập",""),IF(OR(M797=phu!$I$91,M797=phu!$I$92,M797=phu!$I$93),"Cam Bình",""),IF(OR(M797=phu!$I$94,M797=phu!$I$95,M797=phu!$I$96,M797=phu!$I$97,M797=phu!$I$98,M797=phu!$I$99,M797=phu!$I$100),"Huyện khác",""),IF(OR(M797=phu!$I$101,M797=phu!$I$102),"Tỉnh khác",""))</f>
        <v/>
      </c>
      <c r="O797" s="814" t="str">
        <f t="shared" si="73"/>
        <v/>
      </c>
      <c r="P797" s="254"/>
      <c r="Q797" s="254"/>
      <c r="R797" s="254"/>
      <c r="S797" s="254"/>
      <c r="T797" s="254"/>
      <c r="U797" s="254"/>
      <c r="V797" s="254"/>
      <c r="W797" s="254"/>
      <c r="Y797" s="246" t="str">
        <f t="shared" si="74"/>
        <v/>
      </c>
      <c r="Z797" s="247" t="str">
        <f t="shared" si="72"/>
        <v/>
      </c>
      <c r="AA797" s="246" t="str">
        <f t="shared" si="75"/>
        <v/>
      </c>
    </row>
    <row r="798" spans="1:27" x14ac:dyDescent="0.25">
      <c r="A798" s="248" t="str">
        <f t="shared" si="76"/>
        <v/>
      </c>
      <c r="B798" s="249" t="str">
        <f t="shared" si="77"/>
        <v/>
      </c>
      <c r="C798" s="250"/>
      <c r="D798" s="251"/>
      <c r="E798" s="241"/>
      <c r="F798" s="252"/>
      <c r="G798" s="252"/>
      <c r="H798" s="253"/>
      <c r="I798" s="250"/>
      <c r="J798" s="250"/>
      <c r="K798" s="270"/>
      <c r="L798" s="250"/>
      <c r="M798" s="250"/>
      <c r="N798" s="553" t="str">
        <f>CONCATENATE(IF(OR(M798=phu!$I$1,M798=phu!$I$2,M798=phu!$I$3),"Cam Thành Nam",""),IF(OR(M798=phu!$I$4,M798=phu!$I$5,M798=phu!$I$6,M798=phu!$I$7,M798=phu!$I$8,M798=phu!$I$9,M798=phu!$I$10,M798=phu!$I$11,M798=phu!$I$12,M798=phu!$I$13,M798=phu!$I$14),"Cam Nghĩa",""),IF(OR(M798=phu!$I$15,M798=phu!$I$16,M798=phu!$I$17,M798=phu!$I$18,M798=phu!$I$19,M798=phu!$I$20,M798=phu!$I$21),"Cam Phúc Bắc",""),IF(OR(M798=phu!$I$22,M798=phu!$I$23,M798=phu!$I$24,M798=phu!$I$25),"Cam Phúc Nam",""),IF(OR(M798=phu!$I$26,M798=phu!$I$27,M798=phu!$I$28,M798=phu!$I$29,M798=phu!$I$30,M798=phu!$I$31),"Cam Phú",""),IF(OR(M798=phu!$I$32,M798=phu!$I$33,M798=phu!$I$34,M798=phu!$I$35,M798=phu!$I$36,M798=phu!$I$37),"Cam Lộc",""),IF(OR(M798=phu!$I$38,M798=phu!$I$39,M798=phu!$I$40,M798=phu!$I$41,M798=phu!$I$42,M798=phu!$I$43,M798=phu!$I$44),"Cam Thuận",""),IF(OR(M798=phu!$I$45,M798=phu!$I$46,M798=phu!$I$47,M798=phu!$I$48,M798=phu!$I$49,M798=phu!$I$50,M798=phu!$I$51,M798=phu!$I$52,M798=phu!$I$53),"Cam Linh",""),IF(OR(M798=phu!$I$54,M798=phu!$I$55,M798=phu!$I$56,M798=phu!$I$57,M798=phu!$I$58,M798=phu!$I$59,M798=phu!$I$60,M798=phu!$I$61,M798=phu!$I$62),"Cam Lợi",""),IF(OR(M798=phu!$I$63,M798=phu!$I$64,M798=phu!$I$65,M798=phu!$I$66,M798=phu!$I$67,M798=phu!$I$68,M798=phu!$I$69,M798=phu!$I$70,M798=phu!$I$71),"Ba Ngòi",""),IF(OR(M798=phu!$I$72,M798=phu!$I$73,M798=phu!$I$74,M798=phu!$I$75,M798=phu!$I$76,M798=phu!$I$77,M798=phu!$I$78),"Cam Phước Đông",""),IF(OR(M798=phu!$I$79,M798=phu!$I$80,M798=phu!$I$81,M798=phu!$I$82,M798=phu!$I$83,M798=phu!$I$84),"Cam Thịnh Đông",""),IF(OR(M798=phu!$I$85,M798=phu!$I$86,M798=phu!$I$87,M798=phu!$I$88),"Cam Thịnh Tây",""),IF(OR(M798=phu!$I$89,M798=phu!$I$90),"Cam Lập",""),IF(OR(M798=phu!$I$91,M798=phu!$I$92,M798=phu!$I$93),"Cam Bình",""),IF(OR(M798=phu!$I$94,M798=phu!$I$95,M798=phu!$I$96,M798=phu!$I$97,M798=phu!$I$98,M798=phu!$I$99,M798=phu!$I$100),"Huyện khác",""),IF(OR(M798=phu!$I$101,M798=phu!$I$102),"Tỉnh khác",""))</f>
        <v/>
      </c>
      <c r="O798" s="814" t="str">
        <f t="shared" si="73"/>
        <v/>
      </c>
      <c r="P798" s="254"/>
      <c r="Q798" s="254"/>
      <c r="R798" s="254"/>
      <c r="S798" s="254"/>
      <c r="T798" s="254"/>
      <c r="U798" s="254"/>
      <c r="V798" s="254"/>
      <c r="W798" s="254"/>
      <c r="Y798" s="246" t="str">
        <f t="shared" si="74"/>
        <v/>
      </c>
      <c r="Z798" s="247" t="str">
        <f t="shared" si="72"/>
        <v/>
      </c>
      <c r="AA798" s="246" t="str">
        <f t="shared" si="75"/>
        <v/>
      </c>
    </row>
    <row r="799" spans="1:27" x14ac:dyDescent="0.25">
      <c r="A799" s="248" t="str">
        <f t="shared" si="76"/>
        <v/>
      </c>
      <c r="B799" s="249" t="str">
        <f t="shared" si="77"/>
        <v/>
      </c>
      <c r="C799" s="250"/>
      <c r="D799" s="251"/>
      <c r="E799" s="241"/>
      <c r="F799" s="252"/>
      <c r="G799" s="252"/>
      <c r="H799" s="253"/>
      <c r="I799" s="250"/>
      <c r="J799" s="250"/>
      <c r="K799" s="270"/>
      <c r="L799" s="250"/>
      <c r="M799" s="250"/>
      <c r="N799" s="553" t="str">
        <f>CONCATENATE(IF(OR(M799=phu!$I$1,M799=phu!$I$2,M799=phu!$I$3),"Cam Thành Nam",""),IF(OR(M799=phu!$I$4,M799=phu!$I$5,M799=phu!$I$6,M799=phu!$I$7,M799=phu!$I$8,M799=phu!$I$9,M799=phu!$I$10,M799=phu!$I$11,M799=phu!$I$12,M799=phu!$I$13,M799=phu!$I$14),"Cam Nghĩa",""),IF(OR(M799=phu!$I$15,M799=phu!$I$16,M799=phu!$I$17,M799=phu!$I$18,M799=phu!$I$19,M799=phu!$I$20,M799=phu!$I$21),"Cam Phúc Bắc",""),IF(OR(M799=phu!$I$22,M799=phu!$I$23,M799=phu!$I$24,M799=phu!$I$25),"Cam Phúc Nam",""),IF(OR(M799=phu!$I$26,M799=phu!$I$27,M799=phu!$I$28,M799=phu!$I$29,M799=phu!$I$30,M799=phu!$I$31),"Cam Phú",""),IF(OR(M799=phu!$I$32,M799=phu!$I$33,M799=phu!$I$34,M799=phu!$I$35,M799=phu!$I$36,M799=phu!$I$37),"Cam Lộc",""),IF(OR(M799=phu!$I$38,M799=phu!$I$39,M799=phu!$I$40,M799=phu!$I$41,M799=phu!$I$42,M799=phu!$I$43,M799=phu!$I$44),"Cam Thuận",""),IF(OR(M799=phu!$I$45,M799=phu!$I$46,M799=phu!$I$47,M799=phu!$I$48,M799=phu!$I$49,M799=phu!$I$50,M799=phu!$I$51,M799=phu!$I$52,M799=phu!$I$53),"Cam Linh",""),IF(OR(M799=phu!$I$54,M799=phu!$I$55,M799=phu!$I$56,M799=phu!$I$57,M799=phu!$I$58,M799=phu!$I$59,M799=phu!$I$60,M799=phu!$I$61,M799=phu!$I$62),"Cam Lợi",""),IF(OR(M799=phu!$I$63,M799=phu!$I$64,M799=phu!$I$65,M799=phu!$I$66,M799=phu!$I$67,M799=phu!$I$68,M799=phu!$I$69,M799=phu!$I$70,M799=phu!$I$71),"Ba Ngòi",""),IF(OR(M799=phu!$I$72,M799=phu!$I$73,M799=phu!$I$74,M799=phu!$I$75,M799=phu!$I$76,M799=phu!$I$77,M799=phu!$I$78),"Cam Phước Đông",""),IF(OR(M799=phu!$I$79,M799=phu!$I$80,M799=phu!$I$81,M799=phu!$I$82,M799=phu!$I$83,M799=phu!$I$84),"Cam Thịnh Đông",""),IF(OR(M799=phu!$I$85,M799=phu!$I$86,M799=phu!$I$87,M799=phu!$I$88),"Cam Thịnh Tây",""),IF(OR(M799=phu!$I$89,M799=phu!$I$90),"Cam Lập",""),IF(OR(M799=phu!$I$91,M799=phu!$I$92,M799=phu!$I$93),"Cam Bình",""),IF(OR(M799=phu!$I$94,M799=phu!$I$95,M799=phu!$I$96,M799=phu!$I$97,M799=phu!$I$98,M799=phu!$I$99,M799=phu!$I$100),"Huyện khác",""),IF(OR(M799=phu!$I$101,M799=phu!$I$102),"Tỉnh khác",""))</f>
        <v/>
      </c>
      <c r="O799" s="814" t="str">
        <f t="shared" si="73"/>
        <v/>
      </c>
      <c r="P799" s="254"/>
      <c r="Q799" s="254"/>
      <c r="R799" s="254"/>
      <c r="S799" s="254"/>
      <c r="T799" s="254"/>
      <c r="U799" s="254"/>
      <c r="V799" s="254"/>
      <c r="W799" s="254"/>
      <c r="Y799" s="246" t="str">
        <f t="shared" si="74"/>
        <v/>
      </c>
      <c r="Z799" s="247" t="str">
        <f t="shared" si="72"/>
        <v/>
      </c>
      <c r="AA799" s="246" t="str">
        <f t="shared" si="75"/>
        <v/>
      </c>
    </row>
    <row r="800" spans="1:27" x14ac:dyDescent="0.25">
      <c r="A800" s="248" t="str">
        <f t="shared" si="76"/>
        <v/>
      </c>
      <c r="B800" s="249" t="str">
        <f t="shared" si="77"/>
        <v/>
      </c>
      <c r="C800" s="250"/>
      <c r="D800" s="251"/>
      <c r="E800" s="241"/>
      <c r="F800" s="252"/>
      <c r="G800" s="252"/>
      <c r="H800" s="253"/>
      <c r="I800" s="250"/>
      <c r="J800" s="250"/>
      <c r="K800" s="270"/>
      <c r="L800" s="250"/>
      <c r="M800" s="250"/>
      <c r="N800" s="553" t="str">
        <f>CONCATENATE(IF(OR(M800=phu!$I$1,M800=phu!$I$2,M800=phu!$I$3),"Cam Thành Nam",""),IF(OR(M800=phu!$I$4,M800=phu!$I$5,M800=phu!$I$6,M800=phu!$I$7,M800=phu!$I$8,M800=phu!$I$9,M800=phu!$I$10,M800=phu!$I$11,M800=phu!$I$12,M800=phu!$I$13,M800=phu!$I$14),"Cam Nghĩa",""),IF(OR(M800=phu!$I$15,M800=phu!$I$16,M800=phu!$I$17,M800=phu!$I$18,M800=phu!$I$19,M800=phu!$I$20,M800=phu!$I$21),"Cam Phúc Bắc",""),IF(OR(M800=phu!$I$22,M800=phu!$I$23,M800=phu!$I$24,M800=phu!$I$25),"Cam Phúc Nam",""),IF(OR(M800=phu!$I$26,M800=phu!$I$27,M800=phu!$I$28,M800=phu!$I$29,M800=phu!$I$30,M800=phu!$I$31),"Cam Phú",""),IF(OR(M800=phu!$I$32,M800=phu!$I$33,M800=phu!$I$34,M800=phu!$I$35,M800=phu!$I$36,M800=phu!$I$37),"Cam Lộc",""),IF(OR(M800=phu!$I$38,M800=phu!$I$39,M800=phu!$I$40,M800=phu!$I$41,M800=phu!$I$42,M800=phu!$I$43,M800=phu!$I$44),"Cam Thuận",""),IF(OR(M800=phu!$I$45,M800=phu!$I$46,M800=phu!$I$47,M800=phu!$I$48,M800=phu!$I$49,M800=phu!$I$50,M800=phu!$I$51,M800=phu!$I$52,M800=phu!$I$53),"Cam Linh",""),IF(OR(M800=phu!$I$54,M800=phu!$I$55,M800=phu!$I$56,M800=phu!$I$57,M800=phu!$I$58,M800=phu!$I$59,M800=phu!$I$60,M800=phu!$I$61,M800=phu!$I$62),"Cam Lợi",""),IF(OR(M800=phu!$I$63,M800=phu!$I$64,M800=phu!$I$65,M800=phu!$I$66,M800=phu!$I$67,M800=phu!$I$68,M800=phu!$I$69,M800=phu!$I$70,M800=phu!$I$71),"Ba Ngòi",""),IF(OR(M800=phu!$I$72,M800=phu!$I$73,M800=phu!$I$74,M800=phu!$I$75,M800=phu!$I$76,M800=phu!$I$77,M800=phu!$I$78),"Cam Phước Đông",""),IF(OR(M800=phu!$I$79,M800=phu!$I$80,M800=phu!$I$81,M800=phu!$I$82,M800=phu!$I$83,M800=phu!$I$84),"Cam Thịnh Đông",""),IF(OR(M800=phu!$I$85,M800=phu!$I$86,M800=phu!$I$87,M800=phu!$I$88),"Cam Thịnh Tây",""),IF(OR(M800=phu!$I$89,M800=phu!$I$90),"Cam Lập",""),IF(OR(M800=phu!$I$91,M800=phu!$I$92,M800=phu!$I$93),"Cam Bình",""),IF(OR(M800=phu!$I$94,M800=phu!$I$95,M800=phu!$I$96,M800=phu!$I$97,M800=phu!$I$98,M800=phu!$I$99,M800=phu!$I$100),"Huyện khác",""),IF(OR(M800=phu!$I$101,M800=phu!$I$102),"Tỉnh khác",""))</f>
        <v/>
      </c>
      <c r="O800" s="814" t="str">
        <f t="shared" si="73"/>
        <v/>
      </c>
      <c r="P800" s="254"/>
      <c r="Q800" s="254"/>
      <c r="R800" s="254"/>
      <c r="S800" s="254"/>
      <c r="T800" s="254"/>
      <c r="U800" s="254"/>
      <c r="V800" s="254"/>
      <c r="W800" s="254"/>
      <c r="Y800" s="246" t="str">
        <f t="shared" si="74"/>
        <v/>
      </c>
      <c r="Z800" s="247" t="str">
        <f t="shared" si="72"/>
        <v/>
      </c>
      <c r="AA800" s="246" t="str">
        <f t="shared" si="75"/>
        <v/>
      </c>
    </row>
    <row r="801" spans="1:27" x14ac:dyDescent="0.25">
      <c r="A801" s="248" t="str">
        <f t="shared" si="76"/>
        <v/>
      </c>
      <c r="B801" s="249" t="str">
        <f t="shared" si="77"/>
        <v/>
      </c>
      <c r="C801" s="250"/>
      <c r="D801" s="251"/>
      <c r="E801" s="241"/>
      <c r="F801" s="252"/>
      <c r="G801" s="252"/>
      <c r="H801" s="253"/>
      <c r="I801" s="250"/>
      <c r="J801" s="250"/>
      <c r="K801" s="270"/>
      <c r="L801" s="250"/>
      <c r="M801" s="250"/>
      <c r="N801" s="553" t="str">
        <f>CONCATENATE(IF(OR(M801=phu!$I$1,M801=phu!$I$2,M801=phu!$I$3),"Cam Thành Nam",""),IF(OR(M801=phu!$I$4,M801=phu!$I$5,M801=phu!$I$6,M801=phu!$I$7,M801=phu!$I$8,M801=phu!$I$9,M801=phu!$I$10,M801=phu!$I$11,M801=phu!$I$12,M801=phu!$I$13,M801=phu!$I$14),"Cam Nghĩa",""),IF(OR(M801=phu!$I$15,M801=phu!$I$16,M801=phu!$I$17,M801=phu!$I$18,M801=phu!$I$19,M801=phu!$I$20,M801=phu!$I$21),"Cam Phúc Bắc",""),IF(OR(M801=phu!$I$22,M801=phu!$I$23,M801=phu!$I$24,M801=phu!$I$25),"Cam Phúc Nam",""),IF(OR(M801=phu!$I$26,M801=phu!$I$27,M801=phu!$I$28,M801=phu!$I$29,M801=phu!$I$30,M801=phu!$I$31),"Cam Phú",""),IF(OR(M801=phu!$I$32,M801=phu!$I$33,M801=phu!$I$34,M801=phu!$I$35,M801=phu!$I$36,M801=phu!$I$37),"Cam Lộc",""),IF(OR(M801=phu!$I$38,M801=phu!$I$39,M801=phu!$I$40,M801=phu!$I$41,M801=phu!$I$42,M801=phu!$I$43,M801=phu!$I$44),"Cam Thuận",""),IF(OR(M801=phu!$I$45,M801=phu!$I$46,M801=phu!$I$47,M801=phu!$I$48,M801=phu!$I$49,M801=phu!$I$50,M801=phu!$I$51,M801=phu!$I$52,M801=phu!$I$53),"Cam Linh",""),IF(OR(M801=phu!$I$54,M801=phu!$I$55,M801=phu!$I$56,M801=phu!$I$57,M801=phu!$I$58,M801=phu!$I$59,M801=phu!$I$60,M801=phu!$I$61,M801=phu!$I$62),"Cam Lợi",""),IF(OR(M801=phu!$I$63,M801=phu!$I$64,M801=phu!$I$65,M801=phu!$I$66,M801=phu!$I$67,M801=phu!$I$68,M801=phu!$I$69,M801=phu!$I$70,M801=phu!$I$71),"Ba Ngòi",""),IF(OR(M801=phu!$I$72,M801=phu!$I$73,M801=phu!$I$74,M801=phu!$I$75,M801=phu!$I$76,M801=phu!$I$77,M801=phu!$I$78),"Cam Phước Đông",""),IF(OR(M801=phu!$I$79,M801=phu!$I$80,M801=phu!$I$81,M801=phu!$I$82,M801=phu!$I$83,M801=phu!$I$84),"Cam Thịnh Đông",""),IF(OR(M801=phu!$I$85,M801=phu!$I$86,M801=phu!$I$87,M801=phu!$I$88),"Cam Thịnh Tây",""),IF(OR(M801=phu!$I$89,M801=phu!$I$90),"Cam Lập",""),IF(OR(M801=phu!$I$91,M801=phu!$I$92,M801=phu!$I$93),"Cam Bình",""),IF(OR(M801=phu!$I$94,M801=phu!$I$95,M801=phu!$I$96,M801=phu!$I$97,M801=phu!$I$98,M801=phu!$I$99,M801=phu!$I$100),"Huyện khác",""),IF(OR(M801=phu!$I$101,M801=phu!$I$102),"Tỉnh khác",""))</f>
        <v/>
      </c>
      <c r="O801" s="814" t="str">
        <f t="shared" si="73"/>
        <v/>
      </c>
      <c r="P801" s="254"/>
      <c r="Q801" s="254"/>
      <c r="R801" s="254"/>
      <c r="S801" s="254"/>
      <c r="T801" s="254"/>
      <c r="U801" s="254"/>
      <c r="V801" s="254"/>
      <c r="W801" s="254"/>
      <c r="Y801" s="246" t="str">
        <f t="shared" si="74"/>
        <v/>
      </c>
      <c r="Z801" s="247" t="str">
        <f t="shared" si="72"/>
        <v/>
      </c>
      <c r="AA801" s="246" t="str">
        <f t="shared" si="75"/>
        <v/>
      </c>
    </row>
    <row r="802" spans="1:27" x14ac:dyDescent="0.25">
      <c r="A802" s="248" t="str">
        <f t="shared" si="76"/>
        <v/>
      </c>
      <c r="B802" s="249" t="str">
        <f t="shared" si="77"/>
        <v/>
      </c>
      <c r="C802" s="250"/>
      <c r="D802" s="251"/>
      <c r="E802" s="241"/>
      <c r="F802" s="252"/>
      <c r="G802" s="252"/>
      <c r="H802" s="253"/>
      <c r="I802" s="250"/>
      <c r="J802" s="250"/>
      <c r="K802" s="270"/>
      <c r="L802" s="250"/>
      <c r="M802" s="250"/>
      <c r="N802" s="553" t="str">
        <f>CONCATENATE(IF(OR(M802=phu!$I$1,M802=phu!$I$2,M802=phu!$I$3),"Cam Thành Nam",""),IF(OR(M802=phu!$I$4,M802=phu!$I$5,M802=phu!$I$6,M802=phu!$I$7,M802=phu!$I$8,M802=phu!$I$9,M802=phu!$I$10,M802=phu!$I$11,M802=phu!$I$12,M802=phu!$I$13,M802=phu!$I$14),"Cam Nghĩa",""),IF(OR(M802=phu!$I$15,M802=phu!$I$16,M802=phu!$I$17,M802=phu!$I$18,M802=phu!$I$19,M802=phu!$I$20,M802=phu!$I$21),"Cam Phúc Bắc",""),IF(OR(M802=phu!$I$22,M802=phu!$I$23,M802=phu!$I$24,M802=phu!$I$25),"Cam Phúc Nam",""),IF(OR(M802=phu!$I$26,M802=phu!$I$27,M802=phu!$I$28,M802=phu!$I$29,M802=phu!$I$30,M802=phu!$I$31),"Cam Phú",""),IF(OR(M802=phu!$I$32,M802=phu!$I$33,M802=phu!$I$34,M802=phu!$I$35,M802=phu!$I$36,M802=phu!$I$37),"Cam Lộc",""),IF(OR(M802=phu!$I$38,M802=phu!$I$39,M802=phu!$I$40,M802=phu!$I$41,M802=phu!$I$42,M802=phu!$I$43,M802=phu!$I$44),"Cam Thuận",""),IF(OR(M802=phu!$I$45,M802=phu!$I$46,M802=phu!$I$47,M802=phu!$I$48,M802=phu!$I$49,M802=phu!$I$50,M802=phu!$I$51,M802=phu!$I$52,M802=phu!$I$53),"Cam Linh",""),IF(OR(M802=phu!$I$54,M802=phu!$I$55,M802=phu!$I$56,M802=phu!$I$57,M802=phu!$I$58,M802=phu!$I$59,M802=phu!$I$60,M802=phu!$I$61,M802=phu!$I$62),"Cam Lợi",""),IF(OR(M802=phu!$I$63,M802=phu!$I$64,M802=phu!$I$65,M802=phu!$I$66,M802=phu!$I$67,M802=phu!$I$68,M802=phu!$I$69,M802=phu!$I$70,M802=phu!$I$71),"Ba Ngòi",""),IF(OR(M802=phu!$I$72,M802=phu!$I$73,M802=phu!$I$74,M802=phu!$I$75,M802=phu!$I$76,M802=phu!$I$77,M802=phu!$I$78),"Cam Phước Đông",""),IF(OR(M802=phu!$I$79,M802=phu!$I$80,M802=phu!$I$81,M802=phu!$I$82,M802=phu!$I$83,M802=phu!$I$84),"Cam Thịnh Đông",""),IF(OR(M802=phu!$I$85,M802=phu!$I$86,M802=phu!$I$87,M802=phu!$I$88),"Cam Thịnh Tây",""),IF(OR(M802=phu!$I$89,M802=phu!$I$90),"Cam Lập",""),IF(OR(M802=phu!$I$91,M802=phu!$I$92,M802=phu!$I$93),"Cam Bình",""),IF(OR(M802=phu!$I$94,M802=phu!$I$95,M802=phu!$I$96,M802=phu!$I$97,M802=phu!$I$98,M802=phu!$I$99,M802=phu!$I$100),"Huyện khác",""),IF(OR(M802=phu!$I$101,M802=phu!$I$102),"Tỉnh khác",""))</f>
        <v/>
      </c>
      <c r="O802" s="814" t="str">
        <f t="shared" si="73"/>
        <v/>
      </c>
      <c r="P802" s="254"/>
      <c r="Q802" s="254"/>
      <c r="R802" s="254"/>
      <c r="S802" s="254"/>
      <c r="T802" s="254"/>
      <c r="U802" s="254"/>
      <c r="V802" s="254"/>
      <c r="W802" s="254"/>
      <c r="Y802" s="246" t="str">
        <f t="shared" si="74"/>
        <v/>
      </c>
      <c r="Z802" s="247" t="str">
        <f t="shared" si="72"/>
        <v/>
      </c>
      <c r="AA802" s="246" t="str">
        <f t="shared" si="75"/>
        <v/>
      </c>
    </row>
    <row r="803" spans="1:27" x14ac:dyDescent="0.25">
      <c r="A803" s="248" t="str">
        <f t="shared" si="76"/>
        <v/>
      </c>
      <c r="B803" s="249" t="str">
        <f t="shared" si="77"/>
        <v/>
      </c>
      <c r="C803" s="250"/>
      <c r="D803" s="251"/>
      <c r="E803" s="241"/>
      <c r="F803" s="252"/>
      <c r="G803" s="252"/>
      <c r="H803" s="253"/>
      <c r="I803" s="250"/>
      <c r="J803" s="250"/>
      <c r="K803" s="270"/>
      <c r="L803" s="250"/>
      <c r="M803" s="250"/>
      <c r="N803" s="553" t="str">
        <f>CONCATENATE(IF(OR(M803=phu!$I$1,M803=phu!$I$2,M803=phu!$I$3),"Cam Thành Nam",""),IF(OR(M803=phu!$I$4,M803=phu!$I$5,M803=phu!$I$6,M803=phu!$I$7,M803=phu!$I$8,M803=phu!$I$9,M803=phu!$I$10,M803=phu!$I$11,M803=phu!$I$12,M803=phu!$I$13,M803=phu!$I$14),"Cam Nghĩa",""),IF(OR(M803=phu!$I$15,M803=phu!$I$16,M803=phu!$I$17,M803=phu!$I$18,M803=phu!$I$19,M803=phu!$I$20,M803=phu!$I$21),"Cam Phúc Bắc",""),IF(OR(M803=phu!$I$22,M803=phu!$I$23,M803=phu!$I$24,M803=phu!$I$25),"Cam Phúc Nam",""),IF(OR(M803=phu!$I$26,M803=phu!$I$27,M803=phu!$I$28,M803=phu!$I$29,M803=phu!$I$30,M803=phu!$I$31),"Cam Phú",""),IF(OR(M803=phu!$I$32,M803=phu!$I$33,M803=phu!$I$34,M803=phu!$I$35,M803=phu!$I$36,M803=phu!$I$37),"Cam Lộc",""),IF(OR(M803=phu!$I$38,M803=phu!$I$39,M803=phu!$I$40,M803=phu!$I$41,M803=phu!$I$42,M803=phu!$I$43,M803=phu!$I$44),"Cam Thuận",""),IF(OR(M803=phu!$I$45,M803=phu!$I$46,M803=phu!$I$47,M803=phu!$I$48,M803=phu!$I$49,M803=phu!$I$50,M803=phu!$I$51,M803=phu!$I$52,M803=phu!$I$53),"Cam Linh",""),IF(OR(M803=phu!$I$54,M803=phu!$I$55,M803=phu!$I$56,M803=phu!$I$57,M803=phu!$I$58,M803=phu!$I$59,M803=phu!$I$60,M803=phu!$I$61,M803=phu!$I$62),"Cam Lợi",""),IF(OR(M803=phu!$I$63,M803=phu!$I$64,M803=phu!$I$65,M803=phu!$I$66,M803=phu!$I$67,M803=phu!$I$68,M803=phu!$I$69,M803=phu!$I$70,M803=phu!$I$71),"Ba Ngòi",""),IF(OR(M803=phu!$I$72,M803=phu!$I$73,M803=phu!$I$74,M803=phu!$I$75,M803=phu!$I$76,M803=phu!$I$77,M803=phu!$I$78),"Cam Phước Đông",""),IF(OR(M803=phu!$I$79,M803=phu!$I$80,M803=phu!$I$81,M803=phu!$I$82,M803=phu!$I$83,M803=phu!$I$84),"Cam Thịnh Đông",""),IF(OR(M803=phu!$I$85,M803=phu!$I$86,M803=phu!$I$87,M803=phu!$I$88),"Cam Thịnh Tây",""),IF(OR(M803=phu!$I$89,M803=phu!$I$90),"Cam Lập",""),IF(OR(M803=phu!$I$91,M803=phu!$I$92,M803=phu!$I$93),"Cam Bình",""),IF(OR(M803=phu!$I$94,M803=phu!$I$95,M803=phu!$I$96,M803=phu!$I$97,M803=phu!$I$98,M803=phu!$I$99,M803=phu!$I$100),"Huyện khác",""),IF(OR(M803=phu!$I$101,M803=phu!$I$102),"Tỉnh khác",""))</f>
        <v/>
      </c>
      <c r="O803" s="814" t="str">
        <f t="shared" si="73"/>
        <v/>
      </c>
      <c r="P803" s="254"/>
      <c r="Q803" s="254"/>
      <c r="R803" s="254"/>
      <c r="S803" s="254"/>
      <c r="T803" s="254"/>
      <c r="U803" s="254"/>
      <c r="V803" s="254"/>
      <c r="W803" s="254"/>
      <c r="Y803" s="246" t="str">
        <f t="shared" si="74"/>
        <v/>
      </c>
      <c r="Z803" s="247" t="str">
        <f t="shared" si="72"/>
        <v/>
      </c>
      <c r="AA803" s="246" t="str">
        <f t="shared" si="75"/>
        <v/>
      </c>
    </row>
    <row r="804" spans="1:27" x14ac:dyDescent="0.25">
      <c r="A804" s="248" t="str">
        <f t="shared" si="76"/>
        <v/>
      </c>
      <c r="B804" s="249" t="str">
        <f t="shared" si="77"/>
        <v/>
      </c>
      <c r="C804" s="250"/>
      <c r="D804" s="251"/>
      <c r="E804" s="241"/>
      <c r="F804" s="252"/>
      <c r="G804" s="252"/>
      <c r="H804" s="253"/>
      <c r="I804" s="250"/>
      <c r="J804" s="250"/>
      <c r="K804" s="270"/>
      <c r="L804" s="250"/>
      <c r="M804" s="250"/>
      <c r="N804" s="553" t="str">
        <f>CONCATENATE(IF(OR(M804=phu!$I$1,M804=phu!$I$2,M804=phu!$I$3),"Cam Thành Nam",""),IF(OR(M804=phu!$I$4,M804=phu!$I$5,M804=phu!$I$6,M804=phu!$I$7,M804=phu!$I$8,M804=phu!$I$9,M804=phu!$I$10,M804=phu!$I$11,M804=phu!$I$12,M804=phu!$I$13,M804=phu!$I$14),"Cam Nghĩa",""),IF(OR(M804=phu!$I$15,M804=phu!$I$16,M804=phu!$I$17,M804=phu!$I$18,M804=phu!$I$19,M804=phu!$I$20,M804=phu!$I$21),"Cam Phúc Bắc",""),IF(OR(M804=phu!$I$22,M804=phu!$I$23,M804=phu!$I$24,M804=phu!$I$25),"Cam Phúc Nam",""),IF(OR(M804=phu!$I$26,M804=phu!$I$27,M804=phu!$I$28,M804=phu!$I$29,M804=phu!$I$30,M804=phu!$I$31),"Cam Phú",""),IF(OR(M804=phu!$I$32,M804=phu!$I$33,M804=phu!$I$34,M804=phu!$I$35,M804=phu!$I$36,M804=phu!$I$37),"Cam Lộc",""),IF(OR(M804=phu!$I$38,M804=phu!$I$39,M804=phu!$I$40,M804=phu!$I$41,M804=phu!$I$42,M804=phu!$I$43,M804=phu!$I$44),"Cam Thuận",""),IF(OR(M804=phu!$I$45,M804=phu!$I$46,M804=phu!$I$47,M804=phu!$I$48,M804=phu!$I$49,M804=phu!$I$50,M804=phu!$I$51,M804=phu!$I$52,M804=phu!$I$53),"Cam Linh",""),IF(OR(M804=phu!$I$54,M804=phu!$I$55,M804=phu!$I$56,M804=phu!$I$57,M804=phu!$I$58,M804=phu!$I$59,M804=phu!$I$60,M804=phu!$I$61,M804=phu!$I$62),"Cam Lợi",""),IF(OR(M804=phu!$I$63,M804=phu!$I$64,M804=phu!$I$65,M804=phu!$I$66,M804=phu!$I$67,M804=phu!$I$68,M804=phu!$I$69,M804=phu!$I$70,M804=phu!$I$71),"Ba Ngòi",""),IF(OR(M804=phu!$I$72,M804=phu!$I$73,M804=phu!$I$74,M804=phu!$I$75,M804=phu!$I$76,M804=phu!$I$77,M804=phu!$I$78),"Cam Phước Đông",""),IF(OR(M804=phu!$I$79,M804=phu!$I$80,M804=phu!$I$81,M804=phu!$I$82,M804=phu!$I$83,M804=phu!$I$84),"Cam Thịnh Đông",""),IF(OR(M804=phu!$I$85,M804=phu!$I$86,M804=phu!$I$87,M804=phu!$I$88),"Cam Thịnh Tây",""),IF(OR(M804=phu!$I$89,M804=phu!$I$90),"Cam Lập",""),IF(OR(M804=phu!$I$91,M804=phu!$I$92,M804=phu!$I$93),"Cam Bình",""),IF(OR(M804=phu!$I$94,M804=phu!$I$95,M804=phu!$I$96,M804=phu!$I$97,M804=phu!$I$98,M804=phu!$I$99,M804=phu!$I$100),"Huyện khác",""),IF(OR(M804=phu!$I$101,M804=phu!$I$102),"Tỉnh khác",""))</f>
        <v/>
      </c>
      <c r="O804" s="814" t="str">
        <f t="shared" si="73"/>
        <v/>
      </c>
      <c r="P804" s="254"/>
      <c r="Q804" s="254"/>
      <c r="R804" s="254"/>
      <c r="S804" s="254"/>
      <c r="T804" s="254"/>
      <c r="U804" s="254"/>
      <c r="V804" s="254"/>
      <c r="W804" s="254"/>
      <c r="Y804" s="246" t="str">
        <f t="shared" si="74"/>
        <v/>
      </c>
      <c r="Z804" s="247" t="str">
        <f t="shared" si="72"/>
        <v/>
      </c>
      <c r="AA804" s="246" t="str">
        <f t="shared" si="75"/>
        <v/>
      </c>
    </row>
    <row r="805" spans="1:27" x14ac:dyDescent="0.25">
      <c r="A805" s="248" t="str">
        <f t="shared" si="76"/>
        <v/>
      </c>
      <c r="B805" s="249" t="str">
        <f t="shared" si="77"/>
        <v/>
      </c>
      <c r="C805" s="250"/>
      <c r="D805" s="251"/>
      <c r="E805" s="241"/>
      <c r="F805" s="252"/>
      <c r="G805" s="252"/>
      <c r="H805" s="253"/>
      <c r="I805" s="250"/>
      <c r="J805" s="250"/>
      <c r="K805" s="270"/>
      <c r="L805" s="250"/>
      <c r="M805" s="250"/>
      <c r="N805" s="553" t="str">
        <f>CONCATENATE(IF(OR(M805=phu!$I$1,M805=phu!$I$2,M805=phu!$I$3),"Cam Thành Nam",""),IF(OR(M805=phu!$I$4,M805=phu!$I$5,M805=phu!$I$6,M805=phu!$I$7,M805=phu!$I$8,M805=phu!$I$9,M805=phu!$I$10,M805=phu!$I$11,M805=phu!$I$12,M805=phu!$I$13,M805=phu!$I$14),"Cam Nghĩa",""),IF(OR(M805=phu!$I$15,M805=phu!$I$16,M805=phu!$I$17,M805=phu!$I$18,M805=phu!$I$19,M805=phu!$I$20,M805=phu!$I$21),"Cam Phúc Bắc",""),IF(OR(M805=phu!$I$22,M805=phu!$I$23,M805=phu!$I$24,M805=phu!$I$25),"Cam Phúc Nam",""),IF(OR(M805=phu!$I$26,M805=phu!$I$27,M805=phu!$I$28,M805=phu!$I$29,M805=phu!$I$30,M805=phu!$I$31),"Cam Phú",""),IF(OR(M805=phu!$I$32,M805=phu!$I$33,M805=phu!$I$34,M805=phu!$I$35,M805=phu!$I$36,M805=phu!$I$37),"Cam Lộc",""),IF(OR(M805=phu!$I$38,M805=phu!$I$39,M805=phu!$I$40,M805=phu!$I$41,M805=phu!$I$42,M805=phu!$I$43,M805=phu!$I$44),"Cam Thuận",""),IF(OR(M805=phu!$I$45,M805=phu!$I$46,M805=phu!$I$47,M805=phu!$I$48,M805=phu!$I$49,M805=phu!$I$50,M805=phu!$I$51,M805=phu!$I$52,M805=phu!$I$53),"Cam Linh",""),IF(OR(M805=phu!$I$54,M805=phu!$I$55,M805=phu!$I$56,M805=phu!$I$57,M805=phu!$I$58,M805=phu!$I$59,M805=phu!$I$60,M805=phu!$I$61,M805=phu!$I$62),"Cam Lợi",""),IF(OR(M805=phu!$I$63,M805=phu!$I$64,M805=phu!$I$65,M805=phu!$I$66,M805=phu!$I$67,M805=phu!$I$68,M805=phu!$I$69,M805=phu!$I$70,M805=phu!$I$71),"Ba Ngòi",""),IF(OR(M805=phu!$I$72,M805=phu!$I$73,M805=phu!$I$74,M805=phu!$I$75,M805=phu!$I$76,M805=phu!$I$77,M805=phu!$I$78),"Cam Phước Đông",""),IF(OR(M805=phu!$I$79,M805=phu!$I$80,M805=phu!$I$81,M805=phu!$I$82,M805=phu!$I$83,M805=phu!$I$84),"Cam Thịnh Đông",""),IF(OR(M805=phu!$I$85,M805=phu!$I$86,M805=phu!$I$87,M805=phu!$I$88),"Cam Thịnh Tây",""),IF(OR(M805=phu!$I$89,M805=phu!$I$90),"Cam Lập",""),IF(OR(M805=phu!$I$91,M805=phu!$I$92,M805=phu!$I$93),"Cam Bình",""),IF(OR(M805=phu!$I$94,M805=phu!$I$95,M805=phu!$I$96,M805=phu!$I$97,M805=phu!$I$98,M805=phu!$I$99,M805=phu!$I$100),"Huyện khác",""),IF(OR(M805=phu!$I$101,M805=phu!$I$102),"Tỉnh khác",""))</f>
        <v/>
      </c>
      <c r="O805" s="814" t="str">
        <f t="shared" si="73"/>
        <v/>
      </c>
      <c r="P805" s="254"/>
      <c r="Q805" s="254"/>
      <c r="R805" s="254"/>
      <c r="S805" s="254"/>
      <c r="T805" s="254"/>
      <c r="U805" s="254"/>
      <c r="V805" s="254"/>
      <c r="W805" s="254"/>
      <c r="Y805" s="246" t="str">
        <f t="shared" si="74"/>
        <v/>
      </c>
      <c r="Z805" s="247" t="str">
        <f t="shared" si="72"/>
        <v/>
      </c>
      <c r="AA805" s="246" t="str">
        <f t="shared" si="75"/>
        <v/>
      </c>
    </row>
    <row r="806" spans="1:27" x14ac:dyDescent="0.25">
      <c r="A806" s="248" t="str">
        <f t="shared" si="76"/>
        <v/>
      </c>
      <c r="B806" s="249" t="str">
        <f t="shared" si="77"/>
        <v/>
      </c>
      <c r="C806" s="250"/>
      <c r="D806" s="251"/>
      <c r="E806" s="241"/>
      <c r="F806" s="252"/>
      <c r="G806" s="252"/>
      <c r="H806" s="253"/>
      <c r="I806" s="250"/>
      <c r="J806" s="250"/>
      <c r="K806" s="270"/>
      <c r="L806" s="250"/>
      <c r="M806" s="250"/>
      <c r="N806" s="553" t="str">
        <f>CONCATENATE(IF(OR(M806=phu!$I$1,M806=phu!$I$2,M806=phu!$I$3),"Cam Thành Nam",""),IF(OR(M806=phu!$I$4,M806=phu!$I$5,M806=phu!$I$6,M806=phu!$I$7,M806=phu!$I$8,M806=phu!$I$9,M806=phu!$I$10,M806=phu!$I$11,M806=phu!$I$12,M806=phu!$I$13,M806=phu!$I$14),"Cam Nghĩa",""),IF(OR(M806=phu!$I$15,M806=phu!$I$16,M806=phu!$I$17,M806=phu!$I$18,M806=phu!$I$19,M806=phu!$I$20,M806=phu!$I$21),"Cam Phúc Bắc",""),IF(OR(M806=phu!$I$22,M806=phu!$I$23,M806=phu!$I$24,M806=phu!$I$25),"Cam Phúc Nam",""),IF(OR(M806=phu!$I$26,M806=phu!$I$27,M806=phu!$I$28,M806=phu!$I$29,M806=phu!$I$30,M806=phu!$I$31),"Cam Phú",""),IF(OR(M806=phu!$I$32,M806=phu!$I$33,M806=phu!$I$34,M806=phu!$I$35,M806=phu!$I$36,M806=phu!$I$37),"Cam Lộc",""),IF(OR(M806=phu!$I$38,M806=phu!$I$39,M806=phu!$I$40,M806=phu!$I$41,M806=phu!$I$42,M806=phu!$I$43,M806=phu!$I$44),"Cam Thuận",""),IF(OR(M806=phu!$I$45,M806=phu!$I$46,M806=phu!$I$47,M806=phu!$I$48,M806=phu!$I$49,M806=phu!$I$50,M806=phu!$I$51,M806=phu!$I$52,M806=phu!$I$53),"Cam Linh",""),IF(OR(M806=phu!$I$54,M806=phu!$I$55,M806=phu!$I$56,M806=phu!$I$57,M806=phu!$I$58,M806=phu!$I$59,M806=phu!$I$60,M806=phu!$I$61,M806=phu!$I$62),"Cam Lợi",""),IF(OR(M806=phu!$I$63,M806=phu!$I$64,M806=phu!$I$65,M806=phu!$I$66,M806=phu!$I$67,M806=phu!$I$68,M806=phu!$I$69,M806=phu!$I$70,M806=phu!$I$71),"Ba Ngòi",""),IF(OR(M806=phu!$I$72,M806=phu!$I$73,M806=phu!$I$74,M806=phu!$I$75,M806=phu!$I$76,M806=phu!$I$77,M806=phu!$I$78),"Cam Phước Đông",""),IF(OR(M806=phu!$I$79,M806=phu!$I$80,M806=phu!$I$81,M806=phu!$I$82,M806=phu!$I$83,M806=phu!$I$84),"Cam Thịnh Đông",""),IF(OR(M806=phu!$I$85,M806=phu!$I$86,M806=phu!$I$87,M806=phu!$I$88),"Cam Thịnh Tây",""),IF(OR(M806=phu!$I$89,M806=phu!$I$90),"Cam Lập",""),IF(OR(M806=phu!$I$91,M806=phu!$I$92,M806=phu!$I$93),"Cam Bình",""),IF(OR(M806=phu!$I$94,M806=phu!$I$95,M806=phu!$I$96,M806=phu!$I$97,M806=phu!$I$98,M806=phu!$I$99,M806=phu!$I$100),"Huyện khác",""),IF(OR(M806=phu!$I$101,M806=phu!$I$102),"Tỉnh khác",""))</f>
        <v/>
      </c>
      <c r="O806" s="814" t="str">
        <f t="shared" si="73"/>
        <v/>
      </c>
      <c r="P806" s="254"/>
      <c r="Q806" s="254"/>
      <c r="R806" s="254"/>
      <c r="S806" s="254"/>
      <c r="T806" s="254"/>
      <c r="U806" s="254"/>
      <c r="V806" s="254"/>
      <c r="W806" s="254"/>
      <c r="Y806" s="246" t="str">
        <f t="shared" si="74"/>
        <v/>
      </c>
      <c r="Z806" s="247" t="str">
        <f t="shared" si="72"/>
        <v/>
      </c>
      <c r="AA806" s="246" t="str">
        <f t="shared" si="75"/>
        <v/>
      </c>
    </row>
    <row r="807" spans="1:27" x14ac:dyDescent="0.25">
      <c r="A807" s="248" t="str">
        <f t="shared" si="76"/>
        <v/>
      </c>
      <c r="B807" s="249" t="str">
        <f t="shared" si="77"/>
        <v/>
      </c>
      <c r="C807" s="250"/>
      <c r="D807" s="251"/>
      <c r="E807" s="241"/>
      <c r="F807" s="252"/>
      <c r="G807" s="252"/>
      <c r="H807" s="253"/>
      <c r="I807" s="250"/>
      <c r="J807" s="250"/>
      <c r="K807" s="270"/>
      <c r="L807" s="250"/>
      <c r="M807" s="250"/>
      <c r="N807" s="553" t="str">
        <f>CONCATENATE(IF(OR(M807=phu!$I$1,M807=phu!$I$2,M807=phu!$I$3),"Cam Thành Nam",""),IF(OR(M807=phu!$I$4,M807=phu!$I$5,M807=phu!$I$6,M807=phu!$I$7,M807=phu!$I$8,M807=phu!$I$9,M807=phu!$I$10,M807=phu!$I$11,M807=phu!$I$12,M807=phu!$I$13,M807=phu!$I$14),"Cam Nghĩa",""),IF(OR(M807=phu!$I$15,M807=phu!$I$16,M807=phu!$I$17,M807=phu!$I$18,M807=phu!$I$19,M807=phu!$I$20,M807=phu!$I$21),"Cam Phúc Bắc",""),IF(OR(M807=phu!$I$22,M807=phu!$I$23,M807=phu!$I$24,M807=phu!$I$25),"Cam Phúc Nam",""),IF(OR(M807=phu!$I$26,M807=phu!$I$27,M807=phu!$I$28,M807=phu!$I$29,M807=phu!$I$30,M807=phu!$I$31),"Cam Phú",""),IF(OR(M807=phu!$I$32,M807=phu!$I$33,M807=phu!$I$34,M807=phu!$I$35,M807=phu!$I$36,M807=phu!$I$37),"Cam Lộc",""),IF(OR(M807=phu!$I$38,M807=phu!$I$39,M807=phu!$I$40,M807=phu!$I$41,M807=phu!$I$42,M807=phu!$I$43,M807=phu!$I$44),"Cam Thuận",""),IF(OR(M807=phu!$I$45,M807=phu!$I$46,M807=phu!$I$47,M807=phu!$I$48,M807=phu!$I$49,M807=phu!$I$50,M807=phu!$I$51,M807=phu!$I$52,M807=phu!$I$53),"Cam Linh",""),IF(OR(M807=phu!$I$54,M807=phu!$I$55,M807=phu!$I$56,M807=phu!$I$57,M807=phu!$I$58,M807=phu!$I$59,M807=phu!$I$60,M807=phu!$I$61,M807=phu!$I$62),"Cam Lợi",""),IF(OR(M807=phu!$I$63,M807=phu!$I$64,M807=phu!$I$65,M807=phu!$I$66,M807=phu!$I$67,M807=phu!$I$68,M807=phu!$I$69,M807=phu!$I$70,M807=phu!$I$71),"Ba Ngòi",""),IF(OR(M807=phu!$I$72,M807=phu!$I$73,M807=phu!$I$74,M807=phu!$I$75,M807=phu!$I$76,M807=phu!$I$77,M807=phu!$I$78),"Cam Phước Đông",""),IF(OR(M807=phu!$I$79,M807=phu!$I$80,M807=phu!$I$81,M807=phu!$I$82,M807=phu!$I$83,M807=phu!$I$84),"Cam Thịnh Đông",""),IF(OR(M807=phu!$I$85,M807=phu!$I$86,M807=phu!$I$87,M807=phu!$I$88),"Cam Thịnh Tây",""),IF(OR(M807=phu!$I$89,M807=phu!$I$90),"Cam Lập",""),IF(OR(M807=phu!$I$91,M807=phu!$I$92,M807=phu!$I$93),"Cam Bình",""),IF(OR(M807=phu!$I$94,M807=phu!$I$95,M807=phu!$I$96,M807=phu!$I$97,M807=phu!$I$98,M807=phu!$I$99,M807=phu!$I$100),"Huyện khác",""),IF(OR(M807=phu!$I$101,M807=phu!$I$102),"Tỉnh khác",""))</f>
        <v/>
      </c>
      <c r="O807" s="814" t="str">
        <f t="shared" si="73"/>
        <v/>
      </c>
      <c r="P807" s="254"/>
      <c r="Q807" s="254"/>
      <c r="R807" s="254"/>
      <c r="S807" s="254"/>
      <c r="T807" s="254"/>
      <c r="U807" s="254"/>
      <c r="V807" s="254"/>
      <c r="W807" s="254"/>
      <c r="Y807" s="246" t="str">
        <f t="shared" si="74"/>
        <v/>
      </c>
      <c r="Z807" s="247" t="str">
        <f t="shared" si="72"/>
        <v/>
      </c>
      <c r="AA807" s="246" t="str">
        <f t="shared" si="75"/>
        <v/>
      </c>
    </row>
    <row r="808" spans="1:27" x14ac:dyDescent="0.25">
      <c r="A808" s="248" t="str">
        <f t="shared" si="76"/>
        <v/>
      </c>
      <c r="B808" s="249" t="str">
        <f t="shared" si="77"/>
        <v/>
      </c>
      <c r="C808" s="250"/>
      <c r="D808" s="251"/>
      <c r="E808" s="241"/>
      <c r="F808" s="252"/>
      <c r="G808" s="252"/>
      <c r="H808" s="253"/>
      <c r="I808" s="250"/>
      <c r="J808" s="250"/>
      <c r="K808" s="270"/>
      <c r="L808" s="250"/>
      <c r="M808" s="250"/>
      <c r="N808" s="553" t="str">
        <f>CONCATENATE(IF(OR(M808=phu!$I$1,M808=phu!$I$2,M808=phu!$I$3),"Cam Thành Nam",""),IF(OR(M808=phu!$I$4,M808=phu!$I$5,M808=phu!$I$6,M808=phu!$I$7,M808=phu!$I$8,M808=phu!$I$9,M808=phu!$I$10,M808=phu!$I$11,M808=phu!$I$12,M808=phu!$I$13,M808=phu!$I$14),"Cam Nghĩa",""),IF(OR(M808=phu!$I$15,M808=phu!$I$16,M808=phu!$I$17,M808=phu!$I$18,M808=phu!$I$19,M808=phu!$I$20,M808=phu!$I$21),"Cam Phúc Bắc",""),IF(OR(M808=phu!$I$22,M808=phu!$I$23,M808=phu!$I$24,M808=phu!$I$25),"Cam Phúc Nam",""),IF(OR(M808=phu!$I$26,M808=phu!$I$27,M808=phu!$I$28,M808=phu!$I$29,M808=phu!$I$30,M808=phu!$I$31),"Cam Phú",""),IF(OR(M808=phu!$I$32,M808=phu!$I$33,M808=phu!$I$34,M808=phu!$I$35,M808=phu!$I$36,M808=phu!$I$37),"Cam Lộc",""),IF(OR(M808=phu!$I$38,M808=phu!$I$39,M808=phu!$I$40,M808=phu!$I$41,M808=phu!$I$42,M808=phu!$I$43,M808=phu!$I$44),"Cam Thuận",""),IF(OR(M808=phu!$I$45,M808=phu!$I$46,M808=phu!$I$47,M808=phu!$I$48,M808=phu!$I$49,M808=phu!$I$50,M808=phu!$I$51,M808=phu!$I$52,M808=phu!$I$53),"Cam Linh",""),IF(OR(M808=phu!$I$54,M808=phu!$I$55,M808=phu!$I$56,M808=phu!$I$57,M808=phu!$I$58,M808=phu!$I$59,M808=phu!$I$60,M808=phu!$I$61,M808=phu!$I$62),"Cam Lợi",""),IF(OR(M808=phu!$I$63,M808=phu!$I$64,M808=phu!$I$65,M808=phu!$I$66,M808=phu!$I$67,M808=phu!$I$68,M808=phu!$I$69,M808=phu!$I$70,M808=phu!$I$71),"Ba Ngòi",""),IF(OR(M808=phu!$I$72,M808=phu!$I$73,M808=phu!$I$74,M808=phu!$I$75,M808=phu!$I$76,M808=phu!$I$77,M808=phu!$I$78),"Cam Phước Đông",""),IF(OR(M808=phu!$I$79,M808=phu!$I$80,M808=phu!$I$81,M808=phu!$I$82,M808=phu!$I$83,M808=phu!$I$84),"Cam Thịnh Đông",""),IF(OR(M808=phu!$I$85,M808=phu!$I$86,M808=phu!$I$87,M808=phu!$I$88),"Cam Thịnh Tây",""),IF(OR(M808=phu!$I$89,M808=phu!$I$90),"Cam Lập",""),IF(OR(M808=phu!$I$91,M808=phu!$I$92,M808=phu!$I$93),"Cam Bình",""),IF(OR(M808=phu!$I$94,M808=phu!$I$95,M808=phu!$I$96,M808=phu!$I$97,M808=phu!$I$98,M808=phu!$I$99,M808=phu!$I$100),"Huyện khác",""),IF(OR(M808=phu!$I$101,M808=phu!$I$102),"Tỉnh khác",""))</f>
        <v/>
      </c>
      <c r="O808" s="814" t="str">
        <f t="shared" si="73"/>
        <v/>
      </c>
      <c r="P808" s="254"/>
      <c r="Q808" s="254"/>
      <c r="R808" s="254"/>
      <c r="S808" s="254"/>
      <c r="T808" s="254"/>
      <c r="U808" s="254"/>
      <c r="V808" s="254"/>
      <c r="W808" s="254"/>
      <c r="Y808" s="246" t="str">
        <f t="shared" si="74"/>
        <v/>
      </c>
      <c r="Z808" s="247" t="str">
        <f t="shared" si="72"/>
        <v/>
      </c>
      <c r="AA808" s="246" t="str">
        <f t="shared" si="75"/>
        <v/>
      </c>
    </row>
    <row r="809" spans="1:27" x14ac:dyDescent="0.25">
      <c r="A809" s="248" t="str">
        <f t="shared" si="76"/>
        <v/>
      </c>
      <c r="B809" s="249" t="str">
        <f t="shared" si="77"/>
        <v/>
      </c>
      <c r="C809" s="250"/>
      <c r="D809" s="251"/>
      <c r="E809" s="241"/>
      <c r="F809" s="252"/>
      <c r="G809" s="252"/>
      <c r="H809" s="253"/>
      <c r="I809" s="250"/>
      <c r="J809" s="250"/>
      <c r="K809" s="270"/>
      <c r="L809" s="250"/>
      <c r="M809" s="250"/>
      <c r="N809" s="553" t="str">
        <f>CONCATENATE(IF(OR(M809=phu!$I$1,M809=phu!$I$2,M809=phu!$I$3),"Cam Thành Nam",""),IF(OR(M809=phu!$I$4,M809=phu!$I$5,M809=phu!$I$6,M809=phu!$I$7,M809=phu!$I$8,M809=phu!$I$9,M809=phu!$I$10,M809=phu!$I$11,M809=phu!$I$12,M809=phu!$I$13,M809=phu!$I$14),"Cam Nghĩa",""),IF(OR(M809=phu!$I$15,M809=phu!$I$16,M809=phu!$I$17,M809=phu!$I$18,M809=phu!$I$19,M809=phu!$I$20,M809=phu!$I$21),"Cam Phúc Bắc",""),IF(OR(M809=phu!$I$22,M809=phu!$I$23,M809=phu!$I$24,M809=phu!$I$25),"Cam Phúc Nam",""),IF(OR(M809=phu!$I$26,M809=phu!$I$27,M809=phu!$I$28,M809=phu!$I$29,M809=phu!$I$30,M809=phu!$I$31),"Cam Phú",""),IF(OR(M809=phu!$I$32,M809=phu!$I$33,M809=phu!$I$34,M809=phu!$I$35,M809=phu!$I$36,M809=phu!$I$37),"Cam Lộc",""),IF(OR(M809=phu!$I$38,M809=phu!$I$39,M809=phu!$I$40,M809=phu!$I$41,M809=phu!$I$42,M809=phu!$I$43,M809=phu!$I$44),"Cam Thuận",""),IF(OR(M809=phu!$I$45,M809=phu!$I$46,M809=phu!$I$47,M809=phu!$I$48,M809=phu!$I$49,M809=phu!$I$50,M809=phu!$I$51,M809=phu!$I$52,M809=phu!$I$53),"Cam Linh",""),IF(OR(M809=phu!$I$54,M809=phu!$I$55,M809=phu!$I$56,M809=phu!$I$57,M809=phu!$I$58,M809=phu!$I$59,M809=phu!$I$60,M809=phu!$I$61,M809=phu!$I$62),"Cam Lợi",""),IF(OR(M809=phu!$I$63,M809=phu!$I$64,M809=phu!$I$65,M809=phu!$I$66,M809=phu!$I$67,M809=phu!$I$68,M809=phu!$I$69,M809=phu!$I$70,M809=phu!$I$71),"Ba Ngòi",""),IF(OR(M809=phu!$I$72,M809=phu!$I$73,M809=phu!$I$74,M809=phu!$I$75,M809=phu!$I$76,M809=phu!$I$77,M809=phu!$I$78),"Cam Phước Đông",""),IF(OR(M809=phu!$I$79,M809=phu!$I$80,M809=phu!$I$81,M809=phu!$I$82,M809=phu!$I$83,M809=phu!$I$84),"Cam Thịnh Đông",""),IF(OR(M809=phu!$I$85,M809=phu!$I$86,M809=phu!$I$87,M809=phu!$I$88),"Cam Thịnh Tây",""),IF(OR(M809=phu!$I$89,M809=phu!$I$90),"Cam Lập",""),IF(OR(M809=phu!$I$91,M809=phu!$I$92,M809=phu!$I$93),"Cam Bình",""),IF(OR(M809=phu!$I$94,M809=phu!$I$95,M809=phu!$I$96,M809=phu!$I$97,M809=phu!$I$98,M809=phu!$I$99,M809=phu!$I$100),"Huyện khác",""),IF(OR(M809=phu!$I$101,M809=phu!$I$102),"Tỉnh khác",""))</f>
        <v/>
      </c>
      <c r="O809" s="814" t="str">
        <f t="shared" si="73"/>
        <v/>
      </c>
      <c r="P809" s="254"/>
      <c r="Q809" s="254"/>
      <c r="R809" s="254"/>
      <c r="S809" s="254"/>
      <c r="T809" s="254"/>
      <c r="U809" s="254"/>
      <c r="V809" s="254"/>
      <c r="W809" s="254"/>
      <c r="Y809" s="246" t="str">
        <f t="shared" si="74"/>
        <v/>
      </c>
      <c r="Z809" s="247" t="str">
        <f t="shared" si="72"/>
        <v/>
      </c>
      <c r="AA809" s="246" t="str">
        <f t="shared" si="75"/>
        <v/>
      </c>
    </row>
    <row r="810" spans="1:27" x14ac:dyDescent="0.25">
      <c r="A810" s="248" t="str">
        <f t="shared" si="76"/>
        <v/>
      </c>
      <c r="B810" s="249" t="str">
        <f t="shared" si="77"/>
        <v/>
      </c>
      <c r="C810" s="250"/>
      <c r="D810" s="251"/>
      <c r="E810" s="241"/>
      <c r="F810" s="252"/>
      <c r="G810" s="252"/>
      <c r="H810" s="253"/>
      <c r="I810" s="250"/>
      <c r="J810" s="250"/>
      <c r="K810" s="270"/>
      <c r="L810" s="250"/>
      <c r="M810" s="250"/>
      <c r="N810" s="553" t="str">
        <f>CONCATENATE(IF(OR(M810=phu!$I$1,M810=phu!$I$2,M810=phu!$I$3),"Cam Thành Nam",""),IF(OR(M810=phu!$I$4,M810=phu!$I$5,M810=phu!$I$6,M810=phu!$I$7,M810=phu!$I$8,M810=phu!$I$9,M810=phu!$I$10,M810=phu!$I$11,M810=phu!$I$12,M810=phu!$I$13,M810=phu!$I$14),"Cam Nghĩa",""),IF(OR(M810=phu!$I$15,M810=phu!$I$16,M810=phu!$I$17,M810=phu!$I$18,M810=phu!$I$19,M810=phu!$I$20,M810=phu!$I$21),"Cam Phúc Bắc",""),IF(OR(M810=phu!$I$22,M810=phu!$I$23,M810=phu!$I$24,M810=phu!$I$25),"Cam Phúc Nam",""),IF(OR(M810=phu!$I$26,M810=phu!$I$27,M810=phu!$I$28,M810=phu!$I$29,M810=phu!$I$30,M810=phu!$I$31),"Cam Phú",""),IF(OR(M810=phu!$I$32,M810=phu!$I$33,M810=phu!$I$34,M810=phu!$I$35,M810=phu!$I$36,M810=phu!$I$37),"Cam Lộc",""),IF(OR(M810=phu!$I$38,M810=phu!$I$39,M810=phu!$I$40,M810=phu!$I$41,M810=phu!$I$42,M810=phu!$I$43,M810=phu!$I$44),"Cam Thuận",""),IF(OR(M810=phu!$I$45,M810=phu!$I$46,M810=phu!$I$47,M810=phu!$I$48,M810=phu!$I$49,M810=phu!$I$50,M810=phu!$I$51,M810=phu!$I$52,M810=phu!$I$53),"Cam Linh",""),IF(OR(M810=phu!$I$54,M810=phu!$I$55,M810=phu!$I$56,M810=phu!$I$57,M810=phu!$I$58,M810=phu!$I$59,M810=phu!$I$60,M810=phu!$I$61,M810=phu!$I$62),"Cam Lợi",""),IF(OR(M810=phu!$I$63,M810=phu!$I$64,M810=phu!$I$65,M810=phu!$I$66,M810=phu!$I$67,M810=phu!$I$68,M810=phu!$I$69,M810=phu!$I$70,M810=phu!$I$71),"Ba Ngòi",""),IF(OR(M810=phu!$I$72,M810=phu!$I$73,M810=phu!$I$74,M810=phu!$I$75,M810=phu!$I$76,M810=phu!$I$77,M810=phu!$I$78),"Cam Phước Đông",""),IF(OR(M810=phu!$I$79,M810=phu!$I$80,M810=phu!$I$81,M810=phu!$I$82,M810=phu!$I$83,M810=phu!$I$84),"Cam Thịnh Đông",""),IF(OR(M810=phu!$I$85,M810=phu!$I$86,M810=phu!$I$87,M810=phu!$I$88),"Cam Thịnh Tây",""),IF(OR(M810=phu!$I$89,M810=phu!$I$90),"Cam Lập",""),IF(OR(M810=phu!$I$91,M810=phu!$I$92,M810=phu!$I$93),"Cam Bình",""),IF(OR(M810=phu!$I$94,M810=phu!$I$95,M810=phu!$I$96,M810=phu!$I$97,M810=phu!$I$98,M810=phu!$I$99,M810=phu!$I$100),"Huyện khác",""),IF(OR(M810=phu!$I$101,M810=phu!$I$102),"Tỉnh khác",""))</f>
        <v/>
      </c>
      <c r="O810" s="814" t="str">
        <f t="shared" si="73"/>
        <v/>
      </c>
      <c r="P810" s="254"/>
      <c r="Q810" s="254"/>
      <c r="R810" s="254"/>
      <c r="S810" s="254"/>
      <c r="T810" s="254"/>
      <c r="U810" s="254"/>
      <c r="V810" s="254"/>
      <c r="W810" s="254"/>
      <c r="Y810" s="246" t="str">
        <f t="shared" si="74"/>
        <v/>
      </c>
      <c r="Z810" s="247" t="str">
        <f t="shared" si="72"/>
        <v/>
      </c>
      <c r="AA810" s="246" t="str">
        <f t="shared" si="75"/>
        <v/>
      </c>
    </row>
    <row r="811" spans="1:27" x14ac:dyDescent="0.25">
      <c r="A811" s="248" t="str">
        <f t="shared" si="76"/>
        <v/>
      </c>
      <c r="B811" s="249" t="str">
        <f t="shared" si="77"/>
        <v/>
      </c>
      <c r="C811" s="250"/>
      <c r="D811" s="251"/>
      <c r="E811" s="241"/>
      <c r="F811" s="252"/>
      <c r="G811" s="252"/>
      <c r="H811" s="253"/>
      <c r="I811" s="250"/>
      <c r="J811" s="250"/>
      <c r="K811" s="270"/>
      <c r="L811" s="250"/>
      <c r="M811" s="250"/>
      <c r="N811" s="553" t="str">
        <f>CONCATENATE(IF(OR(M811=phu!$I$1,M811=phu!$I$2,M811=phu!$I$3),"Cam Thành Nam",""),IF(OR(M811=phu!$I$4,M811=phu!$I$5,M811=phu!$I$6,M811=phu!$I$7,M811=phu!$I$8,M811=phu!$I$9,M811=phu!$I$10,M811=phu!$I$11,M811=phu!$I$12,M811=phu!$I$13,M811=phu!$I$14),"Cam Nghĩa",""),IF(OR(M811=phu!$I$15,M811=phu!$I$16,M811=phu!$I$17,M811=phu!$I$18,M811=phu!$I$19,M811=phu!$I$20,M811=phu!$I$21),"Cam Phúc Bắc",""),IF(OR(M811=phu!$I$22,M811=phu!$I$23,M811=phu!$I$24,M811=phu!$I$25),"Cam Phúc Nam",""),IF(OR(M811=phu!$I$26,M811=phu!$I$27,M811=phu!$I$28,M811=phu!$I$29,M811=phu!$I$30,M811=phu!$I$31),"Cam Phú",""),IF(OR(M811=phu!$I$32,M811=phu!$I$33,M811=phu!$I$34,M811=phu!$I$35,M811=phu!$I$36,M811=phu!$I$37),"Cam Lộc",""),IF(OR(M811=phu!$I$38,M811=phu!$I$39,M811=phu!$I$40,M811=phu!$I$41,M811=phu!$I$42,M811=phu!$I$43,M811=phu!$I$44),"Cam Thuận",""),IF(OR(M811=phu!$I$45,M811=phu!$I$46,M811=phu!$I$47,M811=phu!$I$48,M811=phu!$I$49,M811=phu!$I$50,M811=phu!$I$51,M811=phu!$I$52,M811=phu!$I$53),"Cam Linh",""),IF(OR(M811=phu!$I$54,M811=phu!$I$55,M811=phu!$I$56,M811=phu!$I$57,M811=phu!$I$58,M811=phu!$I$59,M811=phu!$I$60,M811=phu!$I$61,M811=phu!$I$62),"Cam Lợi",""),IF(OR(M811=phu!$I$63,M811=phu!$I$64,M811=phu!$I$65,M811=phu!$I$66,M811=phu!$I$67,M811=phu!$I$68,M811=phu!$I$69,M811=phu!$I$70,M811=phu!$I$71),"Ba Ngòi",""),IF(OR(M811=phu!$I$72,M811=phu!$I$73,M811=phu!$I$74,M811=phu!$I$75,M811=phu!$I$76,M811=phu!$I$77,M811=phu!$I$78),"Cam Phước Đông",""),IF(OR(M811=phu!$I$79,M811=phu!$I$80,M811=phu!$I$81,M811=phu!$I$82,M811=phu!$I$83,M811=phu!$I$84),"Cam Thịnh Đông",""),IF(OR(M811=phu!$I$85,M811=phu!$I$86,M811=phu!$I$87,M811=phu!$I$88),"Cam Thịnh Tây",""),IF(OR(M811=phu!$I$89,M811=phu!$I$90),"Cam Lập",""),IF(OR(M811=phu!$I$91,M811=phu!$I$92,M811=phu!$I$93),"Cam Bình",""),IF(OR(M811=phu!$I$94,M811=phu!$I$95,M811=phu!$I$96,M811=phu!$I$97,M811=phu!$I$98,M811=phu!$I$99,M811=phu!$I$100),"Huyện khác",""),IF(OR(M811=phu!$I$101,M811=phu!$I$102),"Tỉnh khác",""))</f>
        <v/>
      </c>
      <c r="O811" s="814" t="str">
        <f t="shared" si="73"/>
        <v/>
      </c>
      <c r="P811" s="254"/>
      <c r="Q811" s="254"/>
      <c r="R811" s="254"/>
      <c r="S811" s="254"/>
      <c r="T811" s="254"/>
      <c r="U811" s="254"/>
      <c r="V811" s="254"/>
      <c r="W811" s="254"/>
      <c r="Y811" s="246" t="str">
        <f t="shared" si="74"/>
        <v/>
      </c>
      <c r="Z811" s="247" t="str">
        <f t="shared" si="72"/>
        <v/>
      </c>
      <c r="AA811" s="246" t="str">
        <f t="shared" si="75"/>
        <v/>
      </c>
    </row>
    <row r="812" spans="1:27" x14ac:dyDescent="0.25">
      <c r="A812" s="248" t="str">
        <f t="shared" si="76"/>
        <v/>
      </c>
      <c r="B812" s="249" t="str">
        <f t="shared" si="77"/>
        <v/>
      </c>
      <c r="C812" s="250"/>
      <c r="D812" s="251"/>
      <c r="E812" s="241"/>
      <c r="F812" s="252"/>
      <c r="G812" s="252"/>
      <c r="H812" s="253"/>
      <c r="I812" s="250"/>
      <c r="J812" s="250"/>
      <c r="K812" s="270"/>
      <c r="L812" s="250"/>
      <c r="M812" s="250"/>
      <c r="N812" s="553" t="str">
        <f>CONCATENATE(IF(OR(M812=phu!$I$1,M812=phu!$I$2,M812=phu!$I$3),"Cam Thành Nam",""),IF(OR(M812=phu!$I$4,M812=phu!$I$5,M812=phu!$I$6,M812=phu!$I$7,M812=phu!$I$8,M812=phu!$I$9,M812=phu!$I$10,M812=phu!$I$11,M812=phu!$I$12,M812=phu!$I$13,M812=phu!$I$14),"Cam Nghĩa",""),IF(OR(M812=phu!$I$15,M812=phu!$I$16,M812=phu!$I$17,M812=phu!$I$18,M812=phu!$I$19,M812=phu!$I$20,M812=phu!$I$21),"Cam Phúc Bắc",""),IF(OR(M812=phu!$I$22,M812=phu!$I$23,M812=phu!$I$24,M812=phu!$I$25),"Cam Phúc Nam",""),IF(OR(M812=phu!$I$26,M812=phu!$I$27,M812=phu!$I$28,M812=phu!$I$29,M812=phu!$I$30,M812=phu!$I$31),"Cam Phú",""),IF(OR(M812=phu!$I$32,M812=phu!$I$33,M812=phu!$I$34,M812=phu!$I$35,M812=phu!$I$36,M812=phu!$I$37),"Cam Lộc",""),IF(OR(M812=phu!$I$38,M812=phu!$I$39,M812=phu!$I$40,M812=phu!$I$41,M812=phu!$I$42,M812=phu!$I$43,M812=phu!$I$44),"Cam Thuận",""),IF(OR(M812=phu!$I$45,M812=phu!$I$46,M812=phu!$I$47,M812=phu!$I$48,M812=phu!$I$49,M812=phu!$I$50,M812=phu!$I$51,M812=phu!$I$52,M812=phu!$I$53),"Cam Linh",""),IF(OR(M812=phu!$I$54,M812=phu!$I$55,M812=phu!$I$56,M812=phu!$I$57,M812=phu!$I$58,M812=phu!$I$59,M812=phu!$I$60,M812=phu!$I$61,M812=phu!$I$62),"Cam Lợi",""),IF(OR(M812=phu!$I$63,M812=phu!$I$64,M812=phu!$I$65,M812=phu!$I$66,M812=phu!$I$67,M812=phu!$I$68,M812=phu!$I$69,M812=phu!$I$70,M812=phu!$I$71),"Ba Ngòi",""),IF(OR(M812=phu!$I$72,M812=phu!$I$73,M812=phu!$I$74,M812=phu!$I$75,M812=phu!$I$76,M812=phu!$I$77,M812=phu!$I$78),"Cam Phước Đông",""),IF(OR(M812=phu!$I$79,M812=phu!$I$80,M812=phu!$I$81,M812=phu!$I$82,M812=phu!$I$83,M812=phu!$I$84),"Cam Thịnh Đông",""),IF(OR(M812=phu!$I$85,M812=phu!$I$86,M812=phu!$I$87,M812=phu!$I$88),"Cam Thịnh Tây",""),IF(OR(M812=phu!$I$89,M812=phu!$I$90),"Cam Lập",""),IF(OR(M812=phu!$I$91,M812=phu!$I$92,M812=phu!$I$93),"Cam Bình",""),IF(OR(M812=phu!$I$94,M812=phu!$I$95,M812=phu!$I$96,M812=phu!$I$97,M812=phu!$I$98,M812=phu!$I$99,M812=phu!$I$100),"Huyện khác",""),IF(OR(M812=phu!$I$101,M812=phu!$I$102),"Tỉnh khác",""))</f>
        <v/>
      </c>
      <c r="O812" s="814" t="str">
        <f t="shared" si="73"/>
        <v/>
      </c>
      <c r="P812" s="254"/>
      <c r="Q812" s="254"/>
      <c r="R812" s="254"/>
      <c r="S812" s="254"/>
      <c r="T812" s="254"/>
      <c r="U812" s="254"/>
      <c r="V812" s="254"/>
      <c r="W812" s="254"/>
      <c r="Y812" s="246" t="str">
        <f t="shared" si="74"/>
        <v/>
      </c>
      <c r="Z812" s="247" t="str">
        <f t="shared" si="72"/>
        <v/>
      </c>
      <c r="AA812" s="246" t="str">
        <f t="shared" si="75"/>
        <v/>
      </c>
    </row>
    <row r="813" spans="1:27" x14ac:dyDescent="0.25">
      <c r="A813" s="248" t="str">
        <f t="shared" si="76"/>
        <v/>
      </c>
      <c r="B813" s="249" t="str">
        <f t="shared" si="77"/>
        <v/>
      </c>
      <c r="C813" s="250"/>
      <c r="D813" s="251"/>
      <c r="E813" s="241"/>
      <c r="F813" s="252"/>
      <c r="G813" s="252"/>
      <c r="H813" s="253"/>
      <c r="I813" s="250"/>
      <c r="J813" s="250"/>
      <c r="K813" s="270"/>
      <c r="L813" s="250"/>
      <c r="M813" s="250"/>
      <c r="N813" s="553" t="str">
        <f>CONCATENATE(IF(OR(M813=phu!$I$1,M813=phu!$I$2,M813=phu!$I$3),"Cam Thành Nam",""),IF(OR(M813=phu!$I$4,M813=phu!$I$5,M813=phu!$I$6,M813=phu!$I$7,M813=phu!$I$8,M813=phu!$I$9,M813=phu!$I$10,M813=phu!$I$11,M813=phu!$I$12,M813=phu!$I$13,M813=phu!$I$14),"Cam Nghĩa",""),IF(OR(M813=phu!$I$15,M813=phu!$I$16,M813=phu!$I$17,M813=phu!$I$18,M813=phu!$I$19,M813=phu!$I$20,M813=phu!$I$21),"Cam Phúc Bắc",""),IF(OR(M813=phu!$I$22,M813=phu!$I$23,M813=phu!$I$24,M813=phu!$I$25),"Cam Phúc Nam",""),IF(OR(M813=phu!$I$26,M813=phu!$I$27,M813=phu!$I$28,M813=phu!$I$29,M813=phu!$I$30,M813=phu!$I$31),"Cam Phú",""),IF(OR(M813=phu!$I$32,M813=phu!$I$33,M813=phu!$I$34,M813=phu!$I$35,M813=phu!$I$36,M813=phu!$I$37),"Cam Lộc",""),IF(OR(M813=phu!$I$38,M813=phu!$I$39,M813=phu!$I$40,M813=phu!$I$41,M813=phu!$I$42,M813=phu!$I$43,M813=phu!$I$44),"Cam Thuận",""),IF(OR(M813=phu!$I$45,M813=phu!$I$46,M813=phu!$I$47,M813=phu!$I$48,M813=phu!$I$49,M813=phu!$I$50,M813=phu!$I$51,M813=phu!$I$52,M813=phu!$I$53),"Cam Linh",""),IF(OR(M813=phu!$I$54,M813=phu!$I$55,M813=phu!$I$56,M813=phu!$I$57,M813=phu!$I$58,M813=phu!$I$59,M813=phu!$I$60,M813=phu!$I$61,M813=phu!$I$62),"Cam Lợi",""),IF(OR(M813=phu!$I$63,M813=phu!$I$64,M813=phu!$I$65,M813=phu!$I$66,M813=phu!$I$67,M813=phu!$I$68,M813=phu!$I$69,M813=phu!$I$70,M813=phu!$I$71),"Ba Ngòi",""),IF(OR(M813=phu!$I$72,M813=phu!$I$73,M813=phu!$I$74,M813=phu!$I$75,M813=phu!$I$76,M813=phu!$I$77,M813=phu!$I$78),"Cam Phước Đông",""),IF(OR(M813=phu!$I$79,M813=phu!$I$80,M813=phu!$I$81,M813=phu!$I$82,M813=phu!$I$83,M813=phu!$I$84),"Cam Thịnh Đông",""),IF(OR(M813=phu!$I$85,M813=phu!$I$86,M813=phu!$I$87,M813=phu!$I$88),"Cam Thịnh Tây",""),IF(OR(M813=phu!$I$89,M813=phu!$I$90),"Cam Lập",""),IF(OR(M813=phu!$I$91,M813=phu!$I$92,M813=phu!$I$93),"Cam Bình",""),IF(OR(M813=phu!$I$94,M813=phu!$I$95,M813=phu!$I$96,M813=phu!$I$97,M813=phu!$I$98,M813=phu!$I$99,M813=phu!$I$100),"Huyện khác",""),IF(OR(M813=phu!$I$101,M813=phu!$I$102),"Tỉnh khác",""))</f>
        <v/>
      </c>
      <c r="O813" s="814" t="str">
        <f t="shared" si="73"/>
        <v/>
      </c>
      <c r="P813" s="254"/>
      <c r="Q813" s="254"/>
      <c r="R813" s="254"/>
      <c r="S813" s="254"/>
      <c r="T813" s="254"/>
      <c r="U813" s="254"/>
      <c r="V813" s="254"/>
      <c r="W813" s="254"/>
      <c r="Y813" s="246" t="str">
        <f t="shared" si="74"/>
        <v/>
      </c>
      <c r="Z813" s="247" t="str">
        <f t="shared" si="72"/>
        <v/>
      </c>
      <c r="AA813" s="246" t="str">
        <f t="shared" si="75"/>
        <v/>
      </c>
    </row>
    <row r="814" spans="1:27" x14ac:dyDescent="0.25">
      <c r="A814" s="248" t="str">
        <f t="shared" si="76"/>
        <v/>
      </c>
      <c r="B814" s="249" t="str">
        <f t="shared" si="77"/>
        <v/>
      </c>
      <c r="C814" s="250"/>
      <c r="D814" s="251"/>
      <c r="E814" s="241"/>
      <c r="F814" s="252"/>
      <c r="G814" s="252"/>
      <c r="H814" s="253"/>
      <c r="I814" s="250"/>
      <c r="J814" s="250"/>
      <c r="K814" s="270"/>
      <c r="L814" s="250"/>
      <c r="M814" s="250"/>
      <c r="N814" s="553" t="str">
        <f>CONCATENATE(IF(OR(M814=phu!$I$1,M814=phu!$I$2,M814=phu!$I$3),"Cam Thành Nam",""),IF(OR(M814=phu!$I$4,M814=phu!$I$5,M814=phu!$I$6,M814=phu!$I$7,M814=phu!$I$8,M814=phu!$I$9,M814=phu!$I$10,M814=phu!$I$11,M814=phu!$I$12,M814=phu!$I$13,M814=phu!$I$14),"Cam Nghĩa",""),IF(OR(M814=phu!$I$15,M814=phu!$I$16,M814=phu!$I$17,M814=phu!$I$18,M814=phu!$I$19,M814=phu!$I$20,M814=phu!$I$21),"Cam Phúc Bắc",""),IF(OR(M814=phu!$I$22,M814=phu!$I$23,M814=phu!$I$24,M814=phu!$I$25),"Cam Phúc Nam",""),IF(OR(M814=phu!$I$26,M814=phu!$I$27,M814=phu!$I$28,M814=phu!$I$29,M814=phu!$I$30,M814=phu!$I$31),"Cam Phú",""),IF(OR(M814=phu!$I$32,M814=phu!$I$33,M814=phu!$I$34,M814=phu!$I$35,M814=phu!$I$36,M814=phu!$I$37),"Cam Lộc",""),IF(OR(M814=phu!$I$38,M814=phu!$I$39,M814=phu!$I$40,M814=phu!$I$41,M814=phu!$I$42,M814=phu!$I$43,M814=phu!$I$44),"Cam Thuận",""),IF(OR(M814=phu!$I$45,M814=phu!$I$46,M814=phu!$I$47,M814=phu!$I$48,M814=phu!$I$49,M814=phu!$I$50,M814=phu!$I$51,M814=phu!$I$52,M814=phu!$I$53),"Cam Linh",""),IF(OR(M814=phu!$I$54,M814=phu!$I$55,M814=phu!$I$56,M814=phu!$I$57,M814=phu!$I$58,M814=phu!$I$59,M814=phu!$I$60,M814=phu!$I$61,M814=phu!$I$62),"Cam Lợi",""),IF(OR(M814=phu!$I$63,M814=phu!$I$64,M814=phu!$I$65,M814=phu!$I$66,M814=phu!$I$67,M814=phu!$I$68,M814=phu!$I$69,M814=phu!$I$70,M814=phu!$I$71),"Ba Ngòi",""),IF(OR(M814=phu!$I$72,M814=phu!$I$73,M814=phu!$I$74,M814=phu!$I$75,M814=phu!$I$76,M814=phu!$I$77,M814=phu!$I$78),"Cam Phước Đông",""),IF(OR(M814=phu!$I$79,M814=phu!$I$80,M814=phu!$I$81,M814=phu!$I$82,M814=phu!$I$83,M814=phu!$I$84),"Cam Thịnh Đông",""),IF(OR(M814=phu!$I$85,M814=phu!$I$86,M814=phu!$I$87,M814=phu!$I$88),"Cam Thịnh Tây",""),IF(OR(M814=phu!$I$89,M814=phu!$I$90),"Cam Lập",""),IF(OR(M814=phu!$I$91,M814=phu!$I$92,M814=phu!$I$93),"Cam Bình",""),IF(OR(M814=phu!$I$94,M814=phu!$I$95,M814=phu!$I$96,M814=phu!$I$97,M814=phu!$I$98,M814=phu!$I$99,M814=phu!$I$100),"Huyện khác",""),IF(OR(M814=phu!$I$101,M814=phu!$I$102),"Tỉnh khác",""))</f>
        <v/>
      </c>
      <c r="O814" s="814" t="str">
        <f t="shared" si="73"/>
        <v/>
      </c>
      <c r="P814" s="254"/>
      <c r="Q814" s="254"/>
      <c r="R814" s="254"/>
      <c r="S814" s="254"/>
      <c r="T814" s="254"/>
      <c r="U814" s="254"/>
      <c r="V814" s="254"/>
      <c r="W814" s="254"/>
      <c r="Y814" s="246" t="str">
        <f t="shared" si="74"/>
        <v/>
      </c>
      <c r="Z814" s="247" t="str">
        <f t="shared" si="72"/>
        <v/>
      </c>
      <c r="AA814" s="246" t="str">
        <f t="shared" si="75"/>
        <v/>
      </c>
    </row>
    <row r="815" spans="1:27" x14ac:dyDescent="0.25">
      <c r="A815" s="248" t="str">
        <f t="shared" si="76"/>
        <v/>
      </c>
      <c r="B815" s="249" t="str">
        <f t="shared" si="77"/>
        <v/>
      </c>
      <c r="C815" s="250"/>
      <c r="D815" s="251"/>
      <c r="E815" s="241"/>
      <c r="F815" s="252"/>
      <c r="G815" s="252"/>
      <c r="H815" s="253"/>
      <c r="I815" s="250"/>
      <c r="J815" s="250"/>
      <c r="K815" s="270"/>
      <c r="L815" s="250"/>
      <c r="M815" s="250"/>
      <c r="N815" s="553" t="str">
        <f>CONCATENATE(IF(OR(M815=phu!$I$1,M815=phu!$I$2,M815=phu!$I$3),"Cam Thành Nam",""),IF(OR(M815=phu!$I$4,M815=phu!$I$5,M815=phu!$I$6,M815=phu!$I$7,M815=phu!$I$8,M815=phu!$I$9,M815=phu!$I$10,M815=phu!$I$11,M815=phu!$I$12,M815=phu!$I$13,M815=phu!$I$14),"Cam Nghĩa",""),IF(OR(M815=phu!$I$15,M815=phu!$I$16,M815=phu!$I$17,M815=phu!$I$18,M815=phu!$I$19,M815=phu!$I$20,M815=phu!$I$21),"Cam Phúc Bắc",""),IF(OR(M815=phu!$I$22,M815=phu!$I$23,M815=phu!$I$24,M815=phu!$I$25),"Cam Phúc Nam",""),IF(OR(M815=phu!$I$26,M815=phu!$I$27,M815=phu!$I$28,M815=phu!$I$29,M815=phu!$I$30,M815=phu!$I$31),"Cam Phú",""),IF(OR(M815=phu!$I$32,M815=phu!$I$33,M815=phu!$I$34,M815=phu!$I$35,M815=phu!$I$36,M815=phu!$I$37),"Cam Lộc",""),IF(OR(M815=phu!$I$38,M815=phu!$I$39,M815=phu!$I$40,M815=phu!$I$41,M815=phu!$I$42,M815=phu!$I$43,M815=phu!$I$44),"Cam Thuận",""),IF(OR(M815=phu!$I$45,M815=phu!$I$46,M815=phu!$I$47,M815=phu!$I$48,M815=phu!$I$49,M815=phu!$I$50,M815=phu!$I$51,M815=phu!$I$52,M815=phu!$I$53),"Cam Linh",""),IF(OR(M815=phu!$I$54,M815=phu!$I$55,M815=phu!$I$56,M815=phu!$I$57,M815=phu!$I$58,M815=phu!$I$59,M815=phu!$I$60,M815=phu!$I$61,M815=phu!$I$62),"Cam Lợi",""),IF(OR(M815=phu!$I$63,M815=phu!$I$64,M815=phu!$I$65,M815=phu!$I$66,M815=phu!$I$67,M815=phu!$I$68,M815=phu!$I$69,M815=phu!$I$70,M815=phu!$I$71),"Ba Ngòi",""),IF(OR(M815=phu!$I$72,M815=phu!$I$73,M815=phu!$I$74,M815=phu!$I$75,M815=phu!$I$76,M815=phu!$I$77,M815=phu!$I$78),"Cam Phước Đông",""),IF(OR(M815=phu!$I$79,M815=phu!$I$80,M815=phu!$I$81,M815=phu!$I$82,M815=phu!$I$83,M815=phu!$I$84),"Cam Thịnh Đông",""),IF(OR(M815=phu!$I$85,M815=phu!$I$86,M815=phu!$I$87,M815=phu!$I$88),"Cam Thịnh Tây",""),IF(OR(M815=phu!$I$89,M815=phu!$I$90),"Cam Lập",""),IF(OR(M815=phu!$I$91,M815=phu!$I$92,M815=phu!$I$93),"Cam Bình",""),IF(OR(M815=phu!$I$94,M815=phu!$I$95,M815=phu!$I$96,M815=phu!$I$97,M815=phu!$I$98,M815=phu!$I$99,M815=phu!$I$100),"Huyện khác",""),IF(OR(M815=phu!$I$101,M815=phu!$I$102),"Tỉnh khác",""))</f>
        <v/>
      </c>
      <c r="O815" s="814" t="str">
        <f t="shared" si="73"/>
        <v/>
      </c>
      <c r="P815" s="254"/>
      <c r="Q815" s="254"/>
      <c r="R815" s="254"/>
      <c r="S815" s="254"/>
      <c r="T815" s="254"/>
      <c r="U815" s="254"/>
      <c r="V815" s="254"/>
      <c r="W815" s="254"/>
      <c r="Y815" s="246" t="str">
        <f t="shared" si="74"/>
        <v/>
      </c>
      <c r="Z815" s="247" t="str">
        <f t="shared" si="72"/>
        <v/>
      </c>
      <c r="AA815" s="246" t="str">
        <f t="shared" si="75"/>
        <v/>
      </c>
    </row>
    <row r="816" spans="1:27" x14ac:dyDescent="0.25">
      <c r="A816" s="248" t="str">
        <f t="shared" si="76"/>
        <v/>
      </c>
      <c r="B816" s="249" t="str">
        <f t="shared" si="77"/>
        <v/>
      </c>
      <c r="C816" s="250"/>
      <c r="D816" s="251"/>
      <c r="E816" s="241"/>
      <c r="F816" s="252"/>
      <c r="G816" s="252"/>
      <c r="H816" s="253"/>
      <c r="I816" s="250"/>
      <c r="J816" s="250"/>
      <c r="K816" s="270"/>
      <c r="L816" s="250"/>
      <c r="M816" s="250"/>
      <c r="N816" s="553" t="str">
        <f>CONCATENATE(IF(OR(M816=phu!$I$1,M816=phu!$I$2,M816=phu!$I$3),"Cam Thành Nam",""),IF(OR(M816=phu!$I$4,M816=phu!$I$5,M816=phu!$I$6,M816=phu!$I$7,M816=phu!$I$8,M816=phu!$I$9,M816=phu!$I$10,M816=phu!$I$11,M816=phu!$I$12,M816=phu!$I$13,M816=phu!$I$14),"Cam Nghĩa",""),IF(OR(M816=phu!$I$15,M816=phu!$I$16,M816=phu!$I$17,M816=phu!$I$18,M816=phu!$I$19,M816=phu!$I$20,M816=phu!$I$21),"Cam Phúc Bắc",""),IF(OR(M816=phu!$I$22,M816=phu!$I$23,M816=phu!$I$24,M816=phu!$I$25),"Cam Phúc Nam",""),IF(OR(M816=phu!$I$26,M816=phu!$I$27,M816=phu!$I$28,M816=phu!$I$29,M816=phu!$I$30,M816=phu!$I$31),"Cam Phú",""),IF(OR(M816=phu!$I$32,M816=phu!$I$33,M816=phu!$I$34,M816=phu!$I$35,M816=phu!$I$36,M816=phu!$I$37),"Cam Lộc",""),IF(OR(M816=phu!$I$38,M816=phu!$I$39,M816=phu!$I$40,M816=phu!$I$41,M816=phu!$I$42,M816=phu!$I$43,M816=phu!$I$44),"Cam Thuận",""),IF(OR(M816=phu!$I$45,M816=phu!$I$46,M816=phu!$I$47,M816=phu!$I$48,M816=phu!$I$49,M816=phu!$I$50,M816=phu!$I$51,M816=phu!$I$52,M816=phu!$I$53),"Cam Linh",""),IF(OR(M816=phu!$I$54,M816=phu!$I$55,M816=phu!$I$56,M816=phu!$I$57,M816=phu!$I$58,M816=phu!$I$59,M816=phu!$I$60,M816=phu!$I$61,M816=phu!$I$62),"Cam Lợi",""),IF(OR(M816=phu!$I$63,M816=phu!$I$64,M816=phu!$I$65,M816=phu!$I$66,M816=phu!$I$67,M816=phu!$I$68,M816=phu!$I$69,M816=phu!$I$70,M816=phu!$I$71),"Ba Ngòi",""),IF(OR(M816=phu!$I$72,M816=phu!$I$73,M816=phu!$I$74,M816=phu!$I$75,M816=phu!$I$76,M816=phu!$I$77,M816=phu!$I$78),"Cam Phước Đông",""),IF(OR(M816=phu!$I$79,M816=phu!$I$80,M816=phu!$I$81,M816=phu!$I$82,M816=phu!$I$83,M816=phu!$I$84),"Cam Thịnh Đông",""),IF(OR(M816=phu!$I$85,M816=phu!$I$86,M816=phu!$I$87,M816=phu!$I$88),"Cam Thịnh Tây",""),IF(OR(M816=phu!$I$89,M816=phu!$I$90),"Cam Lập",""),IF(OR(M816=phu!$I$91,M816=phu!$I$92,M816=phu!$I$93),"Cam Bình",""),IF(OR(M816=phu!$I$94,M816=phu!$I$95,M816=phu!$I$96,M816=phu!$I$97,M816=phu!$I$98,M816=phu!$I$99,M816=phu!$I$100),"Huyện khác",""),IF(OR(M816=phu!$I$101,M816=phu!$I$102),"Tỉnh khác",""))</f>
        <v/>
      </c>
      <c r="O816" s="814" t="str">
        <f t="shared" si="73"/>
        <v/>
      </c>
      <c r="P816" s="254"/>
      <c r="Q816" s="254"/>
      <c r="R816" s="254"/>
      <c r="S816" s="254"/>
      <c r="T816" s="254"/>
      <c r="U816" s="254"/>
      <c r="V816" s="254"/>
      <c r="W816" s="254"/>
      <c r="Y816" s="246" t="str">
        <f t="shared" si="74"/>
        <v/>
      </c>
      <c r="Z816" s="247" t="str">
        <f t="shared" si="72"/>
        <v/>
      </c>
      <c r="AA816" s="246" t="str">
        <f t="shared" si="75"/>
        <v/>
      </c>
    </row>
    <row r="817" spans="1:27" x14ac:dyDescent="0.25">
      <c r="A817" s="248" t="str">
        <f t="shared" si="76"/>
        <v/>
      </c>
      <c r="B817" s="249" t="str">
        <f t="shared" si="77"/>
        <v/>
      </c>
      <c r="C817" s="250"/>
      <c r="D817" s="251"/>
      <c r="E817" s="241"/>
      <c r="F817" s="252"/>
      <c r="G817" s="252"/>
      <c r="H817" s="253"/>
      <c r="I817" s="250"/>
      <c r="J817" s="250"/>
      <c r="K817" s="270"/>
      <c r="L817" s="250"/>
      <c r="M817" s="250"/>
      <c r="N817" s="553" t="str">
        <f>CONCATENATE(IF(OR(M817=phu!$I$1,M817=phu!$I$2,M817=phu!$I$3),"Cam Thành Nam",""),IF(OR(M817=phu!$I$4,M817=phu!$I$5,M817=phu!$I$6,M817=phu!$I$7,M817=phu!$I$8,M817=phu!$I$9,M817=phu!$I$10,M817=phu!$I$11,M817=phu!$I$12,M817=phu!$I$13,M817=phu!$I$14),"Cam Nghĩa",""),IF(OR(M817=phu!$I$15,M817=phu!$I$16,M817=phu!$I$17,M817=phu!$I$18,M817=phu!$I$19,M817=phu!$I$20,M817=phu!$I$21),"Cam Phúc Bắc",""),IF(OR(M817=phu!$I$22,M817=phu!$I$23,M817=phu!$I$24,M817=phu!$I$25),"Cam Phúc Nam",""),IF(OR(M817=phu!$I$26,M817=phu!$I$27,M817=phu!$I$28,M817=phu!$I$29,M817=phu!$I$30,M817=phu!$I$31),"Cam Phú",""),IF(OR(M817=phu!$I$32,M817=phu!$I$33,M817=phu!$I$34,M817=phu!$I$35,M817=phu!$I$36,M817=phu!$I$37),"Cam Lộc",""),IF(OR(M817=phu!$I$38,M817=phu!$I$39,M817=phu!$I$40,M817=phu!$I$41,M817=phu!$I$42,M817=phu!$I$43,M817=phu!$I$44),"Cam Thuận",""),IF(OR(M817=phu!$I$45,M817=phu!$I$46,M817=phu!$I$47,M817=phu!$I$48,M817=phu!$I$49,M817=phu!$I$50,M817=phu!$I$51,M817=phu!$I$52,M817=phu!$I$53),"Cam Linh",""),IF(OR(M817=phu!$I$54,M817=phu!$I$55,M817=phu!$I$56,M817=phu!$I$57,M817=phu!$I$58,M817=phu!$I$59,M817=phu!$I$60,M817=phu!$I$61,M817=phu!$I$62),"Cam Lợi",""),IF(OR(M817=phu!$I$63,M817=phu!$I$64,M817=phu!$I$65,M817=phu!$I$66,M817=phu!$I$67,M817=phu!$I$68,M817=phu!$I$69,M817=phu!$I$70,M817=phu!$I$71),"Ba Ngòi",""),IF(OR(M817=phu!$I$72,M817=phu!$I$73,M817=phu!$I$74,M817=phu!$I$75,M817=phu!$I$76,M817=phu!$I$77,M817=phu!$I$78),"Cam Phước Đông",""),IF(OR(M817=phu!$I$79,M817=phu!$I$80,M817=phu!$I$81,M817=phu!$I$82,M817=phu!$I$83,M817=phu!$I$84),"Cam Thịnh Đông",""),IF(OR(M817=phu!$I$85,M817=phu!$I$86,M817=phu!$I$87,M817=phu!$I$88),"Cam Thịnh Tây",""),IF(OR(M817=phu!$I$89,M817=phu!$I$90),"Cam Lập",""),IF(OR(M817=phu!$I$91,M817=phu!$I$92,M817=phu!$I$93),"Cam Bình",""),IF(OR(M817=phu!$I$94,M817=phu!$I$95,M817=phu!$I$96,M817=phu!$I$97,M817=phu!$I$98,M817=phu!$I$99,M817=phu!$I$100),"Huyện khác",""),IF(OR(M817=phu!$I$101,M817=phu!$I$102),"Tỉnh khác",""))</f>
        <v/>
      </c>
      <c r="O817" s="814" t="str">
        <f t="shared" si="73"/>
        <v/>
      </c>
      <c r="P817" s="254"/>
      <c r="Q817" s="254"/>
      <c r="R817" s="254"/>
      <c r="S817" s="254"/>
      <c r="T817" s="254"/>
      <c r="U817" s="254"/>
      <c r="V817" s="254"/>
      <c r="W817" s="254"/>
      <c r="Y817" s="246" t="str">
        <f t="shared" si="74"/>
        <v/>
      </c>
      <c r="Z817" s="247" t="str">
        <f t="shared" si="72"/>
        <v/>
      </c>
      <c r="AA817" s="246" t="str">
        <f t="shared" si="75"/>
        <v/>
      </c>
    </row>
    <row r="818" spans="1:27" x14ac:dyDescent="0.25">
      <c r="A818" s="248" t="str">
        <f t="shared" si="76"/>
        <v/>
      </c>
      <c r="B818" s="249" t="str">
        <f t="shared" si="77"/>
        <v/>
      </c>
      <c r="C818" s="250"/>
      <c r="D818" s="251"/>
      <c r="E818" s="241"/>
      <c r="F818" s="252"/>
      <c r="G818" s="252"/>
      <c r="H818" s="253"/>
      <c r="I818" s="250"/>
      <c r="J818" s="250"/>
      <c r="K818" s="270"/>
      <c r="L818" s="250"/>
      <c r="M818" s="250"/>
      <c r="N818" s="553" t="str">
        <f>CONCATENATE(IF(OR(M818=phu!$I$1,M818=phu!$I$2,M818=phu!$I$3),"Cam Thành Nam",""),IF(OR(M818=phu!$I$4,M818=phu!$I$5,M818=phu!$I$6,M818=phu!$I$7,M818=phu!$I$8,M818=phu!$I$9,M818=phu!$I$10,M818=phu!$I$11,M818=phu!$I$12,M818=phu!$I$13,M818=phu!$I$14),"Cam Nghĩa",""),IF(OR(M818=phu!$I$15,M818=phu!$I$16,M818=phu!$I$17,M818=phu!$I$18,M818=phu!$I$19,M818=phu!$I$20,M818=phu!$I$21),"Cam Phúc Bắc",""),IF(OR(M818=phu!$I$22,M818=phu!$I$23,M818=phu!$I$24,M818=phu!$I$25),"Cam Phúc Nam",""),IF(OR(M818=phu!$I$26,M818=phu!$I$27,M818=phu!$I$28,M818=phu!$I$29,M818=phu!$I$30,M818=phu!$I$31),"Cam Phú",""),IF(OR(M818=phu!$I$32,M818=phu!$I$33,M818=phu!$I$34,M818=phu!$I$35,M818=phu!$I$36,M818=phu!$I$37),"Cam Lộc",""),IF(OR(M818=phu!$I$38,M818=phu!$I$39,M818=phu!$I$40,M818=phu!$I$41,M818=phu!$I$42,M818=phu!$I$43,M818=phu!$I$44),"Cam Thuận",""),IF(OR(M818=phu!$I$45,M818=phu!$I$46,M818=phu!$I$47,M818=phu!$I$48,M818=phu!$I$49,M818=phu!$I$50,M818=phu!$I$51,M818=phu!$I$52,M818=phu!$I$53),"Cam Linh",""),IF(OR(M818=phu!$I$54,M818=phu!$I$55,M818=phu!$I$56,M818=phu!$I$57,M818=phu!$I$58,M818=phu!$I$59,M818=phu!$I$60,M818=phu!$I$61,M818=phu!$I$62),"Cam Lợi",""),IF(OR(M818=phu!$I$63,M818=phu!$I$64,M818=phu!$I$65,M818=phu!$I$66,M818=phu!$I$67,M818=phu!$I$68,M818=phu!$I$69,M818=phu!$I$70,M818=phu!$I$71),"Ba Ngòi",""),IF(OR(M818=phu!$I$72,M818=phu!$I$73,M818=phu!$I$74,M818=phu!$I$75,M818=phu!$I$76,M818=phu!$I$77,M818=phu!$I$78),"Cam Phước Đông",""),IF(OR(M818=phu!$I$79,M818=phu!$I$80,M818=phu!$I$81,M818=phu!$I$82,M818=phu!$I$83,M818=phu!$I$84),"Cam Thịnh Đông",""),IF(OR(M818=phu!$I$85,M818=phu!$I$86,M818=phu!$I$87,M818=phu!$I$88),"Cam Thịnh Tây",""),IF(OR(M818=phu!$I$89,M818=phu!$I$90),"Cam Lập",""),IF(OR(M818=phu!$I$91,M818=phu!$I$92,M818=phu!$I$93),"Cam Bình",""),IF(OR(M818=phu!$I$94,M818=phu!$I$95,M818=phu!$I$96,M818=phu!$I$97,M818=phu!$I$98,M818=phu!$I$99,M818=phu!$I$100),"Huyện khác",""),IF(OR(M818=phu!$I$101,M818=phu!$I$102),"Tỉnh khác",""))</f>
        <v/>
      </c>
      <c r="O818" s="814" t="str">
        <f t="shared" si="73"/>
        <v/>
      </c>
      <c r="P818" s="254"/>
      <c r="Q818" s="254"/>
      <c r="R818" s="254"/>
      <c r="S818" s="254"/>
      <c r="T818" s="254"/>
      <c r="U818" s="254"/>
      <c r="V818" s="254"/>
      <c r="W818" s="254"/>
      <c r="Y818" s="246" t="str">
        <f t="shared" si="74"/>
        <v/>
      </c>
      <c r="Z818" s="247" t="str">
        <f t="shared" si="72"/>
        <v/>
      </c>
      <c r="AA818" s="246" t="str">
        <f t="shared" si="75"/>
        <v/>
      </c>
    </row>
    <row r="819" spans="1:27" x14ac:dyDescent="0.25">
      <c r="A819" s="248" t="str">
        <f t="shared" si="76"/>
        <v/>
      </c>
      <c r="B819" s="249" t="str">
        <f t="shared" si="77"/>
        <v/>
      </c>
      <c r="C819" s="250"/>
      <c r="D819" s="251"/>
      <c r="E819" s="241"/>
      <c r="F819" s="252"/>
      <c r="G819" s="252"/>
      <c r="H819" s="253"/>
      <c r="I819" s="250"/>
      <c r="J819" s="250"/>
      <c r="K819" s="270"/>
      <c r="L819" s="250"/>
      <c r="M819" s="250"/>
      <c r="N819" s="553" t="str">
        <f>CONCATENATE(IF(OR(M819=phu!$I$1,M819=phu!$I$2,M819=phu!$I$3),"Cam Thành Nam",""),IF(OR(M819=phu!$I$4,M819=phu!$I$5,M819=phu!$I$6,M819=phu!$I$7,M819=phu!$I$8,M819=phu!$I$9,M819=phu!$I$10,M819=phu!$I$11,M819=phu!$I$12,M819=phu!$I$13,M819=phu!$I$14),"Cam Nghĩa",""),IF(OR(M819=phu!$I$15,M819=phu!$I$16,M819=phu!$I$17,M819=phu!$I$18,M819=phu!$I$19,M819=phu!$I$20,M819=phu!$I$21),"Cam Phúc Bắc",""),IF(OR(M819=phu!$I$22,M819=phu!$I$23,M819=phu!$I$24,M819=phu!$I$25),"Cam Phúc Nam",""),IF(OR(M819=phu!$I$26,M819=phu!$I$27,M819=phu!$I$28,M819=phu!$I$29,M819=phu!$I$30,M819=phu!$I$31),"Cam Phú",""),IF(OR(M819=phu!$I$32,M819=phu!$I$33,M819=phu!$I$34,M819=phu!$I$35,M819=phu!$I$36,M819=phu!$I$37),"Cam Lộc",""),IF(OR(M819=phu!$I$38,M819=phu!$I$39,M819=phu!$I$40,M819=phu!$I$41,M819=phu!$I$42,M819=phu!$I$43,M819=phu!$I$44),"Cam Thuận",""),IF(OR(M819=phu!$I$45,M819=phu!$I$46,M819=phu!$I$47,M819=phu!$I$48,M819=phu!$I$49,M819=phu!$I$50,M819=phu!$I$51,M819=phu!$I$52,M819=phu!$I$53),"Cam Linh",""),IF(OR(M819=phu!$I$54,M819=phu!$I$55,M819=phu!$I$56,M819=phu!$I$57,M819=phu!$I$58,M819=phu!$I$59,M819=phu!$I$60,M819=phu!$I$61,M819=phu!$I$62),"Cam Lợi",""),IF(OR(M819=phu!$I$63,M819=phu!$I$64,M819=phu!$I$65,M819=phu!$I$66,M819=phu!$I$67,M819=phu!$I$68,M819=phu!$I$69,M819=phu!$I$70,M819=phu!$I$71),"Ba Ngòi",""),IF(OR(M819=phu!$I$72,M819=phu!$I$73,M819=phu!$I$74,M819=phu!$I$75,M819=phu!$I$76,M819=phu!$I$77,M819=phu!$I$78),"Cam Phước Đông",""),IF(OR(M819=phu!$I$79,M819=phu!$I$80,M819=phu!$I$81,M819=phu!$I$82,M819=phu!$I$83,M819=phu!$I$84),"Cam Thịnh Đông",""),IF(OR(M819=phu!$I$85,M819=phu!$I$86,M819=phu!$I$87,M819=phu!$I$88),"Cam Thịnh Tây",""),IF(OR(M819=phu!$I$89,M819=phu!$I$90),"Cam Lập",""),IF(OR(M819=phu!$I$91,M819=phu!$I$92,M819=phu!$I$93),"Cam Bình",""),IF(OR(M819=phu!$I$94,M819=phu!$I$95,M819=phu!$I$96,M819=phu!$I$97,M819=phu!$I$98,M819=phu!$I$99,M819=phu!$I$100),"Huyện khác",""),IF(OR(M819=phu!$I$101,M819=phu!$I$102),"Tỉnh khác",""))</f>
        <v/>
      </c>
      <c r="O819" s="814" t="str">
        <f t="shared" si="73"/>
        <v/>
      </c>
      <c r="P819" s="254"/>
      <c r="Q819" s="254"/>
      <c r="R819" s="254"/>
      <c r="S819" s="254"/>
      <c r="T819" s="254"/>
      <c r="U819" s="254"/>
      <c r="V819" s="254"/>
      <c r="W819" s="254"/>
      <c r="Y819" s="246" t="str">
        <f t="shared" si="74"/>
        <v/>
      </c>
      <c r="Z819" s="247" t="str">
        <f t="shared" si="72"/>
        <v/>
      </c>
      <c r="AA819" s="246" t="str">
        <f t="shared" si="75"/>
        <v/>
      </c>
    </row>
    <row r="820" spans="1:27" x14ac:dyDescent="0.25">
      <c r="A820" s="248" t="str">
        <f t="shared" si="76"/>
        <v/>
      </c>
      <c r="B820" s="249" t="str">
        <f t="shared" si="77"/>
        <v/>
      </c>
      <c r="C820" s="250"/>
      <c r="D820" s="251"/>
      <c r="E820" s="241"/>
      <c r="F820" s="252"/>
      <c r="G820" s="252"/>
      <c r="H820" s="253"/>
      <c r="I820" s="250"/>
      <c r="J820" s="250"/>
      <c r="K820" s="270"/>
      <c r="L820" s="250"/>
      <c r="M820" s="250"/>
      <c r="N820" s="553" t="str">
        <f>CONCATENATE(IF(OR(M820=phu!$I$1,M820=phu!$I$2,M820=phu!$I$3),"Cam Thành Nam",""),IF(OR(M820=phu!$I$4,M820=phu!$I$5,M820=phu!$I$6,M820=phu!$I$7,M820=phu!$I$8,M820=phu!$I$9,M820=phu!$I$10,M820=phu!$I$11,M820=phu!$I$12,M820=phu!$I$13,M820=phu!$I$14),"Cam Nghĩa",""),IF(OR(M820=phu!$I$15,M820=phu!$I$16,M820=phu!$I$17,M820=phu!$I$18,M820=phu!$I$19,M820=phu!$I$20,M820=phu!$I$21),"Cam Phúc Bắc",""),IF(OR(M820=phu!$I$22,M820=phu!$I$23,M820=phu!$I$24,M820=phu!$I$25),"Cam Phúc Nam",""),IF(OR(M820=phu!$I$26,M820=phu!$I$27,M820=phu!$I$28,M820=phu!$I$29,M820=phu!$I$30,M820=phu!$I$31),"Cam Phú",""),IF(OR(M820=phu!$I$32,M820=phu!$I$33,M820=phu!$I$34,M820=phu!$I$35,M820=phu!$I$36,M820=phu!$I$37),"Cam Lộc",""),IF(OR(M820=phu!$I$38,M820=phu!$I$39,M820=phu!$I$40,M820=phu!$I$41,M820=phu!$I$42,M820=phu!$I$43,M820=phu!$I$44),"Cam Thuận",""),IF(OR(M820=phu!$I$45,M820=phu!$I$46,M820=phu!$I$47,M820=phu!$I$48,M820=phu!$I$49,M820=phu!$I$50,M820=phu!$I$51,M820=phu!$I$52,M820=phu!$I$53),"Cam Linh",""),IF(OR(M820=phu!$I$54,M820=phu!$I$55,M820=phu!$I$56,M820=phu!$I$57,M820=phu!$I$58,M820=phu!$I$59,M820=phu!$I$60,M820=phu!$I$61,M820=phu!$I$62),"Cam Lợi",""),IF(OR(M820=phu!$I$63,M820=phu!$I$64,M820=phu!$I$65,M820=phu!$I$66,M820=phu!$I$67,M820=phu!$I$68,M820=phu!$I$69,M820=phu!$I$70,M820=phu!$I$71),"Ba Ngòi",""),IF(OR(M820=phu!$I$72,M820=phu!$I$73,M820=phu!$I$74,M820=phu!$I$75,M820=phu!$I$76,M820=phu!$I$77,M820=phu!$I$78),"Cam Phước Đông",""),IF(OR(M820=phu!$I$79,M820=phu!$I$80,M820=phu!$I$81,M820=phu!$I$82,M820=phu!$I$83,M820=phu!$I$84),"Cam Thịnh Đông",""),IF(OR(M820=phu!$I$85,M820=phu!$I$86,M820=phu!$I$87,M820=phu!$I$88),"Cam Thịnh Tây",""),IF(OR(M820=phu!$I$89,M820=phu!$I$90),"Cam Lập",""),IF(OR(M820=phu!$I$91,M820=phu!$I$92,M820=phu!$I$93),"Cam Bình",""),IF(OR(M820=phu!$I$94,M820=phu!$I$95,M820=phu!$I$96,M820=phu!$I$97,M820=phu!$I$98,M820=phu!$I$99,M820=phu!$I$100),"Huyện khác",""),IF(OR(M820=phu!$I$101,M820=phu!$I$102),"Tỉnh khác",""))</f>
        <v/>
      </c>
      <c r="O820" s="814" t="str">
        <f t="shared" si="73"/>
        <v/>
      </c>
      <c r="P820" s="254"/>
      <c r="Q820" s="254"/>
      <c r="R820" s="254"/>
      <c r="S820" s="254"/>
      <c r="T820" s="254"/>
      <c r="U820" s="254"/>
      <c r="V820" s="254"/>
      <c r="W820" s="254"/>
      <c r="Y820" s="246" t="str">
        <f t="shared" si="74"/>
        <v/>
      </c>
      <c r="Z820" s="247" t="str">
        <f t="shared" si="72"/>
        <v/>
      </c>
      <c r="AA820" s="246" t="str">
        <f t="shared" si="75"/>
        <v/>
      </c>
    </row>
    <row r="821" spans="1:27" x14ac:dyDescent="0.25">
      <c r="A821" s="248" t="str">
        <f t="shared" si="76"/>
        <v/>
      </c>
      <c r="B821" s="249" t="str">
        <f t="shared" si="77"/>
        <v/>
      </c>
      <c r="C821" s="250"/>
      <c r="D821" s="251"/>
      <c r="E821" s="241"/>
      <c r="F821" s="252"/>
      <c r="G821" s="252"/>
      <c r="H821" s="253"/>
      <c r="I821" s="250"/>
      <c r="J821" s="250"/>
      <c r="K821" s="270"/>
      <c r="L821" s="250"/>
      <c r="M821" s="250"/>
      <c r="N821" s="553" t="str">
        <f>CONCATENATE(IF(OR(M821=phu!$I$1,M821=phu!$I$2,M821=phu!$I$3),"Cam Thành Nam",""),IF(OR(M821=phu!$I$4,M821=phu!$I$5,M821=phu!$I$6,M821=phu!$I$7,M821=phu!$I$8,M821=phu!$I$9,M821=phu!$I$10,M821=phu!$I$11,M821=phu!$I$12,M821=phu!$I$13,M821=phu!$I$14),"Cam Nghĩa",""),IF(OR(M821=phu!$I$15,M821=phu!$I$16,M821=phu!$I$17,M821=phu!$I$18,M821=phu!$I$19,M821=phu!$I$20,M821=phu!$I$21),"Cam Phúc Bắc",""),IF(OR(M821=phu!$I$22,M821=phu!$I$23,M821=phu!$I$24,M821=phu!$I$25),"Cam Phúc Nam",""),IF(OR(M821=phu!$I$26,M821=phu!$I$27,M821=phu!$I$28,M821=phu!$I$29,M821=phu!$I$30,M821=phu!$I$31),"Cam Phú",""),IF(OR(M821=phu!$I$32,M821=phu!$I$33,M821=phu!$I$34,M821=phu!$I$35,M821=phu!$I$36,M821=phu!$I$37),"Cam Lộc",""),IF(OR(M821=phu!$I$38,M821=phu!$I$39,M821=phu!$I$40,M821=phu!$I$41,M821=phu!$I$42,M821=phu!$I$43,M821=phu!$I$44),"Cam Thuận",""),IF(OR(M821=phu!$I$45,M821=phu!$I$46,M821=phu!$I$47,M821=phu!$I$48,M821=phu!$I$49,M821=phu!$I$50,M821=phu!$I$51,M821=phu!$I$52,M821=phu!$I$53),"Cam Linh",""),IF(OR(M821=phu!$I$54,M821=phu!$I$55,M821=phu!$I$56,M821=phu!$I$57,M821=phu!$I$58,M821=phu!$I$59,M821=phu!$I$60,M821=phu!$I$61,M821=phu!$I$62),"Cam Lợi",""),IF(OR(M821=phu!$I$63,M821=phu!$I$64,M821=phu!$I$65,M821=phu!$I$66,M821=phu!$I$67,M821=phu!$I$68,M821=phu!$I$69,M821=phu!$I$70,M821=phu!$I$71),"Ba Ngòi",""),IF(OR(M821=phu!$I$72,M821=phu!$I$73,M821=phu!$I$74,M821=phu!$I$75,M821=phu!$I$76,M821=phu!$I$77,M821=phu!$I$78),"Cam Phước Đông",""),IF(OR(M821=phu!$I$79,M821=phu!$I$80,M821=phu!$I$81,M821=phu!$I$82,M821=phu!$I$83,M821=phu!$I$84),"Cam Thịnh Đông",""),IF(OR(M821=phu!$I$85,M821=phu!$I$86,M821=phu!$I$87,M821=phu!$I$88),"Cam Thịnh Tây",""),IF(OR(M821=phu!$I$89,M821=phu!$I$90),"Cam Lập",""),IF(OR(M821=phu!$I$91,M821=phu!$I$92,M821=phu!$I$93),"Cam Bình",""),IF(OR(M821=phu!$I$94,M821=phu!$I$95,M821=phu!$I$96,M821=phu!$I$97,M821=phu!$I$98,M821=phu!$I$99,M821=phu!$I$100),"Huyện khác",""),IF(OR(M821=phu!$I$101,M821=phu!$I$102),"Tỉnh khác",""))</f>
        <v/>
      </c>
      <c r="O821" s="814" t="str">
        <f t="shared" si="73"/>
        <v/>
      </c>
      <c r="P821" s="254"/>
      <c r="Q821" s="254"/>
      <c r="R821" s="254"/>
      <c r="S821" s="254"/>
      <c r="T821" s="254"/>
      <c r="U821" s="254"/>
      <c r="V821" s="254"/>
      <c r="W821" s="254"/>
      <c r="Y821" s="246" t="str">
        <f t="shared" si="74"/>
        <v/>
      </c>
      <c r="Z821" s="247" t="str">
        <f t="shared" si="72"/>
        <v/>
      </c>
      <c r="AA821" s="246" t="str">
        <f t="shared" si="75"/>
        <v/>
      </c>
    </row>
    <row r="822" spans="1:27" x14ac:dyDescent="0.25">
      <c r="A822" s="248" t="str">
        <f t="shared" si="76"/>
        <v/>
      </c>
      <c r="B822" s="249" t="str">
        <f t="shared" si="77"/>
        <v/>
      </c>
      <c r="C822" s="250"/>
      <c r="D822" s="251"/>
      <c r="E822" s="241"/>
      <c r="F822" s="252"/>
      <c r="G822" s="252"/>
      <c r="H822" s="253"/>
      <c r="I822" s="250"/>
      <c r="J822" s="250"/>
      <c r="K822" s="270"/>
      <c r="L822" s="250"/>
      <c r="M822" s="250"/>
      <c r="N822" s="553" t="str">
        <f>CONCATENATE(IF(OR(M822=phu!$I$1,M822=phu!$I$2,M822=phu!$I$3),"Cam Thành Nam",""),IF(OR(M822=phu!$I$4,M822=phu!$I$5,M822=phu!$I$6,M822=phu!$I$7,M822=phu!$I$8,M822=phu!$I$9,M822=phu!$I$10,M822=phu!$I$11,M822=phu!$I$12,M822=phu!$I$13,M822=phu!$I$14),"Cam Nghĩa",""),IF(OR(M822=phu!$I$15,M822=phu!$I$16,M822=phu!$I$17,M822=phu!$I$18,M822=phu!$I$19,M822=phu!$I$20,M822=phu!$I$21),"Cam Phúc Bắc",""),IF(OR(M822=phu!$I$22,M822=phu!$I$23,M822=phu!$I$24,M822=phu!$I$25),"Cam Phúc Nam",""),IF(OR(M822=phu!$I$26,M822=phu!$I$27,M822=phu!$I$28,M822=phu!$I$29,M822=phu!$I$30,M822=phu!$I$31),"Cam Phú",""),IF(OR(M822=phu!$I$32,M822=phu!$I$33,M822=phu!$I$34,M822=phu!$I$35,M822=phu!$I$36,M822=phu!$I$37),"Cam Lộc",""),IF(OR(M822=phu!$I$38,M822=phu!$I$39,M822=phu!$I$40,M822=phu!$I$41,M822=phu!$I$42,M822=phu!$I$43,M822=phu!$I$44),"Cam Thuận",""),IF(OR(M822=phu!$I$45,M822=phu!$I$46,M822=phu!$I$47,M822=phu!$I$48,M822=phu!$I$49,M822=phu!$I$50,M822=phu!$I$51,M822=phu!$I$52,M822=phu!$I$53),"Cam Linh",""),IF(OR(M822=phu!$I$54,M822=phu!$I$55,M822=phu!$I$56,M822=phu!$I$57,M822=phu!$I$58,M822=phu!$I$59,M822=phu!$I$60,M822=phu!$I$61,M822=phu!$I$62),"Cam Lợi",""),IF(OR(M822=phu!$I$63,M822=phu!$I$64,M822=phu!$I$65,M822=phu!$I$66,M822=phu!$I$67,M822=phu!$I$68,M822=phu!$I$69,M822=phu!$I$70,M822=phu!$I$71),"Ba Ngòi",""),IF(OR(M822=phu!$I$72,M822=phu!$I$73,M822=phu!$I$74,M822=phu!$I$75,M822=phu!$I$76,M822=phu!$I$77,M822=phu!$I$78),"Cam Phước Đông",""),IF(OR(M822=phu!$I$79,M822=phu!$I$80,M822=phu!$I$81,M822=phu!$I$82,M822=phu!$I$83,M822=phu!$I$84),"Cam Thịnh Đông",""),IF(OR(M822=phu!$I$85,M822=phu!$I$86,M822=phu!$I$87,M822=phu!$I$88),"Cam Thịnh Tây",""),IF(OR(M822=phu!$I$89,M822=phu!$I$90),"Cam Lập",""),IF(OR(M822=phu!$I$91,M822=phu!$I$92,M822=phu!$I$93),"Cam Bình",""),IF(OR(M822=phu!$I$94,M822=phu!$I$95,M822=phu!$I$96,M822=phu!$I$97,M822=phu!$I$98,M822=phu!$I$99,M822=phu!$I$100),"Huyện khác",""),IF(OR(M822=phu!$I$101,M822=phu!$I$102),"Tỉnh khác",""))</f>
        <v/>
      </c>
      <c r="O822" s="814" t="str">
        <f t="shared" si="73"/>
        <v/>
      </c>
      <c r="P822" s="254"/>
      <c r="Q822" s="254"/>
      <c r="R822" s="254"/>
      <c r="S822" s="254"/>
      <c r="T822" s="254"/>
      <c r="U822" s="254"/>
      <c r="V822" s="254"/>
      <c r="W822" s="254"/>
      <c r="Y822" s="246" t="str">
        <f t="shared" si="74"/>
        <v/>
      </c>
      <c r="Z822" s="247" t="str">
        <f t="shared" si="72"/>
        <v/>
      </c>
      <c r="AA822" s="246" t="str">
        <f t="shared" si="75"/>
        <v/>
      </c>
    </row>
    <row r="823" spans="1:27" x14ac:dyDescent="0.25">
      <c r="A823" s="248" t="str">
        <f t="shared" si="76"/>
        <v/>
      </c>
      <c r="B823" s="249" t="str">
        <f t="shared" si="77"/>
        <v/>
      </c>
      <c r="C823" s="250"/>
      <c r="D823" s="251"/>
      <c r="E823" s="241"/>
      <c r="F823" s="252"/>
      <c r="G823" s="252"/>
      <c r="H823" s="253"/>
      <c r="I823" s="250"/>
      <c r="J823" s="250"/>
      <c r="K823" s="270"/>
      <c r="L823" s="250"/>
      <c r="M823" s="250"/>
      <c r="N823" s="553" t="str">
        <f>CONCATENATE(IF(OR(M823=phu!$I$1,M823=phu!$I$2,M823=phu!$I$3),"Cam Thành Nam",""),IF(OR(M823=phu!$I$4,M823=phu!$I$5,M823=phu!$I$6,M823=phu!$I$7,M823=phu!$I$8,M823=phu!$I$9,M823=phu!$I$10,M823=phu!$I$11,M823=phu!$I$12,M823=phu!$I$13,M823=phu!$I$14),"Cam Nghĩa",""),IF(OR(M823=phu!$I$15,M823=phu!$I$16,M823=phu!$I$17,M823=phu!$I$18,M823=phu!$I$19,M823=phu!$I$20,M823=phu!$I$21),"Cam Phúc Bắc",""),IF(OR(M823=phu!$I$22,M823=phu!$I$23,M823=phu!$I$24,M823=phu!$I$25),"Cam Phúc Nam",""),IF(OR(M823=phu!$I$26,M823=phu!$I$27,M823=phu!$I$28,M823=phu!$I$29,M823=phu!$I$30,M823=phu!$I$31),"Cam Phú",""),IF(OR(M823=phu!$I$32,M823=phu!$I$33,M823=phu!$I$34,M823=phu!$I$35,M823=phu!$I$36,M823=phu!$I$37),"Cam Lộc",""),IF(OR(M823=phu!$I$38,M823=phu!$I$39,M823=phu!$I$40,M823=phu!$I$41,M823=phu!$I$42,M823=phu!$I$43,M823=phu!$I$44),"Cam Thuận",""),IF(OR(M823=phu!$I$45,M823=phu!$I$46,M823=phu!$I$47,M823=phu!$I$48,M823=phu!$I$49,M823=phu!$I$50,M823=phu!$I$51,M823=phu!$I$52,M823=phu!$I$53),"Cam Linh",""),IF(OR(M823=phu!$I$54,M823=phu!$I$55,M823=phu!$I$56,M823=phu!$I$57,M823=phu!$I$58,M823=phu!$I$59,M823=phu!$I$60,M823=phu!$I$61,M823=phu!$I$62),"Cam Lợi",""),IF(OR(M823=phu!$I$63,M823=phu!$I$64,M823=phu!$I$65,M823=phu!$I$66,M823=phu!$I$67,M823=phu!$I$68,M823=phu!$I$69,M823=phu!$I$70,M823=phu!$I$71),"Ba Ngòi",""),IF(OR(M823=phu!$I$72,M823=phu!$I$73,M823=phu!$I$74,M823=phu!$I$75,M823=phu!$I$76,M823=phu!$I$77,M823=phu!$I$78),"Cam Phước Đông",""),IF(OR(M823=phu!$I$79,M823=phu!$I$80,M823=phu!$I$81,M823=phu!$I$82,M823=phu!$I$83,M823=phu!$I$84),"Cam Thịnh Đông",""),IF(OR(M823=phu!$I$85,M823=phu!$I$86,M823=phu!$I$87,M823=phu!$I$88),"Cam Thịnh Tây",""),IF(OR(M823=phu!$I$89,M823=phu!$I$90),"Cam Lập",""),IF(OR(M823=phu!$I$91,M823=phu!$I$92,M823=phu!$I$93),"Cam Bình",""),IF(OR(M823=phu!$I$94,M823=phu!$I$95,M823=phu!$I$96,M823=phu!$I$97,M823=phu!$I$98,M823=phu!$I$99,M823=phu!$I$100),"Huyện khác",""),IF(OR(M823=phu!$I$101,M823=phu!$I$102),"Tỉnh khác",""))</f>
        <v/>
      </c>
      <c r="O823" s="814" t="str">
        <f t="shared" si="73"/>
        <v/>
      </c>
      <c r="P823" s="254"/>
      <c r="Q823" s="254"/>
      <c r="R823" s="254"/>
      <c r="S823" s="254"/>
      <c r="T823" s="254"/>
      <c r="U823" s="254"/>
      <c r="V823" s="254"/>
      <c r="W823" s="254"/>
      <c r="Y823" s="246" t="str">
        <f t="shared" si="74"/>
        <v/>
      </c>
      <c r="Z823" s="247" t="str">
        <f t="shared" si="72"/>
        <v/>
      </c>
      <c r="AA823" s="246" t="str">
        <f t="shared" si="75"/>
        <v/>
      </c>
    </row>
    <row r="824" spans="1:27" x14ac:dyDescent="0.25">
      <c r="A824" s="248" t="str">
        <f t="shared" si="76"/>
        <v/>
      </c>
      <c r="B824" s="249" t="str">
        <f t="shared" si="77"/>
        <v/>
      </c>
      <c r="C824" s="250"/>
      <c r="D824" s="251"/>
      <c r="E824" s="241"/>
      <c r="F824" s="252"/>
      <c r="G824" s="252"/>
      <c r="H824" s="253"/>
      <c r="I824" s="250"/>
      <c r="J824" s="250"/>
      <c r="K824" s="270"/>
      <c r="L824" s="250"/>
      <c r="M824" s="250"/>
      <c r="N824" s="553" t="str">
        <f>CONCATENATE(IF(OR(M824=phu!$I$1,M824=phu!$I$2,M824=phu!$I$3),"Cam Thành Nam",""),IF(OR(M824=phu!$I$4,M824=phu!$I$5,M824=phu!$I$6,M824=phu!$I$7,M824=phu!$I$8,M824=phu!$I$9,M824=phu!$I$10,M824=phu!$I$11,M824=phu!$I$12,M824=phu!$I$13,M824=phu!$I$14),"Cam Nghĩa",""),IF(OR(M824=phu!$I$15,M824=phu!$I$16,M824=phu!$I$17,M824=phu!$I$18,M824=phu!$I$19,M824=phu!$I$20,M824=phu!$I$21),"Cam Phúc Bắc",""),IF(OR(M824=phu!$I$22,M824=phu!$I$23,M824=phu!$I$24,M824=phu!$I$25),"Cam Phúc Nam",""),IF(OR(M824=phu!$I$26,M824=phu!$I$27,M824=phu!$I$28,M824=phu!$I$29,M824=phu!$I$30,M824=phu!$I$31),"Cam Phú",""),IF(OR(M824=phu!$I$32,M824=phu!$I$33,M824=phu!$I$34,M824=phu!$I$35,M824=phu!$I$36,M824=phu!$I$37),"Cam Lộc",""),IF(OR(M824=phu!$I$38,M824=phu!$I$39,M824=phu!$I$40,M824=phu!$I$41,M824=phu!$I$42,M824=phu!$I$43,M824=phu!$I$44),"Cam Thuận",""),IF(OR(M824=phu!$I$45,M824=phu!$I$46,M824=phu!$I$47,M824=phu!$I$48,M824=phu!$I$49,M824=phu!$I$50,M824=phu!$I$51,M824=phu!$I$52,M824=phu!$I$53),"Cam Linh",""),IF(OR(M824=phu!$I$54,M824=phu!$I$55,M824=phu!$I$56,M824=phu!$I$57,M824=phu!$I$58,M824=phu!$I$59,M824=phu!$I$60,M824=phu!$I$61,M824=phu!$I$62),"Cam Lợi",""),IF(OR(M824=phu!$I$63,M824=phu!$I$64,M824=phu!$I$65,M824=phu!$I$66,M824=phu!$I$67,M824=phu!$I$68,M824=phu!$I$69,M824=phu!$I$70,M824=phu!$I$71),"Ba Ngòi",""),IF(OR(M824=phu!$I$72,M824=phu!$I$73,M824=phu!$I$74,M824=phu!$I$75,M824=phu!$I$76,M824=phu!$I$77,M824=phu!$I$78),"Cam Phước Đông",""),IF(OR(M824=phu!$I$79,M824=phu!$I$80,M824=phu!$I$81,M824=phu!$I$82,M824=phu!$I$83,M824=phu!$I$84),"Cam Thịnh Đông",""),IF(OR(M824=phu!$I$85,M824=phu!$I$86,M824=phu!$I$87,M824=phu!$I$88),"Cam Thịnh Tây",""),IF(OR(M824=phu!$I$89,M824=phu!$I$90),"Cam Lập",""),IF(OR(M824=phu!$I$91,M824=phu!$I$92,M824=phu!$I$93),"Cam Bình",""),IF(OR(M824=phu!$I$94,M824=phu!$I$95,M824=phu!$I$96,M824=phu!$I$97,M824=phu!$I$98,M824=phu!$I$99,M824=phu!$I$100),"Huyện khác",""),IF(OR(M824=phu!$I$101,M824=phu!$I$102),"Tỉnh khác",""))</f>
        <v/>
      </c>
      <c r="O824" s="814" t="str">
        <f t="shared" si="73"/>
        <v/>
      </c>
      <c r="P824" s="254"/>
      <c r="Q824" s="254"/>
      <c r="R824" s="254"/>
      <c r="S824" s="254"/>
      <c r="T824" s="254"/>
      <c r="U824" s="254"/>
      <c r="V824" s="254"/>
      <c r="W824" s="254"/>
      <c r="Y824" s="246" t="str">
        <f t="shared" si="74"/>
        <v/>
      </c>
      <c r="Z824" s="247" t="str">
        <f t="shared" si="72"/>
        <v/>
      </c>
      <c r="AA824" s="246" t="str">
        <f t="shared" si="75"/>
        <v/>
      </c>
    </row>
    <row r="825" spans="1:27" x14ac:dyDescent="0.25">
      <c r="A825" s="248" t="str">
        <f t="shared" si="76"/>
        <v/>
      </c>
      <c r="B825" s="249" t="str">
        <f t="shared" si="77"/>
        <v/>
      </c>
      <c r="C825" s="250"/>
      <c r="D825" s="251"/>
      <c r="E825" s="241"/>
      <c r="F825" s="252"/>
      <c r="G825" s="252"/>
      <c r="H825" s="253"/>
      <c r="I825" s="250"/>
      <c r="J825" s="250"/>
      <c r="K825" s="270"/>
      <c r="L825" s="250"/>
      <c r="M825" s="250"/>
      <c r="N825" s="553" t="str">
        <f>CONCATENATE(IF(OR(M825=phu!$I$1,M825=phu!$I$2,M825=phu!$I$3),"Cam Thành Nam",""),IF(OR(M825=phu!$I$4,M825=phu!$I$5,M825=phu!$I$6,M825=phu!$I$7,M825=phu!$I$8,M825=phu!$I$9,M825=phu!$I$10,M825=phu!$I$11,M825=phu!$I$12,M825=phu!$I$13,M825=phu!$I$14),"Cam Nghĩa",""),IF(OR(M825=phu!$I$15,M825=phu!$I$16,M825=phu!$I$17,M825=phu!$I$18,M825=phu!$I$19,M825=phu!$I$20,M825=phu!$I$21),"Cam Phúc Bắc",""),IF(OR(M825=phu!$I$22,M825=phu!$I$23,M825=phu!$I$24,M825=phu!$I$25),"Cam Phúc Nam",""),IF(OR(M825=phu!$I$26,M825=phu!$I$27,M825=phu!$I$28,M825=phu!$I$29,M825=phu!$I$30,M825=phu!$I$31),"Cam Phú",""),IF(OR(M825=phu!$I$32,M825=phu!$I$33,M825=phu!$I$34,M825=phu!$I$35,M825=phu!$I$36,M825=phu!$I$37),"Cam Lộc",""),IF(OR(M825=phu!$I$38,M825=phu!$I$39,M825=phu!$I$40,M825=phu!$I$41,M825=phu!$I$42,M825=phu!$I$43,M825=phu!$I$44),"Cam Thuận",""),IF(OR(M825=phu!$I$45,M825=phu!$I$46,M825=phu!$I$47,M825=phu!$I$48,M825=phu!$I$49,M825=phu!$I$50,M825=phu!$I$51,M825=phu!$I$52,M825=phu!$I$53),"Cam Linh",""),IF(OR(M825=phu!$I$54,M825=phu!$I$55,M825=phu!$I$56,M825=phu!$I$57,M825=phu!$I$58,M825=phu!$I$59,M825=phu!$I$60,M825=phu!$I$61,M825=phu!$I$62),"Cam Lợi",""),IF(OR(M825=phu!$I$63,M825=phu!$I$64,M825=phu!$I$65,M825=phu!$I$66,M825=phu!$I$67,M825=phu!$I$68,M825=phu!$I$69,M825=phu!$I$70,M825=phu!$I$71),"Ba Ngòi",""),IF(OR(M825=phu!$I$72,M825=phu!$I$73,M825=phu!$I$74,M825=phu!$I$75,M825=phu!$I$76,M825=phu!$I$77,M825=phu!$I$78),"Cam Phước Đông",""),IF(OR(M825=phu!$I$79,M825=phu!$I$80,M825=phu!$I$81,M825=phu!$I$82,M825=phu!$I$83,M825=phu!$I$84),"Cam Thịnh Đông",""),IF(OR(M825=phu!$I$85,M825=phu!$I$86,M825=phu!$I$87,M825=phu!$I$88),"Cam Thịnh Tây",""),IF(OR(M825=phu!$I$89,M825=phu!$I$90),"Cam Lập",""),IF(OR(M825=phu!$I$91,M825=phu!$I$92,M825=phu!$I$93),"Cam Bình",""),IF(OR(M825=phu!$I$94,M825=phu!$I$95,M825=phu!$I$96,M825=phu!$I$97,M825=phu!$I$98,M825=phu!$I$99,M825=phu!$I$100),"Huyện khác",""),IF(OR(M825=phu!$I$101,M825=phu!$I$102),"Tỉnh khác",""))</f>
        <v/>
      </c>
      <c r="O825" s="814" t="str">
        <f t="shared" si="73"/>
        <v/>
      </c>
      <c r="P825" s="254"/>
      <c r="Q825" s="254"/>
      <c r="R825" s="254"/>
      <c r="S825" s="254"/>
      <c r="T825" s="254"/>
      <c r="U825" s="254"/>
      <c r="V825" s="254"/>
      <c r="W825" s="254"/>
      <c r="Y825" s="246" t="str">
        <f t="shared" si="74"/>
        <v/>
      </c>
      <c r="Z825" s="247" t="str">
        <f t="shared" si="72"/>
        <v/>
      </c>
      <c r="AA825" s="246" t="str">
        <f t="shared" si="75"/>
        <v/>
      </c>
    </row>
    <row r="826" spans="1:27" x14ac:dyDescent="0.25">
      <c r="A826" s="248" t="str">
        <f t="shared" si="76"/>
        <v/>
      </c>
      <c r="B826" s="249" t="str">
        <f t="shared" si="77"/>
        <v/>
      </c>
      <c r="C826" s="250"/>
      <c r="D826" s="251"/>
      <c r="E826" s="241"/>
      <c r="F826" s="252"/>
      <c r="G826" s="252"/>
      <c r="H826" s="253"/>
      <c r="I826" s="250"/>
      <c r="J826" s="250"/>
      <c r="K826" s="270"/>
      <c r="L826" s="250"/>
      <c r="M826" s="250"/>
      <c r="N826" s="553" t="str">
        <f>CONCATENATE(IF(OR(M826=phu!$I$1,M826=phu!$I$2,M826=phu!$I$3),"Cam Thành Nam",""),IF(OR(M826=phu!$I$4,M826=phu!$I$5,M826=phu!$I$6,M826=phu!$I$7,M826=phu!$I$8,M826=phu!$I$9,M826=phu!$I$10,M826=phu!$I$11,M826=phu!$I$12,M826=phu!$I$13,M826=phu!$I$14),"Cam Nghĩa",""),IF(OR(M826=phu!$I$15,M826=phu!$I$16,M826=phu!$I$17,M826=phu!$I$18,M826=phu!$I$19,M826=phu!$I$20,M826=phu!$I$21),"Cam Phúc Bắc",""),IF(OR(M826=phu!$I$22,M826=phu!$I$23,M826=phu!$I$24,M826=phu!$I$25),"Cam Phúc Nam",""),IF(OR(M826=phu!$I$26,M826=phu!$I$27,M826=phu!$I$28,M826=phu!$I$29,M826=phu!$I$30,M826=phu!$I$31),"Cam Phú",""),IF(OR(M826=phu!$I$32,M826=phu!$I$33,M826=phu!$I$34,M826=phu!$I$35,M826=phu!$I$36,M826=phu!$I$37),"Cam Lộc",""),IF(OR(M826=phu!$I$38,M826=phu!$I$39,M826=phu!$I$40,M826=phu!$I$41,M826=phu!$I$42,M826=phu!$I$43,M826=phu!$I$44),"Cam Thuận",""),IF(OR(M826=phu!$I$45,M826=phu!$I$46,M826=phu!$I$47,M826=phu!$I$48,M826=phu!$I$49,M826=phu!$I$50,M826=phu!$I$51,M826=phu!$I$52,M826=phu!$I$53),"Cam Linh",""),IF(OR(M826=phu!$I$54,M826=phu!$I$55,M826=phu!$I$56,M826=phu!$I$57,M826=phu!$I$58,M826=phu!$I$59,M826=phu!$I$60,M826=phu!$I$61,M826=phu!$I$62),"Cam Lợi",""),IF(OR(M826=phu!$I$63,M826=phu!$I$64,M826=phu!$I$65,M826=phu!$I$66,M826=phu!$I$67,M826=phu!$I$68,M826=phu!$I$69,M826=phu!$I$70,M826=phu!$I$71),"Ba Ngòi",""),IF(OR(M826=phu!$I$72,M826=phu!$I$73,M826=phu!$I$74,M826=phu!$I$75,M826=phu!$I$76,M826=phu!$I$77,M826=phu!$I$78),"Cam Phước Đông",""),IF(OR(M826=phu!$I$79,M826=phu!$I$80,M826=phu!$I$81,M826=phu!$I$82,M826=phu!$I$83,M826=phu!$I$84),"Cam Thịnh Đông",""),IF(OR(M826=phu!$I$85,M826=phu!$I$86,M826=phu!$I$87,M826=phu!$I$88),"Cam Thịnh Tây",""),IF(OR(M826=phu!$I$89,M826=phu!$I$90),"Cam Lập",""),IF(OR(M826=phu!$I$91,M826=phu!$I$92,M826=phu!$I$93),"Cam Bình",""),IF(OR(M826=phu!$I$94,M826=phu!$I$95,M826=phu!$I$96,M826=phu!$I$97,M826=phu!$I$98,M826=phu!$I$99,M826=phu!$I$100),"Huyện khác",""),IF(OR(M826=phu!$I$101,M826=phu!$I$102),"Tỉnh khác",""))</f>
        <v/>
      </c>
      <c r="O826" s="814" t="str">
        <f t="shared" si="73"/>
        <v/>
      </c>
      <c r="P826" s="254"/>
      <c r="Q826" s="254"/>
      <c r="R826" s="254"/>
      <c r="S826" s="254"/>
      <c r="T826" s="254"/>
      <c r="U826" s="254"/>
      <c r="V826" s="254"/>
      <c r="W826" s="254"/>
      <c r="Y826" s="246" t="str">
        <f t="shared" si="74"/>
        <v/>
      </c>
      <c r="Z826" s="247" t="str">
        <f t="shared" si="72"/>
        <v/>
      </c>
      <c r="AA826" s="246" t="str">
        <f t="shared" si="75"/>
        <v/>
      </c>
    </row>
    <row r="827" spans="1:27" x14ac:dyDescent="0.25">
      <c r="A827" s="248" t="str">
        <f t="shared" si="76"/>
        <v/>
      </c>
      <c r="B827" s="249" t="str">
        <f t="shared" si="77"/>
        <v/>
      </c>
      <c r="C827" s="250"/>
      <c r="D827" s="251"/>
      <c r="E827" s="241"/>
      <c r="F827" s="252"/>
      <c r="G827" s="252"/>
      <c r="H827" s="253"/>
      <c r="I827" s="250"/>
      <c r="J827" s="250"/>
      <c r="K827" s="270"/>
      <c r="L827" s="250"/>
      <c r="M827" s="250"/>
      <c r="N827" s="553" t="str">
        <f>CONCATENATE(IF(OR(M827=phu!$I$1,M827=phu!$I$2,M827=phu!$I$3),"Cam Thành Nam",""),IF(OR(M827=phu!$I$4,M827=phu!$I$5,M827=phu!$I$6,M827=phu!$I$7,M827=phu!$I$8,M827=phu!$I$9,M827=phu!$I$10,M827=phu!$I$11,M827=phu!$I$12,M827=phu!$I$13,M827=phu!$I$14),"Cam Nghĩa",""),IF(OR(M827=phu!$I$15,M827=phu!$I$16,M827=phu!$I$17,M827=phu!$I$18,M827=phu!$I$19,M827=phu!$I$20,M827=phu!$I$21),"Cam Phúc Bắc",""),IF(OR(M827=phu!$I$22,M827=phu!$I$23,M827=phu!$I$24,M827=phu!$I$25),"Cam Phúc Nam",""),IF(OR(M827=phu!$I$26,M827=phu!$I$27,M827=phu!$I$28,M827=phu!$I$29,M827=phu!$I$30,M827=phu!$I$31),"Cam Phú",""),IF(OR(M827=phu!$I$32,M827=phu!$I$33,M827=phu!$I$34,M827=phu!$I$35,M827=phu!$I$36,M827=phu!$I$37),"Cam Lộc",""),IF(OR(M827=phu!$I$38,M827=phu!$I$39,M827=phu!$I$40,M827=phu!$I$41,M827=phu!$I$42,M827=phu!$I$43,M827=phu!$I$44),"Cam Thuận",""),IF(OR(M827=phu!$I$45,M827=phu!$I$46,M827=phu!$I$47,M827=phu!$I$48,M827=phu!$I$49,M827=phu!$I$50,M827=phu!$I$51,M827=phu!$I$52,M827=phu!$I$53),"Cam Linh",""),IF(OR(M827=phu!$I$54,M827=phu!$I$55,M827=phu!$I$56,M827=phu!$I$57,M827=phu!$I$58,M827=phu!$I$59,M827=phu!$I$60,M827=phu!$I$61,M827=phu!$I$62),"Cam Lợi",""),IF(OR(M827=phu!$I$63,M827=phu!$I$64,M827=phu!$I$65,M827=phu!$I$66,M827=phu!$I$67,M827=phu!$I$68,M827=phu!$I$69,M827=phu!$I$70,M827=phu!$I$71),"Ba Ngòi",""),IF(OR(M827=phu!$I$72,M827=phu!$I$73,M827=phu!$I$74,M827=phu!$I$75,M827=phu!$I$76,M827=phu!$I$77,M827=phu!$I$78),"Cam Phước Đông",""),IF(OR(M827=phu!$I$79,M827=phu!$I$80,M827=phu!$I$81,M827=phu!$I$82,M827=phu!$I$83,M827=phu!$I$84),"Cam Thịnh Đông",""),IF(OR(M827=phu!$I$85,M827=phu!$I$86,M827=phu!$I$87,M827=phu!$I$88),"Cam Thịnh Tây",""),IF(OR(M827=phu!$I$89,M827=phu!$I$90),"Cam Lập",""),IF(OR(M827=phu!$I$91,M827=phu!$I$92,M827=phu!$I$93),"Cam Bình",""),IF(OR(M827=phu!$I$94,M827=phu!$I$95,M827=phu!$I$96,M827=phu!$I$97,M827=phu!$I$98,M827=phu!$I$99,M827=phu!$I$100),"Huyện khác",""),IF(OR(M827=phu!$I$101,M827=phu!$I$102),"Tỉnh khác",""))</f>
        <v/>
      </c>
      <c r="O827" s="814" t="str">
        <f t="shared" si="73"/>
        <v/>
      </c>
      <c r="P827" s="254"/>
      <c r="Q827" s="254"/>
      <c r="R827" s="254"/>
      <c r="S827" s="254"/>
      <c r="T827" s="254"/>
      <c r="U827" s="254"/>
      <c r="V827" s="254"/>
      <c r="W827" s="254"/>
      <c r="Y827" s="246" t="str">
        <f t="shared" si="74"/>
        <v/>
      </c>
      <c r="Z827" s="247" t="str">
        <f t="shared" si="72"/>
        <v/>
      </c>
      <c r="AA827" s="246" t="str">
        <f t="shared" si="75"/>
        <v/>
      </c>
    </row>
    <row r="828" spans="1:27" x14ac:dyDescent="0.25">
      <c r="A828" s="248" t="str">
        <f t="shared" si="76"/>
        <v/>
      </c>
      <c r="B828" s="249" t="str">
        <f t="shared" si="77"/>
        <v/>
      </c>
      <c r="C828" s="250"/>
      <c r="D828" s="251"/>
      <c r="E828" s="241"/>
      <c r="F828" s="252"/>
      <c r="G828" s="252"/>
      <c r="H828" s="253"/>
      <c r="I828" s="250"/>
      <c r="J828" s="250"/>
      <c r="K828" s="270"/>
      <c r="L828" s="250"/>
      <c r="M828" s="250"/>
      <c r="N828" s="553" t="str">
        <f>CONCATENATE(IF(OR(M828=phu!$I$1,M828=phu!$I$2,M828=phu!$I$3),"Cam Thành Nam",""),IF(OR(M828=phu!$I$4,M828=phu!$I$5,M828=phu!$I$6,M828=phu!$I$7,M828=phu!$I$8,M828=phu!$I$9,M828=phu!$I$10,M828=phu!$I$11,M828=phu!$I$12,M828=phu!$I$13,M828=phu!$I$14),"Cam Nghĩa",""),IF(OR(M828=phu!$I$15,M828=phu!$I$16,M828=phu!$I$17,M828=phu!$I$18,M828=phu!$I$19,M828=phu!$I$20,M828=phu!$I$21),"Cam Phúc Bắc",""),IF(OR(M828=phu!$I$22,M828=phu!$I$23,M828=phu!$I$24,M828=phu!$I$25),"Cam Phúc Nam",""),IF(OR(M828=phu!$I$26,M828=phu!$I$27,M828=phu!$I$28,M828=phu!$I$29,M828=phu!$I$30,M828=phu!$I$31),"Cam Phú",""),IF(OR(M828=phu!$I$32,M828=phu!$I$33,M828=phu!$I$34,M828=phu!$I$35,M828=phu!$I$36,M828=phu!$I$37),"Cam Lộc",""),IF(OR(M828=phu!$I$38,M828=phu!$I$39,M828=phu!$I$40,M828=phu!$I$41,M828=phu!$I$42,M828=phu!$I$43,M828=phu!$I$44),"Cam Thuận",""),IF(OR(M828=phu!$I$45,M828=phu!$I$46,M828=phu!$I$47,M828=phu!$I$48,M828=phu!$I$49,M828=phu!$I$50,M828=phu!$I$51,M828=phu!$I$52,M828=phu!$I$53),"Cam Linh",""),IF(OR(M828=phu!$I$54,M828=phu!$I$55,M828=phu!$I$56,M828=phu!$I$57,M828=phu!$I$58,M828=phu!$I$59,M828=phu!$I$60,M828=phu!$I$61,M828=phu!$I$62),"Cam Lợi",""),IF(OR(M828=phu!$I$63,M828=phu!$I$64,M828=phu!$I$65,M828=phu!$I$66,M828=phu!$I$67,M828=phu!$I$68,M828=phu!$I$69,M828=phu!$I$70,M828=phu!$I$71),"Ba Ngòi",""),IF(OR(M828=phu!$I$72,M828=phu!$I$73,M828=phu!$I$74,M828=phu!$I$75,M828=phu!$I$76,M828=phu!$I$77,M828=phu!$I$78),"Cam Phước Đông",""),IF(OR(M828=phu!$I$79,M828=phu!$I$80,M828=phu!$I$81,M828=phu!$I$82,M828=phu!$I$83,M828=phu!$I$84),"Cam Thịnh Đông",""),IF(OR(M828=phu!$I$85,M828=phu!$I$86,M828=phu!$I$87,M828=phu!$I$88),"Cam Thịnh Tây",""),IF(OR(M828=phu!$I$89,M828=phu!$I$90),"Cam Lập",""),IF(OR(M828=phu!$I$91,M828=phu!$I$92,M828=phu!$I$93),"Cam Bình",""),IF(OR(M828=phu!$I$94,M828=phu!$I$95,M828=phu!$I$96,M828=phu!$I$97,M828=phu!$I$98,M828=phu!$I$99,M828=phu!$I$100),"Huyện khác",""),IF(OR(M828=phu!$I$101,M828=phu!$I$102),"Tỉnh khác",""))</f>
        <v/>
      </c>
      <c r="O828" s="814" t="str">
        <f t="shared" si="73"/>
        <v/>
      </c>
      <c r="P828" s="254"/>
      <c r="Q828" s="254"/>
      <c r="R828" s="254"/>
      <c r="S828" s="254"/>
      <c r="T828" s="254"/>
      <c r="U828" s="254"/>
      <c r="V828" s="254"/>
      <c r="W828" s="254"/>
      <c r="Y828" s="246" t="str">
        <f t="shared" si="74"/>
        <v/>
      </c>
      <c r="Z828" s="247" t="str">
        <f t="shared" si="72"/>
        <v/>
      </c>
      <c r="AA828" s="246" t="str">
        <f t="shared" si="75"/>
        <v/>
      </c>
    </row>
    <row r="829" spans="1:27" x14ac:dyDescent="0.25">
      <c r="A829" s="248" t="str">
        <f t="shared" si="76"/>
        <v/>
      </c>
      <c r="B829" s="249" t="str">
        <f t="shared" si="77"/>
        <v/>
      </c>
      <c r="C829" s="250"/>
      <c r="D829" s="251"/>
      <c r="E829" s="241"/>
      <c r="F829" s="252"/>
      <c r="G829" s="252"/>
      <c r="H829" s="253"/>
      <c r="I829" s="250"/>
      <c r="J829" s="250"/>
      <c r="K829" s="270"/>
      <c r="L829" s="250"/>
      <c r="M829" s="250"/>
      <c r="N829" s="553" t="str">
        <f>CONCATENATE(IF(OR(M829=phu!$I$1,M829=phu!$I$2,M829=phu!$I$3),"Cam Thành Nam",""),IF(OR(M829=phu!$I$4,M829=phu!$I$5,M829=phu!$I$6,M829=phu!$I$7,M829=phu!$I$8,M829=phu!$I$9,M829=phu!$I$10,M829=phu!$I$11,M829=phu!$I$12,M829=phu!$I$13,M829=phu!$I$14),"Cam Nghĩa",""),IF(OR(M829=phu!$I$15,M829=phu!$I$16,M829=phu!$I$17,M829=phu!$I$18,M829=phu!$I$19,M829=phu!$I$20,M829=phu!$I$21),"Cam Phúc Bắc",""),IF(OR(M829=phu!$I$22,M829=phu!$I$23,M829=phu!$I$24,M829=phu!$I$25),"Cam Phúc Nam",""),IF(OR(M829=phu!$I$26,M829=phu!$I$27,M829=phu!$I$28,M829=phu!$I$29,M829=phu!$I$30,M829=phu!$I$31),"Cam Phú",""),IF(OR(M829=phu!$I$32,M829=phu!$I$33,M829=phu!$I$34,M829=phu!$I$35,M829=phu!$I$36,M829=phu!$I$37),"Cam Lộc",""),IF(OR(M829=phu!$I$38,M829=phu!$I$39,M829=phu!$I$40,M829=phu!$I$41,M829=phu!$I$42,M829=phu!$I$43,M829=phu!$I$44),"Cam Thuận",""),IF(OR(M829=phu!$I$45,M829=phu!$I$46,M829=phu!$I$47,M829=phu!$I$48,M829=phu!$I$49,M829=phu!$I$50,M829=phu!$I$51,M829=phu!$I$52,M829=phu!$I$53),"Cam Linh",""),IF(OR(M829=phu!$I$54,M829=phu!$I$55,M829=phu!$I$56,M829=phu!$I$57,M829=phu!$I$58,M829=phu!$I$59,M829=phu!$I$60,M829=phu!$I$61,M829=phu!$I$62),"Cam Lợi",""),IF(OR(M829=phu!$I$63,M829=phu!$I$64,M829=phu!$I$65,M829=phu!$I$66,M829=phu!$I$67,M829=phu!$I$68,M829=phu!$I$69,M829=phu!$I$70,M829=phu!$I$71),"Ba Ngòi",""),IF(OR(M829=phu!$I$72,M829=phu!$I$73,M829=phu!$I$74,M829=phu!$I$75,M829=phu!$I$76,M829=phu!$I$77,M829=phu!$I$78),"Cam Phước Đông",""),IF(OR(M829=phu!$I$79,M829=phu!$I$80,M829=phu!$I$81,M829=phu!$I$82,M829=phu!$I$83,M829=phu!$I$84),"Cam Thịnh Đông",""),IF(OR(M829=phu!$I$85,M829=phu!$I$86,M829=phu!$I$87,M829=phu!$I$88),"Cam Thịnh Tây",""),IF(OR(M829=phu!$I$89,M829=phu!$I$90),"Cam Lập",""),IF(OR(M829=phu!$I$91,M829=phu!$I$92,M829=phu!$I$93),"Cam Bình",""),IF(OR(M829=phu!$I$94,M829=phu!$I$95,M829=phu!$I$96,M829=phu!$I$97,M829=phu!$I$98,M829=phu!$I$99,M829=phu!$I$100),"Huyện khác",""),IF(OR(M829=phu!$I$101,M829=phu!$I$102),"Tỉnh khác",""))</f>
        <v/>
      </c>
      <c r="O829" s="814" t="str">
        <f t="shared" si="73"/>
        <v/>
      </c>
      <c r="P829" s="254"/>
      <c r="Q829" s="254"/>
      <c r="R829" s="254"/>
      <c r="S829" s="254"/>
      <c r="T829" s="254"/>
      <c r="U829" s="254"/>
      <c r="V829" s="254"/>
      <c r="W829" s="254"/>
      <c r="Y829" s="246" t="str">
        <f t="shared" si="74"/>
        <v/>
      </c>
      <c r="Z829" s="247" t="str">
        <f t="shared" si="72"/>
        <v/>
      </c>
      <c r="AA829" s="246" t="str">
        <f t="shared" si="75"/>
        <v/>
      </c>
    </row>
    <row r="830" spans="1:27" x14ac:dyDescent="0.25">
      <c r="A830" s="248" t="str">
        <f t="shared" si="76"/>
        <v/>
      </c>
      <c r="B830" s="249" t="str">
        <f t="shared" si="77"/>
        <v/>
      </c>
      <c r="C830" s="250"/>
      <c r="D830" s="251"/>
      <c r="E830" s="241"/>
      <c r="F830" s="252"/>
      <c r="G830" s="252"/>
      <c r="H830" s="253"/>
      <c r="I830" s="250"/>
      <c r="J830" s="250"/>
      <c r="K830" s="270"/>
      <c r="L830" s="250"/>
      <c r="M830" s="250"/>
      <c r="N830" s="553" t="str">
        <f>CONCATENATE(IF(OR(M830=phu!$I$1,M830=phu!$I$2,M830=phu!$I$3),"Cam Thành Nam",""),IF(OR(M830=phu!$I$4,M830=phu!$I$5,M830=phu!$I$6,M830=phu!$I$7,M830=phu!$I$8,M830=phu!$I$9,M830=phu!$I$10,M830=phu!$I$11,M830=phu!$I$12,M830=phu!$I$13,M830=phu!$I$14),"Cam Nghĩa",""),IF(OR(M830=phu!$I$15,M830=phu!$I$16,M830=phu!$I$17,M830=phu!$I$18,M830=phu!$I$19,M830=phu!$I$20,M830=phu!$I$21),"Cam Phúc Bắc",""),IF(OR(M830=phu!$I$22,M830=phu!$I$23,M830=phu!$I$24,M830=phu!$I$25),"Cam Phúc Nam",""),IF(OR(M830=phu!$I$26,M830=phu!$I$27,M830=phu!$I$28,M830=phu!$I$29,M830=phu!$I$30,M830=phu!$I$31),"Cam Phú",""),IF(OR(M830=phu!$I$32,M830=phu!$I$33,M830=phu!$I$34,M830=phu!$I$35,M830=phu!$I$36,M830=phu!$I$37),"Cam Lộc",""),IF(OR(M830=phu!$I$38,M830=phu!$I$39,M830=phu!$I$40,M830=phu!$I$41,M830=phu!$I$42,M830=phu!$I$43,M830=phu!$I$44),"Cam Thuận",""),IF(OR(M830=phu!$I$45,M830=phu!$I$46,M830=phu!$I$47,M830=phu!$I$48,M830=phu!$I$49,M830=phu!$I$50,M830=phu!$I$51,M830=phu!$I$52,M830=phu!$I$53),"Cam Linh",""),IF(OR(M830=phu!$I$54,M830=phu!$I$55,M830=phu!$I$56,M830=phu!$I$57,M830=phu!$I$58,M830=phu!$I$59,M830=phu!$I$60,M830=phu!$I$61,M830=phu!$I$62),"Cam Lợi",""),IF(OR(M830=phu!$I$63,M830=phu!$I$64,M830=phu!$I$65,M830=phu!$I$66,M830=phu!$I$67,M830=phu!$I$68,M830=phu!$I$69,M830=phu!$I$70,M830=phu!$I$71),"Ba Ngòi",""),IF(OR(M830=phu!$I$72,M830=phu!$I$73,M830=phu!$I$74,M830=phu!$I$75,M830=phu!$I$76,M830=phu!$I$77,M830=phu!$I$78),"Cam Phước Đông",""),IF(OR(M830=phu!$I$79,M830=phu!$I$80,M830=phu!$I$81,M830=phu!$I$82,M830=phu!$I$83,M830=phu!$I$84),"Cam Thịnh Đông",""),IF(OR(M830=phu!$I$85,M830=phu!$I$86,M830=phu!$I$87,M830=phu!$I$88),"Cam Thịnh Tây",""),IF(OR(M830=phu!$I$89,M830=phu!$I$90),"Cam Lập",""),IF(OR(M830=phu!$I$91,M830=phu!$I$92,M830=phu!$I$93),"Cam Bình",""),IF(OR(M830=phu!$I$94,M830=phu!$I$95,M830=phu!$I$96,M830=phu!$I$97,M830=phu!$I$98,M830=phu!$I$99,M830=phu!$I$100),"Huyện khác",""),IF(OR(M830=phu!$I$101,M830=phu!$I$102),"Tỉnh khác",""))</f>
        <v/>
      </c>
      <c r="O830" s="814" t="str">
        <f t="shared" si="73"/>
        <v/>
      </c>
      <c r="P830" s="254"/>
      <c r="Q830" s="254"/>
      <c r="R830" s="254"/>
      <c r="S830" s="254"/>
      <c r="T830" s="254"/>
      <c r="U830" s="254"/>
      <c r="V830" s="254"/>
      <c r="W830" s="254"/>
      <c r="Y830" s="246" t="str">
        <f t="shared" si="74"/>
        <v/>
      </c>
      <c r="Z830" s="247" t="str">
        <f t="shared" si="72"/>
        <v/>
      </c>
      <c r="AA830" s="246" t="str">
        <f t="shared" si="75"/>
        <v/>
      </c>
    </row>
    <row r="831" spans="1:27" x14ac:dyDescent="0.25">
      <c r="A831" s="248" t="str">
        <f t="shared" si="76"/>
        <v/>
      </c>
      <c r="B831" s="249" t="str">
        <f t="shared" si="77"/>
        <v/>
      </c>
      <c r="C831" s="250"/>
      <c r="D831" s="251"/>
      <c r="E831" s="241"/>
      <c r="F831" s="252"/>
      <c r="G831" s="252"/>
      <c r="H831" s="253"/>
      <c r="I831" s="250"/>
      <c r="J831" s="250"/>
      <c r="K831" s="270"/>
      <c r="L831" s="250"/>
      <c r="M831" s="250"/>
      <c r="N831" s="553" t="str">
        <f>CONCATENATE(IF(OR(M831=phu!$I$1,M831=phu!$I$2,M831=phu!$I$3),"Cam Thành Nam",""),IF(OR(M831=phu!$I$4,M831=phu!$I$5,M831=phu!$I$6,M831=phu!$I$7,M831=phu!$I$8,M831=phu!$I$9,M831=phu!$I$10,M831=phu!$I$11,M831=phu!$I$12,M831=phu!$I$13,M831=phu!$I$14),"Cam Nghĩa",""),IF(OR(M831=phu!$I$15,M831=phu!$I$16,M831=phu!$I$17,M831=phu!$I$18,M831=phu!$I$19,M831=phu!$I$20,M831=phu!$I$21),"Cam Phúc Bắc",""),IF(OR(M831=phu!$I$22,M831=phu!$I$23,M831=phu!$I$24,M831=phu!$I$25),"Cam Phúc Nam",""),IF(OR(M831=phu!$I$26,M831=phu!$I$27,M831=phu!$I$28,M831=phu!$I$29,M831=phu!$I$30,M831=phu!$I$31),"Cam Phú",""),IF(OR(M831=phu!$I$32,M831=phu!$I$33,M831=phu!$I$34,M831=phu!$I$35,M831=phu!$I$36,M831=phu!$I$37),"Cam Lộc",""),IF(OR(M831=phu!$I$38,M831=phu!$I$39,M831=phu!$I$40,M831=phu!$I$41,M831=phu!$I$42,M831=phu!$I$43,M831=phu!$I$44),"Cam Thuận",""),IF(OR(M831=phu!$I$45,M831=phu!$I$46,M831=phu!$I$47,M831=phu!$I$48,M831=phu!$I$49,M831=phu!$I$50,M831=phu!$I$51,M831=phu!$I$52,M831=phu!$I$53),"Cam Linh",""),IF(OR(M831=phu!$I$54,M831=phu!$I$55,M831=phu!$I$56,M831=phu!$I$57,M831=phu!$I$58,M831=phu!$I$59,M831=phu!$I$60,M831=phu!$I$61,M831=phu!$I$62),"Cam Lợi",""),IF(OR(M831=phu!$I$63,M831=phu!$I$64,M831=phu!$I$65,M831=phu!$I$66,M831=phu!$I$67,M831=phu!$I$68,M831=phu!$I$69,M831=phu!$I$70,M831=phu!$I$71),"Ba Ngòi",""),IF(OR(M831=phu!$I$72,M831=phu!$I$73,M831=phu!$I$74,M831=phu!$I$75,M831=phu!$I$76,M831=phu!$I$77,M831=phu!$I$78),"Cam Phước Đông",""),IF(OR(M831=phu!$I$79,M831=phu!$I$80,M831=phu!$I$81,M831=phu!$I$82,M831=phu!$I$83,M831=phu!$I$84),"Cam Thịnh Đông",""),IF(OR(M831=phu!$I$85,M831=phu!$I$86,M831=phu!$I$87,M831=phu!$I$88),"Cam Thịnh Tây",""),IF(OR(M831=phu!$I$89,M831=phu!$I$90),"Cam Lập",""),IF(OR(M831=phu!$I$91,M831=phu!$I$92,M831=phu!$I$93),"Cam Bình",""),IF(OR(M831=phu!$I$94,M831=phu!$I$95,M831=phu!$I$96,M831=phu!$I$97,M831=phu!$I$98,M831=phu!$I$99,M831=phu!$I$100),"Huyện khác",""),IF(OR(M831=phu!$I$101,M831=phu!$I$102),"Tỉnh khác",""))</f>
        <v/>
      </c>
      <c r="O831" s="814" t="str">
        <f t="shared" si="73"/>
        <v/>
      </c>
      <c r="P831" s="254"/>
      <c r="Q831" s="254"/>
      <c r="R831" s="254"/>
      <c r="S831" s="254"/>
      <c r="T831" s="254"/>
      <c r="U831" s="254"/>
      <c r="V831" s="254"/>
      <c r="W831" s="254"/>
      <c r="Y831" s="246" t="str">
        <f t="shared" si="74"/>
        <v/>
      </c>
      <c r="Z831" s="247" t="str">
        <f t="shared" si="72"/>
        <v/>
      </c>
      <c r="AA831" s="246" t="str">
        <f t="shared" si="75"/>
        <v/>
      </c>
    </row>
    <row r="832" spans="1:27" x14ac:dyDescent="0.25">
      <c r="A832" s="248" t="str">
        <f t="shared" si="76"/>
        <v/>
      </c>
      <c r="B832" s="249" t="str">
        <f t="shared" si="77"/>
        <v/>
      </c>
      <c r="C832" s="250"/>
      <c r="D832" s="251"/>
      <c r="E832" s="241"/>
      <c r="F832" s="252"/>
      <c r="G832" s="252"/>
      <c r="H832" s="253"/>
      <c r="I832" s="250"/>
      <c r="J832" s="250"/>
      <c r="K832" s="270"/>
      <c r="L832" s="250"/>
      <c r="M832" s="250"/>
      <c r="N832" s="553" t="str">
        <f>CONCATENATE(IF(OR(M832=phu!$I$1,M832=phu!$I$2,M832=phu!$I$3),"Cam Thành Nam",""),IF(OR(M832=phu!$I$4,M832=phu!$I$5,M832=phu!$I$6,M832=phu!$I$7,M832=phu!$I$8,M832=phu!$I$9,M832=phu!$I$10,M832=phu!$I$11,M832=phu!$I$12,M832=phu!$I$13,M832=phu!$I$14),"Cam Nghĩa",""),IF(OR(M832=phu!$I$15,M832=phu!$I$16,M832=phu!$I$17,M832=phu!$I$18,M832=phu!$I$19,M832=phu!$I$20,M832=phu!$I$21),"Cam Phúc Bắc",""),IF(OR(M832=phu!$I$22,M832=phu!$I$23,M832=phu!$I$24,M832=phu!$I$25),"Cam Phúc Nam",""),IF(OR(M832=phu!$I$26,M832=phu!$I$27,M832=phu!$I$28,M832=phu!$I$29,M832=phu!$I$30,M832=phu!$I$31),"Cam Phú",""),IF(OR(M832=phu!$I$32,M832=phu!$I$33,M832=phu!$I$34,M832=phu!$I$35,M832=phu!$I$36,M832=phu!$I$37),"Cam Lộc",""),IF(OR(M832=phu!$I$38,M832=phu!$I$39,M832=phu!$I$40,M832=phu!$I$41,M832=phu!$I$42,M832=phu!$I$43,M832=phu!$I$44),"Cam Thuận",""),IF(OR(M832=phu!$I$45,M832=phu!$I$46,M832=phu!$I$47,M832=phu!$I$48,M832=phu!$I$49,M832=phu!$I$50,M832=phu!$I$51,M832=phu!$I$52,M832=phu!$I$53),"Cam Linh",""),IF(OR(M832=phu!$I$54,M832=phu!$I$55,M832=phu!$I$56,M832=phu!$I$57,M832=phu!$I$58,M832=phu!$I$59,M832=phu!$I$60,M832=phu!$I$61,M832=phu!$I$62),"Cam Lợi",""),IF(OR(M832=phu!$I$63,M832=phu!$I$64,M832=phu!$I$65,M832=phu!$I$66,M832=phu!$I$67,M832=phu!$I$68,M832=phu!$I$69,M832=phu!$I$70,M832=phu!$I$71),"Ba Ngòi",""),IF(OR(M832=phu!$I$72,M832=phu!$I$73,M832=phu!$I$74,M832=phu!$I$75,M832=phu!$I$76,M832=phu!$I$77,M832=phu!$I$78),"Cam Phước Đông",""),IF(OR(M832=phu!$I$79,M832=phu!$I$80,M832=phu!$I$81,M832=phu!$I$82,M832=phu!$I$83,M832=phu!$I$84),"Cam Thịnh Đông",""),IF(OR(M832=phu!$I$85,M832=phu!$I$86,M832=phu!$I$87,M832=phu!$I$88),"Cam Thịnh Tây",""),IF(OR(M832=phu!$I$89,M832=phu!$I$90),"Cam Lập",""),IF(OR(M832=phu!$I$91,M832=phu!$I$92,M832=phu!$I$93),"Cam Bình",""),IF(OR(M832=phu!$I$94,M832=phu!$I$95,M832=phu!$I$96,M832=phu!$I$97,M832=phu!$I$98,M832=phu!$I$99,M832=phu!$I$100),"Huyện khác",""),IF(OR(M832=phu!$I$101,M832=phu!$I$102),"Tỉnh khác",""))</f>
        <v/>
      </c>
      <c r="O832" s="814" t="str">
        <f t="shared" si="73"/>
        <v/>
      </c>
      <c r="P832" s="254"/>
      <c r="Q832" s="254"/>
      <c r="R832" s="254"/>
      <c r="S832" s="254"/>
      <c r="T832" s="254"/>
      <c r="U832" s="254"/>
      <c r="V832" s="254"/>
      <c r="W832" s="254"/>
      <c r="Y832" s="246" t="str">
        <f t="shared" si="74"/>
        <v/>
      </c>
      <c r="Z832" s="247" t="str">
        <f t="shared" si="72"/>
        <v/>
      </c>
      <c r="AA832" s="246" t="str">
        <f t="shared" si="75"/>
        <v/>
      </c>
    </row>
    <row r="833" spans="1:27" x14ac:dyDescent="0.25">
      <c r="A833" s="248" t="str">
        <f t="shared" si="76"/>
        <v/>
      </c>
      <c r="B833" s="249" t="str">
        <f t="shared" si="77"/>
        <v/>
      </c>
      <c r="C833" s="250"/>
      <c r="D833" s="251"/>
      <c r="E833" s="241"/>
      <c r="F833" s="252"/>
      <c r="G833" s="252"/>
      <c r="H833" s="253"/>
      <c r="I833" s="250"/>
      <c r="J833" s="250"/>
      <c r="K833" s="270"/>
      <c r="L833" s="250"/>
      <c r="M833" s="250"/>
      <c r="N833" s="553" t="str">
        <f>CONCATENATE(IF(OR(M833=phu!$I$1,M833=phu!$I$2,M833=phu!$I$3),"Cam Thành Nam",""),IF(OR(M833=phu!$I$4,M833=phu!$I$5,M833=phu!$I$6,M833=phu!$I$7,M833=phu!$I$8,M833=phu!$I$9,M833=phu!$I$10,M833=phu!$I$11,M833=phu!$I$12,M833=phu!$I$13,M833=phu!$I$14),"Cam Nghĩa",""),IF(OR(M833=phu!$I$15,M833=phu!$I$16,M833=phu!$I$17,M833=phu!$I$18,M833=phu!$I$19,M833=phu!$I$20,M833=phu!$I$21),"Cam Phúc Bắc",""),IF(OR(M833=phu!$I$22,M833=phu!$I$23,M833=phu!$I$24,M833=phu!$I$25),"Cam Phúc Nam",""),IF(OR(M833=phu!$I$26,M833=phu!$I$27,M833=phu!$I$28,M833=phu!$I$29,M833=phu!$I$30,M833=phu!$I$31),"Cam Phú",""),IF(OR(M833=phu!$I$32,M833=phu!$I$33,M833=phu!$I$34,M833=phu!$I$35,M833=phu!$I$36,M833=phu!$I$37),"Cam Lộc",""),IF(OR(M833=phu!$I$38,M833=phu!$I$39,M833=phu!$I$40,M833=phu!$I$41,M833=phu!$I$42,M833=phu!$I$43,M833=phu!$I$44),"Cam Thuận",""),IF(OR(M833=phu!$I$45,M833=phu!$I$46,M833=phu!$I$47,M833=phu!$I$48,M833=phu!$I$49,M833=phu!$I$50,M833=phu!$I$51,M833=phu!$I$52,M833=phu!$I$53),"Cam Linh",""),IF(OR(M833=phu!$I$54,M833=phu!$I$55,M833=phu!$I$56,M833=phu!$I$57,M833=phu!$I$58,M833=phu!$I$59,M833=phu!$I$60,M833=phu!$I$61,M833=phu!$I$62),"Cam Lợi",""),IF(OR(M833=phu!$I$63,M833=phu!$I$64,M833=phu!$I$65,M833=phu!$I$66,M833=phu!$I$67,M833=phu!$I$68,M833=phu!$I$69,M833=phu!$I$70,M833=phu!$I$71),"Ba Ngòi",""),IF(OR(M833=phu!$I$72,M833=phu!$I$73,M833=phu!$I$74,M833=phu!$I$75,M833=phu!$I$76,M833=phu!$I$77,M833=phu!$I$78),"Cam Phước Đông",""),IF(OR(M833=phu!$I$79,M833=phu!$I$80,M833=phu!$I$81,M833=phu!$I$82,M833=phu!$I$83,M833=phu!$I$84),"Cam Thịnh Đông",""),IF(OR(M833=phu!$I$85,M833=phu!$I$86,M833=phu!$I$87,M833=phu!$I$88),"Cam Thịnh Tây",""),IF(OR(M833=phu!$I$89,M833=phu!$I$90),"Cam Lập",""),IF(OR(M833=phu!$I$91,M833=phu!$I$92,M833=phu!$I$93),"Cam Bình",""),IF(OR(M833=phu!$I$94,M833=phu!$I$95,M833=phu!$I$96,M833=phu!$I$97,M833=phu!$I$98,M833=phu!$I$99,M833=phu!$I$100),"Huyện khác",""),IF(OR(M833=phu!$I$101,M833=phu!$I$102),"Tỉnh khác",""))</f>
        <v/>
      </c>
      <c r="O833" s="814" t="str">
        <f t="shared" si="73"/>
        <v/>
      </c>
      <c r="P833" s="254"/>
      <c r="Q833" s="254"/>
      <c r="R833" s="254"/>
      <c r="S833" s="254"/>
      <c r="T833" s="254"/>
      <c r="U833" s="254"/>
      <c r="V833" s="254"/>
      <c r="W833" s="254"/>
      <c r="Y833" s="246" t="str">
        <f t="shared" si="74"/>
        <v/>
      </c>
      <c r="Z833" s="247" t="str">
        <f t="shared" si="72"/>
        <v/>
      </c>
      <c r="AA833" s="246" t="str">
        <f t="shared" si="75"/>
        <v/>
      </c>
    </row>
    <row r="834" spans="1:27" x14ac:dyDescent="0.25">
      <c r="A834" s="248" t="str">
        <f t="shared" si="76"/>
        <v/>
      </c>
      <c r="B834" s="249" t="str">
        <f t="shared" si="77"/>
        <v/>
      </c>
      <c r="C834" s="250"/>
      <c r="D834" s="251"/>
      <c r="E834" s="241"/>
      <c r="F834" s="252"/>
      <c r="G834" s="252"/>
      <c r="H834" s="253"/>
      <c r="I834" s="250"/>
      <c r="J834" s="250"/>
      <c r="K834" s="270"/>
      <c r="L834" s="250"/>
      <c r="M834" s="250"/>
      <c r="N834" s="553" t="str">
        <f>CONCATENATE(IF(OR(M834=phu!$I$1,M834=phu!$I$2,M834=phu!$I$3),"Cam Thành Nam",""),IF(OR(M834=phu!$I$4,M834=phu!$I$5,M834=phu!$I$6,M834=phu!$I$7,M834=phu!$I$8,M834=phu!$I$9,M834=phu!$I$10,M834=phu!$I$11,M834=phu!$I$12,M834=phu!$I$13,M834=phu!$I$14),"Cam Nghĩa",""),IF(OR(M834=phu!$I$15,M834=phu!$I$16,M834=phu!$I$17,M834=phu!$I$18,M834=phu!$I$19,M834=phu!$I$20,M834=phu!$I$21),"Cam Phúc Bắc",""),IF(OR(M834=phu!$I$22,M834=phu!$I$23,M834=phu!$I$24,M834=phu!$I$25),"Cam Phúc Nam",""),IF(OR(M834=phu!$I$26,M834=phu!$I$27,M834=phu!$I$28,M834=phu!$I$29,M834=phu!$I$30,M834=phu!$I$31),"Cam Phú",""),IF(OR(M834=phu!$I$32,M834=phu!$I$33,M834=phu!$I$34,M834=phu!$I$35,M834=phu!$I$36,M834=phu!$I$37),"Cam Lộc",""),IF(OR(M834=phu!$I$38,M834=phu!$I$39,M834=phu!$I$40,M834=phu!$I$41,M834=phu!$I$42,M834=phu!$I$43,M834=phu!$I$44),"Cam Thuận",""),IF(OR(M834=phu!$I$45,M834=phu!$I$46,M834=phu!$I$47,M834=phu!$I$48,M834=phu!$I$49,M834=phu!$I$50,M834=phu!$I$51,M834=phu!$I$52,M834=phu!$I$53),"Cam Linh",""),IF(OR(M834=phu!$I$54,M834=phu!$I$55,M834=phu!$I$56,M834=phu!$I$57,M834=phu!$I$58,M834=phu!$I$59,M834=phu!$I$60,M834=phu!$I$61,M834=phu!$I$62),"Cam Lợi",""),IF(OR(M834=phu!$I$63,M834=phu!$I$64,M834=phu!$I$65,M834=phu!$I$66,M834=phu!$I$67,M834=phu!$I$68,M834=phu!$I$69,M834=phu!$I$70,M834=phu!$I$71),"Ba Ngòi",""),IF(OR(M834=phu!$I$72,M834=phu!$I$73,M834=phu!$I$74,M834=phu!$I$75,M834=phu!$I$76,M834=phu!$I$77,M834=phu!$I$78),"Cam Phước Đông",""),IF(OR(M834=phu!$I$79,M834=phu!$I$80,M834=phu!$I$81,M834=phu!$I$82,M834=phu!$I$83,M834=phu!$I$84),"Cam Thịnh Đông",""),IF(OR(M834=phu!$I$85,M834=phu!$I$86,M834=phu!$I$87,M834=phu!$I$88),"Cam Thịnh Tây",""),IF(OR(M834=phu!$I$89,M834=phu!$I$90),"Cam Lập",""),IF(OR(M834=phu!$I$91,M834=phu!$I$92,M834=phu!$I$93),"Cam Bình",""),IF(OR(M834=phu!$I$94,M834=phu!$I$95,M834=phu!$I$96,M834=phu!$I$97,M834=phu!$I$98,M834=phu!$I$99,M834=phu!$I$100),"Huyện khác",""),IF(OR(M834=phu!$I$101,M834=phu!$I$102),"Tỉnh khác",""))</f>
        <v/>
      </c>
      <c r="O834" s="814" t="str">
        <f t="shared" si="73"/>
        <v/>
      </c>
      <c r="P834" s="254"/>
      <c r="Q834" s="254"/>
      <c r="R834" s="254"/>
      <c r="S834" s="254"/>
      <c r="T834" s="254"/>
      <c r="U834" s="254"/>
      <c r="V834" s="254"/>
      <c r="W834" s="254"/>
      <c r="Y834" s="246" t="str">
        <f t="shared" si="74"/>
        <v/>
      </c>
      <c r="Z834" s="247" t="str">
        <f t="shared" si="72"/>
        <v/>
      </c>
      <c r="AA834" s="246" t="str">
        <f t="shared" si="75"/>
        <v/>
      </c>
    </row>
    <row r="835" spans="1:27" x14ac:dyDescent="0.25">
      <c r="A835" s="248" t="str">
        <f t="shared" si="76"/>
        <v/>
      </c>
      <c r="B835" s="249" t="str">
        <f t="shared" si="77"/>
        <v/>
      </c>
      <c r="C835" s="250"/>
      <c r="D835" s="251"/>
      <c r="E835" s="241"/>
      <c r="F835" s="252"/>
      <c r="G835" s="252"/>
      <c r="H835" s="253"/>
      <c r="I835" s="250"/>
      <c r="J835" s="250"/>
      <c r="K835" s="270"/>
      <c r="L835" s="250"/>
      <c r="M835" s="250"/>
      <c r="N835" s="553" t="str">
        <f>CONCATENATE(IF(OR(M835=phu!$I$1,M835=phu!$I$2,M835=phu!$I$3),"Cam Thành Nam",""),IF(OR(M835=phu!$I$4,M835=phu!$I$5,M835=phu!$I$6,M835=phu!$I$7,M835=phu!$I$8,M835=phu!$I$9,M835=phu!$I$10,M835=phu!$I$11,M835=phu!$I$12,M835=phu!$I$13,M835=phu!$I$14),"Cam Nghĩa",""),IF(OR(M835=phu!$I$15,M835=phu!$I$16,M835=phu!$I$17,M835=phu!$I$18,M835=phu!$I$19,M835=phu!$I$20,M835=phu!$I$21),"Cam Phúc Bắc",""),IF(OR(M835=phu!$I$22,M835=phu!$I$23,M835=phu!$I$24,M835=phu!$I$25),"Cam Phúc Nam",""),IF(OR(M835=phu!$I$26,M835=phu!$I$27,M835=phu!$I$28,M835=phu!$I$29,M835=phu!$I$30,M835=phu!$I$31),"Cam Phú",""),IF(OR(M835=phu!$I$32,M835=phu!$I$33,M835=phu!$I$34,M835=phu!$I$35,M835=phu!$I$36,M835=phu!$I$37),"Cam Lộc",""),IF(OR(M835=phu!$I$38,M835=phu!$I$39,M835=phu!$I$40,M835=phu!$I$41,M835=phu!$I$42,M835=phu!$I$43,M835=phu!$I$44),"Cam Thuận",""),IF(OR(M835=phu!$I$45,M835=phu!$I$46,M835=phu!$I$47,M835=phu!$I$48,M835=phu!$I$49,M835=phu!$I$50,M835=phu!$I$51,M835=phu!$I$52,M835=phu!$I$53),"Cam Linh",""),IF(OR(M835=phu!$I$54,M835=phu!$I$55,M835=phu!$I$56,M835=phu!$I$57,M835=phu!$I$58,M835=phu!$I$59,M835=phu!$I$60,M835=phu!$I$61,M835=phu!$I$62),"Cam Lợi",""),IF(OR(M835=phu!$I$63,M835=phu!$I$64,M835=phu!$I$65,M835=phu!$I$66,M835=phu!$I$67,M835=phu!$I$68,M835=phu!$I$69,M835=phu!$I$70,M835=phu!$I$71),"Ba Ngòi",""),IF(OR(M835=phu!$I$72,M835=phu!$I$73,M835=phu!$I$74,M835=phu!$I$75,M835=phu!$I$76,M835=phu!$I$77,M835=phu!$I$78),"Cam Phước Đông",""),IF(OR(M835=phu!$I$79,M835=phu!$I$80,M835=phu!$I$81,M835=phu!$I$82,M835=phu!$I$83,M835=phu!$I$84),"Cam Thịnh Đông",""),IF(OR(M835=phu!$I$85,M835=phu!$I$86,M835=phu!$I$87,M835=phu!$I$88),"Cam Thịnh Tây",""),IF(OR(M835=phu!$I$89,M835=phu!$I$90),"Cam Lập",""),IF(OR(M835=phu!$I$91,M835=phu!$I$92,M835=phu!$I$93),"Cam Bình",""),IF(OR(M835=phu!$I$94,M835=phu!$I$95,M835=phu!$I$96,M835=phu!$I$97,M835=phu!$I$98,M835=phu!$I$99,M835=phu!$I$100),"Huyện khác",""),IF(OR(M835=phu!$I$101,M835=phu!$I$102),"Tỉnh khác",""))</f>
        <v/>
      </c>
      <c r="O835" s="814" t="str">
        <f t="shared" si="73"/>
        <v/>
      </c>
      <c r="P835" s="254"/>
      <c r="Q835" s="254"/>
      <c r="R835" s="254"/>
      <c r="S835" s="254"/>
      <c r="T835" s="254"/>
      <c r="U835" s="254"/>
      <c r="V835" s="254"/>
      <c r="W835" s="254"/>
      <c r="Y835" s="246" t="str">
        <f t="shared" si="74"/>
        <v/>
      </c>
      <c r="Z835" s="247" t="str">
        <f t="shared" si="72"/>
        <v/>
      </c>
      <c r="AA835" s="246" t="str">
        <f t="shared" si="75"/>
        <v/>
      </c>
    </row>
    <row r="836" spans="1:27" x14ac:dyDescent="0.25">
      <c r="A836" s="248" t="str">
        <f t="shared" si="76"/>
        <v/>
      </c>
      <c r="B836" s="249" t="str">
        <f t="shared" si="77"/>
        <v/>
      </c>
      <c r="C836" s="250"/>
      <c r="D836" s="251"/>
      <c r="E836" s="241"/>
      <c r="F836" s="252"/>
      <c r="G836" s="252"/>
      <c r="H836" s="253"/>
      <c r="I836" s="250"/>
      <c r="J836" s="250"/>
      <c r="K836" s="270"/>
      <c r="L836" s="250"/>
      <c r="M836" s="250"/>
      <c r="N836" s="553" t="str">
        <f>CONCATENATE(IF(OR(M836=phu!$I$1,M836=phu!$I$2,M836=phu!$I$3),"Cam Thành Nam",""),IF(OR(M836=phu!$I$4,M836=phu!$I$5,M836=phu!$I$6,M836=phu!$I$7,M836=phu!$I$8,M836=phu!$I$9,M836=phu!$I$10,M836=phu!$I$11,M836=phu!$I$12,M836=phu!$I$13,M836=phu!$I$14),"Cam Nghĩa",""),IF(OR(M836=phu!$I$15,M836=phu!$I$16,M836=phu!$I$17,M836=phu!$I$18,M836=phu!$I$19,M836=phu!$I$20,M836=phu!$I$21),"Cam Phúc Bắc",""),IF(OR(M836=phu!$I$22,M836=phu!$I$23,M836=phu!$I$24,M836=phu!$I$25),"Cam Phúc Nam",""),IF(OR(M836=phu!$I$26,M836=phu!$I$27,M836=phu!$I$28,M836=phu!$I$29,M836=phu!$I$30,M836=phu!$I$31),"Cam Phú",""),IF(OR(M836=phu!$I$32,M836=phu!$I$33,M836=phu!$I$34,M836=phu!$I$35,M836=phu!$I$36,M836=phu!$I$37),"Cam Lộc",""),IF(OR(M836=phu!$I$38,M836=phu!$I$39,M836=phu!$I$40,M836=phu!$I$41,M836=phu!$I$42,M836=phu!$I$43,M836=phu!$I$44),"Cam Thuận",""),IF(OR(M836=phu!$I$45,M836=phu!$I$46,M836=phu!$I$47,M836=phu!$I$48,M836=phu!$I$49,M836=phu!$I$50,M836=phu!$I$51,M836=phu!$I$52,M836=phu!$I$53),"Cam Linh",""),IF(OR(M836=phu!$I$54,M836=phu!$I$55,M836=phu!$I$56,M836=phu!$I$57,M836=phu!$I$58,M836=phu!$I$59,M836=phu!$I$60,M836=phu!$I$61,M836=phu!$I$62),"Cam Lợi",""),IF(OR(M836=phu!$I$63,M836=phu!$I$64,M836=phu!$I$65,M836=phu!$I$66,M836=phu!$I$67,M836=phu!$I$68,M836=phu!$I$69,M836=phu!$I$70,M836=phu!$I$71),"Ba Ngòi",""),IF(OR(M836=phu!$I$72,M836=phu!$I$73,M836=phu!$I$74,M836=phu!$I$75,M836=phu!$I$76,M836=phu!$I$77,M836=phu!$I$78),"Cam Phước Đông",""),IF(OR(M836=phu!$I$79,M836=phu!$I$80,M836=phu!$I$81,M836=phu!$I$82,M836=phu!$I$83,M836=phu!$I$84),"Cam Thịnh Đông",""),IF(OR(M836=phu!$I$85,M836=phu!$I$86,M836=phu!$I$87,M836=phu!$I$88),"Cam Thịnh Tây",""),IF(OR(M836=phu!$I$89,M836=phu!$I$90),"Cam Lập",""),IF(OR(M836=phu!$I$91,M836=phu!$I$92,M836=phu!$I$93),"Cam Bình",""),IF(OR(M836=phu!$I$94,M836=phu!$I$95,M836=phu!$I$96,M836=phu!$I$97,M836=phu!$I$98,M836=phu!$I$99,M836=phu!$I$100),"Huyện khác",""),IF(OR(M836=phu!$I$101,M836=phu!$I$102),"Tỉnh khác",""))</f>
        <v/>
      </c>
      <c r="O836" s="814" t="str">
        <f t="shared" si="73"/>
        <v/>
      </c>
      <c r="P836" s="254"/>
      <c r="Q836" s="254"/>
      <c r="R836" s="254"/>
      <c r="S836" s="254"/>
      <c r="T836" s="254"/>
      <c r="U836" s="254"/>
      <c r="V836" s="254"/>
      <c r="W836" s="254"/>
      <c r="Y836" s="246" t="str">
        <f t="shared" si="74"/>
        <v/>
      </c>
      <c r="Z836" s="247" t="str">
        <f t="shared" si="72"/>
        <v/>
      </c>
      <c r="AA836" s="246" t="str">
        <f t="shared" si="75"/>
        <v/>
      </c>
    </row>
    <row r="837" spans="1:27" x14ac:dyDescent="0.25">
      <c r="A837" s="248" t="str">
        <f t="shared" si="76"/>
        <v/>
      </c>
      <c r="B837" s="249" t="str">
        <f t="shared" si="77"/>
        <v/>
      </c>
      <c r="C837" s="250"/>
      <c r="D837" s="251"/>
      <c r="E837" s="241"/>
      <c r="F837" s="252"/>
      <c r="G837" s="252"/>
      <c r="H837" s="253"/>
      <c r="I837" s="250"/>
      <c r="J837" s="250"/>
      <c r="K837" s="270"/>
      <c r="L837" s="250"/>
      <c r="M837" s="250"/>
      <c r="N837" s="553" t="str">
        <f>CONCATENATE(IF(OR(M837=phu!$I$1,M837=phu!$I$2,M837=phu!$I$3),"Cam Thành Nam",""),IF(OR(M837=phu!$I$4,M837=phu!$I$5,M837=phu!$I$6,M837=phu!$I$7,M837=phu!$I$8,M837=phu!$I$9,M837=phu!$I$10,M837=phu!$I$11,M837=phu!$I$12,M837=phu!$I$13,M837=phu!$I$14),"Cam Nghĩa",""),IF(OR(M837=phu!$I$15,M837=phu!$I$16,M837=phu!$I$17,M837=phu!$I$18,M837=phu!$I$19,M837=phu!$I$20,M837=phu!$I$21),"Cam Phúc Bắc",""),IF(OR(M837=phu!$I$22,M837=phu!$I$23,M837=phu!$I$24,M837=phu!$I$25),"Cam Phúc Nam",""),IF(OR(M837=phu!$I$26,M837=phu!$I$27,M837=phu!$I$28,M837=phu!$I$29,M837=phu!$I$30,M837=phu!$I$31),"Cam Phú",""),IF(OR(M837=phu!$I$32,M837=phu!$I$33,M837=phu!$I$34,M837=phu!$I$35,M837=phu!$I$36,M837=phu!$I$37),"Cam Lộc",""),IF(OR(M837=phu!$I$38,M837=phu!$I$39,M837=phu!$I$40,M837=phu!$I$41,M837=phu!$I$42,M837=phu!$I$43,M837=phu!$I$44),"Cam Thuận",""),IF(OR(M837=phu!$I$45,M837=phu!$I$46,M837=phu!$I$47,M837=phu!$I$48,M837=phu!$I$49,M837=phu!$I$50,M837=phu!$I$51,M837=phu!$I$52,M837=phu!$I$53),"Cam Linh",""),IF(OR(M837=phu!$I$54,M837=phu!$I$55,M837=phu!$I$56,M837=phu!$I$57,M837=phu!$I$58,M837=phu!$I$59,M837=phu!$I$60,M837=phu!$I$61,M837=phu!$I$62),"Cam Lợi",""),IF(OR(M837=phu!$I$63,M837=phu!$I$64,M837=phu!$I$65,M837=phu!$I$66,M837=phu!$I$67,M837=phu!$I$68,M837=phu!$I$69,M837=phu!$I$70,M837=phu!$I$71),"Ba Ngòi",""),IF(OR(M837=phu!$I$72,M837=phu!$I$73,M837=phu!$I$74,M837=phu!$I$75,M837=phu!$I$76,M837=phu!$I$77,M837=phu!$I$78),"Cam Phước Đông",""),IF(OR(M837=phu!$I$79,M837=phu!$I$80,M837=phu!$I$81,M837=phu!$I$82,M837=phu!$I$83,M837=phu!$I$84),"Cam Thịnh Đông",""),IF(OR(M837=phu!$I$85,M837=phu!$I$86,M837=phu!$I$87,M837=phu!$I$88),"Cam Thịnh Tây",""),IF(OR(M837=phu!$I$89,M837=phu!$I$90),"Cam Lập",""),IF(OR(M837=phu!$I$91,M837=phu!$I$92,M837=phu!$I$93),"Cam Bình",""),IF(OR(M837=phu!$I$94,M837=phu!$I$95,M837=phu!$I$96,M837=phu!$I$97,M837=phu!$I$98,M837=phu!$I$99,M837=phu!$I$100),"Huyện khác",""),IF(OR(M837=phu!$I$101,M837=phu!$I$102),"Tỉnh khác",""))</f>
        <v/>
      </c>
      <c r="O837" s="814" t="str">
        <f t="shared" si="73"/>
        <v/>
      </c>
      <c r="P837" s="254"/>
      <c r="Q837" s="254"/>
      <c r="R837" s="254"/>
      <c r="S837" s="254"/>
      <c r="T837" s="254"/>
      <c r="U837" s="254"/>
      <c r="V837" s="254"/>
      <c r="W837" s="254"/>
      <c r="Y837" s="246" t="str">
        <f t="shared" si="74"/>
        <v/>
      </c>
      <c r="Z837" s="247" t="str">
        <f t="shared" si="72"/>
        <v/>
      </c>
      <c r="AA837" s="246" t="str">
        <f t="shared" si="75"/>
        <v/>
      </c>
    </row>
    <row r="838" spans="1:27" x14ac:dyDescent="0.25">
      <c r="A838" s="248" t="str">
        <f t="shared" si="76"/>
        <v/>
      </c>
      <c r="B838" s="249" t="str">
        <f t="shared" si="77"/>
        <v/>
      </c>
      <c r="C838" s="250"/>
      <c r="D838" s="251"/>
      <c r="E838" s="241"/>
      <c r="F838" s="252"/>
      <c r="G838" s="252"/>
      <c r="H838" s="253"/>
      <c r="I838" s="250"/>
      <c r="J838" s="250"/>
      <c r="K838" s="270"/>
      <c r="L838" s="250"/>
      <c r="M838" s="250"/>
      <c r="N838" s="553" t="str">
        <f>CONCATENATE(IF(OR(M838=phu!$I$1,M838=phu!$I$2,M838=phu!$I$3),"Cam Thành Nam",""),IF(OR(M838=phu!$I$4,M838=phu!$I$5,M838=phu!$I$6,M838=phu!$I$7,M838=phu!$I$8,M838=phu!$I$9,M838=phu!$I$10,M838=phu!$I$11,M838=phu!$I$12,M838=phu!$I$13,M838=phu!$I$14),"Cam Nghĩa",""),IF(OR(M838=phu!$I$15,M838=phu!$I$16,M838=phu!$I$17,M838=phu!$I$18,M838=phu!$I$19,M838=phu!$I$20,M838=phu!$I$21),"Cam Phúc Bắc",""),IF(OR(M838=phu!$I$22,M838=phu!$I$23,M838=phu!$I$24,M838=phu!$I$25),"Cam Phúc Nam",""),IF(OR(M838=phu!$I$26,M838=phu!$I$27,M838=phu!$I$28,M838=phu!$I$29,M838=phu!$I$30,M838=phu!$I$31),"Cam Phú",""),IF(OR(M838=phu!$I$32,M838=phu!$I$33,M838=phu!$I$34,M838=phu!$I$35,M838=phu!$I$36,M838=phu!$I$37),"Cam Lộc",""),IF(OR(M838=phu!$I$38,M838=phu!$I$39,M838=phu!$I$40,M838=phu!$I$41,M838=phu!$I$42,M838=phu!$I$43,M838=phu!$I$44),"Cam Thuận",""),IF(OR(M838=phu!$I$45,M838=phu!$I$46,M838=phu!$I$47,M838=phu!$I$48,M838=phu!$I$49,M838=phu!$I$50,M838=phu!$I$51,M838=phu!$I$52,M838=phu!$I$53),"Cam Linh",""),IF(OR(M838=phu!$I$54,M838=phu!$I$55,M838=phu!$I$56,M838=phu!$I$57,M838=phu!$I$58,M838=phu!$I$59,M838=phu!$I$60,M838=phu!$I$61,M838=phu!$I$62),"Cam Lợi",""),IF(OR(M838=phu!$I$63,M838=phu!$I$64,M838=phu!$I$65,M838=phu!$I$66,M838=phu!$I$67,M838=phu!$I$68,M838=phu!$I$69,M838=phu!$I$70,M838=phu!$I$71),"Ba Ngòi",""),IF(OR(M838=phu!$I$72,M838=phu!$I$73,M838=phu!$I$74,M838=phu!$I$75,M838=phu!$I$76,M838=phu!$I$77,M838=phu!$I$78),"Cam Phước Đông",""),IF(OR(M838=phu!$I$79,M838=phu!$I$80,M838=phu!$I$81,M838=phu!$I$82,M838=phu!$I$83,M838=phu!$I$84),"Cam Thịnh Đông",""),IF(OR(M838=phu!$I$85,M838=phu!$I$86,M838=phu!$I$87,M838=phu!$I$88),"Cam Thịnh Tây",""),IF(OR(M838=phu!$I$89,M838=phu!$I$90),"Cam Lập",""),IF(OR(M838=phu!$I$91,M838=phu!$I$92,M838=phu!$I$93),"Cam Bình",""),IF(OR(M838=phu!$I$94,M838=phu!$I$95,M838=phu!$I$96,M838=phu!$I$97,M838=phu!$I$98,M838=phu!$I$99,M838=phu!$I$100),"Huyện khác",""),IF(OR(M838=phu!$I$101,M838=phu!$I$102),"Tỉnh khác",""))</f>
        <v/>
      </c>
      <c r="O838" s="814" t="str">
        <f t="shared" si="73"/>
        <v/>
      </c>
      <c r="P838" s="254"/>
      <c r="Q838" s="254"/>
      <c r="R838" s="254"/>
      <c r="S838" s="254"/>
      <c r="T838" s="254"/>
      <c r="U838" s="254"/>
      <c r="V838" s="254"/>
      <c r="W838" s="254"/>
      <c r="Y838" s="246" t="str">
        <f t="shared" si="74"/>
        <v/>
      </c>
      <c r="Z838" s="247" t="str">
        <f t="shared" ref="Z838:Z901" si="78">IF(H838="","",$Z$1-H838)</f>
        <v/>
      </c>
      <c r="AA838" s="246" t="str">
        <f t="shared" si="75"/>
        <v/>
      </c>
    </row>
    <row r="839" spans="1:27" x14ac:dyDescent="0.25">
      <c r="A839" s="248" t="str">
        <f t="shared" si="76"/>
        <v/>
      </c>
      <c r="B839" s="249" t="str">
        <f t="shared" si="77"/>
        <v/>
      </c>
      <c r="C839" s="250"/>
      <c r="D839" s="251"/>
      <c r="E839" s="241"/>
      <c r="F839" s="252"/>
      <c r="G839" s="252"/>
      <c r="H839" s="253"/>
      <c r="I839" s="250"/>
      <c r="J839" s="250"/>
      <c r="K839" s="270"/>
      <c r="L839" s="250"/>
      <c r="M839" s="250"/>
      <c r="N839" s="553" t="str">
        <f>CONCATENATE(IF(OR(M839=phu!$I$1,M839=phu!$I$2,M839=phu!$I$3),"Cam Thành Nam",""),IF(OR(M839=phu!$I$4,M839=phu!$I$5,M839=phu!$I$6,M839=phu!$I$7,M839=phu!$I$8,M839=phu!$I$9,M839=phu!$I$10,M839=phu!$I$11,M839=phu!$I$12,M839=phu!$I$13,M839=phu!$I$14),"Cam Nghĩa",""),IF(OR(M839=phu!$I$15,M839=phu!$I$16,M839=phu!$I$17,M839=phu!$I$18,M839=phu!$I$19,M839=phu!$I$20,M839=phu!$I$21),"Cam Phúc Bắc",""),IF(OR(M839=phu!$I$22,M839=phu!$I$23,M839=phu!$I$24,M839=phu!$I$25),"Cam Phúc Nam",""),IF(OR(M839=phu!$I$26,M839=phu!$I$27,M839=phu!$I$28,M839=phu!$I$29,M839=phu!$I$30,M839=phu!$I$31),"Cam Phú",""),IF(OR(M839=phu!$I$32,M839=phu!$I$33,M839=phu!$I$34,M839=phu!$I$35,M839=phu!$I$36,M839=phu!$I$37),"Cam Lộc",""),IF(OR(M839=phu!$I$38,M839=phu!$I$39,M839=phu!$I$40,M839=phu!$I$41,M839=phu!$I$42,M839=phu!$I$43,M839=phu!$I$44),"Cam Thuận",""),IF(OR(M839=phu!$I$45,M839=phu!$I$46,M839=phu!$I$47,M839=phu!$I$48,M839=phu!$I$49,M839=phu!$I$50,M839=phu!$I$51,M839=phu!$I$52,M839=phu!$I$53),"Cam Linh",""),IF(OR(M839=phu!$I$54,M839=phu!$I$55,M839=phu!$I$56,M839=phu!$I$57,M839=phu!$I$58,M839=phu!$I$59,M839=phu!$I$60,M839=phu!$I$61,M839=phu!$I$62),"Cam Lợi",""),IF(OR(M839=phu!$I$63,M839=phu!$I$64,M839=phu!$I$65,M839=phu!$I$66,M839=phu!$I$67,M839=phu!$I$68,M839=phu!$I$69,M839=phu!$I$70,M839=phu!$I$71),"Ba Ngòi",""),IF(OR(M839=phu!$I$72,M839=phu!$I$73,M839=phu!$I$74,M839=phu!$I$75,M839=phu!$I$76,M839=phu!$I$77,M839=phu!$I$78),"Cam Phước Đông",""),IF(OR(M839=phu!$I$79,M839=phu!$I$80,M839=phu!$I$81,M839=phu!$I$82,M839=phu!$I$83,M839=phu!$I$84),"Cam Thịnh Đông",""),IF(OR(M839=phu!$I$85,M839=phu!$I$86,M839=phu!$I$87,M839=phu!$I$88),"Cam Thịnh Tây",""),IF(OR(M839=phu!$I$89,M839=phu!$I$90),"Cam Lập",""),IF(OR(M839=phu!$I$91,M839=phu!$I$92,M839=phu!$I$93),"Cam Bình",""),IF(OR(M839=phu!$I$94,M839=phu!$I$95,M839=phu!$I$96,M839=phu!$I$97,M839=phu!$I$98,M839=phu!$I$99,M839=phu!$I$100),"Huyện khác",""),IF(OR(M839=phu!$I$101,M839=phu!$I$102),"Tỉnh khác",""))</f>
        <v/>
      </c>
      <c r="O839" s="814" t="str">
        <f t="shared" ref="O839:O902" si="79">CONCATENATE(IF(OR(N839="Cam Thành Nam",N839="Cam Nghĩa",N839="Cam Phúc Bắc"),"Bắc Cam Ranh",""),IF(OR(N839="Cam Phúc Nam",N839="Cam Phú",N839="Cam Lộc"),"Cam Ranh",""),IF(OR(N839="Cam Thuận",N839="Cam Linh",N839="Cam Lợi"),"Cam Linh",""),IF(OR(N839="Ba Ngòi",N839="Cam Phước Đông"),"Ba Ngòi",""),IF(OR(N839="Cam Thịnh Đông",N839="Cam Thịnh Tây",N839="Cam Lập",N839="Cam Bình"),"Nam Cam Ranh",""),IF(N839="Huyện khác","Huyện khác",""),IF(N839="Tỉnh khác","Tỉnh khác",""))</f>
        <v/>
      </c>
      <c r="P839" s="254"/>
      <c r="Q839" s="254"/>
      <c r="R839" s="254"/>
      <c r="S839" s="254"/>
      <c r="T839" s="254"/>
      <c r="U839" s="254"/>
      <c r="V839" s="254"/>
      <c r="W839" s="254"/>
      <c r="Y839" s="246" t="str">
        <f t="shared" ref="Y839:Y902" si="80">IF(OR(AND(B839="",C839="",D839="",E839="",F839="",G839="",H839="",I839="",J839="",L839="",M839="",N839="",P839="",Q839="",R839="",S839=""),AND(B839&lt;&gt;"",C839&lt;&gt;"",D839&lt;&gt;"",E839&lt;&gt;"",F839&lt;&gt;"",G839&lt;&gt;"",H839&lt;&gt;"",J839&lt;&gt;"",M839&lt;&gt;"",N839&lt;&gt;"",P839&lt;&gt;"",OR(AND(Q839&lt;&gt;"",R839=""),AND(Q839="",R839&lt;&gt;""),AND(Q839&lt;&gt;"",R839&lt;&gt;"")),OR(AND(K839="X",T839&lt;&gt;""),AND(K839="",T839="")))),"","er")</f>
        <v/>
      </c>
      <c r="Z839" s="247" t="str">
        <f t="shared" si="78"/>
        <v/>
      </c>
      <c r="AA839" s="246" t="str">
        <f t="shared" ref="AA839:AA902" si="81">IF(OR(AND(Z839=5,B839&gt;0),AND(Z839=6,B839&gt;1),AND(Z839=7,B839&gt;2),AND(Z839=8,B839&gt;3),AND(Z839=9,B839&gt;4),AND(Z839=10,B839&gt;5),AND(Z839=5,B839=0,L839="X"),AND(Z839=6,B839=1,L839="X"),AND(Z839=7,B839=2,L839="X"),AND(Z839=8,B839=3,L839="X"),AND(Z839=9,B839=4,L839="X"),AND(Z839=10,B839=5,L839="X")),"er","")</f>
        <v/>
      </c>
    </row>
    <row r="840" spans="1:27" x14ac:dyDescent="0.25">
      <c r="A840" s="248" t="str">
        <f t="shared" ref="A840:A903" si="82">IF(OR(A839="",B840="",C840="",D840="",E840=""),"",A839+1)</f>
        <v/>
      </c>
      <c r="B840" s="249" t="str">
        <f t="shared" ref="B840:B903" si="83">IF(C840="","",VALUE(LEFT(C840,1)))</f>
        <v/>
      </c>
      <c r="C840" s="250"/>
      <c r="D840" s="251"/>
      <c r="E840" s="241"/>
      <c r="F840" s="252"/>
      <c r="G840" s="252"/>
      <c r="H840" s="253"/>
      <c r="I840" s="250"/>
      <c r="J840" s="250"/>
      <c r="K840" s="270"/>
      <c r="L840" s="250"/>
      <c r="M840" s="250"/>
      <c r="N840" s="553" t="str">
        <f>CONCATENATE(IF(OR(M840=phu!$I$1,M840=phu!$I$2,M840=phu!$I$3),"Cam Thành Nam",""),IF(OR(M840=phu!$I$4,M840=phu!$I$5,M840=phu!$I$6,M840=phu!$I$7,M840=phu!$I$8,M840=phu!$I$9,M840=phu!$I$10,M840=phu!$I$11,M840=phu!$I$12,M840=phu!$I$13,M840=phu!$I$14),"Cam Nghĩa",""),IF(OR(M840=phu!$I$15,M840=phu!$I$16,M840=phu!$I$17,M840=phu!$I$18,M840=phu!$I$19,M840=phu!$I$20,M840=phu!$I$21),"Cam Phúc Bắc",""),IF(OR(M840=phu!$I$22,M840=phu!$I$23,M840=phu!$I$24,M840=phu!$I$25),"Cam Phúc Nam",""),IF(OR(M840=phu!$I$26,M840=phu!$I$27,M840=phu!$I$28,M840=phu!$I$29,M840=phu!$I$30,M840=phu!$I$31),"Cam Phú",""),IF(OR(M840=phu!$I$32,M840=phu!$I$33,M840=phu!$I$34,M840=phu!$I$35,M840=phu!$I$36,M840=phu!$I$37),"Cam Lộc",""),IF(OR(M840=phu!$I$38,M840=phu!$I$39,M840=phu!$I$40,M840=phu!$I$41,M840=phu!$I$42,M840=phu!$I$43,M840=phu!$I$44),"Cam Thuận",""),IF(OR(M840=phu!$I$45,M840=phu!$I$46,M840=phu!$I$47,M840=phu!$I$48,M840=phu!$I$49,M840=phu!$I$50,M840=phu!$I$51,M840=phu!$I$52,M840=phu!$I$53),"Cam Linh",""),IF(OR(M840=phu!$I$54,M840=phu!$I$55,M840=phu!$I$56,M840=phu!$I$57,M840=phu!$I$58,M840=phu!$I$59,M840=phu!$I$60,M840=phu!$I$61,M840=phu!$I$62),"Cam Lợi",""),IF(OR(M840=phu!$I$63,M840=phu!$I$64,M840=phu!$I$65,M840=phu!$I$66,M840=phu!$I$67,M840=phu!$I$68,M840=phu!$I$69,M840=phu!$I$70,M840=phu!$I$71),"Ba Ngòi",""),IF(OR(M840=phu!$I$72,M840=phu!$I$73,M840=phu!$I$74,M840=phu!$I$75,M840=phu!$I$76,M840=phu!$I$77,M840=phu!$I$78),"Cam Phước Đông",""),IF(OR(M840=phu!$I$79,M840=phu!$I$80,M840=phu!$I$81,M840=phu!$I$82,M840=phu!$I$83,M840=phu!$I$84),"Cam Thịnh Đông",""),IF(OR(M840=phu!$I$85,M840=phu!$I$86,M840=phu!$I$87,M840=phu!$I$88),"Cam Thịnh Tây",""),IF(OR(M840=phu!$I$89,M840=phu!$I$90),"Cam Lập",""),IF(OR(M840=phu!$I$91,M840=phu!$I$92,M840=phu!$I$93),"Cam Bình",""),IF(OR(M840=phu!$I$94,M840=phu!$I$95,M840=phu!$I$96,M840=phu!$I$97,M840=phu!$I$98,M840=phu!$I$99,M840=phu!$I$100),"Huyện khác",""),IF(OR(M840=phu!$I$101,M840=phu!$I$102),"Tỉnh khác",""))</f>
        <v/>
      </c>
      <c r="O840" s="814" t="str">
        <f t="shared" si="79"/>
        <v/>
      </c>
      <c r="P840" s="254"/>
      <c r="Q840" s="254"/>
      <c r="R840" s="254"/>
      <c r="S840" s="254"/>
      <c r="T840" s="254"/>
      <c r="U840" s="254"/>
      <c r="V840" s="254"/>
      <c r="W840" s="254"/>
      <c r="Y840" s="246" t="str">
        <f t="shared" si="80"/>
        <v/>
      </c>
      <c r="Z840" s="247" t="str">
        <f t="shared" si="78"/>
        <v/>
      </c>
      <c r="AA840" s="246" t="str">
        <f t="shared" si="81"/>
        <v/>
      </c>
    </row>
    <row r="841" spans="1:27" x14ac:dyDescent="0.25">
      <c r="A841" s="248" t="str">
        <f t="shared" si="82"/>
        <v/>
      </c>
      <c r="B841" s="249" t="str">
        <f t="shared" si="83"/>
        <v/>
      </c>
      <c r="C841" s="250"/>
      <c r="D841" s="251"/>
      <c r="E841" s="241"/>
      <c r="F841" s="252"/>
      <c r="G841" s="252"/>
      <c r="H841" s="253"/>
      <c r="I841" s="250"/>
      <c r="J841" s="250"/>
      <c r="K841" s="270"/>
      <c r="L841" s="250"/>
      <c r="M841" s="250"/>
      <c r="N841" s="553" t="str">
        <f>CONCATENATE(IF(OR(M841=phu!$I$1,M841=phu!$I$2,M841=phu!$I$3),"Cam Thành Nam",""),IF(OR(M841=phu!$I$4,M841=phu!$I$5,M841=phu!$I$6,M841=phu!$I$7,M841=phu!$I$8,M841=phu!$I$9,M841=phu!$I$10,M841=phu!$I$11,M841=phu!$I$12,M841=phu!$I$13,M841=phu!$I$14),"Cam Nghĩa",""),IF(OR(M841=phu!$I$15,M841=phu!$I$16,M841=phu!$I$17,M841=phu!$I$18,M841=phu!$I$19,M841=phu!$I$20,M841=phu!$I$21),"Cam Phúc Bắc",""),IF(OR(M841=phu!$I$22,M841=phu!$I$23,M841=phu!$I$24,M841=phu!$I$25),"Cam Phúc Nam",""),IF(OR(M841=phu!$I$26,M841=phu!$I$27,M841=phu!$I$28,M841=phu!$I$29,M841=phu!$I$30,M841=phu!$I$31),"Cam Phú",""),IF(OR(M841=phu!$I$32,M841=phu!$I$33,M841=phu!$I$34,M841=phu!$I$35,M841=phu!$I$36,M841=phu!$I$37),"Cam Lộc",""),IF(OR(M841=phu!$I$38,M841=phu!$I$39,M841=phu!$I$40,M841=phu!$I$41,M841=phu!$I$42,M841=phu!$I$43,M841=phu!$I$44),"Cam Thuận",""),IF(OR(M841=phu!$I$45,M841=phu!$I$46,M841=phu!$I$47,M841=phu!$I$48,M841=phu!$I$49,M841=phu!$I$50,M841=phu!$I$51,M841=phu!$I$52,M841=phu!$I$53),"Cam Linh",""),IF(OR(M841=phu!$I$54,M841=phu!$I$55,M841=phu!$I$56,M841=phu!$I$57,M841=phu!$I$58,M841=phu!$I$59,M841=phu!$I$60,M841=phu!$I$61,M841=phu!$I$62),"Cam Lợi",""),IF(OR(M841=phu!$I$63,M841=phu!$I$64,M841=phu!$I$65,M841=phu!$I$66,M841=phu!$I$67,M841=phu!$I$68,M841=phu!$I$69,M841=phu!$I$70,M841=phu!$I$71),"Ba Ngòi",""),IF(OR(M841=phu!$I$72,M841=phu!$I$73,M841=phu!$I$74,M841=phu!$I$75,M841=phu!$I$76,M841=phu!$I$77,M841=phu!$I$78),"Cam Phước Đông",""),IF(OR(M841=phu!$I$79,M841=phu!$I$80,M841=phu!$I$81,M841=phu!$I$82,M841=phu!$I$83,M841=phu!$I$84),"Cam Thịnh Đông",""),IF(OR(M841=phu!$I$85,M841=phu!$I$86,M841=phu!$I$87,M841=phu!$I$88),"Cam Thịnh Tây",""),IF(OR(M841=phu!$I$89,M841=phu!$I$90),"Cam Lập",""),IF(OR(M841=phu!$I$91,M841=phu!$I$92,M841=phu!$I$93),"Cam Bình",""),IF(OR(M841=phu!$I$94,M841=phu!$I$95,M841=phu!$I$96,M841=phu!$I$97,M841=phu!$I$98,M841=phu!$I$99,M841=phu!$I$100),"Huyện khác",""),IF(OR(M841=phu!$I$101,M841=phu!$I$102),"Tỉnh khác",""))</f>
        <v/>
      </c>
      <c r="O841" s="814" t="str">
        <f t="shared" si="79"/>
        <v/>
      </c>
      <c r="P841" s="254"/>
      <c r="Q841" s="254"/>
      <c r="R841" s="254"/>
      <c r="S841" s="254"/>
      <c r="T841" s="254"/>
      <c r="U841" s="254"/>
      <c r="V841" s="254"/>
      <c r="W841" s="254"/>
      <c r="Y841" s="246" t="str">
        <f t="shared" si="80"/>
        <v/>
      </c>
      <c r="Z841" s="247" t="str">
        <f t="shared" si="78"/>
        <v/>
      </c>
      <c r="AA841" s="246" t="str">
        <f t="shared" si="81"/>
        <v/>
      </c>
    </row>
    <row r="842" spans="1:27" x14ac:dyDescent="0.25">
      <c r="A842" s="248" t="str">
        <f t="shared" si="82"/>
        <v/>
      </c>
      <c r="B842" s="249" t="str">
        <f t="shared" si="83"/>
        <v/>
      </c>
      <c r="C842" s="250"/>
      <c r="D842" s="251"/>
      <c r="E842" s="241"/>
      <c r="F842" s="252"/>
      <c r="G842" s="252"/>
      <c r="H842" s="253"/>
      <c r="I842" s="250"/>
      <c r="J842" s="250"/>
      <c r="K842" s="270"/>
      <c r="L842" s="250"/>
      <c r="M842" s="250"/>
      <c r="N842" s="553" t="str">
        <f>CONCATENATE(IF(OR(M842=phu!$I$1,M842=phu!$I$2,M842=phu!$I$3),"Cam Thành Nam",""),IF(OR(M842=phu!$I$4,M842=phu!$I$5,M842=phu!$I$6,M842=phu!$I$7,M842=phu!$I$8,M842=phu!$I$9,M842=phu!$I$10,M842=phu!$I$11,M842=phu!$I$12,M842=phu!$I$13,M842=phu!$I$14),"Cam Nghĩa",""),IF(OR(M842=phu!$I$15,M842=phu!$I$16,M842=phu!$I$17,M842=phu!$I$18,M842=phu!$I$19,M842=phu!$I$20,M842=phu!$I$21),"Cam Phúc Bắc",""),IF(OR(M842=phu!$I$22,M842=phu!$I$23,M842=phu!$I$24,M842=phu!$I$25),"Cam Phúc Nam",""),IF(OR(M842=phu!$I$26,M842=phu!$I$27,M842=phu!$I$28,M842=phu!$I$29,M842=phu!$I$30,M842=phu!$I$31),"Cam Phú",""),IF(OR(M842=phu!$I$32,M842=phu!$I$33,M842=phu!$I$34,M842=phu!$I$35,M842=phu!$I$36,M842=phu!$I$37),"Cam Lộc",""),IF(OR(M842=phu!$I$38,M842=phu!$I$39,M842=phu!$I$40,M842=phu!$I$41,M842=phu!$I$42,M842=phu!$I$43,M842=phu!$I$44),"Cam Thuận",""),IF(OR(M842=phu!$I$45,M842=phu!$I$46,M842=phu!$I$47,M842=phu!$I$48,M842=phu!$I$49,M842=phu!$I$50,M842=phu!$I$51,M842=phu!$I$52,M842=phu!$I$53),"Cam Linh",""),IF(OR(M842=phu!$I$54,M842=phu!$I$55,M842=phu!$I$56,M842=phu!$I$57,M842=phu!$I$58,M842=phu!$I$59,M842=phu!$I$60,M842=phu!$I$61,M842=phu!$I$62),"Cam Lợi",""),IF(OR(M842=phu!$I$63,M842=phu!$I$64,M842=phu!$I$65,M842=phu!$I$66,M842=phu!$I$67,M842=phu!$I$68,M842=phu!$I$69,M842=phu!$I$70,M842=phu!$I$71),"Ba Ngòi",""),IF(OR(M842=phu!$I$72,M842=phu!$I$73,M842=phu!$I$74,M842=phu!$I$75,M842=phu!$I$76,M842=phu!$I$77,M842=phu!$I$78),"Cam Phước Đông",""),IF(OR(M842=phu!$I$79,M842=phu!$I$80,M842=phu!$I$81,M842=phu!$I$82,M842=phu!$I$83,M842=phu!$I$84),"Cam Thịnh Đông",""),IF(OR(M842=phu!$I$85,M842=phu!$I$86,M842=phu!$I$87,M842=phu!$I$88),"Cam Thịnh Tây",""),IF(OR(M842=phu!$I$89,M842=phu!$I$90),"Cam Lập",""),IF(OR(M842=phu!$I$91,M842=phu!$I$92,M842=phu!$I$93),"Cam Bình",""),IF(OR(M842=phu!$I$94,M842=phu!$I$95,M842=phu!$I$96,M842=phu!$I$97,M842=phu!$I$98,M842=phu!$I$99,M842=phu!$I$100),"Huyện khác",""),IF(OR(M842=phu!$I$101,M842=phu!$I$102),"Tỉnh khác",""))</f>
        <v/>
      </c>
      <c r="O842" s="814" t="str">
        <f t="shared" si="79"/>
        <v/>
      </c>
      <c r="P842" s="254"/>
      <c r="Q842" s="254"/>
      <c r="R842" s="254"/>
      <c r="S842" s="254"/>
      <c r="T842" s="254"/>
      <c r="U842" s="254"/>
      <c r="V842" s="254"/>
      <c r="W842" s="254"/>
      <c r="Y842" s="246" t="str">
        <f t="shared" si="80"/>
        <v/>
      </c>
      <c r="Z842" s="247" t="str">
        <f t="shared" si="78"/>
        <v/>
      </c>
      <c r="AA842" s="246" t="str">
        <f t="shared" si="81"/>
        <v/>
      </c>
    </row>
    <row r="843" spans="1:27" x14ac:dyDescent="0.25">
      <c r="A843" s="248" t="str">
        <f t="shared" si="82"/>
        <v/>
      </c>
      <c r="B843" s="249" t="str">
        <f t="shared" si="83"/>
        <v/>
      </c>
      <c r="C843" s="250"/>
      <c r="D843" s="251"/>
      <c r="E843" s="241"/>
      <c r="F843" s="252"/>
      <c r="G843" s="252"/>
      <c r="H843" s="253"/>
      <c r="I843" s="250"/>
      <c r="J843" s="250"/>
      <c r="K843" s="270"/>
      <c r="L843" s="250"/>
      <c r="M843" s="250"/>
      <c r="N843" s="553" t="str">
        <f>CONCATENATE(IF(OR(M843=phu!$I$1,M843=phu!$I$2,M843=phu!$I$3),"Cam Thành Nam",""),IF(OR(M843=phu!$I$4,M843=phu!$I$5,M843=phu!$I$6,M843=phu!$I$7,M843=phu!$I$8,M843=phu!$I$9,M843=phu!$I$10,M843=phu!$I$11,M843=phu!$I$12,M843=phu!$I$13,M843=phu!$I$14),"Cam Nghĩa",""),IF(OR(M843=phu!$I$15,M843=phu!$I$16,M843=phu!$I$17,M843=phu!$I$18,M843=phu!$I$19,M843=phu!$I$20,M843=phu!$I$21),"Cam Phúc Bắc",""),IF(OR(M843=phu!$I$22,M843=phu!$I$23,M843=phu!$I$24,M843=phu!$I$25),"Cam Phúc Nam",""),IF(OR(M843=phu!$I$26,M843=phu!$I$27,M843=phu!$I$28,M843=phu!$I$29,M843=phu!$I$30,M843=phu!$I$31),"Cam Phú",""),IF(OR(M843=phu!$I$32,M843=phu!$I$33,M843=phu!$I$34,M843=phu!$I$35,M843=phu!$I$36,M843=phu!$I$37),"Cam Lộc",""),IF(OR(M843=phu!$I$38,M843=phu!$I$39,M843=phu!$I$40,M843=phu!$I$41,M843=phu!$I$42,M843=phu!$I$43,M843=phu!$I$44),"Cam Thuận",""),IF(OR(M843=phu!$I$45,M843=phu!$I$46,M843=phu!$I$47,M843=phu!$I$48,M843=phu!$I$49,M843=phu!$I$50,M843=phu!$I$51,M843=phu!$I$52,M843=phu!$I$53),"Cam Linh",""),IF(OR(M843=phu!$I$54,M843=phu!$I$55,M843=phu!$I$56,M843=phu!$I$57,M843=phu!$I$58,M843=phu!$I$59,M843=phu!$I$60,M843=phu!$I$61,M843=phu!$I$62),"Cam Lợi",""),IF(OR(M843=phu!$I$63,M843=phu!$I$64,M843=phu!$I$65,M843=phu!$I$66,M843=phu!$I$67,M843=phu!$I$68,M843=phu!$I$69,M843=phu!$I$70,M843=phu!$I$71),"Ba Ngòi",""),IF(OR(M843=phu!$I$72,M843=phu!$I$73,M843=phu!$I$74,M843=phu!$I$75,M843=phu!$I$76,M843=phu!$I$77,M843=phu!$I$78),"Cam Phước Đông",""),IF(OR(M843=phu!$I$79,M843=phu!$I$80,M843=phu!$I$81,M843=phu!$I$82,M843=phu!$I$83,M843=phu!$I$84),"Cam Thịnh Đông",""),IF(OR(M843=phu!$I$85,M843=phu!$I$86,M843=phu!$I$87,M843=phu!$I$88),"Cam Thịnh Tây",""),IF(OR(M843=phu!$I$89,M843=phu!$I$90),"Cam Lập",""),IF(OR(M843=phu!$I$91,M843=phu!$I$92,M843=phu!$I$93),"Cam Bình",""),IF(OR(M843=phu!$I$94,M843=phu!$I$95,M843=phu!$I$96,M843=phu!$I$97,M843=phu!$I$98,M843=phu!$I$99,M843=phu!$I$100),"Huyện khác",""),IF(OR(M843=phu!$I$101,M843=phu!$I$102),"Tỉnh khác",""))</f>
        <v/>
      </c>
      <c r="O843" s="814" t="str">
        <f t="shared" si="79"/>
        <v/>
      </c>
      <c r="P843" s="254"/>
      <c r="Q843" s="254"/>
      <c r="R843" s="254"/>
      <c r="S843" s="254"/>
      <c r="T843" s="254"/>
      <c r="U843" s="254"/>
      <c r="V843" s="254"/>
      <c r="W843" s="254"/>
      <c r="Y843" s="246" t="str">
        <f t="shared" si="80"/>
        <v/>
      </c>
      <c r="Z843" s="247" t="str">
        <f t="shared" si="78"/>
        <v/>
      </c>
      <c r="AA843" s="246" t="str">
        <f t="shared" si="81"/>
        <v/>
      </c>
    </row>
    <row r="844" spans="1:27" x14ac:dyDescent="0.25">
      <c r="A844" s="248" t="str">
        <f t="shared" si="82"/>
        <v/>
      </c>
      <c r="B844" s="249" t="str">
        <f t="shared" si="83"/>
        <v/>
      </c>
      <c r="C844" s="250"/>
      <c r="D844" s="251"/>
      <c r="E844" s="241"/>
      <c r="F844" s="252"/>
      <c r="G844" s="252"/>
      <c r="H844" s="253"/>
      <c r="I844" s="250"/>
      <c r="J844" s="250"/>
      <c r="K844" s="270"/>
      <c r="L844" s="250"/>
      <c r="M844" s="250"/>
      <c r="N844" s="553" t="str">
        <f>CONCATENATE(IF(OR(M844=phu!$I$1,M844=phu!$I$2,M844=phu!$I$3),"Cam Thành Nam",""),IF(OR(M844=phu!$I$4,M844=phu!$I$5,M844=phu!$I$6,M844=phu!$I$7,M844=phu!$I$8,M844=phu!$I$9,M844=phu!$I$10,M844=phu!$I$11,M844=phu!$I$12,M844=phu!$I$13,M844=phu!$I$14),"Cam Nghĩa",""),IF(OR(M844=phu!$I$15,M844=phu!$I$16,M844=phu!$I$17,M844=phu!$I$18,M844=phu!$I$19,M844=phu!$I$20,M844=phu!$I$21),"Cam Phúc Bắc",""),IF(OR(M844=phu!$I$22,M844=phu!$I$23,M844=phu!$I$24,M844=phu!$I$25),"Cam Phúc Nam",""),IF(OR(M844=phu!$I$26,M844=phu!$I$27,M844=phu!$I$28,M844=phu!$I$29,M844=phu!$I$30,M844=phu!$I$31),"Cam Phú",""),IF(OR(M844=phu!$I$32,M844=phu!$I$33,M844=phu!$I$34,M844=phu!$I$35,M844=phu!$I$36,M844=phu!$I$37),"Cam Lộc",""),IF(OR(M844=phu!$I$38,M844=phu!$I$39,M844=phu!$I$40,M844=phu!$I$41,M844=phu!$I$42,M844=phu!$I$43,M844=phu!$I$44),"Cam Thuận",""),IF(OR(M844=phu!$I$45,M844=phu!$I$46,M844=phu!$I$47,M844=phu!$I$48,M844=phu!$I$49,M844=phu!$I$50,M844=phu!$I$51,M844=phu!$I$52,M844=phu!$I$53),"Cam Linh",""),IF(OR(M844=phu!$I$54,M844=phu!$I$55,M844=phu!$I$56,M844=phu!$I$57,M844=phu!$I$58,M844=phu!$I$59,M844=phu!$I$60,M844=phu!$I$61,M844=phu!$I$62),"Cam Lợi",""),IF(OR(M844=phu!$I$63,M844=phu!$I$64,M844=phu!$I$65,M844=phu!$I$66,M844=phu!$I$67,M844=phu!$I$68,M844=phu!$I$69,M844=phu!$I$70,M844=phu!$I$71),"Ba Ngòi",""),IF(OR(M844=phu!$I$72,M844=phu!$I$73,M844=phu!$I$74,M844=phu!$I$75,M844=phu!$I$76,M844=phu!$I$77,M844=phu!$I$78),"Cam Phước Đông",""),IF(OR(M844=phu!$I$79,M844=phu!$I$80,M844=phu!$I$81,M844=phu!$I$82,M844=phu!$I$83,M844=phu!$I$84),"Cam Thịnh Đông",""),IF(OR(M844=phu!$I$85,M844=phu!$I$86,M844=phu!$I$87,M844=phu!$I$88),"Cam Thịnh Tây",""),IF(OR(M844=phu!$I$89,M844=phu!$I$90),"Cam Lập",""),IF(OR(M844=phu!$I$91,M844=phu!$I$92,M844=phu!$I$93),"Cam Bình",""),IF(OR(M844=phu!$I$94,M844=phu!$I$95,M844=phu!$I$96,M844=phu!$I$97,M844=phu!$I$98,M844=phu!$I$99,M844=phu!$I$100),"Huyện khác",""),IF(OR(M844=phu!$I$101,M844=phu!$I$102),"Tỉnh khác",""))</f>
        <v/>
      </c>
      <c r="O844" s="814" t="str">
        <f t="shared" si="79"/>
        <v/>
      </c>
      <c r="P844" s="254"/>
      <c r="Q844" s="254"/>
      <c r="R844" s="254"/>
      <c r="S844" s="254"/>
      <c r="T844" s="254"/>
      <c r="U844" s="254"/>
      <c r="V844" s="254"/>
      <c r="W844" s="254"/>
      <c r="Y844" s="246" t="str">
        <f t="shared" si="80"/>
        <v/>
      </c>
      <c r="Z844" s="247" t="str">
        <f t="shared" si="78"/>
        <v/>
      </c>
      <c r="AA844" s="246" t="str">
        <f t="shared" si="81"/>
        <v/>
      </c>
    </row>
    <row r="845" spans="1:27" x14ac:dyDescent="0.25">
      <c r="A845" s="248" t="str">
        <f t="shared" si="82"/>
        <v/>
      </c>
      <c r="B845" s="249" t="str">
        <f t="shared" si="83"/>
        <v/>
      </c>
      <c r="C845" s="250"/>
      <c r="D845" s="251"/>
      <c r="E845" s="241"/>
      <c r="F845" s="252"/>
      <c r="G845" s="252"/>
      <c r="H845" s="253"/>
      <c r="I845" s="250"/>
      <c r="J845" s="250"/>
      <c r="K845" s="270"/>
      <c r="L845" s="250"/>
      <c r="M845" s="250"/>
      <c r="N845" s="553" t="str">
        <f>CONCATENATE(IF(OR(M845=phu!$I$1,M845=phu!$I$2,M845=phu!$I$3),"Cam Thành Nam",""),IF(OR(M845=phu!$I$4,M845=phu!$I$5,M845=phu!$I$6,M845=phu!$I$7,M845=phu!$I$8,M845=phu!$I$9,M845=phu!$I$10,M845=phu!$I$11,M845=phu!$I$12,M845=phu!$I$13,M845=phu!$I$14),"Cam Nghĩa",""),IF(OR(M845=phu!$I$15,M845=phu!$I$16,M845=phu!$I$17,M845=phu!$I$18,M845=phu!$I$19,M845=phu!$I$20,M845=phu!$I$21),"Cam Phúc Bắc",""),IF(OR(M845=phu!$I$22,M845=phu!$I$23,M845=phu!$I$24,M845=phu!$I$25),"Cam Phúc Nam",""),IF(OR(M845=phu!$I$26,M845=phu!$I$27,M845=phu!$I$28,M845=phu!$I$29,M845=phu!$I$30,M845=phu!$I$31),"Cam Phú",""),IF(OR(M845=phu!$I$32,M845=phu!$I$33,M845=phu!$I$34,M845=phu!$I$35,M845=phu!$I$36,M845=phu!$I$37),"Cam Lộc",""),IF(OR(M845=phu!$I$38,M845=phu!$I$39,M845=phu!$I$40,M845=phu!$I$41,M845=phu!$I$42,M845=phu!$I$43,M845=phu!$I$44),"Cam Thuận",""),IF(OR(M845=phu!$I$45,M845=phu!$I$46,M845=phu!$I$47,M845=phu!$I$48,M845=phu!$I$49,M845=phu!$I$50,M845=phu!$I$51,M845=phu!$I$52,M845=phu!$I$53),"Cam Linh",""),IF(OR(M845=phu!$I$54,M845=phu!$I$55,M845=phu!$I$56,M845=phu!$I$57,M845=phu!$I$58,M845=phu!$I$59,M845=phu!$I$60,M845=phu!$I$61,M845=phu!$I$62),"Cam Lợi",""),IF(OR(M845=phu!$I$63,M845=phu!$I$64,M845=phu!$I$65,M845=phu!$I$66,M845=phu!$I$67,M845=phu!$I$68,M845=phu!$I$69,M845=phu!$I$70,M845=phu!$I$71),"Ba Ngòi",""),IF(OR(M845=phu!$I$72,M845=phu!$I$73,M845=phu!$I$74,M845=phu!$I$75,M845=phu!$I$76,M845=phu!$I$77,M845=phu!$I$78),"Cam Phước Đông",""),IF(OR(M845=phu!$I$79,M845=phu!$I$80,M845=phu!$I$81,M845=phu!$I$82,M845=phu!$I$83,M845=phu!$I$84),"Cam Thịnh Đông",""),IF(OR(M845=phu!$I$85,M845=phu!$I$86,M845=phu!$I$87,M845=phu!$I$88),"Cam Thịnh Tây",""),IF(OR(M845=phu!$I$89,M845=phu!$I$90),"Cam Lập",""),IF(OR(M845=phu!$I$91,M845=phu!$I$92,M845=phu!$I$93),"Cam Bình",""),IF(OR(M845=phu!$I$94,M845=phu!$I$95,M845=phu!$I$96,M845=phu!$I$97,M845=phu!$I$98,M845=phu!$I$99,M845=phu!$I$100),"Huyện khác",""),IF(OR(M845=phu!$I$101,M845=phu!$I$102),"Tỉnh khác",""))</f>
        <v/>
      </c>
      <c r="O845" s="814" t="str">
        <f t="shared" si="79"/>
        <v/>
      </c>
      <c r="P845" s="254"/>
      <c r="Q845" s="254"/>
      <c r="R845" s="254"/>
      <c r="S845" s="254"/>
      <c r="T845" s="254"/>
      <c r="U845" s="254"/>
      <c r="V845" s="254"/>
      <c r="W845" s="254"/>
      <c r="Y845" s="246" t="str">
        <f t="shared" si="80"/>
        <v/>
      </c>
      <c r="Z845" s="247" t="str">
        <f t="shared" si="78"/>
        <v/>
      </c>
      <c r="AA845" s="246" t="str">
        <f t="shared" si="81"/>
        <v/>
      </c>
    </row>
    <row r="846" spans="1:27" x14ac:dyDescent="0.25">
      <c r="A846" s="248" t="str">
        <f t="shared" si="82"/>
        <v/>
      </c>
      <c r="B846" s="249" t="str">
        <f t="shared" si="83"/>
        <v/>
      </c>
      <c r="C846" s="250"/>
      <c r="D846" s="251"/>
      <c r="E846" s="241"/>
      <c r="F846" s="252"/>
      <c r="G846" s="252"/>
      <c r="H846" s="253"/>
      <c r="I846" s="250"/>
      <c r="J846" s="250"/>
      <c r="K846" s="270"/>
      <c r="L846" s="250"/>
      <c r="M846" s="250"/>
      <c r="N846" s="553" t="str">
        <f>CONCATENATE(IF(OR(M846=phu!$I$1,M846=phu!$I$2,M846=phu!$I$3),"Cam Thành Nam",""),IF(OR(M846=phu!$I$4,M846=phu!$I$5,M846=phu!$I$6,M846=phu!$I$7,M846=phu!$I$8,M846=phu!$I$9,M846=phu!$I$10,M846=phu!$I$11,M846=phu!$I$12,M846=phu!$I$13,M846=phu!$I$14),"Cam Nghĩa",""),IF(OR(M846=phu!$I$15,M846=phu!$I$16,M846=phu!$I$17,M846=phu!$I$18,M846=phu!$I$19,M846=phu!$I$20,M846=phu!$I$21),"Cam Phúc Bắc",""),IF(OR(M846=phu!$I$22,M846=phu!$I$23,M846=phu!$I$24,M846=phu!$I$25),"Cam Phúc Nam",""),IF(OR(M846=phu!$I$26,M846=phu!$I$27,M846=phu!$I$28,M846=phu!$I$29,M846=phu!$I$30,M846=phu!$I$31),"Cam Phú",""),IF(OR(M846=phu!$I$32,M846=phu!$I$33,M846=phu!$I$34,M846=phu!$I$35,M846=phu!$I$36,M846=phu!$I$37),"Cam Lộc",""),IF(OR(M846=phu!$I$38,M846=phu!$I$39,M846=phu!$I$40,M846=phu!$I$41,M846=phu!$I$42,M846=phu!$I$43,M846=phu!$I$44),"Cam Thuận",""),IF(OR(M846=phu!$I$45,M846=phu!$I$46,M846=phu!$I$47,M846=phu!$I$48,M846=phu!$I$49,M846=phu!$I$50,M846=phu!$I$51,M846=phu!$I$52,M846=phu!$I$53),"Cam Linh",""),IF(OR(M846=phu!$I$54,M846=phu!$I$55,M846=phu!$I$56,M846=phu!$I$57,M846=phu!$I$58,M846=phu!$I$59,M846=phu!$I$60,M846=phu!$I$61,M846=phu!$I$62),"Cam Lợi",""),IF(OR(M846=phu!$I$63,M846=phu!$I$64,M846=phu!$I$65,M846=phu!$I$66,M846=phu!$I$67,M846=phu!$I$68,M846=phu!$I$69,M846=phu!$I$70,M846=phu!$I$71),"Ba Ngòi",""),IF(OR(M846=phu!$I$72,M846=phu!$I$73,M846=phu!$I$74,M846=phu!$I$75,M846=phu!$I$76,M846=phu!$I$77,M846=phu!$I$78),"Cam Phước Đông",""),IF(OR(M846=phu!$I$79,M846=phu!$I$80,M846=phu!$I$81,M846=phu!$I$82,M846=phu!$I$83,M846=phu!$I$84),"Cam Thịnh Đông",""),IF(OR(M846=phu!$I$85,M846=phu!$I$86,M846=phu!$I$87,M846=phu!$I$88),"Cam Thịnh Tây",""),IF(OR(M846=phu!$I$89,M846=phu!$I$90),"Cam Lập",""),IF(OR(M846=phu!$I$91,M846=phu!$I$92,M846=phu!$I$93),"Cam Bình",""),IF(OR(M846=phu!$I$94,M846=phu!$I$95,M846=phu!$I$96,M846=phu!$I$97,M846=phu!$I$98,M846=phu!$I$99,M846=phu!$I$100),"Huyện khác",""),IF(OR(M846=phu!$I$101,M846=phu!$I$102),"Tỉnh khác",""))</f>
        <v/>
      </c>
      <c r="O846" s="814" t="str">
        <f t="shared" si="79"/>
        <v/>
      </c>
      <c r="P846" s="254"/>
      <c r="Q846" s="254"/>
      <c r="R846" s="254"/>
      <c r="S846" s="254"/>
      <c r="T846" s="254"/>
      <c r="U846" s="254"/>
      <c r="V846" s="254"/>
      <c r="W846" s="254"/>
      <c r="Y846" s="246" t="str">
        <f t="shared" si="80"/>
        <v/>
      </c>
      <c r="Z846" s="247" t="str">
        <f t="shared" si="78"/>
        <v/>
      </c>
      <c r="AA846" s="246" t="str">
        <f t="shared" si="81"/>
        <v/>
      </c>
    </row>
    <row r="847" spans="1:27" x14ac:dyDescent="0.25">
      <c r="A847" s="248" t="str">
        <f t="shared" si="82"/>
        <v/>
      </c>
      <c r="B847" s="249" t="str">
        <f t="shared" si="83"/>
        <v/>
      </c>
      <c r="C847" s="250"/>
      <c r="D847" s="251"/>
      <c r="E847" s="241"/>
      <c r="F847" s="252"/>
      <c r="G847" s="252"/>
      <c r="H847" s="253"/>
      <c r="I847" s="250"/>
      <c r="J847" s="250"/>
      <c r="K847" s="270"/>
      <c r="L847" s="250"/>
      <c r="M847" s="250"/>
      <c r="N847" s="553" t="str">
        <f>CONCATENATE(IF(OR(M847=phu!$I$1,M847=phu!$I$2,M847=phu!$I$3),"Cam Thành Nam",""),IF(OR(M847=phu!$I$4,M847=phu!$I$5,M847=phu!$I$6,M847=phu!$I$7,M847=phu!$I$8,M847=phu!$I$9,M847=phu!$I$10,M847=phu!$I$11,M847=phu!$I$12,M847=phu!$I$13,M847=phu!$I$14),"Cam Nghĩa",""),IF(OR(M847=phu!$I$15,M847=phu!$I$16,M847=phu!$I$17,M847=phu!$I$18,M847=phu!$I$19,M847=phu!$I$20,M847=phu!$I$21),"Cam Phúc Bắc",""),IF(OR(M847=phu!$I$22,M847=phu!$I$23,M847=phu!$I$24,M847=phu!$I$25),"Cam Phúc Nam",""),IF(OR(M847=phu!$I$26,M847=phu!$I$27,M847=phu!$I$28,M847=phu!$I$29,M847=phu!$I$30,M847=phu!$I$31),"Cam Phú",""),IF(OR(M847=phu!$I$32,M847=phu!$I$33,M847=phu!$I$34,M847=phu!$I$35,M847=phu!$I$36,M847=phu!$I$37),"Cam Lộc",""),IF(OR(M847=phu!$I$38,M847=phu!$I$39,M847=phu!$I$40,M847=phu!$I$41,M847=phu!$I$42,M847=phu!$I$43,M847=phu!$I$44),"Cam Thuận",""),IF(OR(M847=phu!$I$45,M847=phu!$I$46,M847=phu!$I$47,M847=phu!$I$48,M847=phu!$I$49,M847=phu!$I$50,M847=phu!$I$51,M847=phu!$I$52,M847=phu!$I$53),"Cam Linh",""),IF(OR(M847=phu!$I$54,M847=phu!$I$55,M847=phu!$I$56,M847=phu!$I$57,M847=phu!$I$58,M847=phu!$I$59,M847=phu!$I$60,M847=phu!$I$61,M847=phu!$I$62),"Cam Lợi",""),IF(OR(M847=phu!$I$63,M847=phu!$I$64,M847=phu!$I$65,M847=phu!$I$66,M847=phu!$I$67,M847=phu!$I$68,M847=phu!$I$69,M847=phu!$I$70,M847=phu!$I$71),"Ba Ngòi",""),IF(OR(M847=phu!$I$72,M847=phu!$I$73,M847=phu!$I$74,M847=phu!$I$75,M847=phu!$I$76,M847=phu!$I$77,M847=phu!$I$78),"Cam Phước Đông",""),IF(OR(M847=phu!$I$79,M847=phu!$I$80,M847=phu!$I$81,M847=phu!$I$82,M847=phu!$I$83,M847=phu!$I$84),"Cam Thịnh Đông",""),IF(OR(M847=phu!$I$85,M847=phu!$I$86,M847=phu!$I$87,M847=phu!$I$88),"Cam Thịnh Tây",""),IF(OR(M847=phu!$I$89,M847=phu!$I$90),"Cam Lập",""),IF(OR(M847=phu!$I$91,M847=phu!$I$92,M847=phu!$I$93),"Cam Bình",""),IF(OR(M847=phu!$I$94,M847=phu!$I$95,M847=phu!$I$96,M847=phu!$I$97,M847=phu!$I$98,M847=phu!$I$99,M847=phu!$I$100),"Huyện khác",""),IF(OR(M847=phu!$I$101,M847=phu!$I$102),"Tỉnh khác",""))</f>
        <v/>
      </c>
      <c r="O847" s="814" t="str">
        <f t="shared" si="79"/>
        <v/>
      </c>
      <c r="P847" s="254"/>
      <c r="Q847" s="254"/>
      <c r="R847" s="254"/>
      <c r="S847" s="254"/>
      <c r="T847" s="254"/>
      <c r="U847" s="254"/>
      <c r="V847" s="254"/>
      <c r="W847" s="254"/>
      <c r="Y847" s="246" t="str">
        <f t="shared" si="80"/>
        <v/>
      </c>
      <c r="Z847" s="247" t="str">
        <f t="shared" si="78"/>
        <v/>
      </c>
      <c r="AA847" s="246" t="str">
        <f t="shared" si="81"/>
        <v/>
      </c>
    </row>
    <row r="848" spans="1:27" x14ac:dyDescent="0.25">
      <c r="A848" s="248" t="str">
        <f t="shared" si="82"/>
        <v/>
      </c>
      <c r="B848" s="249" t="str">
        <f t="shared" si="83"/>
        <v/>
      </c>
      <c r="C848" s="250"/>
      <c r="D848" s="251"/>
      <c r="E848" s="241"/>
      <c r="F848" s="252"/>
      <c r="G848" s="252"/>
      <c r="H848" s="253"/>
      <c r="I848" s="250"/>
      <c r="J848" s="250"/>
      <c r="K848" s="270"/>
      <c r="L848" s="250"/>
      <c r="M848" s="250"/>
      <c r="N848" s="553" t="str">
        <f>CONCATENATE(IF(OR(M848=phu!$I$1,M848=phu!$I$2,M848=phu!$I$3),"Cam Thành Nam",""),IF(OR(M848=phu!$I$4,M848=phu!$I$5,M848=phu!$I$6,M848=phu!$I$7,M848=phu!$I$8,M848=phu!$I$9,M848=phu!$I$10,M848=phu!$I$11,M848=phu!$I$12,M848=phu!$I$13,M848=phu!$I$14),"Cam Nghĩa",""),IF(OR(M848=phu!$I$15,M848=phu!$I$16,M848=phu!$I$17,M848=phu!$I$18,M848=phu!$I$19,M848=phu!$I$20,M848=phu!$I$21),"Cam Phúc Bắc",""),IF(OR(M848=phu!$I$22,M848=phu!$I$23,M848=phu!$I$24,M848=phu!$I$25),"Cam Phúc Nam",""),IF(OR(M848=phu!$I$26,M848=phu!$I$27,M848=phu!$I$28,M848=phu!$I$29,M848=phu!$I$30,M848=phu!$I$31),"Cam Phú",""),IF(OR(M848=phu!$I$32,M848=phu!$I$33,M848=phu!$I$34,M848=phu!$I$35,M848=phu!$I$36,M848=phu!$I$37),"Cam Lộc",""),IF(OR(M848=phu!$I$38,M848=phu!$I$39,M848=phu!$I$40,M848=phu!$I$41,M848=phu!$I$42,M848=phu!$I$43,M848=phu!$I$44),"Cam Thuận",""),IF(OR(M848=phu!$I$45,M848=phu!$I$46,M848=phu!$I$47,M848=phu!$I$48,M848=phu!$I$49,M848=phu!$I$50,M848=phu!$I$51,M848=phu!$I$52,M848=phu!$I$53),"Cam Linh",""),IF(OR(M848=phu!$I$54,M848=phu!$I$55,M848=phu!$I$56,M848=phu!$I$57,M848=phu!$I$58,M848=phu!$I$59,M848=phu!$I$60,M848=phu!$I$61,M848=phu!$I$62),"Cam Lợi",""),IF(OR(M848=phu!$I$63,M848=phu!$I$64,M848=phu!$I$65,M848=phu!$I$66,M848=phu!$I$67,M848=phu!$I$68,M848=phu!$I$69,M848=phu!$I$70,M848=phu!$I$71),"Ba Ngòi",""),IF(OR(M848=phu!$I$72,M848=phu!$I$73,M848=phu!$I$74,M848=phu!$I$75,M848=phu!$I$76,M848=phu!$I$77,M848=phu!$I$78),"Cam Phước Đông",""),IF(OR(M848=phu!$I$79,M848=phu!$I$80,M848=phu!$I$81,M848=phu!$I$82,M848=phu!$I$83,M848=phu!$I$84),"Cam Thịnh Đông",""),IF(OR(M848=phu!$I$85,M848=phu!$I$86,M848=phu!$I$87,M848=phu!$I$88),"Cam Thịnh Tây",""),IF(OR(M848=phu!$I$89,M848=phu!$I$90),"Cam Lập",""),IF(OR(M848=phu!$I$91,M848=phu!$I$92,M848=phu!$I$93),"Cam Bình",""),IF(OR(M848=phu!$I$94,M848=phu!$I$95,M848=phu!$I$96,M848=phu!$I$97,M848=phu!$I$98,M848=phu!$I$99,M848=phu!$I$100),"Huyện khác",""),IF(OR(M848=phu!$I$101,M848=phu!$I$102),"Tỉnh khác",""))</f>
        <v/>
      </c>
      <c r="O848" s="814" t="str">
        <f t="shared" si="79"/>
        <v/>
      </c>
      <c r="P848" s="254"/>
      <c r="Q848" s="254"/>
      <c r="R848" s="254"/>
      <c r="S848" s="254"/>
      <c r="T848" s="254"/>
      <c r="U848" s="254"/>
      <c r="V848" s="254"/>
      <c r="W848" s="254"/>
      <c r="Y848" s="246" t="str">
        <f t="shared" si="80"/>
        <v/>
      </c>
      <c r="Z848" s="247" t="str">
        <f t="shared" si="78"/>
        <v/>
      </c>
      <c r="AA848" s="246" t="str">
        <f t="shared" si="81"/>
        <v/>
      </c>
    </row>
    <row r="849" spans="1:27" x14ac:dyDescent="0.25">
      <c r="A849" s="248" t="str">
        <f t="shared" si="82"/>
        <v/>
      </c>
      <c r="B849" s="249" t="str">
        <f t="shared" si="83"/>
        <v/>
      </c>
      <c r="C849" s="250"/>
      <c r="D849" s="251"/>
      <c r="E849" s="241"/>
      <c r="F849" s="252"/>
      <c r="G849" s="252"/>
      <c r="H849" s="253"/>
      <c r="I849" s="250"/>
      <c r="J849" s="250"/>
      <c r="K849" s="270"/>
      <c r="L849" s="250"/>
      <c r="M849" s="250"/>
      <c r="N849" s="553" t="str">
        <f>CONCATENATE(IF(OR(M849=phu!$I$1,M849=phu!$I$2,M849=phu!$I$3),"Cam Thành Nam",""),IF(OR(M849=phu!$I$4,M849=phu!$I$5,M849=phu!$I$6,M849=phu!$I$7,M849=phu!$I$8,M849=phu!$I$9,M849=phu!$I$10,M849=phu!$I$11,M849=phu!$I$12,M849=phu!$I$13,M849=phu!$I$14),"Cam Nghĩa",""),IF(OR(M849=phu!$I$15,M849=phu!$I$16,M849=phu!$I$17,M849=phu!$I$18,M849=phu!$I$19,M849=phu!$I$20,M849=phu!$I$21),"Cam Phúc Bắc",""),IF(OR(M849=phu!$I$22,M849=phu!$I$23,M849=phu!$I$24,M849=phu!$I$25),"Cam Phúc Nam",""),IF(OR(M849=phu!$I$26,M849=phu!$I$27,M849=phu!$I$28,M849=phu!$I$29,M849=phu!$I$30,M849=phu!$I$31),"Cam Phú",""),IF(OR(M849=phu!$I$32,M849=phu!$I$33,M849=phu!$I$34,M849=phu!$I$35,M849=phu!$I$36,M849=phu!$I$37),"Cam Lộc",""),IF(OR(M849=phu!$I$38,M849=phu!$I$39,M849=phu!$I$40,M849=phu!$I$41,M849=phu!$I$42,M849=phu!$I$43,M849=phu!$I$44),"Cam Thuận",""),IF(OR(M849=phu!$I$45,M849=phu!$I$46,M849=phu!$I$47,M849=phu!$I$48,M849=phu!$I$49,M849=phu!$I$50,M849=phu!$I$51,M849=phu!$I$52,M849=phu!$I$53),"Cam Linh",""),IF(OR(M849=phu!$I$54,M849=phu!$I$55,M849=phu!$I$56,M849=phu!$I$57,M849=phu!$I$58,M849=phu!$I$59,M849=phu!$I$60,M849=phu!$I$61,M849=phu!$I$62),"Cam Lợi",""),IF(OR(M849=phu!$I$63,M849=phu!$I$64,M849=phu!$I$65,M849=phu!$I$66,M849=phu!$I$67,M849=phu!$I$68,M849=phu!$I$69,M849=phu!$I$70,M849=phu!$I$71),"Ba Ngòi",""),IF(OR(M849=phu!$I$72,M849=phu!$I$73,M849=phu!$I$74,M849=phu!$I$75,M849=phu!$I$76,M849=phu!$I$77,M849=phu!$I$78),"Cam Phước Đông",""),IF(OR(M849=phu!$I$79,M849=phu!$I$80,M849=phu!$I$81,M849=phu!$I$82,M849=phu!$I$83,M849=phu!$I$84),"Cam Thịnh Đông",""),IF(OR(M849=phu!$I$85,M849=phu!$I$86,M849=phu!$I$87,M849=phu!$I$88),"Cam Thịnh Tây",""),IF(OR(M849=phu!$I$89,M849=phu!$I$90),"Cam Lập",""),IF(OR(M849=phu!$I$91,M849=phu!$I$92,M849=phu!$I$93),"Cam Bình",""),IF(OR(M849=phu!$I$94,M849=phu!$I$95,M849=phu!$I$96,M849=phu!$I$97,M849=phu!$I$98,M849=phu!$I$99,M849=phu!$I$100),"Huyện khác",""),IF(OR(M849=phu!$I$101,M849=phu!$I$102),"Tỉnh khác",""))</f>
        <v/>
      </c>
      <c r="O849" s="814" t="str">
        <f t="shared" si="79"/>
        <v/>
      </c>
      <c r="P849" s="254"/>
      <c r="Q849" s="254"/>
      <c r="R849" s="254"/>
      <c r="S849" s="254"/>
      <c r="T849" s="254"/>
      <c r="U849" s="254"/>
      <c r="V849" s="254"/>
      <c r="W849" s="254"/>
      <c r="Y849" s="246" t="str">
        <f t="shared" si="80"/>
        <v/>
      </c>
      <c r="Z849" s="247" t="str">
        <f t="shared" si="78"/>
        <v/>
      </c>
      <c r="AA849" s="246" t="str">
        <f t="shared" si="81"/>
        <v/>
      </c>
    </row>
    <row r="850" spans="1:27" x14ac:dyDescent="0.25">
      <c r="A850" s="248" t="str">
        <f t="shared" si="82"/>
        <v/>
      </c>
      <c r="B850" s="249" t="str">
        <f t="shared" si="83"/>
        <v/>
      </c>
      <c r="C850" s="250"/>
      <c r="D850" s="251"/>
      <c r="E850" s="241"/>
      <c r="F850" s="252"/>
      <c r="G850" s="252"/>
      <c r="H850" s="253"/>
      <c r="I850" s="250"/>
      <c r="J850" s="250"/>
      <c r="K850" s="270"/>
      <c r="L850" s="250"/>
      <c r="M850" s="250"/>
      <c r="N850" s="553" t="str">
        <f>CONCATENATE(IF(OR(M850=phu!$I$1,M850=phu!$I$2,M850=phu!$I$3),"Cam Thành Nam",""),IF(OR(M850=phu!$I$4,M850=phu!$I$5,M850=phu!$I$6,M850=phu!$I$7,M850=phu!$I$8,M850=phu!$I$9,M850=phu!$I$10,M850=phu!$I$11,M850=phu!$I$12,M850=phu!$I$13,M850=phu!$I$14),"Cam Nghĩa",""),IF(OR(M850=phu!$I$15,M850=phu!$I$16,M850=phu!$I$17,M850=phu!$I$18,M850=phu!$I$19,M850=phu!$I$20,M850=phu!$I$21),"Cam Phúc Bắc",""),IF(OR(M850=phu!$I$22,M850=phu!$I$23,M850=phu!$I$24,M850=phu!$I$25),"Cam Phúc Nam",""),IF(OR(M850=phu!$I$26,M850=phu!$I$27,M850=phu!$I$28,M850=phu!$I$29,M850=phu!$I$30,M850=phu!$I$31),"Cam Phú",""),IF(OR(M850=phu!$I$32,M850=phu!$I$33,M850=phu!$I$34,M850=phu!$I$35,M850=phu!$I$36,M850=phu!$I$37),"Cam Lộc",""),IF(OR(M850=phu!$I$38,M850=phu!$I$39,M850=phu!$I$40,M850=phu!$I$41,M850=phu!$I$42,M850=phu!$I$43,M850=phu!$I$44),"Cam Thuận",""),IF(OR(M850=phu!$I$45,M850=phu!$I$46,M850=phu!$I$47,M850=phu!$I$48,M850=phu!$I$49,M850=phu!$I$50,M850=phu!$I$51,M850=phu!$I$52,M850=phu!$I$53),"Cam Linh",""),IF(OR(M850=phu!$I$54,M850=phu!$I$55,M850=phu!$I$56,M850=phu!$I$57,M850=phu!$I$58,M850=phu!$I$59,M850=phu!$I$60,M850=phu!$I$61,M850=phu!$I$62),"Cam Lợi",""),IF(OR(M850=phu!$I$63,M850=phu!$I$64,M850=phu!$I$65,M850=phu!$I$66,M850=phu!$I$67,M850=phu!$I$68,M850=phu!$I$69,M850=phu!$I$70,M850=phu!$I$71),"Ba Ngòi",""),IF(OR(M850=phu!$I$72,M850=phu!$I$73,M850=phu!$I$74,M850=phu!$I$75,M850=phu!$I$76,M850=phu!$I$77,M850=phu!$I$78),"Cam Phước Đông",""),IF(OR(M850=phu!$I$79,M850=phu!$I$80,M850=phu!$I$81,M850=phu!$I$82,M850=phu!$I$83,M850=phu!$I$84),"Cam Thịnh Đông",""),IF(OR(M850=phu!$I$85,M850=phu!$I$86,M850=phu!$I$87,M850=phu!$I$88),"Cam Thịnh Tây",""),IF(OR(M850=phu!$I$89,M850=phu!$I$90),"Cam Lập",""),IF(OR(M850=phu!$I$91,M850=phu!$I$92,M850=phu!$I$93),"Cam Bình",""),IF(OR(M850=phu!$I$94,M850=phu!$I$95,M850=phu!$I$96,M850=phu!$I$97,M850=phu!$I$98,M850=phu!$I$99,M850=phu!$I$100),"Huyện khác",""),IF(OR(M850=phu!$I$101,M850=phu!$I$102),"Tỉnh khác",""))</f>
        <v/>
      </c>
      <c r="O850" s="814" t="str">
        <f t="shared" si="79"/>
        <v/>
      </c>
      <c r="P850" s="254"/>
      <c r="Q850" s="254"/>
      <c r="R850" s="254"/>
      <c r="S850" s="254"/>
      <c r="T850" s="254"/>
      <c r="U850" s="254"/>
      <c r="V850" s="254"/>
      <c r="W850" s="254"/>
      <c r="Y850" s="246" t="str">
        <f t="shared" si="80"/>
        <v/>
      </c>
      <c r="Z850" s="247" t="str">
        <f t="shared" si="78"/>
        <v/>
      </c>
      <c r="AA850" s="246" t="str">
        <f t="shared" si="81"/>
        <v/>
      </c>
    </row>
    <row r="851" spans="1:27" x14ac:dyDescent="0.25">
      <c r="A851" s="248" t="str">
        <f t="shared" si="82"/>
        <v/>
      </c>
      <c r="B851" s="249" t="str">
        <f t="shared" si="83"/>
        <v/>
      </c>
      <c r="C851" s="250"/>
      <c r="D851" s="251"/>
      <c r="E851" s="241"/>
      <c r="F851" s="252"/>
      <c r="G851" s="252"/>
      <c r="H851" s="253"/>
      <c r="I851" s="250"/>
      <c r="J851" s="250"/>
      <c r="K851" s="270"/>
      <c r="L851" s="250"/>
      <c r="M851" s="250"/>
      <c r="N851" s="553" t="str">
        <f>CONCATENATE(IF(OR(M851=phu!$I$1,M851=phu!$I$2,M851=phu!$I$3),"Cam Thành Nam",""),IF(OR(M851=phu!$I$4,M851=phu!$I$5,M851=phu!$I$6,M851=phu!$I$7,M851=phu!$I$8,M851=phu!$I$9,M851=phu!$I$10,M851=phu!$I$11,M851=phu!$I$12,M851=phu!$I$13,M851=phu!$I$14),"Cam Nghĩa",""),IF(OR(M851=phu!$I$15,M851=phu!$I$16,M851=phu!$I$17,M851=phu!$I$18,M851=phu!$I$19,M851=phu!$I$20,M851=phu!$I$21),"Cam Phúc Bắc",""),IF(OR(M851=phu!$I$22,M851=phu!$I$23,M851=phu!$I$24,M851=phu!$I$25),"Cam Phúc Nam",""),IF(OR(M851=phu!$I$26,M851=phu!$I$27,M851=phu!$I$28,M851=phu!$I$29,M851=phu!$I$30,M851=phu!$I$31),"Cam Phú",""),IF(OR(M851=phu!$I$32,M851=phu!$I$33,M851=phu!$I$34,M851=phu!$I$35,M851=phu!$I$36,M851=phu!$I$37),"Cam Lộc",""),IF(OR(M851=phu!$I$38,M851=phu!$I$39,M851=phu!$I$40,M851=phu!$I$41,M851=phu!$I$42,M851=phu!$I$43,M851=phu!$I$44),"Cam Thuận",""),IF(OR(M851=phu!$I$45,M851=phu!$I$46,M851=phu!$I$47,M851=phu!$I$48,M851=phu!$I$49,M851=phu!$I$50,M851=phu!$I$51,M851=phu!$I$52,M851=phu!$I$53),"Cam Linh",""),IF(OR(M851=phu!$I$54,M851=phu!$I$55,M851=phu!$I$56,M851=phu!$I$57,M851=phu!$I$58,M851=phu!$I$59,M851=phu!$I$60,M851=phu!$I$61,M851=phu!$I$62),"Cam Lợi",""),IF(OR(M851=phu!$I$63,M851=phu!$I$64,M851=phu!$I$65,M851=phu!$I$66,M851=phu!$I$67,M851=phu!$I$68,M851=phu!$I$69,M851=phu!$I$70,M851=phu!$I$71),"Ba Ngòi",""),IF(OR(M851=phu!$I$72,M851=phu!$I$73,M851=phu!$I$74,M851=phu!$I$75,M851=phu!$I$76,M851=phu!$I$77,M851=phu!$I$78),"Cam Phước Đông",""),IF(OR(M851=phu!$I$79,M851=phu!$I$80,M851=phu!$I$81,M851=phu!$I$82,M851=phu!$I$83,M851=phu!$I$84),"Cam Thịnh Đông",""),IF(OR(M851=phu!$I$85,M851=phu!$I$86,M851=phu!$I$87,M851=phu!$I$88),"Cam Thịnh Tây",""),IF(OR(M851=phu!$I$89,M851=phu!$I$90),"Cam Lập",""),IF(OR(M851=phu!$I$91,M851=phu!$I$92,M851=phu!$I$93),"Cam Bình",""),IF(OR(M851=phu!$I$94,M851=phu!$I$95,M851=phu!$I$96,M851=phu!$I$97,M851=phu!$I$98,M851=phu!$I$99,M851=phu!$I$100),"Huyện khác",""),IF(OR(M851=phu!$I$101,M851=phu!$I$102),"Tỉnh khác",""))</f>
        <v/>
      </c>
      <c r="O851" s="814" t="str">
        <f t="shared" si="79"/>
        <v/>
      </c>
      <c r="P851" s="254"/>
      <c r="Q851" s="254"/>
      <c r="R851" s="254"/>
      <c r="S851" s="254"/>
      <c r="T851" s="254"/>
      <c r="U851" s="254"/>
      <c r="V851" s="254"/>
      <c r="W851" s="254"/>
      <c r="Y851" s="246" t="str">
        <f t="shared" si="80"/>
        <v/>
      </c>
      <c r="Z851" s="247" t="str">
        <f t="shared" si="78"/>
        <v/>
      </c>
      <c r="AA851" s="246" t="str">
        <f t="shared" si="81"/>
        <v/>
      </c>
    </row>
    <row r="852" spans="1:27" x14ac:dyDescent="0.25">
      <c r="A852" s="248" t="str">
        <f t="shared" si="82"/>
        <v/>
      </c>
      <c r="B852" s="249" t="str">
        <f t="shared" si="83"/>
        <v/>
      </c>
      <c r="C852" s="250"/>
      <c r="D852" s="251"/>
      <c r="E852" s="241"/>
      <c r="F852" s="252"/>
      <c r="G852" s="252"/>
      <c r="H852" s="253"/>
      <c r="I852" s="250"/>
      <c r="J852" s="250"/>
      <c r="K852" s="270"/>
      <c r="L852" s="250"/>
      <c r="M852" s="250"/>
      <c r="N852" s="553" t="str">
        <f>CONCATENATE(IF(OR(M852=phu!$I$1,M852=phu!$I$2,M852=phu!$I$3),"Cam Thành Nam",""),IF(OR(M852=phu!$I$4,M852=phu!$I$5,M852=phu!$I$6,M852=phu!$I$7,M852=phu!$I$8,M852=phu!$I$9,M852=phu!$I$10,M852=phu!$I$11,M852=phu!$I$12,M852=phu!$I$13,M852=phu!$I$14),"Cam Nghĩa",""),IF(OR(M852=phu!$I$15,M852=phu!$I$16,M852=phu!$I$17,M852=phu!$I$18,M852=phu!$I$19,M852=phu!$I$20,M852=phu!$I$21),"Cam Phúc Bắc",""),IF(OR(M852=phu!$I$22,M852=phu!$I$23,M852=phu!$I$24,M852=phu!$I$25),"Cam Phúc Nam",""),IF(OR(M852=phu!$I$26,M852=phu!$I$27,M852=phu!$I$28,M852=phu!$I$29,M852=phu!$I$30,M852=phu!$I$31),"Cam Phú",""),IF(OR(M852=phu!$I$32,M852=phu!$I$33,M852=phu!$I$34,M852=phu!$I$35,M852=phu!$I$36,M852=phu!$I$37),"Cam Lộc",""),IF(OR(M852=phu!$I$38,M852=phu!$I$39,M852=phu!$I$40,M852=phu!$I$41,M852=phu!$I$42,M852=phu!$I$43,M852=phu!$I$44),"Cam Thuận",""),IF(OR(M852=phu!$I$45,M852=phu!$I$46,M852=phu!$I$47,M852=phu!$I$48,M852=phu!$I$49,M852=phu!$I$50,M852=phu!$I$51,M852=phu!$I$52,M852=phu!$I$53),"Cam Linh",""),IF(OR(M852=phu!$I$54,M852=phu!$I$55,M852=phu!$I$56,M852=phu!$I$57,M852=phu!$I$58,M852=phu!$I$59,M852=phu!$I$60,M852=phu!$I$61,M852=phu!$I$62),"Cam Lợi",""),IF(OR(M852=phu!$I$63,M852=phu!$I$64,M852=phu!$I$65,M852=phu!$I$66,M852=phu!$I$67,M852=phu!$I$68,M852=phu!$I$69,M852=phu!$I$70,M852=phu!$I$71),"Ba Ngòi",""),IF(OR(M852=phu!$I$72,M852=phu!$I$73,M852=phu!$I$74,M852=phu!$I$75,M852=phu!$I$76,M852=phu!$I$77,M852=phu!$I$78),"Cam Phước Đông",""),IF(OR(M852=phu!$I$79,M852=phu!$I$80,M852=phu!$I$81,M852=phu!$I$82,M852=phu!$I$83,M852=phu!$I$84),"Cam Thịnh Đông",""),IF(OR(M852=phu!$I$85,M852=phu!$I$86,M852=phu!$I$87,M852=phu!$I$88),"Cam Thịnh Tây",""),IF(OR(M852=phu!$I$89,M852=phu!$I$90),"Cam Lập",""),IF(OR(M852=phu!$I$91,M852=phu!$I$92,M852=phu!$I$93),"Cam Bình",""),IF(OR(M852=phu!$I$94,M852=phu!$I$95,M852=phu!$I$96,M852=phu!$I$97,M852=phu!$I$98,M852=phu!$I$99,M852=phu!$I$100),"Huyện khác",""),IF(OR(M852=phu!$I$101,M852=phu!$I$102),"Tỉnh khác",""))</f>
        <v/>
      </c>
      <c r="O852" s="814" t="str">
        <f t="shared" si="79"/>
        <v/>
      </c>
      <c r="P852" s="254"/>
      <c r="Q852" s="254"/>
      <c r="R852" s="254"/>
      <c r="S852" s="254"/>
      <c r="T852" s="254"/>
      <c r="U852" s="254"/>
      <c r="V852" s="254"/>
      <c r="W852" s="254"/>
      <c r="Y852" s="246" t="str">
        <f t="shared" si="80"/>
        <v/>
      </c>
      <c r="Z852" s="247" t="str">
        <f t="shared" si="78"/>
        <v/>
      </c>
      <c r="AA852" s="246" t="str">
        <f t="shared" si="81"/>
        <v/>
      </c>
    </row>
    <row r="853" spans="1:27" x14ac:dyDescent="0.25">
      <c r="A853" s="248" t="str">
        <f t="shared" si="82"/>
        <v/>
      </c>
      <c r="B853" s="249" t="str">
        <f t="shared" si="83"/>
        <v/>
      </c>
      <c r="C853" s="250"/>
      <c r="D853" s="251"/>
      <c r="E853" s="241"/>
      <c r="F853" s="252"/>
      <c r="G853" s="252"/>
      <c r="H853" s="253"/>
      <c r="I853" s="250"/>
      <c r="J853" s="250"/>
      <c r="K853" s="270"/>
      <c r="L853" s="250"/>
      <c r="M853" s="250"/>
      <c r="N853" s="553" t="str">
        <f>CONCATENATE(IF(OR(M853=phu!$I$1,M853=phu!$I$2,M853=phu!$I$3),"Cam Thành Nam",""),IF(OR(M853=phu!$I$4,M853=phu!$I$5,M853=phu!$I$6,M853=phu!$I$7,M853=phu!$I$8,M853=phu!$I$9,M853=phu!$I$10,M853=phu!$I$11,M853=phu!$I$12,M853=phu!$I$13,M853=phu!$I$14),"Cam Nghĩa",""),IF(OR(M853=phu!$I$15,M853=phu!$I$16,M853=phu!$I$17,M853=phu!$I$18,M853=phu!$I$19,M853=phu!$I$20,M853=phu!$I$21),"Cam Phúc Bắc",""),IF(OR(M853=phu!$I$22,M853=phu!$I$23,M853=phu!$I$24,M853=phu!$I$25),"Cam Phúc Nam",""),IF(OR(M853=phu!$I$26,M853=phu!$I$27,M853=phu!$I$28,M853=phu!$I$29,M853=phu!$I$30,M853=phu!$I$31),"Cam Phú",""),IF(OR(M853=phu!$I$32,M853=phu!$I$33,M853=phu!$I$34,M853=phu!$I$35,M853=phu!$I$36,M853=phu!$I$37),"Cam Lộc",""),IF(OR(M853=phu!$I$38,M853=phu!$I$39,M853=phu!$I$40,M853=phu!$I$41,M853=phu!$I$42,M853=phu!$I$43,M853=phu!$I$44),"Cam Thuận",""),IF(OR(M853=phu!$I$45,M853=phu!$I$46,M853=phu!$I$47,M853=phu!$I$48,M853=phu!$I$49,M853=phu!$I$50,M853=phu!$I$51,M853=phu!$I$52,M853=phu!$I$53),"Cam Linh",""),IF(OR(M853=phu!$I$54,M853=phu!$I$55,M853=phu!$I$56,M853=phu!$I$57,M853=phu!$I$58,M853=phu!$I$59,M853=phu!$I$60,M853=phu!$I$61,M853=phu!$I$62),"Cam Lợi",""),IF(OR(M853=phu!$I$63,M853=phu!$I$64,M853=phu!$I$65,M853=phu!$I$66,M853=phu!$I$67,M853=phu!$I$68,M853=phu!$I$69,M853=phu!$I$70,M853=phu!$I$71),"Ba Ngòi",""),IF(OR(M853=phu!$I$72,M853=phu!$I$73,M853=phu!$I$74,M853=phu!$I$75,M853=phu!$I$76,M853=phu!$I$77,M853=phu!$I$78),"Cam Phước Đông",""),IF(OR(M853=phu!$I$79,M853=phu!$I$80,M853=phu!$I$81,M853=phu!$I$82,M853=phu!$I$83,M853=phu!$I$84),"Cam Thịnh Đông",""),IF(OR(M853=phu!$I$85,M853=phu!$I$86,M853=phu!$I$87,M853=phu!$I$88),"Cam Thịnh Tây",""),IF(OR(M853=phu!$I$89,M853=phu!$I$90),"Cam Lập",""),IF(OR(M853=phu!$I$91,M853=phu!$I$92,M853=phu!$I$93),"Cam Bình",""),IF(OR(M853=phu!$I$94,M853=phu!$I$95,M853=phu!$I$96,M853=phu!$I$97,M853=phu!$I$98,M853=phu!$I$99,M853=phu!$I$100),"Huyện khác",""),IF(OR(M853=phu!$I$101,M853=phu!$I$102),"Tỉnh khác",""))</f>
        <v/>
      </c>
      <c r="O853" s="814" t="str">
        <f t="shared" si="79"/>
        <v/>
      </c>
      <c r="P853" s="254"/>
      <c r="Q853" s="254"/>
      <c r="R853" s="254"/>
      <c r="S853" s="254"/>
      <c r="T853" s="254"/>
      <c r="U853" s="254"/>
      <c r="V853" s="254"/>
      <c r="W853" s="254"/>
      <c r="Y853" s="246" t="str">
        <f t="shared" si="80"/>
        <v/>
      </c>
      <c r="Z853" s="247" t="str">
        <f t="shared" si="78"/>
        <v/>
      </c>
      <c r="AA853" s="246" t="str">
        <f t="shared" si="81"/>
        <v/>
      </c>
    </row>
    <row r="854" spans="1:27" x14ac:dyDescent="0.25">
      <c r="A854" s="248" t="str">
        <f t="shared" si="82"/>
        <v/>
      </c>
      <c r="B854" s="249" t="str">
        <f t="shared" si="83"/>
        <v/>
      </c>
      <c r="C854" s="250"/>
      <c r="D854" s="251"/>
      <c r="E854" s="241"/>
      <c r="F854" s="252"/>
      <c r="G854" s="252"/>
      <c r="H854" s="253"/>
      <c r="I854" s="250"/>
      <c r="J854" s="250"/>
      <c r="K854" s="270"/>
      <c r="L854" s="250"/>
      <c r="M854" s="250"/>
      <c r="N854" s="553" t="str">
        <f>CONCATENATE(IF(OR(M854=phu!$I$1,M854=phu!$I$2,M854=phu!$I$3),"Cam Thành Nam",""),IF(OR(M854=phu!$I$4,M854=phu!$I$5,M854=phu!$I$6,M854=phu!$I$7,M854=phu!$I$8,M854=phu!$I$9,M854=phu!$I$10,M854=phu!$I$11,M854=phu!$I$12,M854=phu!$I$13,M854=phu!$I$14),"Cam Nghĩa",""),IF(OR(M854=phu!$I$15,M854=phu!$I$16,M854=phu!$I$17,M854=phu!$I$18,M854=phu!$I$19,M854=phu!$I$20,M854=phu!$I$21),"Cam Phúc Bắc",""),IF(OR(M854=phu!$I$22,M854=phu!$I$23,M854=phu!$I$24,M854=phu!$I$25),"Cam Phúc Nam",""),IF(OR(M854=phu!$I$26,M854=phu!$I$27,M854=phu!$I$28,M854=phu!$I$29,M854=phu!$I$30,M854=phu!$I$31),"Cam Phú",""),IF(OR(M854=phu!$I$32,M854=phu!$I$33,M854=phu!$I$34,M854=phu!$I$35,M854=phu!$I$36,M854=phu!$I$37),"Cam Lộc",""),IF(OR(M854=phu!$I$38,M854=phu!$I$39,M854=phu!$I$40,M854=phu!$I$41,M854=phu!$I$42,M854=phu!$I$43,M854=phu!$I$44),"Cam Thuận",""),IF(OR(M854=phu!$I$45,M854=phu!$I$46,M854=phu!$I$47,M854=phu!$I$48,M854=phu!$I$49,M854=phu!$I$50,M854=phu!$I$51,M854=phu!$I$52,M854=phu!$I$53),"Cam Linh",""),IF(OR(M854=phu!$I$54,M854=phu!$I$55,M854=phu!$I$56,M854=phu!$I$57,M854=phu!$I$58,M854=phu!$I$59,M854=phu!$I$60,M854=phu!$I$61,M854=phu!$I$62),"Cam Lợi",""),IF(OR(M854=phu!$I$63,M854=phu!$I$64,M854=phu!$I$65,M854=phu!$I$66,M854=phu!$I$67,M854=phu!$I$68,M854=phu!$I$69,M854=phu!$I$70,M854=phu!$I$71),"Ba Ngòi",""),IF(OR(M854=phu!$I$72,M854=phu!$I$73,M854=phu!$I$74,M854=phu!$I$75,M854=phu!$I$76,M854=phu!$I$77,M854=phu!$I$78),"Cam Phước Đông",""),IF(OR(M854=phu!$I$79,M854=phu!$I$80,M854=phu!$I$81,M854=phu!$I$82,M854=phu!$I$83,M854=phu!$I$84),"Cam Thịnh Đông",""),IF(OR(M854=phu!$I$85,M854=phu!$I$86,M854=phu!$I$87,M854=phu!$I$88),"Cam Thịnh Tây",""),IF(OR(M854=phu!$I$89,M854=phu!$I$90),"Cam Lập",""),IF(OR(M854=phu!$I$91,M854=phu!$I$92,M854=phu!$I$93),"Cam Bình",""),IF(OR(M854=phu!$I$94,M854=phu!$I$95,M854=phu!$I$96,M854=phu!$I$97,M854=phu!$I$98,M854=phu!$I$99,M854=phu!$I$100),"Huyện khác",""),IF(OR(M854=phu!$I$101,M854=phu!$I$102),"Tỉnh khác",""))</f>
        <v/>
      </c>
      <c r="O854" s="814" t="str">
        <f t="shared" si="79"/>
        <v/>
      </c>
      <c r="P854" s="254"/>
      <c r="Q854" s="254"/>
      <c r="R854" s="254"/>
      <c r="S854" s="254"/>
      <c r="T854" s="254"/>
      <c r="U854" s="254"/>
      <c r="V854" s="254"/>
      <c r="W854" s="254"/>
      <c r="Y854" s="246" t="str">
        <f t="shared" si="80"/>
        <v/>
      </c>
      <c r="Z854" s="247" t="str">
        <f t="shared" si="78"/>
        <v/>
      </c>
      <c r="AA854" s="246" t="str">
        <f t="shared" si="81"/>
        <v/>
      </c>
    </row>
    <row r="855" spans="1:27" x14ac:dyDescent="0.25">
      <c r="A855" s="248" t="str">
        <f t="shared" si="82"/>
        <v/>
      </c>
      <c r="B855" s="249" t="str">
        <f t="shared" si="83"/>
        <v/>
      </c>
      <c r="C855" s="250"/>
      <c r="D855" s="251"/>
      <c r="E855" s="241"/>
      <c r="F855" s="252"/>
      <c r="G855" s="252"/>
      <c r="H855" s="253"/>
      <c r="I855" s="250"/>
      <c r="J855" s="250"/>
      <c r="K855" s="270"/>
      <c r="L855" s="250"/>
      <c r="M855" s="250"/>
      <c r="N855" s="553" t="str">
        <f>CONCATENATE(IF(OR(M855=phu!$I$1,M855=phu!$I$2,M855=phu!$I$3),"Cam Thành Nam",""),IF(OR(M855=phu!$I$4,M855=phu!$I$5,M855=phu!$I$6,M855=phu!$I$7,M855=phu!$I$8,M855=phu!$I$9,M855=phu!$I$10,M855=phu!$I$11,M855=phu!$I$12,M855=phu!$I$13,M855=phu!$I$14),"Cam Nghĩa",""),IF(OR(M855=phu!$I$15,M855=phu!$I$16,M855=phu!$I$17,M855=phu!$I$18,M855=phu!$I$19,M855=phu!$I$20,M855=phu!$I$21),"Cam Phúc Bắc",""),IF(OR(M855=phu!$I$22,M855=phu!$I$23,M855=phu!$I$24,M855=phu!$I$25),"Cam Phúc Nam",""),IF(OR(M855=phu!$I$26,M855=phu!$I$27,M855=phu!$I$28,M855=phu!$I$29,M855=phu!$I$30,M855=phu!$I$31),"Cam Phú",""),IF(OR(M855=phu!$I$32,M855=phu!$I$33,M855=phu!$I$34,M855=phu!$I$35,M855=phu!$I$36,M855=phu!$I$37),"Cam Lộc",""),IF(OR(M855=phu!$I$38,M855=phu!$I$39,M855=phu!$I$40,M855=phu!$I$41,M855=phu!$I$42,M855=phu!$I$43,M855=phu!$I$44),"Cam Thuận",""),IF(OR(M855=phu!$I$45,M855=phu!$I$46,M855=phu!$I$47,M855=phu!$I$48,M855=phu!$I$49,M855=phu!$I$50,M855=phu!$I$51,M855=phu!$I$52,M855=phu!$I$53),"Cam Linh",""),IF(OR(M855=phu!$I$54,M855=phu!$I$55,M855=phu!$I$56,M855=phu!$I$57,M855=phu!$I$58,M855=phu!$I$59,M855=phu!$I$60,M855=phu!$I$61,M855=phu!$I$62),"Cam Lợi",""),IF(OR(M855=phu!$I$63,M855=phu!$I$64,M855=phu!$I$65,M855=phu!$I$66,M855=phu!$I$67,M855=phu!$I$68,M855=phu!$I$69,M855=phu!$I$70,M855=phu!$I$71),"Ba Ngòi",""),IF(OR(M855=phu!$I$72,M855=phu!$I$73,M855=phu!$I$74,M855=phu!$I$75,M855=phu!$I$76,M855=phu!$I$77,M855=phu!$I$78),"Cam Phước Đông",""),IF(OR(M855=phu!$I$79,M855=phu!$I$80,M855=phu!$I$81,M855=phu!$I$82,M855=phu!$I$83,M855=phu!$I$84),"Cam Thịnh Đông",""),IF(OR(M855=phu!$I$85,M855=phu!$I$86,M855=phu!$I$87,M855=phu!$I$88),"Cam Thịnh Tây",""),IF(OR(M855=phu!$I$89,M855=phu!$I$90),"Cam Lập",""),IF(OR(M855=phu!$I$91,M855=phu!$I$92,M855=phu!$I$93),"Cam Bình",""),IF(OR(M855=phu!$I$94,M855=phu!$I$95,M855=phu!$I$96,M855=phu!$I$97,M855=phu!$I$98,M855=phu!$I$99,M855=phu!$I$100),"Huyện khác",""),IF(OR(M855=phu!$I$101,M855=phu!$I$102),"Tỉnh khác",""))</f>
        <v/>
      </c>
      <c r="O855" s="814" t="str">
        <f t="shared" si="79"/>
        <v/>
      </c>
      <c r="P855" s="254"/>
      <c r="Q855" s="254"/>
      <c r="R855" s="254"/>
      <c r="S855" s="254"/>
      <c r="T855" s="254"/>
      <c r="U855" s="254"/>
      <c r="V855" s="254"/>
      <c r="W855" s="254"/>
      <c r="Y855" s="246" t="str">
        <f t="shared" si="80"/>
        <v/>
      </c>
      <c r="Z855" s="247" t="str">
        <f t="shared" si="78"/>
        <v/>
      </c>
      <c r="AA855" s="246" t="str">
        <f t="shared" si="81"/>
        <v/>
      </c>
    </row>
    <row r="856" spans="1:27" x14ac:dyDescent="0.25">
      <c r="A856" s="248" t="str">
        <f t="shared" si="82"/>
        <v/>
      </c>
      <c r="B856" s="249" t="str">
        <f t="shared" si="83"/>
        <v/>
      </c>
      <c r="C856" s="250"/>
      <c r="D856" s="251"/>
      <c r="E856" s="241"/>
      <c r="F856" s="252"/>
      <c r="G856" s="252"/>
      <c r="H856" s="253"/>
      <c r="I856" s="250"/>
      <c r="J856" s="250"/>
      <c r="K856" s="270"/>
      <c r="L856" s="250"/>
      <c r="M856" s="250"/>
      <c r="N856" s="553" t="str">
        <f>CONCATENATE(IF(OR(M856=phu!$I$1,M856=phu!$I$2,M856=phu!$I$3),"Cam Thành Nam",""),IF(OR(M856=phu!$I$4,M856=phu!$I$5,M856=phu!$I$6,M856=phu!$I$7,M856=phu!$I$8,M856=phu!$I$9,M856=phu!$I$10,M856=phu!$I$11,M856=phu!$I$12,M856=phu!$I$13,M856=phu!$I$14),"Cam Nghĩa",""),IF(OR(M856=phu!$I$15,M856=phu!$I$16,M856=phu!$I$17,M856=phu!$I$18,M856=phu!$I$19,M856=phu!$I$20,M856=phu!$I$21),"Cam Phúc Bắc",""),IF(OR(M856=phu!$I$22,M856=phu!$I$23,M856=phu!$I$24,M856=phu!$I$25),"Cam Phúc Nam",""),IF(OR(M856=phu!$I$26,M856=phu!$I$27,M856=phu!$I$28,M856=phu!$I$29,M856=phu!$I$30,M856=phu!$I$31),"Cam Phú",""),IF(OR(M856=phu!$I$32,M856=phu!$I$33,M856=phu!$I$34,M856=phu!$I$35,M856=phu!$I$36,M856=phu!$I$37),"Cam Lộc",""),IF(OR(M856=phu!$I$38,M856=phu!$I$39,M856=phu!$I$40,M856=phu!$I$41,M856=phu!$I$42,M856=phu!$I$43,M856=phu!$I$44),"Cam Thuận",""),IF(OR(M856=phu!$I$45,M856=phu!$I$46,M856=phu!$I$47,M856=phu!$I$48,M856=phu!$I$49,M856=phu!$I$50,M856=phu!$I$51,M856=phu!$I$52,M856=phu!$I$53),"Cam Linh",""),IF(OR(M856=phu!$I$54,M856=phu!$I$55,M856=phu!$I$56,M856=phu!$I$57,M856=phu!$I$58,M856=phu!$I$59,M856=phu!$I$60,M856=phu!$I$61,M856=phu!$I$62),"Cam Lợi",""),IF(OR(M856=phu!$I$63,M856=phu!$I$64,M856=phu!$I$65,M856=phu!$I$66,M856=phu!$I$67,M856=phu!$I$68,M856=phu!$I$69,M856=phu!$I$70,M856=phu!$I$71),"Ba Ngòi",""),IF(OR(M856=phu!$I$72,M856=phu!$I$73,M856=phu!$I$74,M856=phu!$I$75,M856=phu!$I$76,M856=phu!$I$77,M856=phu!$I$78),"Cam Phước Đông",""),IF(OR(M856=phu!$I$79,M856=phu!$I$80,M856=phu!$I$81,M856=phu!$I$82,M856=phu!$I$83,M856=phu!$I$84),"Cam Thịnh Đông",""),IF(OR(M856=phu!$I$85,M856=phu!$I$86,M856=phu!$I$87,M856=phu!$I$88),"Cam Thịnh Tây",""),IF(OR(M856=phu!$I$89,M856=phu!$I$90),"Cam Lập",""),IF(OR(M856=phu!$I$91,M856=phu!$I$92,M856=phu!$I$93),"Cam Bình",""),IF(OR(M856=phu!$I$94,M856=phu!$I$95,M856=phu!$I$96,M856=phu!$I$97,M856=phu!$I$98,M856=phu!$I$99,M856=phu!$I$100),"Huyện khác",""),IF(OR(M856=phu!$I$101,M856=phu!$I$102),"Tỉnh khác",""))</f>
        <v/>
      </c>
      <c r="O856" s="814" t="str">
        <f t="shared" si="79"/>
        <v/>
      </c>
      <c r="P856" s="254"/>
      <c r="Q856" s="254"/>
      <c r="R856" s="254"/>
      <c r="S856" s="254"/>
      <c r="T856" s="254"/>
      <c r="U856" s="254"/>
      <c r="V856" s="254"/>
      <c r="W856" s="254"/>
      <c r="Y856" s="246" t="str">
        <f t="shared" si="80"/>
        <v/>
      </c>
      <c r="Z856" s="247" t="str">
        <f t="shared" si="78"/>
        <v/>
      </c>
      <c r="AA856" s="246" t="str">
        <f t="shared" si="81"/>
        <v/>
      </c>
    </row>
    <row r="857" spans="1:27" x14ac:dyDescent="0.25">
      <c r="A857" s="248" t="str">
        <f t="shared" si="82"/>
        <v/>
      </c>
      <c r="B857" s="249" t="str">
        <f t="shared" si="83"/>
        <v/>
      </c>
      <c r="C857" s="250"/>
      <c r="D857" s="251"/>
      <c r="E857" s="241"/>
      <c r="F857" s="252"/>
      <c r="G857" s="252"/>
      <c r="H857" s="253"/>
      <c r="I857" s="250"/>
      <c r="J857" s="250"/>
      <c r="K857" s="270"/>
      <c r="L857" s="250"/>
      <c r="M857" s="250"/>
      <c r="N857" s="553" t="str">
        <f>CONCATENATE(IF(OR(M857=phu!$I$1,M857=phu!$I$2,M857=phu!$I$3),"Cam Thành Nam",""),IF(OR(M857=phu!$I$4,M857=phu!$I$5,M857=phu!$I$6,M857=phu!$I$7,M857=phu!$I$8,M857=phu!$I$9,M857=phu!$I$10,M857=phu!$I$11,M857=phu!$I$12,M857=phu!$I$13,M857=phu!$I$14),"Cam Nghĩa",""),IF(OR(M857=phu!$I$15,M857=phu!$I$16,M857=phu!$I$17,M857=phu!$I$18,M857=phu!$I$19,M857=phu!$I$20,M857=phu!$I$21),"Cam Phúc Bắc",""),IF(OR(M857=phu!$I$22,M857=phu!$I$23,M857=phu!$I$24,M857=phu!$I$25),"Cam Phúc Nam",""),IF(OR(M857=phu!$I$26,M857=phu!$I$27,M857=phu!$I$28,M857=phu!$I$29,M857=phu!$I$30,M857=phu!$I$31),"Cam Phú",""),IF(OR(M857=phu!$I$32,M857=phu!$I$33,M857=phu!$I$34,M857=phu!$I$35,M857=phu!$I$36,M857=phu!$I$37),"Cam Lộc",""),IF(OR(M857=phu!$I$38,M857=phu!$I$39,M857=phu!$I$40,M857=phu!$I$41,M857=phu!$I$42,M857=phu!$I$43,M857=phu!$I$44),"Cam Thuận",""),IF(OR(M857=phu!$I$45,M857=phu!$I$46,M857=phu!$I$47,M857=phu!$I$48,M857=phu!$I$49,M857=phu!$I$50,M857=phu!$I$51,M857=phu!$I$52,M857=phu!$I$53),"Cam Linh",""),IF(OR(M857=phu!$I$54,M857=phu!$I$55,M857=phu!$I$56,M857=phu!$I$57,M857=phu!$I$58,M857=phu!$I$59,M857=phu!$I$60,M857=phu!$I$61,M857=phu!$I$62),"Cam Lợi",""),IF(OR(M857=phu!$I$63,M857=phu!$I$64,M857=phu!$I$65,M857=phu!$I$66,M857=phu!$I$67,M857=phu!$I$68,M857=phu!$I$69,M857=phu!$I$70,M857=phu!$I$71),"Ba Ngòi",""),IF(OR(M857=phu!$I$72,M857=phu!$I$73,M857=phu!$I$74,M857=phu!$I$75,M857=phu!$I$76,M857=phu!$I$77,M857=phu!$I$78),"Cam Phước Đông",""),IF(OR(M857=phu!$I$79,M857=phu!$I$80,M857=phu!$I$81,M857=phu!$I$82,M857=phu!$I$83,M857=phu!$I$84),"Cam Thịnh Đông",""),IF(OR(M857=phu!$I$85,M857=phu!$I$86,M857=phu!$I$87,M857=phu!$I$88),"Cam Thịnh Tây",""),IF(OR(M857=phu!$I$89,M857=phu!$I$90),"Cam Lập",""),IF(OR(M857=phu!$I$91,M857=phu!$I$92,M857=phu!$I$93),"Cam Bình",""),IF(OR(M857=phu!$I$94,M857=phu!$I$95,M857=phu!$I$96,M857=phu!$I$97,M857=phu!$I$98,M857=phu!$I$99,M857=phu!$I$100),"Huyện khác",""),IF(OR(M857=phu!$I$101,M857=phu!$I$102),"Tỉnh khác",""))</f>
        <v/>
      </c>
      <c r="O857" s="814" t="str">
        <f t="shared" si="79"/>
        <v/>
      </c>
      <c r="P857" s="254"/>
      <c r="Q857" s="254"/>
      <c r="R857" s="254"/>
      <c r="S857" s="254"/>
      <c r="T857" s="254"/>
      <c r="U857" s="254"/>
      <c r="V857" s="254"/>
      <c r="W857" s="254"/>
      <c r="Y857" s="246" t="str">
        <f t="shared" si="80"/>
        <v/>
      </c>
      <c r="Z857" s="247" t="str">
        <f t="shared" si="78"/>
        <v/>
      </c>
      <c r="AA857" s="246" t="str">
        <f t="shared" si="81"/>
        <v/>
      </c>
    </row>
    <row r="858" spans="1:27" x14ac:dyDescent="0.25">
      <c r="A858" s="248" t="str">
        <f t="shared" si="82"/>
        <v/>
      </c>
      <c r="B858" s="249" t="str">
        <f t="shared" si="83"/>
        <v/>
      </c>
      <c r="C858" s="250"/>
      <c r="D858" s="251"/>
      <c r="E858" s="241"/>
      <c r="F858" s="252"/>
      <c r="G858" s="252"/>
      <c r="H858" s="253"/>
      <c r="I858" s="250"/>
      <c r="J858" s="250"/>
      <c r="K858" s="270"/>
      <c r="L858" s="250"/>
      <c r="M858" s="250"/>
      <c r="N858" s="553" t="str">
        <f>CONCATENATE(IF(OR(M858=phu!$I$1,M858=phu!$I$2,M858=phu!$I$3),"Cam Thành Nam",""),IF(OR(M858=phu!$I$4,M858=phu!$I$5,M858=phu!$I$6,M858=phu!$I$7,M858=phu!$I$8,M858=phu!$I$9,M858=phu!$I$10,M858=phu!$I$11,M858=phu!$I$12,M858=phu!$I$13,M858=phu!$I$14),"Cam Nghĩa",""),IF(OR(M858=phu!$I$15,M858=phu!$I$16,M858=phu!$I$17,M858=phu!$I$18,M858=phu!$I$19,M858=phu!$I$20,M858=phu!$I$21),"Cam Phúc Bắc",""),IF(OR(M858=phu!$I$22,M858=phu!$I$23,M858=phu!$I$24,M858=phu!$I$25),"Cam Phúc Nam",""),IF(OR(M858=phu!$I$26,M858=phu!$I$27,M858=phu!$I$28,M858=phu!$I$29,M858=phu!$I$30,M858=phu!$I$31),"Cam Phú",""),IF(OR(M858=phu!$I$32,M858=phu!$I$33,M858=phu!$I$34,M858=phu!$I$35,M858=phu!$I$36,M858=phu!$I$37),"Cam Lộc",""),IF(OR(M858=phu!$I$38,M858=phu!$I$39,M858=phu!$I$40,M858=phu!$I$41,M858=phu!$I$42,M858=phu!$I$43,M858=phu!$I$44),"Cam Thuận",""),IF(OR(M858=phu!$I$45,M858=phu!$I$46,M858=phu!$I$47,M858=phu!$I$48,M858=phu!$I$49,M858=phu!$I$50,M858=phu!$I$51,M858=phu!$I$52,M858=phu!$I$53),"Cam Linh",""),IF(OR(M858=phu!$I$54,M858=phu!$I$55,M858=phu!$I$56,M858=phu!$I$57,M858=phu!$I$58,M858=phu!$I$59,M858=phu!$I$60,M858=phu!$I$61,M858=phu!$I$62),"Cam Lợi",""),IF(OR(M858=phu!$I$63,M858=phu!$I$64,M858=phu!$I$65,M858=phu!$I$66,M858=phu!$I$67,M858=phu!$I$68,M858=phu!$I$69,M858=phu!$I$70,M858=phu!$I$71),"Ba Ngòi",""),IF(OR(M858=phu!$I$72,M858=phu!$I$73,M858=phu!$I$74,M858=phu!$I$75,M858=phu!$I$76,M858=phu!$I$77,M858=phu!$I$78),"Cam Phước Đông",""),IF(OR(M858=phu!$I$79,M858=phu!$I$80,M858=phu!$I$81,M858=phu!$I$82,M858=phu!$I$83,M858=phu!$I$84),"Cam Thịnh Đông",""),IF(OR(M858=phu!$I$85,M858=phu!$I$86,M858=phu!$I$87,M858=phu!$I$88),"Cam Thịnh Tây",""),IF(OR(M858=phu!$I$89,M858=phu!$I$90),"Cam Lập",""),IF(OR(M858=phu!$I$91,M858=phu!$I$92,M858=phu!$I$93),"Cam Bình",""),IF(OR(M858=phu!$I$94,M858=phu!$I$95,M858=phu!$I$96,M858=phu!$I$97,M858=phu!$I$98,M858=phu!$I$99,M858=phu!$I$100),"Huyện khác",""),IF(OR(M858=phu!$I$101,M858=phu!$I$102),"Tỉnh khác",""))</f>
        <v/>
      </c>
      <c r="O858" s="814" t="str">
        <f t="shared" si="79"/>
        <v/>
      </c>
      <c r="P858" s="254"/>
      <c r="Q858" s="254"/>
      <c r="R858" s="254"/>
      <c r="S858" s="254"/>
      <c r="T858" s="254"/>
      <c r="U858" s="254"/>
      <c r="V858" s="254"/>
      <c r="W858" s="254"/>
      <c r="Y858" s="246" t="str">
        <f t="shared" si="80"/>
        <v/>
      </c>
      <c r="Z858" s="247" t="str">
        <f t="shared" si="78"/>
        <v/>
      </c>
      <c r="AA858" s="246" t="str">
        <f t="shared" si="81"/>
        <v/>
      </c>
    </row>
    <row r="859" spans="1:27" x14ac:dyDescent="0.25">
      <c r="A859" s="248" t="str">
        <f t="shared" si="82"/>
        <v/>
      </c>
      <c r="B859" s="249" t="str">
        <f t="shared" si="83"/>
        <v/>
      </c>
      <c r="C859" s="250"/>
      <c r="D859" s="251"/>
      <c r="E859" s="241"/>
      <c r="F859" s="252"/>
      <c r="G859" s="252"/>
      <c r="H859" s="253"/>
      <c r="I859" s="250"/>
      <c r="J859" s="250"/>
      <c r="K859" s="270"/>
      <c r="L859" s="250"/>
      <c r="M859" s="250"/>
      <c r="N859" s="553" t="str">
        <f>CONCATENATE(IF(OR(M859=phu!$I$1,M859=phu!$I$2,M859=phu!$I$3),"Cam Thành Nam",""),IF(OR(M859=phu!$I$4,M859=phu!$I$5,M859=phu!$I$6,M859=phu!$I$7,M859=phu!$I$8,M859=phu!$I$9,M859=phu!$I$10,M859=phu!$I$11,M859=phu!$I$12,M859=phu!$I$13,M859=phu!$I$14),"Cam Nghĩa",""),IF(OR(M859=phu!$I$15,M859=phu!$I$16,M859=phu!$I$17,M859=phu!$I$18,M859=phu!$I$19,M859=phu!$I$20,M859=phu!$I$21),"Cam Phúc Bắc",""),IF(OR(M859=phu!$I$22,M859=phu!$I$23,M859=phu!$I$24,M859=phu!$I$25),"Cam Phúc Nam",""),IF(OR(M859=phu!$I$26,M859=phu!$I$27,M859=phu!$I$28,M859=phu!$I$29,M859=phu!$I$30,M859=phu!$I$31),"Cam Phú",""),IF(OR(M859=phu!$I$32,M859=phu!$I$33,M859=phu!$I$34,M859=phu!$I$35,M859=phu!$I$36,M859=phu!$I$37),"Cam Lộc",""),IF(OR(M859=phu!$I$38,M859=phu!$I$39,M859=phu!$I$40,M859=phu!$I$41,M859=phu!$I$42,M859=phu!$I$43,M859=phu!$I$44),"Cam Thuận",""),IF(OR(M859=phu!$I$45,M859=phu!$I$46,M859=phu!$I$47,M859=phu!$I$48,M859=phu!$I$49,M859=phu!$I$50,M859=phu!$I$51,M859=phu!$I$52,M859=phu!$I$53),"Cam Linh",""),IF(OR(M859=phu!$I$54,M859=phu!$I$55,M859=phu!$I$56,M859=phu!$I$57,M859=phu!$I$58,M859=phu!$I$59,M859=phu!$I$60,M859=phu!$I$61,M859=phu!$I$62),"Cam Lợi",""),IF(OR(M859=phu!$I$63,M859=phu!$I$64,M859=phu!$I$65,M859=phu!$I$66,M859=phu!$I$67,M859=phu!$I$68,M859=phu!$I$69,M859=phu!$I$70,M859=phu!$I$71),"Ba Ngòi",""),IF(OR(M859=phu!$I$72,M859=phu!$I$73,M859=phu!$I$74,M859=phu!$I$75,M859=phu!$I$76,M859=phu!$I$77,M859=phu!$I$78),"Cam Phước Đông",""),IF(OR(M859=phu!$I$79,M859=phu!$I$80,M859=phu!$I$81,M859=phu!$I$82,M859=phu!$I$83,M859=phu!$I$84),"Cam Thịnh Đông",""),IF(OR(M859=phu!$I$85,M859=phu!$I$86,M859=phu!$I$87,M859=phu!$I$88),"Cam Thịnh Tây",""),IF(OR(M859=phu!$I$89,M859=phu!$I$90),"Cam Lập",""),IF(OR(M859=phu!$I$91,M859=phu!$I$92,M859=phu!$I$93),"Cam Bình",""),IF(OR(M859=phu!$I$94,M859=phu!$I$95,M859=phu!$I$96,M859=phu!$I$97,M859=phu!$I$98,M859=phu!$I$99,M859=phu!$I$100),"Huyện khác",""),IF(OR(M859=phu!$I$101,M859=phu!$I$102),"Tỉnh khác",""))</f>
        <v/>
      </c>
      <c r="O859" s="814" t="str">
        <f t="shared" si="79"/>
        <v/>
      </c>
      <c r="P859" s="254"/>
      <c r="Q859" s="254"/>
      <c r="R859" s="254"/>
      <c r="S859" s="254"/>
      <c r="T859" s="254"/>
      <c r="U859" s="254"/>
      <c r="V859" s="254"/>
      <c r="W859" s="254"/>
      <c r="Y859" s="246" t="str">
        <f t="shared" si="80"/>
        <v/>
      </c>
      <c r="Z859" s="247" t="str">
        <f t="shared" si="78"/>
        <v/>
      </c>
      <c r="AA859" s="246" t="str">
        <f t="shared" si="81"/>
        <v/>
      </c>
    </row>
    <row r="860" spans="1:27" x14ac:dyDescent="0.25">
      <c r="A860" s="248" t="str">
        <f t="shared" si="82"/>
        <v/>
      </c>
      <c r="B860" s="249" t="str">
        <f t="shared" si="83"/>
        <v/>
      </c>
      <c r="C860" s="250"/>
      <c r="D860" s="251"/>
      <c r="E860" s="241"/>
      <c r="F860" s="252"/>
      <c r="G860" s="252"/>
      <c r="H860" s="253"/>
      <c r="I860" s="250"/>
      <c r="J860" s="250"/>
      <c r="K860" s="270"/>
      <c r="L860" s="250"/>
      <c r="M860" s="250"/>
      <c r="N860" s="553" t="str">
        <f>CONCATENATE(IF(OR(M860=phu!$I$1,M860=phu!$I$2,M860=phu!$I$3),"Cam Thành Nam",""),IF(OR(M860=phu!$I$4,M860=phu!$I$5,M860=phu!$I$6,M860=phu!$I$7,M860=phu!$I$8,M860=phu!$I$9,M860=phu!$I$10,M860=phu!$I$11,M860=phu!$I$12,M860=phu!$I$13,M860=phu!$I$14),"Cam Nghĩa",""),IF(OR(M860=phu!$I$15,M860=phu!$I$16,M860=phu!$I$17,M860=phu!$I$18,M860=phu!$I$19,M860=phu!$I$20,M860=phu!$I$21),"Cam Phúc Bắc",""),IF(OR(M860=phu!$I$22,M860=phu!$I$23,M860=phu!$I$24,M860=phu!$I$25),"Cam Phúc Nam",""),IF(OR(M860=phu!$I$26,M860=phu!$I$27,M860=phu!$I$28,M860=phu!$I$29,M860=phu!$I$30,M860=phu!$I$31),"Cam Phú",""),IF(OR(M860=phu!$I$32,M860=phu!$I$33,M860=phu!$I$34,M860=phu!$I$35,M860=phu!$I$36,M860=phu!$I$37),"Cam Lộc",""),IF(OR(M860=phu!$I$38,M860=phu!$I$39,M860=phu!$I$40,M860=phu!$I$41,M860=phu!$I$42,M860=phu!$I$43,M860=phu!$I$44),"Cam Thuận",""),IF(OR(M860=phu!$I$45,M860=phu!$I$46,M860=phu!$I$47,M860=phu!$I$48,M860=phu!$I$49,M860=phu!$I$50,M860=phu!$I$51,M860=phu!$I$52,M860=phu!$I$53),"Cam Linh",""),IF(OR(M860=phu!$I$54,M860=phu!$I$55,M860=phu!$I$56,M860=phu!$I$57,M860=phu!$I$58,M860=phu!$I$59,M860=phu!$I$60,M860=phu!$I$61,M860=phu!$I$62),"Cam Lợi",""),IF(OR(M860=phu!$I$63,M860=phu!$I$64,M860=phu!$I$65,M860=phu!$I$66,M860=phu!$I$67,M860=phu!$I$68,M860=phu!$I$69,M860=phu!$I$70,M860=phu!$I$71),"Ba Ngòi",""),IF(OR(M860=phu!$I$72,M860=phu!$I$73,M860=phu!$I$74,M860=phu!$I$75,M860=phu!$I$76,M860=phu!$I$77,M860=phu!$I$78),"Cam Phước Đông",""),IF(OR(M860=phu!$I$79,M860=phu!$I$80,M860=phu!$I$81,M860=phu!$I$82,M860=phu!$I$83,M860=phu!$I$84),"Cam Thịnh Đông",""),IF(OR(M860=phu!$I$85,M860=phu!$I$86,M860=phu!$I$87,M860=phu!$I$88),"Cam Thịnh Tây",""),IF(OR(M860=phu!$I$89,M860=phu!$I$90),"Cam Lập",""),IF(OR(M860=phu!$I$91,M860=phu!$I$92,M860=phu!$I$93),"Cam Bình",""),IF(OR(M860=phu!$I$94,M860=phu!$I$95,M860=phu!$I$96,M860=phu!$I$97,M860=phu!$I$98,M860=phu!$I$99,M860=phu!$I$100),"Huyện khác",""),IF(OR(M860=phu!$I$101,M860=phu!$I$102),"Tỉnh khác",""))</f>
        <v/>
      </c>
      <c r="O860" s="814" t="str">
        <f t="shared" si="79"/>
        <v/>
      </c>
      <c r="P860" s="254"/>
      <c r="Q860" s="254"/>
      <c r="R860" s="254"/>
      <c r="S860" s="254"/>
      <c r="T860" s="254"/>
      <c r="U860" s="254"/>
      <c r="V860" s="254"/>
      <c r="W860" s="254"/>
      <c r="Y860" s="246" t="str">
        <f t="shared" si="80"/>
        <v/>
      </c>
      <c r="Z860" s="247" t="str">
        <f t="shared" si="78"/>
        <v/>
      </c>
      <c r="AA860" s="246" t="str">
        <f t="shared" si="81"/>
        <v/>
      </c>
    </row>
    <row r="861" spans="1:27" x14ac:dyDescent="0.25">
      <c r="A861" s="248" t="str">
        <f t="shared" si="82"/>
        <v/>
      </c>
      <c r="B861" s="249" t="str">
        <f t="shared" si="83"/>
        <v/>
      </c>
      <c r="C861" s="250"/>
      <c r="D861" s="251"/>
      <c r="E861" s="241"/>
      <c r="F861" s="252"/>
      <c r="G861" s="252"/>
      <c r="H861" s="253"/>
      <c r="I861" s="250"/>
      <c r="J861" s="250"/>
      <c r="K861" s="270"/>
      <c r="L861" s="250"/>
      <c r="M861" s="250"/>
      <c r="N861" s="553" t="str">
        <f>CONCATENATE(IF(OR(M861=phu!$I$1,M861=phu!$I$2,M861=phu!$I$3),"Cam Thành Nam",""),IF(OR(M861=phu!$I$4,M861=phu!$I$5,M861=phu!$I$6,M861=phu!$I$7,M861=phu!$I$8,M861=phu!$I$9,M861=phu!$I$10,M861=phu!$I$11,M861=phu!$I$12,M861=phu!$I$13,M861=phu!$I$14),"Cam Nghĩa",""),IF(OR(M861=phu!$I$15,M861=phu!$I$16,M861=phu!$I$17,M861=phu!$I$18,M861=phu!$I$19,M861=phu!$I$20,M861=phu!$I$21),"Cam Phúc Bắc",""),IF(OR(M861=phu!$I$22,M861=phu!$I$23,M861=phu!$I$24,M861=phu!$I$25),"Cam Phúc Nam",""),IF(OR(M861=phu!$I$26,M861=phu!$I$27,M861=phu!$I$28,M861=phu!$I$29,M861=phu!$I$30,M861=phu!$I$31),"Cam Phú",""),IF(OR(M861=phu!$I$32,M861=phu!$I$33,M861=phu!$I$34,M861=phu!$I$35,M861=phu!$I$36,M861=phu!$I$37),"Cam Lộc",""),IF(OR(M861=phu!$I$38,M861=phu!$I$39,M861=phu!$I$40,M861=phu!$I$41,M861=phu!$I$42,M861=phu!$I$43,M861=phu!$I$44),"Cam Thuận",""),IF(OR(M861=phu!$I$45,M861=phu!$I$46,M861=phu!$I$47,M861=phu!$I$48,M861=phu!$I$49,M861=phu!$I$50,M861=phu!$I$51,M861=phu!$I$52,M861=phu!$I$53),"Cam Linh",""),IF(OR(M861=phu!$I$54,M861=phu!$I$55,M861=phu!$I$56,M861=phu!$I$57,M861=phu!$I$58,M861=phu!$I$59,M861=phu!$I$60,M861=phu!$I$61,M861=phu!$I$62),"Cam Lợi",""),IF(OR(M861=phu!$I$63,M861=phu!$I$64,M861=phu!$I$65,M861=phu!$I$66,M861=phu!$I$67,M861=phu!$I$68,M861=phu!$I$69,M861=phu!$I$70,M861=phu!$I$71),"Ba Ngòi",""),IF(OR(M861=phu!$I$72,M861=phu!$I$73,M861=phu!$I$74,M861=phu!$I$75,M861=phu!$I$76,M861=phu!$I$77,M861=phu!$I$78),"Cam Phước Đông",""),IF(OR(M861=phu!$I$79,M861=phu!$I$80,M861=phu!$I$81,M861=phu!$I$82,M861=phu!$I$83,M861=phu!$I$84),"Cam Thịnh Đông",""),IF(OR(M861=phu!$I$85,M861=phu!$I$86,M861=phu!$I$87,M861=phu!$I$88),"Cam Thịnh Tây",""),IF(OR(M861=phu!$I$89,M861=phu!$I$90),"Cam Lập",""),IF(OR(M861=phu!$I$91,M861=phu!$I$92,M861=phu!$I$93),"Cam Bình",""),IF(OR(M861=phu!$I$94,M861=phu!$I$95,M861=phu!$I$96,M861=phu!$I$97,M861=phu!$I$98,M861=phu!$I$99,M861=phu!$I$100),"Huyện khác",""),IF(OR(M861=phu!$I$101,M861=phu!$I$102),"Tỉnh khác",""))</f>
        <v/>
      </c>
      <c r="O861" s="814" t="str">
        <f t="shared" si="79"/>
        <v/>
      </c>
      <c r="P861" s="254"/>
      <c r="Q861" s="254"/>
      <c r="R861" s="254"/>
      <c r="S861" s="254"/>
      <c r="T861" s="254"/>
      <c r="U861" s="254"/>
      <c r="V861" s="254"/>
      <c r="W861" s="254"/>
      <c r="Y861" s="246" t="str">
        <f t="shared" si="80"/>
        <v/>
      </c>
      <c r="Z861" s="247" t="str">
        <f t="shared" si="78"/>
        <v/>
      </c>
      <c r="AA861" s="246" t="str">
        <f t="shared" si="81"/>
        <v/>
      </c>
    </row>
    <row r="862" spans="1:27" x14ac:dyDescent="0.25">
      <c r="A862" s="248" t="str">
        <f t="shared" si="82"/>
        <v/>
      </c>
      <c r="B862" s="249" t="str">
        <f t="shared" si="83"/>
        <v/>
      </c>
      <c r="C862" s="250"/>
      <c r="D862" s="251"/>
      <c r="E862" s="241"/>
      <c r="F862" s="252"/>
      <c r="G862" s="252"/>
      <c r="H862" s="253"/>
      <c r="I862" s="250"/>
      <c r="J862" s="250"/>
      <c r="K862" s="270"/>
      <c r="L862" s="250"/>
      <c r="M862" s="250"/>
      <c r="N862" s="553" t="str">
        <f>CONCATENATE(IF(OR(M862=phu!$I$1,M862=phu!$I$2,M862=phu!$I$3),"Cam Thành Nam",""),IF(OR(M862=phu!$I$4,M862=phu!$I$5,M862=phu!$I$6,M862=phu!$I$7,M862=phu!$I$8,M862=phu!$I$9,M862=phu!$I$10,M862=phu!$I$11,M862=phu!$I$12,M862=phu!$I$13,M862=phu!$I$14),"Cam Nghĩa",""),IF(OR(M862=phu!$I$15,M862=phu!$I$16,M862=phu!$I$17,M862=phu!$I$18,M862=phu!$I$19,M862=phu!$I$20,M862=phu!$I$21),"Cam Phúc Bắc",""),IF(OR(M862=phu!$I$22,M862=phu!$I$23,M862=phu!$I$24,M862=phu!$I$25),"Cam Phúc Nam",""),IF(OR(M862=phu!$I$26,M862=phu!$I$27,M862=phu!$I$28,M862=phu!$I$29,M862=phu!$I$30,M862=phu!$I$31),"Cam Phú",""),IF(OR(M862=phu!$I$32,M862=phu!$I$33,M862=phu!$I$34,M862=phu!$I$35,M862=phu!$I$36,M862=phu!$I$37),"Cam Lộc",""),IF(OR(M862=phu!$I$38,M862=phu!$I$39,M862=phu!$I$40,M862=phu!$I$41,M862=phu!$I$42,M862=phu!$I$43,M862=phu!$I$44),"Cam Thuận",""),IF(OR(M862=phu!$I$45,M862=phu!$I$46,M862=phu!$I$47,M862=phu!$I$48,M862=phu!$I$49,M862=phu!$I$50,M862=phu!$I$51,M862=phu!$I$52,M862=phu!$I$53),"Cam Linh",""),IF(OR(M862=phu!$I$54,M862=phu!$I$55,M862=phu!$I$56,M862=phu!$I$57,M862=phu!$I$58,M862=phu!$I$59,M862=phu!$I$60,M862=phu!$I$61,M862=phu!$I$62),"Cam Lợi",""),IF(OR(M862=phu!$I$63,M862=phu!$I$64,M862=phu!$I$65,M862=phu!$I$66,M862=phu!$I$67,M862=phu!$I$68,M862=phu!$I$69,M862=phu!$I$70,M862=phu!$I$71),"Ba Ngòi",""),IF(OR(M862=phu!$I$72,M862=phu!$I$73,M862=phu!$I$74,M862=phu!$I$75,M862=phu!$I$76,M862=phu!$I$77,M862=phu!$I$78),"Cam Phước Đông",""),IF(OR(M862=phu!$I$79,M862=phu!$I$80,M862=phu!$I$81,M862=phu!$I$82,M862=phu!$I$83,M862=phu!$I$84),"Cam Thịnh Đông",""),IF(OR(M862=phu!$I$85,M862=phu!$I$86,M862=phu!$I$87,M862=phu!$I$88),"Cam Thịnh Tây",""),IF(OR(M862=phu!$I$89,M862=phu!$I$90),"Cam Lập",""),IF(OR(M862=phu!$I$91,M862=phu!$I$92,M862=phu!$I$93),"Cam Bình",""),IF(OR(M862=phu!$I$94,M862=phu!$I$95,M862=phu!$I$96,M862=phu!$I$97,M862=phu!$I$98,M862=phu!$I$99,M862=phu!$I$100),"Huyện khác",""),IF(OR(M862=phu!$I$101,M862=phu!$I$102),"Tỉnh khác",""))</f>
        <v/>
      </c>
      <c r="O862" s="814" t="str">
        <f t="shared" si="79"/>
        <v/>
      </c>
      <c r="P862" s="254"/>
      <c r="Q862" s="254"/>
      <c r="R862" s="254"/>
      <c r="S862" s="254"/>
      <c r="T862" s="254"/>
      <c r="U862" s="254"/>
      <c r="V862" s="254"/>
      <c r="W862" s="254"/>
      <c r="Y862" s="246" t="str">
        <f t="shared" si="80"/>
        <v/>
      </c>
      <c r="Z862" s="247" t="str">
        <f t="shared" si="78"/>
        <v/>
      </c>
      <c r="AA862" s="246" t="str">
        <f t="shared" si="81"/>
        <v/>
      </c>
    </row>
    <row r="863" spans="1:27" x14ac:dyDescent="0.25">
      <c r="A863" s="248" t="str">
        <f t="shared" si="82"/>
        <v/>
      </c>
      <c r="B863" s="249" t="str">
        <f t="shared" si="83"/>
        <v/>
      </c>
      <c r="C863" s="250"/>
      <c r="D863" s="251"/>
      <c r="E863" s="241"/>
      <c r="F863" s="252"/>
      <c r="G863" s="252"/>
      <c r="H863" s="253"/>
      <c r="I863" s="250"/>
      <c r="J863" s="250"/>
      <c r="K863" s="270"/>
      <c r="L863" s="250"/>
      <c r="M863" s="250"/>
      <c r="N863" s="553" t="str">
        <f>CONCATENATE(IF(OR(M863=phu!$I$1,M863=phu!$I$2,M863=phu!$I$3),"Cam Thành Nam",""),IF(OR(M863=phu!$I$4,M863=phu!$I$5,M863=phu!$I$6,M863=phu!$I$7,M863=phu!$I$8,M863=phu!$I$9,M863=phu!$I$10,M863=phu!$I$11,M863=phu!$I$12,M863=phu!$I$13,M863=phu!$I$14),"Cam Nghĩa",""),IF(OR(M863=phu!$I$15,M863=phu!$I$16,M863=phu!$I$17,M863=phu!$I$18,M863=phu!$I$19,M863=phu!$I$20,M863=phu!$I$21),"Cam Phúc Bắc",""),IF(OR(M863=phu!$I$22,M863=phu!$I$23,M863=phu!$I$24,M863=phu!$I$25),"Cam Phúc Nam",""),IF(OR(M863=phu!$I$26,M863=phu!$I$27,M863=phu!$I$28,M863=phu!$I$29,M863=phu!$I$30,M863=phu!$I$31),"Cam Phú",""),IF(OR(M863=phu!$I$32,M863=phu!$I$33,M863=phu!$I$34,M863=phu!$I$35,M863=phu!$I$36,M863=phu!$I$37),"Cam Lộc",""),IF(OR(M863=phu!$I$38,M863=phu!$I$39,M863=phu!$I$40,M863=phu!$I$41,M863=phu!$I$42,M863=phu!$I$43,M863=phu!$I$44),"Cam Thuận",""),IF(OR(M863=phu!$I$45,M863=phu!$I$46,M863=phu!$I$47,M863=phu!$I$48,M863=phu!$I$49,M863=phu!$I$50,M863=phu!$I$51,M863=phu!$I$52,M863=phu!$I$53),"Cam Linh",""),IF(OR(M863=phu!$I$54,M863=phu!$I$55,M863=phu!$I$56,M863=phu!$I$57,M863=phu!$I$58,M863=phu!$I$59,M863=phu!$I$60,M863=phu!$I$61,M863=phu!$I$62),"Cam Lợi",""),IF(OR(M863=phu!$I$63,M863=phu!$I$64,M863=phu!$I$65,M863=phu!$I$66,M863=phu!$I$67,M863=phu!$I$68,M863=phu!$I$69,M863=phu!$I$70,M863=phu!$I$71),"Ba Ngòi",""),IF(OR(M863=phu!$I$72,M863=phu!$I$73,M863=phu!$I$74,M863=phu!$I$75,M863=phu!$I$76,M863=phu!$I$77,M863=phu!$I$78),"Cam Phước Đông",""),IF(OR(M863=phu!$I$79,M863=phu!$I$80,M863=phu!$I$81,M863=phu!$I$82,M863=phu!$I$83,M863=phu!$I$84),"Cam Thịnh Đông",""),IF(OR(M863=phu!$I$85,M863=phu!$I$86,M863=phu!$I$87,M863=phu!$I$88),"Cam Thịnh Tây",""),IF(OR(M863=phu!$I$89,M863=phu!$I$90),"Cam Lập",""),IF(OR(M863=phu!$I$91,M863=phu!$I$92,M863=phu!$I$93),"Cam Bình",""),IF(OR(M863=phu!$I$94,M863=phu!$I$95,M863=phu!$I$96,M863=phu!$I$97,M863=phu!$I$98,M863=phu!$I$99,M863=phu!$I$100),"Huyện khác",""),IF(OR(M863=phu!$I$101,M863=phu!$I$102),"Tỉnh khác",""))</f>
        <v/>
      </c>
      <c r="O863" s="814" t="str">
        <f t="shared" si="79"/>
        <v/>
      </c>
      <c r="P863" s="254"/>
      <c r="Q863" s="254"/>
      <c r="R863" s="254"/>
      <c r="S863" s="254"/>
      <c r="T863" s="254"/>
      <c r="U863" s="254"/>
      <c r="V863" s="254"/>
      <c r="W863" s="254"/>
      <c r="Y863" s="246" t="str">
        <f t="shared" si="80"/>
        <v/>
      </c>
      <c r="Z863" s="247" t="str">
        <f t="shared" si="78"/>
        <v/>
      </c>
      <c r="AA863" s="246" t="str">
        <f t="shared" si="81"/>
        <v/>
      </c>
    </row>
    <row r="864" spans="1:27" x14ac:dyDescent="0.25">
      <c r="A864" s="248" t="str">
        <f t="shared" si="82"/>
        <v/>
      </c>
      <c r="B864" s="249" t="str">
        <f t="shared" si="83"/>
        <v/>
      </c>
      <c r="C864" s="250"/>
      <c r="D864" s="251"/>
      <c r="E864" s="241"/>
      <c r="F864" s="252"/>
      <c r="G864" s="252"/>
      <c r="H864" s="253"/>
      <c r="I864" s="250"/>
      <c r="J864" s="250"/>
      <c r="K864" s="270"/>
      <c r="L864" s="250"/>
      <c r="M864" s="250"/>
      <c r="N864" s="553" t="str">
        <f>CONCATENATE(IF(OR(M864=phu!$I$1,M864=phu!$I$2,M864=phu!$I$3),"Cam Thành Nam",""),IF(OR(M864=phu!$I$4,M864=phu!$I$5,M864=phu!$I$6,M864=phu!$I$7,M864=phu!$I$8,M864=phu!$I$9,M864=phu!$I$10,M864=phu!$I$11,M864=phu!$I$12,M864=phu!$I$13,M864=phu!$I$14),"Cam Nghĩa",""),IF(OR(M864=phu!$I$15,M864=phu!$I$16,M864=phu!$I$17,M864=phu!$I$18,M864=phu!$I$19,M864=phu!$I$20,M864=phu!$I$21),"Cam Phúc Bắc",""),IF(OR(M864=phu!$I$22,M864=phu!$I$23,M864=phu!$I$24,M864=phu!$I$25),"Cam Phúc Nam",""),IF(OR(M864=phu!$I$26,M864=phu!$I$27,M864=phu!$I$28,M864=phu!$I$29,M864=phu!$I$30,M864=phu!$I$31),"Cam Phú",""),IF(OR(M864=phu!$I$32,M864=phu!$I$33,M864=phu!$I$34,M864=phu!$I$35,M864=phu!$I$36,M864=phu!$I$37),"Cam Lộc",""),IF(OR(M864=phu!$I$38,M864=phu!$I$39,M864=phu!$I$40,M864=phu!$I$41,M864=phu!$I$42,M864=phu!$I$43,M864=phu!$I$44),"Cam Thuận",""),IF(OR(M864=phu!$I$45,M864=phu!$I$46,M864=phu!$I$47,M864=phu!$I$48,M864=phu!$I$49,M864=phu!$I$50,M864=phu!$I$51,M864=phu!$I$52,M864=phu!$I$53),"Cam Linh",""),IF(OR(M864=phu!$I$54,M864=phu!$I$55,M864=phu!$I$56,M864=phu!$I$57,M864=phu!$I$58,M864=phu!$I$59,M864=phu!$I$60,M864=phu!$I$61,M864=phu!$I$62),"Cam Lợi",""),IF(OR(M864=phu!$I$63,M864=phu!$I$64,M864=phu!$I$65,M864=phu!$I$66,M864=phu!$I$67,M864=phu!$I$68,M864=phu!$I$69,M864=phu!$I$70,M864=phu!$I$71),"Ba Ngòi",""),IF(OR(M864=phu!$I$72,M864=phu!$I$73,M864=phu!$I$74,M864=phu!$I$75,M864=phu!$I$76,M864=phu!$I$77,M864=phu!$I$78),"Cam Phước Đông",""),IF(OR(M864=phu!$I$79,M864=phu!$I$80,M864=phu!$I$81,M864=phu!$I$82,M864=phu!$I$83,M864=phu!$I$84),"Cam Thịnh Đông",""),IF(OR(M864=phu!$I$85,M864=phu!$I$86,M864=phu!$I$87,M864=phu!$I$88),"Cam Thịnh Tây",""),IF(OR(M864=phu!$I$89,M864=phu!$I$90),"Cam Lập",""),IF(OR(M864=phu!$I$91,M864=phu!$I$92,M864=phu!$I$93),"Cam Bình",""),IF(OR(M864=phu!$I$94,M864=phu!$I$95,M864=phu!$I$96,M864=phu!$I$97,M864=phu!$I$98,M864=phu!$I$99,M864=phu!$I$100),"Huyện khác",""),IF(OR(M864=phu!$I$101,M864=phu!$I$102),"Tỉnh khác",""))</f>
        <v/>
      </c>
      <c r="O864" s="814" t="str">
        <f t="shared" si="79"/>
        <v/>
      </c>
      <c r="P864" s="254"/>
      <c r="Q864" s="254"/>
      <c r="R864" s="254"/>
      <c r="S864" s="254"/>
      <c r="T864" s="254"/>
      <c r="U864" s="254"/>
      <c r="V864" s="254"/>
      <c r="W864" s="254"/>
      <c r="Y864" s="246" t="str">
        <f t="shared" si="80"/>
        <v/>
      </c>
      <c r="Z864" s="247" t="str">
        <f t="shared" si="78"/>
        <v/>
      </c>
      <c r="AA864" s="246" t="str">
        <f t="shared" si="81"/>
        <v/>
      </c>
    </row>
    <row r="865" spans="1:27" x14ac:dyDescent="0.25">
      <c r="A865" s="248" t="str">
        <f t="shared" si="82"/>
        <v/>
      </c>
      <c r="B865" s="249" t="str">
        <f t="shared" si="83"/>
        <v/>
      </c>
      <c r="C865" s="250"/>
      <c r="D865" s="251"/>
      <c r="E865" s="241"/>
      <c r="F865" s="252"/>
      <c r="G865" s="252"/>
      <c r="H865" s="253"/>
      <c r="I865" s="250"/>
      <c r="J865" s="250"/>
      <c r="K865" s="270"/>
      <c r="L865" s="250"/>
      <c r="M865" s="250"/>
      <c r="N865" s="553" t="str">
        <f>CONCATENATE(IF(OR(M865=phu!$I$1,M865=phu!$I$2,M865=phu!$I$3),"Cam Thành Nam",""),IF(OR(M865=phu!$I$4,M865=phu!$I$5,M865=phu!$I$6,M865=phu!$I$7,M865=phu!$I$8,M865=phu!$I$9,M865=phu!$I$10,M865=phu!$I$11,M865=phu!$I$12,M865=phu!$I$13,M865=phu!$I$14),"Cam Nghĩa",""),IF(OR(M865=phu!$I$15,M865=phu!$I$16,M865=phu!$I$17,M865=phu!$I$18,M865=phu!$I$19,M865=phu!$I$20,M865=phu!$I$21),"Cam Phúc Bắc",""),IF(OR(M865=phu!$I$22,M865=phu!$I$23,M865=phu!$I$24,M865=phu!$I$25),"Cam Phúc Nam",""),IF(OR(M865=phu!$I$26,M865=phu!$I$27,M865=phu!$I$28,M865=phu!$I$29,M865=phu!$I$30,M865=phu!$I$31),"Cam Phú",""),IF(OR(M865=phu!$I$32,M865=phu!$I$33,M865=phu!$I$34,M865=phu!$I$35,M865=phu!$I$36,M865=phu!$I$37),"Cam Lộc",""),IF(OR(M865=phu!$I$38,M865=phu!$I$39,M865=phu!$I$40,M865=phu!$I$41,M865=phu!$I$42,M865=phu!$I$43,M865=phu!$I$44),"Cam Thuận",""),IF(OR(M865=phu!$I$45,M865=phu!$I$46,M865=phu!$I$47,M865=phu!$I$48,M865=phu!$I$49,M865=phu!$I$50,M865=phu!$I$51,M865=phu!$I$52,M865=phu!$I$53),"Cam Linh",""),IF(OR(M865=phu!$I$54,M865=phu!$I$55,M865=phu!$I$56,M865=phu!$I$57,M865=phu!$I$58,M865=phu!$I$59,M865=phu!$I$60,M865=phu!$I$61,M865=phu!$I$62),"Cam Lợi",""),IF(OR(M865=phu!$I$63,M865=phu!$I$64,M865=phu!$I$65,M865=phu!$I$66,M865=phu!$I$67,M865=phu!$I$68,M865=phu!$I$69,M865=phu!$I$70,M865=phu!$I$71),"Ba Ngòi",""),IF(OR(M865=phu!$I$72,M865=phu!$I$73,M865=phu!$I$74,M865=phu!$I$75,M865=phu!$I$76,M865=phu!$I$77,M865=phu!$I$78),"Cam Phước Đông",""),IF(OR(M865=phu!$I$79,M865=phu!$I$80,M865=phu!$I$81,M865=phu!$I$82,M865=phu!$I$83,M865=phu!$I$84),"Cam Thịnh Đông",""),IF(OR(M865=phu!$I$85,M865=phu!$I$86,M865=phu!$I$87,M865=phu!$I$88),"Cam Thịnh Tây",""),IF(OR(M865=phu!$I$89,M865=phu!$I$90),"Cam Lập",""),IF(OR(M865=phu!$I$91,M865=phu!$I$92,M865=phu!$I$93),"Cam Bình",""),IF(OR(M865=phu!$I$94,M865=phu!$I$95,M865=phu!$I$96,M865=phu!$I$97,M865=phu!$I$98,M865=phu!$I$99,M865=phu!$I$100),"Huyện khác",""),IF(OR(M865=phu!$I$101,M865=phu!$I$102),"Tỉnh khác",""))</f>
        <v/>
      </c>
      <c r="O865" s="814" t="str">
        <f t="shared" si="79"/>
        <v/>
      </c>
      <c r="P865" s="254"/>
      <c r="Q865" s="254"/>
      <c r="R865" s="254"/>
      <c r="S865" s="254"/>
      <c r="T865" s="254"/>
      <c r="U865" s="254"/>
      <c r="V865" s="254"/>
      <c r="W865" s="254"/>
      <c r="Y865" s="246" t="str">
        <f t="shared" si="80"/>
        <v/>
      </c>
      <c r="Z865" s="247" t="str">
        <f t="shared" si="78"/>
        <v/>
      </c>
      <c r="AA865" s="246" t="str">
        <f t="shared" si="81"/>
        <v/>
      </c>
    </row>
    <row r="866" spans="1:27" x14ac:dyDescent="0.25">
      <c r="A866" s="248" t="str">
        <f t="shared" si="82"/>
        <v/>
      </c>
      <c r="B866" s="249" t="str">
        <f t="shared" si="83"/>
        <v/>
      </c>
      <c r="C866" s="250"/>
      <c r="D866" s="251"/>
      <c r="E866" s="241"/>
      <c r="F866" s="252"/>
      <c r="G866" s="252"/>
      <c r="H866" s="253"/>
      <c r="I866" s="250"/>
      <c r="J866" s="250"/>
      <c r="K866" s="270"/>
      <c r="L866" s="250"/>
      <c r="M866" s="250"/>
      <c r="N866" s="553" t="str">
        <f>CONCATENATE(IF(OR(M866=phu!$I$1,M866=phu!$I$2,M866=phu!$I$3),"Cam Thành Nam",""),IF(OR(M866=phu!$I$4,M866=phu!$I$5,M866=phu!$I$6,M866=phu!$I$7,M866=phu!$I$8,M866=phu!$I$9,M866=phu!$I$10,M866=phu!$I$11,M866=phu!$I$12,M866=phu!$I$13,M866=phu!$I$14),"Cam Nghĩa",""),IF(OR(M866=phu!$I$15,M866=phu!$I$16,M866=phu!$I$17,M866=phu!$I$18,M866=phu!$I$19,M866=phu!$I$20,M866=phu!$I$21),"Cam Phúc Bắc",""),IF(OR(M866=phu!$I$22,M866=phu!$I$23,M866=phu!$I$24,M866=phu!$I$25),"Cam Phúc Nam",""),IF(OR(M866=phu!$I$26,M866=phu!$I$27,M866=phu!$I$28,M866=phu!$I$29,M866=phu!$I$30,M866=phu!$I$31),"Cam Phú",""),IF(OR(M866=phu!$I$32,M866=phu!$I$33,M866=phu!$I$34,M866=phu!$I$35,M866=phu!$I$36,M866=phu!$I$37),"Cam Lộc",""),IF(OR(M866=phu!$I$38,M866=phu!$I$39,M866=phu!$I$40,M866=phu!$I$41,M866=phu!$I$42,M866=phu!$I$43,M866=phu!$I$44),"Cam Thuận",""),IF(OR(M866=phu!$I$45,M866=phu!$I$46,M866=phu!$I$47,M866=phu!$I$48,M866=phu!$I$49,M866=phu!$I$50,M866=phu!$I$51,M866=phu!$I$52,M866=phu!$I$53),"Cam Linh",""),IF(OR(M866=phu!$I$54,M866=phu!$I$55,M866=phu!$I$56,M866=phu!$I$57,M866=phu!$I$58,M866=phu!$I$59,M866=phu!$I$60,M866=phu!$I$61,M866=phu!$I$62),"Cam Lợi",""),IF(OR(M866=phu!$I$63,M866=phu!$I$64,M866=phu!$I$65,M866=phu!$I$66,M866=phu!$I$67,M866=phu!$I$68,M866=phu!$I$69,M866=phu!$I$70,M866=phu!$I$71),"Ba Ngòi",""),IF(OR(M866=phu!$I$72,M866=phu!$I$73,M866=phu!$I$74,M866=phu!$I$75,M866=phu!$I$76,M866=phu!$I$77,M866=phu!$I$78),"Cam Phước Đông",""),IF(OR(M866=phu!$I$79,M866=phu!$I$80,M866=phu!$I$81,M866=phu!$I$82,M866=phu!$I$83,M866=phu!$I$84),"Cam Thịnh Đông",""),IF(OR(M866=phu!$I$85,M866=phu!$I$86,M866=phu!$I$87,M866=phu!$I$88),"Cam Thịnh Tây",""),IF(OR(M866=phu!$I$89,M866=phu!$I$90),"Cam Lập",""),IF(OR(M866=phu!$I$91,M866=phu!$I$92,M866=phu!$I$93),"Cam Bình",""),IF(OR(M866=phu!$I$94,M866=phu!$I$95,M866=phu!$I$96,M866=phu!$I$97,M866=phu!$I$98,M866=phu!$I$99,M866=phu!$I$100),"Huyện khác",""),IF(OR(M866=phu!$I$101,M866=phu!$I$102),"Tỉnh khác",""))</f>
        <v/>
      </c>
      <c r="O866" s="814" t="str">
        <f t="shared" si="79"/>
        <v/>
      </c>
      <c r="P866" s="254"/>
      <c r="Q866" s="254"/>
      <c r="R866" s="254"/>
      <c r="S866" s="254"/>
      <c r="T866" s="254"/>
      <c r="U866" s="254"/>
      <c r="V866" s="254"/>
      <c r="W866" s="254"/>
      <c r="Y866" s="246" t="str">
        <f t="shared" si="80"/>
        <v/>
      </c>
      <c r="Z866" s="247" t="str">
        <f t="shared" si="78"/>
        <v/>
      </c>
      <c r="AA866" s="246" t="str">
        <f t="shared" si="81"/>
        <v/>
      </c>
    </row>
    <row r="867" spans="1:27" x14ac:dyDescent="0.25">
      <c r="A867" s="248" t="str">
        <f t="shared" si="82"/>
        <v/>
      </c>
      <c r="B867" s="249" t="str">
        <f t="shared" si="83"/>
        <v/>
      </c>
      <c r="C867" s="250"/>
      <c r="D867" s="251"/>
      <c r="E867" s="241"/>
      <c r="F867" s="252"/>
      <c r="G867" s="252"/>
      <c r="H867" s="253"/>
      <c r="I867" s="250"/>
      <c r="J867" s="250"/>
      <c r="K867" s="270"/>
      <c r="L867" s="250"/>
      <c r="M867" s="250"/>
      <c r="N867" s="553" t="str">
        <f>CONCATENATE(IF(OR(M867=phu!$I$1,M867=phu!$I$2,M867=phu!$I$3),"Cam Thành Nam",""),IF(OR(M867=phu!$I$4,M867=phu!$I$5,M867=phu!$I$6,M867=phu!$I$7,M867=phu!$I$8,M867=phu!$I$9,M867=phu!$I$10,M867=phu!$I$11,M867=phu!$I$12,M867=phu!$I$13,M867=phu!$I$14),"Cam Nghĩa",""),IF(OR(M867=phu!$I$15,M867=phu!$I$16,M867=phu!$I$17,M867=phu!$I$18,M867=phu!$I$19,M867=phu!$I$20,M867=phu!$I$21),"Cam Phúc Bắc",""),IF(OR(M867=phu!$I$22,M867=phu!$I$23,M867=phu!$I$24,M867=phu!$I$25),"Cam Phúc Nam",""),IF(OR(M867=phu!$I$26,M867=phu!$I$27,M867=phu!$I$28,M867=phu!$I$29,M867=phu!$I$30,M867=phu!$I$31),"Cam Phú",""),IF(OR(M867=phu!$I$32,M867=phu!$I$33,M867=phu!$I$34,M867=phu!$I$35,M867=phu!$I$36,M867=phu!$I$37),"Cam Lộc",""),IF(OR(M867=phu!$I$38,M867=phu!$I$39,M867=phu!$I$40,M867=phu!$I$41,M867=phu!$I$42,M867=phu!$I$43,M867=phu!$I$44),"Cam Thuận",""),IF(OR(M867=phu!$I$45,M867=phu!$I$46,M867=phu!$I$47,M867=phu!$I$48,M867=phu!$I$49,M867=phu!$I$50,M867=phu!$I$51,M867=phu!$I$52,M867=phu!$I$53),"Cam Linh",""),IF(OR(M867=phu!$I$54,M867=phu!$I$55,M867=phu!$I$56,M867=phu!$I$57,M867=phu!$I$58,M867=phu!$I$59,M867=phu!$I$60,M867=phu!$I$61,M867=phu!$I$62),"Cam Lợi",""),IF(OR(M867=phu!$I$63,M867=phu!$I$64,M867=phu!$I$65,M867=phu!$I$66,M867=phu!$I$67,M867=phu!$I$68,M867=phu!$I$69,M867=phu!$I$70,M867=phu!$I$71),"Ba Ngòi",""),IF(OR(M867=phu!$I$72,M867=phu!$I$73,M867=phu!$I$74,M867=phu!$I$75,M867=phu!$I$76,M867=phu!$I$77,M867=phu!$I$78),"Cam Phước Đông",""),IF(OR(M867=phu!$I$79,M867=phu!$I$80,M867=phu!$I$81,M867=phu!$I$82,M867=phu!$I$83,M867=phu!$I$84),"Cam Thịnh Đông",""),IF(OR(M867=phu!$I$85,M867=phu!$I$86,M867=phu!$I$87,M867=phu!$I$88),"Cam Thịnh Tây",""),IF(OR(M867=phu!$I$89,M867=phu!$I$90),"Cam Lập",""),IF(OR(M867=phu!$I$91,M867=phu!$I$92,M867=phu!$I$93),"Cam Bình",""),IF(OR(M867=phu!$I$94,M867=phu!$I$95,M867=phu!$I$96,M867=phu!$I$97,M867=phu!$I$98,M867=phu!$I$99,M867=phu!$I$100),"Huyện khác",""),IF(OR(M867=phu!$I$101,M867=phu!$I$102),"Tỉnh khác",""))</f>
        <v/>
      </c>
      <c r="O867" s="814" t="str">
        <f t="shared" si="79"/>
        <v/>
      </c>
      <c r="P867" s="254"/>
      <c r="Q867" s="254"/>
      <c r="R867" s="254"/>
      <c r="S867" s="254"/>
      <c r="T867" s="254"/>
      <c r="U867" s="254"/>
      <c r="V867" s="254"/>
      <c r="W867" s="254"/>
      <c r="Y867" s="246" t="str">
        <f t="shared" si="80"/>
        <v/>
      </c>
      <c r="Z867" s="247" t="str">
        <f t="shared" si="78"/>
        <v/>
      </c>
      <c r="AA867" s="246" t="str">
        <f t="shared" si="81"/>
        <v/>
      </c>
    </row>
    <row r="868" spans="1:27" x14ac:dyDescent="0.25">
      <c r="A868" s="248" t="str">
        <f t="shared" si="82"/>
        <v/>
      </c>
      <c r="B868" s="249" t="str">
        <f t="shared" si="83"/>
        <v/>
      </c>
      <c r="C868" s="250"/>
      <c r="D868" s="251"/>
      <c r="E868" s="241"/>
      <c r="F868" s="252"/>
      <c r="G868" s="252"/>
      <c r="H868" s="253"/>
      <c r="I868" s="250"/>
      <c r="J868" s="250"/>
      <c r="K868" s="270"/>
      <c r="L868" s="250"/>
      <c r="M868" s="250"/>
      <c r="N868" s="553" t="str">
        <f>CONCATENATE(IF(OR(M868=phu!$I$1,M868=phu!$I$2,M868=phu!$I$3),"Cam Thành Nam",""),IF(OR(M868=phu!$I$4,M868=phu!$I$5,M868=phu!$I$6,M868=phu!$I$7,M868=phu!$I$8,M868=phu!$I$9,M868=phu!$I$10,M868=phu!$I$11,M868=phu!$I$12,M868=phu!$I$13,M868=phu!$I$14),"Cam Nghĩa",""),IF(OR(M868=phu!$I$15,M868=phu!$I$16,M868=phu!$I$17,M868=phu!$I$18,M868=phu!$I$19,M868=phu!$I$20,M868=phu!$I$21),"Cam Phúc Bắc",""),IF(OR(M868=phu!$I$22,M868=phu!$I$23,M868=phu!$I$24,M868=phu!$I$25),"Cam Phúc Nam",""),IF(OR(M868=phu!$I$26,M868=phu!$I$27,M868=phu!$I$28,M868=phu!$I$29,M868=phu!$I$30,M868=phu!$I$31),"Cam Phú",""),IF(OR(M868=phu!$I$32,M868=phu!$I$33,M868=phu!$I$34,M868=phu!$I$35,M868=phu!$I$36,M868=phu!$I$37),"Cam Lộc",""),IF(OR(M868=phu!$I$38,M868=phu!$I$39,M868=phu!$I$40,M868=phu!$I$41,M868=phu!$I$42,M868=phu!$I$43,M868=phu!$I$44),"Cam Thuận",""),IF(OR(M868=phu!$I$45,M868=phu!$I$46,M868=phu!$I$47,M868=phu!$I$48,M868=phu!$I$49,M868=phu!$I$50,M868=phu!$I$51,M868=phu!$I$52,M868=phu!$I$53),"Cam Linh",""),IF(OR(M868=phu!$I$54,M868=phu!$I$55,M868=phu!$I$56,M868=phu!$I$57,M868=phu!$I$58,M868=phu!$I$59,M868=phu!$I$60,M868=phu!$I$61,M868=phu!$I$62),"Cam Lợi",""),IF(OR(M868=phu!$I$63,M868=phu!$I$64,M868=phu!$I$65,M868=phu!$I$66,M868=phu!$I$67,M868=phu!$I$68,M868=phu!$I$69,M868=phu!$I$70,M868=phu!$I$71),"Ba Ngòi",""),IF(OR(M868=phu!$I$72,M868=phu!$I$73,M868=phu!$I$74,M868=phu!$I$75,M868=phu!$I$76,M868=phu!$I$77,M868=phu!$I$78),"Cam Phước Đông",""),IF(OR(M868=phu!$I$79,M868=phu!$I$80,M868=phu!$I$81,M868=phu!$I$82,M868=phu!$I$83,M868=phu!$I$84),"Cam Thịnh Đông",""),IF(OR(M868=phu!$I$85,M868=phu!$I$86,M868=phu!$I$87,M868=phu!$I$88),"Cam Thịnh Tây",""),IF(OR(M868=phu!$I$89,M868=phu!$I$90),"Cam Lập",""),IF(OR(M868=phu!$I$91,M868=phu!$I$92,M868=phu!$I$93),"Cam Bình",""),IF(OR(M868=phu!$I$94,M868=phu!$I$95,M868=phu!$I$96,M868=phu!$I$97,M868=phu!$I$98,M868=phu!$I$99,M868=phu!$I$100),"Huyện khác",""),IF(OR(M868=phu!$I$101,M868=phu!$I$102),"Tỉnh khác",""))</f>
        <v/>
      </c>
      <c r="O868" s="814" t="str">
        <f t="shared" si="79"/>
        <v/>
      </c>
      <c r="P868" s="254"/>
      <c r="Q868" s="254"/>
      <c r="R868" s="254"/>
      <c r="S868" s="254"/>
      <c r="T868" s="254"/>
      <c r="U868" s="254"/>
      <c r="V868" s="254"/>
      <c r="W868" s="254"/>
      <c r="Y868" s="246" t="str">
        <f t="shared" si="80"/>
        <v/>
      </c>
      <c r="Z868" s="247" t="str">
        <f t="shared" si="78"/>
        <v/>
      </c>
      <c r="AA868" s="246" t="str">
        <f t="shared" si="81"/>
        <v/>
      </c>
    </row>
    <row r="869" spans="1:27" x14ac:dyDescent="0.25">
      <c r="A869" s="248" t="str">
        <f t="shared" si="82"/>
        <v/>
      </c>
      <c r="B869" s="249" t="str">
        <f t="shared" si="83"/>
        <v/>
      </c>
      <c r="C869" s="250"/>
      <c r="D869" s="251"/>
      <c r="E869" s="241"/>
      <c r="F869" s="252"/>
      <c r="G869" s="252"/>
      <c r="H869" s="253"/>
      <c r="I869" s="250"/>
      <c r="J869" s="250"/>
      <c r="K869" s="270"/>
      <c r="L869" s="250"/>
      <c r="M869" s="250"/>
      <c r="N869" s="553" t="str">
        <f>CONCATENATE(IF(OR(M869=phu!$I$1,M869=phu!$I$2,M869=phu!$I$3),"Cam Thành Nam",""),IF(OR(M869=phu!$I$4,M869=phu!$I$5,M869=phu!$I$6,M869=phu!$I$7,M869=phu!$I$8,M869=phu!$I$9,M869=phu!$I$10,M869=phu!$I$11,M869=phu!$I$12,M869=phu!$I$13,M869=phu!$I$14),"Cam Nghĩa",""),IF(OR(M869=phu!$I$15,M869=phu!$I$16,M869=phu!$I$17,M869=phu!$I$18,M869=phu!$I$19,M869=phu!$I$20,M869=phu!$I$21),"Cam Phúc Bắc",""),IF(OR(M869=phu!$I$22,M869=phu!$I$23,M869=phu!$I$24,M869=phu!$I$25),"Cam Phúc Nam",""),IF(OR(M869=phu!$I$26,M869=phu!$I$27,M869=phu!$I$28,M869=phu!$I$29,M869=phu!$I$30,M869=phu!$I$31),"Cam Phú",""),IF(OR(M869=phu!$I$32,M869=phu!$I$33,M869=phu!$I$34,M869=phu!$I$35,M869=phu!$I$36,M869=phu!$I$37),"Cam Lộc",""),IF(OR(M869=phu!$I$38,M869=phu!$I$39,M869=phu!$I$40,M869=phu!$I$41,M869=phu!$I$42,M869=phu!$I$43,M869=phu!$I$44),"Cam Thuận",""),IF(OR(M869=phu!$I$45,M869=phu!$I$46,M869=phu!$I$47,M869=phu!$I$48,M869=phu!$I$49,M869=phu!$I$50,M869=phu!$I$51,M869=phu!$I$52,M869=phu!$I$53),"Cam Linh",""),IF(OR(M869=phu!$I$54,M869=phu!$I$55,M869=phu!$I$56,M869=phu!$I$57,M869=phu!$I$58,M869=phu!$I$59,M869=phu!$I$60,M869=phu!$I$61,M869=phu!$I$62),"Cam Lợi",""),IF(OR(M869=phu!$I$63,M869=phu!$I$64,M869=phu!$I$65,M869=phu!$I$66,M869=phu!$I$67,M869=phu!$I$68,M869=phu!$I$69,M869=phu!$I$70,M869=phu!$I$71),"Ba Ngòi",""),IF(OR(M869=phu!$I$72,M869=phu!$I$73,M869=phu!$I$74,M869=phu!$I$75,M869=phu!$I$76,M869=phu!$I$77,M869=phu!$I$78),"Cam Phước Đông",""),IF(OR(M869=phu!$I$79,M869=phu!$I$80,M869=phu!$I$81,M869=phu!$I$82,M869=phu!$I$83,M869=phu!$I$84),"Cam Thịnh Đông",""),IF(OR(M869=phu!$I$85,M869=phu!$I$86,M869=phu!$I$87,M869=phu!$I$88),"Cam Thịnh Tây",""),IF(OR(M869=phu!$I$89,M869=phu!$I$90),"Cam Lập",""),IF(OR(M869=phu!$I$91,M869=phu!$I$92,M869=phu!$I$93),"Cam Bình",""),IF(OR(M869=phu!$I$94,M869=phu!$I$95,M869=phu!$I$96,M869=phu!$I$97,M869=phu!$I$98,M869=phu!$I$99,M869=phu!$I$100),"Huyện khác",""),IF(OR(M869=phu!$I$101,M869=phu!$I$102),"Tỉnh khác",""))</f>
        <v/>
      </c>
      <c r="O869" s="814" t="str">
        <f t="shared" si="79"/>
        <v/>
      </c>
      <c r="P869" s="254"/>
      <c r="Q869" s="254"/>
      <c r="R869" s="254"/>
      <c r="S869" s="254"/>
      <c r="T869" s="254"/>
      <c r="U869" s="254"/>
      <c r="V869" s="254"/>
      <c r="W869" s="254"/>
      <c r="Y869" s="246" t="str">
        <f t="shared" si="80"/>
        <v/>
      </c>
      <c r="Z869" s="247" t="str">
        <f t="shared" si="78"/>
        <v/>
      </c>
      <c r="AA869" s="246" t="str">
        <f t="shared" si="81"/>
        <v/>
      </c>
    </row>
    <row r="870" spans="1:27" x14ac:dyDescent="0.25">
      <c r="A870" s="248" t="str">
        <f t="shared" si="82"/>
        <v/>
      </c>
      <c r="B870" s="249" t="str">
        <f t="shared" si="83"/>
        <v/>
      </c>
      <c r="C870" s="250"/>
      <c r="D870" s="251"/>
      <c r="E870" s="241"/>
      <c r="F870" s="252"/>
      <c r="G870" s="252"/>
      <c r="H870" s="253"/>
      <c r="I870" s="250"/>
      <c r="J870" s="250"/>
      <c r="K870" s="270"/>
      <c r="L870" s="250"/>
      <c r="M870" s="250"/>
      <c r="N870" s="553" t="str">
        <f>CONCATENATE(IF(OR(M870=phu!$I$1,M870=phu!$I$2,M870=phu!$I$3),"Cam Thành Nam",""),IF(OR(M870=phu!$I$4,M870=phu!$I$5,M870=phu!$I$6,M870=phu!$I$7,M870=phu!$I$8,M870=phu!$I$9,M870=phu!$I$10,M870=phu!$I$11,M870=phu!$I$12,M870=phu!$I$13,M870=phu!$I$14),"Cam Nghĩa",""),IF(OR(M870=phu!$I$15,M870=phu!$I$16,M870=phu!$I$17,M870=phu!$I$18,M870=phu!$I$19,M870=phu!$I$20,M870=phu!$I$21),"Cam Phúc Bắc",""),IF(OR(M870=phu!$I$22,M870=phu!$I$23,M870=phu!$I$24,M870=phu!$I$25),"Cam Phúc Nam",""),IF(OR(M870=phu!$I$26,M870=phu!$I$27,M870=phu!$I$28,M870=phu!$I$29,M870=phu!$I$30,M870=phu!$I$31),"Cam Phú",""),IF(OR(M870=phu!$I$32,M870=phu!$I$33,M870=phu!$I$34,M870=phu!$I$35,M870=phu!$I$36,M870=phu!$I$37),"Cam Lộc",""),IF(OR(M870=phu!$I$38,M870=phu!$I$39,M870=phu!$I$40,M870=phu!$I$41,M870=phu!$I$42,M870=phu!$I$43,M870=phu!$I$44),"Cam Thuận",""),IF(OR(M870=phu!$I$45,M870=phu!$I$46,M870=phu!$I$47,M870=phu!$I$48,M870=phu!$I$49,M870=phu!$I$50,M870=phu!$I$51,M870=phu!$I$52,M870=phu!$I$53),"Cam Linh",""),IF(OR(M870=phu!$I$54,M870=phu!$I$55,M870=phu!$I$56,M870=phu!$I$57,M870=phu!$I$58,M870=phu!$I$59,M870=phu!$I$60,M870=phu!$I$61,M870=phu!$I$62),"Cam Lợi",""),IF(OR(M870=phu!$I$63,M870=phu!$I$64,M870=phu!$I$65,M870=phu!$I$66,M870=phu!$I$67,M870=phu!$I$68,M870=phu!$I$69,M870=phu!$I$70,M870=phu!$I$71),"Ba Ngòi",""),IF(OR(M870=phu!$I$72,M870=phu!$I$73,M870=phu!$I$74,M870=phu!$I$75,M870=phu!$I$76,M870=phu!$I$77,M870=phu!$I$78),"Cam Phước Đông",""),IF(OR(M870=phu!$I$79,M870=phu!$I$80,M870=phu!$I$81,M870=phu!$I$82,M870=phu!$I$83,M870=phu!$I$84),"Cam Thịnh Đông",""),IF(OR(M870=phu!$I$85,M870=phu!$I$86,M870=phu!$I$87,M870=phu!$I$88),"Cam Thịnh Tây",""),IF(OR(M870=phu!$I$89,M870=phu!$I$90),"Cam Lập",""),IF(OR(M870=phu!$I$91,M870=phu!$I$92,M870=phu!$I$93),"Cam Bình",""),IF(OR(M870=phu!$I$94,M870=phu!$I$95,M870=phu!$I$96,M870=phu!$I$97,M870=phu!$I$98,M870=phu!$I$99,M870=phu!$I$100),"Huyện khác",""),IF(OR(M870=phu!$I$101,M870=phu!$I$102),"Tỉnh khác",""))</f>
        <v/>
      </c>
      <c r="O870" s="814" t="str">
        <f t="shared" si="79"/>
        <v/>
      </c>
      <c r="P870" s="254"/>
      <c r="Q870" s="254"/>
      <c r="R870" s="254"/>
      <c r="S870" s="254"/>
      <c r="T870" s="254"/>
      <c r="U870" s="254"/>
      <c r="V870" s="254"/>
      <c r="W870" s="254"/>
      <c r="Y870" s="246" t="str">
        <f t="shared" si="80"/>
        <v/>
      </c>
      <c r="Z870" s="247" t="str">
        <f t="shared" si="78"/>
        <v/>
      </c>
      <c r="AA870" s="246" t="str">
        <f t="shared" si="81"/>
        <v/>
      </c>
    </row>
    <row r="871" spans="1:27" x14ac:dyDescent="0.25">
      <c r="A871" s="248" t="str">
        <f t="shared" si="82"/>
        <v/>
      </c>
      <c r="B871" s="249" t="str">
        <f t="shared" si="83"/>
        <v/>
      </c>
      <c r="C871" s="250"/>
      <c r="D871" s="251"/>
      <c r="E871" s="241"/>
      <c r="F871" s="252"/>
      <c r="G871" s="252"/>
      <c r="H871" s="253"/>
      <c r="I871" s="250"/>
      <c r="J871" s="250"/>
      <c r="K871" s="270"/>
      <c r="L871" s="250"/>
      <c r="M871" s="250"/>
      <c r="N871" s="553" t="str">
        <f>CONCATENATE(IF(OR(M871=phu!$I$1,M871=phu!$I$2,M871=phu!$I$3),"Cam Thành Nam",""),IF(OR(M871=phu!$I$4,M871=phu!$I$5,M871=phu!$I$6,M871=phu!$I$7,M871=phu!$I$8,M871=phu!$I$9,M871=phu!$I$10,M871=phu!$I$11,M871=phu!$I$12,M871=phu!$I$13,M871=phu!$I$14),"Cam Nghĩa",""),IF(OR(M871=phu!$I$15,M871=phu!$I$16,M871=phu!$I$17,M871=phu!$I$18,M871=phu!$I$19,M871=phu!$I$20,M871=phu!$I$21),"Cam Phúc Bắc",""),IF(OR(M871=phu!$I$22,M871=phu!$I$23,M871=phu!$I$24,M871=phu!$I$25),"Cam Phúc Nam",""),IF(OR(M871=phu!$I$26,M871=phu!$I$27,M871=phu!$I$28,M871=phu!$I$29,M871=phu!$I$30,M871=phu!$I$31),"Cam Phú",""),IF(OR(M871=phu!$I$32,M871=phu!$I$33,M871=phu!$I$34,M871=phu!$I$35,M871=phu!$I$36,M871=phu!$I$37),"Cam Lộc",""),IF(OR(M871=phu!$I$38,M871=phu!$I$39,M871=phu!$I$40,M871=phu!$I$41,M871=phu!$I$42,M871=phu!$I$43,M871=phu!$I$44),"Cam Thuận",""),IF(OR(M871=phu!$I$45,M871=phu!$I$46,M871=phu!$I$47,M871=phu!$I$48,M871=phu!$I$49,M871=phu!$I$50,M871=phu!$I$51,M871=phu!$I$52,M871=phu!$I$53),"Cam Linh",""),IF(OR(M871=phu!$I$54,M871=phu!$I$55,M871=phu!$I$56,M871=phu!$I$57,M871=phu!$I$58,M871=phu!$I$59,M871=phu!$I$60,M871=phu!$I$61,M871=phu!$I$62),"Cam Lợi",""),IF(OR(M871=phu!$I$63,M871=phu!$I$64,M871=phu!$I$65,M871=phu!$I$66,M871=phu!$I$67,M871=phu!$I$68,M871=phu!$I$69,M871=phu!$I$70,M871=phu!$I$71),"Ba Ngòi",""),IF(OR(M871=phu!$I$72,M871=phu!$I$73,M871=phu!$I$74,M871=phu!$I$75,M871=phu!$I$76,M871=phu!$I$77,M871=phu!$I$78),"Cam Phước Đông",""),IF(OR(M871=phu!$I$79,M871=phu!$I$80,M871=phu!$I$81,M871=phu!$I$82,M871=phu!$I$83,M871=phu!$I$84),"Cam Thịnh Đông",""),IF(OR(M871=phu!$I$85,M871=phu!$I$86,M871=phu!$I$87,M871=phu!$I$88),"Cam Thịnh Tây",""),IF(OR(M871=phu!$I$89,M871=phu!$I$90),"Cam Lập",""),IF(OR(M871=phu!$I$91,M871=phu!$I$92,M871=phu!$I$93),"Cam Bình",""),IF(OR(M871=phu!$I$94,M871=phu!$I$95,M871=phu!$I$96,M871=phu!$I$97,M871=phu!$I$98,M871=phu!$I$99,M871=phu!$I$100),"Huyện khác",""),IF(OR(M871=phu!$I$101,M871=phu!$I$102),"Tỉnh khác",""))</f>
        <v/>
      </c>
      <c r="O871" s="814" t="str">
        <f t="shared" si="79"/>
        <v/>
      </c>
      <c r="P871" s="254"/>
      <c r="Q871" s="254"/>
      <c r="R871" s="254"/>
      <c r="S871" s="254"/>
      <c r="T871" s="254"/>
      <c r="U871" s="254"/>
      <c r="V871" s="254"/>
      <c r="W871" s="254"/>
      <c r="Y871" s="246" t="str">
        <f t="shared" si="80"/>
        <v/>
      </c>
      <c r="Z871" s="247" t="str">
        <f t="shared" si="78"/>
        <v/>
      </c>
      <c r="AA871" s="246" t="str">
        <f t="shared" si="81"/>
        <v/>
      </c>
    </row>
    <row r="872" spans="1:27" x14ac:dyDescent="0.25">
      <c r="A872" s="248" t="str">
        <f t="shared" si="82"/>
        <v/>
      </c>
      <c r="B872" s="249" t="str">
        <f t="shared" si="83"/>
        <v/>
      </c>
      <c r="C872" s="250"/>
      <c r="D872" s="251"/>
      <c r="E872" s="241"/>
      <c r="F872" s="252"/>
      <c r="G872" s="252"/>
      <c r="H872" s="253"/>
      <c r="I872" s="250"/>
      <c r="J872" s="250"/>
      <c r="K872" s="270"/>
      <c r="L872" s="250"/>
      <c r="M872" s="250"/>
      <c r="N872" s="553" t="str">
        <f>CONCATENATE(IF(OR(M872=phu!$I$1,M872=phu!$I$2,M872=phu!$I$3),"Cam Thành Nam",""),IF(OR(M872=phu!$I$4,M872=phu!$I$5,M872=phu!$I$6,M872=phu!$I$7,M872=phu!$I$8,M872=phu!$I$9,M872=phu!$I$10,M872=phu!$I$11,M872=phu!$I$12,M872=phu!$I$13,M872=phu!$I$14),"Cam Nghĩa",""),IF(OR(M872=phu!$I$15,M872=phu!$I$16,M872=phu!$I$17,M872=phu!$I$18,M872=phu!$I$19,M872=phu!$I$20,M872=phu!$I$21),"Cam Phúc Bắc",""),IF(OR(M872=phu!$I$22,M872=phu!$I$23,M872=phu!$I$24,M872=phu!$I$25),"Cam Phúc Nam",""),IF(OR(M872=phu!$I$26,M872=phu!$I$27,M872=phu!$I$28,M872=phu!$I$29,M872=phu!$I$30,M872=phu!$I$31),"Cam Phú",""),IF(OR(M872=phu!$I$32,M872=phu!$I$33,M872=phu!$I$34,M872=phu!$I$35,M872=phu!$I$36,M872=phu!$I$37),"Cam Lộc",""),IF(OR(M872=phu!$I$38,M872=phu!$I$39,M872=phu!$I$40,M872=phu!$I$41,M872=phu!$I$42,M872=phu!$I$43,M872=phu!$I$44),"Cam Thuận",""),IF(OR(M872=phu!$I$45,M872=phu!$I$46,M872=phu!$I$47,M872=phu!$I$48,M872=phu!$I$49,M872=phu!$I$50,M872=phu!$I$51,M872=phu!$I$52,M872=phu!$I$53),"Cam Linh",""),IF(OR(M872=phu!$I$54,M872=phu!$I$55,M872=phu!$I$56,M872=phu!$I$57,M872=phu!$I$58,M872=phu!$I$59,M872=phu!$I$60,M872=phu!$I$61,M872=phu!$I$62),"Cam Lợi",""),IF(OR(M872=phu!$I$63,M872=phu!$I$64,M872=phu!$I$65,M872=phu!$I$66,M872=phu!$I$67,M872=phu!$I$68,M872=phu!$I$69,M872=phu!$I$70,M872=phu!$I$71),"Ba Ngòi",""),IF(OR(M872=phu!$I$72,M872=phu!$I$73,M872=phu!$I$74,M872=phu!$I$75,M872=phu!$I$76,M872=phu!$I$77,M872=phu!$I$78),"Cam Phước Đông",""),IF(OR(M872=phu!$I$79,M872=phu!$I$80,M872=phu!$I$81,M872=phu!$I$82,M872=phu!$I$83,M872=phu!$I$84),"Cam Thịnh Đông",""),IF(OR(M872=phu!$I$85,M872=phu!$I$86,M872=phu!$I$87,M872=phu!$I$88),"Cam Thịnh Tây",""),IF(OR(M872=phu!$I$89,M872=phu!$I$90),"Cam Lập",""),IF(OR(M872=phu!$I$91,M872=phu!$I$92,M872=phu!$I$93),"Cam Bình",""),IF(OR(M872=phu!$I$94,M872=phu!$I$95,M872=phu!$I$96,M872=phu!$I$97,M872=phu!$I$98,M872=phu!$I$99,M872=phu!$I$100),"Huyện khác",""),IF(OR(M872=phu!$I$101,M872=phu!$I$102),"Tỉnh khác",""))</f>
        <v/>
      </c>
      <c r="O872" s="814" t="str">
        <f t="shared" si="79"/>
        <v/>
      </c>
      <c r="P872" s="254"/>
      <c r="Q872" s="254"/>
      <c r="R872" s="254"/>
      <c r="S872" s="254"/>
      <c r="T872" s="254"/>
      <c r="U872" s="254"/>
      <c r="V872" s="254"/>
      <c r="W872" s="254"/>
      <c r="Y872" s="246" t="str">
        <f t="shared" si="80"/>
        <v/>
      </c>
      <c r="Z872" s="247" t="str">
        <f t="shared" si="78"/>
        <v/>
      </c>
      <c r="AA872" s="246" t="str">
        <f t="shared" si="81"/>
        <v/>
      </c>
    </row>
    <row r="873" spans="1:27" x14ac:dyDescent="0.25">
      <c r="A873" s="248" t="str">
        <f t="shared" si="82"/>
        <v/>
      </c>
      <c r="B873" s="249" t="str">
        <f t="shared" si="83"/>
        <v/>
      </c>
      <c r="C873" s="250"/>
      <c r="D873" s="251"/>
      <c r="E873" s="241"/>
      <c r="F873" s="252"/>
      <c r="G873" s="252"/>
      <c r="H873" s="253"/>
      <c r="I873" s="250"/>
      <c r="J873" s="250"/>
      <c r="K873" s="270"/>
      <c r="L873" s="250"/>
      <c r="M873" s="250"/>
      <c r="N873" s="553" t="str">
        <f>CONCATENATE(IF(OR(M873=phu!$I$1,M873=phu!$I$2,M873=phu!$I$3),"Cam Thành Nam",""),IF(OR(M873=phu!$I$4,M873=phu!$I$5,M873=phu!$I$6,M873=phu!$I$7,M873=phu!$I$8,M873=phu!$I$9,M873=phu!$I$10,M873=phu!$I$11,M873=phu!$I$12,M873=phu!$I$13,M873=phu!$I$14),"Cam Nghĩa",""),IF(OR(M873=phu!$I$15,M873=phu!$I$16,M873=phu!$I$17,M873=phu!$I$18,M873=phu!$I$19,M873=phu!$I$20,M873=phu!$I$21),"Cam Phúc Bắc",""),IF(OR(M873=phu!$I$22,M873=phu!$I$23,M873=phu!$I$24,M873=phu!$I$25),"Cam Phúc Nam",""),IF(OR(M873=phu!$I$26,M873=phu!$I$27,M873=phu!$I$28,M873=phu!$I$29,M873=phu!$I$30,M873=phu!$I$31),"Cam Phú",""),IF(OR(M873=phu!$I$32,M873=phu!$I$33,M873=phu!$I$34,M873=phu!$I$35,M873=phu!$I$36,M873=phu!$I$37),"Cam Lộc",""),IF(OR(M873=phu!$I$38,M873=phu!$I$39,M873=phu!$I$40,M873=phu!$I$41,M873=phu!$I$42,M873=phu!$I$43,M873=phu!$I$44),"Cam Thuận",""),IF(OR(M873=phu!$I$45,M873=phu!$I$46,M873=phu!$I$47,M873=phu!$I$48,M873=phu!$I$49,M873=phu!$I$50,M873=phu!$I$51,M873=phu!$I$52,M873=phu!$I$53),"Cam Linh",""),IF(OR(M873=phu!$I$54,M873=phu!$I$55,M873=phu!$I$56,M873=phu!$I$57,M873=phu!$I$58,M873=phu!$I$59,M873=phu!$I$60,M873=phu!$I$61,M873=phu!$I$62),"Cam Lợi",""),IF(OR(M873=phu!$I$63,M873=phu!$I$64,M873=phu!$I$65,M873=phu!$I$66,M873=phu!$I$67,M873=phu!$I$68,M873=phu!$I$69,M873=phu!$I$70,M873=phu!$I$71),"Ba Ngòi",""),IF(OR(M873=phu!$I$72,M873=phu!$I$73,M873=phu!$I$74,M873=phu!$I$75,M873=phu!$I$76,M873=phu!$I$77,M873=phu!$I$78),"Cam Phước Đông",""),IF(OR(M873=phu!$I$79,M873=phu!$I$80,M873=phu!$I$81,M873=phu!$I$82,M873=phu!$I$83,M873=phu!$I$84),"Cam Thịnh Đông",""),IF(OR(M873=phu!$I$85,M873=phu!$I$86,M873=phu!$I$87,M873=phu!$I$88),"Cam Thịnh Tây",""),IF(OR(M873=phu!$I$89,M873=phu!$I$90),"Cam Lập",""),IF(OR(M873=phu!$I$91,M873=phu!$I$92,M873=phu!$I$93),"Cam Bình",""),IF(OR(M873=phu!$I$94,M873=phu!$I$95,M873=phu!$I$96,M873=phu!$I$97,M873=phu!$I$98,M873=phu!$I$99,M873=phu!$I$100),"Huyện khác",""),IF(OR(M873=phu!$I$101,M873=phu!$I$102),"Tỉnh khác",""))</f>
        <v/>
      </c>
      <c r="O873" s="814" t="str">
        <f t="shared" si="79"/>
        <v/>
      </c>
      <c r="P873" s="254"/>
      <c r="Q873" s="254"/>
      <c r="R873" s="254"/>
      <c r="S873" s="254"/>
      <c r="T873" s="254"/>
      <c r="U873" s="254"/>
      <c r="V873" s="254"/>
      <c r="W873" s="254"/>
      <c r="Y873" s="246" t="str">
        <f t="shared" si="80"/>
        <v/>
      </c>
      <c r="Z873" s="247" t="str">
        <f t="shared" si="78"/>
        <v/>
      </c>
      <c r="AA873" s="246" t="str">
        <f t="shared" si="81"/>
        <v/>
      </c>
    </row>
    <row r="874" spans="1:27" x14ac:dyDescent="0.25">
      <c r="A874" s="248" t="str">
        <f t="shared" si="82"/>
        <v/>
      </c>
      <c r="B874" s="249" t="str">
        <f t="shared" si="83"/>
        <v/>
      </c>
      <c r="C874" s="250"/>
      <c r="D874" s="251"/>
      <c r="E874" s="241"/>
      <c r="F874" s="252"/>
      <c r="G874" s="252"/>
      <c r="H874" s="253"/>
      <c r="I874" s="250"/>
      <c r="J874" s="250"/>
      <c r="K874" s="270"/>
      <c r="L874" s="250"/>
      <c r="M874" s="250"/>
      <c r="N874" s="553" t="str">
        <f>CONCATENATE(IF(OR(M874=phu!$I$1,M874=phu!$I$2,M874=phu!$I$3),"Cam Thành Nam",""),IF(OR(M874=phu!$I$4,M874=phu!$I$5,M874=phu!$I$6,M874=phu!$I$7,M874=phu!$I$8,M874=phu!$I$9,M874=phu!$I$10,M874=phu!$I$11,M874=phu!$I$12,M874=phu!$I$13,M874=phu!$I$14),"Cam Nghĩa",""),IF(OR(M874=phu!$I$15,M874=phu!$I$16,M874=phu!$I$17,M874=phu!$I$18,M874=phu!$I$19,M874=phu!$I$20,M874=phu!$I$21),"Cam Phúc Bắc",""),IF(OR(M874=phu!$I$22,M874=phu!$I$23,M874=phu!$I$24,M874=phu!$I$25),"Cam Phúc Nam",""),IF(OR(M874=phu!$I$26,M874=phu!$I$27,M874=phu!$I$28,M874=phu!$I$29,M874=phu!$I$30,M874=phu!$I$31),"Cam Phú",""),IF(OR(M874=phu!$I$32,M874=phu!$I$33,M874=phu!$I$34,M874=phu!$I$35,M874=phu!$I$36,M874=phu!$I$37),"Cam Lộc",""),IF(OR(M874=phu!$I$38,M874=phu!$I$39,M874=phu!$I$40,M874=phu!$I$41,M874=phu!$I$42,M874=phu!$I$43,M874=phu!$I$44),"Cam Thuận",""),IF(OR(M874=phu!$I$45,M874=phu!$I$46,M874=phu!$I$47,M874=phu!$I$48,M874=phu!$I$49,M874=phu!$I$50,M874=phu!$I$51,M874=phu!$I$52,M874=phu!$I$53),"Cam Linh",""),IF(OR(M874=phu!$I$54,M874=phu!$I$55,M874=phu!$I$56,M874=phu!$I$57,M874=phu!$I$58,M874=phu!$I$59,M874=phu!$I$60,M874=phu!$I$61,M874=phu!$I$62),"Cam Lợi",""),IF(OR(M874=phu!$I$63,M874=phu!$I$64,M874=phu!$I$65,M874=phu!$I$66,M874=phu!$I$67,M874=phu!$I$68,M874=phu!$I$69,M874=phu!$I$70,M874=phu!$I$71),"Ba Ngòi",""),IF(OR(M874=phu!$I$72,M874=phu!$I$73,M874=phu!$I$74,M874=phu!$I$75,M874=phu!$I$76,M874=phu!$I$77,M874=phu!$I$78),"Cam Phước Đông",""),IF(OR(M874=phu!$I$79,M874=phu!$I$80,M874=phu!$I$81,M874=phu!$I$82,M874=phu!$I$83,M874=phu!$I$84),"Cam Thịnh Đông",""),IF(OR(M874=phu!$I$85,M874=phu!$I$86,M874=phu!$I$87,M874=phu!$I$88),"Cam Thịnh Tây",""),IF(OR(M874=phu!$I$89,M874=phu!$I$90),"Cam Lập",""),IF(OR(M874=phu!$I$91,M874=phu!$I$92,M874=phu!$I$93),"Cam Bình",""),IF(OR(M874=phu!$I$94,M874=phu!$I$95,M874=phu!$I$96,M874=phu!$I$97,M874=phu!$I$98,M874=phu!$I$99,M874=phu!$I$100),"Huyện khác",""),IF(OR(M874=phu!$I$101,M874=phu!$I$102),"Tỉnh khác",""))</f>
        <v/>
      </c>
      <c r="O874" s="814" t="str">
        <f t="shared" si="79"/>
        <v/>
      </c>
      <c r="P874" s="254"/>
      <c r="Q874" s="254"/>
      <c r="R874" s="254"/>
      <c r="S874" s="254"/>
      <c r="T874" s="254"/>
      <c r="U874" s="254"/>
      <c r="V874" s="254"/>
      <c r="W874" s="254"/>
      <c r="Y874" s="246" t="str">
        <f t="shared" si="80"/>
        <v/>
      </c>
      <c r="Z874" s="247" t="str">
        <f t="shared" si="78"/>
        <v/>
      </c>
      <c r="AA874" s="246" t="str">
        <f t="shared" si="81"/>
        <v/>
      </c>
    </row>
    <row r="875" spans="1:27" x14ac:dyDescent="0.25">
      <c r="A875" s="248" t="str">
        <f t="shared" si="82"/>
        <v/>
      </c>
      <c r="B875" s="249" t="str">
        <f t="shared" si="83"/>
        <v/>
      </c>
      <c r="C875" s="250"/>
      <c r="D875" s="251"/>
      <c r="E875" s="241"/>
      <c r="F875" s="252"/>
      <c r="G875" s="252"/>
      <c r="H875" s="253"/>
      <c r="I875" s="250"/>
      <c r="J875" s="250"/>
      <c r="K875" s="270"/>
      <c r="L875" s="250"/>
      <c r="M875" s="250"/>
      <c r="N875" s="553" t="str">
        <f>CONCATENATE(IF(OR(M875=phu!$I$1,M875=phu!$I$2,M875=phu!$I$3),"Cam Thành Nam",""),IF(OR(M875=phu!$I$4,M875=phu!$I$5,M875=phu!$I$6,M875=phu!$I$7,M875=phu!$I$8,M875=phu!$I$9,M875=phu!$I$10,M875=phu!$I$11,M875=phu!$I$12,M875=phu!$I$13,M875=phu!$I$14),"Cam Nghĩa",""),IF(OR(M875=phu!$I$15,M875=phu!$I$16,M875=phu!$I$17,M875=phu!$I$18,M875=phu!$I$19,M875=phu!$I$20,M875=phu!$I$21),"Cam Phúc Bắc",""),IF(OR(M875=phu!$I$22,M875=phu!$I$23,M875=phu!$I$24,M875=phu!$I$25),"Cam Phúc Nam",""),IF(OR(M875=phu!$I$26,M875=phu!$I$27,M875=phu!$I$28,M875=phu!$I$29,M875=phu!$I$30,M875=phu!$I$31),"Cam Phú",""),IF(OR(M875=phu!$I$32,M875=phu!$I$33,M875=phu!$I$34,M875=phu!$I$35,M875=phu!$I$36,M875=phu!$I$37),"Cam Lộc",""),IF(OR(M875=phu!$I$38,M875=phu!$I$39,M875=phu!$I$40,M875=phu!$I$41,M875=phu!$I$42,M875=phu!$I$43,M875=phu!$I$44),"Cam Thuận",""),IF(OR(M875=phu!$I$45,M875=phu!$I$46,M875=phu!$I$47,M875=phu!$I$48,M875=phu!$I$49,M875=phu!$I$50,M875=phu!$I$51,M875=phu!$I$52,M875=phu!$I$53),"Cam Linh",""),IF(OR(M875=phu!$I$54,M875=phu!$I$55,M875=phu!$I$56,M875=phu!$I$57,M875=phu!$I$58,M875=phu!$I$59,M875=phu!$I$60,M875=phu!$I$61,M875=phu!$I$62),"Cam Lợi",""),IF(OR(M875=phu!$I$63,M875=phu!$I$64,M875=phu!$I$65,M875=phu!$I$66,M875=phu!$I$67,M875=phu!$I$68,M875=phu!$I$69,M875=phu!$I$70,M875=phu!$I$71),"Ba Ngòi",""),IF(OR(M875=phu!$I$72,M875=phu!$I$73,M875=phu!$I$74,M875=phu!$I$75,M875=phu!$I$76,M875=phu!$I$77,M875=phu!$I$78),"Cam Phước Đông",""),IF(OR(M875=phu!$I$79,M875=phu!$I$80,M875=phu!$I$81,M875=phu!$I$82,M875=phu!$I$83,M875=phu!$I$84),"Cam Thịnh Đông",""),IF(OR(M875=phu!$I$85,M875=phu!$I$86,M875=phu!$I$87,M875=phu!$I$88),"Cam Thịnh Tây",""),IF(OR(M875=phu!$I$89,M875=phu!$I$90),"Cam Lập",""),IF(OR(M875=phu!$I$91,M875=phu!$I$92,M875=phu!$I$93),"Cam Bình",""),IF(OR(M875=phu!$I$94,M875=phu!$I$95,M875=phu!$I$96,M875=phu!$I$97,M875=phu!$I$98,M875=phu!$I$99,M875=phu!$I$100),"Huyện khác",""),IF(OR(M875=phu!$I$101,M875=phu!$I$102),"Tỉnh khác",""))</f>
        <v/>
      </c>
      <c r="O875" s="814" t="str">
        <f t="shared" si="79"/>
        <v/>
      </c>
      <c r="P875" s="254"/>
      <c r="Q875" s="254"/>
      <c r="R875" s="254"/>
      <c r="S875" s="254"/>
      <c r="T875" s="254"/>
      <c r="U875" s="254"/>
      <c r="V875" s="254"/>
      <c r="W875" s="254"/>
      <c r="Y875" s="246" t="str">
        <f t="shared" si="80"/>
        <v/>
      </c>
      <c r="Z875" s="247" t="str">
        <f t="shared" si="78"/>
        <v/>
      </c>
      <c r="AA875" s="246" t="str">
        <f t="shared" si="81"/>
        <v/>
      </c>
    </row>
    <row r="876" spans="1:27" x14ac:dyDescent="0.25">
      <c r="A876" s="248" t="str">
        <f t="shared" si="82"/>
        <v/>
      </c>
      <c r="B876" s="249" t="str">
        <f t="shared" si="83"/>
        <v/>
      </c>
      <c r="C876" s="250"/>
      <c r="D876" s="251"/>
      <c r="E876" s="241"/>
      <c r="F876" s="252"/>
      <c r="G876" s="252"/>
      <c r="H876" s="253"/>
      <c r="I876" s="250"/>
      <c r="J876" s="250"/>
      <c r="K876" s="270"/>
      <c r="L876" s="250"/>
      <c r="M876" s="250"/>
      <c r="N876" s="553" t="str">
        <f>CONCATENATE(IF(OR(M876=phu!$I$1,M876=phu!$I$2,M876=phu!$I$3),"Cam Thành Nam",""),IF(OR(M876=phu!$I$4,M876=phu!$I$5,M876=phu!$I$6,M876=phu!$I$7,M876=phu!$I$8,M876=phu!$I$9,M876=phu!$I$10,M876=phu!$I$11,M876=phu!$I$12,M876=phu!$I$13,M876=phu!$I$14),"Cam Nghĩa",""),IF(OR(M876=phu!$I$15,M876=phu!$I$16,M876=phu!$I$17,M876=phu!$I$18,M876=phu!$I$19,M876=phu!$I$20,M876=phu!$I$21),"Cam Phúc Bắc",""),IF(OR(M876=phu!$I$22,M876=phu!$I$23,M876=phu!$I$24,M876=phu!$I$25),"Cam Phúc Nam",""),IF(OR(M876=phu!$I$26,M876=phu!$I$27,M876=phu!$I$28,M876=phu!$I$29,M876=phu!$I$30,M876=phu!$I$31),"Cam Phú",""),IF(OR(M876=phu!$I$32,M876=phu!$I$33,M876=phu!$I$34,M876=phu!$I$35,M876=phu!$I$36,M876=phu!$I$37),"Cam Lộc",""),IF(OR(M876=phu!$I$38,M876=phu!$I$39,M876=phu!$I$40,M876=phu!$I$41,M876=phu!$I$42,M876=phu!$I$43,M876=phu!$I$44),"Cam Thuận",""),IF(OR(M876=phu!$I$45,M876=phu!$I$46,M876=phu!$I$47,M876=phu!$I$48,M876=phu!$I$49,M876=phu!$I$50,M876=phu!$I$51,M876=phu!$I$52,M876=phu!$I$53),"Cam Linh",""),IF(OR(M876=phu!$I$54,M876=phu!$I$55,M876=phu!$I$56,M876=phu!$I$57,M876=phu!$I$58,M876=phu!$I$59,M876=phu!$I$60,M876=phu!$I$61,M876=phu!$I$62),"Cam Lợi",""),IF(OR(M876=phu!$I$63,M876=phu!$I$64,M876=phu!$I$65,M876=phu!$I$66,M876=phu!$I$67,M876=phu!$I$68,M876=phu!$I$69,M876=phu!$I$70,M876=phu!$I$71),"Ba Ngòi",""),IF(OR(M876=phu!$I$72,M876=phu!$I$73,M876=phu!$I$74,M876=phu!$I$75,M876=phu!$I$76,M876=phu!$I$77,M876=phu!$I$78),"Cam Phước Đông",""),IF(OR(M876=phu!$I$79,M876=phu!$I$80,M876=phu!$I$81,M876=phu!$I$82,M876=phu!$I$83,M876=phu!$I$84),"Cam Thịnh Đông",""),IF(OR(M876=phu!$I$85,M876=phu!$I$86,M876=phu!$I$87,M876=phu!$I$88),"Cam Thịnh Tây",""),IF(OR(M876=phu!$I$89,M876=phu!$I$90),"Cam Lập",""),IF(OR(M876=phu!$I$91,M876=phu!$I$92,M876=phu!$I$93),"Cam Bình",""),IF(OR(M876=phu!$I$94,M876=phu!$I$95,M876=phu!$I$96,M876=phu!$I$97,M876=phu!$I$98,M876=phu!$I$99,M876=phu!$I$100),"Huyện khác",""),IF(OR(M876=phu!$I$101,M876=phu!$I$102),"Tỉnh khác",""))</f>
        <v/>
      </c>
      <c r="O876" s="814" t="str">
        <f t="shared" si="79"/>
        <v/>
      </c>
      <c r="P876" s="254"/>
      <c r="Q876" s="254"/>
      <c r="R876" s="254"/>
      <c r="S876" s="254"/>
      <c r="T876" s="254"/>
      <c r="U876" s="254"/>
      <c r="V876" s="254"/>
      <c r="W876" s="254"/>
      <c r="Y876" s="246" t="str">
        <f t="shared" si="80"/>
        <v/>
      </c>
      <c r="Z876" s="247" t="str">
        <f t="shared" si="78"/>
        <v/>
      </c>
      <c r="AA876" s="246" t="str">
        <f t="shared" si="81"/>
        <v/>
      </c>
    </row>
    <row r="877" spans="1:27" x14ac:dyDescent="0.25">
      <c r="A877" s="248" t="str">
        <f t="shared" si="82"/>
        <v/>
      </c>
      <c r="B877" s="249" t="str">
        <f t="shared" si="83"/>
        <v/>
      </c>
      <c r="C877" s="250"/>
      <c r="D877" s="251"/>
      <c r="E877" s="241"/>
      <c r="F877" s="252"/>
      <c r="G877" s="252"/>
      <c r="H877" s="253"/>
      <c r="I877" s="250"/>
      <c r="J877" s="250"/>
      <c r="K877" s="270"/>
      <c r="L877" s="250"/>
      <c r="M877" s="250"/>
      <c r="N877" s="553" t="str">
        <f>CONCATENATE(IF(OR(M877=phu!$I$1,M877=phu!$I$2,M877=phu!$I$3),"Cam Thành Nam",""),IF(OR(M877=phu!$I$4,M877=phu!$I$5,M877=phu!$I$6,M877=phu!$I$7,M877=phu!$I$8,M877=phu!$I$9,M877=phu!$I$10,M877=phu!$I$11,M877=phu!$I$12,M877=phu!$I$13,M877=phu!$I$14),"Cam Nghĩa",""),IF(OR(M877=phu!$I$15,M877=phu!$I$16,M877=phu!$I$17,M877=phu!$I$18,M877=phu!$I$19,M877=phu!$I$20,M877=phu!$I$21),"Cam Phúc Bắc",""),IF(OR(M877=phu!$I$22,M877=phu!$I$23,M877=phu!$I$24,M877=phu!$I$25),"Cam Phúc Nam",""),IF(OR(M877=phu!$I$26,M877=phu!$I$27,M877=phu!$I$28,M877=phu!$I$29,M877=phu!$I$30,M877=phu!$I$31),"Cam Phú",""),IF(OR(M877=phu!$I$32,M877=phu!$I$33,M877=phu!$I$34,M877=phu!$I$35,M877=phu!$I$36,M877=phu!$I$37),"Cam Lộc",""),IF(OR(M877=phu!$I$38,M877=phu!$I$39,M877=phu!$I$40,M877=phu!$I$41,M877=phu!$I$42,M877=phu!$I$43,M877=phu!$I$44),"Cam Thuận",""),IF(OR(M877=phu!$I$45,M877=phu!$I$46,M877=phu!$I$47,M877=phu!$I$48,M877=phu!$I$49,M877=phu!$I$50,M877=phu!$I$51,M877=phu!$I$52,M877=phu!$I$53),"Cam Linh",""),IF(OR(M877=phu!$I$54,M877=phu!$I$55,M877=phu!$I$56,M877=phu!$I$57,M877=phu!$I$58,M877=phu!$I$59,M877=phu!$I$60,M877=phu!$I$61,M877=phu!$I$62),"Cam Lợi",""),IF(OR(M877=phu!$I$63,M877=phu!$I$64,M877=phu!$I$65,M877=phu!$I$66,M877=phu!$I$67,M877=phu!$I$68,M877=phu!$I$69,M877=phu!$I$70,M877=phu!$I$71),"Ba Ngòi",""),IF(OR(M877=phu!$I$72,M877=phu!$I$73,M877=phu!$I$74,M877=phu!$I$75,M877=phu!$I$76,M877=phu!$I$77,M877=phu!$I$78),"Cam Phước Đông",""),IF(OR(M877=phu!$I$79,M877=phu!$I$80,M877=phu!$I$81,M877=phu!$I$82,M877=phu!$I$83,M877=phu!$I$84),"Cam Thịnh Đông",""),IF(OR(M877=phu!$I$85,M877=phu!$I$86,M877=phu!$I$87,M877=phu!$I$88),"Cam Thịnh Tây",""),IF(OR(M877=phu!$I$89,M877=phu!$I$90),"Cam Lập",""),IF(OR(M877=phu!$I$91,M877=phu!$I$92,M877=phu!$I$93),"Cam Bình",""),IF(OR(M877=phu!$I$94,M877=phu!$I$95,M877=phu!$I$96,M877=phu!$I$97,M877=phu!$I$98,M877=phu!$I$99,M877=phu!$I$100),"Huyện khác",""),IF(OR(M877=phu!$I$101,M877=phu!$I$102),"Tỉnh khác",""))</f>
        <v/>
      </c>
      <c r="O877" s="814" t="str">
        <f t="shared" si="79"/>
        <v/>
      </c>
      <c r="P877" s="254"/>
      <c r="Q877" s="254"/>
      <c r="R877" s="254"/>
      <c r="S877" s="254"/>
      <c r="T877" s="254"/>
      <c r="U877" s="254"/>
      <c r="V877" s="254"/>
      <c r="W877" s="254"/>
      <c r="Y877" s="246" t="str">
        <f t="shared" si="80"/>
        <v/>
      </c>
      <c r="Z877" s="247" t="str">
        <f t="shared" si="78"/>
        <v/>
      </c>
      <c r="AA877" s="246" t="str">
        <f t="shared" si="81"/>
        <v/>
      </c>
    </row>
    <row r="878" spans="1:27" x14ac:dyDescent="0.25">
      <c r="A878" s="248" t="str">
        <f t="shared" si="82"/>
        <v/>
      </c>
      <c r="B878" s="249" t="str">
        <f t="shared" si="83"/>
        <v/>
      </c>
      <c r="C878" s="250"/>
      <c r="D878" s="251"/>
      <c r="E878" s="241"/>
      <c r="F878" s="252"/>
      <c r="G878" s="252"/>
      <c r="H878" s="253"/>
      <c r="I878" s="250"/>
      <c r="J878" s="250"/>
      <c r="K878" s="270"/>
      <c r="L878" s="250"/>
      <c r="M878" s="250"/>
      <c r="N878" s="553" t="str">
        <f>CONCATENATE(IF(OR(M878=phu!$I$1,M878=phu!$I$2,M878=phu!$I$3),"Cam Thành Nam",""),IF(OR(M878=phu!$I$4,M878=phu!$I$5,M878=phu!$I$6,M878=phu!$I$7,M878=phu!$I$8,M878=phu!$I$9,M878=phu!$I$10,M878=phu!$I$11,M878=phu!$I$12,M878=phu!$I$13,M878=phu!$I$14),"Cam Nghĩa",""),IF(OR(M878=phu!$I$15,M878=phu!$I$16,M878=phu!$I$17,M878=phu!$I$18,M878=phu!$I$19,M878=phu!$I$20,M878=phu!$I$21),"Cam Phúc Bắc",""),IF(OR(M878=phu!$I$22,M878=phu!$I$23,M878=phu!$I$24,M878=phu!$I$25),"Cam Phúc Nam",""),IF(OR(M878=phu!$I$26,M878=phu!$I$27,M878=phu!$I$28,M878=phu!$I$29,M878=phu!$I$30,M878=phu!$I$31),"Cam Phú",""),IF(OR(M878=phu!$I$32,M878=phu!$I$33,M878=phu!$I$34,M878=phu!$I$35,M878=phu!$I$36,M878=phu!$I$37),"Cam Lộc",""),IF(OR(M878=phu!$I$38,M878=phu!$I$39,M878=phu!$I$40,M878=phu!$I$41,M878=phu!$I$42,M878=phu!$I$43,M878=phu!$I$44),"Cam Thuận",""),IF(OR(M878=phu!$I$45,M878=phu!$I$46,M878=phu!$I$47,M878=phu!$I$48,M878=phu!$I$49,M878=phu!$I$50,M878=phu!$I$51,M878=phu!$I$52,M878=phu!$I$53),"Cam Linh",""),IF(OR(M878=phu!$I$54,M878=phu!$I$55,M878=phu!$I$56,M878=phu!$I$57,M878=phu!$I$58,M878=phu!$I$59,M878=phu!$I$60,M878=phu!$I$61,M878=phu!$I$62),"Cam Lợi",""),IF(OR(M878=phu!$I$63,M878=phu!$I$64,M878=phu!$I$65,M878=phu!$I$66,M878=phu!$I$67,M878=phu!$I$68,M878=phu!$I$69,M878=phu!$I$70,M878=phu!$I$71),"Ba Ngòi",""),IF(OR(M878=phu!$I$72,M878=phu!$I$73,M878=phu!$I$74,M878=phu!$I$75,M878=phu!$I$76,M878=phu!$I$77,M878=phu!$I$78),"Cam Phước Đông",""),IF(OR(M878=phu!$I$79,M878=phu!$I$80,M878=phu!$I$81,M878=phu!$I$82,M878=phu!$I$83,M878=phu!$I$84),"Cam Thịnh Đông",""),IF(OR(M878=phu!$I$85,M878=phu!$I$86,M878=phu!$I$87,M878=phu!$I$88),"Cam Thịnh Tây",""),IF(OR(M878=phu!$I$89,M878=phu!$I$90),"Cam Lập",""),IF(OR(M878=phu!$I$91,M878=phu!$I$92,M878=phu!$I$93),"Cam Bình",""),IF(OR(M878=phu!$I$94,M878=phu!$I$95,M878=phu!$I$96,M878=phu!$I$97,M878=phu!$I$98,M878=phu!$I$99,M878=phu!$I$100),"Huyện khác",""),IF(OR(M878=phu!$I$101,M878=phu!$I$102),"Tỉnh khác",""))</f>
        <v/>
      </c>
      <c r="O878" s="814" t="str">
        <f t="shared" si="79"/>
        <v/>
      </c>
      <c r="P878" s="254"/>
      <c r="Q878" s="254"/>
      <c r="R878" s="254"/>
      <c r="S878" s="254"/>
      <c r="T878" s="254"/>
      <c r="U878" s="254"/>
      <c r="V878" s="254"/>
      <c r="W878" s="254"/>
      <c r="Y878" s="246" t="str">
        <f t="shared" si="80"/>
        <v/>
      </c>
      <c r="Z878" s="247" t="str">
        <f t="shared" si="78"/>
        <v/>
      </c>
      <c r="AA878" s="246" t="str">
        <f t="shared" si="81"/>
        <v/>
      </c>
    </row>
    <row r="879" spans="1:27" x14ac:dyDescent="0.25">
      <c r="A879" s="248" t="str">
        <f t="shared" si="82"/>
        <v/>
      </c>
      <c r="B879" s="249" t="str">
        <f t="shared" si="83"/>
        <v/>
      </c>
      <c r="C879" s="250"/>
      <c r="D879" s="251"/>
      <c r="E879" s="241"/>
      <c r="F879" s="252"/>
      <c r="G879" s="252"/>
      <c r="H879" s="253"/>
      <c r="I879" s="250"/>
      <c r="J879" s="250"/>
      <c r="K879" s="270"/>
      <c r="L879" s="250"/>
      <c r="M879" s="250"/>
      <c r="N879" s="553" t="str">
        <f>CONCATENATE(IF(OR(M879=phu!$I$1,M879=phu!$I$2,M879=phu!$I$3),"Cam Thành Nam",""),IF(OR(M879=phu!$I$4,M879=phu!$I$5,M879=phu!$I$6,M879=phu!$I$7,M879=phu!$I$8,M879=phu!$I$9,M879=phu!$I$10,M879=phu!$I$11,M879=phu!$I$12,M879=phu!$I$13,M879=phu!$I$14),"Cam Nghĩa",""),IF(OR(M879=phu!$I$15,M879=phu!$I$16,M879=phu!$I$17,M879=phu!$I$18,M879=phu!$I$19,M879=phu!$I$20,M879=phu!$I$21),"Cam Phúc Bắc",""),IF(OR(M879=phu!$I$22,M879=phu!$I$23,M879=phu!$I$24,M879=phu!$I$25),"Cam Phúc Nam",""),IF(OR(M879=phu!$I$26,M879=phu!$I$27,M879=phu!$I$28,M879=phu!$I$29,M879=phu!$I$30,M879=phu!$I$31),"Cam Phú",""),IF(OR(M879=phu!$I$32,M879=phu!$I$33,M879=phu!$I$34,M879=phu!$I$35,M879=phu!$I$36,M879=phu!$I$37),"Cam Lộc",""),IF(OR(M879=phu!$I$38,M879=phu!$I$39,M879=phu!$I$40,M879=phu!$I$41,M879=phu!$I$42,M879=phu!$I$43,M879=phu!$I$44),"Cam Thuận",""),IF(OR(M879=phu!$I$45,M879=phu!$I$46,M879=phu!$I$47,M879=phu!$I$48,M879=phu!$I$49,M879=phu!$I$50,M879=phu!$I$51,M879=phu!$I$52,M879=phu!$I$53),"Cam Linh",""),IF(OR(M879=phu!$I$54,M879=phu!$I$55,M879=phu!$I$56,M879=phu!$I$57,M879=phu!$I$58,M879=phu!$I$59,M879=phu!$I$60,M879=phu!$I$61,M879=phu!$I$62),"Cam Lợi",""),IF(OR(M879=phu!$I$63,M879=phu!$I$64,M879=phu!$I$65,M879=phu!$I$66,M879=phu!$I$67,M879=phu!$I$68,M879=phu!$I$69,M879=phu!$I$70,M879=phu!$I$71),"Ba Ngòi",""),IF(OR(M879=phu!$I$72,M879=phu!$I$73,M879=phu!$I$74,M879=phu!$I$75,M879=phu!$I$76,M879=phu!$I$77,M879=phu!$I$78),"Cam Phước Đông",""),IF(OR(M879=phu!$I$79,M879=phu!$I$80,M879=phu!$I$81,M879=phu!$I$82,M879=phu!$I$83,M879=phu!$I$84),"Cam Thịnh Đông",""),IF(OR(M879=phu!$I$85,M879=phu!$I$86,M879=phu!$I$87,M879=phu!$I$88),"Cam Thịnh Tây",""),IF(OR(M879=phu!$I$89,M879=phu!$I$90),"Cam Lập",""),IF(OR(M879=phu!$I$91,M879=phu!$I$92,M879=phu!$I$93),"Cam Bình",""),IF(OR(M879=phu!$I$94,M879=phu!$I$95,M879=phu!$I$96,M879=phu!$I$97,M879=phu!$I$98,M879=phu!$I$99,M879=phu!$I$100),"Huyện khác",""),IF(OR(M879=phu!$I$101,M879=phu!$I$102),"Tỉnh khác",""))</f>
        <v/>
      </c>
      <c r="O879" s="814" t="str">
        <f t="shared" si="79"/>
        <v/>
      </c>
      <c r="P879" s="254"/>
      <c r="Q879" s="254"/>
      <c r="R879" s="254"/>
      <c r="S879" s="254"/>
      <c r="T879" s="254"/>
      <c r="U879" s="254"/>
      <c r="V879" s="254"/>
      <c r="W879" s="254"/>
      <c r="Y879" s="246" t="str">
        <f t="shared" si="80"/>
        <v/>
      </c>
      <c r="Z879" s="247" t="str">
        <f t="shared" si="78"/>
        <v/>
      </c>
      <c r="AA879" s="246" t="str">
        <f t="shared" si="81"/>
        <v/>
      </c>
    </row>
    <row r="880" spans="1:27" x14ac:dyDescent="0.25">
      <c r="A880" s="248" t="str">
        <f t="shared" si="82"/>
        <v/>
      </c>
      <c r="B880" s="249" t="str">
        <f t="shared" si="83"/>
        <v/>
      </c>
      <c r="C880" s="250"/>
      <c r="D880" s="251"/>
      <c r="E880" s="241"/>
      <c r="F880" s="252"/>
      <c r="G880" s="252"/>
      <c r="H880" s="253"/>
      <c r="I880" s="250"/>
      <c r="J880" s="250"/>
      <c r="K880" s="270"/>
      <c r="L880" s="250"/>
      <c r="M880" s="250"/>
      <c r="N880" s="553" t="str">
        <f>CONCATENATE(IF(OR(M880=phu!$I$1,M880=phu!$I$2,M880=phu!$I$3),"Cam Thành Nam",""),IF(OR(M880=phu!$I$4,M880=phu!$I$5,M880=phu!$I$6,M880=phu!$I$7,M880=phu!$I$8,M880=phu!$I$9,M880=phu!$I$10,M880=phu!$I$11,M880=phu!$I$12,M880=phu!$I$13,M880=phu!$I$14),"Cam Nghĩa",""),IF(OR(M880=phu!$I$15,M880=phu!$I$16,M880=phu!$I$17,M880=phu!$I$18,M880=phu!$I$19,M880=phu!$I$20,M880=phu!$I$21),"Cam Phúc Bắc",""),IF(OR(M880=phu!$I$22,M880=phu!$I$23,M880=phu!$I$24,M880=phu!$I$25),"Cam Phúc Nam",""),IF(OR(M880=phu!$I$26,M880=phu!$I$27,M880=phu!$I$28,M880=phu!$I$29,M880=phu!$I$30,M880=phu!$I$31),"Cam Phú",""),IF(OR(M880=phu!$I$32,M880=phu!$I$33,M880=phu!$I$34,M880=phu!$I$35,M880=phu!$I$36,M880=phu!$I$37),"Cam Lộc",""),IF(OR(M880=phu!$I$38,M880=phu!$I$39,M880=phu!$I$40,M880=phu!$I$41,M880=phu!$I$42,M880=phu!$I$43,M880=phu!$I$44),"Cam Thuận",""),IF(OR(M880=phu!$I$45,M880=phu!$I$46,M880=phu!$I$47,M880=phu!$I$48,M880=phu!$I$49,M880=phu!$I$50,M880=phu!$I$51,M880=phu!$I$52,M880=phu!$I$53),"Cam Linh",""),IF(OR(M880=phu!$I$54,M880=phu!$I$55,M880=phu!$I$56,M880=phu!$I$57,M880=phu!$I$58,M880=phu!$I$59,M880=phu!$I$60,M880=phu!$I$61,M880=phu!$I$62),"Cam Lợi",""),IF(OR(M880=phu!$I$63,M880=phu!$I$64,M880=phu!$I$65,M880=phu!$I$66,M880=phu!$I$67,M880=phu!$I$68,M880=phu!$I$69,M880=phu!$I$70,M880=phu!$I$71),"Ba Ngòi",""),IF(OR(M880=phu!$I$72,M880=phu!$I$73,M880=phu!$I$74,M880=phu!$I$75,M880=phu!$I$76,M880=phu!$I$77,M880=phu!$I$78),"Cam Phước Đông",""),IF(OR(M880=phu!$I$79,M880=phu!$I$80,M880=phu!$I$81,M880=phu!$I$82,M880=phu!$I$83,M880=phu!$I$84),"Cam Thịnh Đông",""),IF(OR(M880=phu!$I$85,M880=phu!$I$86,M880=phu!$I$87,M880=phu!$I$88),"Cam Thịnh Tây",""),IF(OR(M880=phu!$I$89,M880=phu!$I$90),"Cam Lập",""),IF(OR(M880=phu!$I$91,M880=phu!$I$92,M880=phu!$I$93),"Cam Bình",""),IF(OR(M880=phu!$I$94,M880=phu!$I$95,M880=phu!$I$96,M880=phu!$I$97,M880=phu!$I$98,M880=phu!$I$99,M880=phu!$I$100),"Huyện khác",""),IF(OR(M880=phu!$I$101,M880=phu!$I$102),"Tỉnh khác",""))</f>
        <v/>
      </c>
      <c r="O880" s="814" t="str">
        <f t="shared" si="79"/>
        <v/>
      </c>
      <c r="P880" s="254"/>
      <c r="Q880" s="254"/>
      <c r="R880" s="254"/>
      <c r="S880" s="254"/>
      <c r="T880" s="254"/>
      <c r="U880" s="254"/>
      <c r="V880" s="254"/>
      <c r="W880" s="254"/>
      <c r="Y880" s="246" t="str">
        <f t="shared" si="80"/>
        <v/>
      </c>
      <c r="Z880" s="247" t="str">
        <f t="shared" si="78"/>
        <v/>
      </c>
      <c r="AA880" s="246" t="str">
        <f t="shared" si="81"/>
        <v/>
      </c>
    </row>
    <row r="881" spans="1:27" x14ac:dyDescent="0.25">
      <c r="A881" s="248" t="str">
        <f t="shared" si="82"/>
        <v/>
      </c>
      <c r="B881" s="249" t="str">
        <f t="shared" si="83"/>
        <v/>
      </c>
      <c r="C881" s="250"/>
      <c r="D881" s="251"/>
      <c r="E881" s="241"/>
      <c r="F881" s="252"/>
      <c r="G881" s="252"/>
      <c r="H881" s="253"/>
      <c r="I881" s="250"/>
      <c r="J881" s="250"/>
      <c r="K881" s="270"/>
      <c r="L881" s="250"/>
      <c r="M881" s="250"/>
      <c r="N881" s="553" t="str">
        <f>CONCATENATE(IF(OR(M881=phu!$I$1,M881=phu!$I$2,M881=phu!$I$3),"Cam Thành Nam",""),IF(OR(M881=phu!$I$4,M881=phu!$I$5,M881=phu!$I$6,M881=phu!$I$7,M881=phu!$I$8,M881=phu!$I$9,M881=phu!$I$10,M881=phu!$I$11,M881=phu!$I$12,M881=phu!$I$13,M881=phu!$I$14),"Cam Nghĩa",""),IF(OR(M881=phu!$I$15,M881=phu!$I$16,M881=phu!$I$17,M881=phu!$I$18,M881=phu!$I$19,M881=phu!$I$20,M881=phu!$I$21),"Cam Phúc Bắc",""),IF(OR(M881=phu!$I$22,M881=phu!$I$23,M881=phu!$I$24,M881=phu!$I$25),"Cam Phúc Nam",""),IF(OR(M881=phu!$I$26,M881=phu!$I$27,M881=phu!$I$28,M881=phu!$I$29,M881=phu!$I$30,M881=phu!$I$31),"Cam Phú",""),IF(OR(M881=phu!$I$32,M881=phu!$I$33,M881=phu!$I$34,M881=phu!$I$35,M881=phu!$I$36,M881=phu!$I$37),"Cam Lộc",""),IF(OR(M881=phu!$I$38,M881=phu!$I$39,M881=phu!$I$40,M881=phu!$I$41,M881=phu!$I$42,M881=phu!$I$43,M881=phu!$I$44),"Cam Thuận",""),IF(OR(M881=phu!$I$45,M881=phu!$I$46,M881=phu!$I$47,M881=phu!$I$48,M881=phu!$I$49,M881=phu!$I$50,M881=phu!$I$51,M881=phu!$I$52,M881=phu!$I$53),"Cam Linh",""),IF(OR(M881=phu!$I$54,M881=phu!$I$55,M881=phu!$I$56,M881=phu!$I$57,M881=phu!$I$58,M881=phu!$I$59,M881=phu!$I$60,M881=phu!$I$61,M881=phu!$I$62),"Cam Lợi",""),IF(OR(M881=phu!$I$63,M881=phu!$I$64,M881=phu!$I$65,M881=phu!$I$66,M881=phu!$I$67,M881=phu!$I$68,M881=phu!$I$69,M881=phu!$I$70,M881=phu!$I$71),"Ba Ngòi",""),IF(OR(M881=phu!$I$72,M881=phu!$I$73,M881=phu!$I$74,M881=phu!$I$75,M881=phu!$I$76,M881=phu!$I$77,M881=phu!$I$78),"Cam Phước Đông",""),IF(OR(M881=phu!$I$79,M881=phu!$I$80,M881=phu!$I$81,M881=phu!$I$82,M881=phu!$I$83,M881=phu!$I$84),"Cam Thịnh Đông",""),IF(OR(M881=phu!$I$85,M881=phu!$I$86,M881=phu!$I$87,M881=phu!$I$88),"Cam Thịnh Tây",""),IF(OR(M881=phu!$I$89,M881=phu!$I$90),"Cam Lập",""),IF(OR(M881=phu!$I$91,M881=phu!$I$92,M881=phu!$I$93),"Cam Bình",""),IF(OR(M881=phu!$I$94,M881=phu!$I$95,M881=phu!$I$96,M881=phu!$I$97,M881=phu!$I$98,M881=phu!$I$99,M881=phu!$I$100),"Huyện khác",""),IF(OR(M881=phu!$I$101,M881=phu!$I$102),"Tỉnh khác",""))</f>
        <v/>
      </c>
      <c r="O881" s="814" t="str">
        <f t="shared" si="79"/>
        <v/>
      </c>
      <c r="P881" s="254"/>
      <c r="Q881" s="254"/>
      <c r="R881" s="254"/>
      <c r="S881" s="254"/>
      <c r="T881" s="254"/>
      <c r="U881" s="254"/>
      <c r="V881" s="254"/>
      <c r="W881" s="254"/>
      <c r="Y881" s="246" t="str">
        <f t="shared" si="80"/>
        <v/>
      </c>
      <c r="Z881" s="247" t="str">
        <f t="shared" si="78"/>
        <v/>
      </c>
      <c r="AA881" s="246" t="str">
        <f t="shared" si="81"/>
        <v/>
      </c>
    </row>
    <row r="882" spans="1:27" x14ac:dyDescent="0.25">
      <c r="A882" s="248" t="str">
        <f t="shared" si="82"/>
        <v/>
      </c>
      <c r="B882" s="249" t="str">
        <f t="shared" si="83"/>
        <v/>
      </c>
      <c r="C882" s="250"/>
      <c r="D882" s="251"/>
      <c r="E882" s="241"/>
      <c r="F882" s="252"/>
      <c r="G882" s="252"/>
      <c r="H882" s="253"/>
      <c r="I882" s="250"/>
      <c r="J882" s="250"/>
      <c r="K882" s="270"/>
      <c r="L882" s="250"/>
      <c r="M882" s="250"/>
      <c r="N882" s="553" t="str">
        <f>CONCATENATE(IF(OR(M882=phu!$I$1,M882=phu!$I$2,M882=phu!$I$3),"Cam Thành Nam",""),IF(OR(M882=phu!$I$4,M882=phu!$I$5,M882=phu!$I$6,M882=phu!$I$7,M882=phu!$I$8,M882=phu!$I$9,M882=phu!$I$10,M882=phu!$I$11,M882=phu!$I$12,M882=phu!$I$13,M882=phu!$I$14),"Cam Nghĩa",""),IF(OR(M882=phu!$I$15,M882=phu!$I$16,M882=phu!$I$17,M882=phu!$I$18,M882=phu!$I$19,M882=phu!$I$20,M882=phu!$I$21),"Cam Phúc Bắc",""),IF(OR(M882=phu!$I$22,M882=phu!$I$23,M882=phu!$I$24,M882=phu!$I$25),"Cam Phúc Nam",""),IF(OR(M882=phu!$I$26,M882=phu!$I$27,M882=phu!$I$28,M882=phu!$I$29,M882=phu!$I$30,M882=phu!$I$31),"Cam Phú",""),IF(OR(M882=phu!$I$32,M882=phu!$I$33,M882=phu!$I$34,M882=phu!$I$35,M882=phu!$I$36,M882=phu!$I$37),"Cam Lộc",""),IF(OR(M882=phu!$I$38,M882=phu!$I$39,M882=phu!$I$40,M882=phu!$I$41,M882=phu!$I$42,M882=phu!$I$43,M882=phu!$I$44),"Cam Thuận",""),IF(OR(M882=phu!$I$45,M882=phu!$I$46,M882=phu!$I$47,M882=phu!$I$48,M882=phu!$I$49,M882=phu!$I$50,M882=phu!$I$51,M882=phu!$I$52,M882=phu!$I$53),"Cam Linh",""),IF(OR(M882=phu!$I$54,M882=phu!$I$55,M882=phu!$I$56,M882=phu!$I$57,M882=phu!$I$58,M882=phu!$I$59,M882=phu!$I$60,M882=phu!$I$61,M882=phu!$I$62),"Cam Lợi",""),IF(OR(M882=phu!$I$63,M882=phu!$I$64,M882=phu!$I$65,M882=phu!$I$66,M882=phu!$I$67,M882=phu!$I$68,M882=phu!$I$69,M882=phu!$I$70,M882=phu!$I$71),"Ba Ngòi",""),IF(OR(M882=phu!$I$72,M882=phu!$I$73,M882=phu!$I$74,M882=phu!$I$75,M882=phu!$I$76,M882=phu!$I$77,M882=phu!$I$78),"Cam Phước Đông",""),IF(OR(M882=phu!$I$79,M882=phu!$I$80,M882=phu!$I$81,M882=phu!$I$82,M882=phu!$I$83,M882=phu!$I$84),"Cam Thịnh Đông",""),IF(OR(M882=phu!$I$85,M882=phu!$I$86,M882=phu!$I$87,M882=phu!$I$88),"Cam Thịnh Tây",""),IF(OR(M882=phu!$I$89,M882=phu!$I$90),"Cam Lập",""),IF(OR(M882=phu!$I$91,M882=phu!$I$92,M882=phu!$I$93),"Cam Bình",""),IF(OR(M882=phu!$I$94,M882=phu!$I$95,M882=phu!$I$96,M882=phu!$I$97,M882=phu!$I$98,M882=phu!$I$99,M882=phu!$I$100),"Huyện khác",""),IF(OR(M882=phu!$I$101,M882=phu!$I$102),"Tỉnh khác",""))</f>
        <v/>
      </c>
      <c r="O882" s="814" t="str">
        <f t="shared" si="79"/>
        <v/>
      </c>
      <c r="P882" s="254"/>
      <c r="Q882" s="254"/>
      <c r="R882" s="254"/>
      <c r="S882" s="254"/>
      <c r="T882" s="254"/>
      <c r="U882" s="254"/>
      <c r="V882" s="254"/>
      <c r="W882" s="254"/>
      <c r="Y882" s="246" t="str">
        <f t="shared" si="80"/>
        <v/>
      </c>
      <c r="Z882" s="247" t="str">
        <f t="shared" si="78"/>
        <v/>
      </c>
      <c r="AA882" s="246" t="str">
        <f t="shared" si="81"/>
        <v/>
      </c>
    </row>
    <row r="883" spans="1:27" x14ac:dyDescent="0.25">
      <c r="A883" s="248" t="str">
        <f t="shared" si="82"/>
        <v/>
      </c>
      <c r="B883" s="249" t="str">
        <f t="shared" si="83"/>
        <v/>
      </c>
      <c r="C883" s="250"/>
      <c r="D883" s="251"/>
      <c r="E883" s="241"/>
      <c r="F883" s="252"/>
      <c r="G883" s="252"/>
      <c r="H883" s="253"/>
      <c r="I883" s="250"/>
      <c r="J883" s="250"/>
      <c r="K883" s="270"/>
      <c r="L883" s="250"/>
      <c r="M883" s="250"/>
      <c r="N883" s="553" t="str">
        <f>CONCATENATE(IF(OR(M883=phu!$I$1,M883=phu!$I$2,M883=phu!$I$3),"Cam Thành Nam",""),IF(OR(M883=phu!$I$4,M883=phu!$I$5,M883=phu!$I$6,M883=phu!$I$7,M883=phu!$I$8,M883=phu!$I$9,M883=phu!$I$10,M883=phu!$I$11,M883=phu!$I$12,M883=phu!$I$13,M883=phu!$I$14),"Cam Nghĩa",""),IF(OR(M883=phu!$I$15,M883=phu!$I$16,M883=phu!$I$17,M883=phu!$I$18,M883=phu!$I$19,M883=phu!$I$20,M883=phu!$I$21),"Cam Phúc Bắc",""),IF(OR(M883=phu!$I$22,M883=phu!$I$23,M883=phu!$I$24,M883=phu!$I$25),"Cam Phúc Nam",""),IF(OR(M883=phu!$I$26,M883=phu!$I$27,M883=phu!$I$28,M883=phu!$I$29,M883=phu!$I$30,M883=phu!$I$31),"Cam Phú",""),IF(OR(M883=phu!$I$32,M883=phu!$I$33,M883=phu!$I$34,M883=phu!$I$35,M883=phu!$I$36,M883=phu!$I$37),"Cam Lộc",""),IF(OR(M883=phu!$I$38,M883=phu!$I$39,M883=phu!$I$40,M883=phu!$I$41,M883=phu!$I$42,M883=phu!$I$43,M883=phu!$I$44),"Cam Thuận",""),IF(OR(M883=phu!$I$45,M883=phu!$I$46,M883=phu!$I$47,M883=phu!$I$48,M883=phu!$I$49,M883=phu!$I$50,M883=phu!$I$51,M883=phu!$I$52,M883=phu!$I$53),"Cam Linh",""),IF(OR(M883=phu!$I$54,M883=phu!$I$55,M883=phu!$I$56,M883=phu!$I$57,M883=phu!$I$58,M883=phu!$I$59,M883=phu!$I$60,M883=phu!$I$61,M883=phu!$I$62),"Cam Lợi",""),IF(OR(M883=phu!$I$63,M883=phu!$I$64,M883=phu!$I$65,M883=phu!$I$66,M883=phu!$I$67,M883=phu!$I$68,M883=phu!$I$69,M883=phu!$I$70,M883=phu!$I$71),"Ba Ngòi",""),IF(OR(M883=phu!$I$72,M883=phu!$I$73,M883=phu!$I$74,M883=phu!$I$75,M883=phu!$I$76,M883=phu!$I$77,M883=phu!$I$78),"Cam Phước Đông",""),IF(OR(M883=phu!$I$79,M883=phu!$I$80,M883=phu!$I$81,M883=phu!$I$82,M883=phu!$I$83,M883=phu!$I$84),"Cam Thịnh Đông",""),IF(OR(M883=phu!$I$85,M883=phu!$I$86,M883=phu!$I$87,M883=phu!$I$88),"Cam Thịnh Tây",""),IF(OR(M883=phu!$I$89,M883=phu!$I$90),"Cam Lập",""),IF(OR(M883=phu!$I$91,M883=phu!$I$92,M883=phu!$I$93),"Cam Bình",""),IF(OR(M883=phu!$I$94,M883=phu!$I$95,M883=phu!$I$96,M883=phu!$I$97,M883=phu!$I$98,M883=phu!$I$99,M883=phu!$I$100),"Huyện khác",""),IF(OR(M883=phu!$I$101,M883=phu!$I$102),"Tỉnh khác",""))</f>
        <v/>
      </c>
      <c r="O883" s="814" t="str">
        <f t="shared" si="79"/>
        <v/>
      </c>
      <c r="P883" s="254"/>
      <c r="Q883" s="254"/>
      <c r="R883" s="254"/>
      <c r="S883" s="254"/>
      <c r="T883" s="254"/>
      <c r="U883" s="254"/>
      <c r="V883" s="254"/>
      <c r="W883" s="254"/>
      <c r="Y883" s="246" t="str">
        <f t="shared" si="80"/>
        <v/>
      </c>
      <c r="Z883" s="247" t="str">
        <f t="shared" si="78"/>
        <v/>
      </c>
      <c r="AA883" s="246" t="str">
        <f t="shared" si="81"/>
        <v/>
      </c>
    </row>
    <row r="884" spans="1:27" x14ac:dyDescent="0.25">
      <c r="A884" s="248" t="str">
        <f t="shared" si="82"/>
        <v/>
      </c>
      <c r="B884" s="249" t="str">
        <f t="shared" si="83"/>
        <v/>
      </c>
      <c r="C884" s="250"/>
      <c r="D884" s="251"/>
      <c r="E884" s="241"/>
      <c r="F884" s="252"/>
      <c r="G884" s="252"/>
      <c r="H884" s="253"/>
      <c r="I884" s="250"/>
      <c r="J884" s="250"/>
      <c r="K884" s="270"/>
      <c r="L884" s="250"/>
      <c r="M884" s="250"/>
      <c r="N884" s="553" t="str">
        <f>CONCATENATE(IF(OR(M884=phu!$I$1,M884=phu!$I$2,M884=phu!$I$3),"Cam Thành Nam",""),IF(OR(M884=phu!$I$4,M884=phu!$I$5,M884=phu!$I$6,M884=phu!$I$7,M884=phu!$I$8,M884=phu!$I$9,M884=phu!$I$10,M884=phu!$I$11,M884=phu!$I$12,M884=phu!$I$13,M884=phu!$I$14),"Cam Nghĩa",""),IF(OR(M884=phu!$I$15,M884=phu!$I$16,M884=phu!$I$17,M884=phu!$I$18,M884=phu!$I$19,M884=phu!$I$20,M884=phu!$I$21),"Cam Phúc Bắc",""),IF(OR(M884=phu!$I$22,M884=phu!$I$23,M884=phu!$I$24,M884=phu!$I$25),"Cam Phúc Nam",""),IF(OR(M884=phu!$I$26,M884=phu!$I$27,M884=phu!$I$28,M884=phu!$I$29,M884=phu!$I$30,M884=phu!$I$31),"Cam Phú",""),IF(OR(M884=phu!$I$32,M884=phu!$I$33,M884=phu!$I$34,M884=phu!$I$35,M884=phu!$I$36,M884=phu!$I$37),"Cam Lộc",""),IF(OR(M884=phu!$I$38,M884=phu!$I$39,M884=phu!$I$40,M884=phu!$I$41,M884=phu!$I$42,M884=phu!$I$43,M884=phu!$I$44),"Cam Thuận",""),IF(OR(M884=phu!$I$45,M884=phu!$I$46,M884=phu!$I$47,M884=phu!$I$48,M884=phu!$I$49,M884=phu!$I$50,M884=phu!$I$51,M884=phu!$I$52,M884=phu!$I$53),"Cam Linh",""),IF(OR(M884=phu!$I$54,M884=phu!$I$55,M884=phu!$I$56,M884=phu!$I$57,M884=phu!$I$58,M884=phu!$I$59,M884=phu!$I$60,M884=phu!$I$61,M884=phu!$I$62),"Cam Lợi",""),IF(OR(M884=phu!$I$63,M884=phu!$I$64,M884=phu!$I$65,M884=phu!$I$66,M884=phu!$I$67,M884=phu!$I$68,M884=phu!$I$69,M884=phu!$I$70,M884=phu!$I$71),"Ba Ngòi",""),IF(OR(M884=phu!$I$72,M884=phu!$I$73,M884=phu!$I$74,M884=phu!$I$75,M884=phu!$I$76,M884=phu!$I$77,M884=phu!$I$78),"Cam Phước Đông",""),IF(OR(M884=phu!$I$79,M884=phu!$I$80,M884=phu!$I$81,M884=phu!$I$82,M884=phu!$I$83,M884=phu!$I$84),"Cam Thịnh Đông",""),IF(OR(M884=phu!$I$85,M884=phu!$I$86,M884=phu!$I$87,M884=phu!$I$88),"Cam Thịnh Tây",""),IF(OR(M884=phu!$I$89,M884=phu!$I$90),"Cam Lập",""),IF(OR(M884=phu!$I$91,M884=phu!$I$92,M884=phu!$I$93),"Cam Bình",""),IF(OR(M884=phu!$I$94,M884=phu!$I$95,M884=phu!$I$96,M884=phu!$I$97,M884=phu!$I$98,M884=phu!$I$99,M884=phu!$I$100),"Huyện khác",""),IF(OR(M884=phu!$I$101,M884=phu!$I$102),"Tỉnh khác",""))</f>
        <v/>
      </c>
      <c r="O884" s="814" t="str">
        <f t="shared" si="79"/>
        <v/>
      </c>
      <c r="P884" s="254"/>
      <c r="Q884" s="254"/>
      <c r="R884" s="254"/>
      <c r="S884" s="254"/>
      <c r="T884" s="254"/>
      <c r="U884" s="254"/>
      <c r="V884" s="254"/>
      <c r="W884" s="254"/>
      <c r="Y884" s="246" t="str">
        <f t="shared" si="80"/>
        <v/>
      </c>
      <c r="Z884" s="247" t="str">
        <f t="shared" si="78"/>
        <v/>
      </c>
      <c r="AA884" s="246" t="str">
        <f t="shared" si="81"/>
        <v/>
      </c>
    </row>
    <row r="885" spans="1:27" x14ac:dyDescent="0.25">
      <c r="A885" s="248" t="str">
        <f t="shared" si="82"/>
        <v/>
      </c>
      <c r="B885" s="249" t="str">
        <f t="shared" si="83"/>
        <v/>
      </c>
      <c r="C885" s="250"/>
      <c r="D885" s="251"/>
      <c r="E885" s="241"/>
      <c r="F885" s="252"/>
      <c r="G885" s="252"/>
      <c r="H885" s="253"/>
      <c r="I885" s="250"/>
      <c r="J885" s="250"/>
      <c r="K885" s="270"/>
      <c r="L885" s="250"/>
      <c r="M885" s="250"/>
      <c r="N885" s="553" t="str">
        <f>CONCATENATE(IF(OR(M885=phu!$I$1,M885=phu!$I$2,M885=phu!$I$3),"Cam Thành Nam",""),IF(OR(M885=phu!$I$4,M885=phu!$I$5,M885=phu!$I$6,M885=phu!$I$7,M885=phu!$I$8,M885=phu!$I$9,M885=phu!$I$10,M885=phu!$I$11,M885=phu!$I$12,M885=phu!$I$13,M885=phu!$I$14),"Cam Nghĩa",""),IF(OR(M885=phu!$I$15,M885=phu!$I$16,M885=phu!$I$17,M885=phu!$I$18,M885=phu!$I$19,M885=phu!$I$20,M885=phu!$I$21),"Cam Phúc Bắc",""),IF(OR(M885=phu!$I$22,M885=phu!$I$23,M885=phu!$I$24,M885=phu!$I$25),"Cam Phúc Nam",""),IF(OR(M885=phu!$I$26,M885=phu!$I$27,M885=phu!$I$28,M885=phu!$I$29,M885=phu!$I$30,M885=phu!$I$31),"Cam Phú",""),IF(OR(M885=phu!$I$32,M885=phu!$I$33,M885=phu!$I$34,M885=phu!$I$35,M885=phu!$I$36,M885=phu!$I$37),"Cam Lộc",""),IF(OR(M885=phu!$I$38,M885=phu!$I$39,M885=phu!$I$40,M885=phu!$I$41,M885=phu!$I$42,M885=phu!$I$43,M885=phu!$I$44),"Cam Thuận",""),IF(OR(M885=phu!$I$45,M885=phu!$I$46,M885=phu!$I$47,M885=phu!$I$48,M885=phu!$I$49,M885=phu!$I$50,M885=phu!$I$51,M885=phu!$I$52,M885=phu!$I$53),"Cam Linh",""),IF(OR(M885=phu!$I$54,M885=phu!$I$55,M885=phu!$I$56,M885=phu!$I$57,M885=phu!$I$58,M885=phu!$I$59,M885=phu!$I$60,M885=phu!$I$61,M885=phu!$I$62),"Cam Lợi",""),IF(OR(M885=phu!$I$63,M885=phu!$I$64,M885=phu!$I$65,M885=phu!$I$66,M885=phu!$I$67,M885=phu!$I$68,M885=phu!$I$69,M885=phu!$I$70,M885=phu!$I$71),"Ba Ngòi",""),IF(OR(M885=phu!$I$72,M885=phu!$I$73,M885=phu!$I$74,M885=phu!$I$75,M885=phu!$I$76,M885=phu!$I$77,M885=phu!$I$78),"Cam Phước Đông",""),IF(OR(M885=phu!$I$79,M885=phu!$I$80,M885=phu!$I$81,M885=phu!$I$82,M885=phu!$I$83,M885=phu!$I$84),"Cam Thịnh Đông",""),IF(OR(M885=phu!$I$85,M885=phu!$I$86,M885=phu!$I$87,M885=phu!$I$88),"Cam Thịnh Tây",""),IF(OR(M885=phu!$I$89,M885=phu!$I$90),"Cam Lập",""),IF(OR(M885=phu!$I$91,M885=phu!$I$92,M885=phu!$I$93),"Cam Bình",""),IF(OR(M885=phu!$I$94,M885=phu!$I$95,M885=phu!$I$96,M885=phu!$I$97,M885=phu!$I$98,M885=phu!$I$99,M885=phu!$I$100),"Huyện khác",""),IF(OR(M885=phu!$I$101,M885=phu!$I$102),"Tỉnh khác",""))</f>
        <v/>
      </c>
      <c r="O885" s="814" t="str">
        <f t="shared" si="79"/>
        <v/>
      </c>
      <c r="P885" s="254"/>
      <c r="Q885" s="254"/>
      <c r="R885" s="254"/>
      <c r="S885" s="254"/>
      <c r="T885" s="254"/>
      <c r="U885" s="254"/>
      <c r="V885" s="254"/>
      <c r="W885" s="254"/>
      <c r="Y885" s="246" t="str">
        <f t="shared" si="80"/>
        <v/>
      </c>
      <c r="Z885" s="247" t="str">
        <f t="shared" si="78"/>
        <v/>
      </c>
      <c r="AA885" s="246" t="str">
        <f t="shared" si="81"/>
        <v/>
      </c>
    </row>
    <row r="886" spans="1:27" x14ac:dyDescent="0.25">
      <c r="A886" s="248" t="str">
        <f t="shared" si="82"/>
        <v/>
      </c>
      <c r="B886" s="249" t="str">
        <f t="shared" si="83"/>
        <v/>
      </c>
      <c r="C886" s="250"/>
      <c r="D886" s="251"/>
      <c r="E886" s="241"/>
      <c r="F886" s="252"/>
      <c r="G886" s="252"/>
      <c r="H886" s="253"/>
      <c r="I886" s="250"/>
      <c r="J886" s="250"/>
      <c r="K886" s="270"/>
      <c r="L886" s="250"/>
      <c r="M886" s="250"/>
      <c r="N886" s="553" t="str">
        <f>CONCATENATE(IF(OR(M886=phu!$I$1,M886=phu!$I$2,M886=phu!$I$3),"Cam Thành Nam",""),IF(OR(M886=phu!$I$4,M886=phu!$I$5,M886=phu!$I$6,M886=phu!$I$7,M886=phu!$I$8,M886=phu!$I$9,M886=phu!$I$10,M886=phu!$I$11,M886=phu!$I$12,M886=phu!$I$13,M886=phu!$I$14),"Cam Nghĩa",""),IF(OR(M886=phu!$I$15,M886=phu!$I$16,M886=phu!$I$17,M886=phu!$I$18,M886=phu!$I$19,M886=phu!$I$20,M886=phu!$I$21),"Cam Phúc Bắc",""),IF(OR(M886=phu!$I$22,M886=phu!$I$23,M886=phu!$I$24,M886=phu!$I$25),"Cam Phúc Nam",""),IF(OR(M886=phu!$I$26,M886=phu!$I$27,M886=phu!$I$28,M886=phu!$I$29,M886=phu!$I$30,M886=phu!$I$31),"Cam Phú",""),IF(OR(M886=phu!$I$32,M886=phu!$I$33,M886=phu!$I$34,M886=phu!$I$35,M886=phu!$I$36,M886=phu!$I$37),"Cam Lộc",""),IF(OR(M886=phu!$I$38,M886=phu!$I$39,M886=phu!$I$40,M886=phu!$I$41,M886=phu!$I$42,M886=phu!$I$43,M886=phu!$I$44),"Cam Thuận",""),IF(OR(M886=phu!$I$45,M886=phu!$I$46,M886=phu!$I$47,M886=phu!$I$48,M886=phu!$I$49,M886=phu!$I$50,M886=phu!$I$51,M886=phu!$I$52,M886=phu!$I$53),"Cam Linh",""),IF(OR(M886=phu!$I$54,M886=phu!$I$55,M886=phu!$I$56,M886=phu!$I$57,M886=phu!$I$58,M886=phu!$I$59,M886=phu!$I$60,M886=phu!$I$61,M886=phu!$I$62),"Cam Lợi",""),IF(OR(M886=phu!$I$63,M886=phu!$I$64,M886=phu!$I$65,M886=phu!$I$66,M886=phu!$I$67,M886=phu!$I$68,M886=phu!$I$69,M886=phu!$I$70,M886=phu!$I$71),"Ba Ngòi",""),IF(OR(M886=phu!$I$72,M886=phu!$I$73,M886=phu!$I$74,M886=phu!$I$75,M886=phu!$I$76,M886=phu!$I$77,M886=phu!$I$78),"Cam Phước Đông",""),IF(OR(M886=phu!$I$79,M886=phu!$I$80,M886=phu!$I$81,M886=phu!$I$82,M886=phu!$I$83,M886=phu!$I$84),"Cam Thịnh Đông",""),IF(OR(M886=phu!$I$85,M886=phu!$I$86,M886=phu!$I$87,M886=phu!$I$88),"Cam Thịnh Tây",""),IF(OR(M886=phu!$I$89,M886=phu!$I$90),"Cam Lập",""),IF(OR(M886=phu!$I$91,M886=phu!$I$92,M886=phu!$I$93),"Cam Bình",""),IF(OR(M886=phu!$I$94,M886=phu!$I$95,M886=phu!$I$96,M886=phu!$I$97,M886=phu!$I$98,M886=phu!$I$99,M886=phu!$I$100),"Huyện khác",""),IF(OR(M886=phu!$I$101,M886=phu!$I$102),"Tỉnh khác",""))</f>
        <v/>
      </c>
      <c r="O886" s="814" t="str">
        <f t="shared" si="79"/>
        <v/>
      </c>
      <c r="P886" s="254"/>
      <c r="Q886" s="254"/>
      <c r="R886" s="254"/>
      <c r="S886" s="254"/>
      <c r="T886" s="254"/>
      <c r="U886" s="254"/>
      <c r="V886" s="254"/>
      <c r="W886" s="254"/>
      <c r="Y886" s="246" t="str">
        <f t="shared" si="80"/>
        <v/>
      </c>
      <c r="Z886" s="247" t="str">
        <f t="shared" si="78"/>
        <v/>
      </c>
      <c r="AA886" s="246" t="str">
        <f t="shared" si="81"/>
        <v/>
      </c>
    </row>
    <row r="887" spans="1:27" x14ac:dyDescent="0.25">
      <c r="A887" s="248" t="str">
        <f t="shared" si="82"/>
        <v/>
      </c>
      <c r="B887" s="249" t="str">
        <f t="shared" si="83"/>
        <v/>
      </c>
      <c r="C887" s="250"/>
      <c r="D887" s="251"/>
      <c r="E887" s="241"/>
      <c r="F887" s="252"/>
      <c r="G887" s="252"/>
      <c r="H887" s="253"/>
      <c r="I887" s="250"/>
      <c r="J887" s="250"/>
      <c r="K887" s="270"/>
      <c r="L887" s="250"/>
      <c r="M887" s="250"/>
      <c r="N887" s="553" t="str">
        <f>CONCATENATE(IF(OR(M887=phu!$I$1,M887=phu!$I$2,M887=phu!$I$3),"Cam Thành Nam",""),IF(OR(M887=phu!$I$4,M887=phu!$I$5,M887=phu!$I$6,M887=phu!$I$7,M887=phu!$I$8,M887=phu!$I$9,M887=phu!$I$10,M887=phu!$I$11,M887=phu!$I$12,M887=phu!$I$13,M887=phu!$I$14),"Cam Nghĩa",""),IF(OR(M887=phu!$I$15,M887=phu!$I$16,M887=phu!$I$17,M887=phu!$I$18,M887=phu!$I$19,M887=phu!$I$20,M887=phu!$I$21),"Cam Phúc Bắc",""),IF(OR(M887=phu!$I$22,M887=phu!$I$23,M887=phu!$I$24,M887=phu!$I$25),"Cam Phúc Nam",""),IF(OR(M887=phu!$I$26,M887=phu!$I$27,M887=phu!$I$28,M887=phu!$I$29,M887=phu!$I$30,M887=phu!$I$31),"Cam Phú",""),IF(OR(M887=phu!$I$32,M887=phu!$I$33,M887=phu!$I$34,M887=phu!$I$35,M887=phu!$I$36,M887=phu!$I$37),"Cam Lộc",""),IF(OR(M887=phu!$I$38,M887=phu!$I$39,M887=phu!$I$40,M887=phu!$I$41,M887=phu!$I$42,M887=phu!$I$43,M887=phu!$I$44),"Cam Thuận",""),IF(OR(M887=phu!$I$45,M887=phu!$I$46,M887=phu!$I$47,M887=phu!$I$48,M887=phu!$I$49,M887=phu!$I$50,M887=phu!$I$51,M887=phu!$I$52,M887=phu!$I$53),"Cam Linh",""),IF(OR(M887=phu!$I$54,M887=phu!$I$55,M887=phu!$I$56,M887=phu!$I$57,M887=phu!$I$58,M887=phu!$I$59,M887=phu!$I$60,M887=phu!$I$61,M887=phu!$I$62),"Cam Lợi",""),IF(OR(M887=phu!$I$63,M887=phu!$I$64,M887=phu!$I$65,M887=phu!$I$66,M887=phu!$I$67,M887=phu!$I$68,M887=phu!$I$69,M887=phu!$I$70,M887=phu!$I$71),"Ba Ngòi",""),IF(OR(M887=phu!$I$72,M887=phu!$I$73,M887=phu!$I$74,M887=phu!$I$75,M887=phu!$I$76,M887=phu!$I$77,M887=phu!$I$78),"Cam Phước Đông",""),IF(OR(M887=phu!$I$79,M887=phu!$I$80,M887=phu!$I$81,M887=phu!$I$82,M887=phu!$I$83,M887=phu!$I$84),"Cam Thịnh Đông",""),IF(OR(M887=phu!$I$85,M887=phu!$I$86,M887=phu!$I$87,M887=phu!$I$88),"Cam Thịnh Tây",""),IF(OR(M887=phu!$I$89,M887=phu!$I$90),"Cam Lập",""),IF(OR(M887=phu!$I$91,M887=phu!$I$92,M887=phu!$I$93),"Cam Bình",""),IF(OR(M887=phu!$I$94,M887=phu!$I$95,M887=phu!$I$96,M887=phu!$I$97,M887=phu!$I$98,M887=phu!$I$99,M887=phu!$I$100),"Huyện khác",""),IF(OR(M887=phu!$I$101,M887=phu!$I$102),"Tỉnh khác",""))</f>
        <v/>
      </c>
      <c r="O887" s="814" t="str">
        <f t="shared" si="79"/>
        <v/>
      </c>
      <c r="P887" s="254"/>
      <c r="Q887" s="254"/>
      <c r="R887" s="254"/>
      <c r="S887" s="254"/>
      <c r="T887" s="254"/>
      <c r="U887" s="254"/>
      <c r="V887" s="254"/>
      <c r="W887" s="254"/>
      <c r="Y887" s="246" t="str">
        <f t="shared" si="80"/>
        <v/>
      </c>
      <c r="Z887" s="247" t="str">
        <f t="shared" si="78"/>
        <v/>
      </c>
      <c r="AA887" s="246" t="str">
        <f t="shared" si="81"/>
        <v/>
      </c>
    </row>
    <row r="888" spans="1:27" x14ac:dyDescent="0.25">
      <c r="A888" s="248" t="str">
        <f t="shared" si="82"/>
        <v/>
      </c>
      <c r="B888" s="249" t="str">
        <f t="shared" si="83"/>
        <v/>
      </c>
      <c r="C888" s="250"/>
      <c r="D888" s="251"/>
      <c r="E888" s="241"/>
      <c r="F888" s="252"/>
      <c r="G888" s="252"/>
      <c r="H888" s="253"/>
      <c r="I888" s="250"/>
      <c r="J888" s="250"/>
      <c r="K888" s="270"/>
      <c r="L888" s="250"/>
      <c r="M888" s="250"/>
      <c r="N888" s="553" t="str">
        <f>CONCATENATE(IF(OR(M888=phu!$I$1,M888=phu!$I$2,M888=phu!$I$3),"Cam Thành Nam",""),IF(OR(M888=phu!$I$4,M888=phu!$I$5,M888=phu!$I$6,M888=phu!$I$7,M888=phu!$I$8,M888=phu!$I$9,M888=phu!$I$10,M888=phu!$I$11,M888=phu!$I$12,M888=phu!$I$13,M888=phu!$I$14),"Cam Nghĩa",""),IF(OR(M888=phu!$I$15,M888=phu!$I$16,M888=phu!$I$17,M888=phu!$I$18,M888=phu!$I$19,M888=phu!$I$20,M888=phu!$I$21),"Cam Phúc Bắc",""),IF(OR(M888=phu!$I$22,M888=phu!$I$23,M888=phu!$I$24,M888=phu!$I$25),"Cam Phúc Nam",""),IF(OR(M888=phu!$I$26,M888=phu!$I$27,M888=phu!$I$28,M888=phu!$I$29,M888=phu!$I$30,M888=phu!$I$31),"Cam Phú",""),IF(OR(M888=phu!$I$32,M888=phu!$I$33,M888=phu!$I$34,M888=phu!$I$35,M888=phu!$I$36,M888=phu!$I$37),"Cam Lộc",""),IF(OR(M888=phu!$I$38,M888=phu!$I$39,M888=phu!$I$40,M888=phu!$I$41,M888=phu!$I$42,M888=phu!$I$43,M888=phu!$I$44),"Cam Thuận",""),IF(OR(M888=phu!$I$45,M888=phu!$I$46,M888=phu!$I$47,M888=phu!$I$48,M888=phu!$I$49,M888=phu!$I$50,M888=phu!$I$51,M888=phu!$I$52,M888=phu!$I$53),"Cam Linh",""),IF(OR(M888=phu!$I$54,M888=phu!$I$55,M888=phu!$I$56,M888=phu!$I$57,M888=phu!$I$58,M888=phu!$I$59,M888=phu!$I$60,M888=phu!$I$61,M888=phu!$I$62),"Cam Lợi",""),IF(OR(M888=phu!$I$63,M888=phu!$I$64,M888=phu!$I$65,M888=phu!$I$66,M888=phu!$I$67,M888=phu!$I$68,M888=phu!$I$69,M888=phu!$I$70,M888=phu!$I$71),"Ba Ngòi",""),IF(OR(M888=phu!$I$72,M888=phu!$I$73,M888=phu!$I$74,M888=phu!$I$75,M888=phu!$I$76,M888=phu!$I$77,M888=phu!$I$78),"Cam Phước Đông",""),IF(OR(M888=phu!$I$79,M888=phu!$I$80,M888=phu!$I$81,M888=phu!$I$82,M888=phu!$I$83,M888=phu!$I$84),"Cam Thịnh Đông",""),IF(OR(M888=phu!$I$85,M888=phu!$I$86,M888=phu!$I$87,M888=phu!$I$88),"Cam Thịnh Tây",""),IF(OR(M888=phu!$I$89,M888=phu!$I$90),"Cam Lập",""),IF(OR(M888=phu!$I$91,M888=phu!$I$92,M888=phu!$I$93),"Cam Bình",""),IF(OR(M888=phu!$I$94,M888=phu!$I$95,M888=phu!$I$96,M888=phu!$I$97,M888=phu!$I$98,M888=phu!$I$99,M888=phu!$I$100),"Huyện khác",""),IF(OR(M888=phu!$I$101,M888=phu!$I$102),"Tỉnh khác",""))</f>
        <v/>
      </c>
      <c r="O888" s="814" t="str">
        <f t="shared" si="79"/>
        <v/>
      </c>
      <c r="P888" s="254"/>
      <c r="Q888" s="254"/>
      <c r="R888" s="254"/>
      <c r="S888" s="254"/>
      <c r="T888" s="254"/>
      <c r="U888" s="254"/>
      <c r="V888" s="254"/>
      <c r="W888" s="254"/>
      <c r="Y888" s="246" t="str">
        <f t="shared" si="80"/>
        <v/>
      </c>
      <c r="Z888" s="247" t="str">
        <f t="shared" si="78"/>
        <v/>
      </c>
      <c r="AA888" s="246" t="str">
        <f t="shared" si="81"/>
        <v/>
      </c>
    </row>
    <row r="889" spans="1:27" x14ac:dyDescent="0.25">
      <c r="A889" s="248" t="str">
        <f t="shared" si="82"/>
        <v/>
      </c>
      <c r="B889" s="249" t="str">
        <f t="shared" si="83"/>
        <v/>
      </c>
      <c r="C889" s="250"/>
      <c r="D889" s="251"/>
      <c r="E889" s="241"/>
      <c r="F889" s="252"/>
      <c r="G889" s="252"/>
      <c r="H889" s="253"/>
      <c r="I889" s="250"/>
      <c r="J889" s="250"/>
      <c r="K889" s="270"/>
      <c r="L889" s="250"/>
      <c r="M889" s="250"/>
      <c r="N889" s="553" t="str">
        <f>CONCATENATE(IF(OR(M889=phu!$I$1,M889=phu!$I$2,M889=phu!$I$3),"Cam Thành Nam",""),IF(OR(M889=phu!$I$4,M889=phu!$I$5,M889=phu!$I$6,M889=phu!$I$7,M889=phu!$I$8,M889=phu!$I$9,M889=phu!$I$10,M889=phu!$I$11,M889=phu!$I$12,M889=phu!$I$13,M889=phu!$I$14),"Cam Nghĩa",""),IF(OR(M889=phu!$I$15,M889=phu!$I$16,M889=phu!$I$17,M889=phu!$I$18,M889=phu!$I$19,M889=phu!$I$20,M889=phu!$I$21),"Cam Phúc Bắc",""),IF(OR(M889=phu!$I$22,M889=phu!$I$23,M889=phu!$I$24,M889=phu!$I$25),"Cam Phúc Nam",""),IF(OR(M889=phu!$I$26,M889=phu!$I$27,M889=phu!$I$28,M889=phu!$I$29,M889=phu!$I$30,M889=phu!$I$31),"Cam Phú",""),IF(OR(M889=phu!$I$32,M889=phu!$I$33,M889=phu!$I$34,M889=phu!$I$35,M889=phu!$I$36,M889=phu!$I$37),"Cam Lộc",""),IF(OR(M889=phu!$I$38,M889=phu!$I$39,M889=phu!$I$40,M889=phu!$I$41,M889=phu!$I$42,M889=phu!$I$43,M889=phu!$I$44),"Cam Thuận",""),IF(OR(M889=phu!$I$45,M889=phu!$I$46,M889=phu!$I$47,M889=phu!$I$48,M889=phu!$I$49,M889=phu!$I$50,M889=phu!$I$51,M889=phu!$I$52,M889=phu!$I$53),"Cam Linh",""),IF(OR(M889=phu!$I$54,M889=phu!$I$55,M889=phu!$I$56,M889=phu!$I$57,M889=phu!$I$58,M889=phu!$I$59,M889=phu!$I$60,M889=phu!$I$61,M889=phu!$I$62),"Cam Lợi",""),IF(OR(M889=phu!$I$63,M889=phu!$I$64,M889=phu!$I$65,M889=phu!$I$66,M889=phu!$I$67,M889=phu!$I$68,M889=phu!$I$69,M889=phu!$I$70,M889=phu!$I$71),"Ba Ngòi",""),IF(OR(M889=phu!$I$72,M889=phu!$I$73,M889=phu!$I$74,M889=phu!$I$75,M889=phu!$I$76,M889=phu!$I$77,M889=phu!$I$78),"Cam Phước Đông",""),IF(OR(M889=phu!$I$79,M889=phu!$I$80,M889=phu!$I$81,M889=phu!$I$82,M889=phu!$I$83,M889=phu!$I$84),"Cam Thịnh Đông",""),IF(OR(M889=phu!$I$85,M889=phu!$I$86,M889=phu!$I$87,M889=phu!$I$88),"Cam Thịnh Tây",""),IF(OR(M889=phu!$I$89,M889=phu!$I$90),"Cam Lập",""),IF(OR(M889=phu!$I$91,M889=phu!$I$92,M889=phu!$I$93),"Cam Bình",""),IF(OR(M889=phu!$I$94,M889=phu!$I$95,M889=phu!$I$96,M889=phu!$I$97,M889=phu!$I$98,M889=phu!$I$99,M889=phu!$I$100),"Huyện khác",""),IF(OR(M889=phu!$I$101,M889=phu!$I$102),"Tỉnh khác",""))</f>
        <v/>
      </c>
      <c r="O889" s="814" t="str">
        <f t="shared" si="79"/>
        <v/>
      </c>
      <c r="P889" s="254"/>
      <c r="Q889" s="254"/>
      <c r="R889" s="254"/>
      <c r="S889" s="254"/>
      <c r="T889" s="254"/>
      <c r="U889" s="254"/>
      <c r="V889" s="254"/>
      <c r="W889" s="254"/>
      <c r="Y889" s="246" t="str">
        <f t="shared" si="80"/>
        <v/>
      </c>
      <c r="Z889" s="247" t="str">
        <f t="shared" si="78"/>
        <v/>
      </c>
      <c r="AA889" s="246" t="str">
        <f t="shared" si="81"/>
        <v/>
      </c>
    </row>
    <row r="890" spans="1:27" x14ac:dyDescent="0.25">
      <c r="A890" s="248" t="str">
        <f t="shared" si="82"/>
        <v/>
      </c>
      <c r="B890" s="249" t="str">
        <f t="shared" si="83"/>
        <v/>
      </c>
      <c r="C890" s="250"/>
      <c r="D890" s="251"/>
      <c r="E890" s="241"/>
      <c r="F890" s="252"/>
      <c r="G890" s="252"/>
      <c r="H890" s="253"/>
      <c r="I890" s="250"/>
      <c r="J890" s="250"/>
      <c r="K890" s="270"/>
      <c r="L890" s="250"/>
      <c r="M890" s="250"/>
      <c r="N890" s="553" t="str">
        <f>CONCATENATE(IF(OR(M890=phu!$I$1,M890=phu!$I$2,M890=phu!$I$3),"Cam Thành Nam",""),IF(OR(M890=phu!$I$4,M890=phu!$I$5,M890=phu!$I$6,M890=phu!$I$7,M890=phu!$I$8,M890=phu!$I$9,M890=phu!$I$10,M890=phu!$I$11,M890=phu!$I$12,M890=phu!$I$13,M890=phu!$I$14),"Cam Nghĩa",""),IF(OR(M890=phu!$I$15,M890=phu!$I$16,M890=phu!$I$17,M890=phu!$I$18,M890=phu!$I$19,M890=phu!$I$20,M890=phu!$I$21),"Cam Phúc Bắc",""),IF(OR(M890=phu!$I$22,M890=phu!$I$23,M890=phu!$I$24,M890=phu!$I$25),"Cam Phúc Nam",""),IF(OR(M890=phu!$I$26,M890=phu!$I$27,M890=phu!$I$28,M890=phu!$I$29,M890=phu!$I$30,M890=phu!$I$31),"Cam Phú",""),IF(OR(M890=phu!$I$32,M890=phu!$I$33,M890=phu!$I$34,M890=phu!$I$35,M890=phu!$I$36,M890=phu!$I$37),"Cam Lộc",""),IF(OR(M890=phu!$I$38,M890=phu!$I$39,M890=phu!$I$40,M890=phu!$I$41,M890=phu!$I$42,M890=phu!$I$43,M890=phu!$I$44),"Cam Thuận",""),IF(OR(M890=phu!$I$45,M890=phu!$I$46,M890=phu!$I$47,M890=phu!$I$48,M890=phu!$I$49,M890=phu!$I$50,M890=phu!$I$51,M890=phu!$I$52,M890=phu!$I$53),"Cam Linh",""),IF(OR(M890=phu!$I$54,M890=phu!$I$55,M890=phu!$I$56,M890=phu!$I$57,M890=phu!$I$58,M890=phu!$I$59,M890=phu!$I$60,M890=phu!$I$61,M890=phu!$I$62),"Cam Lợi",""),IF(OR(M890=phu!$I$63,M890=phu!$I$64,M890=phu!$I$65,M890=phu!$I$66,M890=phu!$I$67,M890=phu!$I$68,M890=phu!$I$69,M890=phu!$I$70,M890=phu!$I$71),"Ba Ngòi",""),IF(OR(M890=phu!$I$72,M890=phu!$I$73,M890=phu!$I$74,M890=phu!$I$75,M890=phu!$I$76,M890=phu!$I$77,M890=phu!$I$78),"Cam Phước Đông",""),IF(OR(M890=phu!$I$79,M890=phu!$I$80,M890=phu!$I$81,M890=phu!$I$82,M890=phu!$I$83,M890=phu!$I$84),"Cam Thịnh Đông",""),IF(OR(M890=phu!$I$85,M890=phu!$I$86,M890=phu!$I$87,M890=phu!$I$88),"Cam Thịnh Tây",""),IF(OR(M890=phu!$I$89,M890=phu!$I$90),"Cam Lập",""),IF(OR(M890=phu!$I$91,M890=phu!$I$92,M890=phu!$I$93),"Cam Bình",""),IF(OR(M890=phu!$I$94,M890=phu!$I$95,M890=phu!$I$96,M890=phu!$I$97,M890=phu!$I$98,M890=phu!$I$99,M890=phu!$I$100),"Huyện khác",""),IF(OR(M890=phu!$I$101,M890=phu!$I$102),"Tỉnh khác",""))</f>
        <v/>
      </c>
      <c r="O890" s="814" t="str">
        <f t="shared" si="79"/>
        <v/>
      </c>
      <c r="P890" s="254"/>
      <c r="Q890" s="254"/>
      <c r="R890" s="254"/>
      <c r="S890" s="254"/>
      <c r="T890" s="254"/>
      <c r="U890" s="254"/>
      <c r="V890" s="254"/>
      <c r="W890" s="254"/>
      <c r="Y890" s="246" t="str">
        <f t="shared" si="80"/>
        <v/>
      </c>
      <c r="Z890" s="247" t="str">
        <f t="shared" si="78"/>
        <v/>
      </c>
      <c r="AA890" s="246" t="str">
        <f t="shared" si="81"/>
        <v/>
      </c>
    </row>
    <row r="891" spans="1:27" x14ac:dyDescent="0.25">
      <c r="A891" s="248" t="str">
        <f t="shared" si="82"/>
        <v/>
      </c>
      <c r="B891" s="249" t="str">
        <f t="shared" si="83"/>
        <v/>
      </c>
      <c r="C891" s="250"/>
      <c r="D891" s="251"/>
      <c r="E891" s="241"/>
      <c r="F891" s="252"/>
      <c r="G891" s="252"/>
      <c r="H891" s="253"/>
      <c r="I891" s="250"/>
      <c r="J891" s="250"/>
      <c r="K891" s="270"/>
      <c r="L891" s="250"/>
      <c r="M891" s="250"/>
      <c r="N891" s="553" t="str">
        <f>CONCATENATE(IF(OR(M891=phu!$I$1,M891=phu!$I$2,M891=phu!$I$3),"Cam Thành Nam",""),IF(OR(M891=phu!$I$4,M891=phu!$I$5,M891=phu!$I$6,M891=phu!$I$7,M891=phu!$I$8,M891=phu!$I$9,M891=phu!$I$10,M891=phu!$I$11,M891=phu!$I$12,M891=phu!$I$13,M891=phu!$I$14),"Cam Nghĩa",""),IF(OR(M891=phu!$I$15,M891=phu!$I$16,M891=phu!$I$17,M891=phu!$I$18,M891=phu!$I$19,M891=phu!$I$20,M891=phu!$I$21),"Cam Phúc Bắc",""),IF(OR(M891=phu!$I$22,M891=phu!$I$23,M891=phu!$I$24,M891=phu!$I$25),"Cam Phúc Nam",""),IF(OR(M891=phu!$I$26,M891=phu!$I$27,M891=phu!$I$28,M891=phu!$I$29,M891=phu!$I$30,M891=phu!$I$31),"Cam Phú",""),IF(OR(M891=phu!$I$32,M891=phu!$I$33,M891=phu!$I$34,M891=phu!$I$35,M891=phu!$I$36,M891=phu!$I$37),"Cam Lộc",""),IF(OR(M891=phu!$I$38,M891=phu!$I$39,M891=phu!$I$40,M891=phu!$I$41,M891=phu!$I$42,M891=phu!$I$43,M891=phu!$I$44),"Cam Thuận",""),IF(OR(M891=phu!$I$45,M891=phu!$I$46,M891=phu!$I$47,M891=phu!$I$48,M891=phu!$I$49,M891=phu!$I$50,M891=phu!$I$51,M891=phu!$I$52,M891=phu!$I$53),"Cam Linh",""),IF(OR(M891=phu!$I$54,M891=phu!$I$55,M891=phu!$I$56,M891=phu!$I$57,M891=phu!$I$58,M891=phu!$I$59,M891=phu!$I$60,M891=phu!$I$61,M891=phu!$I$62),"Cam Lợi",""),IF(OR(M891=phu!$I$63,M891=phu!$I$64,M891=phu!$I$65,M891=phu!$I$66,M891=phu!$I$67,M891=phu!$I$68,M891=phu!$I$69,M891=phu!$I$70,M891=phu!$I$71),"Ba Ngòi",""),IF(OR(M891=phu!$I$72,M891=phu!$I$73,M891=phu!$I$74,M891=phu!$I$75,M891=phu!$I$76,M891=phu!$I$77,M891=phu!$I$78),"Cam Phước Đông",""),IF(OR(M891=phu!$I$79,M891=phu!$I$80,M891=phu!$I$81,M891=phu!$I$82,M891=phu!$I$83,M891=phu!$I$84),"Cam Thịnh Đông",""),IF(OR(M891=phu!$I$85,M891=phu!$I$86,M891=phu!$I$87,M891=phu!$I$88),"Cam Thịnh Tây",""),IF(OR(M891=phu!$I$89,M891=phu!$I$90),"Cam Lập",""),IF(OR(M891=phu!$I$91,M891=phu!$I$92,M891=phu!$I$93),"Cam Bình",""),IF(OR(M891=phu!$I$94,M891=phu!$I$95,M891=phu!$I$96,M891=phu!$I$97,M891=phu!$I$98,M891=phu!$I$99,M891=phu!$I$100),"Huyện khác",""),IF(OR(M891=phu!$I$101,M891=phu!$I$102),"Tỉnh khác",""))</f>
        <v/>
      </c>
      <c r="O891" s="814" t="str">
        <f t="shared" si="79"/>
        <v/>
      </c>
      <c r="P891" s="254"/>
      <c r="Q891" s="254"/>
      <c r="R891" s="254"/>
      <c r="S891" s="254"/>
      <c r="T891" s="254"/>
      <c r="U891" s="254"/>
      <c r="V891" s="254"/>
      <c r="W891" s="254"/>
      <c r="Y891" s="246" t="str">
        <f t="shared" si="80"/>
        <v/>
      </c>
      <c r="Z891" s="247" t="str">
        <f t="shared" si="78"/>
        <v/>
      </c>
      <c r="AA891" s="246" t="str">
        <f t="shared" si="81"/>
        <v/>
      </c>
    </row>
    <row r="892" spans="1:27" x14ac:dyDescent="0.25">
      <c r="A892" s="248" t="str">
        <f t="shared" si="82"/>
        <v/>
      </c>
      <c r="B892" s="249" t="str">
        <f t="shared" si="83"/>
        <v/>
      </c>
      <c r="C892" s="250"/>
      <c r="D892" s="251"/>
      <c r="E892" s="241"/>
      <c r="F892" s="252"/>
      <c r="G892" s="252"/>
      <c r="H892" s="253"/>
      <c r="I892" s="250"/>
      <c r="J892" s="250"/>
      <c r="K892" s="270"/>
      <c r="L892" s="250"/>
      <c r="M892" s="250"/>
      <c r="N892" s="553" t="str">
        <f>CONCATENATE(IF(OR(M892=phu!$I$1,M892=phu!$I$2,M892=phu!$I$3),"Cam Thành Nam",""),IF(OR(M892=phu!$I$4,M892=phu!$I$5,M892=phu!$I$6,M892=phu!$I$7,M892=phu!$I$8,M892=phu!$I$9,M892=phu!$I$10,M892=phu!$I$11,M892=phu!$I$12,M892=phu!$I$13,M892=phu!$I$14),"Cam Nghĩa",""),IF(OR(M892=phu!$I$15,M892=phu!$I$16,M892=phu!$I$17,M892=phu!$I$18,M892=phu!$I$19,M892=phu!$I$20,M892=phu!$I$21),"Cam Phúc Bắc",""),IF(OR(M892=phu!$I$22,M892=phu!$I$23,M892=phu!$I$24,M892=phu!$I$25),"Cam Phúc Nam",""),IF(OR(M892=phu!$I$26,M892=phu!$I$27,M892=phu!$I$28,M892=phu!$I$29,M892=phu!$I$30,M892=phu!$I$31),"Cam Phú",""),IF(OR(M892=phu!$I$32,M892=phu!$I$33,M892=phu!$I$34,M892=phu!$I$35,M892=phu!$I$36,M892=phu!$I$37),"Cam Lộc",""),IF(OR(M892=phu!$I$38,M892=phu!$I$39,M892=phu!$I$40,M892=phu!$I$41,M892=phu!$I$42,M892=phu!$I$43,M892=phu!$I$44),"Cam Thuận",""),IF(OR(M892=phu!$I$45,M892=phu!$I$46,M892=phu!$I$47,M892=phu!$I$48,M892=phu!$I$49,M892=phu!$I$50,M892=phu!$I$51,M892=phu!$I$52,M892=phu!$I$53),"Cam Linh",""),IF(OR(M892=phu!$I$54,M892=phu!$I$55,M892=phu!$I$56,M892=phu!$I$57,M892=phu!$I$58,M892=phu!$I$59,M892=phu!$I$60,M892=phu!$I$61,M892=phu!$I$62),"Cam Lợi",""),IF(OR(M892=phu!$I$63,M892=phu!$I$64,M892=phu!$I$65,M892=phu!$I$66,M892=phu!$I$67,M892=phu!$I$68,M892=phu!$I$69,M892=phu!$I$70,M892=phu!$I$71),"Ba Ngòi",""),IF(OR(M892=phu!$I$72,M892=phu!$I$73,M892=phu!$I$74,M892=phu!$I$75,M892=phu!$I$76,M892=phu!$I$77,M892=phu!$I$78),"Cam Phước Đông",""),IF(OR(M892=phu!$I$79,M892=phu!$I$80,M892=phu!$I$81,M892=phu!$I$82,M892=phu!$I$83,M892=phu!$I$84),"Cam Thịnh Đông",""),IF(OR(M892=phu!$I$85,M892=phu!$I$86,M892=phu!$I$87,M892=phu!$I$88),"Cam Thịnh Tây",""),IF(OR(M892=phu!$I$89,M892=phu!$I$90),"Cam Lập",""),IF(OR(M892=phu!$I$91,M892=phu!$I$92,M892=phu!$I$93),"Cam Bình",""),IF(OR(M892=phu!$I$94,M892=phu!$I$95,M892=phu!$I$96,M892=phu!$I$97,M892=phu!$I$98,M892=phu!$I$99,M892=phu!$I$100),"Huyện khác",""),IF(OR(M892=phu!$I$101,M892=phu!$I$102),"Tỉnh khác",""))</f>
        <v/>
      </c>
      <c r="O892" s="814" t="str">
        <f t="shared" si="79"/>
        <v/>
      </c>
      <c r="P892" s="254"/>
      <c r="Q892" s="254"/>
      <c r="R892" s="254"/>
      <c r="S892" s="254"/>
      <c r="T892" s="254"/>
      <c r="U892" s="254"/>
      <c r="V892" s="254"/>
      <c r="W892" s="254"/>
      <c r="Y892" s="246" t="str">
        <f t="shared" si="80"/>
        <v/>
      </c>
      <c r="Z892" s="247" t="str">
        <f t="shared" si="78"/>
        <v/>
      </c>
      <c r="AA892" s="246" t="str">
        <f t="shared" si="81"/>
        <v/>
      </c>
    </row>
    <row r="893" spans="1:27" x14ac:dyDescent="0.25">
      <c r="A893" s="248" t="str">
        <f t="shared" si="82"/>
        <v/>
      </c>
      <c r="B893" s="249" t="str">
        <f t="shared" si="83"/>
        <v/>
      </c>
      <c r="C893" s="250"/>
      <c r="D893" s="251"/>
      <c r="E893" s="241"/>
      <c r="F893" s="252"/>
      <c r="G893" s="252"/>
      <c r="H893" s="253"/>
      <c r="I893" s="250"/>
      <c r="J893" s="250"/>
      <c r="K893" s="270"/>
      <c r="L893" s="250"/>
      <c r="M893" s="250"/>
      <c r="N893" s="553" t="str">
        <f>CONCATENATE(IF(OR(M893=phu!$I$1,M893=phu!$I$2,M893=phu!$I$3),"Cam Thành Nam",""),IF(OR(M893=phu!$I$4,M893=phu!$I$5,M893=phu!$I$6,M893=phu!$I$7,M893=phu!$I$8,M893=phu!$I$9,M893=phu!$I$10,M893=phu!$I$11,M893=phu!$I$12,M893=phu!$I$13,M893=phu!$I$14),"Cam Nghĩa",""),IF(OR(M893=phu!$I$15,M893=phu!$I$16,M893=phu!$I$17,M893=phu!$I$18,M893=phu!$I$19,M893=phu!$I$20,M893=phu!$I$21),"Cam Phúc Bắc",""),IF(OR(M893=phu!$I$22,M893=phu!$I$23,M893=phu!$I$24,M893=phu!$I$25),"Cam Phúc Nam",""),IF(OR(M893=phu!$I$26,M893=phu!$I$27,M893=phu!$I$28,M893=phu!$I$29,M893=phu!$I$30,M893=phu!$I$31),"Cam Phú",""),IF(OR(M893=phu!$I$32,M893=phu!$I$33,M893=phu!$I$34,M893=phu!$I$35,M893=phu!$I$36,M893=phu!$I$37),"Cam Lộc",""),IF(OR(M893=phu!$I$38,M893=phu!$I$39,M893=phu!$I$40,M893=phu!$I$41,M893=phu!$I$42,M893=phu!$I$43,M893=phu!$I$44),"Cam Thuận",""),IF(OR(M893=phu!$I$45,M893=phu!$I$46,M893=phu!$I$47,M893=phu!$I$48,M893=phu!$I$49,M893=phu!$I$50,M893=phu!$I$51,M893=phu!$I$52,M893=phu!$I$53),"Cam Linh",""),IF(OR(M893=phu!$I$54,M893=phu!$I$55,M893=phu!$I$56,M893=phu!$I$57,M893=phu!$I$58,M893=phu!$I$59,M893=phu!$I$60,M893=phu!$I$61,M893=phu!$I$62),"Cam Lợi",""),IF(OR(M893=phu!$I$63,M893=phu!$I$64,M893=phu!$I$65,M893=phu!$I$66,M893=phu!$I$67,M893=phu!$I$68,M893=phu!$I$69,M893=phu!$I$70,M893=phu!$I$71),"Ba Ngòi",""),IF(OR(M893=phu!$I$72,M893=phu!$I$73,M893=phu!$I$74,M893=phu!$I$75,M893=phu!$I$76,M893=phu!$I$77,M893=phu!$I$78),"Cam Phước Đông",""),IF(OR(M893=phu!$I$79,M893=phu!$I$80,M893=phu!$I$81,M893=phu!$I$82,M893=phu!$I$83,M893=phu!$I$84),"Cam Thịnh Đông",""),IF(OR(M893=phu!$I$85,M893=phu!$I$86,M893=phu!$I$87,M893=phu!$I$88),"Cam Thịnh Tây",""),IF(OR(M893=phu!$I$89,M893=phu!$I$90),"Cam Lập",""),IF(OR(M893=phu!$I$91,M893=phu!$I$92,M893=phu!$I$93),"Cam Bình",""),IF(OR(M893=phu!$I$94,M893=phu!$I$95,M893=phu!$I$96,M893=phu!$I$97,M893=phu!$I$98,M893=phu!$I$99,M893=phu!$I$100),"Huyện khác",""),IF(OR(M893=phu!$I$101,M893=phu!$I$102),"Tỉnh khác",""))</f>
        <v/>
      </c>
      <c r="O893" s="814" t="str">
        <f t="shared" si="79"/>
        <v/>
      </c>
      <c r="P893" s="254"/>
      <c r="Q893" s="254"/>
      <c r="R893" s="254"/>
      <c r="S893" s="254"/>
      <c r="T893" s="254"/>
      <c r="U893" s="254"/>
      <c r="V893" s="254"/>
      <c r="W893" s="254"/>
      <c r="Y893" s="246" t="str">
        <f t="shared" si="80"/>
        <v/>
      </c>
      <c r="Z893" s="247" t="str">
        <f t="shared" si="78"/>
        <v/>
      </c>
      <c r="AA893" s="246" t="str">
        <f t="shared" si="81"/>
        <v/>
      </c>
    </row>
    <row r="894" spans="1:27" x14ac:dyDescent="0.25">
      <c r="A894" s="248" t="str">
        <f t="shared" si="82"/>
        <v/>
      </c>
      <c r="B894" s="249" t="str">
        <f t="shared" si="83"/>
        <v/>
      </c>
      <c r="C894" s="250"/>
      <c r="D894" s="251"/>
      <c r="E894" s="241"/>
      <c r="F894" s="252"/>
      <c r="G894" s="252"/>
      <c r="H894" s="253"/>
      <c r="I894" s="250"/>
      <c r="J894" s="250"/>
      <c r="K894" s="270"/>
      <c r="L894" s="250"/>
      <c r="M894" s="250"/>
      <c r="N894" s="553" t="str">
        <f>CONCATENATE(IF(OR(M894=phu!$I$1,M894=phu!$I$2,M894=phu!$I$3),"Cam Thành Nam",""),IF(OR(M894=phu!$I$4,M894=phu!$I$5,M894=phu!$I$6,M894=phu!$I$7,M894=phu!$I$8,M894=phu!$I$9,M894=phu!$I$10,M894=phu!$I$11,M894=phu!$I$12,M894=phu!$I$13,M894=phu!$I$14),"Cam Nghĩa",""),IF(OR(M894=phu!$I$15,M894=phu!$I$16,M894=phu!$I$17,M894=phu!$I$18,M894=phu!$I$19,M894=phu!$I$20,M894=phu!$I$21),"Cam Phúc Bắc",""),IF(OR(M894=phu!$I$22,M894=phu!$I$23,M894=phu!$I$24,M894=phu!$I$25),"Cam Phúc Nam",""),IF(OR(M894=phu!$I$26,M894=phu!$I$27,M894=phu!$I$28,M894=phu!$I$29,M894=phu!$I$30,M894=phu!$I$31),"Cam Phú",""),IF(OR(M894=phu!$I$32,M894=phu!$I$33,M894=phu!$I$34,M894=phu!$I$35,M894=phu!$I$36,M894=phu!$I$37),"Cam Lộc",""),IF(OR(M894=phu!$I$38,M894=phu!$I$39,M894=phu!$I$40,M894=phu!$I$41,M894=phu!$I$42,M894=phu!$I$43,M894=phu!$I$44),"Cam Thuận",""),IF(OR(M894=phu!$I$45,M894=phu!$I$46,M894=phu!$I$47,M894=phu!$I$48,M894=phu!$I$49,M894=phu!$I$50,M894=phu!$I$51,M894=phu!$I$52,M894=phu!$I$53),"Cam Linh",""),IF(OR(M894=phu!$I$54,M894=phu!$I$55,M894=phu!$I$56,M894=phu!$I$57,M894=phu!$I$58,M894=phu!$I$59,M894=phu!$I$60,M894=phu!$I$61,M894=phu!$I$62),"Cam Lợi",""),IF(OR(M894=phu!$I$63,M894=phu!$I$64,M894=phu!$I$65,M894=phu!$I$66,M894=phu!$I$67,M894=phu!$I$68,M894=phu!$I$69,M894=phu!$I$70,M894=phu!$I$71),"Ba Ngòi",""),IF(OR(M894=phu!$I$72,M894=phu!$I$73,M894=phu!$I$74,M894=phu!$I$75,M894=phu!$I$76,M894=phu!$I$77,M894=phu!$I$78),"Cam Phước Đông",""),IF(OR(M894=phu!$I$79,M894=phu!$I$80,M894=phu!$I$81,M894=phu!$I$82,M894=phu!$I$83,M894=phu!$I$84),"Cam Thịnh Đông",""),IF(OR(M894=phu!$I$85,M894=phu!$I$86,M894=phu!$I$87,M894=phu!$I$88),"Cam Thịnh Tây",""),IF(OR(M894=phu!$I$89,M894=phu!$I$90),"Cam Lập",""),IF(OR(M894=phu!$I$91,M894=phu!$I$92,M894=phu!$I$93),"Cam Bình",""),IF(OR(M894=phu!$I$94,M894=phu!$I$95,M894=phu!$I$96,M894=phu!$I$97,M894=phu!$I$98,M894=phu!$I$99,M894=phu!$I$100),"Huyện khác",""),IF(OR(M894=phu!$I$101,M894=phu!$I$102),"Tỉnh khác",""))</f>
        <v/>
      </c>
      <c r="O894" s="814" t="str">
        <f t="shared" si="79"/>
        <v/>
      </c>
      <c r="P894" s="254"/>
      <c r="Q894" s="254"/>
      <c r="R894" s="254"/>
      <c r="S894" s="254"/>
      <c r="T894" s="254"/>
      <c r="U894" s="254"/>
      <c r="V894" s="254"/>
      <c r="W894" s="254"/>
      <c r="Y894" s="246" t="str">
        <f t="shared" si="80"/>
        <v/>
      </c>
      <c r="Z894" s="247" t="str">
        <f t="shared" si="78"/>
        <v/>
      </c>
      <c r="AA894" s="246" t="str">
        <f t="shared" si="81"/>
        <v/>
      </c>
    </row>
    <row r="895" spans="1:27" x14ac:dyDescent="0.25">
      <c r="A895" s="248" t="str">
        <f t="shared" si="82"/>
        <v/>
      </c>
      <c r="B895" s="249" t="str">
        <f t="shared" si="83"/>
        <v/>
      </c>
      <c r="C895" s="250"/>
      <c r="D895" s="251"/>
      <c r="E895" s="241"/>
      <c r="F895" s="252"/>
      <c r="G895" s="252"/>
      <c r="H895" s="253"/>
      <c r="I895" s="250"/>
      <c r="J895" s="250"/>
      <c r="K895" s="270"/>
      <c r="L895" s="250"/>
      <c r="M895" s="250"/>
      <c r="N895" s="553" t="str">
        <f>CONCATENATE(IF(OR(M895=phu!$I$1,M895=phu!$I$2,M895=phu!$I$3),"Cam Thành Nam",""),IF(OR(M895=phu!$I$4,M895=phu!$I$5,M895=phu!$I$6,M895=phu!$I$7,M895=phu!$I$8,M895=phu!$I$9,M895=phu!$I$10,M895=phu!$I$11,M895=phu!$I$12,M895=phu!$I$13,M895=phu!$I$14),"Cam Nghĩa",""),IF(OR(M895=phu!$I$15,M895=phu!$I$16,M895=phu!$I$17,M895=phu!$I$18,M895=phu!$I$19,M895=phu!$I$20,M895=phu!$I$21),"Cam Phúc Bắc",""),IF(OR(M895=phu!$I$22,M895=phu!$I$23,M895=phu!$I$24,M895=phu!$I$25),"Cam Phúc Nam",""),IF(OR(M895=phu!$I$26,M895=phu!$I$27,M895=phu!$I$28,M895=phu!$I$29,M895=phu!$I$30,M895=phu!$I$31),"Cam Phú",""),IF(OR(M895=phu!$I$32,M895=phu!$I$33,M895=phu!$I$34,M895=phu!$I$35,M895=phu!$I$36,M895=phu!$I$37),"Cam Lộc",""),IF(OR(M895=phu!$I$38,M895=phu!$I$39,M895=phu!$I$40,M895=phu!$I$41,M895=phu!$I$42,M895=phu!$I$43,M895=phu!$I$44),"Cam Thuận",""),IF(OR(M895=phu!$I$45,M895=phu!$I$46,M895=phu!$I$47,M895=phu!$I$48,M895=phu!$I$49,M895=phu!$I$50,M895=phu!$I$51,M895=phu!$I$52,M895=phu!$I$53),"Cam Linh",""),IF(OR(M895=phu!$I$54,M895=phu!$I$55,M895=phu!$I$56,M895=phu!$I$57,M895=phu!$I$58,M895=phu!$I$59,M895=phu!$I$60,M895=phu!$I$61,M895=phu!$I$62),"Cam Lợi",""),IF(OR(M895=phu!$I$63,M895=phu!$I$64,M895=phu!$I$65,M895=phu!$I$66,M895=phu!$I$67,M895=phu!$I$68,M895=phu!$I$69,M895=phu!$I$70,M895=phu!$I$71),"Ba Ngòi",""),IF(OR(M895=phu!$I$72,M895=phu!$I$73,M895=phu!$I$74,M895=phu!$I$75,M895=phu!$I$76,M895=phu!$I$77,M895=phu!$I$78),"Cam Phước Đông",""),IF(OR(M895=phu!$I$79,M895=phu!$I$80,M895=phu!$I$81,M895=phu!$I$82,M895=phu!$I$83,M895=phu!$I$84),"Cam Thịnh Đông",""),IF(OR(M895=phu!$I$85,M895=phu!$I$86,M895=phu!$I$87,M895=phu!$I$88),"Cam Thịnh Tây",""),IF(OR(M895=phu!$I$89,M895=phu!$I$90),"Cam Lập",""),IF(OR(M895=phu!$I$91,M895=phu!$I$92,M895=phu!$I$93),"Cam Bình",""),IF(OR(M895=phu!$I$94,M895=phu!$I$95,M895=phu!$I$96,M895=phu!$I$97,M895=phu!$I$98,M895=phu!$I$99,M895=phu!$I$100),"Huyện khác",""),IF(OR(M895=phu!$I$101,M895=phu!$I$102),"Tỉnh khác",""))</f>
        <v/>
      </c>
      <c r="O895" s="814" t="str">
        <f t="shared" si="79"/>
        <v/>
      </c>
      <c r="P895" s="254"/>
      <c r="Q895" s="254"/>
      <c r="R895" s="254"/>
      <c r="S895" s="254"/>
      <c r="T895" s="254"/>
      <c r="U895" s="254"/>
      <c r="V895" s="254"/>
      <c r="W895" s="254"/>
      <c r="Y895" s="246" t="str">
        <f t="shared" si="80"/>
        <v/>
      </c>
      <c r="Z895" s="247" t="str">
        <f t="shared" si="78"/>
        <v/>
      </c>
      <c r="AA895" s="246" t="str">
        <f t="shared" si="81"/>
        <v/>
      </c>
    </row>
    <row r="896" spans="1:27" x14ac:dyDescent="0.25">
      <c r="A896" s="248" t="str">
        <f t="shared" si="82"/>
        <v/>
      </c>
      <c r="B896" s="249" t="str">
        <f t="shared" si="83"/>
        <v/>
      </c>
      <c r="C896" s="250"/>
      <c r="D896" s="251"/>
      <c r="E896" s="241"/>
      <c r="F896" s="252"/>
      <c r="G896" s="252"/>
      <c r="H896" s="253"/>
      <c r="I896" s="250"/>
      <c r="J896" s="250"/>
      <c r="K896" s="270"/>
      <c r="L896" s="250"/>
      <c r="M896" s="250"/>
      <c r="N896" s="553" t="str">
        <f>CONCATENATE(IF(OR(M896=phu!$I$1,M896=phu!$I$2,M896=phu!$I$3),"Cam Thành Nam",""),IF(OR(M896=phu!$I$4,M896=phu!$I$5,M896=phu!$I$6,M896=phu!$I$7,M896=phu!$I$8,M896=phu!$I$9,M896=phu!$I$10,M896=phu!$I$11,M896=phu!$I$12,M896=phu!$I$13,M896=phu!$I$14),"Cam Nghĩa",""),IF(OR(M896=phu!$I$15,M896=phu!$I$16,M896=phu!$I$17,M896=phu!$I$18,M896=phu!$I$19,M896=phu!$I$20,M896=phu!$I$21),"Cam Phúc Bắc",""),IF(OR(M896=phu!$I$22,M896=phu!$I$23,M896=phu!$I$24,M896=phu!$I$25),"Cam Phúc Nam",""),IF(OR(M896=phu!$I$26,M896=phu!$I$27,M896=phu!$I$28,M896=phu!$I$29,M896=phu!$I$30,M896=phu!$I$31),"Cam Phú",""),IF(OR(M896=phu!$I$32,M896=phu!$I$33,M896=phu!$I$34,M896=phu!$I$35,M896=phu!$I$36,M896=phu!$I$37),"Cam Lộc",""),IF(OR(M896=phu!$I$38,M896=phu!$I$39,M896=phu!$I$40,M896=phu!$I$41,M896=phu!$I$42,M896=phu!$I$43,M896=phu!$I$44),"Cam Thuận",""),IF(OR(M896=phu!$I$45,M896=phu!$I$46,M896=phu!$I$47,M896=phu!$I$48,M896=phu!$I$49,M896=phu!$I$50,M896=phu!$I$51,M896=phu!$I$52,M896=phu!$I$53),"Cam Linh",""),IF(OR(M896=phu!$I$54,M896=phu!$I$55,M896=phu!$I$56,M896=phu!$I$57,M896=phu!$I$58,M896=phu!$I$59,M896=phu!$I$60,M896=phu!$I$61,M896=phu!$I$62),"Cam Lợi",""),IF(OR(M896=phu!$I$63,M896=phu!$I$64,M896=phu!$I$65,M896=phu!$I$66,M896=phu!$I$67,M896=phu!$I$68,M896=phu!$I$69,M896=phu!$I$70,M896=phu!$I$71),"Ba Ngòi",""),IF(OR(M896=phu!$I$72,M896=phu!$I$73,M896=phu!$I$74,M896=phu!$I$75,M896=phu!$I$76,M896=phu!$I$77,M896=phu!$I$78),"Cam Phước Đông",""),IF(OR(M896=phu!$I$79,M896=phu!$I$80,M896=phu!$I$81,M896=phu!$I$82,M896=phu!$I$83,M896=phu!$I$84),"Cam Thịnh Đông",""),IF(OR(M896=phu!$I$85,M896=phu!$I$86,M896=phu!$I$87,M896=phu!$I$88),"Cam Thịnh Tây",""),IF(OR(M896=phu!$I$89,M896=phu!$I$90),"Cam Lập",""),IF(OR(M896=phu!$I$91,M896=phu!$I$92,M896=phu!$I$93),"Cam Bình",""),IF(OR(M896=phu!$I$94,M896=phu!$I$95,M896=phu!$I$96,M896=phu!$I$97,M896=phu!$I$98,M896=phu!$I$99,M896=phu!$I$100),"Huyện khác",""),IF(OR(M896=phu!$I$101,M896=phu!$I$102),"Tỉnh khác",""))</f>
        <v/>
      </c>
      <c r="O896" s="814" t="str">
        <f t="shared" si="79"/>
        <v/>
      </c>
      <c r="P896" s="254"/>
      <c r="Q896" s="254"/>
      <c r="R896" s="254"/>
      <c r="S896" s="254"/>
      <c r="T896" s="254"/>
      <c r="U896" s="254"/>
      <c r="V896" s="254"/>
      <c r="W896" s="254"/>
      <c r="Y896" s="246" t="str">
        <f t="shared" si="80"/>
        <v/>
      </c>
      <c r="Z896" s="247" t="str">
        <f t="shared" si="78"/>
        <v/>
      </c>
      <c r="AA896" s="246" t="str">
        <f t="shared" si="81"/>
        <v/>
      </c>
    </row>
    <row r="897" spans="1:27" x14ac:dyDescent="0.25">
      <c r="A897" s="248" t="str">
        <f t="shared" si="82"/>
        <v/>
      </c>
      <c r="B897" s="249" t="str">
        <f t="shared" si="83"/>
        <v/>
      </c>
      <c r="C897" s="250"/>
      <c r="D897" s="251"/>
      <c r="E897" s="241"/>
      <c r="F897" s="252"/>
      <c r="G897" s="252"/>
      <c r="H897" s="253"/>
      <c r="I897" s="250"/>
      <c r="J897" s="250"/>
      <c r="K897" s="270"/>
      <c r="L897" s="250"/>
      <c r="M897" s="250"/>
      <c r="N897" s="553" t="str">
        <f>CONCATENATE(IF(OR(M897=phu!$I$1,M897=phu!$I$2,M897=phu!$I$3),"Cam Thành Nam",""),IF(OR(M897=phu!$I$4,M897=phu!$I$5,M897=phu!$I$6,M897=phu!$I$7,M897=phu!$I$8,M897=phu!$I$9,M897=phu!$I$10,M897=phu!$I$11,M897=phu!$I$12,M897=phu!$I$13,M897=phu!$I$14),"Cam Nghĩa",""),IF(OR(M897=phu!$I$15,M897=phu!$I$16,M897=phu!$I$17,M897=phu!$I$18,M897=phu!$I$19,M897=phu!$I$20,M897=phu!$I$21),"Cam Phúc Bắc",""),IF(OR(M897=phu!$I$22,M897=phu!$I$23,M897=phu!$I$24,M897=phu!$I$25),"Cam Phúc Nam",""),IF(OR(M897=phu!$I$26,M897=phu!$I$27,M897=phu!$I$28,M897=phu!$I$29,M897=phu!$I$30,M897=phu!$I$31),"Cam Phú",""),IF(OR(M897=phu!$I$32,M897=phu!$I$33,M897=phu!$I$34,M897=phu!$I$35,M897=phu!$I$36,M897=phu!$I$37),"Cam Lộc",""),IF(OR(M897=phu!$I$38,M897=phu!$I$39,M897=phu!$I$40,M897=phu!$I$41,M897=phu!$I$42,M897=phu!$I$43,M897=phu!$I$44),"Cam Thuận",""),IF(OR(M897=phu!$I$45,M897=phu!$I$46,M897=phu!$I$47,M897=phu!$I$48,M897=phu!$I$49,M897=phu!$I$50,M897=phu!$I$51,M897=phu!$I$52,M897=phu!$I$53),"Cam Linh",""),IF(OR(M897=phu!$I$54,M897=phu!$I$55,M897=phu!$I$56,M897=phu!$I$57,M897=phu!$I$58,M897=phu!$I$59,M897=phu!$I$60,M897=phu!$I$61,M897=phu!$I$62),"Cam Lợi",""),IF(OR(M897=phu!$I$63,M897=phu!$I$64,M897=phu!$I$65,M897=phu!$I$66,M897=phu!$I$67,M897=phu!$I$68,M897=phu!$I$69,M897=phu!$I$70,M897=phu!$I$71),"Ba Ngòi",""),IF(OR(M897=phu!$I$72,M897=phu!$I$73,M897=phu!$I$74,M897=phu!$I$75,M897=phu!$I$76,M897=phu!$I$77,M897=phu!$I$78),"Cam Phước Đông",""),IF(OR(M897=phu!$I$79,M897=phu!$I$80,M897=phu!$I$81,M897=phu!$I$82,M897=phu!$I$83,M897=phu!$I$84),"Cam Thịnh Đông",""),IF(OR(M897=phu!$I$85,M897=phu!$I$86,M897=phu!$I$87,M897=phu!$I$88),"Cam Thịnh Tây",""),IF(OR(M897=phu!$I$89,M897=phu!$I$90),"Cam Lập",""),IF(OR(M897=phu!$I$91,M897=phu!$I$92,M897=phu!$I$93),"Cam Bình",""),IF(OR(M897=phu!$I$94,M897=phu!$I$95,M897=phu!$I$96,M897=phu!$I$97,M897=phu!$I$98,M897=phu!$I$99,M897=phu!$I$100),"Huyện khác",""),IF(OR(M897=phu!$I$101,M897=phu!$I$102),"Tỉnh khác",""))</f>
        <v/>
      </c>
      <c r="O897" s="814" t="str">
        <f t="shared" si="79"/>
        <v/>
      </c>
      <c r="P897" s="254"/>
      <c r="Q897" s="254"/>
      <c r="R897" s="254"/>
      <c r="S897" s="254"/>
      <c r="T897" s="254"/>
      <c r="U897" s="254"/>
      <c r="V897" s="254"/>
      <c r="W897" s="254"/>
      <c r="Y897" s="246" t="str">
        <f t="shared" si="80"/>
        <v/>
      </c>
      <c r="Z897" s="247" t="str">
        <f t="shared" si="78"/>
        <v/>
      </c>
      <c r="AA897" s="246" t="str">
        <f t="shared" si="81"/>
        <v/>
      </c>
    </row>
    <row r="898" spans="1:27" x14ac:dyDescent="0.25">
      <c r="A898" s="248" t="str">
        <f t="shared" si="82"/>
        <v/>
      </c>
      <c r="B898" s="249" t="str">
        <f t="shared" si="83"/>
        <v/>
      </c>
      <c r="C898" s="250"/>
      <c r="D898" s="251"/>
      <c r="E898" s="241"/>
      <c r="F898" s="252"/>
      <c r="G898" s="252"/>
      <c r="H898" s="253"/>
      <c r="I898" s="250"/>
      <c r="J898" s="250"/>
      <c r="K898" s="270"/>
      <c r="L898" s="250"/>
      <c r="M898" s="250"/>
      <c r="N898" s="553" t="str">
        <f>CONCATENATE(IF(OR(M898=phu!$I$1,M898=phu!$I$2,M898=phu!$I$3),"Cam Thành Nam",""),IF(OR(M898=phu!$I$4,M898=phu!$I$5,M898=phu!$I$6,M898=phu!$I$7,M898=phu!$I$8,M898=phu!$I$9,M898=phu!$I$10,M898=phu!$I$11,M898=phu!$I$12,M898=phu!$I$13,M898=phu!$I$14),"Cam Nghĩa",""),IF(OR(M898=phu!$I$15,M898=phu!$I$16,M898=phu!$I$17,M898=phu!$I$18,M898=phu!$I$19,M898=phu!$I$20,M898=phu!$I$21),"Cam Phúc Bắc",""),IF(OR(M898=phu!$I$22,M898=phu!$I$23,M898=phu!$I$24,M898=phu!$I$25),"Cam Phúc Nam",""),IF(OR(M898=phu!$I$26,M898=phu!$I$27,M898=phu!$I$28,M898=phu!$I$29,M898=phu!$I$30,M898=phu!$I$31),"Cam Phú",""),IF(OR(M898=phu!$I$32,M898=phu!$I$33,M898=phu!$I$34,M898=phu!$I$35,M898=phu!$I$36,M898=phu!$I$37),"Cam Lộc",""),IF(OR(M898=phu!$I$38,M898=phu!$I$39,M898=phu!$I$40,M898=phu!$I$41,M898=phu!$I$42,M898=phu!$I$43,M898=phu!$I$44),"Cam Thuận",""),IF(OR(M898=phu!$I$45,M898=phu!$I$46,M898=phu!$I$47,M898=phu!$I$48,M898=phu!$I$49,M898=phu!$I$50,M898=phu!$I$51,M898=phu!$I$52,M898=phu!$I$53),"Cam Linh",""),IF(OR(M898=phu!$I$54,M898=phu!$I$55,M898=phu!$I$56,M898=phu!$I$57,M898=phu!$I$58,M898=phu!$I$59,M898=phu!$I$60,M898=phu!$I$61,M898=phu!$I$62),"Cam Lợi",""),IF(OR(M898=phu!$I$63,M898=phu!$I$64,M898=phu!$I$65,M898=phu!$I$66,M898=phu!$I$67,M898=phu!$I$68,M898=phu!$I$69,M898=phu!$I$70,M898=phu!$I$71),"Ba Ngòi",""),IF(OR(M898=phu!$I$72,M898=phu!$I$73,M898=phu!$I$74,M898=phu!$I$75,M898=phu!$I$76,M898=phu!$I$77,M898=phu!$I$78),"Cam Phước Đông",""),IF(OR(M898=phu!$I$79,M898=phu!$I$80,M898=phu!$I$81,M898=phu!$I$82,M898=phu!$I$83,M898=phu!$I$84),"Cam Thịnh Đông",""),IF(OR(M898=phu!$I$85,M898=phu!$I$86,M898=phu!$I$87,M898=phu!$I$88),"Cam Thịnh Tây",""),IF(OR(M898=phu!$I$89,M898=phu!$I$90),"Cam Lập",""),IF(OR(M898=phu!$I$91,M898=phu!$I$92,M898=phu!$I$93),"Cam Bình",""),IF(OR(M898=phu!$I$94,M898=phu!$I$95,M898=phu!$I$96,M898=phu!$I$97,M898=phu!$I$98,M898=phu!$I$99,M898=phu!$I$100),"Huyện khác",""),IF(OR(M898=phu!$I$101,M898=phu!$I$102),"Tỉnh khác",""))</f>
        <v/>
      </c>
      <c r="O898" s="814" t="str">
        <f t="shared" si="79"/>
        <v/>
      </c>
      <c r="P898" s="254"/>
      <c r="Q898" s="254"/>
      <c r="R898" s="254"/>
      <c r="S898" s="254"/>
      <c r="T898" s="254"/>
      <c r="U898" s="254"/>
      <c r="V898" s="254"/>
      <c r="W898" s="254"/>
      <c r="Y898" s="246" t="str">
        <f t="shared" si="80"/>
        <v/>
      </c>
      <c r="Z898" s="247" t="str">
        <f t="shared" si="78"/>
        <v/>
      </c>
      <c r="AA898" s="246" t="str">
        <f t="shared" si="81"/>
        <v/>
      </c>
    </row>
    <row r="899" spans="1:27" x14ac:dyDescent="0.25">
      <c r="A899" s="248" t="str">
        <f t="shared" si="82"/>
        <v/>
      </c>
      <c r="B899" s="249" t="str">
        <f t="shared" si="83"/>
        <v/>
      </c>
      <c r="C899" s="250"/>
      <c r="D899" s="251"/>
      <c r="E899" s="241"/>
      <c r="F899" s="252"/>
      <c r="G899" s="252"/>
      <c r="H899" s="253"/>
      <c r="I899" s="250"/>
      <c r="J899" s="250"/>
      <c r="K899" s="270"/>
      <c r="L899" s="250"/>
      <c r="M899" s="250"/>
      <c r="N899" s="553" t="str">
        <f>CONCATENATE(IF(OR(M899=phu!$I$1,M899=phu!$I$2,M899=phu!$I$3),"Cam Thành Nam",""),IF(OR(M899=phu!$I$4,M899=phu!$I$5,M899=phu!$I$6,M899=phu!$I$7,M899=phu!$I$8,M899=phu!$I$9,M899=phu!$I$10,M899=phu!$I$11,M899=phu!$I$12,M899=phu!$I$13,M899=phu!$I$14),"Cam Nghĩa",""),IF(OR(M899=phu!$I$15,M899=phu!$I$16,M899=phu!$I$17,M899=phu!$I$18,M899=phu!$I$19,M899=phu!$I$20,M899=phu!$I$21),"Cam Phúc Bắc",""),IF(OR(M899=phu!$I$22,M899=phu!$I$23,M899=phu!$I$24,M899=phu!$I$25),"Cam Phúc Nam",""),IF(OR(M899=phu!$I$26,M899=phu!$I$27,M899=phu!$I$28,M899=phu!$I$29,M899=phu!$I$30,M899=phu!$I$31),"Cam Phú",""),IF(OR(M899=phu!$I$32,M899=phu!$I$33,M899=phu!$I$34,M899=phu!$I$35,M899=phu!$I$36,M899=phu!$I$37),"Cam Lộc",""),IF(OR(M899=phu!$I$38,M899=phu!$I$39,M899=phu!$I$40,M899=phu!$I$41,M899=phu!$I$42,M899=phu!$I$43,M899=phu!$I$44),"Cam Thuận",""),IF(OR(M899=phu!$I$45,M899=phu!$I$46,M899=phu!$I$47,M899=phu!$I$48,M899=phu!$I$49,M899=phu!$I$50,M899=phu!$I$51,M899=phu!$I$52,M899=phu!$I$53),"Cam Linh",""),IF(OR(M899=phu!$I$54,M899=phu!$I$55,M899=phu!$I$56,M899=phu!$I$57,M899=phu!$I$58,M899=phu!$I$59,M899=phu!$I$60,M899=phu!$I$61,M899=phu!$I$62),"Cam Lợi",""),IF(OR(M899=phu!$I$63,M899=phu!$I$64,M899=phu!$I$65,M899=phu!$I$66,M899=phu!$I$67,M899=phu!$I$68,M899=phu!$I$69,M899=phu!$I$70,M899=phu!$I$71),"Ba Ngòi",""),IF(OR(M899=phu!$I$72,M899=phu!$I$73,M899=phu!$I$74,M899=phu!$I$75,M899=phu!$I$76,M899=phu!$I$77,M899=phu!$I$78),"Cam Phước Đông",""),IF(OR(M899=phu!$I$79,M899=phu!$I$80,M899=phu!$I$81,M899=phu!$I$82,M899=phu!$I$83,M899=phu!$I$84),"Cam Thịnh Đông",""),IF(OR(M899=phu!$I$85,M899=phu!$I$86,M899=phu!$I$87,M899=phu!$I$88),"Cam Thịnh Tây",""),IF(OR(M899=phu!$I$89,M899=phu!$I$90),"Cam Lập",""),IF(OR(M899=phu!$I$91,M899=phu!$I$92,M899=phu!$I$93),"Cam Bình",""),IF(OR(M899=phu!$I$94,M899=phu!$I$95,M899=phu!$I$96,M899=phu!$I$97,M899=phu!$I$98,M899=phu!$I$99,M899=phu!$I$100),"Huyện khác",""),IF(OR(M899=phu!$I$101,M899=phu!$I$102),"Tỉnh khác",""))</f>
        <v/>
      </c>
      <c r="O899" s="814" t="str">
        <f t="shared" si="79"/>
        <v/>
      </c>
      <c r="P899" s="254"/>
      <c r="Q899" s="254"/>
      <c r="R899" s="254"/>
      <c r="S899" s="254"/>
      <c r="T899" s="254"/>
      <c r="U899" s="254"/>
      <c r="V899" s="254"/>
      <c r="W899" s="254"/>
      <c r="Y899" s="246" t="str">
        <f t="shared" si="80"/>
        <v/>
      </c>
      <c r="Z899" s="247" t="str">
        <f t="shared" si="78"/>
        <v/>
      </c>
      <c r="AA899" s="246" t="str">
        <f t="shared" si="81"/>
        <v/>
      </c>
    </row>
    <row r="900" spans="1:27" x14ac:dyDescent="0.25">
      <c r="A900" s="248" t="str">
        <f t="shared" si="82"/>
        <v/>
      </c>
      <c r="B900" s="249" t="str">
        <f t="shared" si="83"/>
        <v/>
      </c>
      <c r="C900" s="250"/>
      <c r="D900" s="251"/>
      <c r="E900" s="241"/>
      <c r="F900" s="252"/>
      <c r="G900" s="252"/>
      <c r="H900" s="253"/>
      <c r="I900" s="250"/>
      <c r="J900" s="250"/>
      <c r="K900" s="270"/>
      <c r="L900" s="250"/>
      <c r="M900" s="250"/>
      <c r="N900" s="553" t="str">
        <f>CONCATENATE(IF(OR(M900=phu!$I$1,M900=phu!$I$2,M900=phu!$I$3),"Cam Thành Nam",""),IF(OR(M900=phu!$I$4,M900=phu!$I$5,M900=phu!$I$6,M900=phu!$I$7,M900=phu!$I$8,M900=phu!$I$9,M900=phu!$I$10,M900=phu!$I$11,M900=phu!$I$12,M900=phu!$I$13,M900=phu!$I$14),"Cam Nghĩa",""),IF(OR(M900=phu!$I$15,M900=phu!$I$16,M900=phu!$I$17,M900=phu!$I$18,M900=phu!$I$19,M900=phu!$I$20,M900=phu!$I$21),"Cam Phúc Bắc",""),IF(OR(M900=phu!$I$22,M900=phu!$I$23,M900=phu!$I$24,M900=phu!$I$25),"Cam Phúc Nam",""),IF(OR(M900=phu!$I$26,M900=phu!$I$27,M900=phu!$I$28,M900=phu!$I$29,M900=phu!$I$30,M900=phu!$I$31),"Cam Phú",""),IF(OR(M900=phu!$I$32,M900=phu!$I$33,M900=phu!$I$34,M900=phu!$I$35,M900=phu!$I$36,M900=phu!$I$37),"Cam Lộc",""),IF(OR(M900=phu!$I$38,M900=phu!$I$39,M900=phu!$I$40,M900=phu!$I$41,M900=phu!$I$42,M900=phu!$I$43,M900=phu!$I$44),"Cam Thuận",""),IF(OR(M900=phu!$I$45,M900=phu!$I$46,M900=phu!$I$47,M900=phu!$I$48,M900=phu!$I$49,M900=phu!$I$50,M900=phu!$I$51,M900=phu!$I$52,M900=phu!$I$53),"Cam Linh",""),IF(OR(M900=phu!$I$54,M900=phu!$I$55,M900=phu!$I$56,M900=phu!$I$57,M900=phu!$I$58,M900=phu!$I$59,M900=phu!$I$60,M900=phu!$I$61,M900=phu!$I$62),"Cam Lợi",""),IF(OR(M900=phu!$I$63,M900=phu!$I$64,M900=phu!$I$65,M900=phu!$I$66,M900=phu!$I$67,M900=phu!$I$68,M900=phu!$I$69,M900=phu!$I$70,M900=phu!$I$71),"Ba Ngòi",""),IF(OR(M900=phu!$I$72,M900=phu!$I$73,M900=phu!$I$74,M900=phu!$I$75,M900=phu!$I$76,M900=phu!$I$77,M900=phu!$I$78),"Cam Phước Đông",""),IF(OR(M900=phu!$I$79,M900=phu!$I$80,M900=phu!$I$81,M900=phu!$I$82,M900=phu!$I$83,M900=phu!$I$84),"Cam Thịnh Đông",""),IF(OR(M900=phu!$I$85,M900=phu!$I$86,M900=phu!$I$87,M900=phu!$I$88),"Cam Thịnh Tây",""),IF(OR(M900=phu!$I$89,M900=phu!$I$90),"Cam Lập",""),IF(OR(M900=phu!$I$91,M900=phu!$I$92,M900=phu!$I$93),"Cam Bình",""),IF(OR(M900=phu!$I$94,M900=phu!$I$95,M900=phu!$I$96,M900=phu!$I$97,M900=phu!$I$98,M900=phu!$I$99,M900=phu!$I$100),"Huyện khác",""),IF(OR(M900=phu!$I$101,M900=phu!$I$102),"Tỉnh khác",""))</f>
        <v/>
      </c>
      <c r="O900" s="814" t="str">
        <f t="shared" si="79"/>
        <v/>
      </c>
      <c r="P900" s="254"/>
      <c r="Q900" s="254"/>
      <c r="R900" s="254"/>
      <c r="S900" s="254"/>
      <c r="T900" s="254"/>
      <c r="U900" s="254"/>
      <c r="V900" s="254"/>
      <c r="W900" s="254"/>
      <c r="Y900" s="246" t="str">
        <f t="shared" si="80"/>
        <v/>
      </c>
      <c r="Z900" s="247" t="str">
        <f t="shared" si="78"/>
        <v/>
      </c>
      <c r="AA900" s="246" t="str">
        <f t="shared" si="81"/>
        <v/>
      </c>
    </row>
    <row r="901" spans="1:27" x14ac:dyDescent="0.25">
      <c r="A901" s="248" t="str">
        <f t="shared" si="82"/>
        <v/>
      </c>
      <c r="B901" s="249" t="str">
        <f t="shared" si="83"/>
        <v/>
      </c>
      <c r="C901" s="250"/>
      <c r="D901" s="251"/>
      <c r="E901" s="241"/>
      <c r="F901" s="252"/>
      <c r="G901" s="252"/>
      <c r="H901" s="253"/>
      <c r="I901" s="250"/>
      <c r="J901" s="250"/>
      <c r="K901" s="270"/>
      <c r="L901" s="250"/>
      <c r="M901" s="250"/>
      <c r="N901" s="553" t="str">
        <f>CONCATENATE(IF(OR(M901=phu!$I$1,M901=phu!$I$2,M901=phu!$I$3),"Cam Thành Nam",""),IF(OR(M901=phu!$I$4,M901=phu!$I$5,M901=phu!$I$6,M901=phu!$I$7,M901=phu!$I$8,M901=phu!$I$9,M901=phu!$I$10,M901=phu!$I$11,M901=phu!$I$12,M901=phu!$I$13,M901=phu!$I$14),"Cam Nghĩa",""),IF(OR(M901=phu!$I$15,M901=phu!$I$16,M901=phu!$I$17,M901=phu!$I$18,M901=phu!$I$19,M901=phu!$I$20,M901=phu!$I$21),"Cam Phúc Bắc",""),IF(OR(M901=phu!$I$22,M901=phu!$I$23,M901=phu!$I$24,M901=phu!$I$25),"Cam Phúc Nam",""),IF(OR(M901=phu!$I$26,M901=phu!$I$27,M901=phu!$I$28,M901=phu!$I$29,M901=phu!$I$30,M901=phu!$I$31),"Cam Phú",""),IF(OR(M901=phu!$I$32,M901=phu!$I$33,M901=phu!$I$34,M901=phu!$I$35,M901=phu!$I$36,M901=phu!$I$37),"Cam Lộc",""),IF(OR(M901=phu!$I$38,M901=phu!$I$39,M901=phu!$I$40,M901=phu!$I$41,M901=phu!$I$42,M901=phu!$I$43,M901=phu!$I$44),"Cam Thuận",""),IF(OR(M901=phu!$I$45,M901=phu!$I$46,M901=phu!$I$47,M901=phu!$I$48,M901=phu!$I$49,M901=phu!$I$50,M901=phu!$I$51,M901=phu!$I$52,M901=phu!$I$53),"Cam Linh",""),IF(OR(M901=phu!$I$54,M901=phu!$I$55,M901=phu!$I$56,M901=phu!$I$57,M901=phu!$I$58,M901=phu!$I$59,M901=phu!$I$60,M901=phu!$I$61,M901=phu!$I$62),"Cam Lợi",""),IF(OR(M901=phu!$I$63,M901=phu!$I$64,M901=phu!$I$65,M901=phu!$I$66,M901=phu!$I$67,M901=phu!$I$68,M901=phu!$I$69,M901=phu!$I$70,M901=phu!$I$71),"Ba Ngòi",""),IF(OR(M901=phu!$I$72,M901=phu!$I$73,M901=phu!$I$74,M901=phu!$I$75,M901=phu!$I$76,M901=phu!$I$77,M901=phu!$I$78),"Cam Phước Đông",""),IF(OR(M901=phu!$I$79,M901=phu!$I$80,M901=phu!$I$81,M901=phu!$I$82,M901=phu!$I$83,M901=phu!$I$84),"Cam Thịnh Đông",""),IF(OR(M901=phu!$I$85,M901=phu!$I$86,M901=phu!$I$87,M901=phu!$I$88),"Cam Thịnh Tây",""),IF(OR(M901=phu!$I$89,M901=phu!$I$90),"Cam Lập",""),IF(OR(M901=phu!$I$91,M901=phu!$I$92,M901=phu!$I$93),"Cam Bình",""),IF(OR(M901=phu!$I$94,M901=phu!$I$95,M901=phu!$I$96,M901=phu!$I$97,M901=phu!$I$98,M901=phu!$I$99,M901=phu!$I$100),"Huyện khác",""),IF(OR(M901=phu!$I$101,M901=phu!$I$102),"Tỉnh khác",""))</f>
        <v/>
      </c>
      <c r="O901" s="814" t="str">
        <f t="shared" si="79"/>
        <v/>
      </c>
      <c r="P901" s="254"/>
      <c r="Q901" s="254"/>
      <c r="R901" s="254"/>
      <c r="S901" s="254"/>
      <c r="T901" s="254"/>
      <c r="U901" s="254"/>
      <c r="V901" s="254"/>
      <c r="W901" s="254"/>
      <c r="Y901" s="246" t="str">
        <f t="shared" si="80"/>
        <v/>
      </c>
      <c r="Z901" s="247" t="str">
        <f t="shared" si="78"/>
        <v/>
      </c>
      <c r="AA901" s="246" t="str">
        <f t="shared" si="81"/>
        <v/>
      </c>
    </row>
    <row r="902" spans="1:27" x14ac:dyDescent="0.25">
      <c r="A902" s="248" t="str">
        <f t="shared" si="82"/>
        <v/>
      </c>
      <c r="B902" s="249" t="str">
        <f t="shared" si="83"/>
        <v/>
      </c>
      <c r="C902" s="250"/>
      <c r="D902" s="251"/>
      <c r="E902" s="241"/>
      <c r="F902" s="252"/>
      <c r="G902" s="252"/>
      <c r="H902" s="253"/>
      <c r="I902" s="250"/>
      <c r="J902" s="250"/>
      <c r="K902" s="270"/>
      <c r="L902" s="250"/>
      <c r="M902" s="250"/>
      <c r="N902" s="553" t="str">
        <f>CONCATENATE(IF(OR(M902=phu!$I$1,M902=phu!$I$2,M902=phu!$I$3),"Cam Thành Nam",""),IF(OR(M902=phu!$I$4,M902=phu!$I$5,M902=phu!$I$6,M902=phu!$I$7,M902=phu!$I$8,M902=phu!$I$9,M902=phu!$I$10,M902=phu!$I$11,M902=phu!$I$12,M902=phu!$I$13,M902=phu!$I$14),"Cam Nghĩa",""),IF(OR(M902=phu!$I$15,M902=phu!$I$16,M902=phu!$I$17,M902=phu!$I$18,M902=phu!$I$19,M902=phu!$I$20,M902=phu!$I$21),"Cam Phúc Bắc",""),IF(OR(M902=phu!$I$22,M902=phu!$I$23,M902=phu!$I$24,M902=phu!$I$25),"Cam Phúc Nam",""),IF(OR(M902=phu!$I$26,M902=phu!$I$27,M902=phu!$I$28,M902=phu!$I$29,M902=phu!$I$30,M902=phu!$I$31),"Cam Phú",""),IF(OR(M902=phu!$I$32,M902=phu!$I$33,M902=phu!$I$34,M902=phu!$I$35,M902=phu!$I$36,M902=phu!$I$37),"Cam Lộc",""),IF(OR(M902=phu!$I$38,M902=phu!$I$39,M902=phu!$I$40,M902=phu!$I$41,M902=phu!$I$42,M902=phu!$I$43,M902=phu!$I$44),"Cam Thuận",""),IF(OR(M902=phu!$I$45,M902=phu!$I$46,M902=phu!$I$47,M902=phu!$I$48,M902=phu!$I$49,M902=phu!$I$50,M902=phu!$I$51,M902=phu!$I$52,M902=phu!$I$53),"Cam Linh",""),IF(OR(M902=phu!$I$54,M902=phu!$I$55,M902=phu!$I$56,M902=phu!$I$57,M902=phu!$I$58,M902=phu!$I$59,M902=phu!$I$60,M902=phu!$I$61,M902=phu!$I$62),"Cam Lợi",""),IF(OR(M902=phu!$I$63,M902=phu!$I$64,M902=phu!$I$65,M902=phu!$I$66,M902=phu!$I$67,M902=phu!$I$68,M902=phu!$I$69,M902=phu!$I$70,M902=phu!$I$71),"Ba Ngòi",""),IF(OR(M902=phu!$I$72,M902=phu!$I$73,M902=phu!$I$74,M902=phu!$I$75,M902=phu!$I$76,M902=phu!$I$77,M902=phu!$I$78),"Cam Phước Đông",""),IF(OR(M902=phu!$I$79,M902=phu!$I$80,M902=phu!$I$81,M902=phu!$I$82,M902=phu!$I$83,M902=phu!$I$84),"Cam Thịnh Đông",""),IF(OR(M902=phu!$I$85,M902=phu!$I$86,M902=phu!$I$87,M902=phu!$I$88),"Cam Thịnh Tây",""),IF(OR(M902=phu!$I$89,M902=phu!$I$90),"Cam Lập",""),IF(OR(M902=phu!$I$91,M902=phu!$I$92,M902=phu!$I$93),"Cam Bình",""),IF(OR(M902=phu!$I$94,M902=phu!$I$95,M902=phu!$I$96,M902=phu!$I$97,M902=phu!$I$98,M902=phu!$I$99,M902=phu!$I$100),"Huyện khác",""),IF(OR(M902=phu!$I$101,M902=phu!$I$102),"Tỉnh khác",""))</f>
        <v/>
      </c>
      <c r="O902" s="814" t="str">
        <f t="shared" si="79"/>
        <v/>
      </c>
      <c r="P902" s="254"/>
      <c r="Q902" s="254"/>
      <c r="R902" s="254"/>
      <c r="S902" s="254"/>
      <c r="T902" s="254"/>
      <c r="U902" s="254"/>
      <c r="V902" s="254"/>
      <c r="W902" s="254"/>
      <c r="Y902" s="246" t="str">
        <f t="shared" si="80"/>
        <v/>
      </c>
      <c r="Z902" s="247" t="str">
        <f t="shared" ref="Z902:Z965" si="84">IF(H902="","",$Z$1-H902)</f>
        <v/>
      </c>
      <c r="AA902" s="246" t="str">
        <f t="shared" si="81"/>
        <v/>
      </c>
    </row>
    <row r="903" spans="1:27" x14ac:dyDescent="0.25">
      <c r="A903" s="248" t="str">
        <f t="shared" si="82"/>
        <v/>
      </c>
      <c r="B903" s="249" t="str">
        <f t="shared" si="83"/>
        <v/>
      </c>
      <c r="C903" s="250"/>
      <c r="D903" s="251"/>
      <c r="E903" s="241"/>
      <c r="F903" s="252"/>
      <c r="G903" s="252"/>
      <c r="H903" s="253"/>
      <c r="I903" s="250"/>
      <c r="J903" s="250"/>
      <c r="K903" s="270"/>
      <c r="L903" s="250"/>
      <c r="M903" s="250"/>
      <c r="N903" s="553" t="str">
        <f>CONCATENATE(IF(OR(M903=phu!$I$1,M903=phu!$I$2,M903=phu!$I$3),"Cam Thành Nam",""),IF(OR(M903=phu!$I$4,M903=phu!$I$5,M903=phu!$I$6,M903=phu!$I$7,M903=phu!$I$8,M903=phu!$I$9,M903=phu!$I$10,M903=phu!$I$11,M903=phu!$I$12,M903=phu!$I$13,M903=phu!$I$14),"Cam Nghĩa",""),IF(OR(M903=phu!$I$15,M903=phu!$I$16,M903=phu!$I$17,M903=phu!$I$18,M903=phu!$I$19,M903=phu!$I$20,M903=phu!$I$21),"Cam Phúc Bắc",""),IF(OR(M903=phu!$I$22,M903=phu!$I$23,M903=phu!$I$24,M903=phu!$I$25),"Cam Phúc Nam",""),IF(OR(M903=phu!$I$26,M903=phu!$I$27,M903=phu!$I$28,M903=phu!$I$29,M903=phu!$I$30,M903=phu!$I$31),"Cam Phú",""),IF(OR(M903=phu!$I$32,M903=phu!$I$33,M903=phu!$I$34,M903=phu!$I$35,M903=phu!$I$36,M903=phu!$I$37),"Cam Lộc",""),IF(OR(M903=phu!$I$38,M903=phu!$I$39,M903=phu!$I$40,M903=phu!$I$41,M903=phu!$I$42,M903=phu!$I$43,M903=phu!$I$44),"Cam Thuận",""),IF(OR(M903=phu!$I$45,M903=phu!$I$46,M903=phu!$I$47,M903=phu!$I$48,M903=phu!$I$49,M903=phu!$I$50,M903=phu!$I$51,M903=phu!$I$52,M903=phu!$I$53),"Cam Linh",""),IF(OR(M903=phu!$I$54,M903=phu!$I$55,M903=phu!$I$56,M903=phu!$I$57,M903=phu!$I$58,M903=phu!$I$59,M903=phu!$I$60,M903=phu!$I$61,M903=phu!$I$62),"Cam Lợi",""),IF(OR(M903=phu!$I$63,M903=phu!$I$64,M903=phu!$I$65,M903=phu!$I$66,M903=phu!$I$67,M903=phu!$I$68,M903=phu!$I$69,M903=phu!$I$70,M903=phu!$I$71),"Ba Ngòi",""),IF(OR(M903=phu!$I$72,M903=phu!$I$73,M903=phu!$I$74,M903=phu!$I$75,M903=phu!$I$76,M903=phu!$I$77,M903=phu!$I$78),"Cam Phước Đông",""),IF(OR(M903=phu!$I$79,M903=phu!$I$80,M903=phu!$I$81,M903=phu!$I$82,M903=phu!$I$83,M903=phu!$I$84),"Cam Thịnh Đông",""),IF(OR(M903=phu!$I$85,M903=phu!$I$86,M903=phu!$I$87,M903=phu!$I$88),"Cam Thịnh Tây",""),IF(OR(M903=phu!$I$89,M903=phu!$I$90),"Cam Lập",""),IF(OR(M903=phu!$I$91,M903=phu!$I$92,M903=phu!$I$93),"Cam Bình",""),IF(OR(M903=phu!$I$94,M903=phu!$I$95,M903=phu!$I$96,M903=phu!$I$97,M903=phu!$I$98,M903=phu!$I$99,M903=phu!$I$100),"Huyện khác",""),IF(OR(M903=phu!$I$101,M903=phu!$I$102),"Tỉnh khác",""))</f>
        <v/>
      </c>
      <c r="O903" s="814" t="str">
        <f t="shared" ref="O903:O966" si="85">CONCATENATE(IF(OR(N903="Cam Thành Nam",N903="Cam Nghĩa",N903="Cam Phúc Bắc"),"Bắc Cam Ranh",""),IF(OR(N903="Cam Phúc Nam",N903="Cam Phú",N903="Cam Lộc"),"Cam Ranh",""),IF(OR(N903="Cam Thuận",N903="Cam Linh",N903="Cam Lợi"),"Cam Linh",""),IF(OR(N903="Ba Ngòi",N903="Cam Phước Đông"),"Ba Ngòi",""),IF(OR(N903="Cam Thịnh Đông",N903="Cam Thịnh Tây",N903="Cam Lập",N903="Cam Bình"),"Nam Cam Ranh",""),IF(N903="Huyện khác","Huyện khác",""),IF(N903="Tỉnh khác","Tỉnh khác",""))</f>
        <v/>
      </c>
      <c r="P903" s="254"/>
      <c r="Q903" s="254"/>
      <c r="R903" s="254"/>
      <c r="S903" s="254"/>
      <c r="T903" s="254"/>
      <c r="U903" s="254"/>
      <c r="V903" s="254"/>
      <c r="W903" s="254"/>
      <c r="Y903" s="246" t="str">
        <f t="shared" ref="Y903:Y966" si="86">IF(OR(AND(B903="",C903="",D903="",E903="",F903="",G903="",H903="",I903="",J903="",L903="",M903="",N903="",P903="",Q903="",R903="",S903=""),AND(B903&lt;&gt;"",C903&lt;&gt;"",D903&lt;&gt;"",E903&lt;&gt;"",F903&lt;&gt;"",G903&lt;&gt;"",H903&lt;&gt;"",J903&lt;&gt;"",M903&lt;&gt;"",N903&lt;&gt;"",P903&lt;&gt;"",OR(AND(Q903&lt;&gt;"",R903=""),AND(Q903="",R903&lt;&gt;""),AND(Q903&lt;&gt;"",R903&lt;&gt;"")),OR(AND(K903="X",T903&lt;&gt;""),AND(K903="",T903="")))),"","er")</f>
        <v/>
      </c>
      <c r="Z903" s="247" t="str">
        <f t="shared" si="84"/>
        <v/>
      </c>
      <c r="AA903" s="246" t="str">
        <f t="shared" ref="AA903:AA966" si="87">IF(OR(AND(Z903=5,B903&gt;0),AND(Z903=6,B903&gt;1),AND(Z903=7,B903&gt;2),AND(Z903=8,B903&gt;3),AND(Z903=9,B903&gt;4),AND(Z903=10,B903&gt;5),AND(Z903=5,B903=0,L903="X"),AND(Z903=6,B903=1,L903="X"),AND(Z903=7,B903=2,L903="X"),AND(Z903=8,B903=3,L903="X"),AND(Z903=9,B903=4,L903="X"),AND(Z903=10,B903=5,L903="X")),"er","")</f>
        <v/>
      </c>
    </row>
    <row r="904" spans="1:27" x14ac:dyDescent="0.25">
      <c r="A904" s="248" t="str">
        <f t="shared" ref="A904:A967" si="88">IF(OR(A903="",B904="",C904="",D904="",E904=""),"",A903+1)</f>
        <v/>
      </c>
      <c r="B904" s="249" t="str">
        <f t="shared" ref="B904:B967" si="89">IF(C904="","",VALUE(LEFT(C904,1)))</f>
        <v/>
      </c>
      <c r="C904" s="250"/>
      <c r="D904" s="251"/>
      <c r="E904" s="241"/>
      <c r="F904" s="252"/>
      <c r="G904" s="252"/>
      <c r="H904" s="253"/>
      <c r="I904" s="250"/>
      <c r="J904" s="250"/>
      <c r="K904" s="270"/>
      <c r="L904" s="250"/>
      <c r="M904" s="250"/>
      <c r="N904" s="553" t="str">
        <f>CONCATENATE(IF(OR(M904=phu!$I$1,M904=phu!$I$2,M904=phu!$I$3),"Cam Thành Nam",""),IF(OR(M904=phu!$I$4,M904=phu!$I$5,M904=phu!$I$6,M904=phu!$I$7,M904=phu!$I$8,M904=phu!$I$9,M904=phu!$I$10,M904=phu!$I$11,M904=phu!$I$12,M904=phu!$I$13,M904=phu!$I$14),"Cam Nghĩa",""),IF(OR(M904=phu!$I$15,M904=phu!$I$16,M904=phu!$I$17,M904=phu!$I$18,M904=phu!$I$19,M904=phu!$I$20,M904=phu!$I$21),"Cam Phúc Bắc",""),IF(OR(M904=phu!$I$22,M904=phu!$I$23,M904=phu!$I$24,M904=phu!$I$25),"Cam Phúc Nam",""),IF(OR(M904=phu!$I$26,M904=phu!$I$27,M904=phu!$I$28,M904=phu!$I$29,M904=phu!$I$30,M904=phu!$I$31),"Cam Phú",""),IF(OR(M904=phu!$I$32,M904=phu!$I$33,M904=phu!$I$34,M904=phu!$I$35,M904=phu!$I$36,M904=phu!$I$37),"Cam Lộc",""),IF(OR(M904=phu!$I$38,M904=phu!$I$39,M904=phu!$I$40,M904=phu!$I$41,M904=phu!$I$42,M904=phu!$I$43,M904=phu!$I$44),"Cam Thuận",""),IF(OR(M904=phu!$I$45,M904=phu!$I$46,M904=phu!$I$47,M904=phu!$I$48,M904=phu!$I$49,M904=phu!$I$50,M904=phu!$I$51,M904=phu!$I$52,M904=phu!$I$53),"Cam Linh",""),IF(OR(M904=phu!$I$54,M904=phu!$I$55,M904=phu!$I$56,M904=phu!$I$57,M904=phu!$I$58,M904=phu!$I$59,M904=phu!$I$60,M904=phu!$I$61,M904=phu!$I$62),"Cam Lợi",""),IF(OR(M904=phu!$I$63,M904=phu!$I$64,M904=phu!$I$65,M904=phu!$I$66,M904=phu!$I$67,M904=phu!$I$68,M904=phu!$I$69,M904=phu!$I$70,M904=phu!$I$71),"Ba Ngòi",""),IF(OR(M904=phu!$I$72,M904=phu!$I$73,M904=phu!$I$74,M904=phu!$I$75,M904=phu!$I$76,M904=phu!$I$77,M904=phu!$I$78),"Cam Phước Đông",""),IF(OR(M904=phu!$I$79,M904=phu!$I$80,M904=phu!$I$81,M904=phu!$I$82,M904=phu!$I$83,M904=phu!$I$84),"Cam Thịnh Đông",""),IF(OR(M904=phu!$I$85,M904=phu!$I$86,M904=phu!$I$87,M904=phu!$I$88),"Cam Thịnh Tây",""),IF(OR(M904=phu!$I$89,M904=phu!$I$90),"Cam Lập",""),IF(OR(M904=phu!$I$91,M904=phu!$I$92,M904=phu!$I$93),"Cam Bình",""),IF(OR(M904=phu!$I$94,M904=phu!$I$95,M904=phu!$I$96,M904=phu!$I$97,M904=phu!$I$98,M904=phu!$I$99,M904=phu!$I$100),"Huyện khác",""),IF(OR(M904=phu!$I$101,M904=phu!$I$102),"Tỉnh khác",""))</f>
        <v/>
      </c>
      <c r="O904" s="814" t="str">
        <f t="shared" si="85"/>
        <v/>
      </c>
      <c r="P904" s="254"/>
      <c r="Q904" s="254"/>
      <c r="R904" s="254"/>
      <c r="S904" s="254"/>
      <c r="T904" s="254"/>
      <c r="U904" s="254"/>
      <c r="V904" s="254"/>
      <c r="W904" s="254"/>
      <c r="Y904" s="246" t="str">
        <f t="shared" si="86"/>
        <v/>
      </c>
      <c r="Z904" s="247" t="str">
        <f t="shared" si="84"/>
        <v/>
      </c>
      <c r="AA904" s="246" t="str">
        <f t="shared" si="87"/>
        <v/>
      </c>
    </row>
    <row r="905" spans="1:27" x14ac:dyDescent="0.25">
      <c r="A905" s="248" t="str">
        <f t="shared" si="88"/>
        <v/>
      </c>
      <c r="B905" s="249" t="str">
        <f t="shared" si="89"/>
        <v/>
      </c>
      <c r="C905" s="250"/>
      <c r="D905" s="251"/>
      <c r="E905" s="241"/>
      <c r="F905" s="252"/>
      <c r="G905" s="252"/>
      <c r="H905" s="253"/>
      <c r="I905" s="250"/>
      <c r="J905" s="250"/>
      <c r="K905" s="270"/>
      <c r="L905" s="250"/>
      <c r="M905" s="250"/>
      <c r="N905" s="553" t="str">
        <f>CONCATENATE(IF(OR(M905=phu!$I$1,M905=phu!$I$2,M905=phu!$I$3),"Cam Thành Nam",""),IF(OR(M905=phu!$I$4,M905=phu!$I$5,M905=phu!$I$6,M905=phu!$I$7,M905=phu!$I$8,M905=phu!$I$9,M905=phu!$I$10,M905=phu!$I$11,M905=phu!$I$12,M905=phu!$I$13,M905=phu!$I$14),"Cam Nghĩa",""),IF(OR(M905=phu!$I$15,M905=phu!$I$16,M905=phu!$I$17,M905=phu!$I$18,M905=phu!$I$19,M905=phu!$I$20,M905=phu!$I$21),"Cam Phúc Bắc",""),IF(OR(M905=phu!$I$22,M905=phu!$I$23,M905=phu!$I$24,M905=phu!$I$25),"Cam Phúc Nam",""),IF(OR(M905=phu!$I$26,M905=phu!$I$27,M905=phu!$I$28,M905=phu!$I$29,M905=phu!$I$30,M905=phu!$I$31),"Cam Phú",""),IF(OR(M905=phu!$I$32,M905=phu!$I$33,M905=phu!$I$34,M905=phu!$I$35,M905=phu!$I$36,M905=phu!$I$37),"Cam Lộc",""),IF(OR(M905=phu!$I$38,M905=phu!$I$39,M905=phu!$I$40,M905=phu!$I$41,M905=phu!$I$42,M905=phu!$I$43,M905=phu!$I$44),"Cam Thuận",""),IF(OR(M905=phu!$I$45,M905=phu!$I$46,M905=phu!$I$47,M905=phu!$I$48,M905=phu!$I$49,M905=phu!$I$50,M905=phu!$I$51,M905=phu!$I$52,M905=phu!$I$53),"Cam Linh",""),IF(OR(M905=phu!$I$54,M905=phu!$I$55,M905=phu!$I$56,M905=phu!$I$57,M905=phu!$I$58,M905=phu!$I$59,M905=phu!$I$60,M905=phu!$I$61,M905=phu!$I$62),"Cam Lợi",""),IF(OR(M905=phu!$I$63,M905=phu!$I$64,M905=phu!$I$65,M905=phu!$I$66,M905=phu!$I$67,M905=phu!$I$68,M905=phu!$I$69,M905=phu!$I$70,M905=phu!$I$71),"Ba Ngòi",""),IF(OR(M905=phu!$I$72,M905=phu!$I$73,M905=phu!$I$74,M905=phu!$I$75,M905=phu!$I$76,M905=phu!$I$77,M905=phu!$I$78),"Cam Phước Đông",""),IF(OR(M905=phu!$I$79,M905=phu!$I$80,M905=phu!$I$81,M905=phu!$I$82,M905=phu!$I$83,M905=phu!$I$84),"Cam Thịnh Đông",""),IF(OR(M905=phu!$I$85,M905=phu!$I$86,M905=phu!$I$87,M905=phu!$I$88),"Cam Thịnh Tây",""),IF(OR(M905=phu!$I$89,M905=phu!$I$90),"Cam Lập",""),IF(OR(M905=phu!$I$91,M905=phu!$I$92,M905=phu!$I$93),"Cam Bình",""),IF(OR(M905=phu!$I$94,M905=phu!$I$95,M905=phu!$I$96,M905=phu!$I$97,M905=phu!$I$98,M905=phu!$I$99,M905=phu!$I$100),"Huyện khác",""),IF(OR(M905=phu!$I$101,M905=phu!$I$102),"Tỉnh khác",""))</f>
        <v/>
      </c>
      <c r="O905" s="814" t="str">
        <f t="shared" si="85"/>
        <v/>
      </c>
      <c r="P905" s="254"/>
      <c r="Q905" s="254"/>
      <c r="R905" s="254"/>
      <c r="S905" s="254"/>
      <c r="T905" s="254"/>
      <c r="U905" s="254"/>
      <c r="V905" s="254"/>
      <c r="W905" s="254"/>
      <c r="Y905" s="246" t="str">
        <f t="shared" si="86"/>
        <v/>
      </c>
      <c r="Z905" s="247" t="str">
        <f t="shared" si="84"/>
        <v/>
      </c>
      <c r="AA905" s="246" t="str">
        <f t="shared" si="87"/>
        <v/>
      </c>
    </row>
    <row r="906" spans="1:27" x14ac:dyDescent="0.25">
      <c r="A906" s="248" t="str">
        <f t="shared" si="88"/>
        <v/>
      </c>
      <c r="B906" s="249" t="str">
        <f t="shared" si="89"/>
        <v/>
      </c>
      <c r="C906" s="250"/>
      <c r="D906" s="251"/>
      <c r="E906" s="241"/>
      <c r="F906" s="252"/>
      <c r="G906" s="252"/>
      <c r="H906" s="253"/>
      <c r="I906" s="250"/>
      <c r="J906" s="250"/>
      <c r="K906" s="270"/>
      <c r="L906" s="250"/>
      <c r="M906" s="250"/>
      <c r="N906" s="553" t="str">
        <f>CONCATENATE(IF(OR(M906=phu!$I$1,M906=phu!$I$2,M906=phu!$I$3),"Cam Thành Nam",""),IF(OR(M906=phu!$I$4,M906=phu!$I$5,M906=phu!$I$6,M906=phu!$I$7,M906=phu!$I$8,M906=phu!$I$9,M906=phu!$I$10,M906=phu!$I$11,M906=phu!$I$12,M906=phu!$I$13,M906=phu!$I$14),"Cam Nghĩa",""),IF(OR(M906=phu!$I$15,M906=phu!$I$16,M906=phu!$I$17,M906=phu!$I$18,M906=phu!$I$19,M906=phu!$I$20,M906=phu!$I$21),"Cam Phúc Bắc",""),IF(OR(M906=phu!$I$22,M906=phu!$I$23,M906=phu!$I$24,M906=phu!$I$25),"Cam Phúc Nam",""),IF(OR(M906=phu!$I$26,M906=phu!$I$27,M906=phu!$I$28,M906=phu!$I$29,M906=phu!$I$30,M906=phu!$I$31),"Cam Phú",""),IF(OR(M906=phu!$I$32,M906=phu!$I$33,M906=phu!$I$34,M906=phu!$I$35,M906=phu!$I$36,M906=phu!$I$37),"Cam Lộc",""),IF(OR(M906=phu!$I$38,M906=phu!$I$39,M906=phu!$I$40,M906=phu!$I$41,M906=phu!$I$42,M906=phu!$I$43,M906=phu!$I$44),"Cam Thuận",""),IF(OR(M906=phu!$I$45,M906=phu!$I$46,M906=phu!$I$47,M906=phu!$I$48,M906=phu!$I$49,M906=phu!$I$50,M906=phu!$I$51,M906=phu!$I$52,M906=phu!$I$53),"Cam Linh",""),IF(OR(M906=phu!$I$54,M906=phu!$I$55,M906=phu!$I$56,M906=phu!$I$57,M906=phu!$I$58,M906=phu!$I$59,M906=phu!$I$60,M906=phu!$I$61,M906=phu!$I$62),"Cam Lợi",""),IF(OR(M906=phu!$I$63,M906=phu!$I$64,M906=phu!$I$65,M906=phu!$I$66,M906=phu!$I$67,M906=phu!$I$68,M906=phu!$I$69,M906=phu!$I$70,M906=phu!$I$71),"Ba Ngòi",""),IF(OR(M906=phu!$I$72,M906=phu!$I$73,M906=phu!$I$74,M906=phu!$I$75,M906=phu!$I$76,M906=phu!$I$77,M906=phu!$I$78),"Cam Phước Đông",""),IF(OR(M906=phu!$I$79,M906=phu!$I$80,M906=phu!$I$81,M906=phu!$I$82,M906=phu!$I$83,M906=phu!$I$84),"Cam Thịnh Đông",""),IF(OR(M906=phu!$I$85,M906=phu!$I$86,M906=phu!$I$87,M906=phu!$I$88),"Cam Thịnh Tây",""),IF(OR(M906=phu!$I$89,M906=phu!$I$90),"Cam Lập",""),IF(OR(M906=phu!$I$91,M906=phu!$I$92,M906=phu!$I$93),"Cam Bình",""),IF(OR(M906=phu!$I$94,M906=phu!$I$95,M906=phu!$I$96,M906=phu!$I$97,M906=phu!$I$98,M906=phu!$I$99,M906=phu!$I$100),"Huyện khác",""),IF(OR(M906=phu!$I$101,M906=phu!$I$102),"Tỉnh khác",""))</f>
        <v/>
      </c>
      <c r="O906" s="814" t="str">
        <f t="shared" si="85"/>
        <v/>
      </c>
      <c r="P906" s="254"/>
      <c r="Q906" s="254"/>
      <c r="R906" s="254"/>
      <c r="S906" s="254"/>
      <c r="T906" s="254"/>
      <c r="U906" s="254"/>
      <c r="V906" s="254"/>
      <c r="W906" s="254"/>
      <c r="Y906" s="246" t="str">
        <f t="shared" si="86"/>
        <v/>
      </c>
      <c r="Z906" s="247" t="str">
        <f t="shared" si="84"/>
        <v/>
      </c>
      <c r="AA906" s="246" t="str">
        <f t="shared" si="87"/>
        <v/>
      </c>
    </row>
    <row r="907" spans="1:27" x14ac:dyDescent="0.25">
      <c r="A907" s="248" t="str">
        <f t="shared" si="88"/>
        <v/>
      </c>
      <c r="B907" s="249" t="str">
        <f t="shared" si="89"/>
        <v/>
      </c>
      <c r="C907" s="250"/>
      <c r="D907" s="251"/>
      <c r="E907" s="241"/>
      <c r="F907" s="252"/>
      <c r="G907" s="252"/>
      <c r="H907" s="253"/>
      <c r="I907" s="250"/>
      <c r="J907" s="250"/>
      <c r="K907" s="270"/>
      <c r="L907" s="250"/>
      <c r="M907" s="250"/>
      <c r="N907" s="553" t="str">
        <f>CONCATENATE(IF(OR(M907=phu!$I$1,M907=phu!$I$2,M907=phu!$I$3),"Cam Thành Nam",""),IF(OR(M907=phu!$I$4,M907=phu!$I$5,M907=phu!$I$6,M907=phu!$I$7,M907=phu!$I$8,M907=phu!$I$9,M907=phu!$I$10,M907=phu!$I$11,M907=phu!$I$12,M907=phu!$I$13,M907=phu!$I$14),"Cam Nghĩa",""),IF(OR(M907=phu!$I$15,M907=phu!$I$16,M907=phu!$I$17,M907=phu!$I$18,M907=phu!$I$19,M907=phu!$I$20,M907=phu!$I$21),"Cam Phúc Bắc",""),IF(OR(M907=phu!$I$22,M907=phu!$I$23,M907=phu!$I$24,M907=phu!$I$25),"Cam Phúc Nam",""),IF(OR(M907=phu!$I$26,M907=phu!$I$27,M907=phu!$I$28,M907=phu!$I$29,M907=phu!$I$30,M907=phu!$I$31),"Cam Phú",""),IF(OR(M907=phu!$I$32,M907=phu!$I$33,M907=phu!$I$34,M907=phu!$I$35,M907=phu!$I$36,M907=phu!$I$37),"Cam Lộc",""),IF(OR(M907=phu!$I$38,M907=phu!$I$39,M907=phu!$I$40,M907=phu!$I$41,M907=phu!$I$42,M907=phu!$I$43,M907=phu!$I$44),"Cam Thuận",""),IF(OR(M907=phu!$I$45,M907=phu!$I$46,M907=phu!$I$47,M907=phu!$I$48,M907=phu!$I$49,M907=phu!$I$50,M907=phu!$I$51,M907=phu!$I$52,M907=phu!$I$53),"Cam Linh",""),IF(OR(M907=phu!$I$54,M907=phu!$I$55,M907=phu!$I$56,M907=phu!$I$57,M907=phu!$I$58,M907=phu!$I$59,M907=phu!$I$60,M907=phu!$I$61,M907=phu!$I$62),"Cam Lợi",""),IF(OR(M907=phu!$I$63,M907=phu!$I$64,M907=phu!$I$65,M907=phu!$I$66,M907=phu!$I$67,M907=phu!$I$68,M907=phu!$I$69,M907=phu!$I$70,M907=phu!$I$71),"Ba Ngòi",""),IF(OR(M907=phu!$I$72,M907=phu!$I$73,M907=phu!$I$74,M907=phu!$I$75,M907=phu!$I$76,M907=phu!$I$77,M907=phu!$I$78),"Cam Phước Đông",""),IF(OR(M907=phu!$I$79,M907=phu!$I$80,M907=phu!$I$81,M907=phu!$I$82,M907=phu!$I$83,M907=phu!$I$84),"Cam Thịnh Đông",""),IF(OR(M907=phu!$I$85,M907=phu!$I$86,M907=phu!$I$87,M907=phu!$I$88),"Cam Thịnh Tây",""),IF(OR(M907=phu!$I$89,M907=phu!$I$90),"Cam Lập",""),IF(OR(M907=phu!$I$91,M907=phu!$I$92,M907=phu!$I$93),"Cam Bình",""),IF(OR(M907=phu!$I$94,M907=phu!$I$95,M907=phu!$I$96,M907=phu!$I$97,M907=phu!$I$98,M907=phu!$I$99,M907=phu!$I$100),"Huyện khác",""),IF(OR(M907=phu!$I$101,M907=phu!$I$102),"Tỉnh khác",""))</f>
        <v/>
      </c>
      <c r="O907" s="814" t="str">
        <f t="shared" si="85"/>
        <v/>
      </c>
      <c r="P907" s="254"/>
      <c r="Q907" s="254"/>
      <c r="R907" s="254"/>
      <c r="S907" s="254"/>
      <c r="T907" s="254"/>
      <c r="U907" s="254"/>
      <c r="V907" s="254"/>
      <c r="W907" s="254"/>
      <c r="Y907" s="246" t="str">
        <f t="shared" si="86"/>
        <v/>
      </c>
      <c r="Z907" s="247" t="str">
        <f t="shared" si="84"/>
        <v/>
      </c>
      <c r="AA907" s="246" t="str">
        <f t="shared" si="87"/>
        <v/>
      </c>
    </row>
    <row r="908" spans="1:27" x14ac:dyDescent="0.25">
      <c r="A908" s="248" t="str">
        <f t="shared" si="88"/>
        <v/>
      </c>
      <c r="B908" s="249" t="str">
        <f t="shared" si="89"/>
        <v/>
      </c>
      <c r="C908" s="250"/>
      <c r="D908" s="251"/>
      <c r="E908" s="241"/>
      <c r="F908" s="252"/>
      <c r="G908" s="252"/>
      <c r="H908" s="253"/>
      <c r="I908" s="250"/>
      <c r="J908" s="250"/>
      <c r="K908" s="270"/>
      <c r="L908" s="250"/>
      <c r="M908" s="250"/>
      <c r="N908" s="553" t="str">
        <f>CONCATENATE(IF(OR(M908=phu!$I$1,M908=phu!$I$2,M908=phu!$I$3),"Cam Thành Nam",""),IF(OR(M908=phu!$I$4,M908=phu!$I$5,M908=phu!$I$6,M908=phu!$I$7,M908=phu!$I$8,M908=phu!$I$9,M908=phu!$I$10,M908=phu!$I$11,M908=phu!$I$12,M908=phu!$I$13,M908=phu!$I$14),"Cam Nghĩa",""),IF(OR(M908=phu!$I$15,M908=phu!$I$16,M908=phu!$I$17,M908=phu!$I$18,M908=phu!$I$19,M908=phu!$I$20,M908=phu!$I$21),"Cam Phúc Bắc",""),IF(OR(M908=phu!$I$22,M908=phu!$I$23,M908=phu!$I$24,M908=phu!$I$25),"Cam Phúc Nam",""),IF(OR(M908=phu!$I$26,M908=phu!$I$27,M908=phu!$I$28,M908=phu!$I$29,M908=phu!$I$30,M908=phu!$I$31),"Cam Phú",""),IF(OR(M908=phu!$I$32,M908=phu!$I$33,M908=phu!$I$34,M908=phu!$I$35,M908=phu!$I$36,M908=phu!$I$37),"Cam Lộc",""),IF(OR(M908=phu!$I$38,M908=phu!$I$39,M908=phu!$I$40,M908=phu!$I$41,M908=phu!$I$42,M908=phu!$I$43,M908=phu!$I$44),"Cam Thuận",""),IF(OR(M908=phu!$I$45,M908=phu!$I$46,M908=phu!$I$47,M908=phu!$I$48,M908=phu!$I$49,M908=phu!$I$50,M908=phu!$I$51,M908=phu!$I$52,M908=phu!$I$53),"Cam Linh",""),IF(OR(M908=phu!$I$54,M908=phu!$I$55,M908=phu!$I$56,M908=phu!$I$57,M908=phu!$I$58,M908=phu!$I$59,M908=phu!$I$60,M908=phu!$I$61,M908=phu!$I$62),"Cam Lợi",""),IF(OR(M908=phu!$I$63,M908=phu!$I$64,M908=phu!$I$65,M908=phu!$I$66,M908=phu!$I$67,M908=phu!$I$68,M908=phu!$I$69,M908=phu!$I$70,M908=phu!$I$71),"Ba Ngòi",""),IF(OR(M908=phu!$I$72,M908=phu!$I$73,M908=phu!$I$74,M908=phu!$I$75,M908=phu!$I$76,M908=phu!$I$77,M908=phu!$I$78),"Cam Phước Đông",""),IF(OR(M908=phu!$I$79,M908=phu!$I$80,M908=phu!$I$81,M908=phu!$I$82,M908=phu!$I$83,M908=phu!$I$84),"Cam Thịnh Đông",""),IF(OR(M908=phu!$I$85,M908=phu!$I$86,M908=phu!$I$87,M908=phu!$I$88),"Cam Thịnh Tây",""),IF(OR(M908=phu!$I$89,M908=phu!$I$90),"Cam Lập",""),IF(OR(M908=phu!$I$91,M908=phu!$I$92,M908=phu!$I$93),"Cam Bình",""),IF(OR(M908=phu!$I$94,M908=phu!$I$95,M908=phu!$I$96,M908=phu!$I$97,M908=phu!$I$98,M908=phu!$I$99,M908=phu!$I$100),"Huyện khác",""),IF(OR(M908=phu!$I$101,M908=phu!$I$102),"Tỉnh khác",""))</f>
        <v/>
      </c>
      <c r="O908" s="814" t="str">
        <f t="shared" si="85"/>
        <v/>
      </c>
      <c r="P908" s="254"/>
      <c r="Q908" s="254"/>
      <c r="R908" s="254"/>
      <c r="S908" s="254"/>
      <c r="T908" s="254"/>
      <c r="U908" s="254"/>
      <c r="V908" s="254"/>
      <c r="W908" s="254"/>
      <c r="Y908" s="246" t="str">
        <f t="shared" si="86"/>
        <v/>
      </c>
      <c r="Z908" s="247" t="str">
        <f t="shared" si="84"/>
        <v/>
      </c>
      <c r="AA908" s="246" t="str">
        <f t="shared" si="87"/>
        <v/>
      </c>
    </row>
    <row r="909" spans="1:27" x14ac:dyDescent="0.25">
      <c r="A909" s="248" t="str">
        <f t="shared" si="88"/>
        <v/>
      </c>
      <c r="B909" s="249" t="str">
        <f t="shared" si="89"/>
        <v/>
      </c>
      <c r="C909" s="250"/>
      <c r="D909" s="251"/>
      <c r="E909" s="241"/>
      <c r="F909" s="252"/>
      <c r="G909" s="252"/>
      <c r="H909" s="253"/>
      <c r="I909" s="250"/>
      <c r="J909" s="250"/>
      <c r="K909" s="270"/>
      <c r="L909" s="250"/>
      <c r="M909" s="250"/>
      <c r="N909" s="553" t="str">
        <f>CONCATENATE(IF(OR(M909=phu!$I$1,M909=phu!$I$2,M909=phu!$I$3),"Cam Thành Nam",""),IF(OR(M909=phu!$I$4,M909=phu!$I$5,M909=phu!$I$6,M909=phu!$I$7,M909=phu!$I$8,M909=phu!$I$9,M909=phu!$I$10,M909=phu!$I$11,M909=phu!$I$12,M909=phu!$I$13,M909=phu!$I$14),"Cam Nghĩa",""),IF(OR(M909=phu!$I$15,M909=phu!$I$16,M909=phu!$I$17,M909=phu!$I$18,M909=phu!$I$19,M909=phu!$I$20,M909=phu!$I$21),"Cam Phúc Bắc",""),IF(OR(M909=phu!$I$22,M909=phu!$I$23,M909=phu!$I$24,M909=phu!$I$25),"Cam Phúc Nam",""),IF(OR(M909=phu!$I$26,M909=phu!$I$27,M909=phu!$I$28,M909=phu!$I$29,M909=phu!$I$30,M909=phu!$I$31),"Cam Phú",""),IF(OR(M909=phu!$I$32,M909=phu!$I$33,M909=phu!$I$34,M909=phu!$I$35,M909=phu!$I$36,M909=phu!$I$37),"Cam Lộc",""),IF(OR(M909=phu!$I$38,M909=phu!$I$39,M909=phu!$I$40,M909=phu!$I$41,M909=phu!$I$42,M909=phu!$I$43,M909=phu!$I$44),"Cam Thuận",""),IF(OR(M909=phu!$I$45,M909=phu!$I$46,M909=phu!$I$47,M909=phu!$I$48,M909=phu!$I$49,M909=phu!$I$50,M909=phu!$I$51,M909=phu!$I$52,M909=phu!$I$53),"Cam Linh",""),IF(OR(M909=phu!$I$54,M909=phu!$I$55,M909=phu!$I$56,M909=phu!$I$57,M909=phu!$I$58,M909=phu!$I$59,M909=phu!$I$60,M909=phu!$I$61,M909=phu!$I$62),"Cam Lợi",""),IF(OR(M909=phu!$I$63,M909=phu!$I$64,M909=phu!$I$65,M909=phu!$I$66,M909=phu!$I$67,M909=phu!$I$68,M909=phu!$I$69,M909=phu!$I$70,M909=phu!$I$71),"Ba Ngòi",""),IF(OR(M909=phu!$I$72,M909=phu!$I$73,M909=phu!$I$74,M909=phu!$I$75,M909=phu!$I$76,M909=phu!$I$77,M909=phu!$I$78),"Cam Phước Đông",""),IF(OR(M909=phu!$I$79,M909=phu!$I$80,M909=phu!$I$81,M909=phu!$I$82,M909=phu!$I$83,M909=phu!$I$84),"Cam Thịnh Đông",""),IF(OR(M909=phu!$I$85,M909=phu!$I$86,M909=phu!$I$87,M909=phu!$I$88),"Cam Thịnh Tây",""),IF(OR(M909=phu!$I$89,M909=phu!$I$90),"Cam Lập",""),IF(OR(M909=phu!$I$91,M909=phu!$I$92,M909=phu!$I$93),"Cam Bình",""),IF(OR(M909=phu!$I$94,M909=phu!$I$95,M909=phu!$I$96,M909=phu!$I$97,M909=phu!$I$98,M909=phu!$I$99,M909=phu!$I$100),"Huyện khác",""),IF(OR(M909=phu!$I$101,M909=phu!$I$102),"Tỉnh khác",""))</f>
        <v/>
      </c>
      <c r="O909" s="814" t="str">
        <f t="shared" si="85"/>
        <v/>
      </c>
      <c r="P909" s="254"/>
      <c r="Q909" s="254"/>
      <c r="R909" s="254"/>
      <c r="S909" s="254"/>
      <c r="T909" s="254"/>
      <c r="U909" s="254"/>
      <c r="V909" s="254"/>
      <c r="W909" s="254"/>
      <c r="Y909" s="246" t="str">
        <f t="shared" si="86"/>
        <v/>
      </c>
      <c r="Z909" s="247" t="str">
        <f t="shared" si="84"/>
        <v/>
      </c>
      <c r="AA909" s="246" t="str">
        <f t="shared" si="87"/>
        <v/>
      </c>
    </row>
    <row r="910" spans="1:27" x14ac:dyDescent="0.25">
      <c r="A910" s="248" t="str">
        <f t="shared" si="88"/>
        <v/>
      </c>
      <c r="B910" s="249" t="str">
        <f t="shared" si="89"/>
        <v/>
      </c>
      <c r="C910" s="250"/>
      <c r="D910" s="251"/>
      <c r="E910" s="241"/>
      <c r="F910" s="252"/>
      <c r="G910" s="252"/>
      <c r="H910" s="253"/>
      <c r="I910" s="250"/>
      <c r="J910" s="250"/>
      <c r="K910" s="270"/>
      <c r="L910" s="250"/>
      <c r="M910" s="250"/>
      <c r="N910" s="553" t="str">
        <f>CONCATENATE(IF(OR(M910=phu!$I$1,M910=phu!$I$2,M910=phu!$I$3),"Cam Thành Nam",""),IF(OR(M910=phu!$I$4,M910=phu!$I$5,M910=phu!$I$6,M910=phu!$I$7,M910=phu!$I$8,M910=phu!$I$9,M910=phu!$I$10,M910=phu!$I$11,M910=phu!$I$12,M910=phu!$I$13,M910=phu!$I$14),"Cam Nghĩa",""),IF(OR(M910=phu!$I$15,M910=phu!$I$16,M910=phu!$I$17,M910=phu!$I$18,M910=phu!$I$19,M910=phu!$I$20,M910=phu!$I$21),"Cam Phúc Bắc",""),IF(OR(M910=phu!$I$22,M910=phu!$I$23,M910=phu!$I$24,M910=phu!$I$25),"Cam Phúc Nam",""),IF(OR(M910=phu!$I$26,M910=phu!$I$27,M910=phu!$I$28,M910=phu!$I$29,M910=phu!$I$30,M910=phu!$I$31),"Cam Phú",""),IF(OR(M910=phu!$I$32,M910=phu!$I$33,M910=phu!$I$34,M910=phu!$I$35,M910=phu!$I$36,M910=phu!$I$37),"Cam Lộc",""),IF(OR(M910=phu!$I$38,M910=phu!$I$39,M910=phu!$I$40,M910=phu!$I$41,M910=phu!$I$42,M910=phu!$I$43,M910=phu!$I$44),"Cam Thuận",""),IF(OR(M910=phu!$I$45,M910=phu!$I$46,M910=phu!$I$47,M910=phu!$I$48,M910=phu!$I$49,M910=phu!$I$50,M910=phu!$I$51,M910=phu!$I$52,M910=phu!$I$53),"Cam Linh",""),IF(OR(M910=phu!$I$54,M910=phu!$I$55,M910=phu!$I$56,M910=phu!$I$57,M910=phu!$I$58,M910=phu!$I$59,M910=phu!$I$60,M910=phu!$I$61,M910=phu!$I$62),"Cam Lợi",""),IF(OR(M910=phu!$I$63,M910=phu!$I$64,M910=phu!$I$65,M910=phu!$I$66,M910=phu!$I$67,M910=phu!$I$68,M910=phu!$I$69,M910=phu!$I$70,M910=phu!$I$71),"Ba Ngòi",""),IF(OR(M910=phu!$I$72,M910=phu!$I$73,M910=phu!$I$74,M910=phu!$I$75,M910=phu!$I$76,M910=phu!$I$77,M910=phu!$I$78),"Cam Phước Đông",""),IF(OR(M910=phu!$I$79,M910=phu!$I$80,M910=phu!$I$81,M910=phu!$I$82,M910=phu!$I$83,M910=phu!$I$84),"Cam Thịnh Đông",""),IF(OR(M910=phu!$I$85,M910=phu!$I$86,M910=phu!$I$87,M910=phu!$I$88),"Cam Thịnh Tây",""),IF(OR(M910=phu!$I$89,M910=phu!$I$90),"Cam Lập",""),IF(OR(M910=phu!$I$91,M910=phu!$I$92,M910=phu!$I$93),"Cam Bình",""),IF(OR(M910=phu!$I$94,M910=phu!$I$95,M910=phu!$I$96,M910=phu!$I$97,M910=phu!$I$98,M910=phu!$I$99,M910=phu!$I$100),"Huyện khác",""),IF(OR(M910=phu!$I$101,M910=phu!$I$102),"Tỉnh khác",""))</f>
        <v/>
      </c>
      <c r="O910" s="814" t="str">
        <f t="shared" si="85"/>
        <v/>
      </c>
      <c r="P910" s="254"/>
      <c r="Q910" s="254"/>
      <c r="R910" s="254"/>
      <c r="S910" s="254"/>
      <c r="T910" s="254"/>
      <c r="U910" s="254"/>
      <c r="V910" s="254"/>
      <c r="W910" s="254"/>
      <c r="Y910" s="246" t="str">
        <f t="shared" si="86"/>
        <v/>
      </c>
      <c r="Z910" s="247" t="str">
        <f t="shared" si="84"/>
        <v/>
      </c>
      <c r="AA910" s="246" t="str">
        <f t="shared" si="87"/>
        <v/>
      </c>
    </row>
    <row r="911" spans="1:27" x14ac:dyDescent="0.25">
      <c r="A911" s="248" t="str">
        <f t="shared" si="88"/>
        <v/>
      </c>
      <c r="B911" s="249" t="str">
        <f t="shared" si="89"/>
        <v/>
      </c>
      <c r="C911" s="250"/>
      <c r="D911" s="251"/>
      <c r="E911" s="241"/>
      <c r="F911" s="252"/>
      <c r="G911" s="252"/>
      <c r="H911" s="253"/>
      <c r="I911" s="250"/>
      <c r="J911" s="250"/>
      <c r="K911" s="270"/>
      <c r="L911" s="250"/>
      <c r="M911" s="250"/>
      <c r="N911" s="553" t="str">
        <f>CONCATENATE(IF(OR(M911=phu!$I$1,M911=phu!$I$2,M911=phu!$I$3),"Cam Thành Nam",""),IF(OR(M911=phu!$I$4,M911=phu!$I$5,M911=phu!$I$6,M911=phu!$I$7,M911=phu!$I$8,M911=phu!$I$9,M911=phu!$I$10,M911=phu!$I$11,M911=phu!$I$12,M911=phu!$I$13,M911=phu!$I$14),"Cam Nghĩa",""),IF(OR(M911=phu!$I$15,M911=phu!$I$16,M911=phu!$I$17,M911=phu!$I$18,M911=phu!$I$19,M911=phu!$I$20,M911=phu!$I$21),"Cam Phúc Bắc",""),IF(OR(M911=phu!$I$22,M911=phu!$I$23,M911=phu!$I$24,M911=phu!$I$25),"Cam Phúc Nam",""),IF(OR(M911=phu!$I$26,M911=phu!$I$27,M911=phu!$I$28,M911=phu!$I$29,M911=phu!$I$30,M911=phu!$I$31),"Cam Phú",""),IF(OR(M911=phu!$I$32,M911=phu!$I$33,M911=phu!$I$34,M911=phu!$I$35,M911=phu!$I$36,M911=phu!$I$37),"Cam Lộc",""),IF(OR(M911=phu!$I$38,M911=phu!$I$39,M911=phu!$I$40,M911=phu!$I$41,M911=phu!$I$42,M911=phu!$I$43,M911=phu!$I$44),"Cam Thuận",""),IF(OR(M911=phu!$I$45,M911=phu!$I$46,M911=phu!$I$47,M911=phu!$I$48,M911=phu!$I$49,M911=phu!$I$50,M911=phu!$I$51,M911=phu!$I$52,M911=phu!$I$53),"Cam Linh",""),IF(OR(M911=phu!$I$54,M911=phu!$I$55,M911=phu!$I$56,M911=phu!$I$57,M911=phu!$I$58,M911=phu!$I$59,M911=phu!$I$60,M911=phu!$I$61,M911=phu!$I$62),"Cam Lợi",""),IF(OR(M911=phu!$I$63,M911=phu!$I$64,M911=phu!$I$65,M911=phu!$I$66,M911=phu!$I$67,M911=phu!$I$68,M911=phu!$I$69,M911=phu!$I$70,M911=phu!$I$71),"Ba Ngòi",""),IF(OR(M911=phu!$I$72,M911=phu!$I$73,M911=phu!$I$74,M911=phu!$I$75,M911=phu!$I$76,M911=phu!$I$77,M911=phu!$I$78),"Cam Phước Đông",""),IF(OR(M911=phu!$I$79,M911=phu!$I$80,M911=phu!$I$81,M911=phu!$I$82,M911=phu!$I$83,M911=phu!$I$84),"Cam Thịnh Đông",""),IF(OR(M911=phu!$I$85,M911=phu!$I$86,M911=phu!$I$87,M911=phu!$I$88),"Cam Thịnh Tây",""),IF(OR(M911=phu!$I$89,M911=phu!$I$90),"Cam Lập",""),IF(OR(M911=phu!$I$91,M911=phu!$I$92,M911=phu!$I$93),"Cam Bình",""),IF(OR(M911=phu!$I$94,M911=phu!$I$95,M911=phu!$I$96,M911=phu!$I$97,M911=phu!$I$98,M911=phu!$I$99,M911=phu!$I$100),"Huyện khác",""),IF(OR(M911=phu!$I$101,M911=phu!$I$102),"Tỉnh khác",""))</f>
        <v/>
      </c>
      <c r="O911" s="814" t="str">
        <f t="shared" si="85"/>
        <v/>
      </c>
      <c r="P911" s="254"/>
      <c r="Q911" s="254"/>
      <c r="R911" s="254"/>
      <c r="S911" s="254"/>
      <c r="T911" s="254"/>
      <c r="U911" s="254"/>
      <c r="V911" s="254"/>
      <c r="W911" s="254"/>
      <c r="Y911" s="246" t="str">
        <f t="shared" si="86"/>
        <v/>
      </c>
      <c r="Z911" s="247" t="str">
        <f t="shared" si="84"/>
        <v/>
      </c>
      <c r="AA911" s="246" t="str">
        <f t="shared" si="87"/>
        <v/>
      </c>
    </row>
    <row r="912" spans="1:27" x14ac:dyDescent="0.25">
      <c r="A912" s="248" t="str">
        <f t="shared" si="88"/>
        <v/>
      </c>
      <c r="B912" s="249" t="str">
        <f t="shared" si="89"/>
        <v/>
      </c>
      <c r="C912" s="250"/>
      <c r="D912" s="251"/>
      <c r="E912" s="241"/>
      <c r="F912" s="252"/>
      <c r="G912" s="252"/>
      <c r="H912" s="253"/>
      <c r="I912" s="250"/>
      <c r="J912" s="250"/>
      <c r="K912" s="270"/>
      <c r="L912" s="250"/>
      <c r="M912" s="250"/>
      <c r="N912" s="553" t="str">
        <f>CONCATENATE(IF(OR(M912=phu!$I$1,M912=phu!$I$2,M912=phu!$I$3),"Cam Thành Nam",""),IF(OR(M912=phu!$I$4,M912=phu!$I$5,M912=phu!$I$6,M912=phu!$I$7,M912=phu!$I$8,M912=phu!$I$9,M912=phu!$I$10,M912=phu!$I$11,M912=phu!$I$12,M912=phu!$I$13,M912=phu!$I$14),"Cam Nghĩa",""),IF(OR(M912=phu!$I$15,M912=phu!$I$16,M912=phu!$I$17,M912=phu!$I$18,M912=phu!$I$19,M912=phu!$I$20,M912=phu!$I$21),"Cam Phúc Bắc",""),IF(OR(M912=phu!$I$22,M912=phu!$I$23,M912=phu!$I$24,M912=phu!$I$25),"Cam Phúc Nam",""),IF(OR(M912=phu!$I$26,M912=phu!$I$27,M912=phu!$I$28,M912=phu!$I$29,M912=phu!$I$30,M912=phu!$I$31),"Cam Phú",""),IF(OR(M912=phu!$I$32,M912=phu!$I$33,M912=phu!$I$34,M912=phu!$I$35,M912=phu!$I$36,M912=phu!$I$37),"Cam Lộc",""),IF(OR(M912=phu!$I$38,M912=phu!$I$39,M912=phu!$I$40,M912=phu!$I$41,M912=phu!$I$42,M912=phu!$I$43,M912=phu!$I$44),"Cam Thuận",""),IF(OR(M912=phu!$I$45,M912=phu!$I$46,M912=phu!$I$47,M912=phu!$I$48,M912=phu!$I$49,M912=phu!$I$50,M912=phu!$I$51,M912=phu!$I$52,M912=phu!$I$53),"Cam Linh",""),IF(OR(M912=phu!$I$54,M912=phu!$I$55,M912=phu!$I$56,M912=phu!$I$57,M912=phu!$I$58,M912=phu!$I$59,M912=phu!$I$60,M912=phu!$I$61,M912=phu!$I$62),"Cam Lợi",""),IF(OR(M912=phu!$I$63,M912=phu!$I$64,M912=phu!$I$65,M912=phu!$I$66,M912=phu!$I$67,M912=phu!$I$68,M912=phu!$I$69,M912=phu!$I$70,M912=phu!$I$71),"Ba Ngòi",""),IF(OR(M912=phu!$I$72,M912=phu!$I$73,M912=phu!$I$74,M912=phu!$I$75,M912=phu!$I$76,M912=phu!$I$77,M912=phu!$I$78),"Cam Phước Đông",""),IF(OR(M912=phu!$I$79,M912=phu!$I$80,M912=phu!$I$81,M912=phu!$I$82,M912=phu!$I$83,M912=phu!$I$84),"Cam Thịnh Đông",""),IF(OR(M912=phu!$I$85,M912=phu!$I$86,M912=phu!$I$87,M912=phu!$I$88),"Cam Thịnh Tây",""),IF(OR(M912=phu!$I$89,M912=phu!$I$90),"Cam Lập",""),IF(OR(M912=phu!$I$91,M912=phu!$I$92,M912=phu!$I$93),"Cam Bình",""),IF(OR(M912=phu!$I$94,M912=phu!$I$95,M912=phu!$I$96,M912=phu!$I$97,M912=phu!$I$98,M912=phu!$I$99,M912=phu!$I$100),"Huyện khác",""),IF(OR(M912=phu!$I$101,M912=phu!$I$102),"Tỉnh khác",""))</f>
        <v/>
      </c>
      <c r="O912" s="814" t="str">
        <f t="shared" si="85"/>
        <v/>
      </c>
      <c r="P912" s="254"/>
      <c r="Q912" s="254"/>
      <c r="R912" s="254"/>
      <c r="S912" s="254"/>
      <c r="T912" s="254"/>
      <c r="U912" s="254"/>
      <c r="V912" s="254"/>
      <c r="W912" s="254"/>
      <c r="Y912" s="246" t="str">
        <f t="shared" si="86"/>
        <v/>
      </c>
      <c r="Z912" s="247" t="str">
        <f t="shared" si="84"/>
        <v/>
      </c>
      <c r="AA912" s="246" t="str">
        <f t="shared" si="87"/>
        <v/>
      </c>
    </row>
    <row r="913" spans="1:27" x14ac:dyDescent="0.25">
      <c r="A913" s="248" t="str">
        <f t="shared" si="88"/>
        <v/>
      </c>
      <c r="B913" s="249" t="str">
        <f t="shared" si="89"/>
        <v/>
      </c>
      <c r="C913" s="250"/>
      <c r="D913" s="251"/>
      <c r="E913" s="241"/>
      <c r="F913" s="252"/>
      <c r="G913" s="252"/>
      <c r="H913" s="253"/>
      <c r="I913" s="250"/>
      <c r="J913" s="250"/>
      <c r="K913" s="270"/>
      <c r="L913" s="250"/>
      <c r="M913" s="250"/>
      <c r="N913" s="553" t="str">
        <f>CONCATENATE(IF(OR(M913=phu!$I$1,M913=phu!$I$2,M913=phu!$I$3),"Cam Thành Nam",""),IF(OR(M913=phu!$I$4,M913=phu!$I$5,M913=phu!$I$6,M913=phu!$I$7,M913=phu!$I$8,M913=phu!$I$9,M913=phu!$I$10,M913=phu!$I$11,M913=phu!$I$12,M913=phu!$I$13,M913=phu!$I$14),"Cam Nghĩa",""),IF(OR(M913=phu!$I$15,M913=phu!$I$16,M913=phu!$I$17,M913=phu!$I$18,M913=phu!$I$19,M913=phu!$I$20,M913=phu!$I$21),"Cam Phúc Bắc",""),IF(OR(M913=phu!$I$22,M913=phu!$I$23,M913=phu!$I$24,M913=phu!$I$25),"Cam Phúc Nam",""),IF(OR(M913=phu!$I$26,M913=phu!$I$27,M913=phu!$I$28,M913=phu!$I$29,M913=phu!$I$30,M913=phu!$I$31),"Cam Phú",""),IF(OR(M913=phu!$I$32,M913=phu!$I$33,M913=phu!$I$34,M913=phu!$I$35,M913=phu!$I$36,M913=phu!$I$37),"Cam Lộc",""),IF(OR(M913=phu!$I$38,M913=phu!$I$39,M913=phu!$I$40,M913=phu!$I$41,M913=phu!$I$42,M913=phu!$I$43,M913=phu!$I$44),"Cam Thuận",""),IF(OR(M913=phu!$I$45,M913=phu!$I$46,M913=phu!$I$47,M913=phu!$I$48,M913=phu!$I$49,M913=phu!$I$50,M913=phu!$I$51,M913=phu!$I$52,M913=phu!$I$53),"Cam Linh",""),IF(OR(M913=phu!$I$54,M913=phu!$I$55,M913=phu!$I$56,M913=phu!$I$57,M913=phu!$I$58,M913=phu!$I$59,M913=phu!$I$60,M913=phu!$I$61,M913=phu!$I$62),"Cam Lợi",""),IF(OR(M913=phu!$I$63,M913=phu!$I$64,M913=phu!$I$65,M913=phu!$I$66,M913=phu!$I$67,M913=phu!$I$68,M913=phu!$I$69,M913=phu!$I$70,M913=phu!$I$71),"Ba Ngòi",""),IF(OR(M913=phu!$I$72,M913=phu!$I$73,M913=phu!$I$74,M913=phu!$I$75,M913=phu!$I$76,M913=phu!$I$77,M913=phu!$I$78),"Cam Phước Đông",""),IF(OR(M913=phu!$I$79,M913=phu!$I$80,M913=phu!$I$81,M913=phu!$I$82,M913=phu!$I$83,M913=phu!$I$84),"Cam Thịnh Đông",""),IF(OR(M913=phu!$I$85,M913=phu!$I$86,M913=phu!$I$87,M913=phu!$I$88),"Cam Thịnh Tây",""),IF(OR(M913=phu!$I$89,M913=phu!$I$90),"Cam Lập",""),IF(OR(M913=phu!$I$91,M913=phu!$I$92,M913=phu!$I$93),"Cam Bình",""),IF(OR(M913=phu!$I$94,M913=phu!$I$95,M913=phu!$I$96,M913=phu!$I$97,M913=phu!$I$98,M913=phu!$I$99,M913=phu!$I$100),"Huyện khác",""),IF(OR(M913=phu!$I$101,M913=phu!$I$102),"Tỉnh khác",""))</f>
        <v/>
      </c>
      <c r="O913" s="814" t="str">
        <f t="shared" si="85"/>
        <v/>
      </c>
      <c r="P913" s="254"/>
      <c r="Q913" s="254"/>
      <c r="R913" s="254"/>
      <c r="S913" s="254"/>
      <c r="T913" s="254"/>
      <c r="U913" s="254"/>
      <c r="V913" s="254"/>
      <c r="W913" s="254"/>
      <c r="Y913" s="246" t="str">
        <f t="shared" si="86"/>
        <v/>
      </c>
      <c r="Z913" s="247" t="str">
        <f t="shared" si="84"/>
        <v/>
      </c>
      <c r="AA913" s="246" t="str">
        <f t="shared" si="87"/>
        <v/>
      </c>
    </row>
    <row r="914" spans="1:27" x14ac:dyDescent="0.25">
      <c r="A914" s="248" t="str">
        <f t="shared" si="88"/>
        <v/>
      </c>
      <c r="B914" s="249" t="str">
        <f t="shared" si="89"/>
        <v/>
      </c>
      <c r="C914" s="250"/>
      <c r="D914" s="251"/>
      <c r="E914" s="241"/>
      <c r="F914" s="252"/>
      <c r="G914" s="252"/>
      <c r="H914" s="253"/>
      <c r="I914" s="250"/>
      <c r="J914" s="250"/>
      <c r="K914" s="270"/>
      <c r="L914" s="250"/>
      <c r="M914" s="250"/>
      <c r="N914" s="553" t="str">
        <f>CONCATENATE(IF(OR(M914=phu!$I$1,M914=phu!$I$2,M914=phu!$I$3),"Cam Thành Nam",""),IF(OR(M914=phu!$I$4,M914=phu!$I$5,M914=phu!$I$6,M914=phu!$I$7,M914=phu!$I$8,M914=phu!$I$9,M914=phu!$I$10,M914=phu!$I$11,M914=phu!$I$12,M914=phu!$I$13,M914=phu!$I$14),"Cam Nghĩa",""),IF(OR(M914=phu!$I$15,M914=phu!$I$16,M914=phu!$I$17,M914=phu!$I$18,M914=phu!$I$19,M914=phu!$I$20,M914=phu!$I$21),"Cam Phúc Bắc",""),IF(OR(M914=phu!$I$22,M914=phu!$I$23,M914=phu!$I$24,M914=phu!$I$25),"Cam Phúc Nam",""),IF(OR(M914=phu!$I$26,M914=phu!$I$27,M914=phu!$I$28,M914=phu!$I$29,M914=phu!$I$30,M914=phu!$I$31),"Cam Phú",""),IF(OR(M914=phu!$I$32,M914=phu!$I$33,M914=phu!$I$34,M914=phu!$I$35,M914=phu!$I$36,M914=phu!$I$37),"Cam Lộc",""),IF(OR(M914=phu!$I$38,M914=phu!$I$39,M914=phu!$I$40,M914=phu!$I$41,M914=phu!$I$42,M914=phu!$I$43,M914=phu!$I$44),"Cam Thuận",""),IF(OR(M914=phu!$I$45,M914=phu!$I$46,M914=phu!$I$47,M914=phu!$I$48,M914=phu!$I$49,M914=phu!$I$50,M914=phu!$I$51,M914=phu!$I$52,M914=phu!$I$53),"Cam Linh",""),IF(OR(M914=phu!$I$54,M914=phu!$I$55,M914=phu!$I$56,M914=phu!$I$57,M914=phu!$I$58,M914=phu!$I$59,M914=phu!$I$60,M914=phu!$I$61,M914=phu!$I$62),"Cam Lợi",""),IF(OR(M914=phu!$I$63,M914=phu!$I$64,M914=phu!$I$65,M914=phu!$I$66,M914=phu!$I$67,M914=phu!$I$68,M914=phu!$I$69,M914=phu!$I$70,M914=phu!$I$71),"Ba Ngòi",""),IF(OR(M914=phu!$I$72,M914=phu!$I$73,M914=phu!$I$74,M914=phu!$I$75,M914=phu!$I$76,M914=phu!$I$77,M914=phu!$I$78),"Cam Phước Đông",""),IF(OR(M914=phu!$I$79,M914=phu!$I$80,M914=phu!$I$81,M914=phu!$I$82,M914=phu!$I$83,M914=phu!$I$84),"Cam Thịnh Đông",""),IF(OR(M914=phu!$I$85,M914=phu!$I$86,M914=phu!$I$87,M914=phu!$I$88),"Cam Thịnh Tây",""),IF(OR(M914=phu!$I$89,M914=phu!$I$90),"Cam Lập",""),IF(OR(M914=phu!$I$91,M914=phu!$I$92,M914=phu!$I$93),"Cam Bình",""),IF(OR(M914=phu!$I$94,M914=phu!$I$95,M914=phu!$I$96,M914=phu!$I$97,M914=phu!$I$98,M914=phu!$I$99,M914=phu!$I$100),"Huyện khác",""),IF(OR(M914=phu!$I$101,M914=phu!$I$102),"Tỉnh khác",""))</f>
        <v/>
      </c>
      <c r="O914" s="814" t="str">
        <f t="shared" si="85"/>
        <v/>
      </c>
      <c r="P914" s="254"/>
      <c r="Q914" s="254"/>
      <c r="R914" s="254"/>
      <c r="S914" s="254"/>
      <c r="T914" s="254"/>
      <c r="U914" s="254"/>
      <c r="V914" s="254"/>
      <c r="W914" s="254"/>
      <c r="Y914" s="246" t="str">
        <f t="shared" si="86"/>
        <v/>
      </c>
      <c r="Z914" s="247" t="str">
        <f t="shared" si="84"/>
        <v/>
      </c>
      <c r="AA914" s="246" t="str">
        <f t="shared" si="87"/>
        <v/>
      </c>
    </row>
    <row r="915" spans="1:27" x14ac:dyDescent="0.25">
      <c r="A915" s="248" t="str">
        <f t="shared" si="88"/>
        <v/>
      </c>
      <c r="B915" s="249" t="str">
        <f t="shared" si="89"/>
        <v/>
      </c>
      <c r="C915" s="250"/>
      <c r="D915" s="251"/>
      <c r="E915" s="241"/>
      <c r="F915" s="252"/>
      <c r="G915" s="252"/>
      <c r="H915" s="253"/>
      <c r="I915" s="250"/>
      <c r="J915" s="250"/>
      <c r="K915" s="270"/>
      <c r="L915" s="250"/>
      <c r="M915" s="250"/>
      <c r="N915" s="553" t="str">
        <f>CONCATENATE(IF(OR(M915=phu!$I$1,M915=phu!$I$2,M915=phu!$I$3),"Cam Thành Nam",""),IF(OR(M915=phu!$I$4,M915=phu!$I$5,M915=phu!$I$6,M915=phu!$I$7,M915=phu!$I$8,M915=phu!$I$9,M915=phu!$I$10,M915=phu!$I$11,M915=phu!$I$12,M915=phu!$I$13,M915=phu!$I$14),"Cam Nghĩa",""),IF(OR(M915=phu!$I$15,M915=phu!$I$16,M915=phu!$I$17,M915=phu!$I$18,M915=phu!$I$19,M915=phu!$I$20,M915=phu!$I$21),"Cam Phúc Bắc",""),IF(OR(M915=phu!$I$22,M915=phu!$I$23,M915=phu!$I$24,M915=phu!$I$25),"Cam Phúc Nam",""),IF(OR(M915=phu!$I$26,M915=phu!$I$27,M915=phu!$I$28,M915=phu!$I$29,M915=phu!$I$30,M915=phu!$I$31),"Cam Phú",""),IF(OR(M915=phu!$I$32,M915=phu!$I$33,M915=phu!$I$34,M915=phu!$I$35,M915=phu!$I$36,M915=phu!$I$37),"Cam Lộc",""),IF(OR(M915=phu!$I$38,M915=phu!$I$39,M915=phu!$I$40,M915=phu!$I$41,M915=phu!$I$42,M915=phu!$I$43,M915=phu!$I$44),"Cam Thuận",""),IF(OR(M915=phu!$I$45,M915=phu!$I$46,M915=phu!$I$47,M915=phu!$I$48,M915=phu!$I$49,M915=phu!$I$50,M915=phu!$I$51,M915=phu!$I$52,M915=phu!$I$53),"Cam Linh",""),IF(OR(M915=phu!$I$54,M915=phu!$I$55,M915=phu!$I$56,M915=phu!$I$57,M915=phu!$I$58,M915=phu!$I$59,M915=phu!$I$60,M915=phu!$I$61,M915=phu!$I$62),"Cam Lợi",""),IF(OR(M915=phu!$I$63,M915=phu!$I$64,M915=phu!$I$65,M915=phu!$I$66,M915=phu!$I$67,M915=phu!$I$68,M915=phu!$I$69,M915=phu!$I$70,M915=phu!$I$71),"Ba Ngòi",""),IF(OR(M915=phu!$I$72,M915=phu!$I$73,M915=phu!$I$74,M915=phu!$I$75,M915=phu!$I$76,M915=phu!$I$77,M915=phu!$I$78),"Cam Phước Đông",""),IF(OR(M915=phu!$I$79,M915=phu!$I$80,M915=phu!$I$81,M915=phu!$I$82,M915=phu!$I$83,M915=phu!$I$84),"Cam Thịnh Đông",""),IF(OR(M915=phu!$I$85,M915=phu!$I$86,M915=phu!$I$87,M915=phu!$I$88),"Cam Thịnh Tây",""),IF(OR(M915=phu!$I$89,M915=phu!$I$90),"Cam Lập",""),IF(OR(M915=phu!$I$91,M915=phu!$I$92,M915=phu!$I$93),"Cam Bình",""),IF(OR(M915=phu!$I$94,M915=phu!$I$95,M915=phu!$I$96,M915=phu!$I$97,M915=phu!$I$98,M915=phu!$I$99,M915=phu!$I$100),"Huyện khác",""),IF(OR(M915=phu!$I$101,M915=phu!$I$102),"Tỉnh khác",""))</f>
        <v/>
      </c>
      <c r="O915" s="814" t="str">
        <f t="shared" si="85"/>
        <v/>
      </c>
      <c r="P915" s="254"/>
      <c r="Q915" s="254"/>
      <c r="R915" s="254"/>
      <c r="S915" s="254"/>
      <c r="T915" s="254"/>
      <c r="U915" s="254"/>
      <c r="V915" s="254"/>
      <c r="W915" s="254"/>
      <c r="Y915" s="246" t="str">
        <f t="shared" si="86"/>
        <v/>
      </c>
      <c r="Z915" s="247" t="str">
        <f t="shared" si="84"/>
        <v/>
      </c>
      <c r="AA915" s="246" t="str">
        <f t="shared" si="87"/>
        <v/>
      </c>
    </row>
    <row r="916" spans="1:27" x14ac:dyDescent="0.25">
      <c r="A916" s="248" t="str">
        <f t="shared" si="88"/>
        <v/>
      </c>
      <c r="B916" s="249" t="str">
        <f t="shared" si="89"/>
        <v/>
      </c>
      <c r="C916" s="250"/>
      <c r="D916" s="251"/>
      <c r="E916" s="241"/>
      <c r="F916" s="252"/>
      <c r="G916" s="252"/>
      <c r="H916" s="253"/>
      <c r="I916" s="250"/>
      <c r="J916" s="250"/>
      <c r="K916" s="270"/>
      <c r="L916" s="250"/>
      <c r="M916" s="250"/>
      <c r="N916" s="553" t="str">
        <f>CONCATENATE(IF(OR(M916=phu!$I$1,M916=phu!$I$2,M916=phu!$I$3),"Cam Thành Nam",""),IF(OR(M916=phu!$I$4,M916=phu!$I$5,M916=phu!$I$6,M916=phu!$I$7,M916=phu!$I$8,M916=phu!$I$9,M916=phu!$I$10,M916=phu!$I$11,M916=phu!$I$12,M916=phu!$I$13,M916=phu!$I$14),"Cam Nghĩa",""),IF(OR(M916=phu!$I$15,M916=phu!$I$16,M916=phu!$I$17,M916=phu!$I$18,M916=phu!$I$19,M916=phu!$I$20,M916=phu!$I$21),"Cam Phúc Bắc",""),IF(OR(M916=phu!$I$22,M916=phu!$I$23,M916=phu!$I$24,M916=phu!$I$25),"Cam Phúc Nam",""),IF(OR(M916=phu!$I$26,M916=phu!$I$27,M916=phu!$I$28,M916=phu!$I$29,M916=phu!$I$30,M916=phu!$I$31),"Cam Phú",""),IF(OR(M916=phu!$I$32,M916=phu!$I$33,M916=phu!$I$34,M916=phu!$I$35,M916=phu!$I$36,M916=phu!$I$37),"Cam Lộc",""),IF(OR(M916=phu!$I$38,M916=phu!$I$39,M916=phu!$I$40,M916=phu!$I$41,M916=phu!$I$42,M916=phu!$I$43,M916=phu!$I$44),"Cam Thuận",""),IF(OR(M916=phu!$I$45,M916=phu!$I$46,M916=phu!$I$47,M916=phu!$I$48,M916=phu!$I$49,M916=phu!$I$50,M916=phu!$I$51,M916=phu!$I$52,M916=phu!$I$53),"Cam Linh",""),IF(OR(M916=phu!$I$54,M916=phu!$I$55,M916=phu!$I$56,M916=phu!$I$57,M916=phu!$I$58,M916=phu!$I$59,M916=phu!$I$60,M916=phu!$I$61,M916=phu!$I$62),"Cam Lợi",""),IF(OR(M916=phu!$I$63,M916=phu!$I$64,M916=phu!$I$65,M916=phu!$I$66,M916=phu!$I$67,M916=phu!$I$68,M916=phu!$I$69,M916=phu!$I$70,M916=phu!$I$71),"Ba Ngòi",""),IF(OR(M916=phu!$I$72,M916=phu!$I$73,M916=phu!$I$74,M916=phu!$I$75,M916=phu!$I$76,M916=phu!$I$77,M916=phu!$I$78),"Cam Phước Đông",""),IF(OR(M916=phu!$I$79,M916=phu!$I$80,M916=phu!$I$81,M916=phu!$I$82,M916=phu!$I$83,M916=phu!$I$84),"Cam Thịnh Đông",""),IF(OR(M916=phu!$I$85,M916=phu!$I$86,M916=phu!$I$87,M916=phu!$I$88),"Cam Thịnh Tây",""),IF(OR(M916=phu!$I$89,M916=phu!$I$90),"Cam Lập",""),IF(OR(M916=phu!$I$91,M916=phu!$I$92,M916=phu!$I$93),"Cam Bình",""),IF(OR(M916=phu!$I$94,M916=phu!$I$95,M916=phu!$I$96,M916=phu!$I$97,M916=phu!$I$98,M916=phu!$I$99,M916=phu!$I$100),"Huyện khác",""),IF(OR(M916=phu!$I$101,M916=phu!$I$102),"Tỉnh khác",""))</f>
        <v/>
      </c>
      <c r="O916" s="814" t="str">
        <f t="shared" si="85"/>
        <v/>
      </c>
      <c r="P916" s="254"/>
      <c r="Q916" s="254"/>
      <c r="R916" s="254"/>
      <c r="S916" s="254"/>
      <c r="T916" s="254"/>
      <c r="U916" s="254"/>
      <c r="V916" s="254"/>
      <c r="W916" s="254"/>
      <c r="Y916" s="246" t="str">
        <f t="shared" si="86"/>
        <v/>
      </c>
      <c r="Z916" s="247" t="str">
        <f t="shared" si="84"/>
        <v/>
      </c>
      <c r="AA916" s="246" t="str">
        <f t="shared" si="87"/>
        <v/>
      </c>
    </row>
    <row r="917" spans="1:27" x14ac:dyDescent="0.25">
      <c r="A917" s="248" t="str">
        <f t="shared" si="88"/>
        <v/>
      </c>
      <c r="B917" s="249" t="str">
        <f t="shared" si="89"/>
        <v/>
      </c>
      <c r="C917" s="250"/>
      <c r="D917" s="251"/>
      <c r="E917" s="241"/>
      <c r="F917" s="252"/>
      <c r="G917" s="252"/>
      <c r="H917" s="253"/>
      <c r="I917" s="250"/>
      <c r="J917" s="250"/>
      <c r="K917" s="270"/>
      <c r="L917" s="250"/>
      <c r="M917" s="250"/>
      <c r="N917" s="553" t="str">
        <f>CONCATENATE(IF(OR(M917=phu!$I$1,M917=phu!$I$2,M917=phu!$I$3),"Cam Thành Nam",""),IF(OR(M917=phu!$I$4,M917=phu!$I$5,M917=phu!$I$6,M917=phu!$I$7,M917=phu!$I$8,M917=phu!$I$9,M917=phu!$I$10,M917=phu!$I$11,M917=phu!$I$12,M917=phu!$I$13,M917=phu!$I$14),"Cam Nghĩa",""),IF(OR(M917=phu!$I$15,M917=phu!$I$16,M917=phu!$I$17,M917=phu!$I$18,M917=phu!$I$19,M917=phu!$I$20,M917=phu!$I$21),"Cam Phúc Bắc",""),IF(OR(M917=phu!$I$22,M917=phu!$I$23,M917=phu!$I$24,M917=phu!$I$25),"Cam Phúc Nam",""),IF(OR(M917=phu!$I$26,M917=phu!$I$27,M917=phu!$I$28,M917=phu!$I$29,M917=phu!$I$30,M917=phu!$I$31),"Cam Phú",""),IF(OR(M917=phu!$I$32,M917=phu!$I$33,M917=phu!$I$34,M917=phu!$I$35,M917=phu!$I$36,M917=phu!$I$37),"Cam Lộc",""),IF(OR(M917=phu!$I$38,M917=phu!$I$39,M917=phu!$I$40,M917=phu!$I$41,M917=phu!$I$42,M917=phu!$I$43,M917=phu!$I$44),"Cam Thuận",""),IF(OR(M917=phu!$I$45,M917=phu!$I$46,M917=phu!$I$47,M917=phu!$I$48,M917=phu!$I$49,M917=phu!$I$50,M917=phu!$I$51,M917=phu!$I$52,M917=phu!$I$53),"Cam Linh",""),IF(OR(M917=phu!$I$54,M917=phu!$I$55,M917=phu!$I$56,M917=phu!$I$57,M917=phu!$I$58,M917=phu!$I$59,M917=phu!$I$60,M917=phu!$I$61,M917=phu!$I$62),"Cam Lợi",""),IF(OR(M917=phu!$I$63,M917=phu!$I$64,M917=phu!$I$65,M917=phu!$I$66,M917=phu!$I$67,M917=phu!$I$68,M917=phu!$I$69,M917=phu!$I$70,M917=phu!$I$71),"Ba Ngòi",""),IF(OR(M917=phu!$I$72,M917=phu!$I$73,M917=phu!$I$74,M917=phu!$I$75,M917=phu!$I$76,M917=phu!$I$77,M917=phu!$I$78),"Cam Phước Đông",""),IF(OR(M917=phu!$I$79,M917=phu!$I$80,M917=phu!$I$81,M917=phu!$I$82,M917=phu!$I$83,M917=phu!$I$84),"Cam Thịnh Đông",""),IF(OR(M917=phu!$I$85,M917=phu!$I$86,M917=phu!$I$87,M917=phu!$I$88),"Cam Thịnh Tây",""),IF(OR(M917=phu!$I$89,M917=phu!$I$90),"Cam Lập",""),IF(OR(M917=phu!$I$91,M917=phu!$I$92,M917=phu!$I$93),"Cam Bình",""),IF(OR(M917=phu!$I$94,M917=phu!$I$95,M917=phu!$I$96,M917=phu!$I$97,M917=phu!$I$98,M917=phu!$I$99,M917=phu!$I$100),"Huyện khác",""),IF(OR(M917=phu!$I$101,M917=phu!$I$102),"Tỉnh khác",""))</f>
        <v/>
      </c>
      <c r="O917" s="814" t="str">
        <f t="shared" si="85"/>
        <v/>
      </c>
      <c r="P917" s="254"/>
      <c r="Q917" s="254"/>
      <c r="R917" s="254"/>
      <c r="S917" s="254"/>
      <c r="T917" s="254"/>
      <c r="U917" s="254"/>
      <c r="V917" s="254"/>
      <c r="W917" s="254"/>
      <c r="Y917" s="246" t="str">
        <f t="shared" si="86"/>
        <v/>
      </c>
      <c r="Z917" s="247" t="str">
        <f t="shared" si="84"/>
        <v/>
      </c>
      <c r="AA917" s="246" t="str">
        <f t="shared" si="87"/>
        <v/>
      </c>
    </row>
    <row r="918" spans="1:27" x14ac:dyDescent="0.25">
      <c r="A918" s="248" t="str">
        <f t="shared" si="88"/>
        <v/>
      </c>
      <c r="B918" s="249" t="str">
        <f t="shared" si="89"/>
        <v/>
      </c>
      <c r="C918" s="250"/>
      <c r="D918" s="251"/>
      <c r="E918" s="241"/>
      <c r="F918" s="252"/>
      <c r="G918" s="252"/>
      <c r="H918" s="253"/>
      <c r="I918" s="250"/>
      <c r="J918" s="250"/>
      <c r="K918" s="270"/>
      <c r="L918" s="250"/>
      <c r="M918" s="250"/>
      <c r="N918" s="553" t="str">
        <f>CONCATENATE(IF(OR(M918=phu!$I$1,M918=phu!$I$2,M918=phu!$I$3),"Cam Thành Nam",""),IF(OR(M918=phu!$I$4,M918=phu!$I$5,M918=phu!$I$6,M918=phu!$I$7,M918=phu!$I$8,M918=phu!$I$9,M918=phu!$I$10,M918=phu!$I$11,M918=phu!$I$12,M918=phu!$I$13,M918=phu!$I$14),"Cam Nghĩa",""),IF(OR(M918=phu!$I$15,M918=phu!$I$16,M918=phu!$I$17,M918=phu!$I$18,M918=phu!$I$19,M918=phu!$I$20,M918=phu!$I$21),"Cam Phúc Bắc",""),IF(OR(M918=phu!$I$22,M918=phu!$I$23,M918=phu!$I$24,M918=phu!$I$25),"Cam Phúc Nam",""),IF(OR(M918=phu!$I$26,M918=phu!$I$27,M918=phu!$I$28,M918=phu!$I$29,M918=phu!$I$30,M918=phu!$I$31),"Cam Phú",""),IF(OR(M918=phu!$I$32,M918=phu!$I$33,M918=phu!$I$34,M918=phu!$I$35,M918=phu!$I$36,M918=phu!$I$37),"Cam Lộc",""),IF(OR(M918=phu!$I$38,M918=phu!$I$39,M918=phu!$I$40,M918=phu!$I$41,M918=phu!$I$42,M918=phu!$I$43,M918=phu!$I$44),"Cam Thuận",""),IF(OR(M918=phu!$I$45,M918=phu!$I$46,M918=phu!$I$47,M918=phu!$I$48,M918=phu!$I$49,M918=phu!$I$50,M918=phu!$I$51,M918=phu!$I$52,M918=phu!$I$53),"Cam Linh",""),IF(OR(M918=phu!$I$54,M918=phu!$I$55,M918=phu!$I$56,M918=phu!$I$57,M918=phu!$I$58,M918=phu!$I$59,M918=phu!$I$60,M918=phu!$I$61,M918=phu!$I$62),"Cam Lợi",""),IF(OR(M918=phu!$I$63,M918=phu!$I$64,M918=phu!$I$65,M918=phu!$I$66,M918=phu!$I$67,M918=phu!$I$68,M918=phu!$I$69,M918=phu!$I$70,M918=phu!$I$71),"Ba Ngòi",""),IF(OR(M918=phu!$I$72,M918=phu!$I$73,M918=phu!$I$74,M918=phu!$I$75,M918=phu!$I$76,M918=phu!$I$77,M918=phu!$I$78),"Cam Phước Đông",""),IF(OR(M918=phu!$I$79,M918=phu!$I$80,M918=phu!$I$81,M918=phu!$I$82,M918=phu!$I$83,M918=phu!$I$84),"Cam Thịnh Đông",""),IF(OR(M918=phu!$I$85,M918=phu!$I$86,M918=phu!$I$87,M918=phu!$I$88),"Cam Thịnh Tây",""),IF(OR(M918=phu!$I$89,M918=phu!$I$90),"Cam Lập",""),IF(OR(M918=phu!$I$91,M918=phu!$I$92,M918=phu!$I$93),"Cam Bình",""),IF(OR(M918=phu!$I$94,M918=phu!$I$95,M918=phu!$I$96,M918=phu!$I$97,M918=phu!$I$98,M918=phu!$I$99,M918=phu!$I$100),"Huyện khác",""),IF(OR(M918=phu!$I$101,M918=phu!$I$102),"Tỉnh khác",""))</f>
        <v/>
      </c>
      <c r="O918" s="814" t="str">
        <f t="shared" si="85"/>
        <v/>
      </c>
      <c r="P918" s="254"/>
      <c r="Q918" s="254"/>
      <c r="R918" s="254"/>
      <c r="S918" s="254"/>
      <c r="T918" s="254"/>
      <c r="U918" s="254"/>
      <c r="V918" s="254"/>
      <c r="W918" s="254"/>
      <c r="Y918" s="246" t="str">
        <f t="shared" si="86"/>
        <v/>
      </c>
      <c r="Z918" s="247" t="str">
        <f t="shared" si="84"/>
        <v/>
      </c>
      <c r="AA918" s="246" t="str">
        <f t="shared" si="87"/>
        <v/>
      </c>
    </row>
    <row r="919" spans="1:27" x14ac:dyDescent="0.25">
      <c r="A919" s="248" t="str">
        <f t="shared" si="88"/>
        <v/>
      </c>
      <c r="B919" s="249" t="str">
        <f t="shared" si="89"/>
        <v/>
      </c>
      <c r="C919" s="250"/>
      <c r="D919" s="251"/>
      <c r="E919" s="241"/>
      <c r="F919" s="252"/>
      <c r="G919" s="252"/>
      <c r="H919" s="253"/>
      <c r="I919" s="250"/>
      <c r="J919" s="250"/>
      <c r="K919" s="270"/>
      <c r="L919" s="250"/>
      <c r="M919" s="250"/>
      <c r="N919" s="553" t="str">
        <f>CONCATENATE(IF(OR(M919=phu!$I$1,M919=phu!$I$2,M919=phu!$I$3),"Cam Thành Nam",""),IF(OR(M919=phu!$I$4,M919=phu!$I$5,M919=phu!$I$6,M919=phu!$I$7,M919=phu!$I$8,M919=phu!$I$9,M919=phu!$I$10,M919=phu!$I$11,M919=phu!$I$12,M919=phu!$I$13,M919=phu!$I$14),"Cam Nghĩa",""),IF(OR(M919=phu!$I$15,M919=phu!$I$16,M919=phu!$I$17,M919=phu!$I$18,M919=phu!$I$19,M919=phu!$I$20,M919=phu!$I$21),"Cam Phúc Bắc",""),IF(OR(M919=phu!$I$22,M919=phu!$I$23,M919=phu!$I$24,M919=phu!$I$25),"Cam Phúc Nam",""),IF(OR(M919=phu!$I$26,M919=phu!$I$27,M919=phu!$I$28,M919=phu!$I$29,M919=phu!$I$30,M919=phu!$I$31),"Cam Phú",""),IF(OR(M919=phu!$I$32,M919=phu!$I$33,M919=phu!$I$34,M919=phu!$I$35,M919=phu!$I$36,M919=phu!$I$37),"Cam Lộc",""),IF(OR(M919=phu!$I$38,M919=phu!$I$39,M919=phu!$I$40,M919=phu!$I$41,M919=phu!$I$42,M919=phu!$I$43,M919=phu!$I$44),"Cam Thuận",""),IF(OR(M919=phu!$I$45,M919=phu!$I$46,M919=phu!$I$47,M919=phu!$I$48,M919=phu!$I$49,M919=phu!$I$50,M919=phu!$I$51,M919=phu!$I$52,M919=phu!$I$53),"Cam Linh",""),IF(OR(M919=phu!$I$54,M919=phu!$I$55,M919=phu!$I$56,M919=phu!$I$57,M919=phu!$I$58,M919=phu!$I$59,M919=phu!$I$60,M919=phu!$I$61,M919=phu!$I$62),"Cam Lợi",""),IF(OR(M919=phu!$I$63,M919=phu!$I$64,M919=phu!$I$65,M919=phu!$I$66,M919=phu!$I$67,M919=phu!$I$68,M919=phu!$I$69,M919=phu!$I$70,M919=phu!$I$71),"Ba Ngòi",""),IF(OR(M919=phu!$I$72,M919=phu!$I$73,M919=phu!$I$74,M919=phu!$I$75,M919=phu!$I$76,M919=phu!$I$77,M919=phu!$I$78),"Cam Phước Đông",""),IF(OR(M919=phu!$I$79,M919=phu!$I$80,M919=phu!$I$81,M919=phu!$I$82,M919=phu!$I$83,M919=phu!$I$84),"Cam Thịnh Đông",""),IF(OR(M919=phu!$I$85,M919=phu!$I$86,M919=phu!$I$87,M919=phu!$I$88),"Cam Thịnh Tây",""),IF(OR(M919=phu!$I$89,M919=phu!$I$90),"Cam Lập",""),IF(OR(M919=phu!$I$91,M919=phu!$I$92,M919=phu!$I$93),"Cam Bình",""),IF(OR(M919=phu!$I$94,M919=phu!$I$95,M919=phu!$I$96,M919=phu!$I$97,M919=phu!$I$98,M919=phu!$I$99,M919=phu!$I$100),"Huyện khác",""),IF(OR(M919=phu!$I$101,M919=phu!$I$102),"Tỉnh khác",""))</f>
        <v/>
      </c>
      <c r="O919" s="814" t="str">
        <f t="shared" si="85"/>
        <v/>
      </c>
      <c r="P919" s="254"/>
      <c r="Q919" s="254"/>
      <c r="R919" s="254"/>
      <c r="S919" s="254"/>
      <c r="T919" s="254"/>
      <c r="U919" s="254"/>
      <c r="V919" s="254"/>
      <c r="W919" s="254"/>
      <c r="Y919" s="246" t="str">
        <f t="shared" si="86"/>
        <v/>
      </c>
      <c r="Z919" s="247" t="str">
        <f t="shared" si="84"/>
        <v/>
      </c>
      <c r="AA919" s="246" t="str">
        <f t="shared" si="87"/>
        <v/>
      </c>
    </row>
    <row r="920" spans="1:27" x14ac:dyDescent="0.25">
      <c r="A920" s="248" t="str">
        <f t="shared" si="88"/>
        <v/>
      </c>
      <c r="B920" s="249" t="str">
        <f t="shared" si="89"/>
        <v/>
      </c>
      <c r="C920" s="250"/>
      <c r="D920" s="251"/>
      <c r="E920" s="241"/>
      <c r="F920" s="252"/>
      <c r="G920" s="252"/>
      <c r="H920" s="253"/>
      <c r="I920" s="250"/>
      <c r="J920" s="250"/>
      <c r="K920" s="270"/>
      <c r="L920" s="250"/>
      <c r="M920" s="250"/>
      <c r="N920" s="553" t="str">
        <f>CONCATENATE(IF(OR(M920=phu!$I$1,M920=phu!$I$2,M920=phu!$I$3),"Cam Thành Nam",""),IF(OR(M920=phu!$I$4,M920=phu!$I$5,M920=phu!$I$6,M920=phu!$I$7,M920=phu!$I$8,M920=phu!$I$9,M920=phu!$I$10,M920=phu!$I$11,M920=phu!$I$12,M920=phu!$I$13,M920=phu!$I$14),"Cam Nghĩa",""),IF(OR(M920=phu!$I$15,M920=phu!$I$16,M920=phu!$I$17,M920=phu!$I$18,M920=phu!$I$19,M920=phu!$I$20,M920=phu!$I$21),"Cam Phúc Bắc",""),IF(OR(M920=phu!$I$22,M920=phu!$I$23,M920=phu!$I$24,M920=phu!$I$25),"Cam Phúc Nam",""),IF(OR(M920=phu!$I$26,M920=phu!$I$27,M920=phu!$I$28,M920=phu!$I$29,M920=phu!$I$30,M920=phu!$I$31),"Cam Phú",""),IF(OR(M920=phu!$I$32,M920=phu!$I$33,M920=phu!$I$34,M920=phu!$I$35,M920=phu!$I$36,M920=phu!$I$37),"Cam Lộc",""),IF(OR(M920=phu!$I$38,M920=phu!$I$39,M920=phu!$I$40,M920=phu!$I$41,M920=phu!$I$42,M920=phu!$I$43,M920=phu!$I$44),"Cam Thuận",""),IF(OR(M920=phu!$I$45,M920=phu!$I$46,M920=phu!$I$47,M920=phu!$I$48,M920=phu!$I$49,M920=phu!$I$50,M920=phu!$I$51,M920=phu!$I$52,M920=phu!$I$53),"Cam Linh",""),IF(OR(M920=phu!$I$54,M920=phu!$I$55,M920=phu!$I$56,M920=phu!$I$57,M920=phu!$I$58,M920=phu!$I$59,M920=phu!$I$60,M920=phu!$I$61,M920=phu!$I$62),"Cam Lợi",""),IF(OR(M920=phu!$I$63,M920=phu!$I$64,M920=phu!$I$65,M920=phu!$I$66,M920=phu!$I$67,M920=phu!$I$68,M920=phu!$I$69,M920=phu!$I$70,M920=phu!$I$71),"Ba Ngòi",""),IF(OR(M920=phu!$I$72,M920=phu!$I$73,M920=phu!$I$74,M920=phu!$I$75,M920=phu!$I$76,M920=phu!$I$77,M920=phu!$I$78),"Cam Phước Đông",""),IF(OR(M920=phu!$I$79,M920=phu!$I$80,M920=phu!$I$81,M920=phu!$I$82,M920=phu!$I$83,M920=phu!$I$84),"Cam Thịnh Đông",""),IF(OR(M920=phu!$I$85,M920=phu!$I$86,M920=phu!$I$87,M920=phu!$I$88),"Cam Thịnh Tây",""),IF(OR(M920=phu!$I$89,M920=phu!$I$90),"Cam Lập",""),IF(OR(M920=phu!$I$91,M920=phu!$I$92,M920=phu!$I$93),"Cam Bình",""),IF(OR(M920=phu!$I$94,M920=phu!$I$95,M920=phu!$I$96,M920=phu!$I$97,M920=phu!$I$98,M920=phu!$I$99,M920=phu!$I$100),"Huyện khác",""),IF(OR(M920=phu!$I$101,M920=phu!$I$102),"Tỉnh khác",""))</f>
        <v/>
      </c>
      <c r="O920" s="814" t="str">
        <f t="shared" si="85"/>
        <v/>
      </c>
      <c r="P920" s="254"/>
      <c r="Q920" s="254"/>
      <c r="R920" s="254"/>
      <c r="S920" s="254"/>
      <c r="T920" s="254"/>
      <c r="U920" s="254"/>
      <c r="V920" s="254"/>
      <c r="W920" s="254"/>
      <c r="Y920" s="246" t="str">
        <f t="shared" si="86"/>
        <v/>
      </c>
      <c r="Z920" s="247" t="str">
        <f t="shared" si="84"/>
        <v/>
      </c>
      <c r="AA920" s="246" t="str">
        <f t="shared" si="87"/>
        <v/>
      </c>
    </row>
    <row r="921" spans="1:27" x14ac:dyDescent="0.25">
      <c r="A921" s="248" t="str">
        <f t="shared" si="88"/>
        <v/>
      </c>
      <c r="B921" s="249" t="str">
        <f t="shared" si="89"/>
        <v/>
      </c>
      <c r="C921" s="250"/>
      <c r="D921" s="251"/>
      <c r="E921" s="241"/>
      <c r="F921" s="252"/>
      <c r="G921" s="252"/>
      <c r="H921" s="253"/>
      <c r="I921" s="250"/>
      <c r="J921" s="250"/>
      <c r="K921" s="270"/>
      <c r="L921" s="250"/>
      <c r="M921" s="250"/>
      <c r="N921" s="553" t="str">
        <f>CONCATENATE(IF(OR(M921=phu!$I$1,M921=phu!$I$2,M921=phu!$I$3),"Cam Thành Nam",""),IF(OR(M921=phu!$I$4,M921=phu!$I$5,M921=phu!$I$6,M921=phu!$I$7,M921=phu!$I$8,M921=phu!$I$9,M921=phu!$I$10,M921=phu!$I$11,M921=phu!$I$12,M921=phu!$I$13,M921=phu!$I$14),"Cam Nghĩa",""),IF(OR(M921=phu!$I$15,M921=phu!$I$16,M921=phu!$I$17,M921=phu!$I$18,M921=phu!$I$19,M921=phu!$I$20,M921=phu!$I$21),"Cam Phúc Bắc",""),IF(OR(M921=phu!$I$22,M921=phu!$I$23,M921=phu!$I$24,M921=phu!$I$25),"Cam Phúc Nam",""),IF(OR(M921=phu!$I$26,M921=phu!$I$27,M921=phu!$I$28,M921=phu!$I$29,M921=phu!$I$30,M921=phu!$I$31),"Cam Phú",""),IF(OR(M921=phu!$I$32,M921=phu!$I$33,M921=phu!$I$34,M921=phu!$I$35,M921=phu!$I$36,M921=phu!$I$37),"Cam Lộc",""),IF(OR(M921=phu!$I$38,M921=phu!$I$39,M921=phu!$I$40,M921=phu!$I$41,M921=phu!$I$42,M921=phu!$I$43,M921=phu!$I$44),"Cam Thuận",""),IF(OR(M921=phu!$I$45,M921=phu!$I$46,M921=phu!$I$47,M921=phu!$I$48,M921=phu!$I$49,M921=phu!$I$50,M921=phu!$I$51,M921=phu!$I$52,M921=phu!$I$53),"Cam Linh",""),IF(OR(M921=phu!$I$54,M921=phu!$I$55,M921=phu!$I$56,M921=phu!$I$57,M921=phu!$I$58,M921=phu!$I$59,M921=phu!$I$60,M921=phu!$I$61,M921=phu!$I$62),"Cam Lợi",""),IF(OR(M921=phu!$I$63,M921=phu!$I$64,M921=phu!$I$65,M921=phu!$I$66,M921=phu!$I$67,M921=phu!$I$68,M921=phu!$I$69,M921=phu!$I$70,M921=phu!$I$71),"Ba Ngòi",""),IF(OR(M921=phu!$I$72,M921=phu!$I$73,M921=phu!$I$74,M921=phu!$I$75,M921=phu!$I$76,M921=phu!$I$77,M921=phu!$I$78),"Cam Phước Đông",""),IF(OR(M921=phu!$I$79,M921=phu!$I$80,M921=phu!$I$81,M921=phu!$I$82,M921=phu!$I$83,M921=phu!$I$84),"Cam Thịnh Đông",""),IF(OR(M921=phu!$I$85,M921=phu!$I$86,M921=phu!$I$87,M921=phu!$I$88),"Cam Thịnh Tây",""),IF(OR(M921=phu!$I$89,M921=phu!$I$90),"Cam Lập",""),IF(OR(M921=phu!$I$91,M921=phu!$I$92,M921=phu!$I$93),"Cam Bình",""),IF(OR(M921=phu!$I$94,M921=phu!$I$95,M921=phu!$I$96,M921=phu!$I$97,M921=phu!$I$98,M921=phu!$I$99,M921=phu!$I$100),"Huyện khác",""),IF(OR(M921=phu!$I$101,M921=phu!$I$102),"Tỉnh khác",""))</f>
        <v/>
      </c>
      <c r="O921" s="814" t="str">
        <f t="shared" si="85"/>
        <v/>
      </c>
      <c r="P921" s="254"/>
      <c r="Q921" s="254"/>
      <c r="R921" s="254"/>
      <c r="S921" s="254"/>
      <c r="T921" s="254"/>
      <c r="U921" s="254"/>
      <c r="V921" s="254"/>
      <c r="W921" s="254"/>
      <c r="Y921" s="246" t="str">
        <f t="shared" si="86"/>
        <v/>
      </c>
      <c r="Z921" s="247" t="str">
        <f t="shared" si="84"/>
        <v/>
      </c>
      <c r="AA921" s="246" t="str">
        <f t="shared" si="87"/>
        <v/>
      </c>
    </row>
    <row r="922" spans="1:27" x14ac:dyDescent="0.25">
      <c r="A922" s="248" t="str">
        <f t="shared" si="88"/>
        <v/>
      </c>
      <c r="B922" s="249" t="str">
        <f t="shared" si="89"/>
        <v/>
      </c>
      <c r="C922" s="250"/>
      <c r="D922" s="251"/>
      <c r="E922" s="241"/>
      <c r="F922" s="252"/>
      <c r="G922" s="252"/>
      <c r="H922" s="253"/>
      <c r="I922" s="250"/>
      <c r="J922" s="250"/>
      <c r="K922" s="270"/>
      <c r="L922" s="250"/>
      <c r="M922" s="250"/>
      <c r="N922" s="553" t="str">
        <f>CONCATENATE(IF(OR(M922=phu!$I$1,M922=phu!$I$2,M922=phu!$I$3),"Cam Thành Nam",""),IF(OR(M922=phu!$I$4,M922=phu!$I$5,M922=phu!$I$6,M922=phu!$I$7,M922=phu!$I$8,M922=phu!$I$9,M922=phu!$I$10,M922=phu!$I$11,M922=phu!$I$12,M922=phu!$I$13,M922=phu!$I$14),"Cam Nghĩa",""),IF(OR(M922=phu!$I$15,M922=phu!$I$16,M922=phu!$I$17,M922=phu!$I$18,M922=phu!$I$19,M922=phu!$I$20,M922=phu!$I$21),"Cam Phúc Bắc",""),IF(OR(M922=phu!$I$22,M922=phu!$I$23,M922=phu!$I$24,M922=phu!$I$25),"Cam Phúc Nam",""),IF(OR(M922=phu!$I$26,M922=phu!$I$27,M922=phu!$I$28,M922=phu!$I$29,M922=phu!$I$30,M922=phu!$I$31),"Cam Phú",""),IF(OR(M922=phu!$I$32,M922=phu!$I$33,M922=phu!$I$34,M922=phu!$I$35,M922=phu!$I$36,M922=phu!$I$37),"Cam Lộc",""),IF(OR(M922=phu!$I$38,M922=phu!$I$39,M922=phu!$I$40,M922=phu!$I$41,M922=phu!$I$42,M922=phu!$I$43,M922=phu!$I$44),"Cam Thuận",""),IF(OR(M922=phu!$I$45,M922=phu!$I$46,M922=phu!$I$47,M922=phu!$I$48,M922=phu!$I$49,M922=phu!$I$50,M922=phu!$I$51,M922=phu!$I$52,M922=phu!$I$53),"Cam Linh",""),IF(OR(M922=phu!$I$54,M922=phu!$I$55,M922=phu!$I$56,M922=phu!$I$57,M922=phu!$I$58,M922=phu!$I$59,M922=phu!$I$60,M922=phu!$I$61,M922=phu!$I$62),"Cam Lợi",""),IF(OR(M922=phu!$I$63,M922=phu!$I$64,M922=phu!$I$65,M922=phu!$I$66,M922=phu!$I$67,M922=phu!$I$68,M922=phu!$I$69,M922=phu!$I$70,M922=phu!$I$71),"Ba Ngòi",""),IF(OR(M922=phu!$I$72,M922=phu!$I$73,M922=phu!$I$74,M922=phu!$I$75,M922=phu!$I$76,M922=phu!$I$77,M922=phu!$I$78),"Cam Phước Đông",""),IF(OR(M922=phu!$I$79,M922=phu!$I$80,M922=phu!$I$81,M922=phu!$I$82,M922=phu!$I$83,M922=phu!$I$84),"Cam Thịnh Đông",""),IF(OR(M922=phu!$I$85,M922=phu!$I$86,M922=phu!$I$87,M922=phu!$I$88),"Cam Thịnh Tây",""),IF(OR(M922=phu!$I$89,M922=phu!$I$90),"Cam Lập",""),IF(OR(M922=phu!$I$91,M922=phu!$I$92,M922=phu!$I$93),"Cam Bình",""),IF(OR(M922=phu!$I$94,M922=phu!$I$95,M922=phu!$I$96,M922=phu!$I$97,M922=phu!$I$98,M922=phu!$I$99,M922=phu!$I$100),"Huyện khác",""),IF(OR(M922=phu!$I$101,M922=phu!$I$102),"Tỉnh khác",""))</f>
        <v/>
      </c>
      <c r="O922" s="814" t="str">
        <f t="shared" si="85"/>
        <v/>
      </c>
      <c r="P922" s="254"/>
      <c r="Q922" s="254"/>
      <c r="R922" s="254"/>
      <c r="S922" s="254"/>
      <c r="T922" s="254"/>
      <c r="U922" s="254"/>
      <c r="V922" s="254"/>
      <c r="W922" s="254"/>
      <c r="Y922" s="246" t="str">
        <f t="shared" si="86"/>
        <v/>
      </c>
      <c r="Z922" s="247" t="str">
        <f t="shared" si="84"/>
        <v/>
      </c>
      <c r="AA922" s="246" t="str">
        <f t="shared" si="87"/>
        <v/>
      </c>
    </row>
    <row r="923" spans="1:27" x14ac:dyDescent="0.25">
      <c r="A923" s="248" t="str">
        <f t="shared" si="88"/>
        <v/>
      </c>
      <c r="B923" s="249" t="str">
        <f t="shared" si="89"/>
        <v/>
      </c>
      <c r="C923" s="250"/>
      <c r="D923" s="251"/>
      <c r="E923" s="241"/>
      <c r="F923" s="252"/>
      <c r="G923" s="252"/>
      <c r="H923" s="253"/>
      <c r="I923" s="250"/>
      <c r="J923" s="250"/>
      <c r="K923" s="270"/>
      <c r="L923" s="250"/>
      <c r="M923" s="250"/>
      <c r="N923" s="553" t="str">
        <f>CONCATENATE(IF(OR(M923=phu!$I$1,M923=phu!$I$2,M923=phu!$I$3),"Cam Thành Nam",""),IF(OR(M923=phu!$I$4,M923=phu!$I$5,M923=phu!$I$6,M923=phu!$I$7,M923=phu!$I$8,M923=phu!$I$9,M923=phu!$I$10,M923=phu!$I$11,M923=phu!$I$12,M923=phu!$I$13,M923=phu!$I$14),"Cam Nghĩa",""),IF(OR(M923=phu!$I$15,M923=phu!$I$16,M923=phu!$I$17,M923=phu!$I$18,M923=phu!$I$19,M923=phu!$I$20,M923=phu!$I$21),"Cam Phúc Bắc",""),IF(OR(M923=phu!$I$22,M923=phu!$I$23,M923=phu!$I$24,M923=phu!$I$25),"Cam Phúc Nam",""),IF(OR(M923=phu!$I$26,M923=phu!$I$27,M923=phu!$I$28,M923=phu!$I$29,M923=phu!$I$30,M923=phu!$I$31),"Cam Phú",""),IF(OR(M923=phu!$I$32,M923=phu!$I$33,M923=phu!$I$34,M923=phu!$I$35,M923=phu!$I$36,M923=phu!$I$37),"Cam Lộc",""),IF(OR(M923=phu!$I$38,M923=phu!$I$39,M923=phu!$I$40,M923=phu!$I$41,M923=phu!$I$42,M923=phu!$I$43,M923=phu!$I$44),"Cam Thuận",""),IF(OR(M923=phu!$I$45,M923=phu!$I$46,M923=phu!$I$47,M923=phu!$I$48,M923=phu!$I$49,M923=phu!$I$50,M923=phu!$I$51,M923=phu!$I$52,M923=phu!$I$53),"Cam Linh",""),IF(OR(M923=phu!$I$54,M923=phu!$I$55,M923=phu!$I$56,M923=phu!$I$57,M923=phu!$I$58,M923=phu!$I$59,M923=phu!$I$60,M923=phu!$I$61,M923=phu!$I$62),"Cam Lợi",""),IF(OR(M923=phu!$I$63,M923=phu!$I$64,M923=phu!$I$65,M923=phu!$I$66,M923=phu!$I$67,M923=phu!$I$68,M923=phu!$I$69,M923=phu!$I$70,M923=phu!$I$71),"Ba Ngòi",""),IF(OR(M923=phu!$I$72,M923=phu!$I$73,M923=phu!$I$74,M923=phu!$I$75,M923=phu!$I$76,M923=phu!$I$77,M923=phu!$I$78),"Cam Phước Đông",""),IF(OR(M923=phu!$I$79,M923=phu!$I$80,M923=phu!$I$81,M923=phu!$I$82,M923=phu!$I$83,M923=phu!$I$84),"Cam Thịnh Đông",""),IF(OR(M923=phu!$I$85,M923=phu!$I$86,M923=phu!$I$87,M923=phu!$I$88),"Cam Thịnh Tây",""),IF(OR(M923=phu!$I$89,M923=phu!$I$90),"Cam Lập",""),IF(OR(M923=phu!$I$91,M923=phu!$I$92,M923=phu!$I$93),"Cam Bình",""),IF(OR(M923=phu!$I$94,M923=phu!$I$95,M923=phu!$I$96,M923=phu!$I$97,M923=phu!$I$98,M923=phu!$I$99,M923=phu!$I$100),"Huyện khác",""),IF(OR(M923=phu!$I$101,M923=phu!$I$102),"Tỉnh khác",""))</f>
        <v/>
      </c>
      <c r="O923" s="814" t="str">
        <f t="shared" si="85"/>
        <v/>
      </c>
      <c r="P923" s="254"/>
      <c r="Q923" s="254"/>
      <c r="R923" s="254"/>
      <c r="S923" s="254"/>
      <c r="T923" s="254"/>
      <c r="U923" s="254"/>
      <c r="V923" s="254"/>
      <c r="W923" s="254"/>
      <c r="Y923" s="246" t="str">
        <f t="shared" si="86"/>
        <v/>
      </c>
      <c r="Z923" s="247" t="str">
        <f t="shared" si="84"/>
        <v/>
      </c>
      <c r="AA923" s="246" t="str">
        <f t="shared" si="87"/>
        <v/>
      </c>
    </row>
    <row r="924" spans="1:27" x14ac:dyDescent="0.25">
      <c r="A924" s="248" t="str">
        <f t="shared" si="88"/>
        <v/>
      </c>
      <c r="B924" s="249" t="str">
        <f t="shared" si="89"/>
        <v/>
      </c>
      <c r="C924" s="250"/>
      <c r="D924" s="251"/>
      <c r="E924" s="241"/>
      <c r="F924" s="252"/>
      <c r="G924" s="252"/>
      <c r="H924" s="253"/>
      <c r="I924" s="250"/>
      <c r="J924" s="250"/>
      <c r="K924" s="270"/>
      <c r="L924" s="250"/>
      <c r="M924" s="250"/>
      <c r="N924" s="553" t="str">
        <f>CONCATENATE(IF(OR(M924=phu!$I$1,M924=phu!$I$2,M924=phu!$I$3),"Cam Thành Nam",""),IF(OR(M924=phu!$I$4,M924=phu!$I$5,M924=phu!$I$6,M924=phu!$I$7,M924=phu!$I$8,M924=phu!$I$9,M924=phu!$I$10,M924=phu!$I$11,M924=phu!$I$12,M924=phu!$I$13,M924=phu!$I$14),"Cam Nghĩa",""),IF(OR(M924=phu!$I$15,M924=phu!$I$16,M924=phu!$I$17,M924=phu!$I$18,M924=phu!$I$19,M924=phu!$I$20,M924=phu!$I$21),"Cam Phúc Bắc",""),IF(OR(M924=phu!$I$22,M924=phu!$I$23,M924=phu!$I$24,M924=phu!$I$25),"Cam Phúc Nam",""),IF(OR(M924=phu!$I$26,M924=phu!$I$27,M924=phu!$I$28,M924=phu!$I$29,M924=phu!$I$30,M924=phu!$I$31),"Cam Phú",""),IF(OR(M924=phu!$I$32,M924=phu!$I$33,M924=phu!$I$34,M924=phu!$I$35,M924=phu!$I$36,M924=phu!$I$37),"Cam Lộc",""),IF(OR(M924=phu!$I$38,M924=phu!$I$39,M924=phu!$I$40,M924=phu!$I$41,M924=phu!$I$42,M924=phu!$I$43,M924=phu!$I$44),"Cam Thuận",""),IF(OR(M924=phu!$I$45,M924=phu!$I$46,M924=phu!$I$47,M924=phu!$I$48,M924=phu!$I$49,M924=phu!$I$50,M924=phu!$I$51,M924=phu!$I$52,M924=phu!$I$53),"Cam Linh",""),IF(OR(M924=phu!$I$54,M924=phu!$I$55,M924=phu!$I$56,M924=phu!$I$57,M924=phu!$I$58,M924=phu!$I$59,M924=phu!$I$60,M924=phu!$I$61,M924=phu!$I$62),"Cam Lợi",""),IF(OR(M924=phu!$I$63,M924=phu!$I$64,M924=phu!$I$65,M924=phu!$I$66,M924=phu!$I$67,M924=phu!$I$68,M924=phu!$I$69,M924=phu!$I$70,M924=phu!$I$71),"Ba Ngòi",""),IF(OR(M924=phu!$I$72,M924=phu!$I$73,M924=phu!$I$74,M924=phu!$I$75,M924=phu!$I$76,M924=phu!$I$77,M924=phu!$I$78),"Cam Phước Đông",""),IF(OR(M924=phu!$I$79,M924=phu!$I$80,M924=phu!$I$81,M924=phu!$I$82,M924=phu!$I$83,M924=phu!$I$84),"Cam Thịnh Đông",""),IF(OR(M924=phu!$I$85,M924=phu!$I$86,M924=phu!$I$87,M924=phu!$I$88),"Cam Thịnh Tây",""),IF(OR(M924=phu!$I$89,M924=phu!$I$90),"Cam Lập",""),IF(OR(M924=phu!$I$91,M924=phu!$I$92,M924=phu!$I$93),"Cam Bình",""),IF(OR(M924=phu!$I$94,M924=phu!$I$95,M924=phu!$I$96,M924=phu!$I$97,M924=phu!$I$98,M924=phu!$I$99,M924=phu!$I$100),"Huyện khác",""),IF(OR(M924=phu!$I$101,M924=phu!$I$102),"Tỉnh khác",""))</f>
        <v/>
      </c>
      <c r="O924" s="814" t="str">
        <f t="shared" si="85"/>
        <v/>
      </c>
      <c r="P924" s="254"/>
      <c r="Q924" s="254"/>
      <c r="R924" s="254"/>
      <c r="S924" s="254"/>
      <c r="T924" s="254"/>
      <c r="U924" s="254"/>
      <c r="V924" s="254"/>
      <c r="W924" s="254"/>
      <c r="Y924" s="246" t="str">
        <f t="shared" si="86"/>
        <v/>
      </c>
      <c r="Z924" s="247" t="str">
        <f t="shared" si="84"/>
        <v/>
      </c>
      <c r="AA924" s="246" t="str">
        <f t="shared" si="87"/>
        <v/>
      </c>
    </row>
    <row r="925" spans="1:27" x14ac:dyDescent="0.25">
      <c r="A925" s="248" t="str">
        <f t="shared" si="88"/>
        <v/>
      </c>
      <c r="B925" s="249" t="str">
        <f t="shared" si="89"/>
        <v/>
      </c>
      <c r="C925" s="250"/>
      <c r="D925" s="251"/>
      <c r="E925" s="241"/>
      <c r="F925" s="252"/>
      <c r="G925" s="252"/>
      <c r="H925" s="253"/>
      <c r="I925" s="250"/>
      <c r="J925" s="250"/>
      <c r="K925" s="270"/>
      <c r="L925" s="250"/>
      <c r="M925" s="250"/>
      <c r="N925" s="553" t="str">
        <f>CONCATENATE(IF(OR(M925=phu!$I$1,M925=phu!$I$2,M925=phu!$I$3),"Cam Thành Nam",""),IF(OR(M925=phu!$I$4,M925=phu!$I$5,M925=phu!$I$6,M925=phu!$I$7,M925=phu!$I$8,M925=phu!$I$9,M925=phu!$I$10,M925=phu!$I$11,M925=phu!$I$12,M925=phu!$I$13,M925=phu!$I$14),"Cam Nghĩa",""),IF(OR(M925=phu!$I$15,M925=phu!$I$16,M925=phu!$I$17,M925=phu!$I$18,M925=phu!$I$19,M925=phu!$I$20,M925=phu!$I$21),"Cam Phúc Bắc",""),IF(OR(M925=phu!$I$22,M925=phu!$I$23,M925=phu!$I$24,M925=phu!$I$25),"Cam Phúc Nam",""),IF(OR(M925=phu!$I$26,M925=phu!$I$27,M925=phu!$I$28,M925=phu!$I$29,M925=phu!$I$30,M925=phu!$I$31),"Cam Phú",""),IF(OR(M925=phu!$I$32,M925=phu!$I$33,M925=phu!$I$34,M925=phu!$I$35,M925=phu!$I$36,M925=phu!$I$37),"Cam Lộc",""),IF(OR(M925=phu!$I$38,M925=phu!$I$39,M925=phu!$I$40,M925=phu!$I$41,M925=phu!$I$42,M925=phu!$I$43,M925=phu!$I$44),"Cam Thuận",""),IF(OR(M925=phu!$I$45,M925=phu!$I$46,M925=phu!$I$47,M925=phu!$I$48,M925=phu!$I$49,M925=phu!$I$50,M925=phu!$I$51,M925=phu!$I$52,M925=phu!$I$53),"Cam Linh",""),IF(OR(M925=phu!$I$54,M925=phu!$I$55,M925=phu!$I$56,M925=phu!$I$57,M925=phu!$I$58,M925=phu!$I$59,M925=phu!$I$60,M925=phu!$I$61,M925=phu!$I$62),"Cam Lợi",""),IF(OR(M925=phu!$I$63,M925=phu!$I$64,M925=phu!$I$65,M925=phu!$I$66,M925=phu!$I$67,M925=phu!$I$68,M925=phu!$I$69,M925=phu!$I$70,M925=phu!$I$71),"Ba Ngòi",""),IF(OR(M925=phu!$I$72,M925=phu!$I$73,M925=phu!$I$74,M925=phu!$I$75,M925=phu!$I$76,M925=phu!$I$77,M925=phu!$I$78),"Cam Phước Đông",""),IF(OR(M925=phu!$I$79,M925=phu!$I$80,M925=phu!$I$81,M925=phu!$I$82,M925=phu!$I$83,M925=phu!$I$84),"Cam Thịnh Đông",""),IF(OR(M925=phu!$I$85,M925=phu!$I$86,M925=phu!$I$87,M925=phu!$I$88),"Cam Thịnh Tây",""),IF(OR(M925=phu!$I$89,M925=phu!$I$90),"Cam Lập",""),IF(OR(M925=phu!$I$91,M925=phu!$I$92,M925=phu!$I$93),"Cam Bình",""),IF(OR(M925=phu!$I$94,M925=phu!$I$95,M925=phu!$I$96,M925=phu!$I$97,M925=phu!$I$98,M925=phu!$I$99,M925=phu!$I$100),"Huyện khác",""),IF(OR(M925=phu!$I$101,M925=phu!$I$102),"Tỉnh khác",""))</f>
        <v/>
      </c>
      <c r="O925" s="814" t="str">
        <f t="shared" si="85"/>
        <v/>
      </c>
      <c r="P925" s="254"/>
      <c r="Q925" s="254"/>
      <c r="R925" s="254"/>
      <c r="S925" s="254"/>
      <c r="T925" s="254"/>
      <c r="U925" s="254"/>
      <c r="V925" s="254"/>
      <c r="W925" s="254"/>
      <c r="Y925" s="246" t="str">
        <f t="shared" si="86"/>
        <v/>
      </c>
      <c r="Z925" s="247" t="str">
        <f t="shared" si="84"/>
        <v/>
      </c>
      <c r="AA925" s="246" t="str">
        <f t="shared" si="87"/>
        <v/>
      </c>
    </row>
    <row r="926" spans="1:27" x14ac:dyDescent="0.25">
      <c r="A926" s="248" t="str">
        <f t="shared" si="88"/>
        <v/>
      </c>
      <c r="B926" s="249" t="str">
        <f t="shared" si="89"/>
        <v/>
      </c>
      <c r="C926" s="250"/>
      <c r="D926" s="251"/>
      <c r="E926" s="241"/>
      <c r="F926" s="252"/>
      <c r="G926" s="252"/>
      <c r="H926" s="253"/>
      <c r="I926" s="250"/>
      <c r="J926" s="250"/>
      <c r="K926" s="270"/>
      <c r="L926" s="250"/>
      <c r="M926" s="250"/>
      <c r="N926" s="553" t="str">
        <f>CONCATENATE(IF(OR(M926=phu!$I$1,M926=phu!$I$2,M926=phu!$I$3),"Cam Thành Nam",""),IF(OR(M926=phu!$I$4,M926=phu!$I$5,M926=phu!$I$6,M926=phu!$I$7,M926=phu!$I$8,M926=phu!$I$9,M926=phu!$I$10,M926=phu!$I$11,M926=phu!$I$12,M926=phu!$I$13,M926=phu!$I$14),"Cam Nghĩa",""),IF(OR(M926=phu!$I$15,M926=phu!$I$16,M926=phu!$I$17,M926=phu!$I$18,M926=phu!$I$19,M926=phu!$I$20,M926=phu!$I$21),"Cam Phúc Bắc",""),IF(OR(M926=phu!$I$22,M926=phu!$I$23,M926=phu!$I$24,M926=phu!$I$25),"Cam Phúc Nam",""),IF(OR(M926=phu!$I$26,M926=phu!$I$27,M926=phu!$I$28,M926=phu!$I$29,M926=phu!$I$30,M926=phu!$I$31),"Cam Phú",""),IF(OR(M926=phu!$I$32,M926=phu!$I$33,M926=phu!$I$34,M926=phu!$I$35,M926=phu!$I$36,M926=phu!$I$37),"Cam Lộc",""),IF(OR(M926=phu!$I$38,M926=phu!$I$39,M926=phu!$I$40,M926=phu!$I$41,M926=phu!$I$42,M926=phu!$I$43,M926=phu!$I$44),"Cam Thuận",""),IF(OR(M926=phu!$I$45,M926=phu!$I$46,M926=phu!$I$47,M926=phu!$I$48,M926=phu!$I$49,M926=phu!$I$50,M926=phu!$I$51,M926=phu!$I$52,M926=phu!$I$53),"Cam Linh",""),IF(OR(M926=phu!$I$54,M926=phu!$I$55,M926=phu!$I$56,M926=phu!$I$57,M926=phu!$I$58,M926=phu!$I$59,M926=phu!$I$60,M926=phu!$I$61,M926=phu!$I$62),"Cam Lợi",""),IF(OR(M926=phu!$I$63,M926=phu!$I$64,M926=phu!$I$65,M926=phu!$I$66,M926=phu!$I$67,M926=phu!$I$68,M926=phu!$I$69,M926=phu!$I$70,M926=phu!$I$71),"Ba Ngòi",""),IF(OR(M926=phu!$I$72,M926=phu!$I$73,M926=phu!$I$74,M926=phu!$I$75,M926=phu!$I$76,M926=phu!$I$77,M926=phu!$I$78),"Cam Phước Đông",""),IF(OR(M926=phu!$I$79,M926=phu!$I$80,M926=phu!$I$81,M926=phu!$I$82,M926=phu!$I$83,M926=phu!$I$84),"Cam Thịnh Đông",""),IF(OR(M926=phu!$I$85,M926=phu!$I$86,M926=phu!$I$87,M926=phu!$I$88),"Cam Thịnh Tây",""),IF(OR(M926=phu!$I$89,M926=phu!$I$90),"Cam Lập",""),IF(OR(M926=phu!$I$91,M926=phu!$I$92,M926=phu!$I$93),"Cam Bình",""),IF(OR(M926=phu!$I$94,M926=phu!$I$95,M926=phu!$I$96,M926=phu!$I$97,M926=phu!$I$98,M926=phu!$I$99,M926=phu!$I$100),"Huyện khác",""),IF(OR(M926=phu!$I$101,M926=phu!$I$102),"Tỉnh khác",""))</f>
        <v/>
      </c>
      <c r="O926" s="814" t="str">
        <f t="shared" si="85"/>
        <v/>
      </c>
      <c r="P926" s="254"/>
      <c r="Q926" s="254"/>
      <c r="R926" s="254"/>
      <c r="S926" s="254"/>
      <c r="T926" s="254"/>
      <c r="U926" s="254"/>
      <c r="V926" s="254"/>
      <c r="W926" s="254"/>
      <c r="Y926" s="246" t="str">
        <f t="shared" si="86"/>
        <v/>
      </c>
      <c r="Z926" s="247" t="str">
        <f t="shared" si="84"/>
        <v/>
      </c>
      <c r="AA926" s="246" t="str">
        <f t="shared" si="87"/>
        <v/>
      </c>
    </row>
    <row r="927" spans="1:27" x14ac:dyDescent="0.25">
      <c r="A927" s="248" t="str">
        <f t="shared" si="88"/>
        <v/>
      </c>
      <c r="B927" s="249" t="str">
        <f t="shared" si="89"/>
        <v/>
      </c>
      <c r="C927" s="250"/>
      <c r="D927" s="251"/>
      <c r="E927" s="241"/>
      <c r="F927" s="252"/>
      <c r="G927" s="252"/>
      <c r="H927" s="253"/>
      <c r="I927" s="250"/>
      <c r="J927" s="250"/>
      <c r="K927" s="270"/>
      <c r="L927" s="250"/>
      <c r="M927" s="250"/>
      <c r="N927" s="553" t="str">
        <f>CONCATENATE(IF(OR(M927=phu!$I$1,M927=phu!$I$2,M927=phu!$I$3),"Cam Thành Nam",""),IF(OR(M927=phu!$I$4,M927=phu!$I$5,M927=phu!$I$6,M927=phu!$I$7,M927=phu!$I$8,M927=phu!$I$9,M927=phu!$I$10,M927=phu!$I$11,M927=phu!$I$12,M927=phu!$I$13,M927=phu!$I$14),"Cam Nghĩa",""),IF(OR(M927=phu!$I$15,M927=phu!$I$16,M927=phu!$I$17,M927=phu!$I$18,M927=phu!$I$19,M927=phu!$I$20,M927=phu!$I$21),"Cam Phúc Bắc",""),IF(OR(M927=phu!$I$22,M927=phu!$I$23,M927=phu!$I$24,M927=phu!$I$25),"Cam Phúc Nam",""),IF(OR(M927=phu!$I$26,M927=phu!$I$27,M927=phu!$I$28,M927=phu!$I$29,M927=phu!$I$30,M927=phu!$I$31),"Cam Phú",""),IF(OR(M927=phu!$I$32,M927=phu!$I$33,M927=phu!$I$34,M927=phu!$I$35,M927=phu!$I$36,M927=phu!$I$37),"Cam Lộc",""),IF(OR(M927=phu!$I$38,M927=phu!$I$39,M927=phu!$I$40,M927=phu!$I$41,M927=phu!$I$42,M927=phu!$I$43,M927=phu!$I$44),"Cam Thuận",""),IF(OR(M927=phu!$I$45,M927=phu!$I$46,M927=phu!$I$47,M927=phu!$I$48,M927=phu!$I$49,M927=phu!$I$50,M927=phu!$I$51,M927=phu!$I$52,M927=phu!$I$53),"Cam Linh",""),IF(OR(M927=phu!$I$54,M927=phu!$I$55,M927=phu!$I$56,M927=phu!$I$57,M927=phu!$I$58,M927=phu!$I$59,M927=phu!$I$60,M927=phu!$I$61,M927=phu!$I$62),"Cam Lợi",""),IF(OR(M927=phu!$I$63,M927=phu!$I$64,M927=phu!$I$65,M927=phu!$I$66,M927=phu!$I$67,M927=phu!$I$68,M927=phu!$I$69,M927=phu!$I$70,M927=phu!$I$71),"Ba Ngòi",""),IF(OR(M927=phu!$I$72,M927=phu!$I$73,M927=phu!$I$74,M927=phu!$I$75,M927=phu!$I$76,M927=phu!$I$77,M927=phu!$I$78),"Cam Phước Đông",""),IF(OR(M927=phu!$I$79,M927=phu!$I$80,M927=phu!$I$81,M927=phu!$I$82,M927=phu!$I$83,M927=phu!$I$84),"Cam Thịnh Đông",""),IF(OR(M927=phu!$I$85,M927=phu!$I$86,M927=phu!$I$87,M927=phu!$I$88),"Cam Thịnh Tây",""),IF(OR(M927=phu!$I$89,M927=phu!$I$90),"Cam Lập",""),IF(OR(M927=phu!$I$91,M927=phu!$I$92,M927=phu!$I$93),"Cam Bình",""),IF(OR(M927=phu!$I$94,M927=phu!$I$95,M927=phu!$I$96,M927=phu!$I$97,M927=phu!$I$98,M927=phu!$I$99,M927=phu!$I$100),"Huyện khác",""),IF(OR(M927=phu!$I$101,M927=phu!$I$102),"Tỉnh khác",""))</f>
        <v/>
      </c>
      <c r="O927" s="814" t="str">
        <f t="shared" si="85"/>
        <v/>
      </c>
      <c r="P927" s="254"/>
      <c r="Q927" s="254"/>
      <c r="R927" s="254"/>
      <c r="S927" s="254"/>
      <c r="T927" s="254"/>
      <c r="U927" s="254"/>
      <c r="V927" s="254"/>
      <c r="W927" s="254"/>
      <c r="Y927" s="246" t="str">
        <f t="shared" si="86"/>
        <v/>
      </c>
      <c r="Z927" s="247" t="str">
        <f t="shared" si="84"/>
        <v/>
      </c>
      <c r="AA927" s="246" t="str">
        <f t="shared" si="87"/>
        <v/>
      </c>
    </row>
    <row r="928" spans="1:27" x14ac:dyDescent="0.25">
      <c r="A928" s="248" t="str">
        <f t="shared" si="88"/>
        <v/>
      </c>
      <c r="B928" s="249" t="str">
        <f t="shared" si="89"/>
        <v/>
      </c>
      <c r="C928" s="250"/>
      <c r="D928" s="251"/>
      <c r="E928" s="241"/>
      <c r="F928" s="252"/>
      <c r="G928" s="252"/>
      <c r="H928" s="253"/>
      <c r="I928" s="250"/>
      <c r="J928" s="250"/>
      <c r="K928" s="270"/>
      <c r="L928" s="250"/>
      <c r="M928" s="250"/>
      <c r="N928" s="553" t="str">
        <f>CONCATENATE(IF(OR(M928=phu!$I$1,M928=phu!$I$2,M928=phu!$I$3),"Cam Thành Nam",""),IF(OR(M928=phu!$I$4,M928=phu!$I$5,M928=phu!$I$6,M928=phu!$I$7,M928=phu!$I$8,M928=phu!$I$9,M928=phu!$I$10,M928=phu!$I$11,M928=phu!$I$12,M928=phu!$I$13,M928=phu!$I$14),"Cam Nghĩa",""),IF(OR(M928=phu!$I$15,M928=phu!$I$16,M928=phu!$I$17,M928=phu!$I$18,M928=phu!$I$19,M928=phu!$I$20,M928=phu!$I$21),"Cam Phúc Bắc",""),IF(OR(M928=phu!$I$22,M928=phu!$I$23,M928=phu!$I$24,M928=phu!$I$25),"Cam Phúc Nam",""),IF(OR(M928=phu!$I$26,M928=phu!$I$27,M928=phu!$I$28,M928=phu!$I$29,M928=phu!$I$30,M928=phu!$I$31),"Cam Phú",""),IF(OR(M928=phu!$I$32,M928=phu!$I$33,M928=phu!$I$34,M928=phu!$I$35,M928=phu!$I$36,M928=phu!$I$37),"Cam Lộc",""),IF(OR(M928=phu!$I$38,M928=phu!$I$39,M928=phu!$I$40,M928=phu!$I$41,M928=phu!$I$42,M928=phu!$I$43,M928=phu!$I$44),"Cam Thuận",""),IF(OR(M928=phu!$I$45,M928=phu!$I$46,M928=phu!$I$47,M928=phu!$I$48,M928=phu!$I$49,M928=phu!$I$50,M928=phu!$I$51,M928=phu!$I$52,M928=phu!$I$53),"Cam Linh",""),IF(OR(M928=phu!$I$54,M928=phu!$I$55,M928=phu!$I$56,M928=phu!$I$57,M928=phu!$I$58,M928=phu!$I$59,M928=phu!$I$60,M928=phu!$I$61,M928=phu!$I$62),"Cam Lợi",""),IF(OR(M928=phu!$I$63,M928=phu!$I$64,M928=phu!$I$65,M928=phu!$I$66,M928=phu!$I$67,M928=phu!$I$68,M928=phu!$I$69,M928=phu!$I$70,M928=phu!$I$71),"Ba Ngòi",""),IF(OR(M928=phu!$I$72,M928=phu!$I$73,M928=phu!$I$74,M928=phu!$I$75,M928=phu!$I$76,M928=phu!$I$77,M928=phu!$I$78),"Cam Phước Đông",""),IF(OR(M928=phu!$I$79,M928=phu!$I$80,M928=phu!$I$81,M928=phu!$I$82,M928=phu!$I$83,M928=phu!$I$84),"Cam Thịnh Đông",""),IF(OR(M928=phu!$I$85,M928=phu!$I$86,M928=phu!$I$87,M928=phu!$I$88),"Cam Thịnh Tây",""),IF(OR(M928=phu!$I$89,M928=phu!$I$90),"Cam Lập",""),IF(OR(M928=phu!$I$91,M928=phu!$I$92,M928=phu!$I$93),"Cam Bình",""),IF(OR(M928=phu!$I$94,M928=phu!$I$95,M928=phu!$I$96,M928=phu!$I$97,M928=phu!$I$98,M928=phu!$I$99,M928=phu!$I$100),"Huyện khác",""),IF(OR(M928=phu!$I$101,M928=phu!$I$102),"Tỉnh khác",""))</f>
        <v/>
      </c>
      <c r="O928" s="814" t="str">
        <f t="shared" si="85"/>
        <v/>
      </c>
      <c r="P928" s="254"/>
      <c r="Q928" s="254"/>
      <c r="R928" s="254"/>
      <c r="S928" s="254"/>
      <c r="T928" s="254"/>
      <c r="U928" s="254"/>
      <c r="V928" s="254"/>
      <c r="W928" s="254"/>
      <c r="Y928" s="246" t="str">
        <f t="shared" si="86"/>
        <v/>
      </c>
      <c r="Z928" s="247" t="str">
        <f t="shared" si="84"/>
        <v/>
      </c>
      <c r="AA928" s="246" t="str">
        <f t="shared" si="87"/>
        <v/>
      </c>
    </row>
    <row r="929" spans="1:27" x14ac:dyDescent="0.25">
      <c r="A929" s="248" t="str">
        <f t="shared" si="88"/>
        <v/>
      </c>
      <c r="B929" s="249" t="str">
        <f t="shared" si="89"/>
        <v/>
      </c>
      <c r="C929" s="250"/>
      <c r="D929" s="251"/>
      <c r="E929" s="241"/>
      <c r="F929" s="252"/>
      <c r="G929" s="252"/>
      <c r="H929" s="253"/>
      <c r="I929" s="250"/>
      <c r="J929" s="250"/>
      <c r="K929" s="270"/>
      <c r="L929" s="250"/>
      <c r="M929" s="250"/>
      <c r="N929" s="553" t="str">
        <f>CONCATENATE(IF(OR(M929=phu!$I$1,M929=phu!$I$2,M929=phu!$I$3),"Cam Thành Nam",""),IF(OR(M929=phu!$I$4,M929=phu!$I$5,M929=phu!$I$6,M929=phu!$I$7,M929=phu!$I$8,M929=phu!$I$9,M929=phu!$I$10,M929=phu!$I$11,M929=phu!$I$12,M929=phu!$I$13,M929=phu!$I$14),"Cam Nghĩa",""),IF(OR(M929=phu!$I$15,M929=phu!$I$16,M929=phu!$I$17,M929=phu!$I$18,M929=phu!$I$19,M929=phu!$I$20,M929=phu!$I$21),"Cam Phúc Bắc",""),IF(OR(M929=phu!$I$22,M929=phu!$I$23,M929=phu!$I$24,M929=phu!$I$25),"Cam Phúc Nam",""),IF(OR(M929=phu!$I$26,M929=phu!$I$27,M929=phu!$I$28,M929=phu!$I$29,M929=phu!$I$30,M929=phu!$I$31),"Cam Phú",""),IF(OR(M929=phu!$I$32,M929=phu!$I$33,M929=phu!$I$34,M929=phu!$I$35,M929=phu!$I$36,M929=phu!$I$37),"Cam Lộc",""),IF(OR(M929=phu!$I$38,M929=phu!$I$39,M929=phu!$I$40,M929=phu!$I$41,M929=phu!$I$42,M929=phu!$I$43,M929=phu!$I$44),"Cam Thuận",""),IF(OR(M929=phu!$I$45,M929=phu!$I$46,M929=phu!$I$47,M929=phu!$I$48,M929=phu!$I$49,M929=phu!$I$50,M929=phu!$I$51,M929=phu!$I$52,M929=phu!$I$53),"Cam Linh",""),IF(OR(M929=phu!$I$54,M929=phu!$I$55,M929=phu!$I$56,M929=phu!$I$57,M929=phu!$I$58,M929=phu!$I$59,M929=phu!$I$60,M929=phu!$I$61,M929=phu!$I$62),"Cam Lợi",""),IF(OR(M929=phu!$I$63,M929=phu!$I$64,M929=phu!$I$65,M929=phu!$I$66,M929=phu!$I$67,M929=phu!$I$68,M929=phu!$I$69,M929=phu!$I$70,M929=phu!$I$71),"Ba Ngòi",""),IF(OR(M929=phu!$I$72,M929=phu!$I$73,M929=phu!$I$74,M929=phu!$I$75,M929=phu!$I$76,M929=phu!$I$77,M929=phu!$I$78),"Cam Phước Đông",""),IF(OR(M929=phu!$I$79,M929=phu!$I$80,M929=phu!$I$81,M929=phu!$I$82,M929=phu!$I$83,M929=phu!$I$84),"Cam Thịnh Đông",""),IF(OR(M929=phu!$I$85,M929=phu!$I$86,M929=phu!$I$87,M929=phu!$I$88),"Cam Thịnh Tây",""),IF(OR(M929=phu!$I$89,M929=phu!$I$90),"Cam Lập",""),IF(OR(M929=phu!$I$91,M929=phu!$I$92,M929=phu!$I$93),"Cam Bình",""),IF(OR(M929=phu!$I$94,M929=phu!$I$95,M929=phu!$I$96,M929=phu!$I$97,M929=phu!$I$98,M929=phu!$I$99,M929=phu!$I$100),"Huyện khác",""),IF(OR(M929=phu!$I$101,M929=phu!$I$102),"Tỉnh khác",""))</f>
        <v/>
      </c>
      <c r="O929" s="814" t="str">
        <f t="shared" si="85"/>
        <v/>
      </c>
      <c r="P929" s="254"/>
      <c r="Q929" s="254"/>
      <c r="R929" s="254"/>
      <c r="S929" s="254"/>
      <c r="T929" s="254"/>
      <c r="U929" s="254"/>
      <c r="V929" s="254"/>
      <c r="W929" s="254"/>
      <c r="Y929" s="246" t="str">
        <f t="shared" si="86"/>
        <v/>
      </c>
      <c r="Z929" s="247" t="str">
        <f t="shared" si="84"/>
        <v/>
      </c>
      <c r="AA929" s="246" t="str">
        <f t="shared" si="87"/>
        <v/>
      </c>
    </row>
    <row r="930" spans="1:27" x14ac:dyDescent="0.25">
      <c r="A930" s="248" t="str">
        <f t="shared" si="88"/>
        <v/>
      </c>
      <c r="B930" s="249" t="str">
        <f t="shared" si="89"/>
        <v/>
      </c>
      <c r="C930" s="250"/>
      <c r="D930" s="251"/>
      <c r="E930" s="241"/>
      <c r="F930" s="252"/>
      <c r="G930" s="252"/>
      <c r="H930" s="253"/>
      <c r="I930" s="250"/>
      <c r="J930" s="250"/>
      <c r="K930" s="270"/>
      <c r="L930" s="250"/>
      <c r="M930" s="250"/>
      <c r="N930" s="553" t="str">
        <f>CONCATENATE(IF(OR(M930=phu!$I$1,M930=phu!$I$2,M930=phu!$I$3),"Cam Thành Nam",""),IF(OR(M930=phu!$I$4,M930=phu!$I$5,M930=phu!$I$6,M930=phu!$I$7,M930=phu!$I$8,M930=phu!$I$9,M930=phu!$I$10,M930=phu!$I$11,M930=phu!$I$12,M930=phu!$I$13,M930=phu!$I$14),"Cam Nghĩa",""),IF(OR(M930=phu!$I$15,M930=phu!$I$16,M930=phu!$I$17,M930=phu!$I$18,M930=phu!$I$19,M930=phu!$I$20,M930=phu!$I$21),"Cam Phúc Bắc",""),IF(OR(M930=phu!$I$22,M930=phu!$I$23,M930=phu!$I$24,M930=phu!$I$25),"Cam Phúc Nam",""),IF(OR(M930=phu!$I$26,M930=phu!$I$27,M930=phu!$I$28,M930=phu!$I$29,M930=phu!$I$30,M930=phu!$I$31),"Cam Phú",""),IF(OR(M930=phu!$I$32,M930=phu!$I$33,M930=phu!$I$34,M930=phu!$I$35,M930=phu!$I$36,M930=phu!$I$37),"Cam Lộc",""),IF(OR(M930=phu!$I$38,M930=phu!$I$39,M930=phu!$I$40,M930=phu!$I$41,M930=phu!$I$42,M930=phu!$I$43,M930=phu!$I$44),"Cam Thuận",""),IF(OR(M930=phu!$I$45,M930=phu!$I$46,M930=phu!$I$47,M930=phu!$I$48,M930=phu!$I$49,M930=phu!$I$50,M930=phu!$I$51,M930=phu!$I$52,M930=phu!$I$53),"Cam Linh",""),IF(OR(M930=phu!$I$54,M930=phu!$I$55,M930=phu!$I$56,M930=phu!$I$57,M930=phu!$I$58,M930=phu!$I$59,M930=phu!$I$60,M930=phu!$I$61,M930=phu!$I$62),"Cam Lợi",""),IF(OR(M930=phu!$I$63,M930=phu!$I$64,M930=phu!$I$65,M930=phu!$I$66,M930=phu!$I$67,M930=phu!$I$68,M930=phu!$I$69,M930=phu!$I$70,M930=phu!$I$71),"Ba Ngòi",""),IF(OR(M930=phu!$I$72,M930=phu!$I$73,M930=phu!$I$74,M930=phu!$I$75,M930=phu!$I$76,M930=phu!$I$77,M930=phu!$I$78),"Cam Phước Đông",""),IF(OR(M930=phu!$I$79,M930=phu!$I$80,M930=phu!$I$81,M930=phu!$I$82,M930=phu!$I$83,M930=phu!$I$84),"Cam Thịnh Đông",""),IF(OR(M930=phu!$I$85,M930=phu!$I$86,M930=phu!$I$87,M930=phu!$I$88),"Cam Thịnh Tây",""),IF(OR(M930=phu!$I$89,M930=phu!$I$90),"Cam Lập",""),IF(OR(M930=phu!$I$91,M930=phu!$I$92,M930=phu!$I$93),"Cam Bình",""),IF(OR(M930=phu!$I$94,M930=phu!$I$95,M930=phu!$I$96,M930=phu!$I$97,M930=phu!$I$98,M930=phu!$I$99,M930=phu!$I$100),"Huyện khác",""),IF(OR(M930=phu!$I$101,M930=phu!$I$102),"Tỉnh khác",""))</f>
        <v/>
      </c>
      <c r="O930" s="814" t="str">
        <f t="shared" si="85"/>
        <v/>
      </c>
      <c r="P930" s="254"/>
      <c r="Q930" s="254"/>
      <c r="R930" s="254"/>
      <c r="S930" s="254"/>
      <c r="T930" s="254"/>
      <c r="U930" s="254"/>
      <c r="V930" s="254"/>
      <c r="W930" s="254"/>
      <c r="Y930" s="246" t="str">
        <f t="shared" si="86"/>
        <v/>
      </c>
      <c r="Z930" s="247" t="str">
        <f t="shared" si="84"/>
        <v/>
      </c>
      <c r="AA930" s="246" t="str">
        <f t="shared" si="87"/>
        <v/>
      </c>
    </row>
    <row r="931" spans="1:27" x14ac:dyDescent="0.25">
      <c r="A931" s="248" t="str">
        <f t="shared" si="88"/>
        <v/>
      </c>
      <c r="B931" s="249" t="str">
        <f t="shared" si="89"/>
        <v/>
      </c>
      <c r="C931" s="250"/>
      <c r="D931" s="251"/>
      <c r="E931" s="241"/>
      <c r="F931" s="252"/>
      <c r="G931" s="252"/>
      <c r="H931" s="253"/>
      <c r="I931" s="250"/>
      <c r="J931" s="250"/>
      <c r="K931" s="270"/>
      <c r="L931" s="250"/>
      <c r="M931" s="250"/>
      <c r="N931" s="553" t="str">
        <f>CONCATENATE(IF(OR(M931=phu!$I$1,M931=phu!$I$2,M931=phu!$I$3),"Cam Thành Nam",""),IF(OR(M931=phu!$I$4,M931=phu!$I$5,M931=phu!$I$6,M931=phu!$I$7,M931=phu!$I$8,M931=phu!$I$9,M931=phu!$I$10,M931=phu!$I$11,M931=phu!$I$12,M931=phu!$I$13,M931=phu!$I$14),"Cam Nghĩa",""),IF(OR(M931=phu!$I$15,M931=phu!$I$16,M931=phu!$I$17,M931=phu!$I$18,M931=phu!$I$19,M931=phu!$I$20,M931=phu!$I$21),"Cam Phúc Bắc",""),IF(OR(M931=phu!$I$22,M931=phu!$I$23,M931=phu!$I$24,M931=phu!$I$25),"Cam Phúc Nam",""),IF(OR(M931=phu!$I$26,M931=phu!$I$27,M931=phu!$I$28,M931=phu!$I$29,M931=phu!$I$30,M931=phu!$I$31),"Cam Phú",""),IF(OR(M931=phu!$I$32,M931=phu!$I$33,M931=phu!$I$34,M931=phu!$I$35,M931=phu!$I$36,M931=phu!$I$37),"Cam Lộc",""),IF(OR(M931=phu!$I$38,M931=phu!$I$39,M931=phu!$I$40,M931=phu!$I$41,M931=phu!$I$42,M931=phu!$I$43,M931=phu!$I$44),"Cam Thuận",""),IF(OR(M931=phu!$I$45,M931=phu!$I$46,M931=phu!$I$47,M931=phu!$I$48,M931=phu!$I$49,M931=phu!$I$50,M931=phu!$I$51,M931=phu!$I$52,M931=phu!$I$53),"Cam Linh",""),IF(OR(M931=phu!$I$54,M931=phu!$I$55,M931=phu!$I$56,M931=phu!$I$57,M931=phu!$I$58,M931=phu!$I$59,M931=phu!$I$60,M931=phu!$I$61,M931=phu!$I$62),"Cam Lợi",""),IF(OR(M931=phu!$I$63,M931=phu!$I$64,M931=phu!$I$65,M931=phu!$I$66,M931=phu!$I$67,M931=phu!$I$68,M931=phu!$I$69,M931=phu!$I$70,M931=phu!$I$71),"Ba Ngòi",""),IF(OR(M931=phu!$I$72,M931=phu!$I$73,M931=phu!$I$74,M931=phu!$I$75,M931=phu!$I$76,M931=phu!$I$77,M931=phu!$I$78),"Cam Phước Đông",""),IF(OR(M931=phu!$I$79,M931=phu!$I$80,M931=phu!$I$81,M931=phu!$I$82,M931=phu!$I$83,M931=phu!$I$84),"Cam Thịnh Đông",""),IF(OR(M931=phu!$I$85,M931=phu!$I$86,M931=phu!$I$87,M931=phu!$I$88),"Cam Thịnh Tây",""),IF(OR(M931=phu!$I$89,M931=phu!$I$90),"Cam Lập",""),IF(OR(M931=phu!$I$91,M931=phu!$I$92,M931=phu!$I$93),"Cam Bình",""),IF(OR(M931=phu!$I$94,M931=phu!$I$95,M931=phu!$I$96,M931=phu!$I$97,M931=phu!$I$98,M931=phu!$I$99,M931=phu!$I$100),"Huyện khác",""),IF(OR(M931=phu!$I$101,M931=phu!$I$102),"Tỉnh khác",""))</f>
        <v/>
      </c>
      <c r="O931" s="814" t="str">
        <f t="shared" si="85"/>
        <v/>
      </c>
      <c r="P931" s="254"/>
      <c r="Q931" s="254"/>
      <c r="R931" s="254"/>
      <c r="S931" s="254"/>
      <c r="T931" s="254"/>
      <c r="U931" s="254"/>
      <c r="V931" s="254"/>
      <c r="W931" s="254"/>
      <c r="Y931" s="246" t="str">
        <f t="shared" si="86"/>
        <v/>
      </c>
      <c r="Z931" s="247" t="str">
        <f t="shared" si="84"/>
        <v/>
      </c>
      <c r="AA931" s="246" t="str">
        <f t="shared" si="87"/>
        <v/>
      </c>
    </row>
    <row r="932" spans="1:27" x14ac:dyDescent="0.25">
      <c r="A932" s="248" t="str">
        <f t="shared" si="88"/>
        <v/>
      </c>
      <c r="B932" s="249" t="str">
        <f t="shared" si="89"/>
        <v/>
      </c>
      <c r="C932" s="250"/>
      <c r="D932" s="251"/>
      <c r="E932" s="241"/>
      <c r="F932" s="252"/>
      <c r="G932" s="252"/>
      <c r="H932" s="253"/>
      <c r="I932" s="250"/>
      <c r="J932" s="250"/>
      <c r="K932" s="270"/>
      <c r="L932" s="250"/>
      <c r="M932" s="250"/>
      <c r="N932" s="553" t="str">
        <f>CONCATENATE(IF(OR(M932=phu!$I$1,M932=phu!$I$2,M932=phu!$I$3),"Cam Thành Nam",""),IF(OR(M932=phu!$I$4,M932=phu!$I$5,M932=phu!$I$6,M932=phu!$I$7,M932=phu!$I$8,M932=phu!$I$9,M932=phu!$I$10,M932=phu!$I$11,M932=phu!$I$12,M932=phu!$I$13,M932=phu!$I$14),"Cam Nghĩa",""),IF(OR(M932=phu!$I$15,M932=phu!$I$16,M932=phu!$I$17,M932=phu!$I$18,M932=phu!$I$19,M932=phu!$I$20,M932=phu!$I$21),"Cam Phúc Bắc",""),IF(OR(M932=phu!$I$22,M932=phu!$I$23,M932=phu!$I$24,M932=phu!$I$25),"Cam Phúc Nam",""),IF(OR(M932=phu!$I$26,M932=phu!$I$27,M932=phu!$I$28,M932=phu!$I$29,M932=phu!$I$30,M932=phu!$I$31),"Cam Phú",""),IF(OR(M932=phu!$I$32,M932=phu!$I$33,M932=phu!$I$34,M932=phu!$I$35,M932=phu!$I$36,M932=phu!$I$37),"Cam Lộc",""),IF(OR(M932=phu!$I$38,M932=phu!$I$39,M932=phu!$I$40,M932=phu!$I$41,M932=phu!$I$42,M932=phu!$I$43,M932=phu!$I$44),"Cam Thuận",""),IF(OR(M932=phu!$I$45,M932=phu!$I$46,M932=phu!$I$47,M932=phu!$I$48,M932=phu!$I$49,M932=phu!$I$50,M932=phu!$I$51,M932=phu!$I$52,M932=phu!$I$53),"Cam Linh",""),IF(OR(M932=phu!$I$54,M932=phu!$I$55,M932=phu!$I$56,M932=phu!$I$57,M932=phu!$I$58,M932=phu!$I$59,M932=phu!$I$60,M932=phu!$I$61,M932=phu!$I$62),"Cam Lợi",""),IF(OR(M932=phu!$I$63,M932=phu!$I$64,M932=phu!$I$65,M932=phu!$I$66,M932=phu!$I$67,M932=phu!$I$68,M932=phu!$I$69,M932=phu!$I$70,M932=phu!$I$71),"Ba Ngòi",""),IF(OR(M932=phu!$I$72,M932=phu!$I$73,M932=phu!$I$74,M932=phu!$I$75,M932=phu!$I$76,M932=phu!$I$77,M932=phu!$I$78),"Cam Phước Đông",""),IF(OR(M932=phu!$I$79,M932=phu!$I$80,M932=phu!$I$81,M932=phu!$I$82,M932=phu!$I$83,M932=phu!$I$84),"Cam Thịnh Đông",""),IF(OR(M932=phu!$I$85,M932=phu!$I$86,M932=phu!$I$87,M932=phu!$I$88),"Cam Thịnh Tây",""),IF(OR(M932=phu!$I$89,M932=phu!$I$90),"Cam Lập",""),IF(OR(M932=phu!$I$91,M932=phu!$I$92,M932=phu!$I$93),"Cam Bình",""),IF(OR(M932=phu!$I$94,M932=phu!$I$95,M932=phu!$I$96,M932=phu!$I$97,M932=phu!$I$98,M932=phu!$I$99,M932=phu!$I$100),"Huyện khác",""),IF(OR(M932=phu!$I$101,M932=phu!$I$102),"Tỉnh khác",""))</f>
        <v/>
      </c>
      <c r="O932" s="814" t="str">
        <f t="shared" si="85"/>
        <v/>
      </c>
      <c r="P932" s="254"/>
      <c r="Q932" s="254"/>
      <c r="R932" s="254"/>
      <c r="S932" s="254"/>
      <c r="T932" s="254"/>
      <c r="U932" s="254"/>
      <c r="V932" s="254"/>
      <c r="W932" s="254"/>
      <c r="Y932" s="246" t="str">
        <f t="shared" si="86"/>
        <v/>
      </c>
      <c r="Z932" s="247" t="str">
        <f t="shared" si="84"/>
        <v/>
      </c>
      <c r="AA932" s="246" t="str">
        <f t="shared" si="87"/>
        <v/>
      </c>
    </row>
    <row r="933" spans="1:27" x14ac:dyDescent="0.25">
      <c r="A933" s="248" t="str">
        <f t="shared" si="88"/>
        <v/>
      </c>
      <c r="B933" s="249" t="str">
        <f t="shared" si="89"/>
        <v/>
      </c>
      <c r="C933" s="250"/>
      <c r="D933" s="251"/>
      <c r="E933" s="241"/>
      <c r="F933" s="252"/>
      <c r="G933" s="252"/>
      <c r="H933" s="253"/>
      <c r="I933" s="250"/>
      <c r="J933" s="250"/>
      <c r="K933" s="270"/>
      <c r="L933" s="250"/>
      <c r="M933" s="250"/>
      <c r="N933" s="553" t="str">
        <f>CONCATENATE(IF(OR(M933=phu!$I$1,M933=phu!$I$2,M933=phu!$I$3),"Cam Thành Nam",""),IF(OR(M933=phu!$I$4,M933=phu!$I$5,M933=phu!$I$6,M933=phu!$I$7,M933=phu!$I$8,M933=phu!$I$9,M933=phu!$I$10,M933=phu!$I$11,M933=phu!$I$12,M933=phu!$I$13,M933=phu!$I$14),"Cam Nghĩa",""),IF(OR(M933=phu!$I$15,M933=phu!$I$16,M933=phu!$I$17,M933=phu!$I$18,M933=phu!$I$19,M933=phu!$I$20,M933=phu!$I$21),"Cam Phúc Bắc",""),IF(OR(M933=phu!$I$22,M933=phu!$I$23,M933=phu!$I$24,M933=phu!$I$25),"Cam Phúc Nam",""),IF(OR(M933=phu!$I$26,M933=phu!$I$27,M933=phu!$I$28,M933=phu!$I$29,M933=phu!$I$30,M933=phu!$I$31),"Cam Phú",""),IF(OR(M933=phu!$I$32,M933=phu!$I$33,M933=phu!$I$34,M933=phu!$I$35,M933=phu!$I$36,M933=phu!$I$37),"Cam Lộc",""),IF(OR(M933=phu!$I$38,M933=phu!$I$39,M933=phu!$I$40,M933=phu!$I$41,M933=phu!$I$42,M933=phu!$I$43,M933=phu!$I$44),"Cam Thuận",""),IF(OR(M933=phu!$I$45,M933=phu!$I$46,M933=phu!$I$47,M933=phu!$I$48,M933=phu!$I$49,M933=phu!$I$50,M933=phu!$I$51,M933=phu!$I$52,M933=phu!$I$53),"Cam Linh",""),IF(OR(M933=phu!$I$54,M933=phu!$I$55,M933=phu!$I$56,M933=phu!$I$57,M933=phu!$I$58,M933=phu!$I$59,M933=phu!$I$60,M933=phu!$I$61,M933=phu!$I$62),"Cam Lợi",""),IF(OR(M933=phu!$I$63,M933=phu!$I$64,M933=phu!$I$65,M933=phu!$I$66,M933=phu!$I$67,M933=phu!$I$68,M933=phu!$I$69,M933=phu!$I$70,M933=phu!$I$71),"Ba Ngòi",""),IF(OR(M933=phu!$I$72,M933=phu!$I$73,M933=phu!$I$74,M933=phu!$I$75,M933=phu!$I$76,M933=phu!$I$77,M933=phu!$I$78),"Cam Phước Đông",""),IF(OR(M933=phu!$I$79,M933=phu!$I$80,M933=phu!$I$81,M933=phu!$I$82,M933=phu!$I$83,M933=phu!$I$84),"Cam Thịnh Đông",""),IF(OR(M933=phu!$I$85,M933=phu!$I$86,M933=phu!$I$87,M933=phu!$I$88),"Cam Thịnh Tây",""),IF(OR(M933=phu!$I$89,M933=phu!$I$90),"Cam Lập",""),IF(OR(M933=phu!$I$91,M933=phu!$I$92,M933=phu!$I$93),"Cam Bình",""),IF(OR(M933=phu!$I$94,M933=phu!$I$95,M933=phu!$I$96,M933=phu!$I$97,M933=phu!$I$98,M933=phu!$I$99,M933=phu!$I$100),"Huyện khác",""),IF(OR(M933=phu!$I$101,M933=phu!$I$102),"Tỉnh khác",""))</f>
        <v/>
      </c>
      <c r="O933" s="814" t="str">
        <f t="shared" si="85"/>
        <v/>
      </c>
      <c r="P933" s="254"/>
      <c r="Q933" s="254"/>
      <c r="R933" s="254"/>
      <c r="S933" s="254"/>
      <c r="T933" s="254"/>
      <c r="U933" s="254"/>
      <c r="V933" s="254"/>
      <c r="W933" s="254"/>
      <c r="Y933" s="246" t="str">
        <f t="shared" si="86"/>
        <v/>
      </c>
      <c r="Z933" s="247" t="str">
        <f t="shared" si="84"/>
        <v/>
      </c>
      <c r="AA933" s="246" t="str">
        <f t="shared" si="87"/>
        <v/>
      </c>
    </row>
    <row r="934" spans="1:27" x14ac:dyDescent="0.25">
      <c r="A934" s="248" t="str">
        <f t="shared" si="88"/>
        <v/>
      </c>
      <c r="B934" s="249" t="str">
        <f t="shared" si="89"/>
        <v/>
      </c>
      <c r="C934" s="250"/>
      <c r="D934" s="251"/>
      <c r="E934" s="241"/>
      <c r="F934" s="252"/>
      <c r="G934" s="252"/>
      <c r="H934" s="253"/>
      <c r="I934" s="250"/>
      <c r="J934" s="250"/>
      <c r="K934" s="270"/>
      <c r="L934" s="250"/>
      <c r="M934" s="250"/>
      <c r="N934" s="553" t="str">
        <f>CONCATENATE(IF(OR(M934=phu!$I$1,M934=phu!$I$2,M934=phu!$I$3),"Cam Thành Nam",""),IF(OR(M934=phu!$I$4,M934=phu!$I$5,M934=phu!$I$6,M934=phu!$I$7,M934=phu!$I$8,M934=phu!$I$9,M934=phu!$I$10,M934=phu!$I$11,M934=phu!$I$12,M934=phu!$I$13,M934=phu!$I$14),"Cam Nghĩa",""),IF(OR(M934=phu!$I$15,M934=phu!$I$16,M934=phu!$I$17,M934=phu!$I$18,M934=phu!$I$19,M934=phu!$I$20,M934=phu!$I$21),"Cam Phúc Bắc",""),IF(OR(M934=phu!$I$22,M934=phu!$I$23,M934=phu!$I$24,M934=phu!$I$25),"Cam Phúc Nam",""),IF(OR(M934=phu!$I$26,M934=phu!$I$27,M934=phu!$I$28,M934=phu!$I$29,M934=phu!$I$30,M934=phu!$I$31),"Cam Phú",""),IF(OR(M934=phu!$I$32,M934=phu!$I$33,M934=phu!$I$34,M934=phu!$I$35,M934=phu!$I$36,M934=phu!$I$37),"Cam Lộc",""),IF(OR(M934=phu!$I$38,M934=phu!$I$39,M934=phu!$I$40,M934=phu!$I$41,M934=phu!$I$42,M934=phu!$I$43,M934=phu!$I$44),"Cam Thuận",""),IF(OR(M934=phu!$I$45,M934=phu!$I$46,M934=phu!$I$47,M934=phu!$I$48,M934=phu!$I$49,M934=phu!$I$50,M934=phu!$I$51,M934=phu!$I$52,M934=phu!$I$53),"Cam Linh",""),IF(OR(M934=phu!$I$54,M934=phu!$I$55,M934=phu!$I$56,M934=phu!$I$57,M934=phu!$I$58,M934=phu!$I$59,M934=phu!$I$60,M934=phu!$I$61,M934=phu!$I$62),"Cam Lợi",""),IF(OR(M934=phu!$I$63,M934=phu!$I$64,M934=phu!$I$65,M934=phu!$I$66,M934=phu!$I$67,M934=phu!$I$68,M934=phu!$I$69,M934=phu!$I$70,M934=phu!$I$71),"Ba Ngòi",""),IF(OR(M934=phu!$I$72,M934=phu!$I$73,M934=phu!$I$74,M934=phu!$I$75,M934=phu!$I$76,M934=phu!$I$77,M934=phu!$I$78),"Cam Phước Đông",""),IF(OR(M934=phu!$I$79,M934=phu!$I$80,M934=phu!$I$81,M934=phu!$I$82,M934=phu!$I$83,M934=phu!$I$84),"Cam Thịnh Đông",""),IF(OR(M934=phu!$I$85,M934=phu!$I$86,M934=phu!$I$87,M934=phu!$I$88),"Cam Thịnh Tây",""),IF(OR(M934=phu!$I$89,M934=phu!$I$90),"Cam Lập",""),IF(OR(M934=phu!$I$91,M934=phu!$I$92,M934=phu!$I$93),"Cam Bình",""),IF(OR(M934=phu!$I$94,M934=phu!$I$95,M934=phu!$I$96,M934=phu!$I$97,M934=phu!$I$98,M934=phu!$I$99,M934=phu!$I$100),"Huyện khác",""),IF(OR(M934=phu!$I$101,M934=phu!$I$102),"Tỉnh khác",""))</f>
        <v/>
      </c>
      <c r="O934" s="814" t="str">
        <f t="shared" si="85"/>
        <v/>
      </c>
      <c r="P934" s="254"/>
      <c r="Q934" s="254"/>
      <c r="R934" s="254"/>
      <c r="S934" s="254"/>
      <c r="T934" s="254"/>
      <c r="U934" s="254"/>
      <c r="V934" s="254"/>
      <c r="W934" s="254"/>
      <c r="Y934" s="246" t="str">
        <f t="shared" si="86"/>
        <v/>
      </c>
      <c r="Z934" s="247" t="str">
        <f t="shared" si="84"/>
        <v/>
      </c>
      <c r="AA934" s="246" t="str">
        <f t="shared" si="87"/>
        <v/>
      </c>
    </row>
    <row r="935" spans="1:27" x14ac:dyDescent="0.25">
      <c r="A935" s="248" t="str">
        <f t="shared" si="88"/>
        <v/>
      </c>
      <c r="B935" s="249" t="str">
        <f t="shared" si="89"/>
        <v/>
      </c>
      <c r="C935" s="250"/>
      <c r="D935" s="251"/>
      <c r="E935" s="241"/>
      <c r="F935" s="252"/>
      <c r="G935" s="252"/>
      <c r="H935" s="253"/>
      <c r="I935" s="250"/>
      <c r="J935" s="250"/>
      <c r="K935" s="270"/>
      <c r="L935" s="250"/>
      <c r="M935" s="250"/>
      <c r="N935" s="553" t="str">
        <f>CONCATENATE(IF(OR(M935=phu!$I$1,M935=phu!$I$2,M935=phu!$I$3),"Cam Thành Nam",""),IF(OR(M935=phu!$I$4,M935=phu!$I$5,M935=phu!$I$6,M935=phu!$I$7,M935=phu!$I$8,M935=phu!$I$9,M935=phu!$I$10,M935=phu!$I$11,M935=phu!$I$12,M935=phu!$I$13,M935=phu!$I$14),"Cam Nghĩa",""),IF(OR(M935=phu!$I$15,M935=phu!$I$16,M935=phu!$I$17,M935=phu!$I$18,M935=phu!$I$19,M935=phu!$I$20,M935=phu!$I$21),"Cam Phúc Bắc",""),IF(OR(M935=phu!$I$22,M935=phu!$I$23,M935=phu!$I$24,M935=phu!$I$25),"Cam Phúc Nam",""),IF(OR(M935=phu!$I$26,M935=phu!$I$27,M935=phu!$I$28,M935=phu!$I$29,M935=phu!$I$30,M935=phu!$I$31),"Cam Phú",""),IF(OR(M935=phu!$I$32,M935=phu!$I$33,M935=phu!$I$34,M935=phu!$I$35,M935=phu!$I$36,M935=phu!$I$37),"Cam Lộc",""),IF(OR(M935=phu!$I$38,M935=phu!$I$39,M935=phu!$I$40,M935=phu!$I$41,M935=phu!$I$42,M935=phu!$I$43,M935=phu!$I$44),"Cam Thuận",""),IF(OR(M935=phu!$I$45,M935=phu!$I$46,M935=phu!$I$47,M935=phu!$I$48,M935=phu!$I$49,M935=phu!$I$50,M935=phu!$I$51,M935=phu!$I$52,M935=phu!$I$53),"Cam Linh",""),IF(OR(M935=phu!$I$54,M935=phu!$I$55,M935=phu!$I$56,M935=phu!$I$57,M935=phu!$I$58,M935=phu!$I$59,M935=phu!$I$60,M935=phu!$I$61,M935=phu!$I$62),"Cam Lợi",""),IF(OR(M935=phu!$I$63,M935=phu!$I$64,M935=phu!$I$65,M935=phu!$I$66,M935=phu!$I$67,M935=phu!$I$68,M935=phu!$I$69,M935=phu!$I$70,M935=phu!$I$71),"Ba Ngòi",""),IF(OR(M935=phu!$I$72,M935=phu!$I$73,M935=phu!$I$74,M935=phu!$I$75,M935=phu!$I$76,M935=phu!$I$77,M935=phu!$I$78),"Cam Phước Đông",""),IF(OR(M935=phu!$I$79,M935=phu!$I$80,M935=phu!$I$81,M935=phu!$I$82,M935=phu!$I$83,M935=phu!$I$84),"Cam Thịnh Đông",""),IF(OR(M935=phu!$I$85,M935=phu!$I$86,M935=phu!$I$87,M935=phu!$I$88),"Cam Thịnh Tây",""),IF(OR(M935=phu!$I$89,M935=phu!$I$90),"Cam Lập",""),IF(OR(M935=phu!$I$91,M935=phu!$I$92,M935=phu!$I$93),"Cam Bình",""),IF(OR(M935=phu!$I$94,M935=phu!$I$95,M935=phu!$I$96,M935=phu!$I$97,M935=phu!$I$98,M935=phu!$I$99,M935=phu!$I$100),"Huyện khác",""),IF(OR(M935=phu!$I$101,M935=phu!$I$102),"Tỉnh khác",""))</f>
        <v/>
      </c>
      <c r="O935" s="814" t="str">
        <f t="shared" si="85"/>
        <v/>
      </c>
      <c r="P935" s="254"/>
      <c r="Q935" s="254"/>
      <c r="R935" s="254"/>
      <c r="S935" s="254"/>
      <c r="T935" s="254"/>
      <c r="U935" s="254"/>
      <c r="V935" s="254"/>
      <c r="W935" s="254"/>
      <c r="Y935" s="246" t="str">
        <f t="shared" si="86"/>
        <v/>
      </c>
      <c r="Z935" s="247" t="str">
        <f t="shared" si="84"/>
        <v/>
      </c>
      <c r="AA935" s="246" t="str">
        <f t="shared" si="87"/>
        <v/>
      </c>
    </row>
    <row r="936" spans="1:27" x14ac:dyDescent="0.25">
      <c r="A936" s="248" t="str">
        <f t="shared" si="88"/>
        <v/>
      </c>
      <c r="B936" s="249" t="str">
        <f t="shared" si="89"/>
        <v/>
      </c>
      <c r="C936" s="250"/>
      <c r="D936" s="251"/>
      <c r="E936" s="241"/>
      <c r="F936" s="252"/>
      <c r="G936" s="252"/>
      <c r="H936" s="253"/>
      <c r="I936" s="250"/>
      <c r="J936" s="250"/>
      <c r="K936" s="270"/>
      <c r="L936" s="250"/>
      <c r="M936" s="250"/>
      <c r="N936" s="553" t="str">
        <f>CONCATENATE(IF(OR(M936=phu!$I$1,M936=phu!$I$2,M936=phu!$I$3),"Cam Thành Nam",""),IF(OR(M936=phu!$I$4,M936=phu!$I$5,M936=phu!$I$6,M936=phu!$I$7,M936=phu!$I$8,M936=phu!$I$9,M936=phu!$I$10,M936=phu!$I$11,M936=phu!$I$12,M936=phu!$I$13,M936=phu!$I$14),"Cam Nghĩa",""),IF(OR(M936=phu!$I$15,M936=phu!$I$16,M936=phu!$I$17,M936=phu!$I$18,M936=phu!$I$19,M936=phu!$I$20,M936=phu!$I$21),"Cam Phúc Bắc",""),IF(OR(M936=phu!$I$22,M936=phu!$I$23,M936=phu!$I$24,M936=phu!$I$25),"Cam Phúc Nam",""),IF(OR(M936=phu!$I$26,M936=phu!$I$27,M936=phu!$I$28,M936=phu!$I$29,M936=phu!$I$30,M936=phu!$I$31),"Cam Phú",""),IF(OR(M936=phu!$I$32,M936=phu!$I$33,M936=phu!$I$34,M936=phu!$I$35,M936=phu!$I$36,M936=phu!$I$37),"Cam Lộc",""),IF(OR(M936=phu!$I$38,M936=phu!$I$39,M936=phu!$I$40,M936=phu!$I$41,M936=phu!$I$42,M936=phu!$I$43,M936=phu!$I$44),"Cam Thuận",""),IF(OR(M936=phu!$I$45,M936=phu!$I$46,M936=phu!$I$47,M936=phu!$I$48,M936=phu!$I$49,M936=phu!$I$50,M936=phu!$I$51,M936=phu!$I$52,M936=phu!$I$53),"Cam Linh",""),IF(OR(M936=phu!$I$54,M936=phu!$I$55,M936=phu!$I$56,M936=phu!$I$57,M936=phu!$I$58,M936=phu!$I$59,M936=phu!$I$60,M936=phu!$I$61,M936=phu!$I$62),"Cam Lợi",""),IF(OR(M936=phu!$I$63,M936=phu!$I$64,M936=phu!$I$65,M936=phu!$I$66,M936=phu!$I$67,M936=phu!$I$68,M936=phu!$I$69,M936=phu!$I$70,M936=phu!$I$71),"Ba Ngòi",""),IF(OR(M936=phu!$I$72,M936=phu!$I$73,M936=phu!$I$74,M936=phu!$I$75,M936=phu!$I$76,M936=phu!$I$77,M936=phu!$I$78),"Cam Phước Đông",""),IF(OR(M936=phu!$I$79,M936=phu!$I$80,M936=phu!$I$81,M936=phu!$I$82,M936=phu!$I$83,M936=phu!$I$84),"Cam Thịnh Đông",""),IF(OR(M936=phu!$I$85,M936=phu!$I$86,M936=phu!$I$87,M936=phu!$I$88),"Cam Thịnh Tây",""),IF(OR(M936=phu!$I$89,M936=phu!$I$90),"Cam Lập",""),IF(OR(M936=phu!$I$91,M936=phu!$I$92,M936=phu!$I$93),"Cam Bình",""),IF(OR(M936=phu!$I$94,M936=phu!$I$95,M936=phu!$I$96,M936=phu!$I$97,M936=phu!$I$98,M936=phu!$I$99,M936=phu!$I$100),"Huyện khác",""),IF(OR(M936=phu!$I$101,M936=phu!$I$102),"Tỉnh khác",""))</f>
        <v/>
      </c>
      <c r="O936" s="814" t="str">
        <f t="shared" si="85"/>
        <v/>
      </c>
      <c r="P936" s="254"/>
      <c r="Q936" s="254"/>
      <c r="R936" s="254"/>
      <c r="S936" s="254"/>
      <c r="T936" s="254"/>
      <c r="U936" s="254"/>
      <c r="V936" s="254"/>
      <c r="W936" s="254"/>
      <c r="Y936" s="246" t="str">
        <f t="shared" si="86"/>
        <v/>
      </c>
      <c r="Z936" s="247" t="str">
        <f t="shared" si="84"/>
        <v/>
      </c>
      <c r="AA936" s="246" t="str">
        <f t="shared" si="87"/>
        <v/>
      </c>
    </row>
    <row r="937" spans="1:27" x14ac:dyDescent="0.25">
      <c r="A937" s="248" t="str">
        <f t="shared" si="88"/>
        <v/>
      </c>
      <c r="B937" s="249" t="str">
        <f t="shared" si="89"/>
        <v/>
      </c>
      <c r="C937" s="250"/>
      <c r="D937" s="251"/>
      <c r="E937" s="241"/>
      <c r="F937" s="252"/>
      <c r="G937" s="252"/>
      <c r="H937" s="253"/>
      <c r="I937" s="250"/>
      <c r="J937" s="250"/>
      <c r="K937" s="270"/>
      <c r="L937" s="250"/>
      <c r="M937" s="250"/>
      <c r="N937" s="553" t="str">
        <f>CONCATENATE(IF(OR(M937=phu!$I$1,M937=phu!$I$2,M937=phu!$I$3),"Cam Thành Nam",""),IF(OR(M937=phu!$I$4,M937=phu!$I$5,M937=phu!$I$6,M937=phu!$I$7,M937=phu!$I$8,M937=phu!$I$9,M937=phu!$I$10,M937=phu!$I$11,M937=phu!$I$12,M937=phu!$I$13,M937=phu!$I$14),"Cam Nghĩa",""),IF(OR(M937=phu!$I$15,M937=phu!$I$16,M937=phu!$I$17,M937=phu!$I$18,M937=phu!$I$19,M937=phu!$I$20,M937=phu!$I$21),"Cam Phúc Bắc",""),IF(OR(M937=phu!$I$22,M937=phu!$I$23,M937=phu!$I$24,M937=phu!$I$25),"Cam Phúc Nam",""),IF(OR(M937=phu!$I$26,M937=phu!$I$27,M937=phu!$I$28,M937=phu!$I$29,M937=phu!$I$30,M937=phu!$I$31),"Cam Phú",""),IF(OR(M937=phu!$I$32,M937=phu!$I$33,M937=phu!$I$34,M937=phu!$I$35,M937=phu!$I$36,M937=phu!$I$37),"Cam Lộc",""),IF(OR(M937=phu!$I$38,M937=phu!$I$39,M937=phu!$I$40,M937=phu!$I$41,M937=phu!$I$42,M937=phu!$I$43,M937=phu!$I$44),"Cam Thuận",""),IF(OR(M937=phu!$I$45,M937=phu!$I$46,M937=phu!$I$47,M937=phu!$I$48,M937=phu!$I$49,M937=phu!$I$50,M937=phu!$I$51,M937=phu!$I$52,M937=phu!$I$53),"Cam Linh",""),IF(OR(M937=phu!$I$54,M937=phu!$I$55,M937=phu!$I$56,M937=phu!$I$57,M937=phu!$I$58,M937=phu!$I$59,M937=phu!$I$60,M937=phu!$I$61,M937=phu!$I$62),"Cam Lợi",""),IF(OR(M937=phu!$I$63,M937=phu!$I$64,M937=phu!$I$65,M937=phu!$I$66,M937=phu!$I$67,M937=phu!$I$68,M937=phu!$I$69,M937=phu!$I$70,M937=phu!$I$71),"Ba Ngòi",""),IF(OR(M937=phu!$I$72,M937=phu!$I$73,M937=phu!$I$74,M937=phu!$I$75,M937=phu!$I$76,M937=phu!$I$77,M937=phu!$I$78),"Cam Phước Đông",""),IF(OR(M937=phu!$I$79,M937=phu!$I$80,M937=phu!$I$81,M937=phu!$I$82,M937=phu!$I$83,M937=phu!$I$84),"Cam Thịnh Đông",""),IF(OR(M937=phu!$I$85,M937=phu!$I$86,M937=phu!$I$87,M937=phu!$I$88),"Cam Thịnh Tây",""),IF(OR(M937=phu!$I$89,M937=phu!$I$90),"Cam Lập",""),IF(OR(M937=phu!$I$91,M937=phu!$I$92,M937=phu!$I$93),"Cam Bình",""),IF(OR(M937=phu!$I$94,M937=phu!$I$95,M937=phu!$I$96,M937=phu!$I$97,M937=phu!$I$98,M937=phu!$I$99,M937=phu!$I$100),"Huyện khác",""),IF(OR(M937=phu!$I$101,M937=phu!$I$102),"Tỉnh khác",""))</f>
        <v/>
      </c>
      <c r="O937" s="814" t="str">
        <f t="shared" si="85"/>
        <v/>
      </c>
      <c r="P937" s="254"/>
      <c r="Q937" s="254"/>
      <c r="R937" s="254"/>
      <c r="S937" s="254"/>
      <c r="T937" s="254"/>
      <c r="U937" s="254"/>
      <c r="V937" s="254"/>
      <c r="W937" s="254"/>
      <c r="Y937" s="246" t="str">
        <f t="shared" si="86"/>
        <v/>
      </c>
      <c r="Z937" s="247" t="str">
        <f t="shared" si="84"/>
        <v/>
      </c>
      <c r="AA937" s="246" t="str">
        <f t="shared" si="87"/>
        <v/>
      </c>
    </row>
    <row r="938" spans="1:27" x14ac:dyDescent="0.25">
      <c r="A938" s="248" t="str">
        <f t="shared" si="88"/>
        <v/>
      </c>
      <c r="B938" s="249" t="str">
        <f t="shared" si="89"/>
        <v/>
      </c>
      <c r="C938" s="250"/>
      <c r="D938" s="251"/>
      <c r="E938" s="241"/>
      <c r="F938" s="252"/>
      <c r="G938" s="252"/>
      <c r="H938" s="253"/>
      <c r="I938" s="250"/>
      <c r="J938" s="250"/>
      <c r="K938" s="270"/>
      <c r="L938" s="250"/>
      <c r="M938" s="250"/>
      <c r="N938" s="553" t="str">
        <f>CONCATENATE(IF(OR(M938=phu!$I$1,M938=phu!$I$2,M938=phu!$I$3),"Cam Thành Nam",""),IF(OR(M938=phu!$I$4,M938=phu!$I$5,M938=phu!$I$6,M938=phu!$I$7,M938=phu!$I$8,M938=phu!$I$9,M938=phu!$I$10,M938=phu!$I$11,M938=phu!$I$12,M938=phu!$I$13,M938=phu!$I$14),"Cam Nghĩa",""),IF(OR(M938=phu!$I$15,M938=phu!$I$16,M938=phu!$I$17,M938=phu!$I$18,M938=phu!$I$19,M938=phu!$I$20,M938=phu!$I$21),"Cam Phúc Bắc",""),IF(OR(M938=phu!$I$22,M938=phu!$I$23,M938=phu!$I$24,M938=phu!$I$25),"Cam Phúc Nam",""),IF(OR(M938=phu!$I$26,M938=phu!$I$27,M938=phu!$I$28,M938=phu!$I$29,M938=phu!$I$30,M938=phu!$I$31),"Cam Phú",""),IF(OR(M938=phu!$I$32,M938=phu!$I$33,M938=phu!$I$34,M938=phu!$I$35,M938=phu!$I$36,M938=phu!$I$37),"Cam Lộc",""),IF(OR(M938=phu!$I$38,M938=phu!$I$39,M938=phu!$I$40,M938=phu!$I$41,M938=phu!$I$42,M938=phu!$I$43,M938=phu!$I$44),"Cam Thuận",""),IF(OR(M938=phu!$I$45,M938=phu!$I$46,M938=phu!$I$47,M938=phu!$I$48,M938=phu!$I$49,M938=phu!$I$50,M938=phu!$I$51,M938=phu!$I$52,M938=phu!$I$53),"Cam Linh",""),IF(OR(M938=phu!$I$54,M938=phu!$I$55,M938=phu!$I$56,M938=phu!$I$57,M938=phu!$I$58,M938=phu!$I$59,M938=phu!$I$60,M938=phu!$I$61,M938=phu!$I$62),"Cam Lợi",""),IF(OR(M938=phu!$I$63,M938=phu!$I$64,M938=phu!$I$65,M938=phu!$I$66,M938=phu!$I$67,M938=phu!$I$68,M938=phu!$I$69,M938=phu!$I$70,M938=phu!$I$71),"Ba Ngòi",""),IF(OR(M938=phu!$I$72,M938=phu!$I$73,M938=phu!$I$74,M938=phu!$I$75,M938=phu!$I$76,M938=phu!$I$77,M938=phu!$I$78),"Cam Phước Đông",""),IF(OR(M938=phu!$I$79,M938=phu!$I$80,M938=phu!$I$81,M938=phu!$I$82,M938=phu!$I$83,M938=phu!$I$84),"Cam Thịnh Đông",""),IF(OR(M938=phu!$I$85,M938=phu!$I$86,M938=phu!$I$87,M938=phu!$I$88),"Cam Thịnh Tây",""),IF(OR(M938=phu!$I$89,M938=phu!$I$90),"Cam Lập",""),IF(OR(M938=phu!$I$91,M938=phu!$I$92,M938=phu!$I$93),"Cam Bình",""),IF(OR(M938=phu!$I$94,M938=phu!$I$95,M938=phu!$I$96,M938=phu!$I$97,M938=phu!$I$98,M938=phu!$I$99,M938=phu!$I$100),"Huyện khác",""),IF(OR(M938=phu!$I$101,M938=phu!$I$102),"Tỉnh khác",""))</f>
        <v/>
      </c>
      <c r="O938" s="814" t="str">
        <f t="shared" si="85"/>
        <v/>
      </c>
      <c r="P938" s="254"/>
      <c r="Q938" s="254"/>
      <c r="R938" s="254"/>
      <c r="S938" s="254"/>
      <c r="T938" s="254"/>
      <c r="U938" s="254"/>
      <c r="V938" s="254"/>
      <c r="W938" s="254"/>
      <c r="Y938" s="246" t="str">
        <f t="shared" si="86"/>
        <v/>
      </c>
      <c r="Z938" s="247" t="str">
        <f t="shared" si="84"/>
        <v/>
      </c>
      <c r="AA938" s="246" t="str">
        <f t="shared" si="87"/>
        <v/>
      </c>
    </row>
    <row r="939" spans="1:27" x14ac:dyDescent="0.25">
      <c r="A939" s="248" t="str">
        <f t="shared" si="88"/>
        <v/>
      </c>
      <c r="B939" s="249" t="str">
        <f t="shared" si="89"/>
        <v/>
      </c>
      <c r="C939" s="250"/>
      <c r="D939" s="251"/>
      <c r="E939" s="241"/>
      <c r="F939" s="252"/>
      <c r="G939" s="252"/>
      <c r="H939" s="253"/>
      <c r="I939" s="250"/>
      <c r="J939" s="250"/>
      <c r="K939" s="270"/>
      <c r="L939" s="250"/>
      <c r="M939" s="250"/>
      <c r="N939" s="553" t="str">
        <f>CONCATENATE(IF(OR(M939=phu!$I$1,M939=phu!$I$2,M939=phu!$I$3),"Cam Thành Nam",""),IF(OR(M939=phu!$I$4,M939=phu!$I$5,M939=phu!$I$6,M939=phu!$I$7,M939=phu!$I$8,M939=phu!$I$9,M939=phu!$I$10,M939=phu!$I$11,M939=phu!$I$12,M939=phu!$I$13,M939=phu!$I$14),"Cam Nghĩa",""),IF(OR(M939=phu!$I$15,M939=phu!$I$16,M939=phu!$I$17,M939=phu!$I$18,M939=phu!$I$19,M939=phu!$I$20,M939=phu!$I$21),"Cam Phúc Bắc",""),IF(OR(M939=phu!$I$22,M939=phu!$I$23,M939=phu!$I$24,M939=phu!$I$25),"Cam Phúc Nam",""),IF(OR(M939=phu!$I$26,M939=phu!$I$27,M939=phu!$I$28,M939=phu!$I$29,M939=phu!$I$30,M939=phu!$I$31),"Cam Phú",""),IF(OR(M939=phu!$I$32,M939=phu!$I$33,M939=phu!$I$34,M939=phu!$I$35,M939=phu!$I$36,M939=phu!$I$37),"Cam Lộc",""),IF(OR(M939=phu!$I$38,M939=phu!$I$39,M939=phu!$I$40,M939=phu!$I$41,M939=phu!$I$42,M939=phu!$I$43,M939=phu!$I$44),"Cam Thuận",""),IF(OR(M939=phu!$I$45,M939=phu!$I$46,M939=phu!$I$47,M939=phu!$I$48,M939=phu!$I$49,M939=phu!$I$50,M939=phu!$I$51,M939=phu!$I$52,M939=phu!$I$53),"Cam Linh",""),IF(OR(M939=phu!$I$54,M939=phu!$I$55,M939=phu!$I$56,M939=phu!$I$57,M939=phu!$I$58,M939=phu!$I$59,M939=phu!$I$60,M939=phu!$I$61,M939=phu!$I$62),"Cam Lợi",""),IF(OR(M939=phu!$I$63,M939=phu!$I$64,M939=phu!$I$65,M939=phu!$I$66,M939=phu!$I$67,M939=phu!$I$68,M939=phu!$I$69,M939=phu!$I$70,M939=phu!$I$71),"Ba Ngòi",""),IF(OR(M939=phu!$I$72,M939=phu!$I$73,M939=phu!$I$74,M939=phu!$I$75,M939=phu!$I$76,M939=phu!$I$77,M939=phu!$I$78),"Cam Phước Đông",""),IF(OR(M939=phu!$I$79,M939=phu!$I$80,M939=phu!$I$81,M939=phu!$I$82,M939=phu!$I$83,M939=phu!$I$84),"Cam Thịnh Đông",""),IF(OR(M939=phu!$I$85,M939=phu!$I$86,M939=phu!$I$87,M939=phu!$I$88),"Cam Thịnh Tây",""),IF(OR(M939=phu!$I$89,M939=phu!$I$90),"Cam Lập",""),IF(OR(M939=phu!$I$91,M939=phu!$I$92,M939=phu!$I$93),"Cam Bình",""),IF(OR(M939=phu!$I$94,M939=phu!$I$95,M939=phu!$I$96,M939=phu!$I$97,M939=phu!$I$98,M939=phu!$I$99,M939=phu!$I$100),"Huyện khác",""),IF(OR(M939=phu!$I$101,M939=phu!$I$102),"Tỉnh khác",""))</f>
        <v/>
      </c>
      <c r="O939" s="814" t="str">
        <f t="shared" si="85"/>
        <v/>
      </c>
      <c r="P939" s="254"/>
      <c r="Q939" s="254"/>
      <c r="R939" s="254"/>
      <c r="S939" s="254"/>
      <c r="T939" s="254"/>
      <c r="U939" s="254"/>
      <c r="V939" s="254"/>
      <c r="W939" s="254"/>
      <c r="Y939" s="246" t="str">
        <f t="shared" si="86"/>
        <v/>
      </c>
      <c r="Z939" s="247" t="str">
        <f t="shared" si="84"/>
        <v/>
      </c>
      <c r="AA939" s="246" t="str">
        <f t="shared" si="87"/>
        <v/>
      </c>
    </row>
    <row r="940" spans="1:27" x14ac:dyDescent="0.25">
      <c r="A940" s="248" t="str">
        <f t="shared" si="88"/>
        <v/>
      </c>
      <c r="B940" s="249" t="str">
        <f t="shared" si="89"/>
        <v/>
      </c>
      <c r="C940" s="250"/>
      <c r="D940" s="251"/>
      <c r="E940" s="241"/>
      <c r="F940" s="252"/>
      <c r="G940" s="252"/>
      <c r="H940" s="253"/>
      <c r="I940" s="250"/>
      <c r="J940" s="250"/>
      <c r="K940" s="270"/>
      <c r="L940" s="250"/>
      <c r="M940" s="250"/>
      <c r="N940" s="553" t="str">
        <f>CONCATENATE(IF(OR(M940=phu!$I$1,M940=phu!$I$2,M940=phu!$I$3),"Cam Thành Nam",""),IF(OR(M940=phu!$I$4,M940=phu!$I$5,M940=phu!$I$6,M940=phu!$I$7,M940=phu!$I$8,M940=phu!$I$9,M940=phu!$I$10,M940=phu!$I$11,M940=phu!$I$12,M940=phu!$I$13,M940=phu!$I$14),"Cam Nghĩa",""),IF(OR(M940=phu!$I$15,M940=phu!$I$16,M940=phu!$I$17,M940=phu!$I$18,M940=phu!$I$19,M940=phu!$I$20,M940=phu!$I$21),"Cam Phúc Bắc",""),IF(OR(M940=phu!$I$22,M940=phu!$I$23,M940=phu!$I$24,M940=phu!$I$25),"Cam Phúc Nam",""),IF(OR(M940=phu!$I$26,M940=phu!$I$27,M940=phu!$I$28,M940=phu!$I$29,M940=phu!$I$30,M940=phu!$I$31),"Cam Phú",""),IF(OR(M940=phu!$I$32,M940=phu!$I$33,M940=phu!$I$34,M940=phu!$I$35,M940=phu!$I$36,M940=phu!$I$37),"Cam Lộc",""),IF(OR(M940=phu!$I$38,M940=phu!$I$39,M940=phu!$I$40,M940=phu!$I$41,M940=phu!$I$42,M940=phu!$I$43,M940=phu!$I$44),"Cam Thuận",""),IF(OR(M940=phu!$I$45,M940=phu!$I$46,M940=phu!$I$47,M940=phu!$I$48,M940=phu!$I$49,M940=phu!$I$50,M940=phu!$I$51,M940=phu!$I$52,M940=phu!$I$53),"Cam Linh",""),IF(OR(M940=phu!$I$54,M940=phu!$I$55,M940=phu!$I$56,M940=phu!$I$57,M940=phu!$I$58,M940=phu!$I$59,M940=phu!$I$60,M940=phu!$I$61,M940=phu!$I$62),"Cam Lợi",""),IF(OR(M940=phu!$I$63,M940=phu!$I$64,M940=phu!$I$65,M940=phu!$I$66,M940=phu!$I$67,M940=phu!$I$68,M940=phu!$I$69,M940=phu!$I$70,M940=phu!$I$71),"Ba Ngòi",""),IF(OR(M940=phu!$I$72,M940=phu!$I$73,M940=phu!$I$74,M940=phu!$I$75,M940=phu!$I$76,M940=phu!$I$77,M940=phu!$I$78),"Cam Phước Đông",""),IF(OR(M940=phu!$I$79,M940=phu!$I$80,M940=phu!$I$81,M940=phu!$I$82,M940=phu!$I$83,M940=phu!$I$84),"Cam Thịnh Đông",""),IF(OR(M940=phu!$I$85,M940=phu!$I$86,M940=phu!$I$87,M940=phu!$I$88),"Cam Thịnh Tây",""),IF(OR(M940=phu!$I$89,M940=phu!$I$90),"Cam Lập",""),IF(OR(M940=phu!$I$91,M940=phu!$I$92,M940=phu!$I$93),"Cam Bình",""),IF(OR(M940=phu!$I$94,M940=phu!$I$95,M940=phu!$I$96,M940=phu!$I$97,M940=phu!$I$98,M940=phu!$I$99,M940=phu!$I$100),"Huyện khác",""),IF(OR(M940=phu!$I$101,M940=phu!$I$102),"Tỉnh khác",""))</f>
        <v/>
      </c>
      <c r="O940" s="814" t="str">
        <f t="shared" si="85"/>
        <v/>
      </c>
      <c r="P940" s="254"/>
      <c r="Q940" s="254"/>
      <c r="R940" s="254"/>
      <c r="S940" s="254"/>
      <c r="T940" s="254"/>
      <c r="U940" s="254"/>
      <c r="V940" s="254"/>
      <c r="W940" s="254"/>
      <c r="Y940" s="246" t="str">
        <f t="shared" si="86"/>
        <v/>
      </c>
      <c r="Z940" s="247" t="str">
        <f t="shared" si="84"/>
        <v/>
      </c>
      <c r="AA940" s="246" t="str">
        <f t="shared" si="87"/>
        <v/>
      </c>
    </row>
    <row r="941" spans="1:27" x14ac:dyDescent="0.25">
      <c r="A941" s="248" t="str">
        <f t="shared" si="88"/>
        <v/>
      </c>
      <c r="B941" s="249" t="str">
        <f t="shared" si="89"/>
        <v/>
      </c>
      <c r="C941" s="250"/>
      <c r="D941" s="251"/>
      <c r="E941" s="241"/>
      <c r="F941" s="252"/>
      <c r="G941" s="252"/>
      <c r="H941" s="253"/>
      <c r="I941" s="250"/>
      <c r="J941" s="250"/>
      <c r="K941" s="270"/>
      <c r="L941" s="250"/>
      <c r="M941" s="250"/>
      <c r="N941" s="553" t="str">
        <f>CONCATENATE(IF(OR(M941=phu!$I$1,M941=phu!$I$2,M941=phu!$I$3),"Cam Thành Nam",""),IF(OR(M941=phu!$I$4,M941=phu!$I$5,M941=phu!$I$6,M941=phu!$I$7,M941=phu!$I$8,M941=phu!$I$9,M941=phu!$I$10,M941=phu!$I$11,M941=phu!$I$12,M941=phu!$I$13,M941=phu!$I$14),"Cam Nghĩa",""),IF(OR(M941=phu!$I$15,M941=phu!$I$16,M941=phu!$I$17,M941=phu!$I$18,M941=phu!$I$19,M941=phu!$I$20,M941=phu!$I$21),"Cam Phúc Bắc",""),IF(OR(M941=phu!$I$22,M941=phu!$I$23,M941=phu!$I$24,M941=phu!$I$25),"Cam Phúc Nam",""),IF(OR(M941=phu!$I$26,M941=phu!$I$27,M941=phu!$I$28,M941=phu!$I$29,M941=phu!$I$30,M941=phu!$I$31),"Cam Phú",""),IF(OR(M941=phu!$I$32,M941=phu!$I$33,M941=phu!$I$34,M941=phu!$I$35,M941=phu!$I$36,M941=phu!$I$37),"Cam Lộc",""),IF(OR(M941=phu!$I$38,M941=phu!$I$39,M941=phu!$I$40,M941=phu!$I$41,M941=phu!$I$42,M941=phu!$I$43,M941=phu!$I$44),"Cam Thuận",""),IF(OR(M941=phu!$I$45,M941=phu!$I$46,M941=phu!$I$47,M941=phu!$I$48,M941=phu!$I$49,M941=phu!$I$50,M941=phu!$I$51,M941=phu!$I$52,M941=phu!$I$53),"Cam Linh",""),IF(OR(M941=phu!$I$54,M941=phu!$I$55,M941=phu!$I$56,M941=phu!$I$57,M941=phu!$I$58,M941=phu!$I$59,M941=phu!$I$60,M941=phu!$I$61,M941=phu!$I$62),"Cam Lợi",""),IF(OR(M941=phu!$I$63,M941=phu!$I$64,M941=phu!$I$65,M941=phu!$I$66,M941=phu!$I$67,M941=phu!$I$68,M941=phu!$I$69,M941=phu!$I$70,M941=phu!$I$71),"Ba Ngòi",""),IF(OR(M941=phu!$I$72,M941=phu!$I$73,M941=phu!$I$74,M941=phu!$I$75,M941=phu!$I$76,M941=phu!$I$77,M941=phu!$I$78),"Cam Phước Đông",""),IF(OR(M941=phu!$I$79,M941=phu!$I$80,M941=phu!$I$81,M941=phu!$I$82,M941=phu!$I$83,M941=phu!$I$84),"Cam Thịnh Đông",""),IF(OR(M941=phu!$I$85,M941=phu!$I$86,M941=phu!$I$87,M941=phu!$I$88),"Cam Thịnh Tây",""),IF(OR(M941=phu!$I$89,M941=phu!$I$90),"Cam Lập",""),IF(OR(M941=phu!$I$91,M941=phu!$I$92,M941=phu!$I$93),"Cam Bình",""),IF(OR(M941=phu!$I$94,M941=phu!$I$95,M941=phu!$I$96,M941=phu!$I$97,M941=phu!$I$98,M941=phu!$I$99,M941=phu!$I$100),"Huyện khác",""),IF(OR(M941=phu!$I$101,M941=phu!$I$102),"Tỉnh khác",""))</f>
        <v/>
      </c>
      <c r="O941" s="814" t="str">
        <f t="shared" si="85"/>
        <v/>
      </c>
      <c r="P941" s="254"/>
      <c r="Q941" s="254"/>
      <c r="R941" s="254"/>
      <c r="S941" s="254"/>
      <c r="T941" s="254"/>
      <c r="U941" s="254"/>
      <c r="V941" s="254"/>
      <c r="W941" s="254"/>
      <c r="Y941" s="246" t="str">
        <f t="shared" si="86"/>
        <v/>
      </c>
      <c r="Z941" s="247" t="str">
        <f t="shared" si="84"/>
        <v/>
      </c>
      <c r="AA941" s="246" t="str">
        <f t="shared" si="87"/>
        <v/>
      </c>
    </row>
    <row r="942" spans="1:27" x14ac:dyDescent="0.25">
      <c r="A942" s="248" t="str">
        <f t="shared" si="88"/>
        <v/>
      </c>
      <c r="B942" s="249" t="str">
        <f t="shared" si="89"/>
        <v/>
      </c>
      <c r="C942" s="250"/>
      <c r="D942" s="251"/>
      <c r="E942" s="241"/>
      <c r="F942" s="252"/>
      <c r="G942" s="252"/>
      <c r="H942" s="253"/>
      <c r="I942" s="250"/>
      <c r="J942" s="250"/>
      <c r="K942" s="270"/>
      <c r="L942" s="250"/>
      <c r="M942" s="250"/>
      <c r="N942" s="553" t="str">
        <f>CONCATENATE(IF(OR(M942=phu!$I$1,M942=phu!$I$2,M942=phu!$I$3),"Cam Thành Nam",""),IF(OR(M942=phu!$I$4,M942=phu!$I$5,M942=phu!$I$6,M942=phu!$I$7,M942=phu!$I$8,M942=phu!$I$9,M942=phu!$I$10,M942=phu!$I$11,M942=phu!$I$12,M942=phu!$I$13,M942=phu!$I$14),"Cam Nghĩa",""),IF(OR(M942=phu!$I$15,M942=phu!$I$16,M942=phu!$I$17,M942=phu!$I$18,M942=phu!$I$19,M942=phu!$I$20,M942=phu!$I$21),"Cam Phúc Bắc",""),IF(OR(M942=phu!$I$22,M942=phu!$I$23,M942=phu!$I$24,M942=phu!$I$25),"Cam Phúc Nam",""),IF(OR(M942=phu!$I$26,M942=phu!$I$27,M942=phu!$I$28,M942=phu!$I$29,M942=phu!$I$30,M942=phu!$I$31),"Cam Phú",""),IF(OR(M942=phu!$I$32,M942=phu!$I$33,M942=phu!$I$34,M942=phu!$I$35,M942=phu!$I$36,M942=phu!$I$37),"Cam Lộc",""),IF(OR(M942=phu!$I$38,M942=phu!$I$39,M942=phu!$I$40,M942=phu!$I$41,M942=phu!$I$42,M942=phu!$I$43,M942=phu!$I$44),"Cam Thuận",""),IF(OR(M942=phu!$I$45,M942=phu!$I$46,M942=phu!$I$47,M942=phu!$I$48,M942=phu!$I$49,M942=phu!$I$50,M942=phu!$I$51,M942=phu!$I$52,M942=phu!$I$53),"Cam Linh",""),IF(OR(M942=phu!$I$54,M942=phu!$I$55,M942=phu!$I$56,M942=phu!$I$57,M942=phu!$I$58,M942=phu!$I$59,M942=phu!$I$60,M942=phu!$I$61,M942=phu!$I$62),"Cam Lợi",""),IF(OR(M942=phu!$I$63,M942=phu!$I$64,M942=phu!$I$65,M942=phu!$I$66,M942=phu!$I$67,M942=phu!$I$68,M942=phu!$I$69,M942=phu!$I$70,M942=phu!$I$71),"Ba Ngòi",""),IF(OR(M942=phu!$I$72,M942=phu!$I$73,M942=phu!$I$74,M942=phu!$I$75,M942=phu!$I$76,M942=phu!$I$77,M942=phu!$I$78),"Cam Phước Đông",""),IF(OR(M942=phu!$I$79,M942=phu!$I$80,M942=phu!$I$81,M942=phu!$I$82,M942=phu!$I$83,M942=phu!$I$84),"Cam Thịnh Đông",""),IF(OR(M942=phu!$I$85,M942=phu!$I$86,M942=phu!$I$87,M942=phu!$I$88),"Cam Thịnh Tây",""),IF(OR(M942=phu!$I$89,M942=phu!$I$90),"Cam Lập",""),IF(OR(M942=phu!$I$91,M942=phu!$I$92,M942=phu!$I$93),"Cam Bình",""),IF(OR(M942=phu!$I$94,M942=phu!$I$95,M942=phu!$I$96,M942=phu!$I$97,M942=phu!$I$98,M942=phu!$I$99,M942=phu!$I$100),"Huyện khác",""),IF(OR(M942=phu!$I$101,M942=phu!$I$102),"Tỉnh khác",""))</f>
        <v/>
      </c>
      <c r="O942" s="814" t="str">
        <f t="shared" si="85"/>
        <v/>
      </c>
      <c r="P942" s="254"/>
      <c r="Q942" s="254"/>
      <c r="R942" s="254"/>
      <c r="S942" s="254"/>
      <c r="T942" s="254"/>
      <c r="U942" s="254"/>
      <c r="V942" s="254"/>
      <c r="W942" s="254"/>
      <c r="Y942" s="246" t="str">
        <f t="shared" si="86"/>
        <v/>
      </c>
      <c r="Z942" s="247" t="str">
        <f t="shared" si="84"/>
        <v/>
      </c>
      <c r="AA942" s="246" t="str">
        <f t="shared" si="87"/>
        <v/>
      </c>
    </row>
    <row r="943" spans="1:27" x14ac:dyDescent="0.25">
      <c r="A943" s="248" t="str">
        <f t="shared" si="88"/>
        <v/>
      </c>
      <c r="B943" s="249" t="str">
        <f t="shared" si="89"/>
        <v/>
      </c>
      <c r="C943" s="250"/>
      <c r="D943" s="251"/>
      <c r="E943" s="241"/>
      <c r="F943" s="252"/>
      <c r="G943" s="252"/>
      <c r="H943" s="253"/>
      <c r="I943" s="250"/>
      <c r="J943" s="250"/>
      <c r="K943" s="270"/>
      <c r="L943" s="250"/>
      <c r="M943" s="250"/>
      <c r="N943" s="553" t="str">
        <f>CONCATENATE(IF(OR(M943=phu!$I$1,M943=phu!$I$2,M943=phu!$I$3),"Cam Thành Nam",""),IF(OR(M943=phu!$I$4,M943=phu!$I$5,M943=phu!$I$6,M943=phu!$I$7,M943=phu!$I$8,M943=phu!$I$9,M943=phu!$I$10,M943=phu!$I$11,M943=phu!$I$12,M943=phu!$I$13,M943=phu!$I$14),"Cam Nghĩa",""),IF(OR(M943=phu!$I$15,M943=phu!$I$16,M943=phu!$I$17,M943=phu!$I$18,M943=phu!$I$19,M943=phu!$I$20,M943=phu!$I$21),"Cam Phúc Bắc",""),IF(OR(M943=phu!$I$22,M943=phu!$I$23,M943=phu!$I$24,M943=phu!$I$25),"Cam Phúc Nam",""),IF(OR(M943=phu!$I$26,M943=phu!$I$27,M943=phu!$I$28,M943=phu!$I$29,M943=phu!$I$30,M943=phu!$I$31),"Cam Phú",""),IF(OR(M943=phu!$I$32,M943=phu!$I$33,M943=phu!$I$34,M943=phu!$I$35,M943=phu!$I$36,M943=phu!$I$37),"Cam Lộc",""),IF(OR(M943=phu!$I$38,M943=phu!$I$39,M943=phu!$I$40,M943=phu!$I$41,M943=phu!$I$42,M943=phu!$I$43,M943=phu!$I$44),"Cam Thuận",""),IF(OR(M943=phu!$I$45,M943=phu!$I$46,M943=phu!$I$47,M943=phu!$I$48,M943=phu!$I$49,M943=phu!$I$50,M943=phu!$I$51,M943=phu!$I$52,M943=phu!$I$53),"Cam Linh",""),IF(OR(M943=phu!$I$54,M943=phu!$I$55,M943=phu!$I$56,M943=phu!$I$57,M943=phu!$I$58,M943=phu!$I$59,M943=phu!$I$60,M943=phu!$I$61,M943=phu!$I$62),"Cam Lợi",""),IF(OR(M943=phu!$I$63,M943=phu!$I$64,M943=phu!$I$65,M943=phu!$I$66,M943=phu!$I$67,M943=phu!$I$68,M943=phu!$I$69,M943=phu!$I$70,M943=phu!$I$71),"Ba Ngòi",""),IF(OR(M943=phu!$I$72,M943=phu!$I$73,M943=phu!$I$74,M943=phu!$I$75,M943=phu!$I$76,M943=phu!$I$77,M943=phu!$I$78),"Cam Phước Đông",""),IF(OR(M943=phu!$I$79,M943=phu!$I$80,M943=phu!$I$81,M943=phu!$I$82,M943=phu!$I$83,M943=phu!$I$84),"Cam Thịnh Đông",""),IF(OR(M943=phu!$I$85,M943=phu!$I$86,M943=phu!$I$87,M943=phu!$I$88),"Cam Thịnh Tây",""),IF(OR(M943=phu!$I$89,M943=phu!$I$90),"Cam Lập",""),IF(OR(M943=phu!$I$91,M943=phu!$I$92,M943=phu!$I$93),"Cam Bình",""),IF(OR(M943=phu!$I$94,M943=phu!$I$95,M943=phu!$I$96,M943=phu!$I$97,M943=phu!$I$98,M943=phu!$I$99,M943=phu!$I$100),"Huyện khác",""),IF(OR(M943=phu!$I$101,M943=phu!$I$102),"Tỉnh khác",""))</f>
        <v/>
      </c>
      <c r="O943" s="814" t="str">
        <f t="shared" si="85"/>
        <v/>
      </c>
      <c r="P943" s="254"/>
      <c r="Q943" s="254"/>
      <c r="R943" s="254"/>
      <c r="S943" s="254"/>
      <c r="T943" s="254"/>
      <c r="U943" s="254"/>
      <c r="V943" s="254"/>
      <c r="W943" s="254"/>
      <c r="Y943" s="246" t="str">
        <f t="shared" si="86"/>
        <v/>
      </c>
      <c r="Z943" s="247" t="str">
        <f t="shared" si="84"/>
        <v/>
      </c>
      <c r="AA943" s="246" t="str">
        <f t="shared" si="87"/>
        <v/>
      </c>
    </row>
    <row r="944" spans="1:27" x14ac:dyDescent="0.25">
      <c r="A944" s="248" t="str">
        <f t="shared" si="88"/>
        <v/>
      </c>
      <c r="B944" s="249" t="str">
        <f t="shared" si="89"/>
        <v/>
      </c>
      <c r="C944" s="250"/>
      <c r="D944" s="251"/>
      <c r="E944" s="241"/>
      <c r="F944" s="252"/>
      <c r="G944" s="252"/>
      <c r="H944" s="253"/>
      <c r="I944" s="250"/>
      <c r="J944" s="250"/>
      <c r="K944" s="270"/>
      <c r="L944" s="250"/>
      <c r="M944" s="250"/>
      <c r="N944" s="553" t="str">
        <f>CONCATENATE(IF(OR(M944=phu!$I$1,M944=phu!$I$2,M944=phu!$I$3),"Cam Thành Nam",""),IF(OR(M944=phu!$I$4,M944=phu!$I$5,M944=phu!$I$6,M944=phu!$I$7,M944=phu!$I$8,M944=phu!$I$9,M944=phu!$I$10,M944=phu!$I$11,M944=phu!$I$12,M944=phu!$I$13,M944=phu!$I$14),"Cam Nghĩa",""),IF(OR(M944=phu!$I$15,M944=phu!$I$16,M944=phu!$I$17,M944=phu!$I$18,M944=phu!$I$19,M944=phu!$I$20,M944=phu!$I$21),"Cam Phúc Bắc",""),IF(OR(M944=phu!$I$22,M944=phu!$I$23,M944=phu!$I$24,M944=phu!$I$25),"Cam Phúc Nam",""),IF(OR(M944=phu!$I$26,M944=phu!$I$27,M944=phu!$I$28,M944=phu!$I$29,M944=phu!$I$30,M944=phu!$I$31),"Cam Phú",""),IF(OR(M944=phu!$I$32,M944=phu!$I$33,M944=phu!$I$34,M944=phu!$I$35,M944=phu!$I$36,M944=phu!$I$37),"Cam Lộc",""),IF(OR(M944=phu!$I$38,M944=phu!$I$39,M944=phu!$I$40,M944=phu!$I$41,M944=phu!$I$42,M944=phu!$I$43,M944=phu!$I$44),"Cam Thuận",""),IF(OR(M944=phu!$I$45,M944=phu!$I$46,M944=phu!$I$47,M944=phu!$I$48,M944=phu!$I$49,M944=phu!$I$50,M944=phu!$I$51,M944=phu!$I$52,M944=phu!$I$53),"Cam Linh",""),IF(OR(M944=phu!$I$54,M944=phu!$I$55,M944=phu!$I$56,M944=phu!$I$57,M944=phu!$I$58,M944=phu!$I$59,M944=phu!$I$60,M944=phu!$I$61,M944=phu!$I$62),"Cam Lợi",""),IF(OR(M944=phu!$I$63,M944=phu!$I$64,M944=phu!$I$65,M944=phu!$I$66,M944=phu!$I$67,M944=phu!$I$68,M944=phu!$I$69,M944=phu!$I$70,M944=phu!$I$71),"Ba Ngòi",""),IF(OR(M944=phu!$I$72,M944=phu!$I$73,M944=phu!$I$74,M944=phu!$I$75,M944=phu!$I$76,M944=phu!$I$77,M944=phu!$I$78),"Cam Phước Đông",""),IF(OR(M944=phu!$I$79,M944=phu!$I$80,M944=phu!$I$81,M944=phu!$I$82,M944=phu!$I$83,M944=phu!$I$84),"Cam Thịnh Đông",""),IF(OR(M944=phu!$I$85,M944=phu!$I$86,M944=phu!$I$87,M944=phu!$I$88),"Cam Thịnh Tây",""),IF(OR(M944=phu!$I$89,M944=phu!$I$90),"Cam Lập",""),IF(OR(M944=phu!$I$91,M944=phu!$I$92,M944=phu!$I$93),"Cam Bình",""),IF(OR(M944=phu!$I$94,M944=phu!$I$95,M944=phu!$I$96,M944=phu!$I$97,M944=phu!$I$98,M944=phu!$I$99,M944=phu!$I$100),"Huyện khác",""),IF(OR(M944=phu!$I$101,M944=phu!$I$102),"Tỉnh khác",""))</f>
        <v/>
      </c>
      <c r="O944" s="814" t="str">
        <f t="shared" si="85"/>
        <v/>
      </c>
      <c r="P944" s="254"/>
      <c r="Q944" s="254"/>
      <c r="R944" s="254"/>
      <c r="S944" s="254"/>
      <c r="T944" s="254"/>
      <c r="U944" s="254"/>
      <c r="V944" s="254"/>
      <c r="W944" s="254"/>
      <c r="Y944" s="246" t="str">
        <f t="shared" si="86"/>
        <v/>
      </c>
      <c r="Z944" s="247" t="str">
        <f t="shared" si="84"/>
        <v/>
      </c>
      <c r="AA944" s="246" t="str">
        <f t="shared" si="87"/>
        <v/>
      </c>
    </row>
    <row r="945" spans="1:27" x14ac:dyDescent="0.25">
      <c r="A945" s="248" t="str">
        <f t="shared" si="88"/>
        <v/>
      </c>
      <c r="B945" s="249" t="str">
        <f t="shared" si="89"/>
        <v/>
      </c>
      <c r="C945" s="250"/>
      <c r="D945" s="251"/>
      <c r="E945" s="241"/>
      <c r="F945" s="252"/>
      <c r="G945" s="252"/>
      <c r="H945" s="253"/>
      <c r="I945" s="250"/>
      <c r="J945" s="250"/>
      <c r="K945" s="270"/>
      <c r="L945" s="250"/>
      <c r="M945" s="250"/>
      <c r="N945" s="553" t="str">
        <f>CONCATENATE(IF(OR(M945=phu!$I$1,M945=phu!$I$2,M945=phu!$I$3),"Cam Thành Nam",""),IF(OR(M945=phu!$I$4,M945=phu!$I$5,M945=phu!$I$6,M945=phu!$I$7,M945=phu!$I$8,M945=phu!$I$9,M945=phu!$I$10,M945=phu!$I$11,M945=phu!$I$12,M945=phu!$I$13,M945=phu!$I$14),"Cam Nghĩa",""),IF(OR(M945=phu!$I$15,M945=phu!$I$16,M945=phu!$I$17,M945=phu!$I$18,M945=phu!$I$19,M945=phu!$I$20,M945=phu!$I$21),"Cam Phúc Bắc",""),IF(OR(M945=phu!$I$22,M945=phu!$I$23,M945=phu!$I$24,M945=phu!$I$25),"Cam Phúc Nam",""),IF(OR(M945=phu!$I$26,M945=phu!$I$27,M945=phu!$I$28,M945=phu!$I$29,M945=phu!$I$30,M945=phu!$I$31),"Cam Phú",""),IF(OR(M945=phu!$I$32,M945=phu!$I$33,M945=phu!$I$34,M945=phu!$I$35,M945=phu!$I$36,M945=phu!$I$37),"Cam Lộc",""),IF(OR(M945=phu!$I$38,M945=phu!$I$39,M945=phu!$I$40,M945=phu!$I$41,M945=phu!$I$42,M945=phu!$I$43,M945=phu!$I$44),"Cam Thuận",""),IF(OR(M945=phu!$I$45,M945=phu!$I$46,M945=phu!$I$47,M945=phu!$I$48,M945=phu!$I$49,M945=phu!$I$50,M945=phu!$I$51,M945=phu!$I$52,M945=phu!$I$53),"Cam Linh",""),IF(OR(M945=phu!$I$54,M945=phu!$I$55,M945=phu!$I$56,M945=phu!$I$57,M945=phu!$I$58,M945=phu!$I$59,M945=phu!$I$60,M945=phu!$I$61,M945=phu!$I$62),"Cam Lợi",""),IF(OR(M945=phu!$I$63,M945=phu!$I$64,M945=phu!$I$65,M945=phu!$I$66,M945=phu!$I$67,M945=phu!$I$68,M945=phu!$I$69,M945=phu!$I$70,M945=phu!$I$71),"Ba Ngòi",""),IF(OR(M945=phu!$I$72,M945=phu!$I$73,M945=phu!$I$74,M945=phu!$I$75,M945=phu!$I$76,M945=phu!$I$77,M945=phu!$I$78),"Cam Phước Đông",""),IF(OR(M945=phu!$I$79,M945=phu!$I$80,M945=phu!$I$81,M945=phu!$I$82,M945=phu!$I$83,M945=phu!$I$84),"Cam Thịnh Đông",""),IF(OR(M945=phu!$I$85,M945=phu!$I$86,M945=phu!$I$87,M945=phu!$I$88),"Cam Thịnh Tây",""),IF(OR(M945=phu!$I$89,M945=phu!$I$90),"Cam Lập",""),IF(OR(M945=phu!$I$91,M945=phu!$I$92,M945=phu!$I$93),"Cam Bình",""),IF(OR(M945=phu!$I$94,M945=phu!$I$95,M945=phu!$I$96,M945=phu!$I$97,M945=phu!$I$98,M945=phu!$I$99,M945=phu!$I$100),"Huyện khác",""),IF(OR(M945=phu!$I$101,M945=phu!$I$102),"Tỉnh khác",""))</f>
        <v/>
      </c>
      <c r="O945" s="814" t="str">
        <f t="shared" si="85"/>
        <v/>
      </c>
      <c r="P945" s="254"/>
      <c r="Q945" s="254"/>
      <c r="R945" s="254"/>
      <c r="S945" s="254"/>
      <c r="T945" s="254"/>
      <c r="U945" s="254"/>
      <c r="V945" s="254"/>
      <c r="W945" s="254"/>
      <c r="Y945" s="246" t="str">
        <f t="shared" si="86"/>
        <v/>
      </c>
      <c r="Z945" s="247" t="str">
        <f t="shared" si="84"/>
        <v/>
      </c>
      <c r="AA945" s="246" t="str">
        <f t="shared" si="87"/>
        <v/>
      </c>
    </row>
    <row r="946" spans="1:27" x14ac:dyDescent="0.25">
      <c r="A946" s="248" t="str">
        <f t="shared" si="88"/>
        <v/>
      </c>
      <c r="B946" s="249" t="str">
        <f t="shared" si="89"/>
        <v/>
      </c>
      <c r="C946" s="250"/>
      <c r="D946" s="251"/>
      <c r="E946" s="241"/>
      <c r="F946" s="252"/>
      <c r="G946" s="252"/>
      <c r="H946" s="253"/>
      <c r="I946" s="250"/>
      <c r="J946" s="250"/>
      <c r="K946" s="270"/>
      <c r="L946" s="250"/>
      <c r="M946" s="250"/>
      <c r="N946" s="553" t="str">
        <f>CONCATENATE(IF(OR(M946=phu!$I$1,M946=phu!$I$2,M946=phu!$I$3),"Cam Thành Nam",""),IF(OR(M946=phu!$I$4,M946=phu!$I$5,M946=phu!$I$6,M946=phu!$I$7,M946=phu!$I$8,M946=phu!$I$9,M946=phu!$I$10,M946=phu!$I$11,M946=phu!$I$12,M946=phu!$I$13,M946=phu!$I$14),"Cam Nghĩa",""),IF(OR(M946=phu!$I$15,M946=phu!$I$16,M946=phu!$I$17,M946=phu!$I$18,M946=phu!$I$19,M946=phu!$I$20,M946=phu!$I$21),"Cam Phúc Bắc",""),IF(OR(M946=phu!$I$22,M946=phu!$I$23,M946=phu!$I$24,M946=phu!$I$25),"Cam Phúc Nam",""),IF(OR(M946=phu!$I$26,M946=phu!$I$27,M946=phu!$I$28,M946=phu!$I$29,M946=phu!$I$30,M946=phu!$I$31),"Cam Phú",""),IF(OR(M946=phu!$I$32,M946=phu!$I$33,M946=phu!$I$34,M946=phu!$I$35,M946=phu!$I$36,M946=phu!$I$37),"Cam Lộc",""),IF(OR(M946=phu!$I$38,M946=phu!$I$39,M946=phu!$I$40,M946=phu!$I$41,M946=phu!$I$42,M946=phu!$I$43,M946=phu!$I$44),"Cam Thuận",""),IF(OR(M946=phu!$I$45,M946=phu!$I$46,M946=phu!$I$47,M946=phu!$I$48,M946=phu!$I$49,M946=phu!$I$50,M946=phu!$I$51,M946=phu!$I$52,M946=phu!$I$53),"Cam Linh",""),IF(OR(M946=phu!$I$54,M946=phu!$I$55,M946=phu!$I$56,M946=phu!$I$57,M946=phu!$I$58,M946=phu!$I$59,M946=phu!$I$60,M946=phu!$I$61,M946=phu!$I$62),"Cam Lợi",""),IF(OR(M946=phu!$I$63,M946=phu!$I$64,M946=phu!$I$65,M946=phu!$I$66,M946=phu!$I$67,M946=phu!$I$68,M946=phu!$I$69,M946=phu!$I$70,M946=phu!$I$71),"Ba Ngòi",""),IF(OR(M946=phu!$I$72,M946=phu!$I$73,M946=phu!$I$74,M946=phu!$I$75,M946=phu!$I$76,M946=phu!$I$77,M946=phu!$I$78),"Cam Phước Đông",""),IF(OR(M946=phu!$I$79,M946=phu!$I$80,M946=phu!$I$81,M946=phu!$I$82,M946=phu!$I$83,M946=phu!$I$84),"Cam Thịnh Đông",""),IF(OR(M946=phu!$I$85,M946=phu!$I$86,M946=phu!$I$87,M946=phu!$I$88),"Cam Thịnh Tây",""),IF(OR(M946=phu!$I$89,M946=phu!$I$90),"Cam Lập",""),IF(OR(M946=phu!$I$91,M946=phu!$I$92,M946=phu!$I$93),"Cam Bình",""),IF(OR(M946=phu!$I$94,M946=phu!$I$95,M946=phu!$I$96,M946=phu!$I$97,M946=phu!$I$98,M946=phu!$I$99,M946=phu!$I$100),"Huyện khác",""),IF(OR(M946=phu!$I$101,M946=phu!$I$102),"Tỉnh khác",""))</f>
        <v/>
      </c>
      <c r="O946" s="814" t="str">
        <f t="shared" si="85"/>
        <v/>
      </c>
      <c r="P946" s="254"/>
      <c r="Q946" s="254"/>
      <c r="R946" s="254"/>
      <c r="S946" s="254"/>
      <c r="T946" s="254"/>
      <c r="U946" s="254"/>
      <c r="V946" s="254"/>
      <c r="W946" s="254"/>
      <c r="Y946" s="246" t="str">
        <f t="shared" si="86"/>
        <v/>
      </c>
      <c r="Z946" s="247" t="str">
        <f t="shared" si="84"/>
        <v/>
      </c>
      <c r="AA946" s="246" t="str">
        <f t="shared" si="87"/>
        <v/>
      </c>
    </row>
    <row r="947" spans="1:27" x14ac:dyDescent="0.25">
      <c r="A947" s="248" t="str">
        <f t="shared" si="88"/>
        <v/>
      </c>
      <c r="B947" s="249" t="str">
        <f t="shared" si="89"/>
        <v/>
      </c>
      <c r="C947" s="250"/>
      <c r="D947" s="251"/>
      <c r="E947" s="241"/>
      <c r="F947" s="252"/>
      <c r="G947" s="252"/>
      <c r="H947" s="253"/>
      <c r="I947" s="250"/>
      <c r="J947" s="250"/>
      <c r="K947" s="270"/>
      <c r="L947" s="250"/>
      <c r="M947" s="250"/>
      <c r="N947" s="553" t="str">
        <f>CONCATENATE(IF(OR(M947=phu!$I$1,M947=phu!$I$2,M947=phu!$I$3),"Cam Thành Nam",""),IF(OR(M947=phu!$I$4,M947=phu!$I$5,M947=phu!$I$6,M947=phu!$I$7,M947=phu!$I$8,M947=phu!$I$9,M947=phu!$I$10,M947=phu!$I$11,M947=phu!$I$12,M947=phu!$I$13,M947=phu!$I$14),"Cam Nghĩa",""),IF(OR(M947=phu!$I$15,M947=phu!$I$16,M947=phu!$I$17,M947=phu!$I$18,M947=phu!$I$19,M947=phu!$I$20,M947=phu!$I$21),"Cam Phúc Bắc",""),IF(OR(M947=phu!$I$22,M947=phu!$I$23,M947=phu!$I$24,M947=phu!$I$25),"Cam Phúc Nam",""),IF(OR(M947=phu!$I$26,M947=phu!$I$27,M947=phu!$I$28,M947=phu!$I$29,M947=phu!$I$30,M947=phu!$I$31),"Cam Phú",""),IF(OR(M947=phu!$I$32,M947=phu!$I$33,M947=phu!$I$34,M947=phu!$I$35,M947=phu!$I$36,M947=phu!$I$37),"Cam Lộc",""),IF(OR(M947=phu!$I$38,M947=phu!$I$39,M947=phu!$I$40,M947=phu!$I$41,M947=phu!$I$42,M947=phu!$I$43,M947=phu!$I$44),"Cam Thuận",""),IF(OR(M947=phu!$I$45,M947=phu!$I$46,M947=phu!$I$47,M947=phu!$I$48,M947=phu!$I$49,M947=phu!$I$50,M947=phu!$I$51,M947=phu!$I$52,M947=phu!$I$53),"Cam Linh",""),IF(OR(M947=phu!$I$54,M947=phu!$I$55,M947=phu!$I$56,M947=phu!$I$57,M947=phu!$I$58,M947=phu!$I$59,M947=phu!$I$60,M947=phu!$I$61,M947=phu!$I$62),"Cam Lợi",""),IF(OR(M947=phu!$I$63,M947=phu!$I$64,M947=phu!$I$65,M947=phu!$I$66,M947=phu!$I$67,M947=phu!$I$68,M947=phu!$I$69,M947=phu!$I$70,M947=phu!$I$71),"Ba Ngòi",""),IF(OR(M947=phu!$I$72,M947=phu!$I$73,M947=phu!$I$74,M947=phu!$I$75,M947=phu!$I$76,M947=phu!$I$77,M947=phu!$I$78),"Cam Phước Đông",""),IF(OR(M947=phu!$I$79,M947=phu!$I$80,M947=phu!$I$81,M947=phu!$I$82,M947=phu!$I$83,M947=phu!$I$84),"Cam Thịnh Đông",""),IF(OR(M947=phu!$I$85,M947=phu!$I$86,M947=phu!$I$87,M947=phu!$I$88),"Cam Thịnh Tây",""),IF(OR(M947=phu!$I$89,M947=phu!$I$90),"Cam Lập",""),IF(OR(M947=phu!$I$91,M947=phu!$I$92,M947=phu!$I$93),"Cam Bình",""),IF(OR(M947=phu!$I$94,M947=phu!$I$95,M947=phu!$I$96,M947=phu!$I$97,M947=phu!$I$98,M947=phu!$I$99,M947=phu!$I$100),"Huyện khác",""),IF(OR(M947=phu!$I$101,M947=phu!$I$102),"Tỉnh khác",""))</f>
        <v/>
      </c>
      <c r="O947" s="814" t="str">
        <f t="shared" si="85"/>
        <v/>
      </c>
      <c r="P947" s="254"/>
      <c r="Q947" s="254"/>
      <c r="R947" s="254"/>
      <c r="S947" s="254"/>
      <c r="T947" s="254"/>
      <c r="U947" s="254"/>
      <c r="V947" s="254"/>
      <c r="W947" s="254"/>
      <c r="Y947" s="246" t="str">
        <f t="shared" si="86"/>
        <v/>
      </c>
      <c r="Z947" s="247" t="str">
        <f t="shared" si="84"/>
        <v/>
      </c>
      <c r="AA947" s="246" t="str">
        <f t="shared" si="87"/>
        <v/>
      </c>
    </row>
    <row r="948" spans="1:27" x14ac:dyDescent="0.25">
      <c r="A948" s="248" t="str">
        <f t="shared" si="88"/>
        <v/>
      </c>
      <c r="B948" s="249" t="str">
        <f t="shared" si="89"/>
        <v/>
      </c>
      <c r="C948" s="250"/>
      <c r="D948" s="251"/>
      <c r="E948" s="241"/>
      <c r="F948" s="252"/>
      <c r="G948" s="252"/>
      <c r="H948" s="253"/>
      <c r="I948" s="250"/>
      <c r="J948" s="250"/>
      <c r="K948" s="270"/>
      <c r="L948" s="250"/>
      <c r="M948" s="250"/>
      <c r="N948" s="553" t="str">
        <f>CONCATENATE(IF(OR(M948=phu!$I$1,M948=phu!$I$2,M948=phu!$I$3),"Cam Thành Nam",""),IF(OR(M948=phu!$I$4,M948=phu!$I$5,M948=phu!$I$6,M948=phu!$I$7,M948=phu!$I$8,M948=phu!$I$9,M948=phu!$I$10,M948=phu!$I$11,M948=phu!$I$12,M948=phu!$I$13,M948=phu!$I$14),"Cam Nghĩa",""),IF(OR(M948=phu!$I$15,M948=phu!$I$16,M948=phu!$I$17,M948=phu!$I$18,M948=phu!$I$19,M948=phu!$I$20,M948=phu!$I$21),"Cam Phúc Bắc",""),IF(OR(M948=phu!$I$22,M948=phu!$I$23,M948=phu!$I$24,M948=phu!$I$25),"Cam Phúc Nam",""),IF(OR(M948=phu!$I$26,M948=phu!$I$27,M948=phu!$I$28,M948=phu!$I$29,M948=phu!$I$30,M948=phu!$I$31),"Cam Phú",""),IF(OR(M948=phu!$I$32,M948=phu!$I$33,M948=phu!$I$34,M948=phu!$I$35,M948=phu!$I$36,M948=phu!$I$37),"Cam Lộc",""),IF(OR(M948=phu!$I$38,M948=phu!$I$39,M948=phu!$I$40,M948=phu!$I$41,M948=phu!$I$42,M948=phu!$I$43,M948=phu!$I$44),"Cam Thuận",""),IF(OR(M948=phu!$I$45,M948=phu!$I$46,M948=phu!$I$47,M948=phu!$I$48,M948=phu!$I$49,M948=phu!$I$50,M948=phu!$I$51,M948=phu!$I$52,M948=phu!$I$53),"Cam Linh",""),IF(OR(M948=phu!$I$54,M948=phu!$I$55,M948=phu!$I$56,M948=phu!$I$57,M948=phu!$I$58,M948=phu!$I$59,M948=phu!$I$60,M948=phu!$I$61,M948=phu!$I$62),"Cam Lợi",""),IF(OR(M948=phu!$I$63,M948=phu!$I$64,M948=phu!$I$65,M948=phu!$I$66,M948=phu!$I$67,M948=phu!$I$68,M948=phu!$I$69,M948=phu!$I$70,M948=phu!$I$71),"Ba Ngòi",""),IF(OR(M948=phu!$I$72,M948=phu!$I$73,M948=phu!$I$74,M948=phu!$I$75,M948=phu!$I$76,M948=phu!$I$77,M948=phu!$I$78),"Cam Phước Đông",""),IF(OR(M948=phu!$I$79,M948=phu!$I$80,M948=phu!$I$81,M948=phu!$I$82,M948=phu!$I$83,M948=phu!$I$84),"Cam Thịnh Đông",""),IF(OR(M948=phu!$I$85,M948=phu!$I$86,M948=phu!$I$87,M948=phu!$I$88),"Cam Thịnh Tây",""),IF(OR(M948=phu!$I$89,M948=phu!$I$90),"Cam Lập",""),IF(OR(M948=phu!$I$91,M948=phu!$I$92,M948=phu!$I$93),"Cam Bình",""),IF(OR(M948=phu!$I$94,M948=phu!$I$95,M948=phu!$I$96,M948=phu!$I$97,M948=phu!$I$98,M948=phu!$I$99,M948=phu!$I$100),"Huyện khác",""),IF(OR(M948=phu!$I$101,M948=phu!$I$102),"Tỉnh khác",""))</f>
        <v/>
      </c>
      <c r="O948" s="814" t="str">
        <f t="shared" si="85"/>
        <v/>
      </c>
      <c r="P948" s="254"/>
      <c r="Q948" s="254"/>
      <c r="R948" s="254"/>
      <c r="S948" s="254"/>
      <c r="T948" s="254"/>
      <c r="U948" s="254"/>
      <c r="V948" s="254"/>
      <c r="W948" s="254"/>
      <c r="Y948" s="246" t="str">
        <f t="shared" si="86"/>
        <v/>
      </c>
      <c r="Z948" s="247" t="str">
        <f t="shared" si="84"/>
        <v/>
      </c>
      <c r="AA948" s="246" t="str">
        <f t="shared" si="87"/>
        <v/>
      </c>
    </row>
    <row r="949" spans="1:27" x14ac:dyDescent="0.25">
      <c r="A949" s="248" t="str">
        <f t="shared" si="88"/>
        <v/>
      </c>
      <c r="B949" s="249" t="str">
        <f t="shared" si="89"/>
        <v/>
      </c>
      <c r="C949" s="250"/>
      <c r="D949" s="251"/>
      <c r="E949" s="241"/>
      <c r="F949" s="252"/>
      <c r="G949" s="252"/>
      <c r="H949" s="253"/>
      <c r="I949" s="250"/>
      <c r="J949" s="250"/>
      <c r="K949" s="270"/>
      <c r="L949" s="250"/>
      <c r="M949" s="250"/>
      <c r="N949" s="553" t="str">
        <f>CONCATENATE(IF(OR(M949=phu!$I$1,M949=phu!$I$2,M949=phu!$I$3),"Cam Thành Nam",""),IF(OR(M949=phu!$I$4,M949=phu!$I$5,M949=phu!$I$6,M949=phu!$I$7,M949=phu!$I$8,M949=phu!$I$9,M949=phu!$I$10,M949=phu!$I$11,M949=phu!$I$12,M949=phu!$I$13,M949=phu!$I$14),"Cam Nghĩa",""),IF(OR(M949=phu!$I$15,M949=phu!$I$16,M949=phu!$I$17,M949=phu!$I$18,M949=phu!$I$19,M949=phu!$I$20,M949=phu!$I$21),"Cam Phúc Bắc",""),IF(OR(M949=phu!$I$22,M949=phu!$I$23,M949=phu!$I$24,M949=phu!$I$25),"Cam Phúc Nam",""),IF(OR(M949=phu!$I$26,M949=phu!$I$27,M949=phu!$I$28,M949=phu!$I$29,M949=phu!$I$30,M949=phu!$I$31),"Cam Phú",""),IF(OR(M949=phu!$I$32,M949=phu!$I$33,M949=phu!$I$34,M949=phu!$I$35,M949=phu!$I$36,M949=phu!$I$37),"Cam Lộc",""),IF(OR(M949=phu!$I$38,M949=phu!$I$39,M949=phu!$I$40,M949=phu!$I$41,M949=phu!$I$42,M949=phu!$I$43,M949=phu!$I$44),"Cam Thuận",""),IF(OR(M949=phu!$I$45,M949=phu!$I$46,M949=phu!$I$47,M949=phu!$I$48,M949=phu!$I$49,M949=phu!$I$50,M949=phu!$I$51,M949=phu!$I$52,M949=phu!$I$53),"Cam Linh",""),IF(OR(M949=phu!$I$54,M949=phu!$I$55,M949=phu!$I$56,M949=phu!$I$57,M949=phu!$I$58,M949=phu!$I$59,M949=phu!$I$60,M949=phu!$I$61,M949=phu!$I$62),"Cam Lợi",""),IF(OR(M949=phu!$I$63,M949=phu!$I$64,M949=phu!$I$65,M949=phu!$I$66,M949=phu!$I$67,M949=phu!$I$68,M949=phu!$I$69,M949=phu!$I$70,M949=phu!$I$71),"Ba Ngòi",""),IF(OR(M949=phu!$I$72,M949=phu!$I$73,M949=phu!$I$74,M949=phu!$I$75,M949=phu!$I$76,M949=phu!$I$77,M949=phu!$I$78),"Cam Phước Đông",""),IF(OR(M949=phu!$I$79,M949=phu!$I$80,M949=phu!$I$81,M949=phu!$I$82,M949=phu!$I$83,M949=phu!$I$84),"Cam Thịnh Đông",""),IF(OR(M949=phu!$I$85,M949=phu!$I$86,M949=phu!$I$87,M949=phu!$I$88),"Cam Thịnh Tây",""),IF(OR(M949=phu!$I$89,M949=phu!$I$90),"Cam Lập",""),IF(OR(M949=phu!$I$91,M949=phu!$I$92,M949=phu!$I$93),"Cam Bình",""),IF(OR(M949=phu!$I$94,M949=phu!$I$95,M949=phu!$I$96,M949=phu!$I$97,M949=phu!$I$98,M949=phu!$I$99,M949=phu!$I$100),"Huyện khác",""),IF(OR(M949=phu!$I$101,M949=phu!$I$102),"Tỉnh khác",""))</f>
        <v/>
      </c>
      <c r="O949" s="814" t="str">
        <f t="shared" si="85"/>
        <v/>
      </c>
      <c r="P949" s="254"/>
      <c r="Q949" s="254"/>
      <c r="R949" s="254"/>
      <c r="S949" s="254"/>
      <c r="T949" s="254"/>
      <c r="U949" s="254"/>
      <c r="V949" s="254"/>
      <c r="W949" s="254"/>
      <c r="Y949" s="246" t="str">
        <f t="shared" si="86"/>
        <v/>
      </c>
      <c r="Z949" s="247" t="str">
        <f t="shared" si="84"/>
        <v/>
      </c>
      <c r="AA949" s="246" t="str">
        <f t="shared" si="87"/>
        <v/>
      </c>
    </row>
    <row r="950" spans="1:27" x14ac:dyDescent="0.25">
      <c r="A950" s="248" t="str">
        <f t="shared" si="88"/>
        <v/>
      </c>
      <c r="B950" s="249" t="str">
        <f t="shared" si="89"/>
        <v/>
      </c>
      <c r="C950" s="250"/>
      <c r="D950" s="251"/>
      <c r="E950" s="241"/>
      <c r="F950" s="252"/>
      <c r="G950" s="252"/>
      <c r="H950" s="253"/>
      <c r="I950" s="250"/>
      <c r="J950" s="250"/>
      <c r="K950" s="270"/>
      <c r="L950" s="250"/>
      <c r="M950" s="250"/>
      <c r="N950" s="553" t="str">
        <f>CONCATENATE(IF(OR(M950=phu!$I$1,M950=phu!$I$2,M950=phu!$I$3),"Cam Thành Nam",""),IF(OR(M950=phu!$I$4,M950=phu!$I$5,M950=phu!$I$6,M950=phu!$I$7,M950=phu!$I$8,M950=phu!$I$9,M950=phu!$I$10,M950=phu!$I$11,M950=phu!$I$12,M950=phu!$I$13,M950=phu!$I$14),"Cam Nghĩa",""),IF(OR(M950=phu!$I$15,M950=phu!$I$16,M950=phu!$I$17,M950=phu!$I$18,M950=phu!$I$19,M950=phu!$I$20,M950=phu!$I$21),"Cam Phúc Bắc",""),IF(OR(M950=phu!$I$22,M950=phu!$I$23,M950=phu!$I$24,M950=phu!$I$25),"Cam Phúc Nam",""),IF(OR(M950=phu!$I$26,M950=phu!$I$27,M950=phu!$I$28,M950=phu!$I$29,M950=phu!$I$30,M950=phu!$I$31),"Cam Phú",""),IF(OR(M950=phu!$I$32,M950=phu!$I$33,M950=phu!$I$34,M950=phu!$I$35,M950=phu!$I$36,M950=phu!$I$37),"Cam Lộc",""),IF(OR(M950=phu!$I$38,M950=phu!$I$39,M950=phu!$I$40,M950=phu!$I$41,M950=phu!$I$42,M950=phu!$I$43,M950=phu!$I$44),"Cam Thuận",""),IF(OR(M950=phu!$I$45,M950=phu!$I$46,M950=phu!$I$47,M950=phu!$I$48,M950=phu!$I$49,M950=phu!$I$50,M950=phu!$I$51,M950=phu!$I$52,M950=phu!$I$53),"Cam Linh",""),IF(OR(M950=phu!$I$54,M950=phu!$I$55,M950=phu!$I$56,M950=phu!$I$57,M950=phu!$I$58,M950=phu!$I$59,M950=phu!$I$60,M950=phu!$I$61,M950=phu!$I$62),"Cam Lợi",""),IF(OR(M950=phu!$I$63,M950=phu!$I$64,M950=phu!$I$65,M950=phu!$I$66,M950=phu!$I$67,M950=phu!$I$68,M950=phu!$I$69,M950=phu!$I$70,M950=phu!$I$71),"Ba Ngòi",""),IF(OR(M950=phu!$I$72,M950=phu!$I$73,M950=phu!$I$74,M950=phu!$I$75,M950=phu!$I$76,M950=phu!$I$77,M950=phu!$I$78),"Cam Phước Đông",""),IF(OR(M950=phu!$I$79,M950=phu!$I$80,M950=phu!$I$81,M950=phu!$I$82,M950=phu!$I$83,M950=phu!$I$84),"Cam Thịnh Đông",""),IF(OR(M950=phu!$I$85,M950=phu!$I$86,M950=phu!$I$87,M950=phu!$I$88),"Cam Thịnh Tây",""),IF(OR(M950=phu!$I$89,M950=phu!$I$90),"Cam Lập",""),IF(OR(M950=phu!$I$91,M950=phu!$I$92,M950=phu!$I$93),"Cam Bình",""),IF(OR(M950=phu!$I$94,M950=phu!$I$95,M950=phu!$I$96,M950=phu!$I$97,M950=phu!$I$98,M950=phu!$I$99,M950=phu!$I$100),"Huyện khác",""),IF(OR(M950=phu!$I$101,M950=phu!$I$102),"Tỉnh khác",""))</f>
        <v/>
      </c>
      <c r="O950" s="814" t="str">
        <f t="shared" si="85"/>
        <v/>
      </c>
      <c r="P950" s="254"/>
      <c r="Q950" s="254"/>
      <c r="R950" s="254"/>
      <c r="S950" s="254"/>
      <c r="T950" s="254"/>
      <c r="U950" s="254"/>
      <c r="V950" s="254"/>
      <c r="W950" s="254"/>
      <c r="Y950" s="246" t="str">
        <f t="shared" si="86"/>
        <v/>
      </c>
      <c r="Z950" s="247" t="str">
        <f t="shared" si="84"/>
        <v/>
      </c>
      <c r="AA950" s="246" t="str">
        <f t="shared" si="87"/>
        <v/>
      </c>
    </row>
    <row r="951" spans="1:27" x14ac:dyDescent="0.25">
      <c r="A951" s="248" t="str">
        <f t="shared" si="88"/>
        <v/>
      </c>
      <c r="B951" s="249" t="str">
        <f t="shared" si="89"/>
        <v/>
      </c>
      <c r="C951" s="250"/>
      <c r="D951" s="251"/>
      <c r="E951" s="241"/>
      <c r="F951" s="252"/>
      <c r="G951" s="252"/>
      <c r="H951" s="253"/>
      <c r="I951" s="250"/>
      <c r="J951" s="250"/>
      <c r="K951" s="270"/>
      <c r="L951" s="250"/>
      <c r="M951" s="250"/>
      <c r="N951" s="553" t="str">
        <f>CONCATENATE(IF(OR(M951=phu!$I$1,M951=phu!$I$2,M951=phu!$I$3),"Cam Thành Nam",""),IF(OR(M951=phu!$I$4,M951=phu!$I$5,M951=phu!$I$6,M951=phu!$I$7,M951=phu!$I$8,M951=phu!$I$9,M951=phu!$I$10,M951=phu!$I$11,M951=phu!$I$12,M951=phu!$I$13,M951=phu!$I$14),"Cam Nghĩa",""),IF(OR(M951=phu!$I$15,M951=phu!$I$16,M951=phu!$I$17,M951=phu!$I$18,M951=phu!$I$19,M951=phu!$I$20,M951=phu!$I$21),"Cam Phúc Bắc",""),IF(OR(M951=phu!$I$22,M951=phu!$I$23,M951=phu!$I$24,M951=phu!$I$25),"Cam Phúc Nam",""),IF(OR(M951=phu!$I$26,M951=phu!$I$27,M951=phu!$I$28,M951=phu!$I$29,M951=phu!$I$30,M951=phu!$I$31),"Cam Phú",""),IF(OR(M951=phu!$I$32,M951=phu!$I$33,M951=phu!$I$34,M951=phu!$I$35,M951=phu!$I$36,M951=phu!$I$37),"Cam Lộc",""),IF(OR(M951=phu!$I$38,M951=phu!$I$39,M951=phu!$I$40,M951=phu!$I$41,M951=phu!$I$42,M951=phu!$I$43,M951=phu!$I$44),"Cam Thuận",""),IF(OR(M951=phu!$I$45,M951=phu!$I$46,M951=phu!$I$47,M951=phu!$I$48,M951=phu!$I$49,M951=phu!$I$50,M951=phu!$I$51,M951=phu!$I$52,M951=phu!$I$53),"Cam Linh",""),IF(OR(M951=phu!$I$54,M951=phu!$I$55,M951=phu!$I$56,M951=phu!$I$57,M951=phu!$I$58,M951=phu!$I$59,M951=phu!$I$60,M951=phu!$I$61,M951=phu!$I$62),"Cam Lợi",""),IF(OR(M951=phu!$I$63,M951=phu!$I$64,M951=phu!$I$65,M951=phu!$I$66,M951=phu!$I$67,M951=phu!$I$68,M951=phu!$I$69,M951=phu!$I$70,M951=phu!$I$71),"Ba Ngòi",""),IF(OR(M951=phu!$I$72,M951=phu!$I$73,M951=phu!$I$74,M951=phu!$I$75,M951=phu!$I$76,M951=phu!$I$77,M951=phu!$I$78),"Cam Phước Đông",""),IF(OR(M951=phu!$I$79,M951=phu!$I$80,M951=phu!$I$81,M951=phu!$I$82,M951=phu!$I$83,M951=phu!$I$84),"Cam Thịnh Đông",""),IF(OR(M951=phu!$I$85,M951=phu!$I$86,M951=phu!$I$87,M951=phu!$I$88),"Cam Thịnh Tây",""),IF(OR(M951=phu!$I$89,M951=phu!$I$90),"Cam Lập",""),IF(OR(M951=phu!$I$91,M951=phu!$I$92,M951=phu!$I$93),"Cam Bình",""),IF(OR(M951=phu!$I$94,M951=phu!$I$95,M951=phu!$I$96,M951=phu!$I$97,M951=phu!$I$98,M951=phu!$I$99,M951=phu!$I$100),"Huyện khác",""),IF(OR(M951=phu!$I$101,M951=phu!$I$102),"Tỉnh khác",""))</f>
        <v/>
      </c>
      <c r="O951" s="814" t="str">
        <f t="shared" si="85"/>
        <v/>
      </c>
      <c r="P951" s="254"/>
      <c r="Q951" s="254"/>
      <c r="R951" s="254"/>
      <c r="S951" s="254"/>
      <c r="T951" s="254"/>
      <c r="U951" s="254"/>
      <c r="V951" s="254"/>
      <c r="W951" s="254"/>
      <c r="Y951" s="246" t="str">
        <f t="shared" si="86"/>
        <v/>
      </c>
      <c r="Z951" s="247" t="str">
        <f t="shared" si="84"/>
        <v/>
      </c>
      <c r="AA951" s="246" t="str">
        <f t="shared" si="87"/>
        <v/>
      </c>
    </row>
    <row r="952" spans="1:27" x14ac:dyDescent="0.25">
      <c r="A952" s="248" t="str">
        <f t="shared" si="88"/>
        <v/>
      </c>
      <c r="B952" s="249" t="str">
        <f t="shared" si="89"/>
        <v/>
      </c>
      <c r="C952" s="250"/>
      <c r="D952" s="251"/>
      <c r="E952" s="241"/>
      <c r="F952" s="252"/>
      <c r="G952" s="252"/>
      <c r="H952" s="253"/>
      <c r="I952" s="250"/>
      <c r="J952" s="250"/>
      <c r="K952" s="270"/>
      <c r="L952" s="250"/>
      <c r="M952" s="250"/>
      <c r="N952" s="553" t="str">
        <f>CONCATENATE(IF(OR(M952=phu!$I$1,M952=phu!$I$2,M952=phu!$I$3),"Cam Thành Nam",""),IF(OR(M952=phu!$I$4,M952=phu!$I$5,M952=phu!$I$6,M952=phu!$I$7,M952=phu!$I$8,M952=phu!$I$9,M952=phu!$I$10,M952=phu!$I$11,M952=phu!$I$12,M952=phu!$I$13,M952=phu!$I$14),"Cam Nghĩa",""),IF(OR(M952=phu!$I$15,M952=phu!$I$16,M952=phu!$I$17,M952=phu!$I$18,M952=phu!$I$19,M952=phu!$I$20,M952=phu!$I$21),"Cam Phúc Bắc",""),IF(OR(M952=phu!$I$22,M952=phu!$I$23,M952=phu!$I$24,M952=phu!$I$25),"Cam Phúc Nam",""),IF(OR(M952=phu!$I$26,M952=phu!$I$27,M952=phu!$I$28,M952=phu!$I$29,M952=phu!$I$30,M952=phu!$I$31),"Cam Phú",""),IF(OR(M952=phu!$I$32,M952=phu!$I$33,M952=phu!$I$34,M952=phu!$I$35,M952=phu!$I$36,M952=phu!$I$37),"Cam Lộc",""),IF(OR(M952=phu!$I$38,M952=phu!$I$39,M952=phu!$I$40,M952=phu!$I$41,M952=phu!$I$42,M952=phu!$I$43,M952=phu!$I$44),"Cam Thuận",""),IF(OR(M952=phu!$I$45,M952=phu!$I$46,M952=phu!$I$47,M952=phu!$I$48,M952=phu!$I$49,M952=phu!$I$50,M952=phu!$I$51,M952=phu!$I$52,M952=phu!$I$53),"Cam Linh",""),IF(OR(M952=phu!$I$54,M952=phu!$I$55,M952=phu!$I$56,M952=phu!$I$57,M952=phu!$I$58,M952=phu!$I$59,M952=phu!$I$60,M952=phu!$I$61,M952=phu!$I$62),"Cam Lợi",""),IF(OR(M952=phu!$I$63,M952=phu!$I$64,M952=phu!$I$65,M952=phu!$I$66,M952=phu!$I$67,M952=phu!$I$68,M952=phu!$I$69,M952=phu!$I$70,M952=phu!$I$71),"Ba Ngòi",""),IF(OR(M952=phu!$I$72,M952=phu!$I$73,M952=phu!$I$74,M952=phu!$I$75,M952=phu!$I$76,M952=phu!$I$77,M952=phu!$I$78),"Cam Phước Đông",""),IF(OR(M952=phu!$I$79,M952=phu!$I$80,M952=phu!$I$81,M952=phu!$I$82,M952=phu!$I$83,M952=phu!$I$84),"Cam Thịnh Đông",""),IF(OR(M952=phu!$I$85,M952=phu!$I$86,M952=phu!$I$87,M952=phu!$I$88),"Cam Thịnh Tây",""),IF(OR(M952=phu!$I$89,M952=phu!$I$90),"Cam Lập",""),IF(OR(M952=phu!$I$91,M952=phu!$I$92,M952=phu!$I$93),"Cam Bình",""),IF(OR(M952=phu!$I$94,M952=phu!$I$95,M952=phu!$I$96,M952=phu!$I$97,M952=phu!$I$98,M952=phu!$I$99,M952=phu!$I$100),"Huyện khác",""),IF(OR(M952=phu!$I$101,M952=phu!$I$102),"Tỉnh khác",""))</f>
        <v/>
      </c>
      <c r="O952" s="814" t="str">
        <f t="shared" si="85"/>
        <v/>
      </c>
      <c r="P952" s="254"/>
      <c r="Q952" s="254"/>
      <c r="R952" s="254"/>
      <c r="S952" s="254"/>
      <c r="T952" s="254"/>
      <c r="U952" s="254"/>
      <c r="V952" s="254"/>
      <c r="W952" s="254"/>
      <c r="Y952" s="246" t="str">
        <f t="shared" si="86"/>
        <v/>
      </c>
      <c r="Z952" s="247" t="str">
        <f t="shared" si="84"/>
        <v/>
      </c>
      <c r="AA952" s="246" t="str">
        <f t="shared" si="87"/>
        <v/>
      </c>
    </row>
    <row r="953" spans="1:27" x14ac:dyDescent="0.25">
      <c r="A953" s="248" t="str">
        <f t="shared" si="88"/>
        <v/>
      </c>
      <c r="B953" s="249" t="str">
        <f t="shared" si="89"/>
        <v/>
      </c>
      <c r="C953" s="250"/>
      <c r="D953" s="251"/>
      <c r="E953" s="241"/>
      <c r="F953" s="252"/>
      <c r="G953" s="252"/>
      <c r="H953" s="253"/>
      <c r="I953" s="250"/>
      <c r="J953" s="250"/>
      <c r="K953" s="270"/>
      <c r="L953" s="250"/>
      <c r="M953" s="250"/>
      <c r="N953" s="553" t="str">
        <f>CONCATENATE(IF(OR(M953=phu!$I$1,M953=phu!$I$2,M953=phu!$I$3),"Cam Thành Nam",""),IF(OR(M953=phu!$I$4,M953=phu!$I$5,M953=phu!$I$6,M953=phu!$I$7,M953=phu!$I$8,M953=phu!$I$9,M953=phu!$I$10,M953=phu!$I$11,M953=phu!$I$12,M953=phu!$I$13,M953=phu!$I$14),"Cam Nghĩa",""),IF(OR(M953=phu!$I$15,M953=phu!$I$16,M953=phu!$I$17,M953=phu!$I$18,M953=phu!$I$19,M953=phu!$I$20,M953=phu!$I$21),"Cam Phúc Bắc",""),IF(OR(M953=phu!$I$22,M953=phu!$I$23,M953=phu!$I$24,M953=phu!$I$25),"Cam Phúc Nam",""),IF(OR(M953=phu!$I$26,M953=phu!$I$27,M953=phu!$I$28,M953=phu!$I$29,M953=phu!$I$30,M953=phu!$I$31),"Cam Phú",""),IF(OR(M953=phu!$I$32,M953=phu!$I$33,M953=phu!$I$34,M953=phu!$I$35,M953=phu!$I$36,M953=phu!$I$37),"Cam Lộc",""),IF(OR(M953=phu!$I$38,M953=phu!$I$39,M953=phu!$I$40,M953=phu!$I$41,M953=phu!$I$42,M953=phu!$I$43,M953=phu!$I$44),"Cam Thuận",""),IF(OR(M953=phu!$I$45,M953=phu!$I$46,M953=phu!$I$47,M953=phu!$I$48,M953=phu!$I$49,M953=phu!$I$50,M953=phu!$I$51,M953=phu!$I$52,M953=phu!$I$53),"Cam Linh",""),IF(OR(M953=phu!$I$54,M953=phu!$I$55,M953=phu!$I$56,M953=phu!$I$57,M953=phu!$I$58,M953=phu!$I$59,M953=phu!$I$60,M953=phu!$I$61,M953=phu!$I$62),"Cam Lợi",""),IF(OR(M953=phu!$I$63,M953=phu!$I$64,M953=phu!$I$65,M953=phu!$I$66,M953=phu!$I$67,M953=phu!$I$68,M953=phu!$I$69,M953=phu!$I$70,M953=phu!$I$71),"Ba Ngòi",""),IF(OR(M953=phu!$I$72,M953=phu!$I$73,M953=phu!$I$74,M953=phu!$I$75,M953=phu!$I$76,M953=phu!$I$77,M953=phu!$I$78),"Cam Phước Đông",""),IF(OR(M953=phu!$I$79,M953=phu!$I$80,M953=phu!$I$81,M953=phu!$I$82,M953=phu!$I$83,M953=phu!$I$84),"Cam Thịnh Đông",""),IF(OR(M953=phu!$I$85,M953=phu!$I$86,M953=phu!$I$87,M953=phu!$I$88),"Cam Thịnh Tây",""),IF(OR(M953=phu!$I$89,M953=phu!$I$90),"Cam Lập",""),IF(OR(M953=phu!$I$91,M953=phu!$I$92,M953=phu!$I$93),"Cam Bình",""),IF(OR(M953=phu!$I$94,M953=phu!$I$95,M953=phu!$I$96,M953=phu!$I$97,M953=phu!$I$98,M953=phu!$I$99,M953=phu!$I$100),"Huyện khác",""),IF(OR(M953=phu!$I$101,M953=phu!$I$102),"Tỉnh khác",""))</f>
        <v/>
      </c>
      <c r="O953" s="814" t="str">
        <f t="shared" si="85"/>
        <v/>
      </c>
      <c r="P953" s="254"/>
      <c r="Q953" s="254"/>
      <c r="R953" s="254"/>
      <c r="S953" s="254"/>
      <c r="T953" s="254"/>
      <c r="U953" s="254"/>
      <c r="V953" s="254"/>
      <c r="W953" s="254"/>
      <c r="Y953" s="246" t="str">
        <f t="shared" si="86"/>
        <v/>
      </c>
      <c r="Z953" s="247" t="str">
        <f t="shared" si="84"/>
        <v/>
      </c>
      <c r="AA953" s="246" t="str">
        <f t="shared" si="87"/>
        <v/>
      </c>
    </row>
    <row r="954" spans="1:27" x14ac:dyDescent="0.25">
      <c r="A954" s="248" t="str">
        <f t="shared" si="88"/>
        <v/>
      </c>
      <c r="B954" s="249" t="str">
        <f t="shared" si="89"/>
        <v/>
      </c>
      <c r="C954" s="250"/>
      <c r="D954" s="251"/>
      <c r="E954" s="241"/>
      <c r="F954" s="252"/>
      <c r="G954" s="252"/>
      <c r="H954" s="253"/>
      <c r="I954" s="250"/>
      <c r="J954" s="250"/>
      <c r="K954" s="270"/>
      <c r="L954" s="250"/>
      <c r="M954" s="250"/>
      <c r="N954" s="553" t="str">
        <f>CONCATENATE(IF(OR(M954=phu!$I$1,M954=phu!$I$2,M954=phu!$I$3),"Cam Thành Nam",""),IF(OR(M954=phu!$I$4,M954=phu!$I$5,M954=phu!$I$6,M954=phu!$I$7,M954=phu!$I$8,M954=phu!$I$9,M954=phu!$I$10,M954=phu!$I$11,M954=phu!$I$12,M954=phu!$I$13,M954=phu!$I$14),"Cam Nghĩa",""),IF(OR(M954=phu!$I$15,M954=phu!$I$16,M954=phu!$I$17,M954=phu!$I$18,M954=phu!$I$19,M954=phu!$I$20,M954=phu!$I$21),"Cam Phúc Bắc",""),IF(OR(M954=phu!$I$22,M954=phu!$I$23,M954=phu!$I$24,M954=phu!$I$25),"Cam Phúc Nam",""),IF(OR(M954=phu!$I$26,M954=phu!$I$27,M954=phu!$I$28,M954=phu!$I$29,M954=phu!$I$30,M954=phu!$I$31),"Cam Phú",""),IF(OR(M954=phu!$I$32,M954=phu!$I$33,M954=phu!$I$34,M954=phu!$I$35,M954=phu!$I$36,M954=phu!$I$37),"Cam Lộc",""),IF(OR(M954=phu!$I$38,M954=phu!$I$39,M954=phu!$I$40,M954=phu!$I$41,M954=phu!$I$42,M954=phu!$I$43,M954=phu!$I$44),"Cam Thuận",""),IF(OR(M954=phu!$I$45,M954=phu!$I$46,M954=phu!$I$47,M954=phu!$I$48,M954=phu!$I$49,M954=phu!$I$50,M954=phu!$I$51,M954=phu!$I$52,M954=phu!$I$53),"Cam Linh",""),IF(OR(M954=phu!$I$54,M954=phu!$I$55,M954=phu!$I$56,M954=phu!$I$57,M954=phu!$I$58,M954=phu!$I$59,M954=phu!$I$60,M954=phu!$I$61,M954=phu!$I$62),"Cam Lợi",""),IF(OR(M954=phu!$I$63,M954=phu!$I$64,M954=phu!$I$65,M954=phu!$I$66,M954=phu!$I$67,M954=phu!$I$68,M954=phu!$I$69,M954=phu!$I$70,M954=phu!$I$71),"Ba Ngòi",""),IF(OR(M954=phu!$I$72,M954=phu!$I$73,M954=phu!$I$74,M954=phu!$I$75,M954=phu!$I$76,M954=phu!$I$77,M954=phu!$I$78),"Cam Phước Đông",""),IF(OR(M954=phu!$I$79,M954=phu!$I$80,M954=phu!$I$81,M954=phu!$I$82,M954=phu!$I$83,M954=phu!$I$84),"Cam Thịnh Đông",""),IF(OR(M954=phu!$I$85,M954=phu!$I$86,M954=phu!$I$87,M954=phu!$I$88),"Cam Thịnh Tây",""),IF(OR(M954=phu!$I$89,M954=phu!$I$90),"Cam Lập",""),IF(OR(M954=phu!$I$91,M954=phu!$I$92,M954=phu!$I$93),"Cam Bình",""),IF(OR(M954=phu!$I$94,M954=phu!$I$95,M954=phu!$I$96,M954=phu!$I$97,M954=phu!$I$98,M954=phu!$I$99,M954=phu!$I$100),"Huyện khác",""),IF(OR(M954=phu!$I$101,M954=phu!$I$102),"Tỉnh khác",""))</f>
        <v/>
      </c>
      <c r="O954" s="814" t="str">
        <f t="shared" si="85"/>
        <v/>
      </c>
      <c r="P954" s="254"/>
      <c r="Q954" s="254"/>
      <c r="R954" s="254"/>
      <c r="S954" s="254"/>
      <c r="T954" s="254"/>
      <c r="U954" s="254"/>
      <c r="V954" s="254"/>
      <c r="W954" s="254"/>
      <c r="Y954" s="246" t="str">
        <f t="shared" si="86"/>
        <v/>
      </c>
      <c r="Z954" s="247" t="str">
        <f t="shared" si="84"/>
        <v/>
      </c>
      <c r="AA954" s="246" t="str">
        <f t="shared" si="87"/>
        <v/>
      </c>
    </row>
    <row r="955" spans="1:27" x14ac:dyDescent="0.25">
      <c r="A955" s="248" t="str">
        <f t="shared" si="88"/>
        <v/>
      </c>
      <c r="B955" s="249" t="str">
        <f t="shared" si="89"/>
        <v/>
      </c>
      <c r="C955" s="250"/>
      <c r="D955" s="251"/>
      <c r="E955" s="241"/>
      <c r="F955" s="252"/>
      <c r="G955" s="252"/>
      <c r="H955" s="253"/>
      <c r="I955" s="250"/>
      <c r="J955" s="250"/>
      <c r="K955" s="270"/>
      <c r="L955" s="250"/>
      <c r="M955" s="250"/>
      <c r="N955" s="553" t="str">
        <f>CONCATENATE(IF(OR(M955=phu!$I$1,M955=phu!$I$2,M955=phu!$I$3),"Cam Thành Nam",""),IF(OR(M955=phu!$I$4,M955=phu!$I$5,M955=phu!$I$6,M955=phu!$I$7,M955=phu!$I$8,M955=phu!$I$9,M955=phu!$I$10,M955=phu!$I$11,M955=phu!$I$12,M955=phu!$I$13,M955=phu!$I$14),"Cam Nghĩa",""),IF(OR(M955=phu!$I$15,M955=phu!$I$16,M955=phu!$I$17,M955=phu!$I$18,M955=phu!$I$19,M955=phu!$I$20,M955=phu!$I$21),"Cam Phúc Bắc",""),IF(OR(M955=phu!$I$22,M955=phu!$I$23,M955=phu!$I$24,M955=phu!$I$25),"Cam Phúc Nam",""),IF(OR(M955=phu!$I$26,M955=phu!$I$27,M955=phu!$I$28,M955=phu!$I$29,M955=phu!$I$30,M955=phu!$I$31),"Cam Phú",""),IF(OR(M955=phu!$I$32,M955=phu!$I$33,M955=phu!$I$34,M955=phu!$I$35,M955=phu!$I$36,M955=phu!$I$37),"Cam Lộc",""),IF(OR(M955=phu!$I$38,M955=phu!$I$39,M955=phu!$I$40,M955=phu!$I$41,M955=phu!$I$42,M955=phu!$I$43,M955=phu!$I$44),"Cam Thuận",""),IF(OR(M955=phu!$I$45,M955=phu!$I$46,M955=phu!$I$47,M955=phu!$I$48,M955=phu!$I$49,M955=phu!$I$50,M955=phu!$I$51,M955=phu!$I$52,M955=phu!$I$53),"Cam Linh",""),IF(OR(M955=phu!$I$54,M955=phu!$I$55,M955=phu!$I$56,M955=phu!$I$57,M955=phu!$I$58,M955=phu!$I$59,M955=phu!$I$60,M955=phu!$I$61,M955=phu!$I$62),"Cam Lợi",""),IF(OR(M955=phu!$I$63,M955=phu!$I$64,M955=phu!$I$65,M955=phu!$I$66,M955=phu!$I$67,M955=phu!$I$68,M955=phu!$I$69,M955=phu!$I$70,M955=phu!$I$71),"Ba Ngòi",""),IF(OR(M955=phu!$I$72,M955=phu!$I$73,M955=phu!$I$74,M955=phu!$I$75,M955=phu!$I$76,M955=phu!$I$77,M955=phu!$I$78),"Cam Phước Đông",""),IF(OR(M955=phu!$I$79,M955=phu!$I$80,M955=phu!$I$81,M955=phu!$I$82,M955=phu!$I$83,M955=phu!$I$84),"Cam Thịnh Đông",""),IF(OR(M955=phu!$I$85,M955=phu!$I$86,M955=phu!$I$87,M955=phu!$I$88),"Cam Thịnh Tây",""),IF(OR(M955=phu!$I$89,M955=phu!$I$90),"Cam Lập",""),IF(OR(M955=phu!$I$91,M955=phu!$I$92,M955=phu!$I$93),"Cam Bình",""),IF(OR(M955=phu!$I$94,M955=phu!$I$95,M955=phu!$I$96,M955=phu!$I$97,M955=phu!$I$98,M955=phu!$I$99,M955=phu!$I$100),"Huyện khác",""),IF(OR(M955=phu!$I$101,M955=phu!$I$102),"Tỉnh khác",""))</f>
        <v/>
      </c>
      <c r="O955" s="814" t="str">
        <f t="shared" si="85"/>
        <v/>
      </c>
      <c r="P955" s="254"/>
      <c r="Q955" s="254"/>
      <c r="R955" s="254"/>
      <c r="S955" s="254"/>
      <c r="T955" s="254"/>
      <c r="U955" s="254"/>
      <c r="V955" s="254"/>
      <c r="W955" s="254"/>
      <c r="Y955" s="246" t="str">
        <f t="shared" si="86"/>
        <v/>
      </c>
      <c r="Z955" s="247" t="str">
        <f t="shared" si="84"/>
        <v/>
      </c>
      <c r="AA955" s="246" t="str">
        <f t="shared" si="87"/>
        <v/>
      </c>
    </row>
    <row r="956" spans="1:27" x14ac:dyDescent="0.25">
      <c r="A956" s="248" t="str">
        <f t="shared" si="88"/>
        <v/>
      </c>
      <c r="B956" s="249" t="str">
        <f t="shared" si="89"/>
        <v/>
      </c>
      <c r="C956" s="250"/>
      <c r="D956" s="251"/>
      <c r="E956" s="241"/>
      <c r="F956" s="252"/>
      <c r="G956" s="252"/>
      <c r="H956" s="253"/>
      <c r="I956" s="250"/>
      <c r="J956" s="250"/>
      <c r="K956" s="270"/>
      <c r="L956" s="250"/>
      <c r="M956" s="250"/>
      <c r="N956" s="553" t="str">
        <f>CONCATENATE(IF(OR(M956=phu!$I$1,M956=phu!$I$2,M956=phu!$I$3),"Cam Thành Nam",""),IF(OR(M956=phu!$I$4,M956=phu!$I$5,M956=phu!$I$6,M956=phu!$I$7,M956=phu!$I$8,M956=phu!$I$9,M956=phu!$I$10,M956=phu!$I$11,M956=phu!$I$12,M956=phu!$I$13,M956=phu!$I$14),"Cam Nghĩa",""),IF(OR(M956=phu!$I$15,M956=phu!$I$16,M956=phu!$I$17,M956=phu!$I$18,M956=phu!$I$19,M956=phu!$I$20,M956=phu!$I$21),"Cam Phúc Bắc",""),IF(OR(M956=phu!$I$22,M956=phu!$I$23,M956=phu!$I$24,M956=phu!$I$25),"Cam Phúc Nam",""),IF(OR(M956=phu!$I$26,M956=phu!$I$27,M956=phu!$I$28,M956=phu!$I$29,M956=phu!$I$30,M956=phu!$I$31),"Cam Phú",""),IF(OR(M956=phu!$I$32,M956=phu!$I$33,M956=phu!$I$34,M956=phu!$I$35,M956=phu!$I$36,M956=phu!$I$37),"Cam Lộc",""),IF(OR(M956=phu!$I$38,M956=phu!$I$39,M956=phu!$I$40,M956=phu!$I$41,M956=phu!$I$42,M956=phu!$I$43,M956=phu!$I$44),"Cam Thuận",""),IF(OR(M956=phu!$I$45,M956=phu!$I$46,M956=phu!$I$47,M956=phu!$I$48,M956=phu!$I$49,M956=phu!$I$50,M956=phu!$I$51,M956=phu!$I$52,M956=phu!$I$53),"Cam Linh",""),IF(OR(M956=phu!$I$54,M956=phu!$I$55,M956=phu!$I$56,M956=phu!$I$57,M956=phu!$I$58,M956=phu!$I$59,M956=phu!$I$60,M956=phu!$I$61,M956=phu!$I$62),"Cam Lợi",""),IF(OR(M956=phu!$I$63,M956=phu!$I$64,M956=phu!$I$65,M956=phu!$I$66,M956=phu!$I$67,M956=phu!$I$68,M956=phu!$I$69,M956=phu!$I$70,M956=phu!$I$71),"Ba Ngòi",""),IF(OR(M956=phu!$I$72,M956=phu!$I$73,M956=phu!$I$74,M956=phu!$I$75,M956=phu!$I$76,M956=phu!$I$77,M956=phu!$I$78),"Cam Phước Đông",""),IF(OR(M956=phu!$I$79,M956=phu!$I$80,M956=phu!$I$81,M956=phu!$I$82,M956=phu!$I$83,M956=phu!$I$84),"Cam Thịnh Đông",""),IF(OR(M956=phu!$I$85,M956=phu!$I$86,M956=phu!$I$87,M956=phu!$I$88),"Cam Thịnh Tây",""),IF(OR(M956=phu!$I$89,M956=phu!$I$90),"Cam Lập",""),IF(OR(M956=phu!$I$91,M956=phu!$I$92,M956=phu!$I$93),"Cam Bình",""),IF(OR(M956=phu!$I$94,M956=phu!$I$95,M956=phu!$I$96,M956=phu!$I$97,M956=phu!$I$98,M956=phu!$I$99,M956=phu!$I$100),"Huyện khác",""),IF(OR(M956=phu!$I$101,M956=phu!$I$102),"Tỉnh khác",""))</f>
        <v/>
      </c>
      <c r="O956" s="814" t="str">
        <f t="shared" si="85"/>
        <v/>
      </c>
      <c r="P956" s="254"/>
      <c r="Q956" s="254"/>
      <c r="R956" s="254"/>
      <c r="S956" s="254"/>
      <c r="T956" s="254"/>
      <c r="U956" s="254"/>
      <c r="V956" s="254"/>
      <c r="W956" s="254"/>
      <c r="Y956" s="246" t="str">
        <f t="shared" si="86"/>
        <v/>
      </c>
      <c r="Z956" s="247" t="str">
        <f t="shared" si="84"/>
        <v/>
      </c>
      <c r="AA956" s="246" t="str">
        <f t="shared" si="87"/>
        <v/>
      </c>
    </row>
    <row r="957" spans="1:27" x14ac:dyDescent="0.25">
      <c r="A957" s="248" t="str">
        <f t="shared" si="88"/>
        <v/>
      </c>
      <c r="B957" s="249" t="str">
        <f t="shared" si="89"/>
        <v/>
      </c>
      <c r="C957" s="250"/>
      <c r="D957" s="251"/>
      <c r="E957" s="241"/>
      <c r="F957" s="252"/>
      <c r="G957" s="252"/>
      <c r="H957" s="253"/>
      <c r="I957" s="250"/>
      <c r="J957" s="250"/>
      <c r="K957" s="270"/>
      <c r="L957" s="250"/>
      <c r="M957" s="250"/>
      <c r="N957" s="553" t="str">
        <f>CONCATENATE(IF(OR(M957=phu!$I$1,M957=phu!$I$2,M957=phu!$I$3),"Cam Thành Nam",""),IF(OR(M957=phu!$I$4,M957=phu!$I$5,M957=phu!$I$6,M957=phu!$I$7,M957=phu!$I$8,M957=phu!$I$9,M957=phu!$I$10,M957=phu!$I$11,M957=phu!$I$12,M957=phu!$I$13,M957=phu!$I$14),"Cam Nghĩa",""),IF(OR(M957=phu!$I$15,M957=phu!$I$16,M957=phu!$I$17,M957=phu!$I$18,M957=phu!$I$19,M957=phu!$I$20,M957=phu!$I$21),"Cam Phúc Bắc",""),IF(OR(M957=phu!$I$22,M957=phu!$I$23,M957=phu!$I$24,M957=phu!$I$25),"Cam Phúc Nam",""),IF(OR(M957=phu!$I$26,M957=phu!$I$27,M957=phu!$I$28,M957=phu!$I$29,M957=phu!$I$30,M957=phu!$I$31),"Cam Phú",""),IF(OR(M957=phu!$I$32,M957=phu!$I$33,M957=phu!$I$34,M957=phu!$I$35,M957=phu!$I$36,M957=phu!$I$37),"Cam Lộc",""),IF(OR(M957=phu!$I$38,M957=phu!$I$39,M957=phu!$I$40,M957=phu!$I$41,M957=phu!$I$42,M957=phu!$I$43,M957=phu!$I$44),"Cam Thuận",""),IF(OR(M957=phu!$I$45,M957=phu!$I$46,M957=phu!$I$47,M957=phu!$I$48,M957=phu!$I$49,M957=phu!$I$50,M957=phu!$I$51,M957=phu!$I$52,M957=phu!$I$53),"Cam Linh",""),IF(OR(M957=phu!$I$54,M957=phu!$I$55,M957=phu!$I$56,M957=phu!$I$57,M957=phu!$I$58,M957=phu!$I$59,M957=phu!$I$60,M957=phu!$I$61,M957=phu!$I$62),"Cam Lợi",""),IF(OR(M957=phu!$I$63,M957=phu!$I$64,M957=phu!$I$65,M957=phu!$I$66,M957=phu!$I$67,M957=phu!$I$68,M957=phu!$I$69,M957=phu!$I$70,M957=phu!$I$71),"Ba Ngòi",""),IF(OR(M957=phu!$I$72,M957=phu!$I$73,M957=phu!$I$74,M957=phu!$I$75,M957=phu!$I$76,M957=phu!$I$77,M957=phu!$I$78),"Cam Phước Đông",""),IF(OR(M957=phu!$I$79,M957=phu!$I$80,M957=phu!$I$81,M957=phu!$I$82,M957=phu!$I$83,M957=phu!$I$84),"Cam Thịnh Đông",""),IF(OR(M957=phu!$I$85,M957=phu!$I$86,M957=phu!$I$87,M957=phu!$I$88),"Cam Thịnh Tây",""),IF(OR(M957=phu!$I$89,M957=phu!$I$90),"Cam Lập",""),IF(OR(M957=phu!$I$91,M957=phu!$I$92,M957=phu!$I$93),"Cam Bình",""),IF(OR(M957=phu!$I$94,M957=phu!$I$95,M957=phu!$I$96,M957=phu!$I$97,M957=phu!$I$98,M957=phu!$I$99,M957=phu!$I$100),"Huyện khác",""),IF(OR(M957=phu!$I$101,M957=phu!$I$102),"Tỉnh khác",""))</f>
        <v/>
      </c>
      <c r="O957" s="814" t="str">
        <f t="shared" si="85"/>
        <v/>
      </c>
      <c r="P957" s="254"/>
      <c r="Q957" s="254"/>
      <c r="R957" s="254"/>
      <c r="S957" s="254"/>
      <c r="T957" s="254"/>
      <c r="U957" s="254"/>
      <c r="V957" s="254"/>
      <c r="W957" s="254"/>
      <c r="Y957" s="246" t="str">
        <f t="shared" si="86"/>
        <v/>
      </c>
      <c r="Z957" s="247" t="str">
        <f t="shared" si="84"/>
        <v/>
      </c>
      <c r="AA957" s="246" t="str">
        <f t="shared" si="87"/>
        <v/>
      </c>
    </row>
    <row r="958" spans="1:27" x14ac:dyDescent="0.25">
      <c r="A958" s="248" t="str">
        <f t="shared" si="88"/>
        <v/>
      </c>
      <c r="B958" s="249" t="str">
        <f t="shared" si="89"/>
        <v/>
      </c>
      <c r="C958" s="250"/>
      <c r="D958" s="251"/>
      <c r="E958" s="241"/>
      <c r="F958" s="252"/>
      <c r="G958" s="252"/>
      <c r="H958" s="253"/>
      <c r="I958" s="250"/>
      <c r="J958" s="250"/>
      <c r="K958" s="270"/>
      <c r="L958" s="250"/>
      <c r="M958" s="250"/>
      <c r="N958" s="553" t="str">
        <f>CONCATENATE(IF(OR(M958=phu!$I$1,M958=phu!$I$2,M958=phu!$I$3),"Cam Thành Nam",""),IF(OR(M958=phu!$I$4,M958=phu!$I$5,M958=phu!$I$6,M958=phu!$I$7,M958=phu!$I$8,M958=phu!$I$9,M958=phu!$I$10,M958=phu!$I$11,M958=phu!$I$12,M958=phu!$I$13,M958=phu!$I$14),"Cam Nghĩa",""),IF(OR(M958=phu!$I$15,M958=phu!$I$16,M958=phu!$I$17,M958=phu!$I$18,M958=phu!$I$19,M958=phu!$I$20,M958=phu!$I$21),"Cam Phúc Bắc",""),IF(OR(M958=phu!$I$22,M958=phu!$I$23,M958=phu!$I$24,M958=phu!$I$25),"Cam Phúc Nam",""),IF(OR(M958=phu!$I$26,M958=phu!$I$27,M958=phu!$I$28,M958=phu!$I$29,M958=phu!$I$30,M958=phu!$I$31),"Cam Phú",""),IF(OR(M958=phu!$I$32,M958=phu!$I$33,M958=phu!$I$34,M958=phu!$I$35,M958=phu!$I$36,M958=phu!$I$37),"Cam Lộc",""),IF(OR(M958=phu!$I$38,M958=phu!$I$39,M958=phu!$I$40,M958=phu!$I$41,M958=phu!$I$42,M958=phu!$I$43,M958=phu!$I$44),"Cam Thuận",""),IF(OR(M958=phu!$I$45,M958=phu!$I$46,M958=phu!$I$47,M958=phu!$I$48,M958=phu!$I$49,M958=phu!$I$50,M958=phu!$I$51,M958=phu!$I$52,M958=phu!$I$53),"Cam Linh",""),IF(OR(M958=phu!$I$54,M958=phu!$I$55,M958=phu!$I$56,M958=phu!$I$57,M958=phu!$I$58,M958=phu!$I$59,M958=phu!$I$60,M958=phu!$I$61,M958=phu!$I$62),"Cam Lợi",""),IF(OR(M958=phu!$I$63,M958=phu!$I$64,M958=phu!$I$65,M958=phu!$I$66,M958=phu!$I$67,M958=phu!$I$68,M958=phu!$I$69,M958=phu!$I$70,M958=phu!$I$71),"Ba Ngòi",""),IF(OR(M958=phu!$I$72,M958=phu!$I$73,M958=phu!$I$74,M958=phu!$I$75,M958=phu!$I$76,M958=phu!$I$77,M958=phu!$I$78),"Cam Phước Đông",""),IF(OR(M958=phu!$I$79,M958=phu!$I$80,M958=phu!$I$81,M958=phu!$I$82,M958=phu!$I$83,M958=phu!$I$84),"Cam Thịnh Đông",""),IF(OR(M958=phu!$I$85,M958=phu!$I$86,M958=phu!$I$87,M958=phu!$I$88),"Cam Thịnh Tây",""),IF(OR(M958=phu!$I$89,M958=phu!$I$90),"Cam Lập",""),IF(OR(M958=phu!$I$91,M958=phu!$I$92,M958=phu!$I$93),"Cam Bình",""),IF(OR(M958=phu!$I$94,M958=phu!$I$95,M958=phu!$I$96,M958=phu!$I$97,M958=phu!$I$98,M958=phu!$I$99,M958=phu!$I$100),"Huyện khác",""),IF(OR(M958=phu!$I$101,M958=phu!$I$102),"Tỉnh khác",""))</f>
        <v/>
      </c>
      <c r="O958" s="814" t="str">
        <f t="shared" si="85"/>
        <v/>
      </c>
      <c r="P958" s="254"/>
      <c r="Q958" s="254"/>
      <c r="R958" s="254"/>
      <c r="S958" s="254"/>
      <c r="T958" s="254"/>
      <c r="U958" s="254"/>
      <c r="V958" s="254"/>
      <c r="W958" s="254"/>
      <c r="Y958" s="246" t="str">
        <f t="shared" si="86"/>
        <v/>
      </c>
      <c r="Z958" s="247" t="str">
        <f t="shared" si="84"/>
        <v/>
      </c>
      <c r="AA958" s="246" t="str">
        <f t="shared" si="87"/>
        <v/>
      </c>
    </row>
    <row r="959" spans="1:27" x14ac:dyDescent="0.25">
      <c r="A959" s="248" t="str">
        <f t="shared" si="88"/>
        <v/>
      </c>
      <c r="B959" s="249" t="str">
        <f t="shared" si="89"/>
        <v/>
      </c>
      <c r="C959" s="250"/>
      <c r="D959" s="251"/>
      <c r="E959" s="241"/>
      <c r="F959" s="252"/>
      <c r="G959" s="252"/>
      <c r="H959" s="253"/>
      <c r="I959" s="250"/>
      <c r="J959" s="250"/>
      <c r="K959" s="270"/>
      <c r="L959" s="250"/>
      <c r="M959" s="250"/>
      <c r="N959" s="553" t="str">
        <f>CONCATENATE(IF(OR(M959=phu!$I$1,M959=phu!$I$2,M959=phu!$I$3),"Cam Thành Nam",""),IF(OR(M959=phu!$I$4,M959=phu!$I$5,M959=phu!$I$6,M959=phu!$I$7,M959=phu!$I$8,M959=phu!$I$9,M959=phu!$I$10,M959=phu!$I$11,M959=phu!$I$12,M959=phu!$I$13,M959=phu!$I$14),"Cam Nghĩa",""),IF(OR(M959=phu!$I$15,M959=phu!$I$16,M959=phu!$I$17,M959=phu!$I$18,M959=phu!$I$19,M959=phu!$I$20,M959=phu!$I$21),"Cam Phúc Bắc",""),IF(OR(M959=phu!$I$22,M959=phu!$I$23,M959=phu!$I$24,M959=phu!$I$25),"Cam Phúc Nam",""),IF(OR(M959=phu!$I$26,M959=phu!$I$27,M959=phu!$I$28,M959=phu!$I$29,M959=phu!$I$30,M959=phu!$I$31),"Cam Phú",""),IF(OR(M959=phu!$I$32,M959=phu!$I$33,M959=phu!$I$34,M959=phu!$I$35,M959=phu!$I$36,M959=phu!$I$37),"Cam Lộc",""),IF(OR(M959=phu!$I$38,M959=phu!$I$39,M959=phu!$I$40,M959=phu!$I$41,M959=phu!$I$42,M959=phu!$I$43,M959=phu!$I$44),"Cam Thuận",""),IF(OR(M959=phu!$I$45,M959=phu!$I$46,M959=phu!$I$47,M959=phu!$I$48,M959=phu!$I$49,M959=phu!$I$50,M959=phu!$I$51,M959=phu!$I$52,M959=phu!$I$53),"Cam Linh",""),IF(OR(M959=phu!$I$54,M959=phu!$I$55,M959=phu!$I$56,M959=phu!$I$57,M959=phu!$I$58,M959=phu!$I$59,M959=phu!$I$60,M959=phu!$I$61,M959=phu!$I$62),"Cam Lợi",""),IF(OR(M959=phu!$I$63,M959=phu!$I$64,M959=phu!$I$65,M959=phu!$I$66,M959=phu!$I$67,M959=phu!$I$68,M959=phu!$I$69,M959=phu!$I$70,M959=phu!$I$71),"Ba Ngòi",""),IF(OR(M959=phu!$I$72,M959=phu!$I$73,M959=phu!$I$74,M959=phu!$I$75,M959=phu!$I$76,M959=phu!$I$77,M959=phu!$I$78),"Cam Phước Đông",""),IF(OR(M959=phu!$I$79,M959=phu!$I$80,M959=phu!$I$81,M959=phu!$I$82,M959=phu!$I$83,M959=phu!$I$84),"Cam Thịnh Đông",""),IF(OR(M959=phu!$I$85,M959=phu!$I$86,M959=phu!$I$87,M959=phu!$I$88),"Cam Thịnh Tây",""),IF(OR(M959=phu!$I$89,M959=phu!$I$90),"Cam Lập",""),IF(OR(M959=phu!$I$91,M959=phu!$I$92,M959=phu!$I$93),"Cam Bình",""),IF(OR(M959=phu!$I$94,M959=phu!$I$95,M959=phu!$I$96,M959=phu!$I$97,M959=phu!$I$98,M959=phu!$I$99,M959=phu!$I$100),"Huyện khác",""),IF(OR(M959=phu!$I$101,M959=phu!$I$102),"Tỉnh khác",""))</f>
        <v/>
      </c>
      <c r="O959" s="814" t="str">
        <f t="shared" si="85"/>
        <v/>
      </c>
      <c r="P959" s="254"/>
      <c r="Q959" s="254"/>
      <c r="R959" s="254"/>
      <c r="S959" s="254"/>
      <c r="T959" s="254"/>
      <c r="U959" s="254"/>
      <c r="V959" s="254"/>
      <c r="W959" s="254"/>
      <c r="Y959" s="246" t="str">
        <f t="shared" si="86"/>
        <v/>
      </c>
      <c r="Z959" s="247" t="str">
        <f t="shared" si="84"/>
        <v/>
      </c>
      <c r="AA959" s="246" t="str">
        <f t="shared" si="87"/>
        <v/>
      </c>
    </row>
    <row r="960" spans="1:27" x14ac:dyDescent="0.25">
      <c r="A960" s="248" t="str">
        <f t="shared" si="88"/>
        <v/>
      </c>
      <c r="B960" s="249" t="str">
        <f t="shared" si="89"/>
        <v/>
      </c>
      <c r="C960" s="250"/>
      <c r="D960" s="251"/>
      <c r="E960" s="241"/>
      <c r="F960" s="252"/>
      <c r="G960" s="252"/>
      <c r="H960" s="253"/>
      <c r="I960" s="250"/>
      <c r="J960" s="250"/>
      <c r="K960" s="270"/>
      <c r="L960" s="250"/>
      <c r="M960" s="250"/>
      <c r="N960" s="553" t="str">
        <f>CONCATENATE(IF(OR(M960=phu!$I$1,M960=phu!$I$2,M960=phu!$I$3),"Cam Thành Nam",""),IF(OR(M960=phu!$I$4,M960=phu!$I$5,M960=phu!$I$6,M960=phu!$I$7,M960=phu!$I$8,M960=phu!$I$9,M960=phu!$I$10,M960=phu!$I$11,M960=phu!$I$12,M960=phu!$I$13,M960=phu!$I$14),"Cam Nghĩa",""),IF(OR(M960=phu!$I$15,M960=phu!$I$16,M960=phu!$I$17,M960=phu!$I$18,M960=phu!$I$19,M960=phu!$I$20,M960=phu!$I$21),"Cam Phúc Bắc",""),IF(OR(M960=phu!$I$22,M960=phu!$I$23,M960=phu!$I$24,M960=phu!$I$25),"Cam Phúc Nam",""),IF(OR(M960=phu!$I$26,M960=phu!$I$27,M960=phu!$I$28,M960=phu!$I$29,M960=phu!$I$30,M960=phu!$I$31),"Cam Phú",""),IF(OR(M960=phu!$I$32,M960=phu!$I$33,M960=phu!$I$34,M960=phu!$I$35,M960=phu!$I$36,M960=phu!$I$37),"Cam Lộc",""),IF(OR(M960=phu!$I$38,M960=phu!$I$39,M960=phu!$I$40,M960=phu!$I$41,M960=phu!$I$42,M960=phu!$I$43,M960=phu!$I$44),"Cam Thuận",""),IF(OR(M960=phu!$I$45,M960=phu!$I$46,M960=phu!$I$47,M960=phu!$I$48,M960=phu!$I$49,M960=phu!$I$50,M960=phu!$I$51,M960=phu!$I$52,M960=phu!$I$53),"Cam Linh",""),IF(OR(M960=phu!$I$54,M960=phu!$I$55,M960=phu!$I$56,M960=phu!$I$57,M960=phu!$I$58,M960=phu!$I$59,M960=phu!$I$60,M960=phu!$I$61,M960=phu!$I$62),"Cam Lợi",""),IF(OR(M960=phu!$I$63,M960=phu!$I$64,M960=phu!$I$65,M960=phu!$I$66,M960=phu!$I$67,M960=phu!$I$68,M960=phu!$I$69,M960=phu!$I$70,M960=phu!$I$71),"Ba Ngòi",""),IF(OR(M960=phu!$I$72,M960=phu!$I$73,M960=phu!$I$74,M960=phu!$I$75,M960=phu!$I$76,M960=phu!$I$77,M960=phu!$I$78),"Cam Phước Đông",""),IF(OR(M960=phu!$I$79,M960=phu!$I$80,M960=phu!$I$81,M960=phu!$I$82,M960=phu!$I$83,M960=phu!$I$84),"Cam Thịnh Đông",""),IF(OR(M960=phu!$I$85,M960=phu!$I$86,M960=phu!$I$87,M960=phu!$I$88),"Cam Thịnh Tây",""),IF(OR(M960=phu!$I$89,M960=phu!$I$90),"Cam Lập",""),IF(OR(M960=phu!$I$91,M960=phu!$I$92,M960=phu!$I$93),"Cam Bình",""),IF(OR(M960=phu!$I$94,M960=phu!$I$95,M960=phu!$I$96,M960=phu!$I$97,M960=phu!$I$98,M960=phu!$I$99,M960=phu!$I$100),"Huyện khác",""),IF(OR(M960=phu!$I$101,M960=phu!$I$102),"Tỉnh khác",""))</f>
        <v/>
      </c>
      <c r="O960" s="814" t="str">
        <f t="shared" si="85"/>
        <v/>
      </c>
      <c r="P960" s="254"/>
      <c r="Q960" s="254"/>
      <c r="R960" s="254"/>
      <c r="S960" s="254"/>
      <c r="T960" s="254"/>
      <c r="U960" s="254"/>
      <c r="V960" s="254"/>
      <c r="W960" s="254"/>
      <c r="Y960" s="246" t="str">
        <f t="shared" si="86"/>
        <v/>
      </c>
      <c r="Z960" s="247" t="str">
        <f t="shared" si="84"/>
        <v/>
      </c>
      <c r="AA960" s="246" t="str">
        <f t="shared" si="87"/>
        <v/>
      </c>
    </row>
    <row r="961" spans="1:27" x14ac:dyDescent="0.25">
      <c r="A961" s="248" t="str">
        <f t="shared" si="88"/>
        <v/>
      </c>
      <c r="B961" s="249" t="str">
        <f t="shared" si="89"/>
        <v/>
      </c>
      <c r="C961" s="250"/>
      <c r="D961" s="251"/>
      <c r="E961" s="241"/>
      <c r="F961" s="252"/>
      <c r="G961" s="252"/>
      <c r="H961" s="253"/>
      <c r="I961" s="250"/>
      <c r="J961" s="250"/>
      <c r="K961" s="270"/>
      <c r="L961" s="250"/>
      <c r="M961" s="250"/>
      <c r="N961" s="553" t="str">
        <f>CONCATENATE(IF(OR(M961=phu!$I$1,M961=phu!$I$2,M961=phu!$I$3),"Cam Thành Nam",""),IF(OR(M961=phu!$I$4,M961=phu!$I$5,M961=phu!$I$6,M961=phu!$I$7,M961=phu!$I$8,M961=phu!$I$9,M961=phu!$I$10,M961=phu!$I$11,M961=phu!$I$12,M961=phu!$I$13,M961=phu!$I$14),"Cam Nghĩa",""),IF(OR(M961=phu!$I$15,M961=phu!$I$16,M961=phu!$I$17,M961=phu!$I$18,M961=phu!$I$19,M961=phu!$I$20,M961=phu!$I$21),"Cam Phúc Bắc",""),IF(OR(M961=phu!$I$22,M961=phu!$I$23,M961=phu!$I$24,M961=phu!$I$25),"Cam Phúc Nam",""),IF(OR(M961=phu!$I$26,M961=phu!$I$27,M961=phu!$I$28,M961=phu!$I$29,M961=phu!$I$30,M961=phu!$I$31),"Cam Phú",""),IF(OR(M961=phu!$I$32,M961=phu!$I$33,M961=phu!$I$34,M961=phu!$I$35,M961=phu!$I$36,M961=phu!$I$37),"Cam Lộc",""),IF(OR(M961=phu!$I$38,M961=phu!$I$39,M961=phu!$I$40,M961=phu!$I$41,M961=phu!$I$42,M961=phu!$I$43,M961=phu!$I$44),"Cam Thuận",""),IF(OR(M961=phu!$I$45,M961=phu!$I$46,M961=phu!$I$47,M961=phu!$I$48,M961=phu!$I$49,M961=phu!$I$50,M961=phu!$I$51,M961=phu!$I$52,M961=phu!$I$53),"Cam Linh",""),IF(OR(M961=phu!$I$54,M961=phu!$I$55,M961=phu!$I$56,M961=phu!$I$57,M961=phu!$I$58,M961=phu!$I$59,M961=phu!$I$60,M961=phu!$I$61,M961=phu!$I$62),"Cam Lợi",""),IF(OR(M961=phu!$I$63,M961=phu!$I$64,M961=phu!$I$65,M961=phu!$I$66,M961=phu!$I$67,M961=phu!$I$68,M961=phu!$I$69,M961=phu!$I$70,M961=phu!$I$71),"Ba Ngòi",""),IF(OR(M961=phu!$I$72,M961=phu!$I$73,M961=phu!$I$74,M961=phu!$I$75,M961=phu!$I$76,M961=phu!$I$77,M961=phu!$I$78),"Cam Phước Đông",""),IF(OR(M961=phu!$I$79,M961=phu!$I$80,M961=phu!$I$81,M961=phu!$I$82,M961=phu!$I$83,M961=phu!$I$84),"Cam Thịnh Đông",""),IF(OR(M961=phu!$I$85,M961=phu!$I$86,M961=phu!$I$87,M961=phu!$I$88),"Cam Thịnh Tây",""),IF(OR(M961=phu!$I$89,M961=phu!$I$90),"Cam Lập",""),IF(OR(M961=phu!$I$91,M961=phu!$I$92,M961=phu!$I$93),"Cam Bình",""),IF(OR(M961=phu!$I$94,M961=phu!$I$95,M961=phu!$I$96,M961=phu!$I$97,M961=phu!$I$98,M961=phu!$I$99,M961=phu!$I$100),"Huyện khác",""),IF(OR(M961=phu!$I$101,M961=phu!$I$102),"Tỉnh khác",""))</f>
        <v/>
      </c>
      <c r="O961" s="814" t="str">
        <f t="shared" si="85"/>
        <v/>
      </c>
      <c r="P961" s="254"/>
      <c r="Q961" s="254"/>
      <c r="R961" s="254"/>
      <c r="S961" s="254"/>
      <c r="T961" s="254"/>
      <c r="U961" s="254"/>
      <c r="V961" s="254"/>
      <c r="W961" s="254"/>
      <c r="Y961" s="246" t="str">
        <f t="shared" si="86"/>
        <v/>
      </c>
      <c r="Z961" s="247" t="str">
        <f t="shared" si="84"/>
        <v/>
      </c>
      <c r="AA961" s="246" t="str">
        <f t="shared" si="87"/>
        <v/>
      </c>
    </row>
    <row r="962" spans="1:27" x14ac:dyDescent="0.25">
      <c r="A962" s="248" t="str">
        <f t="shared" si="88"/>
        <v/>
      </c>
      <c r="B962" s="249" t="str">
        <f t="shared" si="89"/>
        <v/>
      </c>
      <c r="C962" s="250"/>
      <c r="D962" s="251"/>
      <c r="E962" s="241"/>
      <c r="F962" s="252"/>
      <c r="G962" s="252"/>
      <c r="H962" s="253"/>
      <c r="I962" s="250"/>
      <c r="J962" s="250"/>
      <c r="K962" s="270"/>
      <c r="L962" s="250"/>
      <c r="M962" s="250"/>
      <c r="N962" s="553" t="str">
        <f>CONCATENATE(IF(OR(M962=phu!$I$1,M962=phu!$I$2,M962=phu!$I$3),"Cam Thành Nam",""),IF(OR(M962=phu!$I$4,M962=phu!$I$5,M962=phu!$I$6,M962=phu!$I$7,M962=phu!$I$8,M962=phu!$I$9,M962=phu!$I$10,M962=phu!$I$11,M962=phu!$I$12,M962=phu!$I$13,M962=phu!$I$14),"Cam Nghĩa",""),IF(OR(M962=phu!$I$15,M962=phu!$I$16,M962=phu!$I$17,M962=phu!$I$18,M962=phu!$I$19,M962=phu!$I$20,M962=phu!$I$21),"Cam Phúc Bắc",""),IF(OR(M962=phu!$I$22,M962=phu!$I$23,M962=phu!$I$24,M962=phu!$I$25),"Cam Phúc Nam",""),IF(OR(M962=phu!$I$26,M962=phu!$I$27,M962=phu!$I$28,M962=phu!$I$29,M962=phu!$I$30,M962=phu!$I$31),"Cam Phú",""),IF(OR(M962=phu!$I$32,M962=phu!$I$33,M962=phu!$I$34,M962=phu!$I$35,M962=phu!$I$36,M962=phu!$I$37),"Cam Lộc",""),IF(OR(M962=phu!$I$38,M962=phu!$I$39,M962=phu!$I$40,M962=phu!$I$41,M962=phu!$I$42,M962=phu!$I$43,M962=phu!$I$44),"Cam Thuận",""),IF(OR(M962=phu!$I$45,M962=phu!$I$46,M962=phu!$I$47,M962=phu!$I$48,M962=phu!$I$49,M962=phu!$I$50,M962=phu!$I$51,M962=phu!$I$52,M962=phu!$I$53),"Cam Linh",""),IF(OR(M962=phu!$I$54,M962=phu!$I$55,M962=phu!$I$56,M962=phu!$I$57,M962=phu!$I$58,M962=phu!$I$59,M962=phu!$I$60,M962=phu!$I$61,M962=phu!$I$62),"Cam Lợi",""),IF(OR(M962=phu!$I$63,M962=phu!$I$64,M962=phu!$I$65,M962=phu!$I$66,M962=phu!$I$67,M962=phu!$I$68,M962=phu!$I$69,M962=phu!$I$70,M962=phu!$I$71),"Ba Ngòi",""),IF(OR(M962=phu!$I$72,M962=phu!$I$73,M962=phu!$I$74,M962=phu!$I$75,M962=phu!$I$76,M962=phu!$I$77,M962=phu!$I$78),"Cam Phước Đông",""),IF(OR(M962=phu!$I$79,M962=phu!$I$80,M962=phu!$I$81,M962=phu!$I$82,M962=phu!$I$83,M962=phu!$I$84),"Cam Thịnh Đông",""),IF(OR(M962=phu!$I$85,M962=phu!$I$86,M962=phu!$I$87,M962=phu!$I$88),"Cam Thịnh Tây",""),IF(OR(M962=phu!$I$89,M962=phu!$I$90),"Cam Lập",""),IF(OR(M962=phu!$I$91,M962=phu!$I$92,M962=phu!$I$93),"Cam Bình",""),IF(OR(M962=phu!$I$94,M962=phu!$I$95,M962=phu!$I$96,M962=phu!$I$97,M962=phu!$I$98,M962=phu!$I$99,M962=phu!$I$100),"Huyện khác",""),IF(OR(M962=phu!$I$101,M962=phu!$I$102),"Tỉnh khác",""))</f>
        <v/>
      </c>
      <c r="O962" s="814" t="str">
        <f t="shared" si="85"/>
        <v/>
      </c>
      <c r="P962" s="254"/>
      <c r="Q962" s="254"/>
      <c r="R962" s="254"/>
      <c r="S962" s="254"/>
      <c r="T962" s="254"/>
      <c r="U962" s="254"/>
      <c r="V962" s="254"/>
      <c r="W962" s="254"/>
      <c r="Y962" s="246" t="str">
        <f t="shared" si="86"/>
        <v/>
      </c>
      <c r="Z962" s="247" t="str">
        <f t="shared" si="84"/>
        <v/>
      </c>
      <c r="AA962" s="246" t="str">
        <f t="shared" si="87"/>
        <v/>
      </c>
    </row>
    <row r="963" spans="1:27" x14ac:dyDescent="0.25">
      <c r="A963" s="248" t="str">
        <f t="shared" si="88"/>
        <v/>
      </c>
      <c r="B963" s="249" t="str">
        <f t="shared" si="89"/>
        <v/>
      </c>
      <c r="C963" s="250"/>
      <c r="D963" s="251"/>
      <c r="E963" s="241"/>
      <c r="F963" s="252"/>
      <c r="G963" s="252"/>
      <c r="H963" s="253"/>
      <c r="I963" s="250"/>
      <c r="J963" s="250"/>
      <c r="K963" s="270"/>
      <c r="L963" s="250"/>
      <c r="M963" s="250"/>
      <c r="N963" s="553" t="str">
        <f>CONCATENATE(IF(OR(M963=phu!$I$1,M963=phu!$I$2,M963=phu!$I$3),"Cam Thành Nam",""),IF(OR(M963=phu!$I$4,M963=phu!$I$5,M963=phu!$I$6,M963=phu!$I$7,M963=phu!$I$8,M963=phu!$I$9,M963=phu!$I$10,M963=phu!$I$11,M963=phu!$I$12,M963=phu!$I$13,M963=phu!$I$14),"Cam Nghĩa",""),IF(OR(M963=phu!$I$15,M963=phu!$I$16,M963=phu!$I$17,M963=phu!$I$18,M963=phu!$I$19,M963=phu!$I$20,M963=phu!$I$21),"Cam Phúc Bắc",""),IF(OR(M963=phu!$I$22,M963=phu!$I$23,M963=phu!$I$24,M963=phu!$I$25),"Cam Phúc Nam",""),IF(OR(M963=phu!$I$26,M963=phu!$I$27,M963=phu!$I$28,M963=phu!$I$29,M963=phu!$I$30,M963=phu!$I$31),"Cam Phú",""),IF(OR(M963=phu!$I$32,M963=phu!$I$33,M963=phu!$I$34,M963=phu!$I$35,M963=phu!$I$36,M963=phu!$I$37),"Cam Lộc",""),IF(OR(M963=phu!$I$38,M963=phu!$I$39,M963=phu!$I$40,M963=phu!$I$41,M963=phu!$I$42,M963=phu!$I$43,M963=phu!$I$44),"Cam Thuận",""),IF(OR(M963=phu!$I$45,M963=phu!$I$46,M963=phu!$I$47,M963=phu!$I$48,M963=phu!$I$49,M963=phu!$I$50,M963=phu!$I$51,M963=phu!$I$52,M963=phu!$I$53),"Cam Linh",""),IF(OR(M963=phu!$I$54,M963=phu!$I$55,M963=phu!$I$56,M963=phu!$I$57,M963=phu!$I$58,M963=phu!$I$59,M963=phu!$I$60,M963=phu!$I$61,M963=phu!$I$62),"Cam Lợi",""),IF(OR(M963=phu!$I$63,M963=phu!$I$64,M963=phu!$I$65,M963=phu!$I$66,M963=phu!$I$67,M963=phu!$I$68,M963=phu!$I$69,M963=phu!$I$70,M963=phu!$I$71),"Ba Ngòi",""),IF(OR(M963=phu!$I$72,M963=phu!$I$73,M963=phu!$I$74,M963=phu!$I$75,M963=phu!$I$76,M963=phu!$I$77,M963=phu!$I$78),"Cam Phước Đông",""),IF(OR(M963=phu!$I$79,M963=phu!$I$80,M963=phu!$I$81,M963=phu!$I$82,M963=phu!$I$83,M963=phu!$I$84),"Cam Thịnh Đông",""),IF(OR(M963=phu!$I$85,M963=phu!$I$86,M963=phu!$I$87,M963=phu!$I$88),"Cam Thịnh Tây",""),IF(OR(M963=phu!$I$89,M963=phu!$I$90),"Cam Lập",""),IF(OR(M963=phu!$I$91,M963=phu!$I$92,M963=phu!$I$93),"Cam Bình",""),IF(OR(M963=phu!$I$94,M963=phu!$I$95,M963=phu!$I$96,M963=phu!$I$97,M963=phu!$I$98,M963=phu!$I$99,M963=phu!$I$100),"Huyện khác",""),IF(OR(M963=phu!$I$101,M963=phu!$I$102),"Tỉnh khác",""))</f>
        <v/>
      </c>
      <c r="O963" s="814" t="str">
        <f t="shared" si="85"/>
        <v/>
      </c>
      <c r="P963" s="254"/>
      <c r="Q963" s="254"/>
      <c r="R963" s="254"/>
      <c r="S963" s="254"/>
      <c r="T963" s="254"/>
      <c r="U963" s="254"/>
      <c r="V963" s="254"/>
      <c r="W963" s="254"/>
      <c r="Y963" s="246" t="str">
        <f t="shared" si="86"/>
        <v/>
      </c>
      <c r="Z963" s="247" t="str">
        <f t="shared" si="84"/>
        <v/>
      </c>
      <c r="AA963" s="246" t="str">
        <f t="shared" si="87"/>
        <v/>
      </c>
    </row>
    <row r="964" spans="1:27" x14ac:dyDescent="0.25">
      <c r="A964" s="248" t="str">
        <f t="shared" si="88"/>
        <v/>
      </c>
      <c r="B964" s="249" t="str">
        <f t="shared" si="89"/>
        <v/>
      </c>
      <c r="C964" s="250"/>
      <c r="D964" s="251"/>
      <c r="E964" s="241"/>
      <c r="F964" s="252"/>
      <c r="G964" s="252"/>
      <c r="H964" s="253"/>
      <c r="I964" s="250"/>
      <c r="J964" s="250"/>
      <c r="K964" s="270"/>
      <c r="L964" s="250"/>
      <c r="M964" s="250"/>
      <c r="N964" s="553" t="str">
        <f>CONCATENATE(IF(OR(M964=phu!$I$1,M964=phu!$I$2,M964=phu!$I$3),"Cam Thành Nam",""),IF(OR(M964=phu!$I$4,M964=phu!$I$5,M964=phu!$I$6,M964=phu!$I$7,M964=phu!$I$8,M964=phu!$I$9,M964=phu!$I$10,M964=phu!$I$11,M964=phu!$I$12,M964=phu!$I$13,M964=phu!$I$14),"Cam Nghĩa",""),IF(OR(M964=phu!$I$15,M964=phu!$I$16,M964=phu!$I$17,M964=phu!$I$18,M964=phu!$I$19,M964=phu!$I$20,M964=phu!$I$21),"Cam Phúc Bắc",""),IF(OR(M964=phu!$I$22,M964=phu!$I$23,M964=phu!$I$24,M964=phu!$I$25),"Cam Phúc Nam",""),IF(OR(M964=phu!$I$26,M964=phu!$I$27,M964=phu!$I$28,M964=phu!$I$29,M964=phu!$I$30,M964=phu!$I$31),"Cam Phú",""),IF(OR(M964=phu!$I$32,M964=phu!$I$33,M964=phu!$I$34,M964=phu!$I$35,M964=phu!$I$36,M964=phu!$I$37),"Cam Lộc",""),IF(OR(M964=phu!$I$38,M964=phu!$I$39,M964=phu!$I$40,M964=phu!$I$41,M964=phu!$I$42,M964=phu!$I$43,M964=phu!$I$44),"Cam Thuận",""),IF(OR(M964=phu!$I$45,M964=phu!$I$46,M964=phu!$I$47,M964=phu!$I$48,M964=phu!$I$49,M964=phu!$I$50,M964=phu!$I$51,M964=phu!$I$52,M964=phu!$I$53),"Cam Linh",""),IF(OR(M964=phu!$I$54,M964=phu!$I$55,M964=phu!$I$56,M964=phu!$I$57,M964=phu!$I$58,M964=phu!$I$59,M964=phu!$I$60,M964=phu!$I$61,M964=phu!$I$62),"Cam Lợi",""),IF(OR(M964=phu!$I$63,M964=phu!$I$64,M964=phu!$I$65,M964=phu!$I$66,M964=phu!$I$67,M964=phu!$I$68,M964=phu!$I$69,M964=phu!$I$70,M964=phu!$I$71),"Ba Ngòi",""),IF(OR(M964=phu!$I$72,M964=phu!$I$73,M964=phu!$I$74,M964=phu!$I$75,M964=phu!$I$76,M964=phu!$I$77,M964=phu!$I$78),"Cam Phước Đông",""),IF(OR(M964=phu!$I$79,M964=phu!$I$80,M964=phu!$I$81,M964=phu!$I$82,M964=phu!$I$83,M964=phu!$I$84),"Cam Thịnh Đông",""),IF(OR(M964=phu!$I$85,M964=phu!$I$86,M964=phu!$I$87,M964=phu!$I$88),"Cam Thịnh Tây",""),IF(OR(M964=phu!$I$89,M964=phu!$I$90),"Cam Lập",""),IF(OR(M964=phu!$I$91,M964=phu!$I$92,M964=phu!$I$93),"Cam Bình",""),IF(OR(M964=phu!$I$94,M964=phu!$I$95,M964=phu!$I$96,M964=phu!$I$97,M964=phu!$I$98,M964=phu!$I$99,M964=phu!$I$100),"Huyện khác",""),IF(OR(M964=phu!$I$101,M964=phu!$I$102),"Tỉnh khác",""))</f>
        <v/>
      </c>
      <c r="O964" s="814" t="str">
        <f t="shared" si="85"/>
        <v/>
      </c>
      <c r="P964" s="254"/>
      <c r="Q964" s="254"/>
      <c r="R964" s="254"/>
      <c r="S964" s="254"/>
      <c r="T964" s="254"/>
      <c r="U964" s="254"/>
      <c r="V964" s="254"/>
      <c r="W964" s="254"/>
      <c r="Y964" s="246" t="str">
        <f t="shared" si="86"/>
        <v/>
      </c>
      <c r="Z964" s="247" t="str">
        <f t="shared" si="84"/>
        <v/>
      </c>
      <c r="AA964" s="246" t="str">
        <f t="shared" si="87"/>
        <v/>
      </c>
    </row>
    <row r="965" spans="1:27" x14ac:dyDescent="0.25">
      <c r="A965" s="248" t="str">
        <f t="shared" si="88"/>
        <v/>
      </c>
      <c r="B965" s="249" t="str">
        <f t="shared" si="89"/>
        <v/>
      </c>
      <c r="C965" s="250"/>
      <c r="D965" s="251"/>
      <c r="E965" s="241"/>
      <c r="F965" s="252"/>
      <c r="G965" s="252"/>
      <c r="H965" s="253"/>
      <c r="I965" s="250"/>
      <c r="J965" s="250"/>
      <c r="K965" s="270"/>
      <c r="L965" s="250"/>
      <c r="M965" s="250"/>
      <c r="N965" s="553" t="str">
        <f>CONCATENATE(IF(OR(M965=phu!$I$1,M965=phu!$I$2,M965=phu!$I$3),"Cam Thành Nam",""),IF(OR(M965=phu!$I$4,M965=phu!$I$5,M965=phu!$I$6,M965=phu!$I$7,M965=phu!$I$8,M965=phu!$I$9,M965=phu!$I$10,M965=phu!$I$11,M965=phu!$I$12,M965=phu!$I$13,M965=phu!$I$14),"Cam Nghĩa",""),IF(OR(M965=phu!$I$15,M965=phu!$I$16,M965=phu!$I$17,M965=phu!$I$18,M965=phu!$I$19,M965=phu!$I$20,M965=phu!$I$21),"Cam Phúc Bắc",""),IF(OR(M965=phu!$I$22,M965=phu!$I$23,M965=phu!$I$24,M965=phu!$I$25),"Cam Phúc Nam",""),IF(OR(M965=phu!$I$26,M965=phu!$I$27,M965=phu!$I$28,M965=phu!$I$29,M965=phu!$I$30,M965=phu!$I$31),"Cam Phú",""),IF(OR(M965=phu!$I$32,M965=phu!$I$33,M965=phu!$I$34,M965=phu!$I$35,M965=phu!$I$36,M965=phu!$I$37),"Cam Lộc",""),IF(OR(M965=phu!$I$38,M965=phu!$I$39,M965=phu!$I$40,M965=phu!$I$41,M965=phu!$I$42,M965=phu!$I$43,M965=phu!$I$44),"Cam Thuận",""),IF(OR(M965=phu!$I$45,M965=phu!$I$46,M965=phu!$I$47,M965=phu!$I$48,M965=phu!$I$49,M965=phu!$I$50,M965=phu!$I$51,M965=phu!$I$52,M965=phu!$I$53),"Cam Linh",""),IF(OR(M965=phu!$I$54,M965=phu!$I$55,M965=phu!$I$56,M965=phu!$I$57,M965=phu!$I$58,M965=phu!$I$59,M965=phu!$I$60,M965=phu!$I$61,M965=phu!$I$62),"Cam Lợi",""),IF(OR(M965=phu!$I$63,M965=phu!$I$64,M965=phu!$I$65,M965=phu!$I$66,M965=phu!$I$67,M965=phu!$I$68,M965=phu!$I$69,M965=phu!$I$70,M965=phu!$I$71),"Ba Ngòi",""),IF(OR(M965=phu!$I$72,M965=phu!$I$73,M965=phu!$I$74,M965=phu!$I$75,M965=phu!$I$76,M965=phu!$I$77,M965=phu!$I$78),"Cam Phước Đông",""),IF(OR(M965=phu!$I$79,M965=phu!$I$80,M965=phu!$I$81,M965=phu!$I$82,M965=phu!$I$83,M965=phu!$I$84),"Cam Thịnh Đông",""),IF(OR(M965=phu!$I$85,M965=phu!$I$86,M965=phu!$I$87,M965=phu!$I$88),"Cam Thịnh Tây",""),IF(OR(M965=phu!$I$89,M965=phu!$I$90),"Cam Lập",""),IF(OR(M965=phu!$I$91,M965=phu!$I$92,M965=phu!$I$93),"Cam Bình",""),IF(OR(M965=phu!$I$94,M965=phu!$I$95,M965=phu!$I$96,M965=phu!$I$97,M965=phu!$I$98,M965=phu!$I$99,M965=phu!$I$100),"Huyện khác",""),IF(OR(M965=phu!$I$101,M965=phu!$I$102),"Tỉnh khác",""))</f>
        <v/>
      </c>
      <c r="O965" s="814" t="str">
        <f t="shared" si="85"/>
        <v/>
      </c>
      <c r="P965" s="254"/>
      <c r="Q965" s="254"/>
      <c r="R965" s="254"/>
      <c r="S965" s="254"/>
      <c r="T965" s="254"/>
      <c r="U965" s="254"/>
      <c r="V965" s="254"/>
      <c r="W965" s="254"/>
      <c r="Y965" s="246" t="str">
        <f t="shared" si="86"/>
        <v/>
      </c>
      <c r="Z965" s="247" t="str">
        <f t="shared" si="84"/>
        <v/>
      </c>
      <c r="AA965" s="246" t="str">
        <f t="shared" si="87"/>
        <v/>
      </c>
    </row>
    <row r="966" spans="1:27" x14ac:dyDescent="0.25">
      <c r="A966" s="248" t="str">
        <f t="shared" si="88"/>
        <v/>
      </c>
      <c r="B966" s="249" t="str">
        <f t="shared" si="89"/>
        <v/>
      </c>
      <c r="C966" s="250"/>
      <c r="D966" s="251"/>
      <c r="E966" s="241"/>
      <c r="F966" s="252"/>
      <c r="G966" s="252"/>
      <c r="H966" s="253"/>
      <c r="I966" s="250"/>
      <c r="J966" s="250"/>
      <c r="K966" s="270"/>
      <c r="L966" s="250"/>
      <c r="M966" s="250"/>
      <c r="N966" s="553" t="str">
        <f>CONCATENATE(IF(OR(M966=phu!$I$1,M966=phu!$I$2,M966=phu!$I$3),"Cam Thành Nam",""),IF(OR(M966=phu!$I$4,M966=phu!$I$5,M966=phu!$I$6,M966=phu!$I$7,M966=phu!$I$8,M966=phu!$I$9,M966=phu!$I$10,M966=phu!$I$11,M966=phu!$I$12,M966=phu!$I$13,M966=phu!$I$14),"Cam Nghĩa",""),IF(OR(M966=phu!$I$15,M966=phu!$I$16,M966=phu!$I$17,M966=phu!$I$18,M966=phu!$I$19,M966=phu!$I$20,M966=phu!$I$21),"Cam Phúc Bắc",""),IF(OR(M966=phu!$I$22,M966=phu!$I$23,M966=phu!$I$24,M966=phu!$I$25),"Cam Phúc Nam",""),IF(OR(M966=phu!$I$26,M966=phu!$I$27,M966=phu!$I$28,M966=phu!$I$29,M966=phu!$I$30,M966=phu!$I$31),"Cam Phú",""),IF(OR(M966=phu!$I$32,M966=phu!$I$33,M966=phu!$I$34,M966=phu!$I$35,M966=phu!$I$36,M966=phu!$I$37),"Cam Lộc",""),IF(OR(M966=phu!$I$38,M966=phu!$I$39,M966=phu!$I$40,M966=phu!$I$41,M966=phu!$I$42,M966=phu!$I$43,M966=phu!$I$44),"Cam Thuận",""),IF(OR(M966=phu!$I$45,M966=phu!$I$46,M966=phu!$I$47,M966=phu!$I$48,M966=phu!$I$49,M966=phu!$I$50,M966=phu!$I$51,M966=phu!$I$52,M966=phu!$I$53),"Cam Linh",""),IF(OR(M966=phu!$I$54,M966=phu!$I$55,M966=phu!$I$56,M966=phu!$I$57,M966=phu!$I$58,M966=phu!$I$59,M966=phu!$I$60,M966=phu!$I$61,M966=phu!$I$62),"Cam Lợi",""),IF(OR(M966=phu!$I$63,M966=phu!$I$64,M966=phu!$I$65,M966=phu!$I$66,M966=phu!$I$67,M966=phu!$I$68,M966=phu!$I$69,M966=phu!$I$70,M966=phu!$I$71),"Ba Ngòi",""),IF(OR(M966=phu!$I$72,M966=phu!$I$73,M966=phu!$I$74,M966=phu!$I$75,M966=phu!$I$76,M966=phu!$I$77,M966=phu!$I$78),"Cam Phước Đông",""),IF(OR(M966=phu!$I$79,M966=phu!$I$80,M966=phu!$I$81,M966=phu!$I$82,M966=phu!$I$83,M966=phu!$I$84),"Cam Thịnh Đông",""),IF(OR(M966=phu!$I$85,M966=phu!$I$86,M966=phu!$I$87,M966=phu!$I$88),"Cam Thịnh Tây",""),IF(OR(M966=phu!$I$89,M966=phu!$I$90),"Cam Lập",""),IF(OR(M966=phu!$I$91,M966=phu!$I$92,M966=phu!$I$93),"Cam Bình",""),IF(OR(M966=phu!$I$94,M966=phu!$I$95,M966=phu!$I$96,M966=phu!$I$97,M966=phu!$I$98,M966=phu!$I$99,M966=phu!$I$100),"Huyện khác",""),IF(OR(M966=phu!$I$101,M966=phu!$I$102),"Tỉnh khác",""))</f>
        <v/>
      </c>
      <c r="O966" s="814" t="str">
        <f t="shared" si="85"/>
        <v/>
      </c>
      <c r="P966" s="254"/>
      <c r="Q966" s="254"/>
      <c r="R966" s="254"/>
      <c r="S966" s="254"/>
      <c r="T966" s="254"/>
      <c r="U966" s="254"/>
      <c r="V966" s="254"/>
      <c r="W966" s="254"/>
      <c r="Y966" s="246" t="str">
        <f t="shared" si="86"/>
        <v/>
      </c>
      <c r="Z966" s="247" t="str">
        <f t="shared" ref="Z966:Z1029" si="90">IF(H966="","",$Z$1-H966)</f>
        <v/>
      </c>
      <c r="AA966" s="246" t="str">
        <f t="shared" si="87"/>
        <v/>
      </c>
    </row>
    <row r="967" spans="1:27" x14ac:dyDescent="0.25">
      <c r="A967" s="248" t="str">
        <f t="shared" si="88"/>
        <v/>
      </c>
      <c r="B967" s="249" t="str">
        <f t="shared" si="89"/>
        <v/>
      </c>
      <c r="C967" s="250"/>
      <c r="D967" s="251"/>
      <c r="E967" s="241"/>
      <c r="F967" s="252"/>
      <c r="G967" s="252"/>
      <c r="H967" s="253"/>
      <c r="I967" s="250"/>
      <c r="J967" s="250"/>
      <c r="K967" s="270"/>
      <c r="L967" s="250"/>
      <c r="M967" s="250"/>
      <c r="N967" s="553" t="str">
        <f>CONCATENATE(IF(OR(M967=phu!$I$1,M967=phu!$I$2,M967=phu!$I$3),"Cam Thành Nam",""),IF(OR(M967=phu!$I$4,M967=phu!$I$5,M967=phu!$I$6,M967=phu!$I$7,M967=phu!$I$8,M967=phu!$I$9,M967=phu!$I$10,M967=phu!$I$11,M967=phu!$I$12,M967=phu!$I$13,M967=phu!$I$14),"Cam Nghĩa",""),IF(OR(M967=phu!$I$15,M967=phu!$I$16,M967=phu!$I$17,M967=phu!$I$18,M967=phu!$I$19,M967=phu!$I$20,M967=phu!$I$21),"Cam Phúc Bắc",""),IF(OR(M967=phu!$I$22,M967=phu!$I$23,M967=phu!$I$24,M967=phu!$I$25),"Cam Phúc Nam",""),IF(OR(M967=phu!$I$26,M967=phu!$I$27,M967=phu!$I$28,M967=phu!$I$29,M967=phu!$I$30,M967=phu!$I$31),"Cam Phú",""),IF(OR(M967=phu!$I$32,M967=phu!$I$33,M967=phu!$I$34,M967=phu!$I$35,M967=phu!$I$36,M967=phu!$I$37),"Cam Lộc",""),IF(OR(M967=phu!$I$38,M967=phu!$I$39,M967=phu!$I$40,M967=phu!$I$41,M967=phu!$I$42,M967=phu!$I$43,M967=phu!$I$44),"Cam Thuận",""),IF(OR(M967=phu!$I$45,M967=phu!$I$46,M967=phu!$I$47,M967=phu!$I$48,M967=phu!$I$49,M967=phu!$I$50,M967=phu!$I$51,M967=phu!$I$52,M967=phu!$I$53),"Cam Linh",""),IF(OR(M967=phu!$I$54,M967=phu!$I$55,M967=phu!$I$56,M967=phu!$I$57,M967=phu!$I$58,M967=phu!$I$59,M967=phu!$I$60,M967=phu!$I$61,M967=phu!$I$62),"Cam Lợi",""),IF(OR(M967=phu!$I$63,M967=phu!$I$64,M967=phu!$I$65,M967=phu!$I$66,M967=phu!$I$67,M967=phu!$I$68,M967=phu!$I$69,M967=phu!$I$70,M967=phu!$I$71),"Ba Ngòi",""),IF(OR(M967=phu!$I$72,M967=phu!$I$73,M967=phu!$I$74,M967=phu!$I$75,M967=phu!$I$76,M967=phu!$I$77,M967=phu!$I$78),"Cam Phước Đông",""),IF(OR(M967=phu!$I$79,M967=phu!$I$80,M967=phu!$I$81,M967=phu!$I$82,M967=phu!$I$83,M967=phu!$I$84),"Cam Thịnh Đông",""),IF(OR(M967=phu!$I$85,M967=phu!$I$86,M967=phu!$I$87,M967=phu!$I$88),"Cam Thịnh Tây",""),IF(OR(M967=phu!$I$89,M967=phu!$I$90),"Cam Lập",""),IF(OR(M967=phu!$I$91,M967=phu!$I$92,M967=phu!$I$93),"Cam Bình",""),IF(OR(M967=phu!$I$94,M967=phu!$I$95,M967=phu!$I$96,M967=phu!$I$97,M967=phu!$I$98,M967=phu!$I$99,M967=phu!$I$100),"Huyện khác",""),IF(OR(M967=phu!$I$101,M967=phu!$I$102),"Tỉnh khác",""))</f>
        <v/>
      </c>
      <c r="O967" s="814" t="str">
        <f t="shared" ref="O967:O1030" si="91">CONCATENATE(IF(OR(N967="Cam Thành Nam",N967="Cam Nghĩa",N967="Cam Phúc Bắc"),"Bắc Cam Ranh",""),IF(OR(N967="Cam Phúc Nam",N967="Cam Phú",N967="Cam Lộc"),"Cam Ranh",""),IF(OR(N967="Cam Thuận",N967="Cam Linh",N967="Cam Lợi"),"Cam Linh",""),IF(OR(N967="Ba Ngòi",N967="Cam Phước Đông"),"Ba Ngòi",""),IF(OR(N967="Cam Thịnh Đông",N967="Cam Thịnh Tây",N967="Cam Lập",N967="Cam Bình"),"Nam Cam Ranh",""),IF(N967="Huyện khác","Huyện khác",""),IF(N967="Tỉnh khác","Tỉnh khác",""))</f>
        <v/>
      </c>
      <c r="P967" s="254"/>
      <c r="Q967" s="254"/>
      <c r="R967" s="254"/>
      <c r="S967" s="254"/>
      <c r="T967" s="254"/>
      <c r="U967" s="254"/>
      <c r="V967" s="254"/>
      <c r="W967" s="254"/>
      <c r="Y967" s="246" t="str">
        <f t="shared" ref="Y967:Y1030" si="92">IF(OR(AND(B967="",C967="",D967="",E967="",F967="",G967="",H967="",I967="",J967="",L967="",M967="",N967="",P967="",Q967="",R967="",S967=""),AND(B967&lt;&gt;"",C967&lt;&gt;"",D967&lt;&gt;"",E967&lt;&gt;"",F967&lt;&gt;"",G967&lt;&gt;"",H967&lt;&gt;"",J967&lt;&gt;"",M967&lt;&gt;"",N967&lt;&gt;"",P967&lt;&gt;"",OR(AND(Q967&lt;&gt;"",R967=""),AND(Q967="",R967&lt;&gt;""),AND(Q967&lt;&gt;"",R967&lt;&gt;"")),OR(AND(K967="X",T967&lt;&gt;""),AND(K967="",T967="")))),"","er")</f>
        <v/>
      </c>
      <c r="Z967" s="247" t="str">
        <f t="shared" si="90"/>
        <v/>
      </c>
      <c r="AA967" s="246" t="str">
        <f t="shared" ref="AA967:AA1030" si="93">IF(OR(AND(Z967=5,B967&gt;0),AND(Z967=6,B967&gt;1),AND(Z967=7,B967&gt;2),AND(Z967=8,B967&gt;3),AND(Z967=9,B967&gt;4),AND(Z967=10,B967&gt;5),AND(Z967=5,B967=0,L967="X"),AND(Z967=6,B967=1,L967="X"),AND(Z967=7,B967=2,L967="X"),AND(Z967=8,B967=3,L967="X"),AND(Z967=9,B967=4,L967="X"),AND(Z967=10,B967=5,L967="X")),"er","")</f>
        <v/>
      </c>
    </row>
    <row r="968" spans="1:27" x14ac:dyDescent="0.25">
      <c r="A968" s="248" t="str">
        <f t="shared" ref="A968:A1031" si="94">IF(OR(A967="",B968="",C968="",D968="",E968=""),"",A967+1)</f>
        <v/>
      </c>
      <c r="B968" s="249" t="str">
        <f t="shared" ref="B968:B1031" si="95">IF(C968="","",VALUE(LEFT(C968,1)))</f>
        <v/>
      </c>
      <c r="C968" s="250"/>
      <c r="D968" s="251"/>
      <c r="E968" s="241"/>
      <c r="F968" s="252"/>
      <c r="G968" s="252"/>
      <c r="H968" s="253"/>
      <c r="I968" s="250"/>
      <c r="J968" s="250"/>
      <c r="K968" s="270"/>
      <c r="L968" s="250"/>
      <c r="M968" s="250"/>
      <c r="N968" s="553" t="str">
        <f>CONCATENATE(IF(OR(M968=phu!$I$1,M968=phu!$I$2,M968=phu!$I$3),"Cam Thành Nam",""),IF(OR(M968=phu!$I$4,M968=phu!$I$5,M968=phu!$I$6,M968=phu!$I$7,M968=phu!$I$8,M968=phu!$I$9,M968=phu!$I$10,M968=phu!$I$11,M968=phu!$I$12,M968=phu!$I$13,M968=phu!$I$14),"Cam Nghĩa",""),IF(OR(M968=phu!$I$15,M968=phu!$I$16,M968=phu!$I$17,M968=phu!$I$18,M968=phu!$I$19,M968=phu!$I$20,M968=phu!$I$21),"Cam Phúc Bắc",""),IF(OR(M968=phu!$I$22,M968=phu!$I$23,M968=phu!$I$24,M968=phu!$I$25),"Cam Phúc Nam",""),IF(OR(M968=phu!$I$26,M968=phu!$I$27,M968=phu!$I$28,M968=phu!$I$29,M968=phu!$I$30,M968=phu!$I$31),"Cam Phú",""),IF(OR(M968=phu!$I$32,M968=phu!$I$33,M968=phu!$I$34,M968=phu!$I$35,M968=phu!$I$36,M968=phu!$I$37),"Cam Lộc",""),IF(OR(M968=phu!$I$38,M968=phu!$I$39,M968=phu!$I$40,M968=phu!$I$41,M968=phu!$I$42,M968=phu!$I$43,M968=phu!$I$44),"Cam Thuận",""),IF(OR(M968=phu!$I$45,M968=phu!$I$46,M968=phu!$I$47,M968=phu!$I$48,M968=phu!$I$49,M968=phu!$I$50,M968=phu!$I$51,M968=phu!$I$52,M968=phu!$I$53),"Cam Linh",""),IF(OR(M968=phu!$I$54,M968=phu!$I$55,M968=phu!$I$56,M968=phu!$I$57,M968=phu!$I$58,M968=phu!$I$59,M968=phu!$I$60,M968=phu!$I$61,M968=phu!$I$62),"Cam Lợi",""),IF(OR(M968=phu!$I$63,M968=phu!$I$64,M968=phu!$I$65,M968=phu!$I$66,M968=phu!$I$67,M968=phu!$I$68,M968=phu!$I$69,M968=phu!$I$70,M968=phu!$I$71),"Ba Ngòi",""),IF(OR(M968=phu!$I$72,M968=phu!$I$73,M968=phu!$I$74,M968=phu!$I$75,M968=phu!$I$76,M968=phu!$I$77,M968=phu!$I$78),"Cam Phước Đông",""),IF(OR(M968=phu!$I$79,M968=phu!$I$80,M968=phu!$I$81,M968=phu!$I$82,M968=phu!$I$83,M968=phu!$I$84),"Cam Thịnh Đông",""),IF(OR(M968=phu!$I$85,M968=phu!$I$86,M968=phu!$I$87,M968=phu!$I$88),"Cam Thịnh Tây",""),IF(OR(M968=phu!$I$89,M968=phu!$I$90),"Cam Lập",""),IF(OR(M968=phu!$I$91,M968=phu!$I$92,M968=phu!$I$93),"Cam Bình",""),IF(OR(M968=phu!$I$94,M968=phu!$I$95,M968=phu!$I$96,M968=phu!$I$97,M968=phu!$I$98,M968=phu!$I$99,M968=phu!$I$100),"Huyện khác",""),IF(OR(M968=phu!$I$101,M968=phu!$I$102),"Tỉnh khác",""))</f>
        <v/>
      </c>
      <c r="O968" s="814" t="str">
        <f t="shared" si="91"/>
        <v/>
      </c>
      <c r="P968" s="254"/>
      <c r="Q968" s="254"/>
      <c r="R968" s="254"/>
      <c r="S968" s="254"/>
      <c r="T968" s="254"/>
      <c r="U968" s="254"/>
      <c r="V968" s="254"/>
      <c r="W968" s="254"/>
      <c r="Y968" s="246" t="str">
        <f t="shared" si="92"/>
        <v/>
      </c>
      <c r="Z968" s="247" t="str">
        <f t="shared" si="90"/>
        <v/>
      </c>
      <c r="AA968" s="246" t="str">
        <f t="shared" si="93"/>
        <v/>
      </c>
    </row>
    <row r="969" spans="1:27" x14ac:dyDescent="0.25">
      <c r="A969" s="248" t="str">
        <f t="shared" si="94"/>
        <v/>
      </c>
      <c r="B969" s="249" t="str">
        <f t="shared" si="95"/>
        <v/>
      </c>
      <c r="C969" s="250"/>
      <c r="D969" s="251"/>
      <c r="E969" s="241"/>
      <c r="F969" s="252"/>
      <c r="G969" s="252"/>
      <c r="H969" s="253"/>
      <c r="I969" s="250"/>
      <c r="J969" s="250"/>
      <c r="K969" s="270"/>
      <c r="L969" s="250"/>
      <c r="M969" s="250"/>
      <c r="N969" s="553" t="str">
        <f>CONCATENATE(IF(OR(M969=phu!$I$1,M969=phu!$I$2,M969=phu!$I$3),"Cam Thành Nam",""),IF(OR(M969=phu!$I$4,M969=phu!$I$5,M969=phu!$I$6,M969=phu!$I$7,M969=phu!$I$8,M969=phu!$I$9,M969=phu!$I$10,M969=phu!$I$11,M969=phu!$I$12,M969=phu!$I$13,M969=phu!$I$14),"Cam Nghĩa",""),IF(OR(M969=phu!$I$15,M969=phu!$I$16,M969=phu!$I$17,M969=phu!$I$18,M969=phu!$I$19,M969=phu!$I$20,M969=phu!$I$21),"Cam Phúc Bắc",""),IF(OR(M969=phu!$I$22,M969=phu!$I$23,M969=phu!$I$24,M969=phu!$I$25),"Cam Phúc Nam",""),IF(OR(M969=phu!$I$26,M969=phu!$I$27,M969=phu!$I$28,M969=phu!$I$29,M969=phu!$I$30,M969=phu!$I$31),"Cam Phú",""),IF(OR(M969=phu!$I$32,M969=phu!$I$33,M969=phu!$I$34,M969=phu!$I$35,M969=phu!$I$36,M969=phu!$I$37),"Cam Lộc",""),IF(OR(M969=phu!$I$38,M969=phu!$I$39,M969=phu!$I$40,M969=phu!$I$41,M969=phu!$I$42,M969=phu!$I$43,M969=phu!$I$44),"Cam Thuận",""),IF(OR(M969=phu!$I$45,M969=phu!$I$46,M969=phu!$I$47,M969=phu!$I$48,M969=phu!$I$49,M969=phu!$I$50,M969=phu!$I$51,M969=phu!$I$52,M969=phu!$I$53),"Cam Linh",""),IF(OR(M969=phu!$I$54,M969=phu!$I$55,M969=phu!$I$56,M969=phu!$I$57,M969=phu!$I$58,M969=phu!$I$59,M969=phu!$I$60,M969=phu!$I$61,M969=phu!$I$62),"Cam Lợi",""),IF(OR(M969=phu!$I$63,M969=phu!$I$64,M969=phu!$I$65,M969=phu!$I$66,M969=phu!$I$67,M969=phu!$I$68,M969=phu!$I$69,M969=phu!$I$70,M969=phu!$I$71),"Ba Ngòi",""),IF(OR(M969=phu!$I$72,M969=phu!$I$73,M969=phu!$I$74,M969=phu!$I$75,M969=phu!$I$76,M969=phu!$I$77,M969=phu!$I$78),"Cam Phước Đông",""),IF(OR(M969=phu!$I$79,M969=phu!$I$80,M969=phu!$I$81,M969=phu!$I$82,M969=phu!$I$83,M969=phu!$I$84),"Cam Thịnh Đông",""),IF(OR(M969=phu!$I$85,M969=phu!$I$86,M969=phu!$I$87,M969=phu!$I$88),"Cam Thịnh Tây",""),IF(OR(M969=phu!$I$89,M969=phu!$I$90),"Cam Lập",""),IF(OR(M969=phu!$I$91,M969=phu!$I$92,M969=phu!$I$93),"Cam Bình",""),IF(OR(M969=phu!$I$94,M969=phu!$I$95,M969=phu!$I$96,M969=phu!$I$97,M969=phu!$I$98,M969=phu!$I$99,M969=phu!$I$100),"Huyện khác",""),IF(OR(M969=phu!$I$101,M969=phu!$I$102),"Tỉnh khác",""))</f>
        <v/>
      </c>
      <c r="O969" s="814" t="str">
        <f t="shared" si="91"/>
        <v/>
      </c>
      <c r="P969" s="254"/>
      <c r="Q969" s="254"/>
      <c r="R969" s="254"/>
      <c r="S969" s="254"/>
      <c r="T969" s="254"/>
      <c r="U969" s="254"/>
      <c r="V969" s="254"/>
      <c r="W969" s="254"/>
      <c r="Y969" s="246" t="str">
        <f t="shared" si="92"/>
        <v/>
      </c>
      <c r="Z969" s="247" t="str">
        <f t="shared" si="90"/>
        <v/>
      </c>
      <c r="AA969" s="246" t="str">
        <f t="shared" si="93"/>
        <v/>
      </c>
    </row>
    <row r="970" spans="1:27" x14ac:dyDescent="0.25">
      <c r="A970" s="248" t="str">
        <f t="shared" si="94"/>
        <v/>
      </c>
      <c r="B970" s="249" t="str">
        <f t="shared" si="95"/>
        <v/>
      </c>
      <c r="C970" s="250"/>
      <c r="D970" s="251"/>
      <c r="E970" s="241"/>
      <c r="F970" s="252"/>
      <c r="G970" s="252"/>
      <c r="H970" s="253"/>
      <c r="I970" s="250"/>
      <c r="J970" s="250"/>
      <c r="K970" s="270"/>
      <c r="L970" s="250"/>
      <c r="M970" s="250"/>
      <c r="N970" s="553" t="str">
        <f>CONCATENATE(IF(OR(M970=phu!$I$1,M970=phu!$I$2,M970=phu!$I$3),"Cam Thành Nam",""),IF(OR(M970=phu!$I$4,M970=phu!$I$5,M970=phu!$I$6,M970=phu!$I$7,M970=phu!$I$8,M970=phu!$I$9,M970=phu!$I$10,M970=phu!$I$11,M970=phu!$I$12,M970=phu!$I$13,M970=phu!$I$14),"Cam Nghĩa",""),IF(OR(M970=phu!$I$15,M970=phu!$I$16,M970=phu!$I$17,M970=phu!$I$18,M970=phu!$I$19,M970=phu!$I$20,M970=phu!$I$21),"Cam Phúc Bắc",""),IF(OR(M970=phu!$I$22,M970=phu!$I$23,M970=phu!$I$24,M970=phu!$I$25),"Cam Phúc Nam",""),IF(OR(M970=phu!$I$26,M970=phu!$I$27,M970=phu!$I$28,M970=phu!$I$29,M970=phu!$I$30,M970=phu!$I$31),"Cam Phú",""),IF(OR(M970=phu!$I$32,M970=phu!$I$33,M970=phu!$I$34,M970=phu!$I$35,M970=phu!$I$36,M970=phu!$I$37),"Cam Lộc",""),IF(OR(M970=phu!$I$38,M970=phu!$I$39,M970=phu!$I$40,M970=phu!$I$41,M970=phu!$I$42,M970=phu!$I$43,M970=phu!$I$44),"Cam Thuận",""),IF(OR(M970=phu!$I$45,M970=phu!$I$46,M970=phu!$I$47,M970=phu!$I$48,M970=phu!$I$49,M970=phu!$I$50,M970=phu!$I$51,M970=phu!$I$52,M970=phu!$I$53),"Cam Linh",""),IF(OR(M970=phu!$I$54,M970=phu!$I$55,M970=phu!$I$56,M970=phu!$I$57,M970=phu!$I$58,M970=phu!$I$59,M970=phu!$I$60,M970=phu!$I$61,M970=phu!$I$62),"Cam Lợi",""),IF(OR(M970=phu!$I$63,M970=phu!$I$64,M970=phu!$I$65,M970=phu!$I$66,M970=phu!$I$67,M970=phu!$I$68,M970=phu!$I$69,M970=phu!$I$70,M970=phu!$I$71),"Ba Ngòi",""),IF(OR(M970=phu!$I$72,M970=phu!$I$73,M970=phu!$I$74,M970=phu!$I$75,M970=phu!$I$76,M970=phu!$I$77,M970=phu!$I$78),"Cam Phước Đông",""),IF(OR(M970=phu!$I$79,M970=phu!$I$80,M970=phu!$I$81,M970=phu!$I$82,M970=phu!$I$83,M970=phu!$I$84),"Cam Thịnh Đông",""),IF(OR(M970=phu!$I$85,M970=phu!$I$86,M970=phu!$I$87,M970=phu!$I$88),"Cam Thịnh Tây",""),IF(OR(M970=phu!$I$89,M970=phu!$I$90),"Cam Lập",""),IF(OR(M970=phu!$I$91,M970=phu!$I$92,M970=phu!$I$93),"Cam Bình",""),IF(OR(M970=phu!$I$94,M970=phu!$I$95,M970=phu!$I$96,M970=phu!$I$97,M970=phu!$I$98,M970=phu!$I$99,M970=phu!$I$100),"Huyện khác",""),IF(OR(M970=phu!$I$101,M970=phu!$I$102),"Tỉnh khác",""))</f>
        <v/>
      </c>
      <c r="O970" s="814" t="str">
        <f t="shared" si="91"/>
        <v/>
      </c>
      <c r="P970" s="254"/>
      <c r="Q970" s="254"/>
      <c r="R970" s="254"/>
      <c r="S970" s="254"/>
      <c r="T970" s="254"/>
      <c r="U970" s="254"/>
      <c r="V970" s="254"/>
      <c r="W970" s="254"/>
      <c r="Y970" s="246" t="str">
        <f t="shared" si="92"/>
        <v/>
      </c>
      <c r="Z970" s="247" t="str">
        <f t="shared" si="90"/>
        <v/>
      </c>
      <c r="AA970" s="246" t="str">
        <f t="shared" si="93"/>
        <v/>
      </c>
    </row>
    <row r="971" spans="1:27" x14ac:dyDescent="0.25">
      <c r="A971" s="248" t="str">
        <f t="shared" si="94"/>
        <v/>
      </c>
      <c r="B971" s="249" t="str">
        <f t="shared" si="95"/>
        <v/>
      </c>
      <c r="C971" s="250"/>
      <c r="D971" s="251"/>
      <c r="E971" s="241"/>
      <c r="F971" s="252"/>
      <c r="G971" s="252"/>
      <c r="H971" s="253"/>
      <c r="I971" s="250"/>
      <c r="J971" s="250"/>
      <c r="K971" s="270"/>
      <c r="L971" s="250"/>
      <c r="M971" s="250"/>
      <c r="N971" s="553" t="str">
        <f>CONCATENATE(IF(OR(M971=phu!$I$1,M971=phu!$I$2,M971=phu!$I$3),"Cam Thành Nam",""),IF(OR(M971=phu!$I$4,M971=phu!$I$5,M971=phu!$I$6,M971=phu!$I$7,M971=phu!$I$8,M971=phu!$I$9,M971=phu!$I$10,M971=phu!$I$11,M971=phu!$I$12,M971=phu!$I$13,M971=phu!$I$14),"Cam Nghĩa",""),IF(OR(M971=phu!$I$15,M971=phu!$I$16,M971=phu!$I$17,M971=phu!$I$18,M971=phu!$I$19,M971=phu!$I$20,M971=phu!$I$21),"Cam Phúc Bắc",""),IF(OR(M971=phu!$I$22,M971=phu!$I$23,M971=phu!$I$24,M971=phu!$I$25),"Cam Phúc Nam",""),IF(OR(M971=phu!$I$26,M971=phu!$I$27,M971=phu!$I$28,M971=phu!$I$29,M971=phu!$I$30,M971=phu!$I$31),"Cam Phú",""),IF(OR(M971=phu!$I$32,M971=phu!$I$33,M971=phu!$I$34,M971=phu!$I$35,M971=phu!$I$36,M971=phu!$I$37),"Cam Lộc",""),IF(OR(M971=phu!$I$38,M971=phu!$I$39,M971=phu!$I$40,M971=phu!$I$41,M971=phu!$I$42,M971=phu!$I$43,M971=phu!$I$44),"Cam Thuận",""),IF(OR(M971=phu!$I$45,M971=phu!$I$46,M971=phu!$I$47,M971=phu!$I$48,M971=phu!$I$49,M971=phu!$I$50,M971=phu!$I$51,M971=phu!$I$52,M971=phu!$I$53),"Cam Linh",""),IF(OR(M971=phu!$I$54,M971=phu!$I$55,M971=phu!$I$56,M971=phu!$I$57,M971=phu!$I$58,M971=phu!$I$59,M971=phu!$I$60,M971=phu!$I$61,M971=phu!$I$62),"Cam Lợi",""),IF(OR(M971=phu!$I$63,M971=phu!$I$64,M971=phu!$I$65,M971=phu!$I$66,M971=phu!$I$67,M971=phu!$I$68,M971=phu!$I$69,M971=phu!$I$70,M971=phu!$I$71),"Ba Ngòi",""),IF(OR(M971=phu!$I$72,M971=phu!$I$73,M971=phu!$I$74,M971=phu!$I$75,M971=phu!$I$76,M971=phu!$I$77,M971=phu!$I$78),"Cam Phước Đông",""),IF(OR(M971=phu!$I$79,M971=phu!$I$80,M971=phu!$I$81,M971=phu!$I$82,M971=phu!$I$83,M971=phu!$I$84),"Cam Thịnh Đông",""),IF(OR(M971=phu!$I$85,M971=phu!$I$86,M971=phu!$I$87,M971=phu!$I$88),"Cam Thịnh Tây",""),IF(OR(M971=phu!$I$89,M971=phu!$I$90),"Cam Lập",""),IF(OR(M971=phu!$I$91,M971=phu!$I$92,M971=phu!$I$93),"Cam Bình",""),IF(OR(M971=phu!$I$94,M971=phu!$I$95,M971=phu!$I$96,M971=phu!$I$97,M971=phu!$I$98,M971=phu!$I$99,M971=phu!$I$100),"Huyện khác",""),IF(OR(M971=phu!$I$101,M971=phu!$I$102),"Tỉnh khác",""))</f>
        <v/>
      </c>
      <c r="O971" s="814" t="str">
        <f t="shared" si="91"/>
        <v/>
      </c>
      <c r="P971" s="254"/>
      <c r="Q971" s="254"/>
      <c r="R971" s="254"/>
      <c r="S971" s="254"/>
      <c r="T971" s="254"/>
      <c r="U971" s="254"/>
      <c r="V971" s="254"/>
      <c r="W971" s="254"/>
      <c r="Y971" s="246" t="str">
        <f t="shared" si="92"/>
        <v/>
      </c>
      <c r="Z971" s="247" t="str">
        <f t="shared" si="90"/>
        <v/>
      </c>
      <c r="AA971" s="246" t="str">
        <f t="shared" si="93"/>
        <v/>
      </c>
    </row>
    <row r="972" spans="1:27" x14ac:dyDescent="0.25">
      <c r="A972" s="248" t="str">
        <f t="shared" si="94"/>
        <v/>
      </c>
      <c r="B972" s="249" t="str">
        <f t="shared" si="95"/>
        <v/>
      </c>
      <c r="C972" s="250"/>
      <c r="D972" s="251"/>
      <c r="E972" s="241"/>
      <c r="F972" s="252"/>
      <c r="G972" s="252"/>
      <c r="H972" s="253"/>
      <c r="I972" s="250"/>
      <c r="J972" s="250"/>
      <c r="K972" s="270"/>
      <c r="L972" s="250"/>
      <c r="M972" s="250"/>
      <c r="N972" s="553" t="str">
        <f>CONCATENATE(IF(OR(M972=phu!$I$1,M972=phu!$I$2,M972=phu!$I$3),"Cam Thành Nam",""),IF(OR(M972=phu!$I$4,M972=phu!$I$5,M972=phu!$I$6,M972=phu!$I$7,M972=phu!$I$8,M972=phu!$I$9,M972=phu!$I$10,M972=phu!$I$11,M972=phu!$I$12,M972=phu!$I$13,M972=phu!$I$14),"Cam Nghĩa",""),IF(OR(M972=phu!$I$15,M972=phu!$I$16,M972=phu!$I$17,M972=phu!$I$18,M972=phu!$I$19,M972=phu!$I$20,M972=phu!$I$21),"Cam Phúc Bắc",""),IF(OR(M972=phu!$I$22,M972=phu!$I$23,M972=phu!$I$24,M972=phu!$I$25),"Cam Phúc Nam",""),IF(OR(M972=phu!$I$26,M972=phu!$I$27,M972=phu!$I$28,M972=phu!$I$29,M972=phu!$I$30,M972=phu!$I$31),"Cam Phú",""),IF(OR(M972=phu!$I$32,M972=phu!$I$33,M972=phu!$I$34,M972=phu!$I$35,M972=phu!$I$36,M972=phu!$I$37),"Cam Lộc",""),IF(OR(M972=phu!$I$38,M972=phu!$I$39,M972=phu!$I$40,M972=phu!$I$41,M972=phu!$I$42,M972=phu!$I$43,M972=phu!$I$44),"Cam Thuận",""),IF(OR(M972=phu!$I$45,M972=phu!$I$46,M972=phu!$I$47,M972=phu!$I$48,M972=phu!$I$49,M972=phu!$I$50,M972=phu!$I$51,M972=phu!$I$52,M972=phu!$I$53),"Cam Linh",""),IF(OR(M972=phu!$I$54,M972=phu!$I$55,M972=phu!$I$56,M972=phu!$I$57,M972=phu!$I$58,M972=phu!$I$59,M972=phu!$I$60,M972=phu!$I$61,M972=phu!$I$62),"Cam Lợi",""),IF(OR(M972=phu!$I$63,M972=phu!$I$64,M972=phu!$I$65,M972=phu!$I$66,M972=phu!$I$67,M972=phu!$I$68,M972=phu!$I$69,M972=phu!$I$70,M972=phu!$I$71),"Ba Ngòi",""),IF(OR(M972=phu!$I$72,M972=phu!$I$73,M972=phu!$I$74,M972=phu!$I$75,M972=phu!$I$76,M972=phu!$I$77,M972=phu!$I$78),"Cam Phước Đông",""),IF(OR(M972=phu!$I$79,M972=phu!$I$80,M972=phu!$I$81,M972=phu!$I$82,M972=phu!$I$83,M972=phu!$I$84),"Cam Thịnh Đông",""),IF(OR(M972=phu!$I$85,M972=phu!$I$86,M972=phu!$I$87,M972=phu!$I$88),"Cam Thịnh Tây",""),IF(OR(M972=phu!$I$89,M972=phu!$I$90),"Cam Lập",""),IF(OR(M972=phu!$I$91,M972=phu!$I$92,M972=phu!$I$93),"Cam Bình",""),IF(OR(M972=phu!$I$94,M972=phu!$I$95,M972=phu!$I$96,M972=phu!$I$97,M972=phu!$I$98,M972=phu!$I$99,M972=phu!$I$100),"Huyện khác",""),IF(OR(M972=phu!$I$101,M972=phu!$I$102),"Tỉnh khác",""))</f>
        <v/>
      </c>
      <c r="O972" s="814" t="str">
        <f t="shared" si="91"/>
        <v/>
      </c>
      <c r="P972" s="254"/>
      <c r="Q972" s="254"/>
      <c r="R972" s="254"/>
      <c r="S972" s="254"/>
      <c r="T972" s="254"/>
      <c r="U972" s="254"/>
      <c r="V972" s="254"/>
      <c r="W972" s="254"/>
      <c r="Y972" s="246" t="str">
        <f t="shared" si="92"/>
        <v/>
      </c>
      <c r="Z972" s="247" t="str">
        <f t="shared" si="90"/>
        <v/>
      </c>
      <c r="AA972" s="246" t="str">
        <f t="shared" si="93"/>
        <v/>
      </c>
    </row>
    <row r="973" spans="1:27" x14ac:dyDescent="0.25">
      <c r="A973" s="248" t="str">
        <f t="shared" si="94"/>
        <v/>
      </c>
      <c r="B973" s="249" t="str">
        <f t="shared" si="95"/>
        <v/>
      </c>
      <c r="C973" s="250"/>
      <c r="D973" s="251"/>
      <c r="E973" s="241"/>
      <c r="F973" s="252"/>
      <c r="G973" s="252"/>
      <c r="H973" s="253"/>
      <c r="I973" s="250"/>
      <c r="J973" s="250"/>
      <c r="K973" s="270"/>
      <c r="L973" s="250"/>
      <c r="M973" s="250"/>
      <c r="N973" s="553" t="str">
        <f>CONCATENATE(IF(OR(M973=phu!$I$1,M973=phu!$I$2,M973=phu!$I$3),"Cam Thành Nam",""),IF(OR(M973=phu!$I$4,M973=phu!$I$5,M973=phu!$I$6,M973=phu!$I$7,M973=phu!$I$8,M973=phu!$I$9,M973=phu!$I$10,M973=phu!$I$11,M973=phu!$I$12,M973=phu!$I$13,M973=phu!$I$14),"Cam Nghĩa",""),IF(OR(M973=phu!$I$15,M973=phu!$I$16,M973=phu!$I$17,M973=phu!$I$18,M973=phu!$I$19,M973=phu!$I$20,M973=phu!$I$21),"Cam Phúc Bắc",""),IF(OR(M973=phu!$I$22,M973=phu!$I$23,M973=phu!$I$24,M973=phu!$I$25),"Cam Phúc Nam",""),IF(OR(M973=phu!$I$26,M973=phu!$I$27,M973=phu!$I$28,M973=phu!$I$29,M973=phu!$I$30,M973=phu!$I$31),"Cam Phú",""),IF(OR(M973=phu!$I$32,M973=phu!$I$33,M973=phu!$I$34,M973=phu!$I$35,M973=phu!$I$36,M973=phu!$I$37),"Cam Lộc",""),IF(OR(M973=phu!$I$38,M973=phu!$I$39,M973=phu!$I$40,M973=phu!$I$41,M973=phu!$I$42,M973=phu!$I$43,M973=phu!$I$44),"Cam Thuận",""),IF(OR(M973=phu!$I$45,M973=phu!$I$46,M973=phu!$I$47,M973=phu!$I$48,M973=phu!$I$49,M973=phu!$I$50,M973=phu!$I$51,M973=phu!$I$52,M973=phu!$I$53),"Cam Linh",""),IF(OR(M973=phu!$I$54,M973=phu!$I$55,M973=phu!$I$56,M973=phu!$I$57,M973=phu!$I$58,M973=phu!$I$59,M973=phu!$I$60,M973=phu!$I$61,M973=phu!$I$62),"Cam Lợi",""),IF(OR(M973=phu!$I$63,M973=phu!$I$64,M973=phu!$I$65,M973=phu!$I$66,M973=phu!$I$67,M973=phu!$I$68,M973=phu!$I$69,M973=phu!$I$70,M973=phu!$I$71),"Ba Ngòi",""),IF(OR(M973=phu!$I$72,M973=phu!$I$73,M973=phu!$I$74,M973=phu!$I$75,M973=phu!$I$76,M973=phu!$I$77,M973=phu!$I$78),"Cam Phước Đông",""),IF(OR(M973=phu!$I$79,M973=phu!$I$80,M973=phu!$I$81,M973=phu!$I$82,M973=phu!$I$83,M973=phu!$I$84),"Cam Thịnh Đông",""),IF(OR(M973=phu!$I$85,M973=phu!$I$86,M973=phu!$I$87,M973=phu!$I$88),"Cam Thịnh Tây",""),IF(OR(M973=phu!$I$89,M973=phu!$I$90),"Cam Lập",""),IF(OR(M973=phu!$I$91,M973=phu!$I$92,M973=phu!$I$93),"Cam Bình",""),IF(OR(M973=phu!$I$94,M973=phu!$I$95,M973=phu!$I$96,M973=phu!$I$97,M973=phu!$I$98,M973=phu!$I$99,M973=phu!$I$100),"Huyện khác",""),IF(OR(M973=phu!$I$101,M973=phu!$I$102),"Tỉnh khác",""))</f>
        <v/>
      </c>
      <c r="O973" s="814" t="str">
        <f t="shared" si="91"/>
        <v/>
      </c>
      <c r="P973" s="254"/>
      <c r="Q973" s="254"/>
      <c r="R973" s="254"/>
      <c r="S973" s="254"/>
      <c r="T973" s="254"/>
      <c r="U973" s="254"/>
      <c r="V973" s="254"/>
      <c r="W973" s="254"/>
      <c r="Y973" s="246" t="str">
        <f t="shared" si="92"/>
        <v/>
      </c>
      <c r="Z973" s="247" t="str">
        <f t="shared" si="90"/>
        <v/>
      </c>
      <c r="AA973" s="246" t="str">
        <f t="shared" si="93"/>
        <v/>
      </c>
    </row>
    <row r="974" spans="1:27" x14ac:dyDescent="0.25">
      <c r="A974" s="248" t="str">
        <f t="shared" si="94"/>
        <v/>
      </c>
      <c r="B974" s="249" t="str">
        <f t="shared" si="95"/>
        <v/>
      </c>
      <c r="C974" s="250"/>
      <c r="D974" s="251"/>
      <c r="E974" s="241"/>
      <c r="F974" s="252"/>
      <c r="G974" s="252"/>
      <c r="H974" s="253"/>
      <c r="I974" s="250"/>
      <c r="J974" s="250"/>
      <c r="K974" s="270"/>
      <c r="L974" s="250"/>
      <c r="M974" s="250"/>
      <c r="N974" s="553" t="str">
        <f>CONCATENATE(IF(OR(M974=phu!$I$1,M974=phu!$I$2,M974=phu!$I$3),"Cam Thành Nam",""),IF(OR(M974=phu!$I$4,M974=phu!$I$5,M974=phu!$I$6,M974=phu!$I$7,M974=phu!$I$8,M974=phu!$I$9,M974=phu!$I$10,M974=phu!$I$11,M974=phu!$I$12,M974=phu!$I$13,M974=phu!$I$14),"Cam Nghĩa",""),IF(OR(M974=phu!$I$15,M974=phu!$I$16,M974=phu!$I$17,M974=phu!$I$18,M974=phu!$I$19,M974=phu!$I$20,M974=phu!$I$21),"Cam Phúc Bắc",""),IF(OR(M974=phu!$I$22,M974=phu!$I$23,M974=phu!$I$24,M974=phu!$I$25),"Cam Phúc Nam",""),IF(OR(M974=phu!$I$26,M974=phu!$I$27,M974=phu!$I$28,M974=phu!$I$29,M974=phu!$I$30,M974=phu!$I$31),"Cam Phú",""),IF(OR(M974=phu!$I$32,M974=phu!$I$33,M974=phu!$I$34,M974=phu!$I$35,M974=phu!$I$36,M974=phu!$I$37),"Cam Lộc",""),IF(OR(M974=phu!$I$38,M974=phu!$I$39,M974=phu!$I$40,M974=phu!$I$41,M974=phu!$I$42,M974=phu!$I$43,M974=phu!$I$44),"Cam Thuận",""),IF(OR(M974=phu!$I$45,M974=phu!$I$46,M974=phu!$I$47,M974=phu!$I$48,M974=phu!$I$49,M974=phu!$I$50,M974=phu!$I$51,M974=phu!$I$52,M974=phu!$I$53),"Cam Linh",""),IF(OR(M974=phu!$I$54,M974=phu!$I$55,M974=phu!$I$56,M974=phu!$I$57,M974=phu!$I$58,M974=phu!$I$59,M974=phu!$I$60,M974=phu!$I$61,M974=phu!$I$62),"Cam Lợi",""),IF(OR(M974=phu!$I$63,M974=phu!$I$64,M974=phu!$I$65,M974=phu!$I$66,M974=phu!$I$67,M974=phu!$I$68,M974=phu!$I$69,M974=phu!$I$70,M974=phu!$I$71),"Ba Ngòi",""),IF(OR(M974=phu!$I$72,M974=phu!$I$73,M974=phu!$I$74,M974=phu!$I$75,M974=phu!$I$76,M974=phu!$I$77,M974=phu!$I$78),"Cam Phước Đông",""),IF(OR(M974=phu!$I$79,M974=phu!$I$80,M974=phu!$I$81,M974=phu!$I$82,M974=phu!$I$83,M974=phu!$I$84),"Cam Thịnh Đông",""),IF(OR(M974=phu!$I$85,M974=phu!$I$86,M974=phu!$I$87,M974=phu!$I$88),"Cam Thịnh Tây",""),IF(OR(M974=phu!$I$89,M974=phu!$I$90),"Cam Lập",""),IF(OR(M974=phu!$I$91,M974=phu!$I$92,M974=phu!$I$93),"Cam Bình",""),IF(OR(M974=phu!$I$94,M974=phu!$I$95,M974=phu!$I$96,M974=phu!$I$97,M974=phu!$I$98,M974=phu!$I$99,M974=phu!$I$100),"Huyện khác",""),IF(OR(M974=phu!$I$101,M974=phu!$I$102),"Tỉnh khác",""))</f>
        <v/>
      </c>
      <c r="O974" s="814" t="str">
        <f t="shared" si="91"/>
        <v/>
      </c>
      <c r="P974" s="254"/>
      <c r="Q974" s="254"/>
      <c r="R974" s="254"/>
      <c r="S974" s="254"/>
      <c r="T974" s="254"/>
      <c r="U974" s="254"/>
      <c r="V974" s="254"/>
      <c r="W974" s="254"/>
      <c r="Y974" s="246" t="str">
        <f t="shared" si="92"/>
        <v/>
      </c>
      <c r="Z974" s="247" t="str">
        <f t="shared" si="90"/>
        <v/>
      </c>
      <c r="AA974" s="246" t="str">
        <f t="shared" si="93"/>
        <v/>
      </c>
    </row>
    <row r="975" spans="1:27" x14ac:dyDescent="0.25">
      <c r="A975" s="248" t="str">
        <f t="shared" si="94"/>
        <v/>
      </c>
      <c r="B975" s="249" t="str">
        <f t="shared" si="95"/>
        <v/>
      </c>
      <c r="C975" s="250"/>
      <c r="D975" s="251"/>
      <c r="E975" s="241"/>
      <c r="F975" s="252"/>
      <c r="G975" s="252"/>
      <c r="H975" s="253"/>
      <c r="I975" s="250"/>
      <c r="J975" s="250"/>
      <c r="K975" s="270"/>
      <c r="L975" s="250"/>
      <c r="M975" s="250"/>
      <c r="N975" s="553" t="str">
        <f>CONCATENATE(IF(OR(M975=phu!$I$1,M975=phu!$I$2,M975=phu!$I$3),"Cam Thành Nam",""),IF(OR(M975=phu!$I$4,M975=phu!$I$5,M975=phu!$I$6,M975=phu!$I$7,M975=phu!$I$8,M975=phu!$I$9,M975=phu!$I$10,M975=phu!$I$11,M975=phu!$I$12,M975=phu!$I$13,M975=phu!$I$14),"Cam Nghĩa",""),IF(OR(M975=phu!$I$15,M975=phu!$I$16,M975=phu!$I$17,M975=phu!$I$18,M975=phu!$I$19,M975=phu!$I$20,M975=phu!$I$21),"Cam Phúc Bắc",""),IF(OR(M975=phu!$I$22,M975=phu!$I$23,M975=phu!$I$24,M975=phu!$I$25),"Cam Phúc Nam",""),IF(OR(M975=phu!$I$26,M975=phu!$I$27,M975=phu!$I$28,M975=phu!$I$29,M975=phu!$I$30,M975=phu!$I$31),"Cam Phú",""),IF(OR(M975=phu!$I$32,M975=phu!$I$33,M975=phu!$I$34,M975=phu!$I$35,M975=phu!$I$36,M975=phu!$I$37),"Cam Lộc",""),IF(OR(M975=phu!$I$38,M975=phu!$I$39,M975=phu!$I$40,M975=phu!$I$41,M975=phu!$I$42,M975=phu!$I$43,M975=phu!$I$44),"Cam Thuận",""),IF(OR(M975=phu!$I$45,M975=phu!$I$46,M975=phu!$I$47,M975=phu!$I$48,M975=phu!$I$49,M975=phu!$I$50,M975=phu!$I$51,M975=phu!$I$52,M975=phu!$I$53),"Cam Linh",""),IF(OR(M975=phu!$I$54,M975=phu!$I$55,M975=phu!$I$56,M975=phu!$I$57,M975=phu!$I$58,M975=phu!$I$59,M975=phu!$I$60,M975=phu!$I$61,M975=phu!$I$62),"Cam Lợi",""),IF(OR(M975=phu!$I$63,M975=phu!$I$64,M975=phu!$I$65,M975=phu!$I$66,M975=phu!$I$67,M975=phu!$I$68,M975=phu!$I$69,M975=phu!$I$70,M975=phu!$I$71),"Ba Ngòi",""),IF(OR(M975=phu!$I$72,M975=phu!$I$73,M975=phu!$I$74,M975=phu!$I$75,M975=phu!$I$76,M975=phu!$I$77,M975=phu!$I$78),"Cam Phước Đông",""),IF(OR(M975=phu!$I$79,M975=phu!$I$80,M975=phu!$I$81,M975=phu!$I$82,M975=phu!$I$83,M975=phu!$I$84),"Cam Thịnh Đông",""),IF(OR(M975=phu!$I$85,M975=phu!$I$86,M975=phu!$I$87,M975=phu!$I$88),"Cam Thịnh Tây",""),IF(OR(M975=phu!$I$89,M975=phu!$I$90),"Cam Lập",""),IF(OR(M975=phu!$I$91,M975=phu!$I$92,M975=phu!$I$93),"Cam Bình",""),IF(OR(M975=phu!$I$94,M975=phu!$I$95,M975=phu!$I$96,M975=phu!$I$97,M975=phu!$I$98,M975=phu!$I$99,M975=phu!$I$100),"Huyện khác",""),IF(OR(M975=phu!$I$101,M975=phu!$I$102),"Tỉnh khác",""))</f>
        <v/>
      </c>
      <c r="O975" s="814" t="str">
        <f t="shared" si="91"/>
        <v/>
      </c>
      <c r="P975" s="254"/>
      <c r="Q975" s="254"/>
      <c r="R975" s="254"/>
      <c r="S975" s="254"/>
      <c r="T975" s="254"/>
      <c r="U975" s="254"/>
      <c r="V975" s="254"/>
      <c r="W975" s="254"/>
      <c r="Y975" s="246" t="str">
        <f t="shared" si="92"/>
        <v/>
      </c>
      <c r="Z975" s="247" t="str">
        <f t="shared" si="90"/>
        <v/>
      </c>
      <c r="AA975" s="246" t="str">
        <f t="shared" si="93"/>
        <v/>
      </c>
    </row>
    <row r="976" spans="1:27" x14ac:dyDescent="0.25">
      <c r="A976" s="248" t="str">
        <f t="shared" si="94"/>
        <v/>
      </c>
      <c r="B976" s="249" t="str">
        <f t="shared" si="95"/>
        <v/>
      </c>
      <c r="C976" s="250"/>
      <c r="D976" s="251"/>
      <c r="E976" s="241"/>
      <c r="F976" s="252"/>
      <c r="G976" s="252"/>
      <c r="H976" s="253"/>
      <c r="I976" s="250"/>
      <c r="J976" s="250"/>
      <c r="K976" s="270"/>
      <c r="L976" s="250"/>
      <c r="M976" s="250"/>
      <c r="N976" s="553" t="str">
        <f>CONCATENATE(IF(OR(M976=phu!$I$1,M976=phu!$I$2,M976=phu!$I$3),"Cam Thành Nam",""),IF(OR(M976=phu!$I$4,M976=phu!$I$5,M976=phu!$I$6,M976=phu!$I$7,M976=phu!$I$8,M976=phu!$I$9,M976=phu!$I$10,M976=phu!$I$11,M976=phu!$I$12,M976=phu!$I$13,M976=phu!$I$14),"Cam Nghĩa",""),IF(OR(M976=phu!$I$15,M976=phu!$I$16,M976=phu!$I$17,M976=phu!$I$18,M976=phu!$I$19,M976=phu!$I$20,M976=phu!$I$21),"Cam Phúc Bắc",""),IF(OR(M976=phu!$I$22,M976=phu!$I$23,M976=phu!$I$24,M976=phu!$I$25),"Cam Phúc Nam",""),IF(OR(M976=phu!$I$26,M976=phu!$I$27,M976=phu!$I$28,M976=phu!$I$29,M976=phu!$I$30,M976=phu!$I$31),"Cam Phú",""),IF(OR(M976=phu!$I$32,M976=phu!$I$33,M976=phu!$I$34,M976=phu!$I$35,M976=phu!$I$36,M976=phu!$I$37),"Cam Lộc",""),IF(OR(M976=phu!$I$38,M976=phu!$I$39,M976=phu!$I$40,M976=phu!$I$41,M976=phu!$I$42,M976=phu!$I$43,M976=phu!$I$44),"Cam Thuận",""),IF(OR(M976=phu!$I$45,M976=phu!$I$46,M976=phu!$I$47,M976=phu!$I$48,M976=phu!$I$49,M976=phu!$I$50,M976=phu!$I$51,M976=phu!$I$52,M976=phu!$I$53),"Cam Linh",""),IF(OR(M976=phu!$I$54,M976=phu!$I$55,M976=phu!$I$56,M976=phu!$I$57,M976=phu!$I$58,M976=phu!$I$59,M976=phu!$I$60,M976=phu!$I$61,M976=phu!$I$62),"Cam Lợi",""),IF(OR(M976=phu!$I$63,M976=phu!$I$64,M976=phu!$I$65,M976=phu!$I$66,M976=phu!$I$67,M976=phu!$I$68,M976=phu!$I$69,M976=phu!$I$70,M976=phu!$I$71),"Ba Ngòi",""),IF(OR(M976=phu!$I$72,M976=phu!$I$73,M976=phu!$I$74,M976=phu!$I$75,M976=phu!$I$76,M976=phu!$I$77,M976=phu!$I$78),"Cam Phước Đông",""),IF(OR(M976=phu!$I$79,M976=phu!$I$80,M976=phu!$I$81,M976=phu!$I$82,M976=phu!$I$83,M976=phu!$I$84),"Cam Thịnh Đông",""),IF(OR(M976=phu!$I$85,M976=phu!$I$86,M976=phu!$I$87,M976=phu!$I$88),"Cam Thịnh Tây",""),IF(OR(M976=phu!$I$89,M976=phu!$I$90),"Cam Lập",""),IF(OR(M976=phu!$I$91,M976=phu!$I$92,M976=phu!$I$93),"Cam Bình",""),IF(OR(M976=phu!$I$94,M976=phu!$I$95,M976=phu!$I$96,M976=phu!$I$97,M976=phu!$I$98,M976=phu!$I$99,M976=phu!$I$100),"Huyện khác",""),IF(OR(M976=phu!$I$101,M976=phu!$I$102),"Tỉnh khác",""))</f>
        <v/>
      </c>
      <c r="O976" s="814" t="str">
        <f t="shared" si="91"/>
        <v/>
      </c>
      <c r="P976" s="254"/>
      <c r="Q976" s="254"/>
      <c r="R976" s="254"/>
      <c r="S976" s="254"/>
      <c r="T976" s="254"/>
      <c r="U976" s="254"/>
      <c r="V976" s="254"/>
      <c r="W976" s="254"/>
      <c r="Y976" s="246" t="str">
        <f t="shared" si="92"/>
        <v/>
      </c>
      <c r="Z976" s="247" t="str">
        <f t="shared" si="90"/>
        <v/>
      </c>
      <c r="AA976" s="246" t="str">
        <f t="shared" si="93"/>
        <v/>
      </c>
    </row>
    <row r="977" spans="1:27" x14ac:dyDescent="0.25">
      <c r="A977" s="248" t="str">
        <f t="shared" si="94"/>
        <v/>
      </c>
      <c r="B977" s="249" t="str">
        <f t="shared" si="95"/>
        <v/>
      </c>
      <c r="C977" s="250"/>
      <c r="D977" s="251"/>
      <c r="E977" s="241"/>
      <c r="F977" s="252"/>
      <c r="G977" s="252"/>
      <c r="H977" s="253"/>
      <c r="I977" s="250"/>
      <c r="J977" s="250"/>
      <c r="K977" s="270"/>
      <c r="L977" s="250"/>
      <c r="M977" s="250"/>
      <c r="N977" s="553" t="str">
        <f>CONCATENATE(IF(OR(M977=phu!$I$1,M977=phu!$I$2,M977=phu!$I$3),"Cam Thành Nam",""),IF(OR(M977=phu!$I$4,M977=phu!$I$5,M977=phu!$I$6,M977=phu!$I$7,M977=phu!$I$8,M977=phu!$I$9,M977=phu!$I$10,M977=phu!$I$11,M977=phu!$I$12,M977=phu!$I$13,M977=phu!$I$14),"Cam Nghĩa",""),IF(OR(M977=phu!$I$15,M977=phu!$I$16,M977=phu!$I$17,M977=phu!$I$18,M977=phu!$I$19,M977=phu!$I$20,M977=phu!$I$21),"Cam Phúc Bắc",""),IF(OR(M977=phu!$I$22,M977=phu!$I$23,M977=phu!$I$24,M977=phu!$I$25),"Cam Phúc Nam",""),IF(OR(M977=phu!$I$26,M977=phu!$I$27,M977=phu!$I$28,M977=phu!$I$29,M977=phu!$I$30,M977=phu!$I$31),"Cam Phú",""),IF(OR(M977=phu!$I$32,M977=phu!$I$33,M977=phu!$I$34,M977=phu!$I$35,M977=phu!$I$36,M977=phu!$I$37),"Cam Lộc",""),IF(OR(M977=phu!$I$38,M977=phu!$I$39,M977=phu!$I$40,M977=phu!$I$41,M977=phu!$I$42,M977=phu!$I$43,M977=phu!$I$44),"Cam Thuận",""),IF(OR(M977=phu!$I$45,M977=phu!$I$46,M977=phu!$I$47,M977=phu!$I$48,M977=phu!$I$49,M977=phu!$I$50,M977=phu!$I$51,M977=phu!$I$52,M977=phu!$I$53),"Cam Linh",""),IF(OR(M977=phu!$I$54,M977=phu!$I$55,M977=phu!$I$56,M977=phu!$I$57,M977=phu!$I$58,M977=phu!$I$59,M977=phu!$I$60,M977=phu!$I$61,M977=phu!$I$62),"Cam Lợi",""),IF(OR(M977=phu!$I$63,M977=phu!$I$64,M977=phu!$I$65,M977=phu!$I$66,M977=phu!$I$67,M977=phu!$I$68,M977=phu!$I$69,M977=phu!$I$70,M977=phu!$I$71),"Ba Ngòi",""),IF(OR(M977=phu!$I$72,M977=phu!$I$73,M977=phu!$I$74,M977=phu!$I$75,M977=phu!$I$76,M977=phu!$I$77,M977=phu!$I$78),"Cam Phước Đông",""),IF(OR(M977=phu!$I$79,M977=phu!$I$80,M977=phu!$I$81,M977=phu!$I$82,M977=phu!$I$83,M977=phu!$I$84),"Cam Thịnh Đông",""),IF(OR(M977=phu!$I$85,M977=phu!$I$86,M977=phu!$I$87,M977=phu!$I$88),"Cam Thịnh Tây",""),IF(OR(M977=phu!$I$89,M977=phu!$I$90),"Cam Lập",""),IF(OR(M977=phu!$I$91,M977=phu!$I$92,M977=phu!$I$93),"Cam Bình",""),IF(OR(M977=phu!$I$94,M977=phu!$I$95,M977=phu!$I$96,M977=phu!$I$97,M977=phu!$I$98,M977=phu!$I$99,M977=phu!$I$100),"Huyện khác",""),IF(OR(M977=phu!$I$101,M977=phu!$I$102),"Tỉnh khác",""))</f>
        <v/>
      </c>
      <c r="O977" s="814" t="str">
        <f t="shared" si="91"/>
        <v/>
      </c>
      <c r="P977" s="254"/>
      <c r="Q977" s="254"/>
      <c r="R977" s="254"/>
      <c r="S977" s="254"/>
      <c r="T977" s="254"/>
      <c r="U977" s="254"/>
      <c r="V977" s="254"/>
      <c r="W977" s="254"/>
      <c r="Y977" s="246" t="str">
        <f t="shared" si="92"/>
        <v/>
      </c>
      <c r="Z977" s="247" t="str">
        <f t="shared" si="90"/>
        <v/>
      </c>
      <c r="AA977" s="246" t="str">
        <f t="shared" si="93"/>
        <v/>
      </c>
    </row>
    <row r="978" spans="1:27" x14ac:dyDescent="0.25">
      <c r="A978" s="248" t="str">
        <f t="shared" si="94"/>
        <v/>
      </c>
      <c r="B978" s="249" t="str">
        <f t="shared" si="95"/>
        <v/>
      </c>
      <c r="C978" s="250"/>
      <c r="D978" s="251"/>
      <c r="E978" s="241"/>
      <c r="F978" s="252"/>
      <c r="G978" s="252"/>
      <c r="H978" s="253"/>
      <c r="I978" s="250"/>
      <c r="J978" s="250"/>
      <c r="K978" s="270"/>
      <c r="L978" s="250"/>
      <c r="M978" s="250"/>
      <c r="N978" s="553" t="str">
        <f>CONCATENATE(IF(OR(M978=phu!$I$1,M978=phu!$I$2,M978=phu!$I$3),"Cam Thành Nam",""),IF(OR(M978=phu!$I$4,M978=phu!$I$5,M978=phu!$I$6,M978=phu!$I$7,M978=phu!$I$8,M978=phu!$I$9,M978=phu!$I$10,M978=phu!$I$11,M978=phu!$I$12,M978=phu!$I$13,M978=phu!$I$14),"Cam Nghĩa",""),IF(OR(M978=phu!$I$15,M978=phu!$I$16,M978=phu!$I$17,M978=phu!$I$18,M978=phu!$I$19,M978=phu!$I$20,M978=phu!$I$21),"Cam Phúc Bắc",""),IF(OR(M978=phu!$I$22,M978=phu!$I$23,M978=phu!$I$24,M978=phu!$I$25),"Cam Phúc Nam",""),IF(OR(M978=phu!$I$26,M978=phu!$I$27,M978=phu!$I$28,M978=phu!$I$29,M978=phu!$I$30,M978=phu!$I$31),"Cam Phú",""),IF(OR(M978=phu!$I$32,M978=phu!$I$33,M978=phu!$I$34,M978=phu!$I$35,M978=phu!$I$36,M978=phu!$I$37),"Cam Lộc",""),IF(OR(M978=phu!$I$38,M978=phu!$I$39,M978=phu!$I$40,M978=phu!$I$41,M978=phu!$I$42,M978=phu!$I$43,M978=phu!$I$44),"Cam Thuận",""),IF(OR(M978=phu!$I$45,M978=phu!$I$46,M978=phu!$I$47,M978=phu!$I$48,M978=phu!$I$49,M978=phu!$I$50,M978=phu!$I$51,M978=phu!$I$52,M978=phu!$I$53),"Cam Linh",""),IF(OR(M978=phu!$I$54,M978=phu!$I$55,M978=phu!$I$56,M978=phu!$I$57,M978=phu!$I$58,M978=phu!$I$59,M978=phu!$I$60,M978=phu!$I$61,M978=phu!$I$62),"Cam Lợi",""),IF(OR(M978=phu!$I$63,M978=phu!$I$64,M978=phu!$I$65,M978=phu!$I$66,M978=phu!$I$67,M978=phu!$I$68,M978=phu!$I$69,M978=phu!$I$70,M978=phu!$I$71),"Ba Ngòi",""),IF(OR(M978=phu!$I$72,M978=phu!$I$73,M978=phu!$I$74,M978=phu!$I$75,M978=phu!$I$76,M978=phu!$I$77,M978=phu!$I$78),"Cam Phước Đông",""),IF(OR(M978=phu!$I$79,M978=phu!$I$80,M978=phu!$I$81,M978=phu!$I$82,M978=phu!$I$83,M978=phu!$I$84),"Cam Thịnh Đông",""),IF(OR(M978=phu!$I$85,M978=phu!$I$86,M978=phu!$I$87,M978=phu!$I$88),"Cam Thịnh Tây",""),IF(OR(M978=phu!$I$89,M978=phu!$I$90),"Cam Lập",""),IF(OR(M978=phu!$I$91,M978=phu!$I$92,M978=phu!$I$93),"Cam Bình",""),IF(OR(M978=phu!$I$94,M978=phu!$I$95,M978=phu!$I$96,M978=phu!$I$97,M978=phu!$I$98,M978=phu!$I$99,M978=phu!$I$100),"Huyện khác",""),IF(OR(M978=phu!$I$101,M978=phu!$I$102),"Tỉnh khác",""))</f>
        <v/>
      </c>
      <c r="O978" s="814" t="str">
        <f t="shared" si="91"/>
        <v/>
      </c>
      <c r="P978" s="254"/>
      <c r="Q978" s="254"/>
      <c r="R978" s="254"/>
      <c r="S978" s="254"/>
      <c r="T978" s="254"/>
      <c r="U978" s="254"/>
      <c r="V978" s="254"/>
      <c r="W978" s="254"/>
      <c r="Y978" s="246" t="str">
        <f t="shared" si="92"/>
        <v/>
      </c>
      <c r="Z978" s="247" t="str">
        <f t="shared" si="90"/>
        <v/>
      </c>
      <c r="AA978" s="246" t="str">
        <f t="shared" si="93"/>
        <v/>
      </c>
    </row>
    <row r="979" spans="1:27" x14ac:dyDescent="0.25">
      <c r="A979" s="248" t="str">
        <f t="shared" si="94"/>
        <v/>
      </c>
      <c r="B979" s="249" t="str">
        <f t="shared" si="95"/>
        <v/>
      </c>
      <c r="C979" s="250"/>
      <c r="D979" s="251"/>
      <c r="E979" s="241"/>
      <c r="F979" s="252"/>
      <c r="G979" s="252"/>
      <c r="H979" s="253"/>
      <c r="I979" s="250"/>
      <c r="J979" s="250"/>
      <c r="K979" s="270"/>
      <c r="L979" s="250"/>
      <c r="M979" s="250"/>
      <c r="N979" s="553" t="str">
        <f>CONCATENATE(IF(OR(M979=phu!$I$1,M979=phu!$I$2,M979=phu!$I$3),"Cam Thành Nam",""),IF(OR(M979=phu!$I$4,M979=phu!$I$5,M979=phu!$I$6,M979=phu!$I$7,M979=phu!$I$8,M979=phu!$I$9,M979=phu!$I$10,M979=phu!$I$11,M979=phu!$I$12,M979=phu!$I$13,M979=phu!$I$14),"Cam Nghĩa",""),IF(OR(M979=phu!$I$15,M979=phu!$I$16,M979=phu!$I$17,M979=phu!$I$18,M979=phu!$I$19,M979=phu!$I$20,M979=phu!$I$21),"Cam Phúc Bắc",""),IF(OR(M979=phu!$I$22,M979=phu!$I$23,M979=phu!$I$24,M979=phu!$I$25),"Cam Phúc Nam",""),IF(OR(M979=phu!$I$26,M979=phu!$I$27,M979=phu!$I$28,M979=phu!$I$29,M979=phu!$I$30,M979=phu!$I$31),"Cam Phú",""),IF(OR(M979=phu!$I$32,M979=phu!$I$33,M979=phu!$I$34,M979=phu!$I$35,M979=phu!$I$36,M979=phu!$I$37),"Cam Lộc",""),IF(OR(M979=phu!$I$38,M979=phu!$I$39,M979=phu!$I$40,M979=phu!$I$41,M979=phu!$I$42,M979=phu!$I$43,M979=phu!$I$44),"Cam Thuận",""),IF(OR(M979=phu!$I$45,M979=phu!$I$46,M979=phu!$I$47,M979=phu!$I$48,M979=phu!$I$49,M979=phu!$I$50,M979=phu!$I$51,M979=phu!$I$52,M979=phu!$I$53),"Cam Linh",""),IF(OR(M979=phu!$I$54,M979=phu!$I$55,M979=phu!$I$56,M979=phu!$I$57,M979=phu!$I$58,M979=phu!$I$59,M979=phu!$I$60,M979=phu!$I$61,M979=phu!$I$62),"Cam Lợi",""),IF(OR(M979=phu!$I$63,M979=phu!$I$64,M979=phu!$I$65,M979=phu!$I$66,M979=phu!$I$67,M979=phu!$I$68,M979=phu!$I$69,M979=phu!$I$70,M979=phu!$I$71),"Ba Ngòi",""),IF(OR(M979=phu!$I$72,M979=phu!$I$73,M979=phu!$I$74,M979=phu!$I$75,M979=phu!$I$76,M979=phu!$I$77,M979=phu!$I$78),"Cam Phước Đông",""),IF(OR(M979=phu!$I$79,M979=phu!$I$80,M979=phu!$I$81,M979=phu!$I$82,M979=phu!$I$83,M979=phu!$I$84),"Cam Thịnh Đông",""),IF(OR(M979=phu!$I$85,M979=phu!$I$86,M979=phu!$I$87,M979=phu!$I$88),"Cam Thịnh Tây",""),IF(OR(M979=phu!$I$89,M979=phu!$I$90),"Cam Lập",""),IF(OR(M979=phu!$I$91,M979=phu!$I$92,M979=phu!$I$93),"Cam Bình",""),IF(OR(M979=phu!$I$94,M979=phu!$I$95,M979=phu!$I$96,M979=phu!$I$97,M979=phu!$I$98,M979=phu!$I$99,M979=phu!$I$100),"Huyện khác",""),IF(OR(M979=phu!$I$101,M979=phu!$I$102),"Tỉnh khác",""))</f>
        <v/>
      </c>
      <c r="O979" s="814" t="str">
        <f t="shared" si="91"/>
        <v/>
      </c>
      <c r="P979" s="254"/>
      <c r="Q979" s="254"/>
      <c r="R979" s="254"/>
      <c r="S979" s="254"/>
      <c r="T979" s="254"/>
      <c r="U979" s="254"/>
      <c r="V979" s="254"/>
      <c r="W979" s="254"/>
      <c r="Y979" s="246" t="str">
        <f t="shared" si="92"/>
        <v/>
      </c>
      <c r="Z979" s="247" t="str">
        <f t="shared" si="90"/>
        <v/>
      </c>
      <c r="AA979" s="246" t="str">
        <f t="shared" si="93"/>
        <v/>
      </c>
    </row>
    <row r="980" spans="1:27" x14ac:dyDescent="0.25">
      <c r="A980" s="248" t="str">
        <f t="shared" si="94"/>
        <v/>
      </c>
      <c r="B980" s="249" t="str">
        <f t="shared" si="95"/>
        <v/>
      </c>
      <c r="C980" s="250"/>
      <c r="D980" s="251"/>
      <c r="E980" s="241"/>
      <c r="F980" s="252"/>
      <c r="G980" s="252"/>
      <c r="H980" s="253"/>
      <c r="I980" s="250"/>
      <c r="J980" s="250"/>
      <c r="K980" s="270"/>
      <c r="L980" s="250"/>
      <c r="M980" s="250"/>
      <c r="N980" s="553" t="str">
        <f>CONCATENATE(IF(OR(M980=phu!$I$1,M980=phu!$I$2,M980=phu!$I$3),"Cam Thành Nam",""),IF(OR(M980=phu!$I$4,M980=phu!$I$5,M980=phu!$I$6,M980=phu!$I$7,M980=phu!$I$8,M980=phu!$I$9,M980=phu!$I$10,M980=phu!$I$11,M980=phu!$I$12,M980=phu!$I$13,M980=phu!$I$14),"Cam Nghĩa",""),IF(OR(M980=phu!$I$15,M980=phu!$I$16,M980=phu!$I$17,M980=phu!$I$18,M980=phu!$I$19,M980=phu!$I$20,M980=phu!$I$21),"Cam Phúc Bắc",""),IF(OR(M980=phu!$I$22,M980=phu!$I$23,M980=phu!$I$24,M980=phu!$I$25),"Cam Phúc Nam",""),IF(OR(M980=phu!$I$26,M980=phu!$I$27,M980=phu!$I$28,M980=phu!$I$29,M980=phu!$I$30,M980=phu!$I$31),"Cam Phú",""),IF(OR(M980=phu!$I$32,M980=phu!$I$33,M980=phu!$I$34,M980=phu!$I$35,M980=phu!$I$36,M980=phu!$I$37),"Cam Lộc",""),IF(OR(M980=phu!$I$38,M980=phu!$I$39,M980=phu!$I$40,M980=phu!$I$41,M980=phu!$I$42,M980=phu!$I$43,M980=phu!$I$44),"Cam Thuận",""),IF(OR(M980=phu!$I$45,M980=phu!$I$46,M980=phu!$I$47,M980=phu!$I$48,M980=phu!$I$49,M980=phu!$I$50,M980=phu!$I$51,M980=phu!$I$52,M980=phu!$I$53),"Cam Linh",""),IF(OR(M980=phu!$I$54,M980=phu!$I$55,M980=phu!$I$56,M980=phu!$I$57,M980=phu!$I$58,M980=phu!$I$59,M980=phu!$I$60,M980=phu!$I$61,M980=phu!$I$62),"Cam Lợi",""),IF(OR(M980=phu!$I$63,M980=phu!$I$64,M980=phu!$I$65,M980=phu!$I$66,M980=phu!$I$67,M980=phu!$I$68,M980=phu!$I$69,M980=phu!$I$70,M980=phu!$I$71),"Ba Ngòi",""),IF(OR(M980=phu!$I$72,M980=phu!$I$73,M980=phu!$I$74,M980=phu!$I$75,M980=phu!$I$76,M980=phu!$I$77,M980=phu!$I$78),"Cam Phước Đông",""),IF(OR(M980=phu!$I$79,M980=phu!$I$80,M980=phu!$I$81,M980=phu!$I$82,M980=phu!$I$83,M980=phu!$I$84),"Cam Thịnh Đông",""),IF(OR(M980=phu!$I$85,M980=phu!$I$86,M980=phu!$I$87,M980=phu!$I$88),"Cam Thịnh Tây",""),IF(OR(M980=phu!$I$89,M980=phu!$I$90),"Cam Lập",""),IF(OR(M980=phu!$I$91,M980=phu!$I$92,M980=phu!$I$93),"Cam Bình",""),IF(OR(M980=phu!$I$94,M980=phu!$I$95,M980=phu!$I$96,M980=phu!$I$97,M980=phu!$I$98,M980=phu!$I$99,M980=phu!$I$100),"Huyện khác",""),IF(OR(M980=phu!$I$101,M980=phu!$I$102),"Tỉnh khác",""))</f>
        <v/>
      </c>
      <c r="O980" s="814" t="str">
        <f t="shared" si="91"/>
        <v/>
      </c>
      <c r="P980" s="254"/>
      <c r="Q980" s="254"/>
      <c r="R980" s="254"/>
      <c r="S980" s="254"/>
      <c r="T980" s="254"/>
      <c r="U980" s="254"/>
      <c r="V980" s="254"/>
      <c r="W980" s="254"/>
      <c r="Y980" s="246" t="str">
        <f t="shared" si="92"/>
        <v/>
      </c>
      <c r="Z980" s="247" t="str">
        <f t="shared" si="90"/>
        <v/>
      </c>
      <c r="AA980" s="246" t="str">
        <f t="shared" si="93"/>
        <v/>
      </c>
    </row>
    <row r="981" spans="1:27" x14ac:dyDescent="0.25">
      <c r="A981" s="248" t="str">
        <f t="shared" si="94"/>
        <v/>
      </c>
      <c r="B981" s="249" t="str">
        <f t="shared" si="95"/>
        <v/>
      </c>
      <c r="C981" s="250"/>
      <c r="D981" s="251"/>
      <c r="E981" s="241"/>
      <c r="F981" s="252"/>
      <c r="G981" s="252"/>
      <c r="H981" s="253"/>
      <c r="I981" s="250"/>
      <c r="J981" s="250"/>
      <c r="K981" s="270"/>
      <c r="L981" s="250"/>
      <c r="M981" s="250"/>
      <c r="N981" s="553" t="str">
        <f>CONCATENATE(IF(OR(M981=phu!$I$1,M981=phu!$I$2,M981=phu!$I$3),"Cam Thành Nam",""),IF(OR(M981=phu!$I$4,M981=phu!$I$5,M981=phu!$I$6,M981=phu!$I$7,M981=phu!$I$8,M981=phu!$I$9,M981=phu!$I$10,M981=phu!$I$11,M981=phu!$I$12,M981=phu!$I$13,M981=phu!$I$14),"Cam Nghĩa",""),IF(OR(M981=phu!$I$15,M981=phu!$I$16,M981=phu!$I$17,M981=phu!$I$18,M981=phu!$I$19,M981=phu!$I$20,M981=phu!$I$21),"Cam Phúc Bắc",""),IF(OR(M981=phu!$I$22,M981=phu!$I$23,M981=phu!$I$24,M981=phu!$I$25),"Cam Phúc Nam",""),IF(OR(M981=phu!$I$26,M981=phu!$I$27,M981=phu!$I$28,M981=phu!$I$29,M981=phu!$I$30,M981=phu!$I$31),"Cam Phú",""),IF(OR(M981=phu!$I$32,M981=phu!$I$33,M981=phu!$I$34,M981=phu!$I$35,M981=phu!$I$36,M981=phu!$I$37),"Cam Lộc",""),IF(OR(M981=phu!$I$38,M981=phu!$I$39,M981=phu!$I$40,M981=phu!$I$41,M981=phu!$I$42,M981=phu!$I$43,M981=phu!$I$44),"Cam Thuận",""),IF(OR(M981=phu!$I$45,M981=phu!$I$46,M981=phu!$I$47,M981=phu!$I$48,M981=phu!$I$49,M981=phu!$I$50,M981=phu!$I$51,M981=phu!$I$52,M981=phu!$I$53),"Cam Linh",""),IF(OR(M981=phu!$I$54,M981=phu!$I$55,M981=phu!$I$56,M981=phu!$I$57,M981=phu!$I$58,M981=phu!$I$59,M981=phu!$I$60,M981=phu!$I$61,M981=phu!$I$62),"Cam Lợi",""),IF(OR(M981=phu!$I$63,M981=phu!$I$64,M981=phu!$I$65,M981=phu!$I$66,M981=phu!$I$67,M981=phu!$I$68,M981=phu!$I$69,M981=phu!$I$70,M981=phu!$I$71),"Ba Ngòi",""),IF(OR(M981=phu!$I$72,M981=phu!$I$73,M981=phu!$I$74,M981=phu!$I$75,M981=phu!$I$76,M981=phu!$I$77,M981=phu!$I$78),"Cam Phước Đông",""),IF(OR(M981=phu!$I$79,M981=phu!$I$80,M981=phu!$I$81,M981=phu!$I$82,M981=phu!$I$83,M981=phu!$I$84),"Cam Thịnh Đông",""),IF(OR(M981=phu!$I$85,M981=phu!$I$86,M981=phu!$I$87,M981=phu!$I$88),"Cam Thịnh Tây",""),IF(OR(M981=phu!$I$89,M981=phu!$I$90),"Cam Lập",""),IF(OR(M981=phu!$I$91,M981=phu!$I$92,M981=phu!$I$93),"Cam Bình",""),IF(OR(M981=phu!$I$94,M981=phu!$I$95,M981=phu!$I$96,M981=phu!$I$97,M981=phu!$I$98,M981=phu!$I$99,M981=phu!$I$100),"Huyện khác",""),IF(OR(M981=phu!$I$101,M981=phu!$I$102),"Tỉnh khác",""))</f>
        <v/>
      </c>
      <c r="O981" s="814" t="str">
        <f t="shared" si="91"/>
        <v/>
      </c>
      <c r="P981" s="254"/>
      <c r="Q981" s="254"/>
      <c r="R981" s="254"/>
      <c r="S981" s="254"/>
      <c r="T981" s="254"/>
      <c r="U981" s="254"/>
      <c r="V981" s="254"/>
      <c r="W981" s="254"/>
      <c r="Y981" s="246" t="str">
        <f t="shared" si="92"/>
        <v/>
      </c>
      <c r="Z981" s="247" t="str">
        <f t="shared" si="90"/>
        <v/>
      </c>
      <c r="AA981" s="246" t="str">
        <f t="shared" si="93"/>
        <v/>
      </c>
    </row>
    <row r="982" spans="1:27" x14ac:dyDescent="0.25">
      <c r="A982" s="248" t="str">
        <f t="shared" si="94"/>
        <v/>
      </c>
      <c r="B982" s="249" t="str">
        <f t="shared" si="95"/>
        <v/>
      </c>
      <c r="C982" s="250"/>
      <c r="D982" s="251"/>
      <c r="E982" s="241"/>
      <c r="F982" s="252"/>
      <c r="G982" s="252"/>
      <c r="H982" s="253"/>
      <c r="I982" s="250"/>
      <c r="J982" s="250"/>
      <c r="K982" s="270"/>
      <c r="L982" s="250"/>
      <c r="M982" s="250"/>
      <c r="N982" s="553" t="str">
        <f>CONCATENATE(IF(OR(M982=phu!$I$1,M982=phu!$I$2,M982=phu!$I$3),"Cam Thành Nam",""),IF(OR(M982=phu!$I$4,M982=phu!$I$5,M982=phu!$I$6,M982=phu!$I$7,M982=phu!$I$8,M982=phu!$I$9,M982=phu!$I$10,M982=phu!$I$11,M982=phu!$I$12,M982=phu!$I$13,M982=phu!$I$14),"Cam Nghĩa",""),IF(OR(M982=phu!$I$15,M982=phu!$I$16,M982=phu!$I$17,M982=phu!$I$18,M982=phu!$I$19,M982=phu!$I$20,M982=phu!$I$21),"Cam Phúc Bắc",""),IF(OR(M982=phu!$I$22,M982=phu!$I$23,M982=phu!$I$24,M982=phu!$I$25),"Cam Phúc Nam",""),IF(OR(M982=phu!$I$26,M982=phu!$I$27,M982=phu!$I$28,M982=phu!$I$29,M982=phu!$I$30,M982=phu!$I$31),"Cam Phú",""),IF(OR(M982=phu!$I$32,M982=phu!$I$33,M982=phu!$I$34,M982=phu!$I$35,M982=phu!$I$36,M982=phu!$I$37),"Cam Lộc",""),IF(OR(M982=phu!$I$38,M982=phu!$I$39,M982=phu!$I$40,M982=phu!$I$41,M982=phu!$I$42,M982=phu!$I$43,M982=phu!$I$44),"Cam Thuận",""),IF(OR(M982=phu!$I$45,M982=phu!$I$46,M982=phu!$I$47,M982=phu!$I$48,M982=phu!$I$49,M982=phu!$I$50,M982=phu!$I$51,M982=phu!$I$52,M982=phu!$I$53),"Cam Linh",""),IF(OR(M982=phu!$I$54,M982=phu!$I$55,M982=phu!$I$56,M982=phu!$I$57,M982=phu!$I$58,M982=phu!$I$59,M982=phu!$I$60,M982=phu!$I$61,M982=phu!$I$62),"Cam Lợi",""),IF(OR(M982=phu!$I$63,M982=phu!$I$64,M982=phu!$I$65,M982=phu!$I$66,M982=phu!$I$67,M982=phu!$I$68,M982=phu!$I$69,M982=phu!$I$70,M982=phu!$I$71),"Ba Ngòi",""),IF(OR(M982=phu!$I$72,M982=phu!$I$73,M982=phu!$I$74,M982=phu!$I$75,M982=phu!$I$76,M982=phu!$I$77,M982=phu!$I$78),"Cam Phước Đông",""),IF(OR(M982=phu!$I$79,M982=phu!$I$80,M982=phu!$I$81,M982=phu!$I$82,M982=phu!$I$83,M982=phu!$I$84),"Cam Thịnh Đông",""),IF(OR(M982=phu!$I$85,M982=phu!$I$86,M982=phu!$I$87,M982=phu!$I$88),"Cam Thịnh Tây",""),IF(OR(M982=phu!$I$89,M982=phu!$I$90),"Cam Lập",""),IF(OR(M982=phu!$I$91,M982=phu!$I$92,M982=phu!$I$93),"Cam Bình",""),IF(OR(M982=phu!$I$94,M982=phu!$I$95,M982=phu!$I$96,M982=phu!$I$97,M982=phu!$I$98,M982=phu!$I$99,M982=phu!$I$100),"Huyện khác",""),IF(OR(M982=phu!$I$101,M982=phu!$I$102),"Tỉnh khác",""))</f>
        <v/>
      </c>
      <c r="O982" s="814" t="str">
        <f t="shared" si="91"/>
        <v/>
      </c>
      <c r="P982" s="254"/>
      <c r="Q982" s="254"/>
      <c r="R982" s="254"/>
      <c r="S982" s="254"/>
      <c r="T982" s="254"/>
      <c r="U982" s="254"/>
      <c r="V982" s="254"/>
      <c r="W982" s="254"/>
      <c r="Y982" s="246" t="str">
        <f t="shared" si="92"/>
        <v/>
      </c>
      <c r="Z982" s="247" t="str">
        <f t="shared" si="90"/>
        <v/>
      </c>
      <c r="AA982" s="246" t="str">
        <f t="shared" si="93"/>
        <v/>
      </c>
    </row>
    <row r="983" spans="1:27" x14ac:dyDescent="0.25">
      <c r="A983" s="248" t="str">
        <f t="shared" si="94"/>
        <v/>
      </c>
      <c r="B983" s="249" t="str">
        <f t="shared" si="95"/>
        <v/>
      </c>
      <c r="C983" s="250"/>
      <c r="D983" s="251"/>
      <c r="E983" s="241"/>
      <c r="F983" s="252"/>
      <c r="G983" s="252"/>
      <c r="H983" s="253"/>
      <c r="I983" s="250"/>
      <c r="J983" s="250"/>
      <c r="K983" s="270"/>
      <c r="L983" s="250"/>
      <c r="M983" s="250"/>
      <c r="N983" s="553" t="str">
        <f>CONCATENATE(IF(OR(M983=phu!$I$1,M983=phu!$I$2,M983=phu!$I$3),"Cam Thành Nam",""),IF(OR(M983=phu!$I$4,M983=phu!$I$5,M983=phu!$I$6,M983=phu!$I$7,M983=phu!$I$8,M983=phu!$I$9,M983=phu!$I$10,M983=phu!$I$11,M983=phu!$I$12,M983=phu!$I$13,M983=phu!$I$14),"Cam Nghĩa",""),IF(OR(M983=phu!$I$15,M983=phu!$I$16,M983=phu!$I$17,M983=phu!$I$18,M983=phu!$I$19,M983=phu!$I$20,M983=phu!$I$21),"Cam Phúc Bắc",""),IF(OR(M983=phu!$I$22,M983=phu!$I$23,M983=phu!$I$24,M983=phu!$I$25),"Cam Phúc Nam",""),IF(OR(M983=phu!$I$26,M983=phu!$I$27,M983=phu!$I$28,M983=phu!$I$29,M983=phu!$I$30,M983=phu!$I$31),"Cam Phú",""),IF(OR(M983=phu!$I$32,M983=phu!$I$33,M983=phu!$I$34,M983=phu!$I$35,M983=phu!$I$36,M983=phu!$I$37),"Cam Lộc",""),IF(OR(M983=phu!$I$38,M983=phu!$I$39,M983=phu!$I$40,M983=phu!$I$41,M983=phu!$I$42,M983=phu!$I$43,M983=phu!$I$44),"Cam Thuận",""),IF(OR(M983=phu!$I$45,M983=phu!$I$46,M983=phu!$I$47,M983=phu!$I$48,M983=phu!$I$49,M983=phu!$I$50,M983=phu!$I$51,M983=phu!$I$52,M983=phu!$I$53),"Cam Linh",""),IF(OR(M983=phu!$I$54,M983=phu!$I$55,M983=phu!$I$56,M983=phu!$I$57,M983=phu!$I$58,M983=phu!$I$59,M983=phu!$I$60,M983=phu!$I$61,M983=phu!$I$62),"Cam Lợi",""),IF(OR(M983=phu!$I$63,M983=phu!$I$64,M983=phu!$I$65,M983=phu!$I$66,M983=phu!$I$67,M983=phu!$I$68,M983=phu!$I$69,M983=phu!$I$70,M983=phu!$I$71),"Ba Ngòi",""),IF(OR(M983=phu!$I$72,M983=phu!$I$73,M983=phu!$I$74,M983=phu!$I$75,M983=phu!$I$76,M983=phu!$I$77,M983=phu!$I$78),"Cam Phước Đông",""),IF(OR(M983=phu!$I$79,M983=phu!$I$80,M983=phu!$I$81,M983=phu!$I$82,M983=phu!$I$83,M983=phu!$I$84),"Cam Thịnh Đông",""),IF(OR(M983=phu!$I$85,M983=phu!$I$86,M983=phu!$I$87,M983=phu!$I$88),"Cam Thịnh Tây",""),IF(OR(M983=phu!$I$89,M983=phu!$I$90),"Cam Lập",""),IF(OR(M983=phu!$I$91,M983=phu!$I$92,M983=phu!$I$93),"Cam Bình",""),IF(OR(M983=phu!$I$94,M983=phu!$I$95,M983=phu!$I$96,M983=phu!$I$97,M983=phu!$I$98,M983=phu!$I$99,M983=phu!$I$100),"Huyện khác",""),IF(OR(M983=phu!$I$101,M983=phu!$I$102),"Tỉnh khác",""))</f>
        <v/>
      </c>
      <c r="O983" s="814" t="str">
        <f t="shared" si="91"/>
        <v/>
      </c>
      <c r="P983" s="254"/>
      <c r="Q983" s="254"/>
      <c r="R983" s="254"/>
      <c r="S983" s="254"/>
      <c r="T983" s="254"/>
      <c r="U983" s="254"/>
      <c r="V983" s="254"/>
      <c r="W983" s="254"/>
      <c r="Y983" s="246" t="str">
        <f t="shared" si="92"/>
        <v/>
      </c>
      <c r="Z983" s="247" t="str">
        <f t="shared" si="90"/>
        <v/>
      </c>
      <c r="AA983" s="246" t="str">
        <f t="shared" si="93"/>
        <v/>
      </c>
    </row>
    <row r="984" spans="1:27" x14ac:dyDescent="0.25">
      <c r="A984" s="248" t="str">
        <f t="shared" si="94"/>
        <v/>
      </c>
      <c r="B984" s="249" t="str">
        <f t="shared" si="95"/>
        <v/>
      </c>
      <c r="C984" s="250"/>
      <c r="D984" s="251"/>
      <c r="E984" s="241"/>
      <c r="F984" s="252"/>
      <c r="G984" s="252"/>
      <c r="H984" s="253"/>
      <c r="I984" s="250"/>
      <c r="J984" s="250"/>
      <c r="K984" s="270"/>
      <c r="L984" s="250"/>
      <c r="M984" s="250"/>
      <c r="N984" s="553" t="str">
        <f>CONCATENATE(IF(OR(M984=phu!$I$1,M984=phu!$I$2,M984=phu!$I$3),"Cam Thành Nam",""),IF(OR(M984=phu!$I$4,M984=phu!$I$5,M984=phu!$I$6,M984=phu!$I$7,M984=phu!$I$8,M984=phu!$I$9,M984=phu!$I$10,M984=phu!$I$11,M984=phu!$I$12,M984=phu!$I$13,M984=phu!$I$14),"Cam Nghĩa",""),IF(OR(M984=phu!$I$15,M984=phu!$I$16,M984=phu!$I$17,M984=phu!$I$18,M984=phu!$I$19,M984=phu!$I$20,M984=phu!$I$21),"Cam Phúc Bắc",""),IF(OR(M984=phu!$I$22,M984=phu!$I$23,M984=phu!$I$24,M984=phu!$I$25),"Cam Phúc Nam",""),IF(OR(M984=phu!$I$26,M984=phu!$I$27,M984=phu!$I$28,M984=phu!$I$29,M984=phu!$I$30,M984=phu!$I$31),"Cam Phú",""),IF(OR(M984=phu!$I$32,M984=phu!$I$33,M984=phu!$I$34,M984=phu!$I$35,M984=phu!$I$36,M984=phu!$I$37),"Cam Lộc",""),IF(OR(M984=phu!$I$38,M984=phu!$I$39,M984=phu!$I$40,M984=phu!$I$41,M984=phu!$I$42,M984=phu!$I$43,M984=phu!$I$44),"Cam Thuận",""),IF(OR(M984=phu!$I$45,M984=phu!$I$46,M984=phu!$I$47,M984=phu!$I$48,M984=phu!$I$49,M984=phu!$I$50,M984=phu!$I$51,M984=phu!$I$52,M984=phu!$I$53),"Cam Linh",""),IF(OR(M984=phu!$I$54,M984=phu!$I$55,M984=phu!$I$56,M984=phu!$I$57,M984=phu!$I$58,M984=phu!$I$59,M984=phu!$I$60,M984=phu!$I$61,M984=phu!$I$62),"Cam Lợi",""),IF(OR(M984=phu!$I$63,M984=phu!$I$64,M984=phu!$I$65,M984=phu!$I$66,M984=phu!$I$67,M984=phu!$I$68,M984=phu!$I$69,M984=phu!$I$70,M984=phu!$I$71),"Ba Ngòi",""),IF(OR(M984=phu!$I$72,M984=phu!$I$73,M984=phu!$I$74,M984=phu!$I$75,M984=phu!$I$76,M984=phu!$I$77,M984=phu!$I$78),"Cam Phước Đông",""),IF(OR(M984=phu!$I$79,M984=phu!$I$80,M984=phu!$I$81,M984=phu!$I$82,M984=phu!$I$83,M984=phu!$I$84),"Cam Thịnh Đông",""),IF(OR(M984=phu!$I$85,M984=phu!$I$86,M984=phu!$I$87,M984=phu!$I$88),"Cam Thịnh Tây",""),IF(OR(M984=phu!$I$89,M984=phu!$I$90),"Cam Lập",""),IF(OR(M984=phu!$I$91,M984=phu!$I$92,M984=phu!$I$93),"Cam Bình",""),IF(OR(M984=phu!$I$94,M984=phu!$I$95,M984=phu!$I$96,M984=phu!$I$97,M984=phu!$I$98,M984=phu!$I$99,M984=phu!$I$100),"Huyện khác",""),IF(OR(M984=phu!$I$101,M984=phu!$I$102),"Tỉnh khác",""))</f>
        <v/>
      </c>
      <c r="O984" s="814" t="str">
        <f t="shared" si="91"/>
        <v/>
      </c>
      <c r="P984" s="254"/>
      <c r="Q984" s="254"/>
      <c r="R984" s="254"/>
      <c r="S984" s="254"/>
      <c r="T984" s="254"/>
      <c r="U984" s="254"/>
      <c r="V984" s="254"/>
      <c r="W984" s="254"/>
      <c r="Y984" s="246" t="str">
        <f t="shared" si="92"/>
        <v/>
      </c>
      <c r="Z984" s="247" t="str">
        <f t="shared" si="90"/>
        <v/>
      </c>
      <c r="AA984" s="246" t="str">
        <f t="shared" si="93"/>
        <v/>
      </c>
    </row>
    <row r="985" spans="1:27" x14ac:dyDescent="0.25">
      <c r="A985" s="248" t="str">
        <f t="shared" si="94"/>
        <v/>
      </c>
      <c r="B985" s="249" t="str">
        <f t="shared" si="95"/>
        <v/>
      </c>
      <c r="C985" s="250"/>
      <c r="D985" s="251"/>
      <c r="E985" s="241"/>
      <c r="F985" s="252"/>
      <c r="G985" s="252"/>
      <c r="H985" s="253"/>
      <c r="I985" s="250"/>
      <c r="J985" s="250"/>
      <c r="K985" s="270"/>
      <c r="L985" s="250"/>
      <c r="M985" s="250"/>
      <c r="N985" s="553" t="str">
        <f>CONCATENATE(IF(OR(M985=phu!$I$1,M985=phu!$I$2,M985=phu!$I$3),"Cam Thành Nam",""),IF(OR(M985=phu!$I$4,M985=phu!$I$5,M985=phu!$I$6,M985=phu!$I$7,M985=phu!$I$8,M985=phu!$I$9,M985=phu!$I$10,M985=phu!$I$11,M985=phu!$I$12,M985=phu!$I$13,M985=phu!$I$14),"Cam Nghĩa",""),IF(OR(M985=phu!$I$15,M985=phu!$I$16,M985=phu!$I$17,M985=phu!$I$18,M985=phu!$I$19,M985=phu!$I$20,M985=phu!$I$21),"Cam Phúc Bắc",""),IF(OR(M985=phu!$I$22,M985=phu!$I$23,M985=phu!$I$24,M985=phu!$I$25),"Cam Phúc Nam",""),IF(OR(M985=phu!$I$26,M985=phu!$I$27,M985=phu!$I$28,M985=phu!$I$29,M985=phu!$I$30,M985=phu!$I$31),"Cam Phú",""),IF(OR(M985=phu!$I$32,M985=phu!$I$33,M985=phu!$I$34,M985=phu!$I$35,M985=phu!$I$36,M985=phu!$I$37),"Cam Lộc",""),IF(OR(M985=phu!$I$38,M985=phu!$I$39,M985=phu!$I$40,M985=phu!$I$41,M985=phu!$I$42,M985=phu!$I$43,M985=phu!$I$44),"Cam Thuận",""),IF(OR(M985=phu!$I$45,M985=phu!$I$46,M985=phu!$I$47,M985=phu!$I$48,M985=phu!$I$49,M985=phu!$I$50,M985=phu!$I$51,M985=phu!$I$52,M985=phu!$I$53),"Cam Linh",""),IF(OR(M985=phu!$I$54,M985=phu!$I$55,M985=phu!$I$56,M985=phu!$I$57,M985=phu!$I$58,M985=phu!$I$59,M985=phu!$I$60,M985=phu!$I$61,M985=phu!$I$62),"Cam Lợi",""),IF(OR(M985=phu!$I$63,M985=phu!$I$64,M985=phu!$I$65,M985=phu!$I$66,M985=phu!$I$67,M985=phu!$I$68,M985=phu!$I$69,M985=phu!$I$70,M985=phu!$I$71),"Ba Ngòi",""),IF(OR(M985=phu!$I$72,M985=phu!$I$73,M985=phu!$I$74,M985=phu!$I$75,M985=phu!$I$76,M985=phu!$I$77,M985=phu!$I$78),"Cam Phước Đông",""),IF(OR(M985=phu!$I$79,M985=phu!$I$80,M985=phu!$I$81,M985=phu!$I$82,M985=phu!$I$83,M985=phu!$I$84),"Cam Thịnh Đông",""),IF(OR(M985=phu!$I$85,M985=phu!$I$86,M985=phu!$I$87,M985=phu!$I$88),"Cam Thịnh Tây",""),IF(OR(M985=phu!$I$89,M985=phu!$I$90),"Cam Lập",""),IF(OR(M985=phu!$I$91,M985=phu!$I$92,M985=phu!$I$93),"Cam Bình",""),IF(OR(M985=phu!$I$94,M985=phu!$I$95,M985=phu!$I$96,M985=phu!$I$97,M985=phu!$I$98,M985=phu!$I$99,M985=phu!$I$100),"Huyện khác",""),IF(OR(M985=phu!$I$101,M985=phu!$I$102),"Tỉnh khác",""))</f>
        <v/>
      </c>
      <c r="O985" s="814" t="str">
        <f t="shared" si="91"/>
        <v/>
      </c>
      <c r="P985" s="254"/>
      <c r="Q985" s="254"/>
      <c r="R985" s="254"/>
      <c r="S985" s="254"/>
      <c r="T985" s="254"/>
      <c r="U985" s="254"/>
      <c r="V985" s="254"/>
      <c r="W985" s="254"/>
      <c r="Y985" s="246" t="str">
        <f t="shared" si="92"/>
        <v/>
      </c>
      <c r="Z985" s="247" t="str">
        <f t="shared" si="90"/>
        <v/>
      </c>
      <c r="AA985" s="246" t="str">
        <f t="shared" si="93"/>
        <v/>
      </c>
    </row>
    <row r="986" spans="1:27" x14ac:dyDescent="0.25">
      <c r="A986" s="248" t="str">
        <f t="shared" si="94"/>
        <v/>
      </c>
      <c r="B986" s="249" t="str">
        <f t="shared" si="95"/>
        <v/>
      </c>
      <c r="C986" s="250"/>
      <c r="D986" s="251"/>
      <c r="E986" s="241"/>
      <c r="F986" s="252"/>
      <c r="G986" s="252"/>
      <c r="H986" s="253"/>
      <c r="I986" s="250"/>
      <c r="J986" s="250"/>
      <c r="K986" s="270"/>
      <c r="L986" s="250"/>
      <c r="M986" s="250"/>
      <c r="N986" s="553" t="str">
        <f>CONCATENATE(IF(OR(M986=phu!$I$1,M986=phu!$I$2,M986=phu!$I$3),"Cam Thành Nam",""),IF(OR(M986=phu!$I$4,M986=phu!$I$5,M986=phu!$I$6,M986=phu!$I$7,M986=phu!$I$8,M986=phu!$I$9,M986=phu!$I$10,M986=phu!$I$11,M986=phu!$I$12,M986=phu!$I$13,M986=phu!$I$14),"Cam Nghĩa",""),IF(OR(M986=phu!$I$15,M986=phu!$I$16,M986=phu!$I$17,M986=phu!$I$18,M986=phu!$I$19,M986=phu!$I$20,M986=phu!$I$21),"Cam Phúc Bắc",""),IF(OR(M986=phu!$I$22,M986=phu!$I$23,M986=phu!$I$24,M986=phu!$I$25),"Cam Phúc Nam",""),IF(OR(M986=phu!$I$26,M986=phu!$I$27,M986=phu!$I$28,M986=phu!$I$29,M986=phu!$I$30,M986=phu!$I$31),"Cam Phú",""),IF(OR(M986=phu!$I$32,M986=phu!$I$33,M986=phu!$I$34,M986=phu!$I$35,M986=phu!$I$36,M986=phu!$I$37),"Cam Lộc",""),IF(OR(M986=phu!$I$38,M986=phu!$I$39,M986=phu!$I$40,M986=phu!$I$41,M986=phu!$I$42,M986=phu!$I$43,M986=phu!$I$44),"Cam Thuận",""),IF(OR(M986=phu!$I$45,M986=phu!$I$46,M986=phu!$I$47,M986=phu!$I$48,M986=phu!$I$49,M986=phu!$I$50,M986=phu!$I$51,M986=phu!$I$52,M986=phu!$I$53),"Cam Linh",""),IF(OR(M986=phu!$I$54,M986=phu!$I$55,M986=phu!$I$56,M986=phu!$I$57,M986=phu!$I$58,M986=phu!$I$59,M986=phu!$I$60,M986=phu!$I$61,M986=phu!$I$62),"Cam Lợi",""),IF(OR(M986=phu!$I$63,M986=phu!$I$64,M986=phu!$I$65,M986=phu!$I$66,M986=phu!$I$67,M986=phu!$I$68,M986=phu!$I$69,M986=phu!$I$70,M986=phu!$I$71),"Ba Ngòi",""),IF(OR(M986=phu!$I$72,M986=phu!$I$73,M986=phu!$I$74,M986=phu!$I$75,M986=phu!$I$76,M986=phu!$I$77,M986=phu!$I$78),"Cam Phước Đông",""),IF(OR(M986=phu!$I$79,M986=phu!$I$80,M986=phu!$I$81,M986=phu!$I$82,M986=phu!$I$83,M986=phu!$I$84),"Cam Thịnh Đông",""),IF(OR(M986=phu!$I$85,M986=phu!$I$86,M986=phu!$I$87,M986=phu!$I$88),"Cam Thịnh Tây",""),IF(OR(M986=phu!$I$89,M986=phu!$I$90),"Cam Lập",""),IF(OR(M986=phu!$I$91,M986=phu!$I$92,M986=phu!$I$93),"Cam Bình",""),IF(OR(M986=phu!$I$94,M986=phu!$I$95,M986=phu!$I$96,M986=phu!$I$97,M986=phu!$I$98,M986=phu!$I$99,M986=phu!$I$100),"Huyện khác",""),IF(OR(M986=phu!$I$101,M986=phu!$I$102),"Tỉnh khác",""))</f>
        <v/>
      </c>
      <c r="O986" s="814" t="str">
        <f t="shared" si="91"/>
        <v/>
      </c>
      <c r="P986" s="254"/>
      <c r="Q986" s="254"/>
      <c r="R986" s="254"/>
      <c r="S986" s="254"/>
      <c r="T986" s="254"/>
      <c r="U986" s="254"/>
      <c r="V986" s="254"/>
      <c r="W986" s="254"/>
      <c r="Y986" s="246" t="str">
        <f t="shared" si="92"/>
        <v/>
      </c>
      <c r="Z986" s="247" t="str">
        <f t="shared" si="90"/>
        <v/>
      </c>
      <c r="AA986" s="246" t="str">
        <f t="shared" si="93"/>
        <v/>
      </c>
    </row>
    <row r="987" spans="1:27" x14ac:dyDescent="0.25">
      <c r="A987" s="248" t="str">
        <f t="shared" si="94"/>
        <v/>
      </c>
      <c r="B987" s="249" t="str">
        <f t="shared" si="95"/>
        <v/>
      </c>
      <c r="C987" s="250"/>
      <c r="D987" s="251"/>
      <c r="E987" s="241"/>
      <c r="F987" s="252"/>
      <c r="G987" s="252"/>
      <c r="H987" s="253"/>
      <c r="I987" s="250"/>
      <c r="J987" s="250"/>
      <c r="K987" s="270"/>
      <c r="L987" s="250"/>
      <c r="M987" s="250"/>
      <c r="N987" s="553" t="str">
        <f>CONCATENATE(IF(OR(M987=phu!$I$1,M987=phu!$I$2,M987=phu!$I$3),"Cam Thành Nam",""),IF(OR(M987=phu!$I$4,M987=phu!$I$5,M987=phu!$I$6,M987=phu!$I$7,M987=phu!$I$8,M987=phu!$I$9,M987=phu!$I$10,M987=phu!$I$11,M987=phu!$I$12,M987=phu!$I$13,M987=phu!$I$14),"Cam Nghĩa",""),IF(OR(M987=phu!$I$15,M987=phu!$I$16,M987=phu!$I$17,M987=phu!$I$18,M987=phu!$I$19,M987=phu!$I$20,M987=phu!$I$21),"Cam Phúc Bắc",""),IF(OR(M987=phu!$I$22,M987=phu!$I$23,M987=phu!$I$24,M987=phu!$I$25),"Cam Phúc Nam",""),IF(OR(M987=phu!$I$26,M987=phu!$I$27,M987=phu!$I$28,M987=phu!$I$29,M987=phu!$I$30,M987=phu!$I$31),"Cam Phú",""),IF(OR(M987=phu!$I$32,M987=phu!$I$33,M987=phu!$I$34,M987=phu!$I$35,M987=phu!$I$36,M987=phu!$I$37),"Cam Lộc",""),IF(OR(M987=phu!$I$38,M987=phu!$I$39,M987=phu!$I$40,M987=phu!$I$41,M987=phu!$I$42,M987=phu!$I$43,M987=phu!$I$44),"Cam Thuận",""),IF(OR(M987=phu!$I$45,M987=phu!$I$46,M987=phu!$I$47,M987=phu!$I$48,M987=phu!$I$49,M987=phu!$I$50,M987=phu!$I$51,M987=phu!$I$52,M987=phu!$I$53),"Cam Linh",""),IF(OR(M987=phu!$I$54,M987=phu!$I$55,M987=phu!$I$56,M987=phu!$I$57,M987=phu!$I$58,M987=phu!$I$59,M987=phu!$I$60,M987=phu!$I$61,M987=phu!$I$62),"Cam Lợi",""),IF(OR(M987=phu!$I$63,M987=phu!$I$64,M987=phu!$I$65,M987=phu!$I$66,M987=phu!$I$67,M987=phu!$I$68,M987=phu!$I$69,M987=phu!$I$70,M987=phu!$I$71),"Ba Ngòi",""),IF(OR(M987=phu!$I$72,M987=phu!$I$73,M987=phu!$I$74,M987=phu!$I$75,M987=phu!$I$76,M987=phu!$I$77,M987=phu!$I$78),"Cam Phước Đông",""),IF(OR(M987=phu!$I$79,M987=phu!$I$80,M987=phu!$I$81,M987=phu!$I$82,M987=phu!$I$83,M987=phu!$I$84),"Cam Thịnh Đông",""),IF(OR(M987=phu!$I$85,M987=phu!$I$86,M987=phu!$I$87,M987=phu!$I$88),"Cam Thịnh Tây",""),IF(OR(M987=phu!$I$89,M987=phu!$I$90),"Cam Lập",""),IF(OR(M987=phu!$I$91,M987=phu!$I$92,M987=phu!$I$93),"Cam Bình",""),IF(OR(M987=phu!$I$94,M987=phu!$I$95,M987=phu!$I$96,M987=phu!$I$97,M987=phu!$I$98,M987=phu!$I$99,M987=phu!$I$100),"Huyện khác",""),IF(OR(M987=phu!$I$101,M987=phu!$I$102),"Tỉnh khác",""))</f>
        <v/>
      </c>
      <c r="O987" s="814" t="str">
        <f t="shared" si="91"/>
        <v/>
      </c>
      <c r="P987" s="254"/>
      <c r="Q987" s="254"/>
      <c r="R987" s="254"/>
      <c r="S987" s="254"/>
      <c r="T987" s="254"/>
      <c r="U987" s="254"/>
      <c r="V987" s="254"/>
      <c r="W987" s="254"/>
      <c r="Y987" s="246" t="str">
        <f t="shared" si="92"/>
        <v/>
      </c>
      <c r="Z987" s="247" t="str">
        <f t="shared" si="90"/>
        <v/>
      </c>
      <c r="AA987" s="246" t="str">
        <f t="shared" si="93"/>
        <v/>
      </c>
    </row>
    <row r="988" spans="1:27" x14ac:dyDescent="0.25">
      <c r="A988" s="248" t="str">
        <f t="shared" si="94"/>
        <v/>
      </c>
      <c r="B988" s="249" t="str">
        <f t="shared" si="95"/>
        <v/>
      </c>
      <c r="C988" s="250"/>
      <c r="D988" s="251"/>
      <c r="E988" s="241"/>
      <c r="F988" s="252"/>
      <c r="G988" s="252"/>
      <c r="H988" s="253"/>
      <c r="I988" s="250"/>
      <c r="J988" s="250"/>
      <c r="K988" s="270"/>
      <c r="L988" s="250"/>
      <c r="M988" s="250"/>
      <c r="N988" s="553" t="str">
        <f>CONCATENATE(IF(OR(M988=phu!$I$1,M988=phu!$I$2,M988=phu!$I$3),"Cam Thành Nam",""),IF(OR(M988=phu!$I$4,M988=phu!$I$5,M988=phu!$I$6,M988=phu!$I$7,M988=phu!$I$8,M988=phu!$I$9,M988=phu!$I$10,M988=phu!$I$11,M988=phu!$I$12,M988=phu!$I$13,M988=phu!$I$14),"Cam Nghĩa",""),IF(OR(M988=phu!$I$15,M988=phu!$I$16,M988=phu!$I$17,M988=phu!$I$18,M988=phu!$I$19,M988=phu!$I$20,M988=phu!$I$21),"Cam Phúc Bắc",""),IF(OR(M988=phu!$I$22,M988=phu!$I$23,M988=phu!$I$24,M988=phu!$I$25),"Cam Phúc Nam",""),IF(OR(M988=phu!$I$26,M988=phu!$I$27,M988=phu!$I$28,M988=phu!$I$29,M988=phu!$I$30,M988=phu!$I$31),"Cam Phú",""),IF(OR(M988=phu!$I$32,M988=phu!$I$33,M988=phu!$I$34,M988=phu!$I$35,M988=phu!$I$36,M988=phu!$I$37),"Cam Lộc",""),IF(OR(M988=phu!$I$38,M988=phu!$I$39,M988=phu!$I$40,M988=phu!$I$41,M988=phu!$I$42,M988=phu!$I$43,M988=phu!$I$44),"Cam Thuận",""),IF(OR(M988=phu!$I$45,M988=phu!$I$46,M988=phu!$I$47,M988=phu!$I$48,M988=phu!$I$49,M988=phu!$I$50,M988=phu!$I$51,M988=phu!$I$52,M988=phu!$I$53),"Cam Linh",""),IF(OR(M988=phu!$I$54,M988=phu!$I$55,M988=phu!$I$56,M988=phu!$I$57,M988=phu!$I$58,M988=phu!$I$59,M988=phu!$I$60,M988=phu!$I$61,M988=phu!$I$62),"Cam Lợi",""),IF(OR(M988=phu!$I$63,M988=phu!$I$64,M988=phu!$I$65,M988=phu!$I$66,M988=phu!$I$67,M988=phu!$I$68,M988=phu!$I$69,M988=phu!$I$70,M988=phu!$I$71),"Ba Ngòi",""),IF(OR(M988=phu!$I$72,M988=phu!$I$73,M988=phu!$I$74,M988=phu!$I$75,M988=phu!$I$76,M988=phu!$I$77,M988=phu!$I$78),"Cam Phước Đông",""),IF(OR(M988=phu!$I$79,M988=phu!$I$80,M988=phu!$I$81,M988=phu!$I$82,M988=phu!$I$83,M988=phu!$I$84),"Cam Thịnh Đông",""),IF(OR(M988=phu!$I$85,M988=phu!$I$86,M988=phu!$I$87,M988=phu!$I$88),"Cam Thịnh Tây",""),IF(OR(M988=phu!$I$89,M988=phu!$I$90),"Cam Lập",""),IF(OR(M988=phu!$I$91,M988=phu!$I$92,M988=phu!$I$93),"Cam Bình",""),IF(OR(M988=phu!$I$94,M988=phu!$I$95,M988=phu!$I$96,M988=phu!$I$97,M988=phu!$I$98,M988=phu!$I$99,M988=phu!$I$100),"Huyện khác",""),IF(OR(M988=phu!$I$101,M988=phu!$I$102),"Tỉnh khác",""))</f>
        <v/>
      </c>
      <c r="O988" s="814" t="str">
        <f t="shared" si="91"/>
        <v/>
      </c>
      <c r="P988" s="254"/>
      <c r="Q988" s="254"/>
      <c r="R988" s="254"/>
      <c r="S988" s="254"/>
      <c r="T988" s="254"/>
      <c r="U988" s="254"/>
      <c r="V988" s="254"/>
      <c r="W988" s="254"/>
      <c r="Y988" s="246" t="str">
        <f t="shared" si="92"/>
        <v/>
      </c>
      <c r="Z988" s="247" t="str">
        <f t="shared" si="90"/>
        <v/>
      </c>
      <c r="AA988" s="246" t="str">
        <f t="shared" si="93"/>
        <v/>
      </c>
    </row>
    <row r="989" spans="1:27" x14ac:dyDescent="0.25">
      <c r="A989" s="248" t="str">
        <f t="shared" si="94"/>
        <v/>
      </c>
      <c r="B989" s="249" t="str">
        <f t="shared" si="95"/>
        <v/>
      </c>
      <c r="C989" s="250"/>
      <c r="D989" s="251"/>
      <c r="E989" s="241"/>
      <c r="F989" s="252"/>
      <c r="G989" s="252"/>
      <c r="H989" s="253"/>
      <c r="I989" s="250"/>
      <c r="J989" s="250"/>
      <c r="K989" s="270"/>
      <c r="L989" s="250"/>
      <c r="M989" s="250"/>
      <c r="N989" s="553" t="str">
        <f>CONCATENATE(IF(OR(M989=phu!$I$1,M989=phu!$I$2,M989=phu!$I$3),"Cam Thành Nam",""),IF(OR(M989=phu!$I$4,M989=phu!$I$5,M989=phu!$I$6,M989=phu!$I$7,M989=phu!$I$8,M989=phu!$I$9,M989=phu!$I$10,M989=phu!$I$11,M989=phu!$I$12,M989=phu!$I$13,M989=phu!$I$14),"Cam Nghĩa",""),IF(OR(M989=phu!$I$15,M989=phu!$I$16,M989=phu!$I$17,M989=phu!$I$18,M989=phu!$I$19,M989=phu!$I$20,M989=phu!$I$21),"Cam Phúc Bắc",""),IF(OR(M989=phu!$I$22,M989=phu!$I$23,M989=phu!$I$24,M989=phu!$I$25),"Cam Phúc Nam",""),IF(OR(M989=phu!$I$26,M989=phu!$I$27,M989=phu!$I$28,M989=phu!$I$29,M989=phu!$I$30,M989=phu!$I$31),"Cam Phú",""),IF(OR(M989=phu!$I$32,M989=phu!$I$33,M989=phu!$I$34,M989=phu!$I$35,M989=phu!$I$36,M989=phu!$I$37),"Cam Lộc",""),IF(OR(M989=phu!$I$38,M989=phu!$I$39,M989=phu!$I$40,M989=phu!$I$41,M989=phu!$I$42,M989=phu!$I$43,M989=phu!$I$44),"Cam Thuận",""),IF(OR(M989=phu!$I$45,M989=phu!$I$46,M989=phu!$I$47,M989=phu!$I$48,M989=phu!$I$49,M989=phu!$I$50,M989=phu!$I$51,M989=phu!$I$52,M989=phu!$I$53),"Cam Linh",""),IF(OR(M989=phu!$I$54,M989=phu!$I$55,M989=phu!$I$56,M989=phu!$I$57,M989=phu!$I$58,M989=phu!$I$59,M989=phu!$I$60,M989=phu!$I$61,M989=phu!$I$62),"Cam Lợi",""),IF(OR(M989=phu!$I$63,M989=phu!$I$64,M989=phu!$I$65,M989=phu!$I$66,M989=phu!$I$67,M989=phu!$I$68,M989=phu!$I$69,M989=phu!$I$70,M989=phu!$I$71),"Ba Ngòi",""),IF(OR(M989=phu!$I$72,M989=phu!$I$73,M989=phu!$I$74,M989=phu!$I$75,M989=phu!$I$76,M989=phu!$I$77,M989=phu!$I$78),"Cam Phước Đông",""),IF(OR(M989=phu!$I$79,M989=phu!$I$80,M989=phu!$I$81,M989=phu!$I$82,M989=phu!$I$83,M989=phu!$I$84),"Cam Thịnh Đông",""),IF(OR(M989=phu!$I$85,M989=phu!$I$86,M989=phu!$I$87,M989=phu!$I$88),"Cam Thịnh Tây",""),IF(OR(M989=phu!$I$89,M989=phu!$I$90),"Cam Lập",""),IF(OR(M989=phu!$I$91,M989=phu!$I$92,M989=phu!$I$93),"Cam Bình",""),IF(OR(M989=phu!$I$94,M989=phu!$I$95,M989=phu!$I$96,M989=phu!$I$97,M989=phu!$I$98,M989=phu!$I$99,M989=phu!$I$100),"Huyện khác",""),IF(OR(M989=phu!$I$101,M989=phu!$I$102),"Tỉnh khác",""))</f>
        <v/>
      </c>
      <c r="O989" s="814" t="str">
        <f t="shared" si="91"/>
        <v/>
      </c>
      <c r="P989" s="254"/>
      <c r="Q989" s="254"/>
      <c r="R989" s="254"/>
      <c r="S989" s="254"/>
      <c r="T989" s="254"/>
      <c r="U989" s="254"/>
      <c r="V989" s="254"/>
      <c r="W989" s="254"/>
      <c r="Y989" s="246" t="str">
        <f t="shared" si="92"/>
        <v/>
      </c>
      <c r="Z989" s="247" t="str">
        <f t="shared" si="90"/>
        <v/>
      </c>
      <c r="AA989" s="246" t="str">
        <f t="shared" si="93"/>
        <v/>
      </c>
    </row>
    <row r="990" spans="1:27" x14ac:dyDescent="0.25">
      <c r="A990" s="248" t="str">
        <f t="shared" si="94"/>
        <v/>
      </c>
      <c r="B990" s="249" t="str">
        <f t="shared" si="95"/>
        <v/>
      </c>
      <c r="C990" s="250"/>
      <c r="D990" s="251"/>
      <c r="E990" s="241"/>
      <c r="F990" s="252"/>
      <c r="G990" s="252"/>
      <c r="H990" s="253"/>
      <c r="I990" s="250"/>
      <c r="J990" s="250"/>
      <c r="K990" s="270"/>
      <c r="L990" s="250"/>
      <c r="M990" s="250"/>
      <c r="N990" s="553" t="str">
        <f>CONCATENATE(IF(OR(M990=phu!$I$1,M990=phu!$I$2,M990=phu!$I$3),"Cam Thành Nam",""),IF(OR(M990=phu!$I$4,M990=phu!$I$5,M990=phu!$I$6,M990=phu!$I$7,M990=phu!$I$8,M990=phu!$I$9,M990=phu!$I$10,M990=phu!$I$11,M990=phu!$I$12,M990=phu!$I$13,M990=phu!$I$14),"Cam Nghĩa",""),IF(OR(M990=phu!$I$15,M990=phu!$I$16,M990=phu!$I$17,M990=phu!$I$18,M990=phu!$I$19,M990=phu!$I$20,M990=phu!$I$21),"Cam Phúc Bắc",""),IF(OR(M990=phu!$I$22,M990=phu!$I$23,M990=phu!$I$24,M990=phu!$I$25),"Cam Phúc Nam",""),IF(OR(M990=phu!$I$26,M990=phu!$I$27,M990=phu!$I$28,M990=phu!$I$29,M990=phu!$I$30,M990=phu!$I$31),"Cam Phú",""),IF(OR(M990=phu!$I$32,M990=phu!$I$33,M990=phu!$I$34,M990=phu!$I$35,M990=phu!$I$36,M990=phu!$I$37),"Cam Lộc",""),IF(OR(M990=phu!$I$38,M990=phu!$I$39,M990=phu!$I$40,M990=phu!$I$41,M990=phu!$I$42,M990=phu!$I$43,M990=phu!$I$44),"Cam Thuận",""),IF(OR(M990=phu!$I$45,M990=phu!$I$46,M990=phu!$I$47,M990=phu!$I$48,M990=phu!$I$49,M990=phu!$I$50,M990=phu!$I$51,M990=phu!$I$52,M990=phu!$I$53),"Cam Linh",""),IF(OR(M990=phu!$I$54,M990=phu!$I$55,M990=phu!$I$56,M990=phu!$I$57,M990=phu!$I$58,M990=phu!$I$59,M990=phu!$I$60,M990=phu!$I$61,M990=phu!$I$62),"Cam Lợi",""),IF(OR(M990=phu!$I$63,M990=phu!$I$64,M990=phu!$I$65,M990=phu!$I$66,M990=phu!$I$67,M990=phu!$I$68,M990=phu!$I$69,M990=phu!$I$70,M990=phu!$I$71),"Ba Ngòi",""),IF(OR(M990=phu!$I$72,M990=phu!$I$73,M990=phu!$I$74,M990=phu!$I$75,M990=phu!$I$76,M990=phu!$I$77,M990=phu!$I$78),"Cam Phước Đông",""),IF(OR(M990=phu!$I$79,M990=phu!$I$80,M990=phu!$I$81,M990=phu!$I$82,M990=phu!$I$83,M990=phu!$I$84),"Cam Thịnh Đông",""),IF(OR(M990=phu!$I$85,M990=phu!$I$86,M990=phu!$I$87,M990=phu!$I$88),"Cam Thịnh Tây",""),IF(OR(M990=phu!$I$89,M990=phu!$I$90),"Cam Lập",""),IF(OR(M990=phu!$I$91,M990=phu!$I$92,M990=phu!$I$93),"Cam Bình",""),IF(OR(M990=phu!$I$94,M990=phu!$I$95,M990=phu!$I$96,M990=phu!$I$97,M990=phu!$I$98,M990=phu!$I$99,M990=phu!$I$100),"Huyện khác",""),IF(OR(M990=phu!$I$101,M990=phu!$I$102),"Tỉnh khác",""))</f>
        <v/>
      </c>
      <c r="O990" s="814" t="str">
        <f t="shared" si="91"/>
        <v/>
      </c>
      <c r="P990" s="254"/>
      <c r="Q990" s="254"/>
      <c r="R990" s="254"/>
      <c r="S990" s="254"/>
      <c r="T990" s="254"/>
      <c r="U990" s="254"/>
      <c r="V990" s="254"/>
      <c r="W990" s="254"/>
      <c r="Y990" s="246" t="str">
        <f t="shared" si="92"/>
        <v/>
      </c>
      <c r="Z990" s="247" t="str">
        <f t="shared" si="90"/>
        <v/>
      </c>
      <c r="AA990" s="246" t="str">
        <f t="shared" si="93"/>
        <v/>
      </c>
    </row>
    <row r="991" spans="1:27" x14ac:dyDescent="0.25">
      <c r="A991" s="248" t="str">
        <f t="shared" si="94"/>
        <v/>
      </c>
      <c r="B991" s="249" t="str">
        <f t="shared" si="95"/>
        <v/>
      </c>
      <c r="C991" s="250"/>
      <c r="D991" s="251"/>
      <c r="E991" s="241"/>
      <c r="F991" s="252"/>
      <c r="G991" s="252"/>
      <c r="H991" s="253"/>
      <c r="I991" s="250"/>
      <c r="J991" s="250"/>
      <c r="K991" s="270"/>
      <c r="L991" s="250"/>
      <c r="M991" s="250"/>
      <c r="N991" s="553" t="str">
        <f>CONCATENATE(IF(OR(M991=phu!$I$1,M991=phu!$I$2,M991=phu!$I$3),"Cam Thành Nam",""),IF(OR(M991=phu!$I$4,M991=phu!$I$5,M991=phu!$I$6,M991=phu!$I$7,M991=phu!$I$8,M991=phu!$I$9,M991=phu!$I$10,M991=phu!$I$11,M991=phu!$I$12,M991=phu!$I$13,M991=phu!$I$14),"Cam Nghĩa",""),IF(OR(M991=phu!$I$15,M991=phu!$I$16,M991=phu!$I$17,M991=phu!$I$18,M991=phu!$I$19,M991=phu!$I$20,M991=phu!$I$21),"Cam Phúc Bắc",""),IF(OR(M991=phu!$I$22,M991=phu!$I$23,M991=phu!$I$24,M991=phu!$I$25),"Cam Phúc Nam",""),IF(OR(M991=phu!$I$26,M991=phu!$I$27,M991=phu!$I$28,M991=phu!$I$29,M991=phu!$I$30,M991=phu!$I$31),"Cam Phú",""),IF(OR(M991=phu!$I$32,M991=phu!$I$33,M991=phu!$I$34,M991=phu!$I$35,M991=phu!$I$36,M991=phu!$I$37),"Cam Lộc",""),IF(OR(M991=phu!$I$38,M991=phu!$I$39,M991=phu!$I$40,M991=phu!$I$41,M991=phu!$I$42,M991=phu!$I$43,M991=phu!$I$44),"Cam Thuận",""),IF(OR(M991=phu!$I$45,M991=phu!$I$46,M991=phu!$I$47,M991=phu!$I$48,M991=phu!$I$49,M991=phu!$I$50,M991=phu!$I$51,M991=phu!$I$52,M991=phu!$I$53),"Cam Linh",""),IF(OR(M991=phu!$I$54,M991=phu!$I$55,M991=phu!$I$56,M991=phu!$I$57,M991=phu!$I$58,M991=phu!$I$59,M991=phu!$I$60,M991=phu!$I$61,M991=phu!$I$62),"Cam Lợi",""),IF(OR(M991=phu!$I$63,M991=phu!$I$64,M991=phu!$I$65,M991=phu!$I$66,M991=phu!$I$67,M991=phu!$I$68,M991=phu!$I$69,M991=phu!$I$70,M991=phu!$I$71),"Ba Ngòi",""),IF(OR(M991=phu!$I$72,M991=phu!$I$73,M991=phu!$I$74,M991=phu!$I$75,M991=phu!$I$76,M991=phu!$I$77,M991=phu!$I$78),"Cam Phước Đông",""),IF(OR(M991=phu!$I$79,M991=phu!$I$80,M991=phu!$I$81,M991=phu!$I$82,M991=phu!$I$83,M991=phu!$I$84),"Cam Thịnh Đông",""),IF(OR(M991=phu!$I$85,M991=phu!$I$86,M991=phu!$I$87,M991=phu!$I$88),"Cam Thịnh Tây",""),IF(OR(M991=phu!$I$89,M991=phu!$I$90),"Cam Lập",""),IF(OR(M991=phu!$I$91,M991=phu!$I$92,M991=phu!$I$93),"Cam Bình",""),IF(OR(M991=phu!$I$94,M991=phu!$I$95,M991=phu!$I$96,M991=phu!$I$97,M991=phu!$I$98,M991=phu!$I$99,M991=phu!$I$100),"Huyện khác",""),IF(OR(M991=phu!$I$101,M991=phu!$I$102),"Tỉnh khác",""))</f>
        <v/>
      </c>
      <c r="O991" s="814" t="str">
        <f t="shared" si="91"/>
        <v/>
      </c>
      <c r="P991" s="254"/>
      <c r="Q991" s="254"/>
      <c r="R991" s="254"/>
      <c r="S991" s="254"/>
      <c r="T991" s="254"/>
      <c r="U991" s="254"/>
      <c r="V991" s="254"/>
      <c r="W991" s="254"/>
      <c r="Y991" s="246" t="str">
        <f t="shared" si="92"/>
        <v/>
      </c>
      <c r="Z991" s="247" t="str">
        <f t="shared" si="90"/>
        <v/>
      </c>
      <c r="AA991" s="246" t="str">
        <f t="shared" si="93"/>
        <v/>
      </c>
    </row>
    <row r="992" spans="1:27" x14ac:dyDescent="0.25">
      <c r="A992" s="248" t="str">
        <f t="shared" si="94"/>
        <v/>
      </c>
      <c r="B992" s="249" t="str">
        <f t="shared" si="95"/>
        <v/>
      </c>
      <c r="C992" s="250"/>
      <c r="D992" s="251"/>
      <c r="E992" s="241"/>
      <c r="F992" s="252"/>
      <c r="G992" s="252"/>
      <c r="H992" s="253"/>
      <c r="I992" s="250"/>
      <c r="J992" s="250"/>
      <c r="K992" s="270"/>
      <c r="L992" s="250"/>
      <c r="M992" s="250"/>
      <c r="N992" s="553" t="str">
        <f>CONCATENATE(IF(OR(M992=phu!$I$1,M992=phu!$I$2,M992=phu!$I$3),"Cam Thành Nam",""),IF(OR(M992=phu!$I$4,M992=phu!$I$5,M992=phu!$I$6,M992=phu!$I$7,M992=phu!$I$8,M992=phu!$I$9,M992=phu!$I$10,M992=phu!$I$11,M992=phu!$I$12,M992=phu!$I$13,M992=phu!$I$14),"Cam Nghĩa",""),IF(OR(M992=phu!$I$15,M992=phu!$I$16,M992=phu!$I$17,M992=phu!$I$18,M992=phu!$I$19,M992=phu!$I$20,M992=phu!$I$21),"Cam Phúc Bắc",""),IF(OR(M992=phu!$I$22,M992=phu!$I$23,M992=phu!$I$24,M992=phu!$I$25),"Cam Phúc Nam",""),IF(OR(M992=phu!$I$26,M992=phu!$I$27,M992=phu!$I$28,M992=phu!$I$29,M992=phu!$I$30,M992=phu!$I$31),"Cam Phú",""),IF(OR(M992=phu!$I$32,M992=phu!$I$33,M992=phu!$I$34,M992=phu!$I$35,M992=phu!$I$36,M992=phu!$I$37),"Cam Lộc",""),IF(OR(M992=phu!$I$38,M992=phu!$I$39,M992=phu!$I$40,M992=phu!$I$41,M992=phu!$I$42,M992=phu!$I$43,M992=phu!$I$44),"Cam Thuận",""),IF(OR(M992=phu!$I$45,M992=phu!$I$46,M992=phu!$I$47,M992=phu!$I$48,M992=phu!$I$49,M992=phu!$I$50,M992=phu!$I$51,M992=phu!$I$52,M992=phu!$I$53),"Cam Linh",""),IF(OR(M992=phu!$I$54,M992=phu!$I$55,M992=phu!$I$56,M992=phu!$I$57,M992=phu!$I$58,M992=phu!$I$59,M992=phu!$I$60,M992=phu!$I$61,M992=phu!$I$62),"Cam Lợi",""),IF(OR(M992=phu!$I$63,M992=phu!$I$64,M992=phu!$I$65,M992=phu!$I$66,M992=phu!$I$67,M992=phu!$I$68,M992=phu!$I$69,M992=phu!$I$70,M992=phu!$I$71),"Ba Ngòi",""),IF(OR(M992=phu!$I$72,M992=phu!$I$73,M992=phu!$I$74,M992=phu!$I$75,M992=phu!$I$76,M992=phu!$I$77,M992=phu!$I$78),"Cam Phước Đông",""),IF(OR(M992=phu!$I$79,M992=phu!$I$80,M992=phu!$I$81,M992=phu!$I$82,M992=phu!$I$83,M992=phu!$I$84),"Cam Thịnh Đông",""),IF(OR(M992=phu!$I$85,M992=phu!$I$86,M992=phu!$I$87,M992=phu!$I$88),"Cam Thịnh Tây",""),IF(OR(M992=phu!$I$89,M992=phu!$I$90),"Cam Lập",""),IF(OR(M992=phu!$I$91,M992=phu!$I$92,M992=phu!$I$93),"Cam Bình",""),IF(OR(M992=phu!$I$94,M992=phu!$I$95,M992=phu!$I$96,M992=phu!$I$97,M992=phu!$I$98,M992=phu!$I$99,M992=phu!$I$100),"Huyện khác",""),IF(OR(M992=phu!$I$101,M992=phu!$I$102),"Tỉnh khác",""))</f>
        <v/>
      </c>
      <c r="O992" s="814" t="str">
        <f t="shared" si="91"/>
        <v/>
      </c>
      <c r="P992" s="254"/>
      <c r="Q992" s="254"/>
      <c r="R992" s="254"/>
      <c r="S992" s="254"/>
      <c r="T992" s="254"/>
      <c r="U992" s="254"/>
      <c r="V992" s="254"/>
      <c r="W992" s="254"/>
      <c r="Y992" s="246" t="str">
        <f t="shared" si="92"/>
        <v/>
      </c>
      <c r="Z992" s="247" t="str">
        <f t="shared" si="90"/>
        <v/>
      </c>
      <c r="AA992" s="246" t="str">
        <f t="shared" si="93"/>
        <v/>
      </c>
    </row>
    <row r="993" spans="1:27" x14ac:dyDescent="0.25">
      <c r="A993" s="248" t="str">
        <f t="shared" si="94"/>
        <v/>
      </c>
      <c r="B993" s="249" t="str">
        <f t="shared" si="95"/>
        <v/>
      </c>
      <c r="C993" s="250"/>
      <c r="D993" s="251"/>
      <c r="E993" s="241"/>
      <c r="F993" s="252"/>
      <c r="G993" s="252"/>
      <c r="H993" s="253"/>
      <c r="I993" s="250"/>
      <c r="J993" s="250"/>
      <c r="K993" s="270"/>
      <c r="L993" s="250"/>
      <c r="M993" s="250"/>
      <c r="N993" s="553" t="str">
        <f>CONCATENATE(IF(OR(M993=phu!$I$1,M993=phu!$I$2,M993=phu!$I$3),"Cam Thành Nam",""),IF(OR(M993=phu!$I$4,M993=phu!$I$5,M993=phu!$I$6,M993=phu!$I$7,M993=phu!$I$8,M993=phu!$I$9,M993=phu!$I$10,M993=phu!$I$11,M993=phu!$I$12,M993=phu!$I$13,M993=phu!$I$14),"Cam Nghĩa",""),IF(OR(M993=phu!$I$15,M993=phu!$I$16,M993=phu!$I$17,M993=phu!$I$18,M993=phu!$I$19,M993=phu!$I$20,M993=phu!$I$21),"Cam Phúc Bắc",""),IF(OR(M993=phu!$I$22,M993=phu!$I$23,M993=phu!$I$24,M993=phu!$I$25),"Cam Phúc Nam",""),IF(OR(M993=phu!$I$26,M993=phu!$I$27,M993=phu!$I$28,M993=phu!$I$29,M993=phu!$I$30,M993=phu!$I$31),"Cam Phú",""),IF(OR(M993=phu!$I$32,M993=phu!$I$33,M993=phu!$I$34,M993=phu!$I$35,M993=phu!$I$36,M993=phu!$I$37),"Cam Lộc",""),IF(OR(M993=phu!$I$38,M993=phu!$I$39,M993=phu!$I$40,M993=phu!$I$41,M993=phu!$I$42,M993=phu!$I$43,M993=phu!$I$44),"Cam Thuận",""),IF(OR(M993=phu!$I$45,M993=phu!$I$46,M993=phu!$I$47,M993=phu!$I$48,M993=phu!$I$49,M993=phu!$I$50,M993=phu!$I$51,M993=phu!$I$52,M993=phu!$I$53),"Cam Linh",""),IF(OR(M993=phu!$I$54,M993=phu!$I$55,M993=phu!$I$56,M993=phu!$I$57,M993=phu!$I$58,M993=phu!$I$59,M993=phu!$I$60,M993=phu!$I$61,M993=phu!$I$62),"Cam Lợi",""),IF(OR(M993=phu!$I$63,M993=phu!$I$64,M993=phu!$I$65,M993=phu!$I$66,M993=phu!$I$67,M993=phu!$I$68,M993=phu!$I$69,M993=phu!$I$70,M993=phu!$I$71),"Ba Ngòi",""),IF(OR(M993=phu!$I$72,M993=phu!$I$73,M993=phu!$I$74,M993=phu!$I$75,M993=phu!$I$76,M993=phu!$I$77,M993=phu!$I$78),"Cam Phước Đông",""),IF(OR(M993=phu!$I$79,M993=phu!$I$80,M993=phu!$I$81,M993=phu!$I$82,M993=phu!$I$83,M993=phu!$I$84),"Cam Thịnh Đông",""),IF(OR(M993=phu!$I$85,M993=phu!$I$86,M993=phu!$I$87,M993=phu!$I$88),"Cam Thịnh Tây",""),IF(OR(M993=phu!$I$89,M993=phu!$I$90),"Cam Lập",""),IF(OR(M993=phu!$I$91,M993=phu!$I$92,M993=phu!$I$93),"Cam Bình",""),IF(OR(M993=phu!$I$94,M993=phu!$I$95,M993=phu!$I$96,M993=phu!$I$97,M993=phu!$I$98,M993=phu!$I$99,M993=phu!$I$100),"Huyện khác",""),IF(OR(M993=phu!$I$101,M993=phu!$I$102),"Tỉnh khác",""))</f>
        <v/>
      </c>
      <c r="O993" s="814" t="str">
        <f t="shared" si="91"/>
        <v/>
      </c>
      <c r="P993" s="254"/>
      <c r="Q993" s="254"/>
      <c r="R993" s="254"/>
      <c r="S993" s="254"/>
      <c r="T993" s="254"/>
      <c r="U993" s="254"/>
      <c r="V993" s="254"/>
      <c r="W993" s="254"/>
      <c r="Y993" s="246" t="str">
        <f t="shared" si="92"/>
        <v/>
      </c>
      <c r="Z993" s="247" t="str">
        <f t="shared" si="90"/>
        <v/>
      </c>
      <c r="AA993" s="246" t="str">
        <f t="shared" si="93"/>
        <v/>
      </c>
    </row>
    <row r="994" spans="1:27" x14ac:dyDescent="0.25">
      <c r="A994" s="248" t="str">
        <f t="shared" si="94"/>
        <v/>
      </c>
      <c r="B994" s="249" t="str">
        <f t="shared" si="95"/>
        <v/>
      </c>
      <c r="C994" s="250"/>
      <c r="D994" s="251"/>
      <c r="E994" s="241"/>
      <c r="F994" s="252"/>
      <c r="G994" s="252"/>
      <c r="H994" s="253"/>
      <c r="I994" s="250"/>
      <c r="J994" s="250"/>
      <c r="K994" s="270"/>
      <c r="L994" s="250"/>
      <c r="M994" s="250"/>
      <c r="N994" s="553" t="str">
        <f>CONCATENATE(IF(OR(M994=phu!$I$1,M994=phu!$I$2,M994=phu!$I$3),"Cam Thành Nam",""),IF(OR(M994=phu!$I$4,M994=phu!$I$5,M994=phu!$I$6,M994=phu!$I$7,M994=phu!$I$8,M994=phu!$I$9,M994=phu!$I$10,M994=phu!$I$11,M994=phu!$I$12,M994=phu!$I$13,M994=phu!$I$14),"Cam Nghĩa",""),IF(OR(M994=phu!$I$15,M994=phu!$I$16,M994=phu!$I$17,M994=phu!$I$18,M994=phu!$I$19,M994=phu!$I$20,M994=phu!$I$21),"Cam Phúc Bắc",""),IF(OR(M994=phu!$I$22,M994=phu!$I$23,M994=phu!$I$24,M994=phu!$I$25),"Cam Phúc Nam",""),IF(OR(M994=phu!$I$26,M994=phu!$I$27,M994=phu!$I$28,M994=phu!$I$29,M994=phu!$I$30,M994=phu!$I$31),"Cam Phú",""),IF(OR(M994=phu!$I$32,M994=phu!$I$33,M994=phu!$I$34,M994=phu!$I$35,M994=phu!$I$36,M994=phu!$I$37),"Cam Lộc",""),IF(OR(M994=phu!$I$38,M994=phu!$I$39,M994=phu!$I$40,M994=phu!$I$41,M994=phu!$I$42,M994=phu!$I$43,M994=phu!$I$44),"Cam Thuận",""),IF(OR(M994=phu!$I$45,M994=phu!$I$46,M994=phu!$I$47,M994=phu!$I$48,M994=phu!$I$49,M994=phu!$I$50,M994=phu!$I$51,M994=phu!$I$52,M994=phu!$I$53),"Cam Linh",""),IF(OR(M994=phu!$I$54,M994=phu!$I$55,M994=phu!$I$56,M994=phu!$I$57,M994=phu!$I$58,M994=phu!$I$59,M994=phu!$I$60,M994=phu!$I$61,M994=phu!$I$62),"Cam Lợi",""),IF(OR(M994=phu!$I$63,M994=phu!$I$64,M994=phu!$I$65,M994=phu!$I$66,M994=phu!$I$67,M994=phu!$I$68,M994=phu!$I$69,M994=phu!$I$70,M994=phu!$I$71),"Ba Ngòi",""),IF(OR(M994=phu!$I$72,M994=phu!$I$73,M994=phu!$I$74,M994=phu!$I$75,M994=phu!$I$76,M994=phu!$I$77,M994=phu!$I$78),"Cam Phước Đông",""),IF(OR(M994=phu!$I$79,M994=phu!$I$80,M994=phu!$I$81,M994=phu!$I$82,M994=phu!$I$83,M994=phu!$I$84),"Cam Thịnh Đông",""),IF(OR(M994=phu!$I$85,M994=phu!$I$86,M994=phu!$I$87,M994=phu!$I$88),"Cam Thịnh Tây",""),IF(OR(M994=phu!$I$89,M994=phu!$I$90),"Cam Lập",""),IF(OR(M994=phu!$I$91,M994=phu!$I$92,M994=phu!$I$93),"Cam Bình",""),IF(OR(M994=phu!$I$94,M994=phu!$I$95,M994=phu!$I$96,M994=phu!$I$97,M994=phu!$I$98,M994=phu!$I$99,M994=phu!$I$100),"Huyện khác",""),IF(OR(M994=phu!$I$101,M994=phu!$I$102),"Tỉnh khác",""))</f>
        <v/>
      </c>
      <c r="O994" s="814" t="str">
        <f t="shared" si="91"/>
        <v/>
      </c>
      <c r="P994" s="254"/>
      <c r="Q994" s="254"/>
      <c r="R994" s="254"/>
      <c r="S994" s="254"/>
      <c r="T994" s="254"/>
      <c r="U994" s="254"/>
      <c r="V994" s="254"/>
      <c r="W994" s="254"/>
      <c r="Y994" s="246" t="str">
        <f t="shared" si="92"/>
        <v/>
      </c>
      <c r="Z994" s="247" t="str">
        <f t="shared" si="90"/>
        <v/>
      </c>
      <c r="AA994" s="246" t="str">
        <f t="shared" si="93"/>
        <v/>
      </c>
    </row>
    <row r="995" spans="1:27" x14ac:dyDescent="0.25">
      <c r="A995" s="248" t="str">
        <f t="shared" si="94"/>
        <v/>
      </c>
      <c r="B995" s="249" t="str">
        <f t="shared" si="95"/>
        <v/>
      </c>
      <c r="C995" s="250"/>
      <c r="D995" s="251"/>
      <c r="E995" s="241"/>
      <c r="F995" s="252"/>
      <c r="G995" s="252"/>
      <c r="H995" s="253"/>
      <c r="I995" s="250"/>
      <c r="J995" s="250"/>
      <c r="K995" s="270"/>
      <c r="L995" s="250"/>
      <c r="M995" s="250"/>
      <c r="N995" s="553" t="str">
        <f>CONCATENATE(IF(OR(M995=phu!$I$1,M995=phu!$I$2,M995=phu!$I$3),"Cam Thành Nam",""),IF(OR(M995=phu!$I$4,M995=phu!$I$5,M995=phu!$I$6,M995=phu!$I$7,M995=phu!$I$8,M995=phu!$I$9,M995=phu!$I$10,M995=phu!$I$11,M995=phu!$I$12,M995=phu!$I$13,M995=phu!$I$14),"Cam Nghĩa",""),IF(OR(M995=phu!$I$15,M995=phu!$I$16,M995=phu!$I$17,M995=phu!$I$18,M995=phu!$I$19,M995=phu!$I$20,M995=phu!$I$21),"Cam Phúc Bắc",""),IF(OR(M995=phu!$I$22,M995=phu!$I$23,M995=phu!$I$24,M995=phu!$I$25),"Cam Phúc Nam",""),IF(OR(M995=phu!$I$26,M995=phu!$I$27,M995=phu!$I$28,M995=phu!$I$29,M995=phu!$I$30,M995=phu!$I$31),"Cam Phú",""),IF(OR(M995=phu!$I$32,M995=phu!$I$33,M995=phu!$I$34,M995=phu!$I$35,M995=phu!$I$36,M995=phu!$I$37),"Cam Lộc",""),IF(OR(M995=phu!$I$38,M995=phu!$I$39,M995=phu!$I$40,M995=phu!$I$41,M995=phu!$I$42,M995=phu!$I$43,M995=phu!$I$44),"Cam Thuận",""),IF(OR(M995=phu!$I$45,M995=phu!$I$46,M995=phu!$I$47,M995=phu!$I$48,M995=phu!$I$49,M995=phu!$I$50,M995=phu!$I$51,M995=phu!$I$52,M995=phu!$I$53),"Cam Linh",""),IF(OR(M995=phu!$I$54,M995=phu!$I$55,M995=phu!$I$56,M995=phu!$I$57,M995=phu!$I$58,M995=phu!$I$59,M995=phu!$I$60,M995=phu!$I$61,M995=phu!$I$62),"Cam Lợi",""),IF(OR(M995=phu!$I$63,M995=phu!$I$64,M995=phu!$I$65,M995=phu!$I$66,M995=phu!$I$67,M995=phu!$I$68,M995=phu!$I$69,M995=phu!$I$70,M995=phu!$I$71),"Ba Ngòi",""),IF(OR(M995=phu!$I$72,M995=phu!$I$73,M995=phu!$I$74,M995=phu!$I$75,M995=phu!$I$76,M995=phu!$I$77,M995=phu!$I$78),"Cam Phước Đông",""),IF(OR(M995=phu!$I$79,M995=phu!$I$80,M995=phu!$I$81,M995=phu!$I$82,M995=phu!$I$83,M995=phu!$I$84),"Cam Thịnh Đông",""),IF(OR(M995=phu!$I$85,M995=phu!$I$86,M995=phu!$I$87,M995=phu!$I$88),"Cam Thịnh Tây",""),IF(OR(M995=phu!$I$89,M995=phu!$I$90),"Cam Lập",""),IF(OR(M995=phu!$I$91,M995=phu!$I$92,M995=phu!$I$93),"Cam Bình",""),IF(OR(M995=phu!$I$94,M995=phu!$I$95,M995=phu!$I$96,M995=phu!$I$97,M995=phu!$I$98,M995=phu!$I$99,M995=phu!$I$100),"Huyện khác",""),IF(OR(M995=phu!$I$101,M995=phu!$I$102),"Tỉnh khác",""))</f>
        <v/>
      </c>
      <c r="O995" s="814" t="str">
        <f t="shared" si="91"/>
        <v/>
      </c>
      <c r="P995" s="254"/>
      <c r="Q995" s="254"/>
      <c r="R995" s="254"/>
      <c r="S995" s="254"/>
      <c r="T995" s="254"/>
      <c r="U995" s="254"/>
      <c r="V995" s="254"/>
      <c r="W995" s="254"/>
      <c r="Y995" s="246" t="str">
        <f t="shared" si="92"/>
        <v/>
      </c>
      <c r="Z995" s="247" t="str">
        <f t="shared" si="90"/>
        <v/>
      </c>
      <c r="AA995" s="246" t="str">
        <f t="shared" si="93"/>
        <v/>
      </c>
    </row>
    <row r="996" spans="1:27" x14ac:dyDescent="0.25">
      <c r="A996" s="248" t="str">
        <f t="shared" si="94"/>
        <v/>
      </c>
      <c r="B996" s="249" t="str">
        <f t="shared" si="95"/>
        <v/>
      </c>
      <c r="C996" s="250"/>
      <c r="D996" s="251"/>
      <c r="E996" s="241"/>
      <c r="F996" s="252"/>
      <c r="G996" s="252"/>
      <c r="H996" s="253"/>
      <c r="I996" s="250"/>
      <c r="J996" s="250"/>
      <c r="K996" s="270"/>
      <c r="L996" s="250"/>
      <c r="M996" s="250"/>
      <c r="N996" s="553" t="str">
        <f>CONCATENATE(IF(OR(M996=phu!$I$1,M996=phu!$I$2,M996=phu!$I$3),"Cam Thành Nam",""),IF(OR(M996=phu!$I$4,M996=phu!$I$5,M996=phu!$I$6,M996=phu!$I$7,M996=phu!$I$8,M996=phu!$I$9,M996=phu!$I$10,M996=phu!$I$11,M996=phu!$I$12,M996=phu!$I$13,M996=phu!$I$14),"Cam Nghĩa",""),IF(OR(M996=phu!$I$15,M996=phu!$I$16,M996=phu!$I$17,M996=phu!$I$18,M996=phu!$I$19,M996=phu!$I$20,M996=phu!$I$21),"Cam Phúc Bắc",""),IF(OR(M996=phu!$I$22,M996=phu!$I$23,M996=phu!$I$24,M996=phu!$I$25),"Cam Phúc Nam",""),IF(OR(M996=phu!$I$26,M996=phu!$I$27,M996=phu!$I$28,M996=phu!$I$29,M996=phu!$I$30,M996=phu!$I$31),"Cam Phú",""),IF(OR(M996=phu!$I$32,M996=phu!$I$33,M996=phu!$I$34,M996=phu!$I$35,M996=phu!$I$36,M996=phu!$I$37),"Cam Lộc",""),IF(OR(M996=phu!$I$38,M996=phu!$I$39,M996=phu!$I$40,M996=phu!$I$41,M996=phu!$I$42,M996=phu!$I$43,M996=phu!$I$44),"Cam Thuận",""),IF(OR(M996=phu!$I$45,M996=phu!$I$46,M996=phu!$I$47,M996=phu!$I$48,M996=phu!$I$49,M996=phu!$I$50,M996=phu!$I$51,M996=phu!$I$52,M996=phu!$I$53),"Cam Linh",""),IF(OR(M996=phu!$I$54,M996=phu!$I$55,M996=phu!$I$56,M996=phu!$I$57,M996=phu!$I$58,M996=phu!$I$59,M996=phu!$I$60,M996=phu!$I$61,M996=phu!$I$62),"Cam Lợi",""),IF(OR(M996=phu!$I$63,M996=phu!$I$64,M996=phu!$I$65,M996=phu!$I$66,M996=phu!$I$67,M996=phu!$I$68,M996=phu!$I$69,M996=phu!$I$70,M996=phu!$I$71),"Ba Ngòi",""),IF(OR(M996=phu!$I$72,M996=phu!$I$73,M996=phu!$I$74,M996=phu!$I$75,M996=phu!$I$76,M996=phu!$I$77,M996=phu!$I$78),"Cam Phước Đông",""),IF(OR(M996=phu!$I$79,M996=phu!$I$80,M996=phu!$I$81,M996=phu!$I$82,M996=phu!$I$83,M996=phu!$I$84),"Cam Thịnh Đông",""),IF(OR(M996=phu!$I$85,M996=phu!$I$86,M996=phu!$I$87,M996=phu!$I$88),"Cam Thịnh Tây",""),IF(OR(M996=phu!$I$89,M996=phu!$I$90),"Cam Lập",""),IF(OR(M996=phu!$I$91,M996=phu!$I$92,M996=phu!$I$93),"Cam Bình",""),IF(OR(M996=phu!$I$94,M996=phu!$I$95,M996=phu!$I$96,M996=phu!$I$97,M996=phu!$I$98,M996=phu!$I$99,M996=phu!$I$100),"Huyện khác",""),IF(OR(M996=phu!$I$101,M996=phu!$I$102),"Tỉnh khác",""))</f>
        <v/>
      </c>
      <c r="O996" s="814" t="str">
        <f t="shared" si="91"/>
        <v/>
      </c>
      <c r="P996" s="254"/>
      <c r="Q996" s="254"/>
      <c r="R996" s="254"/>
      <c r="S996" s="254"/>
      <c r="T996" s="254"/>
      <c r="U996" s="254"/>
      <c r="V996" s="254"/>
      <c r="W996" s="254"/>
      <c r="Y996" s="246" t="str">
        <f t="shared" si="92"/>
        <v/>
      </c>
      <c r="Z996" s="247" t="str">
        <f t="shared" si="90"/>
        <v/>
      </c>
      <c r="AA996" s="246" t="str">
        <f t="shared" si="93"/>
        <v/>
      </c>
    </row>
    <row r="997" spans="1:27" x14ac:dyDescent="0.25">
      <c r="A997" s="248" t="str">
        <f t="shared" si="94"/>
        <v/>
      </c>
      <c r="B997" s="249" t="str">
        <f t="shared" si="95"/>
        <v/>
      </c>
      <c r="C997" s="250"/>
      <c r="D997" s="251"/>
      <c r="E997" s="241"/>
      <c r="F997" s="252"/>
      <c r="G997" s="252"/>
      <c r="H997" s="253"/>
      <c r="I997" s="250"/>
      <c r="J997" s="250"/>
      <c r="K997" s="270"/>
      <c r="L997" s="250"/>
      <c r="M997" s="250"/>
      <c r="N997" s="553" t="str">
        <f>CONCATENATE(IF(OR(M997=phu!$I$1,M997=phu!$I$2,M997=phu!$I$3),"Cam Thành Nam",""),IF(OR(M997=phu!$I$4,M997=phu!$I$5,M997=phu!$I$6,M997=phu!$I$7,M997=phu!$I$8,M997=phu!$I$9,M997=phu!$I$10,M997=phu!$I$11,M997=phu!$I$12,M997=phu!$I$13,M997=phu!$I$14),"Cam Nghĩa",""),IF(OR(M997=phu!$I$15,M997=phu!$I$16,M997=phu!$I$17,M997=phu!$I$18,M997=phu!$I$19,M997=phu!$I$20,M997=phu!$I$21),"Cam Phúc Bắc",""),IF(OR(M997=phu!$I$22,M997=phu!$I$23,M997=phu!$I$24,M997=phu!$I$25),"Cam Phúc Nam",""),IF(OR(M997=phu!$I$26,M997=phu!$I$27,M997=phu!$I$28,M997=phu!$I$29,M997=phu!$I$30,M997=phu!$I$31),"Cam Phú",""),IF(OR(M997=phu!$I$32,M997=phu!$I$33,M997=phu!$I$34,M997=phu!$I$35,M997=phu!$I$36,M997=phu!$I$37),"Cam Lộc",""),IF(OR(M997=phu!$I$38,M997=phu!$I$39,M997=phu!$I$40,M997=phu!$I$41,M997=phu!$I$42,M997=phu!$I$43,M997=phu!$I$44),"Cam Thuận",""),IF(OR(M997=phu!$I$45,M997=phu!$I$46,M997=phu!$I$47,M997=phu!$I$48,M997=phu!$I$49,M997=phu!$I$50,M997=phu!$I$51,M997=phu!$I$52,M997=phu!$I$53),"Cam Linh",""),IF(OR(M997=phu!$I$54,M997=phu!$I$55,M997=phu!$I$56,M997=phu!$I$57,M997=phu!$I$58,M997=phu!$I$59,M997=phu!$I$60,M997=phu!$I$61,M997=phu!$I$62),"Cam Lợi",""),IF(OR(M997=phu!$I$63,M997=phu!$I$64,M997=phu!$I$65,M997=phu!$I$66,M997=phu!$I$67,M997=phu!$I$68,M997=phu!$I$69,M997=phu!$I$70,M997=phu!$I$71),"Ba Ngòi",""),IF(OR(M997=phu!$I$72,M997=phu!$I$73,M997=phu!$I$74,M997=phu!$I$75,M997=phu!$I$76,M997=phu!$I$77,M997=phu!$I$78),"Cam Phước Đông",""),IF(OR(M997=phu!$I$79,M997=phu!$I$80,M997=phu!$I$81,M997=phu!$I$82,M997=phu!$I$83,M997=phu!$I$84),"Cam Thịnh Đông",""),IF(OR(M997=phu!$I$85,M997=phu!$I$86,M997=phu!$I$87,M997=phu!$I$88),"Cam Thịnh Tây",""),IF(OR(M997=phu!$I$89,M997=phu!$I$90),"Cam Lập",""),IF(OR(M997=phu!$I$91,M997=phu!$I$92,M997=phu!$I$93),"Cam Bình",""),IF(OR(M997=phu!$I$94,M997=phu!$I$95,M997=phu!$I$96,M997=phu!$I$97,M997=phu!$I$98,M997=phu!$I$99,M997=phu!$I$100),"Huyện khác",""),IF(OR(M997=phu!$I$101,M997=phu!$I$102),"Tỉnh khác",""))</f>
        <v/>
      </c>
      <c r="O997" s="814" t="str">
        <f t="shared" si="91"/>
        <v/>
      </c>
      <c r="P997" s="254"/>
      <c r="Q997" s="254"/>
      <c r="R997" s="254"/>
      <c r="S997" s="254"/>
      <c r="T997" s="254"/>
      <c r="U997" s="254"/>
      <c r="V997" s="254"/>
      <c r="W997" s="254"/>
      <c r="Y997" s="246" t="str">
        <f t="shared" si="92"/>
        <v/>
      </c>
      <c r="Z997" s="247" t="str">
        <f t="shared" si="90"/>
        <v/>
      </c>
      <c r="AA997" s="246" t="str">
        <f t="shared" si="93"/>
        <v/>
      </c>
    </row>
    <row r="998" spans="1:27" x14ac:dyDescent="0.25">
      <c r="A998" s="248" t="str">
        <f t="shared" si="94"/>
        <v/>
      </c>
      <c r="B998" s="249" t="str">
        <f t="shared" si="95"/>
        <v/>
      </c>
      <c r="C998" s="250"/>
      <c r="D998" s="251"/>
      <c r="E998" s="241"/>
      <c r="F998" s="252"/>
      <c r="G998" s="252"/>
      <c r="H998" s="253"/>
      <c r="I998" s="250"/>
      <c r="J998" s="250"/>
      <c r="K998" s="270"/>
      <c r="L998" s="250"/>
      <c r="M998" s="250"/>
      <c r="N998" s="553" t="str">
        <f>CONCATENATE(IF(OR(M998=phu!$I$1,M998=phu!$I$2,M998=phu!$I$3),"Cam Thành Nam",""),IF(OR(M998=phu!$I$4,M998=phu!$I$5,M998=phu!$I$6,M998=phu!$I$7,M998=phu!$I$8,M998=phu!$I$9,M998=phu!$I$10,M998=phu!$I$11,M998=phu!$I$12,M998=phu!$I$13,M998=phu!$I$14),"Cam Nghĩa",""),IF(OR(M998=phu!$I$15,M998=phu!$I$16,M998=phu!$I$17,M998=phu!$I$18,M998=phu!$I$19,M998=phu!$I$20,M998=phu!$I$21),"Cam Phúc Bắc",""),IF(OR(M998=phu!$I$22,M998=phu!$I$23,M998=phu!$I$24,M998=phu!$I$25),"Cam Phúc Nam",""),IF(OR(M998=phu!$I$26,M998=phu!$I$27,M998=phu!$I$28,M998=phu!$I$29,M998=phu!$I$30,M998=phu!$I$31),"Cam Phú",""),IF(OR(M998=phu!$I$32,M998=phu!$I$33,M998=phu!$I$34,M998=phu!$I$35,M998=phu!$I$36,M998=phu!$I$37),"Cam Lộc",""),IF(OR(M998=phu!$I$38,M998=phu!$I$39,M998=phu!$I$40,M998=phu!$I$41,M998=phu!$I$42,M998=phu!$I$43,M998=phu!$I$44),"Cam Thuận",""),IF(OR(M998=phu!$I$45,M998=phu!$I$46,M998=phu!$I$47,M998=phu!$I$48,M998=phu!$I$49,M998=phu!$I$50,M998=phu!$I$51,M998=phu!$I$52,M998=phu!$I$53),"Cam Linh",""),IF(OR(M998=phu!$I$54,M998=phu!$I$55,M998=phu!$I$56,M998=phu!$I$57,M998=phu!$I$58,M998=phu!$I$59,M998=phu!$I$60,M998=phu!$I$61,M998=phu!$I$62),"Cam Lợi",""),IF(OR(M998=phu!$I$63,M998=phu!$I$64,M998=phu!$I$65,M998=phu!$I$66,M998=phu!$I$67,M998=phu!$I$68,M998=phu!$I$69,M998=phu!$I$70,M998=phu!$I$71),"Ba Ngòi",""),IF(OR(M998=phu!$I$72,M998=phu!$I$73,M998=phu!$I$74,M998=phu!$I$75,M998=phu!$I$76,M998=phu!$I$77,M998=phu!$I$78),"Cam Phước Đông",""),IF(OR(M998=phu!$I$79,M998=phu!$I$80,M998=phu!$I$81,M998=phu!$I$82,M998=phu!$I$83,M998=phu!$I$84),"Cam Thịnh Đông",""),IF(OR(M998=phu!$I$85,M998=phu!$I$86,M998=phu!$I$87,M998=phu!$I$88),"Cam Thịnh Tây",""),IF(OR(M998=phu!$I$89,M998=phu!$I$90),"Cam Lập",""),IF(OR(M998=phu!$I$91,M998=phu!$I$92,M998=phu!$I$93),"Cam Bình",""),IF(OR(M998=phu!$I$94,M998=phu!$I$95,M998=phu!$I$96,M998=phu!$I$97,M998=phu!$I$98,M998=phu!$I$99,M998=phu!$I$100),"Huyện khác",""),IF(OR(M998=phu!$I$101,M998=phu!$I$102),"Tỉnh khác",""))</f>
        <v/>
      </c>
      <c r="O998" s="814" t="str">
        <f t="shared" si="91"/>
        <v/>
      </c>
      <c r="P998" s="254"/>
      <c r="Q998" s="254"/>
      <c r="R998" s="254"/>
      <c r="S998" s="254"/>
      <c r="T998" s="254"/>
      <c r="U998" s="254"/>
      <c r="V998" s="254"/>
      <c r="W998" s="254"/>
      <c r="Y998" s="246" t="str">
        <f t="shared" si="92"/>
        <v/>
      </c>
      <c r="Z998" s="247" t="str">
        <f t="shared" si="90"/>
        <v/>
      </c>
      <c r="AA998" s="246" t="str">
        <f t="shared" si="93"/>
        <v/>
      </c>
    </row>
    <row r="999" spans="1:27" x14ac:dyDescent="0.25">
      <c r="A999" s="248" t="str">
        <f t="shared" si="94"/>
        <v/>
      </c>
      <c r="B999" s="249" t="str">
        <f t="shared" si="95"/>
        <v/>
      </c>
      <c r="C999" s="250"/>
      <c r="D999" s="251"/>
      <c r="E999" s="241"/>
      <c r="F999" s="252"/>
      <c r="G999" s="252"/>
      <c r="H999" s="253"/>
      <c r="I999" s="250"/>
      <c r="J999" s="250"/>
      <c r="K999" s="270"/>
      <c r="L999" s="250"/>
      <c r="M999" s="250"/>
      <c r="N999" s="553" t="str">
        <f>CONCATENATE(IF(OR(M999=phu!$I$1,M999=phu!$I$2,M999=phu!$I$3),"Cam Thành Nam",""),IF(OR(M999=phu!$I$4,M999=phu!$I$5,M999=phu!$I$6,M999=phu!$I$7,M999=phu!$I$8,M999=phu!$I$9,M999=phu!$I$10,M999=phu!$I$11,M999=phu!$I$12,M999=phu!$I$13,M999=phu!$I$14),"Cam Nghĩa",""),IF(OR(M999=phu!$I$15,M999=phu!$I$16,M999=phu!$I$17,M999=phu!$I$18,M999=phu!$I$19,M999=phu!$I$20,M999=phu!$I$21),"Cam Phúc Bắc",""),IF(OR(M999=phu!$I$22,M999=phu!$I$23,M999=phu!$I$24,M999=phu!$I$25),"Cam Phúc Nam",""),IF(OR(M999=phu!$I$26,M999=phu!$I$27,M999=phu!$I$28,M999=phu!$I$29,M999=phu!$I$30,M999=phu!$I$31),"Cam Phú",""),IF(OR(M999=phu!$I$32,M999=phu!$I$33,M999=phu!$I$34,M999=phu!$I$35,M999=phu!$I$36,M999=phu!$I$37),"Cam Lộc",""),IF(OR(M999=phu!$I$38,M999=phu!$I$39,M999=phu!$I$40,M999=phu!$I$41,M999=phu!$I$42,M999=phu!$I$43,M999=phu!$I$44),"Cam Thuận",""),IF(OR(M999=phu!$I$45,M999=phu!$I$46,M999=phu!$I$47,M999=phu!$I$48,M999=phu!$I$49,M999=phu!$I$50,M999=phu!$I$51,M999=phu!$I$52,M999=phu!$I$53),"Cam Linh",""),IF(OR(M999=phu!$I$54,M999=phu!$I$55,M999=phu!$I$56,M999=phu!$I$57,M999=phu!$I$58,M999=phu!$I$59,M999=phu!$I$60,M999=phu!$I$61,M999=phu!$I$62),"Cam Lợi",""),IF(OR(M999=phu!$I$63,M999=phu!$I$64,M999=phu!$I$65,M999=phu!$I$66,M999=phu!$I$67,M999=phu!$I$68,M999=phu!$I$69,M999=phu!$I$70,M999=phu!$I$71),"Ba Ngòi",""),IF(OR(M999=phu!$I$72,M999=phu!$I$73,M999=phu!$I$74,M999=phu!$I$75,M999=phu!$I$76,M999=phu!$I$77,M999=phu!$I$78),"Cam Phước Đông",""),IF(OR(M999=phu!$I$79,M999=phu!$I$80,M999=phu!$I$81,M999=phu!$I$82,M999=phu!$I$83,M999=phu!$I$84),"Cam Thịnh Đông",""),IF(OR(M999=phu!$I$85,M999=phu!$I$86,M999=phu!$I$87,M999=phu!$I$88),"Cam Thịnh Tây",""),IF(OR(M999=phu!$I$89,M999=phu!$I$90),"Cam Lập",""),IF(OR(M999=phu!$I$91,M999=phu!$I$92,M999=phu!$I$93),"Cam Bình",""),IF(OR(M999=phu!$I$94,M999=phu!$I$95,M999=phu!$I$96,M999=phu!$I$97,M999=phu!$I$98,M999=phu!$I$99,M999=phu!$I$100),"Huyện khác",""),IF(OR(M999=phu!$I$101,M999=phu!$I$102),"Tỉnh khác",""))</f>
        <v/>
      </c>
      <c r="O999" s="814" t="str">
        <f t="shared" si="91"/>
        <v/>
      </c>
      <c r="P999" s="254"/>
      <c r="Q999" s="254"/>
      <c r="R999" s="254"/>
      <c r="S999" s="254"/>
      <c r="T999" s="254"/>
      <c r="U999" s="254"/>
      <c r="V999" s="254"/>
      <c r="W999" s="254"/>
      <c r="Y999" s="246" t="str">
        <f t="shared" si="92"/>
        <v/>
      </c>
      <c r="Z999" s="247" t="str">
        <f t="shared" si="90"/>
        <v/>
      </c>
      <c r="AA999" s="246" t="str">
        <f t="shared" si="93"/>
        <v/>
      </c>
    </row>
    <row r="1000" spans="1:27" x14ac:dyDescent="0.25">
      <c r="A1000" s="248" t="str">
        <f t="shared" si="94"/>
        <v/>
      </c>
      <c r="B1000" s="249" t="str">
        <f t="shared" si="95"/>
        <v/>
      </c>
      <c r="C1000" s="250"/>
      <c r="D1000" s="251"/>
      <c r="E1000" s="241"/>
      <c r="F1000" s="252"/>
      <c r="G1000" s="252"/>
      <c r="H1000" s="253"/>
      <c r="I1000" s="250"/>
      <c r="J1000" s="250"/>
      <c r="K1000" s="270"/>
      <c r="L1000" s="250"/>
      <c r="M1000" s="250"/>
      <c r="N1000" s="553" t="str">
        <f>CONCATENATE(IF(OR(M1000=phu!$I$1,M1000=phu!$I$2,M1000=phu!$I$3),"Cam Thành Nam",""),IF(OR(M1000=phu!$I$4,M1000=phu!$I$5,M1000=phu!$I$6,M1000=phu!$I$7,M1000=phu!$I$8,M1000=phu!$I$9,M1000=phu!$I$10,M1000=phu!$I$11,M1000=phu!$I$12,M1000=phu!$I$13,M1000=phu!$I$14),"Cam Nghĩa",""),IF(OR(M1000=phu!$I$15,M1000=phu!$I$16,M1000=phu!$I$17,M1000=phu!$I$18,M1000=phu!$I$19,M1000=phu!$I$20,M1000=phu!$I$21),"Cam Phúc Bắc",""),IF(OR(M1000=phu!$I$22,M1000=phu!$I$23,M1000=phu!$I$24,M1000=phu!$I$25),"Cam Phúc Nam",""),IF(OR(M1000=phu!$I$26,M1000=phu!$I$27,M1000=phu!$I$28,M1000=phu!$I$29,M1000=phu!$I$30,M1000=phu!$I$31),"Cam Phú",""),IF(OR(M1000=phu!$I$32,M1000=phu!$I$33,M1000=phu!$I$34,M1000=phu!$I$35,M1000=phu!$I$36,M1000=phu!$I$37),"Cam Lộc",""),IF(OR(M1000=phu!$I$38,M1000=phu!$I$39,M1000=phu!$I$40,M1000=phu!$I$41,M1000=phu!$I$42,M1000=phu!$I$43,M1000=phu!$I$44),"Cam Thuận",""),IF(OR(M1000=phu!$I$45,M1000=phu!$I$46,M1000=phu!$I$47,M1000=phu!$I$48,M1000=phu!$I$49,M1000=phu!$I$50,M1000=phu!$I$51,M1000=phu!$I$52,M1000=phu!$I$53),"Cam Linh",""),IF(OR(M1000=phu!$I$54,M1000=phu!$I$55,M1000=phu!$I$56,M1000=phu!$I$57,M1000=phu!$I$58,M1000=phu!$I$59,M1000=phu!$I$60,M1000=phu!$I$61,M1000=phu!$I$62),"Cam Lợi",""),IF(OR(M1000=phu!$I$63,M1000=phu!$I$64,M1000=phu!$I$65,M1000=phu!$I$66,M1000=phu!$I$67,M1000=phu!$I$68,M1000=phu!$I$69,M1000=phu!$I$70,M1000=phu!$I$71),"Ba Ngòi",""),IF(OR(M1000=phu!$I$72,M1000=phu!$I$73,M1000=phu!$I$74,M1000=phu!$I$75,M1000=phu!$I$76,M1000=phu!$I$77,M1000=phu!$I$78),"Cam Phước Đông",""),IF(OR(M1000=phu!$I$79,M1000=phu!$I$80,M1000=phu!$I$81,M1000=phu!$I$82,M1000=phu!$I$83,M1000=phu!$I$84),"Cam Thịnh Đông",""),IF(OR(M1000=phu!$I$85,M1000=phu!$I$86,M1000=phu!$I$87,M1000=phu!$I$88),"Cam Thịnh Tây",""),IF(OR(M1000=phu!$I$89,M1000=phu!$I$90),"Cam Lập",""),IF(OR(M1000=phu!$I$91,M1000=phu!$I$92,M1000=phu!$I$93),"Cam Bình",""),IF(OR(M1000=phu!$I$94,M1000=phu!$I$95,M1000=phu!$I$96,M1000=phu!$I$97,M1000=phu!$I$98,M1000=phu!$I$99,M1000=phu!$I$100),"Huyện khác",""),IF(OR(M1000=phu!$I$101,M1000=phu!$I$102),"Tỉnh khác",""))</f>
        <v/>
      </c>
      <c r="O1000" s="814" t="str">
        <f t="shared" si="91"/>
        <v/>
      </c>
      <c r="P1000" s="254"/>
      <c r="Q1000" s="254"/>
      <c r="R1000" s="254"/>
      <c r="S1000" s="254"/>
      <c r="T1000" s="254"/>
      <c r="U1000" s="254"/>
      <c r="V1000" s="254"/>
      <c r="W1000" s="254"/>
      <c r="Y1000" s="246" t="str">
        <f t="shared" si="92"/>
        <v/>
      </c>
      <c r="Z1000" s="247" t="str">
        <f t="shared" si="90"/>
        <v/>
      </c>
      <c r="AA1000" s="246" t="str">
        <f t="shared" si="93"/>
        <v/>
      </c>
    </row>
    <row r="1001" spans="1:27" x14ac:dyDescent="0.25">
      <c r="A1001" s="248" t="str">
        <f t="shared" si="94"/>
        <v/>
      </c>
      <c r="B1001" s="249" t="str">
        <f t="shared" si="95"/>
        <v/>
      </c>
      <c r="C1001" s="250"/>
      <c r="D1001" s="251"/>
      <c r="E1001" s="241"/>
      <c r="F1001" s="252"/>
      <c r="G1001" s="252"/>
      <c r="H1001" s="253"/>
      <c r="I1001" s="250"/>
      <c r="J1001" s="250"/>
      <c r="K1001" s="270"/>
      <c r="L1001" s="250"/>
      <c r="M1001" s="250"/>
      <c r="N1001" s="553" t="str">
        <f>CONCATENATE(IF(OR(M1001=phu!$I$1,M1001=phu!$I$2,M1001=phu!$I$3),"Cam Thành Nam",""),IF(OR(M1001=phu!$I$4,M1001=phu!$I$5,M1001=phu!$I$6,M1001=phu!$I$7,M1001=phu!$I$8,M1001=phu!$I$9,M1001=phu!$I$10,M1001=phu!$I$11,M1001=phu!$I$12,M1001=phu!$I$13,M1001=phu!$I$14),"Cam Nghĩa",""),IF(OR(M1001=phu!$I$15,M1001=phu!$I$16,M1001=phu!$I$17,M1001=phu!$I$18,M1001=phu!$I$19,M1001=phu!$I$20,M1001=phu!$I$21),"Cam Phúc Bắc",""),IF(OR(M1001=phu!$I$22,M1001=phu!$I$23,M1001=phu!$I$24,M1001=phu!$I$25),"Cam Phúc Nam",""),IF(OR(M1001=phu!$I$26,M1001=phu!$I$27,M1001=phu!$I$28,M1001=phu!$I$29,M1001=phu!$I$30,M1001=phu!$I$31),"Cam Phú",""),IF(OR(M1001=phu!$I$32,M1001=phu!$I$33,M1001=phu!$I$34,M1001=phu!$I$35,M1001=phu!$I$36,M1001=phu!$I$37),"Cam Lộc",""),IF(OR(M1001=phu!$I$38,M1001=phu!$I$39,M1001=phu!$I$40,M1001=phu!$I$41,M1001=phu!$I$42,M1001=phu!$I$43,M1001=phu!$I$44),"Cam Thuận",""),IF(OR(M1001=phu!$I$45,M1001=phu!$I$46,M1001=phu!$I$47,M1001=phu!$I$48,M1001=phu!$I$49,M1001=phu!$I$50,M1001=phu!$I$51,M1001=phu!$I$52,M1001=phu!$I$53),"Cam Linh",""),IF(OR(M1001=phu!$I$54,M1001=phu!$I$55,M1001=phu!$I$56,M1001=phu!$I$57,M1001=phu!$I$58,M1001=phu!$I$59,M1001=phu!$I$60,M1001=phu!$I$61,M1001=phu!$I$62),"Cam Lợi",""),IF(OR(M1001=phu!$I$63,M1001=phu!$I$64,M1001=phu!$I$65,M1001=phu!$I$66,M1001=phu!$I$67,M1001=phu!$I$68,M1001=phu!$I$69,M1001=phu!$I$70,M1001=phu!$I$71),"Ba Ngòi",""),IF(OR(M1001=phu!$I$72,M1001=phu!$I$73,M1001=phu!$I$74,M1001=phu!$I$75,M1001=phu!$I$76,M1001=phu!$I$77,M1001=phu!$I$78),"Cam Phước Đông",""),IF(OR(M1001=phu!$I$79,M1001=phu!$I$80,M1001=phu!$I$81,M1001=phu!$I$82,M1001=phu!$I$83,M1001=phu!$I$84),"Cam Thịnh Đông",""),IF(OR(M1001=phu!$I$85,M1001=phu!$I$86,M1001=phu!$I$87,M1001=phu!$I$88),"Cam Thịnh Tây",""),IF(OR(M1001=phu!$I$89,M1001=phu!$I$90),"Cam Lập",""),IF(OR(M1001=phu!$I$91,M1001=phu!$I$92,M1001=phu!$I$93),"Cam Bình",""),IF(OR(M1001=phu!$I$94,M1001=phu!$I$95,M1001=phu!$I$96,M1001=phu!$I$97,M1001=phu!$I$98,M1001=phu!$I$99,M1001=phu!$I$100),"Huyện khác",""),IF(OR(M1001=phu!$I$101,M1001=phu!$I$102),"Tỉnh khác",""))</f>
        <v/>
      </c>
      <c r="O1001" s="814" t="str">
        <f t="shared" si="91"/>
        <v/>
      </c>
      <c r="P1001" s="254"/>
      <c r="Q1001" s="254"/>
      <c r="R1001" s="254"/>
      <c r="S1001" s="254"/>
      <c r="T1001" s="254"/>
      <c r="U1001" s="254"/>
      <c r="V1001" s="254"/>
      <c r="W1001" s="254"/>
      <c r="Y1001" s="246" t="str">
        <f t="shared" si="92"/>
        <v/>
      </c>
      <c r="Z1001" s="247" t="str">
        <f t="shared" si="90"/>
        <v/>
      </c>
      <c r="AA1001" s="246" t="str">
        <f t="shared" si="93"/>
        <v/>
      </c>
    </row>
    <row r="1002" spans="1:27" x14ac:dyDescent="0.25">
      <c r="A1002" s="248" t="str">
        <f t="shared" si="94"/>
        <v/>
      </c>
      <c r="B1002" s="249" t="str">
        <f t="shared" si="95"/>
        <v/>
      </c>
      <c r="C1002" s="250"/>
      <c r="D1002" s="251"/>
      <c r="E1002" s="241"/>
      <c r="F1002" s="252"/>
      <c r="G1002" s="252"/>
      <c r="H1002" s="253"/>
      <c r="I1002" s="250"/>
      <c r="J1002" s="250"/>
      <c r="K1002" s="270"/>
      <c r="L1002" s="250"/>
      <c r="M1002" s="250"/>
      <c r="N1002" s="553" t="str">
        <f>CONCATENATE(IF(OR(M1002=phu!$I$1,M1002=phu!$I$2,M1002=phu!$I$3),"Cam Thành Nam",""),IF(OR(M1002=phu!$I$4,M1002=phu!$I$5,M1002=phu!$I$6,M1002=phu!$I$7,M1002=phu!$I$8,M1002=phu!$I$9,M1002=phu!$I$10,M1002=phu!$I$11,M1002=phu!$I$12,M1002=phu!$I$13,M1002=phu!$I$14),"Cam Nghĩa",""),IF(OR(M1002=phu!$I$15,M1002=phu!$I$16,M1002=phu!$I$17,M1002=phu!$I$18,M1002=phu!$I$19,M1002=phu!$I$20,M1002=phu!$I$21),"Cam Phúc Bắc",""),IF(OR(M1002=phu!$I$22,M1002=phu!$I$23,M1002=phu!$I$24,M1002=phu!$I$25),"Cam Phúc Nam",""),IF(OR(M1002=phu!$I$26,M1002=phu!$I$27,M1002=phu!$I$28,M1002=phu!$I$29,M1002=phu!$I$30,M1002=phu!$I$31),"Cam Phú",""),IF(OR(M1002=phu!$I$32,M1002=phu!$I$33,M1002=phu!$I$34,M1002=phu!$I$35,M1002=phu!$I$36,M1002=phu!$I$37),"Cam Lộc",""),IF(OR(M1002=phu!$I$38,M1002=phu!$I$39,M1002=phu!$I$40,M1002=phu!$I$41,M1002=phu!$I$42,M1002=phu!$I$43,M1002=phu!$I$44),"Cam Thuận",""),IF(OR(M1002=phu!$I$45,M1002=phu!$I$46,M1002=phu!$I$47,M1002=phu!$I$48,M1002=phu!$I$49,M1002=phu!$I$50,M1002=phu!$I$51,M1002=phu!$I$52,M1002=phu!$I$53),"Cam Linh",""),IF(OR(M1002=phu!$I$54,M1002=phu!$I$55,M1002=phu!$I$56,M1002=phu!$I$57,M1002=phu!$I$58,M1002=phu!$I$59,M1002=phu!$I$60,M1002=phu!$I$61,M1002=phu!$I$62),"Cam Lợi",""),IF(OR(M1002=phu!$I$63,M1002=phu!$I$64,M1002=phu!$I$65,M1002=phu!$I$66,M1002=phu!$I$67,M1002=phu!$I$68,M1002=phu!$I$69,M1002=phu!$I$70,M1002=phu!$I$71),"Ba Ngòi",""),IF(OR(M1002=phu!$I$72,M1002=phu!$I$73,M1002=phu!$I$74,M1002=phu!$I$75,M1002=phu!$I$76,M1002=phu!$I$77,M1002=phu!$I$78),"Cam Phước Đông",""),IF(OR(M1002=phu!$I$79,M1002=phu!$I$80,M1002=phu!$I$81,M1002=phu!$I$82,M1002=phu!$I$83,M1002=phu!$I$84),"Cam Thịnh Đông",""),IF(OR(M1002=phu!$I$85,M1002=phu!$I$86,M1002=phu!$I$87,M1002=phu!$I$88),"Cam Thịnh Tây",""),IF(OR(M1002=phu!$I$89,M1002=phu!$I$90),"Cam Lập",""),IF(OR(M1002=phu!$I$91,M1002=phu!$I$92,M1002=phu!$I$93),"Cam Bình",""),IF(OR(M1002=phu!$I$94,M1002=phu!$I$95,M1002=phu!$I$96,M1002=phu!$I$97,M1002=phu!$I$98,M1002=phu!$I$99,M1002=phu!$I$100),"Huyện khác",""),IF(OR(M1002=phu!$I$101,M1002=phu!$I$102),"Tỉnh khác",""))</f>
        <v/>
      </c>
      <c r="O1002" s="814" t="str">
        <f t="shared" si="91"/>
        <v/>
      </c>
      <c r="P1002" s="254"/>
      <c r="Q1002" s="254"/>
      <c r="R1002" s="254"/>
      <c r="S1002" s="254"/>
      <c r="T1002" s="254"/>
      <c r="U1002" s="254"/>
      <c r="V1002" s="254"/>
      <c r="W1002" s="254"/>
      <c r="Y1002" s="246" t="str">
        <f t="shared" si="92"/>
        <v/>
      </c>
      <c r="Z1002" s="247" t="str">
        <f t="shared" si="90"/>
        <v/>
      </c>
      <c r="AA1002" s="246" t="str">
        <f t="shared" si="93"/>
        <v/>
      </c>
    </row>
    <row r="1003" spans="1:27" x14ac:dyDescent="0.25">
      <c r="A1003" s="248" t="str">
        <f t="shared" si="94"/>
        <v/>
      </c>
      <c r="B1003" s="249" t="str">
        <f t="shared" si="95"/>
        <v/>
      </c>
      <c r="C1003" s="250"/>
      <c r="D1003" s="251"/>
      <c r="E1003" s="241"/>
      <c r="F1003" s="252"/>
      <c r="G1003" s="252"/>
      <c r="H1003" s="253"/>
      <c r="I1003" s="250"/>
      <c r="J1003" s="250"/>
      <c r="K1003" s="270"/>
      <c r="L1003" s="250"/>
      <c r="M1003" s="250"/>
      <c r="N1003" s="553" t="str">
        <f>CONCATENATE(IF(OR(M1003=phu!$I$1,M1003=phu!$I$2,M1003=phu!$I$3),"Cam Thành Nam",""),IF(OR(M1003=phu!$I$4,M1003=phu!$I$5,M1003=phu!$I$6,M1003=phu!$I$7,M1003=phu!$I$8,M1003=phu!$I$9,M1003=phu!$I$10,M1003=phu!$I$11,M1003=phu!$I$12,M1003=phu!$I$13,M1003=phu!$I$14),"Cam Nghĩa",""),IF(OR(M1003=phu!$I$15,M1003=phu!$I$16,M1003=phu!$I$17,M1003=phu!$I$18,M1003=phu!$I$19,M1003=phu!$I$20,M1003=phu!$I$21),"Cam Phúc Bắc",""),IF(OR(M1003=phu!$I$22,M1003=phu!$I$23,M1003=phu!$I$24,M1003=phu!$I$25),"Cam Phúc Nam",""),IF(OR(M1003=phu!$I$26,M1003=phu!$I$27,M1003=phu!$I$28,M1003=phu!$I$29,M1003=phu!$I$30,M1003=phu!$I$31),"Cam Phú",""),IF(OR(M1003=phu!$I$32,M1003=phu!$I$33,M1003=phu!$I$34,M1003=phu!$I$35,M1003=phu!$I$36,M1003=phu!$I$37),"Cam Lộc",""),IF(OR(M1003=phu!$I$38,M1003=phu!$I$39,M1003=phu!$I$40,M1003=phu!$I$41,M1003=phu!$I$42,M1003=phu!$I$43,M1003=phu!$I$44),"Cam Thuận",""),IF(OR(M1003=phu!$I$45,M1003=phu!$I$46,M1003=phu!$I$47,M1003=phu!$I$48,M1003=phu!$I$49,M1003=phu!$I$50,M1003=phu!$I$51,M1003=phu!$I$52,M1003=phu!$I$53),"Cam Linh",""),IF(OR(M1003=phu!$I$54,M1003=phu!$I$55,M1003=phu!$I$56,M1003=phu!$I$57,M1003=phu!$I$58,M1003=phu!$I$59,M1003=phu!$I$60,M1003=phu!$I$61,M1003=phu!$I$62),"Cam Lợi",""),IF(OR(M1003=phu!$I$63,M1003=phu!$I$64,M1003=phu!$I$65,M1003=phu!$I$66,M1003=phu!$I$67,M1003=phu!$I$68,M1003=phu!$I$69,M1003=phu!$I$70,M1003=phu!$I$71),"Ba Ngòi",""),IF(OR(M1003=phu!$I$72,M1003=phu!$I$73,M1003=phu!$I$74,M1003=phu!$I$75,M1003=phu!$I$76,M1003=phu!$I$77,M1003=phu!$I$78),"Cam Phước Đông",""),IF(OR(M1003=phu!$I$79,M1003=phu!$I$80,M1003=phu!$I$81,M1003=phu!$I$82,M1003=phu!$I$83,M1003=phu!$I$84),"Cam Thịnh Đông",""),IF(OR(M1003=phu!$I$85,M1003=phu!$I$86,M1003=phu!$I$87,M1003=phu!$I$88),"Cam Thịnh Tây",""),IF(OR(M1003=phu!$I$89,M1003=phu!$I$90),"Cam Lập",""),IF(OR(M1003=phu!$I$91,M1003=phu!$I$92,M1003=phu!$I$93),"Cam Bình",""),IF(OR(M1003=phu!$I$94,M1003=phu!$I$95,M1003=phu!$I$96,M1003=phu!$I$97,M1003=phu!$I$98,M1003=phu!$I$99,M1003=phu!$I$100),"Huyện khác",""),IF(OR(M1003=phu!$I$101,M1003=phu!$I$102),"Tỉnh khác",""))</f>
        <v/>
      </c>
      <c r="O1003" s="814" t="str">
        <f t="shared" si="91"/>
        <v/>
      </c>
      <c r="P1003" s="254"/>
      <c r="Q1003" s="254"/>
      <c r="R1003" s="254"/>
      <c r="S1003" s="254"/>
      <c r="T1003" s="254"/>
      <c r="U1003" s="254"/>
      <c r="V1003" s="254"/>
      <c r="W1003" s="254"/>
      <c r="Y1003" s="246" t="str">
        <f t="shared" si="92"/>
        <v/>
      </c>
      <c r="Z1003" s="247" t="str">
        <f t="shared" si="90"/>
        <v/>
      </c>
      <c r="AA1003" s="246" t="str">
        <f t="shared" si="93"/>
        <v/>
      </c>
    </row>
    <row r="1004" spans="1:27" x14ac:dyDescent="0.25">
      <c r="A1004" s="248" t="str">
        <f t="shared" si="94"/>
        <v/>
      </c>
      <c r="B1004" s="249" t="str">
        <f t="shared" si="95"/>
        <v/>
      </c>
      <c r="C1004" s="250"/>
      <c r="D1004" s="251"/>
      <c r="E1004" s="241"/>
      <c r="F1004" s="252"/>
      <c r="G1004" s="252"/>
      <c r="H1004" s="253"/>
      <c r="I1004" s="250"/>
      <c r="J1004" s="250"/>
      <c r="K1004" s="270"/>
      <c r="L1004" s="250"/>
      <c r="M1004" s="250"/>
      <c r="N1004" s="553" t="str">
        <f>CONCATENATE(IF(OR(M1004=phu!$I$1,M1004=phu!$I$2,M1004=phu!$I$3),"Cam Thành Nam",""),IF(OR(M1004=phu!$I$4,M1004=phu!$I$5,M1004=phu!$I$6,M1004=phu!$I$7,M1004=phu!$I$8,M1004=phu!$I$9,M1004=phu!$I$10,M1004=phu!$I$11,M1004=phu!$I$12,M1004=phu!$I$13,M1004=phu!$I$14),"Cam Nghĩa",""),IF(OR(M1004=phu!$I$15,M1004=phu!$I$16,M1004=phu!$I$17,M1004=phu!$I$18,M1004=phu!$I$19,M1004=phu!$I$20,M1004=phu!$I$21),"Cam Phúc Bắc",""),IF(OR(M1004=phu!$I$22,M1004=phu!$I$23,M1004=phu!$I$24,M1004=phu!$I$25),"Cam Phúc Nam",""),IF(OR(M1004=phu!$I$26,M1004=phu!$I$27,M1004=phu!$I$28,M1004=phu!$I$29,M1004=phu!$I$30,M1004=phu!$I$31),"Cam Phú",""),IF(OR(M1004=phu!$I$32,M1004=phu!$I$33,M1004=phu!$I$34,M1004=phu!$I$35,M1004=phu!$I$36,M1004=phu!$I$37),"Cam Lộc",""),IF(OR(M1004=phu!$I$38,M1004=phu!$I$39,M1004=phu!$I$40,M1004=phu!$I$41,M1004=phu!$I$42,M1004=phu!$I$43,M1004=phu!$I$44),"Cam Thuận",""),IF(OR(M1004=phu!$I$45,M1004=phu!$I$46,M1004=phu!$I$47,M1004=phu!$I$48,M1004=phu!$I$49,M1004=phu!$I$50,M1004=phu!$I$51,M1004=phu!$I$52,M1004=phu!$I$53),"Cam Linh",""),IF(OR(M1004=phu!$I$54,M1004=phu!$I$55,M1004=phu!$I$56,M1004=phu!$I$57,M1004=phu!$I$58,M1004=phu!$I$59,M1004=phu!$I$60,M1004=phu!$I$61,M1004=phu!$I$62),"Cam Lợi",""),IF(OR(M1004=phu!$I$63,M1004=phu!$I$64,M1004=phu!$I$65,M1004=phu!$I$66,M1004=phu!$I$67,M1004=phu!$I$68,M1004=phu!$I$69,M1004=phu!$I$70,M1004=phu!$I$71),"Ba Ngòi",""),IF(OR(M1004=phu!$I$72,M1004=phu!$I$73,M1004=phu!$I$74,M1004=phu!$I$75,M1004=phu!$I$76,M1004=phu!$I$77,M1004=phu!$I$78),"Cam Phước Đông",""),IF(OR(M1004=phu!$I$79,M1004=phu!$I$80,M1004=phu!$I$81,M1004=phu!$I$82,M1004=phu!$I$83,M1004=phu!$I$84),"Cam Thịnh Đông",""),IF(OR(M1004=phu!$I$85,M1004=phu!$I$86,M1004=phu!$I$87,M1004=phu!$I$88),"Cam Thịnh Tây",""),IF(OR(M1004=phu!$I$89,M1004=phu!$I$90),"Cam Lập",""),IF(OR(M1004=phu!$I$91,M1004=phu!$I$92,M1004=phu!$I$93),"Cam Bình",""),IF(OR(M1004=phu!$I$94,M1004=phu!$I$95,M1004=phu!$I$96,M1004=phu!$I$97,M1004=phu!$I$98,M1004=phu!$I$99,M1004=phu!$I$100),"Huyện khác",""),IF(OR(M1004=phu!$I$101,M1004=phu!$I$102),"Tỉnh khác",""))</f>
        <v/>
      </c>
      <c r="O1004" s="814" t="str">
        <f t="shared" si="91"/>
        <v/>
      </c>
      <c r="P1004" s="254"/>
      <c r="Q1004" s="254"/>
      <c r="R1004" s="254"/>
      <c r="S1004" s="254"/>
      <c r="T1004" s="254"/>
      <c r="U1004" s="254"/>
      <c r="V1004" s="254"/>
      <c r="W1004" s="254"/>
      <c r="Y1004" s="246" t="str">
        <f t="shared" si="92"/>
        <v/>
      </c>
      <c r="Z1004" s="247" t="str">
        <f t="shared" si="90"/>
        <v/>
      </c>
      <c r="AA1004" s="246" t="str">
        <f t="shared" si="93"/>
        <v/>
      </c>
    </row>
    <row r="1005" spans="1:27" x14ac:dyDescent="0.25">
      <c r="A1005" s="248" t="str">
        <f t="shared" si="94"/>
        <v/>
      </c>
      <c r="B1005" s="249" t="str">
        <f t="shared" si="95"/>
        <v/>
      </c>
      <c r="C1005" s="250"/>
      <c r="D1005" s="251"/>
      <c r="E1005" s="241"/>
      <c r="F1005" s="252"/>
      <c r="G1005" s="252"/>
      <c r="H1005" s="253"/>
      <c r="I1005" s="250"/>
      <c r="J1005" s="250"/>
      <c r="K1005" s="270"/>
      <c r="L1005" s="250"/>
      <c r="M1005" s="250"/>
      <c r="N1005" s="553" t="str">
        <f>CONCATENATE(IF(OR(M1005=phu!$I$1,M1005=phu!$I$2,M1005=phu!$I$3),"Cam Thành Nam",""),IF(OR(M1005=phu!$I$4,M1005=phu!$I$5,M1005=phu!$I$6,M1005=phu!$I$7,M1005=phu!$I$8,M1005=phu!$I$9,M1005=phu!$I$10,M1005=phu!$I$11,M1005=phu!$I$12,M1005=phu!$I$13,M1005=phu!$I$14),"Cam Nghĩa",""),IF(OR(M1005=phu!$I$15,M1005=phu!$I$16,M1005=phu!$I$17,M1005=phu!$I$18,M1005=phu!$I$19,M1005=phu!$I$20,M1005=phu!$I$21),"Cam Phúc Bắc",""),IF(OR(M1005=phu!$I$22,M1005=phu!$I$23,M1005=phu!$I$24,M1005=phu!$I$25),"Cam Phúc Nam",""),IF(OR(M1005=phu!$I$26,M1005=phu!$I$27,M1005=phu!$I$28,M1005=phu!$I$29,M1005=phu!$I$30,M1005=phu!$I$31),"Cam Phú",""),IF(OR(M1005=phu!$I$32,M1005=phu!$I$33,M1005=phu!$I$34,M1005=phu!$I$35,M1005=phu!$I$36,M1005=phu!$I$37),"Cam Lộc",""),IF(OR(M1005=phu!$I$38,M1005=phu!$I$39,M1005=phu!$I$40,M1005=phu!$I$41,M1005=phu!$I$42,M1005=phu!$I$43,M1005=phu!$I$44),"Cam Thuận",""),IF(OR(M1005=phu!$I$45,M1005=phu!$I$46,M1005=phu!$I$47,M1005=phu!$I$48,M1005=phu!$I$49,M1005=phu!$I$50,M1005=phu!$I$51,M1005=phu!$I$52,M1005=phu!$I$53),"Cam Linh",""),IF(OR(M1005=phu!$I$54,M1005=phu!$I$55,M1005=phu!$I$56,M1005=phu!$I$57,M1005=phu!$I$58,M1005=phu!$I$59,M1005=phu!$I$60,M1005=phu!$I$61,M1005=phu!$I$62),"Cam Lợi",""),IF(OR(M1005=phu!$I$63,M1005=phu!$I$64,M1005=phu!$I$65,M1005=phu!$I$66,M1005=phu!$I$67,M1005=phu!$I$68,M1005=phu!$I$69,M1005=phu!$I$70,M1005=phu!$I$71),"Ba Ngòi",""),IF(OR(M1005=phu!$I$72,M1005=phu!$I$73,M1005=phu!$I$74,M1005=phu!$I$75,M1005=phu!$I$76,M1005=phu!$I$77,M1005=phu!$I$78),"Cam Phước Đông",""),IF(OR(M1005=phu!$I$79,M1005=phu!$I$80,M1005=phu!$I$81,M1005=phu!$I$82,M1005=phu!$I$83,M1005=phu!$I$84),"Cam Thịnh Đông",""),IF(OR(M1005=phu!$I$85,M1005=phu!$I$86,M1005=phu!$I$87,M1005=phu!$I$88),"Cam Thịnh Tây",""),IF(OR(M1005=phu!$I$89,M1005=phu!$I$90),"Cam Lập",""),IF(OR(M1005=phu!$I$91,M1005=phu!$I$92,M1005=phu!$I$93),"Cam Bình",""),IF(OR(M1005=phu!$I$94,M1005=phu!$I$95,M1005=phu!$I$96,M1005=phu!$I$97,M1005=phu!$I$98,M1005=phu!$I$99,M1005=phu!$I$100),"Huyện khác",""),IF(OR(M1005=phu!$I$101,M1005=phu!$I$102),"Tỉnh khác",""))</f>
        <v/>
      </c>
      <c r="O1005" s="814" t="str">
        <f t="shared" si="91"/>
        <v/>
      </c>
      <c r="P1005" s="254"/>
      <c r="Q1005" s="254"/>
      <c r="R1005" s="254"/>
      <c r="S1005" s="254"/>
      <c r="T1005" s="254"/>
      <c r="U1005" s="254"/>
      <c r="V1005" s="254"/>
      <c r="W1005" s="254"/>
      <c r="Y1005" s="246" t="str">
        <f t="shared" si="92"/>
        <v/>
      </c>
      <c r="Z1005" s="247" t="str">
        <f t="shared" si="90"/>
        <v/>
      </c>
      <c r="AA1005" s="246" t="str">
        <f t="shared" si="93"/>
        <v/>
      </c>
    </row>
    <row r="1006" spans="1:27" x14ac:dyDescent="0.25">
      <c r="A1006" s="248" t="str">
        <f t="shared" si="94"/>
        <v/>
      </c>
      <c r="B1006" s="249" t="str">
        <f t="shared" si="95"/>
        <v/>
      </c>
      <c r="C1006" s="250"/>
      <c r="D1006" s="251"/>
      <c r="E1006" s="241"/>
      <c r="F1006" s="252"/>
      <c r="G1006" s="252"/>
      <c r="H1006" s="253"/>
      <c r="I1006" s="250"/>
      <c r="J1006" s="250"/>
      <c r="K1006" s="270"/>
      <c r="L1006" s="250"/>
      <c r="M1006" s="250"/>
      <c r="N1006" s="553" t="str">
        <f>CONCATENATE(IF(OR(M1006=phu!$I$1,M1006=phu!$I$2,M1006=phu!$I$3),"Cam Thành Nam",""),IF(OR(M1006=phu!$I$4,M1006=phu!$I$5,M1006=phu!$I$6,M1006=phu!$I$7,M1006=phu!$I$8,M1006=phu!$I$9,M1006=phu!$I$10,M1006=phu!$I$11,M1006=phu!$I$12,M1006=phu!$I$13,M1006=phu!$I$14),"Cam Nghĩa",""),IF(OR(M1006=phu!$I$15,M1006=phu!$I$16,M1006=phu!$I$17,M1006=phu!$I$18,M1006=phu!$I$19,M1006=phu!$I$20,M1006=phu!$I$21),"Cam Phúc Bắc",""),IF(OR(M1006=phu!$I$22,M1006=phu!$I$23,M1006=phu!$I$24,M1006=phu!$I$25),"Cam Phúc Nam",""),IF(OR(M1006=phu!$I$26,M1006=phu!$I$27,M1006=phu!$I$28,M1006=phu!$I$29,M1006=phu!$I$30,M1006=phu!$I$31),"Cam Phú",""),IF(OR(M1006=phu!$I$32,M1006=phu!$I$33,M1006=phu!$I$34,M1006=phu!$I$35,M1006=phu!$I$36,M1006=phu!$I$37),"Cam Lộc",""),IF(OR(M1006=phu!$I$38,M1006=phu!$I$39,M1006=phu!$I$40,M1006=phu!$I$41,M1006=phu!$I$42,M1006=phu!$I$43,M1006=phu!$I$44),"Cam Thuận",""),IF(OR(M1006=phu!$I$45,M1006=phu!$I$46,M1006=phu!$I$47,M1006=phu!$I$48,M1006=phu!$I$49,M1006=phu!$I$50,M1006=phu!$I$51,M1006=phu!$I$52,M1006=phu!$I$53),"Cam Linh",""),IF(OR(M1006=phu!$I$54,M1006=phu!$I$55,M1006=phu!$I$56,M1006=phu!$I$57,M1006=phu!$I$58,M1006=phu!$I$59,M1006=phu!$I$60,M1006=phu!$I$61,M1006=phu!$I$62),"Cam Lợi",""),IF(OR(M1006=phu!$I$63,M1006=phu!$I$64,M1006=phu!$I$65,M1006=phu!$I$66,M1006=phu!$I$67,M1006=phu!$I$68,M1006=phu!$I$69,M1006=phu!$I$70,M1006=phu!$I$71),"Ba Ngòi",""),IF(OR(M1006=phu!$I$72,M1006=phu!$I$73,M1006=phu!$I$74,M1006=phu!$I$75,M1006=phu!$I$76,M1006=phu!$I$77,M1006=phu!$I$78),"Cam Phước Đông",""),IF(OR(M1006=phu!$I$79,M1006=phu!$I$80,M1006=phu!$I$81,M1006=phu!$I$82,M1006=phu!$I$83,M1006=phu!$I$84),"Cam Thịnh Đông",""),IF(OR(M1006=phu!$I$85,M1006=phu!$I$86,M1006=phu!$I$87,M1006=phu!$I$88),"Cam Thịnh Tây",""),IF(OR(M1006=phu!$I$89,M1006=phu!$I$90),"Cam Lập",""),IF(OR(M1006=phu!$I$91,M1006=phu!$I$92,M1006=phu!$I$93),"Cam Bình",""),IF(OR(M1006=phu!$I$94,M1006=phu!$I$95,M1006=phu!$I$96,M1006=phu!$I$97,M1006=phu!$I$98,M1006=phu!$I$99,M1006=phu!$I$100),"Huyện khác",""),IF(OR(M1006=phu!$I$101,M1006=phu!$I$102),"Tỉnh khác",""))</f>
        <v/>
      </c>
      <c r="O1006" s="814" t="str">
        <f t="shared" si="91"/>
        <v/>
      </c>
      <c r="P1006" s="254"/>
      <c r="Q1006" s="254"/>
      <c r="R1006" s="254"/>
      <c r="S1006" s="254"/>
      <c r="T1006" s="254"/>
      <c r="U1006" s="254"/>
      <c r="V1006" s="254"/>
      <c r="W1006" s="254"/>
      <c r="Y1006" s="246" t="str">
        <f t="shared" si="92"/>
        <v/>
      </c>
      <c r="Z1006" s="247" t="str">
        <f t="shared" si="90"/>
        <v/>
      </c>
      <c r="AA1006" s="246" t="str">
        <f t="shared" si="93"/>
        <v/>
      </c>
    </row>
    <row r="1007" spans="1:27" x14ac:dyDescent="0.25">
      <c r="A1007" s="248" t="str">
        <f t="shared" si="94"/>
        <v/>
      </c>
      <c r="B1007" s="249" t="str">
        <f t="shared" si="95"/>
        <v/>
      </c>
      <c r="C1007" s="250"/>
      <c r="D1007" s="251"/>
      <c r="E1007" s="241"/>
      <c r="F1007" s="252"/>
      <c r="G1007" s="252"/>
      <c r="H1007" s="253"/>
      <c r="I1007" s="250"/>
      <c r="J1007" s="250"/>
      <c r="K1007" s="270"/>
      <c r="L1007" s="250"/>
      <c r="M1007" s="250"/>
      <c r="N1007" s="553" t="str">
        <f>CONCATENATE(IF(OR(M1007=phu!$I$1,M1007=phu!$I$2,M1007=phu!$I$3),"Cam Thành Nam",""),IF(OR(M1007=phu!$I$4,M1007=phu!$I$5,M1007=phu!$I$6,M1007=phu!$I$7,M1007=phu!$I$8,M1007=phu!$I$9,M1007=phu!$I$10,M1007=phu!$I$11,M1007=phu!$I$12,M1007=phu!$I$13,M1007=phu!$I$14),"Cam Nghĩa",""),IF(OR(M1007=phu!$I$15,M1007=phu!$I$16,M1007=phu!$I$17,M1007=phu!$I$18,M1007=phu!$I$19,M1007=phu!$I$20,M1007=phu!$I$21),"Cam Phúc Bắc",""),IF(OR(M1007=phu!$I$22,M1007=phu!$I$23,M1007=phu!$I$24,M1007=phu!$I$25),"Cam Phúc Nam",""),IF(OR(M1007=phu!$I$26,M1007=phu!$I$27,M1007=phu!$I$28,M1007=phu!$I$29,M1007=phu!$I$30,M1007=phu!$I$31),"Cam Phú",""),IF(OR(M1007=phu!$I$32,M1007=phu!$I$33,M1007=phu!$I$34,M1007=phu!$I$35,M1007=phu!$I$36,M1007=phu!$I$37),"Cam Lộc",""),IF(OR(M1007=phu!$I$38,M1007=phu!$I$39,M1007=phu!$I$40,M1007=phu!$I$41,M1007=phu!$I$42,M1007=phu!$I$43,M1007=phu!$I$44),"Cam Thuận",""),IF(OR(M1007=phu!$I$45,M1007=phu!$I$46,M1007=phu!$I$47,M1007=phu!$I$48,M1007=phu!$I$49,M1007=phu!$I$50,M1007=phu!$I$51,M1007=phu!$I$52,M1007=phu!$I$53),"Cam Linh",""),IF(OR(M1007=phu!$I$54,M1007=phu!$I$55,M1007=phu!$I$56,M1007=phu!$I$57,M1007=phu!$I$58,M1007=phu!$I$59,M1007=phu!$I$60,M1007=phu!$I$61,M1007=phu!$I$62),"Cam Lợi",""),IF(OR(M1007=phu!$I$63,M1007=phu!$I$64,M1007=phu!$I$65,M1007=phu!$I$66,M1007=phu!$I$67,M1007=phu!$I$68,M1007=phu!$I$69,M1007=phu!$I$70,M1007=phu!$I$71),"Ba Ngòi",""),IF(OR(M1007=phu!$I$72,M1007=phu!$I$73,M1007=phu!$I$74,M1007=phu!$I$75,M1007=phu!$I$76,M1007=phu!$I$77,M1007=phu!$I$78),"Cam Phước Đông",""),IF(OR(M1007=phu!$I$79,M1007=phu!$I$80,M1007=phu!$I$81,M1007=phu!$I$82,M1007=phu!$I$83,M1007=phu!$I$84),"Cam Thịnh Đông",""),IF(OR(M1007=phu!$I$85,M1007=phu!$I$86,M1007=phu!$I$87,M1007=phu!$I$88),"Cam Thịnh Tây",""),IF(OR(M1007=phu!$I$89,M1007=phu!$I$90),"Cam Lập",""),IF(OR(M1007=phu!$I$91,M1007=phu!$I$92,M1007=phu!$I$93),"Cam Bình",""),IF(OR(M1007=phu!$I$94,M1007=phu!$I$95,M1007=phu!$I$96,M1007=phu!$I$97,M1007=phu!$I$98,M1007=phu!$I$99,M1007=phu!$I$100),"Huyện khác",""),IF(OR(M1007=phu!$I$101,M1007=phu!$I$102),"Tỉnh khác",""))</f>
        <v/>
      </c>
      <c r="O1007" s="814" t="str">
        <f t="shared" si="91"/>
        <v/>
      </c>
      <c r="P1007" s="254"/>
      <c r="Q1007" s="254"/>
      <c r="R1007" s="254"/>
      <c r="S1007" s="254"/>
      <c r="T1007" s="254"/>
      <c r="U1007" s="254"/>
      <c r="V1007" s="254"/>
      <c r="W1007" s="254"/>
      <c r="Y1007" s="246" t="str">
        <f t="shared" si="92"/>
        <v/>
      </c>
      <c r="Z1007" s="247" t="str">
        <f t="shared" si="90"/>
        <v/>
      </c>
      <c r="AA1007" s="246" t="str">
        <f t="shared" si="93"/>
        <v/>
      </c>
    </row>
    <row r="1008" spans="1:27" x14ac:dyDescent="0.25">
      <c r="A1008" s="248" t="str">
        <f t="shared" si="94"/>
        <v/>
      </c>
      <c r="B1008" s="249" t="str">
        <f t="shared" si="95"/>
        <v/>
      </c>
      <c r="C1008" s="250"/>
      <c r="D1008" s="251"/>
      <c r="E1008" s="241"/>
      <c r="F1008" s="252"/>
      <c r="G1008" s="252"/>
      <c r="H1008" s="253"/>
      <c r="I1008" s="250"/>
      <c r="J1008" s="250"/>
      <c r="K1008" s="270"/>
      <c r="L1008" s="250"/>
      <c r="M1008" s="250"/>
      <c r="N1008" s="553" t="str">
        <f>CONCATENATE(IF(OR(M1008=phu!$I$1,M1008=phu!$I$2,M1008=phu!$I$3),"Cam Thành Nam",""),IF(OR(M1008=phu!$I$4,M1008=phu!$I$5,M1008=phu!$I$6,M1008=phu!$I$7,M1008=phu!$I$8,M1008=phu!$I$9,M1008=phu!$I$10,M1008=phu!$I$11,M1008=phu!$I$12,M1008=phu!$I$13,M1008=phu!$I$14),"Cam Nghĩa",""),IF(OR(M1008=phu!$I$15,M1008=phu!$I$16,M1008=phu!$I$17,M1008=phu!$I$18,M1008=phu!$I$19,M1008=phu!$I$20,M1008=phu!$I$21),"Cam Phúc Bắc",""),IF(OR(M1008=phu!$I$22,M1008=phu!$I$23,M1008=phu!$I$24,M1008=phu!$I$25),"Cam Phúc Nam",""),IF(OR(M1008=phu!$I$26,M1008=phu!$I$27,M1008=phu!$I$28,M1008=phu!$I$29,M1008=phu!$I$30,M1008=phu!$I$31),"Cam Phú",""),IF(OR(M1008=phu!$I$32,M1008=phu!$I$33,M1008=phu!$I$34,M1008=phu!$I$35,M1008=phu!$I$36,M1008=phu!$I$37),"Cam Lộc",""),IF(OR(M1008=phu!$I$38,M1008=phu!$I$39,M1008=phu!$I$40,M1008=phu!$I$41,M1008=phu!$I$42,M1008=phu!$I$43,M1008=phu!$I$44),"Cam Thuận",""),IF(OR(M1008=phu!$I$45,M1008=phu!$I$46,M1008=phu!$I$47,M1008=phu!$I$48,M1008=phu!$I$49,M1008=phu!$I$50,M1008=phu!$I$51,M1008=phu!$I$52,M1008=phu!$I$53),"Cam Linh",""),IF(OR(M1008=phu!$I$54,M1008=phu!$I$55,M1008=phu!$I$56,M1008=phu!$I$57,M1008=phu!$I$58,M1008=phu!$I$59,M1008=phu!$I$60,M1008=phu!$I$61,M1008=phu!$I$62),"Cam Lợi",""),IF(OR(M1008=phu!$I$63,M1008=phu!$I$64,M1008=phu!$I$65,M1008=phu!$I$66,M1008=phu!$I$67,M1008=phu!$I$68,M1008=phu!$I$69,M1008=phu!$I$70,M1008=phu!$I$71),"Ba Ngòi",""),IF(OR(M1008=phu!$I$72,M1008=phu!$I$73,M1008=phu!$I$74,M1008=phu!$I$75,M1008=phu!$I$76,M1008=phu!$I$77,M1008=phu!$I$78),"Cam Phước Đông",""),IF(OR(M1008=phu!$I$79,M1008=phu!$I$80,M1008=phu!$I$81,M1008=phu!$I$82,M1008=phu!$I$83,M1008=phu!$I$84),"Cam Thịnh Đông",""),IF(OR(M1008=phu!$I$85,M1008=phu!$I$86,M1008=phu!$I$87,M1008=phu!$I$88),"Cam Thịnh Tây",""),IF(OR(M1008=phu!$I$89,M1008=phu!$I$90),"Cam Lập",""),IF(OR(M1008=phu!$I$91,M1008=phu!$I$92,M1008=phu!$I$93),"Cam Bình",""),IF(OR(M1008=phu!$I$94,M1008=phu!$I$95,M1008=phu!$I$96,M1008=phu!$I$97,M1008=phu!$I$98,M1008=phu!$I$99,M1008=phu!$I$100),"Huyện khác",""),IF(OR(M1008=phu!$I$101,M1008=phu!$I$102),"Tỉnh khác",""))</f>
        <v/>
      </c>
      <c r="O1008" s="814" t="str">
        <f t="shared" si="91"/>
        <v/>
      </c>
      <c r="P1008" s="254"/>
      <c r="Q1008" s="254"/>
      <c r="R1008" s="254"/>
      <c r="S1008" s="254"/>
      <c r="T1008" s="254"/>
      <c r="U1008" s="254"/>
      <c r="V1008" s="254"/>
      <c r="W1008" s="254"/>
      <c r="Y1008" s="246" t="str">
        <f t="shared" si="92"/>
        <v/>
      </c>
      <c r="Z1008" s="247" t="str">
        <f t="shared" si="90"/>
        <v/>
      </c>
      <c r="AA1008" s="246" t="str">
        <f t="shared" si="93"/>
        <v/>
      </c>
    </row>
    <row r="1009" spans="1:27" x14ac:dyDescent="0.25">
      <c r="A1009" s="248" t="str">
        <f t="shared" si="94"/>
        <v/>
      </c>
      <c r="B1009" s="249" t="str">
        <f t="shared" si="95"/>
        <v/>
      </c>
      <c r="C1009" s="250"/>
      <c r="D1009" s="251"/>
      <c r="E1009" s="241"/>
      <c r="F1009" s="252"/>
      <c r="G1009" s="252"/>
      <c r="H1009" s="253"/>
      <c r="I1009" s="250"/>
      <c r="J1009" s="250"/>
      <c r="K1009" s="270"/>
      <c r="L1009" s="250"/>
      <c r="M1009" s="250"/>
      <c r="N1009" s="553" t="str">
        <f>CONCATENATE(IF(OR(M1009=phu!$I$1,M1009=phu!$I$2,M1009=phu!$I$3),"Cam Thành Nam",""),IF(OR(M1009=phu!$I$4,M1009=phu!$I$5,M1009=phu!$I$6,M1009=phu!$I$7,M1009=phu!$I$8,M1009=phu!$I$9,M1009=phu!$I$10,M1009=phu!$I$11,M1009=phu!$I$12,M1009=phu!$I$13,M1009=phu!$I$14),"Cam Nghĩa",""),IF(OR(M1009=phu!$I$15,M1009=phu!$I$16,M1009=phu!$I$17,M1009=phu!$I$18,M1009=phu!$I$19,M1009=phu!$I$20,M1009=phu!$I$21),"Cam Phúc Bắc",""),IF(OR(M1009=phu!$I$22,M1009=phu!$I$23,M1009=phu!$I$24,M1009=phu!$I$25),"Cam Phúc Nam",""),IF(OR(M1009=phu!$I$26,M1009=phu!$I$27,M1009=phu!$I$28,M1009=phu!$I$29,M1009=phu!$I$30,M1009=phu!$I$31),"Cam Phú",""),IF(OR(M1009=phu!$I$32,M1009=phu!$I$33,M1009=phu!$I$34,M1009=phu!$I$35,M1009=phu!$I$36,M1009=phu!$I$37),"Cam Lộc",""),IF(OR(M1009=phu!$I$38,M1009=phu!$I$39,M1009=phu!$I$40,M1009=phu!$I$41,M1009=phu!$I$42,M1009=phu!$I$43,M1009=phu!$I$44),"Cam Thuận",""),IF(OR(M1009=phu!$I$45,M1009=phu!$I$46,M1009=phu!$I$47,M1009=phu!$I$48,M1009=phu!$I$49,M1009=phu!$I$50,M1009=phu!$I$51,M1009=phu!$I$52,M1009=phu!$I$53),"Cam Linh",""),IF(OR(M1009=phu!$I$54,M1009=phu!$I$55,M1009=phu!$I$56,M1009=phu!$I$57,M1009=phu!$I$58,M1009=phu!$I$59,M1009=phu!$I$60,M1009=phu!$I$61,M1009=phu!$I$62),"Cam Lợi",""),IF(OR(M1009=phu!$I$63,M1009=phu!$I$64,M1009=phu!$I$65,M1009=phu!$I$66,M1009=phu!$I$67,M1009=phu!$I$68,M1009=phu!$I$69,M1009=phu!$I$70,M1009=phu!$I$71),"Ba Ngòi",""),IF(OR(M1009=phu!$I$72,M1009=phu!$I$73,M1009=phu!$I$74,M1009=phu!$I$75,M1009=phu!$I$76,M1009=phu!$I$77,M1009=phu!$I$78),"Cam Phước Đông",""),IF(OR(M1009=phu!$I$79,M1009=phu!$I$80,M1009=phu!$I$81,M1009=phu!$I$82,M1009=phu!$I$83,M1009=phu!$I$84),"Cam Thịnh Đông",""),IF(OR(M1009=phu!$I$85,M1009=phu!$I$86,M1009=phu!$I$87,M1009=phu!$I$88),"Cam Thịnh Tây",""),IF(OR(M1009=phu!$I$89,M1009=phu!$I$90),"Cam Lập",""),IF(OR(M1009=phu!$I$91,M1009=phu!$I$92,M1009=phu!$I$93),"Cam Bình",""),IF(OR(M1009=phu!$I$94,M1009=phu!$I$95,M1009=phu!$I$96,M1009=phu!$I$97,M1009=phu!$I$98,M1009=phu!$I$99,M1009=phu!$I$100),"Huyện khác",""),IF(OR(M1009=phu!$I$101,M1009=phu!$I$102),"Tỉnh khác",""))</f>
        <v/>
      </c>
      <c r="O1009" s="814" t="str">
        <f t="shared" si="91"/>
        <v/>
      </c>
      <c r="P1009" s="254"/>
      <c r="Q1009" s="254"/>
      <c r="R1009" s="254"/>
      <c r="S1009" s="254"/>
      <c r="T1009" s="254"/>
      <c r="U1009" s="254"/>
      <c r="V1009" s="254"/>
      <c r="W1009" s="254"/>
      <c r="Y1009" s="246" t="str">
        <f t="shared" si="92"/>
        <v/>
      </c>
      <c r="Z1009" s="247" t="str">
        <f t="shared" si="90"/>
        <v/>
      </c>
      <c r="AA1009" s="246" t="str">
        <f t="shared" si="93"/>
        <v/>
      </c>
    </row>
    <row r="1010" spans="1:27" x14ac:dyDescent="0.25">
      <c r="A1010" s="248" t="str">
        <f t="shared" si="94"/>
        <v/>
      </c>
      <c r="B1010" s="249" t="str">
        <f t="shared" si="95"/>
        <v/>
      </c>
      <c r="C1010" s="250"/>
      <c r="D1010" s="251"/>
      <c r="E1010" s="241"/>
      <c r="F1010" s="252"/>
      <c r="G1010" s="252"/>
      <c r="H1010" s="253"/>
      <c r="I1010" s="250"/>
      <c r="J1010" s="250"/>
      <c r="K1010" s="270"/>
      <c r="L1010" s="250"/>
      <c r="M1010" s="250"/>
      <c r="N1010" s="553" t="str">
        <f>CONCATENATE(IF(OR(M1010=phu!$I$1,M1010=phu!$I$2,M1010=phu!$I$3),"Cam Thành Nam",""),IF(OR(M1010=phu!$I$4,M1010=phu!$I$5,M1010=phu!$I$6,M1010=phu!$I$7,M1010=phu!$I$8,M1010=phu!$I$9,M1010=phu!$I$10,M1010=phu!$I$11,M1010=phu!$I$12,M1010=phu!$I$13,M1010=phu!$I$14),"Cam Nghĩa",""),IF(OR(M1010=phu!$I$15,M1010=phu!$I$16,M1010=phu!$I$17,M1010=phu!$I$18,M1010=phu!$I$19,M1010=phu!$I$20,M1010=phu!$I$21),"Cam Phúc Bắc",""),IF(OR(M1010=phu!$I$22,M1010=phu!$I$23,M1010=phu!$I$24,M1010=phu!$I$25),"Cam Phúc Nam",""),IF(OR(M1010=phu!$I$26,M1010=phu!$I$27,M1010=phu!$I$28,M1010=phu!$I$29,M1010=phu!$I$30,M1010=phu!$I$31),"Cam Phú",""),IF(OR(M1010=phu!$I$32,M1010=phu!$I$33,M1010=phu!$I$34,M1010=phu!$I$35,M1010=phu!$I$36,M1010=phu!$I$37),"Cam Lộc",""),IF(OR(M1010=phu!$I$38,M1010=phu!$I$39,M1010=phu!$I$40,M1010=phu!$I$41,M1010=phu!$I$42,M1010=phu!$I$43,M1010=phu!$I$44),"Cam Thuận",""),IF(OR(M1010=phu!$I$45,M1010=phu!$I$46,M1010=phu!$I$47,M1010=phu!$I$48,M1010=phu!$I$49,M1010=phu!$I$50,M1010=phu!$I$51,M1010=phu!$I$52,M1010=phu!$I$53),"Cam Linh",""),IF(OR(M1010=phu!$I$54,M1010=phu!$I$55,M1010=phu!$I$56,M1010=phu!$I$57,M1010=phu!$I$58,M1010=phu!$I$59,M1010=phu!$I$60,M1010=phu!$I$61,M1010=phu!$I$62),"Cam Lợi",""),IF(OR(M1010=phu!$I$63,M1010=phu!$I$64,M1010=phu!$I$65,M1010=phu!$I$66,M1010=phu!$I$67,M1010=phu!$I$68,M1010=phu!$I$69,M1010=phu!$I$70,M1010=phu!$I$71),"Ba Ngòi",""),IF(OR(M1010=phu!$I$72,M1010=phu!$I$73,M1010=phu!$I$74,M1010=phu!$I$75,M1010=phu!$I$76,M1010=phu!$I$77,M1010=phu!$I$78),"Cam Phước Đông",""),IF(OR(M1010=phu!$I$79,M1010=phu!$I$80,M1010=phu!$I$81,M1010=phu!$I$82,M1010=phu!$I$83,M1010=phu!$I$84),"Cam Thịnh Đông",""),IF(OR(M1010=phu!$I$85,M1010=phu!$I$86,M1010=phu!$I$87,M1010=phu!$I$88),"Cam Thịnh Tây",""),IF(OR(M1010=phu!$I$89,M1010=phu!$I$90),"Cam Lập",""),IF(OR(M1010=phu!$I$91,M1010=phu!$I$92,M1010=phu!$I$93),"Cam Bình",""),IF(OR(M1010=phu!$I$94,M1010=phu!$I$95,M1010=phu!$I$96,M1010=phu!$I$97,M1010=phu!$I$98,M1010=phu!$I$99,M1010=phu!$I$100),"Huyện khác",""),IF(OR(M1010=phu!$I$101,M1010=phu!$I$102),"Tỉnh khác",""))</f>
        <v/>
      </c>
      <c r="O1010" s="814" t="str">
        <f t="shared" si="91"/>
        <v/>
      </c>
      <c r="P1010" s="254"/>
      <c r="Q1010" s="254"/>
      <c r="R1010" s="254"/>
      <c r="S1010" s="254"/>
      <c r="T1010" s="254"/>
      <c r="U1010" s="254"/>
      <c r="V1010" s="254"/>
      <c r="W1010" s="254"/>
      <c r="Y1010" s="246" t="str">
        <f t="shared" si="92"/>
        <v/>
      </c>
      <c r="Z1010" s="247" t="str">
        <f t="shared" si="90"/>
        <v/>
      </c>
      <c r="AA1010" s="246" t="str">
        <f t="shared" si="93"/>
        <v/>
      </c>
    </row>
    <row r="1011" spans="1:27" x14ac:dyDescent="0.25">
      <c r="A1011" s="248" t="str">
        <f t="shared" si="94"/>
        <v/>
      </c>
      <c r="B1011" s="249" t="str">
        <f t="shared" si="95"/>
        <v/>
      </c>
      <c r="C1011" s="250"/>
      <c r="D1011" s="251"/>
      <c r="E1011" s="241"/>
      <c r="F1011" s="252"/>
      <c r="G1011" s="252"/>
      <c r="H1011" s="253"/>
      <c r="I1011" s="250"/>
      <c r="J1011" s="250"/>
      <c r="K1011" s="270"/>
      <c r="L1011" s="250"/>
      <c r="M1011" s="250"/>
      <c r="N1011" s="553" t="str">
        <f>CONCATENATE(IF(OR(M1011=phu!$I$1,M1011=phu!$I$2,M1011=phu!$I$3),"Cam Thành Nam",""),IF(OR(M1011=phu!$I$4,M1011=phu!$I$5,M1011=phu!$I$6,M1011=phu!$I$7,M1011=phu!$I$8,M1011=phu!$I$9,M1011=phu!$I$10,M1011=phu!$I$11,M1011=phu!$I$12,M1011=phu!$I$13,M1011=phu!$I$14),"Cam Nghĩa",""),IF(OR(M1011=phu!$I$15,M1011=phu!$I$16,M1011=phu!$I$17,M1011=phu!$I$18,M1011=phu!$I$19,M1011=phu!$I$20,M1011=phu!$I$21),"Cam Phúc Bắc",""),IF(OR(M1011=phu!$I$22,M1011=phu!$I$23,M1011=phu!$I$24,M1011=phu!$I$25),"Cam Phúc Nam",""),IF(OR(M1011=phu!$I$26,M1011=phu!$I$27,M1011=phu!$I$28,M1011=phu!$I$29,M1011=phu!$I$30,M1011=phu!$I$31),"Cam Phú",""),IF(OR(M1011=phu!$I$32,M1011=phu!$I$33,M1011=phu!$I$34,M1011=phu!$I$35,M1011=phu!$I$36,M1011=phu!$I$37),"Cam Lộc",""),IF(OR(M1011=phu!$I$38,M1011=phu!$I$39,M1011=phu!$I$40,M1011=phu!$I$41,M1011=phu!$I$42,M1011=phu!$I$43,M1011=phu!$I$44),"Cam Thuận",""),IF(OR(M1011=phu!$I$45,M1011=phu!$I$46,M1011=phu!$I$47,M1011=phu!$I$48,M1011=phu!$I$49,M1011=phu!$I$50,M1011=phu!$I$51,M1011=phu!$I$52,M1011=phu!$I$53),"Cam Linh",""),IF(OR(M1011=phu!$I$54,M1011=phu!$I$55,M1011=phu!$I$56,M1011=phu!$I$57,M1011=phu!$I$58,M1011=phu!$I$59,M1011=phu!$I$60,M1011=phu!$I$61,M1011=phu!$I$62),"Cam Lợi",""),IF(OR(M1011=phu!$I$63,M1011=phu!$I$64,M1011=phu!$I$65,M1011=phu!$I$66,M1011=phu!$I$67,M1011=phu!$I$68,M1011=phu!$I$69,M1011=phu!$I$70,M1011=phu!$I$71),"Ba Ngòi",""),IF(OR(M1011=phu!$I$72,M1011=phu!$I$73,M1011=phu!$I$74,M1011=phu!$I$75,M1011=phu!$I$76,M1011=phu!$I$77,M1011=phu!$I$78),"Cam Phước Đông",""),IF(OR(M1011=phu!$I$79,M1011=phu!$I$80,M1011=phu!$I$81,M1011=phu!$I$82,M1011=phu!$I$83,M1011=phu!$I$84),"Cam Thịnh Đông",""),IF(OR(M1011=phu!$I$85,M1011=phu!$I$86,M1011=phu!$I$87,M1011=phu!$I$88),"Cam Thịnh Tây",""),IF(OR(M1011=phu!$I$89,M1011=phu!$I$90),"Cam Lập",""),IF(OR(M1011=phu!$I$91,M1011=phu!$I$92,M1011=phu!$I$93),"Cam Bình",""),IF(OR(M1011=phu!$I$94,M1011=phu!$I$95,M1011=phu!$I$96,M1011=phu!$I$97,M1011=phu!$I$98,M1011=phu!$I$99,M1011=phu!$I$100),"Huyện khác",""),IF(OR(M1011=phu!$I$101,M1011=phu!$I$102),"Tỉnh khác",""))</f>
        <v/>
      </c>
      <c r="O1011" s="814" t="str">
        <f t="shared" si="91"/>
        <v/>
      </c>
      <c r="P1011" s="254"/>
      <c r="Q1011" s="254"/>
      <c r="R1011" s="254"/>
      <c r="S1011" s="254"/>
      <c r="T1011" s="254"/>
      <c r="U1011" s="254"/>
      <c r="V1011" s="254"/>
      <c r="W1011" s="254"/>
      <c r="Y1011" s="246" t="str">
        <f t="shared" si="92"/>
        <v/>
      </c>
      <c r="Z1011" s="247" t="str">
        <f t="shared" si="90"/>
        <v/>
      </c>
      <c r="AA1011" s="246" t="str">
        <f t="shared" si="93"/>
        <v/>
      </c>
    </row>
    <row r="1012" spans="1:27" x14ac:dyDescent="0.25">
      <c r="A1012" s="248" t="str">
        <f t="shared" si="94"/>
        <v/>
      </c>
      <c r="B1012" s="249" t="str">
        <f t="shared" si="95"/>
        <v/>
      </c>
      <c r="C1012" s="250"/>
      <c r="D1012" s="251"/>
      <c r="E1012" s="241"/>
      <c r="F1012" s="252"/>
      <c r="G1012" s="252"/>
      <c r="H1012" s="253"/>
      <c r="I1012" s="250"/>
      <c r="J1012" s="250"/>
      <c r="K1012" s="270"/>
      <c r="L1012" s="250"/>
      <c r="M1012" s="250"/>
      <c r="N1012" s="553" t="str">
        <f>CONCATENATE(IF(OR(M1012=phu!$I$1,M1012=phu!$I$2,M1012=phu!$I$3),"Cam Thành Nam",""),IF(OR(M1012=phu!$I$4,M1012=phu!$I$5,M1012=phu!$I$6,M1012=phu!$I$7,M1012=phu!$I$8,M1012=phu!$I$9,M1012=phu!$I$10,M1012=phu!$I$11,M1012=phu!$I$12,M1012=phu!$I$13,M1012=phu!$I$14),"Cam Nghĩa",""),IF(OR(M1012=phu!$I$15,M1012=phu!$I$16,M1012=phu!$I$17,M1012=phu!$I$18,M1012=phu!$I$19,M1012=phu!$I$20,M1012=phu!$I$21),"Cam Phúc Bắc",""),IF(OR(M1012=phu!$I$22,M1012=phu!$I$23,M1012=phu!$I$24,M1012=phu!$I$25),"Cam Phúc Nam",""),IF(OR(M1012=phu!$I$26,M1012=phu!$I$27,M1012=phu!$I$28,M1012=phu!$I$29,M1012=phu!$I$30,M1012=phu!$I$31),"Cam Phú",""),IF(OR(M1012=phu!$I$32,M1012=phu!$I$33,M1012=phu!$I$34,M1012=phu!$I$35,M1012=phu!$I$36,M1012=phu!$I$37),"Cam Lộc",""),IF(OR(M1012=phu!$I$38,M1012=phu!$I$39,M1012=phu!$I$40,M1012=phu!$I$41,M1012=phu!$I$42,M1012=phu!$I$43,M1012=phu!$I$44),"Cam Thuận",""),IF(OR(M1012=phu!$I$45,M1012=phu!$I$46,M1012=phu!$I$47,M1012=phu!$I$48,M1012=phu!$I$49,M1012=phu!$I$50,M1012=phu!$I$51,M1012=phu!$I$52,M1012=phu!$I$53),"Cam Linh",""),IF(OR(M1012=phu!$I$54,M1012=phu!$I$55,M1012=phu!$I$56,M1012=phu!$I$57,M1012=phu!$I$58,M1012=phu!$I$59,M1012=phu!$I$60,M1012=phu!$I$61,M1012=phu!$I$62),"Cam Lợi",""),IF(OR(M1012=phu!$I$63,M1012=phu!$I$64,M1012=phu!$I$65,M1012=phu!$I$66,M1012=phu!$I$67,M1012=phu!$I$68,M1012=phu!$I$69,M1012=phu!$I$70,M1012=phu!$I$71),"Ba Ngòi",""),IF(OR(M1012=phu!$I$72,M1012=phu!$I$73,M1012=phu!$I$74,M1012=phu!$I$75,M1012=phu!$I$76,M1012=phu!$I$77,M1012=phu!$I$78),"Cam Phước Đông",""),IF(OR(M1012=phu!$I$79,M1012=phu!$I$80,M1012=phu!$I$81,M1012=phu!$I$82,M1012=phu!$I$83,M1012=phu!$I$84),"Cam Thịnh Đông",""),IF(OR(M1012=phu!$I$85,M1012=phu!$I$86,M1012=phu!$I$87,M1012=phu!$I$88),"Cam Thịnh Tây",""),IF(OR(M1012=phu!$I$89,M1012=phu!$I$90),"Cam Lập",""),IF(OR(M1012=phu!$I$91,M1012=phu!$I$92,M1012=phu!$I$93),"Cam Bình",""),IF(OR(M1012=phu!$I$94,M1012=phu!$I$95,M1012=phu!$I$96,M1012=phu!$I$97,M1012=phu!$I$98,M1012=phu!$I$99,M1012=phu!$I$100),"Huyện khác",""),IF(OR(M1012=phu!$I$101,M1012=phu!$I$102),"Tỉnh khác",""))</f>
        <v/>
      </c>
      <c r="O1012" s="814" t="str">
        <f t="shared" si="91"/>
        <v/>
      </c>
      <c r="P1012" s="254"/>
      <c r="Q1012" s="254"/>
      <c r="R1012" s="254"/>
      <c r="S1012" s="254"/>
      <c r="T1012" s="254"/>
      <c r="U1012" s="254"/>
      <c r="V1012" s="254"/>
      <c r="W1012" s="254"/>
      <c r="Y1012" s="246" t="str">
        <f t="shared" si="92"/>
        <v/>
      </c>
      <c r="Z1012" s="247" t="str">
        <f t="shared" si="90"/>
        <v/>
      </c>
      <c r="AA1012" s="246" t="str">
        <f t="shared" si="93"/>
        <v/>
      </c>
    </row>
    <row r="1013" spans="1:27" x14ac:dyDescent="0.25">
      <c r="A1013" s="248" t="str">
        <f t="shared" si="94"/>
        <v/>
      </c>
      <c r="B1013" s="249" t="str">
        <f t="shared" si="95"/>
        <v/>
      </c>
      <c r="C1013" s="250"/>
      <c r="D1013" s="251"/>
      <c r="E1013" s="241"/>
      <c r="F1013" s="252"/>
      <c r="G1013" s="252"/>
      <c r="H1013" s="253"/>
      <c r="I1013" s="250"/>
      <c r="J1013" s="250"/>
      <c r="K1013" s="270"/>
      <c r="L1013" s="250"/>
      <c r="M1013" s="250"/>
      <c r="N1013" s="553" t="str">
        <f>CONCATENATE(IF(OR(M1013=phu!$I$1,M1013=phu!$I$2,M1013=phu!$I$3),"Cam Thành Nam",""),IF(OR(M1013=phu!$I$4,M1013=phu!$I$5,M1013=phu!$I$6,M1013=phu!$I$7,M1013=phu!$I$8,M1013=phu!$I$9,M1013=phu!$I$10,M1013=phu!$I$11,M1013=phu!$I$12,M1013=phu!$I$13,M1013=phu!$I$14),"Cam Nghĩa",""),IF(OR(M1013=phu!$I$15,M1013=phu!$I$16,M1013=phu!$I$17,M1013=phu!$I$18,M1013=phu!$I$19,M1013=phu!$I$20,M1013=phu!$I$21),"Cam Phúc Bắc",""),IF(OR(M1013=phu!$I$22,M1013=phu!$I$23,M1013=phu!$I$24,M1013=phu!$I$25),"Cam Phúc Nam",""),IF(OR(M1013=phu!$I$26,M1013=phu!$I$27,M1013=phu!$I$28,M1013=phu!$I$29,M1013=phu!$I$30,M1013=phu!$I$31),"Cam Phú",""),IF(OR(M1013=phu!$I$32,M1013=phu!$I$33,M1013=phu!$I$34,M1013=phu!$I$35,M1013=phu!$I$36,M1013=phu!$I$37),"Cam Lộc",""),IF(OR(M1013=phu!$I$38,M1013=phu!$I$39,M1013=phu!$I$40,M1013=phu!$I$41,M1013=phu!$I$42,M1013=phu!$I$43,M1013=phu!$I$44),"Cam Thuận",""),IF(OR(M1013=phu!$I$45,M1013=phu!$I$46,M1013=phu!$I$47,M1013=phu!$I$48,M1013=phu!$I$49,M1013=phu!$I$50,M1013=phu!$I$51,M1013=phu!$I$52,M1013=phu!$I$53),"Cam Linh",""),IF(OR(M1013=phu!$I$54,M1013=phu!$I$55,M1013=phu!$I$56,M1013=phu!$I$57,M1013=phu!$I$58,M1013=phu!$I$59,M1013=phu!$I$60,M1013=phu!$I$61,M1013=phu!$I$62),"Cam Lợi",""),IF(OR(M1013=phu!$I$63,M1013=phu!$I$64,M1013=phu!$I$65,M1013=phu!$I$66,M1013=phu!$I$67,M1013=phu!$I$68,M1013=phu!$I$69,M1013=phu!$I$70,M1013=phu!$I$71),"Ba Ngòi",""),IF(OR(M1013=phu!$I$72,M1013=phu!$I$73,M1013=phu!$I$74,M1013=phu!$I$75,M1013=phu!$I$76,M1013=phu!$I$77,M1013=phu!$I$78),"Cam Phước Đông",""),IF(OR(M1013=phu!$I$79,M1013=phu!$I$80,M1013=phu!$I$81,M1013=phu!$I$82,M1013=phu!$I$83,M1013=phu!$I$84),"Cam Thịnh Đông",""),IF(OR(M1013=phu!$I$85,M1013=phu!$I$86,M1013=phu!$I$87,M1013=phu!$I$88),"Cam Thịnh Tây",""),IF(OR(M1013=phu!$I$89,M1013=phu!$I$90),"Cam Lập",""),IF(OR(M1013=phu!$I$91,M1013=phu!$I$92,M1013=phu!$I$93),"Cam Bình",""),IF(OR(M1013=phu!$I$94,M1013=phu!$I$95,M1013=phu!$I$96,M1013=phu!$I$97,M1013=phu!$I$98,M1013=phu!$I$99,M1013=phu!$I$100),"Huyện khác",""),IF(OR(M1013=phu!$I$101,M1013=phu!$I$102),"Tỉnh khác",""))</f>
        <v/>
      </c>
      <c r="O1013" s="814" t="str">
        <f t="shared" si="91"/>
        <v/>
      </c>
      <c r="P1013" s="254"/>
      <c r="Q1013" s="254"/>
      <c r="R1013" s="254"/>
      <c r="S1013" s="254"/>
      <c r="T1013" s="254"/>
      <c r="U1013" s="254"/>
      <c r="V1013" s="254"/>
      <c r="W1013" s="254"/>
      <c r="Y1013" s="246" t="str">
        <f t="shared" si="92"/>
        <v/>
      </c>
      <c r="Z1013" s="247" t="str">
        <f t="shared" si="90"/>
        <v/>
      </c>
      <c r="AA1013" s="246" t="str">
        <f t="shared" si="93"/>
        <v/>
      </c>
    </row>
    <row r="1014" spans="1:27" x14ac:dyDescent="0.25">
      <c r="A1014" s="248" t="str">
        <f t="shared" si="94"/>
        <v/>
      </c>
      <c r="B1014" s="249" t="str">
        <f t="shared" si="95"/>
        <v/>
      </c>
      <c r="C1014" s="250"/>
      <c r="D1014" s="251"/>
      <c r="E1014" s="241"/>
      <c r="F1014" s="252"/>
      <c r="G1014" s="252"/>
      <c r="H1014" s="253"/>
      <c r="I1014" s="250"/>
      <c r="J1014" s="250"/>
      <c r="K1014" s="270"/>
      <c r="L1014" s="250"/>
      <c r="M1014" s="250"/>
      <c r="N1014" s="553" t="str">
        <f>CONCATENATE(IF(OR(M1014=phu!$I$1,M1014=phu!$I$2,M1014=phu!$I$3),"Cam Thành Nam",""),IF(OR(M1014=phu!$I$4,M1014=phu!$I$5,M1014=phu!$I$6,M1014=phu!$I$7,M1014=phu!$I$8,M1014=phu!$I$9,M1014=phu!$I$10,M1014=phu!$I$11,M1014=phu!$I$12,M1014=phu!$I$13,M1014=phu!$I$14),"Cam Nghĩa",""),IF(OR(M1014=phu!$I$15,M1014=phu!$I$16,M1014=phu!$I$17,M1014=phu!$I$18,M1014=phu!$I$19,M1014=phu!$I$20,M1014=phu!$I$21),"Cam Phúc Bắc",""),IF(OR(M1014=phu!$I$22,M1014=phu!$I$23,M1014=phu!$I$24,M1014=phu!$I$25),"Cam Phúc Nam",""),IF(OR(M1014=phu!$I$26,M1014=phu!$I$27,M1014=phu!$I$28,M1014=phu!$I$29,M1014=phu!$I$30,M1014=phu!$I$31),"Cam Phú",""),IF(OR(M1014=phu!$I$32,M1014=phu!$I$33,M1014=phu!$I$34,M1014=phu!$I$35,M1014=phu!$I$36,M1014=phu!$I$37),"Cam Lộc",""),IF(OR(M1014=phu!$I$38,M1014=phu!$I$39,M1014=phu!$I$40,M1014=phu!$I$41,M1014=phu!$I$42,M1014=phu!$I$43,M1014=phu!$I$44),"Cam Thuận",""),IF(OR(M1014=phu!$I$45,M1014=phu!$I$46,M1014=phu!$I$47,M1014=phu!$I$48,M1014=phu!$I$49,M1014=phu!$I$50,M1014=phu!$I$51,M1014=phu!$I$52,M1014=phu!$I$53),"Cam Linh",""),IF(OR(M1014=phu!$I$54,M1014=phu!$I$55,M1014=phu!$I$56,M1014=phu!$I$57,M1014=phu!$I$58,M1014=phu!$I$59,M1014=phu!$I$60,M1014=phu!$I$61,M1014=phu!$I$62),"Cam Lợi",""),IF(OR(M1014=phu!$I$63,M1014=phu!$I$64,M1014=phu!$I$65,M1014=phu!$I$66,M1014=phu!$I$67,M1014=phu!$I$68,M1014=phu!$I$69,M1014=phu!$I$70,M1014=phu!$I$71),"Ba Ngòi",""),IF(OR(M1014=phu!$I$72,M1014=phu!$I$73,M1014=phu!$I$74,M1014=phu!$I$75,M1014=phu!$I$76,M1014=phu!$I$77,M1014=phu!$I$78),"Cam Phước Đông",""),IF(OR(M1014=phu!$I$79,M1014=phu!$I$80,M1014=phu!$I$81,M1014=phu!$I$82,M1014=phu!$I$83,M1014=phu!$I$84),"Cam Thịnh Đông",""),IF(OR(M1014=phu!$I$85,M1014=phu!$I$86,M1014=phu!$I$87,M1014=phu!$I$88),"Cam Thịnh Tây",""),IF(OR(M1014=phu!$I$89,M1014=phu!$I$90),"Cam Lập",""),IF(OR(M1014=phu!$I$91,M1014=phu!$I$92,M1014=phu!$I$93),"Cam Bình",""),IF(OR(M1014=phu!$I$94,M1014=phu!$I$95,M1014=phu!$I$96,M1014=phu!$I$97,M1014=phu!$I$98,M1014=phu!$I$99,M1014=phu!$I$100),"Huyện khác",""),IF(OR(M1014=phu!$I$101,M1014=phu!$I$102),"Tỉnh khác",""))</f>
        <v/>
      </c>
      <c r="O1014" s="814" t="str">
        <f t="shared" si="91"/>
        <v/>
      </c>
      <c r="P1014" s="254"/>
      <c r="Q1014" s="254"/>
      <c r="R1014" s="254"/>
      <c r="S1014" s="254"/>
      <c r="T1014" s="254"/>
      <c r="U1014" s="254"/>
      <c r="V1014" s="254"/>
      <c r="W1014" s="254"/>
      <c r="Y1014" s="246" t="str">
        <f t="shared" si="92"/>
        <v/>
      </c>
      <c r="Z1014" s="247" t="str">
        <f t="shared" si="90"/>
        <v/>
      </c>
      <c r="AA1014" s="246" t="str">
        <f t="shared" si="93"/>
        <v/>
      </c>
    </row>
    <row r="1015" spans="1:27" x14ac:dyDescent="0.25">
      <c r="A1015" s="248" t="str">
        <f t="shared" si="94"/>
        <v/>
      </c>
      <c r="B1015" s="249" t="str">
        <f t="shared" si="95"/>
        <v/>
      </c>
      <c r="C1015" s="250"/>
      <c r="D1015" s="251"/>
      <c r="E1015" s="241"/>
      <c r="F1015" s="252"/>
      <c r="G1015" s="252"/>
      <c r="H1015" s="253"/>
      <c r="I1015" s="250"/>
      <c r="J1015" s="250"/>
      <c r="K1015" s="270"/>
      <c r="L1015" s="250"/>
      <c r="M1015" s="250"/>
      <c r="N1015" s="553" t="str">
        <f>CONCATENATE(IF(OR(M1015=phu!$I$1,M1015=phu!$I$2,M1015=phu!$I$3),"Cam Thành Nam",""),IF(OR(M1015=phu!$I$4,M1015=phu!$I$5,M1015=phu!$I$6,M1015=phu!$I$7,M1015=phu!$I$8,M1015=phu!$I$9,M1015=phu!$I$10,M1015=phu!$I$11,M1015=phu!$I$12,M1015=phu!$I$13,M1015=phu!$I$14),"Cam Nghĩa",""),IF(OR(M1015=phu!$I$15,M1015=phu!$I$16,M1015=phu!$I$17,M1015=phu!$I$18,M1015=phu!$I$19,M1015=phu!$I$20,M1015=phu!$I$21),"Cam Phúc Bắc",""),IF(OR(M1015=phu!$I$22,M1015=phu!$I$23,M1015=phu!$I$24,M1015=phu!$I$25),"Cam Phúc Nam",""),IF(OR(M1015=phu!$I$26,M1015=phu!$I$27,M1015=phu!$I$28,M1015=phu!$I$29,M1015=phu!$I$30,M1015=phu!$I$31),"Cam Phú",""),IF(OR(M1015=phu!$I$32,M1015=phu!$I$33,M1015=phu!$I$34,M1015=phu!$I$35,M1015=phu!$I$36,M1015=phu!$I$37),"Cam Lộc",""),IF(OR(M1015=phu!$I$38,M1015=phu!$I$39,M1015=phu!$I$40,M1015=phu!$I$41,M1015=phu!$I$42,M1015=phu!$I$43,M1015=phu!$I$44),"Cam Thuận",""),IF(OR(M1015=phu!$I$45,M1015=phu!$I$46,M1015=phu!$I$47,M1015=phu!$I$48,M1015=phu!$I$49,M1015=phu!$I$50,M1015=phu!$I$51,M1015=phu!$I$52,M1015=phu!$I$53),"Cam Linh",""),IF(OR(M1015=phu!$I$54,M1015=phu!$I$55,M1015=phu!$I$56,M1015=phu!$I$57,M1015=phu!$I$58,M1015=phu!$I$59,M1015=phu!$I$60,M1015=phu!$I$61,M1015=phu!$I$62),"Cam Lợi",""),IF(OR(M1015=phu!$I$63,M1015=phu!$I$64,M1015=phu!$I$65,M1015=phu!$I$66,M1015=phu!$I$67,M1015=phu!$I$68,M1015=phu!$I$69,M1015=phu!$I$70,M1015=phu!$I$71),"Ba Ngòi",""),IF(OR(M1015=phu!$I$72,M1015=phu!$I$73,M1015=phu!$I$74,M1015=phu!$I$75,M1015=phu!$I$76,M1015=phu!$I$77,M1015=phu!$I$78),"Cam Phước Đông",""),IF(OR(M1015=phu!$I$79,M1015=phu!$I$80,M1015=phu!$I$81,M1015=phu!$I$82,M1015=phu!$I$83,M1015=phu!$I$84),"Cam Thịnh Đông",""),IF(OR(M1015=phu!$I$85,M1015=phu!$I$86,M1015=phu!$I$87,M1015=phu!$I$88),"Cam Thịnh Tây",""),IF(OR(M1015=phu!$I$89,M1015=phu!$I$90),"Cam Lập",""),IF(OR(M1015=phu!$I$91,M1015=phu!$I$92,M1015=phu!$I$93),"Cam Bình",""),IF(OR(M1015=phu!$I$94,M1015=phu!$I$95,M1015=phu!$I$96,M1015=phu!$I$97,M1015=phu!$I$98,M1015=phu!$I$99,M1015=phu!$I$100),"Huyện khác",""),IF(OR(M1015=phu!$I$101,M1015=phu!$I$102),"Tỉnh khác",""))</f>
        <v/>
      </c>
      <c r="O1015" s="814" t="str">
        <f t="shared" si="91"/>
        <v/>
      </c>
      <c r="P1015" s="254"/>
      <c r="Q1015" s="254"/>
      <c r="R1015" s="254"/>
      <c r="S1015" s="254"/>
      <c r="T1015" s="254"/>
      <c r="U1015" s="254"/>
      <c r="V1015" s="254"/>
      <c r="W1015" s="254"/>
      <c r="Y1015" s="246" t="str">
        <f t="shared" si="92"/>
        <v/>
      </c>
      <c r="Z1015" s="247" t="str">
        <f t="shared" si="90"/>
        <v/>
      </c>
      <c r="AA1015" s="246" t="str">
        <f t="shared" si="93"/>
        <v/>
      </c>
    </row>
    <row r="1016" spans="1:27" x14ac:dyDescent="0.25">
      <c r="A1016" s="248" t="str">
        <f t="shared" si="94"/>
        <v/>
      </c>
      <c r="B1016" s="249" t="str">
        <f t="shared" si="95"/>
        <v/>
      </c>
      <c r="C1016" s="250"/>
      <c r="D1016" s="251"/>
      <c r="E1016" s="241"/>
      <c r="F1016" s="252"/>
      <c r="G1016" s="252"/>
      <c r="H1016" s="253"/>
      <c r="I1016" s="250"/>
      <c r="J1016" s="250"/>
      <c r="K1016" s="270"/>
      <c r="L1016" s="250"/>
      <c r="M1016" s="250"/>
      <c r="N1016" s="553" t="str">
        <f>CONCATENATE(IF(OR(M1016=phu!$I$1,M1016=phu!$I$2,M1016=phu!$I$3),"Cam Thành Nam",""),IF(OR(M1016=phu!$I$4,M1016=phu!$I$5,M1016=phu!$I$6,M1016=phu!$I$7,M1016=phu!$I$8,M1016=phu!$I$9,M1016=phu!$I$10,M1016=phu!$I$11,M1016=phu!$I$12,M1016=phu!$I$13,M1016=phu!$I$14),"Cam Nghĩa",""),IF(OR(M1016=phu!$I$15,M1016=phu!$I$16,M1016=phu!$I$17,M1016=phu!$I$18,M1016=phu!$I$19,M1016=phu!$I$20,M1016=phu!$I$21),"Cam Phúc Bắc",""),IF(OR(M1016=phu!$I$22,M1016=phu!$I$23,M1016=phu!$I$24,M1016=phu!$I$25),"Cam Phúc Nam",""),IF(OR(M1016=phu!$I$26,M1016=phu!$I$27,M1016=phu!$I$28,M1016=phu!$I$29,M1016=phu!$I$30,M1016=phu!$I$31),"Cam Phú",""),IF(OR(M1016=phu!$I$32,M1016=phu!$I$33,M1016=phu!$I$34,M1016=phu!$I$35,M1016=phu!$I$36,M1016=phu!$I$37),"Cam Lộc",""),IF(OR(M1016=phu!$I$38,M1016=phu!$I$39,M1016=phu!$I$40,M1016=phu!$I$41,M1016=phu!$I$42,M1016=phu!$I$43,M1016=phu!$I$44),"Cam Thuận",""),IF(OR(M1016=phu!$I$45,M1016=phu!$I$46,M1016=phu!$I$47,M1016=phu!$I$48,M1016=phu!$I$49,M1016=phu!$I$50,M1016=phu!$I$51,M1016=phu!$I$52,M1016=phu!$I$53),"Cam Linh",""),IF(OR(M1016=phu!$I$54,M1016=phu!$I$55,M1016=phu!$I$56,M1016=phu!$I$57,M1016=phu!$I$58,M1016=phu!$I$59,M1016=phu!$I$60,M1016=phu!$I$61,M1016=phu!$I$62),"Cam Lợi",""),IF(OR(M1016=phu!$I$63,M1016=phu!$I$64,M1016=phu!$I$65,M1016=phu!$I$66,M1016=phu!$I$67,M1016=phu!$I$68,M1016=phu!$I$69,M1016=phu!$I$70,M1016=phu!$I$71),"Ba Ngòi",""),IF(OR(M1016=phu!$I$72,M1016=phu!$I$73,M1016=phu!$I$74,M1016=phu!$I$75,M1016=phu!$I$76,M1016=phu!$I$77,M1016=phu!$I$78),"Cam Phước Đông",""),IF(OR(M1016=phu!$I$79,M1016=phu!$I$80,M1016=phu!$I$81,M1016=phu!$I$82,M1016=phu!$I$83,M1016=phu!$I$84),"Cam Thịnh Đông",""),IF(OR(M1016=phu!$I$85,M1016=phu!$I$86,M1016=phu!$I$87,M1016=phu!$I$88),"Cam Thịnh Tây",""),IF(OR(M1016=phu!$I$89,M1016=phu!$I$90),"Cam Lập",""),IF(OR(M1016=phu!$I$91,M1016=phu!$I$92,M1016=phu!$I$93),"Cam Bình",""),IF(OR(M1016=phu!$I$94,M1016=phu!$I$95,M1016=phu!$I$96,M1016=phu!$I$97,M1016=phu!$I$98,M1016=phu!$I$99,M1016=phu!$I$100),"Huyện khác",""),IF(OR(M1016=phu!$I$101,M1016=phu!$I$102),"Tỉnh khác",""))</f>
        <v/>
      </c>
      <c r="O1016" s="814" t="str">
        <f t="shared" si="91"/>
        <v/>
      </c>
      <c r="P1016" s="254"/>
      <c r="Q1016" s="254"/>
      <c r="R1016" s="254"/>
      <c r="S1016" s="254"/>
      <c r="T1016" s="254"/>
      <c r="U1016" s="254"/>
      <c r="V1016" s="254"/>
      <c r="W1016" s="254"/>
      <c r="Y1016" s="246" t="str">
        <f t="shared" si="92"/>
        <v/>
      </c>
      <c r="Z1016" s="247" t="str">
        <f t="shared" si="90"/>
        <v/>
      </c>
      <c r="AA1016" s="246" t="str">
        <f t="shared" si="93"/>
        <v/>
      </c>
    </row>
    <row r="1017" spans="1:27" x14ac:dyDescent="0.25">
      <c r="A1017" s="248" t="str">
        <f t="shared" si="94"/>
        <v/>
      </c>
      <c r="B1017" s="249" t="str">
        <f t="shared" si="95"/>
        <v/>
      </c>
      <c r="C1017" s="250"/>
      <c r="D1017" s="251"/>
      <c r="E1017" s="241"/>
      <c r="F1017" s="252"/>
      <c r="G1017" s="252"/>
      <c r="H1017" s="253"/>
      <c r="I1017" s="250"/>
      <c r="J1017" s="250"/>
      <c r="K1017" s="270"/>
      <c r="L1017" s="250"/>
      <c r="M1017" s="250"/>
      <c r="N1017" s="553" t="str">
        <f>CONCATENATE(IF(OR(M1017=phu!$I$1,M1017=phu!$I$2,M1017=phu!$I$3),"Cam Thành Nam",""),IF(OR(M1017=phu!$I$4,M1017=phu!$I$5,M1017=phu!$I$6,M1017=phu!$I$7,M1017=phu!$I$8,M1017=phu!$I$9,M1017=phu!$I$10,M1017=phu!$I$11,M1017=phu!$I$12,M1017=phu!$I$13,M1017=phu!$I$14),"Cam Nghĩa",""),IF(OR(M1017=phu!$I$15,M1017=phu!$I$16,M1017=phu!$I$17,M1017=phu!$I$18,M1017=phu!$I$19,M1017=phu!$I$20,M1017=phu!$I$21),"Cam Phúc Bắc",""),IF(OR(M1017=phu!$I$22,M1017=phu!$I$23,M1017=phu!$I$24,M1017=phu!$I$25),"Cam Phúc Nam",""),IF(OR(M1017=phu!$I$26,M1017=phu!$I$27,M1017=phu!$I$28,M1017=phu!$I$29,M1017=phu!$I$30,M1017=phu!$I$31),"Cam Phú",""),IF(OR(M1017=phu!$I$32,M1017=phu!$I$33,M1017=phu!$I$34,M1017=phu!$I$35,M1017=phu!$I$36,M1017=phu!$I$37),"Cam Lộc",""),IF(OR(M1017=phu!$I$38,M1017=phu!$I$39,M1017=phu!$I$40,M1017=phu!$I$41,M1017=phu!$I$42,M1017=phu!$I$43,M1017=phu!$I$44),"Cam Thuận",""),IF(OR(M1017=phu!$I$45,M1017=phu!$I$46,M1017=phu!$I$47,M1017=phu!$I$48,M1017=phu!$I$49,M1017=phu!$I$50,M1017=phu!$I$51,M1017=phu!$I$52,M1017=phu!$I$53),"Cam Linh",""),IF(OR(M1017=phu!$I$54,M1017=phu!$I$55,M1017=phu!$I$56,M1017=phu!$I$57,M1017=phu!$I$58,M1017=phu!$I$59,M1017=phu!$I$60,M1017=phu!$I$61,M1017=phu!$I$62),"Cam Lợi",""),IF(OR(M1017=phu!$I$63,M1017=phu!$I$64,M1017=phu!$I$65,M1017=phu!$I$66,M1017=phu!$I$67,M1017=phu!$I$68,M1017=phu!$I$69,M1017=phu!$I$70,M1017=phu!$I$71),"Ba Ngòi",""),IF(OR(M1017=phu!$I$72,M1017=phu!$I$73,M1017=phu!$I$74,M1017=phu!$I$75,M1017=phu!$I$76,M1017=phu!$I$77,M1017=phu!$I$78),"Cam Phước Đông",""),IF(OR(M1017=phu!$I$79,M1017=phu!$I$80,M1017=phu!$I$81,M1017=phu!$I$82,M1017=phu!$I$83,M1017=phu!$I$84),"Cam Thịnh Đông",""),IF(OR(M1017=phu!$I$85,M1017=phu!$I$86,M1017=phu!$I$87,M1017=phu!$I$88),"Cam Thịnh Tây",""),IF(OR(M1017=phu!$I$89,M1017=phu!$I$90),"Cam Lập",""),IF(OR(M1017=phu!$I$91,M1017=phu!$I$92,M1017=phu!$I$93),"Cam Bình",""),IF(OR(M1017=phu!$I$94,M1017=phu!$I$95,M1017=phu!$I$96,M1017=phu!$I$97,M1017=phu!$I$98,M1017=phu!$I$99,M1017=phu!$I$100),"Huyện khác",""),IF(OR(M1017=phu!$I$101,M1017=phu!$I$102),"Tỉnh khác",""))</f>
        <v/>
      </c>
      <c r="O1017" s="814" t="str">
        <f t="shared" si="91"/>
        <v/>
      </c>
      <c r="P1017" s="254"/>
      <c r="Q1017" s="254"/>
      <c r="R1017" s="254"/>
      <c r="S1017" s="254"/>
      <c r="T1017" s="254"/>
      <c r="U1017" s="254"/>
      <c r="V1017" s="254"/>
      <c r="W1017" s="254"/>
      <c r="Y1017" s="246" t="str">
        <f t="shared" si="92"/>
        <v/>
      </c>
      <c r="Z1017" s="247" t="str">
        <f t="shared" si="90"/>
        <v/>
      </c>
      <c r="AA1017" s="246" t="str">
        <f t="shared" si="93"/>
        <v/>
      </c>
    </row>
    <row r="1018" spans="1:27" x14ac:dyDescent="0.25">
      <c r="A1018" s="248" t="str">
        <f t="shared" si="94"/>
        <v/>
      </c>
      <c r="B1018" s="249" t="str">
        <f t="shared" si="95"/>
        <v/>
      </c>
      <c r="C1018" s="250"/>
      <c r="D1018" s="251"/>
      <c r="E1018" s="241"/>
      <c r="F1018" s="252"/>
      <c r="G1018" s="252"/>
      <c r="H1018" s="253"/>
      <c r="I1018" s="250"/>
      <c r="J1018" s="250"/>
      <c r="K1018" s="270"/>
      <c r="L1018" s="250"/>
      <c r="M1018" s="250"/>
      <c r="N1018" s="553" t="str">
        <f>CONCATENATE(IF(OR(M1018=phu!$I$1,M1018=phu!$I$2,M1018=phu!$I$3),"Cam Thành Nam",""),IF(OR(M1018=phu!$I$4,M1018=phu!$I$5,M1018=phu!$I$6,M1018=phu!$I$7,M1018=phu!$I$8,M1018=phu!$I$9,M1018=phu!$I$10,M1018=phu!$I$11,M1018=phu!$I$12,M1018=phu!$I$13,M1018=phu!$I$14),"Cam Nghĩa",""),IF(OR(M1018=phu!$I$15,M1018=phu!$I$16,M1018=phu!$I$17,M1018=phu!$I$18,M1018=phu!$I$19,M1018=phu!$I$20,M1018=phu!$I$21),"Cam Phúc Bắc",""),IF(OR(M1018=phu!$I$22,M1018=phu!$I$23,M1018=phu!$I$24,M1018=phu!$I$25),"Cam Phúc Nam",""),IF(OR(M1018=phu!$I$26,M1018=phu!$I$27,M1018=phu!$I$28,M1018=phu!$I$29,M1018=phu!$I$30,M1018=phu!$I$31),"Cam Phú",""),IF(OR(M1018=phu!$I$32,M1018=phu!$I$33,M1018=phu!$I$34,M1018=phu!$I$35,M1018=phu!$I$36,M1018=phu!$I$37),"Cam Lộc",""),IF(OR(M1018=phu!$I$38,M1018=phu!$I$39,M1018=phu!$I$40,M1018=phu!$I$41,M1018=phu!$I$42,M1018=phu!$I$43,M1018=phu!$I$44),"Cam Thuận",""),IF(OR(M1018=phu!$I$45,M1018=phu!$I$46,M1018=phu!$I$47,M1018=phu!$I$48,M1018=phu!$I$49,M1018=phu!$I$50,M1018=phu!$I$51,M1018=phu!$I$52,M1018=phu!$I$53),"Cam Linh",""),IF(OR(M1018=phu!$I$54,M1018=phu!$I$55,M1018=phu!$I$56,M1018=phu!$I$57,M1018=phu!$I$58,M1018=phu!$I$59,M1018=phu!$I$60,M1018=phu!$I$61,M1018=phu!$I$62),"Cam Lợi",""),IF(OR(M1018=phu!$I$63,M1018=phu!$I$64,M1018=phu!$I$65,M1018=phu!$I$66,M1018=phu!$I$67,M1018=phu!$I$68,M1018=phu!$I$69,M1018=phu!$I$70,M1018=phu!$I$71),"Ba Ngòi",""),IF(OR(M1018=phu!$I$72,M1018=phu!$I$73,M1018=phu!$I$74,M1018=phu!$I$75,M1018=phu!$I$76,M1018=phu!$I$77,M1018=phu!$I$78),"Cam Phước Đông",""),IF(OR(M1018=phu!$I$79,M1018=phu!$I$80,M1018=phu!$I$81,M1018=phu!$I$82,M1018=phu!$I$83,M1018=phu!$I$84),"Cam Thịnh Đông",""),IF(OR(M1018=phu!$I$85,M1018=phu!$I$86,M1018=phu!$I$87,M1018=phu!$I$88),"Cam Thịnh Tây",""),IF(OR(M1018=phu!$I$89,M1018=phu!$I$90),"Cam Lập",""),IF(OR(M1018=phu!$I$91,M1018=phu!$I$92,M1018=phu!$I$93),"Cam Bình",""),IF(OR(M1018=phu!$I$94,M1018=phu!$I$95,M1018=phu!$I$96,M1018=phu!$I$97,M1018=phu!$I$98,M1018=phu!$I$99,M1018=phu!$I$100),"Huyện khác",""),IF(OR(M1018=phu!$I$101,M1018=phu!$I$102),"Tỉnh khác",""))</f>
        <v/>
      </c>
      <c r="O1018" s="814" t="str">
        <f t="shared" si="91"/>
        <v/>
      </c>
      <c r="P1018" s="254"/>
      <c r="Q1018" s="254"/>
      <c r="R1018" s="254"/>
      <c r="S1018" s="254"/>
      <c r="T1018" s="254"/>
      <c r="U1018" s="254"/>
      <c r="V1018" s="254"/>
      <c r="W1018" s="254"/>
      <c r="Y1018" s="246" t="str">
        <f t="shared" si="92"/>
        <v/>
      </c>
      <c r="Z1018" s="247" t="str">
        <f t="shared" si="90"/>
        <v/>
      </c>
      <c r="AA1018" s="246" t="str">
        <f t="shared" si="93"/>
        <v/>
      </c>
    </row>
    <row r="1019" spans="1:27" x14ac:dyDescent="0.25">
      <c r="A1019" s="248" t="str">
        <f t="shared" si="94"/>
        <v/>
      </c>
      <c r="B1019" s="249" t="str">
        <f t="shared" si="95"/>
        <v/>
      </c>
      <c r="C1019" s="250"/>
      <c r="D1019" s="251"/>
      <c r="E1019" s="241"/>
      <c r="F1019" s="252"/>
      <c r="G1019" s="252"/>
      <c r="H1019" s="253"/>
      <c r="I1019" s="250"/>
      <c r="J1019" s="250"/>
      <c r="K1019" s="270"/>
      <c r="L1019" s="250"/>
      <c r="M1019" s="250"/>
      <c r="N1019" s="553" t="str">
        <f>CONCATENATE(IF(OR(M1019=phu!$I$1,M1019=phu!$I$2,M1019=phu!$I$3),"Cam Thành Nam",""),IF(OR(M1019=phu!$I$4,M1019=phu!$I$5,M1019=phu!$I$6,M1019=phu!$I$7,M1019=phu!$I$8,M1019=phu!$I$9,M1019=phu!$I$10,M1019=phu!$I$11,M1019=phu!$I$12,M1019=phu!$I$13,M1019=phu!$I$14),"Cam Nghĩa",""),IF(OR(M1019=phu!$I$15,M1019=phu!$I$16,M1019=phu!$I$17,M1019=phu!$I$18,M1019=phu!$I$19,M1019=phu!$I$20,M1019=phu!$I$21),"Cam Phúc Bắc",""),IF(OR(M1019=phu!$I$22,M1019=phu!$I$23,M1019=phu!$I$24,M1019=phu!$I$25),"Cam Phúc Nam",""),IF(OR(M1019=phu!$I$26,M1019=phu!$I$27,M1019=phu!$I$28,M1019=phu!$I$29,M1019=phu!$I$30,M1019=phu!$I$31),"Cam Phú",""),IF(OR(M1019=phu!$I$32,M1019=phu!$I$33,M1019=phu!$I$34,M1019=phu!$I$35,M1019=phu!$I$36,M1019=phu!$I$37),"Cam Lộc",""),IF(OR(M1019=phu!$I$38,M1019=phu!$I$39,M1019=phu!$I$40,M1019=phu!$I$41,M1019=phu!$I$42,M1019=phu!$I$43,M1019=phu!$I$44),"Cam Thuận",""),IF(OR(M1019=phu!$I$45,M1019=phu!$I$46,M1019=phu!$I$47,M1019=phu!$I$48,M1019=phu!$I$49,M1019=phu!$I$50,M1019=phu!$I$51,M1019=phu!$I$52,M1019=phu!$I$53),"Cam Linh",""),IF(OR(M1019=phu!$I$54,M1019=phu!$I$55,M1019=phu!$I$56,M1019=phu!$I$57,M1019=phu!$I$58,M1019=phu!$I$59,M1019=phu!$I$60,M1019=phu!$I$61,M1019=phu!$I$62),"Cam Lợi",""),IF(OR(M1019=phu!$I$63,M1019=phu!$I$64,M1019=phu!$I$65,M1019=phu!$I$66,M1019=phu!$I$67,M1019=phu!$I$68,M1019=phu!$I$69,M1019=phu!$I$70,M1019=phu!$I$71),"Ba Ngòi",""),IF(OR(M1019=phu!$I$72,M1019=phu!$I$73,M1019=phu!$I$74,M1019=phu!$I$75,M1019=phu!$I$76,M1019=phu!$I$77,M1019=phu!$I$78),"Cam Phước Đông",""),IF(OR(M1019=phu!$I$79,M1019=phu!$I$80,M1019=phu!$I$81,M1019=phu!$I$82,M1019=phu!$I$83,M1019=phu!$I$84),"Cam Thịnh Đông",""),IF(OR(M1019=phu!$I$85,M1019=phu!$I$86,M1019=phu!$I$87,M1019=phu!$I$88),"Cam Thịnh Tây",""),IF(OR(M1019=phu!$I$89,M1019=phu!$I$90),"Cam Lập",""),IF(OR(M1019=phu!$I$91,M1019=phu!$I$92,M1019=phu!$I$93),"Cam Bình",""),IF(OR(M1019=phu!$I$94,M1019=phu!$I$95,M1019=phu!$I$96,M1019=phu!$I$97,M1019=phu!$I$98,M1019=phu!$I$99,M1019=phu!$I$100),"Huyện khác",""),IF(OR(M1019=phu!$I$101,M1019=phu!$I$102),"Tỉnh khác",""))</f>
        <v/>
      </c>
      <c r="O1019" s="814" t="str">
        <f t="shared" si="91"/>
        <v/>
      </c>
      <c r="P1019" s="254"/>
      <c r="Q1019" s="254"/>
      <c r="R1019" s="254"/>
      <c r="S1019" s="254"/>
      <c r="T1019" s="254"/>
      <c r="U1019" s="254"/>
      <c r="V1019" s="254"/>
      <c r="W1019" s="254"/>
      <c r="Y1019" s="246" t="str">
        <f t="shared" si="92"/>
        <v/>
      </c>
      <c r="Z1019" s="247" t="str">
        <f t="shared" si="90"/>
        <v/>
      </c>
      <c r="AA1019" s="246" t="str">
        <f t="shared" si="93"/>
        <v/>
      </c>
    </row>
    <row r="1020" spans="1:27" x14ac:dyDescent="0.25">
      <c r="A1020" s="248" t="str">
        <f t="shared" si="94"/>
        <v/>
      </c>
      <c r="B1020" s="249" t="str">
        <f t="shared" si="95"/>
        <v/>
      </c>
      <c r="C1020" s="250"/>
      <c r="D1020" s="251"/>
      <c r="E1020" s="241"/>
      <c r="F1020" s="252"/>
      <c r="G1020" s="252"/>
      <c r="H1020" s="253"/>
      <c r="I1020" s="250"/>
      <c r="J1020" s="250"/>
      <c r="K1020" s="270"/>
      <c r="L1020" s="250"/>
      <c r="M1020" s="250"/>
      <c r="N1020" s="553" t="str">
        <f>CONCATENATE(IF(OR(M1020=phu!$I$1,M1020=phu!$I$2,M1020=phu!$I$3),"Cam Thành Nam",""),IF(OR(M1020=phu!$I$4,M1020=phu!$I$5,M1020=phu!$I$6,M1020=phu!$I$7,M1020=phu!$I$8,M1020=phu!$I$9,M1020=phu!$I$10,M1020=phu!$I$11,M1020=phu!$I$12,M1020=phu!$I$13,M1020=phu!$I$14),"Cam Nghĩa",""),IF(OR(M1020=phu!$I$15,M1020=phu!$I$16,M1020=phu!$I$17,M1020=phu!$I$18,M1020=phu!$I$19,M1020=phu!$I$20,M1020=phu!$I$21),"Cam Phúc Bắc",""),IF(OR(M1020=phu!$I$22,M1020=phu!$I$23,M1020=phu!$I$24,M1020=phu!$I$25),"Cam Phúc Nam",""),IF(OR(M1020=phu!$I$26,M1020=phu!$I$27,M1020=phu!$I$28,M1020=phu!$I$29,M1020=phu!$I$30,M1020=phu!$I$31),"Cam Phú",""),IF(OR(M1020=phu!$I$32,M1020=phu!$I$33,M1020=phu!$I$34,M1020=phu!$I$35,M1020=phu!$I$36,M1020=phu!$I$37),"Cam Lộc",""),IF(OR(M1020=phu!$I$38,M1020=phu!$I$39,M1020=phu!$I$40,M1020=phu!$I$41,M1020=phu!$I$42,M1020=phu!$I$43,M1020=phu!$I$44),"Cam Thuận",""),IF(OR(M1020=phu!$I$45,M1020=phu!$I$46,M1020=phu!$I$47,M1020=phu!$I$48,M1020=phu!$I$49,M1020=phu!$I$50,M1020=phu!$I$51,M1020=phu!$I$52,M1020=phu!$I$53),"Cam Linh",""),IF(OR(M1020=phu!$I$54,M1020=phu!$I$55,M1020=phu!$I$56,M1020=phu!$I$57,M1020=phu!$I$58,M1020=phu!$I$59,M1020=phu!$I$60,M1020=phu!$I$61,M1020=phu!$I$62),"Cam Lợi",""),IF(OR(M1020=phu!$I$63,M1020=phu!$I$64,M1020=phu!$I$65,M1020=phu!$I$66,M1020=phu!$I$67,M1020=phu!$I$68,M1020=phu!$I$69,M1020=phu!$I$70,M1020=phu!$I$71),"Ba Ngòi",""),IF(OR(M1020=phu!$I$72,M1020=phu!$I$73,M1020=phu!$I$74,M1020=phu!$I$75,M1020=phu!$I$76,M1020=phu!$I$77,M1020=phu!$I$78),"Cam Phước Đông",""),IF(OR(M1020=phu!$I$79,M1020=phu!$I$80,M1020=phu!$I$81,M1020=phu!$I$82,M1020=phu!$I$83,M1020=phu!$I$84),"Cam Thịnh Đông",""),IF(OR(M1020=phu!$I$85,M1020=phu!$I$86,M1020=phu!$I$87,M1020=phu!$I$88),"Cam Thịnh Tây",""),IF(OR(M1020=phu!$I$89,M1020=phu!$I$90),"Cam Lập",""),IF(OR(M1020=phu!$I$91,M1020=phu!$I$92,M1020=phu!$I$93),"Cam Bình",""),IF(OR(M1020=phu!$I$94,M1020=phu!$I$95,M1020=phu!$I$96,M1020=phu!$I$97,M1020=phu!$I$98,M1020=phu!$I$99,M1020=phu!$I$100),"Huyện khác",""),IF(OR(M1020=phu!$I$101,M1020=phu!$I$102),"Tỉnh khác",""))</f>
        <v/>
      </c>
      <c r="O1020" s="814" t="str">
        <f t="shared" si="91"/>
        <v/>
      </c>
      <c r="P1020" s="254"/>
      <c r="Q1020" s="254"/>
      <c r="R1020" s="254"/>
      <c r="S1020" s="254"/>
      <c r="T1020" s="254"/>
      <c r="U1020" s="254"/>
      <c r="V1020" s="254"/>
      <c r="W1020" s="254"/>
      <c r="Y1020" s="246" t="str">
        <f t="shared" si="92"/>
        <v/>
      </c>
      <c r="Z1020" s="247" t="str">
        <f t="shared" si="90"/>
        <v/>
      </c>
      <c r="AA1020" s="246" t="str">
        <f t="shared" si="93"/>
        <v/>
      </c>
    </row>
    <row r="1021" spans="1:27" x14ac:dyDescent="0.25">
      <c r="A1021" s="248" t="str">
        <f t="shared" si="94"/>
        <v/>
      </c>
      <c r="B1021" s="249" t="str">
        <f t="shared" si="95"/>
        <v/>
      </c>
      <c r="C1021" s="250"/>
      <c r="D1021" s="251"/>
      <c r="E1021" s="241"/>
      <c r="F1021" s="252"/>
      <c r="G1021" s="252"/>
      <c r="H1021" s="253"/>
      <c r="I1021" s="250"/>
      <c r="J1021" s="250"/>
      <c r="K1021" s="270"/>
      <c r="L1021" s="250"/>
      <c r="M1021" s="250"/>
      <c r="N1021" s="553" t="str">
        <f>CONCATENATE(IF(OR(M1021=phu!$I$1,M1021=phu!$I$2,M1021=phu!$I$3),"Cam Thành Nam",""),IF(OR(M1021=phu!$I$4,M1021=phu!$I$5,M1021=phu!$I$6,M1021=phu!$I$7,M1021=phu!$I$8,M1021=phu!$I$9,M1021=phu!$I$10,M1021=phu!$I$11,M1021=phu!$I$12,M1021=phu!$I$13,M1021=phu!$I$14),"Cam Nghĩa",""),IF(OR(M1021=phu!$I$15,M1021=phu!$I$16,M1021=phu!$I$17,M1021=phu!$I$18,M1021=phu!$I$19,M1021=phu!$I$20,M1021=phu!$I$21),"Cam Phúc Bắc",""),IF(OR(M1021=phu!$I$22,M1021=phu!$I$23,M1021=phu!$I$24,M1021=phu!$I$25),"Cam Phúc Nam",""),IF(OR(M1021=phu!$I$26,M1021=phu!$I$27,M1021=phu!$I$28,M1021=phu!$I$29,M1021=phu!$I$30,M1021=phu!$I$31),"Cam Phú",""),IF(OR(M1021=phu!$I$32,M1021=phu!$I$33,M1021=phu!$I$34,M1021=phu!$I$35,M1021=phu!$I$36,M1021=phu!$I$37),"Cam Lộc",""),IF(OR(M1021=phu!$I$38,M1021=phu!$I$39,M1021=phu!$I$40,M1021=phu!$I$41,M1021=phu!$I$42,M1021=phu!$I$43,M1021=phu!$I$44),"Cam Thuận",""),IF(OR(M1021=phu!$I$45,M1021=phu!$I$46,M1021=phu!$I$47,M1021=phu!$I$48,M1021=phu!$I$49,M1021=phu!$I$50,M1021=phu!$I$51,M1021=phu!$I$52,M1021=phu!$I$53),"Cam Linh",""),IF(OR(M1021=phu!$I$54,M1021=phu!$I$55,M1021=phu!$I$56,M1021=phu!$I$57,M1021=phu!$I$58,M1021=phu!$I$59,M1021=phu!$I$60,M1021=phu!$I$61,M1021=phu!$I$62),"Cam Lợi",""),IF(OR(M1021=phu!$I$63,M1021=phu!$I$64,M1021=phu!$I$65,M1021=phu!$I$66,M1021=phu!$I$67,M1021=phu!$I$68,M1021=phu!$I$69,M1021=phu!$I$70,M1021=phu!$I$71),"Ba Ngòi",""),IF(OR(M1021=phu!$I$72,M1021=phu!$I$73,M1021=phu!$I$74,M1021=phu!$I$75,M1021=phu!$I$76,M1021=phu!$I$77,M1021=phu!$I$78),"Cam Phước Đông",""),IF(OR(M1021=phu!$I$79,M1021=phu!$I$80,M1021=phu!$I$81,M1021=phu!$I$82,M1021=phu!$I$83,M1021=phu!$I$84),"Cam Thịnh Đông",""),IF(OR(M1021=phu!$I$85,M1021=phu!$I$86,M1021=phu!$I$87,M1021=phu!$I$88),"Cam Thịnh Tây",""),IF(OR(M1021=phu!$I$89,M1021=phu!$I$90),"Cam Lập",""),IF(OR(M1021=phu!$I$91,M1021=phu!$I$92,M1021=phu!$I$93),"Cam Bình",""),IF(OR(M1021=phu!$I$94,M1021=phu!$I$95,M1021=phu!$I$96,M1021=phu!$I$97,M1021=phu!$I$98,M1021=phu!$I$99,M1021=phu!$I$100),"Huyện khác",""),IF(OR(M1021=phu!$I$101,M1021=phu!$I$102),"Tỉnh khác",""))</f>
        <v/>
      </c>
      <c r="O1021" s="814" t="str">
        <f t="shared" si="91"/>
        <v/>
      </c>
      <c r="P1021" s="254"/>
      <c r="Q1021" s="254"/>
      <c r="R1021" s="254"/>
      <c r="S1021" s="254"/>
      <c r="T1021" s="254"/>
      <c r="U1021" s="254"/>
      <c r="V1021" s="254"/>
      <c r="W1021" s="254"/>
      <c r="Y1021" s="246" t="str">
        <f t="shared" si="92"/>
        <v/>
      </c>
      <c r="Z1021" s="247" t="str">
        <f t="shared" si="90"/>
        <v/>
      </c>
      <c r="AA1021" s="246" t="str">
        <f t="shared" si="93"/>
        <v/>
      </c>
    </row>
    <row r="1022" spans="1:27" x14ac:dyDescent="0.25">
      <c r="A1022" s="248" t="str">
        <f t="shared" si="94"/>
        <v/>
      </c>
      <c r="B1022" s="249" t="str">
        <f t="shared" si="95"/>
        <v/>
      </c>
      <c r="C1022" s="250"/>
      <c r="D1022" s="251"/>
      <c r="E1022" s="241"/>
      <c r="F1022" s="252"/>
      <c r="G1022" s="252"/>
      <c r="H1022" s="253"/>
      <c r="I1022" s="250"/>
      <c r="J1022" s="250"/>
      <c r="K1022" s="270"/>
      <c r="L1022" s="250"/>
      <c r="M1022" s="250"/>
      <c r="N1022" s="553" t="str">
        <f>CONCATENATE(IF(OR(M1022=phu!$I$1,M1022=phu!$I$2,M1022=phu!$I$3),"Cam Thành Nam",""),IF(OR(M1022=phu!$I$4,M1022=phu!$I$5,M1022=phu!$I$6,M1022=phu!$I$7,M1022=phu!$I$8,M1022=phu!$I$9,M1022=phu!$I$10,M1022=phu!$I$11,M1022=phu!$I$12,M1022=phu!$I$13,M1022=phu!$I$14),"Cam Nghĩa",""),IF(OR(M1022=phu!$I$15,M1022=phu!$I$16,M1022=phu!$I$17,M1022=phu!$I$18,M1022=phu!$I$19,M1022=phu!$I$20,M1022=phu!$I$21),"Cam Phúc Bắc",""),IF(OR(M1022=phu!$I$22,M1022=phu!$I$23,M1022=phu!$I$24,M1022=phu!$I$25),"Cam Phúc Nam",""),IF(OR(M1022=phu!$I$26,M1022=phu!$I$27,M1022=phu!$I$28,M1022=phu!$I$29,M1022=phu!$I$30,M1022=phu!$I$31),"Cam Phú",""),IF(OR(M1022=phu!$I$32,M1022=phu!$I$33,M1022=phu!$I$34,M1022=phu!$I$35,M1022=phu!$I$36,M1022=phu!$I$37),"Cam Lộc",""),IF(OR(M1022=phu!$I$38,M1022=phu!$I$39,M1022=phu!$I$40,M1022=phu!$I$41,M1022=phu!$I$42,M1022=phu!$I$43,M1022=phu!$I$44),"Cam Thuận",""),IF(OR(M1022=phu!$I$45,M1022=phu!$I$46,M1022=phu!$I$47,M1022=phu!$I$48,M1022=phu!$I$49,M1022=phu!$I$50,M1022=phu!$I$51,M1022=phu!$I$52,M1022=phu!$I$53),"Cam Linh",""),IF(OR(M1022=phu!$I$54,M1022=phu!$I$55,M1022=phu!$I$56,M1022=phu!$I$57,M1022=phu!$I$58,M1022=phu!$I$59,M1022=phu!$I$60,M1022=phu!$I$61,M1022=phu!$I$62),"Cam Lợi",""),IF(OR(M1022=phu!$I$63,M1022=phu!$I$64,M1022=phu!$I$65,M1022=phu!$I$66,M1022=phu!$I$67,M1022=phu!$I$68,M1022=phu!$I$69,M1022=phu!$I$70,M1022=phu!$I$71),"Ba Ngòi",""),IF(OR(M1022=phu!$I$72,M1022=phu!$I$73,M1022=phu!$I$74,M1022=phu!$I$75,M1022=phu!$I$76,M1022=phu!$I$77,M1022=phu!$I$78),"Cam Phước Đông",""),IF(OR(M1022=phu!$I$79,M1022=phu!$I$80,M1022=phu!$I$81,M1022=phu!$I$82,M1022=phu!$I$83,M1022=phu!$I$84),"Cam Thịnh Đông",""),IF(OR(M1022=phu!$I$85,M1022=phu!$I$86,M1022=phu!$I$87,M1022=phu!$I$88),"Cam Thịnh Tây",""),IF(OR(M1022=phu!$I$89,M1022=phu!$I$90),"Cam Lập",""),IF(OR(M1022=phu!$I$91,M1022=phu!$I$92,M1022=phu!$I$93),"Cam Bình",""),IF(OR(M1022=phu!$I$94,M1022=phu!$I$95,M1022=phu!$I$96,M1022=phu!$I$97,M1022=phu!$I$98,M1022=phu!$I$99,M1022=phu!$I$100),"Huyện khác",""),IF(OR(M1022=phu!$I$101,M1022=phu!$I$102),"Tỉnh khác",""))</f>
        <v/>
      </c>
      <c r="O1022" s="814" t="str">
        <f t="shared" si="91"/>
        <v/>
      </c>
      <c r="P1022" s="254"/>
      <c r="Q1022" s="254"/>
      <c r="R1022" s="254"/>
      <c r="S1022" s="254"/>
      <c r="T1022" s="254"/>
      <c r="U1022" s="254"/>
      <c r="V1022" s="254"/>
      <c r="W1022" s="254"/>
      <c r="Y1022" s="246" t="str">
        <f t="shared" si="92"/>
        <v/>
      </c>
      <c r="Z1022" s="247" t="str">
        <f t="shared" si="90"/>
        <v/>
      </c>
      <c r="AA1022" s="246" t="str">
        <f t="shared" si="93"/>
        <v/>
      </c>
    </row>
    <row r="1023" spans="1:27" x14ac:dyDescent="0.25">
      <c r="A1023" s="248" t="str">
        <f t="shared" si="94"/>
        <v/>
      </c>
      <c r="B1023" s="249" t="str">
        <f t="shared" si="95"/>
        <v/>
      </c>
      <c r="C1023" s="250"/>
      <c r="D1023" s="251"/>
      <c r="E1023" s="241"/>
      <c r="F1023" s="252"/>
      <c r="G1023" s="252"/>
      <c r="H1023" s="253"/>
      <c r="I1023" s="250"/>
      <c r="J1023" s="250"/>
      <c r="K1023" s="270"/>
      <c r="L1023" s="250"/>
      <c r="M1023" s="250"/>
      <c r="N1023" s="553" t="str">
        <f>CONCATENATE(IF(OR(M1023=phu!$I$1,M1023=phu!$I$2,M1023=phu!$I$3),"Cam Thành Nam",""),IF(OR(M1023=phu!$I$4,M1023=phu!$I$5,M1023=phu!$I$6,M1023=phu!$I$7,M1023=phu!$I$8,M1023=phu!$I$9,M1023=phu!$I$10,M1023=phu!$I$11,M1023=phu!$I$12,M1023=phu!$I$13,M1023=phu!$I$14),"Cam Nghĩa",""),IF(OR(M1023=phu!$I$15,M1023=phu!$I$16,M1023=phu!$I$17,M1023=phu!$I$18,M1023=phu!$I$19,M1023=phu!$I$20,M1023=phu!$I$21),"Cam Phúc Bắc",""),IF(OR(M1023=phu!$I$22,M1023=phu!$I$23,M1023=phu!$I$24,M1023=phu!$I$25),"Cam Phúc Nam",""),IF(OR(M1023=phu!$I$26,M1023=phu!$I$27,M1023=phu!$I$28,M1023=phu!$I$29,M1023=phu!$I$30,M1023=phu!$I$31),"Cam Phú",""),IF(OR(M1023=phu!$I$32,M1023=phu!$I$33,M1023=phu!$I$34,M1023=phu!$I$35,M1023=phu!$I$36,M1023=phu!$I$37),"Cam Lộc",""),IF(OR(M1023=phu!$I$38,M1023=phu!$I$39,M1023=phu!$I$40,M1023=phu!$I$41,M1023=phu!$I$42,M1023=phu!$I$43,M1023=phu!$I$44),"Cam Thuận",""),IF(OR(M1023=phu!$I$45,M1023=phu!$I$46,M1023=phu!$I$47,M1023=phu!$I$48,M1023=phu!$I$49,M1023=phu!$I$50,M1023=phu!$I$51,M1023=phu!$I$52,M1023=phu!$I$53),"Cam Linh",""),IF(OR(M1023=phu!$I$54,M1023=phu!$I$55,M1023=phu!$I$56,M1023=phu!$I$57,M1023=phu!$I$58,M1023=phu!$I$59,M1023=phu!$I$60,M1023=phu!$I$61,M1023=phu!$I$62),"Cam Lợi",""),IF(OR(M1023=phu!$I$63,M1023=phu!$I$64,M1023=phu!$I$65,M1023=phu!$I$66,M1023=phu!$I$67,M1023=phu!$I$68,M1023=phu!$I$69,M1023=phu!$I$70,M1023=phu!$I$71),"Ba Ngòi",""),IF(OR(M1023=phu!$I$72,M1023=phu!$I$73,M1023=phu!$I$74,M1023=phu!$I$75,M1023=phu!$I$76,M1023=phu!$I$77,M1023=phu!$I$78),"Cam Phước Đông",""),IF(OR(M1023=phu!$I$79,M1023=phu!$I$80,M1023=phu!$I$81,M1023=phu!$I$82,M1023=phu!$I$83,M1023=phu!$I$84),"Cam Thịnh Đông",""),IF(OR(M1023=phu!$I$85,M1023=phu!$I$86,M1023=phu!$I$87,M1023=phu!$I$88),"Cam Thịnh Tây",""),IF(OR(M1023=phu!$I$89,M1023=phu!$I$90),"Cam Lập",""),IF(OR(M1023=phu!$I$91,M1023=phu!$I$92,M1023=phu!$I$93),"Cam Bình",""),IF(OR(M1023=phu!$I$94,M1023=phu!$I$95,M1023=phu!$I$96,M1023=phu!$I$97,M1023=phu!$I$98,M1023=phu!$I$99,M1023=phu!$I$100),"Huyện khác",""),IF(OR(M1023=phu!$I$101,M1023=phu!$I$102),"Tỉnh khác",""))</f>
        <v/>
      </c>
      <c r="O1023" s="814" t="str">
        <f t="shared" si="91"/>
        <v/>
      </c>
      <c r="P1023" s="254"/>
      <c r="Q1023" s="254"/>
      <c r="R1023" s="254"/>
      <c r="S1023" s="254"/>
      <c r="T1023" s="254"/>
      <c r="U1023" s="254"/>
      <c r="V1023" s="254"/>
      <c r="W1023" s="254"/>
      <c r="Y1023" s="246" t="str">
        <f t="shared" si="92"/>
        <v/>
      </c>
      <c r="Z1023" s="247" t="str">
        <f t="shared" si="90"/>
        <v/>
      </c>
      <c r="AA1023" s="246" t="str">
        <f t="shared" si="93"/>
        <v/>
      </c>
    </row>
    <row r="1024" spans="1:27" x14ac:dyDescent="0.25">
      <c r="A1024" s="248" t="str">
        <f t="shared" si="94"/>
        <v/>
      </c>
      <c r="B1024" s="249" t="str">
        <f t="shared" si="95"/>
        <v/>
      </c>
      <c r="C1024" s="250"/>
      <c r="D1024" s="251"/>
      <c r="E1024" s="241"/>
      <c r="F1024" s="252"/>
      <c r="G1024" s="252"/>
      <c r="H1024" s="253"/>
      <c r="I1024" s="250"/>
      <c r="J1024" s="250"/>
      <c r="K1024" s="270"/>
      <c r="L1024" s="250"/>
      <c r="M1024" s="250"/>
      <c r="N1024" s="553" t="str">
        <f>CONCATENATE(IF(OR(M1024=phu!$I$1,M1024=phu!$I$2,M1024=phu!$I$3),"Cam Thành Nam",""),IF(OR(M1024=phu!$I$4,M1024=phu!$I$5,M1024=phu!$I$6,M1024=phu!$I$7,M1024=phu!$I$8,M1024=phu!$I$9,M1024=phu!$I$10,M1024=phu!$I$11,M1024=phu!$I$12,M1024=phu!$I$13,M1024=phu!$I$14),"Cam Nghĩa",""),IF(OR(M1024=phu!$I$15,M1024=phu!$I$16,M1024=phu!$I$17,M1024=phu!$I$18,M1024=phu!$I$19,M1024=phu!$I$20,M1024=phu!$I$21),"Cam Phúc Bắc",""),IF(OR(M1024=phu!$I$22,M1024=phu!$I$23,M1024=phu!$I$24,M1024=phu!$I$25),"Cam Phúc Nam",""),IF(OR(M1024=phu!$I$26,M1024=phu!$I$27,M1024=phu!$I$28,M1024=phu!$I$29,M1024=phu!$I$30,M1024=phu!$I$31),"Cam Phú",""),IF(OR(M1024=phu!$I$32,M1024=phu!$I$33,M1024=phu!$I$34,M1024=phu!$I$35,M1024=phu!$I$36,M1024=phu!$I$37),"Cam Lộc",""),IF(OR(M1024=phu!$I$38,M1024=phu!$I$39,M1024=phu!$I$40,M1024=phu!$I$41,M1024=phu!$I$42,M1024=phu!$I$43,M1024=phu!$I$44),"Cam Thuận",""),IF(OR(M1024=phu!$I$45,M1024=phu!$I$46,M1024=phu!$I$47,M1024=phu!$I$48,M1024=phu!$I$49,M1024=phu!$I$50,M1024=phu!$I$51,M1024=phu!$I$52,M1024=phu!$I$53),"Cam Linh",""),IF(OR(M1024=phu!$I$54,M1024=phu!$I$55,M1024=phu!$I$56,M1024=phu!$I$57,M1024=phu!$I$58,M1024=phu!$I$59,M1024=phu!$I$60,M1024=phu!$I$61,M1024=phu!$I$62),"Cam Lợi",""),IF(OR(M1024=phu!$I$63,M1024=phu!$I$64,M1024=phu!$I$65,M1024=phu!$I$66,M1024=phu!$I$67,M1024=phu!$I$68,M1024=phu!$I$69,M1024=phu!$I$70,M1024=phu!$I$71),"Ba Ngòi",""),IF(OR(M1024=phu!$I$72,M1024=phu!$I$73,M1024=phu!$I$74,M1024=phu!$I$75,M1024=phu!$I$76,M1024=phu!$I$77,M1024=phu!$I$78),"Cam Phước Đông",""),IF(OR(M1024=phu!$I$79,M1024=phu!$I$80,M1024=phu!$I$81,M1024=phu!$I$82,M1024=phu!$I$83,M1024=phu!$I$84),"Cam Thịnh Đông",""),IF(OR(M1024=phu!$I$85,M1024=phu!$I$86,M1024=phu!$I$87,M1024=phu!$I$88),"Cam Thịnh Tây",""),IF(OR(M1024=phu!$I$89,M1024=phu!$I$90),"Cam Lập",""),IF(OR(M1024=phu!$I$91,M1024=phu!$I$92,M1024=phu!$I$93),"Cam Bình",""),IF(OR(M1024=phu!$I$94,M1024=phu!$I$95,M1024=phu!$I$96,M1024=phu!$I$97,M1024=phu!$I$98,M1024=phu!$I$99,M1024=phu!$I$100),"Huyện khác",""),IF(OR(M1024=phu!$I$101,M1024=phu!$I$102),"Tỉnh khác",""))</f>
        <v/>
      </c>
      <c r="O1024" s="814" t="str">
        <f t="shared" si="91"/>
        <v/>
      </c>
      <c r="P1024" s="254"/>
      <c r="Q1024" s="254"/>
      <c r="R1024" s="254"/>
      <c r="S1024" s="254"/>
      <c r="T1024" s="254"/>
      <c r="U1024" s="254"/>
      <c r="V1024" s="254"/>
      <c r="W1024" s="254"/>
      <c r="Y1024" s="246" t="str">
        <f t="shared" si="92"/>
        <v/>
      </c>
      <c r="Z1024" s="247" t="str">
        <f t="shared" si="90"/>
        <v/>
      </c>
      <c r="AA1024" s="246" t="str">
        <f t="shared" si="93"/>
        <v/>
      </c>
    </row>
    <row r="1025" spans="1:27" x14ac:dyDescent="0.25">
      <c r="A1025" s="248" t="str">
        <f t="shared" si="94"/>
        <v/>
      </c>
      <c r="B1025" s="249" t="str">
        <f t="shared" si="95"/>
        <v/>
      </c>
      <c r="C1025" s="250"/>
      <c r="D1025" s="251"/>
      <c r="E1025" s="241"/>
      <c r="F1025" s="252"/>
      <c r="G1025" s="252"/>
      <c r="H1025" s="253"/>
      <c r="I1025" s="250"/>
      <c r="J1025" s="250"/>
      <c r="K1025" s="270"/>
      <c r="L1025" s="250"/>
      <c r="M1025" s="250"/>
      <c r="N1025" s="553" t="str">
        <f>CONCATENATE(IF(OR(M1025=phu!$I$1,M1025=phu!$I$2,M1025=phu!$I$3),"Cam Thành Nam",""),IF(OR(M1025=phu!$I$4,M1025=phu!$I$5,M1025=phu!$I$6,M1025=phu!$I$7,M1025=phu!$I$8,M1025=phu!$I$9,M1025=phu!$I$10,M1025=phu!$I$11,M1025=phu!$I$12,M1025=phu!$I$13,M1025=phu!$I$14),"Cam Nghĩa",""),IF(OR(M1025=phu!$I$15,M1025=phu!$I$16,M1025=phu!$I$17,M1025=phu!$I$18,M1025=phu!$I$19,M1025=phu!$I$20,M1025=phu!$I$21),"Cam Phúc Bắc",""),IF(OR(M1025=phu!$I$22,M1025=phu!$I$23,M1025=phu!$I$24,M1025=phu!$I$25),"Cam Phúc Nam",""),IF(OR(M1025=phu!$I$26,M1025=phu!$I$27,M1025=phu!$I$28,M1025=phu!$I$29,M1025=phu!$I$30,M1025=phu!$I$31),"Cam Phú",""),IF(OR(M1025=phu!$I$32,M1025=phu!$I$33,M1025=phu!$I$34,M1025=phu!$I$35,M1025=phu!$I$36,M1025=phu!$I$37),"Cam Lộc",""),IF(OR(M1025=phu!$I$38,M1025=phu!$I$39,M1025=phu!$I$40,M1025=phu!$I$41,M1025=phu!$I$42,M1025=phu!$I$43,M1025=phu!$I$44),"Cam Thuận",""),IF(OR(M1025=phu!$I$45,M1025=phu!$I$46,M1025=phu!$I$47,M1025=phu!$I$48,M1025=phu!$I$49,M1025=phu!$I$50,M1025=phu!$I$51,M1025=phu!$I$52,M1025=phu!$I$53),"Cam Linh",""),IF(OR(M1025=phu!$I$54,M1025=phu!$I$55,M1025=phu!$I$56,M1025=phu!$I$57,M1025=phu!$I$58,M1025=phu!$I$59,M1025=phu!$I$60,M1025=phu!$I$61,M1025=phu!$I$62),"Cam Lợi",""),IF(OR(M1025=phu!$I$63,M1025=phu!$I$64,M1025=phu!$I$65,M1025=phu!$I$66,M1025=phu!$I$67,M1025=phu!$I$68,M1025=phu!$I$69,M1025=phu!$I$70,M1025=phu!$I$71),"Ba Ngòi",""),IF(OR(M1025=phu!$I$72,M1025=phu!$I$73,M1025=phu!$I$74,M1025=phu!$I$75,M1025=phu!$I$76,M1025=phu!$I$77,M1025=phu!$I$78),"Cam Phước Đông",""),IF(OR(M1025=phu!$I$79,M1025=phu!$I$80,M1025=phu!$I$81,M1025=phu!$I$82,M1025=phu!$I$83,M1025=phu!$I$84),"Cam Thịnh Đông",""),IF(OR(M1025=phu!$I$85,M1025=phu!$I$86,M1025=phu!$I$87,M1025=phu!$I$88),"Cam Thịnh Tây",""),IF(OR(M1025=phu!$I$89,M1025=phu!$I$90),"Cam Lập",""),IF(OR(M1025=phu!$I$91,M1025=phu!$I$92,M1025=phu!$I$93),"Cam Bình",""),IF(OR(M1025=phu!$I$94,M1025=phu!$I$95,M1025=phu!$I$96,M1025=phu!$I$97,M1025=phu!$I$98,M1025=phu!$I$99,M1025=phu!$I$100),"Huyện khác",""),IF(OR(M1025=phu!$I$101,M1025=phu!$I$102),"Tỉnh khác",""))</f>
        <v/>
      </c>
      <c r="O1025" s="814" t="str">
        <f t="shared" si="91"/>
        <v/>
      </c>
      <c r="P1025" s="254"/>
      <c r="Q1025" s="254"/>
      <c r="R1025" s="254"/>
      <c r="S1025" s="254"/>
      <c r="T1025" s="254"/>
      <c r="U1025" s="254"/>
      <c r="V1025" s="254"/>
      <c r="W1025" s="254"/>
      <c r="Y1025" s="246" t="str">
        <f t="shared" si="92"/>
        <v/>
      </c>
      <c r="Z1025" s="247" t="str">
        <f t="shared" si="90"/>
        <v/>
      </c>
      <c r="AA1025" s="246" t="str">
        <f t="shared" si="93"/>
        <v/>
      </c>
    </row>
    <row r="1026" spans="1:27" x14ac:dyDescent="0.25">
      <c r="A1026" s="248" t="str">
        <f t="shared" si="94"/>
        <v/>
      </c>
      <c r="B1026" s="249" t="str">
        <f t="shared" si="95"/>
        <v/>
      </c>
      <c r="C1026" s="250"/>
      <c r="D1026" s="251"/>
      <c r="E1026" s="241"/>
      <c r="F1026" s="252"/>
      <c r="G1026" s="252"/>
      <c r="H1026" s="253"/>
      <c r="I1026" s="250"/>
      <c r="J1026" s="250"/>
      <c r="K1026" s="270"/>
      <c r="L1026" s="250"/>
      <c r="M1026" s="250"/>
      <c r="N1026" s="553" t="str">
        <f>CONCATENATE(IF(OR(M1026=phu!$I$1,M1026=phu!$I$2,M1026=phu!$I$3),"Cam Thành Nam",""),IF(OR(M1026=phu!$I$4,M1026=phu!$I$5,M1026=phu!$I$6,M1026=phu!$I$7,M1026=phu!$I$8,M1026=phu!$I$9,M1026=phu!$I$10,M1026=phu!$I$11,M1026=phu!$I$12,M1026=phu!$I$13,M1026=phu!$I$14),"Cam Nghĩa",""),IF(OR(M1026=phu!$I$15,M1026=phu!$I$16,M1026=phu!$I$17,M1026=phu!$I$18,M1026=phu!$I$19,M1026=phu!$I$20,M1026=phu!$I$21),"Cam Phúc Bắc",""),IF(OR(M1026=phu!$I$22,M1026=phu!$I$23,M1026=phu!$I$24,M1026=phu!$I$25),"Cam Phúc Nam",""),IF(OR(M1026=phu!$I$26,M1026=phu!$I$27,M1026=phu!$I$28,M1026=phu!$I$29,M1026=phu!$I$30,M1026=phu!$I$31),"Cam Phú",""),IF(OR(M1026=phu!$I$32,M1026=phu!$I$33,M1026=phu!$I$34,M1026=phu!$I$35,M1026=phu!$I$36,M1026=phu!$I$37),"Cam Lộc",""),IF(OR(M1026=phu!$I$38,M1026=phu!$I$39,M1026=phu!$I$40,M1026=phu!$I$41,M1026=phu!$I$42,M1026=phu!$I$43,M1026=phu!$I$44),"Cam Thuận",""),IF(OR(M1026=phu!$I$45,M1026=phu!$I$46,M1026=phu!$I$47,M1026=phu!$I$48,M1026=phu!$I$49,M1026=phu!$I$50,M1026=phu!$I$51,M1026=phu!$I$52,M1026=phu!$I$53),"Cam Linh",""),IF(OR(M1026=phu!$I$54,M1026=phu!$I$55,M1026=phu!$I$56,M1026=phu!$I$57,M1026=phu!$I$58,M1026=phu!$I$59,M1026=phu!$I$60,M1026=phu!$I$61,M1026=phu!$I$62),"Cam Lợi",""),IF(OR(M1026=phu!$I$63,M1026=phu!$I$64,M1026=phu!$I$65,M1026=phu!$I$66,M1026=phu!$I$67,M1026=phu!$I$68,M1026=phu!$I$69,M1026=phu!$I$70,M1026=phu!$I$71),"Ba Ngòi",""),IF(OR(M1026=phu!$I$72,M1026=phu!$I$73,M1026=phu!$I$74,M1026=phu!$I$75,M1026=phu!$I$76,M1026=phu!$I$77,M1026=phu!$I$78),"Cam Phước Đông",""),IF(OR(M1026=phu!$I$79,M1026=phu!$I$80,M1026=phu!$I$81,M1026=phu!$I$82,M1026=phu!$I$83,M1026=phu!$I$84),"Cam Thịnh Đông",""),IF(OR(M1026=phu!$I$85,M1026=phu!$I$86,M1026=phu!$I$87,M1026=phu!$I$88),"Cam Thịnh Tây",""),IF(OR(M1026=phu!$I$89,M1026=phu!$I$90),"Cam Lập",""),IF(OR(M1026=phu!$I$91,M1026=phu!$I$92,M1026=phu!$I$93),"Cam Bình",""),IF(OR(M1026=phu!$I$94,M1026=phu!$I$95,M1026=phu!$I$96,M1026=phu!$I$97,M1026=phu!$I$98,M1026=phu!$I$99,M1026=phu!$I$100),"Huyện khác",""),IF(OR(M1026=phu!$I$101,M1026=phu!$I$102),"Tỉnh khác",""))</f>
        <v/>
      </c>
      <c r="O1026" s="814" t="str">
        <f t="shared" si="91"/>
        <v/>
      </c>
      <c r="P1026" s="254"/>
      <c r="Q1026" s="254"/>
      <c r="R1026" s="254"/>
      <c r="S1026" s="254"/>
      <c r="T1026" s="254"/>
      <c r="U1026" s="254"/>
      <c r="V1026" s="254"/>
      <c r="W1026" s="254"/>
      <c r="Y1026" s="246" t="str">
        <f t="shared" si="92"/>
        <v/>
      </c>
      <c r="Z1026" s="247" t="str">
        <f t="shared" si="90"/>
        <v/>
      </c>
      <c r="AA1026" s="246" t="str">
        <f t="shared" si="93"/>
        <v/>
      </c>
    </row>
    <row r="1027" spans="1:27" x14ac:dyDescent="0.25">
      <c r="A1027" s="248" t="str">
        <f t="shared" si="94"/>
        <v/>
      </c>
      <c r="B1027" s="249" t="str">
        <f t="shared" si="95"/>
        <v/>
      </c>
      <c r="C1027" s="250"/>
      <c r="D1027" s="251"/>
      <c r="E1027" s="241"/>
      <c r="F1027" s="252"/>
      <c r="G1027" s="252"/>
      <c r="H1027" s="253"/>
      <c r="I1027" s="250"/>
      <c r="J1027" s="250"/>
      <c r="K1027" s="270"/>
      <c r="L1027" s="250"/>
      <c r="M1027" s="250"/>
      <c r="N1027" s="553" t="str">
        <f>CONCATENATE(IF(OR(M1027=phu!$I$1,M1027=phu!$I$2,M1027=phu!$I$3),"Cam Thành Nam",""),IF(OR(M1027=phu!$I$4,M1027=phu!$I$5,M1027=phu!$I$6,M1027=phu!$I$7,M1027=phu!$I$8,M1027=phu!$I$9,M1027=phu!$I$10,M1027=phu!$I$11,M1027=phu!$I$12,M1027=phu!$I$13,M1027=phu!$I$14),"Cam Nghĩa",""),IF(OR(M1027=phu!$I$15,M1027=phu!$I$16,M1027=phu!$I$17,M1027=phu!$I$18,M1027=phu!$I$19,M1027=phu!$I$20,M1027=phu!$I$21),"Cam Phúc Bắc",""),IF(OR(M1027=phu!$I$22,M1027=phu!$I$23,M1027=phu!$I$24,M1027=phu!$I$25),"Cam Phúc Nam",""),IF(OR(M1027=phu!$I$26,M1027=phu!$I$27,M1027=phu!$I$28,M1027=phu!$I$29,M1027=phu!$I$30,M1027=phu!$I$31),"Cam Phú",""),IF(OR(M1027=phu!$I$32,M1027=phu!$I$33,M1027=phu!$I$34,M1027=phu!$I$35,M1027=phu!$I$36,M1027=phu!$I$37),"Cam Lộc",""),IF(OR(M1027=phu!$I$38,M1027=phu!$I$39,M1027=phu!$I$40,M1027=phu!$I$41,M1027=phu!$I$42,M1027=phu!$I$43,M1027=phu!$I$44),"Cam Thuận",""),IF(OR(M1027=phu!$I$45,M1027=phu!$I$46,M1027=phu!$I$47,M1027=phu!$I$48,M1027=phu!$I$49,M1027=phu!$I$50,M1027=phu!$I$51,M1027=phu!$I$52,M1027=phu!$I$53),"Cam Linh",""),IF(OR(M1027=phu!$I$54,M1027=phu!$I$55,M1027=phu!$I$56,M1027=phu!$I$57,M1027=phu!$I$58,M1027=phu!$I$59,M1027=phu!$I$60,M1027=phu!$I$61,M1027=phu!$I$62),"Cam Lợi",""),IF(OR(M1027=phu!$I$63,M1027=phu!$I$64,M1027=phu!$I$65,M1027=phu!$I$66,M1027=phu!$I$67,M1027=phu!$I$68,M1027=phu!$I$69,M1027=phu!$I$70,M1027=phu!$I$71),"Ba Ngòi",""),IF(OR(M1027=phu!$I$72,M1027=phu!$I$73,M1027=phu!$I$74,M1027=phu!$I$75,M1027=phu!$I$76,M1027=phu!$I$77,M1027=phu!$I$78),"Cam Phước Đông",""),IF(OR(M1027=phu!$I$79,M1027=phu!$I$80,M1027=phu!$I$81,M1027=phu!$I$82,M1027=phu!$I$83,M1027=phu!$I$84),"Cam Thịnh Đông",""),IF(OR(M1027=phu!$I$85,M1027=phu!$I$86,M1027=phu!$I$87,M1027=phu!$I$88),"Cam Thịnh Tây",""),IF(OR(M1027=phu!$I$89,M1027=phu!$I$90),"Cam Lập",""),IF(OR(M1027=phu!$I$91,M1027=phu!$I$92,M1027=phu!$I$93),"Cam Bình",""),IF(OR(M1027=phu!$I$94,M1027=phu!$I$95,M1027=phu!$I$96,M1027=phu!$I$97,M1027=phu!$I$98,M1027=phu!$I$99,M1027=phu!$I$100),"Huyện khác",""),IF(OR(M1027=phu!$I$101,M1027=phu!$I$102),"Tỉnh khác",""))</f>
        <v/>
      </c>
      <c r="O1027" s="814" t="str">
        <f t="shared" si="91"/>
        <v/>
      </c>
      <c r="P1027" s="254"/>
      <c r="Q1027" s="254"/>
      <c r="R1027" s="254"/>
      <c r="S1027" s="254"/>
      <c r="T1027" s="254"/>
      <c r="U1027" s="254"/>
      <c r="V1027" s="254"/>
      <c r="W1027" s="254"/>
      <c r="Y1027" s="246" t="str">
        <f t="shared" si="92"/>
        <v/>
      </c>
      <c r="Z1027" s="247" t="str">
        <f t="shared" si="90"/>
        <v/>
      </c>
      <c r="AA1027" s="246" t="str">
        <f t="shared" si="93"/>
        <v/>
      </c>
    </row>
    <row r="1028" spans="1:27" x14ac:dyDescent="0.25">
      <c r="A1028" s="248" t="str">
        <f t="shared" si="94"/>
        <v/>
      </c>
      <c r="B1028" s="249" t="str">
        <f t="shared" si="95"/>
        <v/>
      </c>
      <c r="C1028" s="250"/>
      <c r="D1028" s="251"/>
      <c r="E1028" s="241"/>
      <c r="F1028" s="252"/>
      <c r="G1028" s="252"/>
      <c r="H1028" s="253"/>
      <c r="I1028" s="250"/>
      <c r="J1028" s="250"/>
      <c r="K1028" s="270"/>
      <c r="L1028" s="250"/>
      <c r="M1028" s="250"/>
      <c r="N1028" s="553" t="str">
        <f>CONCATENATE(IF(OR(M1028=phu!$I$1,M1028=phu!$I$2,M1028=phu!$I$3),"Cam Thành Nam",""),IF(OR(M1028=phu!$I$4,M1028=phu!$I$5,M1028=phu!$I$6,M1028=phu!$I$7,M1028=phu!$I$8,M1028=phu!$I$9,M1028=phu!$I$10,M1028=phu!$I$11,M1028=phu!$I$12,M1028=phu!$I$13,M1028=phu!$I$14),"Cam Nghĩa",""),IF(OR(M1028=phu!$I$15,M1028=phu!$I$16,M1028=phu!$I$17,M1028=phu!$I$18,M1028=phu!$I$19,M1028=phu!$I$20,M1028=phu!$I$21),"Cam Phúc Bắc",""),IF(OR(M1028=phu!$I$22,M1028=phu!$I$23,M1028=phu!$I$24,M1028=phu!$I$25),"Cam Phúc Nam",""),IF(OR(M1028=phu!$I$26,M1028=phu!$I$27,M1028=phu!$I$28,M1028=phu!$I$29,M1028=phu!$I$30,M1028=phu!$I$31),"Cam Phú",""),IF(OR(M1028=phu!$I$32,M1028=phu!$I$33,M1028=phu!$I$34,M1028=phu!$I$35,M1028=phu!$I$36,M1028=phu!$I$37),"Cam Lộc",""),IF(OR(M1028=phu!$I$38,M1028=phu!$I$39,M1028=phu!$I$40,M1028=phu!$I$41,M1028=phu!$I$42,M1028=phu!$I$43,M1028=phu!$I$44),"Cam Thuận",""),IF(OR(M1028=phu!$I$45,M1028=phu!$I$46,M1028=phu!$I$47,M1028=phu!$I$48,M1028=phu!$I$49,M1028=phu!$I$50,M1028=phu!$I$51,M1028=phu!$I$52,M1028=phu!$I$53),"Cam Linh",""),IF(OR(M1028=phu!$I$54,M1028=phu!$I$55,M1028=phu!$I$56,M1028=phu!$I$57,M1028=phu!$I$58,M1028=phu!$I$59,M1028=phu!$I$60,M1028=phu!$I$61,M1028=phu!$I$62),"Cam Lợi",""),IF(OR(M1028=phu!$I$63,M1028=phu!$I$64,M1028=phu!$I$65,M1028=phu!$I$66,M1028=phu!$I$67,M1028=phu!$I$68,M1028=phu!$I$69,M1028=phu!$I$70,M1028=phu!$I$71),"Ba Ngòi",""),IF(OR(M1028=phu!$I$72,M1028=phu!$I$73,M1028=phu!$I$74,M1028=phu!$I$75,M1028=phu!$I$76,M1028=phu!$I$77,M1028=phu!$I$78),"Cam Phước Đông",""),IF(OR(M1028=phu!$I$79,M1028=phu!$I$80,M1028=phu!$I$81,M1028=phu!$I$82,M1028=phu!$I$83,M1028=phu!$I$84),"Cam Thịnh Đông",""),IF(OR(M1028=phu!$I$85,M1028=phu!$I$86,M1028=phu!$I$87,M1028=phu!$I$88),"Cam Thịnh Tây",""),IF(OR(M1028=phu!$I$89,M1028=phu!$I$90),"Cam Lập",""),IF(OR(M1028=phu!$I$91,M1028=phu!$I$92,M1028=phu!$I$93),"Cam Bình",""),IF(OR(M1028=phu!$I$94,M1028=phu!$I$95,M1028=phu!$I$96,M1028=phu!$I$97,M1028=phu!$I$98,M1028=phu!$I$99,M1028=phu!$I$100),"Huyện khác",""),IF(OR(M1028=phu!$I$101,M1028=phu!$I$102),"Tỉnh khác",""))</f>
        <v/>
      </c>
      <c r="O1028" s="814" t="str">
        <f t="shared" si="91"/>
        <v/>
      </c>
      <c r="P1028" s="254"/>
      <c r="Q1028" s="254"/>
      <c r="R1028" s="254"/>
      <c r="S1028" s="254"/>
      <c r="T1028" s="254"/>
      <c r="U1028" s="254"/>
      <c r="V1028" s="254"/>
      <c r="W1028" s="254"/>
      <c r="Y1028" s="246" t="str">
        <f t="shared" si="92"/>
        <v/>
      </c>
      <c r="Z1028" s="247" t="str">
        <f t="shared" si="90"/>
        <v/>
      </c>
      <c r="AA1028" s="246" t="str">
        <f t="shared" si="93"/>
        <v/>
      </c>
    </row>
    <row r="1029" spans="1:27" x14ac:dyDescent="0.25">
      <c r="A1029" s="248" t="str">
        <f t="shared" si="94"/>
        <v/>
      </c>
      <c r="B1029" s="249" t="str">
        <f t="shared" si="95"/>
        <v/>
      </c>
      <c r="C1029" s="250"/>
      <c r="D1029" s="251"/>
      <c r="E1029" s="241"/>
      <c r="F1029" s="252"/>
      <c r="G1029" s="252"/>
      <c r="H1029" s="253"/>
      <c r="I1029" s="250"/>
      <c r="J1029" s="250"/>
      <c r="K1029" s="270"/>
      <c r="L1029" s="250"/>
      <c r="M1029" s="250"/>
      <c r="N1029" s="553" t="str">
        <f>CONCATENATE(IF(OR(M1029=phu!$I$1,M1029=phu!$I$2,M1029=phu!$I$3),"Cam Thành Nam",""),IF(OR(M1029=phu!$I$4,M1029=phu!$I$5,M1029=phu!$I$6,M1029=phu!$I$7,M1029=phu!$I$8,M1029=phu!$I$9,M1029=phu!$I$10,M1029=phu!$I$11,M1029=phu!$I$12,M1029=phu!$I$13,M1029=phu!$I$14),"Cam Nghĩa",""),IF(OR(M1029=phu!$I$15,M1029=phu!$I$16,M1029=phu!$I$17,M1029=phu!$I$18,M1029=phu!$I$19,M1029=phu!$I$20,M1029=phu!$I$21),"Cam Phúc Bắc",""),IF(OR(M1029=phu!$I$22,M1029=phu!$I$23,M1029=phu!$I$24,M1029=phu!$I$25),"Cam Phúc Nam",""),IF(OR(M1029=phu!$I$26,M1029=phu!$I$27,M1029=phu!$I$28,M1029=phu!$I$29,M1029=phu!$I$30,M1029=phu!$I$31),"Cam Phú",""),IF(OR(M1029=phu!$I$32,M1029=phu!$I$33,M1029=phu!$I$34,M1029=phu!$I$35,M1029=phu!$I$36,M1029=phu!$I$37),"Cam Lộc",""),IF(OR(M1029=phu!$I$38,M1029=phu!$I$39,M1029=phu!$I$40,M1029=phu!$I$41,M1029=phu!$I$42,M1029=phu!$I$43,M1029=phu!$I$44),"Cam Thuận",""),IF(OR(M1029=phu!$I$45,M1029=phu!$I$46,M1029=phu!$I$47,M1029=phu!$I$48,M1029=phu!$I$49,M1029=phu!$I$50,M1029=phu!$I$51,M1029=phu!$I$52,M1029=phu!$I$53),"Cam Linh",""),IF(OR(M1029=phu!$I$54,M1029=phu!$I$55,M1029=phu!$I$56,M1029=phu!$I$57,M1029=phu!$I$58,M1029=phu!$I$59,M1029=phu!$I$60,M1029=phu!$I$61,M1029=phu!$I$62),"Cam Lợi",""),IF(OR(M1029=phu!$I$63,M1029=phu!$I$64,M1029=phu!$I$65,M1029=phu!$I$66,M1029=phu!$I$67,M1029=phu!$I$68,M1029=phu!$I$69,M1029=phu!$I$70,M1029=phu!$I$71),"Ba Ngòi",""),IF(OR(M1029=phu!$I$72,M1029=phu!$I$73,M1029=phu!$I$74,M1029=phu!$I$75,M1029=phu!$I$76,M1029=phu!$I$77,M1029=phu!$I$78),"Cam Phước Đông",""),IF(OR(M1029=phu!$I$79,M1029=phu!$I$80,M1029=phu!$I$81,M1029=phu!$I$82,M1029=phu!$I$83,M1029=phu!$I$84),"Cam Thịnh Đông",""),IF(OR(M1029=phu!$I$85,M1029=phu!$I$86,M1029=phu!$I$87,M1029=phu!$I$88),"Cam Thịnh Tây",""),IF(OR(M1029=phu!$I$89,M1029=phu!$I$90),"Cam Lập",""),IF(OR(M1029=phu!$I$91,M1029=phu!$I$92,M1029=phu!$I$93),"Cam Bình",""),IF(OR(M1029=phu!$I$94,M1029=phu!$I$95,M1029=phu!$I$96,M1029=phu!$I$97,M1029=phu!$I$98,M1029=phu!$I$99,M1029=phu!$I$100),"Huyện khác",""),IF(OR(M1029=phu!$I$101,M1029=phu!$I$102),"Tỉnh khác",""))</f>
        <v/>
      </c>
      <c r="O1029" s="814" t="str">
        <f t="shared" si="91"/>
        <v/>
      </c>
      <c r="P1029" s="254"/>
      <c r="Q1029" s="254"/>
      <c r="R1029" s="254"/>
      <c r="S1029" s="254"/>
      <c r="T1029" s="254"/>
      <c r="U1029" s="254"/>
      <c r="V1029" s="254"/>
      <c r="W1029" s="254"/>
      <c r="Y1029" s="246" t="str">
        <f t="shared" si="92"/>
        <v/>
      </c>
      <c r="Z1029" s="247" t="str">
        <f t="shared" si="90"/>
        <v/>
      </c>
      <c r="AA1029" s="246" t="str">
        <f t="shared" si="93"/>
        <v/>
      </c>
    </row>
    <row r="1030" spans="1:27" x14ac:dyDescent="0.25">
      <c r="A1030" s="248" t="str">
        <f t="shared" si="94"/>
        <v/>
      </c>
      <c r="B1030" s="249" t="str">
        <f t="shared" si="95"/>
        <v/>
      </c>
      <c r="C1030" s="250"/>
      <c r="D1030" s="251"/>
      <c r="E1030" s="241"/>
      <c r="F1030" s="252"/>
      <c r="G1030" s="252"/>
      <c r="H1030" s="253"/>
      <c r="I1030" s="250"/>
      <c r="J1030" s="250"/>
      <c r="K1030" s="270"/>
      <c r="L1030" s="250"/>
      <c r="M1030" s="250"/>
      <c r="N1030" s="553" t="str">
        <f>CONCATENATE(IF(OR(M1030=phu!$I$1,M1030=phu!$I$2,M1030=phu!$I$3),"Cam Thành Nam",""),IF(OR(M1030=phu!$I$4,M1030=phu!$I$5,M1030=phu!$I$6,M1030=phu!$I$7,M1030=phu!$I$8,M1030=phu!$I$9,M1030=phu!$I$10,M1030=phu!$I$11,M1030=phu!$I$12,M1030=phu!$I$13,M1030=phu!$I$14),"Cam Nghĩa",""),IF(OR(M1030=phu!$I$15,M1030=phu!$I$16,M1030=phu!$I$17,M1030=phu!$I$18,M1030=phu!$I$19,M1030=phu!$I$20,M1030=phu!$I$21),"Cam Phúc Bắc",""),IF(OR(M1030=phu!$I$22,M1030=phu!$I$23,M1030=phu!$I$24,M1030=phu!$I$25),"Cam Phúc Nam",""),IF(OR(M1030=phu!$I$26,M1030=phu!$I$27,M1030=phu!$I$28,M1030=phu!$I$29,M1030=phu!$I$30,M1030=phu!$I$31),"Cam Phú",""),IF(OR(M1030=phu!$I$32,M1030=phu!$I$33,M1030=phu!$I$34,M1030=phu!$I$35,M1030=phu!$I$36,M1030=phu!$I$37),"Cam Lộc",""),IF(OR(M1030=phu!$I$38,M1030=phu!$I$39,M1030=phu!$I$40,M1030=phu!$I$41,M1030=phu!$I$42,M1030=phu!$I$43,M1030=phu!$I$44),"Cam Thuận",""),IF(OR(M1030=phu!$I$45,M1030=phu!$I$46,M1030=phu!$I$47,M1030=phu!$I$48,M1030=phu!$I$49,M1030=phu!$I$50,M1030=phu!$I$51,M1030=phu!$I$52,M1030=phu!$I$53),"Cam Linh",""),IF(OR(M1030=phu!$I$54,M1030=phu!$I$55,M1030=phu!$I$56,M1030=phu!$I$57,M1030=phu!$I$58,M1030=phu!$I$59,M1030=phu!$I$60,M1030=phu!$I$61,M1030=phu!$I$62),"Cam Lợi",""),IF(OR(M1030=phu!$I$63,M1030=phu!$I$64,M1030=phu!$I$65,M1030=phu!$I$66,M1030=phu!$I$67,M1030=phu!$I$68,M1030=phu!$I$69,M1030=phu!$I$70,M1030=phu!$I$71),"Ba Ngòi",""),IF(OR(M1030=phu!$I$72,M1030=phu!$I$73,M1030=phu!$I$74,M1030=phu!$I$75,M1030=phu!$I$76,M1030=phu!$I$77,M1030=phu!$I$78),"Cam Phước Đông",""),IF(OR(M1030=phu!$I$79,M1030=phu!$I$80,M1030=phu!$I$81,M1030=phu!$I$82,M1030=phu!$I$83,M1030=phu!$I$84),"Cam Thịnh Đông",""),IF(OR(M1030=phu!$I$85,M1030=phu!$I$86,M1030=phu!$I$87,M1030=phu!$I$88),"Cam Thịnh Tây",""),IF(OR(M1030=phu!$I$89,M1030=phu!$I$90),"Cam Lập",""),IF(OR(M1030=phu!$I$91,M1030=phu!$I$92,M1030=phu!$I$93),"Cam Bình",""),IF(OR(M1030=phu!$I$94,M1030=phu!$I$95,M1030=phu!$I$96,M1030=phu!$I$97,M1030=phu!$I$98,M1030=phu!$I$99,M1030=phu!$I$100),"Huyện khác",""),IF(OR(M1030=phu!$I$101,M1030=phu!$I$102),"Tỉnh khác",""))</f>
        <v/>
      </c>
      <c r="O1030" s="814" t="str">
        <f t="shared" si="91"/>
        <v/>
      </c>
      <c r="P1030" s="254"/>
      <c r="Q1030" s="254"/>
      <c r="R1030" s="254"/>
      <c r="S1030" s="254"/>
      <c r="T1030" s="254"/>
      <c r="U1030" s="254"/>
      <c r="V1030" s="254"/>
      <c r="W1030" s="254"/>
      <c r="Y1030" s="246" t="str">
        <f t="shared" si="92"/>
        <v/>
      </c>
      <c r="Z1030" s="247" t="str">
        <f t="shared" ref="Z1030:Z1093" si="96">IF(H1030="","",$Z$1-H1030)</f>
        <v/>
      </c>
      <c r="AA1030" s="246" t="str">
        <f t="shared" si="93"/>
        <v/>
      </c>
    </row>
    <row r="1031" spans="1:27" x14ac:dyDescent="0.25">
      <c r="A1031" s="248" t="str">
        <f t="shared" si="94"/>
        <v/>
      </c>
      <c r="B1031" s="249" t="str">
        <f t="shared" si="95"/>
        <v/>
      </c>
      <c r="C1031" s="250"/>
      <c r="D1031" s="251"/>
      <c r="E1031" s="241"/>
      <c r="F1031" s="252"/>
      <c r="G1031" s="252"/>
      <c r="H1031" s="253"/>
      <c r="I1031" s="250"/>
      <c r="J1031" s="250"/>
      <c r="K1031" s="270"/>
      <c r="L1031" s="250"/>
      <c r="M1031" s="250"/>
      <c r="N1031" s="553" t="str">
        <f>CONCATENATE(IF(OR(M1031=phu!$I$1,M1031=phu!$I$2,M1031=phu!$I$3),"Cam Thành Nam",""),IF(OR(M1031=phu!$I$4,M1031=phu!$I$5,M1031=phu!$I$6,M1031=phu!$I$7,M1031=phu!$I$8,M1031=phu!$I$9,M1031=phu!$I$10,M1031=phu!$I$11,M1031=phu!$I$12,M1031=phu!$I$13,M1031=phu!$I$14),"Cam Nghĩa",""),IF(OR(M1031=phu!$I$15,M1031=phu!$I$16,M1031=phu!$I$17,M1031=phu!$I$18,M1031=phu!$I$19,M1031=phu!$I$20,M1031=phu!$I$21),"Cam Phúc Bắc",""),IF(OR(M1031=phu!$I$22,M1031=phu!$I$23,M1031=phu!$I$24,M1031=phu!$I$25),"Cam Phúc Nam",""),IF(OR(M1031=phu!$I$26,M1031=phu!$I$27,M1031=phu!$I$28,M1031=phu!$I$29,M1031=phu!$I$30,M1031=phu!$I$31),"Cam Phú",""),IF(OR(M1031=phu!$I$32,M1031=phu!$I$33,M1031=phu!$I$34,M1031=phu!$I$35,M1031=phu!$I$36,M1031=phu!$I$37),"Cam Lộc",""),IF(OR(M1031=phu!$I$38,M1031=phu!$I$39,M1031=phu!$I$40,M1031=phu!$I$41,M1031=phu!$I$42,M1031=phu!$I$43,M1031=phu!$I$44),"Cam Thuận",""),IF(OR(M1031=phu!$I$45,M1031=phu!$I$46,M1031=phu!$I$47,M1031=phu!$I$48,M1031=phu!$I$49,M1031=phu!$I$50,M1031=phu!$I$51,M1031=phu!$I$52,M1031=phu!$I$53),"Cam Linh",""),IF(OR(M1031=phu!$I$54,M1031=phu!$I$55,M1031=phu!$I$56,M1031=phu!$I$57,M1031=phu!$I$58,M1031=phu!$I$59,M1031=phu!$I$60,M1031=phu!$I$61,M1031=phu!$I$62),"Cam Lợi",""),IF(OR(M1031=phu!$I$63,M1031=phu!$I$64,M1031=phu!$I$65,M1031=phu!$I$66,M1031=phu!$I$67,M1031=phu!$I$68,M1031=phu!$I$69,M1031=phu!$I$70,M1031=phu!$I$71),"Ba Ngòi",""),IF(OR(M1031=phu!$I$72,M1031=phu!$I$73,M1031=phu!$I$74,M1031=phu!$I$75,M1031=phu!$I$76,M1031=phu!$I$77,M1031=phu!$I$78),"Cam Phước Đông",""),IF(OR(M1031=phu!$I$79,M1031=phu!$I$80,M1031=phu!$I$81,M1031=phu!$I$82,M1031=phu!$I$83,M1031=phu!$I$84),"Cam Thịnh Đông",""),IF(OR(M1031=phu!$I$85,M1031=phu!$I$86,M1031=phu!$I$87,M1031=phu!$I$88),"Cam Thịnh Tây",""),IF(OR(M1031=phu!$I$89,M1031=phu!$I$90),"Cam Lập",""),IF(OR(M1031=phu!$I$91,M1031=phu!$I$92,M1031=phu!$I$93),"Cam Bình",""),IF(OR(M1031=phu!$I$94,M1031=phu!$I$95,M1031=phu!$I$96,M1031=phu!$I$97,M1031=phu!$I$98,M1031=phu!$I$99,M1031=phu!$I$100),"Huyện khác",""),IF(OR(M1031=phu!$I$101,M1031=phu!$I$102),"Tỉnh khác",""))</f>
        <v/>
      </c>
      <c r="O1031" s="814" t="str">
        <f t="shared" ref="O1031:O1094" si="97">CONCATENATE(IF(OR(N1031="Cam Thành Nam",N1031="Cam Nghĩa",N1031="Cam Phúc Bắc"),"Bắc Cam Ranh",""),IF(OR(N1031="Cam Phúc Nam",N1031="Cam Phú",N1031="Cam Lộc"),"Cam Ranh",""),IF(OR(N1031="Cam Thuận",N1031="Cam Linh",N1031="Cam Lợi"),"Cam Linh",""),IF(OR(N1031="Ba Ngòi",N1031="Cam Phước Đông"),"Ba Ngòi",""),IF(OR(N1031="Cam Thịnh Đông",N1031="Cam Thịnh Tây",N1031="Cam Lập",N1031="Cam Bình"),"Nam Cam Ranh",""),IF(N1031="Huyện khác","Huyện khác",""),IF(N1031="Tỉnh khác","Tỉnh khác",""))</f>
        <v/>
      </c>
      <c r="P1031" s="254"/>
      <c r="Q1031" s="254"/>
      <c r="R1031" s="254"/>
      <c r="S1031" s="254"/>
      <c r="T1031" s="254"/>
      <c r="U1031" s="254"/>
      <c r="V1031" s="254"/>
      <c r="W1031" s="254"/>
      <c r="Y1031" s="246" t="str">
        <f t="shared" ref="Y1031:Y1094" si="98">IF(OR(AND(B1031="",C1031="",D1031="",E1031="",F1031="",G1031="",H1031="",I1031="",J1031="",L1031="",M1031="",N1031="",P1031="",Q1031="",R1031="",S1031=""),AND(B1031&lt;&gt;"",C1031&lt;&gt;"",D1031&lt;&gt;"",E1031&lt;&gt;"",F1031&lt;&gt;"",G1031&lt;&gt;"",H1031&lt;&gt;"",J1031&lt;&gt;"",M1031&lt;&gt;"",N1031&lt;&gt;"",P1031&lt;&gt;"",OR(AND(Q1031&lt;&gt;"",R1031=""),AND(Q1031="",R1031&lt;&gt;""),AND(Q1031&lt;&gt;"",R1031&lt;&gt;"")),OR(AND(K1031="X",T1031&lt;&gt;""),AND(K1031="",T1031="")))),"","er")</f>
        <v/>
      </c>
      <c r="Z1031" s="247" t="str">
        <f t="shared" si="96"/>
        <v/>
      </c>
      <c r="AA1031" s="246" t="str">
        <f t="shared" ref="AA1031:AA1094" si="99">IF(OR(AND(Z1031=5,B1031&gt;0),AND(Z1031=6,B1031&gt;1),AND(Z1031=7,B1031&gt;2),AND(Z1031=8,B1031&gt;3),AND(Z1031=9,B1031&gt;4),AND(Z1031=10,B1031&gt;5),AND(Z1031=5,B1031=0,L1031="X"),AND(Z1031=6,B1031=1,L1031="X"),AND(Z1031=7,B1031=2,L1031="X"),AND(Z1031=8,B1031=3,L1031="X"),AND(Z1031=9,B1031=4,L1031="X"),AND(Z1031=10,B1031=5,L1031="X")),"er","")</f>
        <v/>
      </c>
    </row>
    <row r="1032" spans="1:27" x14ac:dyDescent="0.25">
      <c r="A1032" s="248" t="str">
        <f t="shared" ref="A1032:A1095" si="100">IF(OR(A1031="",B1032="",C1032="",D1032="",E1032=""),"",A1031+1)</f>
        <v/>
      </c>
      <c r="B1032" s="249" t="str">
        <f t="shared" ref="B1032:B1095" si="101">IF(C1032="","",VALUE(LEFT(C1032,1)))</f>
        <v/>
      </c>
      <c r="C1032" s="250"/>
      <c r="D1032" s="251"/>
      <c r="E1032" s="241"/>
      <c r="F1032" s="252"/>
      <c r="G1032" s="252"/>
      <c r="H1032" s="253"/>
      <c r="I1032" s="250"/>
      <c r="J1032" s="250"/>
      <c r="K1032" s="270"/>
      <c r="L1032" s="250"/>
      <c r="M1032" s="250"/>
      <c r="N1032" s="553" t="str">
        <f>CONCATENATE(IF(OR(M1032=phu!$I$1,M1032=phu!$I$2,M1032=phu!$I$3),"Cam Thành Nam",""),IF(OR(M1032=phu!$I$4,M1032=phu!$I$5,M1032=phu!$I$6,M1032=phu!$I$7,M1032=phu!$I$8,M1032=phu!$I$9,M1032=phu!$I$10,M1032=phu!$I$11,M1032=phu!$I$12,M1032=phu!$I$13,M1032=phu!$I$14),"Cam Nghĩa",""),IF(OR(M1032=phu!$I$15,M1032=phu!$I$16,M1032=phu!$I$17,M1032=phu!$I$18,M1032=phu!$I$19,M1032=phu!$I$20,M1032=phu!$I$21),"Cam Phúc Bắc",""),IF(OR(M1032=phu!$I$22,M1032=phu!$I$23,M1032=phu!$I$24,M1032=phu!$I$25),"Cam Phúc Nam",""),IF(OR(M1032=phu!$I$26,M1032=phu!$I$27,M1032=phu!$I$28,M1032=phu!$I$29,M1032=phu!$I$30,M1032=phu!$I$31),"Cam Phú",""),IF(OR(M1032=phu!$I$32,M1032=phu!$I$33,M1032=phu!$I$34,M1032=phu!$I$35,M1032=phu!$I$36,M1032=phu!$I$37),"Cam Lộc",""),IF(OR(M1032=phu!$I$38,M1032=phu!$I$39,M1032=phu!$I$40,M1032=phu!$I$41,M1032=phu!$I$42,M1032=phu!$I$43,M1032=phu!$I$44),"Cam Thuận",""),IF(OR(M1032=phu!$I$45,M1032=phu!$I$46,M1032=phu!$I$47,M1032=phu!$I$48,M1032=phu!$I$49,M1032=phu!$I$50,M1032=phu!$I$51,M1032=phu!$I$52,M1032=phu!$I$53),"Cam Linh",""),IF(OR(M1032=phu!$I$54,M1032=phu!$I$55,M1032=phu!$I$56,M1032=phu!$I$57,M1032=phu!$I$58,M1032=phu!$I$59,M1032=phu!$I$60,M1032=phu!$I$61,M1032=phu!$I$62),"Cam Lợi",""),IF(OR(M1032=phu!$I$63,M1032=phu!$I$64,M1032=phu!$I$65,M1032=phu!$I$66,M1032=phu!$I$67,M1032=phu!$I$68,M1032=phu!$I$69,M1032=phu!$I$70,M1032=phu!$I$71),"Ba Ngòi",""),IF(OR(M1032=phu!$I$72,M1032=phu!$I$73,M1032=phu!$I$74,M1032=phu!$I$75,M1032=phu!$I$76,M1032=phu!$I$77,M1032=phu!$I$78),"Cam Phước Đông",""),IF(OR(M1032=phu!$I$79,M1032=phu!$I$80,M1032=phu!$I$81,M1032=phu!$I$82,M1032=phu!$I$83,M1032=phu!$I$84),"Cam Thịnh Đông",""),IF(OR(M1032=phu!$I$85,M1032=phu!$I$86,M1032=phu!$I$87,M1032=phu!$I$88),"Cam Thịnh Tây",""),IF(OR(M1032=phu!$I$89,M1032=phu!$I$90),"Cam Lập",""),IF(OR(M1032=phu!$I$91,M1032=phu!$I$92,M1032=phu!$I$93),"Cam Bình",""),IF(OR(M1032=phu!$I$94,M1032=phu!$I$95,M1032=phu!$I$96,M1032=phu!$I$97,M1032=phu!$I$98,M1032=phu!$I$99,M1032=phu!$I$100),"Huyện khác",""),IF(OR(M1032=phu!$I$101,M1032=phu!$I$102),"Tỉnh khác",""))</f>
        <v/>
      </c>
      <c r="O1032" s="814" t="str">
        <f t="shared" si="97"/>
        <v/>
      </c>
      <c r="P1032" s="254"/>
      <c r="Q1032" s="254"/>
      <c r="R1032" s="254"/>
      <c r="S1032" s="254"/>
      <c r="T1032" s="254"/>
      <c r="U1032" s="254"/>
      <c r="V1032" s="254"/>
      <c r="W1032" s="254"/>
      <c r="Y1032" s="246" t="str">
        <f t="shared" si="98"/>
        <v/>
      </c>
      <c r="Z1032" s="247" t="str">
        <f t="shared" si="96"/>
        <v/>
      </c>
      <c r="AA1032" s="246" t="str">
        <f t="shared" si="99"/>
        <v/>
      </c>
    </row>
    <row r="1033" spans="1:27" x14ac:dyDescent="0.25">
      <c r="A1033" s="248" t="str">
        <f t="shared" si="100"/>
        <v/>
      </c>
      <c r="B1033" s="249" t="str">
        <f t="shared" si="101"/>
        <v/>
      </c>
      <c r="C1033" s="250"/>
      <c r="D1033" s="251"/>
      <c r="E1033" s="241"/>
      <c r="F1033" s="252"/>
      <c r="G1033" s="252"/>
      <c r="H1033" s="253"/>
      <c r="I1033" s="250"/>
      <c r="J1033" s="250"/>
      <c r="K1033" s="270"/>
      <c r="L1033" s="250"/>
      <c r="M1033" s="250"/>
      <c r="N1033" s="553" t="str">
        <f>CONCATENATE(IF(OR(M1033=phu!$I$1,M1033=phu!$I$2,M1033=phu!$I$3),"Cam Thành Nam",""),IF(OR(M1033=phu!$I$4,M1033=phu!$I$5,M1033=phu!$I$6,M1033=phu!$I$7,M1033=phu!$I$8,M1033=phu!$I$9,M1033=phu!$I$10,M1033=phu!$I$11,M1033=phu!$I$12,M1033=phu!$I$13,M1033=phu!$I$14),"Cam Nghĩa",""),IF(OR(M1033=phu!$I$15,M1033=phu!$I$16,M1033=phu!$I$17,M1033=phu!$I$18,M1033=phu!$I$19,M1033=phu!$I$20,M1033=phu!$I$21),"Cam Phúc Bắc",""),IF(OR(M1033=phu!$I$22,M1033=phu!$I$23,M1033=phu!$I$24,M1033=phu!$I$25),"Cam Phúc Nam",""),IF(OR(M1033=phu!$I$26,M1033=phu!$I$27,M1033=phu!$I$28,M1033=phu!$I$29,M1033=phu!$I$30,M1033=phu!$I$31),"Cam Phú",""),IF(OR(M1033=phu!$I$32,M1033=phu!$I$33,M1033=phu!$I$34,M1033=phu!$I$35,M1033=phu!$I$36,M1033=phu!$I$37),"Cam Lộc",""),IF(OR(M1033=phu!$I$38,M1033=phu!$I$39,M1033=phu!$I$40,M1033=phu!$I$41,M1033=phu!$I$42,M1033=phu!$I$43,M1033=phu!$I$44),"Cam Thuận",""),IF(OR(M1033=phu!$I$45,M1033=phu!$I$46,M1033=phu!$I$47,M1033=phu!$I$48,M1033=phu!$I$49,M1033=phu!$I$50,M1033=phu!$I$51,M1033=phu!$I$52,M1033=phu!$I$53),"Cam Linh",""),IF(OR(M1033=phu!$I$54,M1033=phu!$I$55,M1033=phu!$I$56,M1033=phu!$I$57,M1033=phu!$I$58,M1033=phu!$I$59,M1033=phu!$I$60,M1033=phu!$I$61,M1033=phu!$I$62),"Cam Lợi",""),IF(OR(M1033=phu!$I$63,M1033=phu!$I$64,M1033=phu!$I$65,M1033=phu!$I$66,M1033=phu!$I$67,M1033=phu!$I$68,M1033=phu!$I$69,M1033=phu!$I$70,M1033=phu!$I$71),"Ba Ngòi",""),IF(OR(M1033=phu!$I$72,M1033=phu!$I$73,M1033=phu!$I$74,M1033=phu!$I$75,M1033=phu!$I$76,M1033=phu!$I$77,M1033=phu!$I$78),"Cam Phước Đông",""),IF(OR(M1033=phu!$I$79,M1033=phu!$I$80,M1033=phu!$I$81,M1033=phu!$I$82,M1033=phu!$I$83,M1033=phu!$I$84),"Cam Thịnh Đông",""),IF(OR(M1033=phu!$I$85,M1033=phu!$I$86,M1033=phu!$I$87,M1033=phu!$I$88),"Cam Thịnh Tây",""),IF(OR(M1033=phu!$I$89,M1033=phu!$I$90),"Cam Lập",""),IF(OR(M1033=phu!$I$91,M1033=phu!$I$92,M1033=phu!$I$93),"Cam Bình",""),IF(OR(M1033=phu!$I$94,M1033=phu!$I$95,M1033=phu!$I$96,M1033=phu!$I$97,M1033=phu!$I$98,M1033=phu!$I$99,M1033=phu!$I$100),"Huyện khác",""),IF(OR(M1033=phu!$I$101,M1033=phu!$I$102),"Tỉnh khác",""))</f>
        <v/>
      </c>
      <c r="O1033" s="814" t="str">
        <f t="shared" si="97"/>
        <v/>
      </c>
      <c r="P1033" s="254"/>
      <c r="Q1033" s="254"/>
      <c r="R1033" s="254"/>
      <c r="S1033" s="254"/>
      <c r="T1033" s="254"/>
      <c r="U1033" s="254"/>
      <c r="V1033" s="254"/>
      <c r="W1033" s="254"/>
      <c r="Y1033" s="246" t="str">
        <f t="shared" si="98"/>
        <v/>
      </c>
      <c r="Z1033" s="247" t="str">
        <f t="shared" si="96"/>
        <v/>
      </c>
      <c r="AA1033" s="246" t="str">
        <f t="shared" si="99"/>
        <v/>
      </c>
    </row>
    <row r="1034" spans="1:27" x14ac:dyDescent="0.25">
      <c r="A1034" s="248" t="str">
        <f t="shared" si="100"/>
        <v/>
      </c>
      <c r="B1034" s="249" t="str">
        <f t="shared" si="101"/>
        <v/>
      </c>
      <c r="C1034" s="250"/>
      <c r="D1034" s="251"/>
      <c r="E1034" s="241"/>
      <c r="F1034" s="252"/>
      <c r="G1034" s="252"/>
      <c r="H1034" s="253"/>
      <c r="I1034" s="250"/>
      <c r="J1034" s="250"/>
      <c r="K1034" s="270"/>
      <c r="L1034" s="250"/>
      <c r="M1034" s="250"/>
      <c r="N1034" s="553" t="str">
        <f>CONCATENATE(IF(OR(M1034=phu!$I$1,M1034=phu!$I$2,M1034=phu!$I$3),"Cam Thành Nam",""),IF(OR(M1034=phu!$I$4,M1034=phu!$I$5,M1034=phu!$I$6,M1034=phu!$I$7,M1034=phu!$I$8,M1034=phu!$I$9,M1034=phu!$I$10,M1034=phu!$I$11,M1034=phu!$I$12,M1034=phu!$I$13,M1034=phu!$I$14),"Cam Nghĩa",""),IF(OR(M1034=phu!$I$15,M1034=phu!$I$16,M1034=phu!$I$17,M1034=phu!$I$18,M1034=phu!$I$19,M1034=phu!$I$20,M1034=phu!$I$21),"Cam Phúc Bắc",""),IF(OR(M1034=phu!$I$22,M1034=phu!$I$23,M1034=phu!$I$24,M1034=phu!$I$25),"Cam Phúc Nam",""),IF(OR(M1034=phu!$I$26,M1034=phu!$I$27,M1034=phu!$I$28,M1034=phu!$I$29,M1034=phu!$I$30,M1034=phu!$I$31),"Cam Phú",""),IF(OR(M1034=phu!$I$32,M1034=phu!$I$33,M1034=phu!$I$34,M1034=phu!$I$35,M1034=phu!$I$36,M1034=phu!$I$37),"Cam Lộc",""),IF(OR(M1034=phu!$I$38,M1034=phu!$I$39,M1034=phu!$I$40,M1034=phu!$I$41,M1034=phu!$I$42,M1034=phu!$I$43,M1034=phu!$I$44),"Cam Thuận",""),IF(OR(M1034=phu!$I$45,M1034=phu!$I$46,M1034=phu!$I$47,M1034=phu!$I$48,M1034=phu!$I$49,M1034=phu!$I$50,M1034=phu!$I$51,M1034=phu!$I$52,M1034=phu!$I$53),"Cam Linh",""),IF(OR(M1034=phu!$I$54,M1034=phu!$I$55,M1034=phu!$I$56,M1034=phu!$I$57,M1034=phu!$I$58,M1034=phu!$I$59,M1034=phu!$I$60,M1034=phu!$I$61,M1034=phu!$I$62),"Cam Lợi",""),IF(OR(M1034=phu!$I$63,M1034=phu!$I$64,M1034=phu!$I$65,M1034=phu!$I$66,M1034=phu!$I$67,M1034=phu!$I$68,M1034=phu!$I$69,M1034=phu!$I$70,M1034=phu!$I$71),"Ba Ngòi",""),IF(OR(M1034=phu!$I$72,M1034=phu!$I$73,M1034=phu!$I$74,M1034=phu!$I$75,M1034=phu!$I$76,M1034=phu!$I$77,M1034=phu!$I$78),"Cam Phước Đông",""),IF(OR(M1034=phu!$I$79,M1034=phu!$I$80,M1034=phu!$I$81,M1034=phu!$I$82,M1034=phu!$I$83,M1034=phu!$I$84),"Cam Thịnh Đông",""),IF(OR(M1034=phu!$I$85,M1034=phu!$I$86,M1034=phu!$I$87,M1034=phu!$I$88),"Cam Thịnh Tây",""),IF(OR(M1034=phu!$I$89,M1034=phu!$I$90),"Cam Lập",""),IF(OR(M1034=phu!$I$91,M1034=phu!$I$92,M1034=phu!$I$93),"Cam Bình",""),IF(OR(M1034=phu!$I$94,M1034=phu!$I$95,M1034=phu!$I$96,M1034=phu!$I$97,M1034=phu!$I$98,M1034=phu!$I$99,M1034=phu!$I$100),"Huyện khác",""),IF(OR(M1034=phu!$I$101,M1034=phu!$I$102),"Tỉnh khác",""))</f>
        <v/>
      </c>
      <c r="O1034" s="814" t="str">
        <f t="shared" si="97"/>
        <v/>
      </c>
      <c r="P1034" s="254"/>
      <c r="Q1034" s="254"/>
      <c r="R1034" s="254"/>
      <c r="S1034" s="254"/>
      <c r="T1034" s="254"/>
      <c r="U1034" s="254"/>
      <c r="V1034" s="254"/>
      <c r="W1034" s="254"/>
      <c r="Y1034" s="246" t="str">
        <f t="shared" si="98"/>
        <v/>
      </c>
      <c r="Z1034" s="247" t="str">
        <f t="shared" si="96"/>
        <v/>
      </c>
      <c r="AA1034" s="246" t="str">
        <f t="shared" si="99"/>
        <v/>
      </c>
    </row>
    <row r="1035" spans="1:27" x14ac:dyDescent="0.25">
      <c r="A1035" s="248" t="str">
        <f t="shared" si="100"/>
        <v/>
      </c>
      <c r="B1035" s="249" t="str">
        <f t="shared" si="101"/>
        <v/>
      </c>
      <c r="C1035" s="250"/>
      <c r="D1035" s="251"/>
      <c r="E1035" s="241"/>
      <c r="F1035" s="252"/>
      <c r="G1035" s="252"/>
      <c r="H1035" s="253"/>
      <c r="I1035" s="250"/>
      <c r="J1035" s="250"/>
      <c r="K1035" s="270"/>
      <c r="L1035" s="250"/>
      <c r="M1035" s="250"/>
      <c r="N1035" s="553" t="str">
        <f>CONCATENATE(IF(OR(M1035=phu!$I$1,M1035=phu!$I$2,M1035=phu!$I$3),"Cam Thành Nam",""),IF(OR(M1035=phu!$I$4,M1035=phu!$I$5,M1035=phu!$I$6,M1035=phu!$I$7,M1035=phu!$I$8,M1035=phu!$I$9,M1035=phu!$I$10,M1035=phu!$I$11,M1035=phu!$I$12,M1035=phu!$I$13,M1035=phu!$I$14),"Cam Nghĩa",""),IF(OR(M1035=phu!$I$15,M1035=phu!$I$16,M1035=phu!$I$17,M1035=phu!$I$18,M1035=phu!$I$19,M1035=phu!$I$20,M1035=phu!$I$21),"Cam Phúc Bắc",""),IF(OR(M1035=phu!$I$22,M1035=phu!$I$23,M1035=phu!$I$24,M1035=phu!$I$25),"Cam Phúc Nam",""),IF(OR(M1035=phu!$I$26,M1035=phu!$I$27,M1035=phu!$I$28,M1035=phu!$I$29,M1035=phu!$I$30,M1035=phu!$I$31),"Cam Phú",""),IF(OR(M1035=phu!$I$32,M1035=phu!$I$33,M1035=phu!$I$34,M1035=phu!$I$35,M1035=phu!$I$36,M1035=phu!$I$37),"Cam Lộc",""),IF(OR(M1035=phu!$I$38,M1035=phu!$I$39,M1035=phu!$I$40,M1035=phu!$I$41,M1035=phu!$I$42,M1035=phu!$I$43,M1035=phu!$I$44),"Cam Thuận",""),IF(OR(M1035=phu!$I$45,M1035=phu!$I$46,M1035=phu!$I$47,M1035=phu!$I$48,M1035=phu!$I$49,M1035=phu!$I$50,M1035=phu!$I$51,M1035=phu!$I$52,M1035=phu!$I$53),"Cam Linh",""),IF(OR(M1035=phu!$I$54,M1035=phu!$I$55,M1035=phu!$I$56,M1035=phu!$I$57,M1035=phu!$I$58,M1035=phu!$I$59,M1035=phu!$I$60,M1035=phu!$I$61,M1035=phu!$I$62),"Cam Lợi",""),IF(OR(M1035=phu!$I$63,M1035=phu!$I$64,M1035=phu!$I$65,M1035=phu!$I$66,M1035=phu!$I$67,M1035=phu!$I$68,M1035=phu!$I$69,M1035=phu!$I$70,M1035=phu!$I$71),"Ba Ngòi",""),IF(OR(M1035=phu!$I$72,M1035=phu!$I$73,M1035=phu!$I$74,M1035=phu!$I$75,M1035=phu!$I$76,M1035=phu!$I$77,M1035=phu!$I$78),"Cam Phước Đông",""),IF(OR(M1035=phu!$I$79,M1035=phu!$I$80,M1035=phu!$I$81,M1035=phu!$I$82,M1035=phu!$I$83,M1035=phu!$I$84),"Cam Thịnh Đông",""),IF(OR(M1035=phu!$I$85,M1035=phu!$I$86,M1035=phu!$I$87,M1035=phu!$I$88),"Cam Thịnh Tây",""),IF(OR(M1035=phu!$I$89,M1035=phu!$I$90),"Cam Lập",""),IF(OR(M1035=phu!$I$91,M1035=phu!$I$92,M1035=phu!$I$93),"Cam Bình",""),IF(OR(M1035=phu!$I$94,M1035=phu!$I$95,M1035=phu!$I$96,M1035=phu!$I$97,M1035=phu!$I$98,M1035=phu!$I$99,M1035=phu!$I$100),"Huyện khác",""),IF(OR(M1035=phu!$I$101,M1035=phu!$I$102),"Tỉnh khác",""))</f>
        <v/>
      </c>
      <c r="O1035" s="814" t="str">
        <f t="shared" si="97"/>
        <v/>
      </c>
      <c r="P1035" s="254"/>
      <c r="Q1035" s="254"/>
      <c r="R1035" s="254"/>
      <c r="S1035" s="254"/>
      <c r="T1035" s="254"/>
      <c r="U1035" s="254"/>
      <c r="V1035" s="254"/>
      <c r="W1035" s="254"/>
      <c r="Y1035" s="246" t="str">
        <f t="shared" si="98"/>
        <v/>
      </c>
      <c r="Z1035" s="247" t="str">
        <f t="shared" si="96"/>
        <v/>
      </c>
      <c r="AA1035" s="246" t="str">
        <f t="shared" si="99"/>
        <v/>
      </c>
    </row>
    <row r="1036" spans="1:27" x14ac:dyDescent="0.25">
      <c r="A1036" s="248" t="str">
        <f t="shared" si="100"/>
        <v/>
      </c>
      <c r="B1036" s="249" t="str">
        <f t="shared" si="101"/>
        <v/>
      </c>
      <c r="C1036" s="250"/>
      <c r="D1036" s="251"/>
      <c r="E1036" s="241"/>
      <c r="F1036" s="252"/>
      <c r="G1036" s="252"/>
      <c r="H1036" s="253"/>
      <c r="I1036" s="250"/>
      <c r="J1036" s="250"/>
      <c r="K1036" s="270"/>
      <c r="L1036" s="250"/>
      <c r="M1036" s="250"/>
      <c r="N1036" s="553" t="str">
        <f>CONCATENATE(IF(OR(M1036=phu!$I$1,M1036=phu!$I$2,M1036=phu!$I$3),"Cam Thành Nam",""),IF(OR(M1036=phu!$I$4,M1036=phu!$I$5,M1036=phu!$I$6,M1036=phu!$I$7,M1036=phu!$I$8,M1036=phu!$I$9,M1036=phu!$I$10,M1036=phu!$I$11,M1036=phu!$I$12,M1036=phu!$I$13,M1036=phu!$I$14),"Cam Nghĩa",""),IF(OR(M1036=phu!$I$15,M1036=phu!$I$16,M1036=phu!$I$17,M1036=phu!$I$18,M1036=phu!$I$19,M1036=phu!$I$20,M1036=phu!$I$21),"Cam Phúc Bắc",""),IF(OR(M1036=phu!$I$22,M1036=phu!$I$23,M1036=phu!$I$24,M1036=phu!$I$25),"Cam Phúc Nam",""),IF(OR(M1036=phu!$I$26,M1036=phu!$I$27,M1036=phu!$I$28,M1036=phu!$I$29,M1036=phu!$I$30,M1036=phu!$I$31),"Cam Phú",""),IF(OR(M1036=phu!$I$32,M1036=phu!$I$33,M1036=phu!$I$34,M1036=phu!$I$35,M1036=phu!$I$36,M1036=phu!$I$37),"Cam Lộc",""),IF(OR(M1036=phu!$I$38,M1036=phu!$I$39,M1036=phu!$I$40,M1036=phu!$I$41,M1036=phu!$I$42,M1036=phu!$I$43,M1036=phu!$I$44),"Cam Thuận",""),IF(OR(M1036=phu!$I$45,M1036=phu!$I$46,M1036=phu!$I$47,M1036=phu!$I$48,M1036=phu!$I$49,M1036=phu!$I$50,M1036=phu!$I$51,M1036=phu!$I$52,M1036=phu!$I$53),"Cam Linh",""),IF(OR(M1036=phu!$I$54,M1036=phu!$I$55,M1036=phu!$I$56,M1036=phu!$I$57,M1036=phu!$I$58,M1036=phu!$I$59,M1036=phu!$I$60,M1036=phu!$I$61,M1036=phu!$I$62),"Cam Lợi",""),IF(OR(M1036=phu!$I$63,M1036=phu!$I$64,M1036=phu!$I$65,M1036=phu!$I$66,M1036=phu!$I$67,M1036=phu!$I$68,M1036=phu!$I$69,M1036=phu!$I$70,M1036=phu!$I$71),"Ba Ngòi",""),IF(OR(M1036=phu!$I$72,M1036=phu!$I$73,M1036=phu!$I$74,M1036=phu!$I$75,M1036=phu!$I$76,M1036=phu!$I$77,M1036=phu!$I$78),"Cam Phước Đông",""),IF(OR(M1036=phu!$I$79,M1036=phu!$I$80,M1036=phu!$I$81,M1036=phu!$I$82,M1036=phu!$I$83,M1036=phu!$I$84),"Cam Thịnh Đông",""),IF(OR(M1036=phu!$I$85,M1036=phu!$I$86,M1036=phu!$I$87,M1036=phu!$I$88),"Cam Thịnh Tây",""),IF(OR(M1036=phu!$I$89,M1036=phu!$I$90),"Cam Lập",""),IF(OR(M1036=phu!$I$91,M1036=phu!$I$92,M1036=phu!$I$93),"Cam Bình",""),IF(OR(M1036=phu!$I$94,M1036=phu!$I$95,M1036=phu!$I$96,M1036=phu!$I$97,M1036=phu!$I$98,M1036=phu!$I$99,M1036=phu!$I$100),"Huyện khác",""),IF(OR(M1036=phu!$I$101,M1036=phu!$I$102),"Tỉnh khác",""))</f>
        <v/>
      </c>
      <c r="O1036" s="814" t="str">
        <f t="shared" si="97"/>
        <v/>
      </c>
      <c r="P1036" s="254"/>
      <c r="Q1036" s="254"/>
      <c r="R1036" s="254"/>
      <c r="S1036" s="254"/>
      <c r="T1036" s="254"/>
      <c r="U1036" s="254"/>
      <c r="V1036" s="254"/>
      <c r="W1036" s="254"/>
      <c r="Y1036" s="246" t="str">
        <f t="shared" si="98"/>
        <v/>
      </c>
      <c r="Z1036" s="247" t="str">
        <f t="shared" si="96"/>
        <v/>
      </c>
      <c r="AA1036" s="246" t="str">
        <f t="shared" si="99"/>
        <v/>
      </c>
    </row>
    <row r="1037" spans="1:27" x14ac:dyDescent="0.25">
      <c r="A1037" s="248" t="str">
        <f t="shared" si="100"/>
        <v/>
      </c>
      <c r="B1037" s="249" t="str">
        <f t="shared" si="101"/>
        <v/>
      </c>
      <c r="C1037" s="250"/>
      <c r="D1037" s="251"/>
      <c r="E1037" s="241"/>
      <c r="F1037" s="252"/>
      <c r="G1037" s="252"/>
      <c r="H1037" s="253"/>
      <c r="I1037" s="250"/>
      <c r="J1037" s="250"/>
      <c r="K1037" s="270"/>
      <c r="L1037" s="250"/>
      <c r="M1037" s="250"/>
      <c r="N1037" s="553" t="str">
        <f>CONCATENATE(IF(OR(M1037=phu!$I$1,M1037=phu!$I$2,M1037=phu!$I$3),"Cam Thành Nam",""),IF(OR(M1037=phu!$I$4,M1037=phu!$I$5,M1037=phu!$I$6,M1037=phu!$I$7,M1037=phu!$I$8,M1037=phu!$I$9,M1037=phu!$I$10,M1037=phu!$I$11,M1037=phu!$I$12,M1037=phu!$I$13,M1037=phu!$I$14),"Cam Nghĩa",""),IF(OR(M1037=phu!$I$15,M1037=phu!$I$16,M1037=phu!$I$17,M1037=phu!$I$18,M1037=phu!$I$19,M1037=phu!$I$20,M1037=phu!$I$21),"Cam Phúc Bắc",""),IF(OR(M1037=phu!$I$22,M1037=phu!$I$23,M1037=phu!$I$24,M1037=phu!$I$25),"Cam Phúc Nam",""),IF(OR(M1037=phu!$I$26,M1037=phu!$I$27,M1037=phu!$I$28,M1037=phu!$I$29,M1037=phu!$I$30,M1037=phu!$I$31),"Cam Phú",""),IF(OR(M1037=phu!$I$32,M1037=phu!$I$33,M1037=phu!$I$34,M1037=phu!$I$35,M1037=phu!$I$36,M1037=phu!$I$37),"Cam Lộc",""),IF(OR(M1037=phu!$I$38,M1037=phu!$I$39,M1037=phu!$I$40,M1037=phu!$I$41,M1037=phu!$I$42,M1037=phu!$I$43,M1037=phu!$I$44),"Cam Thuận",""),IF(OR(M1037=phu!$I$45,M1037=phu!$I$46,M1037=phu!$I$47,M1037=phu!$I$48,M1037=phu!$I$49,M1037=phu!$I$50,M1037=phu!$I$51,M1037=phu!$I$52,M1037=phu!$I$53),"Cam Linh",""),IF(OR(M1037=phu!$I$54,M1037=phu!$I$55,M1037=phu!$I$56,M1037=phu!$I$57,M1037=phu!$I$58,M1037=phu!$I$59,M1037=phu!$I$60,M1037=phu!$I$61,M1037=phu!$I$62),"Cam Lợi",""),IF(OR(M1037=phu!$I$63,M1037=phu!$I$64,M1037=phu!$I$65,M1037=phu!$I$66,M1037=phu!$I$67,M1037=phu!$I$68,M1037=phu!$I$69,M1037=phu!$I$70,M1037=phu!$I$71),"Ba Ngòi",""),IF(OR(M1037=phu!$I$72,M1037=phu!$I$73,M1037=phu!$I$74,M1037=phu!$I$75,M1037=phu!$I$76,M1037=phu!$I$77,M1037=phu!$I$78),"Cam Phước Đông",""),IF(OR(M1037=phu!$I$79,M1037=phu!$I$80,M1037=phu!$I$81,M1037=phu!$I$82,M1037=phu!$I$83,M1037=phu!$I$84),"Cam Thịnh Đông",""),IF(OR(M1037=phu!$I$85,M1037=phu!$I$86,M1037=phu!$I$87,M1037=phu!$I$88),"Cam Thịnh Tây",""),IF(OR(M1037=phu!$I$89,M1037=phu!$I$90),"Cam Lập",""),IF(OR(M1037=phu!$I$91,M1037=phu!$I$92,M1037=phu!$I$93),"Cam Bình",""),IF(OR(M1037=phu!$I$94,M1037=phu!$I$95,M1037=phu!$I$96,M1037=phu!$I$97,M1037=phu!$I$98,M1037=phu!$I$99,M1037=phu!$I$100),"Huyện khác",""),IF(OR(M1037=phu!$I$101,M1037=phu!$I$102),"Tỉnh khác",""))</f>
        <v/>
      </c>
      <c r="O1037" s="814" t="str">
        <f t="shared" si="97"/>
        <v/>
      </c>
      <c r="P1037" s="254"/>
      <c r="Q1037" s="254"/>
      <c r="R1037" s="254"/>
      <c r="S1037" s="254"/>
      <c r="T1037" s="254"/>
      <c r="U1037" s="254"/>
      <c r="V1037" s="254"/>
      <c r="W1037" s="254"/>
      <c r="Y1037" s="246" t="str">
        <f t="shared" si="98"/>
        <v/>
      </c>
      <c r="Z1037" s="247" t="str">
        <f t="shared" si="96"/>
        <v/>
      </c>
      <c r="AA1037" s="246" t="str">
        <f t="shared" si="99"/>
        <v/>
      </c>
    </row>
    <row r="1038" spans="1:27" x14ac:dyDescent="0.25">
      <c r="A1038" s="248" t="str">
        <f t="shared" si="100"/>
        <v/>
      </c>
      <c r="B1038" s="249" t="str">
        <f t="shared" si="101"/>
        <v/>
      </c>
      <c r="C1038" s="250"/>
      <c r="D1038" s="251"/>
      <c r="E1038" s="241"/>
      <c r="F1038" s="252"/>
      <c r="G1038" s="252"/>
      <c r="H1038" s="253"/>
      <c r="I1038" s="250"/>
      <c r="J1038" s="250"/>
      <c r="K1038" s="270"/>
      <c r="L1038" s="250"/>
      <c r="M1038" s="250"/>
      <c r="N1038" s="553" t="str">
        <f>CONCATENATE(IF(OR(M1038=phu!$I$1,M1038=phu!$I$2,M1038=phu!$I$3),"Cam Thành Nam",""),IF(OR(M1038=phu!$I$4,M1038=phu!$I$5,M1038=phu!$I$6,M1038=phu!$I$7,M1038=phu!$I$8,M1038=phu!$I$9,M1038=phu!$I$10,M1038=phu!$I$11,M1038=phu!$I$12,M1038=phu!$I$13,M1038=phu!$I$14),"Cam Nghĩa",""),IF(OR(M1038=phu!$I$15,M1038=phu!$I$16,M1038=phu!$I$17,M1038=phu!$I$18,M1038=phu!$I$19,M1038=phu!$I$20,M1038=phu!$I$21),"Cam Phúc Bắc",""),IF(OR(M1038=phu!$I$22,M1038=phu!$I$23,M1038=phu!$I$24,M1038=phu!$I$25),"Cam Phúc Nam",""),IF(OR(M1038=phu!$I$26,M1038=phu!$I$27,M1038=phu!$I$28,M1038=phu!$I$29,M1038=phu!$I$30,M1038=phu!$I$31),"Cam Phú",""),IF(OR(M1038=phu!$I$32,M1038=phu!$I$33,M1038=phu!$I$34,M1038=phu!$I$35,M1038=phu!$I$36,M1038=phu!$I$37),"Cam Lộc",""),IF(OR(M1038=phu!$I$38,M1038=phu!$I$39,M1038=phu!$I$40,M1038=phu!$I$41,M1038=phu!$I$42,M1038=phu!$I$43,M1038=phu!$I$44),"Cam Thuận",""),IF(OR(M1038=phu!$I$45,M1038=phu!$I$46,M1038=phu!$I$47,M1038=phu!$I$48,M1038=phu!$I$49,M1038=phu!$I$50,M1038=phu!$I$51,M1038=phu!$I$52,M1038=phu!$I$53),"Cam Linh",""),IF(OR(M1038=phu!$I$54,M1038=phu!$I$55,M1038=phu!$I$56,M1038=phu!$I$57,M1038=phu!$I$58,M1038=phu!$I$59,M1038=phu!$I$60,M1038=phu!$I$61,M1038=phu!$I$62),"Cam Lợi",""),IF(OR(M1038=phu!$I$63,M1038=phu!$I$64,M1038=phu!$I$65,M1038=phu!$I$66,M1038=phu!$I$67,M1038=phu!$I$68,M1038=phu!$I$69,M1038=phu!$I$70,M1038=phu!$I$71),"Ba Ngòi",""),IF(OR(M1038=phu!$I$72,M1038=phu!$I$73,M1038=phu!$I$74,M1038=phu!$I$75,M1038=phu!$I$76,M1038=phu!$I$77,M1038=phu!$I$78),"Cam Phước Đông",""),IF(OR(M1038=phu!$I$79,M1038=phu!$I$80,M1038=phu!$I$81,M1038=phu!$I$82,M1038=phu!$I$83,M1038=phu!$I$84),"Cam Thịnh Đông",""),IF(OR(M1038=phu!$I$85,M1038=phu!$I$86,M1038=phu!$I$87,M1038=phu!$I$88),"Cam Thịnh Tây",""),IF(OR(M1038=phu!$I$89,M1038=phu!$I$90),"Cam Lập",""),IF(OR(M1038=phu!$I$91,M1038=phu!$I$92,M1038=phu!$I$93),"Cam Bình",""),IF(OR(M1038=phu!$I$94,M1038=phu!$I$95,M1038=phu!$I$96,M1038=phu!$I$97,M1038=phu!$I$98,M1038=phu!$I$99,M1038=phu!$I$100),"Huyện khác",""),IF(OR(M1038=phu!$I$101,M1038=phu!$I$102),"Tỉnh khác",""))</f>
        <v/>
      </c>
      <c r="O1038" s="814" t="str">
        <f t="shared" si="97"/>
        <v/>
      </c>
      <c r="P1038" s="254"/>
      <c r="Q1038" s="254"/>
      <c r="R1038" s="254"/>
      <c r="S1038" s="254"/>
      <c r="T1038" s="254"/>
      <c r="U1038" s="254"/>
      <c r="V1038" s="254"/>
      <c r="W1038" s="254"/>
      <c r="Y1038" s="246" t="str">
        <f t="shared" si="98"/>
        <v/>
      </c>
      <c r="Z1038" s="247" t="str">
        <f t="shared" si="96"/>
        <v/>
      </c>
      <c r="AA1038" s="246" t="str">
        <f t="shared" si="99"/>
        <v/>
      </c>
    </row>
    <row r="1039" spans="1:27" x14ac:dyDescent="0.25">
      <c r="A1039" s="248" t="str">
        <f t="shared" si="100"/>
        <v/>
      </c>
      <c r="B1039" s="249" t="str">
        <f t="shared" si="101"/>
        <v/>
      </c>
      <c r="C1039" s="250"/>
      <c r="D1039" s="251"/>
      <c r="E1039" s="241"/>
      <c r="F1039" s="252"/>
      <c r="G1039" s="252"/>
      <c r="H1039" s="253"/>
      <c r="I1039" s="250"/>
      <c r="J1039" s="250"/>
      <c r="K1039" s="270"/>
      <c r="L1039" s="250"/>
      <c r="M1039" s="250"/>
      <c r="N1039" s="553" t="str">
        <f>CONCATENATE(IF(OR(M1039=phu!$I$1,M1039=phu!$I$2,M1039=phu!$I$3),"Cam Thành Nam",""),IF(OR(M1039=phu!$I$4,M1039=phu!$I$5,M1039=phu!$I$6,M1039=phu!$I$7,M1039=phu!$I$8,M1039=phu!$I$9,M1039=phu!$I$10,M1039=phu!$I$11,M1039=phu!$I$12,M1039=phu!$I$13,M1039=phu!$I$14),"Cam Nghĩa",""),IF(OR(M1039=phu!$I$15,M1039=phu!$I$16,M1039=phu!$I$17,M1039=phu!$I$18,M1039=phu!$I$19,M1039=phu!$I$20,M1039=phu!$I$21),"Cam Phúc Bắc",""),IF(OR(M1039=phu!$I$22,M1039=phu!$I$23,M1039=phu!$I$24,M1039=phu!$I$25),"Cam Phúc Nam",""),IF(OR(M1039=phu!$I$26,M1039=phu!$I$27,M1039=phu!$I$28,M1039=phu!$I$29,M1039=phu!$I$30,M1039=phu!$I$31),"Cam Phú",""),IF(OR(M1039=phu!$I$32,M1039=phu!$I$33,M1039=phu!$I$34,M1039=phu!$I$35,M1039=phu!$I$36,M1039=phu!$I$37),"Cam Lộc",""),IF(OR(M1039=phu!$I$38,M1039=phu!$I$39,M1039=phu!$I$40,M1039=phu!$I$41,M1039=phu!$I$42,M1039=phu!$I$43,M1039=phu!$I$44),"Cam Thuận",""),IF(OR(M1039=phu!$I$45,M1039=phu!$I$46,M1039=phu!$I$47,M1039=phu!$I$48,M1039=phu!$I$49,M1039=phu!$I$50,M1039=phu!$I$51,M1039=phu!$I$52,M1039=phu!$I$53),"Cam Linh",""),IF(OR(M1039=phu!$I$54,M1039=phu!$I$55,M1039=phu!$I$56,M1039=phu!$I$57,M1039=phu!$I$58,M1039=phu!$I$59,M1039=phu!$I$60,M1039=phu!$I$61,M1039=phu!$I$62),"Cam Lợi",""),IF(OR(M1039=phu!$I$63,M1039=phu!$I$64,M1039=phu!$I$65,M1039=phu!$I$66,M1039=phu!$I$67,M1039=phu!$I$68,M1039=phu!$I$69,M1039=phu!$I$70,M1039=phu!$I$71),"Ba Ngòi",""),IF(OR(M1039=phu!$I$72,M1039=phu!$I$73,M1039=phu!$I$74,M1039=phu!$I$75,M1039=phu!$I$76,M1039=phu!$I$77,M1039=phu!$I$78),"Cam Phước Đông",""),IF(OR(M1039=phu!$I$79,M1039=phu!$I$80,M1039=phu!$I$81,M1039=phu!$I$82,M1039=phu!$I$83,M1039=phu!$I$84),"Cam Thịnh Đông",""),IF(OR(M1039=phu!$I$85,M1039=phu!$I$86,M1039=phu!$I$87,M1039=phu!$I$88),"Cam Thịnh Tây",""),IF(OR(M1039=phu!$I$89,M1039=phu!$I$90),"Cam Lập",""),IF(OR(M1039=phu!$I$91,M1039=phu!$I$92,M1039=phu!$I$93),"Cam Bình",""),IF(OR(M1039=phu!$I$94,M1039=phu!$I$95,M1039=phu!$I$96,M1039=phu!$I$97,M1039=phu!$I$98,M1039=phu!$I$99,M1039=phu!$I$100),"Huyện khác",""),IF(OR(M1039=phu!$I$101,M1039=phu!$I$102),"Tỉnh khác",""))</f>
        <v/>
      </c>
      <c r="O1039" s="814" t="str">
        <f t="shared" si="97"/>
        <v/>
      </c>
      <c r="P1039" s="254"/>
      <c r="Q1039" s="254"/>
      <c r="R1039" s="254"/>
      <c r="S1039" s="254"/>
      <c r="T1039" s="254"/>
      <c r="U1039" s="254"/>
      <c r="V1039" s="254"/>
      <c r="W1039" s="254"/>
      <c r="Y1039" s="246" t="str">
        <f t="shared" si="98"/>
        <v/>
      </c>
      <c r="Z1039" s="247" t="str">
        <f t="shared" si="96"/>
        <v/>
      </c>
      <c r="AA1039" s="246" t="str">
        <f t="shared" si="99"/>
        <v/>
      </c>
    </row>
    <row r="1040" spans="1:27" x14ac:dyDescent="0.25">
      <c r="A1040" s="248" t="str">
        <f t="shared" si="100"/>
        <v/>
      </c>
      <c r="B1040" s="249" t="str">
        <f t="shared" si="101"/>
        <v/>
      </c>
      <c r="C1040" s="250"/>
      <c r="D1040" s="251"/>
      <c r="E1040" s="241"/>
      <c r="F1040" s="252"/>
      <c r="G1040" s="252"/>
      <c r="H1040" s="253"/>
      <c r="I1040" s="250"/>
      <c r="J1040" s="250"/>
      <c r="K1040" s="270"/>
      <c r="L1040" s="250"/>
      <c r="M1040" s="250"/>
      <c r="N1040" s="553" t="str">
        <f>CONCATENATE(IF(OR(M1040=phu!$I$1,M1040=phu!$I$2,M1040=phu!$I$3),"Cam Thành Nam",""),IF(OR(M1040=phu!$I$4,M1040=phu!$I$5,M1040=phu!$I$6,M1040=phu!$I$7,M1040=phu!$I$8,M1040=phu!$I$9,M1040=phu!$I$10,M1040=phu!$I$11,M1040=phu!$I$12,M1040=phu!$I$13,M1040=phu!$I$14),"Cam Nghĩa",""),IF(OR(M1040=phu!$I$15,M1040=phu!$I$16,M1040=phu!$I$17,M1040=phu!$I$18,M1040=phu!$I$19,M1040=phu!$I$20,M1040=phu!$I$21),"Cam Phúc Bắc",""),IF(OR(M1040=phu!$I$22,M1040=phu!$I$23,M1040=phu!$I$24,M1040=phu!$I$25),"Cam Phúc Nam",""),IF(OR(M1040=phu!$I$26,M1040=phu!$I$27,M1040=phu!$I$28,M1040=phu!$I$29,M1040=phu!$I$30,M1040=phu!$I$31),"Cam Phú",""),IF(OR(M1040=phu!$I$32,M1040=phu!$I$33,M1040=phu!$I$34,M1040=phu!$I$35,M1040=phu!$I$36,M1040=phu!$I$37),"Cam Lộc",""),IF(OR(M1040=phu!$I$38,M1040=phu!$I$39,M1040=phu!$I$40,M1040=phu!$I$41,M1040=phu!$I$42,M1040=phu!$I$43,M1040=phu!$I$44),"Cam Thuận",""),IF(OR(M1040=phu!$I$45,M1040=phu!$I$46,M1040=phu!$I$47,M1040=phu!$I$48,M1040=phu!$I$49,M1040=phu!$I$50,M1040=phu!$I$51,M1040=phu!$I$52,M1040=phu!$I$53),"Cam Linh",""),IF(OR(M1040=phu!$I$54,M1040=phu!$I$55,M1040=phu!$I$56,M1040=phu!$I$57,M1040=phu!$I$58,M1040=phu!$I$59,M1040=phu!$I$60,M1040=phu!$I$61,M1040=phu!$I$62),"Cam Lợi",""),IF(OR(M1040=phu!$I$63,M1040=phu!$I$64,M1040=phu!$I$65,M1040=phu!$I$66,M1040=phu!$I$67,M1040=phu!$I$68,M1040=phu!$I$69,M1040=phu!$I$70,M1040=phu!$I$71),"Ba Ngòi",""),IF(OR(M1040=phu!$I$72,M1040=phu!$I$73,M1040=phu!$I$74,M1040=phu!$I$75,M1040=phu!$I$76,M1040=phu!$I$77,M1040=phu!$I$78),"Cam Phước Đông",""),IF(OR(M1040=phu!$I$79,M1040=phu!$I$80,M1040=phu!$I$81,M1040=phu!$I$82,M1040=phu!$I$83,M1040=phu!$I$84),"Cam Thịnh Đông",""),IF(OR(M1040=phu!$I$85,M1040=phu!$I$86,M1040=phu!$I$87,M1040=phu!$I$88),"Cam Thịnh Tây",""),IF(OR(M1040=phu!$I$89,M1040=phu!$I$90),"Cam Lập",""),IF(OR(M1040=phu!$I$91,M1040=phu!$I$92,M1040=phu!$I$93),"Cam Bình",""),IF(OR(M1040=phu!$I$94,M1040=phu!$I$95,M1040=phu!$I$96,M1040=phu!$I$97,M1040=phu!$I$98,M1040=phu!$I$99,M1040=phu!$I$100),"Huyện khác",""),IF(OR(M1040=phu!$I$101,M1040=phu!$I$102),"Tỉnh khác",""))</f>
        <v/>
      </c>
      <c r="O1040" s="814" t="str">
        <f t="shared" si="97"/>
        <v/>
      </c>
      <c r="P1040" s="254"/>
      <c r="Q1040" s="254"/>
      <c r="R1040" s="254"/>
      <c r="S1040" s="254"/>
      <c r="T1040" s="254"/>
      <c r="U1040" s="254"/>
      <c r="V1040" s="254"/>
      <c r="W1040" s="254"/>
      <c r="Y1040" s="246" t="str">
        <f t="shared" si="98"/>
        <v/>
      </c>
      <c r="Z1040" s="247" t="str">
        <f t="shared" si="96"/>
        <v/>
      </c>
      <c r="AA1040" s="246" t="str">
        <f t="shared" si="99"/>
        <v/>
      </c>
    </row>
    <row r="1041" spans="1:27" x14ac:dyDescent="0.25">
      <c r="A1041" s="248" t="str">
        <f t="shared" si="100"/>
        <v/>
      </c>
      <c r="B1041" s="249" t="str">
        <f t="shared" si="101"/>
        <v/>
      </c>
      <c r="C1041" s="250"/>
      <c r="D1041" s="251"/>
      <c r="E1041" s="241"/>
      <c r="F1041" s="252"/>
      <c r="G1041" s="252"/>
      <c r="H1041" s="253"/>
      <c r="I1041" s="250"/>
      <c r="J1041" s="250"/>
      <c r="K1041" s="270"/>
      <c r="L1041" s="250"/>
      <c r="M1041" s="250"/>
      <c r="N1041" s="553" t="str">
        <f>CONCATENATE(IF(OR(M1041=phu!$I$1,M1041=phu!$I$2,M1041=phu!$I$3),"Cam Thành Nam",""),IF(OR(M1041=phu!$I$4,M1041=phu!$I$5,M1041=phu!$I$6,M1041=phu!$I$7,M1041=phu!$I$8,M1041=phu!$I$9,M1041=phu!$I$10,M1041=phu!$I$11,M1041=phu!$I$12,M1041=phu!$I$13,M1041=phu!$I$14),"Cam Nghĩa",""),IF(OR(M1041=phu!$I$15,M1041=phu!$I$16,M1041=phu!$I$17,M1041=phu!$I$18,M1041=phu!$I$19,M1041=phu!$I$20,M1041=phu!$I$21),"Cam Phúc Bắc",""),IF(OR(M1041=phu!$I$22,M1041=phu!$I$23,M1041=phu!$I$24,M1041=phu!$I$25),"Cam Phúc Nam",""),IF(OR(M1041=phu!$I$26,M1041=phu!$I$27,M1041=phu!$I$28,M1041=phu!$I$29,M1041=phu!$I$30,M1041=phu!$I$31),"Cam Phú",""),IF(OR(M1041=phu!$I$32,M1041=phu!$I$33,M1041=phu!$I$34,M1041=phu!$I$35,M1041=phu!$I$36,M1041=phu!$I$37),"Cam Lộc",""),IF(OR(M1041=phu!$I$38,M1041=phu!$I$39,M1041=phu!$I$40,M1041=phu!$I$41,M1041=phu!$I$42,M1041=phu!$I$43,M1041=phu!$I$44),"Cam Thuận",""),IF(OR(M1041=phu!$I$45,M1041=phu!$I$46,M1041=phu!$I$47,M1041=phu!$I$48,M1041=phu!$I$49,M1041=phu!$I$50,M1041=phu!$I$51,M1041=phu!$I$52,M1041=phu!$I$53),"Cam Linh",""),IF(OR(M1041=phu!$I$54,M1041=phu!$I$55,M1041=phu!$I$56,M1041=phu!$I$57,M1041=phu!$I$58,M1041=phu!$I$59,M1041=phu!$I$60,M1041=phu!$I$61,M1041=phu!$I$62),"Cam Lợi",""),IF(OR(M1041=phu!$I$63,M1041=phu!$I$64,M1041=phu!$I$65,M1041=phu!$I$66,M1041=phu!$I$67,M1041=phu!$I$68,M1041=phu!$I$69,M1041=phu!$I$70,M1041=phu!$I$71),"Ba Ngòi",""),IF(OR(M1041=phu!$I$72,M1041=phu!$I$73,M1041=phu!$I$74,M1041=phu!$I$75,M1041=phu!$I$76,M1041=phu!$I$77,M1041=phu!$I$78),"Cam Phước Đông",""),IF(OR(M1041=phu!$I$79,M1041=phu!$I$80,M1041=phu!$I$81,M1041=phu!$I$82,M1041=phu!$I$83,M1041=phu!$I$84),"Cam Thịnh Đông",""),IF(OR(M1041=phu!$I$85,M1041=phu!$I$86,M1041=phu!$I$87,M1041=phu!$I$88),"Cam Thịnh Tây",""),IF(OR(M1041=phu!$I$89,M1041=phu!$I$90),"Cam Lập",""),IF(OR(M1041=phu!$I$91,M1041=phu!$I$92,M1041=phu!$I$93),"Cam Bình",""),IF(OR(M1041=phu!$I$94,M1041=phu!$I$95,M1041=phu!$I$96,M1041=phu!$I$97,M1041=phu!$I$98,M1041=phu!$I$99,M1041=phu!$I$100),"Huyện khác",""),IF(OR(M1041=phu!$I$101,M1041=phu!$I$102),"Tỉnh khác",""))</f>
        <v/>
      </c>
      <c r="O1041" s="814" t="str">
        <f t="shared" si="97"/>
        <v/>
      </c>
      <c r="P1041" s="254"/>
      <c r="Q1041" s="254"/>
      <c r="R1041" s="254"/>
      <c r="S1041" s="254"/>
      <c r="T1041" s="254"/>
      <c r="U1041" s="254"/>
      <c r="V1041" s="254"/>
      <c r="W1041" s="254"/>
      <c r="Y1041" s="246" t="str">
        <f t="shared" si="98"/>
        <v/>
      </c>
      <c r="Z1041" s="247" t="str">
        <f t="shared" si="96"/>
        <v/>
      </c>
      <c r="AA1041" s="246" t="str">
        <f t="shared" si="99"/>
        <v/>
      </c>
    </row>
    <row r="1042" spans="1:27" x14ac:dyDescent="0.25">
      <c r="A1042" s="248" t="str">
        <f t="shared" si="100"/>
        <v/>
      </c>
      <c r="B1042" s="249" t="str">
        <f t="shared" si="101"/>
        <v/>
      </c>
      <c r="C1042" s="250"/>
      <c r="D1042" s="251"/>
      <c r="E1042" s="241"/>
      <c r="F1042" s="252"/>
      <c r="G1042" s="252"/>
      <c r="H1042" s="253"/>
      <c r="I1042" s="250"/>
      <c r="J1042" s="250"/>
      <c r="K1042" s="270"/>
      <c r="L1042" s="250"/>
      <c r="M1042" s="250"/>
      <c r="N1042" s="553" t="str">
        <f>CONCATENATE(IF(OR(M1042=phu!$I$1,M1042=phu!$I$2,M1042=phu!$I$3),"Cam Thành Nam",""),IF(OR(M1042=phu!$I$4,M1042=phu!$I$5,M1042=phu!$I$6,M1042=phu!$I$7,M1042=phu!$I$8,M1042=phu!$I$9,M1042=phu!$I$10,M1042=phu!$I$11,M1042=phu!$I$12,M1042=phu!$I$13,M1042=phu!$I$14),"Cam Nghĩa",""),IF(OR(M1042=phu!$I$15,M1042=phu!$I$16,M1042=phu!$I$17,M1042=phu!$I$18,M1042=phu!$I$19,M1042=phu!$I$20,M1042=phu!$I$21),"Cam Phúc Bắc",""),IF(OR(M1042=phu!$I$22,M1042=phu!$I$23,M1042=phu!$I$24,M1042=phu!$I$25),"Cam Phúc Nam",""),IF(OR(M1042=phu!$I$26,M1042=phu!$I$27,M1042=phu!$I$28,M1042=phu!$I$29,M1042=phu!$I$30,M1042=phu!$I$31),"Cam Phú",""),IF(OR(M1042=phu!$I$32,M1042=phu!$I$33,M1042=phu!$I$34,M1042=phu!$I$35,M1042=phu!$I$36,M1042=phu!$I$37),"Cam Lộc",""),IF(OR(M1042=phu!$I$38,M1042=phu!$I$39,M1042=phu!$I$40,M1042=phu!$I$41,M1042=phu!$I$42,M1042=phu!$I$43,M1042=phu!$I$44),"Cam Thuận",""),IF(OR(M1042=phu!$I$45,M1042=phu!$I$46,M1042=phu!$I$47,M1042=phu!$I$48,M1042=phu!$I$49,M1042=phu!$I$50,M1042=phu!$I$51,M1042=phu!$I$52,M1042=phu!$I$53),"Cam Linh",""),IF(OR(M1042=phu!$I$54,M1042=phu!$I$55,M1042=phu!$I$56,M1042=phu!$I$57,M1042=phu!$I$58,M1042=phu!$I$59,M1042=phu!$I$60,M1042=phu!$I$61,M1042=phu!$I$62),"Cam Lợi",""),IF(OR(M1042=phu!$I$63,M1042=phu!$I$64,M1042=phu!$I$65,M1042=phu!$I$66,M1042=phu!$I$67,M1042=phu!$I$68,M1042=phu!$I$69,M1042=phu!$I$70,M1042=phu!$I$71),"Ba Ngòi",""),IF(OR(M1042=phu!$I$72,M1042=phu!$I$73,M1042=phu!$I$74,M1042=phu!$I$75,M1042=phu!$I$76,M1042=phu!$I$77,M1042=phu!$I$78),"Cam Phước Đông",""),IF(OR(M1042=phu!$I$79,M1042=phu!$I$80,M1042=phu!$I$81,M1042=phu!$I$82,M1042=phu!$I$83,M1042=phu!$I$84),"Cam Thịnh Đông",""),IF(OR(M1042=phu!$I$85,M1042=phu!$I$86,M1042=phu!$I$87,M1042=phu!$I$88),"Cam Thịnh Tây",""),IF(OR(M1042=phu!$I$89,M1042=phu!$I$90),"Cam Lập",""),IF(OR(M1042=phu!$I$91,M1042=phu!$I$92,M1042=phu!$I$93),"Cam Bình",""),IF(OR(M1042=phu!$I$94,M1042=phu!$I$95,M1042=phu!$I$96,M1042=phu!$I$97,M1042=phu!$I$98,M1042=phu!$I$99,M1042=phu!$I$100),"Huyện khác",""),IF(OR(M1042=phu!$I$101,M1042=phu!$I$102),"Tỉnh khác",""))</f>
        <v/>
      </c>
      <c r="O1042" s="814" t="str">
        <f t="shared" si="97"/>
        <v/>
      </c>
      <c r="P1042" s="254"/>
      <c r="Q1042" s="254"/>
      <c r="R1042" s="254"/>
      <c r="S1042" s="254"/>
      <c r="T1042" s="254"/>
      <c r="U1042" s="254"/>
      <c r="V1042" s="254"/>
      <c r="W1042" s="254"/>
      <c r="Y1042" s="246" t="str">
        <f t="shared" si="98"/>
        <v/>
      </c>
      <c r="Z1042" s="247" t="str">
        <f t="shared" si="96"/>
        <v/>
      </c>
      <c r="AA1042" s="246" t="str">
        <f t="shared" si="99"/>
        <v/>
      </c>
    </row>
    <row r="1043" spans="1:27" x14ac:dyDescent="0.25">
      <c r="A1043" s="248" t="str">
        <f t="shared" si="100"/>
        <v/>
      </c>
      <c r="B1043" s="249" t="str">
        <f t="shared" si="101"/>
        <v/>
      </c>
      <c r="C1043" s="250"/>
      <c r="D1043" s="251"/>
      <c r="E1043" s="241"/>
      <c r="F1043" s="252"/>
      <c r="G1043" s="252"/>
      <c r="H1043" s="253"/>
      <c r="I1043" s="250"/>
      <c r="J1043" s="250"/>
      <c r="K1043" s="270"/>
      <c r="L1043" s="250"/>
      <c r="M1043" s="250"/>
      <c r="N1043" s="553" t="str">
        <f>CONCATENATE(IF(OR(M1043=phu!$I$1,M1043=phu!$I$2,M1043=phu!$I$3),"Cam Thành Nam",""),IF(OR(M1043=phu!$I$4,M1043=phu!$I$5,M1043=phu!$I$6,M1043=phu!$I$7,M1043=phu!$I$8,M1043=phu!$I$9,M1043=phu!$I$10,M1043=phu!$I$11,M1043=phu!$I$12,M1043=phu!$I$13,M1043=phu!$I$14),"Cam Nghĩa",""),IF(OR(M1043=phu!$I$15,M1043=phu!$I$16,M1043=phu!$I$17,M1043=phu!$I$18,M1043=phu!$I$19,M1043=phu!$I$20,M1043=phu!$I$21),"Cam Phúc Bắc",""),IF(OR(M1043=phu!$I$22,M1043=phu!$I$23,M1043=phu!$I$24,M1043=phu!$I$25),"Cam Phúc Nam",""),IF(OR(M1043=phu!$I$26,M1043=phu!$I$27,M1043=phu!$I$28,M1043=phu!$I$29,M1043=phu!$I$30,M1043=phu!$I$31),"Cam Phú",""),IF(OR(M1043=phu!$I$32,M1043=phu!$I$33,M1043=phu!$I$34,M1043=phu!$I$35,M1043=phu!$I$36,M1043=phu!$I$37),"Cam Lộc",""),IF(OR(M1043=phu!$I$38,M1043=phu!$I$39,M1043=phu!$I$40,M1043=phu!$I$41,M1043=phu!$I$42,M1043=phu!$I$43,M1043=phu!$I$44),"Cam Thuận",""),IF(OR(M1043=phu!$I$45,M1043=phu!$I$46,M1043=phu!$I$47,M1043=phu!$I$48,M1043=phu!$I$49,M1043=phu!$I$50,M1043=phu!$I$51,M1043=phu!$I$52,M1043=phu!$I$53),"Cam Linh",""),IF(OR(M1043=phu!$I$54,M1043=phu!$I$55,M1043=phu!$I$56,M1043=phu!$I$57,M1043=phu!$I$58,M1043=phu!$I$59,M1043=phu!$I$60,M1043=phu!$I$61,M1043=phu!$I$62),"Cam Lợi",""),IF(OR(M1043=phu!$I$63,M1043=phu!$I$64,M1043=phu!$I$65,M1043=phu!$I$66,M1043=phu!$I$67,M1043=phu!$I$68,M1043=phu!$I$69,M1043=phu!$I$70,M1043=phu!$I$71),"Ba Ngòi",""),IF(OR(M1043=phu!$I$72,M1043=phu!$I$73,M1043=phu!$I$74,M1043=phu!$I$75,M1043=phu!$I$76,M1043=phu!$I$77,M1043=phu!$I$78),"Cam Phước Đông",""),IF(OR(M1043=phu!$I$79,M1043=phu!$I$80,M1043=phu!$I$81,M1043=phu!$I$82,M1043=phu!$I$83,M1043=phu!$I$84),"Cam Thịnh Đông",""),IF(OR(M1043=phu!$I$85,M1043=phu!$I$86,M1043=phu!$I$87,M1043=phu!$I$88),"Cam Thịnh Tây",""),IF(OR(M1043=phu!$I$89,M1043=phu!$I$90),"Cam Lập",""),IF(OR(M1043=phu!$I$91,M1043=phu!$I$92,M1043=phu!$I$93),"Cam Bình",""),IF(OR(M1043=phu!$I$94,M1043=phu!$I$95,M1043=phu!$I$96,M1043=phu!$I$97,M1043=phu!$I$98,M1043=phu!$I$99,M1043=phu!$I$100),"Huyện khác",""),IF(OR(M1043=phu!$I$101,M1043=phu!$I$102),"Tỉnh khác",""))</f>
        <v/>
      </c>
      <c r="O1043" s="814" t="str">
        <f t="shared" si="97"/>
        <v/>
      </c>
      <c r="P1043" s="254"/>
      <c r="Q1043" s="254"/>
      <c r="R1043" s="254"/>
      <c r="S1043" s="254"/>
      <c r="T1043" s="254"/>
      <c r="U1043" s="254"/>
      <c r="V1043" s="254"/>
      <c r="W1043" s="254"/>
      <c r="Y1043" s="246" t="str">
        <f t="shared" si="98"/>
        <v/>
      </c>
      <c r="Z1043" s="247" t="str">
        <f t="shared" si="96"/>
        <v/>
      </c>
      <c r="AA1043" s="246" t="str">
        <f t="shared" si="99"/>
        <v/>
      </c>
    </row>
    <row r="1044" spans="1:27" x14ac:dyDescent="0.25">
      <c r="A1044" s="248" t="str">
        <f t="shared" si="100"/>
        <v/>
      </c>
      <c r="B1044" s="249" t="str">
        <f t="shared" si="101"/>
        <v/>
      </c>
      <c r="C1044" s="250"/>
      <c r="D1044" s="251"/>
      <c r="E1044" s="241"/>
      <c r="F1044" s="252"/>
      <c r="G1044" s="252"/>
      <c r="H1044" s="253"/>
      <c r="I1044" s="250"/>
      <c r="J1044" s="250"/>
      <c r="K1044" s="270"/>
      <c r="L1044" s="250"/>
      <c r="M1044" s="250"/>
      <c r="N1044" s="553" t="str">
        <f>CONCATENATE(IF(OR(M1044=phu!$I$1,M1044=phu!$I$2,M1044=phu!$I$3),"Cam Thành Nam",""),IF(OR(M1044=phu!$I$4,M1044=phu!$I$5,M1044=phu!$I$6,M1044=phu!$I$7,M1044=phu!$I$8,M1044=phu!$I$9,M1044=phu!$I$10,M1044=phu!$I$11,M1044=phu!$I$12,M1044=phu!$I$13,M1044=phu!$I$14),"Cam Nghĩa",""),IF(OR(M1044=phu!$I$15,M1044=phu!$I$16,M1044=phu!$I$17,M1044=phu!$I$18,M1044=phu!$I$19,M1044=phu!$I$20,M1044=phu!$I$21),"Cam Phúc Bắc",""),IF(OR(M1044=phu!$I$22,M1044=phu!$I$23,M1044=phu!$I$24,M1044=phu!$I$25),"Cam Phúc Nam",""),IF(OR(M1044=phu!$I$26,M1044=phu!$I$27,M1044=phu!$I$28,M1044=phu!$I$29,M1044=phu!$I$30,M1044=phu!$I$31),"Cam Phú",""),IF(OR(M1044=phu!$I$32,M1044=phu!$I$33,M1044=phu!$I$34,M1044=phu!$I$35,M1044=phu!$I$36,M1044=phu!$I$37),"Cam Lộc",""),IF(OR(M1044=phu!$I$38,M1044=phu!$I$39,M1044=phu!$I$40,M1044=phu!$I$41,M1044=phu!$I$42,M1044=phu!$I$43,M1044=phu!$I$44),"Cam Thuận",""),IF(OR(M1044=phu!$I$45,M1044=phu!$I$46,M1044=phu!$I$47,M1044=phu!$I$48,M1044=phu!$I$49,M1044=phu!$I$50,M1044=phu!$I$51,M1044=phu!$I$52,M1044=phu!$I$53),"Cam Linh",""),IF(OR(M1044=phu!$I$54,M1044=phu!$I$55,M1044=phu!$I$56,M1044=phu!$I$57,M1044=phu!$I$58,M1044=phu!$I$59,M1044=phu!$I$60,M1044=phu!$I$61,M1044=phu!$I$62),"Cam Lợi",""),IF(OR(M1044=phu!$I$63,M1044=phu!$I$64,M1044=phu!$I$65,M1044=phu!$I$66,M1044=phu!$I$67,M1044=phu!$I$68,M1044=phu!$I$69,M1044=phu!$I$70,M1044=phu!$I$71),"Ba Ngòi",""),IF(OR(M1044=phu!$I$72,M1044=phu!$I$73,M1044=phu!$I$74,M1044=phu!$I$75,M1044=phu!$I$76,M1044=phu!$I$77,M1044=phu!$I$78),"Cam Phước Đông",""),IF(OR(M1044=phu!$I$79,M1044=phu!$I$80,M1044=phu!$I$81,M1044=phu!$I$82,M1044=phu!$I$83,M1044=phu!$I$84),"Cam Thịnh Đông",""),IF(OR(M1044=phu!$I$85,M1044=phu!$I$86,M1044=phu!$I$87,M1044=phu!$I$88),"Cam Thịnh Tây",""),IF(OR(M1044=phu!$I$89,M1044=phu!$I$90),"Cam Lập",""),IF(OR(M1044=phu!$I$91,M1044=phu!$I$92,M1044=phu!$I$93),"Cam Bình",""),IF(OR(M1044=phu!$I$94,M1044=phu!$I$95,M1044=phu!$I$96,M1044=phu!$I$97,M1044=phu!$I$98,M1044=phu!$I$99,M1044=phu!$I$100),"Huyện khác",""),IF(OR(M1044=phu!$I$101,M1044=phu!$I$102),"Tỉnh khác",""))</f>
        <v/>
      </c>
      <c r="O1044" s="814" t="str">
        <f t="shared" si="97"/>
        <v/>
      </c>
      <c r="P1044" s="254"/>
      <c r="Q1044" s="254"/>
      <c r="R1044" s="254"/>
      <c r="S1044" s="254"/>
      <c r="T1044" s="254"/>
      <c r="U1044" s="254"/>
      <c r="V1044" s="254"/>
      <c r="W1044" s="254"/>
      <c r="Y1044" s="246" t="str">
        <f t="shared" si="98"/>
        <v/>
      </c>
      <c r="Z1044" s="247" t="str">
        <f t="shared" si="96"/>
        <v/>
      </c>
      <c r="AA1044" s="246" t="str">
        <f t="shared" si="99"/>
        <v/>
      </c>
    </row>
    <row r="1045" spans="1:27" x14ac:dyDescent="0.25">
      <c r="A1045" s="248" t="str">
        <f t="shared" si="100"/>
        <v/>
      </c>
      <c r="B1045" s="249" t="str">
        <f t="shared" si="101"/>
        <v/>
      </c>
      <c r="C1045" s="250"/>
      <c r="D1045" s="251"/>
      <c r="E1045" s="241"/>
      <c r="F1045" s="252"/>
      <c r="G1045" s="252"/>
      <c r="H1045" s="253"/>
      <c r="I1045" s="250"/>
      <c r="J1045" s="250"/>
      <c r="K1045" s="270"/>
      <c r="L1045" s="250"/>
      <c r="M1045" s="250"/>
      <c r="N1045" s="553" t="str">
        <f>CONCATENATE(IF(OR(M1045=phu!$I$1,M1045=phu!$I$2,M1045=phu!$I$3),"Cam Thành Nam",""),IF(OR(M1045=phu!$I$4,M1045=phu!$I$5,M1045=phu!$I$6,M1045=phu!$I$7,M1045=phu!$I$8,M1045=phu!$I$9,M1045=phu!$I$10,M1045=phu!$I$11,M1045=phu!$I$12,M1045=phu!$I$13,M1045=phu!$I$14),"Cam Nghĩa",""),IF(OR(M1045=phu!$I$15,M1045=phu!$I$16,M1045=phu!$I$17,M1045=phu!$I$18,M1045=phu!$I$19,M1045=phu!$I$20,M1045=phu!$I$21),"Cam Phúc Bắc",""),IF(OR(M1045=phu!$I$22,M1045=phu!$I$23,M1045=phu!$I$24,M1045=phu!$I$25),"Cam Phúc Nam",""),IF(OR(M1045=phu!$I$26,M1045=phu!$I$27,M1045=phu!$I$28,M1045=phu!$I$29,M1045=phu!$I$30,M1045=phu!$I$31),"Cam Phú",""),IF(OR(M1045=phu!$I$32,M1045=phu!$I$33,M1045=phu!$I$34,M1045=phu!$I$35,M1045=phu!$I$36,M1045=phu!$I$37),"Cam Lộc",""),IF(OR(M1045=phu!$I$38,M1045=phu!$I$39,M1045=phu!$I$40,M1045=phu!$I$41,M1045=phu!$I$42,M1045=phu!$I$43,M1045=phu!$I$44),"Cam Thuận",""),IF(OR(M1045=phu!$I$45,M1045=phu!$I$46,M1045=phu!$I$47,M1045=phu!$I$48,M1045=phu!$I$49,M1045=phu!$I$50,M1045=phu!$I$51,M1045=phu!$I$52,M1045=phu!$I$53),"Cam Linh",""),IF(OR(M1045=phu!$I$54,M1045=phu!$I$55,M1045=phu!$I$56,M1045=phu!$I$57,M1045=phu!$I$58,M1045=phu!$I$59,M1045=phu!$I$60,M1045=phu!$I$61,M1045=phu!$I$62),"Cam Lợi",""),IF(OR(M1045=phu!$I$63,M1045=phu!$I$64,M1045=phu!$I$65,M1045=phu!$I$66,M1045=phu!$I$67,M1045=phu!$I$68,M1045=phu!$I$69,M1045=phu!$I$70,M1045=phu!$I$71),"Ba Ngòi",""),IF(OR(M1045=phu!$I$72,M1045=phu!$I$73,M1045=phu!$I$74,M1045=phu!$I$75,M1045=phu!$I$76,M1045=phu!$I$77,M1045=phu!$I$78),"Cam Phước Đông",""),IF(OR(M1045=phu!$I$79,M1045=phu!$I$80,M1045=phu!$I$81,M1045=phu!$I$82,M1045=phu!$I$83,M1045=phu!$I$84),"Cam Thịnh Đông",""),IF(OR(M1045=phu!$I$85,M1045=phu!$I$86,M1045=phu!$I$87,M1045=phu!$I$88),"Cam Thịnh Tây",""),IF(OR(M1045=phu!$I$89,M1045=phu!$I$90),"Cam Lập",""),IF(OR(M1045=phu!$I$91,M1045=phu!$I$92,M1045=phu!$I$93),"Cam Bình",""),IF(OR(M1045=phu!$I$94,M1045=phu!$I$95,M1045=phu!$I$96,M1045=phu!$I$97,M1045=phu!$I$98,M1045=phu!$I$99,M1045=phu!$I$100),"Huyện khác",""),IF(OR(M1045=phu!$I$101,M1045=phu!$I$102),"Tỉnh khác",""))</f>
        <v/>
      </c>
      <c r="O1045" s="814" t="str">
        <f t="shared" si="97"/>
        <v/>
      </c>
      <c r="P1045" s="254"/>
      <c r="Q1045" s="254"/>
      <c r="R1045" s="254"/>
      <c r="S1045" s="254"/>
      <c r="T1045" s="254"/>
      <c r="U1045" s="254"/>
      <c r="V1045" s="254"/>
      <c r="W1045" s="254"/>
      <c r="Y1045" s="246" t="str">
        <f t="shared" si="98"/>
        <v/>
      </c>
      <c r="Z1045" s="247" t="str">
        <f t="shared" si="96"/>
        <v/>
      </c>
      <c r="AA1045" s="246" t="str">
        <f t="shared" si="99"/>
        <v/>
      </c>
    </row>
    <row r="1046" spans="1:27" x14ac:dyDescent="0.25">
      <c r="A1046" s="248" t="str">
        <f t="shared" si="100"/>
        <v/>
      </c>
      <c r="B1046" s="249" t="str">
        <f t="shared" si="101"/>
        <v/>
      </c>
      <c r="C1046" s="250"/>
      <c r="D1046" s="251"/>
      <c r="E1046" s="241"/>
      <c r="F1046" s="252"/>
      <c r="G1046" s="252"/>
      <c r="H1046" s="253"/>
      <c r="I1046" s="250"/>
      <c r="J1046" s="250"/>
      <c r="K1046" s="270"/>
      <c r="L1046" s="250"/>
      <c r="M1046" s="250"/>
      <c r="N1046" s="553" t="str">
        <f>CONCATENATE(IF(OR(M1046=phu!$I$1,M1046=phu!$I$2,M1046=phu!$I$3),"Cam Thành Nam",""),IF(OR(M1046=phu!$I$4,M1046=phu!$I$5,M1046=phu!$I$6,M1046=phu!$I$7,M1046=phu!$I$8,M1046=phu!$I$9,M1046=phu!$I$10,M1046=phu!$I$11,M1046=phu!$I$12,M1046=phu!$I$13,M1046=phu!$I$14),"Cam Nghĩa",""),IF(OR(M1046=phu!$I$15,M1046=phu!$I$16,M1046=phu!$I$17,M1046=phu!$I$18,M1046=phu!$I$19,M1046=phu!$I$20,M1046=phu!$I$21),"Cam Phúc Bắc",""),IF(OR(M1046=phu!$I$22,M1046=phu!$I$23,M1046=phu!$I$24,M1046=phu!$I$25),"Cam Phúc Nam",""),IF(OR(M1046=phu!$I$26,M1046=phu!$I$27,M1046=phu!$I$28,M1046=phu!$I$29,M1046=phu!$I$30,M1046=phu!$I$31),"Cam Phú",""),IF(OR(M1046=phu!$I$32,M1046=phu!$I$33,M1046=phu!$I$34,M1046=phu!$I$35,M1046=phu!$I$36,M1046=phu!$I$37),"Cam Lộc",""),IF(OR(M1046=phu!$I$38,M1046=phu!$I$39,M1046=phu!$I$40,M1046=phu!$I$41,M1046=phu!$I$42,M1046=phu!$I$43,M1046=phu!$I$44),"Cam Thuận",""),IF(OR(M1046=phu!$I$45,M1046=phu!$I$46,M1046=phu!$I$47,M1046=phu!$I$48,M1046=phu!$I$49,M1046=phu!$I$50,M1046=phu!$I$51,M1046=phu!$I$52,M1046=phu!$I$53),"Cam Linh",""),IF(OR(M1046=phu!$I$54,M1046=phu!$I$55,M1046=phu!$I$56,M1046=phu!$I$57,M1046=phu!$I$58,M1046=phu!$I$59,M1046=phu!$I$60,M1046=phu!$I$61,M1046=phu!$I$62),"Cam Lợi",""),IF(OR(M1046=phu!$I$63,M1046=phu!$I$64,M1046=phu!$I$65,M1046=phu!$I$66,M1046=phu!$I$67,M1046=phu!$I$68,M1046=phu!$I$69,M1046=phu!$I$70,M1046=phu!$I$71),"Ba Ngòi",""),IF(OR(M1046=phu!$I$72,M1046=phu!$I$73,M1046=phu!$I$74,M1046=phu!$I$75,M1046=phu!$I$76,M1046=phu!$I$77,M1046=phu!$I$78),"Cam Phước Đông",""),IF(OR(M1046=phu!$I$79,M1046=phu!$I$80,M1046=phu!$I$81,M1046=phu!$I$82,M1046=phu!$I$83,M1046=phu!$I$84),"Cam Thịnh Đông",""),IF(OR(M1046=phu!$I$85,M1046=phu!$I$86,M1046=phu!$I$87,M1046=phu!$I$88),"Cam Thịnh Tây",""),IF(OR(M1046=phu!$I$89,M1046=phu!$I$90),"Cam Lập",""),IF(OR(M1046=phu!$I$91,M1046=phu!$I$92,M1046=phu!$I$93),"Cam Bình",""),IF(OR(M1046=phu!$I$94,M1046=phu!$I$95,M1046=phu!$I$96,M1046=phu!$I$97,M1046=phu!$I$98,M1046=phu!$I$99,M1046=phu!$I$100),"Huyện khác",""),IF(OR(M1046=phu!$I$101,M1046=phu!$I$102),"Tỉnh khác",""))</f>
        <v/>
      </c>
      <c r="O1046" s="814" t="str">
        <f t="shared" si="97"/>
        <v/>
      </c>
      <c r="P1046" s="254"/>
      <c r="Q1046" s="254"/>
      <c r="R1046" s="254"/>
      <c r="S1046" s="254"/>
      <c r="T1046" s="254"/>
      <c r="U1046" s="254"/>
      <c r="V1046" s="254"/>
      <c r="W1046" s="254"/>
      <c r="Y1046" s="246" t="str">
        <f t="shared" si="98"/>
        <v/>
      </c>
      <c r="Z1046" s="247" t="str">
        <f t="shared" si="96"/>
        <v/>
      </c>
      <c r="AA1046" s="246" t="str">
        <f t="shared" si="99"/>
        <v/>
      </c>
    </row>
    <row r="1047" spans="1:27" x14ac:dyDescent="0.25">
      <c r="A1047" s="248" t="str">
        <f t="shared" si="100"/>
        <v/>
      </c>
      <c r="B1047" s="249" t="str">
        <f t="shared" si="101"/>
        <v/>
      </c>
      <c r="C1047" s="250"/>
      <c r="D1047" s="251"/>
      <c r="E1047" s="241"/>
      <c r="F1047" s="252"/>
      <c r="G1047" s="252"/>
      <c r="H1047" s="253"/>
      <c r="I1047" s="250"/>
      <c r="J1047" s="250"/>
      <c r="K1047" s="270"/>
      <c r="L1047" s="250"/>
      <c r="M1047" s="250"/>
      <c r="N1047" s="553" t="str">
        <f>CONCATENATE(IF(OR(M1047=phu!$I$1,M1047=phu!$I$2,M1047=phu!$I$3),"Cam Thành Nam",""),IF(OR(M1047=phu!$I$4,M1047=phu!$I$5,M1047=phu!$I$6,M1047=phu!$I$7,M1047=phu!$I$8,M1047=phu!$I$9,M1047=phu!$I$10,M1047=phu!$I$11,M1047=phu!$I$12,M1047=phu!$I$13,M1047=phu!$I$14),"Cam Nghĩa",""),IF(OR(M1047=phu!$I$15,M1047=phu!$I$16,M1047=phu!$I$17,M1047=phu!$I$18,M1047=phu!$I$19,M1047=phu!$I$20,M1047=phu!$I$21),"Cam Phúc Bắc",""),IF(OR(M1047=phu!$I$22,M1047=phu!$I$23,M1047=phu!$I$24,M1047=phu!$I$25),"Cam Phúc Nam",""),IF(OR(M1047=phu!$I$26,M1047=phu!$I$27,M1047=phu!$I$28,M1047=phu!$I$29,M1047=phu!$I$30,M1047=phu!$I$31),"Cam Phú",""),IF(OR(M1047=phu!$I$32,M1047=phu!$I$33,M1047=phu!$I$34,M1047=phu!$I$35,M1047=phu!$I$36,M1047=phu!$I$37),"Cam Lộc",""),IF(OR(M1047=phu!$I$38,M1047=phu!$I$39,M1047=phu!$I$40,M1047=phu!$I$41,M1047=phu!$I$42,M1047=phu!$I$43,M1047=phu!$I$44),"Cam Thuận",""),IF(OR(M1047=phu!$I$45,M1047=phu!$I$46,M1047=phu!$I$47,M1047=phu!$I$48,M1047=phu!$I$49,M1047=phu!$I$50,M1047=phu!$I$51,M1047=phu!$I$52,M1047=phu!$I$53),"Cam Linh",""),IF(OR(M1047=phu!$I$54,M1047=phu!$I$55,M1047=phu!$I$56,M1047=phu!$I$57,M1047=phu!$I$58,M1047=phu!$I$59,M1047=phu!$I$60,M1047=phu!$I$61,M1047=phu!$I$62),"Cam Lợi",""),IF(OR(M1047=phu!$I$63,M1047=phu!$I$64,M1047=phu!$I$65,M1047=phu!$I$66,M1047=phu!$I$67,M1047=phu!$I$68,M1047=phu!$I$69,M1047=phu!$I$70,M1047=phu!$I$71),"Ba Ngòi",""),IF(OR(M1047=phu!$I$72,M1047=phu!$I$73,M1047=phu!$I$74,M1047=phu!$I$75,M1047=phu!$I$76,M1047=phu!$I$77,M1047=phu!$I$78),"Cam Phước Đông",""),IF(OR(M1047=phu!$I$79,M1047=phu!$I$80,M1047=phu!$I$81,M1047=phu!$I$82,M1047=phu!$I$83,M1047=phu!$I$84),"Cam Thịnh Đông",""),IF(OR(M1047=phu!$I$85,M1047=phu!$I$86,M1047=phu!$I$87,M1047=phu!$I$88),"Cam Thịnh Tây",""),IF(OR(M1047=phu!$I$89,M1047=phu!$I$90),"Cam Lập",""),IF(OR(M1047=phu!$I$91,M1047=phu!$I$92,M1047=phu!$I$93),"Cam Bình",""),IF(OR(M1047=phu!$I$94,M1047=phu!$I$95,M1047=phu!$I$96,M1047=phu!$I$97,M1047=phu!$I$98,M1047=phu!$I$99,M1047=phu!$I$100),"Huyện khác",""),IF(OR(M1047=phu!$I$101,M1047=phu!$I$102),"Tỉnh khác",""))</f>
        <v/>
      </c>
      <c r="O1047" s="814" t="str">
        <f t="shared" si="97"/>
        <v/>
      </c>
      <c r="P1047" s="254"/>
      <c r="Q1047" s="254"/>
      <c r="R1047" s="254"/>
      <c r="S1047" s="254"/>
      <c r="T1047" s="254"/>
      <c r="U1047" s="254"/>
      <c r="V1047" s="254"/>
      <c r="W1047" s="254"/>
      <c r="Y1047" s="246" t="str">
        <f t="shared" si="98"/>
        <v/>
      </c>
      <c r="Z1047" s="247" t="str">
        <f t="shared" si="96"/>
        <v/>
      </c>
      <c r="AA1047" s="246" t="str">
        <f t="shared" si="99"/>
        <v/>
      </c>
    </row>
    <row r="1048" spans="1:27" x14ac:dyDescent="0.25">
      <c r="A1048" s="248" t="str">
        <f t="shared" si="100"/>
        <v/>
      </c>
      <c r="B1048" s="249" t="str">
        <f t="shared" si="101"/>
        <v/>
      </c>
      <c r="C1048" s="250"/>
      <c r="D1048" s="251"/>
      <c r="E1048" s="241"/>
      <c r="F1048" s="252"/>
      <c r="G1048" s="252"/>
      <c r="H1048" s="253"/>
      <c r="I1048" s="250"/>
      <c r="J1048" s="250"/>
      <c r="K1048" s="270"/>
      <c r="L1048" s="250"/>
      <c r="M1048" s="250"/>
      <c r="N1048" s="553" t="str">
        <f>CONCATENATE(IF(OR(M1048=phu!$I$1,M1048=phu!$I$2,M1048=phu!$I$3),"Cam Thành Nam",""),IF(OR(M1048=phu!$I$4,M1048=phu!$I$5,M1048=phu!$I$6,M1048=phu!$I$7,M1048=phu!$I$8,M1048=phu!$I$9,M1048=phu!$I$10,M1048=phu!$I$11,M1048=phu!$I$12,M1048=phu!$I$13,M1048=phu!$I$14),"Cam Nghĩa",""),IF(OR(M1048=phu!$I$15,M1048=phu!$I$16,M1048=phu!$I$17,M1048=phu!$I$18,M1048=phu!$I$19,M1048=phu!$I$20,M1048=phu!$I$21),"Cam Phúc Bắc",""),IF(OR(M1048=phu!$I$22,M1048=phu!$I$23,M1048=phu!$I$24,M1048=phu!$I$25),"Cam Phúc Nam",""),IF(OR(M1048=phu!$I$26,M1048=phu!$I$27,M1048=phu!$I$28,M1048=phu!$I$29,M1048=phu!$I$30,M1048=phu!$I$31),"Cam Phú",""),IF(OR(M1048=phu!$I$32,M1048=phu!$I$33,M1048=phu!$I$34,M1048=phu!$I$35,M1048=phu!$I$36,M1048=phu!$I$37),"Cam Lộc",""),IF(OR(M1048=phu!$I$38,M1048=phu!$I$39,M1048=phu!$I$40,M1048=phu!$I$41,M1048=phu!$I$42,M1048=phu!$I$43,M1048=phu!$I$44),"Cam Thuận",""),IF(OR(M1048=phu!$I$45,M1048=phu!$I$46,M1048=phu!$I$47,M1048=phu!$I$48,M1048=phu!$I$49,M1048=phu!$I$50,M1048=phu!$I$51,M1048=phu!$I$52,M1048=phu!$I$53),"Cam Linh",""),IF(OR(M1048=phu!$I$54,M1048=phu!$I$55,M1048=phu!$I$56,M1048=phu!$I$57,M1048=phu!$I$58,M1048=phu!$I$59,M1048=phu!$I$60,M1048=phu!$I$61,M1048=phu!$I$62),"Cam Lợi",""),IF(OR(M1048=phu!$I$63,M1048=phu!$I$64,M1048=phu!$I$65,M1048=phu!$I$66,M1048=phu!$I$67,M1048=phu!$I$68,M1048=phu!$I$69,M1048=phu!$I$70,M1048=phu!$I$71),"Ba Ngòi",""),IF(OR(M1048=phu!$I$72,M1048=phu!$I$73,M1048=phu!$I$74,M1048=phu!$I$75,M1048=phu!$I$76,M1048=phu!$I$77,M1048=phu!$I$78),"Cam Phước Đông",""),IF(OR(M1048=phu!$I$79,M1048=phu!$I$80,M1048=phu!$I$81,M1048=phu!$I$82,M1048=phu!$I$83,M1048=phu!$I$84),"Cam Thịnh Đông",""),IF(OR(M1048=phu!$I$85,M1048=phu!$I$86,M1048=phu!$I$87,M1048=phu!$I$88),"Cam Thịnh Tây",""),IF(OR(M1048=phu!$I$89,M1048=phu!$I$90),"Cam Lập",""),IF(OR(M1048=phu!$I$91,M1048=phu!$I$92,M1048=phu!$I$93),"Cam Bình",""),IF(OR(M1048=phu!$I$94,M1048=phu!$I$95,M1048=phu!$I$96,M1048=phu!$I$97,M1048=phu!$I$98,M1048=phu!$I$99,M1048=phu!$I$100),"Huyện khác",""),IF(OR(M1048=phu!$I$101,M1048=phu!$I$102),"Tỉnh khác",""))</f>
        <v/>
      </c>
      <c r="O1048" s="814" t="str">
        <f t="shared" si="97"/>
        <v/>
      </c>
      <c r="P1048" s="254"/>
      <c r="Q1048" s="254"/>
      <c r="R1048" s="254"/>
      <c r="S1048" s="254"/>
      <c r="T1048" s="254"/>
      <c r="U1048" s="254"/>
      <c r="V1048" s="254"/>
      <c r="W1048" s="254"/>
      <c r="Y1048" s="246" t="str">
        <f t="shared" si="98"/>
        <v/>
      </c>
      <c r="Z1048" s="247" t="str">
        <f t="shared" si="96"/>
        <v/>
      </c>
      <c r="AA1048" s="246" t="str">
        <f t="shared" si="99"/>
        <v/>
      </c>
    </row>
    <row r="1049" spans="1:27" x14ac:dyDescent="0.25">
      <c r="A1049" s="248" t="str">
        <f t="shared" si="100"/>
        <v/>
      </c>
      <c r="B1049" s="249" t="str">
        <f t="shared" si="101"/>
        <v/>
      </c>
      <c r="C1049" s="250"/>
      <c r="D1049" s="251"/>
      <c r="E1049" s="241"/>
      <c r="F1049" s="252"/>
      <c r="G1049" s="252"/>
      <c r="H1049" s="253"/>
      <c r="I1049" s="250"/>
      <c r="J1049" s="250"/>
      <c r="K1049" s="270"/>
      <c r="L1049" s="250"/>
      <c r="M1049" s="250"/>
      <c r="N1049" s="553" t="str">
        <f>CONCATENATE(IF(OR(M1049=phu!$I$1,M1049=phu!$I$2,M1049=phu!$I$3),"Cam Thành Nam",""),IF(OR(M1049=phu!$I$4,M1049=phu!$I$5,M1049=phu!$I$6,M1049=phu!$I$7,M1049=phu!$I$8,M1049=phu!$I$9,M1049=phu!$I$10,M1049=phu!$I$11,M1049=phu!$I$12,M1049=phu!$I$13,M1049=phu!$I$14),"Cam Nghĩa",""),IF(OR(M1049=phu!$I$15,M1049=phu!$I$16,M1049=phu!$I$17,M1049=phu!$I$18,M1049=phu!$I$19,M1049=phu!$I$20,M1049=phu!$I$21),"Cam Phúc Bắc",""),IF(OR(M1049=phu!$I$22,M1049=phu!$I$23,M1049=phu!$I$24,M1049=phu!$I$25),"Cam Phúc Nam",""),IF(OR(M1049=phu!$I$26,M1049=phu!$I$27,M1049=phu!$I$28,M1049=phu!$I$29,M1049=phu!$I$30,M1049=phu!$I$31),"Cam Phú",""),IF(OR(M1049=phu!$I$32,M1049=phu!$I$33,M1049=phu!$I$34,M1049=phu!$I$35,M1049=phu!$I$36,M1049=phu!$I$37),"Cam Lộc",""),IF(OR(M1049=phu!$I$38,M1049=phu!$I$39,M1049=phu!$I$40,M1049=phu!$I$41,M1049=phu!$I$42,M1049=phu!$I$43,M1049=phu!$I$44),"Cam Thuận",""),IF(OR(M1049=phu!$I$45,M1049=phu!$I$46,M1049=phu!$I$47,M1049=phu!$I$48,M1049=phu!$I$49,M1049=phu!$I$50,M1049=phu!$I$51,M1049=phu!$I$52,M1049=phu!$I$53),"Cam Linh",""),IF(OR(M1049=phu!$I$54,M1049=phu!$I$55,M1049=phu!$I$56,M1049=phu!$I$57,M1049=phu!$I$58,M1049=phu!$I$59,M1049=phu!$I$60,M1049=phu!$I$61,M1049=phu!$I$62),"Cam Lợi",""),IF(OR(M1049=phu!$I$63,M1049=phu!$I$64,M1049=phu!$I$65,M1049=phu!$I$66,M1049=phu!$I$67,M1049=phu!$I$68,M1049=phu!$I$69,M1049=phu!$I$70,M1049=phu!$I$71),"Ba Ngòi",""),IF(OR(M1049=phu!$I$72,M1049=phu!$I$73,M1049=phu!$I$74,M1049=phu!$I$75,M1049=phu!$I$76,M1049=phu!$I$77,M1049=phu!$I$78),"Cam Phước Đông",""),IF(OR(M1049=phu!$I$79,M1049=phu!$I$80,M1049=phu!$I$81,M1049=phu!$I$82,M1049=phu!$I$83,M1049=phu!$I$84),"Cam Thịnh Đông",""),IF(OR(M1049=phu!$I$85,M1049=phu!$I$86,M1049=phu!$I$87,M1049=phu!$I$88),"Cam Thịnh Tây",""),IF(OR(M1049=phu!$I$89,M1049=phu!$I$90),"Cam Lập",""),IF(OR(M1049=phu!$I$91,M1049=phu!$I$92,M1049=phu!$I$93),"Cam Bình",""),IF(OR(M1049=phu!$I$94,M1049=phu!$I$95,M1049=phu!$I$96,M1049=phu!$I$97,M1049=phu!$I$98,M1049=phu!$I$99,M1049=phu!$I$100),"Huyện khác",""),IF(OR(M1049=phu!$I$101,M1049=phu!$I$102),"Tỉnh khác",""))</f>
        <v/>
      </c>
      <c r="O1049" s="814" t="str">
        <f t="shared" si="97"/>
        <v/>
      </c>
      <c r="P1049" s="254"/>
      <c r="Q1049" s="254"/>
      <c r="R1049" s="254"/>
      <c r="S1049" s="254"/>
      <c r="T1049" s="254"/>
      <c r="U1049" s="254"/>
      <c r="V1049" s="254"/>
      <c r="W1049" s="254"/>
      <c r="Y1049" s="246" t="str">
        <f t="shared" si="98"/>
        <v/>
      </c>
      <c r="Z1049" s="247" t="str">
        <f t="shared" si="96"/>
        <v/>
      </c>
      <c r="AA1049" s="246" t="str">
        <f t="shared" si="99"/>
        <v/>
      </c>
    </row>
    <row r="1050" spans="1:27" x14ac:dyDescent="0.25">
      <c r="A1050" s="248" t="str">
        <f t="shared" si="100"/>
        <v/>
      </c>
      <c r="B1050" s="249" t="str">
        <f t="shared" si="101"/>
        <v/>
      </c>
      <c r="C1050" s="250"/>
      <c r="D1050" s="251"/>
      <c r="E1050" s="241"/>
      <c r="F1050" s="252"/>
      <c r="G1050" s="252"/>
      <c r="H1050" s="253"/>
      <c r="I1050" s="250"/>
      <c r="J1050" s="250"/>
      <c r="K1050" s="270"/>
      <c r="L1050" s="250"/>
      <c r="M1050" s="250"/>
      <c r="N1050" s="553" t="str">
        <f>CONCATENATE(IF(OR(M1050=phu!$I$1,M1050=phu!$I$2,M1050=phu!$I$3),"Cam Thành Nam",""),IF(OR(M1050=phu!$I$4,M1050=phu!$I$5,M1050=phu!$I$6,M1050=phu!$I$7,M1050=phu!$I$8,M1050=phu!$I$9,M1050=phu!$I$10,M1050=phu!$I$11,M1050=phu!$I$12,M1050=phu!$I$13,M1050=phu!$I$14),"Cam Nghĩa",""),IF(OR(M1050=phu!$I$15,M1050=phu!$I$16,M1050=phu!$I$17,M1050=phu!$I$18,M1050=phu!$I$19,M1050=phu!$I$20,M1050=phu!$I$21),"Cam Phúc Bắc",""),IF(OR(M1050=phu!$I$22,M1050=phu!$I$23,M1050=phu!$I$24,M1050=phu!$I$25),"Cam Phúc Nam",""),IF(OR(M1050=phu!$I$26,M1050=phu!$I$27,M1050=phu!$I$28,M1050=phu!$I$29,M1050=phu!$I$30,M1050=phu!$I$31),"Cam Phú",""),IF(OR(M1050=phu!$I$32,M1050=phu!$I$33,M1050=phu!$I$34,M1050=phu!$I$35,M1050=phu!$I$36,M1050=phu!$I$37),"Cam Lộc",""),IF(OR(M1050=phu!$I$38,M1050=phu!$I$39,M1050=phu!$I$40,M1050=phu!$I$41,M1050=phu!$I$42,M1050=phu!$I$43,M1050=phu!$I$44),"Cam Thuận",""),IF(OR(M1050=phu!$I$45,M1050=phu!$I$46,M1050=phu!$I$47,M1050=phu!$I$48,M1050=phu!$I$49,M1050=phu!$I$50,M1050=phu!$I$51,M1050=phu!$I$52,M1050=phu!$I$53),"Cam Linh",""),IF(OR(M1050=phu!$I$54,M1050=phu!$I$55,M1050=phu!$I$56,M1050=phu!$I$57,M1050=phu!$I$58,M1050=phu!$I$59,M1050=phu!$I$60,M1050=phu!$I$61,M1050=phu!$I$62),"Cam Lợi",""),IF(OR(M1050=phu!$I$63,M1050=phu!$I$64,M1050=phu!$I$65,M1050=phu!$I$66,M1050=phu!$I$67,M1050=phu!$I$68,M1050=phu!$I$69,M1050=phu!$I$70,M1050=phu!$I$71),"Ba Ngòi",""),IF(OR(M1050=phu!$I$72,M1050=phu!$I$73,M1050=phu!$I$74,M1050=phu!$I$75,M1050=phu!$I$76,M1050=phu!$I$77,M1050=phu!$I$78),"Cam Phước Đông",""),IF(OR(M1050=phu!$I$79,M1050=phu!$I$80,M1050=phu!$I$81,M1050=phu!$I$82,M1050=phu!$I$83,M1050=phu!$I$84),"Cam Thịnh Đông",""),IF(OR(M1050=phu!$I$85,M1050=phu!$I$86,M1050=phu!$I$87,M1050=phu!$I$88),"Cam Thịnh Tây",""),IF(OR(M1050=phu!$I$89,M1050=phu!$I$90),"Cam Lập",""),IF(OR(M1050=phu!$I$91,M1050=phu!$I$92,M1050=phu!$I$93),"Cam Bình",""),IF(OR(M1050=phu!$I$94,M1050=phu!$I$95,M1050=phu!$I$96,M1050=phu!$I$97,M1050=phu!$I$98,M1050=phu!$I$99,M1050=phu!$I$100),"Huyện khác",""),IF(OR(M1050=phu!$I$101,M1050=phu!$I$102),"Tỉnh khác",""))</f>
        <v/>
      </c>
      <c r="O1050" s="814" t="str">
        <f t="shared" si="97"/>
        <v/>
      </c>
      <c r="P1050" s="254"/>
      <c r="Q1050" s="254"/>
      <c r="R1050" s="254"/>
      <c r="S1050" s="254"/>
      <c r="T1050" s="254"/>
      <c r="U1050" s="254"/>
      <c r="V1050" s="254"/>
      <c r="W1050" s="254"/>
      <c r="Y1050" s="246" t="str">
        <f t="shared" si="98"/>
        <v/>
      </c>
      <c r="Z1050" s="247" t="str">
        <f t="shared" si="96"/>
        <v/>
      </c>
      <c r="AA1050" s="246" t="str">
        <f t="shared" si="99"/>
        <v/>
      </c>
    </row>
    <row r="1051" spans="1:27" x14ac:dyDescent="0.25">
      <c r="A1051" s="248" t="str">
        <f t="shared" si="100"/>
        <v/>
      </c>
      <c r="B1051" s="249" t="str">
        <f t="shared" si="101"/>
        <v/>
      </c>
      <c r="C1051" s="250"/>
      <c r="D1051" s="251"/>
      <c r="E1051" s="241"/>
      <c r="F1051" s="252"/>
      <c r="G1051" s="252"/>
      <c r="H1051" s="253"/>
      <c r="I1051" s="250"/>
      <c r="J1051" s="250"/>
      <c r="K1051" s="270"/>
      <c r="L1051" s="250"/>
      <c r="M1051" s="250"/>
      <c r="N1051" s="553" t="str">
        <f>CONCATENATE(IF(OR(M1051=phu!$I$1,M1051=phu!$I$2,M1051=phu!$I$3),"Cam Thành Nam",""),IF(OR(M1051=phu!$I$4,M1051=phu!$I$5,M1051=phu!$I$6,M1051=phu!$I$7,M1051=phu!$I$8,M1051=phu!$I$9,M1051=phu!$I$10,M1051=phu!$I$11,M1051=phu!$I$12,M1051=phu!$I$13,M1051=phu!$I$14),"Cam Nghĩa",""),IF(OR(M1051=phu!$I$15,M1051=phu!$I$16,M1051=phu!$I$17,M1051=phu!$I$18,M1051=phu!$I$19,M1051=phu!$I$20,M1051=phu!$I$21),"Cam Phúc Bắc",""),IF(OR(M1051=phu!$I$22,M1051=phu!$I$23,M1051=phu!$I$24,M1051=phu!$I$25),"Cam Phúc Nam",""),IF(OR(M1051=phu!$I$26,M1051=phu!$I$27,M1051=phu!$I$28,M1051=phu!$I$29,M1051=phu!$I$30,M1051=phu!$I$31),"Cam Phú",""),IF(OR(M1051=phu!$I$32,M1051=phu!$I$33,M1051=phu!$I$34,M1051=phu!$I$35,M1051=phu!$I$36,M1051=phu!$I$37),"Cam Lộc",""),IF(OR(M1051=phu!$I$38,M1051=phu!$I$39,M1051=phu!$I$40,M1051=phu!$I$41,M1051=phu!$I$42,M1051=phu!$I$43,M1051=phu!$I$44),"Cam Thuận",""),IF(OR(M1051=phu!$I$45,M1051=phu!$I$46,M1051=phu!$I$47,M1051=phu!$I$48,M1051=phu!$I$49,M1051=phu!$I$50,M1051=phu!$I$51,M1051=phu!$I$52,M1051=phu!$I$53),"Cam Linh",""),IF(OR(M1051=phu!$I$54,M1051=phu!$I$55,M1051=phu!$I$56,M1051=phu!$I$57,M1051=phu!$I$58,M1051=phu!$I$59,M1051=phu!$I$60,M1051=phu!$I$61,M1051=phu!$I$62),"Cam Lợi",""),IF(OR(M1051=phu!$I$63,M1051=phu!$I$64,M1051=phu!$I$65,M1051=phu!$I$66,M1051=phu!$I$67,M1051=phu!$I$68,M1051=phu!$I$69,M1051=phu!$I$70,M1051=phu!$I$71),"Ba Ngòi",""),IF(OR(M1051=phu!$I$72,M1051=phu!$I$73,M1051=phu!$I$74,M1051=phu!$I$75,M1051=phu!$I$76,M1051=phu!$I$77,M1051=phu!$I$78),"Cam Phước Đông",""),IF(OR(M1051=phu!$I$79,M1051=phu!$I$80,M1051=phu!$I$81,M1051=phu!$I$82,M1051=phu!$I$83,M1051=phu!$I$84),"Cam Thịnh Đông",""),IF(OR(M1051=phu!$I$85,M1051=phu!$I$86,M1051=phu!$I$87,M1051=phu!$I$88),"Cam Thịnh Tây",""),IF(OR(M1051=phu!$I$89,M1051=phu!$I$90),"Cam Lập",""),IF(OR(M1051=phu!$I$91,M1051=phu!$I$92,M1051=phu!$I$93),"Cam Bình",""),IF(OR(M1051=phu!$I$94,M1051=phu!$I$95,M1051=phu!$I$96,M1051=phu!$I$97,M1051=phu!$I$98,M1051=phu!$I$99,M1051=phu!$I$100),"Huyện khác",""),IF(OR(M1051=phu!$I$101,M1051=phu!$I$102),"Tỉnh khác",""))</f>
        <v/>
      </c>
      <c r="O1051" s="814" t="str">
        <f t="shared" si="97"/>
        <v/>
      </c>
      <c r="P1051" s="254"/>
      <c r="Q1051" s="254"/>
      <c r="R1051" s="254"/>
      <c r="S1051" s="254"/>
      <c r="T1051" s="254"/>
      <c r="U1051" s="254"/>
      <c r="V1051" s="254"/>
      <c r="W1051" s="254"/>
      <c r="Y1051" s="246" t="str">
        <f t="shared" si="98"/>
        <v/>
      </c>
      <c r="Z1051" s="247" t="str">
        <f t="shared" si="96"/>
        <v/>
      </c>
      <c r="AA1051" s="246" t="str">
        <f t="shared" si="99"/>
        <v/>
      </c>
    </row>
    <row r="1052" spans="1:27" x14ac:dyDescent="0.25">
      <c r="A1052" s="248" t="str">
        <f t="shared" si="100"/>
        <v/>
      </c>
      <c r="B1052" s="249" t="str">
        <f t="shared" si="101"/>
        <v/>
      </c>
      <c r="C1052" s="250"/>
      <c r="D1052" s="251"/>
      <c r="E1052" s="241"/>
      <c r="F1052" s="252"/>
      <c r="G1052" s="252"/>
      <c r="H1052" s="253"/>
      <c r="I1052" s="250"/>
      <c r="J1052" s="250"/>
      <c r="K1052" s="270"/>
      <c r="L1052" s="250"/>
      <c r="M1052" s="250"/>
      <c r="N1052" s="553" t="str">
        <f>CONCATENATE(IF(OR(M1052=phu!$I$1,M1052=phu!$I$2,M1052=phu!$I$3),"Cam Thành Nam",""),IF(OR(M1052=phu!$I$4,M1052=phu!$I$5,M1052=phu!$I$6,M1052=phu!$I$7,M1052=phu!$I$8,M1052=phu!$I$9,M1052=phu!$I$10,M1052=phu!$I$11,M1052=phu!$I$12,M1052=phu!$I$13,M1052=phu!$I$14),"Cam Nghĩa",""),IF(OR(M1052=phu!$I$15,M1052=phu!$I$16,M1052=phu!$I$17,M1052=phu!$I$18,M1052=phu!$I$19,M1052=phu!$I$20,M1052=phu!$I$21),"Cam Phúc Bắc",""),IF(OR(M1052=phu!$I$22,M1052=phu!$I$23,M1052=phu!$I$24,M1052=phu!$I$25),"Cam Phúc Nam",""),IF(OR(M1052=phu!$I$26,M1052=phu!$I$27,M1052=phu!$I$28,M1052=phu!$I$29,M1052=phu!$I$30,M1052=phu!$I$31),"Cam Phú",""),IF(OR(M1052=phu!$I$32,M1052=phu!$I$33,M1052=phu!$I$34,M1052=phu!$I$35,M1052=phu!$I$36,M1052=phu!$I$37),"Cam Lộc",""),IF(OR(M1052=phu!$I$38,M1052=phu!$I$39,M1052=phu!$I$40,M1052=phu!$I$41,M1052=phu!$I$42,M1052=phu!$I$43,M1052=phu!$I$44),"Cam Thuận",""),IF(OR(M1052=phu!$I$45,M1052=phu!$I$46,M1052=phu!$I$47,M1052=phu!$I$48,M1052=phu!$I$49,M1052=phu!$I$50,M1052=phu!$I$51,M1052=phu!$I$52,M1052=phu!$I$53),"Cam Linh",""),IF(OR(M1052=phu!$I$54,M1052=phu!$I$55,M1052=phu!$I$56,M1052=phu!$I$57,M1052=phu!$I$58,M1052=phu!$I$59,M1052=phu!$I$60,M1052=phu!$I$61,M1052=phu!$I$62),"Cam Lợi",""),IF(OR(M1052=phu!$I$63,M1052=phu!$I$64,M1052=phu!$I$65,M1052=phu!$I$66,M1052=phu!$I$67,M1052=phu!$I$68,M1052=phu!$I$69,M1052=phu!$I$70,M1052=phu!$I$71),"Ba Ngòi",""),IF(OR(M1052=phu!$I$72,M1052=phu!$I$73,M1052=phu!$I$74,M1052=phu!$I$75,M1052=phu!$I$76,M1052=phu!$I$77,M1052=phu!$I$78),"Cam Phước Đông",""),IF(OR(M1052=phu!$I$79,M1052=phu!$I$80,M1052=phu!$I$81,M1052=phu!$I$82,M1052=phu!$I$83,M1052=phu!$I$84),"Cam Thịnh Đông",""),IF(OR(M1052=phu!$I$85,M1052=phu!$I$86,M1052=phu!$I$87,M1052=phu!$I$88),"Cam Thịnh Tây",""),IF(OR(M1052=phu!$I$89,M1052=phu!$I$90),"Cam Lập",""),IF(OR(M1052=phu!$I$91,M1052=phu!$I$92,M1052=phu!$I$93),"Cam Bình",""),IF(OR(M1052=phu!$I$94,M1052=phu!$I$95,M1052=phu!$I$96,M1052=phu!$I$97,M1052=phu!$I$98,M1052=phu!$I$99,M1052=phu!$I$100),"Huyện khác",""),IF(OR(M1052=phu!$I$101,M1052=phu!$I$102),"Tỉnh khác",""))</f>
        <v/>
      </c>
      <c r="O1052" s="814" t="str">
        <f t="shared" si="97"/>
        <v/>
      </c>
      <c r="P1052" s="254"/>
      <c r="Q1052" s="254"/>
      <c r="R1052" s="254"/>
      <c r="S1052" s="254"/>
      <c r="T1052" s="254"/>
      <c r="U1052" s="254"/>
      <c r="V1052" s="254"/>
      <c r="W1052" s="254"/>
      <c r="Y1052" s="246" t="str">
        <f t="shared" si="98"/>
        <v/>
      </c>
      <c r="Z1052" s="247" t="str">
        <f t="shared" si="96"/>
        <v/>
      </c>
      <c r="AA1052" s="246" t="str">
        <f t="shared" si="99"/>
        <v/>
      </c>
    </row>
    <row r="1053" spans="1:27" x14ac:dyDescent="0.25">
      <c r="A1053" s="248" t="str">
        <f t="shared" si="100"/>
        <v/>
      </c>
      <c r="B1053" s="249" t="str">
        <f t="shared" si="101"/>
        <v/>
      </c>
      <c r="C1053" s="250"/>
      <c r="D1053" s="251"/>
      <c r="E1053" s="241"/>
      <c r="F1053" s="252"/>
      <c r="G1053" s="252"/>
      <c r="H1053" s="253"/>
      <c r="I1053" s="250"/>
      <c r="J1053" s="250"/>
      <c r="K1053" s="270"/>
      <c r="L1053" s="250"/>
      <c r="M1053" s="250"/>
      <c r="N1053" s="553" t="str">
        <f>CONCATENATE(IF(OR(M1053=phu!$I$1,M1053=phu!$I$2,M1053=phu!$I$3),"Cam Thành Nam",""),IF(OR(M1053=phu!$I$4,M1053=phu!$I$5,M1053=phu!$I$6,M1053=phu!$I$7,M1053=phu!$I$8,M1053=phu!$I$9,M1053=phu!$I$10,M1053=phu!$I$11,M1053=phu!$I$12,M1053=phu!$I$13,M1053=phu!$I$14),"Cam Nghĩa",""),IF(OR(M1053=phu!$I$15,M1053=phu!$I$16,M1053=phu!$I$17,M1053=phu!$I$18,M1053=phu!$I$19,M1053=phu!$I$20,M1053=phu!$I$21),"Cam Phúc Bắc",""),IF(OR(M1053=phu!$I$22,M1053=phu!$I$23,M1053=phu!$I$24,M1053=phu!$I$25),"Cam Phúc Nam",""),IF(OR(M1053=phu!$I$26,M1053=phu!$I$27,M1053=phu!$I$28,M1053=phu!$I$29,M1053=phu!$I$30,M1053=phu!$I$31),"Cam Phú",""),IF(OR(M1053=phu!$I$32,M1053=phu!$I$33,M1053=phu!$I$34,M1053=phu!$I$35,M1053=phu!$I$36,M1053=phu!$I$37),"Cam Lộc",""),IF(OR(M1053=phu!$I$38,M1053=phu!$I$39,M1053=phu!$I$40,M1053=phu!$I$41,M1053=phu!$I$42,M1053=phu!$I$43,M1053=phu!$I$44),"Cam Thuận",""),IF(OR(M1053=phu!$I$45,M1053=phu!$I$46,M1053=phu!$I$47,M1053=phu!$I$48,M1053=phu!$I$49,M1053=phu!$I$50,M1053=phu!$I$51,M1053=phu!$I$52,M1053=phu!$I$53),"Cam Linh",""),IF(OR(M1053=phu!$I$54,M1053=phu!$I$55,M1053=phu!$I$56,M1053=phu!$I$57,M1053=phu!$I$58,M1053=phu!$I$59,M1053=phu!$I$60,M1053=phu!$I$61,M1053=phu!$I$62),"Cam Lợi",""),IF(OR(M1053=phu!$I$63,M1053=phu!$I$64,M1053=phu!$I$65,M1053=phu!$I$66,M1053=phu!$I$67,M1053=phu!$I$68,M1053=phu!$I$69,M1053=phu!$I$70,M1053=phu!$I$71),"Ba Ngòi",""),IF(OR(M1053=phu!$I$72,M1053=phu!$I$73,M1053=phu!$I$74,M1053=phu!$I$75,M1053=phu!$I$76,M1053=phu!$I$77,M1053=phu!$I$78),"Cam Phước Đông",""),IF(OR(M1053=phu!$I$79,M1053=phu!$I$80,M1053=phu!$I$81,M1053=phu!$I$82,M1053=phu!$I$83,M1053=phu!$I$84),"Cam Thịnh Đông",""),IF(OR(M1053=phu!$I$85,M1053=phu!$I$86,M1053=phu!$I$87,M1053=phu!$I$88),"Cam Thịnh Tây",""),IF(OR(M1053=phu!$I$89,M1053=phu!$I$90),"Cam Lập",""),IF(OR(M1053=phu!$I$91,M1053=phu!$I$92,M1053=phu!$I$93),"Cam Bình",""),IF(OR(M1053=phu!$I$94,M1053=phu!$I$95,M1053=phu!$I$96,M1053=phu!$I$97,M1053=phu!$I$98,M1053=phu!$I$99,M1053=phu!$I$100),"Huyện khác",""),IF(OR(M1053=phu!$I$101,M1053=phu!$I$102),"Tỉnh khác",""))</f>
        <v/>
      </c>
      <c r="O1053" s="814" t="str">
        <f t="shared" si="97"/>
        <v/>
      </c>
      <c r="P1053" s="254"/>
      <c r="Q1053" s="254"/>
      <c r="R1053" s="254"/>
      <c r="S1053" s="254"/>
      <c r="T1053" s="254"/>
      <c r="U1053" s="254"/>
      <c r="V1053" s="254"/>
      <c r="W1053" s="254"/>
      <c r="Y1053" s="246" t="str">
        <f t="shared" si="98"/>
        <v/>
      </c>
      <c r="Z1053" s="247" t="str">
        <f t="shared" si="96"/>
        <v/>
      </c>
      <c r="AA1053" s="246" t="str">
        <f t="shared" si="99"/>
        <v/>
      </c>
    </row>
    <row r="1054" spans="1:27" x14ac:dyDescent="0.25">
      <c r="A1054" s="248" t="str">
        <f t="shared" si="100"/>
        <v/>
      </c>
      <c r="B1054" s="249" t="str">
        <f t="shared" si="101"/>
        <v/>
      </c>
      <c r="C1054" s="250"/>
      <c r="D1054" s="251"/>
      <c r="E1054" s="241"/>
      <c r="F1054" s="252"/>
      <c r="G1054" s="252"/>
      <c r="H1054" s="253"/>
      <c r="I1054" s="250"/>
      <c r="J1054" s="250"/>
      <c r="K1054" s="270"/>
      <c r="L1054" s="250"/>
      <c r="M1054" s="250"/>
      <c r="N1054" s="553" t="str">
        <f>CONCATENATE(IF(OR(M1054=phu!$I$1,M1054=phu!$I$2,M1054=phu!$I$3),"Cam Thành Nam",""),IF(OR(M1054=phu!$I$4,M1054=phu!$I$5,M1054=phu!$I$6,M1054=phu!$I$7,M1054=phu!$I$8,M1054=phu!$I$9,M1054=phu!$I$10,M1054=phu!$I$11,M1054=phu!$I$12,M1054=phu!$I$13,M1054=phu!$I$14),"Cam Nghĩa",""),IF(OR(M1054=phu!$I$15,M1054=phu!$I$16,M1054=phu!$I$17,M1054=phu!$I$18,M1054=phu!$I$19,M1054=phu!$I$20,M1054=phu!$I$21),"Cam Phúc Bắc",""),IF(OR(M1054=phu!$I$22,M1054=phu!$I$23,M1054=phu!$I$24,M1054=phu!$I$25),"Cam Phúc Nam",""),IF(OR(M1054=phu!$I$26,M1054=phu!$I$27,M1054=phu!$I$28,M1054=phu!$I$29,M1054=phu!$I$30,M1054=phu!$I$31),"Cam Phú",""),IF(OR(M1054=phu!$I$32,M1054=phu!$I$33,M1054=phu!$I$34,M1054=phu!$I$35,M1054=phu!$I$36,M1054=phu!$I$37),"Cam Lộc",""),IF(OR(M1054=phu!$I$38,M1054=phu!$I$39,M1054=phu!$I$40,M1054=phu!$I$41,M1054=phu!$I$42,M1054=phu!$I$43,M1054=phu!$I$44),"Cam Thuận",""),IF(OR(M1054=phu!$I$45,M1054=phu!$I$46,M1054=phu!$I$47,M1054=phu!$I$48,M1054=phu!$I$49,M1054=phu!$I$50,M1054=phu!$I$51,M1054=phu!$I$52,M1054=phu!$I$53),"Cam Linh",""),IF(OR(M1054=phu!$I$54,M1054=phu!$I$55,M1054=phu!$I$56,M1054=phu!$I$57,M1054=phu!$I$58,M1054=phu!$I$59,M1054=phu!$I$60,M1054=phu!$I$61,M1054=phu!$I$62),"Cam Lợi",""),IF(OR(M1054=phu!$I$63,M1054=phu!$I$64,M1054=phu!$I$65,M1054=phu!$I$66,M1054=phu!$I$67,M1054=phu!$I$68,M1054=phu!$I$69,M1054=phu!$I$70,M1054=phu!$I$71),"Ba Ngòi",""),IF(OR(M1054=phu!$I$72,M1054=phu!$I$73,M1054=phu!$I$74,M1054=phu!$I$75,M1054=phu!$I$76,M1054=phu!$I$77,M1054=phu!$I$78),"Cam Phước Đông",""),IF(OR(M1054=phu!$I$79,M1054=phu!$I$80,M1054=phu!$I$81,M1054=phu!$I$82,M1054=phu!$I$83,M1054=phu!$I$84),"Cam Thịnh Đông",""),IF(OR(M1054=phu!$I$85,M1054=phu!$I$86,M1054=phu!$I$87,M1054=phu!$I$88),"Cam Thịnh Tây",""),IF(OR(M1054=phu!$I$89,M1054=phu!$I$90),"Cam Lập",""),IF(OR(M1054=phu!$I$91,M1054=phu!$I$92,M1054=phu!$I$93),"Cam Bình",""),IF(OR(M1054=phu!$I$94,M1054=phu!$I$95,M1054=phu!$I$96,M1054=phu!$I$97,M1054=phu!$I$98,M1054=phu!$I$99,M1054=phu!$I$100),"Huyện khác",""),IF(OR(M1054=phu!$I$101,M1054=phu!$I$102),"Tỉnh khác",""))</f>
        <v/>
      </c>
      <c r="O1054" s="814" t="str">
        <f t="shared" si="97"/>
        <v/>
      </c>
      <c r="P1054" s="254"/>
      <c r="Q1054" s="254"/>
      <c r="R1054" s="254"/>
      <c r="S1054" s="254"/>
      <c r="T1054" s="254"/>
      <c r="U1054" s="254"/>
      <c r="V1054" s="254"/>
      <c r="W1054" s="254"/>
      <c r="Y1054" s="246" t="str">
        <f t="shared" si="98"/>
        <v/>
      </c>
      <c r="Z1054" s="247" t="str">
        <f t="shared" si="96"/>
        <v/>
      </c>
      <c r="AA1054" s="246" t="str">
        <f t="shared" si="99"/>
        <v/>
      </c>
    </row>
    <row r="1055" spans="1:27" x14ac:dyDescent="0.25">
      <c r="A1055" s="248" t="str">
        <f t="shared" si="100"/>
        <v/>
      </c>
      <c r="B1055" s="249" t="str">
        <f t="shared" si="101"/>
        <v/>
      </c>
      <c r="C1055" s="250"/>
      <c r="D1055" s="251"/>
      <c r="E1055" s="241"/>
      <c r="F1055" s="252"/>
      <c r="G1055" s="252"/>
      <c r="H1055" s="253"/>
      <c r="I1055" s="250"/>
      <c r="J1055" s="250"/>
      <c r="K1055" s="270"/>
      <c r="L1055" s="250"/>
      <c r="M1055" s="250"/>
      <c r="N1055" s="553" t="str">
        <f>CONCATENATE(IF(OR(M1055=phu!$I$1,M1055=phu!$I$2,M1055=phu!$I$3),"Cam Thành Nam",""),IF(OR(M1055=phu!$I$4,M1055=phu!$I$5,M1055=phu!$I$6,M1055=phu!$I$7,M1055=phu!$I$8,M1055=phu!$I$9,M1055=phu!$I$10,M1055=phu!$I$11,M1055=phu!$I$12,M1055=phu!$I$13,M1055=phu!$I$14),"Cam Nghĩa",""),IF(OR(M1055=phu!$I$15,M1055=phu!$I$16,M1055=phu!$I$17,M1055=phu!$I$18,M1055=phu!$I$19,M1055=phu!$I$20,M1055=phu!$I$21),"Cam Phúc Bắc",""),IF(OR(M1055=phu!$I$22,M1055=phu!$I$23,M1055=phu!$I$24,M1055=phu!$I$25),"Cam Phúc Nam",""),IF(OR(M1055=phu!$I$26,M1055=phu!$I$27,M1055=phu!$I$28,M1055=phu!$I$29,M1055=phu!$I$30,M1055=phu!$I$31),"Cam Phú",""),IF(OR(M1055=phu!$I$32,M1055=phu!$I$33,M1055=phu!$I$34,M1055=phu!$I$35,M1055=phu!$I$36,M1055=phu!$I$37),"Cam Lộc",""),IF(OR(M1055=phu!$I$38,M1055=phu!$I$39,M1055=phu!$I$40,M1055=phu!$I$41,M1055=phu!$I$42,M1055=phu!$I$43,M1055=phu!$I$44),"Cam Thuận",""),IF(OR(M1055=phu!$I$45,M1055=phu!$I$46,M1055=phu!$I$47,M1055=phu!$I$48,M1055=phu!$I$49,M1055=phu!$I$50,M1055=phu!$I$51,M1055=phu!$I$52,M1055=phu!$I$53),"Cam Linh",""),IF(OR(M1055=phu!$I$54,M1055=phu!$I$55,M1055=phu!$I$56,M1055=phu!$I$57,M1055=phu!$I$58,M1055=phu!$I$59,M1055=phu!$I$60,M1055=phu!$I$61,M1055=phu!$I$62),"Cam Lợi",""),IF(OR(M1055=phu!$I$63,M1055=phu!$I$64,M1055=phu!$I$65,M1055=phu!$I$66,M1055=phu!$I$67,M1055=phu!$I$68,M1055=phu!$I$69,M1055=phu!$I$70,M1055=phu!$I$71),"Ba Ngòi",""),IF(OR(M1055=phu!$I$72,M1055=phu!$I$73,M1055=phu!$I$74,M1055=phu!$I$75,M1055=phu!$I$76,M1055=phu!$I$77,M1055=phu!$I$78),"Cam Phước Đông",""),IF(OR(M1055=phu!$I$79,M1055=phu!$I$80,M1055=phu!$I$81,M1055=phu!$I$82,M1055=phu!$I$83,M1055=phu!$I$84),"Cam Thịnh Đông",""),IF(OR(M1055=phu!$I$85,M1055=phu!$I$86,M1055=phu!$I$87,M1055=phu!$I$88),"Cam Thịnh Tây",""),IF(OR(M1055=phu!$I$89,M1055=phu!$I$90),"Cam Lập",""),IF(OR(M1055=phu!$I$91,M1055=phu!$I$92,M1055=phu!$I$93),"Cam Bình",""),IF(OR(M1055=phu!$I$94,M1055=phu!$I$95,M1055=phu!$I$96,M1055=phu!$I$97,M1055=phu!$I$98,M1055=phu!$I$99,M1055=phu!$I$100),"Huyện khác",""),IF(OR(M1055=phu!$I$101,M1055=phu!$I$102),"Tỉnh khác",""))</f>
        <v/>
      </c>
      <c r="O1055" s="814" t="str">
        <f t="shared" si="97"/>
        <v/>
      </c>
      <c r="P1055" s="254"/>
      <c r="Q1055" s="254"/>
      <c r="R1055" s="254"/>
      <c r="S1055" s="254"/>
      <c r="T1055" s="254"/>
      <c r="U1055" s="254"/>
      <c r="V1055" s="254"/>
      <c r="W1055" s="254"/>
      <c r="Y1055" s="246" t="str">
        <f t="shared" si="98"/>
        <v/>
      </c>
      <c r="Z1055" s="247" t="str">
        <f t="shared" si="96"/>
        <v/>
      </c>
      <c r="AA1055" s="246" t="str">
        <f t="shared" si="99"/>
        <v/>
      </c>
    </row>
    <row r="1056" spans="1:27" x14ac:dyDescent="0.25">
      <c r="A1056" s="248" t="str">
        <f t="shared" si="100"/>
        <v/>
      </c>
      <c r="B1056" s="249" t="str">
        <f t="shared" si="101"/>
        <v/>
      </c>
      <c r="C1056" s="250"/>
      <c r="D1056" s="251"/>
      <c r="E1056" s="241"/>
      <c r="F1056" s="252"/>
      <c r="G1056" s="252"/>
      <c r="H1056" s="253"/>
      <c r="I1056" s="250"/>
      <c r="J1056" s="250"/>
      <c r="K1056" s="270"/>
      <c r="L1056" s="250"/>
      <c r="M1056" s="250"/>
      <c r="N1056" s="553" t="str">
        <f>CONCATENATE(IF(OR(M1056=phu!$I$1,M1056=phu!$I$2,M1056=phu!$I$3),"Cam Thành Nam",""),IF(OR(M1056=phu!$I$4,M1056=phu!$I$5,M1056=phu!$I$6,M1056=phu!$I$7,M1056=phu!$I$8,M1056=phu!$I$9,M1056=phu!$I$10,M1056=phu!$I$11,M1056=phu!$I$12,M1056=phu!$I$13,M1056=phu!$I$14),"Cam Nghĩa",""),IF(OR(M1056=phu!$I$15,M1056=phu!$I$16,M1056=phu!$I$17,M1056=phu!$I$18,M1056=phu!$I$19,M1056=phu!$I$20,M1056=phu!$I$21),"Cam Phúc Bắc",""),IF(OR(M1056=phu!$I$22,M1056=phu!$I$23,M1056=phu!$I$24,M1056=phu!$I$25),"Cam Phúc Nam",""),IF(OR(M1056=phu!$I$26,M1056=phu!$I$27,M1056=phu!$I$28,M1056=phu!$I$29,M1056=phu!$I$30,M1056=phu!$I$31),"Cam Phú",""),IF(OR(M1056=phu!$I$32,M1056=phu!$I$33,M1056=phu!$I$34,M1056=phu!$I$35,M1056=phu!$I$36,M1056=phu!$I$37),"Cam Lộc",""),IF(OR(M1056=phu!$I$38,M1056=phu!$I$39,M1056=phu!$I$40,M1056=phu!$I$41,M1056=phu!$I$42,M1056=phu!$I$43,M1056=phu!$I$44),"Cam Thuận",""),IF(OR(M1056=phu!$I$45,M1056=phu!$I$46,M1056=phu!$I$47,M1056=phu!$I$48,M1056=phu!$I$49,M1056=phu!$I$50,M1056=phu!$I$51,M1056=phu!$I$52,M1056=phu!$I$53),"Cam Linh",""),IF(OR(M1056=phu!$I$54,M1056=phu!$I$55,M1056=phu!$I$56,M1056=phu!$I$57,M1056=phu!$I$58,M1056=phu!$I$59,M1056=phu!$I$60,M1056=phu!$I$61,M1056=phu!$I$62),"Cam Lợi",""),IF(OR(M1056=phu!$I$63,M1056=phu!$I$64,M1056=phu!$I$65,M1056=phu!$I$66,M1056=phu!$I$67,M1056=phu!$I$68,M1056=phu!$I$69,M1056=phu!$I$70,M1056=phu!$I$71),"Ba Ngòi",""),IF(OR(M1056=phu!$I$72,M1056=phu!$I$73,M1056=phu!$I$74,M1056=phu!$I$75,M1056=phu!$I$76,M1056=phu!$I$77,M1056=phu!$I$78),"Cam Phước Đông",""),IF(OR(M1056=phu!$I$79,M1056=phu!$I$80,M1056=phu!$I$81,M1056=phu!$I$82,M1056=phu!$I$83,M1056=phu!$I$84),"Cam Thịnh Đông",""),IF(OR(M1056=phu!$I$85,M1056=phu!$I$86,M1056=phu!$I$87,M1056=phu!$I$88),"Cam Thịnh Tây",""),IF(OR(M1056=phu!$I$89,M1056=phu!$I$90),"Cam Lập",""),IF(OR(M1056=phu!$I$91,M1056=phu!$I$92,M1056=phu!$I$93),"Cam Bình",""),IF(OR(M1056=phu!$I$94,M1056=phu!$I$95,M1056=phu!$I$96,M1056=phu!$I$97,M1056=phu!$I$98,M1056=phu!$I$99,M1056=phu!$I$100),"Huyện khác",""),IF(OR(M1056=phu!$I$101,M1056=phu!$I$102),"Tỉnh khác",""))</f>
        <v/>
      </c>
      <c r="O1056" s="814" t="str">
        <f t="shared" si="97"/>
        <v/>
      </c>
      <c r="P1056" s="254"/>
      <c r="Q1056" s="254"/>
      <c r="R1056" s="254"/>
      <c r="S1056" s="254"/>
      <c r="T1056" s="254"/>
      <c r="U1056" s="254"/>
      <c r="V1056" s="254"/>
      <c r="W1056" s="254"/>
      <c r="Y1056" s="246" t="str">
        <f t="shared" si="98"/>
        <v/>
      </c>
      <c r="Z1056" s="247" t="str">
        <f t="shared" si="96"/>
        <v/>
      </c>
      <c r="AA1056" s="246" t="str">
        <f t="shared" si="99"/>
        <v/>
      </c>
    </row>
    <row r="1057" spans="1:27" x14ac:dyDescent="0.25">
      <c r="A1057" s="248" t="str">
        <f t="shared" si="100"/>
        <v/>
      </c>
      <c r="B1057" s="249" t="str">
        <f t="shared" si="101"/>
        <v/>
      </c>
      <c r="C1057" s="250"/>
      <c r="D1057" s="251"/>
      <c r="E1057" s="241"/>
      <c r="F1057" s="252"/>
      <c r="G1057" s="252"/>
      <c r="H1057" s="253"/>
      <c r="I1057" s="250"/>
      <c r="J1057" s="250"/>
      <c r="K1057" s="270"/>
      <c r="L1057" s="250"/>
      <c r="M1057" s="250"/>
      <c r="N1057" s="553" t="str">
        <f>CONCATENATE(IF(OR(M1057=phu!$I$1,M1057=phu!$I$2,M1057=phu!$I$3),"Cam Thành Nam",""),IF(OR(M1057=phu!$I$4,M1057=phu!$I$5,M1057=phu!$I$6,M1057=phu!$I$7,M1057=phu!$I$8,M1057=phu!$I$9,M1057=phu!$I$10,M1057=phu!$I$11,M1057=phu!$I$12,M1057=phu!$I$13,M1057=phu!$I$14),"Cam Nghĩa",""),IF(OR(M1057=phu!$I$15,M1057=phu!$I$16,M1057=phu!$I$17,M1057=phu!$I$18,M1057=phu!$I$19,M1057=phu!$I$20,M1057=phu!$I$21),"Cam Phúc Bắc",""),IF(OR(M1057=phu!$I$22,M1057=phu!$I$23,M1057=phu!$I$24,M1057=phu!$I$25),"Cam Phúc Nam",""),IF(OR(M1057=phu!$I$26,M1057=phu!$I$27,M1057=phu!$I$28,M1057=phu!$I$29,M1057=phu!$I$30,M1057=phu!$I$31),"Cam Phú",""),IF(OR(M1057=phu!$I$32,M1057=phu!$I$33,M1057=phu!$I$34,M1057=phu!$I$35,M1057=phu!$I$36,M1057=phu!$I$37),"Cam Lộc",""),IF(OR(M1057=phu!$I$38,M1057=phu!$I$39,M1057=phu!$I$40,M1057=phu!$I$41,M1057=phu!$I$42,M1057=phu!$I$43,M1057=phu!$I$44),"Cam Thuận",""),IF(OR(M1057=phu!$I$45,M1057=phu!$I$46,M1057=phu!$I$47,M1057=phu!$I$48,M1057=phu!$I$49,M1057=phu!$I$50,M1057=phu!$I$51,M1057=phu!$I$52,M1057=phu!$I$53),"Cam Linh",""),IF(OR(M1057=phu!$I$54,M1057=phu!$I$55,M1057=phu!$I$56,M1057=phu!$I$57,M1057=phu!$I$58,M1057=phu!$I$59,M1057=phu!$I$60,M1057=phu!$I$61,M1057=phu!$I$62),"Cam Lợi",""),IF(OR(M1057=phu!$I$63,M1057=phu!$I$64,M1057=phu!$I$65,M1057=phu!$I$66,M1057=phu!$I$67,M1057=phu!$I$68,M1057=phu!$I$69,M1057=phu!$I$70,M1057=phu!$I$71),"Ba Ngòi",""),IF(OR(M1057=phu!$I$72,M1057=phu!$I$73,M1057=phu!$I$74,M1057=phu!$I$75,M1057=phu!$I$76,M1057=phu!$I$77,M1057=phu!$I$78),"Cam Phước Đông",""),IF(OR(M1057=phu!$I$79,M1057=phu!$I$80,M1057=phu!$I$81,M1057=phu!$I$82,M1057=phu!$I$83,M1057=phu!$I$84),"Cam Thịnh Đông",""),IF(OR(M1057=phu!$I$85,M1057=phu!$I$86,M1057=phu!$I$87,M1057=phu!$I$88),"Cam Thịnh Tây",""),IF(OR(M1057=phu!$I$89,M1057=phu!$I$90),"Cam Lập",""),IF(OR(M1057=phu!$I$91,M1057=phu!$I$92,M1057=phu!$I$93),"Cam Bình",""),IF(OR(M1057=phu!$I$94,M1057=phu!$I$95,M1057=phu!$I$96,M1057=phu!$I$97,M1057=phu!$I$98,M1057=phu!$I$99,M1057=phu!$I$100),"Huyện khác",""),IF(OR(M1057=phu!$I$101,M1057=phu!$I$102),"Tỉnh khác",""))</f>
        <v/>
      </c>
      <c r="O1057" s="814" t="str">
        <f t="shared" si="97"/>
        <v/>
      </c>
      <c r="P1057" s="254"/>
      <c r="Q1057" s="254"/>
      <c r="R1057" s="254"/>
      <c r="S1057" s="254"/>
      <c r="T1057" s="254"/>
      <c r="U1057" s="254"/>
      <c r="V1057" s="254"/>
      <c r="W1057" s="254"/>
      <c r="Y1057" s="246" t="str">
        <f t="shared" si="98"/>
        <v/>
      </c>
      <c r="Z1057" s="247" t="str">
        <f t="shared" si="96"/>
        <v/>
      </c>
      <c r="AA1057" s="246" t="str">
        <f t="shared" si="99"/>
        <v/>
      </c>
    </row>
    <row r="1058" spans="1:27" x14ac:dyDescent="0.25">
      <c r="A1058" s="248" t="str">
        <f t="shared" si="100"/>
        <v/>
      </c>
      <c r="B1058" s="249" t="str">
        <f t="shared" si="101"/>
        <v/>
      </c>
      <c r="C1058" s="250"/>
      <c r="D1058" s="251"/>
      <c r="E1058" s="241"/>
      <c r="F1058" s="252"/>
      <c r="G1058" s="252"/>
      <c r="H1058" s="253"/>
      <c r="I1058" s="250"/>
      <c r="J1058" s="250"/>
      <c r="K1058" s="270"/>
      <c r="L1058" s="250"/>
      <c r="M1058" s="250"/>
      <c r="N1058" s="553" t="str">
        <f>CONCATENATE(IF(OR(M1058=phu!$I$1,M1058=phu!$I$2,M1058=phu!$I$3),"Cam Thành Nam",""),IF(OR(M1058=phu!$I$4,M1058=phu!$I$5,M1058=phu!$I$6,M1058=phu!$I$7,M1058=phu!$I$8,M1058=phu!$I$9,M1058=phu!$I$10,M1058=phu!$I$11,M1058=phu!$I$12,M1058=phu!$I$13,M1058=phu!$I$14),"Cam Nghĩa",""),IF(OR(M1058=phu!$I$15,M1058=phu!$I$16,M1058=phu!$I$17,M1058=phu!$I$18,M1058=phu!$I$19,M1058=phu!$I$20,M1058=phu!$I$21),"Cam Phúc Bắc",""),IF(OR(M1058=phu!$I$22,M1058=phu!$I$23,M1058=phu!$I$24,M1058=phu!$I$25),"Cam Phúc Nam",""),IF(OR(M1058=phu!$I$26,M1058=phu!$I$27,M1058=phu!$I$28,M1058=phu!$I$29,M1058=phu!$I$30,M1058=phu!$I$31),"Cam Phú",""),IF(OR(M1058=phu!$I$32,M1058=phu!$I$33,M1058=phu!$I$34,M1058=phu!$I$35,M1058=phu!$I$36,M1058=phu!$I$37),"Cam Lộc",""),IF(OR(M1058=phu!$I$38,M1058=phu!$I$39,M1058=phu!$I$40,M1058=phu!$I$41,M1058=phu!$I$42,M1058=phu!$I$43,M1058=phu!$I$44),"Cam Thuận",""),IF(OR(M1058=phu!$I$45,M1058=phu!$I$46,M1058=phu!$I$47,M1058=phu!$I$48,M1058=phu!$I$49,M1058=phu!$I$50,M1058=phu!$I$51,M1058=phu!$I$52,M1058=phu!$I$53),"Cam Linh",""),IF(OR(M1058=phu!$I$54,M1058=phu!$I$55,M1058=phu!$I$56,M1058=phu!$I$57,M1058=phu!$I$58,M1058=phu!$I$59,M1058=phu!$I$60,M1058=phu!$I$61,M1058=phu!$I$62),"Cam Lợi",""),IF(OR(M1058=phu!$I$63,M1058=phu!$I$64,M1058=phu!$I$65,M1058=phu!$I$66,M1058=phu!$I$67,M1058=phu!$I$68,M1058=phu!$I$69,M1058=phu!$I$70,M1058=phu!$I$71),"Ba Ngòi",""),IF(OR(M1058=phu!$I$72,M1058=phu!$I$73,M1058=phu!$I$74,M1058=phu!$I$75,M1058=phu!$I$76,M1058=phu!$I$77,M1058=phu!$I$78),"Cam Phước Đông",""),IF(OR(M1058=phu!$I$79,M1058=phu!$I$80,M1058=phu!$I$81,M1058=phu!$I$82,M1058=phu!$I$83,M1058=phu!$I$84),"Cam Thịnh Đông",""),IF(OR(M1058=phu!$I$85,M1058=phu!$I$86,M1058=phu!$I$87,M1058=phu!$I$88),"Cam Thịnh Tây",""),IF(OR(M1058=phu!$I$89,M1058=phu!$I$90),"Cam Lập",""),IF(OR(M1058=phu!$I$91,M1058=phu!$I$92,M1058=phu!$I$93),"Cam Bình",""),IF(OR(M1058=phu!$I$94,M1058=phu!$I$95,M1058=phu!$I$96,M1058=phu!$I$97,M1058=phu!$I$98,M1058=phu!$I$99,M1058=phu!$I$100),"Huyện khác",""),IF(OR(M1058=phu!$I$101,M1058=phu!$I$102),"Tỉnh khác",""))</f>
        <v/>
      </c>
      <c r="O1058" s="814" t="str">
        <f t="shared" si="97"/>
        <v/>
      </c>
      <c r="P1058" s="254"/>
      <c r="Q1058" s="254"/>
      <c r="R1058" s="254"/>
      <c r="S1058" s="254"/>
      <c r="T1058" s="254"/>
      <c r="U1058" s="254"/>
      <c r="V1058" s="254"/>
      <c r="W1058" s="254"/>
      <c r="Y1058" s="246" t="str">
        <f t="shared" si="98"/>
        <v/>
      </c>
      <c r="Z1058" s="247" t="str">
        <f t="shared" si="96"/>
        <v/>
      </c>
      <c r="AA1058" s="246" t="str">
        <f t="shared" si="99"/>
        <v/>
      </c>
    </row>
    <row r="1059" spans="1:27" x14ac:dyDescent="0.25">
      <c r="A1059" s="248" t="str">
        <f t="shared" si="100"/>
        <v/>
      </c>
      <c r="B1059" s="249" t="str">
        <f t="shared" si="101"/>
        <v/>
      </c>
      <c r="C1059" s="250"/>
      <c r="D1059" s="251"/>
      <c r="E1059" s="241"/>
      <c r="F1059" s="252"/>
      <c r="G1059" s="252"/>
      <c r="H1059" s="253"/>
      <c r="I1059" s="250"/>
      <c r="J1059" s="250"/>
      <c r="K1059" s="270"/>
      <c r="L1059" s="250"/>
      <c r="M1059" s="250"/>
      <c r="N1059" s="553" t="str">
        <f>CONCATENATE(IF(OR(M1059=phu!$I$1,M1059=phu!$I$2,M1059=phu!$I$3),"Cam Thành Nam",""),IF(OR(M1059=phu!$I$4,M1059=phu!$I$5,M1059=phu!$I$6,M1059=phu!$I$7,M1059=phu!$I$8,M1059=phu!$I$9,M1059=phu!$I$10,M1059=phu!$I$11,M1059=phu!$I$12,M1059=phu!$I$13,M1059=phu!$I$14),"Cam Nghĩa",""),IF(OR(M1059=phu!$I$15,M1059=phu!$I$16,M1059=phu!$I$17,M1059=phu!$I$18,M1059=phu!$I$19,M1059=phu!$I$20,M1059=phu!$I$21),"Cam Phúc Bắc",""),IF(OR(M1059=phu!$I$22,M1059=phu!$I$23,M1059=phu!$I$24,M1059=phu!$I$25),"Cam Phúc Nam",""),IF(OR(M1059=phu!$I$26,M1059=phu!$I$27,M1059=phu!$I$28,M1059=phu!$I$29,M1059=phu!$I$30,M1059=phu!$I$31),"Cam Phú",""),IF(OR(M1059=phu!$I$32,M1059=phu!$I$33,M1059=phu!$I$34,M1059=phu!$I$35,M1059=phu!$I$36,M1059=phu!$I$37),"Cam Lộc",""),IF(OR(M1059=phu!$I$38,M1059=phu!$I$39,M1059=phu!$I$40,M1059=phu!$I$41,M1059=phu!$I$42,M1059=phu!$I$43,M1059=phu!$I$44),"Cam Thuận",""),IF(OR(M1059=phu!$I$45,M1059=phu!$I$46,M1059=phu!$I$47,M1059=phu!$I$48,M1059=phu!$I$49,M1059=phu!$I$50,M1059=phu!$I$51,M1059=phu!$I$52,M1059=phu!$I$53),"Cam Linh",""),IF(OR(M1059=phu!$I$54,M1059=phu!$I$55,M1059=phu!$I$56,M1059=phu!$I$57,M1059=phu!$I$58,M1059=phu!$I$59,M1059=phu!$I$60,M1059=phu!$I$61,M1059=phu!$I$62),"Cam Lợi",""),IF(OR(M1059=phu!$I$63,M1059=phu!$I$64,M1059=phu!$I$65,M1059=phu!$I$66,M1059=phu!$I$67,M1059=phu!$I$68,M1059=phu!$I$69,M1059=phu!$I$70,M1059=phu!$I$71),"Ba Ngòi",""),IF(OR(M1059=phu!$I$72,M1059=phu!$I$73,M1059=phu!$I$74,M1059=phu!$I$75,M1059=phu!$I$76,M1059=phu!$I$77,M1059=phu!$I$78),"Cam Phước Đông",""),IF(OR(M1059=phu!$I$79,M1059=phu!$I$80,M1059=phu!$I$81,M1059=phu!$I$82,M1059=phu!$I$83,M1059=phu!$I$84),"Cam Thịnh Đông",""),IF(OR(M1059=phu!$I$85,M1059=phu!$I$86,M1059=phu!$I$87,M1059=phu!$I$88),"Cam Thịnh Tây",""),IF(OR(M1059=phu!$I$89,M1059=phu!$I$90),"Cam Lập",""),IF(OR(M1059=phu!$I$91,M1059=phu!$I$92,M1059=phu!$I$93),"Cam Bình",""),IF(OR(M1059=phu!$I$94,M1059=phu!$I$95,M1059=phu!$I$96,M1059=phu!$I$97,M1059=phu!$I$98,M1059=phu!$I$99,M1059=phu!$I$100),"Huyện khác",""),IF(OR(M1059=phu!$I$101,M1059=phu!$I$102),"Tỉnh khác",""))</f>
        <v/>
      </c>
      <c r="O1059" s="814" t="str">
        <f t="shared" si="97"/>
        <v/>
      </c>
      <c r="P1059" s="254"/>
      <c r="Q1059" s="254"/>
      <c r="R1059" s="254"/>
      <c r="S1059" s="254"/>
      <c r="T1059" s="254"/>
      <c r="U1059" s="254"/>
      <c r="V1059" s="254"/>
      <c r="W1059" s="254"/>
      <c r="Y1059" s="246" t="str">
        <f t="shared" si="98"/>
        <v/>
      </c>
      <c r="Z1059" s="247" t="str">
        <f t="shared" si="96"/>
        <v/>
      </c>
      <c r="AA1059" s="246" t="str">
        <f t="shared" si="99"/>
        <v/>
      </c>
    </row>
    <row r="1060" spans="1:27" x14ac:dyDescent="0.25">
      <c r="A1060" s="248" t="str">
        <f t="shared" si="100"/>
        <v/>
      </c>
      <c r="B1060" s="249" t="str">
        <f t="shared" si="101"/>
        <v/>
      </c>
      <c r="C1060" s="250"/>
      <c r="D1060" s="251"/>
      <c r="E1060" s="241"/>
      <c r="F1060" s="252"/>
      <c r="G1060" s="252"/>
      <c r="H1060" s="253"/>
      <c r="I1060" s="250"/>
      <c r="J1060" s="250"/>
      <c r="K1060" s="270"/>
      <c r="L1060" s="250"/>
      <c r="M1060" s="250"/>
      <c r="N1060" s="553" t="str">
        <f>CONCATENATE(IF(OR(M1060=phu!$I$1,M1060=phu!$I$2,M1060=phu!$I$3),"Cam Thành Nam",""),IF(OR(M1060=phu!$I$4,M1060=phu!$I$5,M1060=phu!$I$6,M1060=phu!$I$7,M1060=phu!$I$8,M1060=phu!$I$9,M1060=phu!$I$10,M1060=phu!$I$11,M1060=phu!$I$12,M1060=phu!$I$13,M1060=phu!$I$14),"Cam Nghĩa",""),IF(OR(M1060=phu!$I$15,M1060=phu!$I$16,M1060=phu!$I$17,M1060=phu!$I$18,M1060=phu!$I$19,M1060=phu!$I$20,M1060=phu!$I$21),"Cam Phúc Bắc",""),IF(OR(M1060=phu!$I$22,M1060=phu!$I$23,M1060=phu!$I$24,M1060=phu!$I$25),"Cam Phúc Nam",""),IF(OR(M1060=phu!$I$26,M1060=phu!$I$27,M1060=phu!$I$28,M1060=phu!$I$29,M1060=phu!$I$30,M1060=phu!$I$31),"Cam Phú",""),IF(OR(M1060=phu!$I$32,M1060=phu!$I$33,M1060=phu!$I$34,M1060=phu!$I$35,M1060=phu!$I$36,M1060=phu!$I$37),"Cam Lộc",""),IF(OR(M1060=phu!$I$38,M1060=phu!$I$39,M1060=phu!$I$40,M1060=phu!$I$41,M1060=phu!$I$42,M1060=phu!$I$43,M1060=phu!$I$44),"Cam Thuận",""),IF(OR(M1060=phu!$I$45,M1060=phu!$I$46,M1060=phu!$I$47,M1060=phu!$I$48,M1060=phu!$I$49,M1060=phu!$I$50,M1060=phu!$I$51,M1060=phu!$I$52,M1060=phu!$I$53),"Cam Linh",""),IF(OR(M1060=phu!$I$54,M1060=phu!$I$55,M1060=phu!$I$56,M1060=phu!$I$57,M1060=phu!$I$58,M1060=phu!$I$59,M1060=phu!$I$60,M1060=phu!$I$61,M1060=phu!$I$62),"Cam Lợi",""),IF(OR(M1060=phu!$I$63,M1060=phu!$I$64,M1060=phu!$I$65,M1060=phu!$I$66,M1060=phu!$I$67,M1060=phu!$I$68,M1060=phu!$I$69,M1060=phu!$I$70,M1060=phu!$I$71),"Ba Ngòi",""),IF(OR(M1060=phu!$I$72,M1060=phu!$I$73,M1060=phu!$I$74,M1060=phu!$I$75,M1060=phu!$I$76,M1060=phu!$I$77,M1060=phu!$I$78),"Cam Phước Đông",""),IF(OR(M1060=phu!$I$79,M1060=phu!$I$80,M1060=phu!$I$81,M1060=phu!$I$82,M1060=phu!$I$83,M1060=phu!$I$84),"Cam Thịnh Đông",""),IF(OR(M1060=phu!$I$85,M1060=phu!$I$86,M1060=phu!$I$87,M1060=phu!$I$88),"Cam Thịnh Tây",""),IF(OR(M1060=phu!$I$89,M1060=phu!$I$90),"Cam Lập",""),IF(OR(M1060=phu!$I$91,M1060=phu!$I$92,M1060=phu!$I$93),"Cam Bình",""),IF(OR(M1060=phu!$I$94,M1060=phu!$I$95,M1060=phu!$I$96,M1060=phu!$I$97,M1060=phu!$I$98,M1060=phu!$I$99,M1060=phu!$I$100),"Huyện khác",""),IF(OR(M1060=phu!$I$101,M1060=phu!$I$102),"Tỉnh khác",""))</f>
        <v/>
      </c>
      <c r="O1060" s="814" t="str">
        <f t="shared" si="97"/>
        <v/>
      </c>
      <c r="P1060" s="254"/>
      <c r="Q1060" s="254"/>
      <c r="R1060" s="254"/>
      <c r="S1060" s="254"/>
      <c r="T1060" s="254"/>
      <c r="U1060" s="254"/>
      <c r="V1060" s="254"/>
      <c r="W1060" s="254"/>
      <c r="Y1060" s="246" t="str">
        <f t="shared" si="98"/>
        <v/>
      </c>
      <c r="Z1060" s="247" t="str">
        <f t="shared" si="96"/>
        <v/>
      </c>
      <c r="AA1060" s="246" t="str">
        <f t="shared" si="99"/>
        <v/>
      </c>
    </row>
    <row r="1061" spans="1:27" x14ac:dyDescent="0.25">
      <c r="A1061" s="248" t="str">
        <f t="shared" si="100"/>
        <v/>
      </c>
      <c r="B1061" s="249" t="str">
        <f t="shared" si="101"/>
        <v/>
      </c>
      <c r="C1061" s="250"/>
      <c r="D1061" s="251"/>
      <c r="E1061" s="241"/>
      <c r="F1061" s="252"/>
      <c r="G1061" s="252"/>
      <c r="H1061" s="253"/>
      <c r="I1061" s="250"/>
      <c r="J1061" s="250"/>
      <c r="K1061" s="270"/>
      <c r="L1061" s="250"/>
      <c r="M1061" s="250"/>
      <c r="N1061" s="553" t="str">
        <f>CONCATENATE(IF(OR(M1061=phu!$I$1,M1061=phu!$I$2,M1061=phu!$I$3),"Cam Thành Nam",""),IF(OR(M1061=phu!$I$4,M1061=phu!$I$5,M1061=phu!$I$6,M1061=phu!$I$7,M1061=phu!$I$8,M1061=phu!$I$9,M1061=phu!$I$10,M1061=phu!$I$11,M1061=phu!$I$12,M1061=phu!$I$13,M1061=phu!$I$14),"Cam Nghĩa",""),IF(OR(M1061=phu!$I$15,M1061=phu!$I$16,M1061=phu!$I$17,M1061=phu!$I$18,M1061=phu!$I$19,M1061=phu!$I$20,M1061=phu!$I$21),"Cam Phúc Bắc",""),IF(OR(M1061=phu!$I$22,M1061=phu!$I$23,M1061=phu!$I$24,M1061=phu!$I$25),"Cam Phúc Nam",""),IF(OR(M1061=phu!$I$26,M1061=phu!$I$27,M1061=phu!$I$28,M1061=phu!$I$29,M1061=phu!$I$30,M1061=phu!$I$31),"Cam Phú",""),IF(OR(M1061=phu!$I$32,M1061=phu!$I$33,M1061=phu!$I$34,M1061=phu!$I$35,M1061=phu!$I$36,M1061=phu!$I$37),"Cam Lộc",""),IF(OR(M1061=phu!$I$38,M1061=phu!$I$39,M1061=phu!$I$40,M1061=phu!$I$41,M1061=phu!$I$42,M1061=phu!$I$43,M1061=phu!$I$44),"Cam Thuận",""),IF(OR(M1061=phu!$I$45,M1061=phu!$I$46,M1061=phu!$I$47,M1061=phu!$I$48,M1061=phu!$I$49,M1061=phu!$I$50,M1061=phu!$I$51,M1061=phu!$I$52,M1061=phu!$I$53),"Cam Linh",""),IF(OR(M1061=phu!$I$54,M1061=phu!$I$55,M1061=phu!$I$56,M1061=phu!$I$57,M1061=phu!$I$58,M1061=phu!$I$59,M1061=phu!$I$60,M1061=phu!$I$61,M1061=phu!$I$62),"Cam Lợi",""),IF(OR(M1061=phu!$I$63,M1061=phu!$I$64,M1061=phu!$I$65,M1061=phu!$I$66,M1061=phu!$I$67,M1061=phu!$I$68,M1061=phu!$I$69,M1061=phu!$I$70,M1061=phu!$I$71),"Ba Ngòi",""),IF(OR(M1061=phu!$I$72,M1061=phu!$I$73,M1061=phu!$I$74,M1061=phu!$I$75,M1061=phu!$I$76,M1061=phu!$I$77,M1061=phu!$I$78),"Cam Phước Đông",""),IF(OR(M1061=phu!$I$79,M1061=phu!$I$80,M1061=phu!$I$81,M1061=phu!$I$82,M1061=phu!$I$83,M1061=phu!$I$84),"Cam Thịnh Đông",""),IF(OR(M1061=phu!$I$85,M1061=phu!$I$86,M1061=phu!$I$87,M1061=phu!$I$88),"Cam Thịnh Tây",""),IF(OR(M1061=phu!$I$89,M1061=phu!$I$90),"Cam Lập",""),IF(OR(M1061=phu!$I$91,M1061=phu!$I$92,M1061=phu!$I$93),"Cam Bình",""),IF(OR(M1061=phu!$I$94,M1061=phu!$I$95,M1061=phu!$I$96,M1061=phu!$I$97,M1061=phu!$I$98,M1061=phu!$I$99,M1061=phu!$I$100),"Huyện khác",""),IF(OR(M1061=phu!$I$101,M1061=phu!$I$102),"Tỉnh khác",""))</f>
        <v/>
      </c>
      <c r="O1061" s="814" t="str">
        <f t="shared" si="97"/>
        <v/>
      </c>
      <c r="P1061" s="254"/>
      <c r="Q1061" s="254"/>
      <c r="R1061" s="254"/>
      <c r="S1061" s="254"/>
      <c r="T1061" s="254"/>
      <c r="U1061" s="254"/>
      <c r="V1061" s="254"/>
      <c r="W1061" s="254"/>
      <c r="Y1061" s="246" t="str">
        <f t="shared" si="98"/>
        <v/>
      </c>
      <c r="Z1061" s="247" t="str">
        <f t="shared" si="96"/>
        <v/>
      </c>
      <c r="AA1061" s="246" t="str">
        <f t="shared" si="99"/>
        <v/>
      </c>
    </row>
    <row r="1062" spans="1:27" x14ac:dyDescent="0.25">
      <c r="A1062" s="248" t="str">
        <f t="shared" si="100"/>
        <v/>
      </c>
      <c r="B1062" s="249" t="str">
        <f t="shared" si="101"/>
        <v/>
      </c>
      <c r="C1062" s="250"/>
      <c r="D1062" s="251"/>
      <c r="E1062" s="241"/>
      <c r="F1062" s="252"/>
      <c r="G1062" s="252"/>
      <c r="H1062" s="253"/>
      <c r="I1062" s="250"/>
      <c r="J1062" s="250"/>
      <c r="K1062" s="270"/>
      <c r="L1062" s="250"/>
      <c r="M1062" s="250"/>
      <c r="N1062" s="553" t="str">
        <f>CONCATENATE(IF(OR(M1062=phu!$I$1,M1062=phu!$I$2,M1062=phu!$I$3),"Cam Thành Nam",""),IF(OR(M1062=phu!$I$4,M1062=phu!$I$5,M1062=phu!$I$6,M1062=phu!$I$7,M1062=phu!$I$8,M1062=phu!$I$9,M1062=phu!$I$10,M1062=phu!$I$11,M1062=phu!$I$12,M1062=phu!$I$13,M1062=phu!$I$14),"Cam Nghĩa",""),IF(OR(M1062=phu!$I$15,M1062=phu!$I$16,M1062=phu!$I$17,M1062=phu!$I$18,M1062=phu!$I$19,M1062=phu!$I$20,M1062=phu!$I$21),"Cam Phúc Bắc",""),IF(OR(M1062=phu!$I$22,M1062=phu!$I$23,M1062=phu!$I$24,M1062=phu!$I$25),"Cam Phúc Nam",""),IF(OR(M1062=phu!$I$26,M1062=phu!$I$27,M1062=phu!$I$28,M1062=phu!$I$29,M1062=phu!$I$30,M1062=phu!$I$31),"Cam Phú",""),IF(OR(M1062=phu!$I$32,M1062=phu!$I$33,M1062=phu!$I$34,M1062=phu!$I$35,M1062=phu!$I$36,M1062=phu!$I$37),"Cam Lộc",""),IF(OR(M1062=phu!$I$38,M1062=phu!$I$39,M1062=phu!$I$40,M1062=phu!$I$41,M1062=phu!$I$42,M1062=phu!$I$43,M1062=phu!$I$44),"Cam Thuận",""),IF(OR(M1062=phu!$I$45,M1062=phu!$I$46,M1062=phu!$I$47,M1062=phu!$I$48,M1062=phu!$I$49,M1062=phu!$I$50,M1062=phu!$I$51,M1062=phu!$I$52,M1062=phu!$I$53),"Cam Linh",""),IF(OR(M1062=phu!$I$54,M1062=phu!$I$55,M1062=phu!$I$56,M1062=phu!$I$57,M1062=phu!$I$58,M1062=phu!$I$59,M1062=phu!$I$60,M1062=phu!$I$61,M1062=phu!$I$62),"Cam Lợi",""),IF(OR(M1062=phu!$I$63,M1062=phu!$I$64,M1062=phu!$I$65,M1062=phu!$I$66,M1062=phu!$I$67,M1062=phu!$I$68,M1062=phu!$I$69,M1062=phu!$I$70,M1062=phu!$I$71),"Ba Ngòi",""),IF(OR(M1062=phu!$I$72,M1062=phu!$I$73,M1062=phu!$I$74,M1062=phu!$I$75,M1062=phu!$I$76,M1062=phu!$I$77,M1062=phu!$I$78),"Cam Phước Đông",""),IF(OR(M1062=phu!$I$79,M1062=phu!$I$80,M1062=phu!$I$81,M1062=phu!$I$82,M1062=phu!$I$83,M1062=phu!$I$84),"Cam Thịnh Đông",""),IF(OR(M1062=phu!$I$85,M1062=phu!$I$86,M1062=phu!$I$87,M1062=phu!$I$88),"Cam Thịnh Tây",""),IF(OR(M1062=phu!$I$89,M1062=phu!$I$90),"Cam Lập",""),IF(OR(M1062=phu!$I$91,M1062=phu!$I$92,M1062=phu!$I$93),"Cam Bình",""),IF(OR(M1062=phu!$I$94,M1062=phu!$I$95,M1062=phu!$I$96,M1062=phu!$I$97,M1062=phu!$I$98,M1062=phu!$I$99,M1062=phu!$I$100),"Huyện khác",""),IF(OR(M1062=phu!$I$101,M1062=phu!$I$102),"Tỉnh khác",""))</f>
        <v/>
      </c>
      <c r="O1062" s="814" t="str">
        <f t="shared" si="97"/>
        <v/>
      </c>
      <c r="P1062" s="254"/>
      <c r="Q1062" s="254"/>
      <c r="R1062" s="254"/>
      <c r="S1062" s="254"/>
      <c r="T1062" s="254"/>
      <c r="U1062" s="254"/>
      <c r="V1062" s="254"/>
      <c r="W1062" s="254"/>
      <c r="Y1062" s="246" t="str">
        <f t="shared" si="98"/>
        <v/>
      </c>
      <c r="Z1062" s="247" t="str">
        <f t="shared" si="96"/>
        <v/>
      </c>
      <c r="AA1062" s="246" t="str">
        <f t="shared" si="99"/>
        <v/>
      </c>
    </row>
    <row r="1063" spans="1:27" x14ac:dyDescent="0.25">
      <c r="A1063" s="248" t="str">
        <f t="shared" si="100"/>
        <v/>
      </c>
      <c r="B1063" s="249" t="str">
        <f t="shared" si="101"/>
        <v/>
      </c>
      <c r="C1063" s="250"/>
      <c r="D1063" s="251"/>
      <c r="E1063" s="241"/>
      <c r="F1063" s="252"/>
      <c r="G1063" s="252"/>
      <c r="H1063" s="253"/>
      <c r="I1063" s="250"/>
      <c r="J1063" s="250"/>
      <c r="K1063" s="270"/>
      <c r="L1063" s="250"/>
      <c r="M1063" s="250"/>
      <c r="N1063" s="553" t="str">
        <f>CONCATENATE(IF(OR(M1063=phu!$I$1,M1063=phu!$I$2,M1063=phu!$I$3),"Cam Thành Nam",""),IF(OR(M1063=phu!$I$4,M1063=phu!$I$5,M1063=phu!$I$6,M1063=phu!$I$7,M1063=phu!$I$8,M1063=phu!$I$9,M1063=phu!$I$10,M1063=phu!$I$11,M1063=phu!$I$12,M1063=phu!$I$13,M1063=phu!$I$14),"Cam Nghĩa",""),IF(OR(M1063=phu!$I$15,M1063=phu!$I$16,M1063=phu!$I$17,M1063=phu!$I$18,M1063=phu!$I$19,M1063=phu!$I$20,M1063=phu!$I$21),"Cam Phúc Bắc",""),IF(OR(M1063=phu!$I$22,M1063=phu!$I$23,M1063=phu!$I$24,M1063=phu!$I$25),"Cam Phúc Nam",""),IF(OR(M1063=phu!$I$26,M1063=phu!$I$27,M1063=phu!$I$28,M1063=phu!$I$29,M1063=phu!$I$30,M1063=phu!$I$31),"Cam Phú",""),IF(OR(M1063=phu!$I$32,M1063=phu!$I$33,M1063=phu!$I$34,M1063=phu!$I$35,M1063=phu!$I$36,M1063=phu!$I$37),"Cam Lộc",""),IF(OR(M1063=phu!$I$38,M1063=phu!$I$39,M1063=phu!$I$40,M1063=phu!$I$41,M1063=phu!$I$42,M1063=phu!$I$43,M1063=phu!$I$44),"Cam Thuận",""),IF(OR(M1063=phu!$I$45,M1063=phu!$I$46,M1063=phu!$I$47,M1063=phu!$I$48,M1063=phu!$I$49,M1063=phu!$I$50,M1063=phu!$I$51,M1063=phu!$I$52,M1063=phu!$I$53),"Cam Linh",""),IF(OR(M1063=phu!$I$54,M1063=phu!$I$55,M1063=phu!$I$56,M1063=phu!$I$57,M1063=phu!$I$58,M1063=phu!$I$59,M1063=phu!$I$60,M1063=phu!$I$61,M1063=phu!$I$62),"Cam Lợi",""),IF(OR(M1063=phu!$I$63,M1063=phu!$I$64,M1063=phu!$I$65,M1063=phu!$I$66,M1063=phu!$I$67,M1063=phu!$I$68,M1063=phu!$I$69,M1063=phu!$I$70,M1063=phu!$I$71),"Ba Ngòi",""),IF(OR(M1063=phu!$I$72,M1063=phu!$I$73,M1063=phu!$I$74,M1063=phu!$I$75,M1063=phu!$I$76,M1063=phu!$I$77,M1063=phu!$I$78),"Cam Phước Đông",""),IF(OR(M1063=phu!$I$79,M1063=phu!$I$80,M1063=phu!$I$81,M1063=phu!$I$82,M1063=phu!$I$83,M1063=phu!$I$84),"Cam Thịnh Đông",""),IF(OR(M1063=phu!$I$85,M1063=phu!$I$86,M1063=phu!$I$87,M1063=phu!$I$88),"Cam Thịnh Tây",""),IF(OR(M1063=phu!$I$89,M1063=phu!$I$90),"Cam Lập",""),IF(OR(M1063=phu!$I$91,M1063=phu!$I$92,M1063=phu!$I$93),"Cam Bình",""),IF(OR(M1063=phu!$I$94,M1063=phu!$I$95,M1063=phu!$I$96,M1063=phu!$I$97,M1063=phu!$I$98,M1063=phu!$I$99,M1063=phu!$I$100),"Huyện khác",""),IF(OR(M1063=phu!$I$101,M1063=phu!$I$102),"Tỉnh khác",""))</f>
        <v/>
      </c>
      <c r="O1063" s="814" t="str">
        <f t="shared" si="97"/>
        <v/>
      </c>
      <c r="P1063" s="254"/>
      <c r="Q1063" s="254"/>
      <c r="R1063" s="254"/>
      <c r="S1063" s="254"/>
      <c r="T1063" s="254"/>
      <c r="U1063" s="254"/>
      <c r="V1063" s="254"/>
      <c r="W1063" s="254"/>
      <c r="Y1063" s="246" t="str">
        <f t="shared" si="98"/>
        <v/>
      </c>
      <c r="Z1063" s="247" t="str">
        <f t="shared" si="96"/>
        <v/>
      </c>
      <c r="AA1063" s="246" t="str">
        <f t="shared" si="99"/>
        <v/>
      </c>
    </row>
    <row r="1064" spans="1:27" x14ac:dyDescent="0.25">
      <c r="A1064" s="248" t="str">
        <f t="shared" si="100"/>
        <v/>
      </c>
      <c r="B1064" s="249" t="str">
        <f t="shared" si="101"/>
        <v/>
      </c>
      <c r="C1064" s="250"/>
      <c r="D1064" s="251"/>
      <c r="E1064" s="241"/>
      <c r="F1064" s="252"/>
      <c r="G1064" s="252"/>
      <c r="H1064" s="253"/>
      <c r="I1064" s="250"/>
      <c r="J1064" s="250"/>
      <c r="K1064" s="270"/>
      <c r="L1064" s="250"/>
      <c r="M1064" s="250"/>
      <c r="N1064" s="553" t="str">
        <f>CONCATENATE(IF(OR(M1064=phu!$I$1,M1064=phu!$I$2,M1064=phu!$I$3),"Cam Thành Nam",""),IF(OR(M1064=phu!$I$4,M1064=phu!$I$5,M1064=phu!$I$6,M1064=phu!$I$7,M1064=phu!$I$8,M1064=phu!$I$9,M1064=phu!$I$10,M1064=phu!$I$11,M1064=phu!$I$12,M1064=phu!$I$13,M1064=phu!$I$14),"Cam Nghĩa",""),IF(OR(M1064=phu!$I$15,M1064=phu!$I$16,M1064=phu!$I$17,M1064=phu!$I$18,M1064=phu!$I$19,M1064=phu!$I$20,M1064=phu!$I$21),"Cam Phúc Bắc",""),IF(OR(M1064=phu!$I$22,M1064=phu!$I$23,M1064=phu!$I$24,M1064=phu!$I$25),"Cam Phúc Nam",""),IF(OR(M1064=phu!$I$26,M1064=phu!$I$27,M1064=phu!$I$28,M1064=phu!$I$29,M1064=phu!$I$30,M1064=phu!$I$31),"Cam Phú",""),IF(OR(M1064=phu!$I$32,M1064=phu!$I$33,M1064=phu!$I$34,M1064=phu!$I$35,M1064=phu!$I$36,M1064=phu!$I$37),"Cam Lộc",""),IF(OR(M1064=phu!$I$38,M1064=phu!$I$39,M1064=phu!$I$40,M1064=phu!$I$41,M1064=phu!$I$42,M1064=phu!$I$43,M1064=phu!$I$44),"Cam Thuận",""),IF(OR(M1064=phu!$I$45,M1064=phu!$I$46,M1064=phu!$I$47,M1064=phu!$I$48,M1064=phu!$I$49,M1064=phu!$I$50,M1064=phu!$I$51,M1064=phu!$I$52,M1064=phu!$I$53),"Cam Linh",""),IF(OR(M1064=phu!$I$54,M1064=phu!$I$55,M1064=phu!$I$56,M1064=phu!$I$57,M1064=phu!$I$58,M1064=phu!$I$59,M1064=phu!$I$60,M1064=phu!$I$61,M1064=phu!$I$62),"Cam Lợi",""),IF(OR(M1064=phu!$I$63,M1064=phu!$I$64,M1064=phu!$I$65,M1064=phu!$I$66,M1064=phu!$I$67,M1064=phu!$I$68,M1064=phu!$I$69,M1064=phu!$I$70,M1064=phu!$I$71),"Ba Ngòi",""),IF(OR(M1064=phu!$I$72,M1064=phu!$I$73,M1064=phu!$I$74,M1064=phu!$I$75,M1064=phu!$I$76,M1064=phu!$I$77,M1064=phu!$I$78),"Cam Phước Đông",""),IF(OR(M1064=phu!$I$79,M1064=phu!$I$80,M1064=phu!$I$81,M1064=phu!$I$82,M1064=phu!$I$83,M1064=phu!$I$84),"Cam Thịnh Đông",""),IF(OR(M1064=phu!$I$85,M1064=phu!$I$86,M1064=phu!$I$87,M1064=phu!$I$88),"Cam Thịnh Tây",""),IF(OR(M1064=phu!$I$89,M1064=phu!$I$90),"Cam Lập",""),IF(OR(M1064=phu!$I$91,M1064=phu!$I$92,M1064=phu!$I$93),"Cam Bình",""),IF(OR(M1064=phu!$I$94,M1064=phu!$I$95,M1064=phu!$I$96,M1064=phu!$I$97,M1064=phu!$I$98,M1064=phu!$I$99,M1064=phu!$I$100),"Huyện khác",""),IF(OR(M1064=phu!$I$101,M1064=phu!$I$102),"Tỉnh khác",""))</f>
        <v/>
      </c>
      <c r="O1064" s="814" t="str">
        <f t="shared" si="97"/>
        <v/>
      </c>
      <c r="P1064" s="254"/>
      <c r="Q1064" s="254"/>
      <c r="R1064" s="254"/>
      <c r="S1064" s="254"/>
      <c r="T1064" s="254"/>
      <c r="U1064" s="254"/>
      <c r="V1064" s="254"/>
      <c r="W1064" s="254"/>
      <c r="Y1064" s="246" t="str">
        <f t="shared" si="98"/>
        <v/>
      </c>
      <c r="Z1064" s="247" t="str">
        <f t="shared" si="96"/>
        <v/>
      </c>
      <c r="AA1064" s="246" t="str">
        <f t="shared" si="99"/>
        <v/>
      </c>
    </row>
    <row r="1065" spans="1:27" x14ac:dyDescent="0.25">
      <c r="A1065" s="248" t="str">
        <f t="shared" si="100"/>
        <v/>
      </c>
      <c r="B1065" s="249" t="str">
        <f t="shared" si="101"/>
        <v/>
      </c>
      <c r="C1065" s="250"/>
      <c r="D1065" s="251"/>
      <c r="E1065" s="241"/>
      <c r="F1065" s="252"/>
      <c r="G1065" s="252"/>
      <c r="H1065" s="253"/>
      <c r="I1065" s="250"/>
      <c r="J1065" s="250"/>
      <c r="K1065" s="270"/>
      <c r="L1065" s="250"/>
      <c r="M1065" s="250"/>
      <c r="N1065" s="553" t="str">
        <f>CONCATENATE(IF(OR(M1065=phu!$I$1,M1065=phu!$I$2,M1065=phu!$I$3),"Cam Thành Nam",""),IF(OR(M1065=phu!$I$4,M1065=phu!$I$5,M1065=phu!$I$6,M1065=phu!$I$7,M1065=phu!$I$8,M1065=phu!$I$9,M1065=phu!$I$10,M1065=phu!$I$11,M1065=phu!$I$12,M1065=phu!$I$13,M1065=phu!$I$14),"Cam Nghĩa",""),IF(OR(M1065=phu!$I$15,M1065=phu!$I$16,M1065=phu!$I$17,M1065=phu!$I$18,M1065=phu!$I$19,M1065=phu!$I$20,M1065=phu!$I$21),"Cam Phúc Bắc",""),IF(OR(M1065=phu!$I$22,M1065=phu!$I$23,M1065=phu!$I$24,M1065=phu!$I$25),"Cam Phúc Nam",""),IF(OR(M1065=phu!$I$26,M1065=phu!$I$27,M1065=phu!$I$28,M1065=phu!$I$29,M1065=phu!$I$30,M1065=phu!$I$31),"Cam Phú",""),IF(OR(M1065=phu!$I$32,M1065=phu!$I$33,M1065=phu!$I$34,M1065=phu!$I$35,M1065=phu!$I$36,M1065=phu!$I$37),"Cam Lộc",""),IF(OR(M1065=phu!$I$38,M1065=phu!$I$39,M1065=phu!$I$40,M1065=phu!$I$41,M1065=phu!$I$42,M1065=phu!$I$43,M1065=phu!$I$44),"Cam Thuận",""),IF(OR(M1065=phu!$I$45,M1065=phu!$I$46,M1065=phu!$I$47,M1065=phu!$I$48,M1065=phu!$I$49,M1065=phu!$I$50,M1065=phu!$I$51,M1065=phu!$I$52,M1065=phu!$I$53),"Cam Linh",""),IF(OR(M1065=phu!$I$54,M1065=phu!$I$55,M1065=phu!$I$56,M1065=phu!$I$57,M1065=phu!$I$58,M1065=phu!$I$59,M1065=phu!$I$60,M1065=phu!$I$61,M1065=phu!$I$62),"Cam Lợi",""),IF(OR(M1065=phu!$I$63,M1065=phu!$I$64,M1065=phu!$I$65,M1065=phu!$I$66,M1065=phu!$I$67,M1065=phu!$I$68,M1065=phu!$I$69,M1065=phu!$I$70,M1065=phu!$I$71),"Ba Ngòi",""),IF(OR(M1065=phu!$I$72,M1065=phu!$I$73,M1065=phu!$I$74,M1065=phu!$I$75,M1065=phu!$I$76,M1065=phu!$I$77,M1065=phu!$I$78),"Cam Phước Đông",""),IF(OR(M1065=phu!$I$79,M1065=phu!$I$80,M1065=phu!$I$81,M1065=phu!$I$82,M1065=phu!$I$83,M1065=phu!$I$84),"Cam Thịnh Đông",""),IF(OR(M1065=phu!$I$85,M1065=phu!$I$86,M1065=phu!$I$87,M1065=phu!$I$88),"Cam Thịnh Tây",""),IF(OR(M1065=phu!$I$89,M1065=phu!$I$90),"Cam Lập",""),IF(OR(M1065=phu!$I$91,M1065=phu!$I$92,M1065=phu!$I$93),"Cam Bình",""),IF(OR(M1065=phu!$I$94,M1065=phu!$I$95,M1065=phu!$I$96,M1065=phu!$I$97,M1065=phu!$I$98,M1065=phu!$I$99,M1065=phu!$I$100),"Huyện khác",""),IF(OR(M1065=phu!$I$101,M1065=phu!$I$102),"Tỉnh khác",""))</f>
        <v/>
      </c>
      <c r="O1065" s="814" t="str">
        <f t="shared" si="97"/>
        <v/>
      </c>
      <c r="P1065" s="254"/>
      <c r="Q1065" s="254"/>
      <c r="R1065" s="254"/>
      <c r="S1065" s="254"/>
      <c r="T1065" s="254"/>
      <c r="U1065" s="254"/>
      <c r="V1065" s="254"/>
      <c r="W1065" s="254"/>
      <c r="Y1065" s="246" t="str">
        <f t="shared" si="98"/>
        <v/>
      </c>
      <c r="Z1065" s="247" t="str">
        <f t="shared" si="96"/>
        <v/>
      </c>
      <c r="AA1065" s="246" t="str">
        <f t="shared" si="99"/>
        <v/>
      </c>
    </row>
    <row r="1066" spans="1:27" x14ac:dyDescent="0.25">
      <c r="A1066" s="248" t="str">
        <f t="shared" si="100"/>
        <v/>
      </c>
      <c r="B1066" s="249" t="str">
        <f t="shared" si="101"/>
        <v/>
      </c>
      <c r="C1066" s="250"/>
      <c r="D1066" s="251"/>
      <c r="E1066" s="241"/>
      <c r="F1066" s="252"/>
      <c r="G1066" s="252"/>
      <c r="H1066" s="253"/>
      <c r="I1066" s="250"/>
      <c r="J1066" s="250"/>
      <c r="K1066" s="270"/>
      <c r="L1066" s="250"/>
      <c r="M1066" s="250"/>
      <c r="N1066" s="553" t="str">
        <f>CONCATENATE(IF(OR(M1066=phu!$I$1,M1066=phu!$I$2,M1066=phu!$I$3),"Cam Thành Nam",""),IF(OR(M1066=phu!$I$4,M1066=phu!$I$5,M1066=phu!$I$6,M1066=phu!$I$7,M1066=phu!$I$8,M1066=phu!$I$9,M1066=phu!$I$10,M1066=phu!$I$11,M1066=phu!$I$12,M1066=phu!$I$13,M1066=phu!$I$14),"Cam Nghĩa",""),IF(OR(M1066=phu!$I$15,M1066=phu!$I$16,M1066=phu!$I$17,M1066=phu!$I$18,M1066=phu!$I$19,M1066=phu!$I$20,M1066=phu!$I$21),"Cam Phúc Bắc",""),IF(OR(M1066=phu!$I$22,M1066=phu!$I$23,M1066=phu!$I$24,M1066=phu!$I$25),"Cam Phúc Nam",""),IF(OR(M1066=phu!$I$26,M1066=phu!$I$27,M1066=phu!$I$28,M1066=phu!$I$29,M1066=phu!$I$30,M1066=phu!$I$31),"Cam Phú",""),IF(OR(M1066=phu!$I$32,M1066=phu!$I$33,M1066=phu!$I$34,M1066=phu!$I$35,M1066=phu!$I$36,M1066=phu!$I$37),"Cam Lộc",""),IF(OR(M1066=phu!$I$38,M1066=phu!$I$39,M1066=phu!$I$40,M1066=phu!$I$41,M1066=phu!$I$42,M1066=phu!$I$43,M1066=phu!$I$44),"Cam Thuận",""),IF(OR(M1066=phu!$I$45,M1066=phu!$I$46,M1066=phu!$I$47,M1066=phu!$I$48,M1066=phu!$I$49,M1066=phu!$I$50,M1066=phu!$I$51,M1066=phu!$I$52,M1066=phu!$I$53),"Cam Linh",""),IF(OR(M1066=phu!$I$54,M1066=phu!$I$55,M1066=phu!$I$56,M1066=phu!$I$57,M1066=phu!$I$58,M1066=phu!$I$59,M1066=phu!$I$60,M1066=phu!$I$61,M1066=phu!$I$62),"Cam Lợi",""),IF(OR(M1066=phu!$I$63,M1066=phu!$I$64,M1066=phu!$I$65,M1066=phu!$I$66,M1066=phu!$I$67,M1066=phu!$I$68,M1066=phu!$I$69,M1066=phu!$I$70,M1066=phu!$I$71),"Ba Ngòi",""),IF(OR(M1066=phu!$I$72,M1066=phu!$I$73,M1066=phu!$I$74,M1066=phu!$I$75,M1066=phu!$I$76,M1066=phu!$I$77,M1066=phu!$I$78),"Cam Phước Đông",""),IF(OR(M1066=phu!$I$79,M1066=phu!$I$80,M1066=phu!$I$81,M1066=phu!$I$82,M1066=phu!$I$83,M1066=phu!$I$84),"Cam Thịnh Đông",""),IF(OR(M1066=phu!$I$85,M1066=phu!$I$86,M1066=phu!$I$87,M1066=phu!$I$88),"Cam Thịnh Tây",""),IF(OR(M1066=phu!$I$89,M1066=phu!$I$90),"Cam Lập",""),IF(OR(M1066=phu!$I$91,M1066=phu!$I$92,M1066=phu!$I$93),"Cam Bình",""),IF(OR(M1066=phu!$I$94,M1066=phu!$I$95,M1066=phu!$I$96,M1066=phu!$I$97,M1066=phu!$I$98,M1066=phu!$I$99,M1066=phu!$I$100),"Huyện khác",""),IF(OR(M1066=phu!$I$101,M1066=phu!$I$102),"Tỉnh khác",""))</f>
        <v/>
      </c>
      <c r="O1066" s="814" t="str">
        <f t="shared" si="97"/>
        <v/>
      </c>
      <c r="P1066" s="254"/>
      <c r="Q1066" s="254"/>
      <c r="R1066" s="254"/>
      <c r="S1066" s="254"/>
      <c r="T1066" s="254"/>
      <c r="U1066" s="254"/>
      <c r="V1066" s="254"/>
      <c r="W1066" s="254"/>
      <c r="Y1066" s="246" t="str">
        <f t="shared" si="98"/>
        <v/>
      </c>
      <c r="Z1066" s="247" t="str">
        <f t="shared" si="96"/>
        <v/>
      </c>
      <c r="AA1066" s="246" t="str">
        <f t="shared" si="99"/>
        <v/>
      </c>
    </row>
    <row r="1067" spans="1:27" x14ac:dyDescent="0.25">
      <c r="A1067" s="248" t="str">
        <f t="shared" si="100"/>
        <v/>
      </c>
      <c r="B1067" s="249" t="str">
        <f t="shared" si="101"/>
        <v/>
      </c>
      <c r="C1067" s="250"/>
      <c r="D1067" s="251"/>
      <c r="E1067" s="241"/>
      <c r="F1067" s="252"/>
      <c r="G1067" s="252"/>
      <c r="H1067" s="253"/>
      <c r="I1067" s="250"/>
      <c r="J1067" s="250"/>
      <c r="K1067" s="270"/>
      <c r="L1067" s="250"/>
      <c r="M1067" s="250"/>
      <c r="N1067" s="553" t="str">
        <f>CONCATENATE(IF(OR(M1067=phu!$I$1,M1067=phu!$I$2,M1067=phu!$I$3),"Cam Thành Nam",""),IF(OR(M1067=phu!$I$4,M1067=phu!$I$5,M1067=phu!$I$6,M1067=phu!$I$7,M1067=phu!$I$8,M1067=phu!$I$9,M1067=phu!$I$10,M1067=phu!$I$11,M1067=phu!$I$12,M1067=phu!$I$13,M1067=phu!$I$14),"Cam Nghĩa",""),IF(OR(M1067=phu!$I$15,M1067=phu!$I$16,M1067=phu!$I$17,M1067=phu!$I$18,M1067=phu!$I$19,M1067=phu!$I$20,M1067=phu!$I$21),"Cam Phúc Bắc",""),IF(OR(M1067=phu!$I$22,M1067=phu!$I$23,M1067=phu!$I$24,M1067=phu!$I$25),"Cam Phúc Nam",""),IF(OR(M1067=phu!$I$26,M1067=phu!$I$27,M1067=phu!$I$28,M1067=phu!$I$29,M1067=phu!$I$30,M1067=phu!$I$31),"Cam Phú",""),IF(OR(M1067=phu!$I$32,M1067=phu!$I$33,M1067=phu!$I$34,M1067=phu!$I$35,M1067=phu!$I$36,M1067=phu!$I$37),"Cam Lộc",""),IF(OR(M1067=phu!$I$38,M1067=phu!$I$39,M1067=phu!$I$40,M1067=phu!$I$41,M1067=phu!$I$42,M1067=phu!$I$43,M1067=phu!$I$44),"Cam Thuận",""),IF(OR(M1067=phu!$I$45,M1067=phu!$I$46,M1067=phu!$I$47,M1067=phu!$I$48,M1067=phu!$I$49,M1067=phu!$I$50,M1067=phu!$I$51,M1067=phu!$I$52,M1067=phu!$I$53),"Cam Linh",""),IF(OR(M1067=phu!$I$54,M1067=phu!$I$55,M1067=phu!$I$56,M1067=phu!$I$57,M1067=phu!$I$58,M1067=phu!$I$59,M1067=phu!$I$60,M1067=phu!$I$61,M1067=phu!$I$62),"Cam Lợi",""),IF(OR(M1067=phu!$I$63,M1067=phu!$I$64,M1067=phu!$I$65,M1067=phu!$I$66,M1067=phu!$I$67,M1067=phu!$I$68,M1067=phu!$I$69,M1067=phu!$I$70,M1067=phu!$I$71),"Ba Ngòi",""),IF(OR(M1067=phu!$I$72,M1067=phu!$I$73,M1067=phu!$I$74,M1067=phu!$I$75,M1067=phu!$I$76,M1067=phu!$I$77,M1067=phu!$I$78),"Cam Phước Đông",""),IF(OR(M1067=phu!$I$79,M1067=phu!$I$80,M1067=phu!$I$81,M1067=phu!$I$82,M1067=phu!$I$83,M1067=phu!$I$84),"Cam Thịnh Đông",""),IF(OR(M1067=phu!$I$85,M1067=phu!$I$86,M1067=phu!$I$87,M1067=phu!$I$88),"Cam Thịnh Tây",""),IF(OR(M1067=phu!$I$89,M1067=phu!$I$90),"Cam Lập",""),IF(OR(M1067=phu!$I$91,M1067=phu!$I$92,M1067=phu!$I$93),"Cam Bình",""),IF(OR(M1067=phu!$I$94,M1067=phu!$I$95,M1067=phu!$I$96,M1067=phu!$I$97,M1067=phu!$I$98,M1067=phu!$I$99,M1067=phu!$I$100),"Huyện khác",""),IF(OR(M1067=phu!$I$101,M1067=phu!$I$102),"Tỉnh khác",""))</f>
        <v/>
      </c>
      <c r="O1067" s="814" t="str">
        <f t="shared" si="97"/>
        <v/>
      </c>
      <c r="P1067" s="254"/>
      <c r="Q1067" s="254"/>
      <c r="R1067" s="254"/>
      <c r="S1067" s="254"/>
      <c r="T1067" s="254"/>
      <c r="U1067" s="254"/>
      <c r="V1067" s="254"/>
      <c r="W1067" s="254"/>
      <c r="Y1067" s="246" t="str">
        <f t="shared" si="98"/>
        <v/>
      </c>
      <c r="Z1067" s="247" t="str">
        <f t="shared" si="96"/>
        <v/>
      </c>
      <c r="AA1067" s="246" t="str">
        <f t="shared" si="99"/>
        <v/>
      </c>
    </row>
    <row r="1068" spans="1:27" x14ac:dyDescent="0.25">
      <c r="A1068" s="248" t="str">
        <f t="shared" si="100"/>
        <v/>
      </c>
      <c r="B1068" s="249" t="str">
        <f t="shared" si="101"/>
        <v/>
      </c>
      <c r="C1068" s="250"/>
      <c r="D1068" s="251"/>
      <c r="E1068" s="241"/>
      <c r="F1068" s="252"/>
      <c r="G1068" s="252"/>
      <c r="H1068" s="253"/>
      <c r="I1068" s="250"/>
      <c r="J1068" s="250"/>
      <c r="K1068" s="270"/>
      <c r="L1068" s="250"/>
      <c r="M1068" s="250"/>
      <c r="N1068" s="553" t="str">
        <f>CONCATENATE(IF(OR(M1068=phu!$I$1,M1068=phu!$I$2,M1068=phu!$I$3),"Cam Thành Nam",""),IF(OR(M1068=phu!$I$4,M1068=phu!$I$5,M1068=phu!$I$6,M1068=phu!$I$7,M1068=phu!$I$8,M1068=phu!$I$9,M1068=phu!$I$10,M1068=phu!$I$11,M1068=phu!$I$12,M1068=phu!$I$13,M1068=phu!$I$14),"Cam Nghĩa",""),IF(OR(M1068=phu!$I$15,M1068=phu!$I$16,M1068=phu!$I$17,M1068=phu!$I$18,M1068=phu!$I$19,M1068=phu!$I$20,M1068=phu!$I$21),"Cam Phúc Bắc",""),IF(OR(M1068=phu!$I$22,M1068=phu!$I$23,M1068=phu!$I$24,M1068=phu!$I$25),"Cam Phúc Nam",""),IF(OR(M1068=phu!$I$26,M1068=phu!$I$27,M1068=phu!$I$28,M1068=phu!$I$29,M1068=phu!$I$30,M1068=phu!$I$31),"Cam Phú",""),IF(OR(M1068=phu!$I$32,M1068=phu!$I$33,M1068=phu!$I$34,M1068=phu!$I$35,M1068=phu!$I$36,M1068=phu!$I$37),"Cam Lộc",""),IF(OR(M1068=phu!$I$38,M1068=phu!$I$39,M1068=phu!$I$40,M1068=phu!$I$41,M1068=phu!$I$42,M1068=phu!$I$43,M1068=phu!$I$44),"Cam Thuận",""),IF(OR(M1068=phu!$I$45,M1068=phu!$I$46,M1068=phu!$I$47,M1068=phu!$I$48,M1068=phu!$I$49,M1068=phu!$I$50,M1068=phu!$I$51,M1068=phu!$I$52,M1068=phu!$I$53),"Cam Linh",""),IF(OR(M1068=phu!$I$54,M1068=phu!$I$55,M1068=phu!$I$56,M1068=phu!$I$57,M1068=phu!$I$58,M1068=phu!$I$59,M1068=phu!$I$60,M1068=phu!$I$61,M1068=phu!$I$62),"Cam Lợi",""),IF(OR(M1068=phu!$I$63,M1068=phu!$I$64,M1068=phu!$I$65,M1068=phu!$I$66,M1068=phu!$I$67,M1068=phu!$I$68,M1068=phu!$I$69,M1068=phu!$I$70,M1068=phu!$I$71),"Ba Ngòi",""),IF(OR(M1068=phu!$I$72,M1068=phu!$I$73,M1068=phu!$I$74,M1068=phu!$I$75,M1068=phu!$I$76,M1068=phu!$I$77,M1068=phu!$I$78),"Cam Phước Đông",""),IF(OR(M1068=phu!$I$79,M1068=phu!$I$80,M1068=phu!$I$81,M1068=phu!$I$82,M1068=phu!$I$83,M1068=phu!$I$84),"Cam Thịnh Đông",""),IF(OR(M1068=phu!$I$85,M1068=phu!$I$86,M1068=phu!$I$87,M1068=phu!$I$88),"Cam Thịnh Tây",""),IF(OR(M1068=phu!$I$89,M1068=phu!$I$90),"Cam Lập",""),IF(OR(M1068=phu!$I$91,M1068=phu!$I$92,M1068=phu!$I$93),"Cam Bình",""),IF(OR(M1068=phu!$I$94,M1068=phu!$I$95,M1068=phu!$I$96,M1068=phu!$I$97,M1068=phu!$I$98,M1068=phu!$I$99,M1068=phu!$I$100),"Huyện khác",""),IF(OR(M1068=phu!$I$101,M1068=phu!$I$102),"Tỉnh khác",""))</f>
        <v/>
      </c>
      <c r="O1068" s="814" t="str">
        <f t="shared" si="97"/>
        <v/>
      </c>
      <c r="P1068" s="254"/>
      <c r="Q1068" s="254"/>
      <c r="R1068" s="254"/>
      <c r="S1068" s="254"/>
      <c r="T1068" s="254"/>
      <c r="U1068" s="254"/>
      <c r="V1068" s="254"/>
      <c r="W1068" s="254"/>
      <c r="Y1068" s="246" t="str">
        <f t="shared" si="98"/>
        <v/>
      </c>
      <c r="Z1068" s="247" t="str">
        <f t="shared" si="96"/>
        <v/>
      </c>
      <c r="AA1068" s="246" t="str">
        <f t="shared" si="99"/>
        <v/>
      </c>
    </row>
    <row r="1069" spans="1:27" x14ac:dyDescent="0.25">
      <c r="A1069" s="248" t="str">
        <f t="shared" si="100"/>
        <v/>
      </c>
      <c r="B1069" s="249" t="str">
        <f t="shared" si="101"/>
        <v/>
      </c>
      <c r="C1069" s="250"/>
      <c r="D1069" s="251"/>
      <c r="E1069" s="241"/>
      <c r="F1069" s="252"/>
      <c r="G1069" s="252"/>
      <c r="H1069" s="253"/>
      <c r="I1069" s="250"/>
      <c r="J1069" s="250"/>
      <c r="K1069" s="270"/>
      <c r="L1069" s="250"/>
      <c r="M1069" s="250"/>
      <c r="N1069" s="553" t="str">
        <f>CONCATENATE(IF(OR(M1069=phu!$I$1,M1069=phu!$I$2,M1069=phu!$I$3),"Cam Thành Nam",""),IF(OR(M1069=phu!$I$4,M1069=phu!$I$5,M1069=phu!$I$6,M1069=phu!$I$7,M1069=phu!$I$8,M1069=phu!$I$9,M1069=phu!$I$10,M1069=phu!$I$11,M1069=phu!$I$12,M1069=phu!$I$13,M1069=phu!$I$14),"Cam Nghĩa",""),IF(OR(M1069=phu!$I$15,M1069=phu!$I$16,M1069=phu!$I$17,M1069=phu!$I$18,M1069=phu!$I$19,M1069=phu!$I$20,M1069=phu!$I$21),"Cam Phúc Bắc",""),IF(OR(M1069=phu!$I$22,M1069=phu!$I$23,M1069=phu!$I$24,M1069=phu!$I$25),"Cam Phúc Nam",""),IF(OR(M1069=phu!$I$26,M1069=phu!$I$27,M1069=phu!$I$28,M1069=phu!$I$29,M1069=phu!$I$30,M1069=phu!$I$31),"Cam Phú",""),IF(OR(M1069=phu!$I$32,M1069=phu!$I$33,M1069=phu!$I$34,M1069=phu!$I$35,M1069=phu!$I$36,M1069=phu!$I$37),"Cam Lộc",""),IF(OR(M1069=phu!$I$38,M1069=phu!$I$39,M1069=phu!$I$40,M1069=phu!$I$41,M1069=phu!$I$42,M1069=phu!$I$43,M1069=phu!$I$44),"Cam Thuận",""),IF(OR(M1069=phu!$I$45,M1069=phu!$I$46,M1069=phu!$I$47,M1069=phu!$I$48,M1069=phu!$I$49,M1069=phu!$I$50,M1069=phu!$I$51,M1069=phu!$I$52,M1069=phu!$I$53),"Cam Linh",""),IF(OR(M1069=phu!$I$54,M1069=phu!$I$55,M1069=phu!$I$56,M1069=phu!$I$57,M1069=phu!$I$58,M1069=phu!$I$59,M1069=phu!$I$60,M1069=phu!$I$61,M1069=phu!$I$62),"Cam Lợi",""),IF(OR(M1069=phu!$I$63,M1069=phu!$I$64,M1069=phu!$I$65,M1069=phu!$I$66,M1069=phu!$I$67,M1069=phu!$I$68,M1069=phu!$I$69,M1069=phu!$I$70,M1069=phu!$I$71),"Ba Ngòi",""),IF(OR(M1069=phu!$I$72,M1069=phu!$I$73,M1069=phu!$I$74,M1069=phu!$I$75,M1069=phu!$I$76,M1069=phu!$I$77,M1069=phu!$I$78),"Cam Phước Đông",""),IF(OR(M1069=phu!$I$79,M1069=phu!$I$80,M1069=phu!$I$81,M1069=phu!$I$82,M1069=phu!$I$83,M1069=phu!$I$84),"Cam Thịnh Đông",""),IF(OR(M1069=phu!$I$85,M1069=phu!$I$86,M1069=phu!$I$87,M1069=phu!$I$88),"Cam Thịnh Tây",""),IF(OR(M1069=phu!$I$89,M1069=phu!$I$90),"Cam Lập",""),IF(OR(M1069=phu!$I$91,M1069=phu!$I$92,M1069=phu!$I$93),"Cam Bình",""),IF(OR(M1069=phu!$I$94,M1069=phu!$I$95,M1069=phu!$I$96,M1069=phu!$I$97,M1069=phu!$I$98,M1069=phu!$I$99,M1069=phu!$I$100),"Huyện khác",""),IF(OR(M1069=phu!$I$101,M1069=phu!$I$102),"Tỉnh khác",""))</f>
        <v/>
      </c>
      <c r="O1069" s="814" t="str">
        <f t="shared" si="97"/>
        <v/>
      </c>
      <c r="P1069" s="254"/>
      <c r="Q1069" s="254"/>
      <c r="R1069" s="254"/>
      <c r="S1069" s="254"/>
      <c r="T1069" s="254"/>
      <c r="U1069" s="254"/>
      <c r="V1069" s="254"/>
      <c r="W1069" s="254"/>
      <c r="Y1069" s="246" t="str">
        <f t="shared" si="98"/>
        <v/>
      </c>
      <c r="Z1069" s="247" t="str">
        <f t="shared" si="96"/>
        <v/>
      </c>
      <c r="AA1069" s="246" t="str">
        <f t="shared" si="99"/>
        <v/>
      </c>
    </row>
    <row r="1070" spans="1:27" x14ac:dyDescent="0.25">
      <c r="A1070" s="248" t="str">
        <f t="shared" si="100"/>
        <v/>
      </c>
      <c r="B1070" s="249" t="str">
        <f t="shared" si="101"/>
        <v/>
      </c>
      <c r="C1070" s="250"/>
      <c r="D1070" s="251"/>
      <c r="E1070" s="241"/>
      <c r="F1070" s="252"/>
      <c r="G1070" s="252"/>
      <c r="H1070" s="253"/>
      <c r="I1070" s="250"/>
      <c r="J1070" s="250"/>
      <c r="K1070" s="270"/>
      <c r="L1070" s="250"/>
      <c r="M1070" s="250"/>
      <c r="N1070" s="553" t="str">
        <f>CONCATENATE(IF(OR(M1070=phu!$I$1,M1070=phu!$I$2,M1070=phu!$I$3),"Cam Thành Nam",""),IF(OR(M1070=phu!$I$4,M1070=phu!$I$5,M1070=phu!$I$6,M1070=phu!$I$7,M1070=phu!$I$8,M1070=phu!$I$9,M1070=phu!$I$10,M1070=phu!$I$11,M1070=phu!$I$12,M1070=phu!$I$13,M1070=phu!$I$14),"Cam Nghĩa",""),IF(OR(M1070=phu!$I$15,M1070=phu!$I$16,M1070=phu!$I$17,M1070=phu!$I$18,M1070=phu!$I$19,M1070=phu!$I$20,M1070=phu!$I$21),"Cam Phúc Bắc",""),IF(OR(M1070=phu!$I$22,M1070=phu!$I$23,M1070=phu!$I$24,M1070=phu!$I$25),"Cam Phúc Nam",""),IF(OR(M1070=phu!$I$26,M1070=phu!$I$27,M1070=phu!$I$28,M1070=phu!$I$29,M1070=phu!$I$30,M1070=phu!$I$31),"Cam Phú",""),IF(OR(M1070=phu!$I$32,M1070=phu!$I$33,M1070=phu!$I$34,M1070=phu!$I$35,M1070=phu!$I$36,M1070=phu!$I$37),"Cam Lộc",""),IF(OR(M1070=phu!$I$38,M1070=phu!$I$39,M1070=phu!$I$40,M1070=phu!$I$41,M1070=phu!$I$42,M1070=phu!$I$43,M1070=phu!$I$44),"Cam Thuận",""),IF(OR(M1070=phu!$I$45,M1070=phu!$I$46,M1070=phu!$I$47,M1070=phu!$I$48,M1070=phu!$I$49,M1070=phu!$I$50,M1070=phu!$I$51,M1070=phu!$I$52,M1070=phu!$I$53),"Cam Linh",""),IF(OR(M1070=phu!$I$54,M1070=phu!$I$55,M1070=phu!$I$56,M1070=phu!$I$57,M1070=phu!$I$58,M1070=phu!$I$59,M1070=phu!$I$60,M1070=phu!$I$61,M1070=phu!$I$62),"Cam Lợi",""),IF(OR(M1070=phu!$I$63,M1070=phu!$I$64,M1070=phu!$I$65,M1070=phu!$I$66,M1070=phu!$I$67,M1070=phu!$I$68,M1070=phu!$I$69,M1070=phu!$I$70,M1070=phu!$I$71),"Ba Ngòi",""),IF(OR(M1070=phu!$I$72,M1070=phu!$I$73,M1070=phu!$I$74,M1070=phu!$I$75,M1070=phu!$I$76,M1070=phu!$I$77,M1070=phu!$I$78),"Cam Phước Đông",""),IF(OR(M1070=phu!$I$79,M1070=phu!$I$80,M1070=phu!$I$81,M1070=phu!$I$82,M1070=phu!$I$83,M1070=phu!$I$84),"Cam Thịnh Đông",""),IF(OR(M1070=phu!$I$85,M1070=phu!$I$86,M1070=phu!$I$87,M1070=phu!$I$88),"Cam Thịnh Tây",""),IF(OR(M1070=phu!$I$89,M1070=phu!$I$90),"Cam Lập",""),IF(OR(M1070=phu!$I$91,M1070=phu!$I$92,M1070=phu!$I$93),"Cam Bình",""),IF(OR(M1070=phu!$I$94,M1070=phu!$I$95,M1070=phu!$I$96,M1070=phu!$I$97,M1070=phu!$I$98,M1070=phu!$I$99,M1070=phu!$I$100),"Huyện khác",""),IF(OR(M1070=phu!$I$101,M1070=phu!$I$102),"Tỉnh khác",""))</f>
        <v/>
      </c>
      <c r="O1070" s="814" t="str">
        <f t="shared" si="97"/>
        <v/>
      </c>
      <c r="P1070" s="254"/>
      <c r="Q1070" s="254"/>
      <c r="R1070" s="254"/>
      <c r="S1070" s="254"/>
      <c r="T1070" s="254"/>
      <c r="U1070" s="254"/>
      <c r="V1070" s="254"/>
      <c r="W1070" s="254"/>
      <c r="Y1070" s="246" t="str">
        <f t="shared" si="98"/>
        <v/>
      </c>
      <c r="Z1070" s="247" t="str">
        <f t="shared" si="96"/>
        <v/>
      </c>
      <c r="AA1070" s="246" t="str">
        <f t="shared" si="99"/>
        <v/>
      </c>
    </row>
    <row r="1071" spans="1:27" x14ac:dyDescent="0.25">
      <c r="A1071" s="248" t="str">
        <f t="shared" si="100"/>
        <v/>
      </c>
      <c r="B1071" s="249" t="str">
        <f t="shared" si="101"/>
        <v/>
      </c>
      <c r="C1071" s="250"/>
      <c r="D1071" s="251"/>
      <c r="E1071" s="241"/>
      <c r="F1071" s="252"/>
      <c r="G1071" s="252"/>
      <c r="H1071" s="253"/>
      <c r="I1071" s="250"/>
      <c r="J1071" s="250"/>
      <c r="K1071" s="270"/>
      <c r="L1071" s="250"/>
      <c r="M1071" s="250"/>
      <c r="N1071" s="553" t="str">
        <f>CONCATENATE(IF(OR(M1071=phu!$I$1,M1071=phu!$I$2,M1071=phu!$I$3),"Cam Thành Nam",""),IF(OR(M1071=phu!$I$4,M1071=phu!$I$5,M1071=phu!$I$6,M1071=phu!$I$7,M1071=phu!$I$8,M1071=phu!$I$9,M1071=phu!$I$10,M1071=phu!$I$11,M1071=phu!$I$12,M1071=phu!$I$13,M1071=phu!$I$14),"Cam Nghĩa",""),IF(OR(M1071=phu!$I$15,M1071=phu!$I$16,M1071=phu!$I$17,M1071=phu!$I$18,M1071=phu!$I$19,M1071=phu!$I$20,M1071=phu!$I$21),"Cam Phúc Bắc",""),IF(OR(M1071=phu!$I$22,M1071=phu!$I$23,M1071=phu!$I$24,M1071=phu!$I$25),"Cam Phúc Nam",""),IF(OR(M1071=phu!$I$26,M1071=phu!$I$27,M1071=phu!$I$28,M1071=phu!$I$29,M1071=phu!$I$30,M1071=phu!$I$31),"Cam Phú",""),IF(OR(M1071=phu!$I$32,M1071=phu!$I$33,M1071=phu!$I$34,M1071=phu!$I$35,M1071=phu!$I$36,M1071=phu!$I$37),"Cam Lộc",""),IF(OR(M1071=phu!$I$38,M1071=phu!$I$39,M1071=phu!$I$40,M1071=phu!$I$41,M1071=phu!$I$42,M1071=phu!$I$43,M1071=phu!$I$44),"Cam Thuận",""),IF(OR(M1071=phu!$I$45,M1071=phu!$I$46,M1071=phu!$I$47,M1071=phu!$I$48,M1071=phu!$I$49,M1071=phu!$I$50,M1071=phu!$I$51,M1071=phu!$I$52,M1071=phu!$I$53),"Cam Linh",""),IF(OR(M1071=phu!$I$54,M1071=phu!$I$55,M1071=phu!$I$56,M1071=phu!$I$57,M1071=phu!$I$58,M1071=phu!$I$59,M1071=phu!$I$60,M1071=phu!$I$61,M1071=phu!$I$62),"Cam Lợi",""),IF(OR(M1071=phu!$I$63,M1071=phu!$I$64,M1071=phu!$I$65,M1071=phu!$I$66,M1071=phu!$I$67,M1071=phu!$I$68,M1071=phu!$I$69,M1071=phu!$I$70,M1071=phu!$I$71),"Ba Ngòi",""),IF(OR(M1071=phu!$I$72,M1071=phu!$I$73,M1071=phu!$I$74,M1071=phu!$I$75,M1071=phu!$I$76,M1071=phu!$I$77,M1071=phu!$I$78),"Cam Phước Đông",""),IF(OR(M1071=phu!$I$79,M1071=phu!$I$80,M1071=phu!$I$81,M1071=phu!$I$82,M1071=phu!$I$83,M1071=phu!$I$84),"Cam Thịnh Đông",""),IF(OR(M1071=phu!$I$85,M1071=phu!$I$86,M1071=phu!$I$87,M1071=phu!$I$88),"Cam Thịnh Tây",""),IF(OR(M1071=phu!$I$89,M1071=phu!$I$90),"Cam Lập",""),IF(OR(M1071=phu!$I$91,M1071=phu!$I$92,M1071=phu!$I$93),"Cam Bình",""),IF(OR(M1071=phu!$I$94,M1071=phu!$I$95,M1071=phu!$I$96,M1071=phu!$I$97,M1071=phu!$I$98,M1071=phu!$I$99,M1071=phu!$I$100),"Huyện khác",""),IF(OR(M1071=phu!$I$101,M1071=phu!$I$102),"Tỉnh khác",""))</f>
        <v/>
      </c>
      <c r="O1071" s="814" t="str">
        <f t="shared" si="97"/>
        <v/>
      </c>
      <c r="P1071" s="254"/>
      <c r="Q1071" s="254"/>
      <c r="R1071" s="254"/>
      <c r="S1071" s="254"/>
      <c r="T1071" s="254"/>
      <c r="U1071" s="254"/>
      <c r="V1071" s="254"/>
      <c r="W1071" s="254"/>
      <c r="Y1071" s="246" t="str">
        <f t="shared" si="98"/>
        <v/>
      </c>
      <c r="Z1071" s="247" t="str">
        <f t="shared" si="96"/>
        <v/>
      </c>
      <c r="AA1071" s="246" t="str">
        <f t="shared" si="99"/>
        <v/>
      </c>
    </row>
    <row r="1072" spans="1:27" x14ac:dyDescent="0.25">
      <c r="A1072" s="248" t="str">
        <f t="shared" si="100"/>
        <v/>
      </c>
      <c r="B1072" s="249" t="str">
        <f t="shared" si="101"/>
        <v/>
      </c>
      <c r="C1072" s="250"/>
      <c r="D1072" s="251"/>
      <c r="E1072" s="241"/>
      <c r="F1072" s="252"/>
      <c r="G1072" s="252"/>
      <c r="H1072" s="253"/>
      <c r="I1072" s="250"/>
      <c r="J1072" s="250"/>
      <c r="K1072" s="270"/>
      <c r="L1072" s="250"/>
      <c r="M1072" s="250"/>
      <c r="N1072" s="553" t="str">
        <f>CONCATENATE(IF(OR(M1072=phu!$I$1,M1072=phu!$I$2,M1072=phu!$I$3),"Cam Thành Nam",""),IF(OR(M1072=phu!$I$4,M1072=phu!$I$5,M1072=phu!$I$6,M1072=phu!$I$7,M1072=phu!$I$8,M1072=phu!$I$9,M1072=phu!$I$10,M1072=phu!$I$11,M1072=phu!$I$12,M1072=phu!$I$13,M1072=phu!$I$14),"Cam Nghĩa",""),IF(OR(M1072=phu!$I$15,M1072=phu!$I$16,M1072=phu!$I$17,M1072=phu!$I$18,M1072=phu!$I$19,M1072=phu!$I$20,M1072=phu!$I$21),"Cam Phúc Bắc",""),IF(OR(M1072=phu!$I$22,M1072=phu!$I$23,M1072=phu!$I$24,M1072=phu!$I$25),"Cam Phúc Nam",""),IF(OR(M1072=phu!$I$26,M1072=phu!$I$27,M1072=phu!$I$28,M1072=phu!$I$29,M1072=phu!$I$30,M1072=phu!$I$31),"Cam Phú",""),IF(OR(M1072=phu!$I$32,M1072=phu!$I$33,M1072=phu!$I$34,M1072=phu!$I$35,M1072=phu!$I$36,M1072=phu!$I$37),"Cam Lộc",""),IF(OR(M1072=phu!$I$38,M1072=phu!$I$39,M1072=phu!$I$40,M1072=phu!$I$41,M1072=phu!$I$42,M1072=phu!$I$43,M1072=phu!$I$44),"Cam Thuận",""),IF(OR(M1072=phu!$I$45,M1072=phu!$I$46,M1072=phu!$I$47,M1072=phu!$I$48,M1072=phu!$I$49,M1072=phu!$I$50,M1072=phu!$I$51,M1072=phu!$I$52,M1072=phu!$I$53),"Cam Linh",""),IF(OR(M1072=phu!$I$54,M1072=phu!$I$55,M1072=phu!$I$56,M1072=phu!$I$57,M1072=phu!$I$58,M1072=phu!$I$59,M1072=phu!$I$60,M1072=phu!$I$61,M1072=phu!$I$62),"Cam Lợi",""),IF(OR(M1072=phu!$I$63,M1072=phu!$I$64,M1072=phu!$I$65,M1072=phu!$I$66,M1072=phu!$I$67,M1072=phu!$I$68,M1072=phu!$I$69,M1072=phu!$I$70,M1072=phu!$I$71),"Ba Ngòi",""),IF(OR(M1072=phu!$I$72,M1072=phu!$I$73,M1072=phu!$I$74,M1072=phu!$I$75,M1072=phu!$I$76,M1072=phu!$I$77,M1072=phu!$I$78),"Cam Phước Đông",""),IF(OR(M1072=phu!$I$79,M1072=phu!$I$80,M1072=phu!$I$81,M1072=phu!$I$82,M1072=phu!$I$83,M1072=phu!$I$84),"Cam Thịnh Đông",""),IF(OR(M1072=phu!$I$85,M1072=phu!$I$86,M1072=phu!$I$87,M1072=phu!$I$88),"Cam Thịnh Tây",""),IF(OR(M1072=phu!$I$89,M1072=phu!$I$90),"Cam Lập",""),IF(OR(M1072=phu!$I$91,M1072=phu!$I$92,M1072=phu!$I$93),"Cam Bình",""),IF(OR(M1072=phu!$I$94,M1072=phu!$I$95,M1072=phu!$I$96,M1072=phu!$I$97,M1072=phu!$I$98,M1072=phu!$I$99,M1072=phu!$I$100),"Huyện khác",""),IF(OR(M1072=phu!$I$101,M1072=phu!$I$102),"Tỉnh khác",""))</f>
        <v/>
      </c>
      <c r="O1072" s="814" t="str">
        <f t="shared" si="97"/>
        <v/>
      </c>
      <c r="P1072" s="254"/>
      <c r="Q1072" s="254"/>
      <c r="R1072" s="254"/>
      <c r="S1072" s="254"/>
      <c r="T1072" s="254"/>
      <c r="U1072" s="254"/>
      <c r="V1072" s="254"/>
      <c r="W1072" s="254"/>
      <c r="Y1072" s="246" t="str">
        <f t="shared" si="98"/>
        <v/>
      </c>
      <c r="Z1072" s="247" t="str">
        <f t="shared" si="96"/>
        <v/>
      </c>
      <c r="AA1072" s="246" t="str">
        <f t="shared" si="99"/>
        <v/>
      </c>
    </row>
    <row r="1073" spans="1:27" x14ac:dyDescent="0.25">
      <c r="A1073" s="248" t="str">
        <f t="shared" si="100"/>
        <v/>
      </c>
      <c r="B1073" s="249" t="str">
        <f t="shared" si="101"/>
        <v/>
      </c>
      <c r="C1073" s="250"/>
      <c r="D1073" s="251"/>
      <c r="E1073" s="241"/>
      <c r="F1073" s="252"/>
      <c r="G1073" s="252"/>
      <c r="H1073" s="253"/>
      <c r="I1073" s="250"/>
      <c r="J1073" s="250"/>
      <c r="K1073" s="270"/>
      <c r="L1073" s="250"/>
      <c r="M1073" s="250"/>
      <c r="N1073" s="553" t="str">
        <f>CONCATENATE(IF(OR(M1073=phu!$I$1,M1073=phu!$I$2,M1073=phu!$I$3),"Cam Thành Nam",""),IF(OR(M1073=phu!$I$4,M1073=phu!$I$5,M1073=phu!$I$6,M1073=phu!$I$7,M1073=phu!$I$8,M1073=phu!$I$9,M1073=phu!$I$10,M1073=phu!$I$11,M1073=phu!$I$12,M1073=phu!$I$13,M1073=phu!$I$14),"Cam Nghĩa",""),IF(OR(M1073=phu!$I$15,M1073=phu!$I$16,M1073=phu!$I$17,M1073=phu!$I$18,M1073=phu!$I$19,M1073=phu!$I$20,M1073=phu!$I$21),"Cam Phúc Bắc",""),IF(OR(M1073=phu!$I$22,M1073=phu!$I$23,M1073=phu!$I$24,M1073=phu!$I$25),"Cam Phúc Nam",""),IF(OR(M1073=phu!$I$26,M1073=phu!$I$27,M1073=phu!$I$28,M1073=phu!$I$29,M1073=phu!$I$30,M1073=phu!$I$31),"Cam Phú",""),IF(OR(M1073=phu!$I$32,M1073=phu!$I$33,M1073=phu!$I$34,M1073=phu!$I$35,M1073=phu!$I$36,M1073=phu!$I$37),"Cam Lộc",""),IF(OR(M1073=phu!$I$38,M1073=phu!$I$39,M1073=phu!$I$40,M1073=phu!$I$41,M1073=phu!$I$42,M1073=phu!$I$43,M1073=phu!$I$44),"Cam Thuận",""),IF(OR(M1073=phu!$I$45,M1073=phu!$I$46,M1073=phu!$I$47,M1073=phu!$I$48,M1073=phu!$I$49,M1073=phu!$I$50,M1073=phu!$I$51,M1073=phu!$I$52,M1073=phu!$I$53),"Cam Linh",""),IF(OR(M1073=phu!$I$54,M1073=phu!$I$55,M1073=phu!$I$56,M1073=phu!$I$57,M1073=phu!$I$58,M1073=phu!$I$59,M1073=phu!$I$60,M1073=phu!$I$61,M1073=phu!$I$62),"Cam Lợi",""),IF(OR(M1073=phu!$I$63,M1073=phu!$I$64,M1073=phu!$I$65,M1073=phu!$I$66,M1073=phu!$I$67,M1073=phu!$I$68,M1073=phu!$I$69,M1073=phu!$I$70,M1073=phu!$I$71),"Ba Ngòi",""),IF(OR(M1073=phu!$I$72,M1073=phu!$I$73,M1073=phu!$I$74,M1073=phu!$I$75,M1073=phu!$I$76,M1073=phu!$I$77,M1073=phu!$I$78),"Cam Phước Đông",""),IF(OR(M1073=phu!$I$79,M1073=phu!$I$80,M1073=phu!$I$81,M1073=phu!$I$82,M1073=phu!$I$83,M1073=phu!$I$84),"Cam Thịnh Đông",""),IF(OR(M1073=phu!$I$85,M1073=phu!$I$86,M1073=phu!$I$87,M1073=phu!$I$88),"Cam Thịnh Tây",""),IF(OR(M1073=phu!$I$89,M1073=phu!$I$90),"Cam Lập",""),IF(OR(M1073=phu!$I$91,M1073=phu!$I$92,M1073=phu!$I$93),"Cam Bình",""),IF(OR(M1073=phu!$I$94,M1073=phu!$I$95,M1073=phu!$I$96,M1073=phu!$I$97,M1073=phu!$I$98,M1073=phu!$I$99,M1073=phu!$I$100),"Huyện khác",""),IF(OR(M1073=phu!$I$101,M1073=phu!$I$102),"Tỉnh khác",""))</f>
        <v/>
      </c>
      <c r="O1073" s="814" t="str">
        <f t="shared" si="97"/>
        <v/>
      </c>
      <c r="P1073" s="254"/>
      <c r="Q1073" s="254"/>
      <c r="R1073" s="254"/>
      <c r="S1073" s="254"/>
      <c r="T1073" s="254"/>
      <c r="U1073" s="254"/>
      <c r="V1073" s="254"/>
      <c r="W1073" s="254"/>
      <c r="Y1073" s="246" t="str">
        <f t="shared" si="98"/>
        <v/>
      </c>
      <c r="Z1073" s="247" t="str">
        <f t="shared" si="96"/>
        <v/>
      </c>
      <c r="AA1073" s="246" t="str">
        <f t="shared" si="99"/>
        <v/>
      </c>
    </row>
    <row r="1074" spans="1:27" x14ac:dyDescent="0.25">
      <c r="A1074" s="248" t="str">
        <f t="shared" si="100"/>
        <v/>
      </c>
      <c r="B1074" s="249" t="str">
        <f t="shared" si="101"/>
        <v/>
      </c>
      <c r="C1074" s="250"/>
      <c r="D1074" s="251"/>
      <c r="E1074" s="241"/>
      <c r="F1074" s="252"/>
      <c r="G1074" s="252"/>
      <c r="H1074" s="253"/>
      <c r="I1074" s="250"/>
      <c r="J1074" s="250"/>
      <c r="K1074" s="270"/>
      <c r="L1074" s="250"/>
      <c r="M1074" s="250"/>
      <c r="N1074" s="553" t="str">
        <f>CONCATENATE(IF(OR(M1074=phu!$I$1,M1074=phu!$I$2,M1074=phu!$I$3),"Cam Thành Nam",""),IF(OR(M1074=phu!$I$4,M1074=phu!$I$5,M1074=phu!$I$6,M1074=phu!$I$7,M1074=phu!$I$8,M1074=phu!$I$9,M1074=phu!$I$10,M1074=phu!$I$11,M1074=phu!$I$12,M1074=phu!$I$13,M1074=phu!$I$14),"Cam Nghĩa",""),IF(OR(M1074=phu!$I$15,M1074=phu!$I$16,M1074=phu!$I$17,M1074=phu!$I$18,M1074=phu!$I$19,M1074=phu!$I$20,M1074=phu!$I$21),"Cam Phúc Bắc",""),IF(OR(M1074=phu!$I$22,M1074=phu!$I$23,M1074=phu!$I$24,M1074=phu!$I$25),"Cam Phúc Nam",""),IF(OR(M1074=phu!$I$26,M1074=phu!$I$27,M1074=phu!$I$28,M1074=phu!$I$29,M1074=phu!$I$30,M1074=phu!$I$31),"Cam Phú",""),IF(OR(M1074=phu!$I$32,M1074=phu!$I$33,M1074=phu!$I$34,M1074=phu!$I$35,M1074=phu!$I$36,M1074=phu!$I$37),"Cam Lộc",""),IF(OR(M1074=phu!$I$38,M1074=phu!$I$39,M1074=phu!$I$40,M1074=phu!$I$41,M1074=phu!$I$42,M1074=phu!$I$43,M1074=phu!$I$44),"Cam Thuận",""),IF(OR(M1074=phu!$I$45,M1074=phu!$I$46,M1074=phu!$I$47,M1074=phu!$I$48,M1074=phu!$I$49,M1074=phu!$I$50,M1074=phu!$I$51,M1074=phu!$I$52,M1074=phu!$I$53),"Cam Linh",""),IF(OR(M1074=phu!$I$54,M1074=phu!$I$55,M1074=phu!$I$56,M1074=phu!$I$57,M1074=phu!$I$58,M1074=phu!$I$59,M1074=phu!$I$60,M1074=phu!$I$61,M1074=phu!$I$62),"Cam Lợi",""),IF(OR(M1074=phu!$I$63,M1074=phu!$I$64,M1074=phu!$I$65,M1074=phu!$I$66,M1074=phu!$I$67,M1074=phu!$I$68,M1074=phu!$I$69,M1074=phu!$I$70,M1074=phu!$I$71),"Ba Ngòi",""),IF(OR(M1074=phu!$I$72,M1074=phu!$I$73,M1074=phu!$I$74,M1074=phu!$I$75,M1074=phu!$I$76,M1074=phu!$I$77,M1074=phu!$I$78),"Cam Phước Đông",""),IF(OR(M1074=phu!$I$79,M1074=phu!$I$80,M1074=phu!$I$81,M1074=phu!$I$82,M1074=phu!$I$83,M1074=phu!$I$84),"Cam Thịnh Đông",""),IF(OR(M1074=phu!$I$85,M1074=phu!$I$86,M1074=phu!$I$87,M1074=phu!$I$88),"Cam Thịnh Tây",""),IF(OR(M1074=phu!$I$89,M1074=phu!$I$90),"Cam Lập",""),IF(OR(M1074=phu!$I$91,M1074=phu!$I$92,M1074=phu!$I$93),"Cam Bình",""),IF(OR(M1074=phu!$I$94,M1074=phu!$I$95,M1074=phu!$I$96,M1074=phu!$I$97,M1074=phu!$I$98,M1074=phu!$I$99,M1074=phu!$I$100),"Huyện khác",""),IF(OR(M1074=phu!$I$101,M1074=phu!$I$102),"Tỉnh khác",""))</f>
        <v/>
      </c>
      <c r="O1074" s="814" t="str">
        <f t="shared" si="97"/>
        <v/>
      </c>
      <c r="P1074" s="254"/>
      <c r="Q1074" s="254"/>
      <c r="R1074" s="254"/>
      <c r="S1074" s="254"/>
      <c r="T1074" s="254"/>
      <c r="U1074" s="254"/>
      <c r="V1074" s="254"/>
      <c r="W1074" s="254"/>
      <c r="Y1074" s="246" t="str">
        <f t="shared" si="98"/>
        <v/>
      </c>
      <c r="Z1074" s="247" t="str">
        <f t="shared" si="96"/>
        <v/>
      </c>
      <c r="AA1074" s="246" t="str">
        <f t="shared" si="99"/>
        <v/>
      </c>
    </row>
    <row r="1075" spans="1:27" x14ac:dyDescent="0.25">
      <c r="A1075" s="248" t="str">
        <f t="shared" si="100"/>
        <v/>
      </c>
      <c r="B1075" s="249" t="str">
        <f t="shared" si="101"/>
        <v/>
      </c>
      <c r="C1075" s="250"/>
      <c r="D1075" s="251"/>
      <c r="E1075" s="241"/>
      <c r="F1075" s="252"/>
      <c r="G1075" s="252"/>
      <c r="H1075" s="253"/>
      <c r="I1075" s="250"/>
      <c r="J1075" s="250"/>
      <c r="K1075" s="270"/>
      <c r="L1075" s="250"/>
      <c r="M1075" s="250"/>
      <c r="N1075" s="553" t="str">
        <f>CONCATENATE(IF(OR(M1075=phu!$I$1,M1075=phu!$I$2,M1075=phu!$I$3),"Cam Thành Nam",""),IF(OR(M1075=phu!$I$4,M1075=phu!$I$5,M1075=phu!$I$6,M1075=phu!$I$7,M1075=phu!$I$8,M1075=phu!$I$9,M1075=phu!$I$10,M1075=phu!$I$11,M1075=phu!$I$12,M1075=phu!$I$13,M1075=phu!$I$14),"Cam Nghĩa",""),IF(OR(M1075=phu!$I$15,M1075=phu!$I$16,M1075=phu!$I$17,M1075=phu!$I$18,M1075=phu!$I$19,M1075=phu!$I$20,M1075=phu!$I$21),"Cam Phúc Bắc",""),IF(OR(M1075=phu!$I$22,M1075=phu!$I$23,M1075=phu!$I$24,M1075=phu!$I$25),"Cam Phúc Nam",""),IF(OR(M1075=phu!$I$26,M1075=phu!$I$27,M1075=phu!$I$28,M1075=phu!$I$29,M1075=phu!$I$30,M1075=phu!$I$31),"Cam Phú",""),IF(OR(M1075=phu!$I$32,M1075=phu!$I$33,M1075=phu!$I$34,M1075=phu!$I$35,M1075=phu!$I$36,M1075=phu!$I$37),"Cam Lộc",""),IF(OR(M1075=phu!$I$38,M1075=phu!$I$39,M1075=phu!$I$40,M1075=phu!$I$41,M1075=phu!$I$42,M1075=phu!$I$43,M1075=phu!$I$44),"Cam Thuận",""),IF(OR(M1075=phu!$I$45,M1075=phu!$I$46,M1075=phu!$I$47,M1075=phu!$I$48,M1075=phu!$I$49,M1075=phu!$I$50,M1075=phu!$I$51,M1075=phu!$I$52,M1075=phu!$I$53),"Cam Linh",""),IF(OR(M1075=phu!$I$54,M1075=phu!$I$55,M1075=phu!$I$56,M1075=phu!$I$57,M1075=phu!$I$58,M1075=phu!$I$59,M1075=phu!$I$60,M1075=phu!$I$61,M1075=phu!$I$62),"Cam Lợi",""),IF(OR(M1075=phu!$I$63,M1075=phu!$I$64,M1075=phu!$I$65,M1075=phu!$I$66,M1075=phu!$I$67,M1075=phu!$I$68,M1075=phu!$I$69,M1075=phu!$I$70,M1075=phu!$I$71),"Ba Ngòi",""),IF(OR(M1075=phu!$I$72,M1075=phu!$I$73,M1075=phu!$I$74,M1075=phu!$I$75,M1075=phu!$I$76,M1075=phu!$I$77,M1075=phu!$I$78),"Cam Phước Đông",""),IF(OR(M1075=phu!$I$79,M1075=phu!$I$80,M1075=phu!$I$81,M1075=phu!$I$82,M1075=phu!$I$83,M1075=phu!$I$84),"Cam Thịnh Đông",""),IF(OR(M1075=phu!$I$85,M1075=phu!$I$86,M1075=phu!$I$87,M1075=phu!$I$88),"Cam Thịnh Tây",""),IF(OR(M1075=phu!$I$89,M1075=phu!$I$90),"Cam Lập",""),IF(OR(M1075=phu!$I$91,M1075=phu!$I$92,M1075=phu!$I$93),"Cam Bình",""),IF(OR(M1075=phu!$I$94,M1075=phu!$I$95,M1075=phu!$I$96,M1075=phu!$I$97,M1075=phu!$I$98,M1075=phu!$I$99,M1075=phu!$I$100),"Huyện khác",""),IF(OR(M1075=phu!$I$101,M1075=phu!$I$102),"Tỉnh khác",""))</f>
        <v/>
      </c>
      <c r="O1075" s="814" t="str">
        <f t="shared" si="97"/>
        <v/>
      </c>
      <c r="P1075" s="254"/>
      <c r="Q1075" s="254"/>
      <c r="R1075" s="254"/>
      <c r="S1075" s="254"/>
      <c r="T1075" s="254"/>
      <c r="U1075" s="254"/>
      <c r="V1075" s="254"/>
      <c r="W1075" s="254"/>
      <c r="Y1075" s="246" t="str">
        <f t="shared" si="98"/>
        <v/>
      </c>
      <c r="Z1075" s="247" t="str">
        <f t="shared" si="96"/>
        <v/>
      </c>
      <c r="AA1075" s="246" t="str">
        <f t="shared" si="99"/>
        <v/>
      </c>
    </row>
    <row r="1076" spans="1:27" x14ac:dyDescent="0.25">
      <c r="A1076" s="248" t="str">
        <f t="shared" si="100"/>
        <v/>
      </c>
      <c r="B1076" s="249" t="str">
        <f t="shared" si="101"/>
        <v/>
      </c>
      <c r="C1076" s="250"/>
      <c r="D1076" s="251"/>
      <c r="E1076" s="241"/>
      <c r="F1076" s="252"/>
      <c r="G1076" s="252"/>
      <c r="H1076" s="253"/>
      <c r="I1076" s="250"/>
      <c r="J1076" s="250"/>
      <c r="K1076" s="270"/>
      <c r="L1076" s="250"/>
      <c r="M1076" s="250"/>
      <c r="N1076" s="553" t="str">
        <f>CONCATENATE(IF(OR(M1076=phu!$I$1,M1076=phu!$I$2,M1076=phu!$I$3),"Cam Thành Nam",""),IF(OR(M1076=phu!$I$4,M1076=phu!$I$5,M1076=phu!$I$6,M1076=phu!$I$7,M1076=phu!$I$8,M1076=phu!$I$9,M1076=phu!$I$10,M1076=phu!$I$11,M1076=phu!$I$12,M1076=phu!$I$13,M1076=phu!$I$14),"Cam Nghĩa",""),IF(OR(M1076=phu!$I$15,M1076=phu!$I$16,M1076=phu!$I$17,M1076=phu!$I$18,M1076=phu!$I$19,M1076=phu!$I$20,M1076=phu!$I$21),"Cam Phúc Bắc",""),IF(OR(M1076=phu!$I$22,M1076=phu!$I$23,M1076=phu!$I$24,M1076=phu!$I$25),"Cam Phúc Nam",""),IF(OR(M1076=phu!$I$26,M1076=phu!$I$27,M1076=phu!$I$28,M1076=phu!$I$29,M1076=phu!$I$30,M1076=phu!$I$31),"Cam Phú",""),IF(OR(M1076=phu!$I$32,M1076=phu!$I$33,M1076=phu!$I$34,M1076=phu!$I$35,M1076=phu!$I$36,M1076=phu!$I$37),"Cam Lộc",""),IF(OR(M1076=phu!$I$38,M1076=phu!$I$39,M1076=phu!$I$40,M1076=phu!$I$41,M1076=phu!$I$42,M1076=phu!$I$43,M1076=phu!$I$44),"Cam Thuận",""),IF(OR(M1076=phu!$I$45,M1076=phu!$I$46,M1076=phu!$I$47,M1076=phu!$I$48,M1076=phu!$I$49,M1076=phu!$I$50,M1076=phu!$I$51,M1076=phu!$I$52,M1076=phu!$I$53),"Cam Linh",""),IF(OR(M1076=phu!$I$54,M1076=phu!$I$55,M1076=phu!$I$56,M1076=phu!$I$57,M1076=phu!$I$58,M1076=phu!$I$59,M1076=phu!$I$60,M1076=phu!$I$61,M1076=phu!$I$62),"Cam Lợi",""),IF(OR(M1076=phu!$I$63,M1076=phu!$I$64,M1076=phu!$I$65,M1076=phu!$I$66,M1076=phu!$I$67,M1076=phu!$I$68,M1076=phu!$I$69,M1076=phu!$I$70,M1076=phu!$I$71),"Ba Ngòi",""),IF(OR(M1076=phu!$I$72,M1076=phu!$I$73,M1076=phu!$I$74,M1076=phu!$I$75,M1076=phu!$I$76,M1076=phu!$I$77,M1076=phu!$I$78),"Cam Phước Đông",""),IF(OR(M1076=phu!$I$79,M1076=phu!$I$80,M1076=phu!$I$81,M1076=phu!$I$82,M1076=phu!$I$83,M1076=phu!$I$84),"Cam Thịnh Đông",""),IF(OR(M1076=phu!$I$85,M1076=phu!$I$86,M1076=phu!$I$87,M1076=phu!$I$88),"Cam Thịnh Tây",""),IF(OR(M1076=phu!$I$89,M1076=phu!$I$90),"Cam Lập",""),IF(OR(M1076=phu!$I$91,M1076=phu!$I$92,M1076=phu!$I$93),"Cam Bình",""),IF(OR(M1076=phu!$I$94,M1076=phu!$I$95,M1076=phu!$I$96,M1076=phu!$I$97,M1076=phu!$I$98,M1076=phu!$I$99,M1076=phu!$I$100),"Huyện khác",""),IF(OR(M1076=phu!$I$101,M1076=phu!$I$102),"Tỉnh khác",""))</f>
        <v/>
      </c>
      <c r="O1076" s="814" t="str">
        <f t="shared" si="97"/>
        <v/>
      </c>
      <c r="P1076" s="254"/>
      <c r="Q1076" s="254"/>
      <c r="R1076" s="254"/>
      <c r="S1076" s="254"/>
      <c r="T1076" s="254"/>
      <c r="U1076" s="254"/>
      <c r="V1076" s="254"/>
      <c r="W1076" s="254"/>
      <c r="Y1076" s="246" t="str">
        <f t="shared" si="98"/>
        <v/>
      </c>
      <c r="Z1076" s="247" t="str">
        <f t="shared" si="96"/>
        <v/>
      </c>
      <c r="AA1076" s="246" t="str">
        <f t="shared" si="99"/>
        <v/>
      </c>
    </row>
    <row r="1077" spans="1:27" x14ac:dyDescent="0.25">
      <c r="A1077" s="248" t="str">
        <f t="shared" si="100"/>
        <v/>
      </c>
      <c r="B1077" s="249" t="str">
        <f t="shared" si="101"/>
        <v/>
      </c>
      <c r="C1077" s="250"/>
      <c r="D1077" s="251"/>
      <c r="E1077" s="241"/>
      <c r="F1077" s="252"/>
      <c r="G1077" s="252"/>
      <c r="H1077" s="253"/>
      <c r="I1077" s="250"/>
      <c r="J1077" s="250"/>
      <c r="K1077" s="270"/>
      <c r="L1077" s="250"/>
      <c r="M1077" s="250"/>
      <c r="N1077" s="553" t="str">
        <f>CONCATENATE(IF(OR(M1077=phu!$I$1,M1077=phu!$I$2,M1077=phu!$I$3),"Cam Thành Nam",""),IF(OR(M1077=phu!$I$4,M1077=phu!$I$5,M1077=phu!$I$6,M1077=phu!$I$7,M1077=phu!$I$8,M1077=phu!$I$9,M1077=phu!$I$10,M1077=phu!$I$11,M1077=phu!$I$12,M1077=phu!$I$13,M1077=phu!$I$14),"Cam Nghĩa",""),IF(OR(M1077=phu!$I$15,M1077=phu!$I$16,M1077=phu!$I$17,M1077=phu!$I$18,M1077=phu!$I$19,M1077=phu!$I$20,M1077=phu!$I$21),"Cam Phúc Bắc",""),IF(OR(M1077=phu!$I$22,M1077=phu!$I$23,M1077=phu!$I$24,M1077=phu!$I$25),"Cam Phúc Nam",""),IF(OR(M1077=phu!$I$26,M1077=phu!$I$27,M1077=phu!$I$28,M1077=phu!$I$29,M1077=phu!$I$30,M1077=phu!$I$31),"Cam Phú",""),IF(OR(M1077=phu!$I$32,M1077=phu!$I$33,M1077=phu!$I$34,M1077=phu!$I$35,M1077=phu!$I$36,M1077=phu!$I$37),"Cam Lộc",""),IF(OR(M1077=phu!$I$38,M1077=phu!$I$39,M1077=phu!$I$40,M1077=phu!$I$41,M1077=phu!$I$42,M1077=phu!$I$43,M1077=phu!$I$44),"Cam Thuận",""),IF(OR(M1077=phu!$I$45,M1077=phu!$I$46,M1077=phu!$I$47,M1077=phu!$I$48,M1077=phu!$I$49,M1077=phu!$I$50,M1077=phu!$I$51,M1077=phu!$I$52,M1077=phu!$I$53),"Cam Linh",""),IF(OR(M1077=phu!$I$54,M1077=phu!$I$55,M1077=phu!$I$56,M1077=phu!$I$57,M1077=phu!$I$58,M1077=phu!$I$59,M1077=phu!$I$60,M1077=phu!$I$61,M1077=phu!$I$62),"Cam Lợi",""),IF(OR(M1077=phu!$I$63,M1077=phu!$I$64,M1077=phu!$I$65,M1077=phu!$I$66,M1077=phu!$I$67,M1077=phu!$I$68,M1077=phu!$I$69,M1077=phu!$I$70,M1077=phu!$I$71),"Ba Ngòi",""),IF(OR(M1077=phu!$I$72,M1077=phu!$I$73,M1077=phu!$I$74,M1077=phu!$I$75,M1077=phu!$I$76,M1077=phu!$I$77,M1077=phu!$I$78),"Cam Phước Đông",""),IF(OR(M1077=phu!$I$79,M1077=phu!$I$80,M1077=phu!$I$81,M1077=phu!$I$82,M1077=phu!$I$83,M1077=phu!$I$84),"Cam Thịnh Đông",""),IF(OR(M1077=phu!$I$85,M1077=phu!$I$86,M1077=phu!$I$87,M1077=phu!$I$88),"Cam Thịnh Tây",""),IF(OR(M1077=phu!$I$89,M1077=phu!$I$90),"Cam Lập",""),IF(OR(M1077=phu!$I$91,M1077=phu!$I$92,M1077=phu!$I$93),"Cam Bình",""),IF(OR(M1077=phu!$I$94,M1077=phu!$I$95,M1077=phu!$I$96,M1077=phu!$I$97,M1077=phu!$I$98,M1077=phu!$I$99,M1077=phu!$I$100),"Huyện khác",""),IF(OR(M1077=phu!$I$101,M1077=phu!$I$102),"Tỉnh khác",""))</f>
        <v/>
      </c>
      <c r="O1077" s="814" t="str">
        <f t="shared" si="97"/>
        <v/>
      </c>
      <c r="P1077" s="254"/>
      <c r="Q1077" s="254"/>
      <c r="R1077" s="254"/>
      <c r="S1077" s="254"/>
      <c r="T1077" s="254"/>
      <c r="U1077" s="254"/>
      <c r="V1077" s="254"/>
      <c r="W1077" s="254"/>
      <c r="Y1077" s="246" t="str">
        <f t="shared" si="98"/>
        <v/>
      </c>
      <c r="Z1077" s="247" t="str">
        <f t="shared" si="96"/>
        <v/>
      </c>
      <c r="AA1077" s="246" t="str">
        <f t="shared" si="99"/>
        <v/>
      </c>
    </row>
    <row r="1078" spans="1:27" x14ac:dyDescent="0.25">
      <c r="A1078" s="248" t="str">
        <f t="shared" si="100"/>
        <v/>
      </c>
      <c r="B1078" s="249" t="str">
        <f t="shared" si="101"/>
        <v/>
      </c>
      <c r="C1078" s="250"/>
      <c r="D1078" s="251"/>
      <c r="E1078" s="241"/>
      <c r="F1078" s="252"/>
      <c r="G1078" s="252"/>
      <c r="H1078" s="253"/>
      <c r="I1078" s="250"/>
      <c r="J1078" s="250"/>
      <c r="K1078" s="270"/>
      <c r="L1078" s="250"/>
      <c r="M1078" s="250"/>
      <c r="N1078" s="553" t="str">
        <f>CONCATENATE(IF(OR(M1078=phu!$I$1,M1078=phu!$I$2,M1078=phu!$I$3),"Cam Thành Nam",""),IF(OR(M1078=phu!$I$4,M1078=phu!$I$5,M1078=phu!$I$6,M1078=phu!$I$7,M1078=phu!$I$8,M1078=phu!$I$9,M1078=phu!$I$10,M1078=phu!$I$11,M1078=phu!$I$12,M1078=phu!$I$13,M1078=phu!$I$14),"Cam Nghĩa",""),IF(OR(M1078=phu!$I$15,M1078=phu!$I$16,M1078=phu!$I$17,M1078=phu!$I$18,M1078=phu!$I$19,M1078=phu!$I$20,M1078=phu!$I$21),"Cam Phúc Bắc",""),IF(OR(M1078=phu!$I$22,M1078=phu!$I$23,M1078=phu!$I$24,M1078=phu!$I$25),"Cam Phúc Nam",""),IF(OR(M1078=phu!$I$26,M1078=phu!$I$27,M1078=phu!$I$28,M1078=phu!$I$29,M1078=phu!$I$30,M1078=phu!$I$31),"Cam Phú",""),IF(OR(M1078=phu!$I$32,M1078=phu!$I$33,M1078=phu!$I$34,M1078=phu!$I$35,M1078=phu!$I$36,M1078=phu!$I$37),"Cam Lộc",""),IF(OR(M1078=phu!$I$38,M1078=phu!$I$39,M1078=phu!$I$40,M1078=phu!$I$41,M1078=phu!$I$42,M1078=phu!$I$43,M1078=phu!$I$44),"Cam Thuận",""),IF(OR(M1078=phu!$I$45,M1078=phu!$I$46,M1078=phu!$I$47,M1078=phu!$I$48,M1078=phu!$I$49,M1078=phu!$I$50,M1078=phu!$I$51,M1078=phu!$I$52,M1078=phu!$I$53),"Cam Linh",""),IF(OR(M1078=phu!$I$54,M1078=phu!$I$55,M1078=phu!$I$56,M1078=phu!$I$57,M1078=phu!$I$58,M1078=phu!$I$59,M1078=phu!$I$60,M1078=phu!$I$61,M1078=phu!$I$62),"Cam Lợi",""),IF(OR(M1078=phu!$I$63,M1078=phu!$I$64,M1078=phu!$I$65,M1078=phu!$I$66,M1078=phu!$I$67,M1078=phu!$I$68,M1078=phu!$I$69,M1078=phu!$I$70,M1078=phu!$I$71),"Ba Ngòi",""),IF(OR(M1078=phu!$I$72,M1078=phu!$I$73,M1078=phu!$I$74,M1078=phu!$I$75,M1078=phu!$I$76,M1078=phu!$I$77,M1078=phu!$I$78),"Cam Phước Đông",""),IF(OR(M1078=phu!$I$79,M1078=phu!$I$80,M1078=phu!$I$81,M1078=phu!$I$82,M1078=phu!$I$83,M1078=phu!$I$84),"Cam Thịnh Đông",""),IF(OR(M1078=phu!$I$85,M1078=phu!$I$86,M1078=phu!$I$87,M1078=phu!$I$88),"Cam Thịnh Tây",""),IF(OR(M1078=phu!$I$89,M1078=phu!$I$90),"Cam Lập",""),IF(OR(M1078=phu!$I$91,M1078=phu!$I$92,M1078=phu!$I$93),"Cam Bình",""),IF(OR(M1078=phu!$I$94,M1078=phu!$I$95,M1078=phu!$I$96,M1078=phu!$I$97,M1078=phu!$I$98,M1078=phu!$I$99,M1078=phu!$I$100),"Huyện khác",""),IF(OR(M1078=phu!$I$101,M1078=phu!$I$102),"Tỉnh khác",""))</f>
        <v/>
      </c>
      <c r="O1078" s="814" t="str">
        <f t="shared" si="97"/>
        <v/>
      </c>
      <c r="P1078" s="254"/>
      <c r="Q1078" s="254"/>
      <c r="R1078" s="254"/>
      <c r="S1078" s="254"/>
      <c r="T1078" s="254"/>
      <c r="U1078" s="254"/>
      <c r="V1078" s="254"/>
      <c r="W1078" s="254"/>
      <c r="Y1078" s="246" t="str">
        <f t="shared" si="98"/>
        <v/>
      </c>
      <c r="Z1078" s="247" t="str">
        <f t="shared" si="96"/>
        <v/>
      </c>
      <c r="AA1078" s="246" t="str">
        <f t="shared" si="99"/>
        <v/>
      </c>
    </row>
    <row r="1079" spans="1:27" x14ac:dyDescent="0.25">
      <c r="A1079" s="248" t="str">
        <f t="shared" si="100"/>
        <v/>
      </c>
      <c r="B1079" s="249" t="str">
        <f t="shared" si="101"/>
        <v/>
      </c>
      <c r="C1079" s="250"/>
      <c r="D1079" s="251"/>
      <c r="E1079" s="241"/>
      <c r="F1079" s="252"/>
      <c r="G1079" s="252"/>
      <c r="H1079" s="253"/>
      <c r="I1079" s="250"/>
      <c r="J1079" s="250"/>
      <c r="K1079" s="270"/>
      <c r="L1079" s="250"/>
      <c r="M1079" s="250"/>
      <c r="N1079" s="553" t="str">
        <f>CONCATENATE(IF(OR(M1079=phu!$I$1,M1079=phu!$I$2,M1079=phu!$I$3),"Cam Thành Nam",""),IF(OR(M1079=phu!$I$4,M1079=phu!$I$5,M1079=phu!$I$6,M1079=phu!$I$7,M1079=phu!$I$8,M1079=phu!$I$9,M1079=phu!$I$10,M1079=phu!$I$11,M1079=phu!$I$12,M1079=phu!$I$13,M1079=phu!$I$14),"Cam Nghĩa",""),IF(OR(M1079=phu!$I$15,M1079=phu!$I$16,M1079=phu!$I$17,M1079=phu!$I$18,M1079=phu!$I$19,M1079=phu!$I$20,M1079=phu!$I$21),"Cam Phúc Bắc",""),IF(OR(M1079=phu!$I$22,M1079=phu!$I$23,M1079=phu!$I$24,M1079=phu!$I$25),"Cam Phúc Nam",""),IF(OR(M1079=phu!$I$26,M1079=phu!$I$27,M1079=phu!$I$28,M1079=phu!$I$29,M1079=phu!$I$30,M1079=phu!$I$31),"Cam Phú",""),IF(OR(M1079=phu!$I$32,M1079=phu!$I$33,M1079=phu!$I$34,M1079=phu!$I$35,M1079=phu!$I$36,M1079=phu!$I$37),"Cam Lộc",""),IF(OR(M1079=phu!$I$38,M1079=phu!$I$39,M1079=phu!$I$40,M1079=phu!$I$41,M1079=phu!$I$42,M1079=phu!$I$43,M1079=phu!$I$44),"Cam Thuận",""),IF(OR(M1079=phu!$I$45,M1079=phu!$I$46,M1079=phu!$I$47,M1079=phu!$I$48,M1079=phu!$I$49,M1079=phu!$I$50,M1079=phu!$I$51,M1079=phu!$I$52,M1079=phu!$I$53),"Cam Linh",""),IF(OR(M1079=phu!$I$54,M1079=phu!$I$55,M1079=phu!$I$56,M1079=phu!$I$57,M1079=phu!$I$58,M1079=phu!$I$59,M1079=phu!$I$60,M1079=phu!$I$61,M1079=phu!$I$62),"Cam Lợi",""),IF(OR(M1079=phu!$I$63,M1079=phu!$I$64,M1079=phu!$I$65,M1079=phu!$I$66,M1079=phu!$I$67,M1079=phu!$I$68,M1079=phu!$I$69,M1079=phu!$I$70,M1079=phu!$I$71),"Ba Ngòi",""),IF(OR(M1079=phu!$I$72,M1079=phu!$I$73,M1079=phu!$I$74,M1079=phu!$I$75,M1079=phu!$I$76,M1079=phu!$I$77,M1079=phu!$I$78),"Cam Phước Đông",""),IF(OR(M1079=phu!$I$79,M1079=phu!$I$80,M1079=phu!$I$81,M1079=phu!$I$82,M1079=phu!$I$83,M1079=phu!$I$84),"Cam Thịnh Đông",""),IF(OR(M1079=phu!$I$85,M1079=phu!$I$86,M1079=phu!$I$87,M1079=phu!$I$88),"Cam Thịnh Tây",""),IF(OR(M1079=phu!$I$89,M1079=phu!$I$90),"Cam Lập",""),IF(OR(M1079=phu!$I$91,M1079=phu!$I$92,M1079=phu!$I$93),"Cam Bình",""),IF(OR(M1079=phu!$I$94,M1079=phu!$I$95,M1079=phu!$I$96,M1079=phu!$I$97,M1079=phu!$I$98,M1079=phu!$I$99,M1079=phu!$I$100),"Huyện khác",""),IF(OR(M1079=phu!$I$101,M1079=phu!$I$102),"Tỉnh khác",""))</f>
        <v/>
      </c>
      <c r="O1079" s="814" t="str">
        <f t="shared" si="97"/>
        <v/>
      </c>
      <c r="P1079" s="254"/>
      <c r="Q1079" s="254"/>
      <c r="R1079" s="254"/>
      <c r="S1079" s="254"/>
      <c r="T1079" s="254"/>
      <c r="U1079" s="254"/>
      <c r="V1079" s="254"/>
      <c r="W1079" s="254"/>
      <c r="Y1079" s="246" t="str">
        <f t="shared" si="98"/>
        <v/>
      </c>
      <c r="Z1079" s="247" t="str">
        <f t="shared" si="96"/>
        <v/>
      </c>
      <c r="AA1079" s="246" t="str">
        <f t="shared" si="99"/>
        <v/>
      </c>
    </row>
    <row r="1080" spans="1:27" x14ac:dyDescent="0.25">
      <c r="A1080" s="248" t="str">
        <f t="shared" si="100"/>
        <v/>
      </c>
      <c r="B1080" s="249" t="str">
        <f t="shared" si="101"/>
        <v/>
      </c>
      <c r="C1080" s="250"/>
      <c r="D1080" s="251"/>
      <c r="E1080" s="241"/>
      <c r="F1080" s="252"/>
      <c r="G1080" s="252"/>
      <c r="H1080" s="253"/>
      <c r="I1080" s="250"/>
      <c r="J1080" s="250"/>
      <c r="K1080" s="270"/>
      <c r="L1080" s="250"/>
      <c r="M1080" s="250"/>
      <c r="N1080" s="553" t="str">
        <f>CONCATENATE(IF(OR(M1080=phu!$I$1,M1080=phu!$I$2,M1080=phu!$I$3),"Cam Thành Nam",""),IF(OR(M1080=phu!$I$4,M1080=phu!$I$5,M1080=phu!$I$6,M1080=phu!$I$7,M1080=phu!$I$8,M1080=phu!$I$9,M1080=phu!$I$10,M1080=phu!$I$11,M1080=phu!$I$12,M1080=phu!$I$13,M1080=phu!$I$14),"Cam Nghĩa",""),IF(OR(M1080=phu!$I$15,M1080=phu!$I$16,M1080=phu!$I$17,M1080=phu!$I$18,M1080=phu!$I$19,M1080=phu!$I$20,M1080=phu!$I$21),"Cam Phúc Bắc",""),IF(OR(M1080=phu!$I$22,M1080=phu!$I$23,M1080=phu!$I$24,M1080=phu!$I$25),"Cam Phúc Nam",""),IF(OR(M1080=phu!$I$26,M1080=phu!$I$27,M1080=phu!$I$28,M1080=phu!$I$29,M1080=phu!$I$30,M1080=phu!$I$31),"Cam Phú",""),IF(OR(M1080=phu!$I$32,M1080=phu!$I$33,M1080=phu!$I$34,M1080=phu!$I$35,M1080=phu!$I$36,M1080=phu!$I$37),"Cam Lộc",""),IF(OR(M1080=phu!$I$38,M1080=phu!$I$39,M1080=phu!$I$40,M1080=phu!$I$41,M1080=phu!$I$42,M1080=phu!$I$43,M1080=phu!$I$44),"Cam Thuận",""),IF(OR(M1080=phu!$I$45,M1080=phu!$I$46,M1080=phu!$I$47,M1080=phu!$I$48,M1080=phu!$I$49,M1080=phu!$I$50,M1080=phu!$I$51,M1080=phu!$I$52,M1080=phu!$I$53),"Cam Linh",""),IF(OR(M1080=phu!$I$54,M1080=phu!$I$55,M1080=phu!$I$56,M1080=phu!$I$57,M1080=phu!$I$58,M1080=phu!$I$59,M1080=phu!$I$60,M1080=phu!$I$61,M1080=phu!$I$62),"Cam Lợi",""),IF(OR(M1080=phu!$I$63,M1080=phu!$I$64,M1080=phu!$I$65,M1080=phu!$I$66,M1080=phu!$I$67,M1080=phu!$I$68,M1080=phu!$I$69,M1080=phu!$I$70,M1080=phu!$I$71),"Ba Ngòi",""),IF(OR(M1080=phu!$I$72,M1080=phu!$I$73,M1080=phu!$I$74,M1080=phu!$I$75,M1080=phu!$I$76,M1080=phu!$I$77,M1080=phu!$I$78),"Cam Phước Đông",""),IF(OR(M1080=phu!$I$79,M1080=phu!$I$80,M1080=phu!$I$81,M1080=phu!$I$82,M1080=phu!$I$83,M1080=phu!$I$84),"Cam Thịnh Đông",""),IF(OR(M1080=phu!$I$85,M1080=phu!$I$86,M1080=phu!$I$87,M1080=phu!$I$88),"Cam Thịnh Tây",""),IF(OR(M1080=phu!$I$89,M1080=phu!$I$90),"Cam Lập",""),IF(OR(M1080=phu!$I$91,M1080=phu!$I$92,M1080=phu!$I$93),"Cam Bình",""),IF(OR(M1080=phu!$I$94,M1080=phu!$I$95,M1080=phu!$I$96,M1080=phu!$I$97,M1080=phu!$I$98,M1080=phu!$I$99,M1080=phu!$I$100),"Huyện khác",""),IF(OR(M1080=phu!$I$101,M1080=phu!$I$102),"Tỉnh khác",""))</f>
        <v/>
      </c>
      <c r="O1080" s="814" t="str">
        <f t="shared" si="97"/>
        <v/>
      </c>
      <c r="P1080" s="254"/>
      <c r="Q1080" s="254"/>
      <c r="R1080" s="254"/>
      <c r="S1080" s="254"/>
      <c r="T1080" s="254"/>
      <c r="U1080" s="254"/>
      <c r="V1080" s="254"/>
      <c r="W1080" s="254"/>
      <c r="Y1080" s="246" t="str">
        <f t="shared" si="98"/>
        <v/>
      </c>
      <c r="Z1080" s="247" t="str">
        <f t="shared" si="96"/>
        <v/>
      </c>
      <c r="AA1080" s="246" t="str">
        <f t="shared" si="99"/>
        <v/>
      </c>
    </row>
    <row r="1081" spans="1:27" x14ac:dyDescent="0.25">
      <c r="A1081" s="248" t="str">
        <f t="shared" si="100"/>
        <v/>
      </c>
      <c r="B1081" s="249" t="str">
        <f t="shared" si="101"/>
        <v/>
      </c>
      <c r="C1081" s="250"/>
      <c r="D1081" s="251"/>
      <c r="E1081" s="241"/>
      <c r="F1081" s="252"/>
      <c r="G1081" s="252"/>
      <c r="H1081" s="253"/>
      <c r="I1081" s="250"/>
      <c r="J1081" s="250"/>
      <c r="K1081" s="270"/>
      <c r="L1081" s="250"/>
      <c r="M1081" s="250"/>
      <c r="N1081" s="553" t="str">
        <f>CONCATENATE(IF(OR(M1081=phu!$I$1,M1081=phu!$I$2,M1081=phu!$I$3),"Cam Thành Nam",""),IF(OR(M1081=phu!$I$4,M1081=phu!$I$5,M1081=phu!$I$6,M1081=phu!$I$7,M1081=phu!$I$8,M1081=phu!$I$9,M1081=phu!$I$10,M1081=phu!$I$11,M1081=phu!$I$12,M1081=phu!$I$13,M1081=phu!$I$14),"Cam Nghĩa",""),IF(OR(M1081=phu!$I$15,M1081=phu!$I$16,M1081=phu!$I$17,M1081=phu!$I$18,M1081=phu!$I$19,M1081=phu!$I$20,M1081=phu!$I$21),"Cam Phúc Bắc",""),IF(OR(M1081=phu!$I$22,M1081=phu!$I$23,M1081=phu!$I$24,M1081=phu!$I$25),"Cam Phúc Nam",""),IF(OR(M1081=phu!$I$26,M1081=phu!$I$27,M1081=phu!$I$28,M1081=phu!$I$29,M1081=phu!$I$30,M1081=phu!$I$31),"Cam Phú",""),IF(OR(M1081=phu!$I$32,M1081=phu!$I$33,M1081=phu!$I$34,M1081=phu!$I$35,M1081=phu!$I$36,M1081=phu!$I$37),"Cam Lộc",""),IF(OR(M1081=phu!$I$38,M1081=phu!$I$39,M1081=phu!$I$40,M1081=phu!$I$41,M1081=phu!$I$42,M1081=phu!$I$43,M1081=phu!$I$44),"Cam Thuận",""),IF(OR(M1081=phu!$I$45,M1081=phu!$I$46,M1081=phu!$I$47,M1081=phu!$I$48,M1081=phu!$I$49,M1081=phu!$I$50,M1081=phu!$I$51,M1081=phu!$I$52,M1081=phu!$I$53),"Cam Linh",""),IF(OR(M1081=phu!$I$54,M1081=phu!$I$55,M1081=phu!$I$56,M1081=phu!$I$57,M1081=phu!$I$58,M1081=phu!$I$59,M1081=phu!$I$60,M1081=phu!$I$61,M1081=phu!$I$62),"Cam Lợi",""),IF(OR(M1081=phu!$I$63,M1081=phu!$I$64,M1081=phu!$I$65,M1081=phu!$I$66,M1081=phu!$I$67,M1081=phu!$I$68,M1081=phu!$I$69,M1081=phu!$I$70,M1081=phu!$I$71),"Ba Ngòi",""),IF(OR(M1081=phu!$I$72,M1081=phu!$I$73,M1081=phu!$I$74,M1081=phu!$I$75,M1081=phu!$I$76,M1081=phu!$I$77,M1081=phu!$I$78),"Cam Phước Đông",""),IF(OR(M1081=phu!$I$79,M1081=phu!$I$80,M1081=phu!$I$81,M1081=phu!$I$82,M1081=phu!$I$83,M1081=phu!$I$84),"Cam Thịnh Đông",""),IF(OR(M1081=phu!$I$85,M1081=phu!$I$86,M1081=phu!$I$87,M1081=phu!$I$88),"Cam Thịnh Tây",""),IF(OR(M1081=phu!$I$89,M1081=phu!$I$90),"Cam Lập",""),IF(OR(M1081=phu!$I$91,M1081=phu!$I$92,M1081=phu!$I$93),"Cam Bình",""),IF(OR(M1081=phu!$I$94,M1081=phu!$I$95,M1081=phu!$I$96,M1081=phu!$I$97,M1081=phu!$I$98,M1081=phu!$I$99,M1081=phu!$I$100),"Huyện khác",""),IF(OR(M1081=phu!$I$101,M1081=phu!$I$102),"Tỉnh khác",""))</f>
        <v/>
      </c>
      <c r="O1081" s="814" t="str">
        <f t="shared" si="97"/>
        <v/>
      </c>
      <c r="P1081" s="254"/>
      <c r="Q1081" s="254"/>
      <c r="R1081" s="254"/>
      <c r="S1081" s="254"/>
      <c r="T1081" s="254"/>
      <c r="U1081" s="254"/>
      <c r="V1081" s="254"/>
      <c r="W1081" s="254"/>
      <c r="Y1081" s="246" t="str">
        <f t="shared" si="98"/>
        <v/>
      </c>
      <c r="Z1081" s="247" t="str">
        <f t="shared" si="96"/>
        <v/>
      </c>
      <c r="AA1081" s="246" t="str">
        <f t="shared" si="99"/>
        <v/>
      </c>
    </row>
    <row r="1082" spans="1:27" x14ac:dyDescent="0.25">
      <c r="A1082" s="248" t="str">
        <f t="shared" si="100"/>
        <v/>
      </c>
      <c r="B1082" s="249" t="str">
        <f t="shared" si="101"/>
        <v/>
      </c>
      <c r="C1082" s="250"/>
      <c r="D1082" s="251"/>
      <c r="E1082" s="241"/>
      <c r="F1082" s="252"/>
      <c r="G1082" s="252"/>
      <c r="H1082" s="253"/>
      <c r="I1082" s="250"/>
      <c r="J1082" s="250"/>
      <c r="K1082" s="270"/>
      <c r="L1082" s="250"/>
      <c r="M1082" s="250"/>
      <c r="N1082" s="553" t="str">
        <f>CONCATENATE(IF(OR(M1082=phu!$I$1,M1082=phu!$I$2,M1082=phu!$I$3),"Cam Thành Nam",""),IF(OR(M1082=phu!$I$4,M1082=phu!$I$5,M1082=phu!$I$6,M1082=phu!$I$7,M1082=phu!$I$8,M1082=phu!$I$9,M1082=phu!$I$10,M1082=phu!$I$11,M1082=phu!$I$12,M1082=phu!$I$13,M1082=phu!$I$14),"Cam Nghĩa",""),IF(OR(M1082=phu!$I$15,M1082=phu!$I$16,M1082=phu!$I$17,M1082=phu!$I$18,M1082=phu!$I$19,M1082=phu!$I$20,M1082=phu!$I$21),"Cam Phúc Bắc",""),IF(OR(M1082=phu!$I$22,M1082=phu!$I$23,M1082=phu!$I$24,M1082=phu!$I$25),"Cam Phúc Nam",""),IF(OR(M1082=phu!$I$26,M1082=phu!$I$27,M1082=phu!$I$28,M1082=phu!$I$29,M1082=phu!$I$30,M1082=phu!$I$31),"Cam Phú",""),IF(OR(M1082=phu!$I$32,M1082=phu!$I$33,M1082=phu!$I$34,M1082=phu!$I$35,M1082=phu!$I$36,M1082=phu!$I$37),"Cam Lộc",""),IF(OR(M1082=phu!$I$38,M1082=phu!$I$39,M1082=phu!$I$40,M1082=phu!$I$41,M1082=phu!$I$42,M1082=phu!$I$43,M1082=phu!$I$44),"Cam Thuận",""),IF(OR(M1082=phu!$I$45,M1082=phu!$I$46,M1082=phu!$I$47,M1082=phu!$I$48,M1082=phu!$I$49,M1082=phu!$I$50,M1082=phu!$I$51,M1082=phu!$I$52,M1082=phu!$I$53),"Cam Linh",""),IF(OR(M1082=phu!$I$54,M1082=phu!$I$55,M1082=phu!$I$56,M1082=phu!$I$57,M1082=phu!$I$58,M1082=phu!$I$59,M1082=phu!$I$60,M1082=phu!$I$61,M1082=phu!$I$62),"Cam Lợi",""),IF(OR(M1082=phu!$I$63,M1082=phu!$I$64,M1082=phu!$I$65,M1082=phu!$I$66,M1082=phu!$I$67,M1082=phu!$I$68,M1082=phu!$I$69,M1082=phu!$I$70,M1082=phu!$I$71),"Ba Ngòi",""),IF(OR(M1082=phu!$I$72,M1082=phu!$I$73,M1082=phu!$I$74,M1082=phu!$I$75,M1082=phu!$I$76,M1082=phu!$I$77,M1082=phu!$I$78),"Cam Phước Đông",""),IF(OR(M1082=phu!$I$79,M1082=phu!$I$80,M1082=phu!$I$81,M1082=phu!$I$82,M1082=phu!$I$83,M1082=phu!$I$84),"Cam Thịnh Đông",""),IF(OR(M1082=phu!$I$85,M1082=phu!$I$86,M1082=phu!$I$87,M1082=phu!$I$88),"Cam Thịnh Tây",""),IF(OR(M1082=phu!$I$89,M1082=phu!$I$90),"Cam Lập",""),IF(OR(M1082=phu!$I$91,M1082=phu!$I$92,M1082=phu!$I$93),"Cam Bình",""),IF(OR(M1082=phu!$I$94,M1082=phu!$I$95,M1082=phu!$I$96,M1082=phu!$I$97,M1082=phu!$I$98,M1082=phu!$I$99,M1082=phu!$I$100),"Huyện khác",""),IF(OR(M1082=phu!$I$101,M1082=phu!$I$102),"Tỉnh khác",""))</f>
        <v/>
      </c>
      <c r="O1082" s="814" t="str">
        <f t="shared" si="97"/>
        <v/>
      </c>
      <c r="P1082" s="254"/>
      <c r="Q1082" s="254"/>
      <c r="R1082" s="254"/>
      <c r="S1082" s="254"/>
      <c r="T1082" s="254"/>
      <c r="U1082" s="254"/>
      <c r="V1082" s="254"/>
      <c r="W1082" s="254"/>
      <c r="Y1082" s="246" t="str">
        <f t="shared" si="98"/>
        <v/>
      </c>
      <c r="Z1082" s="247" t="str">
        <f t="shared" si="96"/>
        <v/>
      </c>
      <c r="AA1082" s="246" t="str">
        <f t="shared" si="99"/>
        <v/>
      </c>
    </row>
    <row r="1083" spans="1:27" x14ac:dyDescent="0.25">
      <c r="A1083" s="248" t="str">
        <f t="shared" si="100"/>
        <v/>
      </c>
      <c r="B1083" s="249" t="str">
        <f t="shared" si="101"/>
        <v/>
      </c>
      <c r="C1083" s="250"/>
      <c r="D1083" s="251"/>
      <c r="E1083" s="241"/>
      <c r="F1083" s="252"/>
      <c r="G1083" s="252"/>
      <c r="H1083" s="253"/>
      <c r="I1083" s="250"/>
      <c r="J1083" s="250"/>
      <c r="K1083" s="270"/>
      <c r="L1083" s="250"/>
      <c r="M1083" s="250"/>
      <c r="N1083" s="553" t="str">
        <f>CONCATENATE(IF(OR(M1083=phu!$I$1,M1083=phu!$I$2,M1083=phu!$I$3),"Cam Thành Nam",""),IF(OR(M1083=phu!$I$4,M1083=phu!$I$5,M1083=phu!$I$6,M1083=phu!$I$7,M1083=phu!$I$8,M1083=phu!$I$9,M1083=phu!$I$10,M1083=phu!$I$11,M1083=phu!$I$12,M1083=phu!$I$13,M1083=phu!$I$14),"Cam Nghĩa",""),IF(OR(M1083=phu!$I$15,M1083=phu!$I$16,M1083=phu!$I$17,M1083=phu!$I$18,M1083=phu!$I$19,M1083=phu!$I$20,M1083=phu!$I$21),"Cam Phúc Bắc",""),IF(OR(M1083=phu!$I$22,M1083=phu!$I$23,M1083=phu!$I$24,M1083=phu!$I$25),"Cam Phúc Nam",""),IF(OR(M1083=phu!$I$26,M1083=phu!$I$27,M1083=phu!$I$28,M1083=phu!$I$29,M1083=phu!$I$30,M1083=phu!$I$31),"Cam Phú",""),IF(OR(M1083=phu!$I$32,M1083=phu!$I$33,M1083=phu!$I$34,M1083=phu!$I$35,M1083=phu!$I$36,M1083=phu!$I$37),"Cam Lộc",""),IF(OR(M1083=phu!$I$38,M1083=phu!$I$39,M1083=phu!$I$40,M1083=phu!$I$41,M1083=phu!$I$42,M1083=phu!$I$43,M1083=phu!$I$44),"Cam Thuận",""),IF(OR(M1083=phu!$I$45,M1083=phu!$I$46,M1083=phu!$I$47,M1083=phu!$I$48,M1083=phu!$I$49,M1083=phu!$I$50,M1083=phu!$I$51,M1083=phu!$I$52,M1083=phu!$I$53),"Cam Linh",""),IF(OR(M1083=phu!$I$54,M1083=phu!$I$55,M1083=phu!$I$56,M1083=phu!$I$57,M1083=phu!$I$58,M1083=phu!$I$59,M1083=phu!$I$60,M1083=phu!$I$61,M1083=phu!$I$62),"Cam Lợi",""),IF(OR(M1083=phu!$I$63,M1083=phu!$I$64,M1083=phu!$I$65,M1083=phu!$I$66,M1083=phu!$I$67,M1083=phu!$I$68,M1083=phu!$I$69,M1083=phu!$I$70,M1083=phu!$I$71),"Ba Ngòi",""),IF(OR(M1083=phu!$I$72,M1083=phu!$I$73,M1083=phu!$I$74,M1083=phu!$I$75,M1083=phu!$I$76,M1083=phu!$I$77,M1083=phu!$I$78),"Cam Phước Đông",""),IF(OR(M1083=phu!$I$79,M1083=phu!$I$80,M1083=phu!$I$81,M1083=phu!$I$82,M1083=phu!$I$83,M1083=phu!$I$84),"Cam Thịnh Đông",""),IF(OR(M1083=phu!$I$85,M1083=phu!$I$86,M1083=phu!$I$87,M1083=phu!$I$88),"Cam Thịnh Tây",""),IF(OR(M1083=phu!$I$89,M1083=phu!$I$90),"Cam Lập",""),IF(OR(M1083=phu!$I$91,M1083=phu!$I$92,M1083=phu!$I$93),"Cam Bình",""),IF(OR(M1083=phu!$I$94,M1083=phu!$I$95,M1083=phu!$I$96,M1083=phu!$I$97,M1083=phu!$I$98,M1083=phu!$I$99,M1083=phu!$I$100),"Huyện khác",""),IF(OR(M1083=phu!$I$101,M1083=phu!$I$102),"Tỉnh khác",""))</f>
        <v/>
      </c>
      <c r="O1083" s="814" t="str">
        <f t="shared" si="97"/>
        <v/>
      </c>
      <c r="P1083" s="254"/>
      <c r="Q1083" s="254"/>
      <c r="R1083" s="254"/>
      <c r="S1083" s="254"/>
      <c r="T1083" s="254"/>
      <c r="U1083" s="254"/>
      <c r="V1083" s="254"/>
      <c r="W1083" s="254"/>
      <c r="Y1083" s="246" t="str">
        <f t="shared" si="98"/>
        <v/>
      </c>
      <c r="Z1083" s="247" t="str">
        <f t="shared" si="96"/>
        <v/>
      </c>
      <c r="AA1083" s="246" t="str">
        <f t="shared" si="99"/>
        <v/>
      </c>
    </row>
    <row r="1084" spans="1:27" x14ac:dyDescent="0.25">
      <c r="A1084" s="248" t="str">
        <f t="shared" si="100"/>
        <v/>
      </c>
      <c r="B1084" s="249" t="str">
        <f t="shared" si="101"/>
        <v/>
      </c>
      <c r="C1084" s="250"/>
      <c r="D1084" s="251"/>
      <c r="E1084" s="241"/>
      <c r="F1084" s="252"/>
      <c r="G1084" s="252"/>
      <c r="H1084" s="253"/>
      <c r="I1084" s="250"/>
      <c r="J1084" s="250"/>
      <c r="K1084" s="270"/>
      <c r="L1084" s="250"/>
      <c r="M1084" s="250"/>
      <c r="N1084" s="553" t="str">
        <f>CONCATENATE(IF(OR(M1084=phu!$I$1,M1084=phu!$I$2,M1084=phu!$I$3),"Cam Thành Nam",""),IF(OR(M1084=phu!$I$4,M1084=phu!$I$5,M1084=phu!$I$6,M1084=phu!$I$7,M1084=phu!$I$8,M1084=phu!$I$9,M1084=phu!$I$10,M1084=phu!$I$11,M1084=phu!$I$12,M1084=phu!$I$13,M1084=phu!$I$14),"Cam Nghĩa",""),IF(OR(M1084=phu!$I$15,M1084=phu!$I$16,M1084=phu!$I$17,M1084=phu!$I$18,M1084=phu!$I$19,M1084=phu!$I$20,M1084=phu!$I$21),"Cam Phúc Bắc",""),IF(OR(M1084=phu!$I$22,M1084=phu!$I$23,M1084=phu!$I$24,M1084=phu!$I$25),"Cam Phúc Nam",""),IF(OR(M1084=phu!$I$26,M1084=phu!$I$27,M1084=phu!$I$28,M1084=phu!$I$29,M1084=phu!$I$30,M1084=phu!$I$31),"Cam Phú",""),IF(OR(M1084=phu!$I$32,M1084=phu!$I$33,M1084=phu!$I$34,M1084=phu!$I$35,M1084=phu!$I$36,M1084=phu!$I$37),"Cam Lộc",""),IF(OR(M1084=phu!$I$38,M1084=phu!$I$39,M1084=phu!$I$40,M1084=phu!$I$41,M1084=phu!$I$42,M1084=phu!$I$43,M1084=phu!$I$44),"Cam Thuận",""),IF(OR(M1084=phu!$I$45,M1084=phu!$I$46,M1084=phu!$I$47,M1084=phu!$I$48,M1084=phu!$I$49,M1084=phu!$I$50,M1084=phu!$I$51,M1084=phu!$I$52,M1084=phu!$I$53),"Cam Linh",""),IF(OR(M1084=phu!$I$54,M1084=phu!$I$55,M1084=phu!$I$56,M1084=phu!$I$57,M1084=phu!$I$58,M1084=phu!$I$59,M1084=phu!$I$60,M1084=phu!$I$61,M1084=phu!$I$62),"Cam Lợi",""),IF(OR(M1084=phu!$I$63,M1084=phu!$I$64,M1084=phu!$I$65,M1084=phu!$I$66,M1084=phu!$I$67,M1084=phu!$I$68,M1084=phu!$I$69,M1084=phu!$I$70,M1084=phu!$I$71),"Ba Ngòi",""),IF(OR(M1084=phu!$I$72,M1084=phu!$I$73,M1084=phu!$I$74,M1084=phu!$I$75,M1084=phu!$I$76,M1084=phu!$I$77,M1084=phu!$I$78),"Cam Phước Đông",""),IF(OR(M1084=phu!$I$79,M1084=phu!$I$80,M1084=phu!$I$81,M1084=phu!$I$82,M1084=phu!$I$83,M1084=phu!$I$84),"Cam Thịnh Đông",""),IF(OR(M1084=phu!$I$85,M1084=phu!$I$86,M1084=phu!$I$87,M1084=phu!$I$88),"Cam Thịnh Tây",""),IF(OR(M1084=phu!$I$89,M1084=phu!$I$90),"Cam Lập",""),IF(OR(M1084=phu!$I$91,M1084=phu!$I$92,M1084=phu!$I$93),"Cam Bình",""),IF(OR(M1084=phu!$I$94,M1084=phu!$I$95,M1084=phu!$I$96,M1084=phu!$I$97,M1084=phu!$I$98,M1084=phu!$I$99,M1084=phu!$I$100),"Huyện khác",""),IF(OR(M1084=phu!$I$101,M1084=phu!$I$102),"Tỉnh khác",""))</f>
        <v/>
      </c>
      <c r="O1084" s="814" t="str">
        <f t="shared" si="97"/>
        <v/>
      </c>
      <c r="P1084" s="254"/>
      <c r="Q1084" s="254"/>
      <c r="R1084" s="254"/>
      <c r="S1084" s="254"/>
      <c r="T1084" s="254"/>
      <c r="U1084" s="254"/>
      <c r="V1084" s="254"/>
      <c r="W1084" s="254"/>
      <c r="Y1084" s="246" t="str">
        <f t="shared" si="98"/>
        <v/>
      </c>
      <c r="Z1084" s="247" t="str">
        <f t="shared" si="96"/>
        <v/>
      </c>
      <c r="AA1084" s="246" t="str">
        <f t="shared" si="99"/>
        <v/>
      </c>
    </row>
    <row r="1085" spans="1:27" x14ac:dyDescent="0.25">
      <c r="A1085" s="248" t="str">
        <f t="shared" si="100"/>
        <v/>
      </c>
      <c r="B1085" s="249" t="str">
        <f t="shared" si="101"/>
        <v/>
      </c>
      <c r="C1085" s="250"/>
      <c r="D1085" s="251"/>
      <c r="E1085" s="241"/>
      <c r="F1085" s="252"/>
      <c r="G1085" s="252"/>
      <c r="H1085" s="253"/>
      <c r="I1085" s="250"/>
      <c r="J1085" s="250"/>
      <c r="K1085" s="270"/>
      <c r="L1085" s="250"/>
      <c r="M1085" s="250"/>
      <c r="N1085" s="553" t="str">
        <f>CONCATENATE(IF(OR(M1085=phu!$I$1,M1085=phu!$I$2,M1085=phu!$I$3),"Cam Thành Nam",""),IF(OR(M1085=phu!$I$4,M1085=phu!$I$5,M1085=phu!$I$6,M1085=phu!$I$7,M1085=phu!$I$8,M1085=phu!$I$9,M1085=phu!$I$10,M1085=phu!$I$11,M1085=phu!$I$12,M1085=phu!$I$13,M1085=phu!$I$14),"Cam Nghĩa",""),IF(OR(M1085=phu!$I$15,M1085=phu!$I$16,M1085=phu!$I$17,M1085=phu!$I$18,M1085=phu!$I$19,M1085=phu!$I$20,M1085=phu!$I$21),"Cam Phúc Bắc",""),IF(OR(M1085=phu!$I$22,M1085=phu!$I$23,M1085=phu!$I$24,M1085=phu!$I$25),"Cam Phúc Nam",""),IF(OR(M1085=phu!$I$26,M1085=phu!$I$27,M1085=phu!$I$28,M1085=phu!$I$29,M1085=phu!$I$30,M1085=phu!$I$31),"Cam Phú",""),IF(OR(M1085=phu!$I$32,M1085=phu!$I$33,M1085=phu!$I$34,M1085=phu!$I$35,M1085=phu!$I$36,M1085=phu!$I$37),"Cam Lộc",""),IF(OR(M1085=phu!$I$38,M1085=phu!$I$39,M1085=phu!$I$40,M1085=phu!$I$41,M1085=phu!$I$42,M1085=phu!$I$43,M1085=phu!$I$44),"Cam Thuận",""),IF(OR(M1085=phu!$I$45,M1085=phu!$I$46,M1085=phu!$I$47,M1085=phu!$I$48,M1085=phu!$I$49,M1085=phu!$I$50,M1085=phu!$I$51,M1085=phu!$I$52,M1085=phu!$I$53),"Cam Linh",""),IF(OR(M1085=phu!$I$54,M1085=phu!$I$55,M1085=phu!$I$56,M1085=phu!$I$57,M1085=phu!$I$58,M1085=phu!$I$59,M1085=phu!$I$60,M1085=phu!$I$61,M1085=phu!$I$62),"Cam Lợi",""),IF(OR(M1085=phu!$I$63,M1085=phu!$I$64,M1085=phu!$I$65,M1085=phu!$I$66,M1085=phu!$I$67,M1085=phu!$I$68,M1085=phu!$I$69,M1085=phu!$I$70,M1085=phu!$I$71),"Ba Ngòi",""),IF(OR(M1085=phu!$I$72,M1085=phu!$I$73,M1085=phu!$I$74,M1085=phu!$I$75,M1085=phu!$I$76,M1085=phu!$I$77,M1085=phu!$I$78),"Cam Phước Đông",""),IF(OR(M1085=phu!$I$79,M1085=phu!$I$80,M1085=phu!$I$81,M1085=phu!$I$82,M1085=phu!$I$83,M1085=phu!$I$84),"Cam Thịnh Đông",""),IF(OR(M1085=phu!$I$85,M1085=phu!$I$86,M1085=phu!$I$87,M1085=phu!$I$88),"Cam Thịnh Tây",""),IF(OR(M1085=phu!$I$89,M1085=phu!$I$90),"Cam Lập",""),IF(OR(M1085=phu!$I$91,M1085=phu!$I$92,M1085=phu!$I$93),"Cam Bình",""),IF(OR(M1085=phu!$I$94,M1085=phu!$I$95,M1085=phu!$I$96,M1085=phu!$I$97,M1085=phu!$I$98,M1085=phu!$I$99,M1085=phu!$I$100),"Huyện khác",""),IF(OR(M1085=phu!$I$101,M1085=phu!$I$102),"Tỉnh khác",""))</f>
        <v/>
      </c>
      <c r="O1085" s="814" t="str">
        <f t="shared" si="97"/>
        <v/>
      </c>
      <c r="P1085" s="254"/>
      <c r="Q1085" s="254"/>
      <c r="R1085" s="254"/>
      <c r="S1085" s="254"/>
      <c r="T1085" s="254"/>
      <c r="U1085" s="254"/>
      <c r="V1085" s="254"/>
      <c r="W1085" s="254"/>
      <c r="Y1085" s="246" t="str">
        <f t="shared" si="98"/>
        <v/>
      </c>
      <c r="Z1085" s="247" t="str">
        <f t="shared" si="96"/>
        <v/>
      </c>
      <c r="AA1085" s="246" t="str">
        <f t="shared" si="99"/>
        <v/>
      </c>
    </row>
    <row r="1086" spans="1:27" x14ac:dyDescent="0.25">
      <c r="A1086" s="248" t="str">
        <f t="shared" si="100"/>
        <v/>
      </c>
      <c r="B1086" s="249" t="str">
        <f t="shared" si="101"/>
        <v/>
      </c>
      <c r="C1086" s="250"/>
      <c r="D1086" s="251"/>
      <c r="E1086" s="241"/>
      <c r="F1086" s="252"/>
      <c r="G1086" s="252"/>
      <c r="H1086" s="253"/>
      <c r="I1086" s="250"/>
      <c r="J1086" s="250"/>
      <c r="K1086" s="270"/>
      <c r="L1086" s="250"/>
      <c r="M1086" s="250"/>
      <c r="N1086" s="553" t="str">
        <f>CONCATENATE(IF(OR(M1086=phu!$I$1,M1086=phu!$I$2,M1086=phu!$I$3),"Cam Thành Nam",""),IF(OR(M1086=phu!$I$4,M1086=phu!$I$5,M1086=phu!$I$6,M1086=phu!$I$7,M1086=phu!$I$8,M1086=phu!$I$9,M1086=phu!$I$10,M1086=phu!$I$11,M1086=phu!$I$12,M1086=phu!$I$13,M1086=phu!$I$14),"Cam Nghĩa",""),IF(OR(M1086=phu!$I$15,M1086=phu!$I$16,M1086=phu!$I$17,M1086=phu!$I$18,M1086=phu!$I$19,M1086=phu!$I$20,M1086=phu!$I$21),"Cam Phúc Bắc",""),IF(OR(M1086=phu!$I$22,M1086=phu!$I$23,M1086=phu!$I$24,M1086=phu!$I$25),"Cam Phúc Nam",""),IF(OR(M1086=phu!$I$26,M1086=phu!$I$27,M1086=phu!$I$28,M1086=phu!$I$29,M1086=phu!$I$30,M1086=phu!$I$31),"Cam Phú",""),IF(OR(M1086=phu!$I$32,M1086=phu!$I$33,M1086=phu!$I$34,M1086=phu!$I$35,M1086=phu!$I$36,M1086=phu!$I$37),"Cam Lộc",""),IF(OR(M1086=phu!$I$38,M1086=phu!$I$39,M1086=phu!$I$40,M1086=phu!$I$41,M1086=phu!$I$42,M1086=phu!$I$43,M1086=phu!$I$44),"Cam Thuận",""),IF(OR(M1086=phu!$I$45,M1086=phu!$I$46,M1086=phu!$I$47,M1086=phu!$I$48,M1086=phu!$I$49,M1086=phu!$I$50,M1086=phu!$I$51,M1086=phu!$I$52,M1086=phu!$I$53),"Cam Linh",""),IF(OR(M1086=phu!$I$54,M1086=phu!$I$55,M1086=phu!$I$56,M1086=phu!$I$57,M1086=phu!$I$58,M1086=phu!$I$59,M1086=phu!$I$60,M1086=phu!$I$61,M1086=phu!$I$62),"Cam Lợi",""),IF(OR(M1086=phu!$I$63,M1086=phu!$I$64,M1086=phu!$I$65,M1086=phu!$I$66,M1086=phu!$I$67,M1086=phu!$I$68,M1086=phu!$I$69,M1086=phu!$I$70,M1086=phu!$I$71),"Ba Ngòi",""),IF(OR(M1086=phu!$I$72,M1086=phu!$I$73,M1086=phu!$I$74,M1086=phu!$I$75,M1086=phu!$I$76,M1086=phu!$I$77,M1086=phu!$I$78),"Cam Phước Đông",""),IF(OR(M1086=phu!$I$79,M1086=phu!$I$80,M1086=phu!$I$81,M1086=phu!$I$82,M1086=phu!$I$83,M1086=phu!$I$84),"Cam Thịnh Đông",""),IF(OR(M1086=phu!$I$85,M1086=phu!$I$86,M1086=phu!$I$87,M1086=phu!$I$88),"Cam Thịnh Tây",""),IF(OR(M1086=phu!$I$89,M1086=phu!$I$90),"Cam Lập",""),IF(OR(M1086=phu!$I$91,M1086=phu!$I$92,M1086=phu!$I$93),"Cam Bình",""),IF(OR(M1086=phu!$I$94,M1086=phu!$I$95,M1086=phu!$I$96,M1086=phu!$I$97,M1086=phu!$I$98,M1086=phu!$I$99,M1086=phu!$I$100),"Huyện khác",""),IF(OR(M1086=phu!$I$101,M1086=phu!$I$102),"Tỉnh khác",""))</f>
        <v/>
      </c>
      <c r="O1086" s="814" t="str">
        <f t="shared" si="97"/>
        <v/>
      </c>
      <c r="P1086" s="254"/>
      <c r="Q1086" s="254"/>
      <c r="R1086" s="254"/>
      <c r="S1086" s="254"/>
      <c r="T1086" s="254"/>
      <c r="U1086" s="254"/>
      <c r="V1086" s="254"/>
      <c r="W1086" s="254"/>
      <c r="Y1086" s="246" t="str">
        <f t="shared" si="98"/>
        <v/>
      </c>
      <c r="Z1086" s="247" t="str">
        <f t="shared" si="96"/>
        <v/>
      </c>
      <c r="AA1086" s="246" t="str">
        <f t="shared" si="99"/>
        <v/>
      </c>
    </row>
    <row r="1087" spans="1:27" x14ac:dyDescent="0.25">
      <c r="A1087" s="248" t="str">
        <f t="shared" si="100"/>
        <v/>
      </c>
      <c r="B1087" s="249" t="str">
        <f t="shared" si="101"/>
        <v/>
      </c>
      <c r="C1087" s="250"/>
      <c r="D1087" s="251"/>
      <c r="E1087" s="241"/>
      <c r="F1087" s="252"/>
      <c r="G1087" s="252"/>
      <c r="H1087" s="253"/>
      <c r="I1087" s="250"/>
      <c r="J1087" s="250"/>
      <c r="K1087" s="270"/>
      <c r="L1087" s="250"/>
      <c r="M1087" s="250"/>
      <c r="N1087" s="553" t="str">
        <f>CONCATENATE(IF(OR(M1087=phu!$I$1,M1087=phu!$I$2,M1087=phu!$I$3),"Cam Thành Nam",""),IF(OR(M1087=phu!$I$4,M1087=phu!$I$5,M1087=phu!$I$6,M1087=phu!$I$7,M1087=phu!$I$8,M1087=phu!$I$9,M1087=phu!$I$10,M1087=phu!$I$11,M1087=phu!$I$12,M1087=phu!$I$13,M1087=phu!$I$14),"Cam Nghĩa",""),IF(OR(M1087=phu!$I$15,M1087=phu!$I$16,M1087=phu!$I$17,M1087=phu!$I$18,M1087=phu!$I$19,M1087=phu!$I$20,M1087=phu!$I$21),"Cam Phúc Bắc",""),IF(OR(M1087=phu!$I$22,M1087=phu!$I$23,M1087=phu!$I$24,M1087=phu!$I$25),"Cam Phúc Nam",""),IF(OR(M1087=phu!$I$26,M1087=phu!$I$27,M1087=phu!$I$28,M1087=phu!$I$29,M1087=phu!$I$30,M1087=phu!$I$31),"Cam Phú",""),IF(OR(M1087=phu!$I$32,M1087=phu!$I$33,M1087=phu!$I$34,M1087=phu!$I$35,M1087=phu!$I$36,M1087=phu!$I$37),"Cam Lộc",""),IF(OR(M1087=phu!$I$38,M1087=phu!$I$39,M1087=phu!$I$40,M1087=phu!$I$41,M1087=phu!$I$42,M1087=phu!$I$43,M1087=phu!$I$44),"Cam Thuận",""),IF(OR(M1087=phu!$I$45,M1087=phu!$I$46,M1087=phu!$I$47,M1087=phu!$I$48,M1087=phu!$I$49,M1087=phu!$I$50,M1087=phu!$I$51,M1087=phu!$I$52,M1087=phu!$I$53),"Cam Linh",""),IF(OR(M1087=phu!$I$54,M1087=phu!$I$55,M1087=phu!$I$56,M1087=phu!$I$57,M1087=phu!$I$58,M1087=phu!$I$59,M1087=phu!$I$60,M1087=phu!$I$61,M1087=phu!$I$62),"Cam Lợi",""),IF(OR(M1087=phu!$I$63,M1087=phu!$I$64,M1087=phu!$I$65,M1087=phu!$I$66,M1087=phu!$I$67,M1087=phu!$I$68,M1087=phu!$I$69,M1087=phu!$I$70,M1087=phu!$I$71),"Ba Ngòi",""),IF(OR(M1087=phu!$I$72,M1087=phu!$I$73,M1087=phu!$I$74,M1087=phu!$I$75,M1087=phu!$I$76,M1087=phu!$I$77,M1087=phu!$I$78),"Cam Phước Đông",""),IF(OR(M1087=phu!$I$79,M1087=phu!$I$80,M1087=phu!$I$81,M1087=phu!$I$82,M1087=phu!$I$83,M1087=phu!$I$84),"Cam Thịnh Đông",""),IF(OR(M1087=phu!$I$85,M1087=phu!$I$86,M1087=phu!$I$87,M1087=phu!$I$88),"Cam Thịnh Tây",""),IF(OR(M1087=phu!$I$89,M1087=phu!$I$90),"Cam Lập",""),IF(OR(M1087=phu!$I$91,M1087=phu!$I$92,M1087=phu!$I$93),"Cam Bình",""),IF(OR(M1087=phu!$I$94,M1087=phu!$I$95,M1087=phu!$I$96,M1087=phu!$I$97,M1087=phu!$I$98,M1087=phu!$I$99,M1087=phu!$I$100),"Huyện khác",""),IF(OR(M1087=phu!$I$101,M1087=phu!$I$102),"Tỉnh khác",""))</f>
        <v/>
      </c>
      <c r="O1087" s="814" t="str">
        <f t="shared" si="97"/>
        <v/>
      </c>
      <c r="P1087" s="254"/>
      <c r="Q1087" s="254"/>
      <c r="R1087" s="254"/>
      <c r="S1087" s="254"/>
      <c r="T1087" s="254"/>
      <c r="U1087" s="254"/>
      <c r="V1087" s="254"/>
      <c r="W1087" s="254"/>
      <c r="Y1087" s="246" t="str">
        <f t="shared" si="98"/>
        <v/>
      </c>
      <c r="Z1087" s="247" t="str">
        <f t="shared" si="96"/>
        <v/>
      </c>
      <c r="AA1087" s="246" t="str">
        <f t="shared" si="99"/>
        <v/>
      </c>
    </row>
    <row r="1088" spans="1:27" x14ac:dyDescent="0.25">
      <c r="A1088" s="248" t="str">
        <f t="shared" si="100"/>
        <v/>
      </c>
      <c r="B1088" s="249" t="str">
        <f t="shared" si="101"/>
        <v/>
      </c>
      <c r="C1088" s="250"/>
      <c r="D1088" s="251"/>
      <c r="E1088" s="241"/>
      <c r="F1088" s="252"/>
      <c r="G1088" s="252"/>
      <c r="H1088" s="253"/>
      <c r="I1088" s="250"/>
      <c r="J1088" s="250"/>
      <c r="K1088" s="270"/>
      <c r="L1088" s="250"/>
      <c r="M1088" s="250"/>
      <c r="N1088" s="553" t="str">
        <f>CONCATENATE(IF(OR(M1088=phu!$I$1,M1088=phu!$I$2,M1088=phu!$I$3),"Cam Thành Nam",""),IF(OR(M1088=phu!$I$4,M1088=phu!$I$5,M1088=phu!$I$6,M1088=phu!$I$7,M1088=phu!$I$8,M1088=phu!$I$9,M1088=phu!$I$10,M1088=phu!$I$11,M1088=phu!$I$12,M1088=phu!$I$13,M1088=phu!$I$14),"Cam Nghĩa",""),IF(OR(M1088=phu!$I$15,M1088=phu!$I$16,M1088=phu!$I$17,M1088=phu!$I$18,M1088=phu!$I$19,M1088=phu!$I$20,M1088=phu!$I$21),"Cam Phúc Bắc",""),IF(OR(M1088=phu!$I$22,M1088=phu!$I$23,M1088=phu!$I$24,M1088=phu!$I$25),"Cam Phúc Nam",""),IF(OR(M1088=phu!$I$26,M1088=phu!$I$27,M1088=phu!$I$28,M1088=phu!$I$29,M1088=phu!$I$30,M1088=phu!$I$31),"Cam Phú",""),IF(OR(M1088=phu!$I$32,M1088=phu!$I$33,M1088=phu!$I$34,M1088=phu!$I$35,M1088=phu!$I$36,M1088=phu!$I$37),"Cam Lộc",""),IF(OR(M1088=phu!$I$38,M1088=phu!$I$39,M1088=phu!$I$40,M1088=phu!$I$41,M1088=phu!$I$42,M1088=phu!$I$43,M1088=phu!$I$44),"Cam Thuận",""),IF(OR(M1088=phu!$I$45,M1088=phu!$I$46,M1088=phu!$I$47,M1088=phu!$I$48,M1088=phu!$I$49,M1088=phu!$I$50,M1088=phu!$I$51,M1088=phu!$I$52,M1088=phu!$I$53),"Cam Linh",""),IF(OR(M1088=phu!$I$54,M1088=phu!$I$55,M1088=phu!$I$56,M1088=phu!$I$57,M1088=phu!$I$58,M1088=phu!$I$59,M1088=phu!$I$60,M1088=phu!$I$61,M1088=phu!$I$62),"Cam Lợi",""),IF(OR(M1088=phu!$I$63,M1088=phu!$I$64,M1088=phu!$I$65,M1088=phu!$I$66,M1088=phu!$I$67,M1088=phu!$I$68,M1088=phu!$I$69,M1088=phu!$I$70,M1088=phu!$I$71),"Ba Ngòi",""),IF(OR(M1088=phu!$I$72,M1088=phu!$I$73,M1088=phu!$I$74,M1088=phu!$I$75,M1088=phu!$I$76,M1088=phu!$I$77,M1088=phu!$I$78),"Cam Phước Đông",""),IF(OR(M1088=phu!$I$79,M1088=phu!$I$80,M1088=phu!$I$81,M1088=phu!$I$82,M1088=phu!$I$83,M1088=phu!$I$84),"Cam Thịnh Đông",""),IF(OR(M1088=phu!$I$85,M1088=phu!$I$86,M1088=phu!$I$87,M1088=phu!$I$88),"Cam Thịnh Tây",""),IF(OR(M1088=phu!$I$89,M1088=phu!$I$90),"Cam Lập",""),IF(OR(M1088=phu!$I$91,M1088=phu!$I$92,M1088=phu!$I$93),"Cam Bình",""),IF(OR(M1088=phu!$I$94,M1088=phu!$I$95,M1088=phu!$I$96,M1088=phu!$I$97,M1088=phu!$I$98,M1088=phu!$I$99,M1088=phu!$I$100),"Huyện khác",""),IF(OR(M1088=phu!$I$101,M1088=phu!$I$102),"Tỉnh khác",""))</f>
        <v/>
      </c>
      <c r="O1088" s="814" t="str">
        <f t="shared" si="97"/>
        <v/>
      </c>
      <c r="P1088" s="254"/>
      <c r="Q1088" s="254"/>
      <c r="R1088" s="254"/>
      <c r="S1088" s="254"/>
      <c r="T1088" s="254"/>
      <c r="U1088" s="254"/>
      <c r="V1088" s="254"/>
      <c r="W1088" s="254"/>
      <c r="Y1088" s="246" t="str">
        <f t="shared" si="98"/>
        <v/>
      </c>
      <c r="Z1088" s="247" t="str">
        <f t="shared" si="96"/>
        <v/>
      </c>
      <c r="AA1088" s="246" t="str">
        <f t="shared" si="99"/>
        <v/>
      </c>
    </row>
    <row r="1089" spans="1:27" x14ac:dyDescent="0.25">
      <c r="A1089" s="248" t="str">
        <f t="shared" si="100"/>
        <v/>
      </c>
      <c r="B1089" s="249" t="str">
        <f t="shared" si="101"/>
        <v/>
      </c>
      <c r="C1089" s="250"/>
      <c r="D1089" s="251"/>
      <c r="E1089" s="241"/>
      <c r="F1089" s="252"/>
      <c r="G1089" s="252"/>
      <c r="H1089" s="253"/>
      <c r="I1089" s="250"/>
      <c r="J1089" s="250"/>
      <c r="K1089" s="270"/>
      <c r="L1089" s="250"/>
      <c r="M1089" s="250"/>
      <c r="N1089" s="553" t="str">
        <f>CONCATENATE(IF(OR(M1089=phu!$I$1,M1089=phu!$I$2,M1089=phu!$I$3),"Cam Thành Nam",""),IF(OR(M1089=phu!$I$4,M1089=phu!$I$5,M1089=phu!$I$6,M1089=phu!$I$7,M1089=phu!$I$8,M1089=phu!$I$9,M1089=phu!$I$10,M1089=phu!$I$11,M1089=phu!$I$12,M1089=phu!$I$13,M1089=phu!$I$14),"Cam Nghĩa",""),IF(OR(M1089=phu!$I$15,M1089=phu!$I$16,M1089=phu!$I$17,M1089=phu!$I$18,M1089=phu!$I$19,M1089=phu!$I$20,M1089=phu!$I$21),"Cam Phúc Bắc",""),IF(OR(M1089=phu!$I$22,M1089=phu!$I$23,M1089=phu!$I$24,M1089=phu!$I$25),"Cam Phúc Nam",""),IF(OR(M1089=phu!$I$26,M1089=phu!$I$27,M1089=phu!$I$28,M1089=phu!$I$29,M1089=phu!$I$30,M1089=phu!$I$31),"Cam Phú",""),IF(OR(M1089=phu!$I$32,M1089=phu!$I$33,M1089=phu!$I$34,M1089=phu!$I$35,M1089=phu!$I$36,M1089=phu!$I$37),"Cam Lộc",""),IF(OR(M1089=phu!$I$38,M1089=phu!$I$39,M1089=phu!$I$40,M1089=phu!$I$41,M1089=phu!$I$42,M1089=phu!$I$43,M1089=phu!$I$44),"Cam Thuận",""),IF(OR(M1089=phu!$I$45,M1089=phu!$I$46,M1089=phu!$I$47,M1089=phu!$I$48,M1089=phu!$I$49,M1089=phu!$I$50,M1089=phu!$I$51,M1089=phu!$I$52,M1089=phu!$I$53),"Cam Linh",""),IF(OR(M1089=phu!$I$54,M1089=phu!$I$55,M1089=phu!$I$56,M1089=phu!$I$57,M1089=phu!$I$58,M1089=phu!$I$59,M1089=phu!$I$60,M1089=phu!$I$61,M1089=phu!$I$62),"Cam Lợi",""),IF(OR(M1089=phu!$I$63,M1089=phu!$I$64,M1089=phu!$I$65,M1089=phu!$I$66,M1089=phu!$I$67,M1089=phu!$I$68,M1089=phu!$I$69,M1089=phu!$I$70,M1089=phu!$I$71),"Ba Ngòi",""),IF(OR(M1089=phu!$I$72,M1089=phu!$I$73,M1089=phu!$I$74,M1089=phu!$I$75,M1089=phu!$I$76,M1089=phu!$I$77,M1089=phu!$I$78),"Cam Phước Đông",""),IF(OR(M1089=phu!$I$79,M1089=phu!$I$80,M1089=phu!$I$81,M1089=phu!$I$82,M1089=phu!$I$83,M1089=phu!$I$84),"Cam Thịnh Đông",""),IF(OR(M1089=phu!$I$85,M1089=phu!$I$86,M1089=phu!$I$87,M1089=phu!$I$88),"Cam Thịnh Tây",""),IF(OR(M1089=phu!$I$89,M1089=phu!$I$90),"Cam Lập",""),IF(OR(M1089=phu!$I$91,M1089=phu!$I$92,M1089=phu!$I$93),"Cam Bình",""),IF(OR(M1089=phu!$I$94,M1089=phu!$I$95,M1089=phu!$I$96,M1089=phu!$I$97,M1089=phu!$I$98,M1089=phu!$I$99,M1089=phu!$I$100),"Huyện khác",""),IF(OR(M1089=phu!$I$101,M1089=phu!$I$102),"Tỉnh khác",""))</f>
        <v/>
      </c>
      <c r="O1089" s="814" t="str">
        <f t="shared" si="97"/>
        <v/>
      </c>
      <c r="P1089" s="254"/>
      <c r="Q1089" s="254"/>
      <c r="R1089" s="254"/>
      <c r="S1089" s="254"/>
      <c r="T1089" s="254"/>
      <c r="U1089" s="254"/>
      <c r="V1089" s="254"/>
      <c r="W1089" s="254"/>
      <c r="Y1089" s="246" t="str">
        <f t="shared" si="98"/>
        <v/>
      </c>
      <c r="Z1089" s="247" t="str">
        <f t="shared" si="96"/>
        <v/>
      </c>
      <c r="AA1089" s="246" t="str">
        <f t="shared" si="99"/>
        <v/>
      </c>
    </row>
    <row r="1090" spans="1:27" x14ac:dyDescent="0.25">
      <c r="A1090" s="248" t="str">
        <f t="shared" si="100"/>
        <v/>
      </c>
      <c r="B1090" s="249" t="str">
        <f t="shared" si="101"/>
        <v/>
      </c>
      <c r="C1090" s="250"/>
      <c r="D1090" s="251"/>
      <c r="E1090" s="241"/>
      <c r="F1090" s="252"/>
      <c r="G1090" s="252"/>
      <c r="H1090" s="253"/>
      <c r="I1090" s="250"/>
      <c r="J1090" s="250"/>
      <c r="K1090" s="270"/>
      <c r="L1090" s="250"/>
      <c r="M1090" s="250"/>
      <c r="N1090" s="553" t="str">
        <f>CONCATENATE(IF(OR(M1090=phu!$I$1,M1090=phu!$I$2,M1090=phu!$I$3),"Cam Thành Nam",""),IF(OR(M1090=phu!$I$4,M1090=phu!$I$5,M1090=phu!$I$6,M1090=phu!$I$7,M1090=phu!$I$8,M1090=phu!$I$9,M1090=phu!$I$10,M1090=phu!$I$11,M1090=phu!$I$12,M1090=phu!$I$13,M1090=phu!$I$14),"Cam Nghĩa",""),IF(OR(M1090=phu!$I$15,M1090=phu!$I$16,M1090=phu!$I$17,M1090=phu!$I$18,M1090=phu!$I$19,M1090=phu!$I$20,M1090=phu!$I$21),"Cam Phúc Bắc",""),IF(OR(M1090=phu!$I$22,M1090=phu!$I$23,M1090=phu!$I$24,M1090=phu!$I$25),"Cam Phúc Nam",""),IF(OR(M1090=phu!$I$26,M1090=phu!$I$27,M1090=phu!$I$28,M1090=phu!$I$29,M1090=phu!$I$30,M1090=phu!$I$31),"Cam Phú",""),IF(OR(M1090=phu!$I$32,M1090=phu!$I$33,M1090=phu!$I$34,M1090=phu!$I$35,M1090=phu!$I$36,M1090=phu!$I$37),"Cam Lộc",""),IF(OR(M1090=phu!$I$38,M1090=phu!$I$39,M1090=phu!$I$40,M1090=phu!$I$41,M1090=phu!$I$42,M1090=phu!$I$43,M1090=phu!$I$44),"Cam Thuận",""),IF(OR(M1090=phu!$I$45,M1090=phu!$I$46,M1090=phu!$I$47,M1090=phu!$I$48,M1090=phu!$I$49,M1090=phu!$I$50,M1090=phu!$I$51,M1090=phu!$I$52,M1090=phu!$I$53),"Cam Linh",""),IF(OR(M1090=phu!$I$54,M1090=phu!$I$55,M1090=phu!$I$56,M1090=phu!$I$57,M1090=phu!$I$58,M1090=phu!$I$59,M1090=phu!$I$60,M1090=phu!$I$61,M1090=phu!$I$62),"Cam Lợi",""),IF(OR(M1090=phu!$I$63,M1090=phu!$I$64,M1090=phu!$I$65,M1090=phu!$I$66,M1090=phu!$I$67,M1090=phu!$I$68,M1090=phu!$I$69,M1090=phu!$I$70,M1090=phu!$I$71),"Ba Ngòi",""),IF(OR(M1090=phu!$I$72,M1090=phu!$I$73,M1090=phu!$I$74,M1090=phu!$I$75,M1090=phu!$I$76,M1090=phu!$I$77,M1090=phu!$I$78),"Cam Phước Đông",""),IF(OR(M1090=phu!$I$79,M1090=phu!$I$80,M1090=phu!$I$81,M1090=phu!$I$82,M1090=phu!$I$83,M1090=phu!$I$84),"Cam Thịnh Đông",""),IF(OR(M1090=phu!$I$85,M1090=phu!$I$86,M1090=phu!$I$87,M1090=phu!$I$88),"Cam Thịnh Tây",""),IF(OR(M1090=phu!$I$89,M1090=phu!$I$90),"Cam Lập",""),IF(OR(M1090=phu!$I$91,M1090=phu!$I$92,M1090=phu!$I$93),"Cam Bình",""),IF(OR(M1090=phu!$I$94,M1090=phu!$I$95,M1090=phu!$I$96,M1090=phu!$I$97,M1090=phu!$I$98,M1090=phu!$I$99,M1090=phu!$I$100),"Huyện khác",""),IF(OR(M1090=phu!$I$101,M1090=phu!$I$102),"Tỉnh khác",""))</f>
        <v/>
      </c>
      <c r="O1090" s="814" t="str">
        <f t="shared" si="97"/>
        <v/>
      </c>
      <c r="P1090" s="254"/>
      <c r="Q1090" s="254"/>
      <c r="R1090" s="254"/>
      <c r="S1090" s="254"/>
      <c r="T1090" s="254"/>
      <c r="U1090" s="254"/>
      <c r="V1090" s="254"/>
      <c r="W1090" s="254"/>
      <c r="Y1090" s="246" t="str">
        <f t="shared" si="98"/>
        <v/>
      </c>
      <c r="Z1090" s="247" t="str">
        <f t="shared" si="96"/>
        <v/>
      </c>
      <c r="AA1090" s="246" t="str">
        <f t="shared" si="99"/>
        <v/>
      </c>
    </row>
    <row r="1091" spans="1:27" x14ac:dyDescent="0.25">
      <c r="A1091" s="248" t="str">
        <f t="shared" si="100"/>
        <v/>
      </c>
      <c r="B1091" s="249" t="str">
        <f t="shared" si="101"/>
        <v/>
      </c>
      <c r="C1091" s="250"/>
      <c r="D1091" s="251"/>
      <c r="E1091" s="241"/>
      <c r="F1091" s="252"/>
      <c r="G1091" s="252"/>
      <c r="H1091" s="253"/>
      <c r="I1091" s="250"/>
      <c r="J1091" s="250"/>
      <c r="K1091" s="270"/>
      <c r="L1091" s="250"/>
      <c r="M1091" s="250"/>
      <c r="N1091" s="553" t="str">
        <f>CONCATENATE(IF(OR(M1091=phu!$I$1,M1091=phu!$I$2,M1091=phu!$I$3),"Cam Thành Nam",""),IF(OR(M1091=phu!$I$4,M1091=phu!$I$5,M1091=phu!$I$6,M1091=phu!$I$7,M1091=phu!$I$8,M1091=phu!$I$9,M1091=phu!$I$10,M1091=phu!$I$11,M1091=phu!$I$12,M1091=phu!$I$13,M1091=phu!$I$14),"Cam Nghĩa",""),IF(OR(M1091=phu!$I$15,M1091=phu!$I$16,M1091=phu!$I$17,M1091=phu!$I$18,M1091=phu!$I$19,M1091=phu!$I$20,M1091=phu!$I$21),"Cam Phúc Bắc",""),IF(OR(M1091=phu!$I$22,M1091=phu!$I$23,M1091=phu!$I$24,M1091=phu!$I$25),"Cam Phúc Nam",""),IF(OR(M1091=phu!$I$26,M1091=phu!$I$27,M1091=phu!$I$28,M1091=phu!$I$29,M1091=phu!$I$30,M1091=phu!$I$31),"Cam Phú",""),IF(OR(M1091=phu!$I$32,M1091=phu!$I$33,M1091=phu!$I$34,M1091=phu!$I$35,M1091=phu!$I$36,M1091=phu!$I$37),"Cam Lộc",""),IF(OR(M1091=phu!$I$38,M1091=phu!$I$39,M1091=phu!$I$40,M1091=phu!$I$41,M1091=phu!$I$42,M1091=phu!$I$43,M1091=phu!$I$44),"Cam Thuận",""),IF(OR(M1091=phu!$I$45,M1091=phu!$I$46,M1091=phu!$I$47,M1091=phu!$I$48,M1091=phu!$I$49,M1091=phu!$I$50,M1091=phu!$I$51,M1091=phu!$I$52,M1091=phu!$I$53),"Cam Linh",""),IF(OR(M1091=phu!$I$54,M1091=phu!$I$55,M1091=phu!$I$56,M1091=phu!$I$57,M1091=phu!$I$58,M1091=phu!$I$59,M1091=phu!$I$60,M1091=phu!$I$61,M1091=phu!$I$62),"Cam Lợi",""),IF(OR(M1091=phu!$I$63,M1091=phu!$I$64,M1091=phu!$I$65,M1091=phu!$I$66,M1091=phu!$I$67,M1091=phu!$I$68,M1091=phu!$I$69,M1091=phu!$I$70,M1091=phu!$I$71),"Ba Ngòi",""),IF(OR(M1091=phu!$I$72,M1091=phu!$I$73,M1091=phu!$I$74,M1091=phu!$I$75,M1091=phu!$I$76,M1091=phu!$I$77,M1091=phu!$I$78),"Cam Phước Đông",""),IF(OR(M1091=phu!$I$79,M1091=phu!$I$80,M1091=phu!$I$81,M1091=phu!$I$82,M1091=phu!$I$83,M1091=phu!$I$84),"Cam Thịnh Đông",""),IF(OR(M1091=phu!$I$85,M1091=phu!$I$86,M1091=phu!$I$87,M1091=phu!$I$88),"Cam Thịnh Tây",""),IF(OR(M1091=phu!$I$89,M1091=phu!$I$90),"Cam Lập",""),IF(OR(M1091=phu!$I$91,M1091=phu!$I$92,M1091=phu!$I$93),"Cam Bình",""),IF(OR(M1091=phu!$I$94,M1091=phu!$I$95,M1091=phu!$I$96,M1091=phu!$I$97,M1091=phu!$I$98,M1091=phu!$I$99,M1091=phu!$I$100),"Huyện khác",""),IF(OR(M1091=phu!$I$101,M1091=phu!$I$102),"Tỉnh khác",""))</f>
        <v/>
      </c>
      <c r="O1091" s="814" t="str">
        <f t="shared" si="97"/>
        <v/>
      </c>
      <c r="P1091" s="254"/>
      <c r="Q1091" s="254"/>
      <c r="R1091" s="254"/>
      <c r="S1091" s="254"/>
      <c r="T1091" s="254"/>
      <c r="U1091" s="254"/>
      <c r="V1091" s="254"/>
      <c r="W1091" s="254"/>
      <c r="Y1091" s="246" t="str">
        <f t="shared" si="98"/>
        <v/>
      </c>
      <c r="Z1091" s="247" t="str">
        <f t="shared" si="96"/>
        <v/>
      </c>
      <c r="AA1091" s="246" t="str">
        <f t="shared" si="99"/>
        <v/>
      </c>
    </row>
    <row r="1092" spans="1:27" x14ac:dyDescent="0.25">
      <c r="A1092" s="248" t="str">
        <f t="shared" si="100"/>
        <v/>
      </c>
      <c r="B1092" s="249" t="str">
        <f t="shared" si="101"/>
        <v/>
      </c>
      <c r="C1092" s="250"/>
      <c r="D1092" s="251"/>
      <c r="E1092" s="241"/>
      <c r="F1092" s="252"/>
      <c r="G1092" s="252"/>
      <c r="H1092" s="253"/>
      <c r="I1092" s="250"/>
      <c r="J1092" s="250"/>
      <c r="K1092" s="270"/>
      <c r="L1092" s="250"/>
      <c r="M1092" s="250"/>
      <c r="N1092" s="553" t="str">
        <f>CONCATENATE(IF(OR(M1092=phu!$I$1,M1092=phu!$I$2,M1092=phu!$I$3),"Cam Thành Nam",""),IF(OR(M1092=phu!$I$4,M1092=phu!$I$5,M1092=phu!$I$6,M1092=phu!$I$7,M1092=phu!$I$8,M1092=phu!$I$9,M1092=phu!$I$10,M1092=phu!$I$11,M1092=phu!$I$12,M1092=phu!$I$13,M1092=phu!$I$14),"Cam Nghĩa",""),IF(OR(M1092=phu!$I$15,M1092=phu!$I$16,M1092=phu!$I$17,M1092=phu!$I$18,M1092=phu!$I$19,M1092=phu!$I$20,M1092=phu!$I$21),"Cam Phúc Bắc",""),IF(OR(M1092=phu!$I$22,M1092=phu!$I$23,M1092=phu!$I$24,M1092=phu!$I$25),"Cam Phúc Nam",""),IF(OR(M1092=phu!$I$26,M1092=phu!$I$27,M1092=phu!$I$28,M1092=phu!$I$29,M1092=phu!$I$30,M1092=phu!$I$31),"Cam Phú",""),IF(OR(M1092=phu!$I$32,M1092=phu!$I$33,M1092=phu!$I$34,M1092=phu!$I$35,M1092=phu!$I$36,M1092=phu!$I$37),"Cam Lộc",""),IF(OR(M1092=phu!$I$38,M1092=phu!$I$39,M1092=phu!$I$40,M1092=phu!$I$41,M1092=phu!$I$42,M1092=phu!$I$43,M1092=phu!$I$44),"Cam Thuận",""),IF(OR(M1092=phu!$I$45,M1092=phu!$I$46,M1092=phu!$I$47,M1092=phu!$I$48,M1092=phu!$I$49,M1092=phu!$I$50,M1092=phu!$I$51,M1092=phu!$I$52,M1092=phu!$I$53),"Cam Linh",""),IF(OR(M1092=phu!$I$54,M1092=phu!$I$55,M1092=phu!$I$56,M1092=phu!$I$57,M1092=phu!$I$58,M1092=phu!$I$59,M1092=phu!$I$60,M1092=phu!$I$61,M1092=phu!$I$62),"Cam Lợi",""),IF(OR(M1092=phu!$I$63,M1092=phu!$I$64,M1092=phu!$I$65,M1092=phu!$I$66,M1092=phu!$I$67,M1092=phu!$I$68,M1092=phu!$I$69,M1092=phu!$I$70,M1092=phu!$I$71),"Ba Ngòi",""),IF(OR(M1092=phu!$I$72,M1092=phu!$I$73,M1092=phu!$I$74,M1092=phu!$I$75,M1092=phu!$I$76,M1092=phu!$I$77,M1092=phu!$I$78),"Cam Phước Đông",""),IF(OR(M1092=phu!$I$79,M1092=phu!$I$80,M1092=phu!$I$81,M1092=phu!$I$82,M1092=phu!$I$83,M1092=phu!$I$84),"Cam Thịnh Đông",""),IF(OR(M1092=phu!$I$85,M1092=phu!$I$86,M1092=phu!$I$87,M1092=phu!$I$88),"Cam Thịnh Tây",""),IF(OR(M1092=phu!$I$89,M1092=phu!$I$90),"Cam Lập",""),IF(OR(M1092=phu!$I$91,M1092=phu!$I$92,M1092=phu!$I$93),"Cam Bình",""),IF(OR(M1092=phu!$I$94,M1092=phu!$I$95,M1092=phu!$I$96,M1092=phu!$I$97,M1092=phu!$I$98,M1092=phu!$I$99,M1092=phu!$I$100),"Huyện khác",""),IF(OR(M1092=phu!$I$101,M1092=phu!$I$102),"Tỉnh khác",""))</f>
        <v/>
      </c>
      <c r="O1092" s="814" t="str">
        <f t="shared" si="97"/>
        <v/>
      </c>
      <c r="P1092" s="254"/>
      <c r="Q1092" s="254"/>
      <c r="R1092" s="254"/>
      <c r="S1092" s="254"/>
      <c r="T1092" s="254"/>
      <c r="U1092" s="254"/>
      <c r="V1092" s="254"/>
      <c r="W1092" s="254"/>
      <c r="Y1092" s="246" t="str">
        <f t="shared" si="98"/>
        <v/>
      </c>
      <c r="Z1092" s="247" t="str">
        <f t="shared" si="96"/>
        <v/>
      </c>
      <c r="AA1092" s="246" t="str">
        <f t="shared" si="99"/>
        <v/>
      </c>
    </row>
    <row r="1093" spans="1:27" x14ac:dyDescent="0.25">
      <c r="A1093" s="248" t="str">
        <f t="shared" si="100"/>
        <v/>
      </c>
      <c r="B1093" s="249" t="str">
        <f t="shared" si="101"/>
        <v/>
      </c>
      <c r="C1093" s="250"/>
      <c r="D1093" s="251"/>
      <c r="E1093" s="241"/>
      <c r="F1093" s="252"/>
      <c r="G1093" s="252"/>
      <c r="H1093" s="253"/>
      <c r="I1093" s="250"/>
      <c r="J1093" s="250"/>
      <c r="K1093" s="270"/>
      <c r="L1093" s="250"/>
      <c r="M1093" s="250"/>
      <c r="N1093" s="553" t="str">
        <f>CONCATENATE(IF(OR(M1093=phu!$I$1,M1093=phu!$I$2,M1093=phu!$I$3),"Cam Thành Nam",""),IF(OR(M1093=phu!$I$4,M1093=phu!$I$5,M1093=phu!$I$6,M1093=phu!$I$7,M1093=phu!$I$8,M1093=phu!$I$9,M1093=phu!$I$10,M1093=phu!$I$11,M1093=phu!$I$12,M1093=phu!$I$13,M1093=phu!$I$14),"Cam Nghĩa",""),IF(OR(M1093=phu!$I$15,M1093=phu!$I$16,M1093=phu!$I$17,M1093=phu!$I$18,M1093=phu!$I$19,M1093=phu!$I$20,M1093=phu!$I$21),"Cam Phúc Bắc",""),IF(OR(M1093=phu!$I$22,M1093=phu!$I$23,M1093=phu!$I$24,M1093=phu!$I$25),"Cam Phúc Nam",""),IF(OR(M1093=phu!$I$26,M1093=phu!$I$27,M1093=phu!$I$28,M1093=phu!$I$29,M1093=phu!$I$30,M1093=phu!$I$31),"Cam Phú",""),IF(OR(M1093=phu!$I$32,M1093=phu!$I$33,M1093=phu!$I$34,M1093=phu!$I$35,M1093=phu!$I$36,M1093=phu!$I$37),"Cam Lộc",""),IF(OR(M1093=phu!$I$38,M1093=phu!$I$39,M1093=phu!$I$40,M1093=phu!$I$41,M1093=phu!$I$42,M1093=phu!$I$43,M1093=phu!$I$44),"Cam Thuận",""),IF(OR(M1093=phu!$I$45,M1093=phu!$I$46,M1093=phu!$I$47,M1093=phu!$I$48,M1093=phu!$I$49,M1093=phu!$I$50,M1093=phu!$I$51,M1093=phu!$I$52,M1093=phu!$I$53),"Cam Linh",""),IF(OR(M1093=phu!$I$54,M1093=phu!$I$55,M1093=phu!$I$56,M1093=phu!$I$57,M1093=phu!$I$58,M1093=phu!$I$59,M1093=phu!$I$60,M1093=phu!$I$61,M1093=phu!$I$62),"Cam Lợi",""),IF(OR(M1093=phu!$I$63,M1093=phu!$I$64,M1093=phu!$I$65,M1093=phu!$I$66,M1093=phu!$I$67,M1093=phu!$I$68,M1093=phu!$I$69,M1093=phu!$I$70,M1093=phu!$I$71),"Ba Ngòi",""),IF(OR(M1093=phu!$I$72,M1093=phu!$I$73,M1093=phu!$I$74,M1093=phu!$I$75,M1093=phu!$I$76,M1093=phu!$I$77,M1093=phu!$I$78),"Cam Phước Đông",""),IF(OR(M1093=phu!$I$79,M1093=phu!$I$80,M1093=phu!$I$81,M1093=phu!$I$82,M1093=phu!$I$83,M1093=phu!$I$84),"Cam Thịnh Đông",""),IF(OR(M1093=phu!$I$85,M1093=phu!$I$86,M1093=phu!$I$87,M1093=phu!$I$88),"Cam Thịnh Tây",""),IF(OR(M1093=phu!$I$89,M1093=phu!$I$90),"Cam Lập",""),IF(OR(M1093=phu!$I$91,M1093=phu!$I$92,M1093=phu!$I$93),"Cam Bình",""),IF(OR(M1093=phu!$I$94,M1093=phu!$I$95,M1093=phu!$I$96,M1093=phu!$I$97,M1093=phu!$I$98,M1093=phu!$I$99,M1093=phu!$I$100),"Huyện khác",""),IF(OR(M1093=phu!$I$101,M1093=phu!$I$102),"Tỉnh khác",""))</f>
        <v/>
      </c>
      <c r="O1093" s="814" t="str">
        <f t="shared" si="97"/>
        <v/>
      </c>
      <c r="P1093" s="254"/>
      <c r="Q1093" s="254"/>
      <c r="R1093" s="254"/>
      <c r="S1093" s="254"/>
      <c r="T1093" s="254"/>
      <c r="U1093" s="254"/>
      <c r="V1093" s="254"/>
      <c r="W1093" s="254"/>
      <c r="Y1093" s="246" t="str">
        <f t="shared" si="98"/>
        <v/>
      </c>
      <c r="Z1093" s="247" t="str">
        <f t="shared" si="96"/>
        <v/>
      </c>
      <c r="AA1093" s="246" t="str">
        <f t="shared" si="99"/>
        <v/>
      </c>
    </row>
    <row r="1094" spans="1:27" x14ac:dyDescent="0.25">
      <c r="A1094" s="248" t="str">
        <f t="shared" si="100"/>
        <v/>
      </c>
      <c r="B1094" s="249" t="str">
        <f t="shared" si="101"/>
        <v/>
      </c>
      <c r="C1094" s="250"/>
      <c r="D1094" s="251"/>
      <c r="E1094" s="241"/>
      <c r="F1094" s="252"/>
      <c r="G1094" s="252"/>
      <c r="H1094" s="253"/>
      <c r="I1094" s="250"/>
      <c r="J1094" s="250"/>
      <c r="K1094" s="270"/>
      <c r="L1094" s="250"/>
      <c r="M1094" s="250"/>
      <c r="N1094" s="553" t="str">
        <f>CONCATENATE(IF(OR(M1094=phu!$I$1,M1094=phu!$I$2,M1094=phu!$I$3),"Cam Thành Nam",""),IF(OR(M1094=phu!$I$4,M1094=phu!$I$5,M1094=phu!$I$6,M1094=phu!$I$7,M1094=phu!$I$8,M1094=phu!$I$9,M1094=phu!$I$10,M1094=phu!$I$11,M1094=phu!$I$12,M1094=phu!$I$13,M1094=phu!$I$14),"Cam Nghĩa",""),IF(OR(M1094=phu!$I$15,M1094=phu!$I$16,M1094=phu!$I$17,M1094=phu!$I$18,M1094=phu!$I$19,M1094=phu!$I$20,M1094=phu!$I$21),"Cam Phúc Bắc",""),IF(OR(M1094=phu!$I$22,M1094=phu!$I$23,M1094=phu!$I$24,M1094=phu!$I$25),"Cam Phúc Nam",""),IF(OR(M1094=phu!$I$26,M1094=phu!$I$27,M1094=phu!$I$28,M1094=phu!$I$29,M1094=phu!$I$30,M1094=phu!$I$31),"Cam Phú",""),IF(OR(M1094=phu!$I$32,M1094=phu!$I$33,M1094=phu!$I$34,M1094=phu!$I$35,M1094=phu!$I$36,M1094=phu!$I$37),"Cam Lộc",""),IF(OR(M1094=phu!$I$38,M1094=phu!$I$39,M1094=phu!$I$40,M1094=phu!$I$41,M1094=phu!$I$42,M1094=phu!$I$43,M1094=phu!$I$44),"Cam Thuận",""),IF(OR(M1094=phu!$I$45,M1094=phu!$I$46,M1094=phu!$I$47,M1094=phu!$I$48,M1094=phu!$I$49,M1094=phu!$I$50,M1094=phu!$I$51,M1094=phu!$I$52,M1094=phu!$I$53),"Cam Linh",""),IF(OR(M1094=phu!$I$54,M1094=phu!$I$55,M1094=phu!$I$56,M1094=phu!$I$57,M1094=phu!$I$58,M1094=phu!$I$59,M1094=phu!$I$60,M1094=phu!$I$61,M1094=phu!$I$62),"Cam Lợi",""),IF(OR(M1094=phu!$I$63,M1094=phu!$I$64,M1094=phu!$I$65,M1094=phu!$I$66,M1094=phu!$I$67,M1094=phu!$I$68,M1094=phu!$I$69,M1094=phu!$I$70,M1094=phu!$I$71),"Ba Ngòi",""),IF(OR(M1094=phu!$I$72,M1094=phu!$I$73,M1094=phu!$I$74,M1094=phu!$I$75,M1094=phu!$I$76,M1094=phu!$I$77,M1094=phu!$I$78),"Cam Phước Đông",""),IF(OR(M1094=phu!$I$79,M1094=phu!$I$80,M1094=phu!$I$81,M1094=phu!$I$82,M1094=phu!$I$83,M1094=phu!$I$84),"Cam Thịnh Đông",""),IF(OR(M1094=phu!$I$85,M1094=phu!$I$86,M1094=phu!$I$87,M1094=phu!$I$88),"Cam Thịnh Tây",""),IF(OR(M1094=phu!$I$89,M1094=phu!$I$90),"Cam Lập",""),IF(OR(M1094=phu!$I$91,M1094=phu!$I$92,M1094=phu!$I$93),"Cam Bình",""),IF(OR(M1094=phu!$I$94,M1094=phu!$I$95,M1094=phu!$I$96,M1094=phu!$I$97,M1094=phu!$I$98,M1094=phu!$I$99,M1094=phu!$I$100),"Huyện khác",""),IF(OR(M1094=phu!$I$101,M1094=phu!$I$102),"Tỉnh khác",""))</f>
        <v/>
      </c>
      <c r="O1094" s="814" t="str">
        <f t="shared" si="97"/>
        <v/>
      </c>
      <c r="P1094" s="254"/>
      <c r="Q1094" s="254"/>
      <c r="R1094" s="254"/>
      <c r="S1094" s="254"/>
      <c r="T1094" s="254"/>
      <c r="U1094" s="254"/>
      <c r="V1094" s="254"/>
      <c r="W1094" s="254"/>
      <c r="Y1094" s="246" t="str">
        <f t="shared" si="98"/>
        <v/>
      </c>
      <c r="Z1094" s="247" t="str">
        <f t="shared" ref="Z1094:Z1157" si="102">IF(H1094="","",$Z$1-H1094)</f>
        <v/>
      </c>
      <c r="AA1094" s="246" t="str">
        <f t="shared" si="99"/>
        <v/>
      </c>
    </row>
    <row r="1095" spans="1:27" x14ac:dyDescent="0.25">
      <c r="A1095" s="248" t="str">
        <f t="shared" si="100"/>
        <v/>
      </c>
      <c r="B1095" s="249" t="str">
        <f t="shared" si="101"/>
        <v/>
      </c>
      <c r="C1095" s="250"/>
      <c r="D1095" s="251"/>
      <c r="E1095" s="241"/>
      <c r="F1095" s="252"/>
      <c r="G1095" s="252"/>
      <c r="H1095" s="253"/>
      <c r="I1095" s="250"/>
      <c r="J1095" s="250"/>
      <c r="K1095" s="270"/>
      <c r="L1095" s="250"/>
      <c r="M1095" s="250"/>
      <c r="N1095" s="553" t="str">
        <f>CONCATENATE(IF(OR(M1095=phu!$I$1,M1095=phu!$I$2,M1095=phu!$I$3),"Cam Thành Nam",""),IF(OR(M1095=phu!$I$4,M1095=phu!$I$5,M1095=phu!$I$6,M1095=phu!$I$7,M1095=phu!$I$8,M1095=phu!$I$9,M1095=phu!$I$10,M1095=phu!$I$11,M1095=phu!$I$12,M1095=phu!$I$13,M1095=phu!$I$14),"Cam Nghĩa",""),IF(OR(M1095=phu!$I$15,M1095=phu!$I$16,M1095=phu!$I$17,M1095=phu!$I$18,M1095=phu!$I$19,M1095=phu!$I$20,M1095=phu!$I$21),"Cam Phúc Bắc",""),IF(OR(M1095=phu!$I$22,M1095=phu!$I$23,M1095=phu!$I$24,M1095=phu!$I$25),"Cam Phúc Nam",""),IF(OR(M1095=phu!$I$26,M1095=phu!$I$27,M1095=phu!$I$28,M1095=phu!$I$29,M1095=phu!$I$30,M1095=phu!$I$31),"Cam Phú",""),IF(OR(M1095=phu!$I$32,M1095=phu!$I$33,M1095=phu!$I$34,M1095=phu!$I$35,M1095=phu!$I$36,M1095=phu!$I$37),"Cam Lộc",""),IF(OR(M1095=phu!$I$38,M1095=phu!$I$39,M1095=phu!$I$40,M1095=phu!$I$41,M1095=phu!$I$42,M1095=phu!$I$43,M1095=phu!$I$44),"Cam Thuận",""),IF(OR(M1095=phu!$I$45,M1095=phu!$I$46,M1095=phu!$I$47,M1095=phu!$I$48,M1095=phu!$I$49,M1095=phu!$I$50,M1095=phu!$I$51,M1095=phu!$I$52,M1095=phu!$I$53),"Cam Linh",""),IF(OR(M1095=phu!$I$54,M1095=phu!$I$55,M1095=phu!$I$56,M1095=phu!$I$57,M1095=phu!$I$58,M1095=phu!$I$59,M1095=phu!$I$60,M1095=phu!$I$61,M1095=phu!$I$62),"Cam Lợi",""),IF(OR(M1095=phu!$I$63,M1095=phu!$I$64,M1095=phu!$I$65,M1095=phu!$I$66,M1095=phu!$I$67,M1095=phu!$I$68,M1095=phu!$I$69,M1095=phu!$I$70,M1095=phu!$I$71),"Ba Ngòi",""),IF(OR(M1095=phu!$I$72,M1095=phu!$I$73,M1095=phu!$I$74,M1095=phu!$I$75,M1095=phu!$I$76,M1095=phu!$I$77,M1095=phu!$I$78),"Cam Phước Đông",""),IF(OR(M1095=phu!$I$79,M1095=phu!$I$80,M1095=phu!$I$81,M1095=phu!$I$82,M1095=phu!$I$83,M1095=phu!$I$84),"Cam Thịnh Đông",""),IF(OR(M1095=phu!$I$85,M1095=phu!$I$86,M1095=phu!$I$87,M1095=phu!$I$88),"Cam Thịnh Tây",""),IF(OR(M1095=phu!$I$89,M1095=phu!$I$90),"Cam Lập",""),IF(OR(M1095=phu!$I$91,M1095=phu!$I$92,M1095=phu!$I$93),"Cam Bình",""),IF(OR(M1095=phu!$I$94,M1095=phu!$I$95,M1095=phu!$I$96,M1095=phu!$I$97,M1095=phu!$I$98,M1095=phu!$I$99,M1095=phu!$I$100),"Huyện khác",""),IF(OR(M1095=phu!$I$101,M1095=phu!$I$102),"Tỉnh khác",""))</f>
        <v/>
      </c>
      <c r="O1095" s="814" t="str">
        <f t="shared" ref="O1095:O1158" si="103">CONCATENATE(IF(OR(N1095="Cam Thành Nam",N1095="Cam Nghĩa",N1095="Cam Phúc Bắc"),"Bắc Cam Ranh",""),IF(OR(N1095="Cam Phúc Nam",N1095="Cam Phú",N1095="Cam Lộc"),"Cam Ranh",""),IF(OR(N1095="Cam Thuận",N1095="Cam Linh",N1095="Cam Lợi"),"Cam Linh",""),IF(OR(N1095="Ba Ngòi",N1095="Cam Phước Đông"),"Ba Ngòi",""),IF(OR(N1095="Cam Thịnh Đông",N1095="Cam Thịnh Tây",N1095="Cam Lập",N1095="Cam Bình"),"Nam Cam Ranh",""),IF(N1095="Huyện khác","Huyện khác",""),IF(N1095="Tỉnh khác","Tỉnh khác",""))</f>
        <v/>
      </c>
      <c r="P1095" s="254"/>
      <c r="Q1095" s="254"/>
      <c r="R1095" s="254"/>
      <c r="S1095" s="254"/>
      <c r="T1095" s="254"/>
      <c r="U1095" s="254"/>
      <c r="V1095" s="254"/>
      <c r="W1095" s="254"/>
      <c r="Y1095" s="246" t="str">
        <f t="shared" ref="Y1095:Y1158" si="104">IF(OR(AND(B1095="",C1095="",D1095="",E1095="",F1095="",G1095="",H1095="",I1095="",J1095="",L1095="",M1095="",N1095="",P1095="",Q1095="",R1095="",S1095=""),AND(B1095&lt;&gt;"",C1095&lt;&gt;"",D1095&lt;&gt;"",E1095&lt;&gt;"",F1095&lt;&gt;"",G1095&lt;&gt;"",H1095&lt;&gt;"",J1095&lt;&gt;"",M1095&lt;&gt;"",N1095&lt;&gt;"",P1095&lt;&gt;"",OR(AND(Q1095&lt;&gt;"",R1095=""),AND(Q1095="",R1095&lt;&gt;""),AND(Q1095&lt;&gt;"",R1095&lt;&gt;"")),OR(AND(K1095="X",T1095&lt;&gt;""),AND(K1095="",T1095="")))),"","er")</f>
        <v/>
      </c>
      <c r="Z1095" s="247" t="str">
        <f t="shared" si="102"/>
        <v/>
      </c>
      <c r="AA1095" s="246" t="str">
        <f t="shared" ref="AA1095:AA1158" si="105">IF(OR(AND(Z1095=5,B1095&gt;0),AND(Z1095=6,B1095&gt;1),AND(Z1095=7,B1095&gt;2),AND(Z1095=8,B1095&gt;3),AND(Z1095=9,B1095&gt;4),AND(Z1095=10,B1095&gt;5),AND(Z1095=5,B1095=0,L1095="X"),AND(Z1095=6,B1095=1,L1095="X"),AND(Z1095=7,B1095=2,L1095="X"),AND(Z1095=8,B1095=3,L1095="X"),AND(Z1095=9,B1095=4,L1095="X"),AND(Z1095=10,B1095=5,L1095="X")),"er","")</f>
        <v/>
      </c>
    </row>
    <row r="1096" spans="1:27" x14ac:dyDescent="0.25">
      <c r="A1096" s="248" t="str">
        <f t="shared" ref="A1096:A1159" si="106">IF(OR(A1095="",B1096="",C1096="",D1096="",E1096=""),"",A1095+1)</f>
        <v/>
      </c>
      <c r="B1096" s="249" t="str">
        <f t="shared" ref="B1096:B1159" si="107">IF(C1096="","",VALUE(LEFT(C1096,1)))</f>
        <v/>
      </c>
      <c r="C1096" s="250"/>
      <c r="D1096" s="251"/>
      <c r="E1096" s="241"/>
      <c r="F1096" s="252"/>
      <c r="G1096" s="252"/>
      <c r="H1096" s="253"/>
      <c r="I1096" s="250"/>
      <c r="J1096" s="250"/>
      <c r="K1096" s="270"/>
      <c r="L1096" s="250"/>
      <c r="M1096" s="250"/>
      <c r="N1096" s="553" t="str">
        <f>CONCATENATE(IF(OR(M1096=phu!$I$1,M1096=phu!$I$2,M1096=phu!$I$3),"Cam Thành Nam",""),IF(OR(M1096=phu!$I$4,M1096=phu!$I$5,M1096=phu!$I$6,M1096=phu!$I$7,M1096=phu!$I$8,M1096=phu!$I$9,M1096=phu!$I$10,M1096=phu!$I$11,M1096=phu!$I$12,M1096=phu!$I$13,M1096=phu!$I$14),"Cam Nghĩa",""),IF(OR(M1096=phu!$I$15,M1096=phu!$I$16,M1096=phu!$I$17,M1096=phu!$I$18,M1096=phu!$I$19,M1096=phu!$I$20,M1096=phu!$I$21),"Cam Phúc Bắc",""),IF(OR(M1096=phu!$I$22,M1096=phu!$I$23,M1096=phu!$I$24,M1096=phu!$I$25),"Cam Phúc Nam",""),IF(OR(M1096=phu!$I$26,M1096=phu!$I$27,M1096=phu!$I$28,M1096=phu!$I$29,M1096=phu!$I$30,M1096=phu!$I$31),"Cam Phú",""),IF(OR(M1096=phu!$I$32,M1096=phu!$I$33,M1096=phu!$I$34,M1096=phu!$I$35,M1096=phu!$I$36,M1096=phu!$I$37),"Cam Lộc",""),IF(OR(M1096=phu!$I$38,M1096=phu!$I$39,M1096=phu!$I$40,M1096=phu!$I$41,M1096=phu!$I$42,M1096=phu!$I$43,M1096=phu!$I$44),"Cam Thuận",""),IF(OR(M1096=phu!$I$45,M1096=phu!$I$46,M1096=phu!$I$47,M1096=phu!$I$48,M1096=phu!$I$49,M1096=phu!$I$50,M1096=phu!$I$51,M1096=phu!$I$52,M1096=phu!$I$53),"Cam Linh",""),IF(OR(M1096=phu!$I$54,M1096=phu!$I$55,M1096=phu!$I$56,M1096=phu!$I$57,M1096=phu!$I$58,M1096=phu!$I$59,M1096=phu!$I$60,M1096=phu!$I$61,M1096=phu!$I$62),"Cam Lợi",""),IF(OR(M1096=phu!$I$63,M1096=phu!$I$64,M1096=phu!$I$65,M1096=phu!$I$66,M1096=phu!$I$67,M1096=phu!$I$68,M1096=phu!$I$69,M1096=phu!$I$70,M1096=phu!$I$71),"Ba Ngòi",""),IF(OR(M1096=phu!$I$72,M1096=phu!$I$73,M1096=phu!$I$74,M1096=phu!$I$75,M1096=phu!$I$76,M1096=phu!$I$77,M1096=phu!$I$78),"Cam Phước Đông",""),IF(OR(M1096=phu!$I$79,M1096=phu!$I$80,M1096=phu!$I$81,M1096=phu!$I$82,M1096=phu!$I$83,M1096=phu!$I$84),"Cam Thịnh Đông",""),IF(OR(M1096=phu!$I$85,M1096=phu!$I$86,M1096=phu!$I$87,M1096=phu!$I$88),"Cam Thịnh Tây",""),IF(OR(M1096=phu!$I$89,M1096=phu!$I$90),"Cam Lập",""),IF(OR(M1096=phu!$I$91,M1096=phu!$I$92,M1096=phu!$I$93),"Cam Bình",""),IF(OR(M1096=phu!$I$94,M1096=phu!$I$95,M1096=phu!$I$96,M1096=phu!$I$97,M1096=phu!$I$98,M1096=phu!$I$99,M1096=phu!$I$100),"Huyện khác",""),IF(OR(M1096=phu!$I$101,M1096=phu!$I$102),"Tỉnh khác",""))</f>
        <v/>
      </c>
      <c r="O1096" s="814" t="str">
        <f t="shared" si="103"/>
        <v/>
      </c>
      <c r="P1096" s="254"/>
      <c r="Q1096" s="254"/>
      <c r="R1096" s="254"/>
      <c r="S1096" s="254"/>
      <c r="T1096" s="254"/>
      <c r="U1096" s="254"/>
      <c r="V1096" s="254"/>
      <c r="W1096" s="254"/>
      <c r="Y1096" s="246" t="str">
        <f t="shared" si="104"/>
        <v/>
      </c>
      <c r="Z1096" s="247" t="str">
        <f t="shared" si="102"/>
        <v/>
      </c>
      <c r="AA1096" s="246" t="str">
        <f t="shared" si="105"/>
        <v/>
      </c>
    </row>
    <row r="1097" spans="1:27" x14ac:dyDescent="0.25">
      <c r="A1097" s="248" t="str">
        <f t="shared" si="106"/>
        <v/>
      </c>
      <c r="B1097" s="249" t="str">
        <f t="shared" si="107"/>
        <v/>
      </c>
      <c r="C1097" s="250"/>
      <c r="D1097" s="251"/>
      <c r="E1097" s="241"/>
      <c r="F1097" s="252"/>
      <c r="G1097" s="252"/>
      <c r="H1097" s="253"/>
      <c r="I1097" s="250"/>
      <c r="J1097" s="250"/>
      <c r="K1097" s="270"/>
      <c r="L1097" s="250"/>
      <c r="M1097" s="250"/>
      <c r="N1097" s="553" t="str">
        <f>CONCATENATE(IF(OR(M1097=phu!$I$1,M1097=phu!$I$2,M1097=phu!$I$3),"Cam Thành Nam",""),IF(OR(M1097=phu!$I$4,M1097=phu!$I$5,M1097=phu!$I$6,M1097=phu!$I$7,M1097=phu!$I$8,M1097=phu!$I$9,M1097=phu!$I$10,M1097=phu!$I$11,M1097=phu!$I$12,M1097=phu!$I$13,M1097=phu!$I$14),"Cam Nghĩa",""),IF(OR(M1097=phu!$I$15,M1097=phu!$I$16,M1097=phu!$I$17,M1097=phu!$I$18,M1097=phu!$I$19,M1097=phu!$I$20,M1097=phu!$I$21),"Cam Phúc Bắc",""),IF(OR(M1097=phu!$I$22,M1097=phu!$I$23,M1097=phu!$I$24,M1097=phu!$I$25),"Cam Phúc Nam",""),IF(OR(M1097=phu!$I$26,M1097=phu!$I$27,M1097=phu!$I$28,M1097=phu!$I$29,M1097=phu!$I$30,M1097=phu!$I$31),"Cam Phú",""),IF(OR(M1097=phu!$I$32,M1097=phu!$I$33,M1097=phu!$I$34,M1097=phu!$I$35,M1097=phu!$I$36,M1097=phu!$I$37),"Cam Lộc",""),IF(OR(M1097=phu!$I$38,M1097=phu!$I$39,M1097=phu!$I$40,M1097=phu!$I$41,M1097=phu!$I$42,M1097=phu!$I$43,M1097=phu!$I$44),"Cam Thuận",""),IF(OR(M1097=phu!$I$45,M1097=phu!$I$46,M1097=phu!$I$47,M1097=phu!$I$48,M1097=phu!$I$49,M1097=phu!$I$50,M1097=phu!$I$51,M1097=phu!$I$52,M1097=phu!$I$53),"Cam Linh",""),IF(OR(M1097=phu!$I$54,M1097=phu!$I$55,M1097=phu!$I$56,M1097=phu!$I$57,M1097=phu!$I$58,M1097=phu!$I$59,M1097=phu!$I$60,M1097=phu!$I$61,M1097=phu!$I$62),"Cam Lợi",""),IF(OR(M1097=phu!$I$63,M1097=phu!$I$64,M1097=phu!$I$65,M1097=phu!$I$66,M1097=phu!$I$67,M1097=phu!$I$68,M1097=phu!$I$69,M1097=phu!$I$70,M1097=phu!$I$71),"Ba Ngòi",""),IF(OR(M1097=phu!$I$72,M1097=phu!$I$73,M1097=phu!$I$74,M1097=phu!$I$75,M1097=phu!$I$76,M1097=phu!$I$77,M1097=phu!$I$78),"Cam Phước Đông",""),IF(OR(M1097=phu!$I$79,M1097=phu!$I$80,M1097=phu!$I$81,M1097=phu!$I$82,M1097=phu!$I$83,M1097=phu!$I$84),"Cam Thịnh Đông",""),IF(OR(M1097=phu!$I$85,M1097=phu!$I$86,M1097=phu!$I$87,M1097=phu!$I$88),"Cam Thịnh Tây",""),IF(OR(M1097=phu!$I$89,M1097=phu!$I$90),"Cam Lập",""),IF(OR(M1097=phu!$I$91,M1097=phu!$I$92,M1097=phu!$I$93),"Cam Bình",""),IF(OR(M1097=phu!$I$94,M1097=phu!$I$95,M1097=phu!$I$96,M1097=phu!$I$97,M1097=phu!$I$98,M1097=phu!$I$99,M1097=phu!$I$100),"Huyện khác",""),IF(OR(M1097=phu!$I$101,M1097=phu!$I$102),"Tỉnh khác",""))</f>
        <v/>
      </c>
      <c r="O1097" s="814" t="str">
        <f t="shared" si="103"/>
        <v/>
      </c>
      <c r="P1097" s="254"/>
      <c r="Q1097" s="254"/>
      <c r="R1097" s="254"/>
      <c r="S1097" s="254"/>
      <c r="T1097" s="254"/>
      <c r="U1097" s="254"/>
      <c r="V1097" s="254"/>
      <c r="W1097" s="254"/>
      <c r="Y1097" s="246" t="str">
        <f t="shared" si="104"/>
        <v/>
      </c>
      <c r="Z1097" s="247" t="str">
        <f t="shared" si="102"/>
        <v/>
      </c>
      <c r="AA1097" s="246" t="str">
        <f t="shared" si="105"/>
        <v/>
      </c>
    </row>
    <row r="1098" spans="1:27" x14ac:dyDescent="0.25">
      <c r="A1098" s="248" t="str">
        <f t="shared" si="106"/>
        <v/>
      </c>
      <c r="B1098" s="249" t="str">
        <f t="shared" si="107"/>
        <v/>
      </c>
      <c r="C1098" s="250"/>
      <c r="D1098" s="251"/>
      <c r="E1098" s="241"/>
      <c r="F1098" s="252"/>
      <c r="G1098" s="252"/>
      <c r="H1098" s="253"/>
      <c r="I1098" s="250"/>
      <c r="J1098" s="250"/>
      <c r="K1098" s="270"/>
      <c r="L1098" s="250"/>
      <c r="M1098" s="250"/>
      <c r="N1098" s="553" t="str">
        <f>CONCATENATE(IF(OR(M1098=phu!$I$1,M1098=phu!$I$2,M1098=phu!$I$3),"Cam Thành Nam",""),IF(OR(M1098=phu!$I$4,M1098=phu!$I$5,M1098=phu!$I$6,M1098=phu!$I$7,M1098=phu!$I$8,M1098=phu!$I$9,M1098=phu!$I$10,M1098=phu!$I$11,M1098=phu!$I$12,M1098=phu!$I$13,M1098=phu!$I$14),"Cam Nghĩa",""),IF(OR(M1098=phu!$I$15,M1098=phu!$I$16,M1098=phu!$I$17,M1098=phu!$I$18,M1098=phu!$I$19,M1098=phu!$I$20,M1098=phu!$I$21),"Cam Phúc Bắc",""),IF(OR(M1098=phu!$I$22,M1098=phu!$I$23,M1098=phu!$I$24,M1098=phu!$I$25),"Cam Phúc Nam",""),IF(OR(M1098=phu!$I$26,M1098=phu!$I$27,M1098=phu!$I$28,M1098=phu!$I$29,M1098=phu!$I$30,M1098=phu!$I$31),"Cam Phú",""),IF(OR(M1098=phu!$I$32,M1098=phu!$I$33,M1098=phu!$I$34,M1098=phu!$I$35,M1098=phu!$I$36,M1098=phu!$I$37),"Cam Lộc",""),IF(OR(M1098=phu!$I$38,M1098=phu!$I$39,M1098=phu!$I$40,M1098=phu!$I$41,M1098=phu!$I$42,M1098=phu!$I$43,M1098=phu!$I$44),"Cam Thuận",""),IF(OR(M1098=phu!$I$45,M1098=phu!$I$46,M1098=phu!$I$47,M1098=phu!$I$48,M1098=phu!$I$49,M1098=phu!$I$50,M1098=phu!$I$51,M1098=phu!$I$52,M1098=phu!$I$53),"Cam Linh",""),IF(OR(M1098=phu!$I$54,M1098=phu!$I$55,M1098=phu!$I$56,M1098=phu!$I$57,M1098=phu!$I$58,M1098=phu!$I$59,M1098=phu!$I$60,M1098=phu!$I$61,M1098=phu!$I$62),"Cam Lợi",""),IF(OR(M1098=phu!$I$63,M1098=phu!$I$64,M1098=phu!$I$65,M1098=phu!$I$66,M1098=phu!$I$67,M1098=phu!$I$68,M1098=phu!$I$69,M1098=phu!$I$70,M1098=phu!$I$71),"Ba Ngòi",""),IF(OR(M1098=phu!$I$72,M1098=phu!$I$73,M1098=phu!$I$74,M1098=phu!$I$75,M1098=phu!$I$76,M1098=phu!$I$77,M1098=phu!$I$78),"Cam Phước Đông",""),IF(OR(M1098=phu!$I$79,M1098=phu!$I$80,M1098=phu!$I$81,M1098=phu!$I$82,M1098=phu!$I$83,M1098=phu!$I$84),"Cam Thịnh Đông",""),IF(OR(M1098=phu!$I$85,M1098=phu!$I$86,M1098=phu!$I$87,M1098=phu!$I$88),"Cam Thịnh Tây",""),IF(OR(M1098=phu!$I$89,M1098=phu!$I$90),"Cam Lập",""),IF(OR(M1098=phu!$I$91,M1098=phu!$I$92,M1098=phu!$I$93),"Cam Bình",""),IF(OR(M1098=phu!$I$94,M1098=phu!$I$95,M1098=phu!$I$96,M1098=phu!$I$97,M1098=phu!$I$98,M1098=phu!$I$99,M1098=phu!$I$100),"Huyện khác",""),IF(OR(M1098=phu!$I$101,M1098=phu!$I$102),"Tỉnh khác",""))</f>
        <v/>
      </c>
      <c r="O1098" s="814" t="str">
        <f t="shared" si="103"/>
        <v/>
      </c>
      <c r="P1098" s="254"/>
      <c r="Q1098" s="254"/>
      <c r="R1098" s="254"/>
      <c r="S1098" s="254"/>
      <c r="T1098" s="254"/>
      <c r="U1098" s="254"/>
      <c r="V1098" s="254"/>
      <c r="W1098" s="254"/>
      <c r="Y1098" s="246" t="str">
        <f t="shared" si="104"/>
        <v/>
      </c>
      <c r="Z1098" s="247" t="str">
        <f t="shared" si="102"/>
        <v/>
      </c>
      <c r="AA1098" s="246" t="str">
        <f t="shared" si="105"/>
        <v/>
      </c>
    </row>
    <row r="1099" spans="1:27" x14ac:dyDescent="0.25">
      <c r="A1099" s="248" t="str">
        <f t="shared" si="106"/>
        <v/>
      </c>
      <c r="B1099" s="249" t="str">
        <f t="shared" si="107"/>
        <v/>
      </c>
      <c r="C1099" s="250"/>
      <c r="D1099" s="251"/>
      <c r="E1099" s="241"/>
      <c r="F1099" s="252"/>
      <c r="G1099" s="252"/>
      <c r="H1099" s="253"/>
      <c r="I1099" s="250"/>
      <c r="J1099" s="250"/>
      <c r="K1099" s="270"/>
      <c r="L1099" s="250"/>
      <c r="M1099" s="250"/>
      <c r="N1099" s="553" t="str">
        <f>CONCATENATE(IF(OR(M1099=phu!$I$1,M1099=phu!$I$2,M1099=phu!$I$3),"Cam Thành Nam",""),IF(OR(M1099=phu!$I$4,M1099=phu!$I$5,M1099=phu!$I$6,M1099=phu!$I$7,M1099=phu!$I$8,M1099=phu!$I$9,M1099=phu!$I$10,M1099=phu!$I$11,M1099=phu!$I$12,M1099=phu!$I$13,M1099=phu!$I$14),"Cam Nghĩa",""),IF(OR(M1099=phu!$I$15,M1099=phu!$I$16,M1099=phu!$I$17,M1099=phu!$I$18,M1099=phu!$I$19,M1099=phu!$I$20,M1099=phu!$I$21),"Cam Phúc Bắc",""),IF(OR(M1099=phu!$I$22,M1099=phu!$I$23,M1099=phu!$I$24,M1099=phu!$I$25),"Cam Phúc Nam",""),IF(OR(M1099=phu!$I$26,M1099=phu!$I$27,M1099=phu!$I$28,M1099=phu!$I$29,M1099=phu!$I$30,M1099=phu!$I$31),"Cam Phú",""),IF(OR(M1099=phu!$I$32,M1099=phu!$I$33,M1099=phu!$I$34,M1099=phu!$I$35,M1099=phu!$I$36,M1099=phu!$I$37),"Cam Lộc",""),IF(OR(M1099=phu!$I$38,M1099=phu!$I$39,M1099=phu!$I$40,M1099=phu!$I$41,M1099=phu!$I$42,M1099=phu!$I$43,M1099=phu!$I$44),"Cam Thuận",""),IF(OR(M1099=phu!$I$45,M1099=phu!$I$46,M1099=phu!$I$47,M1099=phu!$I$48,M1099=phu!$I$49,M1099=phu!$I$50,M1099=phu!$I$51,M1099=phu!$I$52,M1099=phu!$I$53),"Cam Linh",""),IF(OR(M1099=phu!$I$54,M1099=phu!$I$55,M1099=phu!$I$56,M1099=phu!$I$57,M1099=phu!$I$58,M1099=phu!$I$59,M1099=phu!$I$60,M1099=phu!$I$61,M1099=phu!$I$62),"Cam Lợi",""),IF(OR(M1099=phu!$I$63,M1099=phu!$I$64,M1099=phu!$I$65,M1099=phu!$I$66,M1099=phu!$I$67,M1099=phu!$I$68,M1099=phu!$I$69,M1099=phu!$I$70,M1099=phu!$I$71),"Ba Ngòi",""),IF(OR(M1099=phu!$I$72,M1099=phu!$I$73,M1099=phu!$I$74,M1099=phu!$I$75,M1099=phu!$I$76,M1099=phu!$I$77,M1099=phu!$I$78),"Cam Phước Đông",""),IF(OR(M1099=phu!$I$79,M1099=phu!$I$80,M1099=phu!$I$81,M1099=phu!$I$82,M1099=phu!$I$83,M1099=phu!$I$84),"Cam Thịnh Đông",""),IF(OR(M1099=phu!$I$85,M1099=phu!$I$86,M1099=phu!$I$87,M1099=phu!$I$88),"Cam Thịnh Tây",""),IF(OR(M1099=phu!$I$89,M1099=phu!$I$90),"Cam Lập",""),IF(OR(M1099=phu!$I$91,M1099=phu!$I$92,M1099=phu!$I$93),"Cam Bình",""),IF(OR(M1099=phu!$I$94,M1099=phu!$I$95,M1099=phu!$I$96,M1099=phu!$I$97,M1099=phu!$I$98,M1099=phu!$I$99,M1099=phu!$I$100),"Huyện khác",""),IF(OR(M1099=phu!$I$101,M1099=phu!$I$102),"Tỉnh khác",""))</f>
        <v/>
      </c>
      <c r="O1099" s="814" t="str">
        <f t="shared" si="103"/>
        <v/>
      </c>
      <c r="P1099" s="254"/>
      <c r="Q1099" s="254"/>
      <c r="R1099" s="254"/>
      <c r="S1099" s="254"/>
      <c r="T1099" s="254"/>
      <c r="U1099" s="254"/>
      <c r="V1099" s="254"/>
      <c r="W1099" s="254"/>
      <c r="Y1099" s="246" t="str">
        <f t="shared" si="104"/>
        <v/>
      </c>
      <c r="Z1099" s="247" t="str">
        <f t="shared" si="102"/>
        <v/>
      </c>
      <c r="AA1099" s="246" t="str">
        <f t="shared" si="105"/>
        <v/>
      </c>
    </row>
    <row r="1100" spans="1:27" x14ac:dyDescent="0.25">
      <c r="A1100" s="248" t="str">
        <f t="shared" si="106"/>
        <v/>
      </c>
      <c r="B1100" s="249" t="str">
        <f t="shared" si="107"/>
        <v/>
      </c>
      <c r="C1100" s="250"/>
      <c r="D1100" s="251"/>
      <c r="E1100" s="241"/>
      <c r="F1100" s="252"/>
      <c r="G1100" s="252"/>
      <c r="H1100" s="253"/>
      <c r="I1100" s="250"/>
      <c r="J1100" s="250"/>
      <c r="K1100" s="270"/>
      <c r="L1100" s="250"/>
      <c r="M1100" s="250"/>
      <c r="N1100" s="553" t="str">
        <f>CONCATENATE(IF(OR(M1100=phu!$I$1,M1100=phu!$I$2,M1100=phu!$I$3),"Cam Thành Nam",""),IF(OR(M1100=phu!$I$4,M1100=phu!$I$5,M1100=phu!$I$6,M1100=phu!$I$7,M1100=phu!$I$8,M1100=phu!$I$9,M1100=phu!$I$10,M1100=phu!$I$11,M1100=phu!$I$12,M1100=phu!$I$13,M1100=phu!$I$14),"Cam Nghĩa",""),IF(OR(M1100=phu!$I$15,M1100=phu!$I$16,M1100=phu!$I$17,M1100=phu!$I$18,M1100=phu!$I$19,M1100=phu!$I$20,M1100=phu!$I$21),"Cam Phúc Bắc",""),IF(OR(M1100=phu!$I$22,M1100=phu!$I$23,M1100=phu!$I$24,M1100=phu!$I$25),"Cam Phúc Nam",""),IF(OR(M1100=phu!$I$26,M1100=phu!$I$27,M1100=phu!$I$28,M1100=phu!$I$29,M1100=phu!$I$30,M1100=phu!$I$31),"Cam Phú",""),IF(OR(M1100=phu!$I$32,M1100=phu!$I$33,M1100=phu!$I$34,M1100=phu!$I$35,M1100=phu!$I$36,M1100=phu!$I$37),"Cam Lộc",""),IF(OR(M1100=phu!$I$38,M1100=phu!$I$39,M1100=phu!$I$40,M1100=phu!$I$41,M1100=phu!$I$42,M1100=phu!$I$43,M1100=phu!$I$44),"Cam Thuận",""),IF(OR(M1100=phu!$I$45,M1100=phu!$I$46,M1100=phu!$I$47,M1100=phu!$I$48,M1100=phu!$I$49,M1100=phu!$I$50,M1100=phu!$I$51,M1100=phu!$I$52,M1100=phu!$I$53),"Cam Linh",""),IF(OR(M1100=phu!$I$54,M1100=phu!$I$55,M1100=phu!$I$56,M1100=phu!$I$57,M1100=phu!$I$58,M1100=phu!$I$59,M1100=phu!$I$60,M1100=phu!$I$61,M1100=phu!$I$62),"Cam Lợi",""),IF(OR(M1100=phu!$I$63,M1100=phu!$I$64,M1100=phu!$I$65,M1100=phu!$I$66,M1100=phu!$I$67,M1100=phu!$I$68,M1100=phu!$I$69,M1100=phu!$I$70,M1100=phu!$I$71),"Ba Ngòi",""),IF(OR(M1100=phu!$I$72,M1100=phu!$I$73,M1100=phu!$I$74,M1100=phu!$I$75,M1100=phu!$I$76,M1100=phu!$I$77,M1100=phu!$I$78),"Cam Phước Đông",""),IF(OR(M1100=phu!$I$79,M1100=phu!$I$80,M1100=phu!$I$81,M1100=phu!$I$82,M1100=phu!$I$83,M1100=phu!$I$84),"Cam Thịnh Đông",""),IF(OR(M1100=phu!$I$85,M1100=phu!$I$86,M1100=phu!$I$87,M1100=phu!$I$88),"Cam Thịnh Tây",""),IF(OR(M1100=phu!$I$89,M1100=phu!$I$90),"Cam Lập",""),IF(OR(M1100=phu!$I$91,M1100=phu!$I$92,M1100=phu!$I$93),"Cam Bình",""),IF(OR(M1100=phu!$I$94,M1100=phu!$I$95,M1100=phu!$I$96,M1100=phu!$I$97,M1100=phu!$I$98,M1100=phu!$I$99,M1100=phu!$I$100),"Huyện khác",""),IF(OR(M1100=phu!$I$101,M1100=phu!$I$102),"Tỉnh khác",""))</f>
        <v/>
      </c>
      <c r="O1100" s="814" t="str">
        <f t="shared" si="103"/>
        <v/>
      </c>
      <c r="P1100" s="254"/>
      <c r="Q1100" s="254"/>
      <c r="R1100" s="254"/>
      <c r="S1100" s="254"/>
      <c r="T1100" s="254"/>
      <c r="U1100" s="254"/>
      <c r="V1100" s="254"/>
      <c r="W1100" s="254"/>
      <c r="Y1100" s="246" t="str">
        <f t="shared" si="104"/>
        <v/>
      </c>
      <c r="Z1100" s="247" t="str">
        <f t="shared" si="102"/>
        <v/>
      </c>
      <c r="AA1100" s="246" t="str">
        <f t="shared" si="105"/>
        <v/>
      </c>
    </row>
    <row r="1101" spans="1:27" x14ac:dyDescent="0.25">
      <c r="A1101" s="248" t="str">
        <f t="shared" si="106"/>
        <v/>
      </c>
      <c r="B1101" s="249" t="str">
        <f t="shared" si="107"/>
        <v/>
      </c>
      <c r="C1101" s="250"/>
      <c r="D1101" s="251"/>
      <c r="E1101" s="241"/>
      <c r="F1101" s="252"/>
      <c r="G1101" s="252"/>
      <c r="H1101" s="253"/>
      <c r="I1101" s="250"/>
      <c r="J1101" s="250"/>
      <c r="K1101" s="270"/>
      <c r="L1101" s="250"/>
      <c r="M1101" s="250"/>
      <c r="N1101" s="553" t="str">
        <f>CONCATENATE(IF(OR(M1101=phu!$I$1,M1101=phu!$I$2,M1101=phu!$I$3),"Cam Thành Nam",""),IF(OR(M1101=phu!$I$4,M1101=phu!$I$5,M1101=phu!$I$6,M1101=phu!$I$7,M1101=phu!$I$8,M1101=phu!$I$9,M1101=phu!$I$10,M1101=phu!$I$11,M1101=phu!$I$12,M1101=phu!$I$13,M1101=phu!$I$14),"Cam Nghĩa",""),IF(OR(M1101=phu!$I$15,M1101=phu!$I$16,M1101=phu!$I$17,M1101=phu!$I$18,M1101=phu!$I$19,M1101=phu!$I$20,M1101=phu!$I$21),"Cam Phúc Bắc",""),IF(OR(M1101=phu!$I$22,M1101=phu!$I$23,M1101=phu!$I$24,M1101=phu!$I$25),"Cam Phúc Nam",""),IF(OR(M1101=phu!$I$26,M1101=phu!$I$27,M1101=phu!$I$28,M1101=phu!$I$29,M1101=phu!$I$30,M1101=phu!$I$31),"Cam Phú",""),IF(OR(M1101=phu!$I$32,M1101=phu!$I$33,M1101=phu!$I$34,M1101=phu!$I$35,M1101=phu!$I$36,M1101=phu!$I$37),"Cam Lộc",""),IF(OR(M1101=phu!$I$38,M1101=phu!$I$39,M1101=phu!$I$40,M1101=phu!$I$41,M1101=phu!$I$42,M1101=phu!$I$43,M1101=phu!$I$44),"Cam Thuận",""),IF(OR(M1101=phu!$I$45,M1101=phu!$I$46,M1101=phu!$I$47,M1101=phu!$I$48,M1101=phu!$I$49,M1101=phu!$I$50,M1101=phu!$I$51,M1101=phu!$I$52,M1101=phu!$I$53),"Cam Linh",""),IF(OR(M1101=phu!$I$54,M1101=phu!$I$55,M1101=phu!$I$56,M1101=phu!$I$57,M1101=phu!$I$58,M1101=phu!$I$59,M1101=phu!$I$60,M1101=phu!$I$61,M1101=phu!$I$62),"Cam Lợi",""),IF(OR(M1101=phu!$I$63,M1101=phu!$I$64,M1101=phu!$I$65,M1101=phu!$I$66,M1101=phu!$I$67,M1101=phu!$I$68,M1101=phu!$I$69,M1101=phu!$I$70,M1101=phu!$I$71),"Ba Ngòi",""),IF(OR(M1101=phu!$I$72,M1101=phu!$I$73,M1101=phu!$I$74,M1101=phu!$I$75,M1101=phu!$I$76,M1101=phu!$I$77,M1101=phu!$I$78),"Cam Phước Đông",""),IF(OR(M1101=phu!$I$79,M1101=phu!$I$80,M1101=phu!$I$81,M1101=phu!$I$82,M1101=phu!$I$83,M1101=phu!$I$84),"Cam Thịnh Đông",""),IF(OR(M1101=phu!$I$85,M1101=phu!$I$86,M1101=phu!$I$87,M1101=phu!$I$88),"Cam Thịnh Tây",""),IF(OR(M1101=phu!$I$89,M1101=phu!$I$90),"Cam Lập",""),IF(OR(M1101=phu!$I$91,M1101=phu!$I$92,M1101=phu!$I$93),"Cam Bình",""),IF(OR(M1101=phu!$I$94,M1101=phu!$I$95,M1101=phu!$I$96,M1101=phu!$I$97,M1101=phu!$I$98,M1101=phu!$I$99,M1101=phu!$I$100),"Huyện khác",""),IF(OR(M1101=phu!$I$101,M1101=phu!$I$102),"Tỉnh khác",""))</f>
        <v/>
      </c>
      <c r="O1101" s="814" t="str">
        <f t="shared" si="103"/>
        <v/>
      </c>
      <c r="P1101" s="254"/>
      <c r="Q1101" s="254"/>
      <c r="R1101" s="254"/>
      <c r="S1101" s="254"/>
      <c r="T1101" s="254"/>
      <c r="U1101" s="254"/>
      <c r="V1101" s="254"/>
      <c r="W1101" s="254"/>
      <c r="Y1101" s="246" t="str">
        <f t="shared" si="104"/>
        <v/>
      </c>
      <c r="Z1101" s="247" t="str">
        <f t="shared" si="102"/>
        <v/>
      </c>
      <c r="AA1101" s="246" t="str">
        <f t="shared" si="105"/>
        <v/>
      </c>
    </row>
    <row r="1102" spans="1:27" x14ac:dyDescent="0.25">
      <c r="A1102" s="248" t="str">
        <f t="shared" si="106"/>
        <v/>
      </c>
      <c r="B1102" s="249" t="str">
        <f t="shared" si="107"/>
        <v/>
      </c>
      <c r="C1102" s="250"/>
      <c r="D1102" s="251"/>
      <c r="E1102" s="241"/>
      <c r="F1102" s="252"/>
      <c r="G1102" s="252"/>
      <c r="H1102" s="253"/>
      <c r="I1102" s="250"/>
      <c r="J1102" s="250"/>
      <c r="K1102" s="270"/>
      <c r="L1102" s="250"/>
      <c r="M1102" s="250"/>
      <c r="N1102" s="553" t="str">
        <f>CONCATENATE(IF(OR(M1102=phu!$I$1,M1102=phu!$I$2,M1102=phu!$I$3),"Cam Thành Nam",""),IF(OR(M1102=phu!$I$4,M1102=phu!$I$5,M1102=phu!$I$6,M1102=phu!$I$7,M1102=phu!$I$8,M1102=phu!$I$9,M1102=phu!$I$10,M1102=phu!$I$11,M1102=phu!$I$12,M1102=phu!$I$13,M1102=phu!$I$14),"Cam Nghĩa",""),IF(OR(M1102=phu!$I$15,M1102=phu!$I$16,M1102=phu!$I$17,M1102=phu!$I$18,M1102=phu!$I$19,M1102=phu!$I$20,M1102=phu!$I$21),"Cam Phúc Bắc",""),IF(OR(M1102=phu!$I$22,M1102=phu!$I$23,M1102=phu!$I$24,M1102=phu!$I$25),"Cam Phúc Nam",""),IF(OR(M1102=phu!$I$26,M1102=phu!$I$27,M1102=phu!$I$28,M1102=phu!$I$29,M1102=phu!$I$30,M1102=phu!$I$31),"Cam Phú",""),IF(OR(M1102=phu!$I$32,M1102=phu!$I$33,M1102=phu!$I$34,M1102=phu!$I$35,M1102=phu!$I$36,M1102=phu!$I$37),"Cam Lộc",""),IF(OR(M1102=phu!$I$38,M1102=phu!$I$39,M1102=phu!$I$40,M1102=phu!$I$41,M1102=phu!$I$42,M1102=phu!$I$43,M1102=phu!$I$44),"Cam Thuận",""),IF(OR(M1102=phu!$I$45,M1102=phu!$I$46,M1102=phu!$I$47,M1102=phu!$I$48,M1102=phu!$I$49,M1102=phu!$I$50,M1102=phu!$I$51,M1102=phu!$I$52,M1102=phu!$I$53),"Cam Linh",""),IF(OR(M1102=phu!$I$54,M1102=phu!$I$55,M1102=phu!$I$56,M1102=phu!$I$57,M1102=phu!$I$58,M1102=phu!$I$59,M1102=phu!$I$60,M1102=phu!$I$61,M1102=phu!$I$62),"Cam Lợi",""),IF(OR(M1102=phu!$I$63,M1102=phu!$I$64,M1102=phu!$I$65,M1102=phu!$I$66,M1102=phu!$I$67,M1102=phu!$I$68,M1102=phu!$I$69,M1102=phu!$I$70,M1102=phu!$I$71),"Ba Ngòi",""),IF(OR(M1102=phu!$I$72,M1102=phu!$I$73,M1102=phu!$I$74,M1102=phu!$I$75,M1102=phu!$I$76,M1102=phu!$I$77,M1102=phu!$I$78),"Cam Phước Đông",""),IF(OR(M1102=phu!$I$79,M1102=phu!$I$80,M1102=phu!$I$81,M1102=phu!$I$82,M1102=phu!$I$83,M1102=phu!$I$84),"Cam Thịnh Đông",""),IF(OR(M1102=phu!$I$85,M1102=phu!$I$86,M1102=phu!$I$87,M1102=phu!$I$88),"Cam Thịnh Tây",""),IF(OR(M1102=phu!$I$89,M1102=phu!$I$90),"Cam Lập",""),IF(OR(M1102=phu!$I$91,M1102=phu!$I$92,M1102=phu!$I$93),"Cam Bình",""),IF(OR(M1102=phu!$I$94,M1102=phu!$I$95,M1102=phu!$I$96,M1102=phu!$I$97,M1102=phu!$I$98,M1102=phu!$I$99,M1102=phu!$I$100),"Huyện khác",""),IF(OR(M1102=phu!$I$101,M1102=phu!$I$102),"Tỉnh khác",""))</f>
        <v/>
      </c>
      <c r="O1102" s="814" t="str">
        <f t="shared" si="103"/>
        <v/>
      </c>
      <c r="P1102" s="254"/>
      <c r="Q1102" s="254"/>
      <c r="R1102" s="254"/>
      <c r="S1102" s="254"/>
      <c r="T1102" s="254"/>
      <c r="U1102" s="254"/>
      <c r="V1102" s="254"/>
      <c r="W1102" s="254"/>
      <c r="Y1102" s="246" t="str">
        <f t="shared" si="104"/>
        <v/>
      </c>
      <c r="Z1102" s="247" t="str">
        <f t="shared" si="102"/>
        <v/>
      </c>
      <c r="AA1102" s="246" t="str">
        <f t="shared" si="105"/>
        <v/>
      </c>
    </row>
    <row r="1103" spans="1:27" x14ac:dyDescent="0.25">
      <c r="A1103" s="248" t="str">
        <f t="shared" si="106"/>
        <v/>
      </c>
      <c r="B1103" s="249" t="str">
        <f t="shared" si="107"/>
        <v/>
      </c>
      <c r="C1103" s="250"/>
      <c r="D1103" s="251"/>
      <c r="E1103" s="241"/>
      <c r="F1103" s="252"/>
      <c r="G1103" s="252"/>
      <c r="H1103" s="253"/>
      <c r="I1103" s="250"/>
      <c r="J1103" s="250"/>
      <c r="K1103" s="270"/>
      <c r="L1103" s="250"/>
      <c r="M1103" s="250"/>
      <c r="N1103" s="553" t="str">
        <f>CONCATENATE(IF(OR(M1103=phu!$I$1,M1103=phu!$I$2,M1103=phu!$I$3),"Cam Thành Nam",""),IF(OR(M1103=phu!$I$4,M1103=phu!$I$5,M1103=phu!$I$6,M1103=phu!$I$7,M1103=phu!$I$8,M1103=phu!$I$9,M1103=phu!$I$10,M1103=phu!$I$11,M1103=phu!$I$12,M1103=phu!$I$13,M1103=phu!$I$14),"Cam Nghĩa",""),IF(OR(M1103=phu!$I$15,M1103=phu!$I$16,M1103=phu!$I$17,M1103=phu!$I$18,M1103=phu!$I$19,M1103=phu!$I$20,M1103=phu!$I$21),"Cam Phúc Bắc",""),IF(OR(M1103=phu!$I$22,M1103=phu!$I$23,M1103=phu!$I$24,M1103=phu!$I$25),"Cam Phúc Nam",""),IF(OR(M1103=phu!$I$26,M1103=phu!$I$27,M1103=phu!$I$28,M1103=phu!$I$29,M1103=phu!$I$30,M1103=phu!$I$31),"Cam Phú",""),IF(OR(M1103=phu!$I$32,M1103=phu!$I$33,M1103=phu!$I$34,M1103=phu!$I$35,M1103=phu!$I$36,M1103=phu!$I$37),"Cam Lộc",""),IF(OR(M1103=phu!$I$38,M1103=phu!$I$39,M1103=phu!$I$40,M1103=phu!$I$41,M1103=phu!$I$42,M1103=phu!$I$43,M1103=phu!$I$44),"Cam Thuận",""),IF(OR(M1103=phu!$I$45,M1103=phu!$I$46,M1103=phu!$I$47,M1103=phu!$I$48,M1103=phu!$I$49,M1103=phu!$I$50,M1103=phu!$I$51,M1103=phu!$I$52,M1103=phu!$I$53),"Cam Linh",""),IF(OR(M1103=phu!$I$54,M1103=phu!$I$55,M1103=phu!$I$56,M1103=phu!$I$57,M1103=phu!$I$58,M1103=phu!$I$59,M1103=phu!$I$60,M1103=phu!$I$61,M1103=phu!$I$62),"Cam Lợi",""),IF(OR(M1103=phu!$I$63,M1103=phu!$I$64,M1103=phu!$I$65,M1103=phu!$I$66,M1103=phu!$I$67,M1103=phu!$I$68,M1103=phu!$I$69,M1103=phu!$I$70,M1103=phu!$I$71),"Ba Ngòi",""),IF(OR(M1103=phu!$I$72,M1103=phu!$I$73,M1103=phu!$I$74,M1103=phu!$I$75,M1103=phu!$I$76,M1103=phu!$I$77,M1103=phu!$I$78),"Cam Phước Đông",""),IF(OR(M1103=phu!$I$79,M1103=phu!$I$80,M1103=phu!$I$81,M1103=phu!$I$82,M1103=phu!$I$83,M1103=phu!$I$84),"Cam Thịnh Đông",""),IF(OR(M1103=phu!$I$85,M1103=phu!$I$86,M1103=phu!$I$87,M1103=phu!$I$88),"Cam Thịnh Tây",""),IF(OR(M1103=phu!$I$89,M1103=phu!$I$90),"Cam Lập",""),IF(OR(M1103=phu!$I$91,M1103=phu!$I$92,M1103=phu!$I$93),"Cam Bình",""),IF(OR(M1103=phu!$I$94,M1103=phu!$I$95,M1103=phu!$I$96,M1103=phu!$I$97,M1103=phu!$I$98,M1103=phu!$I$99,M1103=phu!$I$100),"Huyện khác",""),IF(OR(M1103=phu!$I$101,M1103=phu!$I$102),"Tỉnh khác",""))</f>
        <v/>
      </c>
      <c r="O1103" s="814" t="str">
        <f t="shared" si="103"/>
        <v/>
      </c>
      <c r="P1103" s="254"/>
      <c r="Q1103" s="254"/>
      <c r="R1103" s="254"/>
      <c r="S1103" s="254"/>
      <c r="T1103" s="254"/>
      <c r="U1103" s="254"/>
      <c r="V1103" s="254"/>
      <c r="W1103" s="254"/>
      <c r="Y1103" s="246" t="str">
        <f t="shared" si="104"/>
        <v/>
      </c>
      <c r="Z1103" s="247" t="str">
        <f t="shared" si="102"/>
        <v/>
      </c>
      <c r="AA1103" s="246" t="str">
        <f t="shared" si="105"/>
        <v/>
      </c>
    </row>
    <row r="1104" spans="1:27" x14ac:dyDescent="0.25">
      <c r="A1104" s="248" t="str">
        <f t="shared" si="106"/>
        <v/>
      </c>
      <c r="B1104" s="249" t="str">
        <f t="shared" si="107"/>
        <v/>
      </c>
      <c r="C1104" s="250"/>
      <c r="D1104" s="251"/>
      <c r="E1104" s="241"/>
      <c r="F1104" s="252"/>
      <c r="G1104" s="252"/>
      <c r="H1104" s="253"/>
      <c r="I1104" s="250"/>
      <c r="J1104" s="250"/>
      <c r="K1104" s="270"/>
      <c r="L1104" s="250"/>
      <c r="M1104" s="250"/>
      <c r="N1104" s="553" t="str">
        <f>CONCATENATE(IF(OR(M1104=phu!$I$1,M1104=phu!$I$2,M1104=phu!$I$3),"Cam Thành Nam",""),IF(OR(M1104=phu!$I$4,M1104=phu!$I$5,M1104=phu!$I$6,M1104=phu!$I$7,M1104=phu!$I$8,M1104=phu!$I$9,M1104=phu!$I$10,M1104=phu!$I$11,M1104=phu!$I$12,M1104=phu!$I$13,M1104=phu!$I$14),"Cam Nghĩa",""),IF(OR(M1104=phu!$I$15,M1104=phu!$I$16,M1104=phu!$I$17,M1104=phu!$I$18,M1104=phu!$I$19,M1104=phu!$I$20,M1104=phu!$I$21),"Cam Phúc Bắc",""),IF(OR(M1104=phu!$I$22,M1104=phu!$I$23,M1104=phu!$I$24,M1104=phu!$I$25),"Cam Phúc Nam",""),IF(OR(M1104=phu!$I$26,M1104=phu!$I$27,M1104=phu!$I$28,M1104=phu!$I$29,M1104=phu!$I$30,M1104=phu!$I$31),"Cam Phú",""),IF(OR(M1104=phu!$I$32,M1104=phu!$I$33,M1104=phu!$I$34,M1104=phu!$I$35,M1104=phu!$I$36,M1104=phu!$I$37),"Cam Lộc",""),IF(OR(M1104=phu!$I$38,M1104=phu!$I$39,M1104=phu!$I$40,M1104=phu!$I$41,M1104=phu!$I$42,M1104=phu!$I$43,M1104=phu!$I$44),"Cam Thuận",""),IF(OR(M1104=phu!$I$45,M1104=phu!$I$46,M1104=phu!$I$47,M1104=phu!$I$48,M1104=phu!$I$49,M1104=phu!$I$50,M1104=phu!$I$51,M1104=phu!$I$52,M1104=phu!$I$53),"Cam Linh",""),IF(OR(M1104=phu!$I$54,M1104=phu!$I$55,M1104=phu!$I$56,M1104=phu!$I$57,M1104=phu!$I$58,M1104=phu!$I$59,M1104=phu!$I$60,M1104=phu!$I$61,M1104=phu!$I$62),"Cam Lợi",""),IF(OR(M1104=phu!$I$63,M1104=phu!$I$64,M1104=phu!$I$65,M1104=phu!$I$66,M1104=phu!$I$67,M1104=phu!$I$68,M1104=phu!$I$69,M1104=phu!$I$70,M1104=phu!$I$71),"Ba Ngòi",""),IF(OR(M1104=phu!$I$72,M1104=phu!$I$73,M1104=phu!$I$74,M1104=phu!$I$75,M1104=phu!$I$76,M1104=phu!$I$77,M1104=phu!$I$78),"Cam Phước Đông",""),IF(OR(M1104=phu!$I$79,M1104=phu!$I$80,M1104=phu!$I$81,M1104=phu!$I$82,M1104=phu!$I$83,M1104=phu!$I$84),"Cam Thịnh Đông",""),IF(OR(M1104=phu!$I$85,M1104=phu!$I$86,M1104=phu!$I$87,M1104=phu!$I$88),"Cam Thịnh Tây",""),IF(OR(M1104=phu!$I$89,M1104=phu!$I$90),"Cam Lập",""),IF(OR(M1104=phu!$I$91,M1104=phu!$I$92,M1104=phu!$I$93),"Cam Bình",""),IF(OR(M1104=phu!$I$94,M1104=phu!$I$95,M1104=phu!$I$96,M1104=phu!$I$97,M1104=phu!$I$98,M1104=phu!$I$99,M1104=phu!$I$100),"Huyện khác",""),IF(OR(M1104=phu!$I$101,M1104=phu!$I$102),"Tỉnh khác",""))</f>
        <v/>
      </c>
      <c r="O1104" s="814" t="str">
        <f t="shared" si="103"/>
        <v/>
      </c>
      <c r="P1104" s="254"/>
      <c r="Q1104" s="254"/>
      <c r="R1104" s="254"/>
      <c r="S1104" s="254"/>
      <c r="T1104" s="254"/>
      <c r="U1104" s="254"/>
      <c r="V1104" s="254"/>
      <c r="W1104" s="254"/>
      <c r="Y1104" s="246" t="str">
        <f t="shared" si="104"/>
        <v/>
      </c>
      <c r="Z1104" s="247" t="str">
        <f t="shared" si="102"/>
        <v/>
      </c>
      <c r="AA1104" s="246" t="str">
        <f t="shared" si="105"/>
        <v/>
      </c>
    </row>
    <row r="1105" spans="1:27" x14ac:dyDescent="0.25">
      <c r="A1105" s="248" t="str">
        <f t="shared" si="106"/>
        <v/>
      </c>
      <c r="B1105" s="249" t="str">
        <f t="shared" si="107"/>
        <v/>
      </c>
      <c r="C1105" s="250"/>
      <c r="D1105" s="251"/>
      <c r="E1105" s="241"/>
      <c r="F1105" s="252"/>
      <c r="G1105" s="252"/>
      <c r="H1105" s="253"/>
      <c r="I1105" s="250"/>
      <c r="J1105" s="250"/>
      <c r="K1105" s="270"/>
      <c r="L1105" s="250"/>
      <c r="M1105" s="250"/>
      <c r="N1105" s="553" t="str">
        <f>CONCATENATE(IF(OR(M1105=phu!$I$1,M1105=phu!$I$2,M1105=phu!$I$3),"Cam Thành Nam",""),IF(OR(M1105=phu!$I$4,M1105=phu!$I$5,M1105=phu!$I$6,M1105=phu!$I$7,M1105=phu!$I$8,M1105=phu!$I$9,M1105=phu!$I$10,M1105=phu!$I$11,M1105=phu!$I$12,M1105=phu!$I$13,M1105=phu!$I$14),"Cam Nghĩa",""),IF(OR(M1105=phu!$I$15,M1105=phu!$I$16,M1105=phu!$I$17,M1105=phu!$I$18,M1105=phu!$I$19,M1105=phu!$I$20,M1105=phu!$I$21),"Cam Phúc Bắc",""),IF(OR(M1105=phu!$I$22,M1105=phu!$I$23,M1105=phu!$I$24,M1105=phu!$I$25),"Cam Phúc Nam",""),IF(OR(M1105=phu!$I$26,M1105=phu!$I$27,M1105=phu!$I$28,M1105=phu!$I$29,M1105=phu!$I$30,M1105=phu!$I$31),"Cam Phú",""),IF(OR(M1105=phu!$I$32,M1105=phu!$I$33,M1105=phu!$I$34,M1105=phu!$I$35,M1105=phu!$I$36,M1105=phu!$I$37),"Cam Lộc",""),IF(OR(M1105=phu!$I$38,M1105=phu!$I$39,M1105=phu!$I$40,M1105=phu!$I$41,M1105=phu!$I$42,M1105=phu!$I$43,M1105=phu!$I$44),"Cam Thuận",""),IF(OR(M1105=phu!$I$45,M1105=phu!$I$46,M1105=phu!$I$47,M1105=phu!$I$48,M1105=phu!$I$49,M1105=phu!$I$50,M1105=phu!$I$51,M1105=phu!$I$52,M1105=phu!$I$53),"Cam Linh",""),IF(OR(M1105=phu!$I$54,M1105=phu!$I$55,M1105=phu!$I$56,M1105=phu!$I$57,M1105=phu!$I$58,M1105=phu!$I$59,M1105=phu!$I$60,M1105=phu!$I$61,M1105=phu!$I$62),"Cam Lợi",""),IF(OR(M1105=phu!$I$63,M1105=phu!$I$64,M1105=phu!$I$65,M1105=phu!$I$66,M1105=phu!$I$67,M1105=phu!$I$68,M1105=phu!$I$69,M1105=phu!$I$70,M1105=phu!$I$71),"Ba Ngòi",""),IF(OR(M1105=phu!$I$72,M1105=phu!$I$73,M1105=phu!$I$74,M1105=phu!$I$75,M1105=phu!$I$76,M1105=phu!$I$77,M1105=phu!$I$78),"Cam Phước Đông",""),IF(OR(M1105=phu!$I$79,M1105=phu!$I$80,M1105=phu!$I$81,M1105=phu!$I$82,M1105=phu!$I$83,M1105=phu!$I$84),"Cam Thịnh Đông",""),IF(OR(M1105=phu!$I$85,M1105=phu!$I$86,M1105=phu!$I$87,M1105=phu!$I$88),"Cam Thịnh Tây",""),IF(OR(M1105=phu!$I$89,M1105=phu!$I$90),"Cam Lập",""),IF(OR(M1105=phu!$I$91,M1105=phu!$I$92,M1105=phu!$I$93),"Cam Bình",""),IF(OR(M1105=phu!$I$94,M1105=phu!$I$95,M1105=phu!$I$96,M1105=phu!$I$97,M1105=phu!$I$98,M1105=phu!$I$99,M1105=phu!$I$100),"Huyện khác",""),IF(OR(M1105=phu!$I$101,M1105=phu!$I$102),"Tỉnh khác",""))</f>
        <v/>
      </c>
      <c r="O1105" s="814" t="str">
        <f t="shared" si="103"/>
        <v/>
      </c>
      <c r="P1105" s="254"/>
      <c r="Q1105" s="254"/>
      <c r="R1105" s="254"/>
      <c r="S1105" s="254"/>
      <c r="T1105" s="254"/>
      <c r="U1105" s="254"/>
      <c r="V1105" s="254"/>
      <c r="W1105" s="254"/>
      <c r="Y1105" s="246" t="str">
        <f t="shared" si="104"/>
        <v/>
      </c>
      <c r="Z1105" s="247" t="str">
        <f t="shared" si="102"/>
        <v/>
      </c>
      <c r="AA1105" s="246" t="str">
        <f t="shared" si="105"/>
        <v/>
      </c>
    </row>
    <row r="1106" spans="1:27" x14ac:dyDescent="0.25">
      <c r="A1106" s="248" t="str">
        <f t="shared" si="106"/>
        <v/>
      </c>
      <c r="B1106" s="249" t="str">
        <f t="shared" si="107"/>
        <v/>
      </c>
      <c r="C1106" s="250"/>
      <c r="D1106" s="251"/>
      <c r="E1106" s="241"/>
      <c r="F1106" s="252"/>
      <c r="G1106" s="252"/>
      <c r="H1106" s="253"/>
      <c r="I1106" s="250"/>
      <c r="J1106" s="250"/>
      <c r="K1106" s="270"/>
      <c r="L1106" s="250"/>
      <c r="M1106" s="250"/>
      <c r="N1106" s="553" t="str">
        <f>CONCATENATE(IF(OR(M1106=phu!$I$1,M1106=phu!$I$2,M1106=phu!$I$3),"Cam Thành Nam",""),IF(OR(M1106=phu!$I$4,M1106=phu!$I$5,M1106=phu!$I$6,M1106=phu!$I$7,M1106=phu!$I$8,M1106=phu!$I$9,M1106=phu!$I$10,M1106=phu!$I$11,M1106=phu!$I$12,M1106=phu!$I$13,M1106=phu!$I$14),"Cam Nghĩa",""),IF(OR(M1106=phu!$I$15,M1106=phu!$I$16,M1106=phu!$I$17,M1106=phu!$I$18,M1106=phu!$I$19,M1106=phu!$I$20,M1106=phu!$I$21),"Cam Phúc Bắc",""),IF(OR(M1106=phu!$I$22,M1106=phu!$I$23,M1106=phu!$I$24,M1106=phu!$I$25),"Cam Phúc Nam",""),IF(OR(M1106=phu!$I$26,M1106=phu!$I$27,M1106=phu!$I$28,M1106=phu!$I$29,M1106=phu!$I$30,M1106=phu!$I$31),"Cam Phú",""),IF(OR(M1106=phu!$I$32,M1106=phu!$I$33,M1106=phu!$I$34,M1106=phu!$I$35,M1106=phu!$I$36,M1106=phu!$I$37),"Cam Lộc",""),IF(OR(M1106=phu!$I$38,M1106=phu!$I$39,M1106=phu!$I$40,M1106=phu!$I$41,M1106=phu!$I$42,M1106=phu!$I$43,M1106=phu!$I$44),"Cam Thuận",""),IF(OR(M1106=phu!$I$45,M1106=phu!$I$46,M1106=phu!$I$47,M1106=phu!$I$48,M1106=phu!$I$49,M1106=phu!$I$50,M1106=phu!$I$51,M1106=phu!$I$52,M1106=phu!$I$53),"Cam Linh",""),IF(OR(M1106=phu!$I$54,M1106=phu!$I$55,M1106=phu!$I$56,M1106=phu!$I$57,M1106=phu!$I$58,M1106=phu!$I$59,M1106=phu!$I$60,M1106=phu!$I$61,M1106=phu!$I$62),"Cam Lợi",""),IF(OR(M1106=phu!$I$63,M1106=phu!$I$64,M1106=phu!$I$65,M1106=phu!$I$66,M1106=phu!$I$67,M1106=phu!$I$68,M1106=phu!$I$69,M1106=phu!$I$70,M1106=phu!$I$71),"Ba Ngòi",""),IF(OR(M1106=phu!$I$72,M1106=phu!$I$73,M1106=phu!$I$74,M1106=phu!$I$75,M1106=phu!$I$76,M1106=phu!$I$77,M1106=phu!$I$78),"Cam Phước Đông",""),IF(OR(M1106=phu!$I$79,M1106=phu!$I$80,M1106=phu!$I$81,M1106=phu!$I$82,M1106=phu!$I$83,M1106=phu!$I$84),"Cam Thịnh Đông",""),IF(OR(M1106=phu!$I$85,M1106=phu!$I$86,M1106=phu!$I$87,M1106=phu!$I$88),"Cam Thịnh Tây",""),IF(OR(M1106=phu!$I$89,M1106=phu!$I$90),"Cam Lập",""),IF(OR(M1106=phu!$I$91,M1106=phu!$I$92,M1106=phu!$I$93),"Cam Bình",""),IF(OR(M1106=phu!$I$94,M1106=phu!$I$95,M1106=phu!$I$96,M1106=phu!$I$97,M1106=phu!$I$98,M1106=phu!$I$99,M1106=phu!$I$100),"Huyện khác",""),IF(OR(M1106=phu!$I$101,M1106=phu!$I$102),"Tỉnh khác",""))</f>
        <v/>
      </c>
      <c r="O1106" s="814" t="str">
        <f t="shared" si="103"/>
        <v/>
      </c>
      <c r="P1106" s="254"/>
      <c r="Q1106" s="254"/>
      <c r="R1106" s="254"/>
      <c r="S1106" s="254"/>
      <c r="T1106" s="254"/>
      <c r="U1106" s="254"/>
      <c r="V1106" s="254"/>
      <c r="W1106" s="254"/>
      <c r="Y1106" s="246" t="str">
        <f t="shared" si="104"/>
        <v/>
      </c>
      <c r="Z1106" s="247" t="str">
        <f t="shared" si="102"/>
        <v/>
      </c>
      <c r="AA1106" s="246" t="str">
        <f t="shared" si="105"/>
        <v/>
      </c>
    </row>
    <row r="1107" spans="1:27" x14ac:dyDescent="0.25">
      <c r="A1107" s="248" t="str">
        <f t="shared" si="106"/>
        <v/>
      </c>
      <c r="B1107" s="249" t="str">
        <f t="shared" si="107"/>
        <v/>
      </c>
      <c r="C1107" s="250"/>
      <c r="D1107" s="251"/>
      <c r="E1107" s="241"/>
      <c r="F1107" s="252"/>
      <c r="G1107" s="252"/>
      <c r="H1107" s="253"/>
      <c r="I1107" s="250"/>
      <c r="J1107" s="250"/>
      <c r="K1107" s="270"/>
      <c r="L1107" s="250"/>
      <c r="M1107" s="250"/>
      <c r="N1107" s="553" t="str">
        <f>CONCATENATE(IF(OR(M1107=phu!$I$1,M1107=phu!$I$2,M1107=phu!$I$3),"Cam Thành Nam",""),IF(OR(M1107=phu!$I$4,M1107=phu!$I$5,M1107=phu!$I$6,M1107=phu!$I$7,M1107=phu!$I$8,M1107=phu!$I$9,M1107=phu!$I$10,M1107=phu!$I$11,M1107=phu!$I$12,M1107=phu!$I$13,M1107=phu!$I$14),"Cam Nghĩa",""),IF(OR(M1107=phu!$I$15,M1107=phu!$I$16,M1107=phu!$I$17,M1107=phu!$I$18,M1107=phu!$I$19,M1107=phu!$I$20,M1107=phu!$I$21),"Cam Phúc Bắc",""),IF(OR(M1107=phu!$I$22,M1107=phu!$I$23,M1107=phu!$I$24,M1107=phu!$I$25),"Cam Phúc Nam",""),IF(OR(M1107=phu!$I$26,M1107=phu!$I$27,M1107=phu!$I$28,M1107=phu!$I$29,M1107=phu!$I$30,M1107=phu!$I$31),"Cam Phú",""),IF(OR(M1107=phu!$I$32,M1107=phu!$I$33,M1107=phu!$I$34,M1107=phu!$I$35,M1107=phu!$I$36,M1107=phu!$I$37),"Cam Lộc",""),IF(OR(M1107=phu!$I$38,M1107=phu!$I$39,M1107=phu!$I$40,M1107=phu!$I$41,M1107=phu!$I$42,M1107=phu!$I$43,M1107=phu!$I$44),"Cam Thuận",""),IF(OR(M1107=phu!$I$45,M1107=phu!$I$46,M1107=phu!$I$47,M1107=phu!$I$48,M1107=phu!$I$49,M1107=phu!$I$50,M1107=phu!$I$51,M1107=phu!$I$52,M1107=phu!$I$53),"Cam Linh",""),IF(OR(M1107=phu!$I$54,M1107=phu!$I$55,M1107=phu!$I$56,M1107=phu!$I$57,M1107=phu!$I$58,M1107=phu!$I$59,M1107=phu!$I$60,M1107=phu!$I$61,M1107=phu!$I$62),"Cam Lợi",""),IF(OR(M1107=phu!$I$63,M1107=phu!$I$64,M1107=phu!$I$65,M1107=phu!$I$66,M1107=phu!$I$67,M1107=phu!$I$68,M1107=phu!$I$69,M1107=phu!$I$70,M1107=phu!$I$71),"Ba Ngòi",""),IF(OR(M1107=phu!$I$72,M1107=phu!$I$73,M1107=phu!$I$74,M1107=phu!$I$75,M1107=phu!$I$76,M1107=phu!$I$77,M1107=phu!$I$78),"Cam Phước Đông",""),IF(OR(M1107=phu!$I$79,M1107=phu!$I$80,M1107=phu!$I$81,M1107=phu!$I$82,M1107=phu!$I$83,M1107=phu!$I$84),"Cam Thịnh Đông",""),IF(OR(M1107=phu!$I$85,M1107=phu!$I$86,M1107=phu!$I$87,M1107=phu!$I$88),"Cam Thịnh Tây",""),IF(OR(M1107=phu!$I$89,M1107=phu!$I$90),"Cam Lập",""),IF(OR(M1107=phu!$I$91,M1107=phu!$I$92,M1107=phu!$I$93),"Cam Bình",""),IF(OR(M1107=phu!$I$94,M1107=phu!$I$95,M1107=phu!$I$96,M1107=phu!$I$97,M1107=phu!$I$98,M1107=phu!$I$99,M1107=phu!$I$100),"Huyện khác",""),IF(OR(M1107=phu!$I$101,M1107=phu!$I$102),"Tỉnh khác",""))</f>
        <v/>
      </c>
      <c r="O1107" s="814" t="str">
        <f t="shared" si="103"/>
        <v/>
      </c>
      <c r="P1107" s="254"/>
      <c r="Q1107" s="254"/>
      <c r="R1107" s="254"/>
      <c r="S1107" s="254"/>
      <c r="T1107" s="254"/>
      <c r="U1107" s="254"/>
      <c r="V1107" s="254"/>
      <c r="W1107" s="254"/>
      <c r="Y1107" s="246" t="str">
        <f t="shared" si="104"/>
        <v/>
      </c>
      <c r="Z1107" s="247" t="str">
        <f t="shared" si="102"/>
        <v/>
      </c>
      <c r="AA1107" s="246" t="str">
        <f t="shared" si="105"/>
        <v/>
      </c>
    </row>
    <row r="1108" spans="1:27" x14ac:dyDescent="0.25">
      <c r="A1108" s="248" t="str">
        <f t="shared" si="106"/>
        <v/>
      </c>
      <c r="B1108" s="249" t="str">
        <f t="shared" si="107"/>
        <v/>
      </c>
      <c r="C1108" s="250"/>
      <c r="D1108" s="251"/>
      <c r="E1108" s="241"/>
      <c r="F1108" s="252"/>
      <c r="G1108" s="252"/>
      <c r="H1108" s="253"/>
      <c r="I1108" s="250"/>
      <c r="J1108" s="250"/>
      <c r="K1108" s="270"/>
      <c r="L1108" s="250"/>
      <c r="M1108" s="250"/>
      <c r="N1108" s="553" t="str">
        <f>CONCATENATE(IF(OR(M1108=phu!$I$1,M1108=phu!$I$2,M1108=phu!$I$3),"Cam Thành Nam",""),IF(OR(M1108=phu!$I$4,M1108=phu!$I$5,M1108=phu!$I$6,M1108=phu!$I$7,M1108=phu!$I$8,M1108=phu!$I$9,M1108=phu!$I$10,M1108=phu!$I$11,M1108=phu!$I$12,M1108=phu!$I$13,M1108=phu!$I$14),"Cam Nghĩa",""),IF(OR(M1108=phu!$I$15,M1108=phu!$I$16,M1108=phu!$I$17,M1108=phu!$I$18,M1108=phu!$I$19,M1108=phu!$I$20,M1108=phu!$I$21),"Cam Phúc Bắc",""),IF(OR(M1108=phu!$I$22,M1108=phu!$I$23,M1108=phu!$I$24,M1108=phu!$I$25),"Cam Phúc Nam",""),IF(OR(M1108=phu!$I$26,M1108=phu!$I$27,M1108=phu!$I$28,M1108=phu!$I$29,M1108=phu!$I$30,M1108=phu!$I$31),"Cam Phú",""),IF(OR(M1108=phu!$I$32,M1108=phu!$I$33,M1108=phu!$I$34,M1108=phu!$I$35,M1108=phu!$I$36,M1108=phu!$I$37),"Cam Lộc",""),IF(OR(M1108=phu!$I$38,M1108=phu!$I$39,M1108=phu!$I$40,M1108=phu!$I$41,M1108=phu!$I$42,M1108=phu!$I$43,M1108=phu!$I$44),"Cam Thuận",""),IF(OR(M1108=phu!$I$45,M1108=phu!$I$46,M1108=phu!$I$47,M1108=phu!$I$48,M1108=phu!$I$49,M1108=phu!$I$50,M1108=phu!$I$51,M1108=phu!$I$52,M1108=phu!$I$53),"Cam Linh",""),IF(OR(M1108=phu!$I$54,M1108=phu!$I$55,M1108=phu!$I$56,M1108=phu!$I$57,M1108=phu!$I$58,M1108=phu!$I$59,M1108=phu!$I$60,M1108=phu!$I$61,M1108=phu!$I$62),"Cam Lợi",""),IF(OR(M1108=phu!$I$63,M1108=phu!$I$64,M1108=phu!$I$65,M1108=phu!$I$66,M1108=phu!$I$67,M1108=phu!$I$68,M1108=phu!$I$69,M1108=phu!$I$70,M1108=phu!$I$71),"Ba Ngòi",""),IF(OR(M1108=phu!$I$72,M1108=phu!$I$73,M1108=phu!$I$74,M1108=phu!$I$75,M1108=phu!$I$76,M1108=phu!$I$77,M1108=phu!$I$78),"Cam Phước Đông",""),IF(OR(M1108=phu!$I$79,M1108=phu!$I$80,M1108=phu!$I$81,M1108=phu!$I$82,M1108=phu!$I$83,M1108=phu!$I$84),"Cam Thịnh Đông",""),IF(OR(M1108=phu!$I$85,M1108=phu!$I$86,M1108=phu!$I$87,M1108=phu!$I$88),"Cam Thịnh Tây",""),IF(OR(M1108=phu!$I$89,M1108=phu!$I$90),"Cam Lập",""),IF(OR(M1108=phu!$I$91,M1108=phu!$I$92,M1108=phu!$I$93),"Cam Bình",""),IF(OR(M1108=phu!$I$94,M1108=phu!$I$95,M1108=phu!$I$96,M1108=phu!$I$97,M1108=phu!$I$98,M1108=phu!$I$99,M1108=phu!$I$100),"Huyện khác",""),IF(OR(M1108=phu!$I$101,M1108=phu!$I$102),"Tỉnh khác",""))</f>
        <v/>
      </c>
      <c r="O1108" s="814" t="str">
        <f t="shared" si="103"/>
        <v/>
      </c>
      <c r="P1108" s="254"/>
      <c r="Q1108" s="254"/>
      <c r="R1108" s="254"/>
      <c r="S1108" s="254"/>
      <c r="T1108" s="254"/>
      <c r="U1108" s="254"/>
      <c r="V1108" s="254"/>
      <c r="W1108" s="254"/>
      <c r="Y1108" s="246" t="str">
        <f t="shared" si="104"/>
        <v/>
      </c>
      <c r="Z1108" s="247" t="str">
        <f t="shared" si="102"/>
        <v/>
      </c>
      <c r="AA1108" s="246" t="str">
        <f t="shared" si="105"/>
        <v/>
      </c>
    </row>
    <row r="1109" spans="1:27" x14ac:dyDescent="0.25">
      <c r="A1109" s="248" t="str">
        <f t="shared" si="106"/>
        <v/>
      </c>
      <c r="B1109" s="249" t="str">
        <f t="shared" si="107"/>
        <v/>
      </c>
      <c r="C1109" s="250"/>
      <c r="D1109" s="251"/>
      <c r="E1109" s="241"/>
      <c r="F1109" s="252"/>
      <c r="G1109" s="252"/>
      <c r="H1109" s="253"/>
      <c r="I1109" s="250"/>
      <c r="J1109" s="250"/>
      <c r="K1109" s="270"/>
      <c r="L1109" s="250"/>
      <c r="M1109" s="250"/>
      <c r="N1109" s="553" t="str">
        <f>CONCATENATE(IF(OR(M1109=phu!$I$1,M1109=phu!$I$2,M1109=phu!$I$3),"Cam Thành Nam",""),IF(OR(M1109=phu!$I$4,M1109=phu!$I$5,M1109=phu!$I$6,M1109=phu!$I$7,M1109=phu!$I$8,M1109=phu!$I$9,M1109=phu!$I$10,M1109=phu!$I$11,M1109=phu!$I$12,M1109=phu!$I$13,M1109=phu!$I$14),"Cam Nghĩa",""),IF(OR(M1109=phu!$I$15,M1109=phu!$I$16,M1109=phu!$I$17,M1109=phu!$I$18,M1109=phu!$I$19,M1109=phu!$I$20,M1109=phu!$I$21),"Cam Phúc Bắc",""),IF(OR(M1109=phu!$I$22,M1109=phu!$I$23,M1109=phu!$I$24,M1109=phu!$I$25),"Cam Phúc Nam",""),IF(OR(M1109=phu!$I$26,M1109=phu!$I$27,M1109=phu!$I$28,M1109=phu!$I$29,M1109=phu!$I$30,M1109=phu!$I$31),"Cam Phú",""),IF(OR(M1109=phu!$I$32,M1109=phu!$I$33,M1109=phu!$I$34,M1109=phu!$I$35,M1109=phu!$I$36,M1109=phu!$I$37),"Cam Lộc",""),IF(OR(M1109=phu!$I$38,M1109=phu!$I$39,M1109=phu!$I$40,M1109=phu!$I$41,M1109=phu!$I$42,M1109=phu!$I$43,M1109=phu!$I$44),"Cam Thuận",""),IF(OR(M1109=phu!$I$45,M1109=phu!$I$46,M1109=phu!$I$47,M1109=phu!$I$48,M1109=phu!$I$49,M1109=phu!$I$50,M1109=phu!$I$51,M1109=phu!$I$52,M1109=phu!$I$53),"Cam Linh",""),IF(OR(M1109=phu!$I$54,M1109=phu!$I$55,M1109=phu!$I$56,M1109=phu!$I$57,M1109=phu!$I$58,M1109=phu!$I$59,M1109=phu!$I$60,M1109=phu!$I$61,M1109=phu!$I$62),"Cam Lợi",""),IF(OR(M1109=phu!$I$63,M1109=phu!$I$64,M1109=phu!$I$65,M1109=phu!$I$66,M1109=phu!$I$67,M1109=phu!$I$68,M1109=phu!$I$69,M1109=phu!$I$70,M1109=phu!$I$71),"Ba Ngòi",""),IF(OR(M1109=phu!$I$72,M1109=phu!$I$73,M1109=phu!$I$74,M1109=phu!$I$75,M1109=phu!$I$76,M1109=phu!$I$77,M1109=phu!$I$78),"Cam Phước Đông",""),IF(OR(M1109=phu!$I$79,M1109=phu!$I$80,M1109=phu!$I$81,M1109=phu!$I$82,M1109=phu!$I$83,M1109=phu!$I$84),"Cam Thịnh Đông",""),IF(OR(M1109=phu!$I$85,M1109=phu!$I$86,M1109=phu!$I$87,M1109=phu!$I$88),"Cam Thịnh Tây",""),IF(OR(M1109=phu!$I$89,M1109=phu!$I$90),"Cam Lập",""),IF(OR(M1109=phu!$I$91,M1109=phu!$I$92,M1109=phu!$I$93),"Cam Bình",""),IF(OR(M1109=phu!$I$94,M1109=phu!$I$95,M1109=phu!$I$96,M1109=phu!$I$97,M1109=phu!$I$98,M1109=phu!$I$99,M1109=phu!$I$100),"Huyện khác",""),IF(OR(M1109=phu!$I$101,M1109=phu!$I$102),"Tỉnh khác",""))</f>
        <v/>
      </c>
      <c r="O1109" s="814" t="str">
        <f t="shared" si="103"/>
        <v/>
      </c>
      <c r="P1109" s="254"/>
      <c r="Q1109" s="254"/>
      <c r="R1109" s="254"/>
      <c r="S1109" s="254"/>
      <c r="T1109" s="254"/>
      <c r="U1109" s="254"/>
      <c r="V1109" s="254"/>
      <c r="W1109" s="254"/>
      <c r="Y1109" s="246" t="str">
        <f t="shared" si="104"/>
        <v/>
      </c>
      <c r="Z1109" s="247" t="str">
        <f t="shared" si="102"/>
        <v/>
      </c>
      <c r="AA1109" s="246" t="str">
        <f t="shared" si="105"/>
        <v/>
      </c>
    </row>
    <row r="1110" spans="1:27" x14ac:dyDescent="0.25">
      <c r="A1110" s="248" t="str">
        <f t="shared" si="106"/>
        <v/>
      </c>
      <c r="B1110" s="249" t="str">
        <f t="shared" si="107"/>
        <v/>
      </c>
      <c r="C1110" s="250"/>
      <c r="D1110" s="251"/>
      <c r="E1110" s="241"/>
      <c r="F1110" s="252"/>
      <c r="G1110" s="252"/>
      <c r="H1110" s="253"/>
      <c r="I1110" s="250"/>
      <c r="J1110" s="250"/>
      <c r="K1110" s="270"/>
      <c r="L1110" s="250"/>
      <c r="M1110" s="250"/>
      <c r="N1110" s="553" t="str">
        <f>CONCATENATE(IF(OR(M1110=phu!$I$1,M1110=phu!$I$2,M1110=phu!$I$3),"Cam Thành Nam",""),IF(OR(M1110=phu!$I$4,M1110=phu!$I$5,M1110=phu!$I$6,M1110=phu!$I$7,M1110=phu!$I$8,M1110=phu!$I$9,M1110=phu!$I$10,M1110=phu!$I$11,M1110=phu!$I$12,M1110=phu!$I$13,M1110=phu!$I$14),"Cam Nghĩa",""),IF(OR(M1110=phu!$I$15,M1110=phu!$I$16,M1110=phu!$I$17,M1110=phu!$I$18,M1110=phu!$I$19,M1110=phu!$I$20,M1110=phu!$I$21),"Cam Phúc Bắc",""),IF(OR(M1110=phu!$I$22,M1110=phu!$I$23,M1110=phu!$I$24,M1110=phu!$I$25),"Cam Phúc Nam",""),IF(OR(M1110=phu!$I$26,M1110=phu!$I$27,M1110=phu!$I$28,M1110=phu!$I$29,M1110=phu!$I$30,M1110=phu!$I$31),"Cam Phú",""),IF(OR(M1110=phu!$I$32,M1110=phu!$I$33,M1110=phu!$I$34,M1110=phu!$I$35,M1110=phu!$I$36,M1110=phu!$I$37),"Cam Lộc",""),IF(OR(M1110=phu!$I$38,M1110=phu!$I$39,M1110=phu!$I$40,M1110=phu!$I$41,M1110=phu!$I$42,M1110=phu!$I$43,M1110=phu!$I$44),"Cam Thuận",""),IF(OR(M1110=phu!$I$45,M1110=phu!$I$46,M1110=phu!$I$47,M1110=phu!$I$48,M1110=phu!$I$49,M1110=phu!$I$50,M1110=phu!$I$51,M1110=phu!$I$52,M1110=phu!$I$53),"Cam Linh",""),IF(OR(M1110=phu!$I$54,M1110=phu!$I$55,M1110=phu!$I$56,M1110=phu!$I$57,M1110=phu!$I$58,M1110=phu!$I$59,M1110=phu!$I$60,M1110=phu!$I$61,M1110=phu!$I$62),"Cam Lợi",""),IF(OR(M1110=phu!$I$63,M1110=phu!$I$64,M1110=phu!$I$65,M1110=phu!$I$66,M1110=phu!$I$67,M1110=phu!$I$68,M1110=phu!$I$69,M1110=phu!$I$70,M1110=phu!$I$71),"Ba Ngòi",""),IF(OR(M1110=phu!$I$72,M1110=phu!$I$73,M1110=phu!$I$74,M1110=phu!$I$75,M1110=phu!$I$76,M1110=phu!$I$77,M1110=phu!$I$78),"Cam Phước Đông",""),IF(OR(M1110=phu!$I$79,M1110=phu!$I$80,M1110=phu!$I$81,M1110=phu!$I$82,M1110=phu!$I$83,M1110=phu!$I$84),"Cam Thịnh Đông",""),IF(OR(M1110=phu!$I$85,M1110=phu!$I$86,M1110=phu!$I$87,M1110=phu!$I$88),"Cam Thịnh Tây",""),IF(OR(M1110=phu!$I$89,M1110=phu!$I$90),"Cam Lập",""),IF(OR(M1110=phu!$I$91,M1110=phu!$I$92,M1110=phu!$I$93),"Cam Bình",""),IF(OR(M1110=phu!$I$94,M1110=phu!$I$95,M1110=phu!$I$96,M1110=phu!$I$97,M1110=phu!$I$98,M1110=phu!$I$99,M1110=phu!$I$100),"Huyện khác",""),IF(OR(M1110=phu!$I$101,M1110=phu!$I$102),"Tỉnh khác",""))</f>
        <v/>
      </c>
      <c r="O1110" s="814" t="str">
        <f t="shared" si="103"/>
        <v/>
      </c>
      <c r="P1110" s="254"/>
      <c r="Q1110" s="254"/>
      <c r="R1110" s="254"/>
      <c r="S1110" s="254"/>
      <c r="T1110" s="254"/>
      <c r="U1110" s="254"/>
      <c r="V1110" s="254"/>
      <c r="W1110" s="254"/>
      <c r="Y1110" s="246" t="str">
        <f t="shared" si="104"/>
        <v/>
      </c>
      <c r="Z1110" s="247" t="str">
        <f t="shared" si="102"/>
        <v/>
      </c>
      <c r="AA1110" s="246" t="str">
        <f t="shared" si="105"/>
        <v/>
      </c>
    </row>
    <row r="1111" spans="1:27" x14ac:dyDescent="0.25">
      <c r="A1111" s="248" t="str">
        <f t="shared" si="106"/>
        <v/>
      </c>
      <c r="B1111" s="249" t="str">
        <f t="shared" si="107"/>
        <v/>
      </c>
      <c r="C1111" s="250"/>
      <c r="D1111" s="251"/>
      <c r="E1111" s="241"/>
      <c r="F1111" s="252"/>
      <c r="G1111" s="252"/>
      <c r="H1111" s="253"/>
      <c r="I1111" s="250"/>
      <c r="J1111" s="250"/>
      <c r="K1111" s="270"/>
      <c r="L1111" s="250"/>
      <c r="M1111" s="250"/>
      <c r="N1111" s="553" t="str">
        <f>CONCATENATE(IF(OR(M1111=phu!$I$1,M1111=phu!$I$2,M1111=phu!$I$3),"Cam Thành Nam",""),IF(OR(M1111=phu!$I$4,M1111=phu!$I$5,M1111=phu!$I$6,M1111=phu!$I$7,M1111=phu!$I$8,M1111=phu!$I$9,M1111=phu!$I$10,M1111=phu!$I$11,M1111=phu!$I$12,M1111=phu!$I$13,M1111=phu!$I$14),"Cam Nghĩa",""),IF(OR(M1111=phu!$I$15,M1111=phu!$I$16,M1111=phu!$I$17,M1111=phu!$I$18,M1111=phu!$I$19,M1111=phu!$I$20,M1111=phu!$I$21),"Cam Phúc Bắc",""),IF(OR(M1111=phu!$I$22,M1111=phu!$I$23,M1111=phu!$I$24,M1111=phu!$I$25),"Cam Phúc Nam",""),IF(OR(M1111=phu!$I$26,M1111=phu!$I$27,M1111=phu!$I$28,M1111=phu!$I$29,M1111=phu!$I$30,M1111=phu!$I$31),"Cam Phú",""),IF(OR(M1111=phu!$I$32,M1111=phu!$I$33,M1111=phu!$I$34,M1111=phu!$I$35,M1111=phu!$I$36,M1111=phu!$I$37),"Cam Lộc",""),IF(OR(M1111=phu!$I$38,M1111=phu!$I$39,M1111=phu!$I$40,M1111=phu!$I$41,M1111=phu!$I$42,M1111=phu!$I$43,M1111=phu!$I$44),"Cam Thuận",""),IF(OR(M1111=phu!$I$45,M1111=phu!$I$46,M1111=phu!$I$47,M1111=phu!$I$48,M1111=phu!$I$49,M1111=phu!$I$50,M1111=phu!$I$51,M1111=phu!$I$52,M1111=phu!$I$53),"Cam Linh",""),IF(OR(M1111=phu!$I$54,M1111=phu!$I$55,M1111=phu!$I$56,M1111=phu!$I$57,M1111=phu!$I$58,M1111=phu!$I$59,M1111=phu!$I$60,M1111=phu!$I$61,M1111=phu!$I$62),"Cam Lợi",""),IF(OR(M1111=phu!$I$63,M1111=phu!$I$64,M1111=phu!$I$65,M1111=phu!$I$66,M1111=phu!$I$67,M1111=phu!$I$68,M1111=phu!$I$69,M1111=phu!$I$70,M1111=phu!$I$71),"Ba Ngòi",""),IF(OR(M1111=phu!$I$72,M1111=phu!$I$73,M1111=phu!$I$74,M1111=phu!$I$75,M1111=phu!$I$76,M1111=phu!$I$77,M1111=phu!$I$78),"Cam Phước Đông",""),IF(OR(M1111=phu!$I$79,M1111=phu!$I$80,M1111=phu!$I$81,M1111=phu!$I$82,M1111=phu!$I$83,M1111=phu!$I$84),"Cam Thịnh Đông",""),IF(OR(M1111=phu!$I$85,M1111=phu!$I$86,M1111=phu!$I$87,M1111=phu!$I$88),"Cam Thịnh Tây",""),IF(OR(M1111=phu!$I$89,M1111=phu!$I$90),"Cam Lập",""),IF(OR(M1111=phu!$I$91,M1111=phu!$I$92,M1111=phu!$I$93),"Cam Bình",""),IF(OR(M1111=phu!$I$94,M1111=phu!$I$95,M1111=phu!$I$96,M1111=phu!$I$97,M1111=phu!$I$98,M1111=phu!$I$99,M1111=phu!$I$100),"Huyện khác",""),IF(OR(M1111=phu!$I$101,M1111=phu!$I$102),"Tỉnh khác",""))</f>
        <v/>
      </c>
      <c r="O1111" s="814" t="str">
        <f t="shared" si="103"/>
        <v/>
      </c>
      <c r="P1111" s="254"/>
      <c r="Q1111" s="254"/>
      <c r="R1111" s="254"/>
      <c r="S1111" s="254"/>
      <c r="T1111" s="254"/>
      <c r="U1111" s="254"/>
      <c r="V1111" s="254"/>
      <c r="W1111" s="254"/>
      <c r="Y1111" s="246" t="str">
        <f t="shared" si="104"/>
        <v/>
      </c>
      <c r="Z1111" s="247" t="str">
        <f t="shared" si="102"/>
        <v/>
      </c>
      <c r="AA1111" s="246" t="str">
        <f t="shared" si="105"/>
        <v/>
      </c>
    </row>
    <row r="1112" spans="1:27" x14ac:dyDescent="0.25">
      <c r="A1112" s="248" t="str">
        <f t="shared" si="106"/>
        <v/>
      </c>
      <c r="B1112" s="249" t="str">
        <f t="shared" si="107"/>
        <v/>
      </c>
      <c r="C1112" s="250"/>
      <c r="D1112" s="251"/>
      <c r="E1112" s="241"/>
      <c r="F1112" s="252"/>
      <c r="G1112" s="252"/>
      <c r="H1112" s="253"/>
      <c r="I1112" s="250"/>
      <c r="J1112" s="250"/>
      <c r="K1112" s="270"/>
      <c r="L1112" s="250"/>
      <c r="M1112" s="250"/>
      <c r="N1112" s="553" t="str">
        <f>CONCATENATE(IF(OR(M1112=phu!$I$1,M1112=phu!$I$2,M1112=phu!$I$3),"Cam Thành Nam",""),IF(OR(M1112=phu!$I$4,M1112=phu!$I$5,M1112=phu!$I$6,M1112=phu!$I$7,M1112=phu!$I$8,M1112=phu!$I$9,M1112=phu!$I$10,M1112=phu!$I$11,M1112=phu!$I$12,M1112=phu!$I$13,M1112=phu!$I$14),"Cam Nghĩa",""),IF(OR(M1112=phu!$I$15,M1112=phu!$I$16,M1112=phu!$I$17,M1112=phu!$I$18,M1112=phu!$I$19,M1112=phu!$I$20,M1112=phu!$I$21),"Cam Phúc Bắc",""),IF(OR(M1112=phu!$I$22,M1112=phu!$I$23,M1112=phu!$I$24,M1112=phu!$I$25),"Cam Phúc Nam",""),IF(OR(M1112=phu!$I$26,M1112=phu!$I$27,M1112=phu!$I$28,M1112=phu!$I$29,M1112=phu!$I$30,M1112=phu!$I$31),"Cam Phú",""),IF(OR(M1112=phu!$I$32,M1112=phu!$I$33,M1112=phu!$I$34,M1112=phu!$I$35,M1112=phu!$I$36,M1112=phu!$I$37),"Cam Lộc",""),IF(OR(M1112=phu!$I$38,M1112=phu!$I$39,M1112=phu!$I$40,M1112=phu!$I$41,M1112=phu!$I$42,M1112=phu!$I$43,M1112=phu!$I$44),"Cam Thuận",""),IF(OR(M1112=phu!$I$45,M1112=phu!$I$46,M1112=phu!$I$47,M1112=phu!$I$48,M1112=phu!$I$49,M1112=phu!$I$50,M1112=phu!$I$51,M1112=phu!$I$52,M1112=phu!$I$53),"Cam Linh",""),IF(OR(M1112=phu!$I$54,M1112=phu!$I$55,M1112=phu!$I$56,M1112=phu!$I$57,M1112=phu!$I$58,M1112=phu!$I$59,M1112=phu!$I$60,M1112=phu!$I$61,M1112=phu!$I$62),"Cam Lợi",""),IF(OR(M1112=phu!$I$63,M1112=phu!$I$64,M1112=phu!$I$65,M1112=phu!$I$66,M1112=phu!$I$67,M1112=phu!$I$68,M1112=phu!$I$69,M1112=phu!$I$70,M1112=phu!$I$71),"Ba Ngòi",""),IF(OR(M1112=phu!$I$72,M1112=phu!$I$73,M1112=phu!$I$74,M1112=phu!$I$75,M1112=phu!$I$76,M1112=phu!$I$77,M1112=phu!$I$78),"Cam Phước Đông",""),IF(OR(M1112=phu!$I$79,M1112=phu!$I$80,M1112=phu!$I$81,M1112=phu!$I$82,M1112=phu!$I$83,M1112=phu!$I$84),"Cam Thịnh Đông",""),IF(OR(M1112=phu!$I$85,M1112=phu!$I$86,M1112=phu!$I$87,M1112=phu!$I$88),"Cam Thịnh Tây",""),IF(OR(M1112=phu!$I$89,M1112=phu!$I$90),"Cam Lập",""),IF(OR(M1112=phu!$I$91,M1112=phu!$I$92,M1112=phu!$I$93),"Cam Bình",""),IF(OR(M1112=phu!$I$94,M1112=phu!$I$95,M1112=phu!$I$96,M1112=phu!$I$97,M1112=phu!$I$98,M1112=phu!$I$99,M1112=phu!$I$100),"Huyện khác",""),IF(OR(M1112=phu!$I$101,M1112=phu!$I$102),"Tỉnh khác",""))</f>
        <v/>
      </c>
      <c r="O1112" s="814" t="str">
        <f t="shared" si="103"/>
        <v/>
      </c>
      <c r="P1112" s="254"/>
      <c r="Q1112" s="254"/>
      <c r="R1112" s="254"/>
      <c r="S1112" s="254"/>
      <c r="T1112" s="254"/>
      <c r="U1112" s="254"/>
      <c r="V1112" s="254"/>
      <c r="W1112" s="254"/>
      <c r="Y1112" s="246" t="str">
        <f t="shared" si="104"/>
        <v/>
      </c>
      <c r="Z1112" s="247" t="str">
        <f t="shared" si="102"/>
        <v/>
      </c>
      <c r="AA1112" s="246" t="str">
        <f t="shared" si="105"/>
        <v/>
      </c>
    </row>
    <row r="1113" spans="1:27" x14ac:dyDescent="0.25">
      <c r="A1113" s="248" t="str">
        <f t="shared" si="106"/>
        <v/>
      </c>
      <c r="B1113" s="249" t="str">
        <f t="shared" si="107"/>
        <v/>
      </c>
      <c r="C1113" s="250"/>
      <c r="D1113" s="251"/>
      <c r="E1113" s="241"/>
      <c r="F1113" s="252"/>
      <c r="G1113" s="252"/>
      <c r="H1113" s="253"/>
      <c r="I1113" s="250"/>
      <c r="J1113" s="250"/>
      <c r="K1113" s="270"/>
      <c r="L1113" s="250"/>
      <c r="M1113" s="250"/>
      <c r="N1113" s="553" t="str">
        <f>CONCATENATE(IF(OR(M1113=phu!$I$1,M1113=phu!$I$2,M1113=phu!$I$3),"Cam Thành Nam",""),IF(OR(M1113=phu!$I$4,M1113=phu!$I$5,M1113=phu!$I$6,M1113=phu!$I$7,M1113=phu!$I$8,M1113=phu!$I$9,M1113=phu!$I$10,M1113=phu!$I$11,M1113=phu!$I$12,M1113=phu!$I$13,M1113=phu!$I$14),"Cam Nghĩa",""),IF(OR(M1113=phu!$I$15,M1113=phu!$I$16,M1113=phu!$I$17,M1113=phu!$I$18,M1113=phu!$I$19,M1113=phu!$I$20,M1113=phu!$I$21),"Cam Phúc Bắc",""),IF(OR(M1113=phu!$I$22,M1113=phu!$I$23,M1113=phu!$I$24,M1113=phu!$I$25),"Cam Phúc Nam",""),IF(OR(M1113=phu!$I$26,M1113=phu!$I$27,M1113=phu!$I$28,M1113=phu!$I$29,M1113=phu!$I$30,M1113=phu!$I$31),"Cam Phú",""),IF(OR(M1113=phu!$I$32,M1113=phu!$I$33,M1113=phu!$I$34,M1113=phu!$I$35,M1113=phu!$I$36,M1113=phu!$I$37),"Cam Lộc",""),IF(OR(M1113=phu!$I$38,M1113=phu!$I$39,M1113=phu!$I$40,M1113=phu!$I$41,M1113=phu!$I$42,M1113=phu!$I$43,M1113=phu!$I$44),"Cam Thuận",""),IF(OR(M1113=phu!$I$45,M1113=phu!$I$46,M1113=phu!$I$47,M1113=phu!$I$48,M1113=phu!$I$49,M1113=phu!$I$50,M1113=phu!$I$51,M1113=phu!$I$52,M1113=phu!$I$53),"Cam Linh",""),IF(OR(M1113=phu!$I$54,M1113=phu!$I$55,M1113=phu!$I$56,M1113=phu!$I$57,M1113=phu!$I$58,M1113=phu!$I$59,M1113=phu!$I$60,M1113=phu!$I$61,M1113=phu!$I$62),"Cam Lợi",""),IF(OR(M1113=phu!$I$63,M1113=phu!$I$64,M1113=phu!$I$65,M1113=phu!$I$66,M1113=phu!$I$67,M1113=phu!$I$68,M1113=phu!$I$69,M1113=phu!$I$70,M1113=phu!$I$71),"Ba Ngòi",""),IF(OR(M1113=phu!$I$72,M1113=phu!$I$73,M1113=phu!$I$74,M1113=phu!$I$75,M1113=phu!$I$76,M1113=phu!$I$77,M1113=phu!$I$78),"Cam Phước Đông",""),IF(OR(M1113=phu!$I$79,M1113=phu!$I$80,M1113=phu!$I$81,M1113=phu!$I$82,M1113=phu!$I$83,M1113=phu!$I$84),"Cam Thịnh Đông",""),IF(OR(M1113=phu!$I$85,M1113=phu!$I$86,M1113=phu!$I$87,M1113=phu!$I$88),"Cam Thịnh Tây",""),IF(OR(M1113=phu!$I$89,M1113=phu!$I$90),"Cam Lập",""),IF(OR(M1113=phu!$I$91,M1113=phu!$I$92,M1113=phu!$I$93),"Cam Bình",""),IF(OR(M1113=phu!$I$94,M1113=phu!$I$95,M1113=phu!$I$96,M1113=phu!$I$97,M1113=phu!$I$98,M1113=phu!$I$99,M1113=phu!$I$100),"Huyện khác",""),IF(OR(M1113=phu!$I$101,M1113=phu!$I$102),"Tỉnh khác",""))</f>
        <v/>
      </c>
      <c r="O1113" s="814" t="str">
        <f t="shared" si="103"/>
        <v/>
      </c>
      <c r="P1113" s="254"/>
      <c r="Q1113" s="254"/>
      <c r="R1113" s="254"/>
      <c r="S1113" s="254"/>
      <c r="T1113" s="254"/>
      <c r="U1113" s="254"/>
      <c r="V1113" s="254"/>
      <c r="W1113" s="254"/>
      <c r="Y1113" s="246" t="str">
        <f t="shared" si="104"/>
        <v/>
      </c>
      <c r="Z1113" s="247" t="str">
        <f t="shared" si="102"/>
        <v/>
      </c>
      <c r="AA1113" s="246" t="str">
        <f t="shared" si="105"/>
        <v/>
      </c>
    </row>
    <row r="1114" spans="1:27" x14ac:dyDescent="0.25">
      <c r="A1114" s="248" t="str">
        <f t="shared" si="106"/>
        <v/>
      </c>
      <c r="B1114" s="249" t="str">
        <f t="shared" si="107"/>
        <v/>
      </c>
      <c r="C1114" s="250"/>
      <c r="D1114" s="251"/>
      <c r="E1114" s="241"/>
      <c r="F1114" s="252"/>
      <c r="G1114" s="252"/>
      <c r="H1114" s="253"/>
      <c r="I1114" s="250"/>
      <c r="J1114" s="250"/>
      <c r="K1114" s="270"/>
      <c r="L1114" s="250"/>
      <c r="M1114" s="250"/>
      <c r="N1114" s="553" t="str">
        <f>CONCATENATE(IF(OR(M1114=phu!$I$1,M1114=phu!$I$2,M1114=phu!$I$3),"Cam Thành Nam",""),IF(OR(M1114=phu!$I$4,M1114=phu!$I$5,M1114=phu!$I$6,M1114=phu!$I$7,M1114=phu!$I$8,M1114=phu!$I$9,M1114=phu!$I$10,M1114=phu!$I$11,M1114=phu!$I$12,M1114=phu!$I$13,M1114=phu!$I$14),"Cam Nghĩa",""),IF(OR(M1114=phu!$I$15,M1114=phu!$I$16,M1114=phu!$I$17,M1114=phu!$I$18,M1114=phu!$I$19,M1114=phu!$I$20,M1114=phu!$I$21),"Cam Phúc Bắc",""),IF(OR(M1114=phu!$I$22,M1114=phu!$I$23,M1114=phu!$I$24,M1114=phu!$I$25),"Cam Phúc Nam",""),IF(OR(M1114=phu!$I$26,M1114=phu!$I$27,M1114=phu!$I$28,M1114=phu!$I$29,M1114=phu!$I$30,M1114=phu!$I$31),"Cam Phú",""),IF(OR(M1114=phu!$I$32,M1114=phu!$I$33,M1114=phu!$I$34,M1114=phu!$I$35,M1114=phu!$I$36,M1114=phu!$I$37),"Cam Lộc",""),IF(OR(M1114=phu!$I$38,M1114=phu!$I$39,M1114=phu!$I$40,M1114=phu!$I$41,M1114=phu!$I$42,M1114=phu!$I$43,M1114=phu!$I$44),"Cam Thuận",""),IF(OR(M1114=phu!$I$45,M1114=phu!$I$46,M1114=phu!$I$47,M1114=phu!$I$48,M1114=phu!$I$49,M1114=phu!$I$50,M1114=phu!$I$51,M1114=phu!$I$52,M1114=phu!$I$53),"Cam Linh",""),IF(OR(M1114=phu!$I$54,M1114=phu!$I$55,M1114=phu!$I$56,M1114=phu!$I$57,M1114=phu!$I$58,M1114=phu!$I$59,M1114=phu!$I$60,M1114=phu!$I$61,M1114=phu!$I$62),"Cam Lợi",""),IF(OR(M1114=phu!$I$63,M1114=phu!$I$64,M1114=phu!$I$65,M1114=phu!$I$66,M1114=phu!$I$67,M1114=phu!$I$68,M1114=phu!$I$69,M1114=phu!$I$70,M1114=phu!$I$71),"Ba Ngòi",""),IF(OR(M1114=phu!$I$72,M1114=phu!$I$73,M1114=phu!$I$74,M1114=phu!$I$75,M1114=phu!$I$76,M1114=phu!$I$77,M1114=phu!$I$78),"Cam Phước Đông",""),IF(OR(M1114=phu!$I$79,M1114=phu!$I$80,M1114=phu!$I$81,M1114=phu!$I$82,M1114=phu!$I$83,M1114=phu!$I$84),"Cam Thịnh Đông",""),IF(OR(M1114=phu!$I$85,M1114=phu!$I$86,M1114=phu!$I$87,M1114=phu!$I$88),"Cam Thịnh Tây",""),IF(OR(M1114=phu!$I$89,M1114=phu!$I$90),"Cam Lập",""),IF(OR(M1114=phu!$I$91,M1114=phu!$I$92,M1114=phu!$I$93),"Cam Bình",""),IF(OR(M1114=phu!$I$94,M1114=phu!$I$95,M1114=phu!$I$96,M1114=phu!$I$97,M1114=phu!$I$98,M1114=phu!$I$99,M1114=phu!$I$100),"Huyện khác",""),IF(OR(M1114=phu!$I$101,M1114=phu!$I$102),"Tỉnh khác",""))</f>
        <v/>
      </c>
      <c r="O1114" s="814" t="str">
        <f t="shared" si="103"/>
        <v/>
      </c>
      <c r="P1114" s="254"/>
      <c r="Q1114" s="254"/>
      <c r="R1114" s="254"/>
      <c r="S1114" s="254"/>
      <c r="T1114" s="254"/>
      <c r="U1114" s="254"/>
      <c r="V1114" s="254"/>
      <c r="W1114" s="254"/>
      <c r="Y1114" s="246" t="str">
        <f t="shared" si="104"/>
        <v/>
      </c>
      <c r="Z1114" s="247" t="str">
        <f t="shared" si="102"/>
        <v/>
      </c>
      <c r="AA1114" s="246" t="str">
        <f t="shared" si="105"/>
        <v/>
      </c>
    </row>
    <row r="1115" spans="1:27" x14ac:dyDescent="0.25">
      <c r="A1115" s="248" t="str">
        <f t="shared" si="106"/>
        <v/>
      </c>
      <c r="B1115" s="249" t="str">
        <f t="shared" si="107"/>
        <v/>
      </c>
      <c r="C1115" s="250"/>
      <c r="D1115" s="251"/>
      <c r="E1115" s="241"/>
      <c r="F1115" s="252"/>
      <c r="G1115" s="252"/>
      <c r="H1115" s="253"/>
      <c r="I1115" s="250"/>
      <c r="J1115" s="250"/>
      <c r="K1115" s="270"/>
      <c r="L1115" s="250"/>
      <c r="M1115" s="250"/>
      <c r="N1115" s="553" t="str">
        <f>CONCATENATE(IF(OR(M1115=phu!$I$1,M1115=phu!$I$2,M1115=phu!$I$3),"Cam Thành Nam",""),IF(OR(M1115=phu!$I$4,M1115=phu!$I$5,M1115=phu!$I$6,M1115=phu!$I$7,M1115=phu!$I$8,M1115=phu!$I$9,M1115=phu!$I$10,M1115=phu!$I$11,M1115=phu!$I$12,M1115=phu!$I$13,M1115=phu!$I$14),"Cam Nghĩa",""),IF(OR(M1115=phu!$I$15,M1115=phu!$I$16,M1115=phu!$I$17,M1115=phu!$I$18,M1115=phu!$I$19,M1115=phu!$I$20,M1115=phu!$I$21),"Cam Phúc Bắc",""),IF(OR(M1115=phu!$I$22,M1115=phu!$I$23,M1115=phu!$I$24,M1115=phu!$I$25),"Cam Phúc Nam",""),IF(OR(M1115=phu!$I$26,M1115=phu!$I$27,M1115=phu!$I$28,M1115=phu!$I$29,M1115=phu!$I$30,M1115=phu!$I$31),"Cam Phú",""),IF(OR(M1115=phu!$I$32,M1115=phu!$I$33,M1115=phu!$I$34,M1115=phu!$I$35,M1115=phu!$I$36,M1115=phu!$I$37),"Cam Lộc",""),IF(OR(M1115=phu!$I$38,M1115=phu!$I$39,M1115=phu!$I$40,M1115=phu!$I$41,M1115=phu!$I$42,M1115=phu!$I$43,M1115=phu!$I$44),"Cam Thuận",""),IF(OR(M1115=phu!$I$45,M1115=phu!$I$46,M1115=phu!$I$47,M1115=phu!$I$48,M1115=phu!$I$49,M1115=phu!$I$50,M1115=phu!$I$51,M1115=phu!$I$52,M1115=phu!$I$53),"Cam Linh",""),IF(OR(M1115=phu!$I$54,M1115=phu!$I$55,M1115=phu!$I$56,M1115=phu!$I$57,M1115=phu!$I$58,M1115=phu!$I$59,M1115=phu!$I$60,M1115=phu!$I$61,M1115=phu!$I$62),"Cam Lợi",""),IF(OR(M1115=phu!$I$63,M1115=phu!$I$64,M1115=phu!$I$65,M1115=phu!$I$66,M1115=phu!$I$67,M1115=phu!$I$68,M1115=phu!$I$69,M1115=phu!$I$70,M1115=phu!$I$71),"Ba Ngòi",""),IF(OR(M1115=phu!$I$72,M1115=phu!$I$73,M1115=phu!$I$74,M1115=phu!$I$75,M1115=phu!$I$76,M1115=phu!$I$77,M1115=phu!$I$78),"Cam Phước Đông",""),IF(OR(M1115=phu!$I$79,M1115=phu!$I$80,M1115=phu!$I$81,M1115=phu!$I$82,M1115=phu!$I$83,M1115=phu!$I$84),"Cam Thịnh Đông",""),IF(OR(M1115=phu!$I$85,M1115=phu!$I$86,M1115=phu!$I$87,M1115=phu!$I$88),"Cam Thịnh Tây",""),IF(OR(M1115=phu!$I$89,M1115=phu!$I$90),"Cam Lập",""),IF(OR(M1115=phu!$I$91,M1115=phu!$I$92,M1115=phu!$I$93),"Cam Bình",""),IF(OR(M1115=phu!$I$94,M1115=phu!$I$95,M1115=phu!$I$96,M1115=phu!$I$97,M1115=phu!$I$98,M1115=phu!$I$99,M1115=phu!$I$100),"Huyện khác",""),IF(OR(M1115=phu!$I$101,M1115=phu!$I$102),"Tỉnh khác",""))</f>
        <v/>
      </c>
      <c r="O1115" s="814" t="str">
        <f t="shared" si="103"/>
        <v/>
      </c>
      <c r="P1115" s="254"/>
      <c r="Q1115" s="254"/>
      <c r="R1115" s="254"/>
      <c r="S1115" s="254"/>
      <c r="T1115" s="254"/>
      <c r="U1115" s="254"/>
      <c r="V1115" s="254"/>
      <c r="W1115" s="254"/>
      <c r="Y1115" s="246" t="str">
        <f t="shared" si="104"/>
        <v/>
      </c>
      <c r="Z1115" s="247" t="str">
        <f t="shared" si="102"/>
        <v/>
      </c>
      <c r="AA1115" s="246" t="str">
        <f t="shared" si="105"/>
        <v/>
      </c>
    </row>
    <row r="1116" spans="1:27" x14ac:dyDescent="0.25">
      <c r="A1116" s="248" t="str">
        <f t="shared" si="106"/>
        <v/>
      </c>
      <c r="B1116" s="249" t="str">
        <f t="shared" si="107"/>
        <v/>
      </c>
      <c r="C1116" s="250"/>
      <c r="D1116" s="251"/>
      <c r="E1116" s="241"/>
      <c r="F1116" s="252"/>
      <c r="G1116" s="252"/>
      <c r="H1116" s="253"/>
      <c r="I1116" s="250"/>
      <c r="J1116" s="250"/>
      <c r="K1116" s="270"/>
      <c r="L1116" s="250"/>
      <c r="M1116" s="250"/>
      <c r="N1116" s="553" t="str">
        <f>CONCATENATE(IF(OR(M1116=phu!$I$1,M1116=phu!$I$2,M1116=phu!$I$3),"Cam Thành Nam",""),IF(OR(M1116=phu!$I$4,M1116=phu!$I$5,M1116=phu!$I$6,M1116=phu!$I$7,M1116=phu!$I$8,M1116=phu!$I$9,M1116=phu!$I$10,M1116=phu!$I$11,M1116=phu!$I$12,M1116=phu!$I$13,M1116=phu!$I$14),"Cam Nghĩa",""),IF(OR(M1116=phu!$I$15,M1116=phu!$I$16,M1116=phu!$I$17,M1116=phu!$I$18,M1116=phu!$I$19,M1116=phu!$I$20,M1116=phu!$I$21),"Cam Phúc Bắc",""),IF(OR(M1116=phu!$I$22,M1116=phu!$I$23,M1116=phu!$I$24,M1116=phu!$I$25),"Cam Phúc Nam",""),IF(OR(M1116=phu!$I$26,M1116=phu!$I$27,M1116=phu!$I$28,M1116=phu!$I$29,M1116=phu!$I$30,M1116=phu!$I$31),"Cam Phú",""),IF(OR(M1116=phu!$I$32,M1116=phu!$I$33,M1116=phu!$I$34,M1116=phu!$I$35,M1116=phu!$I$36,M1116=phu!$I$37),"Cam Lộc",""),IF(OR(M1116=phu!$I$38,M1116=phu!$I$39,M1116=phu!$I$40,M1116=phu!$I$41,M1116=phu!$I$42,M1116=phu!$I$43,M1116=phu!$I$44),"Cam Thuận",""),IF(OR(M1116=phu!$I$45,M1116=phu!$I$46,M1116=phu!$I$47,M1116=phu!$I$48,M1116=phu!$I$49,M1116=phu!$I$50,M1116=phu!$I$51,M1116=phu!$I$52,M1116=phu!$I$53),"Cam Linh",""),IF(OR(M1116=phu!$I$54,M1116=phu!$I$55,M1116=phu!$I$56,M1116=phu!$I$57,M1116=phu!$I$58,M1116=phu!$I$59,M1116=phu!$I$60,M1116=phu!$I$61,M1116=phu!$I$62),"Cam Lợi",""),IF(OR(M1116=phu!$I$63,M1116=phu!$I$64,M1116=phu!$I$65,M1116=phu!$I$66,M1116=phu!$I$67,M1116=phu!$I$68,M1116=phu!$I$69,M1116=phu!$I$70,M1116=phu!$I$71),"Ba Ngòi",""),IF(OR(M1116=phu!$I$72,M1116=phu!$I$73,M1116=phu!$I$74,M1116=phu!$I$75,M1116=phu!$I$76,M1116=phu!$I$77,M1116=phu!$I$78),"Cam Phước Đông",""),IF(OR(M1116=phu!$I$79,M1116=phu!$I$80,M1116=phu!$I$81,M1116=phu!$I$82,M1116=phu!$I$83,M1116=phu!$I$84),"Cam Thịnh Đông",""),IF(OR(M1116=phu!$I$85,M1116=phu!$I$86,M1116=phu!$I$87,M1116=phu!$I$88),"Cam Thịnh Tây",""),IF(OR(M1116=phu!$I$89,M1116=phu!$I$90),"Cam Lập",""),IF(OR(M1116=phu!$I$91,M1116=phu!$I$92,M1116=phu!$I$93),"Cam Bình",""),IF(OR(M1116=phu!$I$94,M1116=phu!$I$95,M1116=phu!$I$96,M1116=phu!$I$97,M1116=phu!$I$98,M1116=phu!$I$99,M1116=phu!$I$100),"Huyện khác",""),IF(OR(M1116=phu!$I$101,M1116=phu!$I$102),"Tỉnh khác",""))</f>
        <v/>
      </c>
      <c r="O1116" s="814" t="str">
        <f t="shared" si="103"/>
        <v/>
      </c>
      <c r="P1116" s="254"/>
      <c r="Q1116" s="254"/>
      <c r="R1116" s="254"/>
      <c r="S1116" s="254"/>
      <c r="T1116" s="254"/>
      <c r="U1116" s="254"/>
      <c r="V1116" s="254"/>
      <c r="W1116" s="254"/>
      <c r="Y1116" s="246" t="str">
        <f t="shared" si="104"/>
        <v/>
      </c>
      <c r="Z1116" s="247" t="str">
        <f t="shared" si="102"/>
        <v/>
      </c>
      <c r="AA1116" s="246" t="str">
        <f t="shared" si="105"/>
        <v/>
      </c>
    </row>
    <row r="1117" spans="1:27" x14ac:dyDescent="0.25">
      <c r="A1117" s="248" t="str">
        <f t="shared" si="106"/>
        <v/>
      </c>
      <c r="B1117" s="249" t="str">
        <f t="shared" si="107"/>
        <v/>
      </c>
      <c r="C1117" s="250"/>
      <c r="D1117" s="251"/>
      <c r="E1117" s="241"/>
      <c r="F1117" s="252"/>
      <c r="G1117" s="252"/>
      <c r="H1117" s="253"/>
      <c r="I1117" s="250"/>
      <c r="J1117" s="250"/>
      <c r="K1117" s="270"/>
      <c r="L1117" s="250"/>
      <c r="M1117" s="250"/>
      <c r="N1117" s="553" t="str">
        <f>CONCATENATE(IF(OR(M1117=phu!$I$1,M1117=phu!$I$2,M1117=phu!$I$3),"Cam Thành Nam",""),IF(OR(M1117=phu!$I$4,M1117=phu!$I$5,M1117=phu!$I$6,M1117=phu!$I$7,M1117=phu!$I$8,M1117=phu!$I$9,M1117=phu!$I$10,M1117=phu!$I$11,M1117=phu!$I$12,M1117=phu!$I$13,M1117=phu!$I$14),"Cam Nghĩa",""),IF(OR(M1117=phu!$I$15,M1117=phu!$I$16,M1117=phu!$I$17,M1117=phu!$I$18,M1117=phu!$I$19,M1117=phu!$I$20,M1117=phu!$I$21),"Cam Phúc Bắc",""),IF(OR(M1117=phu!$I$22,M1117=phu!$I$23,M1117=phu!$I$24,M1117=phu!$I$25),"Cam Phúc Nam",""),IF(OR(M1117=phu!$I$26,M1117=phu!$I$27,M1117=phu!$I$28,M1117=phu!$I$29,M1117=phu!$I$30,M1117=phu!$I$31),"Cam Phú",""),IF(OR(M1117=phu!$I$32,M1117=phu!$I$33,M1117=phu!$I$34,M1117=phu!$I$35,M1117=phu!$I$36,M1117=phu!$I$37),"Cam Lộc",""),IF(OR(M1117=phu!$I$38,M1117=phu!$I$39,M1117=phu!$I$40,M1117=phu!$I$41,M1117=phu!$I$42,M1117=phu!$I$43,M1117=phu!$I$44),"Cam Thuận",""),IF(OR(M1117=phu!$I$45,M1117=phu!$I$46,M1117=phu!$I$47,M1117=phu!$I$48,M1117=phu!$I$49,M1117=phu!$I$50,M1117=phu!$I$51,M1117=phu!$I$52,M1117=phu!$I$53),"Cam Linh",""),IF(OR(M1117=phu!$I$54,M1117=phu!$I$55,M1117=phu!$I$56,M1117=phu!$I$57,M1117=phu!$I$58,M1117=phu!$I$59,M1117=phu!$I$60,M1117=phu!$I$61,M1117=phu!$I$62),"Cam Lợi",""),IF(OR(M1117=phu!$I$63,M1117=phu!$I$64,M1117=phu!$I$65,M1117=phu!$I$66,M1117=phu!$I$67,M1117=phu!$I$68,M1117=phu!$I$69,M1117=phu!$I$70,M1117=phu!$I$71),"Ba Ngòi",""),IF(OR(M1117=phu!$I$72,M1117=phu!$I$73,M1117=phu!$I$74,M1117=phu!$I$75,M1117=phu!$I$76,M1117=phu!$I$77,M1117=phu!$I$78),"Cam Phước Đông",""),IF(OR(M1117=phu!$I$79,M1117=phu!$I$80,M1117=phu!$I$81,M1117=phu!$I$82,M1117=phu!$I$83,M1117=phu!$I$84),"Cam Thịnh Đông",""),IF(OR(M1117=phu!$I$85,M1117=phu!$I$86,M1117=phu!$I$87,M1117=phu!$I$88),"Cam Thịnh Tây",""),IF(OR(M1117=phu!$I$89,M1117=phu!$I$90),"Cam Lập",""),IF(OR(M1117=phu!$I$91,M1117=phu!$I$92,M1117=phu!$I$93),"Cam Bình",""),IF(OR(M1117=phu!$I$94,M1117=phu!$I$95,M1117=phu!$I$96,M1117=phu!$I$97,M1117=phu!$I$98,M1117=phu!$I$99,M1117=phu!$I$100),"Huyện khác",""),IF(OR(M1117=phu!$I$101,M1117=phu!$I$102),"Tỉnh khác",""))</f>
        <v/>
      </c>
      <c r="O1117" s="814" t="str">
        <f t="shared" si="103"/>
        <v/>
      </c>
      <c r="P1117" s="254"/>
      <c r="Q1117" s="254"/>
      <c r="R1117" s="254"/>
      <c r="S1117" s="254"/>
      <c r="T1117" s="254"/>
      <c r="U1117" s="254"/>
      <c r="V1117" s="254"/>
      <c r="W1117" s="254"/>
      <c r="Y1117" s="246" t="str">
        <f t="shared" si="104"/>
        <v/>
      </c>
      <c r="Z1117" s="247" t="str">
        <f t="shared" si="102"/>
        <v/>
      </c>
      <c r="AA1117" s="246" t="str">
        <f t="shared" si="105"/>
        <v/>
      </c>
    </row>
    <row r="1118" spans="1:27" x14ac:dyDescent="0.25">
      <c r="A1118" s="248" t="str">
        <f t="shared" si="106"/>
        <v/>
      </c>
      <c r="B1118" s="249" t="str">
        <f t="shared" si="107"/>
        <v/>
      </c>
      <c r="C1118" s="250"/>
      <c r="D1118" s="251"/>
      <c r="E1118" s="241"/>
      <c r="F1118" s="252"/>
      <c r="G1118" s="252"/>
      <c r="H1118" s="253"/>
      <c r="I1118" s="250"/>
      <c r="J1118" s="250"/>
      <c r="K1118" s="270"/>
      <c r="L1118" s="250"/>
      <c r="M1118" s="250"/>
      <c r="N1118" s="553" t="str">
        <f>CONCATENATE(IF(OR(M1118=phu!$I$1,M1118=phu!$I$2,M1118=phu!$I$3),"Cam Thành Nam",""),IF(OR(M1118=phu!$I$4,M1118=phu!$I$5,M1118=phu!$I$6,M1118=phu!$I$7,M1118=phu!$I$8,M1118=phu!$I$9,M1118=phu!$I$10,M1118=phu!$I$11,M1118=phu!$I$12,M1118=phu!$I$13,M1118=phu!$I$14),"Cam Nghĩa",""),IF(OR(M1118=phu!$I$15,M1118=phu!$I$16,M1118=phu!$I$17,M1118=phu!$I$18,M1118=phu!$I$19,M1118=phu!$I$20,M1118=phu!$I$21),"Cam Phúc Bắc",""),IF(OR(M1118=phu!$I$22,M1118=phu!$I$23,M1118=phu!$I$24,M1118=phu!$I$25),"Cam Phúc Nam",""),IF(OR(M1118=phu!$I$26,M1118=phu!$I$27,M1118=phu!$I$28,M1118=phu!$I$29,M1118=phu!$I$30,M1118=phu!$I$31),"Cam Phú",""),IF(OR(M1118=phu!$I$32,M1118=phu!$I$33,M1118=phu!$I$34,M1118=phu!$I$35,M1118=phu!$I$36,M1118=phu!$I$37),"Cam Lộc",""),IF(OR(M1118=phu!$I$38,M1118=phu!$I$39,M1118=phu!$I$40,M1118=phu!$I$41,M1118=phu!$I$42,M1118=phu!$I$43,M1118=phu!$I$44),"Cam Thuận",""),IF(OR(M1118=phu!$I$45,M1118=phu!$I$46,M1118=phu!$I$47,M1118=phu!$I$48,M1118=phu!$I$49,M1118=phu!$I$50,M1118=phu!$I$51,M1118=phu!$I$52,M1118=phu!$I$53),"Cam Linh",""),IF(OR(M1118=phu!$I$54,M1118=phu!$I$55,M1118=phu!$I$56,M1118=phu!$I$57,M1118=phu!$I$58,M1118=phu!$I$59,M1118=phu!$I$60,M1118=phu!$I$61,M1118=phu!$I$62),"Cam Lợi",""),IF(OR(M1118=phu!$I$63,M1118=phu!$I$64,M1118=phu!$I$65,M1118=phu!$I$66,M1118=phu!$I$67,M1118=phu!$I$68,M1118=phu!$I$69,M1118=phu!$I$70,M1118=phu!$I$71),"Ba Ngòi",""),IF(OR(M1118=phu!$I$72,M1118=phu!$I$73,M1118=phu!$I$74,M1118=phu!$I$75,M1118=phu!$I$76,M1118=phu!$I$77,M1118=phu!$I$78),"Cam Phước Đông",""),IF(OR(M1118=phu!$I$79,M1118=phu!$I$80,M1118=phu!$I$81,M1118=phu!$I$82,M1118=phu!$I$83,M1118=phu!$I$84),"Cam Thịnh Đông",""),IF(OR(M1118=phu!$I$85,M1118=phu!$I$86,M1118=phu!$I$87,M1118=phu!$I$88),"Cam Thịnh Tây",""),IF(OR(M1118=phu!$I$89,M1118=phu!$I$90),"Cam Lập",""),IF(OR(M1118=phu!$I$91,M1118=phu!$I$92,M1118=phu!$I$93),"Cam Bình",""),IF(OR(M1118=phu!$I$94,M1118=phu!$I$95,M1118=phu!$I$96,M1118=phu!$I$97,M1118=phu!$I$98,M1118=phu!$I$99,M1118=phu!$I$100),"Huyện khác",""),IF(OR(M1118=phu!$I$101,M1118=phu!$I$102),"Tỉnh khác",""))</f>
        <v/>
      </c>
      <c r="O1118" s="814" t="str">
        <f t="shared" si="103"/>
        <v/>
      </c>
      <c r="P1118" s="254"/>
      <c r="Q1118" s="254"/>
      <c r="R1118" s="254"/>
      <c r="S1118" s="254"/>
      <c r="T1118" s="254"/>
      <c r="U1118" s="254"/>
      <c r="V1118" s="254"/>
      <c r="W1118" s="254"/>
      <c r="Y1118" s="246" t="str">
        <f t="shared" si="104"/>
        <v/>
      </c>
      <c r="Z1118" s="247" t="str">
        <f t="shared" si="102"/>
        <v/>
      </c>
      <c r="AA1118" s="246" t="str">
        <f t="shared" si="105"/>
        <v/>
      </c>
    </row>
    <row r="1119" spans="1:27" x14ac:dyDescent="0.25">
      <c r="A1119" s="248" t="str">
        <f t="shared" si="106"/>
        <v/>
      </c>
      <c r="B1119" s="249" t="str">
        <f t="shared" si="107"/>
        <v/>
      </c>
      <c r="C1119" s="250"/>
      <c r="D1119" s="251"/>
      <c r="E1119" s="241"/>
      <c r="F1119" s="252"/>
      <c r="G1119" s="252"/>
      <c r="H1119" s="253"/>
      <c r="I1119" s="250"/>
      <c r="J1119" s="250"/>
      <c r="K1119" s="270"/>
      <c r="L1119" s="250"/>
      <c r="M1119" s="250"/>
      <c r="N1119" s="553" t="str">
        <f>CONCATENATE(IF(OR(M1119=phu!$I$1,M1119=phu!$I$2,M1119=phu!$I$3),"Cam Thành Nam",""),IF(OR(M1119=phu!$I$4,M1119=phu!$I$5,M1119=phu!$I$6,M1119=phu!$I$7,M1119=phu!$I$8,M1119=phu!$I$9,M1119=phu!$I$10,M1119=phu!$I$11,M1119=phu!$I$12,M1119=phu!$I$13,M1119=phu!$I$14),"Cam Nghĩa",""),IF(OR(M1119=phu!$I$15,M1119=phu!$I$16,M1119=phu!$I$17,M1119=phu!$I$18,M1119=phu!$I$19,M1119=phu!$I$20,M1119=phu!$I$21),"Cam Phúc Bắc",""),IF(OR(M1119=phu!$I$22,M1119=phu!$I$23,M1119=phu!$I$24,M1119=phu!$I$25),"Cam Phúc Nam",""),IF(OR(M1119=phu!$I$26,M1119=phu!$I$27,M1119=phu!$I$28,M1119=phu!$I$29,M1119=phu!$I$30,M1119=phu!$I$31),"Cam Phú",""),IF(OR(M1119=phu!$I$32,M1119=phu!$I$33,M1119=phu!$I$34,M1119=phu!$I$35,M1119=phu!$I$36,M1119=phu!$I$37),"Cam Lộc",""),IF(OR(M1119=phu!$I$38,M1119=phu!$I$39,M1119=phu!$I$40,M1119=phu!$I$41,M1119=phu!$I$42,M1119=phu!$I$43,M1119=phu!$I$44),"Cam Thuận",""),IF(OR(M1119=phu!$I$45,M1119=phu!$I$46,M1119=phu!$I$47,M1119=phu!$I$48,M1119=phu!$I$49,M1119=phu!$I$50,M1119=phu!$I$51,M1119=phu!$I$52,M1119=phu!$I$53),"Cam Linh",""),IF(OR(M1119=phu!$I$54,M1119=phu!$I$55,M1119=phu!$I$56,M1119=phu!$I$57,M1119=phu!$I$58,M1119=phu!$I$59,M1119=phu!$I$60,M1119=phu!$I$61,M1119=phu!$I$62),"Cam Lợi",""),IF(OR(M1119=phu!$I$63,M1119=phu!$I$64,M1119=phu!$I$65,M1119=phu!$I$66,M1119=phu!$I$67,M1119=phu!$I$68,M1119=phu!$I$69,M1119=phu!$I$70,M1119=phu!$I$71),"Ba Ngòi",""),IF(OR(M1119=phu!$I$72,M1119=phu!$I$73,M1119=phu!$I$74,M1119=phu!$I$75,M1119=phu!$I$76,M1119=phu!$I$77,M1119=phu!$I$78),"Cam Phước Đông",""),IF(OR(M1119=phu!$I$79,M1119=phu!$I$80,M1119=phu!$I$81,M1119=phu!$I$82,M1119=phu!$I$83,M1119=phu!$I$84),"Cam Thịnh Đông",""),IF(OR(M1119=phu!$I$85,M1119=phu!$I$86,M1119=phu!$I$87,M1119=phu!$I$88),"Cam Thịnh Tây",""),IF(OR(M1119=phu!$I$89,M1119=phu!$I$90),"Cam Lập",""),IF(OR(M1119=phu!$I$91,M1119=phu!$I$92,M1119=phu!$I$93),"Cam Bình",""),IF(OR(M1119=phu!$I$94,M1119=phu!$I$95,M1119=phu!$I$96,M1119=phu!$I$97,M1119=phu!$I$98,M1119=phu!$I$99,M1119=phu!$I$100),"Huyện khác",""),IF(OR(M1119=phu!$I$101,M1119=phu!$I$102),"Tỉnh khác",""))</f>
        <v/>
      </c>
      <c r="O1119" s="814" t="str">
        <f t="shared" si="103"/>
        <v/>
      </c>
      <c r="P1119" s="254"/>
      <c r="Q1119" s="254"/>
      <c r="R1119" s="254"/>
      <c r="S1119" s="254"/>
      <c r="T1119" s="254"/>
      <c r="U1119" s="254"/>
      <c r="V1119" s="254"/>
      <c r="W1119" s="254"/>
      <c r="Y1119" s="246" t="str">
        <f t="shared" si="104"/>
        <v/>
      </c>
      <c r="Z1119" s="247" t="str">
        <f t="shared" si="102"/>
        <v/>
      </c>
      <c r="AA1119" s="246" t="str">
        <f t="shared" si="105"/>
        <v/>
      </c>
    </row>
    <row r="1120" spans="1:27" x14ac:dyDescent="0.25">
      <c r="A1120" s="248" t="str">
        <f t="shared" si="106"/>
        <v/>
      </c>
      <c r="B1120" s="249" t="str">
        <f t="shared" si="107"/>
        <v/>
      </c>
      <c r="C1120" s="250"/>
      <c r="D1120" s="251"/>
      <c r="E1120" s="241"/>
      <c r="F1120" s="252"/>
      <c r="G1120" s="252"/>
      <c r="H1120" s="253"/>
      <c r="I1120" s="250"/>
      <c r="J1120" s="250"/>
      <c r="K1120" s="270"/>
      <c r="L1120" s="250"/>
      <c r="M1120" s="250"/>
      <c r="N1120" s="553" t="str">
        <f>CONCATENATE(IF(OR(M1120=phu!$I$1,M1120=phu!$I$2,M1120=phu!$I$3),"Cam Thành Nam",""),IF(OR(M1120=phu!$I$4,M1120=phu!$I$5,M1120=phu!$I$6,M1120=phu!$I$7,M1120=phu!$I$8,M1120=phu!$I$9,M1120=phu!$I$10,M1120=phu!$I$11,M1120=phu!$I$12,M1120=phu!$I$13,M1120=phu!$I$14),"Cam Nghĩa",""),IF(OR(M1120=phu!$I$15,M1120=phu!$I$16,M1120=phu!$I$17,M1120=phu!$I$18,M1120=phu!$I$19,M1120=phu!$I$20,M1120=phu!$I$21),"Cam Phúc Bắc",""),IF(OR(M1120=phu!$I$22,M1120=phu!$I$23,M1120=phu!$I$24,M1120=phu!$I$25),"Cam Phúc Nam",""),IF(OR(M1120=phu!$I$26,M1120=phu!$I$27,M1120=phu!$I$28,M1120=phu!$I$29,M1120=phu!$I$30,M1120=phu!$I$31),"Cam Phú",""),IF(OR(M1120=phu!$I$32,M1120=phu!$I$33,M1120=phu!$I$34,M1120=phu!$I$35,M1120=phu!$I$36,M1120=phu!$I$37),"Cam Lộc",""),IF(OR(M1120=phu!$I$38,M1120=phu!$I$39,M1120=phu!$I$40,M1120=phu!$I$41,M1120=phu!$I$42,M1120=phu!$I$43,M1120=phu!$I$44),"Cam Thuận",""),IF(OR(M1120=phu!$I$45,M1120=phu!$I$46,M1120=phu!$I$47,M1120=phu!$I$48,M1120=phu!$I$49,M1120=phu!$I$50,M1120=phu!$I$51,M1120=phu!$I$52,M1120=phu!$I$53),"Cam Linh",""),IF(OR(M1120=phu!$I$54,M1120=phu!$I$55,M1120=phu!$I$56,M1120=phu!$I$57,M1120=phu!$I$58,M1120=phu!$I$59,M1120=phu!$I$60,M1120=phu!$I$61,M1120=phu!$I$62),"Cam Lợi",""),IF(OR(M1120=phu!$I$63,M1120=phu!$I$64,M1120=phu!$I$65,M1120=phu!$I$66,M1120=phu!$I$67,M1120=phu!$I$68,M1120=phu!$I$69,M1120=phu!$I$70,M1120=phu!$I$71),"Ba Ngòi",""),IF(OR(M1120=phu!$I$72,M1120=phu!$I$73,M1120=phu!$I$74,M1120=phu!$I$75,M1120=phu!$I$76,M1120=phu!$I$77,M1120=phu!$I$78),"Cam Phước Đông",""),IF(OR(M1120=phu!$I$79,M1120=phu!$I$80,M1120=phu!$I$81,M1120=phu!$I$82,M1120=phu!$I$83,M1120=phu!$I$84),"Cam Thịnh Đông",""),IF(OR(M1120=phu!$I$85,M1120=phu!$I$86,M1120=phu!$I$87,M1120=phu!$I$88),"Cam Thịnh Tây",""),IF(OR(M1120=phu!$I$89,M1120=phu!$I$90),"Cam Lập",""),IF(OR(M1120=phu!$I$91,M1120=phu!$I$92,M1120=phu!$I$93),"Cam Bình",""),IF(OR(M1120=phu!$I$94,M1120=phu!$I$95,M1120=phu!$I$96,M1120=phu!$I$97,M1120=phu!$I$98,M1120=phu!$I$99,M1120=phu!$I$100),"Huyện khác",""),IF(OR(M1120=phu!$I$101,M1120=phu!$I$102),"Tỉnh khác",""))</f>
        <v/>
      </c>
      <c r="O1120" s="814" t="str">
        <f t="shared" si="103"/>
        <v/>
      </c>
      <c r="P1120" s="254"/>
      <c r="Q1120" s="254"/>
      <c r="R1120" s="254"/>
      <c r="S1120" s="254"/>
      <c r="T1120" s="254"/>
      <c r="U1120" s="254"/>
      <c r="V1120" s="254"/>
      <c r="W1120" s="254"/>
      <c r="Y1120" s="246" t="str">
        <f t="shared" si="104"/>
        <v/>
      </c>
      <c r="Z1120" s="247" t="str">
        <f t="shared" si="102"/>
        <v/>
      </c>
      <c r="AA1120" s="246" t="str">
        <f t="shared" si="105"/>
        <v/>
      </c>
    </row>
    <row r="1121" spans="1:27" x14ac:dyDescent="0.25">
      <c r="A1121" s="248" t="str">
        <f t="shared" si="106"/>
        <v/>
      </c>
      <c r="B1121" s="249" t="str">
        <f t="shared" si="107"/>
        <v/>
      </c>
      <c r="C1121" s="250"/>
      <c r="D1121" s="251"/>
      <c r="E1121" s="241"/>
      <c r="F1121" s="252"/>
      <c r="G1121" s="252"/>
      <c r="H1121" s="253"/>
      <c r="I1121" s="250"/>
      <c r="J1121" s="250"/>
      <c r="K1121" s="270"/>
      <c r="L1121" s="250"/>
      <c r="M1121" s="250"/>
      <c r="N1121" s="553" t="str">
        <f>CONCATENATE(IF(OR(M1121=phu!$I$1,M1121=phu!$I$2,M1121=phu!$I$3),"Cam Thành Nam",""),IF(OR(M1121=phu!$I$4,M1121=phu!$I$5,M1121=phu!$I$6,M1121=phu!$I$7,M1121=phu!$I$8,M1121=phu!$I$9,M1121=phu!$I$10,M1121=phu!$I$11,M1121=phu!$I$12,M1121=phu!$I$13,M1121=phu!$I$14),"Cam Nghĩa",""),IF(OR(M1121=phu!$I$15,M1121=phu!$I$16,M1121=phu!$I$17,M1121=phu!$I$18,M1121=phu!$I$19,M1121=phu!$I$20,M1121=phu!$I$21),"Cam Phúc Bắc",""),IF(OR(M1121=phu!$I$22,M1121=phu!$I$23,M1121=phu!$I$24,M1121=phu!$I$25),"Cam Phúc Nam",""),IF(OR(M1121=phu!$I$26,M1121=phu!$I$27,M1121=phu!$I$28,M1121=phu!$I$29,M1121=phu!$I$30,M1121=phu!$I$31),"Cam Phú",""),IF(OR(M1121=phu!$I$32,M1121=phu!$I$33,M1121=phu!$I$34,M1121=phu!$I$35,M1121=phu!$I$36,M1121=phu!$I$37),"Cam Lộc",""),IF(OR(M1121=phu!$I$38,M1121=phu!$I$39,M1121=phu!$I$40,M1121=phu!$I$41,M1121=phu!$I$42,M1121=phu!$I$43,M1121=phu!$I$44),"Cam Thuận",""),IF(OR(M1121=phu!$I$45,M1121=phu!$I$46,M1121=phu!$I$47,M1121=phu!$I$48,M1121=phu!$I$49,M1121=phu!$I$50,M1121=phu!$I$51,M1121=phu!$I$52,M1121=phu!$I$53),"Cam Linh",""),IF(OR(M1121=phu!$I$54,M1121=phu!$I$55,M1121=phu!$I$56,M1121=phu!$I$57,M1121=phu!$I$58,M1121=phu!$I$59,M1121=phu!$I$60,M1121=phu!$I$61,M1121=phu!$I$62),"Cam Lợi",""),IF(OR(M1121=phu!$I$63,M1121=phu!$I$64,M1121=phu!$I$65,M1121=phu!$I$66,M1121=phu!$I$67,M1121=phu!$I$68,M1121=phu!$I$69,M1121=phu!$I$70,M1121=phu!$I$71),"Ba Ngòi",""),IF(OR(M1121=phu!$I$72,M1121=phu!$I$73,M1121=phu!$I$74,M1121=phu!$I$75,M1121=phu!$I$76,M1121=phu!$I$77,M1121=phu!$I$78),"Cam Phước Đông",""),IF(OR(M1121=phu!$I$79,M1121=phu!$I$80,M1121=phu!$I$81,M1121=phu!$I$82,M1121=phu!$I$83,M1121=phu!$I$84),"Cam Thịnh Đông",""),IF(OR(M1121=phu!$I$85,M1121=phu!$I$86,M1121=phu!$I$87,M1121=phu!$I$88),"Cam Thịnh Tây",""),IF(OR(M1121=phu!$I$89,M1121=phu!$I$90),"Cam Lập",""),IF(OR(M1121=phu!$I$91,M1121=phu!$I$92,M1121=phu!$I$93),"Cam Bình",""),IF(OR(M1121=phu!$I$94,M1121=phu!$I$95,M1121=phu!$I$96,M1121=phu!$I$97,M1121=phu!$I$98,M1121=phu!$I$99,M1121=phu!$I$100),"Huyện khác",""),IF(OR(M1121=phu!$I$101,M1121=phu!$I$102),"Tỉnh khác",""))</f>
        <v/>
      </c>
      <c r="O1121" s="814" t="str">
        <f t="shared" si="103"/>
        <v/>
      </c>
      <c r="P1121" s="254"/>
      <c r="Q1121" s="254"/>
      <c r="R1121" s="254"/>
      <c r="S1121" s="254"/>
      <c r="T1121" s="254"/>
      <c r="U1121" s="254"/>
      <c r="V1121" s="254"/>
      <c r="W1121" s="254"/>
      <c r="Y1121" s="246" t="str">
        <f t="shared" si="104"/>
        <v/>
      </c>
      <c r="Z1121" s="247" t="str">
        <f t="shared" si="102"/>
        <v/>
      </c>
      <c r="AA1121" s="246" t="str">
        <f t="shared" si="105"/>
        <v/>
      </c>
    </row>
    <row r="1122" spans="1:27" x14ac:dyDescent="0.25">
      <c r="A1122" s="248" t="str">
        <f t="shared" si="106"/>
        <v/>
      </c>
      <c r="B1122" s="249" t="str">
        <f t="shared" si="107"/>
        <v/>
      </c>
      <c r="C1122" s="250"/>
      <c r="D1122" s="251"/>
      <c r="E1122" s="241"/>
      <c r="F1122" s="252"/>
      <c r="G1122" s="252"/>
      <c r="H1122" s="253"/>
      <c r="I1122" s="250"/>
      <c r="J1122" s="250"/>
      <c r="K1122" s="270"/>
      <c r="L1122" s="250"/>
      <c r="M1122" s="250"/>
      <c r="N1122" s="553" t="str">
        <f>CONCATENATE(IF(OR(M1122=phu!$I$1,M1122=phu!$I$2,M1122=phu!$I$3),"Cam Thành Nam",""),IF(OR(M1122=phu!$I$4,M1122=phu!$I$5,M1122=phu!$I$6,M1122=phu!$I$7,M1122=phu!$I$8,M1122=phu!$I$9,M1122=phu!$I$10,M1122=phu!$I$11,M1122=phu!$I$12,M1122=phu!$I$13,M1122=phu!$I$14),"Cam Nghĩa",""),IF(OR(M1122=phu!$I$15,M1122=phu!$I$16,M1122=phu!$I$17,M1122=phu!$I$18,M1122=phu!$I$19,M1122=phu!$I$20,M1122=phu!$I$21),"Cam Phúc Bắc",""),IF(OR(M1122=phu!$I$22,M1122=phu!$I$23,M1122=phu!$I$24,M1122=phu!$I$25),"Cam Phúc Nam",""),IF(OR(M1122=phu!$I$26,M1122=phu!$I$27,M1122=phu!$I$28,M1122=phu!$I$29,M1122=phu!$I$30,M1122=phu!$I$31),"Cam Phú",""),IF(OR(M1122=phu!$I$32,M1122=phu!$I$33,M1122=phu!$I$34,M1122=phu!$I$35,M1122=phu!$I$36,M1122=phu!$I$37),"Cam Lộc",""),IF(OR(M1122=phu!$I$38,M1122=phu!$I$39,M1122=phu!$I$40,M1122=phu!$I$41,M1122=phu!$I$42,M1122=phu!$I$43,M1122=phu!$I$44),"Cam Thuận",""),IF(OR(M1122=phu!$I$45,M1122=phu!$I$46,M1122=phu!$I$47,M1122=phu!$I$48,M1122=phu!$I$49,M1122=phu!$I$50,M1122=phu!$I$51,M1122=phu!$I$52,M1122=phu!$I$53),"Cam Linh",""),IF(OR(M1122=phu!$I$54,M1122=phu!$I$55,M1122=phu!$I$56,M1122=phu!$I$57,M1122=phu!$I$58,M1122=phu!$I$59,M1122=phu!$I$60,M1122=phu!$I$61,M1122=phu!$I$62),"Cam Lợi",""),IF(OR(M1122=phu!$I$63,M1122=phu!$I$64,M1122=phu!$I$65,M1122=phu!$I$66,M1122=phu!$I$67,M1122=phu!$I$68,M1122=phu!$I$69,M1122=phu!$I$70,M1122=phu!$I$71),"Ba Ngòi",""),IF(OR(M1122=phu!$I$72,M1122=phu!$I$73,M1122=phu!$I$74,M1122=phu!$I$75,M1122=phu!$I$76,M1122=phu!$I$77,M1122=phu!$I$78),"Cam Phước Đông",""),IF(OR(M1122=phu!$I$79,M1122=phu!$I$80,M1122=phu!$I$81,M1122=phu!$I$82,M1122=phu!$I$83,M1122=phu!$I$84),"Cam Thịnh Đông",""),IF(OR(M1122=phu!$I$85,M1122=phu!$I$86,M1122=phu!$I$87,M1122=phu!$I$88),"Cam Thịnh Tây",""),IF(OR(M1122=phu!$I$89,M1122=phu!$I$90),"Cam Lập",""),IF(OR(M1122=phu!$I$91,M1122=phu!$I$92,M1122=phu!$I$93),"Cam Bình",""),IF(OR(M1122=phu!$I$94,M1122=phu!$I$95,M1122=phu!$I$96,M1122=phu!$I$97,M1122=phu!$I$98,M1122=phu!$I$99,M1122=phu!$I$100),"Huyện khác",""),IF(OR(M1122=phu!$I$101,M1122=phu!$I$102),"Tỉnh khác",""))</f>
        <v/>
      </c>
      <c r="O1122" s="814" t="str">
        <f t="shared" si="103"/>
        <v/>
      </c>
      <c r="P1122" s="254"/>
      <c r="Q1122" s="254"/>
      <c r="R1122" s="254"/>
      <c r="S1122" s="254"/>
      <c r="T1122" s="254"/>
      <c r="U1122" s="254"/>
      <c r="V1122" s="254"/>
      <c r="W1122" s="254"/>
      <c r="Y1122" s="246" t="str">
        <f t="shared" si="104"/>
        <v/>
      </c>
      <c r="Z1122" s="247" t="str">
        <f t="shared" si="102"/>
        <v/>
      </c>
      <c r="AA1122" s="246" t="str">
        <f t="shared" si="105"/>
        <v/>
      </c>
    </row>
    <row r="1123" spans="1:27" x14ac:dyDescent="0.25">
      <c r="A1123" s="248" t="str">
        <f t="shared" si="106"/>
        <v/>
      </c>
      <c r="B1123" s="249" t="str">
        <f t="shared" si="107"/>
        <v/>
      </c>
      <c r="C1123" s="250"/>
      <c r="D1123" s="251"/>
      <c r="E1123" s="241"/>
      <c r="F1123" s="252"/>
      <c r="G1123" s="252"/>
      <c r="H1123" s="253"/>
      <c r="I1123" s="250"/>
      <c r="J1123" s="250"/>
      <c r="K1123" s="270"/>
      <c r="L1123" s="250"/>
      <c r="M1123" s="250"/>
      <c r="N1123" s="553" t="str">
        <f>CONCATENATE(IF(OR(M1123=phu!$I$1,M1123=phu!$I$2,M1123=phu!$I$3),"Cam Thành Nam",""),IF(OR(M1123=phu!$I$4,M1123=phu!$I$5,M1123=phu!$I$6,M1123=phu!$I$7,M1123=phu!$I$8,M1123=phu!$I$9,M1123=phu!$I$10,M1123=phu!$I$11,M1123=phu!$I$12,M1123=phu!$I$13,M1123=phu!$I$14),"Cam Nghĩa",""),IF(OR(M1123=phu!$I$15,M1123=phu!$I$16,M1123=phu!$I$17,M1123=phu!$I$18,M1123=phu!$I$19,M1123=phu!$I$20,M1123=phu!$I$21),"Cam Phúc Bắc",""),IF(OR(M1123=phu!$I$22,M1123=phu!$I$23,M1123=phu!$I$24,M1123=phu!$I$25),"Cam Phúc Nam",""),IF(OR(M1123=phu!$I$26,M1123=phu!$I$27,M1123=phu!$I$28,M1123=phu!$I$29,M1123=phu!$I$30,M1123=phu!$I$31),"Cam Phú",""),IF(OR(M1123=phu!$I$32,M1123=phu!$I$33,M1123=phu!$I$34,M1123=phu!$I$35,M1123=phu!$I$36,M1123=phu!$I$37),"Cam Lộc",""),IF(OR(M1123=phu!$I$38,M1123=phu!$I$39,M1123=phu!$I$40,M1123=phu!$I$41,M1123=phu!$I$42,M1123=phu!$I$43,M1123=phu!$I$44),"Cam Thuận",""),IF(OR(M1123=phu!$I$45,M1123=phu!$I$46,M1123=phu!$I$47,M1123=phu!$I$48,M1123=phu!$I$49,M1123=phu!$I$50,M1123=phu!$I$51,M1123=phu!$I$52,M1123=phu!$I$53),"Cam Linh",""),IF(OR(M1123=phu!$I$54,M1123=phu!$I$55,M1123=phu!$I$56,M1123=phu!$I$57,M1123=phu!$I$58,M1123=phu!$I$59,M1123=phu!$I$60,M1123=phu!$I$61,M1123=phu!$I$62),"Cam Lợi",""),IF(OR(M1123=phu!$I$63,M1123=phu!$I$64,M1123=phu!$I$65,M1123=phu!$I$66,M1123=phu!$I$67,M1123=phu!$I$68,M1123=phu!$I$69,M1123=phu!$I$70,M1123=phu!$I$71),"Ba Ngòi",""),IF(OR(M1123=phu!$I$72,M1123=phu!$I$73,M1123=phu!$I$74,M1123=phu!$I$75,M1123=phu!$I$76,M1123=phu!$I$77,M1123=phu!$I$78),"Cam Phước Đông",""),IF(OR(M1123=phu!$I$79,M1123=phu!$I$80,M1123=phu!$I$81,M1123=phu!$I$82,M1123=phu!$I$83,M1123=phu!$I$84),"Cam Thịnh Đông",""),IF(OR(M1123=phu!$I$85,M1123=phu!$I$86,M1123=phu!$I$87,M1123=phu!$I$88),"Cam Thịnh Tây",""),IF(OR(M1123=phu!$I$89,M1123=phu!$I$90),"Cam Lập",""),IF(OR(M1123=phu!$I$91,M1123=phu!$I$92,M1123=phu!$I$93),"Cam Bình",""),IF(OR(M1123=phu!$I$94,M1123=phu!$I$95,M1123=phu!$I$96,M1123=phu!$I$97,M1123=phu!$I$98,M1123=phu!$I$99,M1123=phu!$I$100),"Huyện khác",""),IF(OR(M1123=phu!$I$101,M1123=phu!$I$102),"Tỉnh khác",""))</f>
        <v/>
      </c>
      <c r="O1123" s="814" t="str">
        <f t="shared" si="103"/>
        <v/>
      </c>
      <c r="P1123" s="254"/>
      <c r="Q1123" s="254"/>
      <c r="R1123" s="254"/>
      <c r="S1123" s="254"/>
      <c r="T1123" s="254"/>
      <c r="U1123" s="254"/>
      <c r="V1123" s="254"/>
      <c r="W1123" s="254"/>
      <c r="Y1123" s="246" t="str">
        <f t="shared" si="104"/>
        <v/>
      </c>
      <c r="Z1123" s="247" t="str">
        <f t="shared" si="102"/>
        <v/>
      </c>
      <c r="AA1123" s="246" t="str">
        <f t="shared" si="105"/>
        <v/>
      </c>
    </row>
    <row r="1124" spans="1:27" x14ac:dyDescent="0.25">
      <c r="A1124" s="248" t="str">
        <f t="shared" si="106"/>
        <v/>
      </c>
      <c r="B1124" s="249" t="str">
        <f t="shared" si="107"/>
        <v/>
      </c>
      <c r="C1124" s="250"/>
      <c r="D1124" s="251"/>
      <c r="E1124" s="241"/>
      <c r="F1124" s="252"/>
      <c r="G1124" s="252"/>
      <c r="H1124" s="253"/>
      <c r="I1124" s="250"/>
      <c r="J1124" s="250"/>
      <c r="K1124" s="270"/>
      <c r="L1124" s="250"/>
      <c r="M1124" s="250"/>
      <c r="N1124" s="553" t="str">
        <f>CONCATENATE(IF(OR(M1124=phu!$I$1,M1124=phu!$I$2,M1124=phu!$I$3),"Cam Thành Nam",""),IF(OR(M1124=phu!$I$4,M1124=phu!$I$5,M1124=phu!$I$6,M1124=phu!$I$7,M1124=phu!$I$8,M1124=phu!$I$9,M1124=phu!$I$10,M1124=phu!$I$11,M1124=phu!$I$12,M1124=phu!$I$13,M1124=phu!$I$14),"Cam Nghĩa",""),IF(OR(M1124=phu!$I$15,M1124=phu!$I$16,M1124=phu!$I$17,M1124=phu!$I$18,M1124=phu!$I$19,M1124=phu!$I$20,M1124=phu!$I$21),"Cam Phúc Bắc",""),IF(OR(M1124=phu!$I$22,M1124=phu!$I$23,M1124=phu!$I$24,M1124=phu!$I$25),"Cam Phúc Nam",""),IF(OR(M1124=phu!$I$26,M1124=phu!$I$27,M1124=phu!$I$28,M1124=phu!$I$29,M1124=phu!$I$30,M1124=phu!$I$31),"Cam Phú",""),IF(OR(M1124=phu!$I$32,M1124=phu!$I$33,M1124=phu!$I$34,M1124=phu!$I$35,M1124=phu!$I$36,M1124=phu!$I$37),"Cam Lộc",""),IF(OR(M1124=phu!$I$38,M1124=phu!$I$39,M1124=phu!$I$40,M1124=phu!$I$41,M1124=phu!$I$42,M1124=phu!$I$43,M1124=phu!$I$44),"Cam Thuận",""),IF(OR(M1124=phu!$I$45,M1124=phu!$I$46,M1124=phu!$I$47,M1124=phu!$I$48,M1124=phu!$I$49,M1124=phu!$I$50,M1124=phu!$I$51,M1124=phu!$I$52,M1124=phu!$I$53),"Cam Linh",""),IF(OR(M1124=phu!$I$54,M1124=phu!$I$55,M1124=phu!$I$56,M1124=phu!$I$57,M1124=phu!$I$58,M1124=phu!$I$59,M1124=phu!$I$60,M1124=phu!$I$61,M1124=phu!$I$62),"Cam Lợi",""),IF(OR(M1124=phu!$I$63,M1124=phu!$I$64,M1124=phu!$I$65,M1124=phu!$I$66,M1124=phu!$I$67,M1124=phu!$I$68,M1124=phu!$I$69,M1124=phu!$I$70,M1124=phu!$I$71),"Ba Ngòi",""),IF(OR(M1124=phu!$I$72,M1124=phu!$I$73,M1124=phu!$I$74,M1124=phu!$I$75,M1124=phu!$I$76,M1124=phu!$I$77,M1124=phu!$I$78),"Cam Phước Đông",""),IF(OR(M1124=phu!$I$79,M1124=phu!$I$80,M1124=phu!$I$81,M1124=phu!$I$82,M1124=phu!$I$83,M1124=phu!$I$84),"Cam Thịnh Đông",""),IF(OR(M1124=phu!$I$85,M1124=phu!$I$86,M1124=phu!$I$87,M1124=phu!$I$88),"Cam Thịnh Tây",""),IF(OR(M1124=phu!$I$89,M1124=phu!$I$90),"Cam Lập",""),IF(OR(M1124=phu!$I$91,M1124=phu!$I$92,M1124=phu!$I$93),"Cam Bình",""),IF(OR(M1124=phu!$I$94,M1124=phu!$I$95,M1124=phu!$I$96,M1124=phu!$I$97,M1124=phu!$I$98,M1124=phu!$I$99,M1124=phu!$I$100),"Huyện khác",""),IF(OR(M1124=phu!$I$101,M1124=phu!$I$102),"Tỉnh khác",""))</f>
        <v/>
      </c>
      <c r="O1124" s="814" t="str">
        <f t="shared" si="103"/>
        <v/>
      </c>
      <c r="P1124" s="254"/>
      <c r="Q1124" s="254"/>
      <c r="R1124" s="254"/>
      <c r="S1124" s="254"/>
      <c r="T1124" s="254"/>
      <c r="U1124" s="254"/>
      <c r="V1124" s="254"/>
      <c r="W1124" s="254"/>
      <c r="Y1124" s="246" t="str">
        <f t="shared" si="104"/>
        <v/>
      </c>
      <c r="Z1124" s="247" t="str">
        <f t="shared" si="102"/>
        <v/>
      </c>
      <c r="AA1124" s="246" t="str">
        <f t="shared" si="105"/>
        <v/>
      </c>
    </row>
    <row r="1125" spans="1:27" x14ac:dyDescent="0.25">
      <c r="A1125" s="248" t="str">
        <f t="shared" si="106"/>
        <v/>
      </c>
      <c r="B1125" s="249" t="str">
        <f t="shared" si="107"/>
        <v/>
      </c>
      <c r="C1125" s="250"/>
      <c r="D1125" s="251"/>
      <c r="E1125" s="241"/>
      <c r="F1125" s="252"/>
      <c r="G1125" s="252"/>
      <c r="H1125" s="253"/>
      <c r="I1125" s="250"/>
      <c r="J1125" s="250"/>
      <c r="K1125" s="270"/>
      <c r="L1125" s="250"/>
      <c r="M1125" s="250"/>
      <c r="N1125" s="553" t="str">
        <f>CONCATENATE(IF(OR(M1125=phu!$I$1,M1125=phu!$I$2,M1125=phu!$I$3),"Cam Thành Nam",""),IF(OR(M1125=phu!$I$4,M1125=phu!$I$5,M1125=phu!$I$6,M1125=phu!$I$7,M1125=phu!$I$8,M1125=phu!$I$9,M1125=phu!$I$10,M1125=phu!$I$11,M1125=phu!$I$12,M1125=phu!$I$13,M1125=phu!$I$14),"Cam Nghĩa",""),IF(OR(M1125=phu!$I$15,M1125=phu!$I$16,M1125=phu!$I$17,M1125=phu!$I$18,M1125=phu!$I$19,M1125=phu!$I$20,M1125=phu!$I$21),"Cam Phúc Bắc",""),IF(OR(M1125=phu!$I$22,M1125=phu!$I$23,M1125=phu!$I$24,M1125=phu!$I$25),"Cam Phúc Nam",""),IF(OR(M1125=phu!$I$26,M1125=phu!$I$27,M1125=phu!$I$28,M1125=phu!$I$29,M1125=phu!$I$30,M1125=phu!$I$31),"Cam Phú",""),IF(OR(M1125=phu!$I$32,M1125=phu!$I$33,M1125=phu!$I$34,M1125=phu!$I$35,M1125=phu!$I$36,M1125=phu!$I$37),"Cam Lộc",""),IF(OR(M1125=phu!$I$38,M1125=phu!$I$39,M1125=phu!$I$40,M1125=phu!$I$41,M1125=phu!$I$42,M1125=phu!$I$43,M1125=phu!$I$44),"Cam Thuận",""),IF(OR(M1125=phu!$I$45,M1125=phu!$I$46,M1125=phu!$I$47,M1125=phu!$I$48,M1125=phu!$I$49,M1125=phu!$I$50,M1125=phu!$I$51,M1125=phu!$I$52,M1125=phu!$I$53),"Cam Linh",""),IF(OR(M1125=phu!$I$54,M1125=phu!$I$55,M1125=phu!$I$56,M1125=phu!$I$57,M1125=phu!$I$58,M1125=phu!$I$59,M1125=phu!$I$60,M1125=phu!$I$61,M1125=phu!$I$62),"Cam Lợi",""),IF(OR(M1125=phu!$I$63,M1125=phu!$I$64,M1125=phu!$I$65,M1125=phu!$I$66,M1125=phu!$I$67,M1125=phu!$I$68,M1125=phu!$I$69,M1125=phu!$I$70,M1125=phu!$I$71),"Ba Ngòi",""),IF(OR(M1125=phu!$I$72,M1125=phu!$I$73,M1125=phu!$I$74,M1125=phu!$I$75,M1125=phu!$I$76,M1125=phu!$I$77,M1125=phu!$I$78),"Cam Phước Đông",""),IF(OR(M1125=phu!$I$79,M1125=phu!$I$80,M1125=phu!$I$81,M1125=phu!$I$82,M1125=phu!$I$83,M1125=phu!$I$84),"Cam Thịnh Đông",""),IF(OR(M1125=phu!$I$85,M1125=phu!$I$86,M1125=phu!$I$87,M1125=phu!$I$88),"Cam Thịnh Tây",""),IF(OR(M1125=phu!$I$89,M1125=phu!$I$90),"Cam Lập",""),IF(OR(M1125=phu!$I$91,M1125=phu!$I$92,M1125=phu!$I$93),"Cam Bình",""),IF(OR(M1125=phu!$I$94,M1125=phu!$I$95,M1125=phu!$I$96,M1125=phu!$I$97,M1125=phu!$I$98,M1125=phu!$I$99,M1125=phu!$I$100),"Huyện khác",""),IF(OR(M1125=phu!$I$101,M1125=phu!$I$102),"Tỉnh khác",""))</f>
        <v/>
      </c>
      <c r="O1125" s="814" t="str">
        <f t="shared" si="103"/>
        <v/>
      </c>
      <c r="P1125" s="254"/>
      <c r="Q1125" s="254"/>
      <c r="R1125" s="254"/>
      <c r="S1125" s="254"/>
      <c r="T1125" s="254"/>
      <c r="U1125" s="254"/>
      <c r="V1125" s="254"/>
      <c r="W1125" s="254"/>
      <c r="Y1125" s="246" t="str">
        <f t="shared" si="104"/>
        <v/>
      </c>
      <c r="Z1125" s="247" t="str">
        <f t="shared" si="102"/>
        <v/>
      </c>
      <c r="AA1125" s="246" t="str">
        <f t="shared" si="105"/>
        <v/>
      </c>
    </row>
    <row r="1126" spans="1:27" x14ac:dyDescent="0.25">
      <c r="A1126" s="248" t="str">
        <f t="shared" si="106"/>
        <v/>
      </c>
      <c r="B1126" s="249" t="str">
        <f t="shared" si="107"/>
        <v/>
      </c>
      <c r="C1126" s="250"/>
      <c r="D1126" s="251"/>
      <c r="E1126" s="241"/>
      <c r="F1126" s="252"/>
      <c r="G1126" s="252"/>
      <c r="H1126" s="253"/>
      <c r="I1126" s="250"/>
      <c r="J1126" s="250"/>
      <c r="K1126" s="270"/>
      <c r="L1126" s="250"/>
      <c r="M1126" s="250"/>
      <c r="N1126" s="553" t="str">
        <f>CONCATENATE(IF(OR(M1126=phu!$I$1,M1126=phu!$I$2,M1126=phu!$I$3),"Cam Thành Nam",""),IF(OR(M1126=phu!$I$4,M1126=phu!$I$5,M1126=phu!$I$6,M1126=phu!$I$7,M1126=phu!$I$8,M1126=phu!$I$9,M1126=phu!$I$10,M1126=phu!$I$11,M1126=phu!$I$12,M1126=phu!$I$13,M1126=phu!$I$14),"Cam Nghĩa",""),IF(OR(M1126=phu!$I$15,M1126=phu!$I$16,M1126=phu!$I$17,M1126=phu!$I$18,M1126=phu!$I$19,M1126=phu!$I$20,M1126=phu!$I$21),"Cam Phúc Bắc",""),IF(OR(M1126=phu!$I$22,M1126=phu!$I$23,M1126=phu!$I$24,M1126=phu!$I$25),"Cam Phúc Nam",""),IF(OR(M1126=phu!$I$26,M1126=phu!$I$27,M1126=phu!$I$28,M1126=phu!$I$29,M1126=phu!$I$30,M1126=phu!$I$31),"Cam Phú",""),IF(OR(M1126=phu!$I$32,M1126=phu!$I$33,M1126=phu!$I$34,M1126=phu!$I$35,M1126=phu!$I$36,M1126=phu!$I$37),"Cam Lộc",""),IF(OR(M1126=phu!$I$38,M1126=phu!$I$39,M1126=phu!$I$40,M1126=phu!$I$41,M1126=phu!$I$42,M1126=phu!$I$43,M1126=phu!$I$44),"Cam Thuận",""),IF(OR(M1126=phu!$I$45,M1126=phu!$I$46,M1126=phu!$I$47,M1126=phu!$I$48,M1126=phu!$I$49,M1126=phu!$I$50,M1126=phu!$I$51,M1126=phu!$I$52,M1126=phu!$I$53),"Cam Linh",""),IF(OR(M1126=phu!$I$54,M1126=phu!$I$55,M1126=phu!$I$56,M1126=phu!$I$57,M1126=phu!$I$58,M1126=phu!$I$59,M1126=phu!$I$60,M1126=phu!$I$61,M1126=phu!$I$62),"Cam Lợi",""),IF(OR(M1126=phu!$I$63,M1126=phu!$I$64,M1126=phu!$I$65,M1126=phu!$I$66,M1126=phu!$I$67,M1126=phu!$I$68,M1126=phu!$I$69,M1126=phu!$I$70,M1126=phu!$I$71),"Ba Ngòi",""),IF(OR(M1126=phu!$I$72,M1126=phu!$I$73,M1126=phu!$I$74,M1126=phu!$I$75,M1126=phu!$I$76,M1126=phu!$I$77,M1126=phu!$I$78),"Cam Phước Đông",""),IF(OR(M1126=phu!$I$79,M1126=phu!$I$80,M1126=phu!$I$81,M1126=phu!$I$82,M1126=phu!$I$83,M1126=phu!$I$84),"Cam Thịnh Đông",""),IF(OR(M1126=phu!$I$85,M1126=phu!$I$86,M1126=phu!$I$87,M1126=phu!$I$88),"Cam Thịnh Tây",""),IF(OR(M1126=phu!$I$89,M1126=phu!$I$90),"Cam Lập",""),IF(OR(M1126=phu!$I$91,M1126=phu!$I$92,M1126=phu!$I$93),"Cam Bình",""),IF(OR(M1126=phu!$I$94,M1126=phu!$I$95,M1126=phu!$I$96,M1126=phu!$I$97,M1126=phu!$I$98,M1126=phu!$I$99,M1126=phu!$I$100),"Huyện khác",""),IF(OR(M1126=phu!$I$101,M1126=phu!$I$102),"Tỉnh khác",""))</f>
        <v/>
      </c>
      <c r="O1126" s="814" t="str">
        <f t="shared" si="103"/>
        <v/>
      </c>
      <c r="P1126" s="254"/>
      <c r="Q1126" s="254"/>
      <c r="R1126" s="254"/>
      <c r="S1126" s="254"/>
      <c r="T1126" s="254"/>
      <c r="U1126" s="254"/>
      <c r="V1126" s="254"/>
      <c r="W1126" s="254"/>
      <c r="Y1126" s="246" t="str">
        <f t="shared" si="104"/>
        <v/>
      </c>
      <c r="Z1126" s="247" t="str">
        <f t="shared" si="102"/>
        <v/>
      </c>
      <c r="AA1126" s="246" t="str">
        <f t="shared" si="105"/>
        <v/>
      </c>
    </row>
    <row r="1127" spans="1:27" x14ac:dyDescent="0.25">
      <c r="A1127" s="248" t="str">
        <f t="shared" si="106"/>
        <v/>
      </c>
      <c r="B1127" s="249" t="str">
        <f t="shared" si="107"/>
        <v/>
      </c>
      <c r="C1127" s="250"/>
      <c r="D1127" s="251"/>
      <c r="E1127" s="241"/>
      <c r="F1127" s="252"/>
      <c r="G1127" s="252"/>
      <c r="H1127" s="253"/>
      <c r="I1127" s="250"/>
      <c r="J1127" s="250"/>
      <c r="K1127" s="270"/>
      <c r="L1127" s="250"/>
      <c r="M1127" s="250"/>
      <c r="N1127" s="553" t="str">
        <f>CONCATENATE(IF(OR(M1127=phu!$I$1,M1127=phu!$I$2,M1127=phu!$I$3),"Cam Thành Nam",""),IF(OR(M1127=phu!$I$4,M1127=phu!$I$5,M1127=phu!$I$6,M1127=phu!$I$7,M1127=phu!$I$8,M1127=phu!$I$9,M1127=phu!$I$10,M1127=phu!$I$11,M1127=phu!$I$12,M1127=phu!$I$13,M1127=phu!$I$14),"Cam Nghĩa",""),IF(OR(M1127=phu!$I$15,M1127=phu!$I$16,M1127=phu!$I$17,M1127=phu!$I$18,M1127=phu!$I$19,M1127=phu!$I$20,M1127=phu!$I$21),"Cam Phúc Bắc",""),IF(OR(M1127=phu!$I$22,M1127=phu!$I$23,M1127=phu!$I$24,M1127=phu!$I$25),"Cam Phúc Nam",""),IF(OR(M1127=phu!$I$26,M1127=phu!$I$27,M1127=phu!$I$28,M1127=phu!$I$29,M1127=phu!$I$30,M1127=phu!$I$31),"Cam Phú",""),IF(OR(M1127=phu!$I$32,M1127=phu!$I$33,M1127=phu!$I$34,M1127=phu!$I$35,M1127=phu!$I$36,M1127=phu!$I$37),"Cam Lộc",""),IF(OR(M1127=phu!$I$38,M1127=phu!$I$39,M1127=phu!$I$40,M1127=phu!$I$41,M1127=phu!$I$42,M1127=phu!$I$43,M1127=phu!$I$44),"Cam Thuận",""),IF(OR(M1127=phu!$I$45,M1127=phu!$I$46,M1127=phu!$I$47,M1127=phu!$I$48,M1127=phu!$I$49,M1127=phu!$I$50,M1127=phu!$I$51,M1127=phu!$I$52,M1127=phu!$I$53),"Cam Linh",""),IF(OR(M1127=phu!$I$54,M1127=phu!$I$55,M1127=phu!$I$56,M1127=phu!$I$57,M1127=phu!$I$58,M1127=phu!$I$59,M1127=phu!$I$60,M1127=phu!$I$61,M1127=phu!$I$62),"Cam Lợi",""),IF(OR(M1127=phu!$I$63,M1127=phu!$I$64,M1127=phu!$I$65,M1127=phu!$I$66,M1127=phu!$I$67,M1127=phu!$I$68,M1127=phu!$I$69,M1127=phu!$I$70,M1127=phu!$I$71),"Ba Ngòi",""),IF(OR(M1127=phu!$I$72,M1127=phu!$I$73,M1127=phu!$I$74,M1127=phu!$I$75,M1127=phu!$I$76,M1127=phu!$I$77,M1127=phu!$I$78),"Cam Phước Đông",""),IF(OR(M1127=phu!$I$79,M1127=phu!$I$80,M1127=phu!$I$81,M1127=phu!$I$82,M1127=phu!$I$83,M1127=phu!$I$84),"Cam Thịnh Đông",""),IF(OR(M1127=phu!$I$85,M1127=phu!$I$86,M1127=phu!$I$87,M1127=phu!$I$88),"Cam Thịnh Tây",""),IF(OR(M1127=phu!$I$89,M1127=phu!$I$90),"Cam Lập",""),IF(OR(M1127=phu!$I$91,M1127=phu!$I$92,M1127=phu!$I$93),"Cam Bình",""),IF(OR(M1127=phu!$I$94,M1127=phu!$I$95,M1127=phu!$I$96,M1127=phu!$I$97,M1127=phu!$I$98,M1127=phu!$I$99,M1127=phu!$I$100),"Huyện khác",""),IF(OR(M1127=phu!$I$101,M1127=phu!$I$102),"Tỉnh khác",""))</f>
        <v/>
      </c>
      <c r="O1127" s="814" t="str">
        <f t="shared" si="103"/>
        <v/>
      </c>
      <c r="P1127" s="254"/>
      <c r="Q1127" s="254"/>
      <c r="R1127" s="254"/>
      <c r="S1127" s="254"/>
      <c r="T1127" s="254"/>
      <c r="U1127" s="254"/>
      <c r="V1127" s="254"/>
      <c r="W1127" s="254"/>
      <c r="Y1127" s="246" t="str">
        <f t="shared" si="104"/>
        <v/>
      </c>
      <c r="Z1127" s="247" t="str">
        <f t="shared" si="102"/>
        <v/>
      </c>
      <c r="AA1127" s="246" t="str">
        <f t="shared" si="105"/>
        <v/>
      </c>
    </row>
    <row r="1128" spans="1:27" x14ac:dyDescent="0.25">
      <c r="A1128" s="248" t="str">
        <f t="shared" si="106"/>
        <v/>
      </c>
      <c r="B1128" s="249" t="str">
        <f t="shared" si="107"/>
        <v/>
      </c>
      <c r="C1128" s="250"/>
      <c r="D1128" s="251"/>
      <c r="E1128" s="241"/>
      <c r="F1128" s="252"/>
      <c r="G1128" s="252"/>
      <c r="H1128" s="253"/>
      <c r="I1128" s="250"/>
      <c r="J1128" s="250"/>
      <c r="K1128" s="270"/>
      <c r="L1128" s="250"/>
      <c r="M1128" s="250"/>
      <c r="N1128" s="553" t="str">
        <f>CONCATENATE(IF(OR(M1128=phu!$I$1,M1128=phu!$I$2,M1128=phu!$I$3),"Cam Thành Nam",""),IF(OR(M1128=phu!$I$4,M1128=phu!$I$5,M1128=phu!$I$6,M1128=phu!$I$7,M1128=phu!$I$8,M1128=phu!$I$9,M1128=phu!$I$10,M1128=phu!$I$11,M1128=phu!$I$12,M1128=phu!$I$13,M1128=phu!$I$14),"Cam Nghĩa",""),IF(OR(M1128=phu!$I$15,M1128=phu!$I$16,M1128=phu!$I$17,M1128=phu!$I$18,M1128=phu!$I$19,M1128=phu!$I$20,M1128=phu!$I$21),"Cam Phúc Bắc",""),IF(OR(M1128=phu!$I$22,M1128=phu!$I$23,M1128=phu!$I$24,M1128=phu!$I$25),"Cam Phúc Nam",""),IF(OR(M1128=phu!$I$26,M1128=phu!$I$27,M1128=phu!$I$28,M1128=phu!$I$29,M1128=phu!$I$30,M1128=phu!$I$31),"Cam Phú",""),IF(OR(M1128=phu!$I$32,M1128=phu!$I$33,M1128=phu!$I$34,M1128=phu!$I$35,M1128=phu!$I$36,M1128=phu!$I$37),"Cam Lộc",""),IF(OR(M1128=phu!$I$38,M1128=phu!$I$39,M1128=phu!$I$40,M1128=phu!$I$41,M1128=phu!$I$42,M1128=phu!$I$43,M1128=phu!$I$44),"Cam Thuận",""),IF(OR(M1128=phu!$I$45,M1128=phu!$I$46,M1128=phu!$I$47,M1128=phu!$I$48,M1128=phu!$I$49,M1128=phu!$I$50,M1128=phu!$I$51,M1128=phu!$I$52,M1128=phu!$I$53),"Cam Linh",""),IF(OR(M1128=phu!$I$54,M1128=phu!$I$55,M1128=phu!$I$56,M1128=phu!$I$57,M1128=phu!$I$58,M1128=phu!$I$59,M1128=phu!$I$60,M1128=phu!$I$61,M1128=phu!$I$62),"Cam Lợi",""),IF(OR(M1128=phu!$I$63,M1128=phu!$I$64,M1128=phu!$I$65,M1128=phu!$I$66,M1128=phu!$I$67,M1128=phu!$I$68,M1128=phu!$I$69,M1128=phu!$I$70,M1128=phu!$I$71),"Ba Ngòi",""),IF(OR(M1128=phu!$I$72,M1128=phu!$I$73,M1128=phu!$I$74,M1128=phu!$I$75,M1128=phu!$I$76,M1128=phu!$I$77,M1128=phu!$I$78),"Cam Phước Đông",""),IF(OR(M1128=phu!$I$79,M1128=phu!$I$80,M1128=phu!$I$81,M1128=phu!$I$82,M1128=phu!$I$83,M1128=phu!$I$84),"Cam Thịnh Đông",""),IF(OR(M1128=phu!$I$85,M1128=phu!$I$86,M1128=phu!$I$87,M1128=phu!$I$88),"Cam Thịnh Tây",""),IF(OR(M1128=phu!$I$89,M1128=phu!$I$90),"Cam Lập",""),IF(OR(M1128=phu!$I$91,M1128=phu!$I$92,M1128=phu!$I$93),"Cam Bình",""),IF(OR(M1128=phu!$I$94,M1128=phu!$I$95,M1128=phu!$I$96,M1128=phu!$I$97,M1128=phu!$I$98,M1128=phu!$I$99,M1128=phu!$I$100),"Huyện khác",""),IF(OR(M1128=phu!$I$101,M1128=phu!$I$102),"Tỉnh khác",""))</f>
        <v/>
      </c>
      <c r="O1128" s="814" t="str">
        <f t="shared" si="103"/>
        <v/>
      </c>
      <c r="P1128" s="254"/>
      <c r="Q1128" s="254"/>
      <c r="R1128" s="254"/>
      <c r="S1128" s="254"/>
      <c r="T1128" s="254"/>
      <c r="U1128" s="254"/>
      <c r="V1128" s="254"/>
      <c r="W1128" s="254"/>
      <c r="Y1128" s="246" t="str">
        <f t="shared" si="104"/>
        <v/>
      </c>
      <c r="Z1128" s="247" t="str">
        <f t="shared" si="102"/>
        <v/>
      </c>
      <c r="AA1128" s="246" t="str">
        <f t="shared" si="105"/>
        <v/>
      </c>
    </row>
    <row r="1129" spans="1:27" x14ac:dyDescent="0.25">
      <c r="A1129" s="248" t="str">
        <f t="shared" si="106"/>
        <v/>
      </c>
      <c r="B1129" s="249" t="str">
        <f t="shared" si="107"/>
        <v/>
      </c>
      <c r="C1129" s="250"/>
      <c r="D1129" s="251"/>
      <c r="E1129" s="241"/>
      <c r="F1129" s="252"/>
      <c r="G1129" s="252"/>
      <c r="H1129" s="253"/>
      <c r="I1129" s="250"/>
      <c r="J1129" s="250"/>
      <c r="K1129" s="270"/>
      <c r="L1129" s="250"/>
      <c r="M1129" s="250"/>
      <c r="N1129" s="553" t="str">
        <f>CONCATENATE(IF(OR(M1129=phu!$I$1,M1129=phu!$I$2,M1129=phu!$I$3),"Cam Thành Nam",""),IF(OR(M1129=phu!$I$4,M1129=phu!$I$5,M1129=phu!$I$6,M1129=phu!$I$7,M1129=phu!$I$8,M1129=phu!$I$9,M1129=phu!$I$10,M1129=phu!$I$11,M1129=phu!$I$12,M1129=phu!$I$13,M1129=phu!$I$14),"Cam Nghĩa",""),IF(OR(M1129=phu!$I$15,M1129=phu!$I$16,M1129=phu!$I$17,M1129=phu!$I$18,M1129=phu!$I$19,M1129=phu!$I$20,M1129=phu!$I$21),"Cam Phúc Bắc",""),IF(OR(M1129=phu!$I$22,M1129=phu!$I$23,M1129=phu!$I$24,M1129=phu!$I$25),"Cam Phúc Nam",""),IF(OR(M1129=phu!$I$26,M1129=phu!$I$27,M1129=phu!$I$28,M1129=phu!$I$29,M1129=phu!$I$30,M1129=phu!$I$31),"Cam Phú",""),IF(OR(M1129=phu!$I$32,M1129=phu!$I$33,M1129=phu!$I$34,M1129=phu!$I$35,M1129=phu!$I$36,M1129=phu!$I$37),"Cam Lộc",""),IF(OR(M1129=phu!$I$38,M1129=phu!$I$39,M1129=phu!$I$40,M1129=phu!$I$41,M1129=phu!$I$42,M1129=phu!$I$43,M1129=phu!$I$44),"Cam Thuận",""),IF(OR(M1129=phu!$I$45,M1129=phu!$I$46,M1129=phu!$I$47,M1129=phu!$I$48,M1129=phu!$I$49,M1129=phu!$I$50,M1129=phu!$I$51,M1129=phu!$I$52,M1129=phu!$I$53),"Cam Linh",""),IF(OR(M1129=phu!$I$54,M1129=phu!$I$55,M1129=phu!$I$56,M1129=phu!$I$57,M1129=phu!$I$58,M1129=phu!$I$59,M1129=phu!$I$60,M1129=phu!$I$61,M1129=phu!$I$62),"Cam Lợi",""),IF(OR(M1129=phu!$I$63,M1129=phu!$I$64,M1129=phu!$I$65,M1129=phu!$I$66,M1129=phu!$I$67,M1129=phu!$I$68,M1129=phu!$I$69,M1129=phu!$I$70,M1129=phu!$I$71),"Ba Ngòi",""),IF(OR(M1129=phu!$I$72,M1129=phu!$I$73,M1129=phu!$I$74,M1129=phu!$I$75,M1129=phu!$I$76,M1129=phu!$I$77,M1129=phu!$I$78),"Cam Phước Đông",""),IF(OR(M1129=phu!$I$79,M1129=phu!$I$80,M1129=phu!$I$81,M1129=phu!$I$82,M1129=phu!$I$83,M1129=phu!$I$84),"Cam Thịnh Đông",""),IF(OR(M1129=phu!$I$85,M1129=phu!$I$86,M1129=phu!$I$87,M1129=phu!$I$88),"Cam Thịnh Tây",""),IF(OR(M1129=phu!$I$89,M1129=phu!$I$90),"Cam Lập",""),IF(OR(M1129=phu!$I$91,M1129=phu!$I$92,M1129=phu!$I$93),"Cam Bình",""),IF(OR(M1129=phu!$I$94,M1129=phu!$I$95,M1129=phu!$I$96,M1129=phu!$I$97,M1129=phu!$I$98,M1129=phu!$I$99,M1129=phu!$I$100),"Huyện khác",""),IF(OR(M1129=phu!$I$101,M1129=phu!$I$102),"Tỉnh khác",""))</f>
        <v/>
      </c>
      <c r="O1129" s="814" t="str">
        <f t="shared" si="103"/>
        <v/>
      </c>
      <c r="P1129" s="254"/>
      <c r="Q1129" s="254"/>
      <c r="R1129" s="254"/>
      <c r="S1129" s="254"/>
      <c r="T1129" s="254"/>
      <c r="U1129" s="254"/>
      <c r="V1129" s="254"/>
      <c r="W1129" s="254"/>
      <c r="Y1129" s="246" t="str">
        <f t="shared" si="104"/>
        <v/>
      </c>
      <c r="Z1129" s="247" t="str">
        <f t="shared" si="102"/>
        <v/>
      </c>
      <c r="AA1129" s="246" t="str">
        <f t="shared" si="105"/>
        <v/>
      </c>
    </row>
    <row r="1130" spans="1:27" x14ac:dyDescent="0.25">
      <c r="A1130" s="248" t="str">
        <f t="shared" si="106"/>
        <v/>
      </c>
      <c r="B1130" s="249" t="str">
        <f t="shared" si="107"/>
        <v/>
      </c>
      <c r="C1130" s="250"/>
      <c r="D1130" s="251"/>
      <c r="E1130" s="241"/>
      <c r="F1130" s="252"/>
      <c r="G1130" s="252"/>
      <c r="H1130" s="253"/>
      <c r="I1130" s="250"/>
      <c r="J1130" s="250"/>
      <c r="K1130" s="270"/>
      <c r="L1130" s="250"/>
      <c r="M1130" s="250"/>
      <c r="N1130" s="553" t="str">
        <f>CONCATENATE(IF(OR(M1130=phu!$I$1,M1130=phu!$I$2,M1130=phu!$I$3),"Cam Thành Nam",""),IF(OR(M1130=phu!$I$4,M1130=phu!$I$5,M1130=phu!$I$6,M1130=phu!$I$7,M1130=phu!$I$8,M1130=phu!$I$9,M1130=phu!$I$10,M1130=phu!$I$11,M1130=phu!$I$12,M1130=phu!$I$13,M1130=phu!$I$14),"Cam Nghĩa",""),IF(OR(M1130=phu!$I$15,M1130=phu!$I$16,M1130=phu!$I$17,M1130=phu!$I$18,M1130=phu!$I$19,M1130=phu!$I$20,M1130=phu!$I$21),"Cam Phúc Bắc",""),IF(OR(M1130=phu!$I$22,M1130=phu!$I$23,M1130=phu!$I$24,M1130=phu!$I$25),"Cam Phúc Nam",""),IF(OR(M1130=phu!$I$26,M1130=phu!$I$27,M1130=phu!$I$28,M1130=phu!$I$29,M1130=phu!$I$30,M1130=phu!$I$31),"Cam Phú",""),IF(OR(M1130=phu!$I$32,M1130=phu!$I$33,M1130=phu!$I$34,M1130=phu!$I$35,M1130=phu!$I$36,M1130=phu!$I$37),"Cam Lộc",""),IF(OR(M1130=phu!$I$38,M1130=phu!$I$39,M1130=phu!$I$40,M1130=phu!$I$41,M1130=phu!$I$42,M1130=phu!$I$43,M1130=phu!$I$44),"Cam Thuận",""),IF(OR(M1130=phu!$I$45,M1130=phu!$I$46,M1130=phu!$I$47,M1130=phu!$I$48,M1130=phu!$I$49,M1130=phu!$I$50,M1130=phu!$I$51,M1130=phu!$I$52,M1130=phu!$I$53),"Cam Linh",""),IF(OR(M1130=phu!$I$54,M1130=phu!$I$55,M1130=phu!$I$56,M1130=phu!$I$57,M1130=phu!$I$58,M1130=phu!$I$59,M1130=phu!$I$60,M1130=phu!$I$61,M1130=phu!$I$62),"Cam Lợi",""),IF(OR(M1130=phu!$I$63,M1130=phu!$I$64,M1130=phu!$I$65,M1130=phu!$I$66,M1130=phu!$I$67,M1130=phu!$I$68,M1130=phu!$I$69,M1130=phu!$I$70,M1130=phu!$I$71),"Ba Ngòi",""),IF(OR(M1130=phu!$I$72,M1130=phu!$I$73,M1130=phu!$I$74,M1130=phu!$I$75,M1130=phu!$I$76,M1130=phu!$I$77,M1130=phu!$I$78),"Cam Phước Đông",""),IF(OR(M1130=phu!$I$79,M1130=phu!$I$80,M1130=phu!$I$81,M1130=phu!$I$82,M1130=phu!$I$83,M1130=phu!$I$84),"Cam Thịnh Đông",""),IF(OR(M1130=phu!$I$85,M1130=phu!$I$86,M1130=phu!$I$87,M1130=phu!$I$88),"Cam Thịnh Tây",""),IF(OR(M1130=phu!$I$89,M1130=phu!$I$90),"Cam Lập",""),IF(OR(M1130=phu!$I$91,M1130=phu!$I$92,M1130=phu!$I$93),"Cam Bình",""),IF(OR(M1130=phu!$I$94,M1130=phu!$I$95,M1130=phu!$I$96,M1130=phu!$I$97,M1130=phu!$I$98,M1130=phu!$I$99,M1130=phu!$I$100),"Huyện khác",""),IF(OR(M1130=phu!$I$101,M1130=phu!$I$102),"Tỉnh khác",""))</f>
        <v/>
      </c>
      <c r="O1130" s="814" t="str">
        <f t="shared" si="103"/>
        <v/>
      </c>
      <c r="P1130" s="254"/>
      <c r="Q1130" s="254"/>
      <c r="R1130" s="254"/>
      <c r="S1130" s="254"/>
      <c r="T1130" s="254"/>
      <c r="U1130" s="254"/>
      <c r="V1130" s="254"/>
      <c r="W1130" s="254"/>
      <c r="Y1130" s="246" t="str">
        <f t="shared" si="104"/>
        <v/>
      </c>
      <c r="Z1130" s="247" t="str">
        <f t="shared" si="102"/>
        <v/>
      </c>
      <c r="AA1130" s="246" t="str">
        <f t="shared" si="105"/>
        <v/>
      </c>
    </row>
    <row r="1131" spans="1:27" x14ac:dyDescent="0.25">
      <c r="A1131" s="248" t="str">
        <f t="shared" si="106"/>
        <v/>
      </c>
      <c r="B1131" s="249" t="str">
        <f t="shared" si="107"/>
        <v/>
      </c>
      <c r="C1131" s="250"/>
      <c r="D1131" s="251"/>
      <c r="E1131" s="241"/>
      <c r="F1131" s="252"/>
      <c r="G1131" s="252"/>
      <c r="H1131" s="253"/>
      <c r="I1131" s="250"/>
      <c r="J1131" s="250"/>
      <c r="K1131" s="270"/>
      <c r="L1131" s="250"/>
      <c r="M1131" s="250"/>
      <c r="N1131" s="553" t="str">
        <f>CONCATENATE(IF(OR(M1131=phu!$I$1,M1131=phu!$I$2,M1131=phu!$I$3),"Cam Thành Nam",""),IF(OR(M1131=phu!$I$4,M1131=phu!$I$5,M1131=phu!$I$6,M1131=phu!$I$7,M1131=phu!$I$8,M1131=phu!$I$9,M1131=phu!$I$10,M1131=phu!$I$11,M1131=phu!$I$12,M1131=phu!$I$13,M1131=phu!$I$14),"Cam Nghĩa",""),IF(OR(M1131=phu!$I$15,M1131=phu!$I$16,M1131=phu!$I$17,M1131=phu!$I$18,M1131=phu!$I$19,M1131=phu!$I$20,M1131=phu!$I$21),"Cam Phúc Bắc",""),IF(OR(M1131=phu!$I$22,M1131=phu!$I$23,M1131=phu!$I$24,M1131=phu!$I$25),"Cam Phúc Nam",""),IF(OR(M1131=phu!$I$26,M1131=phu!$I$27,M1131=phu!$I$28,M1131=phu!$I$29,M1131=phu!$I$30,M1131=phu!$I$31),"Cam Phú",""),IF(OR(M1131=phu!$I$32,M1131=phu!$I$33,M1131=phu!$I$34,M1131=phu!$I$35,M1131=phu!$I$36,M1131=phu!$I$37),"Cam Lộc",""),IF(OR(M1131=phu!$I$38,M1131=phu!$I$39,M1131=phu!$I$40,M1131=phu!$I$41,M1131=phu!$I$42,M1131=phu!$I$43,M1131=phu!$I$44),"Cam Thuận",""),IF(OR(M1131=phu!$I$45,M1131=phu!$I$46,M1131=phu!$I$47,M1131=phu!$I$48,M1131=phu!$I$49,M1131=phu!$I$50,M1131=phu!$I$51,M1131=phu!$I$52,M1131=phu!$I$53),"Cam Linh",""),IF(OR(M1131=phu!$I$54,M1131=phu!$I$55,M1131=phu!$I$56,M1131=phu!$I$57,M1131=phu!$I$58,M1131=phu!$I$59,M1131=phu!$I$60,M1131=phu!$I$61,M1131=phu!$I$62),"Cam Lợi",""),IF(OR(M1131=phu!$I$63,M1131=phu!$I$64,M1131=phu!$I$65,M1131=phu!$I$66,M1131=phu!$I$67,M1131=phu!$I$68,M1131=phu!$I$69,M1131=phu!$I$70,M1131=phu!$I$71),"Ba Ngòi",""),IF(OR(M1131=phu!$I$72,M1131=phu!$I$73,M1131=phu!$I$74,M1131=phu!$I$75,M1131=phu!$I$76,M1131=phu!$I$77,M1131=phu!$I$78),"Cam Phước Đông",""),IF(OR(M1131=phu!$I$79,M1131=phu!$I$80,M1131=phu!$I$81,M1131=phu!$I$82,M1131=phu!$I$83,M1131=phu!$I$84),"Cam Thịnh Đông",""),IF(OR(M1131=phu!$I$85,M1131=phu!$I$86,M1131=phu!$I$87,M1131=phu!$I$88),"Cam Thịnh Tây",""),IF(OR(M1131=phu!$I$89,M1131=phu!$I$90),"Cam Lập",""),IF(OR(M1131=phu!$I$91,M1131=phu!$I$92,M1131=phu!$I$93),"Cam Bình",""),IF(OR(M1131=phu!$I$94,M1131=phu!$I$95,M1131=phu!$I$96,M1131=phu!$I$97,M1131=phu!$I$98,M1131=phu!$I$99,M1131=phu!$I$100),"Huyện khác",""),IF(OR(M1131=phu!$I$101,M1131=phu!$I$102),"Tỉnh khác",""))</f>
        <v/>
      </c>
      <c r="O1131" s="814" t="str">
        <f t="shared" si="103"/>
        <v/>
      </c>
      <c r="P1131" s="254"/>
      <c r="Q1131" s="254"/>
      <c r="R1131" s="254"/>
      <c r="S1131" s="254"/>
      <c r="T1131" s="254"/>
      <c r="U1131" s="254"/>
      <c r="V1131" s="254"/>
      <c r="W1131" s="254"/>
      <c r="Y1131" s="246" t="str">
        <f t="shared" si="104"/>
        <v/>
      </c>
      <c r="Z1131" s="247" t="str">
        <f t="shared" si="102"/>
        <v/>
      </c>
      <c r="AA1131" s="246" t="str">
        <f t="shared" si="105"/>
        <v/>
      </c>
    </row>
    <row r="1132" spans="1:27" x14ac:dyDescent="0.25">
      <c r="A1132" s="248" t="str">
        <f t="shared" si="106"/>
        <v/>
      </c>
      <c r="B1132" s="249" t="str">
        <f t="shared" si="107"/>
        <v/>
      </c>
      <c r="C1132" s="250"/>
      <c r="D1132" s="251"/>
      <c r="E1132" s="241"/>
      <c r="F1132" s="252"/>
      <c r="G1132" s="252"/>
      <c r="H1132" s="253"/>
      <c r="I1132" s="250"/>
      <c r="J1132" s="250"/>
      <c r="K1132" s="270"/>
      <c r="L1132" s="250"/>
      <c r="M1132" s="250"/>
      <c r="N1132" s="553" t="str">
        <f>CONCATENATE(IF(OR(M1132=phu!$I$1,M1132=phu!$I$2,M1132=phu!$I$3),"Cam Thành Nam",""),IF(OR(M1132=phu!$I$4,M1132=phu!$I$5,M1132=phu!$I$6,M1132=phu!$I$7,M1132=phu!$I$8,M1132=phu!$I$9,M1132=phu!$I$10,M1132=phu!$I$11,M1132=phu!$I$12,M1132=phu!$I$13,M1132=phu!$I$14),"Cam Nghĩa",""),IF(OR(M1132=phu!$I$15,M1132=phu!$I$16,M1132=phu!$I$17,M1132=phu!$I$18,M1132=phu!$I$19,M1132=phu!$I$20,M1132=phu!$I$21),"Cam Phúc Bắc",""),IF(OR(M1132=phu!$I$22,M1132=phu!$I$23,M1132=phu!$I$24,M1132=phu!$I$25),"Cam Phúc Nam",""),IF(OR(M1132=phu!$I$26,M1132=phu!$I$27,M1132=phu!$I$28,M1132=phu!$I$29,M1132=phu!$I$30,M1132=phu!$I$31),"Cam Phú",""),IF(OR(M1132=phu!$I$32,M1132=phu!$I$33,M1132=phu!$I$34,M1132=phu!$I$35,M1132=phu!$I$36,M1132=phu!$I$37),"Cam Lộc",""),IF(OR(M1132=phu!$I$38,M1132=phu!$I$39,M1132=phu!$I$40,M1132=phu!$I$41,M1132=phu!$I$42,M1132=phu!$I$43,M1132=phu!$I$44),"Cam Thuận",""),IF(OR(M1132=phu!$I$45,M1132=phu!$I$46,M1132=phu!$I$47,M1132=phu!$I$48,M1132=phu!$I$49,M1132=phu!$I$50,M1132=phu!$I$51,M1132=phu!$I$52,M1132=phu!$I$53),"Cam Linh",""),IF(OR(M1132=phu!$I$54,M1132=phu!$I$55,M1132=phu!$I$56,M1132=phu!$I$57,M1132=phu!$I$58,M1132=phu!$I$59,M1132=phu!$I$60,M1132=phu!$I$61,M1132=phu!$I$62),"Cam Lợi",""),IF(OR(M1132=phu!$I$63,M1132=phu!$I$64,M1132=phu!$I$65,M1132=phu!$I$66,M1132=phu!$I$67,M1132=phu!$I$68,M1132=phu!$I$69,M1132=phu!$I$70,M1132=phu!$I$71),"Ba Ngòi",""),IF(OR(M1132=phu!$I$72,M1132=phu!$I$73,M1132=phu!$I$74,M1132=phu!$I$75,M1132=phu!$I$76,M1132=phu!$I$77,M1132=phu!$I$78),"Cam Phước Đông",""),IF(OR(M1132=phu!$I$79,M1132=phu!$I$80,M1132=phu!$I$81,M1132=phu!$I$82,M1132=phu!$I$83,M1132=phu!$I$84),"Cam Thịnh Đông",""),IF(OR(M1132=phu!$I$85,M1132=phu!$I$86,M1132=phu!$I$87,M1132=phu!$I$88),"Cam Thịnh Tây",""),IF(OR(M1132=phu!$I$89,M1132=phu!$I$90),"Cam Lập",""),IF(OR(M1132=phu!$I$91,M1132=phu!$I$92,M1132=phu!$I$93),"Cam Bình",""),IF(OR(M1132=phu!$I$94,M1132=phu!$I$95,M1132=phu!$I$96,M1132=phu!$I$97,M1132=phu!$I$98,M1132=phu!$I$99,M1132=phu!$I$100),"Huyện khác",""),IF(OR(M1132=phu!$I$101,M1132=phu!$I$102),"Tỉnh khác",""))</f>
        <v/>
      </c>
      <c r="O1132" s="814" t="str">
        <f t="shared" si="103"/>
        <v/>
      </c>
      <c r="P1132" s="254"/>
      <c r="Q1132" s="254"/>
      <c r="R1132" s="254"/>
      <c r="S1132" s="254"/>
      <c r="T1132" s="254"/>
      <c r="U1132" s="254"/>
      <c r="V1132" s="254"/>
      <c r="W1132" s="254"/>
      <c r="Y1132" s="246" t="str">
        <f t="shared" si="104"/>
        <v/>
      </c>
      <c r="Z1132" s="247" t="str">
        <f t="shared" si="102"/>
        <v/>
      </c>
      <c r="AA1132" s="246" t="str">
        <f t="shared" si="105"/>
        <v/>
      </c>
    </row>
    <row r="1133" spans="1:27" x14ac:dyDescent="0.25">
      <c r="A1133" s="248" t="str">
        <f t="shared" si="106"/>
        <v/>
      </c>
      <c r="B1133" s="249" t="str">
        <f t="shared" si="107"/>
        <v/>
      </c>
      <c r="C1133" s="250"/>
      <c r="D1133" s="251"/>
      <c r="E1133" s="241"/>
      <c r="F1133" s="252"/>
      <c r="G1133" s="252"/>
      <c r="H1133" s="253"/>
      <c r="I1133" s="250"/>
      <c r="J1133" s="250"/>
      <c r="K1133" s="270"/>
      <c r="L1133" s="250"/>
      <c r="M1133" s="250"/>
      <c r="N1133" s="553" t="str">
        <f>CONCATENATE(IF(OR(M1133=phu!$I$1,M1133=phu!$I$2,M1133=phu!$I$3),"Cam Thành Nam",""),IF(OR(M1133=phu!$I$4,M1133=phu!$I$5,M1133=phu!$I$6,M1133=phu!$I$7,M1133=phu!$I$8,M1133=phu!$I$9,M1133=phu!$I$10,M1133=phu!$I$11,M1133=phu!$I$12,M1133=phu!$I$13,M1133=phu!$I$14),"Cam Nghĩa",""),IF(OR(M1133=phu!$I$15,M1133=phu!$I$16,M1133=phu!$I$17,M1133=phu!$I$18,M1133=phu!$I$19,M1133=phu!$I$20,M1133=phu!$I$21),"Cam Phúc Bắc",""),IF(OR(M1133=phu!$I$22,M1133=phu!$I$23,M1133=phu!$I$24,M1133=phu!$I$25),"Cam Phúc Nam",""),IF(OR(M1133=phu!$I$26,M1133=phu!$I$27,M1133=phu!$I$28,M1133=phu!$I$29,M1133=phu!$I$30,M1133=phu!$I$31),"Cam Phú",""),IF(OR(M1133=phu!$I$32,M1133=phu!$I$33,M1133=phu!$I$34,M1133=phu!$I$35,M1133=phu!$I$36,M1133=phu!$I$37),"Cam Lộc",""),IF(OR(M1133=phu!$I$38,M1133=phu!$I$39,M1133=phu!$I$40,M1133=phu!$I$41,M1133=phu!$I$42,M1133=phu!$I$43,M1133=phu!$I$44),"Cam Thuận",""),IF(OR(M1133=phu!$I$45,M1133=phu!$I$46,M1133=phu!$I$47,M1133=phu!$I$48,M1133=phu!$I$49,M1133=phu!$I$50,M1133=phu!$I$51,M1133=phu!$I$52,M1133=phu!$I$53),"Cam Linh",""),IF(OR(M1133=phu!$I$54,M1133=phu!$I$55,M1133=phu!$I$56,M1133=phu!$I$57,M1133=phu!$I$58,M1133=phu!$I$59,M1133=phu!$I$60,M1133=phu!$I$61,M1133=phu!$I$62),"Cam Lợi",""),IF(OR(M1133=phu!$I$63,M1133=phu!$I$64,M1133=phu!$I$65,M1133=phu!$I$66,M1133=phu!$I$67,M1133=phu!$I$68,M1133=phu!$I$69,M1133=phu!$I$70,M1133=phu!$I$71),"Ba Ngòi",""),IF(OR(M1133=phu!$I$72,M1133=phu!$I$73,M1133=phu!$I$74,M1133=phu!$I$75,M1133=phu!$I$76,M1133=phu!$I$77,M1133=phu!$I$78),"Cam Phước Đông",""),IF(OR(M1133=phu!$I$79,M1133=phu!$I$80,M1133=phu!$I$81,M1133=phu!$I$82,M1133=phu!$I$83,M1133=phu!$I$84),"Cam Thịnh Đông",""),IF(OR(M1133=phu!$I$85,M1133=phu!$I$86,M1133=phu!$I$87,M1133=phu!$I$88),"Cam Thịnh Tây",""),IF(OR(M1133=phu!$I$89,M1133=phu!$I$90),"Cam Lập",""),IF(OR(M1133=phu!$I$91,M1133=phu!$I$92,M1133=phu!$I$93),"Cam Bình",""),IF(OR(M1133=phu!$I$94,M1133=phu!$I$95,M1133=phu!$I$96,M1133=phu!$I$97,M1133=phu!$I$98,M1133=phu!$I$99,M1133=phu!$I$100),"Huyện khác",""),IF(OR(M1133=phu!$I$101,M1133=phu!$I$102),"Tỉnh khác",""))</f>
        <v/>
      </c>
      <c r="O1133" s="814" t="str">
        <f t="shared" si="103"/>
        <v/>
      </c>
      <c r="P1133" s="254"/>
      <c r="Q1133" s="254"/>
      <c r="R1133" s="254"/>
      <c r="S1133" s="254"/>
      <c r="T1133" s="254"/>
      <c r="U1133" s="254"/>
      <c r="V1133" s="254"/>
      <c r="W1133" s="254"/>
      <c r="Y1133" s="246" t="str">
        <f t="shared" si="104"/>
        <v/>
      </c>
      <c r="Z1133" s="247" t="str">
        <f t="shared" si="102"/>
        <v/>
      </c>
      <c r="AA1133" s="246" t="str">
        <f t="shared" si="105"/>
        <v/>
      </c>
    </row>
    <row r="1134" spans="1:27" x14ac:dyDescent="0.25">
      <c r="A1134" s="248" t="str">
        <f t="shared" si="106"/>
        <v/>
      </c>
      <c r="B1134" s="249" t="str">
        <f t="shared" si="107"/>
        <v/>
      </c>
      <c r="C1134" s="250"/>
      <c r="D1134" s="251"/>
      <c r="E1134" s="241"/>
      <c r="F1134" s="252"/>
      <c r="G1134" s="252"/>
      <c r="H1134" s="253"/>
      <c r="I1134" s="250"/>
      <c r="J1134" s="250"/>
      <c r="K1134" s="270"/>
      <c r="L1134" s="250"/>
      <c r="M1134" s="250"/>
      <c r="N1134" s="553" t="str">
        <f>CONCATENATE(IF(OR(M1134=phu!$I$1,M1134=phu!$I$2,M1134=phu!$I$3),"Cam Thành Nam",""),IF(OR(M1134=phu!$I$4,M1134=phu!$I$5,M1134=phu!$I$6,M1134=phu!$I$7,M1134=phu!$I$8,M1134=phu!$I$9,M1134=phu!$I$10,M1134=phu!$I$11,M1134=phu!$I$12,M1134=phu!$I$13,M1134=phu!$I$14),"Cam Nghĩa",""),IF(OR(M1134=phu!$I$15,M1134=phu!$I$16,M1134=phu!$I$17,M1134=phu!$I$18,M1134=phu!$I$19,M1134=phu!$I$20,M1134=phu!$I$21),"Cam Phúc Bắc",""),IF(OR(M1134=phu!$I$22,M1134=phu!$I$23,M1134=phu!$I$24,M1134=phu!$I$25),"Cam Phúc Nam",""),IF(OR(M1134=phu!$I$26,M1134=phu!$I$27,M1134=phu!$I$28,M1134=phu!$I$29,M1134=phu!$I$30,M1134=phu!$I$31),"Cam Phú",""),IF(OR(M1134=phu!$I$32,M1134=phu!$I$33,M1134=phu!$I$34,M1134=phu!$I$35,M1134=phu!$I$36,M1134=phu!$I$37),"Cam Lộc",""),IF(OR(M1134=phu!$I$38,M1134=phu!$I$39,M1134=phu!$I$40,M1134=phu!$I$41,M1134=phu!$I$42,M1134=phu!$I$43,M1134=phu!$I$44),"Cam Thuận",""),IF(OR(M1134=phu!$I$45,M1134=phu!$I$46,M1134=phu!$I$47,M1134=phu!$I$48,M1134=phu!$I$49,M1134=phu!$I$50,M1134=phu!$I$51,M1134=phu!$I$52,M1134=phu!$I$53),"Cam Linh",""),IF(OR(M1134=phu!$I$54,M1134=phu!$I$55,M1134=phu!$I$56,M1134=phu!$I$57,M1134=phu!$I$58,M1134=phu!$I$59,M1134=phu!$I$60,M1134=phu!$I$61,M1134=phu!$I$62),"Cam Lợi",""),IF(OR(M1134=phu!$I$63,M1134=phu!$I$64,M1134=phu!$I$65,M1134=phu!$I$66,M1134=phu!$I$67,M1134=phu!$I$68,M1134=phu!$I$69,M1134=phu!$I$70,M1134=phu!$I$71),"Ba Ngòi",""),IF(OR(M1134=phu!$I$72,M1134=phu!$I$73,M1134=phu!$I$74,M1134=phu!$I$75,M1134=phu!$I$76,M1134=phu!$I$77,M1134=phu!$I$78),"Cam Phước Đông",""),IF(OR(M1134=phu!$I$79,M1134=phu!$I$80,M1134=phu!$I$81,M1134=phu!$I$82,M1134=phu!$I$83,M1134=phu!$I$84),"Cam Thịnh Đông",""),IF(OR(M1134=phu!$I$85,M1134=phu!$I$86,M1134=phu!$I$87,M1134=phu!$I$88),"Cam Thịnh Tây",""),IF(OR(M1134=phu!$I$89,M1134=phu!$I$90),"Cam Lập",""),IF(OR(M1134=phu!$I$91,M1134=phu!$I$92,M1134=phu!$I$93),"Cam Bình",""),IF(OR(M1134=phu!$I$94,M1134=phu!$I$95,M1134=phu!$I$96,M1134=phu!$I$97,M1134=phu!$I$98,M1134=phu!$I$99,M1134=phu!$I$100),"Huyện khác",""),IF(OR(M1134=phu!$I$101,M1134=phu!$I$102),"Tỉnh khác",""))</f>
        <v/>
      </c>
      <c r="O1134" s="814" t="str">
        <f t="shared" si="103"/>
        <v/>
      </c>
      <c r="P1134" s="254"/>
      <c r="Q1134" s="254"/>
      <c r="R1134" s="254"/>
      <c r="S1134" s="254"/>
      <c r="T1134" s="254"/>
      <c r="U1134" s="254"/>
      <c r="V1134" s="254"/>
      <c r="W1134" s="254"/>
      <c r="Y1134" s="246" t="str">
        <f t="shared" si="104"/>
        <v/>
      </c>
      <c r="Z1134" s="247" t="str">
        <f t="shared" si="102"/>
        <v/>
      </c>
      <c r="AA1134" s="246" t="str">
        <f t="shared" si="105"/>
        <v/>
      </c>
    </row>
    <row r="1135" spans="1:27" x14ac:dyDescent="0.25">
      <c r="A1135" s="248" t="str">
        <f t="shared" si="106"/>
        <v/>
      </c>
      <c r="B1135" s="249" t="str">
        <f t="shared" si="107"/>
        <v/>
      </c>
      <c r="C1135" s="250"/>
      <c r="D1135" s="251"/>
      <c r="E1135" s="241"/>
      <c r="F1135" s="252"/>
      <c r="G1135" s="252"/>
      <c r="H1135" s="253"/>
      <c r="I1135" s="250"/>
      <c r="J1135" s="250"/>
      <c r="K1135" s="270"/>
      <c r="L1135" s="250"/>
      <c r="M1135" s="250"/>
      <c r="N1135" s="553" t="str">
        <f>CONCATENATE(IF(OR(M1135=phu!$I$1,M1135=phu!$I$2,M1135=phu!$I$3),"Cam Thành Nam",""),IF(OR(M1135=phu!$I$4,M1135=phu!$I$5,M1135=phu!$I$6,M1135=phu!$I$7,M1135=phu!$I$8,M1135=phu!$I$9,M1135=phu!$I$10,M1135=phu!$I$11,M1135=phu!$I$12,M1135=phu!$I$13,M1135=phu!$I$14),"Cam Nghĩa",""),IF(OR(M1135=phu!$I$15,M1135=phu!$I$16,M1135=phu!$I$17,M1135=phu!$I$18,M1135=phu!$I$19,M1135=phu!$I$20,M1135=phu!$I$21),"Cam Phúc Bắc",""),IF(OR(M1135=phu!$I$22,M1135=phu!$I$23,M1135=phu!$I$24,M1135=phu!$I$25),"Cam Phúc Nam",""),IF(OR(M1135=phu!$I$26,M1135=phu!$I$27,M1135=phu!$I$28,M1135=phu!$I$29,M1135=phu!$I$30,M1135=phu!$I$31),"Cam Phú",""),IF(OR(M1135=phu!$I$32,M1135=phu!$I$33,M1135=phu!$I$34,M1135=phu!$I$35,M1135=phu!$I$36,M1135=phu!$I$37),"Cam Lộc",""),IF(OR(M1135=phu!$I$38,M1135=phu!$I$39,M1135=phu!$I$40,M1135=phu!$I$41,M1135=phu!$I$42,M1135=phu!$I$43,M1135=phu!$I$44),"Cam Thuận",""),IF(OR(M1135=phu!$I$45,M1135=phu!$I$46,M1135=phu!$I$47,M1135=phu!$I$48,M1135=phu!$I$49,M1135=phu!$I$50,M1135=phu!$I$51,M1135=phu!$I$52,M1135=phu!$I$53),"Cam Linh",""),IF(OR(M1135=phu!$I$54,M1135=phu!$I$55,M1135=phu!$I$56,M1135=phu!$I$57,M1135=phu!$I$58,M1135=phu!$I$59,M1135=phu!$I$60,M1135=phu!$I$61,M1135=phu!$I$62),"Cam Lợi",""),IF(OR(M1135=phu!$I$63,M1135=phu!$I$64,M1135=phu!$I$65,M1135=phu!$I$66,M1135=phu!$I$67,M1135=phu!$I$68,M1135=phu!$I$69,M1135=phu!$I$70,M1135=phu!$I$71),"Ba Ngòi",""),IF(OR(M1135=phu!$I$72,M1135=phu!$I$73,M1135=phu!$I$74,M1135=phu!$I$75,M1135=phu!$I$76,M1135=phu!$I$77,M1135=phu!$I$78),"Cam Phước Đông",""),IF(OR(M1135=phu!$I$79,M1135=phu!$I$80,M1135=phu!$I$81,M1135=phu!$I$82,M1135=phu!$I$83,M1135=phu!$I$84),"Cam Thịnh Đông",""),IF(OR(M1135=phu!$I$85,M1135=phu!$I$86,M1135=phu!$I$87,M1135=phu!$I$88),"Cam Thịnh Tây",""),IF(OR(M1135=phu!$I$89,M1135=phu!$I$90),"Cam Lập",""),IF(OR(M1135=phu!$I$91,M1135=phu!$I$92,M1135=phu!$I$93),"Cam Bình",""),IF(OR(M1135=phu!$I$94,M1135=phu!$I$95,M1135=phu!$I$96,M1135=phu!$I$97,M1135=phu!$I$98,M1135=phu!$I$99,M1135=phu!$I$100),"Huyện khác",""),IF(OR(M1135=phu!$I$101,M1135=phu!$I$102),"Tỉnh khác",""))</f>
        <v/>
      </c>
      <c r="O1135" s="814" t="str">
        <f t="shared" si="103"/>
        <v/>
      </c>
      <c r="P1135" s="254"/>
      <c r="Q1135" s="254"/>
      <c r="R1135" s="254"/>
      <c r="S1135" s="254"/>
      <c r="T1135" s="254"/>
      <c r="U1135" s="254"/>
      <c r="V1135" s="254"/>
      <c r="W1135" s="254"/>
      <c r="Y1135" s="246" t="str">
        <f t="shared" si="104"/>
        <v/>
      </c>
      <c r="Z1135" s="247" t="str">
        <f t="shared" si="102"/>
        <v/>
      </c>
      <c r="AA1135" s="246" t="str">
        <f t="shared" si="105"/>
        <v/>
      </c>
    </row>
    <row r="1136" spans="1:27" x14ac:dyDescent="0.25">
      <c r="A1136" s="248" t="str">
        <f t="shared" si="106"/>
        <v/>
      </c>
      <c r="B1136" s="249" t="str">
        <f t="shared" si="107"/>
        <v/>
      </c>
      <c r="C1136" s="250"/>
      <c r="D1136" s="251"/>
      <c r="E1136" s="241"/>
      <c r="F1136" s="252"/>
      <c r="G1136" s="252"/>
      <c r="H1136" s="253"/>
      <c r="I1136" s="250"/>
      <c r="J1136" s="250"/>
      <c r="K1136" s="270"/>
      <c r="L1136" s="250"/>
      <c r="M1136" s="250"/>
      <c r="N1136" s="553" t="str">
        <f>CONCATENATE(IF(OR(M1136=phu!$I$1,M1136=phu!$I$2,M1136=phu!$I$3),"Cam Thành Nam",""),IF(OR(M1136=phu!$I$4,M1136=phu!$I$5,M1136=phu!$I$6,M1136=phu!$I$7,M1136=phu!$I$8,M1136=phu!$I$9,M1136=phu!$I$10,M1136=phu!$I$11,M1136=phu!$I$12,M1136=phu!$I$13,M1136=phu!$I$14),"Cam Nghĩa",""),IF(OR(M1136=phu!$I$15,M1136=phu!$I$16,M1136=phu!$I$17,M1136=phu!$I$18,M1136=phu!$I$19,M1136=phu!$I$20,M1136=phu!$I$21),"Cam Phúc Bắc",""),IF(OR(M1136=phu!$I$22,M1136=phu!$I$23,M1136=phu!$I$24,M1136=phu!$I$25),"Cam Phúc Nam",""),IF(OR(M1136=phu!$I$26,M1136=phu!$I$27,M1136=phu!$I$28,M1136=phu!$I$29,M1136=phu!$I$30,M1136=phu!$I$31),"Cam Phú",""),IF(OR(M1136=phu!$I$32,M1136=phu!$I$33,M1136=phu!$I$34,M1136=phu!$I$35,M1136=phu!$I$36,M1136=phu!$I$37),"Cam Lộc",""),IF(OR(M1136=phu!$I$38,M1136=phu!$I$39,M1136=phu!$I$40,M1136=phu!$I$41,M1136=phu!$I$42,M1136=phu!$I$43,M1136=phu!$I$44),"Cam Thuận",""),IF(OR(M1136=phu!$I$45,M1136=phu!$I$46,M1136=phu!$I$47,M1136=phu!$I$48,M1136=phu!$I$49,M1136=phu!$I$50,M1136=phu!$I$51,M1136=phu!$I$52,M1136=phu!$I$53),"Cam Linh",""),IF(OR(M1136=phu!$I$54,M1136=phu!$I$55,M1136=phu!$I$56,M1136=phu!$I$57,M1136=phu!$I$58,M1136=phu!$I$59,M1136=phu!$I$60,M1136=phu!$I$61,M1136=phu!$I$62),"Cam Lợi",""),IF(OR(M1136=phu!$I$63,M1136=phu!$I$64,M1136=phu!$I$65,M1136=phu!$I$66,M1136=phu!$I$67,M1136=phu!$I$68,M1136=phu!$I$69,M1136=phu!$I$70,M1136=phu!$I$71),"Ba Ngòi",""),IF(OR(M1136=phu!$I$72,M1136=phu!$I$73,M1136=phu!$I$74,M1136=phu!$I$75,M1136=phu!$I$76,M1136=phu!$I$77,M1136=phu!$I$78),"Cam Phước Đông",""),IF(OR(M1136=phu!$I$79,M1136=phu!$I$80,M1136=phu!$I$81,M1136=phu!$I$82,M1136=phu!$I$83,M1136=phu!$I$84),"Cam Thịnh Đông",""),IF(OR(M1136=phu!$I$85,M1136=phu!$I$86,M1136=phu!$I$87,M1136=phu!$I$88),"Cam Thịnh Tây",""),IF(OR(M1136=phu!$I$89,M1136=phu!$I$90),"Cam Lập",""),IF(OR(M1136=phu!$I$91,M1136=phu!$I$92,M1136=phu!$I$93),"Cam Bình",""),IF(OR(M1136=phu!$I$94,M1136=phu!$I$95,M1136=phu!$I$96,M1136=phu!$I$97,M1136=phu!$I$98,M1136=phu!$I$99,M1136=phu!$I$100),"Huyện khác",""),IF(OR(M1136=phu!$I$101,M1136=phu!$I$102),"Tỉnh khác",""))</f>
        <v/>
      </c>
      <c r="O1136" s="814" t="str">
        <f t="shared" si="103"/>
        <v/>
      </c>
      <c r="P1136" s="254"/>
      <c r="Q1136" s="254"/>
      <c r="R1136" s="254"/>
      <c r="S1136" s="254"/>
      <c r="T1136" s="254"/>
      <c r="U1136" s="254"/>
      <c r="V1136" s="254"/>
      <c r="W1136" s="254"/>
      <c r="Y1136" s="246" t="str">
        <f t="shared" si="104"/>
        <v/>
      </c>
      <c r="Z1136" s="247" t="str">
        <f t="shared" si="102"/>
        <v/>
      </c>
      <c r="AA1136" s="246" t="str">
        <f t="shared" si="105"/>
        <v/>
      </c>
    </row>
    <row r="1137" spans="1:27" x14ac:dyDescent="0.25">
      <c r="A1137" s="248" t="str">
        <f t="shared" si="106"/>
        <v/>
      </c>
      <c r="B1137" s="249" t="str">
        <f t="shared" si="107"/>
        <v/>
      </c>
      <c r="C1137" s="250"/>
      <c r="D1137" s="251"/>
      <c r="E1137" s="241"/>
      <c r="F1137" s="252"/>
      <c r="G1137" s="252"/>
      <c r="H1137" s="253"/>
      <c r="I1137" s="250"/>
      <c r="J1137" s="250"/>
      <c r="K1137" s="270"/>
      <c r="L1137" s="250"/>
      <c r="M1137" s="250"/>
      <c r="N1137" s="553" t="str">
        <f>CONCATENATE(IF(OR(M1137=phu!$I$1,M1137=phu!$I$2,M1137=phu!$I$3),"Cam Thành Nam",""),IF(OR(M1137=phu!$I$4,M1137=phu!$I$5,M1137=phu!$I$6,M1137=phu!$I$7,M1137=phu!$I$8,M1137=phu!$I$9,M1137=phu!$I$10,M1137=phu!$I$11,M1137=phu!$I$12,M1137=phu!$I$13,M1137=phu!$I$14),"Cam Nghĩa",""),IF(OR(M1137=phu!$I$15,M1137=phu!$I$16,M1137=phu!$I$17,M1137=phu!$I$18,M1137=phu!$I$19,M1137=phu!$I$20,M1137=phu!$I$21),"Cam Phúc Bắc",""),IF(OR(M1137=phu!$I$22,M1137=phu!$I$23,M1137=phu!$I$24,M1137=phu!$I$25),"Cam Phúc Nam",""),IF(OR(M1137=phu!$I$26,M1137=phu!$I$27,M1137=phu!$I$28,M1137=phu!$I$29,M1137=phu!$I$30,M1137=phu!$I$31),"Cam Phú",""),IF(OR(M1137=phu!$I$32,M1137=phu!$I$33,M1137=phu!$I$34,M1137=phu!$I$35,M1137=phu!$I$36,M1137=phu!$I$37),"Cam Lộc",""),IF(OR(M1137=phu!$I$38,M1137=phu!$I$39,M1137=phu!$I$40,M1137=phu!$I$41,M1137=phu!$I$42,M1137=phu!$I$43,M1137=phu!$I$44),"Cam Thuận",""),IF(OR(M1137=phu!$I$45,M1137=phu!$I$46,M1137=phu!$I$47,M1137=phu!$I$48,M1137=phu!$I$49,M1137=phu!$I$50,M1137=phu!$I$51,M1137=phu!$I$52,M1137=phu!$I$53),"Cam Linh",""),IF(OR(M1137=phu!$I$54,M1137=phu!$I$55,M1137=phu!$I$56,M1137=phu!$I$57,M1137=phu!$I$58,M1137=phu!$I$59,M1137=phu!$I$60,M1137=phu!$I$61,M1137=phu!$I$62),"Cam Lợi",""),IF(OR(M1137=phu!$I$63,M1137=phu!$I$64,M1137=phu!$I$65,M1137=phu!$I$66,M1137=phu!$I$67,M1137=phu!$I$68,M1137=phu!$I$69,M1137=phu!$I$70,M1137=phu!$I$71),"Ba Ngòi",""),IF(OR(M1137=phu!$I$72,M1137=phu!$I$73,M1137=phu!$I$74,M1137=phu!$I$75,M1137=phu!$I$76,M1137=phu!$I$77,M1137=phu!$I$78),"Cam Phước Đông",""),IF(OR(M1137=phu!$I$79,M1137=phu!$I$80,M1137=phu!$I$81,M1137=phu!$I$82,M1137=phu!$I$83,M1137=phu!$I$84),"Cam Thịnh Đông",""),IF(OR(M1137=phu!$I$85,M1137=phu!$I$86,M1137=phu!$I$87,M1137=phu!$I$88),"Cam Thịnh Tây",""),IF(OR(M1137=phu!$I$89,M1137=phu!$I$90),"Cam Lập",""),IF(OR(M1137=phu!$I$91,M1137=phu!$I$92,M1137=phu!$I$93),"Cam Bình",""),IF(OR(M1137=phu!$I$94,M1137=phu!$I$95,M1137=phu!$I$96,M1137=phu!$I$97,M1137=phu!$I$98,M1137=phu!$I$99,M1137=phu!$I$100),"Huyện khác",""),IF(OR(M1137=phu!$I$101,M1137=phu!$I$102),"Tỉnh khác",""))</f>
        <v/>
      </c>
      <c r="O1137" s="814" t="str">
        <f t="shared" si="103"/>
        <v/>
      </c>
      <c r="P1137" s="254"/>
      <c r="Q1137" s="254"/>
      <c r="R1137" s="254"/>
      <c r="S1137" s="254"/>
      <c r="T1137" s="254"/>
      <c r="U1137" s="254"/>
      <c r="V1137" s="254"/>
      <c r="W1137" s="254"/>
      <c r="Y1137" s="246" t="str">
        <f t="shared" si="104"/>
        <v/>
      </c>
      <c r="Z1137" s="247" t="str">
        <f t="shared" si="102"/>
        <v/>
      </c>
      <c r="AA1137" s="246" t="str">
        <f t="shared" si="105"/>
        <v/>
      </c>
    </row>
    <row r="1138" spans="1:27" x14ac:dyDescent="0.25">
      <c r="A1138" s="248" t="str">
        <f t="shared" si="106"/>
        <v/>
      </c>
      <c r="B1138" s="249" t="str">
        <f t="shared" si="107"/>
        <v/>
      </c>
      <c r="C1138" s="250"/>
      <c r="D1138" s="251"/>
      <c r="E1138" s="241"/>
      <c r="F1138" s="252"/>
      <c r="G1138" s="252"/>
      <c r="H1138" s="253"/>
      <c r="I1138" s="250"/>
      <c r="J1138" s="250"/>
      <c r="K1138" s="270"/>
      <c r="L1138" s="250"/>
      <c r="M1138" s="250"/>
      <c r="N1138" s="553" t="str">
        <f>CONCATENATE(IF(OR(M1138=phu!$I$1,M1138=phu!$I$2,M1138=phu!$I$3),"Cam Thành Nam",""),IF(OR(M1138=phu!$I$4,M1138=phu!$I$5,M1138=phu!$I$6,M1138=phu!$I$7,M1138=phu!$I$8,M1138=phu!$I$9,M1138=phu!$I$10,M1138=phu!$I$11,M1138=phu!$I$12,M1138=phu!$I$13,M1138=phu!$I$14),"Cam Nghĩa",""),IF(OR(M1138=phu!$I$15,M1138=phu!$I$16,M1138=phu!$I$17,M1138=phu!$I$18,M1138=phu!$I$19,M1138=phu!$I$20,M1138=phu!$I$21),"Cam Phúc Bắc",""),IF(OR(M1138=phu!$I$22,M1138=phu!$I$23,M1138=phu!$I$24,M1138=phu!$I$25),"Cam Phúc Nam",""),IF(OR(M1138=phu!$I$26,M1138=phu!$I$27,M1138=phu!$I$28,M1138=phu!$I$29,M1138=phu!$I$30,M1138=phu!$I$31),"Cam Phú",""),IF(OR(M1138=phu!$I$32,M1138=phu!$I$33,M1138=phu!$I$34,M1138=phu!$I$35,M1138=phu!$I$36,M1138=phu!$I$37),"Cam Lộc",""),IF(OR(M1138=phu!$I$38,M1138=phu!$I$39,M1138=phu!$I$40,M1138=phu!$I$41,M1138=phu!$I$42,M1138=phu!$I$43,M1138=phu!$I$44),"Cam Thuận",""),IF(OR(M1138=phu!$I$45,M1138=phu!$I$46,M1138=phu!$I$47,M1138=phu!$I$48,M1138=phu!$I$49,M1138=phu!$I$50,M1138=phu!$I$51,M1138=phu!$I$52,M1138=phu!$I$53),"Cam Linh",""),IF(OR(M1138=phu!$I$54,M1138=phu!$I$55,M1138=phu!$I$56,M1138=phu!$I$57,M1138=phu!$I$58,M1138=phu!$I$59,M1138=phu!$I$60,M1138=phu!$I$61,M1138=phu!$I$62),"Cam Lợi",""),IF(OR(M1138=phu!$I$63,M1138=phu!$I$64,M1138=phu!$I$65,M1138=phu!$I$66,M1138=phu!$I$67,M1138=phu!$I$68,M1138=phu!$I$69,M1138=phu!$I$70,M1138=phu!$I$71),"Ba Ngòi",""),IF(OR(M1138=phu!$I$72,M1138=phu!$I$73,M1138=phu!$I$74,M1138=phu!$I$75,M1138=phu!$I$76,M1138=phu!$I$77,M1138=phu!$I$78),"Cam Phước Đông",""),IF(OR(M1138=phu!$I$79,M1138=phu!$I$80,M1138=phu!$I$81,M1138=phu!$I$82,M1138=phu!$I$83,M1138=phu!$I$84),"Cam Thịnh Đông",""),IF(OR(M1138=phu!$I$85,M1138=phu!$I$86,M1138=phu!$I$87,M1138=phu!$I$88),"Cam Thịnh Tây",""),IF(OR(M1138=phu!$I$89,M1138=phu!$I$90),"Cam Lập",""),IF(OR(M1138=phu!$I$91,M1138=phu!$I$92,M1138=phu!$I$93),"Cam Bình",""),IF(OR(M1138=phu!$I$94,M1138=phu!$I$95,M1138=phu!$I$96,M1138=phu!$I$97,M1138=phu!$I$98,M1138=phu!$I$99,M1138=phu!$I$100),"Huyện khác",""),IF(OR(M1138=phu!$I$101,M1138=phu!$I$102),"Tỉnh khác",""))</f>
        <v/>
      </c>
      <c r="O1138" s="814" t="str">
        <f t="shared" si="103"/>
        <v/>
      </c>
      <c r="P1138" s="254"/>
      <c r="Q1138" s="254"/>
      <c r="R1138" s="254"/>
      <c r="S1138" s="254"/>
      <c r="T1138" s="254"/>
      <c r="U1138" s="254"/>
      <c r="V1138" s="254"/>
      <c r="W1138" s="254"/>
      <c r="Y1138" s="246" t="str">
        <f t="shared" si="104"/>
        <v/>
      </c>
      <c r="Z1138" s="247" t="str">
        <f t="shared" si="102"/>
        <v/>
      </c>
      <c r="AA1138" s="246" t="str">
        <f t="shared" si="105"/>
        <v/>
      </c>
    </row>
    <row r="1139" spans="1:27" x14ac:dyDescent="0.25">
      <c r="A1139" s="248" t="str">
        <f t="shared" si="106"/>
        <v/>
      </c>
      <c r="B1139" s="249" t="str">
        <f t="shared" si="107"/>
        <v/>
      </c>
      <c r="C1139" s="250"/>
      <c r="D1139" s="251"/>
      <c r="E1139" s="241"/>
      <c r="F1139" s="252"/>
      <c r="G1139" s="252"/>
      <c r="H1139" s="253"/>
      <c r="I1139" s="250"/>
      <c r="J1139" s="250"/>
      <c r="K1139" s="270"/>
      <c r="L1139" s="250"/>
      <c r="M1139" s="250"/>
      <c r="N1139" s="553" t="str">
        <f>CONCATENATE(IF(OR(M1139=phu!$I$1,M1139=phu!$I$2,M1139=phu!$I$3),"Cam Thành Nam",""),IF(OR(M1139=phu!$I$4,M1139=phu!$I$5,M1139=phu!$I$6,M1139=phu!$I$7,M1139=phu!$I$8,M1139=phu!$I$9,M1139=phu!$I$10,M1139=phu!$I$11,M1139=phu!$I$12,M1139=phu!$I$13,M1139=phu!$I$14),"Cam Nghĩa",""),IF(OR(M1139=phu!$I$15,M1139=phu!$I$16,M1139=phu!$I$17,M1139=phu!$I$18,M1139=phu!$I$19,M1139=phu!$I$20,M1139=phu!$I$21),"Cam Phúc Bắc",""),IF(OR(M1139=phu!$I$22,M1139=phu!$I$23,M1139=phu!$I$24,M1139=phu!$I$25),"Cam Phúc Nam",""),IF(OR(M1139=phu!$I$26,M1139=phu!$I$27,M1139=phu!$I$28,M1139=phu!$I$29,M1139=phu!$I$30,M1139=phu!$I$31),"Cam Phú",""),IF(OR(M1139=phu!$I$32,M1139=phu!$I$33,M1139=phu!$I$34,M1139=phu!$I$35,M1139=phu!$I$36,M1139=phu!$I$37),"Cam Lộc",""),IF(OR(M1139=phu!$I$38,M1139=phu!$I$39,M1139=phu!$I$40,M1139=phu!$I$41,M1139=phu!$I$42,M1139=phu!$I$43,M1139=phu!$I$44),"Cam Thuận",""),IF(OR(M1139=phu!$I$45,M1139=phu!$I$46,M1139=phu!$I$47,M1139=phu!$I$48,M1139=phu!$I$49,M1139=phu!$I$50,M1139=phu!$I$51,M1139=phu!$I$52,M1139=phu!$I$53),"Cam Linh",""),IF(OR(M1139=phu!$I$54,M1139=phu!$I$55,M1139=phu!$I$56,M1139=phu!$I$57,M1139=phu!$I$58,M1139=phu!$I$59,M1139=phu!$I$60,M1139=phu!$I$61,M1139=phu!$I$62),"Cam Lợi",""),IF(OR(M1139=phu!$I$63,M1139=phu!$I$64,M1139=phu!$I$65,M1139=phu!$I$66,M1139=phu!$I$67,M1139=phu!$I$68,M1139=phu!$I$69,M1139=phu!$I$70,M1139=phu!$I$71),"Ba Ngòi",""),IF(OR(M1139=phu!$I$72,M1139=phu!$I$73,M1139=phu!$I$74,M1139=phu!$I$75,M1139=phu!$I$76,M1139=phu!$I$77,M1139=phu!$I$78),"Cam Phước Đông",""),IF(OR(M1139=phu!$I$79,M1139=phu!$I$80,M1139=phu!$I$81,M1139=phu!$I$82,M1139=phu!$I$83,M1139=phu!$I$84),"Cam Thịnh Đông",""),IF(OR(M1139=phu!$I$85,M1139=phu!$I$86,M1139=phu!$I$87,M1139=phu!$I$88),"Cam Thịnh Tây",""),IF(OR(M1139=phu!$I$89,M1139=phu!$I$90),"Cam Lập",""),IF(OR(M1139=phu!$I$91,M1139=phu!$I$92,M1139=phu!$I$93),"Cam Bình",""),IF(OR(M1139=phu!$I$94,M1139=phu!$I$95,M1139=phu!$I$96,M1139=phu!$I$97,M1139=phu!$I$98,M1139=phu!$I$99,M1139=phu!$I$100),"Huyện khác",""),IF(OR(M1139=phu!$I$101,M1139=phu!$I$102),"Tỉnh khác",""))</f>
        <v/>
      </c>
      <c r="O1139" s="814" t="str">
        <f t="shared" si="103"/>
        <v/>
      </c>
      <c r="P1139" s="254"/>
      <c r="Q1139" s="254"/>
      <c r="R1139" s="254"/>
      <c r="S1139" s="254"/>
      <c r="T1139" s="254"/>
      <c r="U1139" s="254"/>
      <c r="V1139" s="254"/>
      <c r="W1139" s="254"/>
      <c r="Y1139" s="246" t="str">
        <f t="shared" si="104"/>
        <v/>
      </c>
      <c r="Z1139" s="247" t="str">
        <f t="shared" si="102"/>
        <v/>
      </c>
      <c r="AA1139" s="246" t="str">
        <f t="shared" si="105"/>
        <v/>
      </c>
    </row>
    <row r="1140" spans="1:27" x14ac:dyDescent="0.25">
      <c r="A1140" s="248" t="str">
        <f t="shared" si="106"/>
        <v/>
      </c>
      <c r="B1140" s="249" t="str">
        <f t="shared" si="107"/>
        <v/>
      </c>
      <c r="C1140" s="250"/>
      <c r="D1140" s="251"/>
      <c r="E1140" s="241"/>
      <c r="F1140" s="252"/>
      <c r="G1140" s="252"/>
      <c r="H1140" s="253"/>
      <c r="I1140" s="250"/>
      <c r="J1140" s="250"/>
      <c r="K1140" s="270"/>
      <c r="L1140" s="250"/>
      <c r="M1140" s="250"/>
      <c r="N1140" s="553" t="str">
        <f>CONCATENATE(IF(OR(M1140=phu!$I$1,M1140=phu!$I$2,M1140=phu!$I$3),"Cam Thành Nam",""),IF(OR(M1140=phu!$I$4,M1140=phu!$I$5,M1140=phu!$I$6,M1140=phu!$I$7,M1140=phu!$I$8,M1140=phu!$I$9,M1140=phu!$I$10,M1140=phu!$I$11,M1140=phu!$I$12,M1140=phu!$I$13,M1140=phu!$I$14),"Cam Nghĩa",""),IF(OR(M1140=phu!$I$15,M1140=phu!$I$16,M1140=phu!$I$17,M1140=phu!$I$18,M1140=phu!$I$19,M1140=phu!$I$20,M1140=phu!$I$21),"Cam Phúc Bắc",""),IF(OR(M1140=phu!$I$22,M1140=phu!$I$23,M1140=phu!$I$24,M1140=phu!$I$25),"Cam Phúc Nam",""),IF(OR(M1140=phu!$I$26,M1140=phu!$I$27,M1140=phu!$I$28,M1140=phu!$I$29,M1140=phu!$I$30,M1140=phu!$I$31),"Cam Phú",""),IF(OR(M1140=phu!$I$32,M1140=phu!$I$33,M1140=phu!$I$34,M1140=phu!$I$35,M1140=phu!$I$36,M1140=phu!$I$37),"Cam Lộc",""),IF(OR(M1140=phu!$I$38,M1140=phu!$I$39,M1140=phu!$I$40,M1140=phu!$I$41,M1140=phu!$I$42,M1140=phu!$I$43,M1140=phu!$I$44),"Cam Thuận",""),IF(OR(M1140=phu!$I$45,M1140=phu!$I$46,M1140=phu!$I$47,M1140=phu!$I$48,M1140=phu!$I$49,M1140=phu!$I$50,M1140=phu!$I$51,M1140=phu!$I$52,M1140=phu!$I$53),"Cam Linh",""),IF(OR(M1140=phu!$I$54,M1140=phu!$I$55,M1140=phu!$I$56,M1140=phu!$I$57,M1140=phu!$I$58,M1140=phu!$I$59,M1140=phu!$I$60,M1140=phu!$I$61,M1140=phu!$I$62),"Cam Lợi",""),IF(OR(M1140=phu!$I$63,M1140=phu!$I$64,M1140=phu!$I$65,M1140=phu!$I$66,M1140=phu!$I$67,M1140=phu!$I$68,M1140=phu!$I$69,M1140=phu!$I$70,M1140=phu!$I$71),"Ba Ngòi",""),IF(OR(M1140=phu!$I$72,M1140=phu!$I$73,M1140=phu!$I$74,M1140=phu!$I$75,M1140=phu!$I$76,M1140=phu!$I$77,M1140=phu!$I$78),"Cam Phước Đông",""),IF(OR(M1140=phu!$I$79,M1140=phu!$I$80,M1140=phu!$I$81,M1140=phu!$I$82,M1140=phu!$I$83,M1140=phu!$I$84),"Cam Thịnh Đông",""),IF(OR(M1140=phu!$I$85,M1140=phu!$I$86,M1140=phu!$I$87,M1140=phu!$I$88),"Cam Thịnh Tây",""),IF(OR(M1140=phu!$I$89,M1140=phu!$I$90),"Cam Lập",""),IF(OR(M1140=phu!$I$91,M1140=phu!$I$92,M1140=phu!$I$93),"Cam Bình",""),IF(OR(M1140=phu!$I$94,M1140=phu!$I$95,M1140=phu!$I$96,M1140=phu!$I$97,M1140=phu!$I$98,M1140=phu!$I$99,M1140=phu!$I$100),"Huyện khác",""),IF(OR(M1140=phu!$I$101,M1140=phu!$I$102),"Tỉnh khác",""))</f>
        <v/>
      </c>
      <c r="O1140" s="814" t="str">
        <f t="shared" si="103"/>
        <v/>
      </c>
      <c r="P1140" s="254"/>
      <c r="Q1140" s="254"/>
      <c r="R1140" s="254"/>
      <c r="S1140" s="254"/>
      <c r="T1140" s="254"/>
      <c r="U1140" s="254"/>
      <c r="V1140" s="254"/>
      <c r="W1140" s="254"/>
      <c r="Y1140" s="246" t="str">
        <f t="shared" si="104"/>
        <v/>
      </c>
      <c r="Z1140" s="247" t="str">
        <f t="shared" si="102"/>
        <v/>
      </c>
      <c r="AA1140" s="246" t="str">
        <f t="shared" si="105"/>
        <v/>
      </c>
    </row>
    <row r="1141" spans="1:27" x14ac:dyDescent="0.25">
      <c r="A1141" s="248" t="str">
        <f t="shared" si="106"/>
        <v/>
      </c>
      <c r="B1141" s="249" t="str">
        <f t="shared" si="107"/>
        <v/>
      </c>
      <c r="C1141" s="250"/>
      <c r="D1141" s="251"/>
      <c r="E1141" s="241"/>
      <c r="F1141" s="252"/>
      <c r="G1141" s="252"/>
      <c r="H1141" s="253"/>
      <c r="I1141" s="250"/>
      <c r="J1141" s="250"/>
      <c r="K1141" s="270"/>
      <c r="L1141" s="250"/>
      <c r="M1141" s="250"/>
      <c r="N1141" s="553" t="str">
        <f>CONCATENATE(IF(OR(M1141=phu!$I$1,M1141=phu!$I$2,M1141=phu!$I$3),"Cam Thành Nam",""),IF(OR(M1141=phu!$I$4,M1141=phu!$I$5,M1141=phu!$I$6,M1141=phu!$I$7,M1141=phu!$I$8,M1141=phu!$I$9,M1141=phu!$I$10,M1141=phu!$I$11,M1141=phu!$I$12,M1141=phu!$I$13,M1141=phu!$I$14),"Cam Nghĩa",""),IF(OR(M1141=phu!$I$15,M1141=phu!$I$16,M1141=phu!$I$17,M1141=phu!$I$18,M1141=phu!$I$19,M1141=phu!$I$20,M1141=phu!$I$21),"Cam Phúc Bắc",""),IF(OR(M1141=phu!$I$22,M1141=phu!$I$23,M1141=phu!$I$24,M1141=phu!$I$25),"Cam Phúc Nam",""),IF(OR(M1141=phu!$I$26,M1141=phu!$I$27,M1141=phu!$I$28,M1141=phu!$I$29,M1141=phu!$I$30,M1141=phu!$I$31),"Cam Phú",""),IF(OR(M1141=phu!$I$32,M1141=phu!$I$33,M1141=phu!$I$34,M1141=phu!$I$35,M1141=phu!$I$36,M1141=phu!$I$37),"Cam Lộc",""),IF(OR(M1141=phu!$I$38,M1141=phu!$I$39,M1141=phu!$I$40,M1141=phu!$I$41,M1141=phu!$I$42,M1141=phu!$I$43,M1141=phu!$I$44),"Cam Thuận",""),IF(OR(M1141=phu!$I$45,M1141=phu!$I$46,M1141=phu!$I$47,M1141=phu!$I$48,M1141=phu!$I$49,M1141=phu!$I$50,M1141=phu!$I$51,M1141=phu!$I$52,M1141=phu!$I$53),"Cam Linh",""),IF(OR(M1141=phu!$I$54,M1141=phu!$I$55,M1141=phu!$I$56,M1141=phu!$I$57,M1141=phu!$I$58,M1141=phu!$I$59,M1141=phu!$I$60,M1141=phu!$I$61,M1141=phu!$I$62),"Cam Lợi",""),IF(OR(M1141=phu!$I$63,M1141=phu!$I$64,M1141=phu!$I$65,M1141=phu!$I$66,M1141=phu!$I$67,M1141=phu!$I$68,M1141=phu!$I$69,M1141=phu!$I$70,M1141=phu!$I$71),"Ba Ngòi",""),IF(OR(M1141=phu!$I$72,M1141=phu!$I$73,M1141=phu!$I$74,M1141=phu!$I$75,M1141=phu!$I$76,M1141=phu!$I$77,M1141=phu!$I$78),"Cam Phước Đông",""),IF(OR(M1141=phu!$I$79,M1141=phu!$I$80,M1141=phu!$I$81,M1141=phu!$I$82,M1141=phu!$I$83,M1141=phu!$I$84),"Cam Thịnh Đông",""),IF(OR(M1141=phu!$I$85,M1141=phu!$I$86,M1141=phu!$I$87,M1141=phu!$I$88),"Cam Thịnh Tây",""),IF(OR(M1141=phu!$I$89,M1141=phu!$I$90),"Cam Lập",""),IF(OR(M1141=phu!$I$91,M1141=phu!$I$92,M1141=phu!$I$93),"Cam Bình",""),IF(OR(M1141=phu!$I$94,M1141=phu!$I$95,M1141=phu!$I$96,M1141=phu!$I$97,M1141=phu!$I$98,M1141=phu!$I$99,M1141=phu!$I$100),"Huyện khác",""),IF(OR(M1141=phu!$I$101,M1141=phu!$I$102),"Tỉnh khác",""))</f>
        <v/>
      </c>
      <c r="O1141" s="814" t="str">
        <f t="shared" si="103"/>
        <v/>
      </c>
      <c r="P1141" s="254"/>
      <c r="Q1141" s="254"/>
      <c r="R1141" s="254"/>
      <c r="S1141" s="254"/>
      <c r="T1141" s="254"/>
      <c r="U1141" s="254"/>
      <c r="V1141" s="254"/>
      <c r="W1141" s="254"/>
      <c r="Y1141" s="246" t="str">
        <f t="shared" si="104"/>
        <v/>
      </c>
      <c r="Z1141" s="247" t="str">
        <f t="shared" si="102"/>
        <v/>
      </c>
      <c r="AA1141" s="246" t="str">
        <f t="shared" si="105"/>
        <v/>
      </c>
    </row>
    <row r="1142" spans="1:27" x14ac:dyDescent="0.25">
      <c r="A1142" s="248" t="str">
        <f t="shared" si="106"/>
        <v/>
      </c>
      <c r="B1142" s="249" t="str">
        <f t="shared" si="107"/>
        <v/>
      </c>
      <c r="C1142" s="250"/>
      <c r="D1142" s="251"/>
      <c r="E1142" s="241"/>
      <c r="F1142" s="252"/>
      <c r="G1142" s="252"/>
      <c r="H1142" s="253"/>
      <c r="I1142" s="250"/>
      <c r="J1142" s="250"/>
      <c r="K1142" s="270"/>
      <c r="L1142" s="250"/>
      <c r="M1142" s="250"/>
      <c r="N1142" s="553" t="str">
        <f>CONCATENATE(IF(OR(M1142=phu!$I$1,M1142=phu!$I$2,M1142=phu!$I$3),"Cam Thành Nam",""),IF(OR(M1142=phu!$I$4,M1142=phu!$I$5,M1142=phu!$I$6,M1142=phu!$I$7,M1142=phu!$I$8,M1142=phu!$I$9,M1142=phu!$I$10,M1142=phu!$I$11,M1142=phu!$I$12,M1142=phu!$I$13,M1142=phu!$I$14),"Cam Nghĩa",""),IF(OR(M1142=phu!$I$15,M1142=phu!$I$16,M1142=phu!$I$17,M1142=phu!$I$18,M1142=phu!$I$19,M1142=phu!$I$20,M1142=phu!$I$21),"Cam Phúc Bắc",""),IF(OR(M1142=phu!$I$22,M1142=phu!$I$23,M1142=phu!$I$24,M1142=phu!$I$25),"Cam Phúc Nam",""),IF(OR(M1142=phu!$I$26,M1142=phu!$I$27,M1142=phu!$I$28,M1142=phu!$I$29,M1142=phu!$I$30,M1142=phu!$I$31),"Cam Phú",""),IF(OR(M1142=phu!$I$32,M1142=phu!$I$33,M1142=phu!$I$34,M1142=phu!$I$35,M1142=phu!$I$36,M1142=phu!$I$37),"Cam Lộc",""),IF(OR(M1142=phu!$I$38,M1142=phu!$I$39,M1142=phu!$I$40,M1142=phu!$I$41,M1142=phu!$I$42,M1142=phu!$I$43,M1142=phu!$I$44),"Cam Thuận",""),IF(OR(M1142=phu!$I$45,M1142=phu!$I$46,M1142=phu!$I$47,M1142=phu!$I$48,M1142=phu!$I$49,M1142=phu!$I$50,M1142=phu!$I$51,M1142=phu!$I$52,M1142=phu!$I$53),"Cam Linh",""),IF(OR(M1142=phu!$I$54,M1142=phu!$I$55,M1142=phu!$I$56,M1142=phu!$I$57,M1142=phu!$I$58,M1142=phu!$I$59,M1142=phu!$I$60,M1142=phu!$I$61,M1142=phu!$I$62),"Cam Lợi",""),IF(OR(M1142=phu!$I$63,M1142=phu!$I$64,M1142=phu!$I$65,M1142=phu!$I$66,M1142=phu!$I$67,M1142=phu!$I$68,M1142=phu!$I$69,M1142=phu!$I$70,M1142=phu!$I$71),"Ba Ngòi",""),IF(OR(M1142=phu!$I$72,M1142=phu!$I$73,M1142=phu!$I$74,M1142=phu!$I$75,M1142=phu!$I$76,M1142=phu!$I$77,M1142=phu!$I$78),"Cam Phước Đông",""),IF(OR(M1142=phu!$I$79,M1142=phu!$I$80,M1142=phu!$I$81,M1142=phu!$I$82,M1142=phu!$I$83,M1142=phu!$I$84),"Cam Thịnh Đông",""),IF(OR(M1142=phu!$I$85,M1142=phu!$I$86,M1142=phu!$I$87,M1142=phu!$I$88),"Cam Thịnh Tây",""),IF(OR(M1142=phu!$I$89,M1142=phu!$I$90),"Cam Lập",""),IF(OR(M1142=phu!$I$91,M1142=phu!$I$92,M1142=phu!$I$93),"Cam Bình",""),IF(OR(M1142=phu!$I$94,M1142=phu!$I$95,M1142=phu!$I$96,M1142=phu!$I$97,M1142=phu!$I$98,M1142=phu!$I$99,M1142=phu!$I$100),"Huyện khác",""),IF(OR(M1142=phu!$I$101,M1142=phu!$I$102),"Tỉnh khác",""))</f>
        <v/>
      </c>
      <c r="O1142" s="814" t="str">
        <f t="shared" si="103"/>
        <v/>
      </c>
      <c r="P1142" s="254"/>
      <c r="Q1142" s="254"/>
      <c r="R1142" s="254"/>
      <c r="S1142" s="254"/>
      <c r="T1142" s="254"/>
      <c r="U1142" s="254"/>
      <c r="V1142" s="254"/>
      <c r="W1142" s="254"/>
      <c r="Y1142" s="246" t="str">
        <f t="shared" si="104"/>
        <v/>
      </c>
      <c r="Z1142" s="247" t="str">
        <f t="shared" si="102"/>
        <v/>
      </c>
      <c r="AA1142" s="246" t="str">
        <f t="shared" si="105"/>
        <v/>
      </c>
    </row>
    <row r="1143" spans="1:27" x14ac:dyDescent="0.25">
      <c r="A1143" s="248" t="str">
        <f t="shared" si="106"/>
        <v/>
      </c>
      <c r="B1143" s="249" t="str">
        <f t="shared" si="107"/>
        <v/>
      </c>
      <c r="C1143" s="250"/>
      <c r="D1143" s="251"/>
      <c r="E1143" s="241"/>
      <c r="F1143" s="252"/>
      <c r="G1143" s="252"/>
      <c r="H1143" s="253"/>
      <c r="I1143" s="250"/>
      <c r="J1143" s="250"/>
      <c r="K1143" s="270"/>
      <c r="L1143" s="250"/>
      <c r="M1143" s="250"/>
      <c r="N1143" s="553" t="str">
        <f>CONCATENATE(IF(OR(M1143=phu!$I$1,M1143=phu!$I$2,M1143=phu!$I$3),"Cam Thành Nam",""),IF(OR(M1143=phu!$I$4,M1143=phu!$I$5,M1143=phu!$I$6,M1143=phu!$I$7,M1143=phu!$I$8,M1143=phu!$I$9,M1143=phu!$I$10,M1143=phu!$I$11,M1143=phu!$I$12,M1143=phu!$I$13,M1143=phu!$I$14),"Cam Nghĩa",""),IF(OR(M1143=phu!$I$15,M1143=phu!$I$16,M1143=phu!$I$17,M1143=phu!$I$18,M1143=phu!$I$19,M1143=phu!$I$20,M1143=phu!$I$21),"Cam Phúc Bắc",""),IF(OR(M1143=phu!$I$22,M1143=phu!$I$23,M1143=phu!$I$24,M1143=phu!$I$25),"Cam Phúc Nam",""),IF(OR(M1143=phu!$I$26,M1143=phu!$I$27,M1143=phu!$I$28,M1143=phu!$I$29,M1143=phu!$I$30,M1143=phu!$I$31),"Cam Phú",""),IF(OR(M1143=phu!$I$32,M1143=phu!$I$33,M1143=phu!$I$34,M1143=phu!$I$35,M1143=phu!$I$36,M1143=phu!$I$37),"Cam Lộc",""),IF(OR(M1143=phu!$I$38,M1143=phu!$I$39,M1143=phu!$I$40,M1143=phu!$I$41,M1143=phu!$I$42,M1143=phu!$I$43,M1143=phu!$I$44),"Cam Thuận",""),IF(OR(M1143=phu!$I$45,M1143=phu!$I$46,M1143=phu!$I$47,M1143=phu!$I$48,M1143=phu!$I$49,M1143=phu!$I$50,M1143=phu!$I$51,M1143=phu!$I$52,M1143=phu!$I$53),"Cam Linh",""),IF(OR(M1143=phu!$I$54,M1143=phu!$I$55,M1143=phu!$I$56,M1143=phu!$I$57,M1143=phu!$I$58,M1143=phu!$I$59,M1143=phu!$I$60,M1143=phu!$I$61,M1143=phu!$I$62),"Cam Lợi",""),IF(OR(M1143=phu!$I$63,M1143=phu!$I$64,M1143=phu!$I$65,M1143=phu!$I$66,M1143=phu!$I$67,M1143=phu!$I$68,M1143=phu!$I$69,M1143=phu!$I$70,M1143=phu!$I$71),"Ba Ngòi",""),IF(OR(M1143=phu!$I$72,M1143=phu!$I$73,M1143=phu!$I$74,M1143=phu!$I$75,M1143=phu!$I$76,M1143=phu!$I$77,M1143=phu!$I$78),"Cam Phước Đông",""),IF(OR(M1143=phu!$I$79,M1143=phu!$I$80,M1143=phu!$I$81,M1143=phu!$I$82,M1143=phu!$I$83,M1143=phu!$I$84),"Cam Thịnh Đông",""),IF(OR(M1143=phu!$I$85,M1143=phu!$I$86,M1143=phu!$I$87,M1143=phu!$I$88),"Cam Thịnh Tây",""),IF(OR(M1143=phu!$I$89,M1143=phu!$I$90),"Cam Lập",""),IF(OR(M1143=phu!$I$91,M1143=phu!$I$92,M1143=phu!$I$93),"Cam Bình",""),IF(OR(M1143=phu!$I$94,M1143=phu!$I$95,M1143=phu!$I$96,M1143=phu!$I$97,M1143=phu!$I$98,M1143=phu!$I$99,M1143=phu!$I$100),"Huyện khác",""),IF(OR(M1143=phu!$I$101,M1143=phu!$I$102),"Tỉnh khác",""))</f>
        <v/>
      </c>
      <c r="O1143" s="814" t="str">
        <f t="shared" si="103"/>
        <v/>
      </c>
      <c r="P1143" s="254"/>
      <c r="Q1143" s="254"/>
      <c r="R1143" s="254"/>
      <c r="S1143" s="254"/>
      <c r="T1143" s="254"/>
      <c r="U1143" s="254"/>
      <c r="V1143" s="254"/>
      <c r="W1143" s="254"/>
      <c r="Y1143" s="246" t="str">
        <f t="shared" si="104"/>
        <v/>
      </c>
      <c r="Z1143" s="247" t="str">
        <f t="shared" si="102"/>
        <v/>
      </c>
      <c r="AA1143" s="246" t="str">
        <f t="shared" si="105"/>
        <v/>
      </c>
    </row>
    <row r="1144" spans="1:27" x14ac:dyDescent="0.25">
      <c r="A1144" s="248" t="str">
        <f t="shared" si="106"/>
        <v/>
      </c>
      <c r="B1144" s="249" t="str">
        <f t="shared" si="107"/>
        <v/>
      </c>
      <c r="C1144" s="250"/>
      <c r="D1144" s="251"/>
      <c r="E1144" s="241"/>
      <c r="F1144" s="252"/>
      <c r="G1144" s="252"/>
      <c r="H1144" s="253"/>
      <c r="I1144" s="250"/>
      <c r="J1144" s="250"/>
      <c r="K1144" s="270"/>
      <c r="L1144" s="250"/>
      <c r="M1144" s="250"/>
      <c r="N1144" s="553" t="str">
        <f>CONCATENATE(IF(OR(M1144=phu!$I$1,M1144=phu!$I$2,M1144=phu!$I$3),"Cam Thành Nam",""),IF(OR(M1144=phu!$I$4,M1144=phu!$I$5,M1144=phu!$I$6,M1144=phu!$I$7,M1144=phu!$I$8,M1144=phu!$I$9,M1144=phu!$I$10,M1144=phu!$I$11,M1144=phu!$I$12,M1144=phu!$I$13,M1144=phu!$I$14),"Cam Nghĩa",""),IF(OR(M1144=phu!$I$15,M1144=phu!$I$16,M1144=phu!$I$17,M1144=phu!$I$18,M1144=phu!$I$19,M1144=phu!$I$20,M1144=phu!$I$21),"Cam Phúc Bắc",""),IF(OR(M1144=phu!$I$22,M1144=phu!$I$23,M1144=phu!$I$24,M1144=phu!$I$25),"Cam Phúc Nam",""),IF(OR(M1144=phu!$I$26,M1144=phu!$I$27,M1144=phu!$I$28,M1144=phu!$I$29,M1144=phu!$I$30,M1144=phu!$I$31),"Cam Phú",""),IF(OR(M1144=phu!$I$32,M1144=phu!$I$33,M1144=phu!$I$34,M1144=phu!$I$35,M1144=phu!$I$36,M1144=phu!$I$37),"Cam Lộc",""),IF(OR(M1144=phu!$I$38,M1144=phu!$I$39,M1144=phu!$I$40,M1144=phu!$I$41,M1144=phu!$I$42,M1144=phu!$I$43,M1144=phu!$I$44),"Cam Thuận",""),IF(OR(M1144=phu!$I$45,M1144=phu!$I$46,M1144=phu!$I$47,M1144=phu!$I$48,M1144=phu!$I$49,M1144=phu!$I$50,M1144=phu!$I$51,M1144=phu!$I$52,M1144=phu!$I$53),"Cam Linh",""),IF(OR(M1144=phu!$I$54,M1144=phu!$I$55,M1144=phu!$I$56,M1144=phu!$I$57,M1144=phu!$I$58,M1144=phu!$I$59,M1144=phu!$I$60,M1144=phu!$I$61,M1144=phu!$I$62),"Cam Lợi",""),IF(OR(M1144=phu!$I$63,M1144=phu!$I$64,M1144=phu!$I$65,M1144=phu!$I$66,M1144=phu!$I$67,M1144=phu!$I$68,M1144=phu!$I$69,M1144=phu!$I$70,M1144=phu!$I$71),"Ba Ngòi",""),IF(OR(M1144=phu!$I$72,M1144=phu!$I$73,M1144=phu!$I$74,M1144=phu!$I$75,M1144=phu!$I$76,M1144=phu!$I$77,M1144=phu!$I$78),"Cam Phước Đông",""),IF(OR(M1144=phu!$I$79,M1144=phu!$I$80,M1144=phu!$I$81,M1144=phu!$I$82,M1144=phu!$I$83,M1144=phu!$I$84),"Cam Thịnh Đông",""),IF(OR(M1144=phu!$I$85,M1144=phu!$I$86,M1144=phu!$I$87,M1144=phu!$I$88),"Cam Thịnh Tây",""),IF(OR(M1144=phu!$I$89,M1144=phu!$I$90),"Cam Lập",""),IF(OR(M1144=phu!$I$91,M1144=phu!$I$92,M1144=phu!$I$93),"Cam Bình",""),IF(OR(M1144=phu!$I$94,M1144=phu!$I$95,M1144=phu!$I$96,M1144=phu!$I$97,M1144=phu!$I$98,M1144=phu!$I$99,M1144=phu!$I$100),"Huyện khác",""),IF(OR(M1144=phu!$I$101,M1144=phu!$I$102),"Tỉnh khác",""))</f>
        <v/>
      </c>
      <c r="O1144" s="814" t="str">
        <f t="shared" si="103"/>
        <v/>
      </c>
      <c r="P1144" s="254"/>
      <c r="Q1144" s="254"/>
      <c r="R1144" s="254"/>
      <c r="S1144" s="254"/>
      <c r="T1144" s="254"/>
      <c r="U1144" s="254"/>
      <c r="V1144" s="254"/>
      <c r="W1144" s="254"/>
      <c r="Y1144" s="246" t="str">
        <f t="shared" si="104"/>
        <v/>
      </c>
      <c r="Z1144" s="247" t="str">
        <f t="shared" si="102"/>
        <v/>
      </c>
      <c r="AA1144" s="246" t="str">
        <f t="shared" si="105"/>
        <v/>
      </c>
    </row>
    <row r="1145" spans="1:27" x14ac:dyDescent="0.25">
      <c r="A1145" s="248" t="str">
        <f t="shared" si="106"/>
        <v/>
      </c>
      <c r="B1145" s="249" t="str">
        <f t="shared" si="107"/>
        <v/>
      </c>
      <c r="C1145" s="250"/>
      <c r="D1145" s="251"/>
      <c r="E1145" s="241"/>
      <c r="F1145" s="252"/>
      <c r="G1145" s="252"/>
      <c r="H1145" s="253"/>
      <c r="I1145" s="250"/>
      <c r="J1145" s="250"/>
      <c r="K1145" s="270"/>
      <c r="L1145" s="250"/>
      <c r="M1145" s="250"/>
      <c r="N1145" s="553" t="str">
        <f>CONCATENATE(IF(OR(M1145=phu!$I$1,M1145=phu!$I$2,M1145=phu!$I$3),"Cam Thành Nam",""),IF(OR(M1145=phu!$I$4,M1145=phu!$I$5,M1145=phu!$I$6,M1145=phu!$I$7,M1145=phu!$I$8,M1145=phu!$I$9,M1145=phu!$I$10,M1145=phu!$I$11,M1145=phu!$I$12,M1145=phu!$I$13,M1145=phu!$I$14),"Cam Nghĩa",""),IF(OR(M1145=phu!$I$15,M1145=phu!$I$16,M1145=phu!$I$17,M1145=phu!$I$18,M1145=phu!$I$19,M1145=phu!$I$20,M1145=phu!$I$21),"Cam Phúc Bắc",""),IF(OR(M1145=phu!$I$22,M1145=phu!$I$23,M1145=phu!$I$24,M1145=phu!$I$25),"Cam Phúc Nam",""),IF(OR(M1145=phu!$I$26,M1145=phu!$I$27,M1145=phu!$I$28,M1145=phu!$I$29,M1145=phu!$I$30,M1145=phu!$I$31),"Cam Phú",""),IF(OR(M1145=phu!$I$32,M1145=phu!$I$33,M1145=phu!$I$34,M1145=phu!$I$35,M1145=phu!$I$36,M1145=phu!$I$37),"Cam Lộc",""),IF(OR(M1145=phu!$I$38,M1145=phu!$I$39,M1145=phu!$I$40,M1145=phu!$I$41,M1145=phu!$I$42,M1145=phu!$I$43,M1145=phu!$I$44),"Cam Thuận",""),IF(OR(M1145=phu!$I$45,M1145=phu!$I$46,M1145=phu!$I$47,M1145=phu!$I$48,M1145=phu!$I$49,M1145=phu!$I$50,M1145=phu!$I$51,M1145=phu!$I$52,M1145=phu!$I$53),"Cam Linh",""),IF(OR(M1145=phu!$I$54,M1145=phu!$I$55,M1145=phu!$I$56,M1145=phu!$I$57,M1145=phu!$I$58,M1145=phu!$I$59,M1145=phu!$I$60,M1145=phu!$I$61,M1145=phu!$I$62),"Cam Lợi",""),IF(OR(M1145=phu!$I$63,M1145=phu!$I$64,M1145=phu!$I$65,M1145=phu!$I$66,M1145=phu!$I$67,M1145=phu!$I$68,M1145=phu!$I$69,M1145=phu!$I$70,M1145=phu!$I$71),"Ba Ngòi",""),IF(OR(M1145=phu!$I$72,M1145=phu!$I$73,M1145=phu!$I$74,M1145=phu!$I$75,M1145=phu!$I$76,M1145=phu!$I$77,M1145=phu!$I$78),"Cam Phước Đông",""),IF(OR(M1145=phu!$I$79,M1145=phu!$I$80,M1145=phu!$I$81,M1145=phu!$I$82,M1145=phu!$I$83,M1145=phu!$I$84),"Cam Thịnh Đông",""),IF(OR(M1145=phu!$I$85,M1145=phu!$I$86,M1145=phu!$I$87,M1145=phu!$I$88),"Cam Thịnh Tây",""),IF(OR(M1145=phu!$I$89,M1145=phu!$I$90),"Cam Lập",""),IF(OR(M1145=phu!$I$91,M1145=phu!$I$92,M1145=phu!$I$93),"Cam Bình",""),IF(OR(M1145=phu!$I$94,M1145=phu!$I$95,M1145=phu!$I$96,M1145=phu!$I$97,M1145=phu!$I$98,M1145=phu!$I$99,M1145=phu!$I$100),"Huyện khác",""),IF(OR(M1145=phu!$I$101,M1145=phu!$I$102),"Tỉnh khác",""))</f>
        <v/>
      </c>
      <c r="O1145" s="814" t="str">
        <f t="shared" si="103"/>
        <v/>
      </c>
      <c r="P1145" s="254"/>
      <c r="Q1145" s="254"/>
      <c r="R1145" s="254"/>
      <c r="S1145" s="254"/>
      <c r="T1145" s="254"/>
      <c r="U1145" s="254"/>
      <c r="V1145" s="254"/>
      <c r="W1145" s="254"/>
      <c r="Y1145" s="246" t="str">
        <f t="shared" si="104"/>
        <v/>
      </c>
      <c r="Z1145" s="247" t="str">
        <f t="shared" si="102"/>
        <v/>
      </c>
      <c r="AA1145" s="246" t="str">
        <f t="shared" si="105"/>
        <v/>
      </c>
    </row>
    <row r="1146" spans="1:27" x14ac:dyDescent="0.25">
      <c r="A1146" s="248" t="str">
        <f t="shared" si="106"/>
        <v/>
      </c>
      <c r="B1146" s="249" t="str">
        <f t="shared" si="107"/>
        <v/>
      </c>
      <c r="C1146" s="250"/>
      <c r="D1146" s="251"/>
      <c r="E1146" s="241"/>
      <c r="F1146" s="252"/>
      <c r="G1146" s="252"/>
      <c r="H1146" s="253"/>
      <c r="I1146" s="250"/>
      <c r="J1146" s="250"/>
      <c r="K1146" s="270"/>
      <c r="L1146" s="250"/>
      <c r="M1146" s="250"/>
      <c r="N1146" s="553" t="str">
        <f>CONCATENATE(IF(OR(M1146=phu!$I$1,M1146=phu!$I$2,M1146=phu!$I$3),"Cam Thành Nam",""),IF(OR(M1146=phu!$I$4,M1146=phu!$I$5,M1146=phu!$I$6,M1146=phu!$I$7,M1146=phu!$I$8,M1146=phu!$I$9,M1146=phu!$I$10,M1146=phu!$I$11,M1146=phu!$I$12,M1146=phu!$I$13,M1146=phu!$I$14),"Cam Nghĩa",""),IF(OR(M1146=phu!$I$15,M1146=phu!$I$16,M1146=phu!$I$17,M1146=phu!$I$18,M1146=phu!$I$19,M1146=phu!$I$20,M1146=phu!$I$21),"Cam Phúc Bắc",""),IF(OR(M1146=phu!$I$22,M1146=phu!$I$23,M1146=phu!$I$24,M1146=phu!$I$25),"Cam Phúc Nam",""),IF(OR(M1146=phu!$I$26,M1146=phu!$I$27,M1146=phu!$I$28,M1146=phu!$I$29,M1146=phu!$I$30,M1146=phu!$I$31),"Cam Phú",""),IF(OR(M1146=phu!$I$32,M1146=phu!$I$33,M1146=phu!$I$34,M1146=phu!$I$35,M1146=phu!$I$36,M1146=phu!$I$37),"Cam Lộc",""),IF(OR(M1146=phu!$I$38,M1146=phu!$I$39,M1146=phu!$I$40,M1146=phu!$I$41,M1146=phu!$I$42,M1146=phu!$I$43,M1146=phu!$I$44),"Cam Thuận",""),IF(OR(M1146=phu!$I$45,M1146=phu!$I$46,M1146=phu!$I$47,M1146=phu!$I$48,M1146=phu!$I$49,M1146=phu!$I$50,M1146=phu!$I$51,M1146=phu!$I$52,M1146=phu!$I$53),"Cam Linh",""),IF(OR(M1146=phu!$I$54,M1146=phu!$I$55,M1146=phu!$I$56,M1146=phu!$I$57,M1146=phu!$I$58,M1146=phu!$I$59,M1146=phu!$I$60,M1146=phu!$I$61,M1146=phu!$I$62),"Cam Lợi",""),IF(OR(M1146=phu!$I$63,M1146=phu!$I$64,M1146=phu!$I$65,M1146=phu!$I$66,M1146=phu!$I$67,M1146=phu!$I$68,M1146=phu!$I$69,M1146=phu!$I$70,M1146=phu!$I$71),"Ba Ngòi",""),IF(OR(M1146=phu!$I$72,M1146=phu!$I$73,M1146=phu!$I$74,M1146=phu!$I$75,M1146=phu!$I$76,M1146=phu!$I$77,M1146=phu!$I$78),"Cam Phước Đông",""),IF(OR(M1146=phu!$I$79,M1146=phu!$I$80,M1146=phu!$I$81,M1146=phu!$I$82,M1146=phu!$I$83,M1146=phu!$I$84),"Cam Thịnh Đông",""),IF(OR(M1146=phu!$I$85,M1146=phu!$I$86,M1146=phu!$I$87,M1146=phu!$I$88),"Cam Thịnh Tây",""),IF(OR(M1146=phu!$I$89,M1146=phu!$I$90),"Cam Lập",""),IF(OR(M1146=phu!$I$91,M1146=phu!$I$92,M1146=phu!$I$93),"Cam Bình",""),IF(OR(M1146=phu!$I$94,M1146=phu!$I$95,M1146=phu!$I$96,M1146=phu!$I$97,M1146=phu!$I$98,M1146=phu!$I$99,M1146=phu!$I$100),"Huyện khác",""),IF(OR(M1146=phu!$I$101,M1146=phu!$I$102),"Tỉnh khác",""))</f>
        <v/>
      </c>
      <c r="O1146" s="814" t="str">
        <f t="shared" si="103"/>
        <v/>
      </c>
      <c r="P1146" s="254"/>
      <c r="Q1146" s="254"/>
      <c r="R1146" s="254"/>
      <c r="S1146" s="254"/>
      <c r="T1146" s="254"/>
      <c r="U1146" s="254"/>
      <c r="V1146" s="254"/>
      <c r="W1146" s="254"/>
      <c r="Y1146" s="246" t="str">
        <f t="shared" si="104"/>
        <v/>
      </c>
      <c r="Z1146" s="247" t="str">
        <f t="shared" si="102"/>
        <v/>
      </c>
      <c r="AA1146" s="246" t="str">
        <f t="shared" si="105"/>
        <v/>
      </c>
    </row>
    <row r="1147" spans="1:27" x14ac:dyDescent="0.25">
      <c r="A1147" s="248" t="str">
        <f t="shared" si="106"/>
        <v/>
      </c>
      <c r="B1147" s="249" t="str">
        <f t="shared" si="107"/>
        <v/>
      </c>
      <c r="C1147" s="250"/>
      <c r="D1147" s="251"/>
      <c r="E1147" s="241"/>
      <c r="F1147" s="252"/>
      <c r="G1147" s="252"/>
      <c r="H1147" s="253"/>
      <c r="I1147" s="250"/>
      <c r="J1147" s="250"/>
      <c r="K1147" s="270"/>
      <c r="L1147" s="250"/>
      <c r="M1147" s="250"/>
      <c r="N1147" s="553" t="str">
        <f>CONCATENATE(IF(OR(M1147=phu!$I$1,M1147=phu!$I$2,M1147=phu!$I$3),"Cam Thành Nam",""),IF(OR(M1147=phu!$I$4,M1147=phu!$I$5,M1147=phu!$I$6,M1147=phu!$I$7,M1147=phu!$I$8,M1147=phu!$I$9,M1147=phu!$I$10,M1147=phu!$I$11,M1147=phu!$I$12,M1147=phu!$I$13,M1147=phu!$I$14),"Cam Nghĩa",""),IF(OR(M1147=phu!$I$15,M1147=phu!$I$16,M1147=phu!$I$17,M1147=phu!$I$18,M1147=phu!$I$19,M1147=phu!$I$20,M1147=phu!$I$21),"Cam Phúc Bắc",""),IF(OR(M1147=phu!$I$22,M1147=phu!$I$23,M1147=phu!$I$24,M1147=phu!$I$25),"Cam Phúc Nam",""),IF(OR(M1147=phu!$I$26,M1147=phu!$I$27,M1147=phu!$I$28,M1147=phu!$I$29,M1147=phu!$I$30,M1147=phu!$I$31),"Cam Phú",""),IF(OR(M1147=phu!$I$32,M1147=phu!$I$33,M1147=phu!$I$34,M1147=phu!$I$35,M1147=phu!$I$36,M1147=phu!$I$37),"Cam Lộc",""),IF(OR(M1147=phu!$I$38,M1147=phu!$I$39,M1147=phu!$I$40,M1147=phu!$I$41,M1147=phu!$I$42,M1147=phu!$I$43,M1147=phu!$I$44),"Cam Thuận",""),IF(OR(M1147=phu!$I$45,M1147=phu!$I$46,M1147=phu!$I$47,M1147=phu!$I$48,M1147=phu!$I$49,M1147=phu!$I$50,M1147=phu!$I$51,M1147=phu!$I$52,M1147=phu!$I$53),"Cam Linh",""),IF(OR(M1147=phu!$I$54,M1147=phu!$I$55,M1147=phu!$I$56,M1147=phu!$I$57,M1147=phu!$I$58,M1147=phu!$I$59,M1147=phu!$I$60,M1147=phu!$I$61,M1147=phu!$I$62),"Cam Lợi",""),IF(OR(M1147=phu!$I$63,M1147=phu!$I$64,M1147=phu!$I$65,M1147=phu!$I$66,M1147=phu!$I$67,M1147=phu!$I$68,M1147=phu!$I$69,M1147=phu!$I$70,M1147=phu!$I$71),"Ba Ngòi",""),IF(OR(M1147=phu!$I$72,M1147=phu!$I$73,M1147=phu!$I$74,M1147=phu!$I$75,M1147=phu!$I$76,M1147=phu!$I$77,M1147=phu!$I$78),"Cam Phước Đông",""),IF(OR(M1147=phu!$I$79,M1147=phu!$I$80,M1147=phu!$I$81,M1147=phu!$I$82,M1147=phu!$I$83,M1147=phu!$I$84),"Cam Thịnh Đông",""),IF(OR(M1147=phu!$I$85,M1147=phu!$I$86,M1147=phu!$I$87,M1147=phu!$I$88),"Cam Thịnh Tây",""),IF(OR(M1147=phu!$I$89,M1147=phu!$I$90),"Cam Lập",""),IF(OR(M1147=phu!$I$91,M1147=phu!$I$92,M1147=phu!$I$93),"Cam Bình",""),IF(OR(M1147=phu!$I$94,M1147=phu!$I$95,M1147=phu!$I$96,M1147=phu!$I$97,M1147=phu!$I$98,M1147=phu!$I$99,M1147=phu!$I$100),"Huyện khác",""),IF(OR(M1147=phu!$I$101,M1147=phu!$I$102),"Tỉnh khác",""))</f>
        <v/>
      </c>
      <c r="O1147" s="814" t="str">
        <f t="shared" si="103"/>
        <v/>
      </c>
      <c r="P1147" s="254"/>
      <c r="Q1147" s="254"/>
      <c r="R1147" s="254"/>
      <c r="S1147" s="254"/>
      <c r="T1147" s="254"/>
      <c r="U1147" s="254"/>
      <c r="V1147" s="254"/>
      <c r="W1147" s="254"/>
      <c r="Y1147" s="246" t="str">
        <f t="shared" si="104"/>
        <v/>
      </c>
      <c r="Z1147" s="247" t="str">
        <f t="shared" si="102"/>
        <v/>
      </c>
      <c r="AA1147" s="246" t="str">
        <f t="shared" si="105"/>
        <v/>
      </c>
    </row>
    <row r="1148" spans="1:27" x14ac:dyDescent="0.25">
      <c r="A1148" s="248" t="str">
        <f t="shared" si="106"/>
        <v/>
      </c>
      <c r="B1148" s="249" t="str">
        <f t="shared" si="107"/>
        <v/>
      </c>
      <c r="C1148" s="250"/>
      <c r="D1148" s="251"/>
      <c r="E1148" s="241"/>
      <c r="F1148" s="252"/>
      <c r="G1148" s="252"/>
      <c r="H1148" s="253"/>
      <c r="I1148" s="250"/>
      <c r="J1148" s="250"/>
      <c r="K1148" s="270"/>
      <c r="L1148" s="250"/>
      <c r="M1148" s="250"/>
      <c r="N1148" s="553" t="str">
        <f>CONCATENATE(IF(OR(M1148=phu!$I$1,M1148=phu!$I$2,M1148=phu!$I$3),"Cam Thành Nam",""),IF(OR(M1148=phu!$I$4,M1148=phu!$I$5,M1148=phu!$I$6,M1148=phu!$I$7,M1148=phu!$I$8,M1148=phu!$I$9,M1148=phu!$I$10,M1148=phu!$I$11,M1148=phu!$I$12,M1148=phu!$I$13,M1148=phu!$I$14),"Cam Nghĩa",""),IF(OR(M1148=phu!$I$15,M1148=phu!$I$16,M1148=phu!$I$17,M1148=phu!$I$18,M1148=phu!$I$19,M1148=phu!$I$20,M1148=phu!$I$21),"Cam Phúc Bắc",""),IF(OR(M1148=phu!$I$22,M1148=phu!$I$23,M1148=phu!$I$24,M1148=phu!$I$25),"Cam Phúc Nam",""),IF(OR(M1148=phu!$I$26,M1148=phu!$I$27,M1148=phu!$I$28,M1148=phu!$I$29,M1148=phu!$I$30,M1148=phu!$I$31),"Cam Phú",""),IF(OR(M1148=phu!$I$32,M1148=phu!$I$33,M1148=phu!$I$34,M1148=phu!$I$35,M1148=phu!$I$36,M1148=phu!$I$37),"Cam Lộc",""),IF(OR(M1148=phu!$I$38,M1148=phu!$I$39,M1148=phu!$I$40,M1148=phu!$I$41,M1148=phu!$I$42,M1148=phu!$I$43,M1148=phu!$I$44),"Cam Thuận",""),IF(OR(M1148=phu!$I$45,M1148=phu!$I$46,M1148=phu!$I$47,M1148=phu!$I$48,M1148=phu!$I$49,M1148=phu!$I$50,M1148=phu!$I$51,M1148=phu!$I$52,M1148=phu!$I$53),"Cam Linh",""),IF(OR(M1148=phu!$I$54,M1148=phu!$I$55,M1148=phu!$I$56,M1148=phu!$I$57,M1148=phu!$I$58,M1148=phu!$I$59,M1148=phu!$I$60,M1148=phu!$I$61,M1148=phu!$I$62),"Cam Lợi",""),IF(OR(M1148=phu!$I$63,M1148=phu!$I$64,M1148=phu!$I$65,M1148=phu!$I$66,M1148=phu!$I$67,M1148=phu!$I$68,M1148=phu!$I$69,M1148=phu!$I$70,M1148=phu!$I$71),"Ba Ngòi",""),IF(OR(M1148=phu!$I$72,M1148=phu!$I$73,M1148=phu!$I$74,M1148=phu!$I$75,M1148=phu!$I$76,M1148=phu!$I$77,M1148=phu!$I$78),"Cam Phước Đông",""),IF(OR(M1148=phu!$I$79,M1148=phu!$I$80,M1148=phu!$I$81,M1148=phu!$I$82,M1148=phu!$I$83,M1148=phu!$I$84),"Cam Thịnh Đông",""),IF(OR(M1148=phu!$I$85,M1148=phu!$I$86,M1148=phu!$I$87,M1148=phu!$I$88),"Cam Thịnh Tây",""),IF(OR(M1148=phu!$I$89,M1148=phu!$I$90),"Cam Lập",""),IF(OR(M1148=phu!$I$91,M1148=phu!$I$92,M1148=phu!$I$93),"Cam Bình",""),IF(OR(M1148=phu!$I$94,M1148=phu!$I$95,M1148=phu!$I$96,M1148=phu!$I$97,M1148=phu!$I$98,M1148=phu!$I$99,M1148=phu!$I$100),"Huyện khác",""),IF(OR(M1148=phu!$I$101,M1148=phu!$I$102),"Tỉnh khác",""))</f>
        <v/>
      </c>
      <c r="O1148" s="814" t="str">
        <f t="shared" si="103"/>
        <v/>
      </c>
      <c r="P1148" s="254"/>
      <c r="Q1148" s="254"/>
      <c r="R1148" s="254"/>
      <c r="S1148" s="254"/>
      <c r="T1148" s="254"/>
      <c r="U1148" s="254"/>
      <c r="V1148" s="254"/>
      <c r="W1148" s="254"/>
      <c r="Y1148" s="246" t="str">
        <f t="shared" si="104"/>
        <v/>
      </c>
      <c r="Z1148" s="247" t="str">
        <f t="shared" si="102"/>
        <v/>
      </c>
      <c r="AA1148" s="246" t="str">
        <f t="shared" si="105"/>
        <v/>
      </c>
    </row>
    <row r="1149" spans="1:27" x14ac:dyDescent="0.25">
      <c r="A1149" s="248" t="str">
        <f t="shared" si="106"/>
        <v/>
      </c>
      <c r="B1149" s="249" t="str">
        <f t="shared" si="107"/>
        <v/>
      </c>
      <c r="C1149" s="250"/>
      <c r="D1149" s="251"/>
      <c r="E1149" s="241"/>
      <c r="F1149" s="252"/>
      <c r="G1149" s="252"/>
      <c r="H1149" s="253"/>
      <c r="I1149" s="250"/>
      <c r="J1149" s="250"/>
      <c r="K1149" s="270"/>
      <c r="L1149" s="250"/>
      <c r="M1149" s="250"/>
      <c r="N1149" s="553" t="str">
        <f>CONCATENATE(IF(OR(M1149=phu!$I$1,M1149=phu!$I$2,M1149=phu!$I$3),"Cam Thành Nam",""),IF(OR(M1149=phu!$I$4,M1149=phu!$I$5,M1149=phu!$I$6,M1149=phu!$I$7,M1149=phu!$I$8,M1149=phu!$I$9,M1149=phu!$I$10,M1149=phu!$I$11,M1149=phu!$I$12,M1149=phu!$I$13,M1149=phu!$I$14),"Cam Nghĩa",""),IF(OR(M1149=phu!$I$15,M1149=phu!$I$16,M1149=phu!$I$17,M1149=phu!$I$18,M1149=phu!$I$19,M1149=phu!$I$20,M1149=phu!$I$21),"Cam Phúc Bắc",""),IF(OR(M1149=phu!$I$22,M1149=phu!$I$23,M1149=phu!$I$24,M1149=phu!$I$25),"Cam Phúc Nam",""),IF(OR(M1149=phu!$I$26,M1149=phu!$I$27,M1149=phu!$I$28,M1149=phu!$I$29,M1149=phu!$I$30,M1149=phu!$I$31),"Cam Phú",""),IF(OR(M1149=phu!$I$32,M1149=phu!$I$33,M1149=phu!$I$34,M1149=phu!$I$35,M1149=phu!$I$36,M1149=phu!$I$37),"Cam Lộc",""),IF(OR(M1149=phu!$I$38,M1149=phu!$I$39,M1149=phu!$I$40,M1149=phu!$I$41,M1149=phu!$I$42,M1149=phu!$I$43,M1149=phu!$I$44),"Cam Thuận",""),IF(OR(M1149=phu!$I$45,M1149=phu!$I$46,M1149=phu!$I$47,M1149=phu!$I$48,M1149=phu!$I$49,M1149=phu!$I$50,M1149=phu!$I$51,M1149=phu!$I$52,M1149=phu!$I$53),"Cam Linh",""),IF(OR(M1149=phu!$I$54,M1149=phu!$I$55,M1149=phu!$I$56,M1149=phu!$I$57,M1149=phu!$I$58,M1149=phu!$I$59,M1149=phu!$I$60,M1149=phu!$I$61,M1149=phu!$I$62),"Cam Lợi",""),IF(OR(M1149=phu!$I$63,M1149=phu!$I$64,M1149=phu!$I$65,M1149=phu!$I$66,M1149=phu!$I$67,M1149=phu!$I$68,M1149=phu!$I$69,M1149=phu!$I$70,M1149=phu!$I$71),"Ba Ngòi",""),IF(OR(M1149=phu!$I$72,M1149=phu!$I$73,M1149=phu!$I$74,M1149=phu!$I$75,M1149=phu!$I$76,M1149=phu!$I$77,M1149=phu!$I$78),"Cam Phước Đông",""),IF(OR(M1149=phu!$I$79,M1149=phu!$I$80,M1149=phu!$I$81,M1149=phu!$I$82,M1149=phu!$I$83,M1149=phu!$I$84),"Cam Thịnh Đông",""),IF(OR(M1149=phu!$I$85,M1149=phu!$I$86,M1149=phu!$I$87,M1149=phu!$I$88),"Cam Thịnh Tây",""),IF(OR(M1149=phu!$I$89,M1149=phu!$I$90),"Cam Lập",""),IF(OR(M1149=phu!$I$91,M1149=phu!$I$92,M1149=phu!$I$93),"Cam Bình",""),IF(OR(M1149=phu!$I$94,M1149=phu!$I$95,M1149=phu!$I$96,M1149=phu!$I$97,M1149=phu!$I$98,M1149=phu!$I$99,M1149=phu!$I$100),"Huyện khác",""),IF(OR(M1149=phu!$I$101,M1149=phu!$I$102),"Tỉnh khác",""))</f>
        <v/>
      </c>
      <c r="O1149" s="814" t="str">
        <f t="shared" si="103"/>
        <v/>
      </c>
      <c r="P1149" s="254"/>
      <c r="Q1149" s="254"/>
      <c r="R1149" s="254"/>
      <c r="S1149" s="254"/>
      <c r="T1149" s="254"/>
      <c r="U1149" s="254"/>
      <c r="V1149" s="254"/>
      <c r="W1149" s="254"/>
      <c r="Y1149" s="246" t="str">
        <f t="shared" si="104"/>
        <v/>
      </c>
      <c r="Z1149" s="247" t="str">
        <f t="shared" si="102"/>
        <v/>
      </c>
      <c r="AA1149" s="246" t="str">
        <f t="shared" si="105"/>
        <v/>
      </c>
    </row>
    <row r="1150" spans="1:27" x14ac:dyDescent="0.25">
      <c r="A1150" s="248" t="str">
        <f t="shared" si="106"/>
        <v/>
      </c>
      <c r="B1150" s="249" t="str">
        <f t="shared" si="107"/>
        <v/>
      </c>
      <c r="C1150" s="250"/>
      <c r="D1150" s="251"/>
      <c r="E1150" s="241"/>
      <c r="F1150" s="252"/>
      <c r="G1150" s="252"/>
      <c r="H1150" s="253"/>
      <c r="I1150" s="250"/>
      <c r="J1150" s="250"/>
      <c r="K1150" s="270"/>
      <c r="L1150" s="250"/>
      <c r="M1150" s="250"/>
      <c r="N1150" s="553" t="str">
        <f>CONCATENATE(IF(OR(M1150=phu!$I$1,M1150=phu!$I$2,M1150=phu!$I$3),"Cam Thành Nam",""),IF(OR(M1150=phu!$I$4,M1150=phu!$I$5,M1150=phu!$I$6,M1150=phu!$I$7,M1150=phu!$I$8,M1150=phu!$I$9,M1150=phu!$I$10,M1150=phu!$I$11,M1150=phu!$I$12,M1150=phu!$I$13,M1150=phu!$I$14),"Cam Nghĩa",""),IF(OR(M1150=phu!$I$15,M1150=phu!$I$16,M1150=phu!$I$17,M1150=phu!$I$18,M1150=phu!$I$19,M1150=phu!$I$20,M1150=phu!$I$21),"Cam Phúc Bắc",""),IF(OR(M1150=phu!$I$22,M1150=phu!$I$23,M1150=phu!$I$24,M1150=phu!$I$25),"Cam Phúc Nam",""),IF(OR(M1150=phu!$I$26,M1150=phu!$I$27,M1150=phu!$I$28,M1150=phu!$I$29,M1150=phu!$I$30,M1150=phu!$I$31),"Cam Phú",""),IF(OR(M1150=phu!$I$32,M1150=phu!$I$33,M1150=phu!$I$34,M1150=phu!$I$35,M1150=phu!$I$36,M1150=phu!$I$37),"Cam Lộc",""),IF(OR(M1150=phu!$I$38,M1150=phu!$I$39,M1150=phu!$I$40,M1150=phu!$I$41,M1150=phu!$I$42,M1150=phu!$I$43,M1150=phu!$I$44),"Cam Thuận",""),IF(OR(M1150=phu!$I$45,M1150=phu!$I$46,M1150=phu!$I$47,M1150=phu!$I$48,M1150=phu!$I$49,M1150=phu!$I$50,M1150=phu!$I$51,M1150=phu!$I$52,M1150=phu!$I$53),"Cam Linh",""),IF(OR(M1150=phu!$I$54,M1150=phu!$I$55,M1150=phu!$I$56,M1150=phu!$I$57,M1150=phu!$I$58,M1150=phu!$I$59,M1150=phu!$I$60,M1150=phu!$I$61,M1150=phu!$I$62),"Cam Lợi",""),IF(OR(M1150=phu!$I$63,M1150=phu!$I$64,M1150=phu!$I$65,M1150=phu!$I$66,M1150=phu!$I$67,M1150=phu!$I$68,M1150=phu!$I$69,M1150=phu!$I$70,M1150=phu!$I$71),"Ba Ngòi",""),IF(OR(M1150=phu!$I$72,M1150=phu!$I$73,M1150=phu!$I$74,M1150=phu!$I$75,M1150=phu!$I$76,M1150=phu!$I$77,M1150=phu!$I$78),"Cam Phước Đông",""),IF(OR(M1150=phu!$I$79,M1150=phu!$I$80,M1150=phu!$I$81,M1150=phu!$I$82,M1150=phu!$I$83,M1150=phu!$I$84),"Cam Thịnh Đông",""),IF(OR(M1150=phu!$I$85,M1150=phu!$I$86,M1150=phu!$I$87,M1150=phu!$I$88),"Cam Thịnh Tây",""),IF(OR(M1150=phu!$I$89,M1150=phu!$I$90),"Cam Lập",""),IF(OR(M1150=phu!$I$91,M1150=phu!$I$92,M1150=phu!$I$93),"Cam Bình",""),IF(OR(M1150=phu!$I$94,M1150=phu!$I$95,M1150=phu!$I$96,M1150=phu!$I$97,M1150=phu!$I$98,M1150=phu!$I$99,M1150=phu!$I$100),"Huyện khác",""),IF(OR(M1150=phu!$I$101,M1150=phu!$I$102),"Tỉnh khác",""))</f>
        <v/>
      </c>
      <c r="O1150" s="814" t="str">
        <f t="shared" si="103"/>
        <v/>
      </c>
      <c r="P1150" s="254"/>
      <c r="Q1150" s="254"/>
      <c r="R1150" s="254"/>
      <c r="S1150" s="254"/>
      <c r="T1150" s="254"/>
      <c r="U1150" s="254"/>
      <c r="V1150" s="254"/>
      <c r="W1150" s="254"/>
      <c r="Y1150" s="246" t="str">
        <f t="shared" si="104"/>
        <v/>
      </c>
      <c r="Z1150" s="247" t="str">
        <f t="shared" si="102"/>
        <v/>
      </c>
      <c r="AA1150" s="246" t="str">
        <f t="shared" si="105"/>
        <v/>
      </c>
    </row>
    <row r="1151" spans="1:27" x14ac:dyDescent="0.25">
      <c r="A1151" s="248" t="str">
        <f t="shared" si="106"/>
        <v/>
      </c>
      <c r="B1151" s="249" t="str">
        <f t="shared" si="107"/>
        <v/>
      </c>
      <c r="C1151" s="250"/>
      <c r="D1151" s="251"/>
      <c r="E1151" s="241"/>
      <c r="F1151" s="252"/>
      <c r="G1151" s="252"/>
      <c r="H1151" s="253"/>
      <c r="I1151" s="250"/>
      <c r="J1151" s="250"/>
      <c r="K1151" s="270"/>
      <c r="L1151" s="250"/>
      <c r="M1151" s="250"/>
      <c r="N1151" s="553" t="str">
        <f>CONCATENATE(IF(OR(M1151=phu!$I$1,M1151=phu!$I$2,M1151=phu!$I$3),"Cam Thành Nam",""),IF(OR(M1151=phu!$I$4,M1151=phu!$I$5,M1151=phu!$I$6,M1151=phu!$I$7,M1151=phu!$I$8,M1151=phu!$I$9,M1151=phu!$I$10,M1151=phu!$I$11,M1151=phu!$I$12,M1151=phu!$I$13,M1151=phu!$I$14),"Cam Nghĩa",""),IF(OR(M1151=phu!$I$15,M1151=phu!$I$16,M1151=phu!$I$17,M1151=phu!$I$18,M1151=phu!$I$19,M1151=phu!$I$20,M1151=phu!$I$21),"Cam Phúc Bắc",""),IF(OR(M1151=phu!$I$22,M1151=phu!$I$23,M1151=phu!$I$24,M1151=phu!$I$25),"Cam Phúc Nam",""),IF(OR(M1151=phu!$I$26,M1151=phu!$I$27,M1151=phu!$I$28,M1151=phu!$I$29,M1151=phu!$I$30,M1151=phu!$I$31),"Cam Phú",""),IF(OR(M1151=phu!$I$32,M1151=phu!$I$33,M1151=phu!$I$34,M1151=phu!$I$35,M1151=phu!$I$36,M1151=phu!$I$37),"Cam Lộc",""),IF(OR(M1151=phu!$I$38,M1151=phu!$I$39,M1151=phu!$I$40,M1151=phu!$I$41,M1151=phu!$I$42,M1151=phu!$I$43,M1151=phu!$I$44),"Cam Thuận",""),IF(OR(M1151=phu!$I$45,M1151=phu!$I$46,M1151=phu!$I$47,M1151=phu!$I$48,M1151=phu!$I$49,M1151=phu!$I$50,M1151=phu!$I$51,M1151=phu!$I$52,M1151=phu!$I$53),"Cam Linh",""),IF(OR(M1151=phu!$I$54,M1151=phu!$I$55,M1151=phu!$I$56,M1151=phu!$I$57,M1151=phu!$I$58,M1151=phu!$I$59,M1151=phu!$I$60,M1151=phu!$I$61,M1151=phu!$I$62),"Cam Lợi",""),IF(OR(M1151=phu!$I$63,M1151=phu!$I$64,M1151=phu!$I$65,M1151=phu!$I$66,M1151=phu!$I$67,M1151=phu!$I$68,M1151=phu!$I$69,M1151=phu!$I$70,M1151=phu!$I$71),"Ba Ngòi",""),IF(OR(M1151=phu!$I$72,M1151=phu!$I$73,M1151=phu!$I$74,M1151=phu!$I$75,M1151=phu!$I$76,M1151=phu!$I$77,M1151=phu!$I$78),"Cam Phước Đông",""),IF(OR(M1151=phu!$I$79,M1151=phu!$I$80,M1151=phu!$I$81,M1151=phu!$I$82,M1151=phu!$I$83,M1151=phu!$I$84),"Cam Thịnh Đông",""),IF(OR(M1151=phu!$I$85,M1151=phu!$I$86,M1151=phu!$I$87,M1151=phu!$I$88),"Cam Thịnh Tây",""),IF(OR(M1151=phu!$I$89,M1151=phu!$I$90),"Cam Lập",""),IF(OR(M1151=phu!$I$91,M1151=phu!$I$92,M1151=phu!$I$93),"Cam Bình",""),IF(OR(M1151=phu!$I$94,M1151=phu!$I$95,M1151=phu!$I$96,M1151=phu!$I$97,M1151=phu!$I$98,M1151=phu!$I$99,M1151=phu!$I$100),"Huyện khác",""),IF(OR(M1151=phu!$I$101,M1151=phu!$I$102),"Tỉnh khác",""))</f>
        <v/>
      </c>
      <c r="O1151" s="814" t="str">
        <f t="shared" si="103"/>
        <v/>
      </c>
      <c r="P1151" s="254"/>
      <c r="Q1151" s="254"/>
      <c r="R1151" s="254"/>
      <c r="S1151" s="254"/>
      <c r="T1151" s="254"/>
      <c r="U1151" s="254"/>
      <c r="V1151" s="254"/>
      <c r="W1151" s="254"/>
      <c r="Y1151" s="246" t="str">
        <f t="shared" si="104"/>
        <v/>
      </c>
      <c r="Z1151" s="247" t="str">
        <f t="shared" si="102"/>
        <v/>
      </c>
      <c r="AA1151" s="246" t="str">
        <f t="shared" si="105"/>
        <v/>
      </c>
    </row>
    <row r="1152" spans="1:27" x14ac:dyDescent="0.25">
      <c r="A1152" s="248" t="str">
        <f t="shared" si="106"/>
        <v/>
      </c>
      <c r="B1152" s="249" t="str">
        <f t="shared" si="107"/>
        <v/>
      </c>
      <c r="C1152" s="250"/>
      <c r="D1152" s="251"/>
      <c r="E1152" s="241"/>
      <c r="F1152" s="252"/>
      <c r="G1152" s="252"/>
      <c r="H1152" s="253"/>
      <c r="I1152" s="250"/>
      <c r="J1152" s="250"/>
      <c r="K1152" s="270"/>
      <c r="L1152" s="250"/>
      <c r="M1152" s="250"/>
      <c r="N1152" s="553" t="str">
        <f>CONCATENATE(IF(OR(M1152=phu!$I$1,M1152=phu!$I$2,M1152=phu!$I$3),"Cam Thành Nam",""),IF(OR(M1152=phu!$I$4,M1152=phu!$I$5,M1152=phu!$I$6,M1152=phu!$I$7,M1152=phu!$I$8,M1152=phu!$I$9,M1152=phu!$I$10,M1152=phu!$I$11,M1152=phu!$I$12,M1152=phu!$I$13,M1152=phu!$I$14),"Cam Nghĩa",""),IF(OR(M1152=phu!$I$15,M1152=phu!$I$16,M1152=phu!$I$17,M1152=phu!$I$18,M1152=phu!$I$19,M1152=phu!$I$20,M1152=phu!$I$21),"Cam Phúc Bắc",""),IF(OR(M1152=phu!$I$22,M1152=phu!$I$23,M1152=phu!$I$24,M1152=phu!$I$25),"Cam Phúc Nam",""),IF(OR(M1152=phu!$I$26,M1152=phu!$I$27,M1152=phu!$I$28,M1152=phu!$I$29,M1152=phu!$I$30,M1152=phu!$I$31),"Cam Phú",""),IF(OR(M1152=phu!$I$32,M1152=phu!$I$33,M1152=phu!$I$34,M1152=phu!$I$35,M1152=phu!$I$36,M1152=phu!$I$37),"Cam Lộc",""),IF(OR(M1152=phu!$I$38,M1152=phu!$I$39,M1152=phu!$I$40,M1152=phu!$I$41,M1152=phu!$I$42,M1152=phu!$I$43,M1152=phu!$I$44),"Cam Thuận",""),IF(OR(M1152=phu!$I$45,M1152=phu!$I$46,M1152=phu!$I$47,M1152=phu!$I$48,M1152=phu!$I$49,M1152=phu!$I$50,M1152=phu!$I$51,M1152=phu!$I$52,M1152=phu!$I$53),"Cam Linh",""),IF(OR(M1152=phu!$I$54,M1152=phu!$I$55,M1152=phu!$I$56,M1152=phu!$I$57,M1152=phu!$I$58,M1152=phu!$I$59,M1152=phu!$I$60,M1152=phu!$I$61,M1152=phu!$I$62),"Cam Lợi",""),IF(OR(M1152=phu!$I$63,M1152=phu!$I$64,M1152=phu!$I$65,M1152=phu!$I$66,M1152=phu!$I$67,M1152=phu!$I$68,M1152=phu!$I$69,M1152=phu!$I$70,M1152=phu!$I$71),"Ba Ngòi",""),IF(OR(M1152=phu!$I$72,M1152=phu!$I$73,M1152=phu!$I$74,M1152=phu!$I$75,M1152=phu!$I$76,M1152=phu!$I$77,M1152=phu!$I$78),"Cam Phước Đông",""),IF(OR(M1152=phu!$I$79,M1152=phu!$I$80,M1152=phu!$I$81,M1152=phu!$I$82,M1152=phu!$I$83,M1152=phu!$I$84),"Cam Thịnh Đông",""),IF(OR(M1152=phu!$I$85,M1152=phu!$I$86,M1152=phu!$I$87,M1152=phu!$I$88),"Cam Thịnh Tây",""),IF(OR(M1152=phu!$I$89,M1152=phu!$I$90),"Cam Lập",""),IF(OR(M1152=phu!$I$91,M1152=phu!$I$92,M1152=phu!$I$93),"Cam Bình",""),IF(OR(M1152=phu!$I$94,M1152=phu!$I$95,M1152=phu!$I$96,M1152=phu!$I$97,M1152=phu!$I$98,M1152=phu!$I$99,M1152=phu!$I$100),"Huyện khác",""),IF(OR(M1152=phu!$I$101,M1152=phu!$I$102),"Tỉnh khác",""))</f>
        <v/>
      </c>
      <c r="O1152" s="814" t="str">
        <f t="shared" si="103"/>
        <v/>
      </c>
      <c r="P1152" s="254"/>
      <c r="Q1152" s="254"/>
      <c r="R1152" s="254"/>
      <c r="S1152" s="254"/>
      <c r="T1152" s="254"/>
      <c r="U1152" s="254"/>
      <c r="V1152" s="254"/>
      <c r="W1152" s="254"/>
      <c r="Y1152" s="246" t="str">
        <f t="shared" si="104"/>
        <v/>
      </c>
      <c r="Z1152" s="247" t="str">
        <f t="shared" si="102"/>
        <v/>
      </c>
      <c r="AA1152" s="246" t="str">
        <f t="shared" si="105"/>
        <v/>
      </c>
    </row>
    <row r="1153" spans="1:27" x14ac:dyDescent="0.25">
      <c r="A1153" s="248" t="str">
        <f t="shared" si="106"/>
        <v/>
      </c>
      <c r="B1153" s="249" t="str">
        <f t="shared" si="107"/>
        <v/>
      </c>
      <c r="C1153" s="250"/>
      <c r="D1153" s="251"/>
      <c r="E1153" s="241"/>
      <c r="F1153" s="252"/>
      <c r="G1153" s="252"/>
      <c r="H1153" s="253"/>
      <c r="I1153" s="250"/>
      <c r="J1153" s="250"/>
      <c r="K1153" s="270"/>
      <c r="L1153" s="250"/>
      <c r="M1153" s="250"/>
      <c r="N1153" s="553" t="str">
        <f>CONCATENATE(IF(OR(M1153=phu!$I$1,M1153=phu!$I$2,M1153=phu!$I$3),"Cam Thành Nam",""),IF(OR(M1153=phu!$I$4,M1153=phu!$I$5,M1153=phu!$I$6,M1153=phu!$I$7,M1153=phu!$I$8,M1153=phu!$I$9,M1153=phu!$I$10,M1153=phu!$I$11,M1153=phu!$I$12,M1153=phu!$I$13,M1153=phu!$I$14),"Cam Nghĩa",""),IF(OR(M1153=phu!$I$15,M1153=phu!$I$16,M1153=phu!$I$17,M1153=phu!$I$18,M1153=phu!$I$19,M1153=phu!$I$20,M1153=phu!$I$21),"Cam Phúc Bắc",""),IF(OR(M1153=phu!$I$22,M1153=phu!$I$23,M1153=phu!$I$24,M1153=phu!$I$25),"Cam Phúc Nam",""),IF(OR(M1153=phu!$I$26,M1153=phu!$I$27,M1153=phu!$I$28,M1153=phu!$I$29,M1153=phu!$I$30,M1153=phu!$I$31),"Cam Phú",""),IF(OR(M1153=phu!$I$32,M1153=phu!$I$33,M1153=phu!$I$34,M1153=phu!$I$35,M1153=phu!$I$36,M1153=phu!$I$37),"Cam Lộc",""),IF(OR(M1153=phu!$I$38,M1153=phu!$I$39,M1153=phu!$I$40,M1153=phu!$I$41,M1153=phu!$I$42,M1153=phu!$I$43,M1153=phu!$I$44),"Cam Thuận",""),IF(OR(M1153=phu!$I$45,M1153=phu!$I$46,M1153=phu!$I$47,M1153=phu!$I$48,M1153=phu!$I$49,M1153=phu!$I$50,M1153=phu!$I$51,M1153=phu!$I$52,M1153=phu!$I$53),"Cam Linh",""),IF(OR(M1153=phu!$I$54,M1153=phu!$I$55,M1153=phu!$I$56,M1153=phu!$I$57,M1153=phu!$I$58,M1153=phu!$I$59,M1153=phu!$I$60,M1153=phu!$I$61,M1153=phu!$I$62),"Cam Lợi",""),IF(OR(M1153=phu!$I$63,M1153=phu!$I$64,M1153=phu!$I$65,M1153=phu!$I$66,M1153=phu!$I$67,M1153=phu!$I$68,M1153=phu!$I$69,M1153=phu!$I$70,M1153=phu!$I$71),"Ba Ngòi",""),IF(OR(M1153=phu!$I$72,M1153=phu!$I$73,M1153=phu!$I$74,M1153=phu!$I$75,M1153=phu!$I$76,M1153=phu!$I$77,M1153=phu!$I$78),"Cam Phước Đông",""),IF(OR(M1153=phu!$I$79,M1153=phu!$I$80,M1153=phu!$I$81,M1153=phu!$I$82,M1153=phu!$I$83,M1153=phu!$I$84),"Cam Thịnh Đông",""),IF(OR(M1153=phu!$I$85,M1153=phu!$I$86,M1153=phu!$I$87,M1153=phu!$I$88),"Cam Thịnh Tây",""),IF(OR(M1153=phu!$I$89,M1153=phu!$I$90),"Cam Lập",""),IF(OR(M1153=phu!$I$91,M1153=phu!$I$92,M1153=phu!$I$93),"Cam Bình",""),IF(OR(M1153=phu!$I$94,M1153=phu!$I$95,M1153=phu!$I$96,M1153=phu!$I$97,M1153=phu!$I$98,M1153=phu!$I$99,M1153=phu!$I$100),"Huyện khác",""),IF(OR(M1153=phu!$I$101,M1153=phu!$I$102),"Tỉnh khác",""))</f>
        <v/>
      </c>
      <c r="O1153" s="814" t="str">
        <f t="shared" si="103"/>
        <v/>
      </c>
      <c r="P1153" s="254"/>
      <c r="Q1153" s="254"/>
      <c r="R1153" s="254"/>
      <c r="S1153" s="254"/>
      <c r="T1153" s="254"/>
      <c r="U1153" s="254"/>
      <c r="V1153" s="254"/>
      <c r="W1153" s="254"/>
      <c r="Y1153" s="246" t="str">
        <f t="shared" si="104"/>
        <v/>
      </c>
      <c r="Z1153" s="247" t="str">
        <f t="shared" si="102"/>
        <v/>
      </c>
      <c r="AA1153" s="246" t="str">
        <f t="shared" si="105"/>
        <v/>
      </c>
    </row>
    <row r="1154" spans="1:27" x14ac:dyDescent="0.25">
      <c r="A1154" s="248" t="str">
        <f t="shared" si="106"/>
        <v/>
      </c>
      <c r="B1154" s="249" t="str">
        <f t="shared" si="107"/>
        <v/>
      </c>
      <c r="C1154" s="250"/>
      <c r="D1154" s="251"/>
      <c r="E1154" s="241"/>
      <c r="F1154" s="252"/>
      <c r="G1154" s="252"/>
      <c r="H1154" s="253"/>
      <c r="I1154" s="250"/>
      <c r="J1154" s="250"/>
      <c r="K1154" s="270"/>
      <c r="L1154" s="250"/>
      <c r="M1154" s="250"/>
      <c r="N1154" s="553" t="str">
        <f>CONCATENATE(IF(OR(M1154=phu!$I$1,M1154=phu!$I$2,M1154=phu!$I$3),"Cam Thành Nam",""),IF(OR(M1154=phu!$I$4,M1154=phu!$I$5,M1154=phu!$I$6,M1154=phu!$I$7,M1154=phu!$I$8,M1154=phu!$I$9,M1154=phu!$I$10,M1154=phu!$I$11,M1154=phu!$I$12,M1154=phu!$I$13,M1154=phu!$I$14),"Cam Nghĩa",""),IF(OR(M1154=phu!$I$15,M1154=phu!$I$16,M1154=phu!$I$17,M1154=phu!$I$18,M1154=phu!$I$19,M1154=phu!$I$20,M1154=phu!$I$21),"Cam Phúc Bắc",""),IF(OR(M1154=phu!$I$22,M1154=phu!$I$23,M1154=phu!$I$24,M1154=phu!$I$25),"Cam Phúc Nam",""),IF(OR(M1154=phu!$I$26,M1154=phu!$I$27,M1154=phu!$I$28,M1154=phu!$I$29,M1154=phu!$I$30,M1154=phu!$I$31),"Cam Phú",""),IF(OR(M1154=phu!$I$32,M1154=phu!$I$33,M1154=phu!$I$34,M1154=phu!$I$35,M1154=phu!$I$36,M1154=phu!$I$37),"Cam Lộc",""),IF(OR(M1154=phu!$I$38,M1154=phu!$I$39,M1154=phu!$I$40,M1154=phu!$I$41,M1154=phu!$I$42,M1154=phu!$I$43,M1154=phu!$I$44),"Cam Thuận",""),IF(OR(M1154=phu!$I$45,M1154=phu!$I$46,M1154=phu!$I$47,M1154=phu!$I$48,M1154=phu!$I$49,M1154=phu!$I$50,M1154=phu!$I$51,M1154=phu!$I$52,M1154=phu!$I$53),"Cam Linh",""),IF(OR(M1154=phu!$I$54,M1154=phu!$I$55,M1154=phu!$I$56,M1154=phu!$I$57,M1154=phu!$I$58,M1154=phu!$I$59,M1154=phu!$I$60,M1154=phu!$I$61,M1154=phu!$I$62),"Cam Lợi",""),IF(OR(M1154=phu!$I$63,M1154=phu!$I$64,M1154=phu!$I$65,M1154=phu!$I$66,M1154=phu!$I$67,M1154=phu!$I$68,M1154=phu!$I$69,M1154=phu!$I$70,M1154=phu!$I$71),"Ba Ngòi",""),IF(OR(M1154=phu!$I$72,M1154=phu!$I$73,M1154=phu!$I$74,M1154=phu!$I$75,M1154=phu!$I$76,M1154=phu!$I$77,M1154=phu!$I$78),"Cam Phước Đông",""),IF(OR(M1154=phu!$I$79,M1154=phu!$I$80,M1154=phu!$I$81,M1154=phu!$I$82,M1154=phu!$I$83,M1154=phu!$I$84),"Cam Thịnh Đông",""),IF(OR(M1154=phu!$I$85,M1154=phu!$I$86,M1154=phu!$I$87,M1154=phu!$I$88),"Cam Thịnh Tây",""),IF(OR(M1154=phu!$I$89,M1154=phu!$I$90),"Cam Lập",""),IF(OR(M1154=phu!$I$91,M1154=phu!$I$92,M1154=phu!$I$93),"Cam Bình",""),IF(OR(M1154=phu!$I$94,M1154=phu!$I$95,M1154=phu!$I$96,M1154=phu!$I$97,M1154=phu!$I$98,M1154=phu!$I$99,M1154=phu!$I$100),"Huyện khác",""),IF(OR(M1154=phu!$I$101,M1154=phu!$I$102),"Tỉnh khác",""))</f>
        <v/>
      </c>
      <c r="O1154" s="814" t="str">
        <f t="shared" si="103"/>
        <v/>
      </c>
      <c r="P1154" s="254"/>
      <c r="Q1154" s="254"/>
      <c r="R1154" s="254"/>
      <c r="S1154" s="254"/>
      <c r="T1154" s="254"/>
      <c r="U1154" s="254"/>
      <c r="V1154" s="254"/>
      <c r="W1154" s="254"/>
      <c r="Y1154" s="246" t="str">
        <f t="shared" si="104"/>
        <v/>
      </c>
      <c r="Z1154" s="247" t="str">
        <f t="shared" si="102"/>
        <v/>
      </c>
      <c r="AA1154" s="246" t="str">
        <f t="shared" si="105"/>
        <v/>
      </c>
    </row>
    <row r="1155" spans="1:27" x14ac:dyDescent="0.25">
      <c r="A1155" s="248" t="str">
        <f t="shared" si="106"/>
        <v/>
      </c>
      <c r="B1155" s="249" t="str">
        <f t="shared" si="107"/>
        <v/>
      </c>
      <c r="C1155" s="250"/>
      <c r="D1155" s="251"/>
      <c r="E1155" s="241"/>
      <c r="F1155" s="252"/>
      <c r="G1155" s="252"/>
      <c r="H1155" s="253"/>
      <c r="I1155" s="250"/>
      <c r="J1155" s="250"/>
      <c r="K1155" s="270"/>
      <c r="L1155" s="250"/>
      <c r="M1155" s="250"/>
      <c r="N1155" s="553" t="str">
        <f>CONCATENATE(IF(OR(M1155=phu!$I$1,M1155=phu!$I$2,M1155=phu!$I$3),"Cam Thành Nam",""),IF(OR(M1155=phu!$I$4,M1155=phu!$I$5,M1155=phu!$I$6,M1155=phu!$I$7,M1155=phu!$I$8,M1155=phu!$I$9,M1155=phu!$I$10,M1155=phu!$I$11,M1155=phu!$I$12,M1155=phu!$I$13,M1155=phu!$I$14),"Cam Nghĩa",""),IF(OR(M1155=phu!$I$15,M1155=phu!$I$16,M1155=phu!$I$17,M1155=phu!$I$18,M1155=phu!$I$19,M1155=phu!$I$20,M1155=phu!$I$21),"Cam Phúc Bắc",""),IF(OR(M1155=phu!$I$22,M1155=phu!$I$23,M1155=phu!$I$24,M1155=phu!$I$25),"Cam Phúc Nam",""),IF(OR(M1155=phu!$I$26,M1155=phu!$I$27,M1155=phu!$I$28,M1155=phu!$I$29,M1155=phu!$I$30,M1155=phu!$I$31),"Cam Phú",""),IF(OR(M1155=phu!$I$32,M1155=phu!$I$33,M1155=phu!$I$34,M1155=phu!$I$35,M1155=phu!$I$36,M1155=phu!$I$37),"Cam Lộc",""),IF(OR(M1155=phu!$I$38,M1155=phu!$I$39,M1155=phu!$I$40,M1155=phu!$I$41,M1155=phu!$I$42,M1155=phu!$I$43,M1155=phu!$I$44),"Cam Thuận",""),IF(OR(M1155=phu!$I$45,M1155=phu!$I$46,M1155=phu!$I$47,M1155=phu!$I$48,M1155=phu!$I$49,M1155=phu!$I$50,M1155=phu!$I$51,M1155=phu!$I$52,M1155=phu!$I$53),"Cam Linh",""),IF(OR(M1155=phu!$I$54,M1155=phu!$I$55,M1155=phu!$I$56,M1155=phu!$I$57,M1155=phu!$I$58,M1155=phu!$I$59,M1155=phu!$I$60,M1155=phu!$I$61,M1155=phu!$I$62),"Cam Lợi",""),IF(OR(M1155=phu!$I$63,M1155=phu!$I$64,M1155=phu!$I$65,M1155=phu!$I$66,M1155=phu!$I$67,M1155=phu!$I$68,M1155=phu!$I$69,M1155=phu!$I$70,M1155=phu!$I$71),"Ba Ngòi",""),IF(OR(M1155=phu!$I$72,M1155=phu!$I$73,M1155=phu!$I$74,M1155=phu!$I$75,M1155=phu!$I$76,M1155=phu!$I$77,M1155=phu!$I$78),"Cam Phước Đông",""),IF(OR(M1155=phu!$I$79,M1155=phu!$I$80,M1155=phu!$I$81,M1155=phu!$I$82,M1155=phu!$I$83,M1155=phu!$I$84),"Cam Thịnh Đông",""),IF(OR(M1155=phu!$I$85,M1155=phu!$I$86,M1155=phu!$I$87,M1155=phu!$I$88),"Cam Thịnh Tây",""),IF(OR(M1155=phu!$I$89,M1155=phu!$I$90),"Cam Lập",""),IF(OR(M1155=phu!$I$91,M1155=phu!$I$92,M1155=phu!$I$93),"Cam Bình",""),IF(OR(M1155=phu!$I$94,M1155=phu!$I$95,M1155=phu!$I$96,M1155=phu!$I$97,M1155=phu!$I$98,M1155=phu!$I$99,M1155=phu!$I$100),"Huyện khác",""),IF(OR(M1155=phu!$I$101,M1155=phu!$I$102),"Tỉnh khác",""))</f>
        <v/>
      </c>
      <c r="O1155" s="814" t="str">
        <f t="shared" si="103"/>
        <v/>
      </c>
      <c r="P1155" s="254"/>
      <c r="Q1155" s="254"/>
      <c r="R1155" s="254"/>
      <c r="S1155" s="254"/>
      <c r="T1155" s="254"/>
      <c r="U1155" s="254"/>
      <c r="V1155" s="254"/>
      <c r="W1155" s="254"/>
      <c r="Y1155" s="246" t="str">
        <f t="shared" si="104"/>
        <v/>
      </c>
      <c r="Z1155" s="247" t="str">
        <f t="shared" si="102"/>
        <v/>
      </c>
      <c r="AA1155" s="246" t="str">
        <f t="shared" si="105"/>
        <v/>
      </c>
    </row>
    <row r="1156" spans="1:27" x14ac:dyDescent="0.25">
      <c r="A1156" s="248" t="str">
        <f t="shared" si="106"/>
        <v/>
      </c>
      <c r="B1156" s="249" t="str">
        <f t="shared" si="107"/>
        <v/>
      </c>
      <c r="C1156" s="250"/>
      <c r="D1156" s="251"/>
      <c r="E1156" s="241"/>
      <c r="F1156" s="252"/>
      <c r="G1156" s="252"/>
      <c r="H1156" s="253"/>
      <c r="I1156" s="250"/>
      <c r="J1156" s="250"/>
      <c r="K1156" s="270"/>
      <c r="L1156" s="250"/>
      <c r="M1156" s="250"/>
      <c r="N1156" s="553" t="str">
        <f>CONCATENATE(IF(OR(M1156=phu!$I$1,M1156=phu!$I$2,M1156=phu!$I$3),"Cam Thành Nam",""),IF(OR(M1156=phu!$I$4,M1156=phu!$I$5,M1156=phu!$I$6,M1156=phu!$I$7,M1156=phu!$I$8,M1156=phu!$I$9,M1156=phu!$I$10,M1156=phu!$I$11,M1156=phu!$I$12,M1156=phu!$I$13,M1156=phu!$I$14),"Cam Nghĩa",""),IF(OR(M1156=phu!$I$15,M1156=phu!$I$16,M1156=phu!$I$17,M1156=phu!$I$18,M1156=phu!$I$19,M1156=phu!$I$20,M1156=phu!$I$21),"Cam Phúc Bắc",""),IF(OR(M1156=phu!$I$22,M1156=phu!$I$23,M1156=phu!$I$24,M1156=phu!$I$25),"Cam Phúc Nam",""),IF(OR(M1156=phu!$I$26,M1156=phu!$I$27,M1156=phu!$I$28,M1156=phu!$I$29,M1156=phu!$I$30,M1156=phu!$I$31),"Cam Phú",""),IF(OR(M1156=phu!$I$32,M1156=phu!$I$33,M1156=phu!$I$34,M1156=phu!$I$35,M1156=phu!$I$36,M1156=phu!$I$37),"Cam Lộc",""),IF(OR(M1156=phu!$I$38,M1156=phu!$I$39,M1156=phu!$I$40,M1156=phu!$I$41,M1156=phu!$I$42,M1156=phu!$I$43,M1156=phu!$I$44),"Cam Thuận",""),IF(OR(M1156=phu!$I$45,M1156=phu!$I$46,M1156=phu!$I$47,M1156=phu!$I$48,M1156=phu!$I$49,M1156=phu!$I$50,M1156=phu!$I$51,M1156=phu!$I$52,M1156=phu!$I$53),"Cam Linh",""),IF(OR(M1156=phu!$I$54,M1156=phu!$I$55,M1156=phu!$I$56,M1156=phu!$I$57,M1156=phu!$I$58,M1156=phu!$I$59,M1156=phu!$I$60,M1156=phu!$I$61,M1156=phu!$I$62),"Cam Lợi",""),IF(OR(M1156=phu!$I$63,M1156=phu!$I$64,M1156=phu!$I$65,M1156=phu!$I$66,M1156=phu!$I$67,M1156=phu!$I$68,M1156=phu!$I$69,M1156=phu!$I$70,M1156=phu!$I$71),"Ba Ngòi",""),IF(OR(M1156=phu!$I$72,M1156=phu!$I$73,M1156=phu!$I$74,M1156=phu!$I$75,M1156=phu!$I$76,M1156=phu!$I$77,M1156=phu!$I$78),"Cam Phước Đông",""),IF(OR(M1156=phu!$I$79,M1156=phu!$I$80,M1156=phu!$I$81,M1156=phu!$I$82,M1156=phu!$I$83,M1156=phu!$I$84),"Cam Thịnh Đông",""),IF(OR(M1156=phu!$I$85,M1156=phu!$I$86,M1156=phu!$I$87,M1156=phu!$I$88),"Cam Thịnh Tây",""),IF(OR(M1156=phu!$I$89,M1156=phu!$I$90),"Cam Lập",""),IF(OR(M1156=phu!$I$91,M1156=phu!$I$92,M1156=phu!$I$93),"Cam Bình",""),IF(OR(M1156=phu!$I$94,M1156=phu!$I$95,M1156=phu!$I$96,M1156=phu!$I$97,M1156=phu!$I$98,M1156=phu!$I$99,M1156=phu!$I$100),"Huyện khác",""),IF(OR(M1156=phu!$I$101,M1156=phu!$I$102),"Tỉnh khác",""))</f>
        <v/>
      </c>
      <c r="O1156" s="814" t="str">
        <f t="shared" si="103"/>
        <v/>
      </c>
      <c r="P1156" s="254"/>
      <c r="Q1156" s="254"/>
      <c r="R1156" s="254"/>
      <c r="S1156" s="254"/>
      <c r="T1156" s="254"/>
      <c r="U1156" s="254"/>
      <c r="V1156" s="254"/>
      <c r="W1156" s="254"/>
      <c r="Y1156" s="246" t="str">
        <f t="shared" si="104"/>
        <v/>
      </c>
      <c r="Z1156" s="247" t="str">
        <f t="shared" si="102"/>
        <v/>
      </c>
      <c r="AA1156" s="246" t="str">
        <f t="shared" si="105"/>
        <v/>
      </c>
    </row>
    <row r="1157" spans="1:27" x14ac:dyDescent="0.25">
      <c r="A1157" s="248" t="str">
        <f t="shared" si="106"/>
        <v/>
      </c>
      <c r="B1157" s="249" t="str">
        <f t="shared" si="107"/>
        <v/>
      </c>
      <c r="C1157" s="250"/>
      <c r="D1157" s="251"/>
      <c r="E1157" s="241"/>
      <c r="F1157" s="252"/>
      <c r="G1157" s="252"/>
      <c r="H1157" s="253"/>
      <c r="I1157" s="250"/>
      <c r="J1157" s="250"/>
      <c r="K1157" s="270"/>
      <c r="L1157" s="250"/>
      <c r="M1157" s="250"/>
      <c r="N1157" s="553" t="str">
        <f>CONCATENATE(IF(OR(M1157=phu!$I$1,M1157=phu!$I$2,M1157=phu!$I$3),"Cam Thành Nam",""),IF(OR(M1157=phu!$I$4,M1157=phu!$I$5,M1157=phu!$I$6,M1157=phu!$I$7,M1157=phu!$I$8,M1157=phu!$I$9,M1157=phu!$I$10,M1157=phu!$I$11,M1157=phu!$I$12,M1157=phu!$I$13,M1157=phu!$I$14),"Cam Nghĩa",""),IF(OR(M1157=phu!$I$15,M1157=phu!$I$16,M1157=phu!$I$17,M1157=phu!$I$18,M1157=phu!$I$19,M1157=phu!$I$20,M1157=phu!$I$21),"Cam Phúc Bắc",""),IF(OR(M1157=phu!$I$22,M1157=phu!$I$23,M1157=phu!$I$24,M1157=phu!$I$25),"Cam Phúc Nam",""),IF(OR(M1157=phu!$I$26,M1157=phu!$I$27,M1157=phu!$I$28,M1157=phu!$I$29,M1157=phu!$I$30,M1157=phu!$I$31),"Cam Phú",""),IF(OR(M1157=phu!$I$32,M1157=phu!$I$33,M1157=phu!$I$34,M1157=phu!$I$35,M1157=phu!$I$36,M1157=phu!$I$37),"Cam Lộc",""),IF(OR(M1157=phu!$I$38,M1157=phu!$I$39,M1157=phu!$I$40,M1157=phu!$I$41,M1157=phu!$I$42,M1157=phu!$I$43,M1157=phu!$I$44),"Cam Thuận",""),IF(OR(M1157=phu!$I$45,M1157=phu!$I$46,M1157=phu!$I$47,M1157=phu!$I$48,M1157=phu!$I$49,M1157=phu!$I$50,M1157=phu!$I$51,M1157=phu!$I$52,M1157=phu!$I$53),"Cam Linh",""),IF(OR(M1157=phu!$I$54,M1157=phu!$I$55,M1157=phu!$I$56,M1157=phu!$I$57,M1157=phu!$I$58,M1157=phu!$I$59,M1157=phu!$I$60,M1157=phu!$I$61,M1157=phu!$I$62),"Cam Lợi",""),IF(OR(M1157=phu!$I$63,M1157=phu!$I$64,M1157=phu!$I$65,M1157=phu!$I$66,M1157=phu!$I$67,M1157=phu!$I$68,M1157=phu!$I$69,M1157=phu!$I$70,M1157=phu!$I$71),"Ba Ngòi",""),IF(OR(M1157=phu!$I$72,M1157=phu!$I$73,M1157=phu!$I$74,M1157=phu!$I$75,M1157=phu!$I$76,M1157=phu!$I$77,M1157=phu!$I$78),"Cam Phước Đông",""),IF(OR(M1157=phu!$I$79,M1157=phu!$I$80,M1157=phu!$I$81,M1157=phu!$I$82,M1157=phu!$I$83,M1157=phu!$I$84),"Cam Thịnh Đông",""),IF(OR(M1157=phu!$I$85,M1157=phu!$I$86,M1157=phu!$I$87,M1157=phu!$I$88),"Cam Thịnh Tây",""),IF(OR(M1157=phu!$I$89,M1157=phu!$I$90),"Cam Lập",""),IF(OR(M1157=phu!$I$91,M1157=phu!$I$92,M1157=phu!$I$93),"Cam Bình",""),IF(OR(M1157=phu!$I$94,M1157=phu!$I$95,M1157=phu!$I$96,M1157=phu!$I$97,M1157=phu!$I$98,M1157=phu!$I$99,M1157=phu!$I$100),"Huyện khác",""),IF(OR(M1157=phu!$I$101,M1157=phu!$I$102),"Tỉnh khác",""))</f>
        <v/>
      </c>
      <c r="O1157" s="814" t="str">
        <f t="shared" si="103"/>
        <v/>
      </c>
      <c r="P1157" s="254"/>
      <c r="Q1157" s="254"/>
      <c r="R1157" s="254"/>
      <c r="S1157" s="254"/>
      <c r="T1157" s="254"/>
      <c r="U1157" s="254"/>
      <c r="V1157" s="254"/>
      <c r="W1157" s="254"/>
      <c r="Y1157" s="246" t="str">
        <f t="shared" si="104"/>
        <v/>
      </c>
      <c r="Z1157" s="247" t="str">
        <f t="shared" si="102"/>
        <v/>
      </c>
      <c r="AA1157" s="246" t="str">
        <f t="shared" si="105"/>
        <v/>
      </c>
    </row>
    <row r="1158" spans="1:27" x14ac:dyDescent="0.25">
      <c r="A1158" s="248" t="str">
        <f t="shared" si="106"/>
        <v/>
      </c>
      <c r="B1158" s="249" t="str">
        <f t="shared" si="107"/>
        <v/>
      </c>
      <c r="C1158" s="250"/>
      <c r="D1158" s="251"/>
      <c r="E1158" s="241"/>
      <c r="F1158" s="252"/>
      <c r="G1158" s="252"/>
      <c r="H1158" s="253"/>
      <c r="I1158" s="250"/>
      <c r="J1158" s="250"/>
      <c r="K1158" s="270"/>
      <c r="L1158" s="250"/>
      <c r="M1158" s="250"/>
      <c r="N1158" s="553" t="str">
        <f>CONCATENATE(IF(OR(M1158=phu!$I$1,M1158=phu!$I$2,M1158=phu!$I$3),"Cam Thành Nam",""),IF(OR(M1158=phu!$I$4,M1158=phu!$I$5,M1158=phu!$I$6,M1158=phu!$I$7,M1158=phu!$I$8,M1158=phu!$I$9,M1158=phu!$I$10,M1158=phu!$I$11,M1158=phu!$I$12,M1158=phu!$I$13,M1158=phu!$I$14),"Cam Nghĩa",""),IF(OR(M1158=phu!$I$15,M1158=phu!$I$16,M1158=phu!$I$17,M1158=phu!$I$18,M1158=phu!$I$19,M1158=phu!$I$20,M1158=phu!$I$21),"Cam Phúc Bắc",""),IF(OR(M1158=phu!$I$22,M1158=phu!$I$23,M1158=phu!$I$24,M1158=phu!$I$25),"Cam Phúc Nam",""),IF(OR(M1158=phu!$I$26,M1158=phu!$I$27,M1158=phu!$I$28,M1158=phu!$I$29,M1158=phu!$I$30,M1158=phu!$I$31),"Cam Phú",""),IF(OR(M1158=phu!$I$32,M1158=phu!$I$33,M1158=phu!$I$34,M1158=phu!$I$35,M1158=phu!$I$36,M1158=phu!$I$37),"Cam Lộc",""),IF(OR(M1158=phu!$I$38,M1158=phu!$I$39,M1158=phu!$I$40,M1158=phu!$I$41,M1158=phu!$I$42,M1158=phu!$I$43,M1158=phu!$I$44),"Cam Thuận",""),IF(OR(M1158=phu!$I$45,M1158=phu!$I$46,M1158=phu!$I$47,M1158=phu!$I$48,M1158=phu!$I$49,M1158=phu!$I$50,M1158=phu!$I$51,M1158=phu!$I$52,M1158=phu!$I$53),"Cam Linh",""),IF(OR(M1158=phu!$I$54,M1158=phu!$I$55,M1158=phu!$I$56,M1158=phu!$I$57,M1158=phu!$I$58,M1158=phu!$I$59,M1158=phu!$I$60,M1158=phu!$I$61,M1158=phu!$I$62),"Cam Lợi",""),IF(OR(M1158=phu!$I$63,M1158=phu!$I$64,M1158=phu!$I$65,M1158=phu!$I$66,M1158=phu!$I$67,M1158=phu!$I$68,M1158=phu!$I$69,M1158=phu!$I$70,M1158=phu!$I$71),"Ba Ngòi",""),IF(OR(M1158=phu!$I$72,M1158=phu!$I$73,M1158=phu!$I$74,M1158=phu!$I$75,M1158=phu!$I$76,M1158=phu!$I$77,M1158=phu!$I$78),"Cam Phước Đông",""),IF(OR(M1158=phu!$I$79,M1158=phu!$I$80,M1158=phu!$I$81,M1158=phu!$I$82,M1158=phu!$I$83,M1158=phu!$I$84),"Cam Thịnh Đông",""),IF(OR(M1158=phu!$I$85,M1158=phu!$I$86,M1158=phu!$I$87,M1158=phu!$I$88),"Cam Thịnh Tây",""),IF(OR(M1158=phu!$I$89,M1158=phu!$I$90),"Cam Lập",""),IF(OR(M1158=phu!$I$91,M1158=phu!$I$92,M1158=phu!$I$93),"Cam Bình",""),IF(OR(M1158=phu!$I$94,M1158=phu!$I$95,M1158=phu!$I$96,M1158=phu!$I$97,M1158=phu!$I$98,M1158=phu!$I$99,M1158=phu!$I$100),"Huyện khác",""),IF(OR(M1158=phu!$I$101,M1158=phu!$I$102),"Tỉnh khác",""))</f>
        <v/>
      </c>
      <c r="O1158" s="814" t="str">
        <f t="shared" si="103"/>
        <v/>
      </c>
      <c r="P1158" s="254"/>
      <c r="Q1158" s="254"/>
      <c r="R1158" s="254"/>
      <c r="S1158" s="254"/>
      <c r="T1158" s="254"/>
      <c r="U1158" s="254"/>
      <c r="V1158" s="254"/>
      <c r="W1158" s="254"/>
      <c r="Y1158" s="246" t="str">
        <f t="shared" si="104"/>
        <v/>
      </c>
      <c r="Z1158" s="247" t="str">
        <f t="shared" ref="Z1158:Z1221" si="108">IF(H1158="","",$Z$1-H1158)</f>
        <v/>
      </c>
      <c r="AA1158" s="246" t="str">
        <f t="shared" si="105"/>
        <v/>
      </c>
    </row>
    <row r="1159" spans="1:27" x14ac:dyDescent="0.25">
      <c r="A1159" s="248" t="str">
        <f t="shared" si="106"/>
        <v/>
      </c>
      <c r="B1159" s="249" t="str">
        <f t="shared" si="107"/>
        <v/>
      </c>
      <c r="C1159" s="250"/>
      <c r="D1159" s="251"/>
      <c r="E1159" s="241"/>
      <c r="F1159" s="252"/>
      <c r="G1159" s="252"/>
      <c r="H1159" s="253"/>
      <c r="I1159" s="250"/>
      <c r="J1159" s="250"/>
      <c r="K1159" s="270"/>
      <c r="L1159" s="250"/>
      <c r="M1159" s="250"/>
      <c r="N1159" s="553" t="str">
        <f>CONCATENATE(IF(OR(M1159=phu!$I$1,M1159=phu!$I$2,M1159=phu!$I$3),"Cam Thành Nam",""),IF(OR(M1159=phu!$I$4,M1159=phu!$I$5,M1159=phu!$I$6,M1159=phu!$I$7,M1159=phu!$I$8,M1159=phu!$I$9,M1159=phu!$I$10,M1159=phu!$I$11,M1159=phu!$I$12,M1159=phu!$I$13,M1159=phu!$I$14),"Cam Nghĩa",""),IF(OR(M1159=phu!$I$15,M1159=phu!$I$16,M1159=phu!$I$17,M1159=phu!$I$18,M1159=phu!$I$19,M1159=phu!$I$20,M1159=phu!$I$21),"Cam Phúc Bắc",""),IF(OR(M1159=phu!$I$22,M1159=phu!$I$23,M1159=phu!$I$24,M1159=phu!$I$25),"Cam Phúc Nam",""),IF(OR(M1159=phu!$I$26,M1159=phu!$I$27,M1159=phu!$I$28,M1159=phu!$I$29,M1159=phu!$I$30,M1159=phu!$I$31),"Cam Phú",""),IF(OR(M1159=phu!$I$32,M1159=phu!$I$33,M1159=phu!$I$34,M1159=phu!$I$35,M1159=phu!$I$36,M1159=phu!$I$37),"Cam Lộc",""),IF(OR(M1159=phu!$I$38,M1159=phu!$I$39,M1159=phu!$I$40,M1159=phu!$I$41,M1159=phu!$I$42,M1159=phu!$I$43,M1159=phu!$I$44),"Cam Thuận",""),IF(OR(M1159=phu!$I$45,M1159=phu!$I$46,M1159=phu!$I$47,M1159=phu!$I$48,M1159=phu!$I$49,M1159=phu!$I$50,M1159=phu!$I$51,M1159=phu!$I$52,M1159=phu!$I$53),"Cam Linh",""),IF(OR(M1159=phu!$I$54,M1159=phu!$I$55,M1159=phu!$I$56,M1159=phu!$I$57,M1159=phu!$I$58,M1159=phu!$I$59,M1159=phu!$I$60,M1159=phu!$I$61,M1159=phu!$I$62),"Cam Lợi",""),IF(OR(M1159=phu!$I$63,M1159=phu!$I$64,M1159=phu!$I$65,M1159=phu!$I$66,M1159=phu!$I$67,M1159=phu!$I$68,M1159=phu!$I$69,M1159=phu!$I$70,M1159=phu!$I$71),"Ba Ngòi",""),IF(OR(M1159=phu!$I$72,M1159=phu!$I$73,M1159=phu!$I$74,M1159=phu!$I$75,M1159=phu!$I$76,M1159=phu!$I$77,M1159=phu!$I$78),"Cam Phước Đông",""),IF(OR(M1159=phu!$I$79,M1159=phu!$I$80,M1159=phu!$I$81,M1159=phu!$I$82,M1159=phu!$I$83,M1159=phu!$I$84),"Cam Thịnh Đông",""),IF(OR(M1159=phu!$I$85,M1159=phu!$I$86,M1159=phu!$I$87,M1159=phu!$I$88),"Cam Thịnh Tây",""),IF(OR(M1159=phu!$I$89,M1159=phu!$I$90),"Cam Lập",""),IF(OR(M1159=phu!$I$91,M1159=phu!$I$92,M1159=phu!$I$93),"Cam Bình",""),IF(OR(M1159=phu!$I$94,M1159=phu!$I$95,M1159=phu!$I$96,M1159=phu!$I$97,M1159=phu!$I$98,M1159=phu!$I$99,M1159=phu!$I$100),"Huyện khác",""),IF(OR(M1159=phu!$I$101,M1159=phu!$I$102),"Tỉnh khác",""))</f>
        <v/>
      </c>
      <c r="O1159" s="814" t="str">
        <f t="shared" ref="O1159:O1222" si="109">CONCATENATE(IF(OR(N1159="Cam Thành Nam",N1159="Cam Nghĩa",N1159="Cam Phúc Bắc"),"Bắc Cam Ranh",""),IF(OR(N1159="Cam Phúc Nam",N1159="Cam Phú",N1159="Cam Lộc"),"Cam Ranh",""),IF(OR(N1159="Cam Thuận",N1159="Cam Linh",N1159="Cam Lợi"),"Cam Linh",""),IF(OR(N1159="Ba Ngòi",N1159="Cam Phước Đông"),"Ba Ngòi",""),IF(OR(N1159="Cam Thịnh Đông",N1159="Cam Thịnh Tây",N1159="Cam Lập",N1159="Cam Bình"),"Nam Cam Ranh",""),IF(N1159="Huyện khác","Huyện khác",""),IF(N1159="Tỉnh khác","Tỉnh khác",""))</f>
        <v/>
      </c>
      <c r="P1159" s="254"/>
      <c r="Q1159" s="254"/>
      <c r="R1159" s="254"/>
      <c r="S1159" s="254"/>
      <c r="T1159" s="254"/>
      <c r="U1159" s="254"/>
      <c r="V1159" s="254"/>
      <c r="W1159" s="254"/>
      <c r="Y1159" s="246" t="str">
        <f t="shared" ref="Y1159:Y1222" si="110">IF(OR(AND(B1159="",C1159="",D1159="",E1159="",F1159="",G1159="",H1159="",I1159="",J1159="",L1159="",M1159="",N1159="",P1159="",Q1159="",R1159="",S1159=""),AND(B1159&lt;&gt;"",C1159&lt;&gt;"",D1159&lt;&gt;"",E1159&lt;&gt;"",F1159&lt;&gt;"",G1159&lt;&gt;"",H1159&lt;&gt;"",J1159&lt;&gt;"",M1159&lt;&gt;"",N1159&lt;&gt;"",P1159&lt;&gt;"",OR(AND(Q1159&lt;&gt;"",R1159=""),AND(Q1159="",R1159&lt;&gt;""),AND(Q1159&lt;&gt;"",R1159&lt;&gt;"")),OR(AND(K1159="X",T1159&lt;&gt;""),AND(K1159="",T1159="")))),"","er")</f>
        <v/>
      </c>
      <c r="Z1159" s="247" t="str">
        <f t="shared" si="108"/>
        <v/>
      </c>
      <c r="AA1159" s="246" t="str">
        <f t="shared" ref="AA1159:AA1222" si="111">IF(OR(AND(Z1159=5,B1159&gt;0),AND(Z1159=6,B1159&gt;1),AND(Z1159=7,B1159&gt;2),AND(Z1159=8,B1159&gt;3),AND(Z1159=9,B1159&gt;4),AND(Z1159=10,B1159&gt;5),AND(Z1159=5,B1159=0,L1159="X"),AND(Z1159=6,B1159=1,L1159="X"),AND(Z1159=7,B1159=2,L1159="X"),AND(Z1159=8,B1159=3,L1159="X"),AND(Z1159=9,B1159=4,L1159="X"),AND(Z1159=10,B1159=5,L1159="X")),"er","")</f>
        <v/>
      </c>
    </row>
    <row r="1160" spans="1:27" x14ac:dyDescent="0.25">
      <c r="A1160" s="248" t="str">
        <f t="shared" ref="A1160:A1223" si="112">IF(OR(A1159="",B1160="",C1160="",D1160="",E1160=""),"",A1159+1)</f>
        <v/>
      </c>
      <c r="B1160" s="249" t="str">
        <f t="shared" ref="B1160:B1223" si="113">IF(C1160="","",VALUE(LEFT(C1160,1)))</f>
        <v/>
      </c>
      <c r="C1160" s="250"/>
      <c r="D1160" s="251"/>
      <c r="E1160" s="241"/>
      <c r="F1160" s="252"/>
      <c r="G1160" s="252"/>
      <c r="H1160" s="253"/>
      <c r="I1160" s="250"/>
      <c r="J1160" s="250"/>
      <c r="K1160" s="270"/>
      <c r="L1160" s="250"/>
      <c r="M1160" s="250"/>
      <c r="N1160" s="553" t="str">
        <f>CONCATENATE(IF(OR(M1160=phu!$I$1,M1160=phu!$I$2,M1160=phu!$I$3),"Cam Thành Nam",""),IF(OR(M1160=phu!$I$4,M1160=phu!$I$5,M1160=phu!$I$6,M1160=phu!$I$7,M1160=phu!$I$8,M1160=phu!$I$9,M1160=phu!$I$10,M1160=phu!$I$11,M1160=phu!$I$12,M1160=phu!$I$13,M1160=phu!$I$14),"Cam Nghĩa",""),IF(OR(M1160=phu!$I$15,M1160=phu!$I$16,M1160=phu!$I$17,M1160=phu!$I$18,M1160=phu!$I$19,M1160=phu!$I$20,M1160=phu!$I$21),"Cam Phúc Bắc",""),IF(OR(M1160=phu!$I$22,M1160=phu!$I$23,M1160=phu!$I$24,M1160=phu!$I$25),"Cam Phúc Nam",""),IF(OR(M1160=phu!$I$26,M1160=phu!$I$27,M1160=phu!$I$28,M1160=phu!$I$29,M1160=phu!$I$30,M1160=phu!$I$31),"Cam Phú",""),IF(OR(M1160=phu!$I$32,M1160=phu!$I$33,M1160=phu!$I$34,M1160=phu!$I$35,M1160=phu!$I$36,M1160=phu!$I$37),"Cam Lộc",""),IF(OR(M1160=phu!$I$38,M1160=phu!$I$39,M1160=phu!$I$40,M1160=phu!$I$41,M1160=phu!$I$42,M1160=phu!$I$43,M1160=phu!$I$44),"Cam Thuận",""),IF(OR(M1160=phu!$I$45,M1160=phu!$I$46,M1160=phu!$I$47,M1160=phu!$I$48,M1160=phu!$I$49,M1160=phu!$I$50,M1160=phu!$I$51,M1160=phu!$I$52,M1160=phu!$I$53),"Cam Linh",""),IF(OR(M1160=phu!$I$54,M1160=phu!$I$55,M1160=phu!$I$56,M1160=phu!$I$57,M1160=phu!$I$58,M1160=phu!$I$59,M1160=phu!$I$60,M1160=phu!$I$61,M1160=phu!$I$62),"Cam Lợi",""),IF(OR(M1160=phu!$I$63,M1160=phu!$I$64,M1160=phu!$I$65,M1160=phu!$I$66,M1160=phu!$I$67,M1160=phu!$I$68,M1160=phu!$I$69,M1160=phu!$I$70,M1160=phu!$I$71),"Ba Ngòi",""),IF(OR(M1160=phu!$I$72,M1160=phu!$I$73,M1160=phu!$I$74,M1160=phu!$I$75,M1160=phu!$I$76,M1160=phu!$I$77,M1160=phu!$I$78),"Cam Phước Đông",""),IF(OR(M1160=phu!$I$79,M1160=phu!$I$80,M1160=phu!$I$81,M1160=phu!$I$82,M1160=phu!$I$83,M1160=phu!$I$84),"Cam Thịnh Đông",""),IF(OR(M1160=phu!$I$85,M1160=phu!$I$86,M1160=phu!$I$87,M1160=phu!$I$88),"Cam Thịnh Tây",""),IF(OR(M1160=phu!$I$89,M1160=phu!$I$90),"Cam Lập",""),IF(OR(M1160=phu!$I$91,M1160=phu!$I$92,M1160=phu!$I$93),"Cam Bình",""),IF(OR(M1160=phu!$I$94,M1160=phu!$I$95,M1160=phu!$I$96,M1160=phu!$I$97,M1160=phu!$I$98,M1160=phu!$I$99,M1160=phu!$I$100),"Huyện khác",""),IF(OR(M1160=phu!$I$101,M1160=phu!$I$102),"Tỉnh khác",""))</f>
        <v/>
      </c>
      <c r="O1160" s="814" t="str">
        <f t="shared" si="109"/>
        <v/>
      </c>
      <c r="P1160" s="254"/>
      <c r="Q1160" s="254"/>
      <c r="R1160" s="254"/>
      <c r="S1160" s="254"/>
      <c r="T1160" s="254"/>
      <c r="U1160" s="254"/>
      <c r="V1160" s="254"/>
      <c r="W1160" s="254"/>
      <c r="Y1160" s="246" t="str">
        <f t="shared" si="110"/>
        <v/>
      </c>
      <c r="Z1160" s="247" t="str">
        <f t="shared" si="108"/>
        <v/>
      </c>
      <c r="AA1160" s="246" t="str">
        <f t="shared" si="111"/>
        <v/>
      </c>
    </row>
    <row r="1161" spans="1:27" x14ac:dyDescent="0.25">
      <c r="A1161" s="248" t="str">
        <f t="shared" si="112"/>
        <v/>
      </c>
      <c r="B1161" s="249" t="str">
        <f t="shared" si="113"/>
        <v/>
      </c>
      <c r="C1161" s="250"/>
      <c r="D1161" s="251"/>
      <c r="E1161" s="241"/>
      <c r="F1161" s="252"/>
      <c r="G1161" s="252"/>
      <c r="H1161" s="253"/>
      <c r="I1161" s="250"/>
      <c r="J1161" s="250"/>
      <c r="K1161" s="270"/>
      <c r="L1161" s="250"/>
      <c r="M1161" s="250"/>
      <c r="N1161" s="553" t="str">
        <f>CONCATENATE(IF(OR(M1161=phu!$I$1,M1161=phu!$I$2,M1161=phu!$I$3),"Cam Thành Nam",""),IF(OR(M1161=phu!$I$4,M1161=phu!$I$5,M1161=phu!$I$6,M1161=phu!$I$7,M1161=phu!$I$8,M1161=phu!$I$9,M1161=phu!$I$10,M1161=phu!$I$11,M1161=phu!$I$12,M1161=phu!$I$13,M1161=phu!$I$14),"Cam Nghĩa",""),IF(OR(M1161=phu!$I$15,M1161=phu!$I$16,M1161=phu!$I$17,M1161=phu!$I$18,M1161=phu!$I$19,M1161=phu!$I$20,M1161=phu!$I$21),"Cam Phúc Bắc",""),IF(OR(M1161=phu!$I$22,M1161=phu!$I$23,M1161=phu!$I$24,M1161=phu!$I$25),"Cam Phúc Nam",""),IF(OR(M1161=phu!$I$26,M1161=phu!$I$27,M1161=phu!$I$28,M1161=phu!$I$29,M1161=phu!$I$30,M1161=phu!$I$31),"Cam Phú",""),IF(OR(M1161=phu!$I$32,M1161=phu!$I$33,M1161=phu!$I$34,M1161=phu!$I$35,M1161=phu!$I$36,M1161=phu!$I$37),"Cam Lộc",""),IF(OR(M1161=phu!$I$38,M1161=phu!$I$39,M1161=phu!$I$40,M1161=phu!$I$41,M1161=phu!$I$42,M1161=phu!$I$43,M1161=phu!$I$44),"Cam Thuận",""),IF(OR(M1161=phu!$I$45,M1161=phu!$I$46,M1161=phu!$I$47,M1161=phu!$I$48,M1161=phu!$I$49,M1161=phu!$I$50,M1161=phu!$I$51,M1161=phu!$I$52,M1161=phu!$I$53),"Cam Linh",""),IF(OR(M1161=phu!$I$54,M1161=phu!$I$55,M1161=phu!$I$56,M1161=phu!$I$57,M1161=phu!$I$58,M1161=phu!$I$59,M1161=phu!$I$60,M1161=phu!$I$61,M1161=phu!$I$62),"Cam Lợi",""),IF(OR(M1161=phu!$I$63,M1161=phu!$I$64,M1161=phu!$I$65,M1161=phu!$I$66,M1161=phu!$I$67,M1161=phu!$I$68,M1161=phu!$I$69,M1161=phu!$I$70,M1161=phu!$I$71),"Ba Ngòi",""),IF(OR(M1161=phu!$I$72,M1161=phu!$I$73,M1161=phu!$I$74,M1161=phu!$I$75,M1161=phu!$I$76,M1161=phu!$I$77,M1161=phu!$I$78),"Cam Phước Đông",""),IF(OR(M1161=phu!$I$79,M1161=phu!$I$80,M1161=phu!$I$81,M1161=phu!$I$82,M1161=phu!$I$83,M1161=phu!$I$84),"Cam Thịnh Đông",""),IF(OR(M1161=phu!$I$85,M1161=phu!$I$86,M1161=phu!$I$87,M1161=phu!$I$88),"Cam Thịnh Tây",""),IF(OR(M1161=phu!$I$89,M1161=phu!$I$90),"Cam Lập",""),IF(OR(M1161=phu!$I$91,M1161=phu!$I$92,M1161=phu!$I$93),"Cam Bình",""),IF(OR(M1161=phu!$I$94,M1161=phu!$I$95,M1161=phu!$I$96,M1161=phu!$I$97,M1161=phu!$I$98,M1161=phu!$I$99,M1161=phu!$I$100),"Huyện khác",""),IF(OR(M1161=phu!$I$101,M1161=phu!$I$102),"Tỉnh khác",""))</f>
        <v/>
      </c>
      <c r="O1161" s="814" t="str">
        <f t="shared" si="109"/>
        <v/>
      </c>
      <c r="P1161" s="254"/>
      <c r="Q1161" s="254"/>
      <c r="R1161" s="254"/>
      <c r="S1161" s="254"/>
      <c r="T1161" s="254"/>
      <c r="U1161" s="254"/>
      <c r="V1161" s="254"/>
      <c r="W1161" s="254"/>
      <c r="Y1161" s="246" t="str">
        <f t="shared" si="110"/>
        <v/>
      </c>
      <c r="Z1161" s="247" t="str">
        <f t="shared" si="108"/>
        <v/>
      </c>
      <c r="AA1161" s="246" t="str">
        <f t="shared" si="111"/>
        <v/>
      </c>
    </row>
    <row r="1162" spans="1:27" x14ac:dyDescent="0.25">
      <c r="A1162" s="248" t="str">
        <f t="shared" si="112"/>
        <v/>
      </c>
      <c r="B1162" s="249" t="str">
        <f t="shared" si="113"/>
        <v/>
      </c>
      <c r="C1162" s="250"/>
      <c r="D1162" s="251"/>
      <c r="E1162" s="241"/>
      <c r="F1162" s="252"/>
      <c r="G1162" s="252"/>
      <c r="H1162" s="253"/>
      <c r="I1162" s="250"/>
      <c r="J1162" s="250"/>
      <c r="K1162" s="270"/>
      <c r="L1162" s="250"/>
      <c r="M1162" s="250"/>
      <c r="N1162" s="553" t="str">
        <f>CONCATENATE(IF(OR(M1162=phu!$I$1,M1162=phu!$I$2,M1162=phu!$I$3),"Cam Thành Nam",""),IF(OR(M1162=phu!$I$4,M1162=phu!$I$5,M1162=phu!$I$6,M1162=phu!$I$7,M1162=phu!$I$8,M1162=phu!$I$9,M1162=phu!$I$10,M1162=phu!$I$11,M1162=phu!$I$12,M1162=phu!$I$13,M1162=phu!$I$14),"Cam Nghĩa",""),IF(OR(M1162=phu!$I$15,M1162=phu!$I$16,M1162=phu!$I$17,M1162=phu!$I$18,M1162=phu!$I$19,M1162=phu!$I$20,M1162=phu!$I$21),"Cam Phúc Bắc",""),IF(OR(M1162=phu!$I$22,M1162=phu!$I$23,M1162=phu!$I$24,M1162=phu!$I$25),"Cam Phúc Nam",""),IF(OR(M1162=phu!$I$26,M1162=phu!$I$27,M1162=phu!$I$28,M1162=phu!$I$29,M1162=phu!$I$30,M1162=phu!$I$31),"Cam Phú",""),IF(OR(M1162=phu!$I$32,M1162=phu!$I$33,M1162=phu!$I$34,M1162=phu!$I$35,M1162=phu!$I$36,M1162=phu!$I$37),"Cam Lộc",""),IF(OR(M1162=phu!$I$38,M1162=phu!$I$39,M1162=phu!$I$40,M1162=phu!$I$41,M1162=phu!$I$42,M1162=phu!$I$43,M1162=phu!$I$44),"Cam Thuận",""),IF(OR(M1162=phu!$I$45,M1162=phu!$I$46,M1162=phu!$I$47,M1162=phu!$I$48,M1162=phu!$I$49,M1162=phu!$I$50,M1162=phu!$I$51,M1162=phu!$I$52,M1162=phu!$I$53),"Cam Linh",""),IF(OR(M1162=phu!$I$54,M1162=phu!$I$55,M1162=phu!$I$56,M1162=phu!$I$57,M1162=phu!$I$58,M1162=phu!$I$59,M1162=phu!$I$60,M1162=phu!$I$61,M1162=phu!$I$62),"Cam Lợi",""),IF(OR(M1162=phu!$I$63,M1162=phu!$I$64,M1162=phu!$I$65,M1162=phu!$I$66,M1162=phu!$I$67,M1162=phu!$I$68,M1162=phu!$I$69,M1162=phu!$I$70,M1162=phu!$I$71),"Ba Ngòi",""),IF(OR(M1162=phu!$I$72,M1162=phu!$I$73,M1162=phu!$I$74,M1162=phu!$I$75,M1162=phu!$I$76,M1162=phu!$I$77,M1162=phu!$I$78),"Cam Phước Đông",""),IF(OR(M1162=phu!$I$79,M1162=phu!$I$80,M1162=phu!$I$81,M1162=phu!$I$82,M1162=phu!$I$83,M1162=phu!$I$84),"Cam Thịnh Đông",""),IF(OR(M1162=phu!$I$85,M1162=phu!$I$86,M1162=phu!$I$87,M1162=phu!$I$88),"Cam Thịnh Tây",""),IF(OR(M1162=phu!$I$89,M1162=phu!$I$90),"Cam Lập",""),IF(OR(M1162=phu!$I$91,M1162=phu!$I$92,M1162=phu!$I$93),"Cam Bình",""),IF(OR(M1162=phu!$I$94,M1162=phu!$I$95,M1162=phu!$I$96,M1162=phu!$I$97,M1162=phu!$I$98,M1162=phu!$I$99,M1162=phu!$I$100),"Huyện khác",""),IF(OR(M1162=phu!$I$101,M1162=phu!$I$102),"Tỉnh khác",""))</f>
        <v/>
      </c>
      <c r="O1162" s="814" t="str">
        <f t="shared" si="109"/>
        <v/>
      </c>
      <c r="P1162" s="254"/>
      <c r="Q1162" s="254"/>
      <c r="R1162" s="254"/>
      <c r="S1162" s="254"/>
      <c r="T1162" s="254"/>
      <c r="U1162" s="254"/>
      <c r="V1162" s="254"/>
      <c r="W1162" s="254"/>
      <c r="Y1162" s="246" t="str">
        <f t="shared" si="110"/>
        <v/>
      </c>
      <c r="Z1162" s="247" t="str">
        <f t="shared" si="108"/>
        <v/>
      </c>
      <c r="AA1162" s="246" t="str">
        <f t="shared" si="111"/>
        <v/>
      </c>
    </row>
    <row r="1163" spans="1:27" x14ac:dyDescent="0.25">
      <c r="A1163" s="248" t="str">
        <f t="shared" si="112"/>
        <v/>
      </c>
      <c r="B1163" s="249" t="str">
        <f t="shared" si="113"/>
        <v/>
      </c>
      <c r="C1163" s="250"/>
      <c r="D1163" s="251"/>
      <c r="E1163" s="241"/>
      <c r="F1163" s="252"/>
      <c r="G1163" s="252"/>
      <c r="H1163" s="253"/>
      <c r="I1163" s="250"/>
      <c r="J1163" s="250"/>
      <c r="K1163" s="270"/>
      <c r="L1163" s="250"/>
      <c r="M1163" s="250"/>
      <c r="N1163" s="553" t="str">
        <f>CONCATENATE(IF(OR(M1163=phu!$I$1,M1163=phu!$I$2,M1163=phu!$I$3),"Cam Thành Nam",""),IF(OR(M1163=phu!$I$4,M1163=phu!$I$5,M1163=phu!$I$6,M1163=phu!$I$7,M1163=phu!$I$8,M1163=phu!$I$9,M1163=phu!$I$10,M1163=phu!$I$11,M1163=phu!$I$12,M1163=phu!$I$13,M1163=phu!$I$14),"Cam Nghĩa",""),IF(OR(M1163=phu!$I$15,M1163=phu!$I$16,M1163=phu!$I$17,M1163=phu!$I$18,M1163=phu!$I$19,M1163=phu!$I$20,M1163=phu!$I$21),"Cam Phúc Bắc",""),IF(OR(M1163=phu!$I$22,M1163=phu!$I$23,M1163=phu!$I$24,M1163=phu!$I$25),"Cam Phúc Nam",""),IF(OR(M1163=phu!$I$26,M1163=phu!$I$27,M1163=phu!$I$28,M1163=phu!$I$29,M1163=phu!$I$30,M1163=phu!$I$31),"Cam Phú",""),IF(OR(M1163=phu!$I$32,M1163=phu!$I$33,M1163=phu!$I$34,M1163=phu!$I$35,M1163=phu!$I$36,M1163=phu!$I$37),"Cam Lộc",""),IF(OR(M1163=phu!$I$38,M1163=phu!$I$39,M1163=phu!$I$40,M1163=phu!$I$41,M1163=phu!$I$42,M1163=phu!$I$43,M1163=phu!$I$44),"Cam Thuận",""),IF(OR(M1163=phu!$I$45,M1163=phu!$I$46,M1163=phu!$I$47,M1163=phu!$I$48,M1163=phu!$I$49,M1163=phu!$I$50,M1163=phu!$I$51,M1163=phu!$I$52,M1163=phu!$I$53),"Cam Linh",""),IF(OR(M1163=phu!$I$54,M1163=phu!$I$55,M1163=phu!$I$56,M1163=phu!$I$57,M1163=phu!$I$58,M1163=phu!$I$59,M1163=phu!$I$60,M1163=phu!$I$61,M1163=phu!$I$62),"Cam Lợi",""),IF(OR(M1163=phu!$I$63,M1163=phu!$I$64,M1163=phu!$I$65,M1163=phu!$I$66,M1163=phu!$I$67,M1163=phu!$I$68,M1163=phu!$I$69,M1163=phu!$I$70,M1163=phu!$I$71),"Ba Ngòi",""),IF(OR(M1163=phu!$I$72,M1163=phu!$I$73,M1163=phu!$I$74,M1163=phu!$I$75,M1163=phu!$I$76,M1163=phu!$I$77,M1163=phu!$I$78),"Cam Phước Đông",""),IF(OR(M1163=phu!$I$79,M1163=phu!$I$80,M1163=phu!$I$81,M1163=phu!$I$82,M1163=phu!$I$83,M1163=phu!$I$84),"Cam Thịnh Đông",""),IF(OR(M1163=phu!$I$85,M1163=phu!$I$86,M1163=phu!$I$87,M1163=phu!$I$88),"Cam Thịnh Tây",""),IF(OR(M1163=phu!$I$89,M1163=phu!$I$90),"Cam Lập",""),IF(OR(M1163=phu!$I$91,M1163=phu!$I$92,M1163=phu!$I$93),"Cam Bình",""),IF(OR(M1163=phu!$I$94,M1163=phu!$I$95,M1163=phu!$I$96,M1163=phu!$I$97,M1163=phu!$I$98,M1163=phu!$I$99,M1163=phu!$I$100),"Huyện khác",""),IF(OR(M1163=phu!$I$101,M1163=phu!$I$102),"Tỉnh khác",""))</f>
        <v/>
      </c>
      <c r="O1163" s="814" t="str">
        <f t="shared" si="109"/>
        <v/>
      </c>
      <c r="P1163" s="254"/>
      <c r="Q1163" s="254"/>
      <c r="R1163" s="254"/>
      <c r="S1163" s="254"/>
      <c r="T1163" s="254"/>
      <c r="U1163" s="254"/>
      <c r="V1163" s="254"/>
      <c r="W1163" s="254"/>
      <c r="Y1163" s="246" t="str">
        <f t="shared" si="110"/>
        <v/>
      </c>
      <c r="Z1163" s="247" t="str">
        <f t="shared" si="108"/>
        <v/>
      </c>
      <c r="AA1163" s="246" t="str">
        <f t="shared" si="111"/>
        <v/>
      </c>
    </row>
    <row r="1164" spans="1:27" x14ac:dyDescent="0.25">
      <c r="A1164" s="248" t="str">
        <f t="shared" si="112"/>
        <v/>
      </c>
      <c r="B1164" s="249" t="str">
        <f t="shared" si="113"/>
        <v/>
      </c>
      <c r="C1164" s="250"/>
      <c r="D1164" s="251"/>
      <c r="E1164" s="241"/>
      <c r="F1164" s="252"/>
      <c r="G1164" s="252"/>
      <c r="H1164" s="253"/>
      <c r="I1164" s="250"/>
      <c r="J1164" s="250"/>
      <c r="K1164" s="270"/>
      <c r="L1164" s="250"/>
      <c r="M1164" s="250"/>
      <c r="N1164" s="553" t="str">
        <f>CONCATENATE(IF(OR(M1164=phu!$I$1,M1164=phu!$I$2,M1164=phu!$I$3),"Cam Thành Nam",""),IF(OR(M1164=phu!$I$4,M1164=phu!$I$5,M1164=phu!$I$6,M1164=phu!$I$7,M1164=phu!$I$8,M1164=phu!$I$9,M1164=phu!$I$10,M1164=phu!$I$11,M1164=phu!$I$12,M1164=phu!$I$13,M1164=phu!$I$14),"Cam Nghĩa",""),IF(OR(M1164=phu!$I$15,M1164=phu!$I$16,M1164=phu!$I$17,M1164=phu!$I$18,M1164=phu!$I$19,M1164=phu!$I$20,M1164=phu!$I$21),"Cam Phúc Bắc",""),IF(OR(M1164=phu!$I$22,M1164=phu!$I$23,M1164=phu!$I$24,M1164=phu!$I$25),"Cam Phúc Nam",""),IF(OR(M1164=phu!$I$26,M1164=phu!$I$27,M1164=phu!$I$28,M1164=phu!$I$29,M1164=phu!$I$30,M1164=phu!$I$31),"Cam Phú",""),IF(OR(M1164=phu!$I$32,M1164=phu!$I$33,M1164=phu!$I$34,M1164=phu!$I$35,M1164=phu!$I$36,M1164=phu!$I$37),"Cam Lộc",""),IF(OR(M1164=phu!$I$38,M1164=phu!$I$39,M1164=phu!$I$40,M1164=phu!$I$41,M1164=phu!$I$42,M1164=phu!$I$43,M1164=phu!$I$44),"Cam Thuận",""),IF(OR(M1164=phu!$I$45,M1164=phu!$I$46,M1164=phu!$I$47,M1164=phu!$I$48,M1164=phu!$I$49,M1164=phu!$I$50,M1164=phu!$I$51,M1164=phu!$I$52,M1164=phu!$I$53),"Cam Linh",""),IF(OR(M1164=phu!$I$54,M1164=phu!$I$55,M1164=phu!$I$56,M1164=phu!$I$57,M1164=phu!$I$58,M1164=phu!$I$59,M1164=phu!$I$60,M1164=phu!$I$61,M1164=phu!$I$62),"Cam Lợi",""),IF(OR(M1164=phu!$I$63,M1164=phu!$I$64,M1164=phu!$I$65,M1164=phu!$I$66,M1164=phu!$I$67,M1164=phu!$I$68,M1164=phu!$I$69,M1164=phu!$I$70,M1164=phu!$I$71),"Ba Ngòi",""),IF(OR(M1164=phu!$I$72,M1164=phu!$I$73,M1164=phu!$I$74,M1164=phu!$I$75,M1164=phu!$I$76,M1164=phu!$I$77,M1164=phu!$I$78),"Cam Phước Đông",""),IF(OR(M1164=phu!$I$79,M1164=phu!$I$80,M1164=phu!$I$81,M1164=phu!$I$82,M1164=phu!$I$83,M1164=phu!$I$84),"Cam Thịnh Đông",""),IF(OR(M1164=phu!$I$85,M1164=phu!$I$86,M1164=phu!$I$87,M1164=phu!$I$88),"Cam Thịnh Tây",""),IF(OR(M1164=phu!$I$89,M1164=phu!$I$90),"Cam Lập",""),IF(OR(M1164=phu!$I$91,M1164=phu!$I$92,M1164=phu!$I$93),"Cam Bình",""),IF(OR(M1164=phu!$I$94,M1164=phu!$I$95,M1164=phu!$I$96,M1164=phu!$I$97,M1164=phu!$I$98,M1164=phu!$I$99,M1164=phu!$I$100),"Huyện khác",""),IF(OR(M1164=phu!$I$101,M1164=phu!$I$102),"Tỉnh khác",""))</f>
        <v/>
      </c>
      <c r="O1164" s="814" t="str">
        <f t="shared" si="109"/>
        <v/>
      </c>
      <c r="P1164" s="254"/>
      <c r="Q1164" s="254"/>
      <c r="R1164" s="254"/>
      <c r="S1164" s="254"/>
      <c r="T1164" s="254"/>
      <c r="U1164" s="254"/>
      <c r="V1164" s="254"/>
      <c r="W1164" s="254"/>
      <c r="Y1164" s="246" t="str">
        <f t="shared" si="110"/>
        <v/>
      </c>
      <c r="Z1164" s="247" t="str">
        <f t="shared" si="108"/>
        <v/>
      </c>
      <c r="AA1164" s="246" t="str">
        <f t="shared" si="111"/>
        <v/>
      </c>
    </row>
    <row r="1165" spans="1:27" x14ac:dyDescent="0.25">
      <c r="A1165" s="248" t="str">
        <f t="shared" si="112"/>
        <v/>
      </c>
      <c r="B1165" s="249" t="str">
        <f t="shared" si="113"/>
        <v/>
      </c>
      <c r="C1165" s="250"/>
      <c r="D1165" s="251"/>
      <c r="E1165" s="241"/>
      <c r="F1165" s="252"/>
      <c r="G1165" s="252"/>
      <c r="H1165" s="253"/>
      <c r="I1165" s="250"/>
      <c r="J1165" s="250"/>
      <c r="K1165" s="270"/>
      <c r="L1165" s="250"/>
      <c r="M1165" s="250"/>
      <c r="N1165" s="553" t="str">
        <f>CONCATENATE(IF(OR(M1165=phu!$I$1,M1165=phu!$I$2,M1165=phu!$I$3),"Cam Thành Nam",""),IF(OR(M1165=phu!$I$4,M1165=phu!$I$5,M1165=phu!$I$6,M1165=phu!$I$7,M1165=phu!$I$8,M1165=phu!$I$9,M1165=phu!$I$10,M1165=phu!$I$11,M1165=phu!$I$12,M1165=phu!$I$13,M1165=phu!$I$14),"Cam Nghĩa",""),IF(OR(M1165=phu!$I$15,M1165=phu!$I$16,M1165=phu!$I$17,M1165=phu!$I$18,M1165=phu!$I$19,M1165=phu!$I$20,M1165=phu!$I$21),"Cam Phúc Bắc",""),IF(OR(M1165=phu!$I$22,M1165=phu!$I$23,M1165=phu!$I$24,M1165=phu!$I$25),"Cam Phúc Nam",""),IF(OR(M1165=phu!$I$26,M1165=phu!$I$27,M1165=phu!$I$28,M1165=phu!$I$29,M1165=phu!$I$30,M1165=phu!$I$31),"Cam Phú",""),IF(OR(M1165=phu!$I$32,M1165=phu!$I$33,M1165=phu!$I$34,M1165=phu!$I$35,M1165=phu!$I$36,M1165=phu!$I$37),"Cam Lộc",""),IF(OR(M1165=phu!$I$38,M1165=phu!$I$39,M1165=phu!$I$40,M1165=phu!$I$41,M1165=phu!$I$42,M1165=phu!$I$43,M1165=phu!$I$44),"Cam Thuận",""),IF(OR(M1165=phu!$I$45,M1165=phu!$I$46,M1165=phu!$I$47,M1165=phu!$I$48,M1165=phu!$I$49,M1165=phu!$I$50,M1165=phu!$I$51,M1165=phu!$I$52,M1165=phu!$I$53),"Cam Linh",""),IF(OR(M1165=phu!$I$54,M1165=phu!$I$55,M1165=phu!$I$56,M1165=phu!$I$57,M1165=phu!$I$58,M1165=phu!$I$59,M1165=phu!$I$60,M1165=phu!$I$61,M1165=phu!$I$62),"Cam Lợi",""),IF(OR(M1165=phu!$I$63,M1165=phu!$I$64,M1165=phu!$I$65,M1165=phu!$I$66,M1165=phu!$I$67,M1165=phu!$I$68,M1165=phu!$I$69,M1165=phu!$I$70,M1165=phu!$I$71),"Ba Ngòi",""),IF(OR(M1165=phu!$I$72,M1165=phu!$I$73,M1165=phu!$I$74,M1165=phu!$I$75,M1165=phu!$I$76,M1165=phu!$I$77,M1165=phu!$I$78),"Cam Phước Đông",""),IF(OR(M1165=phu!$I$79,M1165=phu!$I$80,M1165=phu!$I$81,M1165=phu!$I$82,M1165=phu!$I$83,M1165=phu!$I$84),"Cam Thịnh Đông",""),IF(OR(M1165=phu!$I$85,M1165=phu!$I$86,M1165=phu!$I$87,M1165=phu!$I$88),"Cam Thịnh Tây",""),IF(OR(M1165=phu!$I$89,M1165=phu!$I$90),"Cam Lập",""),IF(OR(M1165=phu!$I$91,M1165=phu!$I$92,M1165=phu!$I$93),"Cam Bình",""),IF(OR(M1165=phu!$I$94,M1165=phu!$I$95,M1165=phu!$I$96,M1165=phu!$I$97,M1165=phu!$I$98,M1165=phu!$I$99,M1165=phu!$I$100),"Huyện khác",""),IF(OR(M1165=phu!$I$101,M1165=phu!$I$102),"Tỉnh khác",""))</f>
        <v/>
      </c>
      <c r="O1165" s="814" t="str">
        <f t="shared" si="109"/>
        <v/>
      </c>
      <c r="P1165" s="254"/>
      <c r="Q1165" s="254"/>
      <c r="R1165" s="254"/>
      <c r="S1165" s="254"/>
      <c r="T1165" s="254"/>
      <c r="U1165" s="254"/>
      <c r="V1165" s="254"/>
      <c r="W1165" s="254"/>
      <c r="Y1165" s="246" t="str">
        <f t="shared" si="110"/>
        <v/>
      </c>
      <c r="Z1165" s="247" t="str">
        <f t="shared" si="108"/>
        <v/>
      </c>
      <c r="AA1165" s="246" t="str">
        <f t="shared" si="111"/>
        <v/>
      </c>
    </row>
    <row r="1166" spans="1:27" x14ac:dyDescent="0.25">
      <c r="A1166" s="248" t="str">
        <f t="shared" si="112"/>
        <v/>
      </c>
      <c r="B1166" s="249" t="str">
        <f t="shared" si="113"/>
        <v/>
      </c>
      <c r="C1166" s="250"/>
      <c r="D1166" s="251"/>
      <c r="E1166" s="241"/>
      <c r="F1166" s="252"/>
      <c r="G1166" s="252"/>
      <c r="H1166" s="253"/>
      <c r="I1166" s="250"/>
      <c r="J1166" s="250"/>
      <c r="K1166" s="270"/>
      <c r="L1166" s="250"/>
      <c r="M1166" s="250"/>
      <c r="N1166" s="553" t="str">
        <f>CONCATENATE(IF(OR(M1166=phu!$I$1,M1166=phu!$I$2,M1166=phu!$I$3),"Cam Thành Nam",""),IF(OR(M1166=phu!$I$4,M1166=phu!$I$5,M1166=phu!$I$6,M1166=phu!$I$7,M1166=phu!$I$8,M1166=phu!$I$9,M1166=phu!$I$10,M1166=phu!$I$11,M1166=phu!$I$12,M1166=phu!$I$13,M1166=phu!$I$14),"Cam Nghĩa",""),IF(OR(M1166=phu!$I$15,M1166=phu!$I$16,M1166=phu!$I$17,M1166=phu!$I$18,M1166=phu!$I$19,M1166=phu!$I$20,M1166=phu!$I$21),"Cam Phúc Bắc",""),IF(OR(M1166=phu!$I$22,M1166=phu!$I$23,M1166=phu!$I$24,M1166=phu!$I$25),"Cam Phúc Nam",""),IF(OR(M1166=phu!$I$26,M1166=phu!$I$27,M1166=phu!$I$28,M1166=phu!$I$29,M1166=phu!$I$30,M1166=phu!$I$31),"Cam Phú",""),IF(OR(M1166=phu!$I$32,M1166=phu!$I$33,M1166=phu!$I$34,M1166=phu!$I$35,M1166=phu!$I$36,M1166=phu!$I$37),"Cam Lộc",""),IF(OR(M1166=phu!$I$38,M1166=phu!$I$39,M1166=phu!$I$40,M1166=phu!$I$41,M1166=phu!$I$42,M1166=phu!$I$43,M1166=phu!$I$44),"Cam Thuận",""),IF(OR(M1166=phu!$I$45,M1166=phu!$I$46,M1166=phu!$I$47,M1166=phu!$I$48,M1166=phu!$I$49,M1166=phu!$I$50,M1166=phu!$I$51,M1166=phu!$I$52,M1166=phu!$I$53),"Cam Linh",""),IF(OR(M1166=phu!$I$54,M1166=phu!$I$55,M1166=phu!$I$56,M1166=phu!$I$57,M1166=phu!$I$58,M1166=phu!$I$59,M1166=phu!$I$60,M1166=phu!$I$61,M1166=phu!$I$62),"Cam Lợi",""),IF(OR(M1166=phu!$I$63,M1166=phu!$I$64,M1166=phu!$I$65,M1166=phu!$I$66,M1166=phu!$I$67,M1166=phu!$I$68,M1166=phu!$I$69,M1166=phu!$I$70,M1166=phu!$I$71),"Ba Ngòi",""),IF(OR(M1166=phu!$I$72,M1166=phu!$I$73,M1166=phu!$I$74,M1166=phu!$I$75,M1166=phu!$I$76,M1166=phu!$I$77,M1166=phu!$I$78),"Cam Phước Đông",""),IF(OR(M1166=phu!$I$79,M1166=phu!$I$80,M1166=phu!$I$81,M1166=phu!$I$82,M1166=phu!$I$83,M1166=phu!$I$84),"Cam Thịnh Đông",""),IF(OR(M1166=phu!$I$85,M1166=phu!$I$86,M1166=phu!$I$87,M1166=phu!$I$88),"Cam Thịnh Tây",""),IF(OR(M1166=phu!$I$89,M1166=phu!$I$90),"Cam Lập",""),IF(OR(M1166=phu!$I$91,M1166=phu!$I$92,M1166=phu!$I$93),"Cam Bình",""),IF(OR(M1166=phu!$I$94,M1166=phu!$I$95,M1166=phu!$I$96,M1166=phu!$I$97,M1166=phu!$I$98,M1166=phu!$I$99,M1166=phu!$I$100),"Huyện khác",""),IF(OR(M1166=phu!$I$101,M1166=phu!$I$102),"Tỉnh khác",""))</f>
        <v/>
      </c>
      <c r="O1166" s="814" t="str">
        <f t="shared" si="109"/>
        <v/>
      </c>
      <c r="P1166" s="254"/>
      <c r="Q1166" s="254"/>
      <c r="R1166" s="254"/>
      <c r="S1166" s="254"/>
      <c r="T1166" s="254"/>
      <c r="U1166" s="254"/>
      <c r="V1166" s="254"/>
      <c r="W1166" s="254"/>
      <c r="Y1166" s="246" t="str">
        <f t="shared" si="110"/>
        <v/>
      </c>
      <c r="Z1166" s="247" t="str">
        <f t="shared" si="108"/>
        <v/>
      </c>
      <c r="AA1166" s="246" t="str">
        <f t="shared" si="111"/>
        <v/>
      </c>
    </row>
    <row r="1167" spans="1:27" x14ac:dyDescent="0.25">
      <c r="A1167" s="248" t="str">
        <f t="shared" si="112"/>
        <v/>
      </c>
      <c r="B1167" s="249" t="str">
        <f t="shared" si="113"/>
        <v/>
      </c>
      <c r="C1167" s="250"/>
      <c r="D1167" s="251"/>
      <c r="E1167" s="241"/>
      <c r="F1167" s="252"/>
      <c r="G1167" s="252"/>
      <c r="H1167" s="253"/>
      <c r="I1167" s="250"/>
      <c r="J1167" s="250"/>
      <c r="K1167" s="270"/>
      <c r="L1167" s="250"/>
      <c r="M1167" s="250"/>
      <c r="N1167" s="553" t="str">
        <f>CONCATENATE(IF(OR(M1167=phu!$I$1,M1167=phu!$I$2,M1167=phu!$I$3),"Cam Thành Nam",""),IF(OR(M1167=phu!$I$4,M1167=phu!$I$5,M1167=phu!$I$6,M1167=phu!$I$7,M1167=phu!$I$8,M1167=phu!$I$9,M1167=phu!$I$10,M1167=phu!$I$11,M1167=phu!$I$12,M1167=phu!$I$13,M1167=phu!$I$14),"Cam Nghĩa",""),IF(OR(M1167=phu!$I$15,M1167=phu!$I$16,M1167=phu!$I$17,M1167=phu!$I$18,M1167=phu!$I$19,M1167=phu!$I$20,M1167=phu!$I$21),"Cam Phúc Bắc",""),IF(OR(M1167=phu!$I$22,M1167=phu!$I$23,M1167=phu!$I$24,M1167=phu!$I$25),"Cam Phúc Nam",""),IF(OR(M1167=phu!$I$26,M1167=phu!$I$27,M1167=phu!$I$28,M1167=phu!$I$29,M1167=phu!$I$30,M1167=phu!$I$31),"Cam Phú",""),IF(OR(M1167=phu!$I$32,M1167=phu!$I$33,M1167=phu!$I$34,M1167=phu!$I$35,M1167=phu!$I$36,M1167=phu!$I$37),"Cam Lộc",""),IF(OR(M1167=phu!$I$38,M1167=phu!$I$39,M1167=phu!$I$40,M1167=phu!$I$41,M1167=phu!$I$42,M1167=phu!$I$43,M1167=phu!$I$44),"Cam Thuận",""),IF(OR(M1167=phu!$I$45,M1167=phu!$I$46,M1167=phu!$I$47,M1167=phu!$I$48,M1167=phu!$I$49,M1167=phu!$I$50,M1167=phu!$I$51,M1167=phu!$I$52,M1167=phu!$I$53),"Cam Linh",""),IF(OR(M1167=phu!$I$54,M1167=phu!$I$55,M1167=phu!$I$56,M1167=phu!$I$57,M1167=phu!$I$58,M1167=phu!$I$59,M1167=phu!$I$60,M1167=phu!$I$61,M1167=phu!$I$62),"Cam Lợi",""),IF(OR(M1167=phu!$I$63,M1167=phu!$I$64,M1167=phu!$I$65,M1167=phu!$I$66,M1167=phu!$I$67,M1167=phu!$I$68,M1167=phu!$I$69,M1167=phu!$I$70,M1167=phu!$I$71),"Ba Ngòi",""),IF(OR(M1167=phu!$I$72,M1167=phu!$I$73,M1167=phu!$I$74,M1167=phu!$I$75,M1167=phu!$I$76,M1167=phu!$I$77,M1167=phu!$I$78),"Cam Phước Đông",""),IF(OR(M1167=phu!$I$79,M1167=phu!$I$80,M1167=phu!$I$81,M1167=phu!$I$82,M1167=phu!$I$83,M1167=phu!$I$84),"Cam Thịnh Đông",""),IF(OR(M1167=phu!$I$85,M1167=phu!$I$86,M1167=phu!$I$87,M1167=phu!$I$88),"Cam Thịnh Tây",""),IF(OR(M1167=phu!$I$89,M1167=phu!$I$90),"Cam Lập",""),IF(OR(M1167=phu!$I$91,M1167=phu!$I$92,M1167=phu!$I$93),"Cam Bình",""),IF(OR(M1167=phu!$I$94,M1167=phu!$I$95,M1167=phu!$I$96,M1167=phu!$I$97,M1167=phu!$I$98,M1167=phu!$I$99,M1167=phu!$I$100),"Huyện khác",""),IF(OR(M1167=phu!$I$101,M1167=phu!$I$102),"Tỉnh khác",""))</f>
        <v/>
      </c>
      <c r="O1167" s="814" t="str">
        <f t="shared" si="109"/>
        <v/>
      </c>
      <c r="P1167" s="254"/>
      <c r="Q1167" s="254"/>
      <c r="R1167" s="254"/>
      <c r="S1167" s="254"/>
      <c r="T1167" s="254"/>
      <c r="U1167" s="254"/>
      <c r="V1167" s="254"/>
      <c r="W1167" s="254"/>
      <c r="Y1167" s="246" t="str">
        <f t="shared" si="110"/>
        <v/>
      </c>
      <c r="Z1167" s="247" t="str">
        <f t="shared" si="108"/>
        <v/>
      </c>
      <c r="AA1167" s="246" t="str">
        <f t="shared" si="111"/>
        <v/>
      </c>
    </row>
    <row r="1168" spans="1:27" x14ac:dyDescent="0.25">
      <c r="A1168" s="248" t="str">
        <f t="shared" si="112"/>
        <v/>
      </c>
      <c r="B1168" s="249" t="str">
        <f t="shared" si="113"/>
        <v/>
      </c>
      <c r="C1168" s="250"/>
      <c r="D1168" s="251"/>
      <c r="E1168" s="241"/>
      <c r="F1168" s="252"/>
      <c r="G1168" s="252"/>
      <c r="H1168" s="253"/>
      <c r="I1168" s="250"/>
      <c r="J1168" s="250"/>
      <c r="K1168" s="270"/>
      <c r="L1168" s="250"/>
      <c r="M1168" s="250"/>
      <c r="N1168" s="553" t="str">
        <f>CONCATENATE(IF(OR(M1168=phu!$I$1,M1168=phu!$I$2,M1168=phu!$I$3),"Cam Thành Nam",""),IF(OR(M1168=phu!$I$4,M1168=phu!$I$5,M1168=phu!$I$6,M1168=phu!$I$7,M1168=phu!$I$8,M1168=phu!$I$9,M1168=phu!$I$10,M1168=phu!$I$11,M1168=phu!$I$12,M1168=phu!$I$13,M1168=phu!$I$14),"Cam Nghĩa",""),IF(OR(M1168=phu!$I$15,M1168=phu!$I$16,M1168=phu!$I$17,M1168=phu!$I$18,M1168=phu!$I$19,M1168=phu!$I$20,M1168=phu!$I$21),"Cam Phúc Bắc",""),IF(OR(M1168=phu!$I$22,M1168=phu!$I$23,M1168=phu!$I$24,M1168=phu!$I$25),"Cam Phúc Nam",""),IF(OR(M1168=phu!$I$26,M1168=phu!$I$27,M1168=phu!$I$28,M1168=phu!$I$29,M1168=phu!$I$30,M1168=phu!$I$31),"Cam Phú",""),IF(OR(M1168=phu!$I$32,M1168=phu!$I$33,M1168=phu!$I$34,M1168=phu!$I$35,M1168=phu!$I$36,M1168=phu!$I$37),"Cam Lộc",""),IF(OR(M1168=phu!$I$38,M1168=phu!$I$39,M1168=phu!$I$40,M1168=phu!$I$41,M1168=phu!$I$42,M1168=phu!$I$43,M1168=phu!$I$44),"Cam Thuận",""),IF(OR(M1168=phu!$I$45,M1168=phu!$I$46,M1168=phu!$I$47,M1168=phu!$I$48,M1168=phu!$I$49,M1168=phu!$I$50,M1168=phu!$I$51,M1168=phu!$I$52,M1168=phu!$I$53),"Cam Linh",""),IF(OR(M1168=phu!$I$54,M1168=phu!$I$55,M1168=phu!$I$56,M1168=phu!$I$57,M1168=phu!$I$58,M1168=phu!$I$59,M1168=phu!$I$60,M1168=phu!$I$61,M1168=phu!$I$62),"Cam Lợi",""),IF(OR(M1168=phu!$I$63,M1168=phu!$I$64,M1168=phu!$I$65,M1168=phu!$I$66,M1168=phu!$I$67,M1168=phu!$I$68,M1168=phu!$I$69,M1168=phu!$I$70,M1168=phu!$I$71),"Ba Ngòi",""),IF(OR(M1168=phu!$I$72,M1168=phu!$I$73,M1168=phu!$I$74,M1168=phu!$I$75,M1168=phu!$I$76,M1168=phu!$I$77,M1168=phu!$I$78),"Cam Phước Đông",""),IF(OR(M1168=phu!$I$79,M1168=phu!$I$80,M1168=phu!$I$81,M1168=phu!$I$82,M1168=phu!$I$83,M1168=phu!$I$84),"Cam Thịnh Đông",""),IF(OR(M1168=phu!$I$85,M1168=phu!$I$86,M1168=phu!$I$87,M1168=phu!$I$88),"Cam Thịnh Tây",""),IF(OR(M1168=phu!$I$89,M1168=phu!$I$90),"Cam Lập",""),IF(OR(M1168=phu!$I$91,M1168=phu!$I$92,M1168=phu!$I$93),"Cam Bình",""),IF(OR(M1168=phu!$I$94,M1168=phu!$I$95,M1168=phu!$I$96,M1168=phu!$I$97,M1168=phu!$I$98,M1168=phu!$I$99,M1168=phu!$I$100),"Huyện khác",""),IF(OR(M1168=phu!$I$101,M1168=phu!$I$102),"Tỉnh khác",""))</f>
        <v/>
      </c>
      <c r="O1168" s="814" t="str">
        <f t="shared" si="109"/>
        <v/>
      </c>
      <c r="P1168" s="254"/>
      <c r="Q1168" s="254"/>
      <c r="R1168" s="254"/>
      <c r="S1168" s="254"/>
      <c r="T1168" s="254"/>
      <c r="U1168" s="254"/>
      <c r="V1168" s="254"/>
      <c r="W1168" s="254"/>
      <c r="Y1168" s="246" t="str">
        <f t="shared" si="110"/>
        <v/>
      </c>
      <c r="Z1168" s="247" t="str">
        <f t="shared" si="108"/>
        <v/>
      </c>
      <c r="AA1168" s="246" t="str">
        <f t="shared" si="111"/>
        <v/>
      </c>
    </row>
    <row r="1169" spans="1:27" x14ac:dyDescent="0.25">
      <c r="A1169" s="248" t="str">
        <f t="shared" si="112"/>
        <v/>
      </c>
      <c r="B1169" s="249" t="str">
        <f t="shared" si="113"/>
        <v/>
      </c>
      <c r="C1169" s="250"/>
      <c r="D1169" s="251"/>
      <c r="E1169" s="241"/>
      <c r="F1169" s="252"/>
      <c r="G1169" s="252"/>
      <c r="H1169" s="253"/>
      <c r="I1169" s="250"/>
      <c r="J1169" s="250"/>
      <c r="K1169" s="270"/>
      <c r="L1169" s="250"/>
      <c r="M1169" s="250"/>
      <c r="N1169" s="553" t="str">
        <f>CONCATENATE(IF(OR(M1169=phu!$I$1,M1169=phu!$I$2,M1169=phu!$I$3),"Cam Thành Nam",""),IF(OR(M1169=phu!$I$4,M1169=phu!$I$5,M1169=phu!$I$6,M1169=phu!$I$7,M1169=phu!$I$8,M1169=phu!$I$9,M1169=phu!$I$10,M1169=phu!$I$11,M1169=phu!$I$12,M1169=phu!$I$13,M1169=phu!$I$14),"Cam Nghĩa",""),IF(OR(M1169=phu!$I$15,M1169=phu!$I$16,M1169=phu!$I$17,M1169=phu!$I$18,M1169=phu!$I$19,M1169=phu!$I$20,M1169=phu!$I$21),"Cam Phúc Bắc",""),IF(OR(M1169=phu!$I$22,M1169=phu!$I$23,M1169=phu!$I$24,M1169=phu!$I$25),"Cam Phúc Nam",""),IF(OR(M1169=phu!$I$26,M1169=phu!$I$27,M1169=phu!$I$28,M1169=phu!$I$29,M1169=phu!$I$30,M1169=phu!$I$31),"Cam Phú",""),IF(OR(M1169=phu!$I$32,M1169=phu!$I$33,M1169=phu!$I$34,M1169=phu!$I$35,M1169=phu!$I$36,M1169=phu!$I$37),"Cam Lộc",""),IF(OR(M1169=phu!$I$38,M1169=phu!$I$39,M1169=phu!$I$40,M1169=phu!$I$41,M1169=phu!$I$42,M1169=phu!$I$43,M1169=phu!$I$44),"Cam Thuận",""),IF(OR(M1169=phu!$I$45,M1169=phu!$I$46,M1169=phu!$I$47,M1169=phu!$I$48,M1169=phu!$I$49,M1169=phu!$I$50,M1169=phu!$I$51,M1169=phu!$I$52,M1169=phu!$I$53),"Cam Linh",""),IF(OR(M1169=phu!$I$54,M1169=phu!$I$55,M1169=phu!$I$56,M1169=phu!$I$57,M1169=phu!$I$58,M1169=phu!$I$59,M1169=phu!$I$60,M1169=phu!$I$61,M1169=phu!$I$62),"Cam Lợi",""),IF(OR(M1169=phu!$I$63,M1169=phu!$I$64,M1169=phu!$I$65,M1169=phu!$I$66,M1169=phu!$I$67,M1169=phu!$I$68,M1169=phu!$I$69,M1169=phu!$I$70,M1169=phu!$I$71),"Ba Ngòi",""),IF(OR(M1169=phu!$I$72,M1169=phu!$I$73,M1169=phu!$I$74,M1169=phu!$I$75,M1169=phu!$I$76,M1169=phu!$I$77,M1169=phu!$I$78),"Cam Phước Đông",""),IF(OR(M1169=phu!$I$79,M1169=phu!$I$80,M1169=phu!$I$81,M1169=phu!$I$82,M1169=phu!$I$83,M1169=phu!$I$84),"Cam Thịnh Đông",""),IF(OR(M1169=phu!$I$85,M1169=phu!$I$86,M1169=phu!$I$87,M1169=phu!$I$88),"Cam Thịnh Tây",""),IF(OR(M1169=phu!$I$89,M1169=phu!$I$90),"Cam Lập",""),IF(OR(M1169=phu!$I$91,M1169=phu!$I$92,M1169=phu!$I$93),"Cam Bình",""),IF(OR(M1169=phu!$I$94,M1169=phu!$I$95,M1169=phu!$I$96,M1169=phu!$I$97,M1169=phu!$I$98,M1169=phu!$I$99,M1169=phu!$I$100),"Huyện khác",""),IF(OR(M1169=phu!$I$101,M1169=phu!$I$102),"Tỉnh khác",""))</f>
        <v/>
      </c>
      <c r="O1169" s="814" t="str">
        <f t="shared" si="109"/>
        <v/>
      </c>
      <c r="P1169" s="254"/>
      <c r="Q1169" s="254"/>
      <c r="R1169" s="254"/>
      <c r="S1169" s="254"/>
      <c r="T1169" s="254"/>
      <c r="U1169" s="254"/>
      <c r="V1169" s="254"/>
      <c r="W1169" s="254"/>
      <c r="Y1169" s="246" t="str">
        <f t="shared" si="110"/>
        <v/>
      </c>
      <c r="Z1169" s="247" t="str">
        <f t="shared" si="108"/>
        <v/>
      </c>
      <c r="AA1169" s="246" t="str">
        <f t="shared" si="111"/>
        <v/>
      </c>
    </row>
    <row r="1170" spans="1:27" x14ac:dyDescent="0.25">
      <c r="A1170" s="248" t="str">
        <f t="shared" si="112"/>
        <v/>
      </c>
      <c r="B1170" s="249" t="str">
        <f t="shared" si="113"/>
        <v/>
      </c>
      <c r="C1170" s="250"/>
      <c r="D1170" s="251"/>
      <c r="E1170" s="241"/>
      <c r="F1170" s="252"/>
      <c r="G1170" s="252"/>
      <c r="H1170" s="253"/>
      <c r="I1170" s="250"/>
      <c r="J1170" s="250"/>
      <c r="K1170" s="270"/>
      <c r="L1170" s="250"/>
      <c r="M1170" s="250"/>
      <c r="N1170" s="553" t="str">
        <f>CONCATENATE(IF(OR(M1170=phu!$I$1,M1170=phu!$I$2,M1170=phu!$I$3),"Cam Thành Nam",""),IF(OR(M1170=phu!$I$4,M1170=phu!$I$5,M1170=phu!$I$6,M1170=phu!$I$7,M1170=phu!$I$8,M1170=phu!$I$9,M1170=phu!$I$10,M1170=phu!$I$11,M1170=phu!$I$12,M1170=phu!$I$13,M1170=phu!$I$14),"Cam Nghĩa",""),IF(OR(M1170=phu!$I$15,M1170=phu!$I$16,M1170=phu!$I$17,M1170=phu!$I$18,M1170=phu!$I$19,M1170=phu!$I$20,M1170=phu!$I$21),"Cam Phúc Bắc",""),IF(OR(M1170=phu!$I$22,M1170=phu!$I$23,M1170=phu!$I$24,M1170=phu!$I$25),"Cam Phúc Nam",""),IF(OR(M1170=phu!$I$26,M1170=phu!$I$27,M1170=phu!$I$28,M1170=phu!$I$29,M1170=phu!$I$30,M1170=phu!$I$31),"Cam Phú",""),IF(OR(M1170=phu!$I$32,M1170=phu!$I$33,M1170=phu!$I$34,M1170=phu!$I$35,M1170=phu!$I$36,M1170=phu!$I$37),"Cam Lộc",""),IF(OR(M1170=phu!$I$38,M1170=phu!$I$39,M1170=phu!$I$40,M1170=phu!$I$41,M1170=phu!$I$42,M1170=phu!$I$43,M1170=phu!$I$44),"Cam Thuận",""),IF(OR(M1170=phu!$I$45,M1170=phu!$I$46,M1170=phu!$I$47,M1170=phu!$I$48,M1170=phu!$I$49,M1170=phu!$I$50,M1170=phu!$I$51,M1170=phu!$I$52,M1170=phu!$I$53),"Cam Linh",""),IF(OR(M1170=phu!$I$54,M1170=phu!$I$55,M1170=phu!$I$56,M1170=phu!$I$57,M1170=phu!$I$58,M1170=phu!$I$59,M1170=phu!$I$60,M1170=phu!$I$61,M1170=phu!$I$62),"Cam Lợi",""),IF(OR(M1170=phu!$I$63,M1170=phu!$I$64,M1170=phu!$I$65,M1170=phu!$I$66,M1170=phu!$I$67,M1170=phu!$I$68,M1170=phu!$I$69,M1170=phu!$I$70,M1170=phu!$I$71),"Ba Ngòi",""),IF(OR(M1170=phu!$I$72,M1170=phu!$I$73,M1170=phu!$I$74,M1170=phu!$I$75,M1170=phu!$I$76,M1170=phu!$I$77,M1170=phu!$I$78),"Cam Phước Đông",""),IF(OR(M1170=phu!$I$79,M1170=phu!$I$80,M1170=phu!$I$81,M1170=phu!$I$82,M1170=phu!$I$83,M1170=phu!$I$84),"Cam Thịnh Đông",""),IF(OR(M1170=phu!$I$85,M1170=phu!$I$86,M1170=phu!$I$87,M1170=phu!$I$88),"Cam Thịnh Tây",""),IF(OR(M1170=phu!$I$89,M1170=phu!$I$90),"Cam Lập",""),IF(OR(M1170=phu!$I$91,M1170=phu!$I$92,M1170=phu!$I$93),"Cam Bình",""),IF(OR(M1170=phu!$I$94,M1170=phu!$I$95,M1170=phu!$I$96,M1170=phu!$I$97,M1170=phu!$I$98,M1170=phu!$I$99,M1170=phu!$I$100),"Huyện khác",""),IF(OR(M1170=phu!$I$101,M1170=phu!$I$102),"Tỉnh khác",""))</f>
        <v/>
      </c>
      <c r="O1170" s="814" t="str">
        <f t="shared" si="109"/>
        <v/>
      </c>
      <c r="P1170" s="254"/>
      <c r="Q1170" s="254"/>
      <c r="R1170" s="254"/>
      <c r="S1170" s="254"/>
      <c r="T1170" s="254"/>
      <c r="U1170" s="254"/>
      <c r="V1170" s="254"/>
      <c r="W1170" s="254"/>
      <c r="Y1170" s="246" t="str">
        <f t="shared" si="110"/>
        <v/>
      </c>
      <c r="Z1170" s="247" t="str">
        <f t="shared" si="108"/>
        <v/>
      </c>
      <c r="AA1170" s="246" t="str">
        <f t="shared" si="111"/>
        <v/>
      </c>
    </row>
    <row r="1171" spans="1:27" x14ac:dyDescent="0.25">
      <c r="A1171" s="248" t="str">
        <f t="shared" si="112"/>
        <v/>
      </c>
      <c r="B1171" s="249" t="str">
        <f t="shared" si="113"/>
        <v/>
      </c>
      <c r="C1171" s="250"/>
      <c r="D1171" s="251"/>
      <c r="E1171" s="241"/>
      <c r="F1171" s="252"/>
      <c r="G1171" s="252"/>
      <c r="H1171" s="253"/>
      <c r="I1171" s="250"/>
      <c r="J1171" s="250"/>
      <c r="K1171" s="270"/>
      <c r="L1171" s="250"/>
      <c r="M1171" s="250"/>
      <c r="N1171" s="553" t="str">
        <f>CONCATENATE(IF(OR(M1171=phu!$I$1,M1171=phu!$I$2,M1171=phu!$I$3),"Cam Thành Nam",""),IF(OR(M1171=phu!$I$4,M1171=phu!$I$5,M1171=phu!$I$6,M1171=phu!$I$7,M1171=phu!$I$8,M1171=phu!$I$9,M1171=phu!$I$10,M1171=phu!$I$11,M1171=phu!$I$12,M1171=phu!$I$13,M1171=phu!$I$14),"Cam Nghĩa",""),IF(OR(M1171=phu!$I$15,M1171=phu!$I$16,M1171=phu!$I$17,M1171=phu!$I$18,M1171=phu!$I$19,M1171=phu!$I$20,M1171=phu!$I$21),"Cam Phúc Bắc",""),IF(OR(M1171=phu!$I$22,M1171=phu!$I$23,M1171=phu!$I$24,M1171=phu!$I$25),"Cam Phúc Nam",""),IF(OR(M1171=phu!$I$26,M1171=phu!$I$27,M1171=phu!$I$28,M1171=phu!$I$29,M1171=phu!$I$30,M1171=phu!$I$31),"Cam Phú",""),IF(OR(M1171=phu!$I$32,M1171=phu!$I$33,M1171=phu!$I$34,M1171=phu!$I$35,M1171=phu!$I$36,M1171=phu!$I$37),"Cam Lộc",""),IF(OR(M1171=phu!$I$38,M1171=phu!$I$39,M1171=phu!$I$40,M1171=phu!$I$41,M1171=phu!$I$42,M1171=phu!$I$43,M1171=phu!$I$44),"Cam Thuận",""),IF(OR(M1171=phu!$I$45,M1171=phu!$I$46,M1171=phu!$I$47,M1171=phu!$I$48,M1171=phu!$I$49,M1171=phu!$I$50,M1171=phu!$I$51,M1171=phu!$I$52,M1171=phu!$I$53),"Cam Linh",""),IF(OR(M1171=phu!$I$54,M1171=phu!$I$55,M1171=phu!$I$56,M1171=phu!$I$57,M1171=phu!$I$58,M1171=phu!$I$59,M1171=phu!$I$60,M1171=phu!$I$61,M1171=phu!$I$62),"Cam Lợi",""),IF(OR(M1171=phu!$I$63,M1171=phu!$I$64,M1171=phu!$I$65,M1171=phu!$I$66,M1171=phu!$I$67,M1171=phu!$I$68,M1171=phu!$I$69,M1171=phu!$I$70,M1171=phu!$I$71),"Ba Ngòi",""),IF(OR(M1171=phu!$I$72,M1171=phu!$I$73,M1171=phu!$I$74,M1171=phu!$I$75,M1171=phu!$I$76,M1171=phu!$I$77,M1171=phu!$I$78),"Cam Phước Đông",""),IF(OR(M1171=phu!$I$79,M1171=phu!$I$80,M1171=phu!$I$81,M1171=phu!$I$82,M1171=phu!$I$83,M1171=phu!$I$84),"Cam Thịnh Đông",""),IF(OR(M1171=phu!$I$85,M1171=phu!$I$86,M1171=phu!$I$87,M1171=phu!$I$88),"Cam Thịnh Tây",""),IF(OR(M1171=phu!$I$89,M1171=phu!$I$90),"Cam Lập",""),IF(OR(M1171=phu!$I$91,M1171=phu!$I$92,M1171=phu!$I$93),"Cam Bình",""),IF(OR(M1171=phu!$I$94,M1171=phu!$I$95,M1171=phu!$I$96,M1171=phu!$I$97,M1171=phu!$I$98,M1171=phu!$I$99,M1171=phu!$I$100),"Huyện khác",""),IF(OR(M1171=phu!$I$101,M1171=phu!$I$102),"Tỉnh khác",""))</f>
        <v/>
      </c>
      <c r="O1171" s="814" t="str">
        <f t="shared" si="109"/>
        <v/>
      </c>
      <c r="P1171" s="254"/>
      <c r="Q1171" s="254"/>
      <c r="R1171" s="254"/>
      <c r="S1171" s="254"/>
      <c r="T1171" s="254"/>
      <c r="U1171" s="254"/>
      <c r="V1171" s="254"/>
      <c r="W1171" s="254"/>
      <c r="Y1171" s="246" t="str">
        <f t="shared" si="110"/>
        <v/>
      </c>
      <c r="Z1171" s="247" t="str">
        <f t="shared" si="108"/>
        <v/>
      </c>
      <c r="AA1171" s="246" t="str">
        <f t="shared" si="111"/>
        <v/>
      </c>
    </row>
    <row r="1172" spans="1:27" x14ac:dyDescent="0.25">
      <c r="A1172" s="248" t="str">
        <f t="shared" si="112"/>
        <v/>
      </c>
      <c r="B1172" s="249" t="str">
        <f t="shared" si="113"/>
        <v/>
      </c>
      <c r="C1172" s="250"/>
      <c r="D1172" s="251"/>
      <c r="E1172" s="241"/>
      <c r="F1172" s="252"/>
      <c r="G1172" s="252"/>
      <c r="H1172" s="253"/>
      <c r="I1172" s="250"/>
      <c r="J1172" s="250"/>
      <c r="K1172" s="270"/>
      <c r="L1172" s="250"/>
      <c r="M1172" s="250"/>
      <c r="N1172" s="553" t="str">
        <f>CONCATENATE(IF(OR(M1172=phu!$I$1,M1172=phu!$I$2,M1172=phu!$I$3),"Cam Thành Nam",""),IF(OR(M1172=phu!$I$4,M1172=phu!$I$5,M1172=phu!$I$6,M1172=phu!$I$7,M1172=phu!$I$8,M1172=phu!$I$9,M1172=phu!$I$10,M1172=phu!$I$11,M1172=phu!$I$12,M1172=phu!$I$13,M1172=phu!$I$14),"Cam Nghĩa",""),IF(OR(M1172=phu!$I$15,M1172=phu!$I$16,M1172=phu!$I$17,M1172=phu!$I$18,M1172=phu!$I$19,M1172=phu!$I$20,M1172=phu!$I$21),"Cam Phúc Bắc",""),IF(OR(M1172=phu!$I$22,M1172=phu!$I$23,M1172=phu!$I$24,M1172=phu!$I$25),"Cam Phúc Nam",""),IF(OR(M1172=phu!$I$26,M1172=phu!$I$27,M1172=phu!$I$28,M1172=phu!$I$29,M1172=phu!$I$30,M1172=phu!$I$31),"Cam Phú",""),IF(OR(M1172=phu!$I$32,M1172=phu!$I$33,M1172=phu!$I$34,M1172=phu!$I$35,M1172=phu!$I$36,M1172=phu!$I$37),"Cam Lộc",""),IF(OR(M1172=phu!$I$38,M1172=phu!$I$39,M1172=phu!$I$40,M1172=phu!$I$41,M1172=phu!$I$42,M1172=phu!$I$43,M1172=phu!$I$44),"Cam Thuận",""),IF(OR(M1172=phu!$I$45,M1172=phu!$I$46,M1172=phu!$I$47,M1172=phu!$I$48,M1172=phu!$I$49,M1172=phu!$I$50,M1172=phu!$I$51,M1172=phu!$I$52,M1172=phu!$I$53),"Cam Linh",""),IF(OR(M1172=phu!$I$54,M1172=phu!$I$55,M1172=phu!$I$56,M1172=phu!$I$57,M1172=phu!$I$58,M1172=phu!$I$59,M1172=phu!$I$60,M1172=phu!$I$61,M1172=phu!$I$62),"Cam Lợi",""),IF(OR(M1172=phu!$I$63,M1172=phu!$I$64,M1172=phu!$I$65,M1172=phu!$I$66,M1172=phu!$I$67,M1172=phu!$I$68,M1172=phu!$I$69,M1172=phu!$I$70,M1172=phu!$I$71),"Ba Ngòi",""),IF(OR(M1172=phu!$I$72,M1172=phu!$I$73,M1172=phu!$I$74,M1172=phu!$I$75,M1172=phu!$I$76,M1172=phu!$I$77,M1172=phu!$I$78),"Cam Phước Đông",""),IF(OR(M1172=phu!$I$79,M1172=phu!$I$80,M1172=phu!$I$81,M1172=phu!$I$82,M1172=phu!$I$83,M1172=phu!$I$84),"Cam Thịnh Đông",""),IF(OR(M1172=phu!$I$85,M1172=phu!$I$86,M1172=phu!$I$87,M1172=phu!$I$88),"Cam Thịnh Tây",""),IF(OR(M1172=phu!$I$89,M1172=phu!$I$90),"Cam Lập",""),IF(OR(M1172=phu!$I$91,M1172=phu!$I$92,M1172=phu!$I$93),"Cam Bình",""),IF(OR(M1172=phu!$I$94,M1172=phu!$I$95,M1172=phu!$I$96,M1172=phu!$I$97,M1172=phu!$I$98,M1172=phu!$I$99,M1172=phu!$I$100),"Huyện khác",""),IF(OR(M1172=phu!$I$101,M1172=phu!$I$102),"Tỉnh khác",""))</f>
        <v/>
      </c>
      <c r="O1172" s="814" t="str">
        <f t="shared" si="109"/>
        <v/>
      </c>
      <c r="P1172" s="254"/>
      <c r="Q1172" s="254"/>
      <c r="R1172" s="254"/>
      <c r="S1172" s="254"/>
      <c r="T1172" s="254"/>
      <c r="U1172" s="254"/>
      <c r="V1172" s="254"/>
      <c r="W1172" s="254"/>
      <c r="Y1172" s="246" t="str">
        <f t="shared" si="110"/>
        <v/>
      </c>
      <c r="Z1172" s="247" t="str">
        <f t="shared" si="108"/>
        <v/>
      </c>
      <c r="AA1172" s="246" t="str">
        <f t="shared" si="111"/>
        <v/>
      </c>
    </row>
    <row r="1173" spans="1:27" x14ac:dyDescent="0.25">
      <c r="A1173" s="248" t="str">
        <f t="shared" si="112"/>
        <v/>
      </c>
      <c r="B1173" s="249" t="str">
        <f t="shared" si="113"/>
        <v/>
      </c>
      <c r="C1173" s="250"/>
      <c r="D1173" s="251"/>
      <c r="E1173" s="241"/>
      <c r="F1173" s="252"/>
      <c r="G1173" s="252"/>
      <c r="H1173" s="253"/>
      <c r="I1173" s="250"/>
      <c r="J1173" s="250"/>
      <c r="K1173" s="270"/>
      <c r="L1173" s="250"/>
      <c r="M1173" s="250"/>
      <c r="N1173" s="553" t="str">
        <f>CONCATENATE(IF(OR(M1173=phu!$I$1,M1173=phu!$I$2,M1173=phu!$I$3),"Cam Thành Nam",""),IF(OR(M1173=phu!$I$4,M1173=phu!$I$5,M1173=phu!$I$6,M1173=phu!$I$7,M1173=phu!$I$8,M1173=phu!$I$9,M1173=phu!$I$10,M1173=phu!$I$11,M1173=phu!$I$12,M1173=phu!$I$13,M1173=phu!$I$14),"Cam Nghĩa",""),IF(OR(M1173=phu!$I$15,M1173=phu!$I$16,M1173=phu!$I$17,M1173=phu!$I$18,M1173=phu!$I$19,M1173=phu!$I$20,M1173=phu!$I$21),"Cam Phúc Bắc",""),IF(OR(M1173=phu!$I$22,M1173=phu!$I$23,M1173=phu!$I$24,M1173=phu!$I$25),"Cam Phúc Nam",""),IF(OR(M1173=phu!$I$26,M1173=phu!$I$27,M1173=phu!$I$28,M1173=phu!$I$29,M1173=phu!$I$30,M1173=phu!$I$31),"Cam Phú",""),IF(OR(M1173=phu!$I$32,M1173=phu!$I$33,M1173=phu!$I$34,M1173=phu!$I$35,M1173=phu!$I$36,M1173=phu!$I$37),"Cam Lộc",""),IF(OR(M1173=phu!$I$38,M1173=phu!$I$39,M1173=phu!$I$40,M1173=phu!$I$41,M1173=phu!$I$42,M1173=phu!$I$43,M1173=phu!$I$44),"Cam Thuận",""),IF(OR(M1173=phu!$I$45,M1173=phu!$I$46,M1173=phu!$I$47,M1173=phu!$I$48,M1173=phu!$I$49,M1173=phu!$I$50,M1173=phu!$I$51,M1173=phu!$I$52,M1173=phu!$I$53),"Cam Linh",""),IF(OR(M1173=phu!$I$54,M1173=phu!$I$55,M1173=phu!$I$56,M1173=phu!$I$57,M1173=phu!$I$58,M1173=phu!$I$59,M1173=phu!$I$60,M1173=phu!$I$61,M1173=phu!$I$62),"Cam Lợi",""),IF(OR(M1173=phu!$I$63,M1173=phu!$I$64,M1173=phu!$I$65,M1173=phu!$I$66,M1173=phu!$I$67,M1173=phu!$I$68,M1173=phu!$I$69,M1173=phu!$I$70,M1173=phu!$I$71),"Ba Ngòi",""),IF(OR(M1173=phu!$I$72,M1173=phu!$I$73,M1173=phu!$I$74,M1173=phu!$I$75,M1173=phu!$I$76,M1173=phu!$I$77,M1173=phu!$I$78),"Cam Phước Đông",""),IF(OR(M1173=phu!$I$79,M1173=phu!$I$80,M1173=phu!$I$81,M1173=phu!$I$82,M1173=phu!$I$83,M1173=phu!$I$84),"Cam Thịnh Đông",""),IF(OR(M1173=phu!$I$85,M1173=phu!$I$86,M1173=phu!$I$87,M1173=phu!$I$88),"Cam Thịnh Tây",""),IF(OR(M1173=phu!$I$89,M1173=phu!$I$90),"Cam Lập",""),IF(OR(M1173=phu!$I$91,M1173=phu!$I$92,M1173=phu!$I$93),"Cam Bình",""),IF(OR(M1173=phu!$I$94,M1173=phu!$I$95,M1173=phu!$I$96,M1173=phu!$I$97,M1173=phu!$I$98,M1173=phu!$I$99,M1173=phu!$I$100),"Huyện khác",""),IF(OR(M1173=phu!$I$101,M1173=phu!$I$102),"Tỉnh khác",""))</f>
        <v/>
      </c>
      <c r="O1173" s="814" t="str">
        <f t="shared" si="109"/>
        <v/>
      </c>
      <c r="P1173" s="254"/>
      <c r="Q1173" s="254"/>
      <c r="R1173" s="254"/>
      <c r="S1173" s="254"/>
      <c r="T1173" s="254"/>
      <c r="U1173" s="254"/>
      <c r="V1173" s="254"/>
      <c r="W1173" s="254"/>
      <c r="Y1173" s="246" t="str">
        <f t="shared" si="110"/>
        <v/>
      </c>
      <c r="Z1173" s="247" t="str">
        <f t="shared" si="108"/>
        <v/>
      </c>
      <c r="AA1173" s="246" t="str">
        <f t="shared" si="111"/>
        <v/>
      </c>
    </row>
    <row r="1174" spans="1:27" x14ac:dyDescent="0.25">
      <c r="A1174" s="248" t="str">
        <f t="shared" si="112"/>
        <v/>
      </c>
      <c r="B1174" s="249" t="str">
        <f t="shared" si="113"/>
        <v/>
      </c>
      <c r="C1174" s="250"/>
      <c r="D1174" s="251"/>
      <c r="E1174" s="241"/>
      <c r="F1174" s="252"/>
      <c r="G1174" s="252"/>
      <c r="H1174" s="253"/>
      <c r="I1174" s="250"/>
      <c r="J1174" s="250"/>
      <c r="K1174" s="270"/>
      <c r="L1174" s="250"/>
      <c r="M1174" s="250"/>
      <c r="N1174" s="553" t="str">
        <f>CONCATENATE(IF(OR(M1174=phu!$I$1,M1174=phu!$I$2,M1174=phu!$I$3),"Cam Thành Nam",""),IF(OR(M1174=phu!$I$4,M1174=phu!$I$5,M1174=phu!$I$6,M1174=phu!$I$7,M1174=phu!$I$8,M1174=phu!$I$9,M1174=phu!$I$10,M1174=phu!$I$11,M1174=phu!$I$12,M1174=phu!$I$13,M1174=phu!$I$14),"Cam Nghĩa",""),IF(OR(M1174=phu!$I$15,M1174=phu!$I$16,M1174=phu!$I$17,M1174=phu!$I$18,M1174=phu!$I$19,M1174=phu!$I$20,M1174=phu!$I$21),"Cam Phúc Bắc",""),IF(OR(M1174=phu!$I$22,M1174=phu!$I$23,M1174=phu!$I$24,M1174=phu!$I$25),"Cam Phúc Nam",""),IF(OR(M1174=phu!$I$26,M1174=phu!$I$27,M1174=phu!$I$28,M1174=phu!$I$29,M1174=phu!$I$30,M1174=phu!$I$31),"Cam Phú",""),IF(OR(M1174=phu!$I$32,M1174=phu!$I$33,M1174=phu!$I$34,M1174=phu!$I$35,M1174=phu!$I$36,M1174=phu!$I$37),"Cam Lộc",""),IF(OR(M1174=phu!$I$38,M1174=phu!$I$39,M1174=phu!$I$40,M1174=phu!$I$41,M1174=phu!$I$42,M1174=phu!$I$43,M1174=phu!$I$44),"Cam Thuận",""),IF(OR(M1174=phu!$I$45,M1174=phu!$I$46,M1174=phu!$I$47,M1174=phu!$I$48,M1174=phu!$I$49,M1174=phu!$I$50,M1174=phu!$I$51,M1174=phu!$I$52,M1174=phu!$I$53),"Cam Linh",""),IF(OR(M1174=phu!$I$54,M1174=phu!$I$55,M1174=phu!$I$56,M1174=phu!$I$57,M1174=phu!$I$58,M1174=phu!$I$59,M1174=phu!$I$60,M1174=phu!$I$61,M1174=phu!$I$62),"Cam Lợi",""),IF(OR(M1174=phu!$I$63,M1174=phu!$I$64,M1174=phu!$I$65,M1174=phu!$I$66,M1174=phu!$I$67,M1174=phu!$I$68,M1174=phu!$I$69,M1174=phu!$I$70,M1174=phu!$I$71),"Ba Ngòi",""),IF(OR(M1174=phu!$I$72,M1174=phu!$I$73,M1174=phu!$I$74,M1174=phu!$I$75,M1174=phu!$I$76,M1174=phu!$I$77,M1174=phu!$I$78),"Cam Phước Đông",""),IF(OR(M1174=phu!$I$79,M1174=phu!$I$80,M1174=phu!$I$81,M1174=phu!$I$82,M1174=phu!$I$83,M1174=phu!$I$84),"Cam Thịnh Đông",""),IF(OR(M1174=phu!$I$85,M1174=phu!$I$86,M1174=phu!$I$87,M1174=phu!$I$88),"Cam Thịnh Tây",""),IF(OR(M1174=phu!$I$89,M1174=phu!$I$90),"Cam Lập",""),IF(OR(M1174=phu!$I$91,M1174=phu!$I$92,M1174=phu!$I$93),"Cam Bình",""),IF(OR(M1174=phu!$I$94,M1174=phu!$I$95,M1174=phu!$I$96,M1174=phu!$I$97,M1174=phu!$I$98,M1174=phu!$I$99,M1174=phu!$I$100),"Huyện khác",""),IF(OR(M1174=phu!$I$101,M1174=phu!$I$102),"Tỉnh khác",""))</f>
        <v/>
      </c>
      <c r="O1174" s="814" t="str">
        <f t="shared" si="109"/>
        <v/>
      </c>
      <c r="P1174" s="254"/>
      <c r="Q1174" s="254"/>
      <c r="R1174" s="254"/>
      <c r="S1174" s="254"/>
      <c r="T1174" s="254"/>
      <c r="U1174" s="254"/>
      <c r="V1174" s="254"/>
      <c r="W1174" s="254"/>
      <c r="Y1174" s="246" t="str">
        <f t="shared" si="110"/>
        <v/>
      </c>
      <c r="Z1174" s="247" t="str">
        <f t="shared" si="108"/>
        <v/>
      </c>
      <c r="AA1174" s="246" t="str">
        <f t="shared" si="111"/>
        <v/>
      </c>
    </row>
    <row r="1175" spans="1:27" x14ac:dyDescent="0.25">
      <c r="A1175" s="248" t="str">
        <f t="shared" si="112"/>
        <v/>
      </c>
      <c r="B1175" s="249" t="str">
        <f t="shared" si="113"/>
        <v/>
      </c>
      <c r="C1175" s="250"/>
      <c r="D1175" s="251"/>
      <c r="E1175" s="241"/>
      <c r="F1175" s="252"/>
      <c r="G1175" s="252"/>
      <c r="H1175" s="253"/>
      <c r="I1175" s="250"/>
      <c r="J1175" s="250"/>
      <c r="K1175" s="270"/>
      <c r="L1175" s="250"/>
      <c r="M1175" s="250"/>
      <c r="N1175" s="553" t="str">
        <f>CONCATENATE(IF(OR(M1175=phu!$I$1,M1175=phu!$I$2,M1175=phu!$I$3),"Cam Thành Nam",""),IF(OR(M1175=phu!$I$4,M1175=phu!$I$5,M1175=phu!$I$6,M1175=phu!$I$7,M1175=phu!$I$8,M1175=phu!$I$9,M1175=phu!$I$10,M1175=phu!$I$11,M1175=phu!$I$12,M1175=phu!$I$13,M1175=phu!$I$14),"Cam Nghĩa",""),IF(OR(M1175=phu!$I$15,M1175=phu!$I$16,M1175=phu!$I$17,M1175=phu!$I$18,M1175=phu!$I$19,M1175=phu!$I$20,M1175=phu!$I$21),"Cam Phúc Bắc",""),IF(OR(M1175=phu!$I$22,M1175=phu!$I$23,M1175=phu!$I$24,M1175=phu!$I$25),"Cam Phúc Nam",""),IF(OR(M1175=phu!$I$26,M1175=phu!$I$27,M1175=phu!$I$28,M1175=phu!$I$29,M1175=phu!$I$30,M1175=phu!$I$31),"Cam Phú",""),IF(OR(M1175=phu!$I$32,M1175=phu!$I$33,M1175=phu!$I$34,M1175=phu!$I$35,M1175=phu!$I$36,M1175=phu!$I$37),"Cam Lộc",""),IF(OR(M1175=phu!$I$38,M1175=phu!$I$39,M1175=phu!$I$40,M1175=phu!$I$41,M1175=phu!$I$42,M1175=phu!$I$43,M1175=phu!$I$44),"Cam Thuận",""),IF(OR(M1175=phu!$I$45,M1175=phu!$I$46,M1175=phu!$I$47,M1175=phu!$I$48,M1175=phu!$I$49,M1175=phu!$I$50,M1175=phu!$I$51,M1175=phu!$I$52,M1175=phu!$I$53),"Cam Linh",""),IF(OR(M1175=phu!$I$54,M1175=phu!$I$55,M1175=phu!$I$56,M1175=phu!$I$57,M1175=phu!$I$58,M1175=phu!$I$59,M1175=phu!$I$60,M1175=phu!$I$61,M1175=phu!$I$62),"Cam Lợi",""),IF(OR(M1175=phu!$I$63,M1175=phu!$I$64,M1175=phu!$I$65,M1175=phu!$I$66,M1175=phu!$I$67,M1175=phu!$I$68,M1175=phu!$I$69,M1175=phu!$I$70,M1175=phu!$I$71),"Ba Ngòi",""),IF(OR(M1175=phu!$I$72,M1175=phu!$I$73,M1175=phu!$I$74,M1175=phu!$I$75,M1175=phu!$I$76,M1175=phu!$I$77,M1175=phu!$I$78),"Cam Phước Đông",""),IF(OR(M1175=phu!$I$79,M1175=phu!$I$80,M1175=phu!$I$81,M1175=phu!$I$82,M1175=phu!$I$83,M1175=phu!$I$84),"Cam Thịnh Đông",""),IF(OR(M1175=phu!$I$85,M1175=phu!$I$86,M1175=phu!$I$87,M1175=phu!$I$88),"Cam Thịnh Tây",""),IF(OR(M1175=phu!$I$89,M1175=phu!$I$90),"Cam Lập",""),IF(OR(M1175=phu!$I$91,M1175=phu!$I$92,M1175=phu!$I$93),"Cam Bình",""),IF(OR(M1175=phu!$I$94,M1175=phu!$I$95,M1175=phu!$I$96,M1175=phu!$I$97,M1175=phu!$I$98,M1175=phu!$I$99,M1175=phu!$I$100),"Huyện khác",""),IF(OR(M1175=phu!$I$101,M1175=phu!$I$102),"Tỉnh khác",""))</f>
        <v/>
      </c>
      <c r="O1175" s="814" t="str">
        <f t="shared" si="109"/>
        <v/>
      </c>
      <c r="P1175" s="254"/>
      <c r="Q1175" s="254"/>
      <c r="R1175" s="254"/>
      <c r="S1175" s="254"/>
      <c r="T1175" s="254"/>
      <c r="U1175" s="254"/>
      <c r="V1175" s="254"/>
      <c r="W1175" s="254"/>
      <c r="Y1175" s="246" t="str">
        <f t="shared" si="110"/>
        <v/>
      </c>
      <c r="Z1175" s="247" t="str">
        <f t="shared" si="108"/>
        <v/>
      </c>
      <c r="AA1175" s="246" t="str">
        <f t="shared" si="111"/>
        <v/>
      </c>
    </row>
    <row r="1176" spans="1:27" x14ac:dyDescent="0.25">
      <c r="A1176" s="248" t="str">
        <f t="shared" si="112"/>
        <v/>
      </c>
      <c r="B1176" s="249" t="str">
        <f t="shared" si="113"/>
        <v/>
      </c>
      <c r="C1176" s="250"/>
      <c r="D1176" s="251"/>
      <c r="E1176" s="241"/>
      <c r="F1176" s="252"/>
      <c r="G1176" s="252"/>
      <c r="H1176" s="253"/>
      <c r="I1176" s="250"/>
      <c r="J1176" s="250"/>
      <c r="K1176" s="270"/>
      <c r="L1176" s="250"/>
      <c r="M1176" s="250"/>
      <c r="N1176" s="553" t="str">
        <f>CONCATENATE(IF(OR(M1176=phu!$I$1,M1176=phu!$I$2,M1176=phu!$I$3),"Cam Thành Nam",""),IF(OR(M1176=phu!$I$4,M1176=phu!$I$5,M1176=phu!$I$6,M1176=phu!$I$7,M1176=phu!$I$8,M1176=phu!$I$9,M1176=phu!$I$10,M1176=phu!$I$11,M1176=phu!$I$12,M1176=phu!$I$13,M1176=phu!$I$14),"Cam Nghĩa",""),IF(OR(M1176=phu!$I$15,M1176=phu!$I$16,M1176=phu!$I$17,M1176=phu!$I$18,M1176=phu!$I$19,M1176=phu!$I$20,M1176=phu!$I$21),"Cam Phúc Bắc",""),IF(OR(M1176=phu!$I$22,M1176=phu!$I$23,M1176=phu!$I$24,M1176=phu!$I$25),"Cam Phúc Nam",""),IF(OR(M1176=phu!$I$26,M1176=phu!$I$27,M1176=phu!$I$28,M1176=phu!$I$29,M1176=phu!$I$30,M1176=phu!$I$31),"Cam Phú",""),IF(OR(M1176=phu!$I$32,M1176=phu!$I$33,M1176=phu!$I$34,M1176=phu!$I$35,M1176=phu!$I$36,M1176=phu!$I$37),"Cam Lộc",""),IF(OR(M1176=phu!$I$38,M1176=phu!$I$39,M1176=phu!$I$40,M1176=phu!$I$41,M1176=phu!$I$42,M1176=phu!$I$43,M1176=phu!$I$44),"Cam Thuận",""),IF(OR(M1176=phu!$I$45,M1176=phu!$I$46,M1176=phu!$I$47,M1176=phu!$I$48,M1176=phu!$I$49,M1176=phu!$I$50,M1176=phu!$I$51,M1176=phu!$I$52,M1176=phu!$I$53),"Cam Linh",""),IF(OR(M1176=phu!$I$54,M1176=phu!$I$55,M1176=phu!$I$56,M1176=phu!$I$57,M1176=phu!$I$58,M1176=phu!$I$59,M1176=phu!$I$60,M1176=phu!$I$61,M1176=phu!$I$62),"Cam Lợi",""),IF(OR(M1176=phu!$I$63,M1176=phu!$I$64,M1176=phu!$I$65,M1176=phu!$I$66,M1176=phu!$I$67,M1176=phu!$I$68,M1176=phu!$I$69,M1176=phu!$I$70,M1176=phu!$I$71),"Ba Ngòi",""),IF(OR(M1176=phu!$I$72,M1176=phu!$I$73,M1176=phu!$I$74,M1176=phu!$I$75,M1176=phu!$I$76,M1176=phu!$I$77,M1176=phu!$I$78),"Cam Phước Đông",""),IF(OR(M1176=phu!$I$79,M1176=phu!$I$80,M1176=phu!$I$81,M1176=phu!$I$82,M1176=phu!$I$83,M1176=phu!$I$84),"Cam Thịnh Đông",""),IF(OR(M1176=phu!$I$85,M1176=phu!$I$86,M1176=phu!$I$87,M1176=phu!$I$88),"Cam Thịnh Tây",""),IF(OR(M1176=phu!$I$89,M1176=phu!$I$90),"Cam Lập",""),IF(OR(M1176=phu!$I$91,M1176=phu!$I$92,M1176=phu!$I$93),"Cam Bình",""),IF(OR(M1176=phu!$I$94,M1176=phu!$I$95,M1176=phu!$I$96,M1176=phu!$I$97,M1176=phu!$I$98,M1176=phu!$I$99,M1176=phu!$I$100),"Huyện khác",""),IF(OR(M1176=phu!$I$101,M1176=phu!$I$102),"Tỉnh khác",""))</f>
        <v/>
      </c>
      <c r="O1176" s="814" t="str">
        <f t="shared" si="109"/>
        <v/>
      </c>
      <c r="P1176" s="254"/>
      <c r="Q1176" s="254"/>
      <c r="R1176" s="254"/>
      <c r="S1176" s="254"/>
      <c r="T1176" s="254"/>
      <c r="U1176" s="254"/>
      <c r="V1176" s="254"/>
      <c r="W1176" s="254"/>
      <c r="Y1176" s="246" t="str">
        <f t="shared" si="110"/>
        <v/>
      </c>
      <c r="Z1176" s="247" t="str">
        <f t="shared" si="108"/>
        <v/>
      </c>
      <c r="AA1176" s="246" t="str">
        <f t="shared" si="111"/>
        <v/>
      </c>
    </row>
    <row r="1177" spans="1:27" x14ac:dyDescent="0.25">
      <c r="A1177" s="248" t="str">
        <f t="shared" si="112"/>
        <v/>
      </c>
      <c r="B1177" s="249" t="str">
        <f t="shared" si="113"/>
        <v/>
      </c>
      <c r="C1177" s="250"/>
      <c r="D1177" s="251"/>
      <c r="E1177" s="241"/>
      <c r="F1177" s="252"/>
      <c r="G1177" s="252"/>
      <c r="H1177" s="253"/>
      <c r="I1177" s="250"/>
      <c r="J1177" s="250"/>
      <c r="K1177" s="270"/>
      <c r="L1177" s="250"/>
      <c r="M1177" s="250"/>
      <c r="N1177" s="553" t="str">
        <f>CONCATENATE(IF(OR(M1177=phu!$I$1,M1177=phu!$I$2,M1177=phu!$I$3),"Cam Thành Nam",""),IF(OR(M1177=phu!$I$4,M1177=phu!$I$5,M1177=phu!$I$6,M1177=phu!$I$7,M1177=phu!$I$8,M1177=phu!$I$9,M1177=phu!$I$10,M1177=phu!$I$11,M1177=phu!$I$12,M1177=phu!$I$13,M1177=phu!$I$14),"Cam Nghĩa",""),IF(OR(M1177=phu!$I$15,M1177=phu!$I$16,M1177=phu!$I$17,M1177=phu!$I$18,M1177=phu!$I$19,M1177=phu!$I$20,M1177=phu!$I$21),"Cam Phúc Bắc",""),IF(OR(M1177=phu!$I$22,M1177=phu!$I$23,M1177=phu!$I$24,M1177=phu!$I$25),"Cam Phúc Nam",""),IF(OR(M1177=phu!$I$26,M1177=phu!$I$27,M1177=phu!$I$28,M1177=phu!$I$29,M1177=phu!$I$30,M1177=phu!$I$31),"Cam Phú",""),IF(OR(M1177=phu!$I$32,M1177=phu!$I$33,M1177=phu!$I$34,M1177=phu!$I$35,M1177=phu!$I$36,M1177=phu!$I$37),"Cam Lộc",""),IF(OR(M1177=phu!$I$38,M1177=phu!$I$39,M1177=phu!$I$40,M1177=phu!$I$41,M1177=phu!$I$42,M1177=phu!$I$43,M1177=phu!$I$44),"Cam Thuận",""),IF(OR(M1177=phu!$I$45,M1177=phu!$I$46,M1177=phu!$I$47,M1177=phu!$I$48,M1177=phu!$I$49,M1177=phu!$I$50,M1177=phu!$I$51,M1177=phu!$I$52,M1177=phu!$I$53),"Cam Linh",""),IF(OR(M1177=phu!$I$54,M1177=phu!$I$55,M1177=phu!$I$56,M1177=phu!$I$57,M1177=phu!$I$58,M1177=phu!$I$59,M1177=phu!$I$60,M1177=phu!$I$61,M1177=phu!$I$62),"Cam Lợi",""),IF(OR(M1177=phu!$I$63,M1177=phu!$I$64,M1177=phu!$I$65,M1177=phu!$I$66,M1177=phu!$I$67,M1177=phu!$I$68,M1177=phu!$I$69,M1177=phu!$I$70,M1177=phu!$I$71),"Ba Ngòi",""),IF(OR(M1177=phu!$I$72,M1177=phu!$I$73,M1177=phu!$I$74,M1177=phu!$I$75,M1177=phu!$I$76,M1177=phu!$I$77,M1177=phu!$I$78),"Cam Phước Đông",""),IF(OR(M1177=phu!$I$79,M1177=phu!$I$80,M1177=phu!$I$81,M1177=phu!$I$82,M1177=phu!$I$83,M1177=phu!$I$84),"Cam Thịnh Đông",""),IF(OR(M1177=phu!$I$85,M1177=phu!$I$86,M1177=phu!$I$87,M1177=phu!$I$88),"Cam Thịnh Tây",""),IF(OR(M1177=phu!$I$89,M1177=phu!$I$90),"Cam Lập",""),IF(OR(M1177=phu!$I$91,M1177=phu!$I$92,M1177=phu!$I$93),"Cam Bình",""),IF(OR(M1177=phu!$I$94,M1177=phu!$I$95,M1177=phu!$I$96,M1177=phu!$I$97,M1177=phu!$I$98,M1177=phu!$I$99,M1177=phu!$I$100),"Huyện khác",""),IF(OR(M1177=phu!$I$101,M1177=phu!$I$102),"Tỉnh khác",""))</f>
        <v/>
      </c>
      <c r="O1177" s="814" t="str">
        <f t="shared" si="109"/>
        <v/>
      </c>
      <c r="P1177" s="254"/>
      <c r="Q1177" s="254"/>
      <c r="R1177" s="254"/>
      <c r="S1177" s="254"/>
      <c r="T1177" s="254"/>
      <c r="U1177" s="254"/>
      <c r="V1177" s="254"/>
      <c r="W1177" s="254"/>
      <c r="Y1177" s="246" t="str">
        <f t="shared" si="110"/>
        <v/>
      </c>
      <c r="Z1177" s="247" t="str">
        <f t="shared" si="108"/>
        <v/>
      </c>
      <c r="AA1177" s="246" t="str">
        <f t="shared" si="111"/>
        <v/>
      </c>
    </row>
    <row r="1178" spans="1:27" x14ac:dyDescent="0.25">
      <c r="A1178" s="248" t="str">
        <f t="shared" si="112"/>
        <v/>
      </c>
      <c r="B1178" s="249" t="str">
        <f t="shared" si="113"/>
        <v/>
      </c>
      <c r="C1178" s="250"/>
      <c r="D1178" s="251"/>
      <c r="E1178" s="241"/>
      <c r="F1178" s="252"/>
      <c r="G1178" s="252"/>
      <c r="H1178" s="253"/>
      <c r="I1178" s="250"/>
      <c r="J1178" s="250"/>
      <c r="K1178" s="270"/>
      <c r="L1178" s="250"/>
      <c r="M1178" s="250"/>
      <c r="N1178" s="553" t="str">
        <f>CONCATENATE(IF(OR(M1178=phu!$I$1,M1178=phu!$I$2,M1178=phu!$I$3),"Cam Thành Nam",""),IF(OR(M1178=phu!$I$4,M1178=phu!$I$5,M1178=phu!$I$6,M1178=phu!$I$7,M1178=phu!$I$8,M1178=phu!$I$9,M1178=phu!$I$10,M1178=phu!$I$11,M1178=phu!$I$12,M1178=phu!$I$13,M1178=phu!$I$14),"Cam Nghĩa",""),IF(OR(M1178=phu!$I$15,M1178=phu!$I$16,M1178=phu!$I$17,M1178=phu!$I$18,M1178=phu!$I$19,M1178=phu!$I$20,M1178=phu!$I$21),"Cam Phúc Bắc",""),IF(OR(M1178=phu!$I$22,M1178=phu!$I$23,M1178=phu!$I$24,M1178=phu!$I$25),"Cam Phúc Nam",""),IF(OR(M1178=phu!$I$26,M1178=phu!$I$27,M1178=phu!$I$28,M1178=phu!$I$29,M1178=phu!$I$30,M1178=phu!$I$31),"Cam Phú",""),IF(OR(M1178=phu!$I$32,M1178=phu!$I$33,M1178=phu!$I$34,M1178=phu!$I$35,M1178=phu!$I$36,M1178=phu!$I$37),"Cam Lộc",""),IF(OR(M1178=phu!$I$38,M1178=phu!$I$39,M1178=phu!$I$40,M1178=phu!$I$41,M1178=phu!$I$42,M1178=phu!$I$43,M1178=phu!$I$44),"Cam Thuận",""),IF(OR(M1178=phu!$I$45,M1178=phu!$I$46,M1178=phu!$I$47,M1178=phu!$I$48,M1178=phu!$I$49,M1178=phu!$I$50,M1178=phu!$I$51,M1178=phu!$I$52,M1178=phu!$I$53),"Cam Linh",""),IF(OR(M1178=phu!$I$54,M1178=phu!$I$55,M1178=phu!$I$56,M1178=phu!$I$57,M1178=phu!$I$58,M1178=phu!$I$59,M1178=phu!$I$60,M1178=phu!$I$61,M1178=phu!$I$62),"Cam Lợi",""),IF(OR(M1178=phu!$I$63,M1178=phu!$I$64,M1178=phu!$I$65,M1178=phu!$I$66,M1178=phu!$I$67,M1178=phu!$I$68,M1178=phu!$I$69,M1178=phu!$I$70,M1178=phu!$I$71),"Ba Ngòi",""),IF(OR(M1178=phu!$I$72,M1178=phu!$I$73,M1178=phu!$I$74,M1178=phu!$I$75,M1178=phu!$I$76,M1178=phu!$I$77,M1178=phu!$I$78),"Cam Phước Đông",""),IF(OR(M1178=phu!$I$79,M1178=phu!$I$80,M1178=phu!$I$81,M1178=phu!$I$82,M1178=phu!$I$83,M1178=phu!$I$84),"Cam Thịnh Đông",""),IF(OR(M1178=phu!$I$85,M1178=phu!$I$86,M1178=phu!$I$87,M1178=phu!$I$88),"Cam Thịnh Tây",""),IF(OR(M1178=phu!$I$89,M1178=phu!$I$90),"Cam Lập",""),IF(OR(M1178=phu!$I$91,M1178=phu!$I$92,M1178=phu!$I$93),"Cam Bình",""),IF(OR(M1178=phu!$I$94,M1178=phu!$I$95,M1178=phu!$I$96,M1178=phu!$I$97,M1178=phu!$I$98,M1178=phu!$I$99,M1178=phu!$I$100),"Huyện khác",""),IF(OR(M1178=phu!$I$101,M1178=phu!$I$102),"Tỉnh khác",""))</f>
        <v/>
      </c>
      <c r="O1178" s="814" t="str">
        <f t="shared" si="109"/>
        <v/>
      </c>
      <c r="P1178" s="254"/>
      <c r="Q1178" s="254"/>
      <c r="R1178" s="254"/>
      <c r="S1178" s="254"/>
      <c r="T1178" s="254"/>
      <c r="U1178" s="254"/>
      <c r="V1178" s="254"/>
      <c r="W1178" s="254"/>
      <c r="Y1178" s="246" t="str">
        <f t="shared" si="110"/>
        <v/>
      </c>
      <c r="Z1178" s="247" t="str">
        <f t="shared" si="108"/>
        <v/>
      </c>
      <c r="AA1178" s="246" t="str">
        <f t="shared" si="111"/>
        <v/>
      </c>
    </row>
    <row r="1179" spans="1:27" x14ac:dyDescent="0.25">
      <c r="A1179" s="248" t="str">
        <f t="shared" si="112"/>
        <v/>
      </c>
      <c r="B1179" s="249" t="str">
        <f t="shared" si="113"/>
        <v/>
      </c>
      <c r="C1179" s="250"/>
      <c r="D1179" s="251"/>
      <c r="E1179" s="241"/>
      <c r="F1179" s="252"/>
      <c r="G1179" s="252"/>
      <c r="H1179" s="253"/>
      <c r="I1179" s="250"/>
      <c r="J1179" s="250"/>
      <c r="K1179" s="270"/>
      <c r="L1179" s="250"/>
      <c r="M1179" s="250"/>
      <c r="N1179" s="553" t="str">
        <f>CONCATENATE(IF(OR(M1179=phu!$I$1,M1179=phu!$I$2,M1179=phu!$I$3),"Cam Thành Nam",""),IF(OR(M1179=phu!$I$4,M1179=phu!$I$5,M1179=phu!$I$6,M1179=phu!$I$7,M1179=phu!$I$8,M1179=phu!$I$9,M1179=phu!$I$10,M1179=phu!$I$11,M1179=phu!$I$12,M1179=phu!$I$13,M1179=phu!$I$14),"Cam Nghĩa",""),IF(OR(M1179=phu!$I$15,M1179=phu!$I$16,M1179=phu!$I$17,M1179=phu!$I$18,M1179=phu!$I$19,M1179=phu!$I$20,M1179=phu!$I$21),"Cam Phúc Bắc",""),IF(OR(M1179=phu!$I$22,M1179=phu!$I$23,M1179=phu!$I$24,M1179=phu!$I$25),"Cam Phúc Nam",""),IF(OR(M1179=phu!$I$26,M1179=phu!$I$27,M1179=phu!$I$28,M1179=phu!$I$29,M1179=phu!$I$30,M1179=phu!$I$31),"Cam Phú",""),IF(OR(M1179=phu!$I$32,M1179=phu!$I$33,M1179=phu!$I$34,M1179=phu!$I$35,M1179=phu!$I$36,M1179=phu!$I$37),"Cam Lộc",""),IF(OR(M1179=phu!$I$38,M1179=phu!$I$39,M1179=phu!$I$40,M1179=phu!$I$41,M1179=phu!$I$42,M1179=phu!$I$43,M1179=phu!$I$44),"Cam Thuận",""),IF(OR(M1179=phu!$I$45,M1179=phu!$I$46,M1179=phu!$I$47,M1179=phu!$I$48,M1179=phu!$I$49,M1179=phu!$I$50,M1179=phu!$I$51,M1179=phu!$I$52,M1179=phu!$I$53),"Cam Linh",""),IF(OR(M1179=phu!$I$54,M1179=phu!$I$55,M1179=phu!$I$56,M1179=phu!$I$57,M1179=phu!$I$58,M1179=phu!$I$59,M1179=phu!$I$60,M1179=phu!$I$61,M1179=phu!$I$62),"Cam Lợi",""),IF(OR(M1179=phu!$I$63,M1179=phu!$I$64,M1179=phu!$I$65,M1179=phu!$I$66,M1179=phu!$I$67,M1179=phu!$I$68,M1179=phu!$I$69,M1179=phu!$I$70,M1179=phu!$I$71),"Ba Ngòi",""),IF(OR(M1179=phu!$I$72,M1179=phu!$I$73,M1179=phu!$I$74,M1179=phu!$I$75,M1179=phu!$I$76,M1179=phu!$I$77,M1179=phu!$I$78),"Cam Phước Đông",""),IF(OR(M1179=phu!$I$79,M1179=phu!$I$80,M1179=phu!$I$81,M1179=phu!$I$82,M1179=phu!$I$83,M1179=phu!$I$84),"Cam Thịnh Đông",""),IF(OR(M1179=phu!$I$85,M1179=phu!$I$86,M1179=phu!$I$87,M1179=phu!$I$88),"Cam Thịnh Tây",""),IF(OR(M1179=phu!$I$89,M1179=phu!$I$90),"Cam Lập",""),IF(OR(M1179=phu!$I$91,M1179=phu!$I$92,M1179=phu!$I$93),"Cam Bình",""),IF(OR(M1179=phu!$I$94,M1179=phu!$I$95,M1179=phu!$I$96,M1179=phu!$I$97,M1179=phu!$I$98,M1179=phu!$I$99,M1179=phu!$I$100),"Huyện khác",""),IF(OR(M1179=phu!$I$101,M1179=phu!$I$102),"Tỉnh khác",""))</f>
        <v/>
      </c>
      <c r="O1179" s="814" t="str">
        <f t="shared" si="109"/>
        <v/>
      </c>
      <c r="P1179" s="254"/>
      <c r="Q1179" s="254"/>
      <c r="R1179" s="254"/>
      <c r="S1179" s="254"/>
      <c r="T1179" s="254"/>
      <c r="U1179" s="254"/>
      <c r="V1179" s="254"/>
      <c r="W1179" s="254"/>
      <c r="Y1179" s="246" t="str">
        <f t="shared" si="110"/>
        <v/>
      </c>
      <c r="Z1179" s="247" t="str">
        <f t="shared" si="108"/>
        <v/>
      </c>
      <c r="AA1179" s="246" t="str">
        <f t="shared" si="111"/>
        <v/>
      </c>
    </row>
    <row r="1180" spans="1:27" x14ac:dyDescent="0.25">
      <c r="A1180" s="248" t="str">
        <f t="shared" si="112"/>
        <v/>
      </c>
      <c r="B1180" s="249" t="str">
        <f t="shared" si="113"/>
        <v/>
      </c>
      <c r="C1180" s="250"/>
      <c r="D1180" s="251"/>
      <c r="E1180" s="241"/>
      <c r="F1180" s="252"/>
      <c r="G1180" s="252"/>
      <c r="H1180" s="253"/>
      <c r="I1180" s="250"/>
      <c r="J1180" s="250"/>
      <c r="K1180" s="270"/>
      <c r="L1180" s="250"/>
      <c r="M1180" s="250"/>
      <c r="N1180" s="553" t="str">
        <f>CONCATENATE(IF(OR(M1180=phu!$I$1,M1180=phu!$I$2,M1180=phu!$I$3),"Cam Thành Nam",""),IF(OR(M1180=phu!$I$4,M1180=phu!$I$5,M1180=phu!$I$6,M1180=phu!$I$7,M1180=phu!$I$8,M1180=phu!$I$9,M1180=phu!$I$10,M1180=phu!$I$11,M1180=phu!$I$12,M1180=phu!$I$13,M1180=phu!$I$14),"Cam Nghĩa",""),IF(OR(M1180=phu!$I$15,M1180=phu!$I$16,M1180=phu!$I$17,M1180=phu!$I$18,M1180=phu!$I$19,M1180=phu!$I$20,M1180=phu!$I$21),"Cam Phúc Bắc",""),IF(OR(M1180=phu!$I$22,M1180=phu!$I$23,M1180=phu!$I$24,M1180=phu!$I$25),"Cam Phúc Nam",""),IF(OR(M1180=phu!$I$26,M1180=phu!$I$27,M1180=phu!$I$28,M1180=phu!$I$29,M1180=phu!$I$30,M1180=phu!$I$31),"Cam Phú",""),IF(OR(M1180=phu!$I$32,M1180=phu!$I$33,M1180=phu!$I$34,M1180=phu!$I$35,M1180=phu!$I$36,M1180=phu!$I$37),"Cam Lộc",""),IF(OR(M1180=phu!$I$38,M1180=phu!$I$39,M1180=phu!$I$40,M1180=phu!$I$41,M1180=phu!$I$42,M1180=phu!$I$43,M1180=phu!$I$44),"Cam Thuận",""),IF(OR(M1180=phu!$I$45,M1180=phu!$I$46,M1180=phu!$I$47,M1180=phu!$I$48,M1180=phu!$I$49,M1180=phu!$I$50,M1180=phu!$I$51,M1180=phu!$I$52,M1180=phu!$I$53),"Cam Linh",""),IF(OR(M1180=phu!$I$54,M1180=phu!$I$55,M1180=phu!$I$56,M1180=phu!$I$57,M1180=phu!$I$58,M1180=phu!$I$59,M1180=phu!$I$60,M1180=phu!$I$61,M1180=phu!$I$62),"Cam Lợi",""),IF(OR(M1180=phu!$I$63,M1180=phu!$I$64,M1180=phu!$I$65,M1180=phu!$I$66,M1180=phu!$I$67,M1180=phu!$I$68,M1180=phu!$I$69,M1180=phu!$I$70,M1180=phu!$I$71),"Ba Ngòi",""),IF(OR(M1180=phu!$I$72,M1180=phu!$I$73,M1180=phu!$I$74,M1180=phu!$I$75,M1180=phu!$I$76,M1180=phu!$I$77,M1180=phu!$I$78),"Cam Phước Đông",""),IF(OR(M1180=phu!$I$79,M1180=phu!$I$80,M1180=phu!$I$81,M1180=phu!$I$82,M1180=phu!$I$83,M1180=phu!$I$84),"Cam Thịnh Đông",""),IF(OR(M1180=phu!$I$85,M1180=phu!$I$86,M1180=phu!$I$87,M1180=phu!$I$88),"Cam Thịnh Tây",""),IF(OR(M1180=phu!$I$89,M1180=phu!$I$90),"Cam Lập",""),IF(OR(M1180=phu!$I$91,M1180=phu!$I$92,M1180=phu!$I$93),"Cam Bình",""),IF(OR(M1180=phu!$I$94,M1180=phu!$I$95,M1180=phu!$I$96,M1180=phu!$I$97,M1180=phu!$I$98,M1180=phu!$I$99,M1180=phu!$I$100),"Huyện khác",""),IF(OR(M1180=phu!$I$101,M1180=phu!$I$102),"Tỉnh khác",""))</f>
        <v/>
      </c>
      <c r="O1180" s="814" t="str">
        <f t="shared" si="109"/>
        <v/>
      </c>
      <c r="P1180" s="254"/>
      <c r="Q1180" s="254"/>
      <c r="R1180" s="254"/>
      <c r="S1180" s="254"/>
      <c r="T1180" s="254"/>
      <c r="U1180" s="254"/>
      <c r="V1180" s="254"/>
      <c r="W1180" s="254"/>
      <c r="Y1180" s="246" t="str">
        <f t="shared" si="110"/>
        <v/>
      </c>
      <c r="Z1180" s="247" t="str">
        <f t="shared" si="108"/>
        <v/>
      </c>
      <c r="AA1180" s="246" t="str">
        <f t="shared" si="111"/>
        <v/>
      </c>
    </row>
    <row r="1181" spans="1:27" x14ac:dyDescent="0.25">
      <c r="A1181" s="248" t="str">
        <f t="shared" si="112"/>
        <v/>
      </c>
      <c r="B1181" s="249" t="str">
        <f t="shared" si="113"/>
        <v/>
      </c>
      <c r="C1181" s="250"/>
      <c r="D1181" s="251"/>
      <c r="E1181" s="241"/>
      <c r="F1181" s="252"/>
      <c r="G1181" s="252"/>
      <c r="H1181" s="253"/>
      <c r="I1181" s="250"/>
      <c r="J1181" s="250"/>
      <c r="K1181" s="270"/>
      <c r="L1181" s="250"/>
      <c r="M1181" s="250"/>
      <c r="N1181" s="553" t="str">
        <f>CONCATENATE(IF(OR(M1181=phu!$I$1,M1181=phu!$I$2,M1181=phu!$I$3),"Cam Thành Nam",""),IF(OR(M1181=phu!$I$4,M1181=phu!$I$5,M1181=phu!$I$6,M1181=phu!$I$7,M1181=phu!$I$8,M1181=phu!$I$9,M1181=phu!$I$10,M1181=phu!$I$11,M1181=phu!$I$12,M1181=phu!$I$13,M1181=phu!$I$14),"Cam Nghĩa",""),IF(OR(M1181=phu!$I$15,M1181=phu!$I$16,M1181=phu!$I$17,M1181=phu!$I$18,M1181=phu!$I$19,M1181=phu!$I$20,M1181=phu!$I$21),"Cam Phúc Bắc",""),IF(OR(M1181=phu!$I$22,M1181=phu!$I$23,M1181=phu!$I$24,M1181=phu!$I$25),"Cam Phúc Nam",""),IF(OR(M1181=phu!$I$26,M1181=phu!$I$27,M1181=phu!$I$28,M1181=phu!$I$29,M1181=phu!$I$30,M1181=phu!$I$31),"Cam Phú",""),IF(OR(M1181=phu!$I$32,M1181=phu!$I$33,M1181=phu!$I$34,M1181=phu!$I$35,M1181=phu!$I$36,M1181=phu!$I$37),"Cam Lộc",""),IF(OR(M1181=phu!$I$38,M1181=phu!$I$39,M1181=phu!$I$40,M1181=phu!$I$41,M1181=phu!$I$42,M1181=phu!$I$43,M1181=phu!$I$44),"Cam Thuận",""),IF(OR(M1181=phu!$I$45,M1181=phu!$I$46,M1181=phu!$I$47,M1181=phu!$I$48,M1181=phu!$I$49,M1181=phu!$I$50,M1181=phu!$I$51,M1181=phu!$I$52,M1181=phu!$I$53),"Cam Linh",""),IF(OR(M1181=phu!$I$54,M1181=phu!$I$55,M1181=phu!$I$56,M1181=phu!$I$57,M1181=phu!$I$58,M1181=phu!$I$59,M1181=phu!$I$60,M1181=phu!$I$61,M1181=phu!$I$62),"Cam Lợi",""),IF(OR(M1181=phu!$I$63,M1181=phu!$I$64,M1181=phu!$I$65,M1181=phu!$I$66,M1181=phu!$I$67,M1181=phu!$I$68,M1181=phu!$I$69,M1181=phu!$I$70,M1181=phu!$I$71),"Ba Ngòi",""),IF(OR(M1181=phu!$I$72,M1181=phu!$I$73,M1181=phu!$I$74,M1181=phu!$I$75,M1181=phu!$I$76,M1181=phu!$I$77,M1181=phu!$I$78),"Cam Phước Đông",""),IF(OR(M1181=phu!$I$79,M1181=phu!$I$80,M1181=phu!$I$81,M1181=phu!$I$82,M1181=phu!$I$83,M1181=phu!$I$84),"Cam Thịnh Đông",""),IF(OR(M1181=phu!$I$85,M1181=phu!$I$86,M1181=phu!$I$87,M1181=phu!$I$88),"Cam Thịnh Tây",""),IF(OR(M1181=phu!$I$89,M1181=phu!$I$90),"Cam Lập",""),IF(OR(M1181=phu!$I$91,M1181=phu!$I$92,M1181=phu!$I$93),"Cam Bình",""),IF(OR(M1181=phu!$I$94,M1181=phu!$I$95,M1181=phu!$I$96,M1181=phu!$I$97,M1181=phu!$I$98,M1181=phu!$I$99,M1181=phu!$I$100),"Huyện khác",""),IF(OR(M1181=phu!$I$101,M1181=phu!$I$102),"Tỉnh khác",""))</f>
        <v/>
      </c>
      <c r="O1181" s="814" t="str">
        <f t="shared" si="109"/>
        <v/>
      </c>
      <c r="P1181" s="254"/>
      <c r="Q1181" s="254"/>
      <c r="R1181" s="254"/>
      <c r="S1181" s="254"/>
      <c r="T1181" s="254"/>
      <c r="U1181" s="254"/>
      <c r="V1181" s="254"/>
      <c r="W1181" s="254"/>
      <c r="Y1181" s="246" t="str">
        <f t="shared" si="110"/>
        <v/>
      </c>
      <c r="Z1181" s="247" t="str">
        <f t="shared" si="108"/>
        <v/>
      </c>
      <c r="AA1181" s="246" t="str">
        <f t="shared" si="111"/>
        <v/>
      </c>
    </row>
    <row r="1182" spans="1:27" x14ac:dyDescent="0.25">
      <c r="A1182" s="248" t="str">
        <f t="shared" si="112"/>
        <v/>
      </c>
      <c r="B1182" s="249" t="str">
        <f t="shared" si="113"/>
        <v/>
      </c>
      <c r="C1182" s="250"/>
      <c r="D1182" s="251"/>
      <c r="E1182" s="241"/>
      <c r="F1182" s="252"/>
      <c r="G1182" s="252"/>
      <c r="H1182" s="253"/>
      <c r="I1182" s="250"/>
      <c r="J1182" s="250"/>
      <c r="K1182" s="270"/>
      <c r="L1182" s="250"/>
      <c r="M1182" s="250"/>
      <c r="N1182" s="553" t="str">
        <f>CONCATENATE(IF(OR(M1182=phu!$I$1,M1182=phu!$I$2,M1182=phu!$I$3),"Cam Thành Nam",""),IF(OR(M1182=phu!$I$4,M1182=phu!$I$5,M1182=phu!$I$6,M1182=phu!$I$7,M1182=phu!$I$8,M1182=phu!$I$9,M1182=phu!$I$10,M1182=phu!$I$11,M1182=phu!$I$12,M1182=phu!$I$13,M1182=phu!$I$14),"Cam Nghĩa",""),IF(OR(M1182=phu!$I$15,M1182=phu!$I$16,M1182=phu!$I$17,M1182=phu!$I$18,M1182=phu!$I$19,M1182=phu!$I$20,M1182=phu!$I$21),"Cam Phúc Bắc",""),IF(OR(M1182=phu!$I$22,M1182=phu!$I$23,M1182=phu!$I$24,M1182=phu!$I$25),"Cam Phúc Nam",""),IF(OR(M1182=phu!$I$26,M1182=phu!$I$27,M1182=phu!$I$28,M1182=phu!$I$29,M1182=phu!$I$30,M1182=phu!$I$31),"Cam Phú",""),IF(OR(M1182=phu!$I$32,M1182=phu!$I$33,M1182=phu!$I$34,M1182=phu!$I$35,M1182=phu!$I$36,M1182=phu!$I$37),"Cam Lộc",""),IF(OR(M1182=phu!$I$38,M1182=phu!$I$39,M1182=phu!$I$40,M1182=phu!$I$41,M1182=phu!$I$42,M1182=phu!$I$43,M1182=phu!$I$44),"Cam Thuận",""),IF(OR(M1182=phu!$I$45,M1182=phu!$I$46,M1182=phu!$I$47,M1182=phu!$I$48,M1182=phu!$I$49,M1182=phu!$I$50,M1182=phu!$I$51,M1182=phu!$I$52,M1182=phu!$I$53),"Cam Linh",""),IF(OR(M1182=phu!$I$54,M1182=phu!$I$55,M1182=phu!$I$56,M1182=phu!$I$57,M1182=phu!$I$58,M1182=phu!$I$59,M1182=phu!$I$60,M1182=phu!$I$61,M1182=phu!$I$62),"Cam Lợi",""),IF(OR(M1182=phu!$I$63,M1182=phu!$I$64,M1182=phu!$I$65,M1182=phu!$I$66,M1182=phu!$I$67,M1182=phu!$I$68,M1182=phu!$I$69,M1182=phu!$I$70,M1182=phu!$I$71),"Ba Ngòi",""),IF(OR(M1182=phu!$I$72,M1182=phu!$I$73,M1182=phu!$I$74,M1182=phu!$I$75,M1182=phu!$I$76,M1182=phu!$I$77,M1182=phu!$I$78),"Cam Phước Đông",""),IF(OR(M1182=phu!$I$79,M1182=phu!$I$80,M1182=phu!$I$81,M1182=phu!$I$82,M1182=phu!$I$83,M1182=phu!$I$84),"Cam Thịnh Đông",""),IF(OR(M1182=phu!$I$85,M1182=phu!$I$86,M1182=phu!$I$87,M1182=phu!$I$88),"Cam Thịnh Tây",""),IF(OR(M1182=phu!$I$89,M1182=phu!$I$90),"Cam Lập",""),IF(OR(M1182=phu!$I$91,M1182=phu!$I$92,M1182=phu!$I$93),"Cam Bình",""),IF(OR(M1182=phu!$I$94,M1182=phu!$I$95,M1182=phu!$I$96,M1182=phu!$I$97,M1182=phu!$I$98,M1182=phu!$I$99,M1182=phu!$I$100),"Huyện khác",""),IF(OR(M1182=phu!$I$101,M1182=phu!$I$102),"Tỉnh khác",""))</f>
        <v/>
      </c>
      <c r="O1182" s="814" t="str">
        <f t="shared" si="109"/>
        <v/>
      </c>
      <c r="P1182" s="254"/>
      <c r="Q1182" s="254"/>
      <c r="R1182" s="254"/>
      <c r="S1182" s="254"/>
      <c r="T1182" s="254"/>
      <c r="U1182" s="254"/>
      <c r="V1182" s="254"/>
      <c r="W1182" s="254"/>
      <c r="Y1182" s="246" t="str">
        <f t="shared" si="110"/>
        <v/>
      </c>
      <c r="Z1182" s="247" t="str">
        <f t="shared" si="108"/>
        <v/>
      </c>
      <c r="AA1182" s="246" t="str">
        <f t="shared" si="111"/>
        <v/>
      </c>
    </row>
    <row r="1183" spans="1:27" x14ac:dyDescent="0.25">
      <c r="A1183" s="248" t="str">
        <f t="shared" si="112"/>
        <v/>
      </c>
      <c r="B1183" s="249" t="str">
        <f t="shared" si="113"/>
        <v/>
      </c>
      <c r="C1183" s="250"/>
      <c r="D1183" s="251"/>
      <c r="E1183" s="241"/>
      <c r="F1183" s="252"/>
      <c r="G1183" s="252"/>
      <c r="H1183" s="253"/>
      <c r="I1183" s="250"/>
      <c r="J1183" s="250"/>
      <c r="K1183" s="270"/>
      <c r="L1183" s="250"/>
      <c r="M1183" s="250"/>
      <c r="N1183" s="553" t="str">
        <f>CONCATENATE(IF(OR(M1183=phu!$I$1,M1183=phu!$I$2,M1183=phu!$I$3),"Cam Thành Nam",""),IF(OR(M1183=phu!$I$4,M1183=phu!$I$5,M1183=phu!$I$6,M1183=phu!$I$7,M1183=phu!$I$8,M1183=phu!$I$9,M1183=phu!$I$10,M1183=phu!$I$11,M1183=phu!$I$12,M1183=phu!$I$13,M1183=phu!$I$14),"Cam Nghĩa",""),IF(OR(M1183=phu!$I$15,M1183=phu!$I$16,M1183=phu!$I$17,M1183=phu!$I$18,M1183=phu!$I$19,M1183=phu!$I$20,M1183=phu!$I$21),"Cam Phúc Bắc",""),IF(OR(M1183=phu!$I$22,M1183=phu!$I$23,M1183=phu!$I$24,M1183=phu!$I$25),"Cam Phúc Nam",""),IF(OR(M1183=phu!$I$26,M1183=phu!$I$27,M1183=phu!$I$28,M1183=phu!$I$29,M1183=phu!$I$30,M1183=phu!$I$31),"Cam Phú",""),IF(OR(M1183=phu!$I$32,M1183=phu!$I$33,M1183=phu!$I$34,M1183=phu!$I$35,M1183=phu!$I$36,M1183=phu!$I$37),"Cam Lộc",""),IF(OR(M1183=phu!$I$38,M1183=phu!$I$39,M1183=phu!$I$40,M1183=phu!$I$41,M1183=phu!$I$42,M1183=phu!$I$43,M1183=phu!$I$44),"Cam Thuận",""),IF(OR(M1183=phu!$I$45,M1183=phu!$I$46,M1183=phu!$I$47,M1183=phu!$I$48,M1183=phu!$I$49,M1183=phu!$I$50,M1183=phu!$I$51,M1183=phu!$I$52,M1183=phu!$I$53),"Cam Linh",""),IF(OR(M1183=phu!$I$54,M1183=phu!$I$55,M1183=phu!$I$56,M1183=phu!$I$57,M1183=phu!$I$58,M1183=phu!$I$59,M1183=phu!$I$60,M1183=phu!$I$61,M1183=phu!$I$62),"Cam Lợi",""),IF(OR(M1183=phu!$I$63,M1183=phu!$I$64,M1183=phu!$I$65,M1183=phu!$I$66,M1183=phu!$I$67,M1183=phu!$I$68,M1183=phu!$I$69,M1183=phu!$I$70,M1183=phu!$I$71),"Ba Ngòi",""),IF(OR(M1183=phu!$I$72,M1183=phu!$I$73,M1183=phu!$I$74,M1183=phu!$I$75,M1183=phu!$I$76,M1183=phu!$I$77,M1183=phu!$I$78),"Cam Phước Đông",""),IF(OR(M1183=phu!$I$79,M1183=phu!$I$80,M1183=phu!$I$81,M1183=phu!$I$82,M1183=phu!$I$83,M1183=phu!$I$84),"Cam Thịnh Đông",""),IF(OR(M1183=phu!$I$85,M1183=phu!$I$86,M1183=phu!$I$87,M1183=phu!$I$88),"Cam Thịnh Tây",""),IF(OR(M1183=phu!$I$89,M1183=phu!$I$90),"Cam Lập",""),IF(OR(M1183=phu!$I$91,M1183=phu!$I$92,M1183=phu!$I$93),"Cam Bình",""),IF(OR(M1183=phu!$I$94,M1183=phu!$I$95,M1183=phu!$I$96,M1183=phu!$I$97,M1183=phu!$I$98,M1183=phu!$I$99,M1183=phu!$I$100),"Huyện khác",""),IF(OR(M1183=phu!$I$101,M1183=phu!$I$102),"Tỉnh khác",""))</f>
        <v/>
      </c>
      <c r="O1183" s="814" t="str">
        <f t="shared" si="109"/>
        <v/>
      </c>
      <c r="P1183" s="254"/>
      <c r="Q1183" s="254"/>
      <c r="R1183" s="254"/>
      <c r="S1183" s="254"/>
      <c r="T1183" s="254"/>
      <c r="U1183" s="254"/>
      <c r="V1183" s="254"/>
      <c r="W1183" s="254"/>
      <c r="Y1183" s="246" t="str">
        <f t="shared" si="110"/>
        <v/>
      </c>
      <c r="Z1183" s="247" t="str">
        <f t="shared" si="108"/>
        <v/>
      </c>
      <c r="AA1183" s="246" t="str">
        <f t="shared" si="111"/>
        <v/>
      </c>
    </row>
    <row r="1184" spans="1:27" x14ac:dyDescent="0.25">
      <c r="A1184" s="248" t="str">
        <f t="shared" si="112"/>
        <v/>
      </c>
      <c r="B1184" s="249" t="str">
        <f t="shared" si="113"/>
        <v/>
      </c>
      <c r="C1184" s="250"/>
      <c r="D1184" s="251"/>
      <c r="E1184" s="241"/>
      <c r="F1184" s="252"/>
      <c r="G1184" s="252"/>
      <c r="H1184" s="253"/>
      <c r="I1184" s="250"/>
      <c r="J1184" s="250"/>
      <c r="K1184" s="270"/>
      <c r="L1184" s="250"/>
      <c r="M1184" s="250"/>
      <c r="N1184" s="553" t="str">
        <f>CONCATENATE(IF(OR(M1184=phu!$I$1,M1184=phu!$I$2,M1184=phu!$I$3),"Cam Thành Nam",""),IF(OR(M1184=phu!$I$4,M1184=phu!$I$5,M1184=phu!$I$6,M1184=phu!$I$7,M1184=phu!$I$8,M1184=phu!$I$9,M1184=phu!$I$10,M1184=phu!$I$11,M1184=phu!$I$12,M1184=phu!$I$13,M1184=phu!$I$14),"Cam Nghĩa",""),IF(OR(M1184=phu!$I$15,M1184=phu!$I$16,M1184=phu!$I$17,M1184=phu!$I$18,M1184=phu!$I$19,M1184=phu!$I$20,M1184=phu!$I$21),"Cam Phúc Bắc",""),IF(OR(M1184=phu!$I$22,M1184=phu!$I$23,M1184=phu!$I$24,M1184=phu!$I$25),"Cam Phúc Nam",""),IF(OR(M1184=phu!$I$26,M1184=phu!$I$27,M1184=phu!$I$28,M1184=phu!$I$29,M1184=phu!$I$30,M1184=phu!$I$31),"Cam Phú",""),IF(OR(M1184=phu!$I$32,M1184=phu!$I$33,M1184=phu!$I$34,M1184=phu!$I$35,M1184=phu!$I$36,M1184=phu!$I$37),"Cam Lộc",""),IF(OR(M1184=phu!$I$38,M1184=phu!$I$39,M1184=phu!$I$40,M1184=phu!$I$41,M1184=phu!$I$42,M1184=phu!$I$43,M1184=phu!$I$44),"Cam Thuận",""),IF(OR(M1184=phu!$I$45,M1184=phu!$I$46,M1184=phu!$I$47,M1184=phu!$I$48,M1184=phu!$I$49,M1184=phu!$I$50,M1184=phu!$I$51,M1184=phu!$I$52,M1184=phu!$I$53),"Cam Linh",""),IF(OR(M1184=phu!$I$54,M1184=phu!$I$55,M1184=phu!$I$56,M1184=phu!$I$57,M1184=phu!$I$58,M1184=phu!$I$59,M1184=phu!$I$60,M1184=phu!$I$61,M1184=phu!$I$62),"Cam Lợi",""),IF(OR(M1184=phu!$I$63,M1184=phu!$I$64,M1184=phu!$I$65,M1184=phu!$I$66,M1184=phu!$I$67,M1184=phu!$I$68,M1184=phu!$I$69,M1184=phu!$I$70,M1184=phu!$I$71),"Ba Ngòi",""),IF(OR(M1184=phu!$I$72,M1184=phu!$I$73,M1184=phu!$I$74,M1184=phu!$I$75,M1184=phu!$I$76,M1184=phu!$I$77,M1184=phu!$I$78),"Cam Phước Đông",""),IF(OR(M1184=phu!$I$79,M1184=phu!$I$80,M1184=phu!$I$81,M1184=phu!$I$82,M1184=phu!$I$83,M1184=phu!$I$84),"Cam Thịnh Đông",""),IF(OR(M1184=phu!$I$85,M1184=phu!$I$86,M1184=phu!$I$87,M1184=phu!$I$88),"Cam Thịnh Tây",""),IF(OR(M1184=phu!$I$89,M1184=phu!$I$90),"Cam Lập",""),IF(OR(M1184=phu!$I$91,M1184=phu!$I$92,M1184=phu!$I$93),"Cam Bình",""),IF(OR(M1184=phu!$I$94,M1184=phu!$I$95,M1184=phu!$I$96,M1184=phu!$I$97,M1184=phu!$I$98,M1184=phu!$I$99,M1184=phu!$I$100),"Huyện khác",""),IF(OR(M1184=phu!$I$101,M1184=phu!$I$102),"Tỉnh khác",""))</f>
        <v/>
      </c>
      <c r="O1184" s="814" t="str">
        <f t="shared" si="109"/>
        <v/>
      </c>
      <c r="P1184" s="254"/>
      <c r="Q1184" s="254"/>
      <c r="R1184" s="254"/>
      <c r="S1184" s="254"/>
      <c r="T1184" s="254"/>
      <c r="U1184" s="254"/>
      <c r="V1184" s="254"/>
      <c r="W1184" s="254"/>
      <c r="Y1184" s="246" t="str">
        <f t="shared" si="110"/>
        <v/>
      </c>
      <c r="Z1184" s="247" t="str">
        <f t="shared" si="108"/>
        <v/>
      </c>
      <c r="AA1184" s="246" t="str">
        <f t="shared" si="111"/>
        <v/>
      </c>
    </row>
    <row r="1185" spans="1:27" x14ac:dyDescent="0.25">
      <c r="A1185" s="248" t="str">
        <f t="shared" si="112"/>
        <v/>
      </c>
      <c r="B1185" s="249" t="str">
        <f t="shared" si="113"/>
        <v/>
      </c>
      <c r="C1185" s="250"/>
      <c r="D1185" s="251"/>
      <c r="E1185" s="241"/>
      <c r="F1185" s="252"/>
      <c r="G1185" s="252"/>
      <c r="H1185" s="253"/>
      <c r="I1185" s="250"/>
      <c r="J1185" s="250"/>
      <c r="K1185" s="270"/>
      <c r="L1185" s="250"/>
      <c r="M1185" s="250"/>
      <c r="N1185" s="553" t="str">
        <f>CONCATENATE(IF(OR(M1185=phu!$I$1,M1185=phu!$I$2,M1185=phu!$I$3),"Cam Thành Nam",""),IF(OR(M1185=phu!$I$4,M1185=phu!$I$5,M1185=phu!$I$6,M1185=phu!$I$7,M1185=phu!$I$8,M1185=phu!$I$9,M1185=phu!$I$10,M1185=phu!$I$11,M1185=phu!$I$12,M1185=phu!$I$13,M1185=phu!$I$14),"Cam Nghĩa",""),IF(OR(M1185=phu!$I$15,M1185=phu!$I$16,M1185=phu!$I$17,M1185=phu!$I$18,M1185=phu!$I$19,M1185=phu!$I$20,M1185=phu!$I$21),"Cam Phúc Bắc",""),IF(OR(M1185=phu!$I$22,M1185=phu!$I$23,M1185=phu!$I$24,M1185=phu!$I$25),"Cam Phúc Nam",""),IF(OR(M1185=phu!$I$26,M1185=phu!$I$27,M1185=phu!$I$28,M1185=phu!$I$29,M1185=phu!$I$30,M1185=phu!$I$31),"Cam Phú",""),IF(OR(M1185=phu!$I$32,M1185=phu!$I$33,M1185=phu!$I$34,M1185=phu!$I$35,M1185=phu!$I$36,M1185=phu!$I$37),"Cam Lộc",""),IF(OR(M1185=phu!$I$38,M1185=phu!$I$39,M1185=phu!$I$40,M1185=phu!$I$41,M1185=phu!$I$42,M1185=phu!$I$43,M1185=phu!$I$44),"Cam Thuận",""),IF(OR(M1185=phu!$I$45,M1185=phu!$I$46,M1185=phu!$I$47,M1185=phu!$I$48,M1185=phu!$I$49,M1185=phu!$I$50,M1185=phu!$I$51,M1185=phu!$I$52,M1185=phu!$I$53),"Cam Linh",""),IF(OR(M1185=phu!$I$54,M1185=phu!$I$55,M1185=phu!$I$56,M1185=phu!$I$57,M1185=phu!$I$58,M1185=phu!$I$59,M1185=phu!$I$60,M1185=phu!$I$61,M1185=phu!$I$62),"Cam Lợi",""),IF(OR(M1185=phu!$I$63,M1185=phu!$I$64,M1185=phu!$I$65,M1185=phu!$I$66,M1185=phu!$I$67,M1185=phu!$I$68,M1185=phu!$I$69,M1185=phu!$I$70,M1185=phu!$I$71),"Ba Ngòi",""),IF(OR(M1185=phu!$I$72,M1185=phu!$I$73,M1185=phu!$I$74,M1185=phu!$I$75,M1185=phu!$I$76,M1185=phu!$I$77,M1185=phu!$I$78),"Cam Phước Đông",""),IF(OR(M1185=phu!$I$79,M1185=phu!$I$80,M1185=phu!$I$81,M1185=phu!$I$82,M1185=phu!$I$83,M1185=phu!$I$84),"Cam Thịnh Đông",""),IF(OR(M1185=phu!$I$85,M1185=phu!$I$86,M1185=phu!$I$87,M1185=phu!$I$88),"Cam Thịnh Tây",""),IF(OR(M1185=phu!$I$89,M1185=phu!$I$90),"Cam Lập",""),IF(OR(M1185=phu!$I$91,M1185=phu!$I$92,M1185=phu!$I$93),"Cam Bình",""),IF(OR(M1185=phu!$I$94,M1185=phu!$I$95,M1185=phu!$I$96,M1185=phu!$I$97,M1185=phu!$I$98,M1185=phu!$I$99,M1185=phu!$I$100),"Huyện khác",""),IF(OR(M1185=phu!$I$101,M1185=phu!$I$102),"Tỉnh khác",""))</f>
        <v/>
      </c>
      <c r="O1185" s="814" t="str">
        <f t="shared" si="109"/>
        <v/>
      </c>
      <c r="P1185" s="254"/>
      <c r="Q1185" s="254"/>
      <c r="R1185" s="254"/>
      <c r="S1185" s="254"/>
      <c r="T1185" s="254"/>
      <c r="U1185" s="254"/>
      <c r="V1185" s="254"/>
      <c r="W1185" s="254"/>
      <c r="Y1185" s="246" t="str">
        <f t="shared" si="110"/>
        <v/>
      </c>
      <c r="Z1185" s="247" t="str">
        <f t="shared" si="108"/>
        <v/>
      </c>
      <c r="AA1185" s="246" t="str">
        <f t="shared" si="111"/>
        <v/>
      </c>
    </row>
    <row r="1186" spans="1:27" x14ac:dyDescent="0.25">
      <c r="A1186" s="248" t="str">
        <f t="shared" si="112"/>
        <v/>
      </c>
      <c r="B1186" s="249" t="str">
        <f t="shared" si="113"/>
        <v/>
      </c>
      <c r="C1186" s="250"/>
      <c r="D1186" s="251"/>
      <c r="E1186" s="241"/>
      <c r="F1186" s="252"/>
      <c r="G1186" s="252"/>
      <c r="H1186" s="253"/>
      <c r="I1186" s="250"/>
      <c r="J1186" s="250"/>
      <c r="K1186" s="270"/>
      <c r="L1186" s="250"/>
      <c r="M1186" s="250"/>
      <c r="N1186" s="553" t="str">
        <f>CONCATENATE(IF(OR(M1186=phu!$I$1,M1186=phu!$I$2,M1186=phu!$I$3),"Cam Thành Nam",""),IF(OR(M1186=phu!$I$4,M1186=phu!$I$5,M1186=phu!$I$6,M1186=phu!$I$7,M1186=phu!$I$8,M1186=phu!$I$9,M1186=phu!$I$10,M1186=phu!$I$11,M1186=phu!$I$12,M1186=phu!$I$13,M1186=phu!$I$14),"Cam Nghĩa",""),IF(OR(M1186=phu!$I$15,M1186=phu!$I$16,M1186=phu!$I$17,M1186=phu!$I$18,M1186=phu!$I$19,M1186=phu!$I$20,M1186=phu!$I$21),"Cam Phúc Bắc",""),IF(OR(M1186=phu!$I$22,M1186=phu!$I$23,M1186=phu!$I$24,M1186=phu!$I$25),"Cam Phúc Nam",""),IF(OR(M1186=phu!$I$26,M1186=phu!$I$27,M1186=phu!$I$28,M1186=phu!$I$29,M1186=phu!$I$30,M1186=phu!$I$31),"Cam Phú",""),IF(OR(M1186=phu!$I$32,M1186=phu!$I$33,M1186=phu!$I$34,M1186=phu!$I$35,M1186=phu!$I$36,M1186=phu!$I$37),"Cam Lộc",""),IF(OR(M1186=phu!$I$38,M1186=phu!$I$39,M1186=phu!$I$40,M1186=phu!$I$41,M1186=phu!$I$42,M1186=phu!$I$43,M1186=phu!$I$44),"Cam Thuận",""),IF(OR(M1186=phu!$I$45,M1186=phu!$I$46,M1186=phu!$I$47,M1186=phu!$I$48,M1186=phu!$I$49,M1186=phu!$I$50,M1186=phu!$I$51,M1186=phu!$I$52,M1186=phu!$I$53),"Cam Linh",""),IF(OR(M1186=phu!$I$54,M1186=phu!$I$55,M1186=phu!$I$56,M1186=phu!$I$57,M1186=phu!$I$58,M1186=phu!$I$59,M1186=phu!$I$60,M1186=phu!$I$61,M1186=phu!$I$62),"Cam Lợi",""),IF(OR(M1186=phu!$I$63,M1186=phu!$I$64,M1186=phu!$I$65,M1186=phu!$I$66,M1186=phu!$I$67,M1186=phu!$I$68,M1186=phu!$I$69,M1186=phu!$I$70,M1186=phu!$I$71),"Ba Ngòi",""),IF(OR(M1186=phu!$I$72,M1186=phu!$I$73,M1186=phu!$I$74,M1186=phu!$I$75,M1186=phu!$I$76,M1186=phu!$I$77,M1186=phu!$I$78),"Cam Phước Đông",""),IF(OR(M1186=phu!$I$79,M1186=phu!$I$80,M1186=phu!$I$81,M1186=phu!$I$82,M1186=phu!$I$83,M1186=phu!$I$84),"Cam Thịnh Đông",""),IF(OR(M1186=phu!$I$85,M1186=phu!$I$86,M1186=phu!$I$87,M1186=phu!$I$88),"Cam Thịnh Tây",""),IF(OR(M1186=phu!$I$89,M1186=phu!$I$90),"Cam Lập",""),IF(OR(M1186=phu!$I$91,M1186=phu!$I$92,M1186=phu!$I$93),"Cam Bình",""),IF(OR(M1186=phu!$I$94,M1186=phu!$I$95,M1186=phu!$I$96,M1186=phu!$I$97,M1186=phu!$I$98,M1186=phu!$I$99,M1186=phu!$I$100),"Huyện khác",""),IF(OR(M1186=phu!$I$101,M1186=phu!$I$102),"Tỉnh khác",""))</f>
        <v/>
      </c>
      <c r="O1186" s="814" t="str">
        <f t="shared" si="109"/>
        <v/>
      </c>
      <c r="P1186" s="254"/>
      <c r="Q1186" s="254"/>
      <c r="R1186" s="254"/>
      <c r="S1186" s="254"/>
      <c r="T1186" s="254"/>
      <c r="U1186" s="254"/>
      <c r="V1186" s="254"/>
      <c r="W1186" s="254"/>
      <c r="Y1186" s="246" t="str">
        <f t="shared" si="110"/>
        <v/>
      </c>
      <c r="Z1186" s="247" t="str">
        <f t="shared" si="108"/>
        <v/>
      </c>
      <c r="AA1186" s="246" t="str">
        <f t="shared" si="111"/>
        <v/>
      </c>
    </row>
    <row r="1187" spans="1:27" x14ac:dyDescent="0.25">
      <c r="A1187" s="248" t="str">
        <f t="shared" si="112"/>
        <v/>
      </c>
      <c r="B1187" s="249" t="str">
        <f t="shared" si="113"/>
        <v/>
      </c>
      <c r="C1187" s="250"/>
      <c r="D1187" s="251"/>
      <c r="E1187" s="241"/>
      <c r="F1187" s="252"/>
      <c r="G1187" s="252"/>
      <c r="H1187" s="253"/>
      <c r="I1187" s="250"/>
      <c r="J1187" s="250"/>
      <c r="K1187" s="270"/>
      <c r="L1187" s="250"/>
      <c r="M1187" s="250"/>
      <c r="N1187" s="553" t="str">
        <f>CONCATENATE(IF(OR(M1187=phu!$I$1,M1187=phu!$I$2,M1187=phu!$I$3),"Cam Thành Nam",""),IF(OR(M1187=phu!$I$4,M1187=phu!$I$5,M1187=phu!$I$6,M1187=phu!$I$7,M1187=phu!$I$8,M1187=phu!$I$9,M1187=phu!$I$10,M1187=phu!$I$11,M1187=phu!$I$12,M1187=phu!$I$13,M1187=phu!$I$14),"Cam Nghĩa",""),IF(OR(M1187=phu!$I$15,M1187=phu!$I$16,M1187=phu!$I$17,M1187=phu!$I$18,M1187=phu!$I$19,M1187=phu!$I$20,M1187=phu!$I$21),"Cam Phúc Bắc",""),IF(OR(M1187=phu!$I$22,M1187=phu!$I$23,M1187=phu!$I$24,M1187=phu!$I$25),"Cam Phúc Nam",""),IF(OR(M1187=phu!$I$26,M1187=phu!$I$27,M1187=phu!$I$28,M1187=phu!$I$29,M1187=phu!$I$30,M1187=phu!$I$31),"Cam Phú",""),IF(OR(M1187=phu!$I$32,M1187=phu!$I$33,M1187=phu!$I$34,M1187=phu!$I$35,M1187=phu!$I$36,M1187=phu!$I$37),"Cam Lộc",""),IF(OR(M1187=phu!$I$38,M1187=phu!$I$39,M1187=phu!$I$40,M1187=phu!$I$41,M1187=phu!$I$42,M1187=phu!$I$43,M1187=phu!$I$44),"Cam Thuận",""),IF(OR(M1187=phu!$I$45,M1187=phu!$I$46,M1187=phu!$I$47,M1187=phu!$I$48,M1187=phu!$I$49,M1187=phu!$I$50,M1187=phu!$I$51,M1187=phu!$I$52,M1187=phu!$I$53),"Cam Linh",""),IF(OR(M1187=phu!$I$54,M1187=phu!$I$55,M1187=phu!$I$56,M1187=phu!$I$57,M1187=phu!$I$58,M1187=phu!$I$59,M1187=phu!$I$60,M1187=phu!$I$61,M1187=phu!$I$62),"Cam Lợi",""),IF(OR(M1187=phu!$I$63,M1187=phu!$I$64,M1187=phu!$I$65,M1187=phu!$I$66,M1187=phu!$I$67,M1187=phu!$I$68,M1187=phu!$I$69,M1187=phu!$I$70,M1187=phu!$I$71),"Ba Ngòi",""),IF(OR(M1187=phu!$I$72,M1187=phu!$I$73,M1187=phu!$I$74,M1187=phu!$I$75,M1187=phu!$I$76,M1187=phu!$I$77,M1187=phu!$I$78),"Cam Phước Đông",""),IF(OR(M1187=phu!$I$79,M1187=phu!$I$80,M1187=phu!$I$81,M1187=phu!$I$82,M1187=phu!$I$83,M1187=phu!$I$84),"Cam Thịnh Đông",""),IF(OR(M1187=phu!$I$85,M1187=phu!$I$86,M1187=phu!$I$87,M1187=phu!$I$88),"Cam Thịnh Tây",""),IF(OR(M1187=phu!$I$89,M1187=phu!$I$90),"Cam Lập",""),IF(OR(M1187=phu!$I$91,M1187=phu!$I$92,M1187=phu!$I$93),"Cam Bình",""),IF(OR(M1187=phu!$I$94,M1187=phu!$I$95,M1187=phu!$I$96,M1187=phu!$I$97,M1187=phu!$I$98,M1187=phu!$I$99,M1187=phu!$I$100),"Huyện khác",""),IF(OR(M1187=phu!$I$101,M1187=phu!$I$102),"Tỉnh khác",""))</f>
        <v/>
      </c>
      <c r="O1187" s="814" t="str">
        <f t="shared" si="109"/>
        <v/>
      </c>
      <c r="P1187" s="254"/>
      <c r="Q1187" s="254"/>
      <c r="R1187" s="254"/>
      <c r="S1187" s="254"/>
      <c r="T1187" s="254"/>
      <c r="U1187" s="254"/>
      <c r="V1187" s="254"/>
      <c r="W1187" s="254"/>
      <c r="Y1187" s="246" t="str">
        <f t="shared" si="110"/>
        <v/>
      </c>
      <c r="Z1187" s="247" t="str">
        <f t="shared" si="108"/>
        <v/>
      </c>
      <c r="AA1187" s="246" t="str">
        <f t="shared" si="111"/>
        <v/>
      </c>
    </row>
    <row r="1188" spans="1:27" x14ac:dyDescent="0.25">
      <c r="A1188" s="248" t="str">
        <f t="shared" si="112"/>
        <v/>
      </c>
      <c r="B1188" s="249" t="str">
        <f t="shared" si="113"/>
        <v/>
      </c>
      <c r="C1188" s="250"/>
      <c r="D1188" s="251"/>
      <c r="E1188" s="241"/>
      <c r="F1188" s="252"/>
      <c r="G1188" s="252"/>
      <c r="H1188" s="253"/>
      <c r="I1188" s="250"/>
      <c r="J1188" s="250"/>
      <c r="K1188" s="270"/>
      <c r="L1188" s="250"/>
      <c r="M1188" s="250"/>
      <c r="N1188" s="553" t="str">
        <f>CONCATENATE(IF(OR(M1188=phu!$I$1,M1188=phu!$I$2,M1188=phu!$I$3),"Cam Thành Nam",""),IF(OR(M1188=phu!$I$4,M1188=phu!$I$5,M1188=phu!$I$6,M1188=phu!$I$7,M1188=phu!$I$8,M1188=phu!$I$9,M1188=phu!$I$10,M1188=phu!$I$11,M1188=phu!$I$12,M1188=phu!$I$13,M1188=phu!$I$14),"Cam Nghĩa",""),IF(OR(M1188=phu!$I$15,M1188=phu!$I$16,M1188=phu!$I$17,M1188=phu!$I$18,M1188=phu!$I$19,M1188=phu!$I$20,M1188=phu!$I$21),"Cam Phúc Bắc",""),IF(OR(M1188=phu!$I$22,M1188=phu!$I$23,M1188=phu!$I$24,M1188=phu!$I$25),"Cam Phúc Nam",""),IF(OR(M1188=phu!$I$26,M1188=phu!$I$27,M1188=phu!$I$28,M1188=phu!$I$29,M1188=phu!$I$30,M1188=phu!$I$31),"Cam Phú",""),IF(OR(M1188=phu!$I$32,M1188=phu!$I$33,M1188=phu!$I$34,M1188=phu!$I$35,M1188=phu!$I$36,M1188=phu!$I$37),"Cam Lộc",""),IF(OR(M1188=phu!$I$38,M1188=phu!$I$39,M1188=phu!$I$40,M1188=phu!$I$41,M1188=phu!$I$42,M1188=phu!$I$43,M1188=phu!$I$44),"Cam Thuận",""),IF(OR(M1188=phu!$I$45,M1188=phu!$I$46,M1188=phu!$I$47,M1188=phu!$I$48,M1188=phu!$I$49,M1188=phu!$I$50,M1188=phu!$I$51,M1188=phu!$I$52,M1188=phu!$I$53),"Cam Linh",""),IF(OR(M1188=phu!$I$54,M1188=phu!$I$55,M1188=phu!$I$56,M1188=phu!$I$57,M1188=phu!$I$58,M1188=phu!$I$59,M1188=phu!$I$60,M1188=phu!$I$61,M1188=phu!$I$62),"Cam Lợi",""),IF(OR(M1188=phu!$I$63,M1188=phu!$I$64,M1188=phu!$I$65,M1188=phu!$I$66,M1188=phu!$I$67,M1188=phu!$I$68,M1188=phu!$I$69,M1188=phu!$I$70,M1188=phu!$I$71),"Ba Ngòi",""),IF(OR(M1188=phu!$I$72,M1188=phu!$I$73,M1188=phu!$I$74,M1188=phu!$I$75,M1188=phu!$I$76,M1188=phu!$I$77,M1188=phu!$I$78),"Cam Phước Đông",""),IF(OR(M1188=phu!$I$79,M1188=phu!$I$80,M1188=phu!$I$81,M1188=phu!$I$82,M1188=phu!$I$83,M1188=phu!$I$84),"Cam Thịnh Đông",""),IF(OR(M1188=phu!$I$85,M1188=phu!$I$86,M1188=phu!$I$87,M1188=phu!$I$88),"Cam Thịnh Tây",""),IF(OR(M1188=phu!$I$89,M1188=phu!$I$90),"Cam Lập",""),IF(OR(M1188=phu!$I$91,M1188=phu!$I$92,M1188=phu!$I$93),"Cam Bình",""),IF(OR(M1188=phu!$I$94,M1188=phu!$I$95,M1188=phu!$I$96,M1188=phu!$I$97,M1188=phu!$I$98,M1188=phu!$I$99,M1188=phu!$I$100),"Huyện khác",""),IF(OR(M1188=phu!$I$101,M1188=phu!$I$102),"Tỉnh khác",""))</f>
        <v/>
      </c>
      <c r="O1188" s="814" t="str">
        <f t="shared" si="109"/>
        <v/>
      </c>
      <c r="P1188" s="254"/>
      <c r="Q1188" s="254"/>
      <c r="R1188" s="254"/>
      <c r="S1188" s="254"/>
      <c r="T1188" s="254"/>
      <c r="U1188" s="254"/>
      <c r="V1188" s="254"/>
      <c r="W1188" s="254"/>
      <c r="Y1188" s="246" t="str">
        <f t="shared" si="110"/>
        <v/>
      </c>
      <c r="Z1188" s="247" t="str">
        <f t="shared" si="108"/>
        <v/>
      </c>
      <c r="AA1188" s="246" t="str">
        <f t="shared" si="111"/>
        <v/>
      </c>
    </row>
    <row r="1189" spans="1:27" x14ac:dyDescent="0.25">
      <c r="A1189" s="248" t="str">
        <f t="shared" si="112"/>
        <v/>
      </c>
      <c r="B1189" s="249" t="str">
        <f t="shared" si="113"/>
        <v/>
      </c>
      <c r="C1189" s="250"/>
      <c r="D1189" s="251"/>
      <c r="E1189" s="241"/>
      <c r="F1189" s="252"/>
      <c r="G1189" s="252"/>
      <c r="H1189" s="253"/>
      <c r="I1189" s="250"/>
      <c r="J1189" s="250"/>
      <c r="K1189" s="270"/>
      <c r="L1189" s="250"/>
      <c r="M1189" s="250"/>
      <c r="N1189" s="553" t="str">
        <f>CONCATENATE(IF(OR(M1189=phu!$I$1,M1189=phu!$I$2,M1189=phu!$I$3),"Cam Thành Nam",""),IF(OR(M1189=phu!$I$4,M1189=phu!$I$5,M1189=phu!$I$6,M1189=phu!$I$7,M1189=phu!$I$8,M1189=phu!$I$9,M1189=phu!$I$10,M1189=phu!$I$11,M1189=phu!$I$12,M1189=phu!$I$13,M1189=phu!$I$14),"Cam Nghĩa",""),IF(OR(M1189=phu!$I$15,M1189=phu!$I$16,M1189=phu!$I$17,M1189=phu!$I$18,M1189=phu!$I$19,M1189=phu!$I$20,M1189=phu!$I$21),"Cam Phúc Bắc",""),IF(OR(M1189=phu!$I$22,M1189=phu!$I$23,M1189=phu!$I$24,M1189=phu!$I$25),"Cam Phúc Nam",""),IF(OR(M1189=phu!$I$26,M1189=phu!$I$27,M1189=phu!$I$28,M1189=phu!$I$29,M1189=phu!$I$30,M1189=phu!$I$31),"Cam Phú",""),IF(OR(M1189=phu!$I$32,M1189=phu!$I$33,M1189=phu!$I$34,M1189=phu!$I$35,M1189=phu!$I$36,M1189=phu!$I$37),"Cam Lộc",""),IF(OR(M1189=phu!$I$38,M1189=phu!$I$39,M1189=phu!$I$40,M1189=phu!$I$41,M1189=phu!$I$42,M1189=phu!$I$43,M1189=phu!$I$44),"Cam Thuận",""),IF(OR(M1189=phu!$I$45,M1189=phu!$I$46,M1189=phu!$I$47,M1189=phu!$I$48,M1189=phu!$I$49,M1189=phu!$I$50,M1189=phu!$I$51,M1189=phu!$I$52,M1189=phu!$I$53),"Cam Linh",""),IF(OR(M1189=phu!$I$54,M1189=phu!$I$55,M1189=phu!$I$56,M1189=phu!$I$57,M1189=phu!$I$58,M1189=phu!$I$59,M1189=phu!$I$60,M1189=phu!$I$61,M1189=phu!$I$62),"Cam Lợi",""),IF(OR(M1189=phu!$I$63,M1189=phu!$I$64,M1189=phu!$I$65,M1189=phu!$I$66,M1189=phu!$I$67,M1189=phu!$I$68,M1189=phu!$I$69,M1189=phu!$I$70,M1189=phu!$I$71),"Ba Ngòi",""),IF(OR(M1189=phu!$I$72,M1189=phu!$I$73,M1189=phu!$I$74,M1189=phu!$I$75,M1189=phu!$I$76,M1189=phu!$I$77,M1189=phu!$I$78),"Cam Phước Đông",""),IF(OR(M1189=phu!$I$79,M1189=phu!$I$80,M1189=phu!$I$81,M1189=phu!$I$82,M1189=phu!$I$83,M1189=phu!$I$84),"Cam Thịnh Đông",""),IF(OR(M1189=phu!$I$85,M1189=phu!$I$86,M1189=phu!$I$87,M1189=phu!$I$88),"Cam Thịnh Tây",""),IF(OR(M1189=phu!$I$89,M1189=phu!$I$90),"Cam Lập",""),IF(OR(M1189=phu!$I$91,M1189=phu!$I$92,M1189=phu!$I$93),"Cam Bình",""),IF(OR(M1189=phu!$I$94,M1189=phu!$I$95,M1189=phu!$I$96,M1189=phu!$I$97,M1189=phu!$I$98,M1189=phu!$I$99,M1189=phu!$I$100),"Huyện khác",""),IF(OR(M1189=phu!$I$101,M1189=phu!$I$102),"Tỉnh khác",""))</f>
        <v/>
      </c>
      <c r="O1189" s="814" t="str">
        <f t="shared" si="109"/>
        <v/>
      </c>
      <c r="P1189" s="254"/>
      <c r="Q1189" s="254"/>
      <c r="R1189" s="254"/>
      <c r="S1189" s="254"/>
      <c r="T1189" s="254"/>
      <c r="U1189" s="254"/>
      <c r="V1189" s="254"/>
      <c r="W1189" s="254"/>
      <c r="Y1189" s="246" t="str">
        <f t="shared" si="110"/>
        <v/>
      </c>
      <c r="Z1189" s="247" t="str">
        <f t="shared" si="108"/>
        <v/>
      </c>
      <c r="AA1189" s="246" t="str">
        <f t="shared" si="111"/>
        <v/>
      </c>
    </row>
    <row r="1190" spans="1:27" x14ac:dyDescent="0.25">
      <c r="A1190" s="248" t="str">
        <f t="shared" si="112"/>
        <v/>
      </c>
      <c r="B1190" s="249" t="str">
        <f t="shared" si="113"/>
        <v/>
      </c>
      <c r="C1190" s="250"/>
      <c r="D1190" s="251"/>
      <c r="E1190" s="241"/>
      <c r="F1190" s="252"/>
      <c r="G1190" s="252"/>
      <c r="H1190" s="253"/>
      <c r="I1190" s="250"/>
      <c r="J1190" s="250"/>
      <c r="K1190" s="270"/>
      <c r="L1190" s="250"/>
      <c r="M1190" s="250"/>
      <c r="N1190" s="553" t="str">
        <f>CONCATENATE(IF(OR(M1190=phu!$I$1,M1190=phu!$I$2,M1190=phu!$I$3),"Cam Thành Nam",""),IF(OR(M1190=phu!$I$4,M1190=phu!$I$5,M1190=phu!$I$6,M1190=phu!$I$7,M1190=phu!$I$8,M1190=phu!$I$9,M1190=phu!$I$10,M1190=phu!$I$11,M1190=phu!$I$12,M1190=phu!$I$13,M1190=phu!$I$14),"Cam Nghĩa",""),IF(OR(M1190=phu!$I$15,M1190=phu!$I$16,M1190=phu!$I$17,M1190=phu!$I$18,M1190=phu!$I$19,M1190=phu!$I$20,M1190=phu!$I$21),"Cam Phúc Bắc",""),IF(OR(M1190=phu!$I$22,M1190=phu!$I$23,M1190=phu!$I$24,M1190=phu!$I$25),"Cam Phúc Nam",""),IF(OR(M1190=phu!$I$26,M1190=phu!$I$27,M1190=phu!$I$28,M1190=phu!$I$29,M1190=phu!$I$30,M1190=phu!$I$31),"Cam Phú",""),IF(OR(M1190=phu!$I$32,M1190=phu!$I$33,M1190=phu!$I$34,M1190=phu!$I$35,M1190=phu!$I$36,M1190=phu!$I$37),"Cam Lộc",""),IF(OR(M1190=phu!$I$38,M1190=phu!$I$39,M1190=phu!$I$40,M1190=phu!$I$41,M1190=phu!$I$42,M1190=phu!$I$43,M1190=phu!$I$44),"Cam Thuận",""),IF(OR(M1190=phu!$I$45,M1190=phu!$I$46,M1190=phu!$I$47,M1190=phu!$I$48,M1190=phu!$I$49,M1190=phu!$I$50,M1190=phu!$I$51,M1190=phu!$I$52,M1190=phu!$I$53),"Cam Linh",""),IF(OR(M1190=phu!$I$54,M1190=phu!$I$55,M1190=phu!$I$56,M1190=phu!$I$57,M1190=phu!$I$58,M1190=phu!$I$59,M1190=phu!$I$60,M1190=phu!$I$61,M1190=phu!$I$62),"Cam Lợi",""),IF(OR(M1190=phu!$I$63,M1190=phu!$I$64,M1190=phu!$I$65,M1190=phu!$I$66,M1190=phu!$I$67,M1190=phu!$I$68,M1190=phu!$I$69,M1190=phu!$I$70,M1190=phu!$I$71),"Ba Ngòi",""),IF(OR(M1190=phu!$I$72,M1190=phu!$I$73,M1190=phu!$I$74,M1190=phu!$I$75,M1190=phu!$I$76,M1190=phu!$I$77,M1190=phu!$I$78),"Cam Phước Đông",""),IF(OR(M1190=phu!$I$79,M1190=phu!$I$80,M1190=phu!$I$81,M1190=phu!$I$82,M1190=phu!$I$83,M1190=phu!$I$84),"Cam Thịnh Đông",""),IF(OR(M1190=phu!$I$85,M1190=phu!$I$86,M1190=phu!$I$87,M1190=phu!$I$88),"Cam Thịnh Tây",""),IF(OR(M1190=phu!$I$89,M1190=phu!$I$90),"Cam Lập",""),IF(OR(M1190=phu!$I$91,M1190=phu!$I$92,M1190=phu!$I$93),"Cam Bình",""),IF(OR(M1190=phu!$I$94,M1190=phu!$I$95,M1190=phu!$I$96,M1190=phu!$I$97,M1190=phu!$I$98,M1190=phu!$I$99,M1190=phu!$I$100),"Huyện khác",""),IF(OR(M1190=phu!$I$101,M1190=phu!$I$102),"Tỉnh khác",""))</f>
        <v/>
      </c>
      <c r="O1190" s="814" t="str">
        <f t="shared" si="109"/>
        <v/>
      </c>
      <c r="P1190" s="254"/>
      <c r="Q1190" s="254"/>
      <c r="R1190" s="254"/>
      <c r="S1190" s="254"/>
      <c r="T1190" s="254"/>
      <c r="U1190" s="254"/>
      <c r="V1190" s="254"/>
      <c r="W1190" s="254"/>
      <c r="Y1190" s="246" t="str">
        <f t="shared" si="110"/>
        <v/>
      </c>
      <c r="Z1190" s="247" t="str">
        <f t="shared" si="108"/>
        <v/>
      </c>
      <c r="AA1190" s="246" t="str">
        <f t="shared" si="111"/>
        <v/>
      </c>
    </row>
    <row r="1191" spans="1:27" x14ac:dyDescent="0.25">
      <c r="A1191" s="248" t="str">
        <f t="shared" si="112"/>
        <v/>
      </c>
      <c r="B1191" s="249" t="str">
        <f t="shared" si="113"/>
        <v/>
      </c>
      <c r="C1191" s="250"/>
      <c r="D1191" s="251"/>
      <c r="E1191" s="241"/>
      <c r="F1191" s="252"/>
      <c r="G1191" s="252"/>
      <c r="H1191" s="253"/>
      <c r="I1191" s="250"/>
      <c r="J1191" s="250"/>
      <c r="K1191" s="270"/>
      <c r="L1191" s="250"/>
      <c r="M1191" s="250"/>
      <c r="N1191" s="553" t="str">
        <f>CONCATENATE(IF(OR(M1191=phu!$I$1,M1191=phu!$I$2,M1191=phu!$I$3),"Cam Thành Nam",""),IF(OR(M1191=phu!$I$4,M1191=phu!$I$5,M1191=phu!$I$6,M1191=phu!$I$7,M1191=phu!$I$8,M1191=phu!$I$9,M1191=phu!$I$10,M1191=phu!$I$11,M1191=phu!$I$12,M1191=phu!$I$13,M1191=phu!$I$14),"Cam Nghĩa",""),IF(OR(M1191=phu!$I$15,M1191=phu!$I$16,M1191=phu!$I$17,M1191=phu!$I$18,M1191=phu!$I$19,M1191=phu!$I$20,M1191=phu!$I$21),"Cam Phúc Bắc",""),IF(OR(M1191=phu!$I$22,M1191=phu!$I$23,M1191=phu!$I$24,M1191=phu!$I$25),"Cam Phúc Nam",""),IF(OR(M1191=phu!$I$26,M1191=phu!$I$27,M1191=phu!$I$28,M1191=phu!$I$29,M1191=phu!$I$30,M1191=phu!$I$31),"Cam Phú",""),IF(OR(M1191=phu!$I$32,M1191=phu!$I$33,M1191=phu!$I$34,M1191=phu!$I$35,M1191=phu!$I$36,M1191=phu!$I$37),"Cam Lộc",""),IF(OR(M1191=phu!$I$38,M1191=phu!$I$39,M1191=phu!$I$40,M1191=phu!$I$41,M1191=phu!$I$42,M1191=phu!$I$43,M1191=phu!$I$44),"Cam Thuận",""),IF(OR(M1191=phu!$I$45,M1191=phu!$I$46,M1191=phu!$I$47,M1191=phu!$I$48,M1191=phu!$I$49,M1191=phu!$I$50,M1191=phu!$I$51,M1191=phu!$I$52,M1191=phu!$I$53),"Cam Linh",""),IF(OR(M1191=phu!$I$54,M1191=phu!$I$55,M1191=phu!$I$56,M1191=phu!$I$57,M1191=phu!$I$58,M1191=phu!$I$59,M1191=phu!$I$60,M1191=phu!$I$61,M1191=phu!$I$62),"Cam Lợi",""),IF(OR(M1191=phu!$I$63,M1191=phu!$I$64,M1191=phu!$I$65,M1191=phu!$I$66,M1191=phu!$I$67,M1191=phu!$I$68,M1191=phu!$I$69,M1191=phu!$I$70,M1191=phu!$I$71),"Ba Ngòi",""),IF(OR(M1191=phu!$I$72,M1191=phu!$I$73,M1191=phu!$I$74,M1191=phu!$I$75,M1191=phu!$I$76,M1191=phu!$I$77,M1191=phu!$I$78),"Cam Phước Đông",""),IF(OR(M1191=phu!$I$79,M1191=phu!$I$80,M1191=phu!$I$81,M1191=phu!$I$82,M1191=phu!$I$83,M1191=phu!$I$84),"Cam Thịnh Đông",""),IF(OR(M1191=phu!$I$85,M1191=phu!$I$86,M1191=phu!$I$87,M1191=phu!$I$88),"Cam Thịnh Tây",""),IF(OR(M1191=phu!$I$89,M1191=phu!$I$90),"Cam Lập",""),IF(OR(M1191=phu!$I$91,M1191=phu!$I$92,M1191=phu!$I$93),"Cam Bình",""),IF(OR(M1191=phu!$I$94,M1191=phu!$I$95,M1191=phu!$I$96,M1191=phu!$I$97,M1191=phu!$I$98,M1191=phu!$I$99,M1191=phu!$I$100),"Huyện khác",""),IF(OR(M1191=phu!$I$101,M1191=phu!$I$102),"Tỉnh khác",""))</f>
        <v/>
      </c>
      <c r="O1191" s="814" t="str">
        <f t="shared" si="109"/>
        <v/>
      </c>
      <c r="P1191" s="254"/>
      <c r="Q1191" s="254"/>
      <c r="R1191" s="254"/>
      <c r="S1191" s="254"/>
      <c r="T1191" s="254"/>
      <c r="U1191" s="254"/>
      <c r="V1191" s="254"/>
      <c r="W1191" s="254"/>
      <c r="Y1191" s="246" t="str">
        <f t="shared" si="110"/>
        <v/>
      </c>
      <c r="Z1191" s="247" t="str">
        <f t="shared" si="108"/>
        <v/>
      </c>
      <c r="AA1191" s="246" t="str">
        <f t="shared" si="111"/>
        <v/>
      </c>
    </row>
    <row r="1192" spans="1:27" x14ac:dyDescent="0.25">
      <c r="A1192" s="248" t="str">
        <f t="shared" si="112"/>
        <v/>
      </c>
      <c r="B1192" s="249" t="str">
        <f t="shared" si="113"/>
        <v/>
      </c>
      <c r="C1192" s="250"/>
      <c r="D1192" s="251"/>
      <c r="E1192" s="241"/>
      <c r="F1192" s="252"/>
      <c r="G1192" s="252"/>
      <c r="H1192" s="253"/>
      <c r="I1192" s="250"/>
      <c r="J1192" s="250"/>
      <c r="K1192" s="270"/>
      <c r="L1192" s="250"/>
      <c r="M1192" s="250"/>
      <c r="N1192" s="553" t="str">
        <f>CONCATENATE(IF(OR(M1192=phu!$I$1,M1192=phu!$I$2,M1192=phu!$I$3),"Cam Thành Nam",""),IF(OR(M1192=phu!$I$4,M1192=phu!$I$5,M1192=phu!$I$6,M1192=phu!$I$7,M1192=phu!$I$8,M1192=phu!$I$9,M1192=phu!$I$10,M1192=phu!$I$11,M1192=phu!$I$12,M1192=phu!$I$13,M1192=phu!$I$14),"Cam Nghĩa",""),IF(OR(M1192=phu!$I$15,M1192=phu!$I$16,M1192=phu!$I$17,M1192=phu!$I$18,M1192=phu!$I$19,M1192=phu!$I$20,M1192=phu!$I$21),"Cam Phúc Bắc",""),IF(OR(M1192=phu!$I$22,M1192=phu!$I$23,M1192=phu!$I$24,M1192=phu!$I$25),"Cam Phúc Nam",""),IF(OR(M1192=phu!$I$26,M1192=phu!$I$27,M1192=phu!$I$28,M1192=phu!$I$29,M1192=phu!$I$30,M1192=phu!$I$31),"Cam Phú",""),IF(OR(M1192=phu!$I$32,M1192=phu!$I$33,M1192=phu!$I$34,M1192=phu!$I$35,M1192=phu!$I$36,M1192=phu!$I$37),"Cam Lộc",""),IF(OR(M1192=phu!$I$38,M1192=phu!$I$39,M1192=phu!$I$40,M1192=phu!$I$41,M1192=phu!$I$42,M1192=phu!$I$43,M1192=phu!$I$44),"Cam Thuận",""),IF(OR(M1192=phu!$I$45,M1192=phu!$I$46,M1192=phu!$I$47,M1192=phu!$I$48,M1192=phu!$I$49,M1192=phu!$I$50,M1192=phu!$I$51,M1192=phu!$I$52,M1192=phu!$I$53),"Cam Linh",""),IF(OR(M1192=phu!$I$54,M1192=phu!$I$55,M1192=phu!$I$56,M1192=phu!$I$57,M1192=phu!$I$58,M1192=phu!$I$59,M1192=phu!$I$60,M1192=phu!$I$61,M1192=phu!$I$62),"Cam Lợi",""),IF(OR(M1192=phu!$I$63,M1192=phu!$I$64,M1192=phu!$I$65,M1192=phu!$I$66,M1192=phu!$I$67,M1192=phu!$I$68,M1192=phu!$I$69,M1192=phu!$I$70,M1192=phu!$I$71),"Ba Ngòi",""),IF(OR(M1192=phu!$I$72,M1192=phu!$I$73,M1192=phu!$I$74,M1192=phu!$I$75,M1192=phu!$I$76,M1192=phu!$I$77,M1192=phu!$I$78),"Cam Phước Đông",""),IF(OR(M1192=phu!$I$79,M1192=phu!$I$80,M1192=phu!$I$81,M1192=phu!$I$82,M1192=phu!$I$83,M1192=phu!$I$84),"Cam Thịnh Đông",""),IF(OR(M1192=phu!$I$85,M1192=phu!$I$86,M1192=phu!$I$87,M1192=phu!$I$88),"Cam Thịnh Tây",""),IF(OR(M1192=phu!$I$89,M1192=phu!$I$90),"Cam Lập",""),IF(OR(M1192=phu!$I$91,M1192=phu!$I$92,M1192=phu!$I$93),"Cam Bình",""),IF(OR(M1192=phu!$I$94,M1192=phu!$I$95,M1192=phu!$I$96,M1192=phu!$I$97,M1192=phu!$I$98,M1192=phu!$I$99,M1192=phu!$I$100),"Huyện khác",""),IF(OR(M1192=phu!$I$101,M1192=phu!$I$102),"Tỉnh khác",""))</f>
        <v/>
      </c>
      <c r="O1192" s="814" t="str">
        <f t="shared" si="109"/>
        <v/>
      </c>
      <c r="P1192" s="254"/>
      <c r="Q1192" s="254"/>
      <c r="R1192" s="254"/>
      <c r="S1192" s="254"/>
      <c r="T1192" s="254"/>
      <c r="U1192" s="254"/>
      <c r="V1192" s="254"/>
      <c r="W1192" s="254"/>
      <c r="Y1192" s="246" t="str">
        <f t="shared" si="110"/>
        <v/>
      </c>
      <c r="Z1192" s="247" t="str">
        <f t="shared" si="108"/>
        <v/>
      </c>
      <c r="AA1192" s="246" t="str">
        <f t="shared" si="111"/>
        <v/>
      </c>
    </row>
    <row r="1193" spans="1:27" x14ac:dyDescent="0.25">
      <c r="A1193" s="248" t="str">
        <f t="shared" si="112"/>
        <v/>
      </c>
      <c r="B1193" s="249" t="str">
        <f t="shared" si="113"/>
        <v/>
      </c>
      <c r="C1193" s="250"/>
      <c r="D1193" s="251"/>
      <c r="E1193" s="241"/>
      <c r="F1193" s="252"/>
      <c r="G1193" s="252"/>
      <c r="H1193" s="253"/>
      <c r="I1193" s="250"/>
      <c r="J1193" s="250"/>
      <c r="K1193" s="270"/>
      <c r="L1193" s="250"/>
      <c r="M1193" s="250"/>
      <c r="N1193" s="553" t="str">
        <f>CONCATENATE(IF(OR(M1193=phu!$I$1,M1193=phu!$I$2,M1193=phu!$I$3),"Cam Thành Nam",""),IF(OR(M1193=phu!$I$4,M1193=phu!$I$5,M1193=phu!$I$6,M1193=phu!$I$7,M1193=phu!$I$8,M1193=phu!$I$9,M1193=phu!$I$10,M1193=phu!$I$11,M1193=phu!$I$12,M1193=phu!$I$13,M1193=phu!$I$14),"Cam Nghĩa",""),IF(OR(M1193=phu!$I$15,M1193=phu!$I$16,M1193=phu!$I$17,M1193=phu!$I$18,M1193=phu!$I$19,M1193=phu!$I$20,M1193=phu!$I$21),"Cam Phúc Bắc",""),IF(OR(M1193=phu!$I$22,M1193=phu!$I$23,M1193=phu!$I$24,M1193=phu!$I$25),"Cam Phúc Nam",""),IF(OR(M1193=phu!$I$26,M1193=phu!$I$27,M1193=phu!$I$28,M1193=phu!$I$29,M1193=phu!$I$30,M1193=phu!$I$31),"Cam Phú",""),IF(OR(M1193=phu!$I$32,M1193=phu!$I$33,M1193=phu!$I$34,M1193=phu!$I$35,M1193=phu!$I$36,M1193=phu!$I$37),"Cam Lộc",""),IF(OR(M1193=phu!$I$38,M1193=phu!$I$39,M1193=phu!$I$40,M1193=phu!$I$41,M1193=phu!$I$42,M1193=phu!$I$43,M1193=phu!$I$44),"Cam Thuận",""),IF(OR(M1193=phu!$I$45,M1193=phu!$I$46,M1193=phu!$I$47,M1193=phu!$I$48,M1193=phu!$I$49,M1193=phu!$I$50,M1193=phu!$I$51,M1193=phu!$I$52,M1193=phu!$I$53),"Cam Linh",""),IF(OR(M1193=phu!$I$54,M1193=phu!$I$55,M1193=phu!$I$56,M1193=phu!$I$57,M1193=phu!$I$58,M1193=phu!$I$59,M1193=phu!$I$60,M1193=phu!$I$61,M1193=phu!$I$62),"Cam Lợi",""),IF(OR(M1193=phu!$I$63,M1193=phu!$I$64,M1193=phu!$I$65,M1193=phu!$I$66,M1193=phu!$I$67,M1193=phu!$I$68,M1193=phu!$I$69,M1193=phu!$I$70,M1193=phu!$I$71),"Ba Ngòi",""),IF(OR(M1193=phu!$I$72,M1193=phu!$I$73,M1193=phu!$I$74,M1193=phu!$I$75,M1193=phu!$I$76,M1193=phu!$I$77,M1193=phu!$I$78),"Cam Phước Đông",""),IF(OR(M1193=phu!$I$79,M1193=phu!$I$80,M1193=phu!$I$81,M1193=phu!$I$82,M1193=phu!$I$83,M1193=phu!$I$84),"Cam Thịnh Đông",""),IF(OR(M1193=phu!$I$85,M1193=phu!$I$86,M1193=phu!$I$87,M1193=phu!$I$88),"Cam Thịnh Tây",""),IF(OR(M1193=phu!$I$89,M1193=phu!$I$90),"Cam Lập",""),IF(OR(M1193=phu!$I$91,M1193=phu!$I$92,M1193=phu!$I$93),"Cam Bình",""),IF(OR(M1193=phu!$I$94,M1193=phu!$I$95,M1193=phu!$I$96,M1193=phu!$I$97,M1193=phu!$I$98,M1193=phu!$I$99,M1193=phu!$I$100),"Huyện khác",""),IF(OR(M1193=phu!$I$101,M1193=phu!$I$102),"Tỉnh khác",""))</f>
        <v/>
      </c>
      <c r="O1193" s="814" t="str">
        <f t="shared" si="109"/>
        <v/>
      </c>
      <c r="P1193" s="254"/>
      <c r="Q1193" s="254"/>
      <c r="R1193" s="254"/>
      <c r="S1193" s="254"/>
      <c r="T1193" s="254"/>
      <c r="U1193" s="254"/>
      <c r="V1193" s="254"/>
      <c r="W1193" s="254"/>
      <c r="Y1193" s="246" t="str">
        <f t="shared" si="110"/>
        <v/>
      </c>
      <c r="Z1193" s="247" t="str">
        <f t="shared" si="108"/>
        <v/>
      </c>
      <c r="AA1193" s="246" t="str">
        <f t="shared" si="111"/>
        <v/>
      </c>
    </row>
    <row r="1194" spans="1:27" x14ac:dyDescent="0.25">
      <c r="A1194" s="248" t="str">
        <f t="shared" si="112"/>
        <v/>
      </c>
      <c r="B1194" s="249" t="str">
        <f t="shared" si="113"/>
        <v/>
      </c>
      <c r="C1194" s="250"/>
      <c r="D1194" s="251"/>
      <c r="E1194" s="241"/>
      <c r="F1194" s="252"/>
      <c r="G1194" s="252"/>
      <c r="H1194" s="253"/>
      <c r="I1194" s="250"/>
      <c r="J1194" s="250"/>
      <c r="K1194" s="270"/>
      <c r="L1194" s="250"/>
      <c r="M1194" s="250"/>
      <c r="N1194" s="553" t="str">
        <f>CONCATENATE(IF(OR(M1194=phu!$I$1,M1194=phu!$I$2,M1194=phu!$I$3),"Cam Thành Nam",""),IF(OR(M1194=phu!$I$4,M1194=phu!$I$5,M1194=phu!$I$6,M1194=phu!$I$7,M1194=phu!$I$8,M1194=phu!$I$9,M1194=phu!$I$10,M1194=phu!$I$11,M1194=phu!$I$12,M1194=phu!$I$13,M1194=phu!$I$14),"Cam Nghĩa",""),IF(OR(M1194=phu!$I$15,M1194=phu!$I$16,M1194=phu!$I$17,M1194=phu!$I$18,M1194=phu!$I$19,M1194=phu!$I$20,M1194=phu!$I$21),"Cam Phúc Bắc",""),IF(OR(M1194=phu!$I$22,M1194=phu!$I$23,M1194=phu!$I$24,M1194=phu!$I$25),"Cam Phúc Nam",""),IF(OR(M1194=phu!$I$26,M1194=phu!$I$27,M1194=phu!$I$28,M1194=phu!$I$29,M1194=phu!$I$30,M1194=phu!$I$31),"Cam Phú",""),IF(OR(M1194=phu!$I$32,M1194=phu!$I$33,M1194=phu!$I$34,M1194=phu!$I$35,M1194=phu!$I$36,M1194=phu!$I$37),"Cam Lộc",""),IF(OR(M1194=phu!$I$38,M1194=phu!$I$39,M1194=phu!$I$40,M1194=phu!$I$41,M1194=phu!$I$42,M1194=phu!$I$43,M1194=phu!$I$44),"Cam Thuận",""),IF(OR(M1194=phu!$I$45,M1194=phu!$I$46,M1194=phu!$I$47,M1194=phu!$I$48,M1194=phu!$I$49,M1194=phu!$I$50,M1194=phu!$I$51,M1194=phu!$I$52,M1194=phu!$I$53),"Cam Linh",""),IF(OR(M1194=phu!$I$54,M1194=phu!$I$55,M1194=phu!$I$56,M1194=phu!$I$57,M1194=phu!$I$58,M1194=phu!$I$59,M1194=phu!$I$60,M1194=phu!$I$61,M1194=phu!$I$62),"Cam Lợi",""),IF(OR(M1194=phu!$I$63,M1194=phu!$I$64,M1194=phu!$I$65,M1194=phu!$I$66,M1194=phu!$I$67,M1194=phu!$I$68,M1194=phu!$I$69,M1194=phu!$I$70,M1194=phu!$I$71),"Ba Ngòi",""),IF(OR(M1194=phu!$I$72,M1194=phu!$I$73,M1194=phu!$I$74,M1194=phu!$I$75,M1194=phu!$I$76,M1194=phu!$I$77,M1194=phu!$I$78),"Cam Phước Đông",""),IF(OR(M1194=phu!$I$79,M1194=phu!$I$80,M1194=phu!$I$81,M1194=phu!$I$82,M1194=phu!$I$83,M1194=phu!$I$84),"Cam Thịnh Đông",""),IF(OR(M1194=phu!$I$85,M1194=phu!$I$86,M1194=phu!$I$87,M1194=phu!$I$88),"Cam Thịnh Tây",""),IF(OR(M1194=phu!$I$89,M1194=phu!$I$90),"Cam Lập",""),IF(OR(M1194=phu!$I$91,M1194=phu!$I$92,M1194=phu!$I$93),"Cam Bình",""),IF(OR(M1194=phu!$I$94,M1194=phu!$I$95,M1194=phu!$I$96,M1194=phu!$I$97,M1194=phu!$I$98,M1194=phu!$I$99,M1194=phu!$I$100),"Huyện khác",""),IF(OR(M1194=phu!$I$101,M1194=phu!$I$102),"Tỉnh khác",""))</f>
        <v/>
      </c>
      <c r="O1194" s="814" t="str">
        <f t="shared" si="109"/>
        <v/>
      </c>
      <c r="P1194" s="254"/>
      <c r="Q1194" s="254"/>
      <c r="R1194" s="254"/>
      <c r="S1194" s="254"/>
      <c r="T1194" s="254"/>
      <c r="U1194" s="254"/>
      <c r="V1194" s="254"/>
      <c r="W1194" s="254"/>
      <c r="Y1194" s="246" t="str">
        <f t="shared" si="110"/>
        <v/>
      </c>
      <c r="Z1194" s="247" t="str">
        <f t="shared" si="108"/>
        <v/>
      </c>
      <c r="AA1194" s="246" t="str">
        <f t="shared" si="111"/>
        <v/>
      </c>
    </row>
    <row r="1195" spans="1:27" x14ac:dyDescent="0.25">
      <c r="A1195" s="248" t="str">
        <f t="shared" si="112"/>
        <v/>
      </c>
      <c r="B1195" s="249" t="str">
        <f t="shared" si="113"/>
        <v/>
      </c>
      <c r="C1195" s="250"/>
      <c r="D1195" s="251"/>
      <c r="E1195" s="241"/>
      <c r="F1195" s="252"/>
      <c r="G1195" s="252"/>
      <c r="H1195" s="253"/>
      <c r="I1195" s="250"/>
      <c r="J1195" s="250"/>
      <c r="K1195" s="270"/>
      <c r="L1195" s="250"/>
      <c r="M1195" s="250"/>
      <c r="N1195" s="553" t="str">
        <f>CONCATENATE(IF(OR(M1195=phu!$I$1,M1195=phu!$I$2,M1195=phu!$I$3),"Cam Thành Nam",""),IF(OR(M1195=phu!$I$4,M1195=phu!$I$5,M1195=phu!$I$6,M1195=phu!$I$7,M1195=phu!$I$8,M1195=phu!$I$9,M1195=phu!$I$10,M1195=phu!$I$11,M1195=phu!$I$12,M1195=phu!$I$13,M1195=phu!$I$14),"Cam Nghĩa",""),IF(OR(M1195=phu!$I$15,M1195=phu!$I$16,M1195=phu!$I$17,M1195=phu!$I$18,M1195=phu!$I$19,M1195=phu!$I$20,M1195=phu!$I$21),"Cam Phúc Bắc",""),IF(OR(M1195=phu!$I$22,M1195=phu!$I$23,M1195=phu!$I$24,M1195=phu!$I$25),"Cam Phúc Nam",""),IF(OR(M1195=phu!$I$26,M1195=phu!$I$27,M1195=phu!$I$28,M1195=phu!$I$29,M1195=phu!$I$30,M1195=phu!$I$31),"Cam Phú",""),IF(OR(M1195=phu!$I$32,M1195=phu!$I$33,M1195=phu!$I$34,M1195=phu!$I$35,M1195=phu!$I$36,M1195=phu!$I$37),"Cam Lộc",""),IF(OR(M1195=phu!$I$38,M1195=phu!$I$39,M1195=phu!$I$40,M1195=phu!$I$41,M1195=phu!$I$42,M1195=phu!$I$43,M1195=phu!$I$44),"Cam Thuận",""),IF(OR(M1195=phu!$I$45,M1195=phu!$I$46,M1195=phu!$I$47,M1195=phu!$I$48,M1195=phu!$I$49,M1195=phu!$I$50,M1195=phu!$I$51,M1195=phu!$I$52,M1195=phu!$I$53),"Cam Linh",""),IF(OR(M1195=phu!$I$54,M1195=phu!$I$55,M1195=phu!$I$56,M1195=phu!$I$57,M1195=phu!$I$58,M1195=phu!$I$59,M1195=phu!$I$60,M1195=phu!$I$61,M1195=phu!$I$62),"Cam Lợi",""),IF(OR(M1195=phu!$I$63,M1195=phu!$I$64,M1195=phu!$I$65,M1195=phu!$I$66,M1195=phu!$I$67,M1195=phu!$I$68,M1195=phu!$I$69,M1195=phu!$I$70,M1195=phu!$I$71),"Ba Ngòi",""),IF(OR(M1195=phu!$I$72,M1195=phu!$I$73,M1195=phu!$I$74,M1195=phu!$I$75,M1195=phu!$I$76,M1195=phu!$I$77,M1195=phu!$I$78),"Cam Phước Đông",""),IF(OR(M1195=phu!$I$79,M1195=phu!$I$80,M1195=phu!$I$81,M1195=phu!$I$82,M1195=phu!$I$83,M1195=phu!$I$84),"Cam Thịnh Đông",""),IF(OR(M1195=phu!$I$85,M1195=phu!$I$86,M1195=phu!$I$87,M1195=phu!$I$88),"Cam Thịnh Tây",""),IF(OR(M1195=phu!$I$89,M1195=phu!$I$90),"Cam Lập",""),IF(OR(M1195=phu!$I$91,M1195=phu!$I$92,M1195=phu!$I$93),"Cam Bình",""),IF(OR(M1195=phu!$I$94,M1195=phu!$I$95,M1195=phu!$I$96,M1195=phu!$I$97,M1195=phu!$I$98,M1195=phu!$I$99,M1195=phu!$I$100),"Huyện khác",""),IF(OR(M1195=phu!$I$101,M1195=phu!$I$102),"Tỉnh khác",""))</f>
        <v/>
      </c>
      <c r="O1195" s="814" t="str">
        <f t="shared" si="109"/>
        <v/>
      </c>
      <c r="P1195" s="254"/>
      <c r="Q1195" s="254"/>
      <c r="R1195" s="254"/>
      <c r="S1195" s="254"/>
      <c r="T1195" s="254"/>
      <c r="U1195" s="254"/>
      <c r="V1195" s="254"/>
      <c r="W1195" s="254"/>
      <c r="Y1195" s="246" t="str">
        <f t="shared" si="110"/>
        <v/>
      </c>
      <c r="Z1195" s="247" t="str">
        <f t="shared" si="108"/>
        <v/>
      </c>
      <c r="AA1195" s="246" t="str">
        <f t="shared" si="111"/>
        <v/>
      </c>
    </row>
    <row r="1196" spans="1:27" x14ac:dyDescent="0.25">
      <c r="A1196" s="248" t="str">
        <f t="shared" si="112"/>
        <v/>
      </c>
      <c r="B1196" s="249" t="str">
        <f t="shared" si="113"/>
        <v/>
      </c>
      <c r="C1196" s="250"/>
      <c r="D1196" s="251"/>
      <c r="E1196" s="241"/>
      <c r="F1196" s="252"/>
      <c r="G1196" s="252"/>
      <c r="H1196" s="253"/>
      <c r="I1196" s="250"/>
      <c r="J1196" s="250"/>
      <c r="K1196" s="270"/>
      <c r="L1196" s="250"/>
      <c r="M1196" s="250"/>
      <c r="N1196" s="553" t="str">
        <f>CONCATENATE(IF(OR(M1196=phu!$I$1,M1196=phu!$I$2,M1196=phu!$I$3),"Cam Thành Nam",""),IF(OR(M1196=phu!$I$4,M1196=phu!$I$5,M1196=phu!$I$6,M1196=phu!$I$7,M1196=phu!$I$8,M1196=phu!$I$9,M1196=phu!$I$10,M1196=phu!$I$11,M1196=phu!$I$12,M1196=phu!$I$13,M1196=phu!$I$14),"Cam Nghĩa",""),IF(OR(M1196=phu!$I$15,M1196=phu!$I$16,M1196=phu!$I$17,M1196=phu!$I$18,M1196=phu!$I$19,M1196=phu!$I$20,M1196=phu!$I$21),"Cam Phúc Bắc",""),IF(OR(M1196=phu!$I$22,M1196=phu!$I$23,M1196=phu!$I$24,M1196=phu!$I$25),"Cam Phúc Nam",""),IF(OR(M1196=phu!$I$26,M1196=phu!$I$27,M1196=phu!$I$28,M1196=phu!$I$29,M1196=phu!$I$30,M1196=phu!$I$31),"Cam Phú",""),IF(OR(M1196=phu!$I$32,M1196=phu!$I$33,M1196=phu!$I$34,M1196=phu!$I$35,M1196=phu!$I$36,M1196=phu!$I$37),"Cam Lộc",""),IF(OR(M1196=phu!$I$38,M1196=phu!$I$39,M1196=phu!$I$40,M1196=phu!$I$41,M1196=phu!$I$42,M1196=phu!$I$43,M1196=phu!$I$44),"Cam Thuận",""),IF(OR(M1196=phu!$I$45,M1196=phu!$I$46,M1196=phu!$I$47,M1196=phu!$I$48,M1196=phu!$I$49,M1196=phu!$I$50,M1196=phu!$I$51,M1196=phu!$I$52,M1196=phu!$I$53),"Cam Linh",""),IF(OR(M1196=phu!$I$54,M1196=phu!$I$55,M1196=phu!$I$56,M1196=phu!$I$57,M1196=phu!$I$58,M1196=phu!$I$59,M1196=phu!$I$60,M1196=phu!$I$61,M1196=phu!$I$62),"Cam Lợi",""),IF(OR(M1196=phu!$I$63,M1196=phu!$I$64,M1196=phu!$I$65,M1196=phu!$I$66,M1196=phu!$I$67,M1196=phu!$I$68,M1196=phu!$I$69,M1196=phu!$I$70,M1196=phu!$I$71),"Ba Ngòi",""),IF(OR(M1196=phu!$I$72,M1196=phu!$I$73,M1196=phu!$I$74,M1196=phu!$I$75,M1196=phu!$I$76,M1196=phu!$I$77,M1196=phu!$I$78),"Cam Phước Đông",""),IF(OR(M1196=phu!$I$79,M1196=phu!$I$80,M1196=phu!$I$81,M1196=phu!$I$82,M1196=phu!$I$83,M1196=phu!$I$84),"Cam Thịnh Đông",""),IF(OR(M1196=phu!$I$85,M1196=phu!$I$86,M1196=phu!$I$87,M1196=phu!$I$88),"Cam Thịnh Tây",""),IF(OR(M1196=phu!$I$89,M1196=phu!$I$90),"Cam Lập",""),IF(OR(M1196=phu!$I$91,M1196=phu!$I$92,M1196=phu!$I$93),"Cam Bình",""),IF(OR(M1196=phu!$I$94,M1196=phu!$I$95,M1196=phu!$I$96,M1196=phu!$I$97,M1196=phu!$I$98,M1196=phu!$I$99,M1196=phu!$I$100),"Huyện khác",""),IF(OR(M1196=phu!$I$101,M1196=phu!$I$102),"Tỉnh khác",""))</f>
        <v/>
      </c>
      <c r="O1196" s="814" t="str">
        <f t="shared" si="109"/>
        <v/>
      </c>
      <c r="P1196" s="254"/>
      <c r="Q1196" s="254"/>
      <c r="R1196" s="254"/>
      <c r="S1196" s="254"/>
      <c r="T1196" s="254"/>
      <c r="U1196" s="254"/>
      <c r="V1196" s="254"/>
      <c r="W1196" s="254"/>
      <c r="Y1196" s="246" t="str">
        <f t="shared" si="110"/>
        <v/>
      </c>
      <c r="Z1196" s="247" t="str">
        <f t="shared" si="108"/>
        <v/>
      </c>
      <c r="AA1196" s="246" t="str">
        <f t="shared" si="111"/>
        <v/>
      </c>
    </row>
    <row r="1197" spans="1:27" x14ac:dyDescent="0.25">
      <c r="A1197" s="248" t="str">
        <f t="shared" si="112"/>
        <v/>
      </c>
      <c r="B1197" s="249" t="str">
        <f t="shared" si="113"/>
        <v/>
      </c>
      <c r="C1197" s="250"/>
      <c r="D1197" s="251"/>
      <c r="E1197" s="241"/>
      <c r="F1197" s="252"/>
      <c r="G1197" s="252"/>
      <c r="H1197" s="253"/>
      <c r="I1197" s="250"/>
      <c r="J1197" s="250"/>
      <c r="K1197" s="270"/>
      <c r="L1197" s="250"/>
      <c r="M1197" s="250"/>
      <c r="N1197" s="553" t="str">
        <f>CONCATENATE(IF(OR(M1197=phu!$I$1,M1197=phu!$I$2,M1197=phu!$I$3),"Cam Thành Nam",""),IF(OR(M1197=phu!$I$4,M1197=phu!$I$5,M1197=phu!$I$6,M1197=phu!$I$7,M1197=phu!$I$8,M1197=phu!$I$9,M1197=phu!$I$10,M1197=phu!$I$11,M1197=phu!$I$12,M1197=phu!$I$13,M1197=phu!$I$14),"Cam Nghĩa",""),IF(OR(M1197=phu!$I$15,M1197=phu!$I$16,M1197=phu!$I$17,M1197=phu!$I$18,M1197=phu!$I$19,M1197=phu!$I$20,M1197=phu!$I$21),"Cam Phúc Bắc",""),IF(OR(M1197=phu!$I$22,M1197=phu!$I$23,M1197=phu!$I$24,M1197=phu!$I$25),"Cam Phúc Nam",""),IF(OR(M1197=phu!$I$26,M1197=phu!$I$27,M1197=phu!$I$28,M1197=phu!$I$29,M1197=phu!$I$30,M1197=phu!$I$31),"Cam Phú",""),IF(OR(M1197=phu!$I$32,M1197=phu!$I$33,M1197=phu!$I$34,M1197=phu!$I$35,M1197=phu!$I$36,M1197=phu!$I$37),"Cam Lộc",""),IF(OR(M1197=phu!$I$38,M1197=phu!$I$39,M1197=phu!$I$40,M1197=phu!$I$41,M1197=phu!$I$42,M1197=phu!$I$43,M1197=phu!$I$44),"Cam Thuận",""),IF(OR(M1197=phu!$I$45,M1197=phu!$I$46,M1197=phu!$I$47,M1197=phu!$I$48,M1197=phu!$I$49,M1197=phu!$I$50,M1197=phu!$I$51,M1197=phu!$I$52,M1197=phu!$I$53),"Cam Linh",""),IF(OR(M1197=phu!$I$54,M1197=phu!$I$55,M1197=phu!$I$56,M1197=phu!$I$57,M1197=phu!$I$58,M1197=phu!$I$59,M1197=phu!$I$60,M1197=phu!$I$61,M1197=phu!$I$62),"Cam Lợi",""),IF(OR(M1197=phu!$I$63,M1197=phu!$I$64,M1197=phu!$I$65,M1197=phu!$I$66,M1197=phu!$I$67,M1197=phu!$I$68,M1197=phu!$I$69,M1197=phu!$I$70,M1197=phu!$I$71),"Ba Ngòi",""),IF(OR(M1197=phu!$I$72,M1197=phu!$I$73,M1197=phu!$I$74,M1197=phu!$I$75,M1197=phu!$I$76,M1197=phu!$I$77,M1197=phu!$I$78),"Cam Phước Đông",""),IF(OR(M1197=phu!$I$79,M1197=phu!$I$80,M1197=phu!$I$81,M1197=phu!$I$82,M1197=phu!$I$83,M1197=phu!$I$84),"Cam Thịnh Đông",""),IF(OR(M1197=phu!$I$85,M1197=phu!$I$86,M1197=phu!$I$87,M1197=phu!$I$88),"Cam Thịnh Tây",""),IF(OR(M1197=phu!$I$89,M1197=phu!$I$90),"Cam Lập",""),IF(OR(M1197=phu!$I$91,M1197=phu!$I$92,M1197=phu!$I$93),"Cam Bình",""),IF(OR(M1197=phu!$I$94,M1197=phu!$I$95,M1197=phu!$I$96,M1197=phu!$I$97,M1197=phu!$I$98,M1197=phu!$I$99,M1197=phu!$I$100),"Huyện khác",""),IF(OR(M1197=phu!$I$101,M1197=phu!$I$102),"Tỉnh khác",""))</f>
        <v/>
      </c>
      <c r="O1197" s="814" t="str">
        <f t="shared" si="109"/>
        <v/>
      </c>
      <c r="P1197" s="254"/>
      <c r="Q1197" s="254"/>
      <c r="R1197" s="254"/>
      <c r="S1197" s="254"/>
      <c r="T1197" s="254"/>
      <c r="U1197" s="254"/>
      <c r="V1197" s="254"/>
      <c r="W1197" s="254"/>
      <c r="Y1197" s="246" t="str">
        <f t="shared" si="110"/>
        <v/>
      </c>
      <c r="Z1197" s="247" t="str">
        <f t="shared" si="108"/>
        <v/>
      </c>
      <c r="AA1197" s="246" t="str">
        <f t="shared" si="111"/>
        <v/>
      </c>
    </row>
    <row r="1198" spans="1:27" x14ac:dyDescent="0.25">
      <c r="A1198" s="248" t="str">
        <f t="shared" si="112"/>
        <v/>
      </c>
      <c r="B1198" s="249" t="str">
        <f t="shared" si="113"/>
        <v/>
      </c>
      <c r="C1198" s="250"/>
      <c r="D1198" s="251"/>
      <c r="E1198" s="241"/>
      <c r="F1198" s="252"/>
      <c r="G1198" s="252"/>
      <c r="H1198" s="253"/>
      <c r="I1198" s="250"/>
      <c r="J1198" s="250"/>
      <c r="K1198" s="270"/>
      <c r="L1198" s="250"/>
      <c r="M1198" s="250"/>
      <c r="N1198" s="553" t="str">
        <f>CONCATENATE(IF(OR(M1198=phu!$I$1,M1198=phu!$I$2,M1198=phu!$I$3),"Cam Thành Nam",""),IF(OR(M1198=phu!$I$4,M1198=phu!$I$5,M1198=phu!$I$6,M1198=phu!$I$7,M1198=phu!$I$8,M1198=phu!$I$9,M1198=phu!$I$10,M1198=phu!$I$11,M1198=phu!$I$12,M1198=phu!$I$13,M1198=phu!$I$14),"Cam Nghĩa",""),IF(OR(M1198=phu!$I$15,M1198=phu!$I$16,M1198=phu!$I$17,M1198=phu!$I$18,M1198=phu!$I$19,M1198=phu!$I$20,M1198=phu!$I$21),"Cam Phúc Bắc",""),IF(OR(M1198=phu!$I$22,M1198=phu!$I$23,M1198=phu!$I$24,M1198=phu!$I$25),"Cam Phúc Nam",""),IF(OR(M1198=phu!$I$26,M1198=phu!$I$27,M1198=phu!$I$28,M1198=phu!$I$29,M1198=phu!$I$30,M1198=phu!$I$31),"Cam Phú",""),IF(OR(M1198=phu!$I$32,M1198=phu!$I$33,M1198=phu!$I$34,M1198=phu!$I$35,M1198=phu!$I$36,M1198=phu!$I$37),"Cam Lộc",""),IF(OR(M1198=phu!$I$38,M1198=phu!$I$39,M1198=phu!$I$40,M1198=phu!$I$41,M1198=phu!$I$42,M1198=phu!$I$43,M1198=phu!$I$44),"Cam Thuận",""),IF(OR(M1198=phu!$I$45,M1198=phu!$I$46,M1198=phu!$I$47,M1198=phu!$I$48,M1198=phu!$I$49,M1198=phu!$I$50,M1198=phu!$I$51,M1198=phu!$I$52,M1198=phu!$I$53),"Cam Linh",""),IF(OR(M1198=phu!$I$54,M1198=phu!$I$55,M1198=phu!$I$56,M1198=phu!$I$57,M1198=phu!$I$58,M1198=phu!$I$59,M1198=phu!$I$60,M1198=phu!$I$61,M1198=phu!$I$62),"Cam Lợi",""),IF(OR(M1198=phu!$I$63,M1198=phu!$I$64,M1198=phu!$I$65,M1198=phu!$I$66,M1198=phu!$I$67,M1198=phu!$I$68,M1198=phu!$I$69,M1198=phu!$I$70,M1198=phu!$I$71),"Ba Ngòi",""),IF(OR(M1198=phu!$I$72,M1198=phu!$I$73,M1198=phu!$I$74,M1198=phu!$I$75,M1198=phu!$I$76,M1198=phu!$I$77,M1198=phu!$I$78),"Cam Phước Đông",""),IF(OR(M1198=phu!$I$79,M1198=phu!$I$80,M1198=phu!$I$81,M1198=phu!$I$82,M1198=phu!$I$83,M1198=phu!$I$84),"Cam Thịnh Đông",""),IF(OR(M1198=phu!$I$85,M1198=phu!$I$86,M1198=phu!$I$87,M1198=phu!$I$88),"Cam Thịnh Tây",""),IF(OR(M1198=phu!$I$89,M1198=phu!$I$90),"Cam Lập",""),IF(OR(M1198=phu!$I$91,M1198=phu!$I$92,M1198=phu!$I$93),"Cam Bình",""),IF(OR(M1198=phu!$I$94,M1198=phu!$I$95,M1198=phu!$I$96,M1198=phu!$I$97,M1198=phu!$I$98,M1198=phu!$I$99,M1198=phu!$I$100),"Huyện khác",""),IF(OR(M1198=phu!$I$101,M1198=phu!$I$102),"Tỉnh khác",""))</f>
        <v/>
      </c>
      <c r="O1198" s="814" t="str">
        <f t="shared" si="109"/>
        <v/>
      </c>
      <c r="P1198" s="254"/>
      <c r="Q1198" s="254"/>
      <c r="R1198" s="254"/>
      <c r="S1198" s="254"/>
      <c r="T1198" s="254"/>
      <c r="U1198" s="254"/>
      <c r="V1198" s="254"/>
      <c r="W1198" s="254"/>
      <c r="Y1198" s="246" t="str">
        <f t="shared" si="110"/>
        <v/>
      </c>
      <c r="Z1198" s="247" t="str">
        <f t="shared" si="108"/>
        <v/>
      </c>
      <c r="AA1198" s="246" t="str">
        <f t="shared" si="111"/>
        <v/>
      </c>
    </row>
    <row r="1199" spans="1:27" x14ac:dyDescent="0.25">
      <c r="A1199" s="248" t="str">
        <f t="shared" si="112"/>
        <v/>
      </c>
      <c r="B1199" s="249" t="str">
        <f t="shared" si="113"/>
        <v/>
      </c>
      <c r="C1199" s="250"/>
      <c r="D1199" s="251"/>
      <c r="E1199" s="241"/>
      <c r="F1199" s="252"/>
      <c r="G1199" s="252"/>
      <c r="H1199" s="253"/>
      <c r="I1199" s="250"/>
      <c r="J1199" s="250"/>
      <c r="K1199" s="270"/>
      <c r="L1199" s="250"/>
      <c r="M1199" s="250"/>
      <c r="N1199" s="553" t="str">
        <f>CONCATENATE(IF(OR(M1199=phu!$I$1,M1199=phu!$I$2,M1199=phu!$I$3),"Cam Thành Nam",""),IF(OR(M1199=phu!$I$4,M1199=phu!$I$5,M1199=phu!$I$6,M1199=phu!$I$7,M1199=phu!$I$8,M1199=phu!$I$9,M1199=phu!$I$10,M1199=phu!$I$11,M1199=phu!$I$12,M1199=phu!$I$13,M1199=phu!$I$14),"Cam Nghĩa",""),IF(OR(M1199=phu!$I$15,M1199=phu!$I$16,M1199=phu!$I$17,M1199=phu!$I$18,M1199=phu!$I$19,M1199=phu!$I$20,M1199=phu!$I$21),"Cam Phúc Bắc",""),IF(OR(M1199=phu!$I$22,M1199=phu!$I$23,M1199=phu!$I$24,M1199=phu!$I$25),"Cam Phúc Nam",""),IF(OR(M1199=phu!$I$26,M1199=phu!$I$27,M1199=phu!$I$28,M1199=phu!$I$29,M1199=phu!$I$30,M1199=phu!$I$31),"Cam Phú",""),IF(OR(M1199=phu!$I$32,M1199=phu!$I$33,M1199=phu!$I$34,M1199=phu!$I$35,M1199=phu!$I$36,M1199=phu!$I$37),"Cam Lộc",""),IF(OR(M1199=phu!$I$38,M1199=phu!$I$39,M1199=phu!$I$40,M1199=phu!$I$41,M1199=phu!$I$42,M1199=phu!$I$43,M1199=phu!$I$44),"Cam Thuận",""),IF(OR(M1199=phu!$I$45,M1199=phu!$I$46,M1199=phu!$I$47,M1199=phu!$I$48,M1199=phu!$I$49,M1199=phu!$I$50,M1199=phu!$I$51,M1199=phu!$I$52,M1199=phu!$I$53),"Cam Linh",""),IF(OR(M1199=phu!$I$54,M1199=phu!$I$55,M1199=phu!$I$56,M1199=phu!$I$57,M1199=phu!$I$58,M1199=phu!$I$59,M1199=phu!$I$60,M1199=phu!$I$61,M1199=phu!$I$62),"Cam Lợi",""),IF(OR(M1199=phu!$I$63,M1199=phu!$I$64,M1199=phu!$I$65,M1199=phu!$I$66,M1199=phu!$I$67,M1199=phu!$I$68,M1199=phu!$I$69,M1199=phu!$I$70,M1199=phu!$I$71),"Ba Ngòi",""),IF(OR(M1199=phu!$I$72,M1199=phu!$I$73,M1199=phu!$I$74,M1199=phu!$I$75,M1199=phu!$I$76,M1199=phu!$I$77,M1199=phu!$I$78),"Cam Phước Đông",""),IF(OR(M1199=phu!$I$79,M1199=phu!$I$80,M1199=phu!$I$81,M1199=phu!$I$82,M1199=phu!$I$83,M1199=phu!$I$84),"Cam Thịnh Đông",""),IF(OR(M1199=phu!$I$85,M1199=phu!$I$86,M1199=phu!$I$87,M1199=phu!$I$88),"Cam Thịnh Tây",""),IF(OR(M1199=phu!$I$89,M1199=phu!$I$90),"Cam Lập",""),IF(OR(M1199=phu!$I$91,M1199=phu!$I$92,M1199=phu!$I$93),"Cam Bình",""),IF(OR(M1199=phu!$I$94,M1199=phu!$I$95,M1199=phu!$I$96,M1199=phu!$I$97,M1199=phu!$I$98,M1199=phu!$I$99,M1199=phu!$I$100),"Huyện khác",""),IF(OR(M1199=phu!$I$101,M1199=phu!$I$102),"Tỉnh khác",""))</f>
        <v/>
      </c>
      <c r="O1199" s="814" t="str">
        <f t="shared" si="109"/>
        <v/>
      </c>
      <c r="P1199" s="254"/>
      <c r="Q1199" s="254"/>
      <c r="R1199" s="254"/>
      <c r="S1199" s="254"/>
      <c r="T1199" s="254"/>
      <c r="U1199" s="254"/>
      <c r="V1199" s="254"/>
      <c r="W1199" s="254"/>
      <c r="Y1199" s="246" t="str">
        <f t="shared" si="110"/>
        <v/>
      </c>
      <c r="Z1199" s="247" t="str">
        <f t="shared" si="108"/>
        <v/>
      </c>
      <c r="AA1199" s="246" t="str">
        <f t="shared" si="111"/>
        <v/>
      </c>
    </row>
    <row r="1200" spans="1:27" x14ac:dyDescent="0.25">
      <c r="A1200" s="248" t="str">
        <f t="shared" si="112"/>
        <v/>
      </c>
      <c r="B1200" s="249" t="str">
        <f t="shared" si="113"/>
        <v/>
      </c>
      <c r="C1200" s="250"/>
      <c r="D1200" s="251"/>
      <c r="E1200" s="241"/>
      <c r="F1200" s="252"/>
      <c r="G1200" s="252"/>
      <c r="H1200" s="253"/>
      <c r="I1200" s="250"/>
      <c r="J1200" s="250"/>
      <c r="K1200" s="270"/>
      <c r="L1200" s="250"/>
      <c r="M1200" s="250"/>
      <c r="N1200" s="553" t="str">
        <f>CONCATENATE(IF(OR(M1200=phu!$I$1,M1200=phu!$I$2,M1200=phu!$I$3),"Cam Thành Nam",""),IF(OR(M1200=phu!$I$4,M1200=phu!$I$5,M1200=phu!$I$6,M1200=phu!$I$7,M1200=phu!$I$8,M1200=phu!$I$9,M1200=phu!$I$10,M1200=phu!$I$11,M1200=phu!$I$12,M1200=phu!$I$13,M1200=phu!$I$14),"Cam Nghĩa",""),IF(OR(M1200=phu!$I$15,M1200=phu!$I$16,M1200=phu!$I$17,M1200=phu!$I$18,M1200=phu!$I$19,M1200=phu!$I$20,M1200=phu!$I$21),"Cam Phúc Bắc",""),IF(OR(M1200=phu!$I$22,M1200=phu!$I$23,M1200=phu!$I$24,M1200=phu!$I$25),"Cam Phúc Nam",""),IF(OR(M1200=phu!$I$26,M1200=phu!$I$27,M1200=phu!$I$28,M1200=phu!$I$29,M1200=phu!$I$30,M1200=phu!$I$31),"Cam Phú",""),IF(OR(M1200=phu!$I$32,M1200=phu!$I$33,M1200=phu!$I$34,M1200=phu!$I$35,M1200=phu!$I$36,M1200=phu!$I$37),"Cam Lộc",""),IF(OR(M1200=phu!$I$38,M1200=phu!$I$39,M1200=phu!$I$40,M1200=phu!$I$41,M1200=phu!$I$42,M1200=phu!$I$43,M1200=phu!$I$44),"Cam Thuận",""),IF(OR(M1200=phu!$I$45,M1200=phu!$I$46,M1200=phu!$I$47,M1200=phu!$I$48,M1200=phu!$I$49,M1200=phu!$I$50,M1200=phu!$I$51,M1200=phu!$I$52,M1200=phu!$I$53),"Cam Linh",""),IF(OR(M1200=phu!$I$54,M1200=phu!$I$55,M1200=phu!$I$56,M1200=phu!$I$57,M1200=phu!$I$58,M1200=phu!$I$59,M1200=phu!$I$60,M1200=phu!$I$61,M1200=phu!$I$62),"Cam Lợi",""),IF(OR(M1200=phu!$I$63,M1200=phu!$I$64,M1200=phu!$I$65,M1200=phu!$I$66,M1200=phu!$I$67,M1200=phu!$I$68,M1200=phu!$I$69,M1200=phu!$I$70,M1200=phu!$I$71),"Ba Ngòi",""),IF(OR(M1200=phu!$I$72,M1200=phu!$I$73,M1200=phu!$I$74,M1200=phu!$I$75,M1200=phu!$I$76,M1200=phu!$I$77,M1200=phu!$I$78),"Cam Phước Đông",""),IF(OR(M1200=phu!$I$79,M1200=phu!$I$80,M1200=phu!$I$81,M1200=phu!$I$82,M1200=phu!$I$83,M1200=phu!$I$84),"Cam Thịnh Đông",""),IF(OR(M1200=phu!$I$85,M1200=phu!$I$86,M1200=phu!$I$87,M1200=phu!$I$88),"Cam Thịnh Tây",""),IF(OR(M1200=phu!$I$89,M1200=phu!$I$90),"Cam Lập",""),IF(OR(M1200=phu!$I$91,M1200=phu!$I$92,M1200=phu!$I$93),"Cam Bình",""),IF(OR(M1200=phu!$I$94,M1200=phu!$I$95,M1200=phu!$I$96,M1200=phu!$I$97,M1200=phu!$I$98,M1200=phu!$I$99,M1200=phu!$I$100),"Huyện khác",""),IF(OR(M1200=phu!$I$101,M1200=phu!$I$102),"Tỉnh khác",""))</f>
        <v/>
      </c>
      <c r="O1200" s="814" t="str">
        <f t="shared" si="109"/>
        <v/>
      </c>
      <c r="P1200" s="254"/>
      <c r="Q1200" s="254"/>
      <c r="R1200" s="254"/>
      <c r="S1200" s="254"/>
      <c r="T1200" s="254"/>
      <c r="U1200" s="254"/>
      <c r="V1200" s="254"/>
      <c r="W1200" s="254"/>
      <c r="Y1200" s="246" t="str">
        <f t="shared" si="110"/>
        <v/>
      </c>
      <c r="Z1200" s="247" t="str">
        <f t="shared" si="108"/>
        <v/>
      </c>
      <c r="AA1200" s="246" t="str">
        <f t="shared" si="111"/>
        <v/>
      </c>
    </row>
    <row r="1201" spans="1:27" x14ac:dyDescent="0.25">
      <c r="A1201" s="248" t="str">
        <f t="shared" si="112"/>
        <v/>
      </c>
      <c r="B1201" s="249" t="str">
        <f t="shared" si="113"/>
        <v/>
      </c>
      <c r="C1201" s="250"/>
      <c r="D1201" s="251"/>
      <c r="E1201" s="241"/>
      <c r="F1201" s="252"/>
      <c r="G1201" s="252"/>
      <c r="H1201" s="253"/>
      <c r="I1201" s="250"/>
      <c r="J1201" s="250"/>
      <c r="K1201" s="270"/>
      <c r="L1201" s="250"/>
      <c r="M1201" s="250"/>
      <c r="N1201" s="553" t="str">
        <f>CONCATENATE(IF(OR(M1201=phu!$I$1,M1201=phu!$I$2,M1201=phu!$I$3),"Cam Thành Nam",""),IF(OR(M1201=phu!$I$4,M1201=phu!$I$5,M1201=phu!$I$6,M1201=phu!$I$7,M1201=phu!$I$8,M1201=phu!$I$9,M1201=phu!$I$10,M1201=phu!$I$11,M1201=phu!$I$12,M1201=phu!$I$13,M1201=phu!$I$14),"Cam Nghĩa",""),IF(OR(M1201=phu!$I$15,M1201=phu!$I$16,M1201=phu!$I$17,M1201=phu!$I$18,M1201=phu!$I$19,M1201=phu!$I$20,M1201=phu!$I$21),"Cam Phúc Bắc",""),IF(OR(M1201=phu!$I$22,M1201=phu!$I$23,M1201=phu!$I$24,M1201=phu!$I$25),"Cam Phúc Nam",""),IF(OR(M1201=phu!$I$26,M1201=phu!$I$27,M1201=phu!$I$28,M1201=phu!$I$29,M1201=phu!$I$30,M1201=phu!$I$31),"Cam Phú",""),IF(OR(M1201=phu!$I$32,M1201=phu!$I$33,M1201=phu!$I$34,M1201=phu!$I$35,M1201=phu!$I$36,M1201=phu!$I$37),"Cam Lộc",""),IF(OR(M1201=phu!$I$38,M1201=phu!$I$39,M1201=phu!$I$40,M1201=phu!$I$41,M1201=phu!$I$42,M1201=phu!$I$43,M1201=phu!$I$44),"Cam Thuận",""),IF(OR(M1201=phu!$I$45,M1201=phu!$I$46,M1201=phu!$I$47,M1201=phu!$I$48,M1201=phu!$I$49,M1201=phu!$I$50,M1201=phu!$I$51,M1201=phu!$I$52,M1201=phu!$I$53),"Cam Linh",""),IF(OR(M1201=phu!$I$54,M1201=phu!$I$55,M1201=phu!$I$56,M1201=phu!$I$57,M1201=phu!$I$58,M1201=phu!$I$59,M1201=phu!$I$60,M1201=phu!$I$61,M1201=phu!$I$62),"Cam Lợi",""),IF(OR(M1201=phu!$I$63,M1201=phu!$I$64,M1201=phu!$I$65,M1201=phu!$I$66,M1201=phu!$I$67,M1201=phu!$I$68,M1201=phu!$I$69,M1201=phu!$I$70,M1201=phu!$I$71),"Ba Ngòi",""),IF(OR(M1201=phu!$I$72,M1201=phu!$I$73,M1201=phu!$I$74,M1201=phu!$I$75,M1201=phu!$I$76,M1201=phu!$I$77,M1201=phu!$I$78),"Cam Phước Đông",""),IF(OR(M1201=phu!$I$79,M1201=phu!$I$80,M1201=phu!$I$81,M1201=phu!$I$82,M1201=phu!$I$83,M1201=phu!$I$84),"Cam Thịnh Đông",""),IF(OR(M1201=phu!$I$85,M1201=phu!$I$86,M1201=phu!$I$87,M1201=phu!$I$88),"Cam Thịnh Tây",""),IF(OR(M1201=phu!$I$89,M1201=phu!$I$90),"Cam Lập",""),IF(OR(M1201=phu!$I$91,M1201=phu!$I$92,M1201=phu!$I$93),"Cam Bình",""),IF(OR(M1201=phu!$I$94,M1201=phu!$I$95,M1201=phu!$I$96,M1201=phu!$I$97,M1201=phu!$I$98,M1201=phu!$I$99,M1201=phu!$I$100),"Huyện khác",""),IF(OR(M1201=phu!$I$101,M1201=phu!$I$102),"Tỉnh khác",""))</f>
        <v/>
      </c>
      <c r="O1201" s="814" t="str">
        <f t="shared" si="109"/>
        <v/>
      </c>
      <c r="P1201" s="254"/>
      <c r="Q1201" s="254"/>
      <c r="R1201" s="254"/>
      <c r="S1201" s="254"/>
      <c r="T1201" s="254"/>
      <c r="U1201" s="254"/>
      <c r="V1201" s="254"/>
      <c r="W1201" s="254"/>
      <c r="Y1201" s="246" t="str">
        <f t="shared" si="110"/>
        <v/>
      </c>
      <c r="Z1201" s="247" t="str">
        <f t="shared" si="108"/>
        <v/>
      </c>
      <c r="AA1201" s="246" t="str">
        <f t="shared" si="111"/>
        <v/>
      </c>
    </row>
    <row r="1202" spans="1:27" x14ac:dyDescent="0.25">
      <c r="A1202" s="248" t="str">
        <f t="shared" si="112"/>
        <v/>
      </c>
      <c r="B1202" s="249" t="str">
        <f t="shared" si="113"/>
        <v/>
      </c>
      <c r="C1202" s="250"/>
      <c r="D1202" s="251"/>
      <c r="E1202" s="241"/>
      <c r="F1202" s="252"/>
      <c r="G1202" s="252"/>
      <c r="H1202" s="253"/>
      <c r="I1202" s="250"/>
      <c r="J1202" s="250"/>
      <c r="K1202" s="270"/>
      <c r="L1202" s="250"/>
      <c r="M1202" s="250"/>
      <c r="N1202" s="553" t="str">
        <f>CONCATENATE(IF(OR(M1202=phu!$I$1,M1202=phu!$I$2,M1202=phu!$I$3),"Cam Thành Nam",""),IF(OR(M1202=phu!$I$4,M1202=phu!$I$5,M1202=phu!$I$6,M1202=phu!$I$7,M1202=phu!$I$8,M1202=phu!$I$9,M1202=phu!$I$10,M1202=phu!$I$11,M1202=phu!$I$12,M1202=phu!$I$13,M1202=phu!$I$14),"Cam Nghĩa",""),IF(OR(M1202=phu!$I$15,M1202=phu!$I$16,M1202=phu!$I$17,M1202=phu!$I$18,M1202=phu!$I$19,M1202=phu!$I$20,M1202=phu!$I$21),"Cam Phúc Bắc",""),IF(OR(M1202=phu!$I$22,M1202=phu!$I$23,M1202=phu!$I$24,M1202=phu!$I$25),"Cam Phúc Nam",""),IF(OR(M1202=phu!$I$26,M1202=phu!$I$27,M1202=phu!$I$28,M1202=phu!$I$29,M1202=phu!$I$30,M1202=phu!$I$31),"Cam Phú",""),IF(OR(M1202=phu!$I$32,M1202=phu!$I$33,M1202=phu!$I$34,M1202=phu!$I$35,M1202=phu!$I$36,M1202=phu!$I$37),"Cam Lộc",""),IF(OR(M1202=phu!$I$38,M1202=phu!$I$39,M1202=phu!$I$40,M1202=phu!$I$41,M1202=phu!$I$42,M1202=phu!$I$43,M1202=phu!$I$44),"Cam Thuận",""),IF(OR(M1202=phu!$I$45,M1202=phu!$I$46,M1202=phu!$I$47,M1202=phu!$I$48,M1202=phu!$I$49,M1202=phu!$I$50,M1202=phu!$I$51,M1202=phu!$I$52,M1202=phu!$I$53),"Cam Linh",""),IF(OR(M1202=phu!$I$54,M1202=phu!$I$55,M1202=phu!$I$56,M1202=phu!$I$57,M1202=phu!$I$58,M1202=phu!$I$59,M1202=phu!$I$60,M1202=phu!$I$61,M1202=phu!$I$62),"Cam Lợi",""),IF(OR(M1202=phu!$I$63,M1202=phu!$I$64,M1202=phu!$I$65,M1202=phu!$I$66,M1202=phu!$I$67,M1202=phu!$I$68,M1202=phu!$I$69,M1202=phu!$I$70,M1202=phu!$I$71),"Ba Ngòi",""),IF(OR(M1202=phu!$I$72,M1202=phu!$I$73,M1202=phu!$I$74,M1202=phu!$I$75,M1202=phu!$I$76,M1202=phu!$I$77,M1202=phu!$I$78),"Cam Phước Đông",""),IF(OR(M1202=phu!$I$79,M1202=phu!$I$80,M1202=phu!$I$81,M1202=phu!$I$82,M1202=phu!$I$83,M1202=phu!$I$84),"Cam Thịnh Đông",""),IF(OR(M1202=phu!$I$85,M1202=phu!$I$86,M1202=phu!$I$87,M1202=phu!$I$88),"Cam Thịnh Tây",""),IF(OR(M1202=phu!$I$89,M1202=phu!$I$90),"Cam Lập",""),IF(OR(M1202=phu!$I$91,M1202=phu!$I$92,M1202=phu!$I$93),"Cam Bình",""),IF(OR(M1202=phu!$I$94,M1202=phu!$I$95,M1202=phu!$I$96,M1202=phu!$I$97,M1202=phu!$I$98,M1202=phu!$I$99,M1202=phu!$I$100),"Huyện khác",""),IF(OR(M1202=phu!$I$101,M1202=phu!$I$102),"Tỉnh khác",""))</f>
        <v/>
      </c>
      <c r="O1202" s="814" t="str">
        <f t="shared" si="109"/>
        <v/>
      </c>
      <c r="P1202" s="254"/>
      <c r="Q1202" s="254"/>
      <c r="R1202" s="254"/>
      <c r="S1202" s="254"/>
      <c r="T1202" s="254"/>
      <c r="U1202" s="254"/>
      <c r="V1202" s="254"/>
      <c r="W1202" s="254"/>
      <c r="Y1202" s="246" t="str">
        <f t="shared" si="110"/>
        <v/>
      </c>
      <c r="Z1202" s="247" t="str">
        <f t="shared" si="108"/>
        <v/>
      </c>
      <c r="AA1202" s="246" t="str">
        <f t="shared" si="111"/>
        <v/>
      </c>
    </row>
    <row r="1203" spans="1:27" x14ac:dyDescent="0.25">
      <c r="A1203" s="248" t="str">
        <f t="shared" si="112"/>
        <v/>
      </c>
      <c r="B1203" s="249" t="str">
        <f t="shared" si="113"/>
        <v/>
      </c>
      <c r="C1203" s="250"/>
      <c r="D1203" s="251"/>
      <c r="E1203" s="241"/>
      <c r="F1203" s="252"/>
      <c r="G1203" s="252"/>
      <c r="H1203" s="253"/>
      <c r="I1203" s="250"/>
      <c r="J1203" s="250"/>
      <c r="K1203" s="270"/>
      <c r="L1203" s="250"/>
      <c r="M1203" s="250"/>
      <c r="N1203" s="553" t="str">
        <f>CONCATENATE(IF(OR(M1203=phu!$I$1,M1203=phu!$I$2,M1203=phu!$I$3),"Cam Thành Nam",""),IF(OR(M1203=phu!$I$4,M1203=phu!$I$5,M1203=phu!$I$6,M1203=phu!$I$7,M1203=phu!$I$8,M1203=phu!$I$9,M1203=phu!$I$10,M1203=phu!$I$11,M1203=phu!$I$12,M1203=phu!$I$13,M1203=phu!$I$14),"Cam Nghĩa",""),IF(OR(M1203=phu!$I$15,M1203=phu!$I$16,M1203=phu!$I$17,M1203=phu!$I$18,M1203=phu!$I$19,M1203=phu!$I$20,M1203=phu!$I$21),"Cam Phúc Bắc",""),IF(OR(M1203=phu!$I$22,M1203=phu!$I$23,M1203=phu!$I$24,M1203=phu!$I$25),"Cam Phúc Nam",""),IF(OR(M1203=phu!$I$26,M1203=phu!$I$27,M1203=phu!$I$28,M1203=phu!$I$29,M1203=phu!$I$30,M1203=phu!$I$31),"Cam Phú",""),IF(OR(M1203=phu!$I$32,M1203=phu!$I$33,M1203=phu!$I$34,M1203=phu!$I$35,M1203=phu!$I$36,M1203=phu!$I$37),"Cam Lộc",""),IF(OR(M1203=phu!$I$38,M1203=phu!$I$39,M1203=phu!$I$40,M1203=phu!$I$41,M1203=phu!$I$42,M1203=phu!$I$43,M1203=phu!$I$44),"Cam Thuận",""),IF(OR(M1203=phu!$I$45,M1203=phu!$I$46,M1203=phu!$I$47,M1203=phu!$I$48,M1203=phu!$I$49,M1203=phu!$I$50,M1203=phu!$I$51,M1203=phu!$I$52,M1203=phu!$I$53),"Cam Linh",""),IF(OR(M1203=phu!$I$54,M1203=phu!$I$55,M1203=phu!$I$56,M1203=phu!$I$57,M1203=phu!$I$58,M1203=phu!$I$59,M1203=phu!$I$60,M1203=phu!$I$61,M1203=phu!$I$62),"Cam Lợi",""),IF(OR(M1203=phu!$I$63,M1203=phu!$I$64,M1203=phu!$I$65,M1203=phu!$I$66,M1203=phu!$I$67,M1203=phu!$I$68,M1203=phu!$I$69,M1203=phu!$I$70,M1203=phu!$I$71),"Ba Ngòi",""),IF(OR(M1203=phu!$I$72,M1203=phu!$I$73,M1203=phu!$I$74,M1203=phu!$I$75,M1203=phu!$I$76,M1203=phu!$I$77,M1203=phu!$I$78),"Cam Phước Đông",""),IF(OR(M1203=phu!$I$79,M1203=phu!$I$80,M1203=phu!$I$81,M1203=phu!$I$82,M1203=phu!$I$83,M1203=phu!$I$84),"Cam Thịnh Đông",""),IF(OR(M1203=phu!$I$85,M1203=phu!$I$86,M1203=phu!$I$87,M1203=phu!$I$88),"Cam Thịnh Tây",""),IF(OR(M1203=phu!$I$89,M1203=phu!$I$90),"Cam Lập",""),IF(OR(M1203=phu!$I$91,M1203=phu!$I$92,M1203=phu!$I$93),"Cam Bình",""),IF(OR(M1203=phu!$I$94,M1203=phu!$I$95,M1203=phu!$I$96,M1203=phu!$I$97,M1203=phu!$I$98,M1203=phu!$I$99,M1203=phu!$I$100),"Huyện khác",""),IF(OR(M1203=phu!$I$101,M1203=phu!$I$102),"Tỉnh khác",""))</f>
        <v/>
      </c>
      <c r="O1203" s="814" t="str">
        <f t="shared" si="109"/>
        <v/>
      </c>
      <c r="P1203" s="254"/>
      <c r="Q1203" s="254"/>
      <c r="R1203" s="254"/>
      <c r="S1203" s="254"/>
      <c r="T1203" s="254"/>
      <c r="U1203" s="254"/>
      <c r="V1203" s="254"/>
      <c r="W1203" s="254"/>
      <c r="Y1203" s="246" t="str">
        <f t="shared" si="110"/>
        <v/>
      </c>
      <c r="Z1203" s="247" t="str">
        <f t="shared" si="108"/>
        <v/>
      </c>
      <c r="AA1203" s="246" t="str">
        <f t="shared" si="111"/>
        <v/>
      </c>
    </row>
    <row r="1204" spans="1:27" x14ac:dyDescent="0.25">
      <c r="A1204" s="248" t="str">
        <f t="shared" si="112"/>
        <v/>
      </c>
      <c r="B1204" s="249" t="str">
        <f t="shared" si="113"/>
        <v/>
      </c>
      <c r="C1204" s="250"/>
      <c r="D1204" s="251"/>
      <c r="E1204" s="241"/>
      <c r="F1204" s="252"/>
      <c r="G1204" s="252"/>
      <c r="H1204" s="253"/>
      <c r="I1204" s="250"/>
      <c r="J1204" s="250"/>
      <c r="K1204" s="270"/>
      <c r="L1204" s="250"/>
      <c r="M1204" s="250"/>
      <c r="N1204" s="553" t="str">
        <f>CONCATENATE(IF(OR(M1204=phu!$I$1,M1204=phu!$I$2,M1204=phu!$I$3),"Cam Thành Nam",""),IF(OR(M1204=phu!$I$4,M1204=phu!$I$5,M1204=phu!$I$6,M1204=phu!$I$7,M1204=phu!$I$8,M1204=phu!$I$9,M1204=phu!$I$10,M1204=phu!$I$11,M1204=phu!$I$12,M1204=phu!$I$13,M1204=phu!$I$14),"Cam Nghĩa",""),IF(OR(M1204=phu!$I$15,M1204=phu!$I$16,M1204=phu!$I$17,M1204=phu!$I$18,M1204=phu!$I$19,M1204=phu!$I$20,M1204=phu!$I$21),"Cam Phúc Bắc",""),IF(OR(M1204=phu!$I$22,M1204=phu!$I$23,M1204=phu!$I$24,M1204=phu!$I$25),"Cam Phúc Nam",""),IF(OR(M1204=phu!$I$26,M1204=phu!$I$27,M1204=phu!$I$28,M1204=phu!$I$29,M1204=phu!$I$30,M1204=phu!$I$31),"Cam Phú",""),IF(OR(M1204=phu!$I$32,M1204=phu!$I$33,M1204=phu!$I$34,M1204=phu!$I$35,M1204=phu!$I$36,M1204=phu!$I$37),"Cam Lộc",""),IF(OR(M1204=phu!$I$38,M1204=phu!$I$39,M1204=phu!$I$40,M1204=phu!$I$41,M1204=phu!$I$42,M1204=phu!$I$43,M1204=phu!$I$44),"Cam Thuận",""),IF(OR(M1204=phu!$I$45,M1204=phu!$I$46,M1204=phu!$I$47,M1204=phu!$I$48,M1204=phu!$I$49,M1204=phu!$I$50,M1204=phu!$I$51,M1204=phu!$I$52,M1204=phu!$I$53),"Cam Linh",""),IF(OR(M1204=phu!$I$54,M1204=phu!$I$55,M1204=phu!$I$56,M1204=phu!$I$57,M1204=phu!$I$58,M1204=phu!$I$59,M1204=phu!$I$60,M1204=phu!$I$61,M1204=phu!$I$62),"Cam Lợi",""),IF(OR(M1204=phu!$I$63,M1204=phu!$I$64,M1204=phu!$I$65,M1204=phu!$I$66,M1204=phu!$I$67,M1204=phu!$I$68,M1204=phu!$I$69,M1204=phu!$I$70,M1204=phu!$I$71),"Ba Ngòi",""),IF(OR(M1204=phu!$I$72,M1204=phu!$I$73,M1204=phu!$I$74,M1204=phu!$I$75,M1204=phu!$I$76,M1204=phu!$I$77,M1204=phu!$I$78),"Cam Phước Đông",""),IF(OR(M1204=phu!$I$79,M1204=phu!$I$80,M1204=phu!$I$81,M1204=phu!$I$82,M1204=phu!$I$83,M1204=phu!$I$84),"Cam Thịnh Đông",""),IF(OR(M1204=phu!$I$85,M1204=phu!$I$86,M1204=phu!$I$87,M1204=phu!$I$88),"Cam Thịnh Tây",""),IF(OR(M1204=phu!$I$89,M1204=phu!$I$90),"Cam Lập",""),IF(OR(M1204=phu!$I$91,M1204=phu!$I$92,M1204=phu!$I$93),"Cam Bình",""),IF(OR(M1204=phu!$I$94,M1204=phu!$I$95,M1204=phu!$I$96,M1204=phu!$I$97,M1204=phu!$I$98,M1204=phu!$I$99,M1204=phu!$I$100),"Huyện khác",""),IF(OR(M1204=phu!$I$101,M1204=phu!$I$102),"Tỉnh khác",""))</f>
        <v/>
      </c>
      <c r="O1204" s="814" t="str">
        <f t="shared" si="109"/>
        <v/>
      </c>
      <c r="P1204" s="254"/>
      <c r="Q1204" s="254"/>
      <c r="R1204" s="254"/>
      <c r="S1204" s="254"/>
      <c r="T1204" s="254"/>
      <c r="U1204" s="254"/>
      <c r="V1204" s="254"/>
      <c r="W1204" s="254"/>
      <c r="Y1204" s="246" t="str">
        <f t="shared" si="110"/>
        <v/>
      </c>
      <c r="Z1204" s="247" t="str">
        <f t="shared" si="108"/>
        <v/>
      </c>
      <c r="AA1204" s="246" t="str">
        <f t="shared" si="111"/>
        <v/>
      </c>
    </row>
    <row r="1205" spans="1:27" x14ac:dyDescent="0.25">
      <c r="A1205" s="248" t="str">
        <f t="shared" si="112"/>
        <v/>
      </c>
      <c r="B1205" s="249" t="str">
        <f t="shared" si="113"/>
        <v/>
      </c>
      <c r="C1205" s="250"/>
      <c r="D1205" s="251"/>
      <c r="E1205" s="241"/>
      <c r="F1205" s="252"/>
      <c r="G1205" s="252"/>
      <c r="H1205" s="253"/>
      <c r="I1205" s="250"/>
      <c r="J1205" s="250"/>
      <c r="K1205" s="270"/>
      <c r="L1205" s="250"/>
      <c r="M1205" s="250"/>
      <c r="N1205" s="553" t="str">
        <f>CONCATENATE(IF(OR(M1205=phu!$I$1,M1205=phu!$I$2,M1205=phu!$I$3),"Cam Thành Nam",""),IF(OR(M1205=phu!$I$4,M1205=phu!$I$5,M1205=phu!$I$6,M1205=phu!$I$7,M1205=phu!$I$8,M1205=phu!$I$9,M1205=phu!$I$10,M1205=phu!$I$11,M1205=phu!$I$12,M1205=phu!$I$13,M1205=phu!$I$14),"Cam Nghĩa",""),IF(OR(M1205=phu!$I$15,M1205=phu!$I$16,M1205=phu!$I$17,M1205=phu!$I$18,M1205=phu!$I$19,M1205=phu!$I$20,M1205=phu!$I$21),"Cam Phúc Bắc",""),IF(OR(M1205=phu!$I$22,M1205=phu!$I$23,M1205=phu!$I$24,M1205=phu!$I$25),"Cam Phúc Nam",""),IF(OR(M1205=phu!$I$26,M1205=phu!$I$27,M1205=phu!$I$28,M1205=phu!$I$29,M1205=phu!$I$30,M1205=phu!$I$31),"Cam Phú",""),IF(OR(M1205=phu!$I$32,M1205=phu!$I$33,M1205=phu!$I$34,M1205=phu!$I$35,M1205=phu!$I$36,M1205=phu!$I$37),"Cam Lộc",""),IF(OR(M1205=phu!$I$38,M1205=phu!$I$39,M1205=phu!$I$40,M1205=phu!$I$41,M1205=phu!$I$42,M1205=phu!$I$43,M1205=phu!$I$44),"Cam Thuận",""),IF(OR(M1205=phu!$I$45,M1205=phu!$I$46,M1205=phu!$I$47,M1205=phu!$I$48,M1205=phu!$I$49,M1205=phu!$I$50,M1205=phu!$I$51,M1205=phu!$I$52,M1205=phu!$I$53),"Cam Linh",""),IF(OR(M1205=phu!$I$54,M1205=phu!$I$55,M1205=phu!$I$56,M1205=phu!$I$57,M1205=phu!$I$58,M1205=phu!$I$59,M1205=phu!$I$60,M1205=phu!$I$61,M1205=phu!$I$62),"Cam Lợi",""),IF(OR(M1205=phu!$I$63,M1205=phu!$I$64,M1205=phu!$I$65,M1205=phu!$I$66,M1205=phu!$I$67,M1205=phu!$I$68,M1205=phu!$I$69,M1205=phu!$I$70,M1205=phu!$I$71),"Ba Ngòi",""),IF(OR(M1205=phu!$I$72,M1205=phu!$I$73,M1205=phu!$I$74,M1205=phu!$I$75,M1205=phu!$I$76,M1205=phu!$I$77,M1205=phu!$I$78),"Cam Phước Đông",""),IF(OR(M1205=phu!$I$79,M1205=phu!$I$80,M1205=phu!$I$81,M1205=phu!$I$82,M1205=phu!$I$83,M1205=phu!$I$84),"Cam Thịnh Đông",""),IF(OR(M1205=phu!$I$85,M1205=phu!$I$86,M1205=phu!$I$87,M1205=phu!$I$88),"Cam Thịnh Tây",""),IF(OR(M1205=phu!$I$89,M1205=phu!$I$90),"Cam Lập",""),IF(OR(M1205=phu!$I$91,M1205=phu!$I$92,M1205=phu!$I$93),"Cam Bình",""),IF(OR(M1205=phu!$I$94,M1205=phu!$I$95,M1205=phu!$I$96,M1205=phu!$I$97,M1205=phu!$I$98,M1205=phu!$I$99,M1205=phu!$I$100),"Huyện khác",""),IF(OR(M1205=phu!$I$101,M1205=phu!$I$102),"Tỉnh khác",""))</f>
        <v/>
      </c>
      <c r="O1205" s="814" t="str">
        <f t="shared" si="109"/>
        <v/>
      </c>
      <c r="P1205" s="254"/>
      <c r="Q1205" s="254"/>
      <c r="R1205" s="254"/>
      <c r="S1205" s="254"/>
      <c r="T1205" s="254"/>
      <c r="U1205" s="254"/>
      <c r="V1205" s="254"/>
      <c r="W1205" s="254"/>
      <c r="Y1205" s="246" t="str">
        <f t="shared" si="110"/>
        <v/>
      </c>
      <c r="Z1205" s="247" t="str">
        <f t="shared" si="108"/>
        <v/>
      </c>
      <c r="AA1205" s="246" t="str">
        <f t="shared" si="111"/>
        <v/>
      </c>
    </row>
    <row r="1206" spans="1:27" x14ac:dyDescent="0.25">
      <c r="A1206" s="248" t="str">
        <f t="shared" si="112"/>
        <v/>
      </c>
      <c r="B1206" s="249" t="str">
        <f t="shared" si="113"/>
        <v/>
      </c>
      <c r="C1206" s="250"/>
      <c r="D1206" s="251"/>
      <c r="E1206" s="241"/>
      <c r="F1206" s="252"/>
      <c r="G1206" s="252"/>
      <c r="H1206" s="253"/>
      <c r="I1206" s="250"/>
      <c r="J1206" s="250"/>
      <c r="K1206" s="270"/>
      <c r="L1206" s="250"/>
      <c r="M1206" s="250"/>
      <c r="N1206" s="553" t="str">
        <f>CONCATENATE(IF(OR(M1206=phu!$I$1,M1206=phu!$I$2,M1206=phu!$I$3),"Cam Thành Nam",""),IF(OR(M1206=phu!$I$4,M1206=phu!$I$5,M1206=phu!$I$6,M1206=phu!$I$7,M1206=phu!$I$8,M1206=phu!$I$9,M1206=phu!$I$10,M1206=phu!$I$11,M1206=phu!$I$12,M1206=phu!$I$13,M1206=phu!$I$14),"Cam Nghĩa",""),IF(OR(M1206=phu!$I$15,M1206=phu!$I$16,M1206=phu!$I$17,M1206=phu!$I$18,M1206=phu!$I$19,M1206=phu!$I$20,M1206=phu!$I$21),"Cam Phúc Bắc",""),IF(OR(M1206=phu!$I$22,M1206=phu!$I$23,M1206=phu!$I$24,M1206=phu!$I$25),"Cam Phúc Nam",""),IF(OR(M1206=phu!$I$26,M1206=phu!$I$27,M1206=phu!$I$28,M1206=phu!$I$29,M1206=phu!$I$30,M1206=phu!$I$31),"Cam Phú",""),IF(OR(M1206=phu!$I$32,M1206=phu!$I$33,M1206=phu!$I$34,M1206=phu!$I$35,M1206=phu!$I$36,M1206=phu!$I$37),"Cam Lộc",""),IF(OR(M1206=phu!$I$38,M1206=phu!$I$39,M1206=phu!$I$40,M1206=phu!$I$41,M1206=phu!$I$42,M1206=phu!$I$43,M1206=phu!$I$44),"Cam Thuận",""),IF(OR(M1206=phu!$I$45,M1206=phu!$I$46,M1206=phu!$I$47,M1206=phu!$I$48,M1206=phu!$I$49,M1206=phu!$I$50,M1206=phu!$I$51,M1206=phu!$I$52,M1206=phu!$I$53),"Cam Linh",""),IF(OR(M1206=phu!$I$54,M1206=phu!$I$55,M1206=phu!$I$56,M1206=phu!$I$57,M1206=phu!$I$58,M1206=phu!$I$59,M1206=phu!$I$60,M1206=phu!$I$61,M1206=phu!$I$62),"Cam Lợi",""),IF(OR(M1206=phu!$I$63,M1206=phu!$I$64,M1206=phu!$I$65,M1206=phu!$I$66,M1206=phu!$I$67,M1206=phu!$I$68,M1206=phu!$I$69,M1206=phu!$I$70,M1206=phu!$I$71),"Ba Ngòi",""),IF(OR(M1206=phu!$I$72,M1206=phu!$I$73,M1206=phu!$I$74,M1206=phu!$I$75,M1206=phu!$I$76,M1206=phu!$I$77,M1206=phu!$I$78),"Cam Phước Đông",""),IF(OR(M1206=phu!$I$79,M1206=phu!$I$80,M1206=phu!$I$81,M1206=phu!$I$82,M1206=phu!$I$83,M1206=phu!$I$84),"Cam Thịnh Đông",""),IF(OR(M1206=phu!$I$85,M1206=phu!$I$86,M1206=phu!$I$87,M1206=phu!$I$88),"Cam Thịnh Tây",""),IF(OR(M1206=phu!$I$89,M1206=phu!$I$90),"Cam Lập",""),IF(OR(M1206=phu!$I$91,M1206=phu!$I$92,M1206=phu!$I$93),"Cam Bình",""),IF(OR(M1206=phu!$I$94,M1206=phu!$I$95,M1206=phu!$I$96,M1206=phu!$I$97,M1206=phu!$I$98,M1206=phu!$I$99,M1206=phu!$I$100),"Huyện khác",""),IF(OR(M1206=phu!$I$101,M1206=phu!$I$102),"Tỉnh khác",""))</f>
        <v/>
      </c>
      <c r="O1206" s="814" t="str">
        <f t="shared" si="109"/>
        <v/>
      </c>
      <c r="P1206" s="254"/>
      <c r="Q1206" s="254"/>
      <c r="R1206" s="254"/>
      <c r="S1206" s="254"/>
      <c r="T1206" s="254"/>
      <c r="U1206" s="254"/>
      <c r="V1206" s="254"/>
      <c r="W1206" s="254"/>
      <c r="Y1206" s="246" t="str">
        <f t="shared" si="110"/>
        <v/>
      </c>
      <c r="Z1206" s="247" t="str">
        <f t="shared" si="108"/>
        <v/>
      </c>
      <c r="AA1206" s="246" t="str">
        <f t="shared" si="111"/>
        <v/>
      </c>
    </row>
    <row r="1207" spans="1:27" x14ac:dyDescent="0.25">
      <c r="A1207" s="248" t="str">
        <f t="shared" si="112"/>
        <v/>
      </c>
      <c r="B1207" s="249" t="str">
        <f t="shared" si="113"/>
        <v/>
      </c>
      <c r="C1207" s="250"/>
      <c r="D1207" s="251"/>
      <c r="E1207" s="241"/>
      <c r="F1207" s="252"/>
      <c r="G1207" s="252"/>
      <c r="H1207" s="253"/>
      <c r="I1207" s="250"/>
      <c r="J1207" s="250"/>
      <c r="K1207" s="270"/>
      <c r="L1207" s="250"/>
      <c r="M1207" s="250"/>
      <c r="N1207" s="553" t="str">
        <f>CONCATENATE(IF(OR(M1207=phu!$I$1,M1207=phu!$I$2,M1207=phu!$I$3),"Cam Thành Nam",""),IF(OR(M1207=phu!$I$4,M1207=phu!$I$5,M1207=phu!$I$6,M1207=phu!$I$7,M1207=phu!$I$8,M1207=phu!$I$9,M1207=phu!$I$10,M1207=phu!$I$11,M1207=phu!$I$12,M1207=phu!$I$13,M1207=phu!$I$14),"Cam Nghĩa",""),IF(OR(M1207=phu!$I$15,M1207=phu!$I$16,M1207=phu!$I$17,M1207=phu!$I$18,M1207=phu!$I$19,M1207=phu!$I$20,M1207=phu!$I$21),"Cam Phúc Bắc",""),IF(OR(M1207=phu!$I$22,M1207=phu!$I$23,M1207=phu!$I$24,M1207=phu!$I$25),"Cam Phúc Nam",""),IF(OR(M1207=phu!$I$26,M1207=phu!$I$27,M1207=phu!$I$28,M1207=phu!$I$29,M1207=phu!$I$30,M1207=phu!$I$31),"Cam Phú",""),IF(OR(M1207=phu!$I$32,M1207=phu!$I$33,M1207=phu!$I$34,M1207=phu!$I$35,M1207=phu!$I$36,M1207=phu!$I$37),"Cam Lộc",""),IF(OR(M1207=phu!$I$38,M1207=phu!$I$39,M1207=phu!$I$40,M1207=phu!$I$41,M1207=phu!$I$42,M1207=phu!$I$43,M1207=phu!$I$44),"Cam Thuận",""),IF(OR(M1207=phu!$I$45,M1207=phu!$I$46,M1207=phu!$I$47,M1207=phu!$I$48,M1207=phu!$I$49,M1207=phu!$I$50,M1207=phu!$I$51,M1207=phu!$I$52,M1207=phu!$I$53),"Cam Linh",""),IF(OR(M1207=phu!$I$54,M1207=phu!$I$55,M1207=phu!$I$56,M1207=phu!$I$57,M1207=phu!$I$58,M1207=phu!$I$59,M1207=phu!$I$60,M1207=phu!$I$61,M1207=phu!$I$62),"Cam Lợi",""),IF(OR(M1207=phu!$I$63,M1207=phu!$I$64,M1207=phu!$I$65,M1207=phu!$I$66,M1207=phu!$I$67,M1207=phu!$I$68,M1207=phu!$I$69,M1207=phu!$I$70,M1207=phu!$I$71),"Ba Ngòi",""),IF(OR(M1207=phu!$I$72,M1207=phu!$I$73,M1207=phu!$I$74,M1207=phu!$I$75,M1207=phu!$I$76,M1207=phu!$I$77,M1207=phu!$I$78),"Cam Phước Đông",""),IF(OR(M1207=phu!$I$79,M1207=phu!$I$80,M1207=phu!$I$81,M1207=phu!$I$82,M1207=phu!$I$83,M1207=phu!$I$84),"Cam Thịnh Đông",""),IF(OR(M1207=phu!$I$85,M1207=phu!$I$86,M1207=phu!$I$87,M1207=phu!$I$88),"Cam Thịnh Tây",""),IF(OR(M1207=phu!$I$89,M1207=phu!$I$90),"Cam Lập",""),IF(OR(M1207=phu!$I$91,M1207=phu!$I$92,M1207=phu!$I$93),"Cam Bình",""),IF(OR(M1207=phu!$I$94,M1207=phu!$I$95,M1207=phu!$I$96,M1207=phu!$I$97,M1207=phu!$I$98,M1207=phu!$I$99,M1207=phu!$I$100),"Huyện khác",""),IF(OR(M1207=phu!$I$101,M1207=phu!$I$102),"Tỉnh khác",""))</f>
        <v/>
      </c>
      <c r="O1207" s="814" t="str">
        <f t="shared" si="109"/>
        <v/>
      </c>
      <c r="P1207" s="254"/>
      <c r="Q1207" s="254"/>
      <c r="R1207" s="254"/>
      <c r="S1207" s="254"/>
      <c r="T1207" s="254"/>
      <c r="U1207" s="254"/>
      <c r="V1207" s="254"/>
      <c r="W1207" s="254"/>
      <c r="Y1207" s="246" t="str">
        <f t="shared" si="110"/>
        <v/>
      </c>
      <c r="Z1207" s="247" t="str">
        <f t="shared" si="108"/>
        <v/>
      </c>
      <c r="AA1207" s="246" t="str">
        <f t="shared" si="111"/>
        <v/>
      </c>
    </row>
    <row r="1208" spans="1:27" x14ac:dyDescent="0.25">
      <c r="A1208" s="248" t="str">
        <f t="shared" si="112"/>
        <v/>
      </c>
      <c r="B1208" s="249" t="str">
        <f t="shared" si="113"/>
        <v/>
      </c>
      <c r="C1208" s="250"/>
      <c r="D1208" s="251"/>
      <c r="E1208" s="241"/>
      <c r="F1208" s="252"/>
      <c r="G1208" s="252"/>
      <c r="H1208" s="253"/>
      <c r="I1208" s="250"/>
      <c r="J1208" s="250"/>
      <c r="K1208" s="270"/>
      <c r="L1208" s="250"/>
      <c r="M1208" s="250"/>
      <c r="N1208" s="553" t="str">
        <f>CONCATENATE(IF(OR(M1208=phu!$I$1,M1208=phu!$I$2,M1208=phu!$I$3),"Cam Thành Nam",""),IF(OR(M1208=phu!$I$4,M1208=phu!$I$5,M1208=phu!$I$6,M1208=phu!$I$7,M1208=phu!$I$8,M1208=phu!$I$9,M1208=phu!$I$10,M1208=phu!$I$11,M1208=phu!$I$12,M1208=phu!$I$13,M1208=phu!$I$14),"Cam Nghĩa",""),IF(OR(M1208=phu!$I$15,M1208=phu!$I$16,M1208=phu!$I$17,M1208=phu!$I$18,M1208=phu!$I$19,M1208=phu!$I$20,M1208=phu!$I$21),"Cam Phúc Bắc",""),IF(OR(M1208=phu!$I$22,M1208=phu!$I$23,M1208=phu!$I$24,M1208=phu!$I$25),"Cam Phúc Nam",""),IF(OR(M1208=phu!$I$26,M1208=phu!$I$27,M1208=phu!$I$28,M1208=phu!$I$29,M1208=phu!$I$30,M1208=phu!$I$31),"Cam Phú",""),IF(OR(M1208=phu!$I$32,M1208=phu!$I$33,M1208=phu!$I$34,M1208=phu!$I$35,M1208=phu!$I$36,M1208=phu!$I$37),"Cam Lộc",""),IF(OR(M1208=phu!$I$38,M1208=phu!$I$39,M1208=phu!$I$40,M1208=phu!$I$41,M1208=phu!$I$42,M1208=phu!$I$43,M1208=phu!$I$44),"Cam Thuận",""),IF(OR(M1208=phu!$I$45,M1208=phu!$I$46,M1208=phu!$I$47,M1208=phu!$I$48,M1208=phu!$I$49,M1208=phu!$I$50,M1208=phu!$I$51,M1208=phu!$I$52,M1208=phu!$I$53),"Cam Linh",""),IF(OR(M1208=phu!$I$54,M1208=phu!$I$55,M1208=phu!$I$56,M1208=phu!$I$57,M1208=phu!$I$58,M1208=phu!$I$59,M1208=phu!$I$60,M1208=phu!$I$61,M1208=phu!$I$62),"Cam Lợi",""),IF(OR(M1208=phu!$I$63,M1208=phu!$I$64,M1208=phu!$I$65,M1208=phu!$I$66,M1208=phu!$I$67,M1208=phu!$I$68,M1208=phu!$I$69,M1208=phu!$I$70,M1208=phu!$I$71),"Ba Ngòi",""),IF(OR(M1208=phu!$I$72,M1208=phu!$I$73,M1208=phu!$I$74,M1208=phu!$I$75,M1208=phu!$I$76,M1208=phu!$I$77,M1208=phu!$I$78),"Cam Phước Đông",""),IF(OR(M1208=phu!$I$79,M1208=phu!$I$80,M1208=phu!$I$81,M1208=phu!$I$82,M1208=phu!$I$83,M1208=phu!$I$84),"Cam Thịnh Đông",""),IF(OR(M1208=phu!$I$85,M1208=phu!$I$86,M1208=phu!$I$87,M1208=phu!$I$88),"Cam Thịnh Tây",""),IF(OR(M1208=phu!$I$89,M1208=phu!$I$90),"Cam Lập",""),IF(OR(M1208=phu!$I$91,M1208=phu!$I$92,M1208=phu!$I$93),"Cam Bình",""),IF(OR(M1208=phu!$I$94,M1208=phu!$I$95,M1208=phu!$I$96,M1208=phu!$I$97,M1208=phu!$I$98,M1208=phu!$I$99,M1208=phu!$I$100),"Huyện khác",""),IF(OR(M1208=phu!$I$101,M1208=phu!$I$102),"Tỉnh khác",""))</f>
        <v/>
      </c>
      <c r="O1208" s="814" t="str">
        <f t="shared" si="109"/>
        <v/>
      </c>
      <c r="P1208" s="254"/>
      <c r="Q1208" s="254"/>
      <c r="R1208" s="254"/>
      <c r="S1208" s="254"/>
      <c r="T1208" s="254"/>
      <c r="U1208" s="254"/>
      <c r="V1208" s="254"/>
      <c r="W1208" s="254"/>
      <c r="Y1208" s="246" t="str">
        <f t="shared" si="110"/>
        <v/>
      </c>
      <c r="Z1208" s="247" t="str">
        <f t="shared" si="108"/>
        <v/>
      </c>
      <c r="AA1208" s="246" t="str">
        <f t="shared" si="111"/>
        <v/>
      </c>
    </row>
    <row r="1209" spans="1:27" x14ac:dyDescent="0.25">
      <c r="A1209" s="248" t="str">
        <f t="shared" si="112"/>
        <v/>
      </c>
      <c r="B1209" s="249" t="str">
        <f t="shared" si="113"/>
        <v/>
      </c>
      <c r="C1209" s="250"/>
      <c r="D1209" s="251"/>
      <c r="E1209" s="241"/>
      <c r="F1209" s="252"/>
      <c r="G1209" s="252"/>
      <c r="H1209" s="253"/>
      <c r="I1209" s="250"/>
      <c r="J1209" s="250"/>
      <c r="K1209" s="270"/>
      <c r="L1209" s="250"/>
      <c r="M1209" s="250"/>
      <c r="N1209" s="553" t="str">
        <f>CONCATENATE(IF(OR(M1209=phu!$I$1,M1209=phu!$I$2,M1209=phu!$I$3),"Cam Thành Nam",""),IF(OR(M1209=phu!$I$4,M1209=phu!$I$5,M1209=phu!$I$6,M1209=phu!$I$7,M1209=phu!$I$8,M1209=phu!$I$9,M1209=phu!$I$10,M1209=phu!$I$11,M1209=phu!$I$12,M1209=phu!$I$13,M1209=phu!$I$14),"Cam Nghĩa",""),IF(OR(M1209=phu!$I$15,M1209=phu!$I$16,M1209=phu!$I$17,M1209=phu!$I$18,M1209=phu!$I$19,M1209=phu!$I$20,M1209=phu!$I$21),"Cam Phúc Bắc",""),IF(OR(M1209=phu!$I$22,M1209=phu!$I$23,M1209=phu!$I$24,M1209=phu!$I$25),"Cam Phúc Nam",""),IF(OR(M1209=phu!$I$26,M1209=phu!$I$27,M1209=phu!$I$28,M1209=phu!$I$29,M1209=phu!$I$30,M1209=phu!$I$31),"Cam Phú",""),IF(OR(M1209=phu!$I$32,M1209=phu!$I$33,M1209=phu!$I$34,M1209=phu!$I$35,M1209=phu!$I$36,M1209=phu!$I$37),"Cam Lộc",""),IF(OR(M1209=phu!$I$38,M1209=phu!$I$39,M1209=phu!$I$40,M1209=phu!$I$41,M1209=phu!$I$42,M1209=phu!$I$43,M1209=phu!$I$44),"Cam Thuận",""),IF(OR(M1209=phu!$I$45,M1209=phu!$I$46,M1209=phu!$I$47,M1209=phu!$I$48,M1209=phu!$I$49,M1209=phu!$I$50,M1209=phu!$I$51,M1209=phu!$I$52,M1209=phu!$I$53),"Cam Linh",""),IF(OR(M1209=phu!$I$54,M1209=phu!$I$55,M1209=phu!$I$56,M1209=phu!$I$57,M1209=phu!$I$58,M1209=phu!$I$59,M1209=phu!$I$60,M1209=phu!$I$61,M1209=phu!$I$62),"Cam Lợi",""),IF(OR(M1209=phu!$I$63,M1209=phu!$I$64,M1209=phu!$I$65,M1209=phu!$I$66,M1209=phu!$I$67,M1209=phu!$I$68,M1209=phu!$I$69,M1209=phu!$I$70,M1209=phu!$I$71),"Ba Ngòi",""),IF(OR(M1209=phu!$I$72,M1209=phu!$I$73,M1209=phu!$I$74,M1209=phu!$I$75,M1209=phu!$I$76,M1209=phu!$I$77,M1209=phu!$I$78),"Cam Phước Đông",""),IF(OR(M1209=phu!$I$79,M1209=phu!$I$80,M1209=phu!$I$81,M1209=phu!$I$82,M1209=phu!$I$83,M1209=phu!$I$84),"Cam Thịnh Đông",""),IF(OR(M1209=phu!$I$85,M1209=phu!$I$86,M1209=phu!$I$87,M1209=phu!$I$88),"Cam Thịnh Tây",""),IF(OR(M1209=phu!$I$89,M1209=phu!$I$90),"Cam Lập",""),IF(OR(M1209=phu!$I$91,M1209=phu!$I$92,M1209=phu!$I$93),"Cam Bình",""),IF(OR(M1209=phu!$I$94,M1209=phu!$I$95,M1209=phu!$I$96,M1209=phu!$I$97,M1209=phu!$I$98,M1209=phu!$I$99,M1209=phu!$I$100),"Huyện khác",""),IF(OR(M1209=phu!$I$101,M1209=phu!$I$102),"Tỉnh khác",""))</f>
        <v/>
      </c>
      <c r="O1209" s="814" t="str">
        <f t="shared" si="109"/>
        <v/>
      </c>
      <c r="P1209" s="254"/>
      <c r="Q1209" s="254"/>
      <c r="R1209" s="254"/>
      <c r="S1209" s="254"/>
      <c r="T1209" s="254"/>
      <c r="U1209" s="254"/>
      <c r="V1209" s="254"/>
      <c r="W1209" s="254"/>
      <c r="Y1209" s="246" t="str">
        <f t="shared" si="110"/>
        <v/>
      </c>
      <c r="Z1209" s="247" t="str">
        <f t="shared" si="108"/>
        <v/>
      </c>
      <c r="AA1209" s="246" t="str">
        <f t="shared" si="111"/>
        <v/>
      </c>
    </row>
    <row r="1210" spans="1:27" x14ac:dyDescent="0.25">
      <c r="A1210" s="248" t="str">
        <f t="shared" si="112"/>
        <v/>
      </c>
      <c r="B1210" s="249" t="str">
        <f t="shared" si="113"/>
        <v/>
      </c>
      <c r="C1210" s="250"/>
      <c r="D1210" s="251"/>
      <c r="E1210" s="241"/>
      <c r="F1210" s="252"/>
      <c r="G1210" s="252"/>
      <c r="H1210" s="253"/>
      <c r="I1210" s="250"/>
      <c r="J1210" s="250"/>
      <c r="K1210" s="270"/>
      <c r="L1210" s="250"/>
      <c r="M1210" s="250"/>
      <c r="N1210" s="553" t="str">
        <f>CONCATENATE(IF(OR(M1210=phu!$I$1,M1210=phu!$I$2,M1210=phu!$I$3),"Cam Thành Nam",""),IF(OR(M1210=phu!$I$4,M1210=phu!$I$5,M1210=phu!$I$6,M1210=phu!$I$7,M1210=phu!$I$8,M1210=phu!$I$9,M1210=phu!$I$10,M1210=phu!$I$11,M1210=phu!$I$12,M1210=phu!$I$13,M1210=phu!$I$14),"Cam Nghĩa",""),IF(OR(M1210=phu!$I$15,M1210=phu!$I$16,M1210=phu!$I$17,M1210=phu!$I$18,M1210=phu!$I$19,M1210=phu!$I$20,M1210=phu!$I$21),"Cam Phúc Bắc",""),IF(OR(M1210=phu!$I$22,M1210=phu!$I$23,M1210=phu!$I$24,M1210=phu!$I$25),"Cam Phúc Nam",""),IF(OR(M1210=phu!$I$26,M1210=phu!$I$27,M1210=phu!$I$28,M1210=phu!$I$29,M1210=phu!$I$30,M1210=phu!$I$31),"Cam Phú",""),IF(OR(M1210=phu!$I$32,M1210=phu!$I$33,M1210=phu!$I$34,M1210=phu!$I$35,M1210=phu!$I$36,M1210=phu!$I$37),"Cam Lộc",""),IF(OR(M1210=phu!$I$38,M1210=phu!$I$39,M1210=phu!$I$40,M1210=phu!$I$41,M1210=phu!$I$42,M1210=phu!$I$43,M1210=phu!$I$44),"Cam Thuận",""),IF(OR(M1210=phu!$I$45,M1210=phu!$I$46,M1210=phu!$I$47,M1210=phu!$I$48,M1210=phu!$I$49,M1210=phu!$I$50,M1210=phu!$I$51,M1210=phu!$I$52,M1210=phu!$I$53),"Cam Linh",""),IF(OR(M1210=phu!$I$54,M1210=phu!$I$55,M1210=phu!$I$56,M1210=phu!$I$57,M1210=phu!$I$58,M1210=phu!$I$59,M1210=phu!$I$60,M1210=phu!$I$61,M1210=phu!$I$62),"Cam Lợi",""),IF(OR(M1210=phu!$I$63,M1210=phu!$I$64,M1210=phu!$I$65,M1210=phu!$I$66,M1210=phu!$I$67,M1210=phu!$I$68,M1210=phu!$I$69,M1210=phu!$I$70,M1210=phu!$I$71),"Ba Ngòi",""),IF(OR(M1210=phu!$I$72,M1210=phu!$I$73,M1210=phu!$I$74,M1210=phu!$I$75,M1210=phu!$I$76,M1210=phu!$I$77,M1210=phu!$I$78),"Cam Phước Đông",""),IF(OR(M1210=phu!$I$79,M1210=phu!$I$80,M1210=phu!$I$81,M1210=phu!$I$82,M1210=phu!$I$83,M1210=phu!$I$84),"Cam Thịnh Đông",""),IF(OR(M1210=phu!$I$85,M1210=phu!$I$86,M1210=phu!$I$87,M1210=phu!$I$88),"Cam Thịnh Tây",""),IF(OR(M1210=phu!$I$89,M1210=phu!$I$90),"Cam Lập",""),IF(OR(M1210=phu!$I$91,M1210=phu!$I$92,M1210=phu!$I$93),"Cam Bình",""),IF(OR(M1210=phu!$I$94,M1210=phu!$I$95,M1210=phu!$I$96,M1210=phu!$I$97,M1210=phu!$I$98,M1210=phu!$I$99,M1210=phu!$I$100),"Huyện khác",""),IF(OR(M1210=phu!$I$101,M1210=phu!$I$102),"Tỉnh khác",""))</f>
        <v/>
      </c>
      <c r="O1210" s="814" t="str">
        <f t="shared" si="109"/>
        <v/>
      </c>
      <c r="P1210" s="254"/>
      <c r="Q1210" s="254"/>
      <c r="R1210" s="254"/>
      <c r="S1210" s="254"/>
      <c r="T1210" s="254"/>
      <c r="U1210" s="254"/>
      <c r="V1210" s="254"/>
      <c r="W1210" s="254"/>
      <c r="Y1210" s="246" t="str">
        <f t="shared" si="110"/>
        <v/>
      </c>
      <c r="Z1210" s="247" t="str">
        <f t="shared" si="108"/>
        <v/>
      </c>
      <c r="AA1210" s="246" t="str">
        <f t="shared" si="111"/>
        <v/>
      </c>
    </row>
    <row r="1211" spans="1:27" x14ac:dyDescent="0.25">
      <c r="A1211" s="248" t="str">
        <f t="shared" si="112"/>
        <v/>
      </c>
      <c r="B1211" s="249" t="str">
        <f t="shared" si="113"/>
        <v/>
      </c>
      <c r="C1211" s="250"/>
      <c r="D1211" s="251"/>
      <c r="E1211" s="241"/>
      <c r="F1211" s="252"/>
      <c r="G1211" s="252"/>
      <c r="H1211" s="253"/>
      <c r="I1211" s="250"/>
      <c r="J1211" s="250"/>
      <c r="K1211" s="270"/>
      <c r="L1211" s="250"/>
      <c r="M1211" s="250"/>
      <c r="N1211" s="553" t="str">
        <f>CONCATENATE(IF(OR(M1211=phu!$I$1,M1211=phu!$I$2,M1211=phu!$I$3),"Cam Thành Nam",""),IF(OR(M1211=phu!$I$4,M1211=phu!$I$5,M1211=phu!$I$6,M1211=phu!$I$7,M1211=phu!$I$8,M1211=phu!$I$9,M1211=phu!$I$10,M1211=phu!$I$11,M1211=phu!$I$12,M1211=phu!$I$13,M1211=phu!$I$14),"Cam Nghĩa",""),IF(OR(M1211=phu!$I$15,M1211=phu!$I$16,M1211=phu!$I$17,M1211=phu!$I$18,M1211=phu!$I$19,M1211=phu!$I$20,M1211=phu!$I$21),"Cam Phúc Bắc",""),IF(OR(M1211=phu!$I$22,M1211=phu!$I$23,M1211=phu!$I$24,M1211=phu!$I$25),"Cam Phúc Nam",""),IF(OR(M1211=phu!$I$26,M1211=phu!$I$27,M1211=phu!$I$28,M1211=phu!$I$29,M1211=phu!$I$30,M1211=phu!$I$31),"Cam Phú",""),IF(OR(M1211=phu!$I$32,M1211=phu!$I$33,M1211=phu!$I$34,M1211=phu!$I$35,M1211=phu!$I$36,M1211=phu!$I$37),"Cam Lộc",""),IF(OR(M1211=phu!$I$38,M1211=phu!$I$39,M1211=phu!$I$40,M1211=phu!$I$41,M1211=phu!$I$42,M1211=phu!$I$43,M1211=phu!$I$44),"Cam Thuận",""),IF(OR(M1211=phu!$I$45,M1211=phu!$I$46,M1211=phu!$I$47,M1211=phu!$I$48,M1211=phu!$I$49,M1211=phu!$I$50,M1211=phu!$I$51,M1211=phu!$I$52,M1211=phu!$I$53),"Cam Linh",""),IF(OR(M1211=phu!$I$54,M1211=phu!$I$55,M1211=phu!$I$56,M1211=phu!$I$57,M1211=phu!$I$58,M1211=phu!$I$59,M1211=phu!$I$60,M1211=phu!$I$61,M1211=phu!$I$62),"Cam Lợi",""),IF(OR(M1211=phu!$I$63,M1211=phu!$I$64,M1211=phu!$I$65,M1211=phu!$I$66,M1211=phu!$I$67,M1211=phu!$I$68,M1211=phu!$I$69,M1211=phu!$I$70,M1211=phu!$I$71),"Ba Ngòi",""),IF(OR(M1211=phu!$I$72,M1211=phu!$I$73,M1211=phu!$I$74,M1211=phu!$I$75,M1211=phu!$I$76,M1211=phu!$I$77,M1211=phu!$I$78),"Cam Phước Đông",""),IF(OR(M1211=phu!$I$79,M1211=phu!$I$80,M1211=phu!$I$81,M1211=phu!$I$82,M1211=phu!$I$83,M1211=phu!$I$84),"Cam Thịnh Đông",""),IF(OR(M1211=phu!$I$85,M1211=phu!$I$86,M1211=phu!$I$87,M1211=phu!$I$88),"Cam Thịnh Tây",""),IF(OR(M1211=phu!$I$89,M1211=phu!$I$90),"Cam Lập",""),IF(OR(M1211=phu!$I$91,M1211=phu!$I$92,M1211=phu!$I$93),"Cam Bình",""),IF(OR(M1211=phu!$I$94,M1211=phu!$I$95,M1211=phu!$I$96,M1211=phu!$I$97,M1211=phu!$I$98,M1211=phu!$I$99,M1211=phu!$I$100),"Huyện khác",""),IF(OR(M1211=phu!$I$101,M1211=phu!$I$102),"Tỉnh khác",""))</f>
        <v/>
      </c>
      <c r="O1211" s="814" t="str">
        <f t="shared" si="109"/>
        <v/>
      </c>
      <c r="P1211" s="254"/>
      <c r="Q1211" s="254"/>
      <c r="R1211" s="254"/>
      <c r="S1211" s="254"/>
      <c r="T1211" s="254"/>
      <c r="U1211" s="254"/>
      <c r="V1211" s="254"/>
      <c r="W1211" s="254"/>
      <c r="Y1211" s="246" t="str">
        <f t="shared" si="110"/>
        <v/>
      </c>
      <c r="Z1211" s="247" t="str">
        <f t="shared" si="108"/>
        <v/>
      </c>
      <c r="AA1211" s="246" t="str">
        <f t="shared" si="111"/>
        <v/>
      </c>
    </row>
    <row r="1212" spans="1:27" x14ac:dyDescent="0.25">
      <c r="A1212" s="248" t="str">
        <f t="shared" si="112"/>
        <v/>
      </c>
      <c r="B1212" s="249" t="str">
        <f t="shared" si="113"/>
        <v/>
      </c>
      <c r="C1212" s="250"/>
      <c r="D1212" s="251"/>
      <c r="E1212" s="241"/>
      <c r="F1212" s="252"/>
      <c r="G1212" s="252"/>
      <c r="H1212" s="253"/>
      <c r="I1212" s="250"/>
      <c r="J1212" s="250"/>
      <c r="K1212" s="270"/>
      <c r="L1212" s="250"/>
      <c r="M1212" s="250"/>
      <c r="N1212" s="553" t="str">
        <f>CONCATENATE(IF(OR(M1212=phu!$I$1,M1212=phu!$I$2,M1212=phu!$I$3),"Cam Thành Nam",""),IF(OR(M1212=phu!$I$4,M1212=phu!$I$5,M1212=phu!$I$6,M1212=phu!$I$7,M1212=phu!$I$8,M1212=phu!$I$9,M1212=phu!$I$10,M1212=phu!$I$11,M1212=phu!$I$12,M1212=phu!$I$13,M1212=phu!$I$14),"Cam Nghĩa",""),IF(OR(M1212=phu!$I$15,M1212=phu!$I$16,M1212=phu!$I$17,M1212=phu!$I$18,M1212=phu!$I$19,M1212=phu!$I$20,M1212=phu!$I$21),"Cam Phúc Bắc",""),IF(OR(M1212=phu!$I$22,M1212=phu!$I$23,M1212=phu!$I$24,M1212=phu!$I$25),"Cam Phúc Nam",""),IF(OR(M1212=phu!$I$26,M1212=phu!$I$27,M1212=phu!$I$28,M1212=phu!$I$29,M1212=phu!$I$30,M1212=phu!$I$31),"Cam Phú",""),IF(OR(M1212=phu!$I$32,M1212=phu!$I$33,M1212=phu!$I$34,M1212=phu!$I$35,M1212=phu!$I$36,M1212=phu!$I$37),"Cam Lộc",""),IF(OR(M1212=phu!$I$38,M1212=phu!$I$39,M1212=phu!$I$40,M1212=phu!$I$41,M1212=phu!$I$42,M1212=phu!$I$43,M1212=phu!$I$44),"Cam Thuận",""),IF(OR(M1212=phu!$I$45,M1212=phu!$I$46,M1212=phu!$I$47,M1212=phu!$I$48,M1212=phu!$I$49,M1212=phu!$I$50,M1212=phu!$I$51,M1212=phu!$I$52,M1212=phu!$I$53),"Cam Linh",""),IF(OR(M1212=phu!$I$54,M1212=phu!$I$55,M1212=phu!$I$56,M1212=phu!$I$57,M1212=phu!$I$58,M1212=phu!$I$59,M1212=phu!$I$60,M1212=phu!$I$61,M1212=phu!$I$62),"Cam Lợi",""),IF(OR(M1212=phu!$I$63,M1212=phu!$I$64,M1212=phu!$I$65,M1212=phu!$I$66,M1212=phu!$I$67,M1212=phu!$I$68,M1212=phu!$I$69,M1212=phu!$I$70,M1212=phu!$I$71),"Ba Ngòi",""),IF(OR(M1212=phu!$I$72,M1212=phu!$I$73,M1212=phu!$I$74,M1212=phu!$I$75,M1212=phu!$I$76,M1212=phu!$I$77,M1212=phu!$I$78),"Cam Phước Đông",""),IF(OR(M1212=phu!$I$79,M1212=phu!$I$80,M1212=phu!$I$81,M1212=phu!$I$82,M1212=phu!$I$83,M1212=phu!$I$84),"Cam Thịnh Đông",""),IF(OR(M1212=phu!$I$85,M1212=phu!$I$86,M1212=phu!$I$87,M1212=phu!$I$88),"Cam Thịnh Tây",""),IF(OR(M1212=phu!$I$89,M1212=phu!$I$90),"Cam Lập",""),IF(OR(M1212=phu!$I$91,M1212=phu!$I$92,M1212=phu!$I$93),"Cam Bình",""),IF(OR(M1212=phu!$I$94,M1212=phu!$I$95,M1212=phu!$I$96,M1212=phu!$I$97,M1212=phu!$I$98,M1212=phu!$I$99,M1212=phu!$I$100),"Huyện khác",""),IF(OR(M1212=phu!$I$101,M1212=phu!$I$102),"Tỉnh khác",""))</f>
        <v/>
      </c>
      <c r="O1212" s="814" t="str">
        <f t="shared" si="109"/>
        <v/>
      </c>
      <c r="P1212" s="254"/>
      <c r="Q1212" s="254"/>
      <c r="R1212" s="254"/>
      <c r="S1212" s="254"/>
      <c r="T1212" s="254"/>
      <c r="U1212" s="254"/>
      <c r="V1212" s="254"/>
      <c r="W1212" s="254"/>
      <c r="Y1212" s="246" t="str">
        <f t="shared" si="110"/>
        <v/>
      </c>
      <c r="Z1212" s="247" t="str">
        <f t="shared" si="108"/>
        <v/>
      </c>
      <c r="AA1212" s="246" t="str">
        <f t="shared" si="111"/>
        <v/>
      </c>
    </row>
    <row r="1213" spans="1:27" x14ac:dyDescent="0.25">
      <c r="A1213" s="248" t="str">
        <f t="shared" si="112"/>
        <v/>
      </c>
      <c r="B1213" s="249" t="str">
        <f t="shared" si="113"/>
        <v/>
      </c>
      <c r="C1213" s="250"/>
      <c r="D1213" s="251"/>
      <c r="E1213" s="241"/>
      <c r="F1213" s="252"/>
      <c r="G1213" s="252"/>
      <c r="H1213" s="253"/>
      <c r="I1213" s="250"/>
      <c r="J1213" s="250"/>
      <c r="K1213" s="270"/>
      <c r="L1213" s="250"/>
      <c r="M1213" s="250"/>
      <c r="N1213" s="553" t="str">
        <f>CONCATENATE(IF(OR(M1213=phu!$I$1,M1213=phu!$I$2,M1213=phu!$I$3),"Cam Thành Nam",""),IF(OR(M1213=phu!$I$4,M1213=phu!$I$5,M1213=phu!$I$6,M1213=phu!$I$7,M1213=phu!$I$8,M1213=phu!$I$9,M1213=phu!$I$10,M1213=phu!$I$11,M1213=phu!$I$12,M1213=phu!$I$13,M1213=phu!$I$14),"Cam Nghĩa",""),IF(OR(M1213=phu!$I$15,M1213=phu!$I$16,M1213=phu!$I$17,M1213=phu!$I$18,M1213=phu!$I$19,M1213=phu!$I$20,M1213=phu!$I$21),"Cam Phúc Bắc",""),IF(OR(M1213=phu!$I$22,M1213=phu!$I$23,M1213=phu!$I$24,M1213=phu!$I$25),"Cam Phúc Nam",""),IF(OR(M1213=phu!$I$26,M1213=phu!$I$27,M1213=phu!$I$28,M1213=phu!$I$29,M1213=phu!$I$30,M1213=phu!$I$31),"Cam Phú",""),IF(OR(M1213=phu!$I$32,M1213=phu!$I$33,M1213=phu!$I$34,M1213=phu!$I$35,M1213=phu!$I$36,M1213=phu!$I$37),"Cam Lộc",""),IF(OR(M1213=phu!$I$38,M1213=phu!$I$39,M1213=phu!$I$40,M1213=phu!$I$41,M1213=phu!$I$42,M1213=phu!$I$43,M1213=phu!$I$44),"Cam Thuận",""),IF(OR(M1213=phu!$I$45,M1213=phu!$I$46,M1213=phu!$I$47,M1213=phu!$I$48,M1213=phu!$I$49,M1213=phu!$I$50,M1213=phu!$I$51,M1213=phu!$I$52,M1213=phu!$I$53),"Cam Linh",""),IF(OR(M1213=phu!$I$54,M1213=phu!$I$55,M1213=phu!$I$56,M1213=phu!$I$57,M1213=phu!$I$58,M1213=phu!$I$59,M1213=phu!$I$60,M1213=phu!$I$61,M1213=phu!$I$62),"Cam Lợi",""),IF(OR(M1213=phu!$I$63,M1213=phu!$I$64,M1213=phu!$I$65,M1213=phu!$I$66,M1213=phu!$I$67,M1213=phu!$I$68,M1213=phu!$I$69,M1213=phu!$I$70,M1213=phu!$I$71),"Ba Ngòi",""),IF(OR(M1213=phu!$I$72,M1213=phu!$I$73,M1213=phu!$I$74,M1213=phu!$I$75,M1213=phu!$I$76,M1213=phu!$I$77,M1213=phu!$I$78),"Cam Phước Đông",""),IF(OR(M1213=phu!$I$79,M1213=phu!$I$80,M1213=phu!$I$81,M1213=phu!$I$82,M1213=phu!$I$83,M1213=phu!$I$84),"Cam Thịnh Đông",""),IF(OR(M1213=phu!$I$85,M1213=phu!$I$86,M1213=phu!$I$87,M1213=phu!$I$88),"Cam Thịnh Tây",""),IF(OR(M1213=phu!$I$89,M1213=phu!$I$90),"Cam Lập",""),IF(OR(M1213=phu!$I$91,M1213=phu!$I$92,M1213=phu!$I$93),"Cam Bình",""),IF(OR(M1213=phu!$I$94,M1213=phu!$I$95,M1213=phu!$I$96,M1213=phu!$I$97,M1213=phu!$I$98,M1213=phu!$I$99,M1213=phu!$I$100),"Huyện khác",""),IF(OR(M1213=phu!$I$101,M1213=phu!$I$102),"Tỉnh khác",""))</f>
        <v/>
      </c>
      <c r="O1213" s="814" t="str">
        <f t="shared" si="109"/>
        <v/>
      </c>
      <c r="P1213" s="254"/>
      <c r="Q1213" s="254"/>
      <c r="R1213" s="254"/>
      <c r="S1213" s="254"/>
      <c r="T1213" s="254"/>
      <c r="U1213" s="254"/>
      <c r="V1213" s="254"/>
      <c r="W1213" s="254"/>
      <c r="Y1213" s="246" t="str">
        <f t="shared" si="110"/>
        <v/>
      </c>
      <c r="Z1213" s="247" t="str">
        <f t="shared" si="108"/>
        <v/>
      </c>
      <c r="AA1213" s="246" t="str">
        <f t="shared" si="111"/>
        <v/>
      </c>
    </row>
    <row r="1214" spans="1:27" x14ac:dyDescent="0.25">
      <c r="A1214" s="248" t="str">
        <f t="shared" si="112"/>
        <v/>
      </c>
      <c r="B1214" s="249" t="str">
        <f t="shared" si="113"/>
        <v/>
      </c>
      <c r="C1214" s="250"/>
      <c r="D1214" s="251"/>
      <c r="E1214" s="241"/>
      <c r="F1214" s="252"/>
      <c r="G1214" s="252"/>
      <c r="H1214" s="253"/>
      <c r="I1214" s="250"/>
      <c r="J1214" s="250"/>
      <c r="K1214" s="270"/>
      <c r="L1214" s="250"/>
      <c r="M1214" s="250"/>
      <c r="N1214" s="553" t="str">
        <f>CONCATENATE(IF(OR(M1214=phu!$I$1,M1214=phu!$I$2,M1214=phu!$I$3),"Cam Thành Nam",""),IF(OR(M1214=phu!$I$4,M1214=phu!$I$5,M1214=phu!$I$6,M1214=phu!$I$7,M1214=phu!$I$8,M1214=phu!$I$9,M1214=phu!$I$10,M1214=phu!$I$11,M1214=phu!$I$12,M1214=phu!$I$13,M1214=phu!$I$14),"Cam Nghĩa",""),IF(OR(M1214=phu!$I$15,M1214=phu!$I$16,M1214=phu!$I$17,M1214=phu!$I$18,M1214=phu!$I$19,M1214=phu!$I$20,M1214=phu!$I$21),"Cam Phúc Bắc",""),IF(OR(M1214=phu!$I$22,M1214=phu!$I$23,M1214=phu!$I$24,M1214=phu!$I$25),"Cam Phúc Nam",""),IF(OR(M1214=phu!$I$26,M1214=phu!$I$27,M1214=phu!$I$28,M1214=phu!$I$29,M1214=phu!$I$30,M1214=phu!$I$31),"Cam Phú",""),IF(OR(M1214=phu!$I$32,M1214=phu!$I$33,M1214=phu!$I$34,M1214=phu!$I$35,M1214=phu!$I$36,M1214=phu!$I$37),"Cam Lộc",""),IF(OR(M1214=phu!$I$38,M1214=phu!$I$39,M1214=phu!$I$40,M1214=phu!$I$41,M1214=phu!$I$42,M1214=phu!$I$43,M1214=phu!$I$44),"Cam Thuận",""),IF(OR(M1214=phu!$I$45,M1214=phu!$I$46,M1214=phu!$I$47,M1214=phu!$I$48,M1214=phu!$I$49,M1214=phu!$I$50,M1214=phu!$I$51,M1214=phu!$I$52,M1214=phu!$I$53),"Cam Linh",""),IF(OR(M1214=phu!$I$54,M1214=phu!$I$55,M1214=phu!$I$56,M1214=phu!$I$57,M1214=phu!$I$58,M1214=phu!$I$59,M1214=phu!$I$60,M1214=phu!$I$61,M1214=phu!$I$62),"Cam Lợi",""),IF(OR(M1214=phu!$I$63,M1214=phu!$I$64,M1214=phu!$I$65,M1214=phu!$I$66,M1214=phu!$I$67,M1214=phu!$I$68,M1214=phu!$I$69,M1214=phu!$I$70,M1214=phu!$I$71),"Ba Ngòi",""),IF(OR(M1214=phu!$I$72,M1214=phu!$I$73,M1214=phu!$I$74,M1214=phu!$I$75,M1214=phu!$I$76,M1214=phu!$I$77,M1214=phu!$I$78),"Cam Phước Đông",""),IF(OR(M1214=phu!$I$79,M1214=phu!$I$80,M1214=phu!$I$81,M1214=phu!$I$82,M1214=phu!$I$83,M1214=phu!$I$84),"Cam Thịnh Đông",""),IF(OR(M1214=phu!$I$85,M1214=phu!$I$86,M1214=phu!$I$87,M1214=phu!$I$88),"Cam Thịnh Tây",""),IF(OR(M1214=phu!$I$89,M1214=phu!$I$90),"Cam Lập",""),IF(OR(M1214=phu!$I$91,M1214=phu!$I$92,M1214=phu!$I$93),"Cam Bình",""),IF(OR(M1214=phu!$I$94,M1214=phu!$I$95,M1214=phu!$I$96,M1214=phu!$I$97,M1214=phu!$I$98,M1214=phu!$I$99,M1214=phu!$I$100),"Huyện khác",""),IF(OR(M1214=phu!$I$101,M1214=phu!$I$102),"Tỉnh khác",""))</f>
        <v/>
      </c>
      <c r="O1214" s="814" t="str">
        <f t="shared" si="109"/>
        <v/>
      </c>
      <c r="P1214" s="254"/>
      <c r="Q1214" s="254"/>
      <c r="R1214" s="254"/>
      <c r="S1214" s="254"/>
      <c r="T1214" s="254"/>
      <c r="U1214" s="254"/>
      <c r="V1214" s="254"/>
      <c r="W1214" s="254"/>
      <c r="Y1214" s="246" t="str">
        <f t="shared" si="110"/>
        <v/>
      </c>
      <c r="Z1214" s="247" t="str">
        <f t="shared" si="108"/>
        <v/>
      </c>
      <c r="AA1214" s="246" t="str">
        <f t="shared" si="111"/>
        <v/>
      </c>
    </row>
    <row r="1215" spans="1:27" x14ac:dyDescent="0.25">
      <c r="A1215" s="248" t="str">
        <f t="shared" si="112"/>
        <v/>
      </c>
      <c r="B1215" s="249" t="str">
        <f t="shared" si="113"/>
        <v/>
      </c>
      <c r="C1215" s="250"/>
      <c r="D1215" s="251"/>
      <c r="E1215" s="241"/>
      <c r="F1215" s="252"/>
      <c r="G1215" s="252"/>
      <c r="H1215" s="253"/>
      <c r="I1215" s="250"/>
      <c r="J1215" s="250"/>
      <c r="K1215" s="270"/>
      <c r="L1215" s="250"/>
      <c r="M1215" s="250"/>
      <c r="N1215" s="553" t="str">
        <f>CONCATENATE(IF(OR(M1215=phu!$I$1,M1215=phu!$I$2,M1215=phu!$I$3),"Cam Thành Nam",""),IF(OR(M1215=phu!$I$4,M1215=phu!$I$5,M1215=phu!$I$6,M1215=phu!$I$7,M1215=phu!$I$8,M1215=phu!$I$9,M1215=phu!$I$10,M1215=phu!$I$11,M1215=phu!$I$12,M1215=phu!$I$13,M1215=phu!$I$14),"Cam Nghĩa",""),IF(OR(M1215=phu!$I$15,M1215=phu!$I$16,M1215=phu!$I$17,M1215=phu!$I$18,M1215=phu!$I$19,M1215=phu!$I$20,M1215=phu!$I$21),"Cam Phúc Bắc",""),IF(OR(M1215=phu!$I$22,M1215=phu!$I$23,M1215=phu!$I$24,M1215=phu!$I$25),"Cam Phúc Nam",""),IF(OR(M1215=phu!$I$26,M1215=phu!$I$27,M1215=phu!$I$28,M1215=phu!$I$29,M1215=phu!$I$30,M1215=phu!$I$31),"Cam Phú",""),IF(OR(M1215=phu!$I$32,M1215=phu!$I$33,M1215=phu!$I$34,M1215=phu!$I$35,M1215=phu!$I$36,M1215=phu!$I$37),"Cam Lộc",""),IF(OR(M1215=phu!$I$38,M1215=phu!$I$39,M1215=phu!$I$40,M1215=phu!$I$41,M1215=phu!$I$42,M1215=phu!$I$43,M1215=phu!$I$44),"Cam Thuận",""),IF(OR(M1215=phu!$I$45,M1215=phu!$I$46,M1215=phu!$I$47,M1215=phu!$I$48,M1215=phu!$I$49,M1215=phu!$I$50,M1215=phu!$I$51,M1215=phu!$I$52,M1215=phu!$I$53),"Cam Linh",""),IF(OR(M1215=phu!$I$54,M1215=phu!$I$55,M1215=phu!$I$56,M1215=phu!$I$57,M1215=phu!$I$58,M1215=phu!$I$59,M1215=phu!$I$60,M1215=phu!$I$61,M1215=phu!$I$62),"Cam Lợi",""),IF(OR(M1215=phu!$I$63,M1215=phu!$I$64,M1215=phu!$I$65,M1215=phu!$I$66,M1215=phu!$I$67,M1215=phu!$I$68,M1215=phu!$I$69,M1215=phu!$I$70,M1215=phu!$I$71),"Ba Ngòi",""),IF(OR(M1215=phu!$I$72,M1215=phu!$I$73,M1215=phu!$I$74,M1215=phu!$I$75,M1215=phu!$I$76,M1215=phu!$I$77,M1215=phu!$I$78),"Cam Phước Đông",""),IF(OR(M1215=phu!$I$79,M1215=phu!$I$80,M1215=phu!$I$81,M1215=phu!$I$82,M1215=phu!$I$83,M1215=phu!$I$84),"Cam Thịnh Đông",""),IF(OR(M1215=phu!$I$85,M1215=phu!$I$86,M1215=phu!$I$87,M1215=phu!$I$88),"Cam Thịnh Tây",""),IF(OR(M1215=phu!$I$89,M1215=phu!$I$90),"Cam Lập",""),IF(OR(M1215=phu!$I$91,M1215=phu!$I$92,M1215=phu!$I$93),"Cam Bình",""),IF(OR(M1215=phu!$I$94,M1215=phu!$I$95,M1215=phu!$I$96,M1215=phu!$I$97,M1215=phu!$I$98,M1215=phu!$I$99,M1215=phu!$I$100),"Huyện khác",""),IF(OR(M1215=phu!$I$101,M1215=phu!$I$102),"Tỉnh khác",""))</f>
        <v/>
      </c>
      <c r="O1215" s="814" t="str">
        <f t="shared" si="109"/>
        <v/>
      </c>
      <c r="P1215" s="254"/>
      <c r="Q1215" s="254"/>
      <c r="R1215" s="254"/>
      <c r="S1215" s="254"/>
      <c r="T1215" s="254"/>
      <c r="U1215" s="254"/>
      <c r="V1215" s="254"/>
      <c r="W1215" s="254"/>
      <c r="Y1215" s="246" t="str">
        <f t="shared" si="110"/>
        <v/>
      </c>
      <c r="Z1215" s="247" t="str">
        <f t="shared" si="108"/>
        <v/>
      </c>
      <c r="AA1215" s="246" t="str">
        <f t="shared" si="111"/>
        <v/>
      </c>
    </row>
    <row r="1216" spans="1:27" x14ac:dyDescent="0.25">
      <c r="A1216" s="248" t="str">
        <f t="shared" si="112"/>
        <v/>
      </c>
      <c r="B1216" s="249" t="str">
        <f t="shared" si="113"/>
        <v/>
      </c>
      <c r="C1216" s="250"/>
      <c r="D1216" s="251"/>
      <c r="E1216" s="241"/>
      <c r="F1216" s="252"/>
      <c r="G1216" s="252"/>
      <c r="H1216" s="253"/>
      <c r="I1216" s="250"/>
      <c r="J1216" s="250"/>
      <c r="K1216" s="270"/>
      <c r="L1216" s="250"/>
      <c r="M1216" s="250"/>
      <c r="N1216" s="553" t="str">
        <f>CONCATENATE(IF(OR(M1216=phu!$I$1,M1216=phu!$I$2,M1216=phu!$I$3),"Cam Thành Nam",""),IF(OR(M1216=phu!$I$4,M1216=phu!$I$5,M1216=phu!$I$6,M1216=phu!$I$7,M1216=phu!$I$8,M1216=phu!$I$9,M1216=phu!$I$10,M1216=phu!$I$11,M1216=phu!$I$12,M1216=phu!$I$13,M1216=phu!$I$14),"Cam Nghĩa",""),IF(OR(M1216=phu!$I$15,M1216=phu!$I$16,M1216=phu!$I$17,M1216=phu!$I$18,M1216=phu!$I$19,M1216=phu!$I$20,M1216=phu!$I$21),"Cam Phúc Bắc",""),IF(OR(M1216=phu!$I$22,M1216=phu!$I$23,M1216=phu!$I$24,M1216=phu!$I$25),"Cam Phúc Nam",""),IF(OR(M1216=phu!$I$26,M1216=phu!$I$27,M1216=phu!$I$28,M1216=phu!$I$29,M1216=phu!$I$30,M1216=phu!$I$31),"Cam Phú",""),IF(OR(M1216=phu!$I$32,M1216=phu!$I$33,M1216=phu!$I$34,M1216=phu!$I$35,M1216=phu!$I$36,M1216=phu!$I$37),"Cam Lộc",""),IF(OR(M1216=phu!$I$38,M1216=phu!$I$39,M1216=phu!$I$40,M1216=phu!$I$41,M1216=phu!$I$42,M1216=phu!$I$43,M1216=phu!$I$44),"Cam Thuận",""),IF(OR(M1216=phu!$I$45,M1216=phu!$I$46,M1216=phu!$I$47,M1216=phu!$I$48,M1216=phu!$I$49,M1216=phu!$I$50,M1216=phu!$I$51,M1216=phu!$I$52,M1216=phu!$I$53),"Cam Linh",""),IF(OR(M1216=phu!$I$54,M1216=phu!$I$55,M1216=phu!$I$56,M1216=phu!$I$57,M1216=phu!$I$58,M1216=phu!$I$59,M1216=phu!$I$60,M1216=phu!$I$61,M1216=phu!$I$62),"Cam Lợi",""),IF(OR(M1216=phu!$I$63,M1216=phu!$I$64,M1216=phu!$I$65,M1216=phu!$I$66,M1216=phu!$I$67,M1216=phu!$I$68,M1216=phu!$I$69,M1216=phu!$I$70,M1216=phu!$I$71),"Ba Ngòi",""),IF(OR(M1216=phu!$I$72,M1216=phu!$I$73,M1216=phu!$I$74,M1216=phu!$I$75,M1216=phu!$I$76,M1216=phu!$I$77,M1216=phu!$I$78),"Cam Phước Đông",""),IF(OR(M1216=phu!$I$79,M1216=phu!$I$80,M1216=phu!$I$81,M1216=phu!$I$82,M1216=phu!$I$83,M1216=phu!$I$84),"Cam Thịnh Đông",""),IF(OR(M1216=phu!$I$85,M1216=phu!$I$86,M1216=phu!$I$87,M1216=phu!$I$88),"Cam Thịnh Tây",""),IF(OR(M1216=phu!$I$89,M1216=phu!$I$90),"Cam Lập",""),IF(OR(M1216=phu!$I$91,M1216=phu!$I$92,M1216=phu!$I$93),"Cam Bình",""),IF(OR(M1216=phu!$I$94,M1216=phu!$I$95,M1216=phu!$I$96,M1216=phu!$I$97,M1216=phu!$I$98,M1216=phu!$I$99,M1216=phu!$I$100),"Huyện khác",""),IF(OR(M1216=phu!$I$101,M1216=phu!$I$102),"Tỉnh khác",""))</f>
        <v/>
      </c>
      <c r="O1216" s="814" t="str">
        <f t="shared" si="109"/>
        <v/>
      </c>
      <c r="P1216" s="254"/>
      <c r="Q1216" s="254"/>
      <c r="R1216" s="254"/>
      <c r="S1216" s="254"/>
      <c r="T1216" s="254"/>
      <c r="U1216" s="254"/>
      <c r="V1216" s="254"/>
      <c r="W1216" s="254"/>
      <c r="Y1216" s="246" t="str">
        <f t="shared" si="110"/>
        <v/>
      </c>
      <c r="Z1216" s="247" t="str">
        <f t="shared" si="108"/>
        <v/>
      </c>
      <c r="AA1216" s="246" t="str">
        <f t="shared" si="111"/>
        <v/>
      </c>
    </row>
    <row r="1217" spans="1:27" x14ac:dyDescent="0.25">
      <c r="A1217" s="248" t="str">
        <f t="shared" si="112"/>
        <v/>
      </c>
      <c r="B1217" s="249" t="str">
        <f t="shared" si="113"/>
        <v/>
      </c>
      <c r="C1217" s="250"/>
      <c r="D1217" s="251"/>
      <c r="E1217" s="241"/>
      <c r="F1217" s="252"/>
      <c r="G1217" s="252"/>
      <c r="H1217" s="253"/>
      <c r="I1217" s="250"/>
      <c r="J1217" s="250"/>
      <c r="K1217" s="270"/>
      <c r="L1217" s="250"/>
      <c r="M1217" s="250"/>
      <c r="N1217" s="553" t="str">
        <f>CONCATENATE(IF(OR(M1217=phu!$I$1,M1217=phu!$I$2,M1217=phu!$I$3),"Cam Thành Nam",""),IF(OR(M1217=phu!$I$4,M1217=phu!$I$5,M1217=phu!$I$6,M1217=phu!$I$7,M1217=phu!$I$8,M1217=phu!$I$9,M1217=phu!$I$10,M1217=phu!$I$11,M1217=phu!$I$12,M1217=phu!$I$13,M1217=phu!$I$14),"Cam Nghĩa",""),IF(OR(M1217=phu!$I$15,M1217=phu!$I$16,M1217=phu!$I$17,M1217=phu!$I$18,M1217=phu!$I$19,M1217=phu!$I$20,M1217=phu!$I$21),"Cam Phúc Bắc",""),IF(OR(M1217=phu!$I$22,M1217=phu!$I$23,M1217=phu!$I$24,M1217=phu!$I$25),"Cam Phúc Nam",""),IF(OR(M1217=phu!$I$26,M1217=phu!$I$27,M1217=phu!$I$28,M1217=phu!$I$29,M1217=phu!$I$30,M1217=phu!$I$31),"Cam Phú",""),IF(OR(M1217=phu!$I$32,M1217=phu!$I$33,M1217=phu!$I$34,M1217=phu!$I$35,M1217=phu!$I$36,M1217=phu!$I$37),"Cam Lộc",""),IF(OR(M1217=phu!$I$38,M1217=phu!$I$39,M1217=phu!$I$40,M1217=phu!$I$41,M1217=phu!$I$42,M1217=phu!$I$43,M1217=phu!$I$44),"Cam Thuận",""),IF(OR(M1217=phu!$I$45,M1217=phu!$I$46,M1217=phu!$I$47,M1217=phu!$I$48,M1217=phu!$I$49,M1217=phu!$I$50,M1217=phu!$I$51,M1217=phu!$I$52,M1217=phu!$I$53),"Cam Linh",""),IF(OR(M1217=phu!$I$54,M1217=phu!$I$55,M1217=phu!$I$56,M1217=phu!$I$57,M1217=phu!$I$58,M1217=phu!$I$59,M1217=phu!$I$60,M1217=phu!$I$61,M1217=phu!$I$62),"Cam Lợi",""),IF(OR(M1217=phu!$I$63,M1217=phu!$I$64,M1217=phu!$I$65,M1217=phu!$I$66,M1217=phu!$I$67,M1217=phu!$I$68,M1217=phu!$I$69,M1217=phu!$I$70,M1217=phu!$I$71),"Ba Ngòi",""),IF(OR(M1217=phu!$I$72,M1217=phu!$I$73,M1217=phu!$I$74,M1217=phu!$I$75,M1217=phu!$I$76,M1217=phu!$I$77,M1217=phu!$I$78),"Cam Phước Đông",""),IF(OR(M1217=phu!$I$79,M1217=phu!$I$80,M1217=phu!$I$81,M1217=phu!$I$82,M1217=phu!$I$83,M1217=phu!$I$84),"Cam Thịnh Đông",""),IF(OR(M1217=phu!$I$85,M1217=phu!$I$86,M1217=phu!$I$87,M1217=phu!$I$88),"Cam Thịnh Tây",""),IF(OR(M1217=phu!$I$89,M1217=phu!$I$90),"Cam Lập",""),IF(OR(M1217=phu!$I$91,M1217=phu!$I$92,M1217=phu!$I$93),"Cam Bình",""),IF(OR(M1217=phu!$I$94,M1217=phu!$I$95,M1217=phu!$I$96,M1217=phu!$I$97,M1217=phu!$I$98,M1217=phu!$I$99,M1217=phu!$I$100),"Huyện khác",""),IF(OR(M1217=phu!$I$101,M1217=phu!$I$102),"Tỉnh khác",""))</f>
        <v/>
      </c>
      <c r="O1217" s="814" t="str">
        <f t="shared" si="109"/>
        <v/>
      </c>
      <c r="P1217" s="254"/>
      <c r="Q1217" s="254"/>
      <c r="R1217" s="254"/>
      <c r="S1217" s="254"/>
      <c r="T1217" s="254"/>
      <c r="U1217" s="254"/>
      <c r="V1217" s="254"/>
      <c r="W1217" s="254"/>
      <c r="Y1217" s="246" t="str">
        <f t="shared" si="110"/>
        <v/>
      </c>
      <c r="Z1217" s="247" t="str">
        <f t="shared" si="108"/>
        <v/>
      </c>
      <c r="AA1217" s="246" t="str">
        <f t="shared" si="111"/>
        <v/>
      </c>
    </row>
    <row r="1218" spans="1:27" x14ac:dyDescent="0.25">
      <c r="A1218" s="248" t="str">
        <f t="shared" si="112"/>
        <v/>
      </c>
      <c r="B1218" s="249" t="str">
        <f t="shared" si="113"/>
        <v/>
      </c>
      <c r="C1218" s="250"/>
      <c r="D1218" s="251"/>
      <c r="E1218" s="241"/>
      <c r="F1218" s="252"/>
      <c r="G1218" s="252"/>
      <c r="H1218" s="253"/>
      <c r="I1218" s="250"/>
      <c r="J1218" s="250"/>
      <c r="K1218" s="270"/>
      <c r="L1218" s="250"/>
      <c r="M1218" s="250"/>
      <c r="N1218" s="553" t="str">
        <f>CONCATENATE(IF(OR(M1218=phu!$I$1,M1218=phu!$I$2,M1218=phu!$I$3),"Cam Thành Nam",""),IF(OR(M1218=phu!$I$4,M1218=phu!$I$5,M1218=phu!$I$6,M1218=phu!$I$7,M1218=phu!$I$8,M1218=phu!$I$9,M1218=phu!$I$10,M1218=phu!$I$11,M1218=phu!$I$12,M1218=phu!$I$13,M1218=phu!$I$14),"Cam Nghĩa",""),IF(OR(M1218=phu!$I$15,M1218=phu!$I$16,M1218=phu!$I$17,M1218=phu!$I$18,M1218=phu!$I$19,M1218=phu!$I$20,M1218=phu!$I$21),"Cam Phúc Bắc",""),IF(OR(M1218=phu!$I$22,M1218=phu!$I$23,M1218=phu!$I$24,M1218=phu!$I$25),"Cam Phúc Nam",""),IF(OR(M1218=phu!$I$26,M1218=phu!$I$27,M1218=phu!$I$28,M1218=phu!$I$29,M1218=phu!$I$30,M1218=phu!$I$31),"Cam Phú",""),IF(OR(M1218=phu!$I$32,M1218=phu!$I$33,M1218=phu!$I$34,M1218=phu!$I$35,M1218=phu!$I$36,M1218=phu!$I$37),"Cam Lộc",""),IF(OR(M1218=phu!$I$38,M1218=phu!$I$39,M1218=phu!$I$40,M1218=phu!$I$41,M1218=phu!$I$42,M1218=phu!$I$43,M1218=phu!$I$44),"Cam Thuận",""),IF(OR(M1218=phu!$I$45,M1218=phu!$I$46,M1218=phu!$I$47,M1218=phu!$I$48,M1218=phu!$I$49,M1218=phu!$I$50,M1218=phu!$I$51,M1218=phu!$I$52,M1218=phu!$I$53),"Cam Linh",""),IF(OR(M1218=phu!$I$54,M1218=phu!$I$55,M1218=phu!$I$56,M1218=phu!$I$57,M1218=phu!$I$58,M1218=phu!$I$59,M1218=phu!$I$60,M1218=phu!$I$61,M1218=phu!$I$62),"Cam Lợi",""),IF(OR(M1218=phu!$I$63,M1218=phu!$I$64,M1218=phu!$I$65,M1218=phu!$I$66,M1218=phu!$I$67,M1218=phu!$I$68,M1218=phu!$I$69,M1218=phu!$I$70,M1218=phu!$I$71),"Ba Ngòi",""),IF(OR(M1218=phu!$I$72,M1218=phu!$I$73,M1218=phu!$I$74,M1218=phu!$I$75,M1218=phu!$I$76,M1218=phu!$I$77,M1218=phu!$I$78),"Cam Phước Đông",""),IF(OR(M1218=phu!$I$79,M1218=phu!$I$80,M1218=phu!$I$81,M1218=phu!$I$82,M1218=phu!$I$83,M1218=phu!$I$84),"Cam Thịnh Đông",""),IF(OR(M1218=phu!$I$85,M1218=phu!$I$86,M1218=phu!$I$87,M1218=phu!$I$88),"Cam Thịnh Tây",""),IF(OR(M1218=phu!$I$89,M1218=phu!$I$90),"Cam Lập",""),IF(OR(M1218=phu!$I$91,M1218=phu!$I$92,M1218=phu!$I$93),"Cam Bình",""),IF(OR(M1218=phu!$I$94,M1218=phu!$I$95,M1218=phu!$I$96,M1218=phu!$I$97,M1218=phu!$I$98,M1218=phu!$I$99,M1218=phu!$I$100),"Huyện khác",""),IF(OR(M1218=phu!$I$101,M1218=phu!$I$102),"Tỉnh khác",""))</f>
        <v/>
      </c>
      <c r="O1218" s="814" t="str">
        <f t="shared" si="109"/>
        <v/>
      </c>
      <c r="P1218" s="254"/>
      <c r="Q1218" s="254"/>
      <c r="R1218" s="254"/>
      <c r="S1218" s="254"/>
      <c r="T1218" s="254"/>
      <c r="U1218" s="254"/>
      <c r="V1218" s="254"/>
      <c r="W1218" s="254"/>
      <c r="Y1218" s="246" t="str">
        <f t="shared" si="110"/>
        <v/>
      </c>
      <c r="Z1218" s="247" t="str">
        <f t="shared" si="108"/>
        <v/>
      </c>
      <c r="AA1218" s="246" t="str">
        <f t="shared" si="111"/>
        <v/>
      </c>
    </row>
    <row r="1219" spans="1:27" x14ac:dyDescent="0.25">
      <c r="A1219" s="248" t="str">
        <f t="shared" si="112"/>
        <v/>
      </c>
      <c r="B1219" s="249" t="str">
        <f t="shared" si="113"/>
        <v/>
      </c>
      <c r="C1219" s="250"/>
      <c r="D1219" s="251"/>
      <c r="E1219" s="241"/>
      <c r="F1219" s="252"/>
      <c r="G1219" s="252"/>
      <c r="H1219" s="253"/>
      <c r="I1219" s="250"/>
      <c r="J1219" s="250"/>
      <c r="K1219" s="270"/>
      <c r="L1219" s="250"/>
      <c r="M1219" s="250"/>
      <c r="N1219" s="553" t="str">
        <f>CONCATENATE(IF(OR(M1219=phu!$I$1,M1219=phu!$I$2,M1219=phu!$I$3),"Cam Thành Nam",""),IF(OR(M1219=phu!$I$4,M1219=phu!$I$5,M1219=phu!$I$6,M1219=phu!$I$7,M1219=phu!$I$8,M1219=phu!$I$9,M1219=phu!$I$10,M1219=phu!$I$11,M1219=phu!$I$12,M1219=phu!$I$13,M1219=phu!$I$14),"Cam Nghĩa",""),IF(OR(M1219=phu!$I$15,M1219=phu!$I$16,M1219=phu!$I$17,M1219=phu!$I$18,M1219=phu!$I$19,M1219=phu!$I$20,M1219=phu!$I$21),"Cam Phúc Bắc",""),IF(OR(M1219=phu!$I$22,M1219=phu!$I$23,M1219=phu!$I$24,M1219=phu!$I$25),"Cam Phúc Nam",""),IF(OR(M1219=phu!$I$26,M1219=phu!$I$27,M1219=phu!$I$28,M1219=phu!$I$29,M1219=phu!$I$30,M1219=phu!$I$31),"Cam Phú",""),IF(OR(M1219=phu!$I$32,M1219=phu!$I$33,M1219=phu!$I$34,M1219=phu!$I$35,M1219=phu!$I$36,M1219=phu!$I$37),"Cam Lộc",""),IF(OR(M1219=phu!$I$38,M1219=phu!$I$39,M1219=phu!$I$40,M1219=phu!$I$41,M1219=phu!$I$42,M1219=phu!$I$43,M1219=phu!$I$44),"Cam Thuận",""),IF(OR(M1219=phu!$I$45,M1219=phu!$I$46,M1219=phu!$I$47,M1219=phu!$I$48,M1219=phu!$I$49,M1219=phu!$I$50,M1219=phu!$I$51,M1219=phu!$I$52,M1219=phu!$I$53),"Cam Linh",""),IF(OR(M1219=phu!$I$54,M1219=phu!$I$55,M1219=phu!$I$56,M1219=phu!$I$57,M1219=phu!$I$58,M1219=phu!$I$59,M1219=phu!$I$60,M1219=phu!$I$61,M1219=phu!$I$62),"Cam Lợi",""),IF(OR(M1219=phu!$I$63,M1219=phu!$I$64,M1219=phu!$I$65,M1219=phu!$I$66,M1219=phu!$I$67,M1219=phu!$I$68,M1219=phu!$I$69,M1219=phu!$I$70,M1219=phu!$I$71),"Ba Ngòi",""),IF(OR(M1219=phu!$I$72,M1219=phu!$I$73,M1219=phu!$I$74,M1219=phu!$I$75,M1219=phu!$I$76,M1219=phu!$I$77,M1219=phu!$I$78),"Cam Phước Đông",""),IF(OR(M1219=phu!$I$79,M1219=phu!$I$80,M1219=phu!$I$81,M1219=phu!$I$82,M1219=phu!$I$83,M1219=phu!$I$84),"Cam Thịnh Đông",""),IF(OR(M1219=phu!$I$85,M1219=phu!$I$86,M1219=phu!$I$87,M1219=phu!$I$88),"Cam Thịnh Tây",""),IF(OR(M1219=phu!$I$89,M1219=phu!$I$90),"Cam Lập",""),IF(OR(M1219=phu!$I$91,M1219=phu!$I$92,M1219=phu!$I$93),"Cam Bình",""),IF(OR(M1219=phu!$I$94,M1219=phu!$I$95,M1219=phu!$I$96,M1219=phu!$I$97,M1219=phu!$I$98,M1219=phu!$I$99,M1219=phu!$I$100),"Huyện khác",""),IF(OR(M1219=phu!$I$101,M1219=phu!$I$102),"Tỉnh khác",""))</f>
        <v/>
      </c>
      <c r="O1219" s="814" t="str">
        <f t="shared" si="109"/>
        <v/>
      </c>
      <c r="P1219" s="254"/>
      <c r="Q1219" s="254"/>
      <c r="R1219" s="254"/>
      <c r="S1219" s="254"/>
      <c r="T1219" s="254"/>
      <c r="U1219" s="254"/>
      <c r="V1219" s="254"/>
      <c r="W1219" s="254"/>
      <c r="Y1219" s="246" t="str">
        <f t="shared" si="110"/>
        <v/>
      </c>
      <c r="Z1219" s="247" t="str">
        <f t="shared" si="108"/>
        <v/>
      </c>
      <c r="AA1219" s="246" t="str">
        <f t="shared" si="111"/>
        <v/>
      </c>
    </row>
    <row r="1220" spans="1:27" x14ac:dyDescent="0.25">
      <c r="A1220" s="248" t="str">
        <f t="shared" si="112"/>
        <v/>
      </c>
      <c r="B1220" s="249" t="str">
        <f t="shared" si="113"/>
        <v/>
      </c>
      <c r="C1220" s="250"/>
      <c r="D1220" s="251"/>
      <c r="E1220" s="241"/>
      <c r="F1220" s="252"/>
      <c r="G1220" s="252"/>
      <c r="H1220" s="253"/>
      <c r="I1220" s="250"/>
      <c r="J1220" s="250"/>
      <c r="K1220" s="270"/>
      <c r="L1220" s="250"/>
      <c r="M1220" s="250"/>
      <c r="N1220" s="553" t="str">
        <f>CONCATENATE(IF(OR(M1220=phu!$I$1,M1220=phu!$I$2,M1220=phu!$I$3),"Cam Thành Nam",""),IF(OR(M1220=phu!$I$4,M1220=phu!$I$5,M1220=phu!$I$6,M1220=phu!$I$7,M1220=phu!$I$8,M1220=phu!$I$9,M1220=phu!$I$10,M1220=phu!$I$11,M1220=phu!$I$12,M1220=phu!$I$13,M1220=phu!$I$14),"Cam Nghĩa",""),IF(OR(M1220=phu!$I$15,M1220=phu!$I$16,M1220=phu!$I$17,M1220=phu!$I$18,M1220=phu!$I$19,M1220=phu!$I$20,M1220=phu!$I$21),"Cam Phúc Bắc",""),IF(OR(M1220=phu!$I$22,M1220=phu!$I$23,M1220=phu!$I$24,M1220=phu!$I$25),"Cam Phúc Nam",""),IF(OR(M1220=phu!$I$26,M1220=phu!$I$27,M1220=phu!$I$28,M1220=phu!$I$29,M1220=phu!$I$30,M1220=phu!$I$31),"Cam Phú",""),IF(OR(M1220=phu!$I$32,M1220=phu!$I$33,M1220=phu!$I$34,M1220=phu!$I$35,M1220=phu!$I$36,M1220=phu!$I$37),"Cam Lộc",""),IF(OR(M1220=phu!$I$38,M1220=phu!$I$39,M1220=phu!$I$40,M1220=phu!$I$41,M1220=phu!$I$42,M1220=phu!$I$43,M1220=phu!$I$44),"Cam Thuận",""),IF(OR(M1220=phu!$I$45,M1220=phu!$I$46,M1220=phu!$I$47,M1220=phu!$I$48,M1220=phu!$I$49,M1220=phu!$I$50,M1220=phu!$I$51,M1220=phu!$I$52,M1220=phu!$I$53),"Cam Linh",""),IF(OR(M1220=phu!$I$54,M1220=phu!$I$55,M1220=phu!$I$56,M1220=phu!$I$57,M1220=phu!$I$58,M1220=phu!$I$59,M1220=phu!$I$60,M1220=phu!$I$61,M1220=phu!$I$62),"Cam Lợi",""),IF(OR(M1220=phu!$I$63,M1220=phu!$I$64,M1220=phu!$I$65,M1220=phu!$I$66,M1220=phu!$I$67,M1220=phu!$I$68,M1220=phu!$I$69,M1220=phu!$I$70,M1220=phu!$I$71),"Ba Ngòi",""),IF(OR(M1220=phu!$I$72,M1220=phu!$I$73,M1220=phu!$I$74,M1220=phu!$I$75,M1220=phu!$I$76,M1220=phu!$I$77,M1220=phu!$I$78),"Cam Phước Đông",""),IF(OR(M1220=phu!$I$79,M1220=phu!$I$80,M1220=phu!$I$81,M1220=phu!$I$82,M1220=phu!$I$83,M1220=phu!$I$84),"Cam Thịnh Đông",""),IF(OR(M1220=phu!$I$85,M1220=phu!$I$86,M1220=phu!$I$87,M1220=phu!$I$88),"Cam Thịnh Tây",""),IF(OR(M1220=phu!$I$89,M1220=phu!$I$90),"Cam Lập",""),IF(OR(M1220=phu!$I$91,M1220=phu!$I$92,M1220=phu!$I$93),"Cam Bình",""),IF(OR(M1220=phu!$I$94,M1220=phu!$I$95,M1220=phu!$I$96,M1220=phu!$I$97,M1220=phu!$I$98,M1220=phu!$I$99,M1220=phu!$I$100),"Huyện khác",""),IF(OR(M1220=phu!$I$101,M1220=phu!$I$102),"Tỉnh khác",""))</f>
        <v/>
      </c>
      <c r="O1220" s="814" t="str">
        <f t="shared" si="109"/>
        <v/>
      </c>
      <c r="P1220" s="254"/>
      <c r="Q1220" s="254"/>
      <c r="R1220" s="254"/>
      <c r="S1220" s="254"/>
      <c r="T1220" s="254"/>
      <c r="U1220" s="254"/>
      <c r="V1220" s="254"/>
      <c r="W1220" s="254"/>
      <c r="Y1220" s="246" t="str">
        <f t="shared" si="110"/>
        <v/>
      </c>
      <c r="Z1220" s="247" t="str">
        <f t="shared" si="108"/>
        <v/>
      </c>
      <c r="AA1220" s="246" t="str">
        <f t="shared" si="111"/>
        <v/>
      </c>
    </row>
    <row r="1221" spans="1:27" x14ac:dyDescent="0.25">
      <c r="A1221" s="248" t="str">
        <f t="shared" si="112"/>
        <v/>
      </c>
      <c r="B1221" s="249" t="str">
        <f t="shared" si="113"/>
        <v/>
      </c>
      <c r="C1221" s="250"/>
      <c r="D1221" s="251"/>
      <c r="E1221" s="241"/>
      <c r="F1221" s="252"/>
      <c r="G1221" s="252"/>
      <c r="H1221" s="253"/>
      <c r="I1221" s="250"/>
      <c r="J1221" s="250"/>
      <c r="K1221" s="270"/>
      <c r="L1221" s="250"/>
      <c r="M1221" s="250"/>
      <c r="N1221" s="553" t="str">
        <f>CONCATENATE(IF(OR(M1221=phu!$I$1,M1221=phu!$I$2,M1221=phu!$I$3),"Cam Thành Nam",""),IF(OR(M1221=phu!$I$4,M1221=phu!$I$5,M1221=phu!$I$6,M1221=phu!$I$7,M1221=phu!$I$8,M1221=phu!$I$9,M1221=phu!$I$10,M1221=phu!$I$11,M1221=phu!$I$12,M1221=phu!$I$13,M1221=phu!$I$14),"Cam Nghĩa",""),IF(OR(M1221=phu!$I$15,M1221=phu!$I$16,M1221=phu!$I$17,M1221=phu!$I$18,M1221=phu!$I$19,M1221=phu!$I$20,M1221=phu!$I$21),"Cam Phúc Bắc",""),IF(OR(M1221=phu!$I$22,M1221=phu!$I$23,M1221=phu!$I$24,M1221=phu!$I$25),"Cam Phúc Nam",""),IF(OR(M1221=phu!$I$26,M1221=phu!$I$27,M1221=phu!$I$28,M1221=phu!$I$29,M1221=phu!$I$30,M1221=phu!$I$31),"Cam Phú",""),IF(OR(M1221=phu!$I$32,M1221=phu!$I$33,M1221=phu!$I$34,M1221=phu!$I$35,M1221=phu!$I$36,M1221=phu!$I$37),"Cam Lộc",""),IF(OR(M1221=phu!$I$38,M1221=phu!$I$39,M1221=phu!$I$40,M1221=phu!$I$41,M1221=phu!$I$42,M1221=phu!$I$43,M1221=phu!$I$44),"Cam Thuận",""),IF(OR(M1221=phu!$I$45,M1221=phu!$I$46,M1221=phu!$I$47,M1221=phu!$I$48,M1221=phu!$I$49,M1221=phu!$I$50,M1221=phu!$I$51,M1221=phu!$I$52,M1221=phu!$I$53),"Cam Linh",""),IF(OR(M1221=phu!$I$54,M1221=phu!$I$55,M1221=phu!$I$56,M1221=phu!$I$57,M1221=phu!$I$58,M1221=phu!$I$59,M1221=phu!$I$60,M1221=phu!$I$61,M1221=phu!$I$62),"Cam Lợi",""),IF(OR(M1221=phu!$I$63,M1221=phu!$I$64,M1221=phu!$I$65,M1221=phu!$I$66,M1221=phu!$I$67,M1221=phu!$I$68,M1221=phu!$I$69,M1221=phu!$I$70,M1221=phu!$I$71),"Ba Ngòi",""),IF(OR(M1221=phu!$I$72,M1221=phu!$I$73,M1221=phu!$I$74,M1221=phu!$I$75,M1221=phu!$I$76,M1221=phu!$I$77,M1221=phu!$I$78),"Cam Phước Đông",""),IF(OR(M1221=phu!$I$79,M1221=phu!$I$80,M1221=phu!$I$81,M1221=phu!$I$82,M1221=phu!$I$83,M1221=phu!$I$84),"Cam Thịnh Đông",""),IF(OR(M1221=phu!$I$85,M1221=phu!$I$86,M1221=phu!$I$87,M1221=phu!$I$88),"Cam Thịnh Tây",""),IF(OR(M1221=phu!$I$89,M1221=phu!$I$90),"Cam Lập",""),IF(OR(M1221=phu!$I$91,M1221=phu!$I$92,M1221=phu!$I$93),"Cam Bình",""),IF(OR(M1221=phu!$I$94,M1221=phu!$I$95,M1221=phu!$I$96,M1221=phu!$I$97,M1221=phu!$I$98,M1221=phu!$I$99,M1221=phu!$I$100),"Huyện khác",""),IF(OR(M1221=phu!$I$101,M1221=phu!$I$102),"Tỉnh khác",""))</f>
        <v/>
      </c>
      <c r="O1221" s="814" t="str">
        <f t="shared" si="109"/>
        <v/>
      </c>
      <c r="P1221" s="254"/>
      <c r="Q1221" s="254"/>
      <c r="R1221" s="254"/>
      <c r="S1221" s="254"/>
      <c r="T1221" s="254"/>
      <c r="U1221" s="254"/>
      <c r="V1221" s="254"/>
      <c r="W1221" s="254"/>
      <c r="Y1221" s="246" t="str">
        <f t="shared" si="110"/>
        <v/>
      </c>
      <c r="Z1221" s="247" t="str">
        <f t="shared" si="108"/>
        <v/>
      </c>
      <c r="AA1221" s="246" t="str">
        <f t="shared" si="111"/>
        <v/>
      </c>
    </row>
    <row r="1222" spans="1:27" x14ac:dyDescent="0.25">
      <c r="A1222" s="248" t="str">
        <f t="shared" si="112"/>
        <v/>
      </c>
      <c r="B1222" s="249" t="str">
        <f t="shared" si="113"/>
        <v/>
      </c>
      <c r="C1222" s="250"/>
      <c r="D1222" s="251"/>
      <c r="E1222" s="241"/>
      <c r="F1222" s="252"/>
      <c r="G1222" s="252"/>
      <c r="H1222" s="253"/>
      <c r="I1222" s="250"/>
      <c r="J1222" s="250"/>
      <c r="K1222" s="270"/>
      <c r="L1222" s="250"/>
      <c r="M1222" s="250"/>
      <c r="N1222" s="553" t="str">
        <f>CONCATENATE(IF(OR(M1222=phu!$I$1,M1222=phu!$I$2,M1222=phu!$I$3),"Cam Thành Nam",""),IF(OR(M1222=phu!$I$4,M1222=phu!$I$5,M1222=phu!$I$6,M1222=phu!$I$7,M1222=phu!$I$8,M1222=phu!$I$9,M1222=phu!$I$10,M1222=phu!$I$11,M1222=phu!$I$12,M1222=phu!$I$13,M1222=phu!$I$14),"Cam Nghĩa",""),IF(OR(M1222=phu!$I$15,M1222=phu!$I$16,M1222=phu!$I$17,M1222=phu!$I$18,M1222=phu!$I$19,M1222=phu!$I$20,M1222=phu!$I$21),"Cam Phúc Bắc",""),IF(OR(M1222=phu!$I$22,M1222=phu!$I$23,M1222=phu!$I$24,M1222=phu!$I$25),"Cam Phúc Nam",""),IF(OR(M1222=phu!$I$26,M1222=phu!$I$27,M1222=phu!$I$28,M1222=phu!$I$29,M1222=phu!$I$30,M1222=phu!$I$31),"Cam Phú",""),IF(OR(M1222=phu!$I$32,M1222=phu!$I$33,M1222=phu!$I$34,M1222=phu!$I$35,M1222=phu!$I$36,M1222=phu!$I$37),"Cam Lộc",""),IF(OR(M1222=phu!$I$38,M1222=phu!$I$39,M1222=phu!$I$40,M1222=phu!$I$41,M1222=phu!$I$42,M1222=phu!$I$43,M1222=phu!$I$44),"Cam Thuận",""),IF(OR(M1222=phu!$I$45,M1222=phu!$I$46,M1222=phu!$I$47,M1222=phu!$I$48,M1222=phu!$I$49,M1222=phu!$I$50,M1222=phu!$I$51,M1222=phu!$I$52,M1222=phu!$I$53),"Cam Linh",""),IF(OR(M1222=phu!$I$54,M1222=phu!$I$55,M1222=phu!$I$56,M1222=phu!$I$57,M1222=phu!$I$58,M1222=phu!$I$59,M1222=phu!$I$60,M1222=phu!$I$61,M1222=phu!$I$62),"Cam Lợi",""),IF(OR(M1222=phu!$I$63,M1222=phu!$I$64,M1222=phu!$I$65,M1222=phu!$I$66,M1222=phu!$I$67,M1222=phu!$I$68,M1222=phu!$I$69,M1222=phu!$I$70,M1222=phu!$I$71),"Ba Ngòi",""),IF(OR(M1222=phu!$I$72,M1222=phu!$I$73,M1222=phu!$I$74,M1222=phu!$I$75,M1222=phu!$I$76,M1222=phu!$I$77,M1222=phu!$I$78),"Cam Phước Đông",""),IF(OR(M1222=phu!$I$79,M1222=phu!$I$80,M1222=phu!$I$81,M1222=phu!$I$82,M1222=phu!$I$83,M1222=phu!$I$84),"Cam Thịnh Đông",""),IF(OR(M1222=phu!$I$85,M1222=phu!$I$86,M1222=phu!$I$87,M1222=phu!$I$88),"Cam Thịnh Tây",""),IF(OR(M1222=phu!$I$89,M1222=phu!$I$90),"Cam Lập",""),IF(OR(M1222=phu!$I$91,M1222=phu!$I$92,M1222=phu!$I$93),"Cam Bình",""),IF(OR(M1222=phu!$I$94,M1222=phu!$I$95,M1222=phu!$I$96,M1222=phu!$I$97,M1222=phu!$I$98,M1222=phu!$I$99,M1222=phu!$I$100),"Huyện khác",""),IF(OR(M1222=phu!$I$101,M1222=phu!$I$102),"Tỉnh khác",""))</f>
        <v/>
      </c>
      <c r="O1222" s="814" t="str">
        <f t="shared" si="109"/>
        <v/>
      </c>
      <c r="P1222" s="254"/>
      <c r="Q1222" s="254"/>
      <c r="R1222" s="254"/>
      <c r="S1222" s="254"/>
      <c r="T1222" s="254"/>
      <c r="U1222" s="254"/>
      <c r="V1222" s="254"/>
      <c r="W1222" s="254"/>
      <c r="Y1222" s="246" t="str">
        <f t="shared" si="110"/>
        <v/>
      </c>
      <c r="Z1222" s="247" t="str">
        <f t="shared" ref="Z1222:Z1285" si="114">IF(H1222="","",$Z$1-H1222)</f>
        <v/>
      </c>
      <c r="AA1222" s="246" t="str">
        <f t="shared" si="111"/>
        <v/>
      </c>
    </row>
    <row r="1223" spans="1:27" x14ac:dyDescent="0.25">
      <c r="A1223" s="248" t="str">
        <f t="shared" si="112"/>
        <v/>
      </c>
      <c r="B1223" s="249" t="str">
        <f t="shared" si="113"/>
        <v/>
      </c>
      <c r="C1223" s="250"/>
      <c r="D1223" s="251"/>
      <c r="E1223" s="241"/>
      <c r="F1223" s="252"/>
      <c r="G1223" s="252"/>
      <c r="H1223" s="253"/>
      <c r="I1223" s="250"/>
      <c r="J1223" s="250"/>
      <c r="K1223" s="270"/>
      <c r="L1223" s="250"/>
      <c r="M1223" s="250"/>
      <c r="N1223" s="553" t="str">
        <f>CONCATENATE(IF(OR(M1223=phu!$I$1,M1223=phu!$I$2,M1223=phu!$I$3),"Cam Thành Nam",""),IF(OR(M1223=phu!$I$4,M1223=phu!$I$5,M1223=phu!$I$6,M1223=phu!$I$7,M1223=phu!$I$8,M1223=phu!$I$9,M1223=phu!$I$10,M1223=phu!$I$11,M1223=phu!$I$12,M1223=phu!$I$13,M1223=phu!$I$14),"Cam Nghĩa",""),IF(OR(M1223=phu!$I$15,M1223=phu!$I$16,M1223=phu!$I$17,M1223=phu!$I$18,M1223=phu!$I$19,M1223=phu!$I$20,M1223=phu!$I$21),"Cam Phúc Bắc",""),IF(OR(M1223=phu!$I$22,M1223=phu!$I$23,M1223=phu!$I$24,M1223=phu!$I$25),"Cam Phúc Nam",""),IF(OR(M1223=phu!$I$26,M1223=phu!$I$27,M1223=phu!$I$28,M1223=phu!$I$29,M1223=phu!$I$30,M1223=phu!$I$31),"Cam Phú",""),IF(OR(M1223=phu!$I$32,M1223=phu!$I$33,M1223=phu!$I$34,M1223=phu!$I$35,M1223=phu!$I$36,M1223=phu!$I$37),"Cam Lộc",""),IF(OR(M1223=phu!$I$38,M1223=phu!$I$39,M1223=phu!$I$40,M1223=phu!$I$41,M1223=phu!$I$42,M1223=phu!$I$43,M1223=phu!$I$44),"Cam Thuận",""),IF(OR(M1223=phu!$I$45,M1223=phu!$I$46,M1223=phu!$I$47,M1223=phu!$I$48,M1223=phu!$I$49,M1223=phu!$I$50,M1223=phu!$I$51,M1223=phu!$I$52,M1223=phu!$I$53),"Cam Linh",""),IF(OR(M1223=phu!$I$54,M1223=phu!$I$55,M1223=phu!$I$56,M1223=phu!$I$57,M1223=phu!$I$58,M1223=phu!$I$59,M1223=phu!$I$60,M1223=phu!$I$61,M1223=phu!$I$62),"Cam Lợi",""),IF(OR(M1223=phu!$I$63,M1223=phu!$I$64,M1223=phu!$I$65,M1223=phu!$I$66,M1223=phu!$I$67,M1223=phu!$I$68,M1223=phu!$I$69,M1223=phu!$I$70,M1223=phu!$I$71),"Ba Ngòi",""),IF(OR(M1223=phu!$I$72,M1223=phu!$I$73,M1223=phu!$I$74,M1223=phu!$I$75,M1223=phu!$I$76,M1223=phu!$I$77,M1223=phu!$I$78),"Cam Phước Đông",""),IF(OR(M1223=phu!$I$79,M1223=phu!$I$80,M1223=phu!$I$81,M1223=phu!$I$82,M1223=phu!$I$83,M1223=phu!$I$84),"Cam Thịnh Đông",""),IF(OR(M1223=phu!$I$85,M1223=phu!$I$86,M1223=phu!$I$87,M1223=phu!$I$88),"Cam Thịnh Tây",""),IF(OR(M1223=phu!$I$89,M1223=phu!$I$90),"Cam Lập",""),IF(OR(M1223=phu!$I$91,M1223=phu!$I$92,M1223=phu!$I$93),"Cam Bình",""),IF(OR(M1223=phu!$I$94,M1223=phu!$I$95,M1223=phu!$I$96,M1223=phu!$I$97,M1223=phu!$I$98,M1223=phu!$I$99,M1223=phu!$I$100),"Huyện khác",""),IF(OR(M1223=phu!$I$101,M1223=phu!$I$102),"Tỉnh khác",""))</f>
        <v/>
      </c>
      <c r="O1223" s="814" t="str">
        <f t="shared" ref="O1223:O1286" si="115">CONCATENATE(IF(OR(N1223="Cam Thành Nam",N1223="Cam Nghĩa",N1223="Cam Phúc Bắc"),"Bắc Cam Ranh",""),IF(OR(N1223="Cam Phúc Nam",N1223="Cam Phú",N1223="Cam Lộc"),"Cam Ranh",""),IF(OR(N1223="Cam Thuận",N1223="Cam Linh",N1223="Cam Lợi"),"Cam Linh",""),IF(OR(N1223="Ba Ngòi",N1223="Cam Phước Đông"),"Ba Ngòi",""),IF(OR(N1223="Cam Thịnh Đông",N1223="Cam Thịnh Tây",N1223="Cam Lập",N1223="Cam Bình"),"Nam Cam Ranh",""),IF(N1223="Huyện khác","Huyện khác",""),IF(N1223="Tỉnh khác","Tỉnh khác",""))</f>
        <v/>
      </c>
      <c r="P1223" s="254"/>
      <c r="Q1223" s="254"/>
      <c r="R1223" s="254"/>
      <c r="S1223" s="254"/>
      <c r="T1223" s="254"/>
      <c r="U1223" s="254"/>
      <c r="V1223" s="254"/>
      <c r="W1223" s="254"/>
      <c r="Y1223" s="246" t="str">
        <f t="shared" ref="Y1223:Y1286" si="116">IF(OR(AND(B1223="",C1223="",D1223="",E1223="",F1223="",G1223="",H1223="",I1223="",J1223="",L1223="",M1223="",N1223="",P1223="",Q1223="",R1223="",S1223=""),AND(B1223&lt;&gt;"",C1223&lt;&gt;"",D1223&lt;&gt;"",E1223&lt;&gt;"",F1223&lt;&gt;"",G1223&lt;&gt;"",H1223&lt;&gt;"",J1223&lt;&gt;"",M1223&lt;&gt;"",N1223&lt;&gt;"",P1223&lt;&gt;"",OR(AND(Q1223&lt;&gt;"",R1223=""),AND(Q1223="",R1223&lt;&gt;""),AND(Q1223&lt;&gt;"",R1223&lt;&gt;"")),OR(AND(K1223="X",T1223&lt;&gt;""),AND(K1223="",T1223="")))),"","er")</f>
        <v/>
      </c>
      <c r="Z1223" s="247" t="str">
        <f t="shared" si="114"/>
        <v/>
      </c>
      <c r="AA1223" s="246" t="str">
        <f t="shared" ref="AA1223:AA1286" si="117">IF(OR(AND(Z1223=5,B1223&gt;0),AND(Z1223=6,B1223&gt;1),AND(Z1223=7,B1223&gt;2),AND(Z1223=8,B1223&gt;3),AND(Z1223=9,B1223&gt;4),AND(Z1223=10,B1223&gt;5),AND(Z1223=5,B1223=0,L1223="X"),AND(Z1223=6,B1223=1,L1223="X"),AND(Z1223=7,B1223=2,L1223="X"),AND(Z1223=8,B1223=3,L1223="X"),AND(Z1223=9,B1223=4,L1223="X"),AND(Z1223=10,B1223=5,L1223="X")),"er","")</f>
        <v/>
      </c>
    </row>
    <row r="1224" spans="1:27" x14ac:dyDescent="0.25">
      <c r="A1224" s="248" t="str">
        <f t="shared" ref="A1224:A1287" si="118">IF(OR(A1223="",B1224="",C1224="",D1224="",E1224=""),"",A1223+1)</f>
        <v/>
      </c>
      <c r="B1224" s="249" t="str">
        <f t="shared" ref="B1224:B1287" si="119">IF(C1224="","",VALUE(LEFT(C1224,1)))</f>
        <v/>
      </c>
      <c r="C1224" s="250"/>
      <c r="D1224" s="251"/>
      <c r="E1224" s="241"/>
      <c r="F1224" s="252"/>
      <c r="G1224" s="252"/>
      <c r="H1224" s="253"/>
      <c r="I1224" s="250"/>
      <c r="J1224" s="250"/>
      <c r="K1224" s="270"/>
      <c r="L1224" s="250"/>
      <c r="M1224" s="250"/>
      <c r="N1224" s="553" t="str">
        <f>CONCATENATE(IF(OR(M1224=phu!$I$1,M1224=phu!$I$2,M1224=phu!$I$3),"Cam Thành Nam",""),IF(OR(M1224=phu!$I$4,M1224=phu!$I$5,M1224=phu!$I$6,M1224=phu!$I$7,M1224=phu!$I$8,M1224=phu!$I$9,M1224=phu!$I$10,M1224=phu!$I$11,M1224=phu!$I$12,M1224=phu!$I$13,M1224=phu!$I$14),"Cam Nghĩa",""),IF(OR(M1224=phu!$I$15,M1224=phu!$I$16,M1224=phu!$I$17,M1224=phu!$I$18,M1224=phu!$I$19,M1224=phu!$I$20,M1224=phu!$I$21),"Cam Phúc Bắc",""),IF(OR(M1224=phu!$I$22,M1224=phu!$I$23,M1224=phu!$I$24,M1224=phu!$I$25),"Cam Phúc Nam",""),IF(OR(M1224=phu!$I$26,M1224=phu!$I$27,M1224=phu!$I$28,M1224=phu!$I$29,M1224=phu!$I$30,M1224=phu!$I$31),"Cam Phú",""),IF(OR(M1224=phu!$I$32,M1224=phu!$I$33,M1224=phu!$I$34,M1224=phu!$I$35,M1224=phu!$I$36,M1224=phu!$I$37),"Cam Lộc",""),IF(OR(M1224=phu!$I$38,M1224=phu!$I$39,M1224=phu!$I$40,M1224=phu!$I$41,M1224=phu!$I$42,M1224=phu!$I$43,M1224=phu!$I$44),"Cam Thuận",""),IF(OR(M1224=phu!$I$45,M1224=phu!$I$46,M1224=phu!$I$47,M1224=phu!$I$48,M1224=phu!$I$49,M1224=phu!$I$50,M1224=phu!$I$51,M1224=phu!$I$52,M1224=phu!$I$53),"Cam Linh",""),IF(OR(M1224=phu!$I$54,M1224=phu!$I$55,M1224=phu!$I$56,M1224=phu!$I$57,M1224=phu!$I$58,M1224=phu!$I$59,M1224=phu!$I$60,M1224=phu!$I$61,M1224=phu!$I$62),"Cam Lợi",""),IF(OR(M1224=phu!$I$63,M1224=phu!$I$64,M1224=phu!$I$65,M1224=phu!$I$66,M1224=phu!$I$67,M1224=phu!$I$68,M1224=phu!$I$69,M1224=phu!$I$70,M1224=phu!$I$71),"Ba Ngòi",""),IF(OR(M1224=phu!$I$72,M1224=phu!$I$73,M1224=phu!$I$74,M1224=phu!$I$75,M1224=phu!$I$76,M1224=phu!$I$77,M1224=phu!$I$78),"Cam Phước Đông",""),IF(OR(M1224=phu!$I$79,M1224=phu!$I$80,M1224=phu!$I$81,M1224=phu!$I$82,M1224=phu!$I$83,M1224=phu!$I$84),"Cam Thịnh Đông",""),IF(OR(M1224=phu!$I$85,M1224=phu!$I$86,M1224=phu!$I$87,M1224=phu!$I$88),"Cam Thịnh Tây",""),IF(OR(M1224=phu!$I$89,M1224=phu!$I$90),"Cam Lập",""),IF(OR(M1224=phu!$I$91,M1224=phu!$I$92,M1224=phu!$I$93),"Cam Bình",""),IF(OR(M1224=phu!$I$94,M1224=phu!$I$95,M1224=phu!$I$96,M1224=phu!$I$97,M1224=phu!$I$98,M1224=phu!$I$99,M1224=phu!$I$100),"Huyện khác",""),IF(OR(M1224=phu!$I$101,M1224=phu!$I$102),"Tỉnh khác",""))</f>
        <v/>
      </c>
      <c r="O1224" s="814" t="str">
        <f t="shared" si="115"/>
        <v/>
      </c>
      <c r="P1224" s="254"/>
      <c r="Q1224" s="254"/>
      <c r="R1224" s="254"/>
      <c r="S1224" s="254"/>
      <c r="T1224" s="254"/>
      <c r="U1224" s="254"/>
      <c r="V1224" s="254"/>
      <c r="W1224" s="254"/>
      <c r="Y1224" s="246" t="str">
        <f t="shared" si="116"/>
        <v/>
      </c>
      <c r="Z1224" s="247" t="str">
        <f t="shared" si="114"/>
        <v/>
      </c>
      <c r="AA1224" s="246" t="str">
        <f t="shared" si="117"/>
        <v/>
      </c>
    </row>
    <row r="1225" spans="1:27" x14ac:dyDescent="0.25">
      <c r="A1225" s="248" t="str">
        <f t="shared" si="118"/>
        <v/>
      </c>
      <c r="B1225" s="249" t="str">
        <f t="shared" si="119"/>
        <v/>
      </c>
      <c r="C1225" s="250"/>
      <c r="D1225" s="251"/>
      <c r="E1225" s="241"/>
      <c r="F1225" s="252"/>
      <c r="G1225" s="252"/>
      <c r="H1225" s="253"/>
      <c r="I1225" s="250"/>
      <c r="J1225" s="250"/>
      <c r="K1225" s="270"/>
      <c r="L1225" s="250"/>
      <c r="M1225" s="250"/>
      <c r="N1225" s="553" t="str">
        <f>CONCATENATE(IF(OR(M1225=phu!$I$1,M1225=phu!$I$2,M1225=phu!$I$3),"Cam Thành Nam",""),IF(OR(M1225=phu!$I$4,M1225=phu!$I$5,M1225=phu!$I$6,M1225=phu!$I$7,M1225=phu!$I$8,M1225=phu!$I$9,M1225=phu!$I$10,M1225=phu!$I$11,M1225=phu!$I$12,M1225=phu!$I$13,M1225=phu!$I$14),"Cam Nghĩa",""),IF(OR(M1225=phu!$I$15,M1225=phu!$I$16,M1225=phu!$I$17,M1225=phu!$I$18,M1225=phu!$I$19,M1225=phu!$I$20,M1225=phu!$I$21),"Cam Phúc Bắc",""),IF(OR(M1225=phu!$I$22,M1225=phu!$I$23,M1225=phu!$I$24,M1225=phu!$I$25),"Cam Phúc Nam",""),IF(OR(M1225=phu!$I$26,M1225=phu!$I$27,M1225=phu!$I$28,M1225=phu!$I$29,M1225=phu!$I$30,M1225=phu!$I$31),"Cam Phú",""),IF(OR(M1225=phu!$I$32,M1225=phu!$I$33,M1225=phu!$I$34,M1225=phu!$I$35,M1225=phu!$I$36,M1225=phu!$I$37),"Cam Lộc",""),IF(OR(M1225=phu!$I$38,M1225=phu!$I$39,M1225=phu!$I$40,M1225=phu!$I$41,M1225=phu!$I$42,M1225=phu!$I$43,M1225=phu!$I$44),"Cam Thuận",""),IF(OR(M1225=phu!$I$45,M1225=phu!$I$46,M1225=phu!$I$47,M1225=phu!$I$48,M1225=phu!$I$49,M1225=phu!$I$50,M1225=phu!$I$51,M1225=phu!$I$52,M1225=phu!$I$53),"Cam Linh",""),IF(OR(M1225=phu!$I$54,M1225=phu!$I$55,M1225=phu!$I$56,M1225=phu!$I$57,M1225=phu!$I$58,M1225=phu!$I$59,M1225=phu!$I$60,M1225=phu!$I$61,M1225=phu!$I$62),"Cam Lợi",""),IF(OR(M1225=phu!$I$63,M1225=phu!$I$64,M1225=phu!$I$65,M1225=phu!$I$66,M1225=phu!$I$67,M1225=phu!$I$68,M1225=phu!$I$69,M1225=phu!$I$70,M1225=phu!$I$71),"Ba Ngòi",""),IF(OR(M1225=phu!$I$72,M1225=phu!$I$73,M1225=phu!$I$74,M1225=phu!$I$75,M1225=phu!$I$76,M1225=phu!$I$77,M1225=phu!$I$78),"Cam Phước Đông",""),IF(OR(M1225=phu!$I$79,M1225=phu!$I$80,M1225=phu!$I$81,M1225=phu!$I$82,M1225=phu!$I$83,M1225=phu!$I$84),"Cam Thịnh Đông",""),IF(OR(M1225=phu!$I$85,M1225=phu!$I$86,M1225=phu!$I$87,M1225=phu!$I$88),"Cam Thịnh Tây",""),IF(OR(M1225=phu!$I$89,M1225=phu!$I$90),"Cam Lập",""),IF(OR(M1225=phu!$I$91,M1225=phu!$I$92,M1225=phu!$I$93),"Cam Bình",""),IF(OR(M1225=phu!$I$94,M1225=phu!$I$95,M1225=phu!$I$96,M1225=phu!$I$97,M1225=phu!$I$98,M1225=phu!$I$99,M1225=phu!$I$100),"Huyện khác",""),IF(OR(M1225=phu!$I$101,M1225=phu!$I$102),"Tỉnh khác",""))</f>
        <v/>
      </c>
      <c r="O1225" s="814" t="str">
        <f t="shared" si="115"/>
        <v/>
      </c>
      <c r="P1225" s="254"/>
      <c r="Q1225" s="254"/>
      <c r="R1225" s="254"/>
      <c r="S1225" s="254"/>
      <c r="T1225" s="254"/>
      <c r="U1225" s="254"/>
      <c r="V1225" s="254"/>
      <c r="W1225" s="254"/>
      <c r="Y1225" s="246" t="str">
        <f t="shared" si="116"/>
        <v/>
      </c>
      <c r="Z1225" s="247" t="str">
        <f t="shared" si="114"/>
        <v/>
      </c>
      <c r="AA1225" s="246" t="str">
        <f t="shared" si="117"/>
        <v/>
      </c>
    </row>
    <row r="1226" spans="1:27" x14ac:dyDescent="0.25">
      <c r="A1226" s="248" t="str">
        <f t="shared" si="118"/>
        <v/>
      </c>
      <c r="B1226" s="249" t="str">
        <f t="shared" si="119"/>
        <v/>
      </c>
      <c r="C1226" s="250"/>
      <c r="D1226" s="251"/>
      <c r="E1226" s="241"/>
      <c r="F1226" s="252"/>
      <c r="G1226" s="252"/>
      <c r="H1226" s="253"/>
      <c r="I1226" s="250"/>
      <c r="J1226" s="250"/>
      <c r="K1226" s="270"/>
      <c r="L1226" s="250"/>
      <c r="M1226" s="250"/>
      <c r="N1226" s="553" t="str">
        <f>CONCATENATE(IF(OR(M1226=phu!$I$1,M1226=phu!$I$2,M1226=phu!$I$3),"Cam Thành Nam",""),IF(OR(M1226=phu!$I$4,M1226=phu!$I$5,M1226=phu!$I$6,M1226=phu!$I$7,M1226=phu!$I$8,M1226=phu!$I$9,M1226=phu!$I$10,M1226=phu!$I$11,M1226=phu!$I$12,M1226=phu!$I$13,M1226=phu!$I$14),"Cam Nghĩa",""),IF(OR(M1226=phu!$I$15,M1226=phu!$I$16,M1226=phu!$I$17,M1226=phu!$I$18,M1226=phu!$I$19,M1226=phu!$I$20,M1226=phu!$I$21),"Cam Phúc Bắc",""),IF(OR(M1226=phu!$I$22,M1226=phu!$I$23,M1226=phu!$I$24,M1226=phu!$I$25),"Cam Phúc Nam",""),IF(OR(M1226=phu!$I$26,M1226=phu!$I$27,M1226=phu!$I$28,M1226=phu!$I$29,M1226=phu!$I$30,M1226=phu!$I$31),"Cam Phú",""),IF(OR(M1226=phu!$I$32,M1226=phu!$I$33,M1226=phu!$I$34,M1226=phu!$I$35,M1226=phu!$I$36,M1226=phu!$I$37),"Cam Lộc",""),IF(OR(M1226=phu!$I$38,M1226=phu!$I$39,M1226=phu!$I$40,M1226=phu!$I$41,M1226=phu!$I$42,M1226=phu!$I$43,M1226=phu!$I$44),"Cam Thuận",""),IF(OR(M1226=phu!$I$45,M1226=phu!$I$46,M1226=phu!$I$47,M1226=phu!$I$48,M1226=phu!$I$49,M1226=phu!$I$50,M1226=phu!$I$51,M1226=phu!$I$52,M1226=phu!$I$53),"Cam Linh",""),IF(OR(M1226=phu!$I$54,M1226=phu!$I$55,M1226=phu!$I$56,M1226=phu!$I$57,M1226=phu!$I$58,M1226=phu!$I$59,M1226=phu!$I$60,M1226=phu!$I$61,M1226=phu!$I$62),"Cam Lợi",""),IF(OR(M1226=phu!$I$63,M1226=phu!$I$64,M1226=phu!$I$65,M1226=phu!$I$66,M1226=phu!$I$67,M1226=phu!$I$68,M1226=phu!$I$69,M1226=phu!$I$70,M1226=phu!$I$71),"Ba Ngòi",""),IF(OR(M1226=phu!$I$72,M1226=phu!$I$73,M1226=phu!$I$74,M1226=phu!$I$75,M1226=phu!$I$76,M1226=phu!$I$77,M1226=phu!$I$78),"Cam Phước Đông",""),IF(OR(M1226=phu!$I$79,M1226=phu!$I$80,M1226=phu!$I$81,M1226=phu!$I$82,M1226=phu!$I$83,M1226=phu!$I$84),"Cam Thịnh Đông",""),IF(OR(M1226=phu!$I$85,M1226=phu!$I$86,M1226=phu!$I$87,M1226=phu!$I$88),"Cam Thịnh Tây",""),IF(OR(M1226=phu!$I$89,M1226=phu!$I$90),"Cam Lập",""),IF(OR(M1226=phu!$I$91,M1226=phu!$I$92,M1226=phu!$I$93),"Cam Bình",""),IF(OR(M1226=phu!$I$94,M1226=phu!$I$95,M1226=phu!$I$96,M1226=phu!$I$97,M1226=phu!$I$98,M1226=phu!$I$99,M1226=phu!$I$100),"Huyện khác",""),IF(OR(M1226=phu!$I$101,M1226=phu!$I$102),"Tỉnh khác",""))</f>
        <v/>
      </c>
      <c r="O1226" s="814" t="str">
        <f t="shared" si="115"/>
        <v/>
      </c>
      <c r="P1226" s="254"/>
      <c r="Q1226" s="254"/>
      <c r="R1226" s="254"/>
      <c r="S1226" s="254"/>
      <c r="T1226" s="254"/>
      <c r="U1226" s="254"/>
      <c r="V1226" s="254"/>
      <c r="W1226" s="254"/>
      <c r="Y1226" s="246" t="str">
        <f t="shared" si="116"/>
        <v/>
      </c>
      <c r="Z1226" s="247" t="str">
        <f t="shared" si="114"/>
        <v/>
      </c>
      <c r="AA1226" s="246" t="str">
        <f t="shared" si="117"/>
        <v/>
      </c>
    </row>
    <row r="1227" spans="1:27" x14ac:dyDescent="0.25">
      <c r="A1227" s="248" t="str">
        <f t="shared" si="118"/>
        <v/>
      </c>
      <c r="B1227" s="249" t="str">
        <f t="shared" si="119"/>
        <v/>
      </c>
      <c r="C1227" s="250"/>
      <c r="D1227" s="251"/>
      <c r="E1227" s="241"/>
      <c r="F1227" s="252"/>
      <c r="G1227" s="252"/>
      <c r="H1227" s="253"/>
      <c r="I1227" s="250"/>
      <c r="J1227" s="250"/>
      <c r="K1227" s="270"/>
      <c r="L1227" s="250"/>
      <c r="M1227" s="250"/>
      <c r="N1227" s="553" t="str">
        <f>CONCATENATE(IF(OR(M1227=phu!$I$1,M1227=phu!$I$2,M1227=phu!$I$3),"Cam Thành Nam",""),IF(OR(M1227=phu!$I$4,M1227=phu!$I$5,M1227=phu!$I$6,M1227=phu!$I$7,M1227=phu!$I$8,M1227=phu!$I$9,M1227=phu!$I$10,M1227=phu!$I$11,M1227=phu!$I$12,M1227=phu!$I$13,M1227=phu!$I$14),"Cam Nghĩa",""),IF(OR(M1227=phu!$I$15,M1227=phu!$I$16,M1227=phu!$I$17,M1227=phu!$I$18,M1227=phu!$I$19,M1227=phu!$I$20,M1227=phu!$I$21),"Cam Phúc Bắc",""),IF(OR(M1227=phu!$I$22,M1227=phu!$I$23,M1227=phu!$I$24,M1227=phu!$I$25),"Cam Phúc Nam",""),IF(OR(M1227=phu!$I$26,M1227=phu!$I$27,M1227=phu!$I$28,M1227=phu!$I$29,M1227=phu!$I$30,M1227=phu!$I$31),"Cam Phú",""),IF(OR(M1227=phu!$I$32,M1227=phu!$I$33,M1227=phu!$I$34,M1227=phu!$I$35,M1227=phu!$I$36,M1227=phu!$I$37),"Cam Lộc",""),IF(OR(M1227=phu!$I$38,M1227=phu!$I$39,M1227=phu!$I$40,M1227=phu!$I$41,M1227=phu!$I$42,M1227=phu!$I$43,M1227=phu!$I$44),"Cam Thuận",""),IF(OR(M1227=phu!$I$45,M1227=phu!$I$46,M1227=phu!$I$47,M1227=phu!$I$48,M1227=phu!$I$49,M1227=phu!$I$50,M1227=phu!$I$51,M1227=phu!$I$52,M1227=phu!$I$53),"Cam Linh",""),IF(OR(M1227=phu!$I$54,M1227=phu!$I$55,M1227=phu!$I$56,M1227=phu!$I$57,M1227=phu!$I$58,M1227=phu!$I$59,M1227=phu!$I$60,M1227=phu!$I$61,M1227=phu!$I$62),"Cam Lợi",""),IF(OR(M1227=phu!$I$63,M1227=phu!$I$64,M1227=phu!$I$65,M1227=phu!$I$66,M1227=phu!$I$67,M1227=phu!$I$68,M1227=phu!$I$69,M1227=phu!$I$70,M1227=phu!$I$71),"Ba Ngòi",""),IF(OR(M1227=phu!$I$72,M1227=phu!$I$73,M1227=phu!$I$74,M1227=phu!$I$75,M1227=phu!$I$76,M1227=phu!$I$77,M1227=phu!$I$78),"Cam Phước Đông",""),IF(OR(M1227=phu!$I$79,M1227=phu!$I$80,M1227=phu!$I$81,M1227=phu!$I$82,M1227=phu!$I$83,M1227=phu!$I$84),"Cam Thịnh Đông",""),IF(OR(M1227=phu!$I$85,M1227=phu!$I$86,M1227=phu!$I$87,M1227=phu!$I$88),"Cam Thịnh Tây",""),IF(OR(M1227=phu!$I$89,M1227=phu!$I$90),"Cam Lập",""),IF(OR(M1227=phu!$I$91,M1227=phu!$I$92,M1227=phu!$I$93),"Cam Bình",""),IF(OR(M1227=phu!$I$94,M1227=phu!$I$95,M1227=phu!$I$96,M1227=phu!$I$97,M1227=phu!$I$98,M1227=phu!$I$99,M1227=phu!$I$100),"Huyện khác",""),IF(OR(M1227=phu!$I$101,M1227=phu!$I$102),"Tỉnh khác",""))</f>
        <v/>
      </c>
      <c r="O1227" s="814" t="str">
        <f t="shared" si="115"/>
        <v/>
      </c>
      <c r="P1227" s="254"/>
      <c r="Q1227" s="254"/>
      <c r="R1227" s="254"/>
      <c r="S1227" s="254"/>
      <c r="T1227" s="254"/>
      <c r="U1227" s="254"/>
      <c r="V1227" s="254"/>
      <c r="W1227" s="254"/>
      <c r="Y1227" s="246" t="str">
        <f t="shared" si="116"/>
        <v/>
      </c>
      <c r="Z1227" s="247" t="str">
        <f t="shared" si="114"/>
        <v/>
      </c>
      <c r="AA1227" s="246" t="str">
        <f t="shared" si="117"/>
        <v/>
      </c>
    </row>
    <row r="1228" spans="1:27" x14ac:dyDescent="0.25">
      <c r="A1228" s="248" t="str">
        <f t="shared" si="118"/>
        <v/>
      </c>
      <c r="B1228" s="249" t="str">
        <f t="shared" si="119"/>
        <v/>
      </c>
      <c r="C1228" s="250"/>
      <c r="D1228" s="251"/>
      <c r="E1228" s="241"/>
      <c r="F1228" s="252"/>
      <c r="G1228" s="252"/>
      <c r="H1228" s="253"/>
      <c r="I1228" s="250"/>
      <c r="J1228" s="250"/>
      <c r="K1228" s="270"/>
      <c r="L1228" s="250"/>
      <c r="M1228" s="250"/>
      <c r="N1228" s="553" t="str">
        <f>CONCATENATE(IF(OR(M1228=phu!$I$1,M1228=phu!$I$2,M1228=phu!$I$3),"Cam Thành Nam",""),IF(OR(M1228=phu!$I$4,M1228=phu!$I$5,M1228=phu!$I$6,M1228=phu!$I$7,M1228=phu!$I$8,M1228=phu!$I$9,M1228=phu!$I$10,M1228=phu!$I$11,M1228=phu!$I$12,M1228=phu!$I$13,M1228=phu!$I$14),"Cam Nghĩa",""),IF(OR(M1228=phu!$I$15,M1228=phu!$I$16,M1228=phu!$I$17,M1228=phu!$I$18,M1228=phu!$I$19,M1228=phu!$I$20,M1228=phu!$I$21),"Cam Phúc Bắc",""),IF(OR(M1228=phu!$I$22,M1228=phu!$I$23,M1228=phu!$I$24,M1228=phu!$I$25),"Cam Phúc Nam",""),IF(OR(M1228=phu!$I$26,M1228=phu!$I$27,M1228=phu!$I$28,M1228=phu!$I$29,M1228=phu!$I$30,M1228=phu!$I$31),"Cam Phú",""),IF(OR(M1228=phu!$I$32,M1228=phu!$I$33,M1228=phu!$I$34,M1228=phu!$I$35,M1228=phu!$I$36,M1228=phu!$I$37),"Cam Lộc",""),IF(OR(M1228=phu!$I$38,M1228=phu!$I$39,M1228=phu!$I$40,M1228=phu!$I$41,M1228=phu!$I$42,M1228=phu!$I$43,M1228=phu!$I$44),"Cam Thuận",""),IF(OR(M1228=phu!$I$45,M1228=phu!$I$46,M1228=phu!$I$47,M1228=phu!$I$48,M1228=phu!$I$49,M1228=phu!$I$50,M1228=phu!$I$51,M1228=phu!$I$52,M1228=phu!$I$53),"Cam Linh",""),IF(OR(M1228=phu!$I$54,M1228=phu!$I$55,M1228=phu!$I$56,M1228=phu!$I$57,M1228=phu!$I$58,M1228=phu!$I$59,M1228=phu!$I$60,M1228=phu!$I$61,M1228=phu!$I$62),"Cam Lợi",""),IF(OR(M1228=phu!$I$63,M1228=phu!$I$64,M1228=phu!$I$65,M1228=phu!$I$66,M1228=phu!$I$67,M1228=phu!$I$68,M1228=phu!$I$69,M1228=phu!$I$70,M1228=phu!$I$71),"Ba Ngòi",""),IF(OR(M1228=phu!$I$72,M1228=phu!$I$73,M1228=phu!$I$74,M1228=phu!$I$75,M1228=phu!$I$76,M1228=phu!$I$77,M1228=phu!$I$78),"Cam Phước Đông",""),IF(OR(M1228=phu!$I$79,M1228=phu!$I$80,M1228=phu!$I$81,M1228=phu!$I$82,M1228=phu!$I$83,M1228=phu!$I$84),"Cam Thịnh Đông",""),IF(OR(M1228=phu!$I$85,M1228=phu!$I$86,M1228=phu!$I$87,M1228=phu!$I$88),"Cam Thịnh Tây",""),IF(OR(M1228=phu!$I$89,M1228=phu!$I$90),"Cam Lập",""),IF(OR(M1228=phu!$I$91,M1228=phu!$I$92,M1228=phu!$I$93),"Cam Bình",""),IF(OR(M1228=phu!$I$94,M1228=phu!$I$95,M1228=phu!$I$96,M1228=phu!$I$97,M1228=phu!$I$98,M1228=phu!$I$99,M1228=phu!$I$100),"Huyện khác",""),IF(OR(M1228=phu!$I$101,M1228=phu!$I$102),"Tỉnh khác",""))</f>
        <v/>
      </c>
      <c r="O1228" s="814" t="str">
        <f t="shared" si="115"/>
        <v/>
      </c>
      <c r="P1228" s="254"/>
      <c r="Q1228" s="254"/>
      <c r="R1228" s="254"/>
      <c r="S1228" s="254"/>
      <c r="T1228" s="254"/>
      <c r="U1228" s="254"/>
      <c r="V1228" s="254"/>
      <c r="W1228" s="254"/>
      <c r="Y1228" s="246" t="str">
        <f t="shared" si="116"/>
        <v/>
      </c>
      <c r="Z1228" s="247" t="str">
        <f t="shared" si="114"/>
        <v/>
      </c>
      <c r="AA1228" s="246" t="str">
        <f t="shared" si="117"/>
        <v/>
      </c>
    </row>
    <row r="1229" spans="1:27" x14ac:dyDescent="0.25">
      <c r="A1229" s="248" t="str">
        <f t="shared" si="118"/>
        <v/>
      </c>
      <c r="B1229" s="249" t="str">
        <f t="shared" si="119"/>
        <v/>
      </c>
      <c r="C1229" s="250"/>
      <c r="D1229" s="251"/>
      <c r="E1229" s="241"/>
      <c r="F1229" s="252"/>
      <c r="G1229" s="252"/>
      <c r="H1229" s="253"/>
      <c r="I1229" s="250"/>
      <c r="J1229" s="250"/>
      <c r="K1229" s="270"/>
      <c r="L1229" s="250"/>
      <c r="M1229" s="250"/>
      <c r="N1229" s="553" t="str">
        <f>CONCATENATE(IF(OR(M1229=phu!$I$1,M1229=phu!$I$2,M1229=phu!$I$3),"Cam Thành Nam",""),IF(OR(M1229=phu!$I$4,M1229=phu!$I$5,M1229=phu!$I$6,M1229=phu!$I$7,M1229=phu!$I$8,M1229=phu!$I$9,M1229=phu!$I$10,M1229=phu!$I$11,M1229=phu!$I$12,M1229=phu!$I$13,M1229=phu!$I$14),"Cam Nghĩa",""),IF(OR(M1229=phu!$I$15,M1229=phu!$I$16,M1229=phu!$I$17,M1229=phu!$I$18,M1229=phu!$I$19,M1229=phu!$I$20,M1229=phu!$I$21),"Cam Phúc Bắc",""),IF(OR(M1229=phu!$I$22,M1229=phu!$I$23,M1229=phu!$I$24,M1229=phu!$I$25),"Cam Phúc Nam",""),IF(OR(M1229=phu!$I$26,M1229=phu!$I$27,M1229=phu!$I$28,M1229=phu!$I$29,M1229=phu!$I$30,M1229=phu!$I$31),"Cam Phú",""),IF(OR(M1229=phu!$I$32,M1229=phu!$I$33,M1229=phu!$I$34,M1229=phu!$I$35,M1229=phu!$I$36,M1229=phu!$I$37),"Cam Lộc",""),IF(OR(M1229=phu!$I$38,M1229=phu!$I$39,M1229=phu!$I$40,M1229=phu!$I$41,M1229=phu!$I$42,M1229=phu!$I$43,M1229=phu!$I$44),"Cam Thuận",""),IF(OR(M1229=phu!$I$45,M1229=phu!$I$46,M1229=phu!$I$47,M1229=phu!$I$48,M1229=phu!$I$49,M1229=phu!$I$50,M1229=phu!$I$51,M1229=phu!$I$52,M1229=phu!$I$53),"Cam Linh",""),IF(OR(M1229=phu!$I$54,M1229=phu!$I$55,M1229=phu!$I$56,M1229=phu!$I$57,M1229=phu!$I$58,M1229=phu!$I$59,M1229=phu!$I$60,M1229=phu!$I$61,M1229=phu!$I$62),"Cam Lợi",""),IF(OR(M1229=phu!$I$63,M1229=phu!$I$64,M1229=phu!$I$65,M1229=phu!$I$66,M1229=phu!$I$67,M1229=phu!$I$68,M1229=phu!$I$69,M1229=phu!$I$70,M1229=phu!$I$71),"Ba Ngòi",""),IF(OR(M1229=phu!$I$72,M1229=phu!$I$73,M1229=phu!$I$74,M1229=phu!$I$75,M1229=phu!$I$76,M1229=phu!$I$77,M1229=phu!$I$78),"Cam Phước Đông",""),IF(OR(M1229=phu!$I$79,M1229=phu!$I$80,M1229=phu!$I$81,M1229=phu!$I$82,M1229=phu!$I$83,M1229=phu!$I$84),"Cam Thịnh Đông",""),IF(OR(M1229=phu!$I$85,M1229=phu!$I$86,M1229=phu!$I$87,M1229=phu!$I$88),"Cam Thịnh Tây",""),IF(OR(M1229=phu!$I$89,M1229=phu!$I$90),"Cam Lập",""),IF(OR(M1229=phu!$I$91,M1229=phu!$I$92,M1229=phu!$I$93),"Cam Bình",""),IF(OR(M1229=phu!$I$94,M1229=phu!$I$95,M1229=phu!$I$96,M1229=phu!$I$97,M1229=phu!$I$98,M1229=phu!$I$99,M1229=phu!$I$100),"Huyện khác",""),IF(OR(M1229=phu!$I$101,M1229=phu!$I$102),"Tỉnh khác",""))</f>
        <v/>
      </c>
      <c r="O1229" s="814" t="str">
        <f t="shared" si="115"/>
        <v/>
      </c>
      <c r="P1229" s="254"/>
      <c r="Q1229" s="254"/>
      <c r="R1229" s="254"/>
      <c r="S1229" s="254"/>
      <c r="T1229" s="254"/>
      <c r="U1229" s="254"/>
      <c r="V1229" s="254"/>
      <c r="W1229" s="254"/>
      <c r="Y1229" s="246" t="str">
        <f t="shared" si="116"/>
        <v/>
      </c>
      <c r="Z1229" s="247" t="str">
        <f t="shared" si="114"/>
        <v/>
      </c>
      <c r="AA1229" s="246" t="str">
        <f t="shared" si="117"/>
        <v/>
      </c>
    </row>
    <row r="1230" spans="1:27" x14ac:dyDescent="0.25">
      <c r="A1230" s="248" t="str">
        <f t="shared" si="118"/>
        <v/>
      </c>
      <c r="B1230" s="249" t="str">
        <f t="shared" si="119"/>
        <v/>
      </c>
      <c r="C1230" s="250"/>
      <c r="D1230" s="251"/>
      <c r="E1230" s="241"/>
      <c r="F1230" s="252"/>
      <c r="G1230" s="252"/>
      <c r="H1230" s="253"/>
      <c r="I1230" s="250"/>
      <c r="J1230" s="250"/>
      <c r="K1230" s="270"/>
      <c r="L1230" s="250"/>
      <c r="M1230" s="250"/>
      <c r="N1230" s="553" t="str">
        <f>CONCATENATE(IF(OR(M1230=phu!$I$1,M1230=phu!$I$2,M1230=phu!$I$3),"Cam Thành Nam",""),IF(OR(M1230=phu!$I$4,M1230=phu!$I$5,M1230=phu!$I$6,M1230=phu!$I$7,M1230=phu!$I$8,M1230=phu!$I$9,M1230=phu!$I$10,M1230=phu!$I$11,M1230=phu!$I$12,M1230=phu!$I$13,M1230=phu!$I$14),"Cam Nghĩa",""),IF(OR(M1230=phu!$I$15,M1230=phu!$I$16,M1230=phu!$I$17,M1230=phu!$I$18,M1230=phu!$I$19,M1230=phu!$I$20,M1230=phu!$I$21),"Cam Phúc Bắc",""),IF(OR(M1230=phu!$I$22,M1230=phu!$I$23,M1230=phu!$I$24,M1230=phu!$I$25),"Cam Phúc Nam",""),IF(OR(M1230=phu!$I$26,M1230=phu!$I$27,M1230=phu!$I$28,M1230=phu!$I$29,M1230=phu!$I$30,M1230=phu!$I$31),"Cam Phú",""),IF(OR(M1230=phu!$I$32,M1230=phu!$I$33,M1230=phu!$I$34,M1230=phu!$I$35,M1230=phu!$I$36,M1230=phu!$I$37),"Cam Lộc",""),IF(OR(M1230=phu!$I$38,M1230=phu!$I$39,M1230=phu!$I$40,M1230=phu!$I$41,M1230=phu!$I$42,M1230=phu!$I$43,M1230=phu!$I$44),"Cam Thuận",""),IF(OR(M1230=phu!$I$45,M1230=phu!$I$46,M1230=phu!$I$47,M1230=phu!$I$48,M1230=phu!$I$49,M1230=phu!$I$50,M1230=phu!$I$51,M1230=phu!$I$52,M1230=phu!$I$53),"Cam Linh",""),IF(OR(M1230=phu!$I$54,M1230=phu!$I$55,M1230=phu!$I$56,M1230=phu!$I$57,M1230=phu!$I$58,M1230=phu!$I$59,M1230=phu!$I$60,M1230=phu!$I$61,M1230=phu!$I$62),"Cam Lợi",""),IF(OR(M1230=phu!$I$63,M1230=phu!$I$64,M1230=phu!$I$65,M1230=phu!$I$66,M1230=phu!$I$67,M1230=phu!$I$68,M1230=phu!$I$69,M1230=phu!$I$70,M1230=phu!$I$71),"Ba Ngòi",""),IF(OR(M1230=phu!$I$72,M1230=phu!$I$73,M1230=phu!$I$74,M1230=phu!$I$75,M1230=phu!$I$76,M1230=phu!$I$77,M1230=phu!$I$78),"Cam Phước Đông",""),IF(OR(M1230=phu!$I$79,M1230=phu!$I$80,M1230=phu!$I$81,M1230=phu!$I$82,M1230=phu!$I$83,M1230=phu!$I$84),"Cam Thịnh Đông",""),IF(OR(M1230=phu!$I$85,M1230=phu!$I$86,M1230=phu!$I$87,M1230=phu!$I$88),"Cam Thịnh Tây",""),IF(OR(M1230=phu!$I$89,M1230=phu!$I$90),"Cam Lập",""),IF(OR(M1230=phu!$I$91,M1230=phu!$I$92,M1230=phu!$I$93),"Cam Bình",""),IF(OR(M1230=phu!$I$94,M1230=phu!$I$95,M1230=phu!$I$96,M1230=phu!$I$97,M1230=phu!$I$98,M1230=phu!$I$99,M1230=phu!$I$100),"Huyện khác",""),IF(OR(M1230=phu!$I$101,M1230=phu!$I$102),"Tỉnh khác",""))</f>
        <v/>
      </c>
      <c r="O1230" s="814" t="str">
        <f t="shared" si="115"/>
        <v/>
      </c>
      <c r="P1230" s="254"/>
      <c r="Q1230" s="254"/>
      <c r="R1230" s="254"/>
      <c r="S1230" s="254"/>
      <c r="T1230" s="254"/>
      <c r="U1230" s="254"/>
      <c r="V1230" s="254"/>
      <c r="W1230" s="254"/>
      <c r="Y1230" s="246" t="str">
        <f t="shared" si="116"/>
        <v/>
      </c>
      <c r="Z1230" s="247" t="str">
        <f t="shared" si="114"/>
        <v/>
      </c>
      <c r="AA1230" s="246" t="str">
        <f t="shared" si="117"/>
        <v/>
      </c>
    </row>
    <row r="1231" spans="1:27" x14ac:dyDescent="0.25">
      <c r="A1231" s="248" t="str">
        <f t="shared" si="118"/>
        <v/>
      </c>
      <c r="B1231" s="249" t="str">
        <f t="shared" si="119"/>
        <v/>
      </c>
      <c r="C1231" s="250"/>
      <c r="D1231" s="251"/>
      <c r="E1231" s="241"/>
      <c r="F1231" s="252"/>
      <c r="G1231" s="252"/>
      <c r="H1231" s="253"/>
      <c r="I1231" s="250"/>
      <c r="J1231" s="250"/>
      <c r="K1231" s="270"/>
      <c r="L1231" s="250"/>
      <c r="M1231" s="250"/>
      <c r="N1231" s="553" t="str">
        <f>CONCATENATE(IF(OR(M1231=phu!$I$1,M1231=phu!$I$2,M1231=phu!$I$3),"Cam Thành Nam",""),IF(OR(M1231=phu!$I$4,M1231=phu!$I$5,M1231=phu!$I$6,M1231=phu!$I$7,M1231=phu!$I$8,M1231=phu!$I$9,M1231=phu!$I$10,M1231=phu!$I$11,M1231=phu!$I$12,M1231=phu!$I$13,M1231=phu!$I$14),"Cam Nghĩa",""),IF(OR(M1231=phu!$I$15,M1231=phu!$I$16,M1231=phu!$I$17,M1231=phu!$I$18,M1231=phu!$I$19,M1231=phu!$I$20,M1231=phu!$I$21),"Cam Phúc Bắc",""),IF(OR(M1231=phu!$I$22,M1231=phu!$I$23,M1231=phu!$I$24,M1231=phu!$I$25),"Cam Phúc Nam",""),IF(OR(M1231=phu!$I$26,M1231=phu!$I$27,M1231=phu!$I$28,M1231=phu!$I$29,M1231=phu!$I$30,M1231=phu!$I$31),"Cam Phú",""),IF(OR(M1231=phu!$I$32,M1231=phu!$I$33,M1231=phu!$I$34,M1231=phu!$I$35,M1231=phu!$I$36,M1231=phu!$I$37),"Cam Lộc",""),IF(OR(M1231=phu!$I$38,M1231=phu!$I$39,M1231=phu!$I$40,M1231=phu!$I$41,M1231=phu!$I$42,M1231=phu!$I$43,M1231=phu!$I$44),"Cam Thuận",""),IF(OR(M1231=phu!$I$45,M1231=phu!$I$46,M1231=phu!$I$47,M1231=phu!$I$48,M1231=phu!$I$49,M1231=phu!$I$50,M1231=phu!$I$51,M1231=phu!$I$52,M1231=phu!$I$53),"Cam Linh",""),IF(OR(M1231=phu!$I$54,M1231=phu!$I$55,M1231=phu!$I$56,M1231=phu!$I$57,M1231=phu!$I$58,M1231=phu!$I$59,M1231=phu!$I$60,M1231=phu!$I$61,M1231=phu!$I$62),"Cam Lợi",""),IF(OR(M1231=phu!$I$63,M1231=phu!$I$64,M1231=phu!$I$65,M1231=phu!$I$66,M1231=phu!$I$67,M1231=phu!$I$68,M1231=phu!$I$69,M1231=phu!$I$70,M1231=phu!$I$71),"Ba Ngòi",""),IF(OR(M1231=phu!$I$72,M1231=phu!$I$73,M1231=phu!$I$74,M1231=phu!$I$75,M1231=phu!$I$76,M1231=phu!$I$77,M1231=phu!$I$78),"Cam Phước Đông",""),IF(OR(M1231=phu!$I$79,M1231=phu!$I$80,M1231=phu!$I$81,M1231=phu!$I$82,M1231=phu!$I$83,M1231=phu!$I$84),"Cam Thịnh Đông",""),IF(OR(M1231=phu!$I$85,M1231=phu!$I$86,M1231=phu!$I$87,M1231=phu!$I$88),"Cam Thịnh Tây",""),IF(OR(M1231=phu!$I$89,M1231=phu!$I$90),"Cam Lập",""),IF(OR(M1231=phu!$I$91,M1231=phu!$I$92,M1231=phu!$I$93),"Cam Bình",""),IF(OR(M1231=phu!$I$94,M1231=phu!$I$95,M1231=phu!$I$96,M1231=phu!$I$97,M1231=phu!$I$98,M1231=phu!$I$99,M1231=phu!$I$100),"Huyện khác",""),IF(OR(M1231=phu!$I$101,M1231=phu!$I$102),"Tỉnh khác",""))</f>
        <v/>
      </c>
      <c r="O1231" s="814" t="str">
        <f t="shared" si="115"/>
        <v/>
      </c>
      <c r="P1231" s="254"/>
      <c r="Q1231" s="254"/>
      <c r="R1231" s="254"/>
      <c r="S1231" s="254"/>
      <c r="T1231" s="254"/>
      <c r="U1231" s="254"/>
      <c r="V1231" s="254"/>
      <c r="W1231" s="254"/>
      <c r="Y1231" s="246" t="str">
        <f t="shared" si="116"/>
        <v/>
      </c>
      <c r="Z1231" s="247" t="str">
        <f t="shared" si="114"/>
        <v/>
      </c>
      <c r="AA1231" s="246" t="str">
        <f t="shared" si="117"/>
        <v/>
      </c>
    </row>
    <row r="1232" spans="1:27" x14ac:dyDescent="0.25">
      <c r="A1232" s="248" t="str">
        <f t="shared" si="118"/>
        <v/>
      </c>
      <c r="B1232" s="249" t="str">
        <f t="shared" si="119"/>
        <v/>
      </c>
      <c r="C1232" s="250"/>
      <c r="D1232" s="251"/>
      <c r="E1232" s="241"/>
      <c r="F1232" s="252"/>
      <c r="G1232" s="252"/>
      <c r="H1232" s="253"/>
      <c r="I1232" s="250"/>
      <c r="J1232" s="250"/>
      <c r="K1232" s="270"/>
      <c r="L1232" s="250"/>
      <c r="M1232" s="250"/>
      <c r="N1232" s="553" t="str">
        <f>CONCATENATE(IF(OR(M1232=phu!$I$1,M1232=phu!$I$2,M1232=phu!$I$3),"Cam Thành Nam",""),IF(OR(M1232=phu!$I$4,M1232=phu!$I$5,M1232=phu!$I$6,M1232=phu!$I$7,M1232=phu!$I$8,M1232=phu!$I$9,M1232=phu!$I$10,M1232=phu!$I$11,M1232=phu!$I$12,M1232=phu!$I$13,M1232=phu!$I$14),"Cam Nghĩa",""),IF(OR(M1232=phu!$I$15,M1232=phu!$I$16,M1232=phu!$I$17,M1232=phu!$I$18,M1232=phu!$I$19,M1232=phu!$I$20,M1232=phu!$I$21),"Cam Phúc Bắc",""),IF(OR(M1232=phu!$I$22,M1232=phu!$I$23,M1232=phu!$I$24,M1232=phu!$I$25),"Cam Phúc Nam",""),IF(OR(M1232=phu!$I$26,M1232=phu!$I$27,M1232=phu!$I$28,M1232=phu!$I$29,M1232=phu!$I$30,M1232=phu!$I$31),"Cam Phú",""),IF(OR(M1232=phu!$I$32,M1232=phu!$I$33,M1232=phu!$I$34,M1232=phu!$I$35,M1232=phu!$I$36,M1232=phu!$I$37),"Cam Lộc",""),IF(OR(M1232=phu!$I$38,M1232=phu!$I$39,M1232=phu!$I$40,M1232=phu!$I$41,M1232=phu!$I$42,M1232=phu!$I$43,M1232=phu!$I$44),"Cam Thuận",""),IF(OR(M1232=phu!$I$45,M1232=phu!$I$46,M1232=phu!$I$47,M1232=phu!$I$48,M1232=phu!$I$49,M1232=phu!$I$50,M1232=phu!$I$51,M1232=phu!$I$52,M1232=phu!$I$53),"Cam Linh",""),IF(OR(M1232=phu!$I$54,M1232=phu!$I$55,M1232=phu!$I$56,M1232=phu!$I$57,M1232=phu!$I$58,M1232=phu!$I$59,M1232=phu!$I$60,M1232=phu!$I$61,M1232=phu!$I$62),"Cam Lợi",""),IF(OR(M1232=phu!$I$63,M1232=phu!$I$64,M1232=phu!$I$65,M1232=phu!$I$66,M1232=phu!$I$67,M1232=phu!$I$68,M1232=phu!$I$69,M1232=phu!$I$70,M1232=phu!$I$71),"Ba Ngòi",""),IF(OR(M1232=phu!$I$72,M1232=phu!$I$73,M1232=phu!$I$74,M1232=phu!$I$75,M1232=phu!$I$76,M1232=phu!$I$77,M1232=phu!$I$78),"Cam Phước Đông",""),IF(OR(M1232=phu!$I$79,M1232=phu!$I$80,M1232=phu!$I$81,M1232=phu!$I$82,M1232=phu!$I$83,M1232=phu!$I$84),"Cam Thịnh Đông",""),IF(OR(M1232=phu!$I$85,M1232=phu!$I$86,M1232=phu!$I$87,M1232=phu!$I$88),"Cam Thịnh Tây",""),IF(OR(M1232=phu!$I$89,M1232=phu!$I$90),"Cam Lập",""),IF(OR(M1232=phu!$I$91,M1232=phu!$I$92,M1232=phu!$I$93),"Cam Bình",""),IF(OR(M1232=phu!$I$94,M1232=phu!$I$95,M1232=phu!$I$96,M1232=phu!$I$97,M1232=phu!$I$98,M1232=phu!$I$99,M1232=phu!$I$100),"Huyện khác",""),IF(OR(M1232=phu!$I$101,M1232=phu!$I$102),"Tỉnh khác",""))</f>
        <v/>
      </c>
      <c r="O1232" s="814" t="str">
        <f t="shared" si="115"/>
        <v/>
      </c>
      <c r="P1232" s="254"/>
      <c r="Q1232" s="254"/>
      <c r="R1232" s="254"/>
      <c r="S1232" s="254"/>
      <c r="T1232" s="254"/>
      <c r="U1232" s="254"/>
      <c r="V1232" s="254"/>
      <c r="W1232" s="254"/>
      <c r="Y1232" s="246" t="str">
        <f t="shared" si="116"/>
        <v/>
      </c>
      <c r="Z1232" s="247" t="str">
        <f t="shared" si="114"/>
        <v/>
      </c>
      <c r="AA1232" s="246" t="str">
        <f t="shared" si="117"/>
        <v/>
      </c>
    </row>
    <row r="1233" spans="1:27" x14ac:dyDescent="0.25">
      <c r="A1233" s="248" t="str">
        <f t="shared" si="118"/>
        <v/>
      </c>
      <c r="B1233" s="249" t="str">
        <f t="shared" si="119"/>
        <v/>
      </c>
      <c r="C1233" s="250"/>
      <c r="D1233" s="251"/>
      <c r="E1233" s="241"/>
      <c r="F1233" s="252"/>
      <c r="G1233" s="252"/>
      <c r="H1233" s="253"/>
      <c r="I1233" s="250"/>
      <c r="J1233" s="250"/>
      <c r="K1233" s="270"/>
      <c r="L1233" s="250"/>
      <c r="M1233" s="250"/>
      <c r="N1233" s="553" t="str">
        <f>CONCATENATE(IF(OR(M1233=phu!$I$1,M1233=phu!$I$2,M1233=phu!$I$3),"Cam Thành Nam",""),IF(OR(M1233=phu!$I$4,M1233=phu!$I$5,M1233=phu!$I$6,M1233=phu!$I$7,M1233=phu!$I$8,M1233=phu!$I$9,M1233=phu!$I$10,M1233=phu!$I$11,M1233=phu!$I$12,M1233=phu!$I$13,M1233=phu!$I$14),"Cam Nghĩa",""),IF(OR(M1233=phu!$I$15,M1233=phu!$I$16,M1233=phu!$I$17,M1233=phu!$I$18,M1233=phu!$I$19,M1233=phu!$I$20,M1233=phu!$I$21),"Cam Phúc Bắc",""),IF(OR(M1233=phu!$I$22,M1233=phu!$I$23,M1233=phu!$I$24,M1233=phu!$I$25),"Cam Phúc Nam",""),IF(OR(M1233=phu!$I$26,M1233=phu!$I$27,M1233=phu!$I$28,M1233=phu!$I$29,M1233=phu!$I$30,M1233=phu!$I$31),"Cam Phú",""),IF(OR(M1233=phu!$I$32,M1233=phu!$I$33,M1233=phu!$I$34,M1233=phu!$I$35,M1233=phu!$I$36,M1233=phu!$I$37),"Cam Lộc",""),IF(OR(M1233=phu!$I$38,M1233=phu!$I$39,M1233=phu!$I$40,M1233=phu!$I$41,M1233=phu!$I$42,M1233=phu!$I$43,M1233=phu!$I$44),"Cam Thuận",""),IF(OR(M1233=phu!$I$45,M1233=phu!$I$46,M1233=phu!$I$47,M1233=phu!$I$48,M1233=phu!$I$49,M1233=phu!$I$50,M1233=phu!$I$51,M1233=phu!$I$52,M1233=phu!$I$53),"Cam Linh",""),IF(OR(M1233=phu!$I$54,M1233=phu!$I$55,M1233=phu!$I$56,M1233=phu!$I$57,M1233=phu!$I$58,M1233=phu!$I$59,M1233=phu!$I$60,M1233=phu!$I$61,M1233=phu!$I$62),"Cam Lợi",""),IF(OR(M1233=phu!$I$63,M1233=phu!$I$64,M1233=phu!$I$65,M1233=phu!$I$66,M1233=phu!$I$67,M1233=phu!$I$68,M1233=phu!$I$69,M1233=phu!$I$70,M1233=phu!$I$71),"Ba Ngòi",""),IF(OR(M1233=phu!$I$72,M1233=phu!$I$73,M1233=phu!$I$74,M1233=phu!$I$75,M1233=phu!$I$76,M1233=phu!$I$77,M1233=phu!$I$78),"Cam Phước Đông",""),IF(OR(M1233=phu!$I$79,M1233=phu!$I$80,M1233=phu!$I$81,M1233=phu!$I$82,M1233=phu!$I$83,M1233=phu!$I$84),"Cam Thịnh Đông",""),IF(OR(M1233=phu!$I$85,M1233=phu!$I$86,M1233=phu!$I$87,M1233=phu!$I$88),"Cam Thịnh Tây",""),IF(OR(M1233=phu!$I$89,M1233=phu!$I$90),"Cam Lập",""),IF(OR(M1233=phu!$I$91,M1233=phu!$I$92,M1233=phu!$I$93),"Cam Bình",""),IF(OR(M1233=phu!$I$94,M1233=phu!$I$95,M1233=phu!$I$96,M1233=phu!$I$97,M1233=phu!$I$98,M1233=phu!$I$99,M1233=phu!$I$100),"Huyện khác",""),IF(OR(M1233=phu!$I$101,M1233=phu!$I$102),"Tỉnh khác",""))</f>
        <v/>
      </c>
      <c r="O1233" s="814" t="str">
        <f t="shared" si="115"/>
        <v/>
      </c>
      <c r="P1233" s="254"/>
      <c r="Q1233" s="254"/>
      <c r="R1233" s="254"/>
      <c r="S1233" s="254"/>
      <c r="T1233" s="254"/>
      <c r="U1233" s="254"/>
      <c r="V1233" s="254"/>
      <c r="W1233" s="254"/>
      <c r="Y1233" s="246" t="str">
        <f t="shared" si="116"/>
        <v/>
      </c>
      <c r="Z1233" s="247" t="str">
        <f t="shared" si="114"/>
        <v/>
      </c>
      <c r="AA1233" s="246" t="str">
        <f t="shared" si="117"/>
        <v/>
      </c>
    </row>
    <row r="1234" spans="1:27" x14ac:dyDescent="0.25">
      <c r="A1234" s="248" t="str">
        <f t="shared" si="118"/>
        <v/>
      </c>
      <c r="B1234" s="249" t="str">
        <f t="shared" si="119"/>
        <v/>
      </c>
      <c r="C1234" s="250"/>
      <c r="D1234" s="251"/>
      <c r="E1234" s="241"/>
      <c r="F1234" s="252"/>
      <c r="G1234" s="252"/>
      <c r="H1234" s="253"/>
      <c r="I1234" s="250"/>
      <c r="J1234" s="250"/>
      <c r="K1234" s="270"/>
      <c r="L1234" s="250"/>
      <c r="M1234" s="250"/>
      <c r="N1234" s="553" t="str">
        <f>CONCATENATE(IF(OR(M1234=phu!$I$1,M1234=phu!$I$2,M1234=phu!$I$3),"Cam Thành Nam",""),IF(OR(M1234=phu!$I$4,M1234=phu!$I$5,M1234=phu!$I$6,M1234=phu!$I$7,M1234=phu!$I$8,M1234=phu!$I$9,M1234=phu!$I$10,M1234=phu!$I$11,M1234=phu!$I$12,M1234=phu!$I$13,M1234=phu!$I$14),"Cam Nghĩa",""),IF(OR(M1234=phu!$I$15,M1234=phu!$I$16,M1234=phu!$I$17,M1234=phu!$I$18,M1234=phu!$I$19,M1234=phu!$I$20,M1234=phu!$I$21),"Cam Phúc Bắc",""),IF(OR(M1234=phu!$I$22,M1234=phu!$I$23,M1234=phu!$I$24,M1234=phu!$I$25),"Cam Phúc Nam",""),IF(OR(M1234=phu!$I$26,M1234=phu!$I$27,M1234=phu!$I$28,M1234=phu!$I$29,M1234=phu!$I$30,M1234=phu!$I$31),"Cam Phú",""),IF(OR(M1234=phu!$I$32,M1234=phu!$I$33,M1234=phu!$I$34,M1234=phu!$I$35,M1234=phu!$I$36,M1234=phu!$I$37),"Cam Lộc",""),IF(OR(M1234=phu!$I$38,M1234=phu!$I$39,M1234=phu!$I$40,M1234=phu!$I$41,M1234=phu!$I$42,M1234=phu!$I$43,M1234=phu!$I$44),"Cam Thuận",""),IF(OR(M1234=phu!$I$45,M1234=phu!$I$46,M1234=phu!$I$47,M1234=phu!$I$48,M1234=phu!$I$49,M1234=phu!$I$50,M1234=phu!$I$51,M1234=phu!$I$52,M1234=phu!$I$53),"Cam Linh",""),IF(OR(M1234=phu!$I$54,M1234=phu!$I$55,M1234=phu!$I$56,M1234=phu!$I$57,M1234=phu!$I$58,M1234=phu!$I$59,M1234=phu!$I$60,M1234=phu!$I$61,M1234=phu!$I$62),"Cam Lợi",""),IF(OR(M1234=phu!$I$63,M1234=phu!$I$64,M1234=phu!$I$65,M1234=phu!$I$66,M1234=phu!$I$67,M1234=phu!$I$68,M1234=phu!$I$69,M1234=phu!$I$70,M1234=phu!$I$71),"Ba Ngòi",""),IF(OR(M1234=phu!$I$72,M1234=phu!$I$73,M1234=phu!$I$74,M1234=phu!$I$75,M1234=phu!$I$76,M1234=phu!$I$77,M1234=phu!$I$78),"Cam Phước Đông",""),IF(OR(M1234=phu!$I$79,M1234=phu!$I$80,M1234=phu!$I$81,M1234=phu!$I$82,M1234=phu!$I$83,M1234=phu!$I$84),"Cam Thịnh Đông",""),IF(OR(M1234=phu!$I$85,M1234=phu!$I$86,M1234=phu!$I$87,M1234=phu!$I$88),"Cam Thịnh Tây",""),IF(OR(M1234=phu!$I$89,M1234=phu!$I$90),"Cam Lập",""),IF(OR(M1234=phu!$I$91,M1234=phu!$I$92,M1234=phu!$I$93),"Cam Bình",""),IF(OR(M1234=phu!$I$94,M1234=phu!$I$95,M1234=phu!$I$96,M1234=phu!$I$97,M1234=phu!$I$98,M1234=phu!$I$99,M1234=phu!$I$100),"Huyện khác",""),IF(OR(M1234=phu!$I$101,M1234=phu!$I$102),"Tỉnh khác",""))</f>
        <v/>
      </c>
      <c r="O1234" s="814" t="str">
        <f t="shared" si="115"/>
        <v/>
      </c>
      <c r="P1234" s="254"/>
      <c r="Q1234" s="254"/>
      <c r="R1234" s="254"/>
      <c r="S1234" s="254"/>
      <c r="T1234" s="254"/>
      <c r="U1234" s="254"/>
      <c r="V1234" s="254"/>
      <c r="W1234" s="254"/>
      <c r="Y1234" s="246" t="str">
        <f t="shared" si="116"/>
        <v/>
      </c>
      <c r="Z1234" s="247" t="str">
        <f t="shared" si="114"/>
        <v/>
      </c>
      <c r="AA1234" s="246" t="str">
        <f t="shared" si="117"/>
        <v/>
      </c>
    </row>
    <row r="1235" spans="1:27" x14ac:dyDescent="0.25">
      <c r="A1235" s="248" t="str">
        <f t="shared" si="118"/>
        <v/>
      </c>
      <c r="B1235" s="249" t="str">
        <f t="shared" si="119"/>
        <v/>
      </c>
      <c r="C1235" s="250"/>
      <c r="D1235" s="251"/>
      <c r="E1235" s="241"/>
      <c r="F1235" s="252"/>
      <c r="G1235" s="252"/>
      <c r="H1235" s="253"/>
      <c r="I1235" s="250"/>
      <c r="J1235" s="250"/>
      <c r="K1235" s="270"/>
      <c r="L1235" s="250"/>
      <c r="M1235" s="250"/>
      <c r="N1235" s="553" t="str">
        <f>CONCATENATE(IF(OR(M1235=phu!$I$1,M1235=phu!$I$2,M1235=phu!$I$3),"Cam Thành Nam",""),IF(OR(M1235=phu!$I$4,M1235=phu!$I$5,M1235=phu!$I$6,M1235=phu!$I$7,M1235=phu!$I$8,M1235=phu!$I$9,M1235=phu!$I$10,M1235=phu!$I$11,M1235=phu!$I$12,M1235=phu!$I$13,M1235=phu!$I$14),"Cam Nghĩa",""),IF(OR(M1235=phu!$I$15,M1235=phu!$I$16,M1235=phu!$I$17,M1235=phu!$I$18,M1235=phu!$I$19,M1235=phu!$I$20,M1235=phu!$I$21),"Cam Phúc Bắc",""),IF(OR(M1235=phu!$I$22,M1235=phu!$I$23,M1235=phu!$I$24,M1235=phu!$I$25),"Cam Phúc Nam",""),IF(OR(M1235=phu!$I$26,M1235=phu!$I$27,M1235=phu!$I$28,M1235=phu!$I$29,M1235=phu!$I$30,M1235=phu!$I$31),"Cam Phú",""),IF(OR(M1235=phu!$I$32,M1235=phu!$I$33,M1235=phu!$I$34,M1235=phu!$I$35,M1235=phu!$I$36,M1235=phu!$I$37),"Cam Lộc",""),IF(OR(M1235=phu!$I$38,M1235=phu!$I$39,M1235=phu!$I$40,M1235=phu!$I$41,M1235=phu!$I$42,M1235=phu!$I$43,M1235=phu!$I$44),"Cam Thuận",""),IF(OR(M1235=phu!$I$45,M1235=phu!$I$46,M1235=phu!$I$47,M1235=phu!$I$48,M1235=phu!$I$49,M1235=phu!$I$50,M1235=phu!$I$51,M1235=phu!$I$52,M1235=phu!$I$53),"Cam Linh",""),IF(OR(M1235=phu!$I$54,M1235=phu!$I$55,M1235=phu!$I$56,M1235=phu!$I$57,M1235=phu!$I$58,M1235=phu!$I$59,M1235=phu!$I$60,M1235=phu!$I$61,M1235=phu!$I$62),"Cam Lợi",""),IF(OR(M1235=phu!$I$63,M1235=phu!$I$64,M1235=phu!$I$65,M1235=phu!$I$66,M1235=phu!$I$67,M1235=phu!$I$68,M1235=phu!$I$69,M1235=phu!$I$70,M1235=phu!$I$71),"Ba Ngòi",""),IF(OR(M1235=phu!$I$72,M1235=phu!$I$73,M1235=phu!$I$74,M1235=phu!$I$75,M1235=phu!$I$76,M1235=phu!$I$77,M1235=phu!$I$78),"Cam Phước Đông",""),IF(OR(M1235=phu!$I$79,M1235=phu!$I$80,M1235=phu!$I$81,M1235=phu!$I$82,M1235=phu!$I$83,M1235=phu!$I$84),"Cam Thịnh Đông",""),IF(OR(M1235=phu!$I$85,M1235=phu!$I$86,M1235=phu!$I$87,M1235=phu!$I$88),"Cam Thịnh Tây",""),IF(OR(M1235=phu!$I$89,M1235=phu!$I$90),"Cam Lập",""),IF(OR(M1235=phu!$I$91,M1235=phu!$I$92,M1235=phu!$I$93),"Cam Bình",""),IF(OR(M1235=phu!$I$94,M1235=phu!$I$95,M1235=phu!$I$96,M1235=phu!$I$97,M1235=phu!$I$98,M1235=phu!$I$99,M1235=phu!$I$100),"Huyện khác",""),IF(OR(M1235=phu!$I$101,M1235=phu!$I$102),"Tỉnh khác",""))</f>
        <v/>
      </c>
      <c r="O1235" s="814" t="str">
        <f t="shared" si="115"/>
        <v/>
      </c>
      <c r="P1235" s="254"/>
      <c r="Q1235" s="254"/>
      <c r="R1235" s="254"/>
      <c r="S1235" s="254"/>
      <c r="T1235" s="254"/>
      <c r="U1235" s="254"/>
      <c r="V1235" s="254"/>
      <c r="W1235" s="254"/>
      <c r="Y1235" s="246" t="str">
        <f t="shared" si="116"/>
        <v/>
      </c>
      <c r="Z1235" s="247" t="str">
        <f t="shared" si="114"/>
        <v/>
      </c>
      <c r="AA1235" s="246" t="str">
        <f t="shared" si="117"/>
        <v/>
      </c>
    </row>
    <row r="1236" spans="1:27" x14ac:dyDescent="0.25">
      <c r="A1236" s="248" t="str">
        <f t="shared" si="118"/>
        <v/>
      </c>
      <c r="B1236" s="249" t="str">
        <f t="shared" si="119"/>
        <v/>
      </c>
      <c r="C1236" s="250"/>
      <c r="D1236" s="251"/>
      <c r="E1236" s="241"/>
      <c r="F1236" s="252"/>
      <c r="G1236" s="252"/>
      <c r="H1236" s="253"/>
      <c r="I1236" s="250"/>
      <c r="J1236" s="250"/>
      <c r="K1236" s="270"/>
      <c r="L1236" s="250"/>
      <c r="M1236" s="250"/>
      <c r="N1236" s="553" t="str">
        <f>CONCATENATE(IF(OR(M1236=phu!$I$1,M1236=phu!$I$2,M1236=phu!$I$3),"Cam Thành Nam",""),IF(OR(M1236=phu!$I$4,M1236=phu!$I$5,M1236=phu!$I$6,M1236=phu!$I$7,M1236=phu!$I$8,M1236=phu!$I$9,M1236=phu!$I$10,M1236=phu!$I$11,M1236=phu!$I$12,M1236=phu!$I$13,M1236=phu!$I$14),"Cam Nghĩa",""),IF(OR(M1236=phu!$I$15,M1236=phu!$I$16,M1236=phu!$I$17,M1236=phu!$I$18,M1236=phu!$I$19,M1236=phu!$I$20,M1236=phu!$I$21),"Cam Phúc Bắc",""),IF(OR(M1236=phu!$I$22,M1236=phu!$I$23,M1236=phu!$I$24,M1236=phu!$I$25),"Cam Phúc Nam",""),IF(OR(M1236=phu!$I$26,M1236=phu!$I$27,M1236=phu!$I$28,M1236=phu!$I$29,M1236=phu!$I$30,M1236=phu!$I$31),"Cam Phú",""),IF(OR(M1236=phu!$I$32,M1236=phu!$I$33,M1236=phu!$I$34,M1236=phu!$I$35,M1236=phu!$I$36,M1236=phu!$I$37),"Cam Lộc",""),IF(OR(M1236=phu!$I$38,M1236=phu!$I$39,M1236=phu!$I$40,M1236=phu!$I$41,M1236=phu!$I$42,M1236=phu!$I$43,M1236=phu!$I$44),"Cam Thuận",""),IF(OR(M1236=phu!$I$45,M1236=phu!$I$46,M1236=phu!$I$47,M1236=phu!$I$48,M1236=phu!$I$49,M1236=phu!$I$50,M1236=phu!$I$51,M1236=phu!$I$52,M1236=phu!$I$53),"Cam Linh",""),IF(OR(M1236=phu!$I$54,M1236=phu!$I$55,M1236=phu!$I$56,M1236=phu!$I$57,M1236=phu!$I$58,M1236=phu!$I$59,M1236=phu!$I$60,M1236=phu!$I$61,M1236=phu!$I$62),"Cam Lợi",""),IF(OR(M1236=phu!$I$63,M1236=phu!$I$64,M1236=phu!$I$65,M1236=phu!$I$66,M1236=phu!$I$67,M1236=phu!$I$68,M1236=phu!$I$69,M1236=phu!$I$70,M1236=phu!$I$71),"Ba Ngòi",""),IF(OR(M1236=phu!$I$72,M1236=phu!$I$73,M1236=phu!$I$74,M1236=phu!$I$75,M1236=phu!$I$76,M1236=phu!$I$77,M1236=phu!$I$78),"Cam Phước Đông",""),IF(OR(M1236=phu!$I$79,M1236=phu!$I$80,M1236=phu!$I$81,M1236=phu!$I$82,M1236=phu!$I$83,M1236=phu!$I$84),"Cam Thịnh Đông",""),IF(OR(M1236=phu!$I$85,M1236=phu!$I$86,M1236=phu!$I$87,M1236=phu!$I$88),"Cam Thịnh Tây",""),IF(OR(M1236=phu!$I$89,M1236=phu!$I$90),"Cam Lập",""),IF(OR(M1236=phu!$I$91,M1236=phu!$I$92,M1236=phu!$I$93),"Cam Bình",""),IF(OR(M1236=phu!$I$94,M1236=phu!$I$95,M1236=phu!$I$96,M1236=phu!$I$97,M1236=phu!$I$98,M1236=phu!$I$99,M1236=phu!$I$100),"Huyện khác",""),IF(OR(M1236=phu!$I$101,M1236=phu!$I$102),"Tỉnh khác",""))</f>
        <v/>
      </c>
      <c r="O1236" s="814" t="str">
        <f t="shared" si="115"/>
        <v/>
      </c>
      <c r="P1236" s="254"/>
      <c r="Q1236" s="254"/>
      <c r="R1236" s="254"/>
      <c r="S1236" s="254"/>
      <c r="T1236" s="254"/>
      <c r="U1236" s="254"/>
      <c r="V1236" s="254"/>
      <c r="W1236" s="254"/>
      <c r="Y1236" s="246" t="str">
        <f t="shared" si="116"/>
        <v/>
      </c>
      <c r="Z1236" s="247" t="str">
        <f t="shared" si="114"/>
        <v/>
      </c>
      <c r="AA1236" s="246" t="str">
        <f t="shared" si="117"/>
        <v/>
      </c>
    </row>
    <row r="1237" spans="1:27" x14ac:dyDescent="0.25">
      <c r="A1237" s="248" t="str">
        <f t="shared" si="118"/>
        <v/>
      </c>
      <c r="B1237" s="249" t="str">
        <f t="shared" si="119"/>
        <v/>
      </c>
      <c r="C1237" s="250"/>
      <c r="D1237" s="251"/>
      <c r="E1237" s="241"/>
      <c r="F1237" s="252"/>
      <c r="G1237" s="252"/>
      <c r="H1237" s="253"/>
      <c r="I1237" s="250"/>
      <c r="J1237" s="250"/>
      <c r="K1237" s="270"/>
      <c r="L1237" s="250"/>
      <c r="M1237" s="250"/>
      <c r="N1237" s="553" t="str">
        <f>CONCATENATE(IF(OR(M1237=phu!$I$1,M1237=phu!$I$2,M1237=phu!$I$3),"Cam Thành Nam",""),IF(OR(M1237=phu!$I$4,M1237=phu!$I$5,M1237=phu!$I$6,M1237=phu!$I$7,M1237=phu!$I$8,M1237=phu!$I$9,M1237=phu!$I$10,M1237=phu!$I$11,M1237=phu!$I$12,M1237=phu!$I$13,M1237=phu!$I$14),"Cam Nghĩa",""),IF(OR(M1237=phu!$I$15,M1237=phu!$I$16,M1237=phu!$I$17,M1237=phu!$I$18,M1237=phu!$I$19,M1237=phu!$I$20,M1237=phu!$I$21),"Cam Phúc Bắc",""),IF(OR(M1237=phu!$I$22,M1237=phu!$I$23,M1237=phu!$I$24,M1237=phu!$I$25),"Cam Phúc Nam",""),IF(OR(M1237=phu!$I$26,M1237=phu!$I$27,M1237=phu!$I$28,M1237=phu!$I$29,M1237=phu!$I$30,M1237=phu!$I$31),"Cam Phú",""),IF(OR(M1237=phu!$I$32,M1237=phu!$I$33,M1237=phu!$I$34,M1237=phu!$I$35,M1237=phu!$I$36,M1237=phu!$I$37),"Cam Lộc",""),IF(OR(M1237=phu!$I$38,M1237=phu!$I$39,M1237=phu!$I$40,M1237=phu!$I$41,M1237=phu!$I$42,M1237=phu!$I$43,M1237=phu!$I$44),"Cam Thuận",""),IF(OR(M1237=phu!$I$45,M1237=phu!$I$46,M1237=phu!$I$47,M1237=phu!$I$48,M1237=phu!$I$49,M1237=phu!$I$50,M1237=phu!$I$51,M1237=phu!$I$52,M1237=phu!$I$53),"Cam Linh",""),IF(OR(M1237=phu!$I$54,M1237=phu!$I$55,M1237=phu!$I$56,M1237=phu!$I$57,M1237=phu!$I$58,M1237=phu!$I$59,M1237=phu!$I$60,M1237=phu!$I$61,M1237=phu!$I$62),"Cam Lợi",""),IF(OR(M1237=phu!$I$63,M1237=phu!$I$64,M1237=phu!$I$65,M1237=phu!$I$66,M1237=phu!$I$67,M1237=phu!$I$68,M1237=phu!$I$69,M1237=phu!$I$70,M1237=phu!$I$71),"Ba Ngòi",""),IF(OR(M1237=phu!$I$72,M1237=phu!$I$73,M1237=phu!$I$74,M1237=phu!$I$75,M1237=phu!$I$76,M1237=phu!$I$77,M1237=phu!$I$78),"Cam Phước Đông",""),IF(OR(M1237=phu!$I$79,M1237=phu!$I$80,M1237=phu!$I$81,M1237=phu!$I$82,M1237=phu!$I$83,M1237=phu!$I$84),"Cam Thịnh Đông",""),IF(OR(M1237=phu!$I$85,M1237=phu!$I$86,M1237=phu!$I$87,M1237=phu!$I$88),"Cam Thịnh Tây",""),IF(OR(M1237=phu!$I$89,M1237=phu!$I$90),"Cam Lập",""),IF(OR(M1237=phu!$I$91,M1237=phu!$I$92,M1237=phu!$I$93),"Cam Bình",""),IF(OR(M1237=phu!$I$94,M1237=phu!$I$95,M1237=phu!$I$96,M1237=phu!$I$97,M1237=phu!$I$98,M1237=phu!$I$99,M1237=phu!$I$100),"Huyện khác",""),IF(OR(M1237=phu!$I$101,M1237=phu!$I$102),"Tỉnh khác",""))</f>
        <v/>
      </c>
      <c r="O1237" s="814" t="str">
        <f t="shared" si="115"/>
        <v/>
      </c>
      <c r="P1237" s="254"/>
      <c r="Q1237" s="254"/>
      <c r="R1237" s="254"/>
      <c r="S1237" s="254"/>
      <c r="T1237" s="254"/>
      <c r="U1237" s="254"/>
      <c r="V1237" s="254"/>
      <c r="W1237" s="254"/>
      <c r="Y1237" s="246" t="str">
        <f t="shared" si="116"/>
        <v/>
      </c>
      <c r="Z1237" s="247" t="str">
        <f t="shared" si="114"/>
        <v/>
      </c>
      <c r="AA1237" s="246" t="str">
        <f t="shared" si="117"/>
        <v/>
      </c>
    </row>
    <row r="1238" spans="1:27" x14ac:dyDescent="0.25">
      <c r="A1238" s="248" t="str">
        <f t="shared" si="118"/>
        <v/>
      </c>
      <c r="B1238" s="249" t="str">
        <f t="shared" si="119"/>
        <v/>
      </c>
      <c r="C1238" s="250"/>
      <c r="D1238" s="251"/>
      <c r="E1238" s="241"/>
      <c r="F1238" s="252"/>
      <c r="G1238" s="252"/>
      <c r="H1238" s="253"/>
      <c r="I1238" s="250"/>
      <c r="J1238" s="250"/>
      <c r="K1238" s="270"/>
      <c r="L1238" s="250"/>
      <c r="M1238" s="250"/>
      <c r="N1238" s="553" t="str">
        <f>CONCATENATE(IF(OR(M1238=phu!$I$1,M1238=phu!$I$2,M1238=phu!$I$3),"Cam Thành Nam",""),IF(OR(M1238=phu!$I$4,M1238=phu!$I$5,M1238=phu!$I$6,M1238=phu!$I$7,M1238=phu!$I$8,M1238=phu!$I$9,M1238=phu!$I$10,M1238=phu!$I$11,M1238=phu!$I$12,M1238=phu!$I$13,M1238=phu!$I$14),"Cam Nghĩa",""),IF(OR(M1238=phu!$I$15,M1238=phu!$I$16,M1238=phu!$I$17,M1238=phu!$I$18,M1238=phu!$I$19,M1238=phu!$I$20,M1238=phu!$I$21),"Cam Phúc Bắc",""),IF(OR(M1238=phu!$I$22,M1238=phu!$I$23,M1238=phu!$I$24,M1238=phu!$I$25),"Cam Phúc Nam",""),IF(OR(M1238=phu!$I$26,M1238=phu!$I$27,M1238=phu!$I$28,M1238=phu!$I$29,M1238=phu!$I$30,M1238=phu!$I$31),"Cam Phú",""),IF(OR(M1238=phu!$I$32,M1238=phu!$I$33,M1238=phu!$I$34,M1238=phu!$I$35,M1238=phu!$I$36,M1238=phu!$I$37),"Cam Lộc",""),IF(OR(M1238=phu!$I$38,M1238=phu!$I$39,M1238=phu!$I$40,M1238=phu!$I$41,M1238=phu!$I$42,M1238=phu!$I$43,M1238=phu!$I$44),"Cam Thuận",""),IF(OR(M1238=phu!$I$45,M1238=phu!$I$46,M1238=phu!$I$47,M1238=phu!$I$48,M1238=phu!$I$49,M1238=phu!$I$50,M1238=phu!$I$51,M1238=phu!$I$52,M1238=phu!$I$53),"Cam Linh",""),IF(OR(M1238=phu!$I$54,M1238=phu!$I$55,M1238=phu!$I$56,M1238=phu!$I$57,M1238=phu!$I$58,M1238=phu!$I$59,M1238=phu!$I$60,M1238=phu!$I$61,M1238=phu!$I$62),"Cam Lợi",""),IF(OR(M1238=phu!$I$63,M1238=phu!$I$64,M1238=phu!$I$65,M1238=phu!$I$66,M1238=phu!$I$67,M1238=phu!$I$68,M1238=phu!$I$69,M1238=phu!$I$70,M1238=phu!$I$71),"Ba Ngòi",""),IF(OR(M1238=phu!$I$72,M1238=phu!$I$73,M1238=phu!$I$74,M1238=phu!$I$75,M1238=phu!$I$76,M1238=phu!$I$77,M1238=phu!$I$78),"Cam Phước Đông",""),IF(OR(M1238=phu!$I$79,M1238=phu!$I$80,M1238=phu!$I$81,M1238=phu!$I$82,M1238=phu!$I$83,M1238=phu!$I$84),"Cam Thịnh Đông",""),IF(OR(M1238=phu!$I$85,M1238=phu!$I$86,M1238=phu!$I$87,M1238=phu!$I$88),"Cam Thịnh Tây",""),IF(OR(M1238=phu!$I$89,M1238=phu!$I$90),"Cam Lập",""),IF(OR(M1238=phu!$I$91,M1238=phu!$I$92,M1238=phu!$I$93),"Cam Bình",""),IF(OR(M1238=phu!$I$94,M1238=phu!$I$95,M1238=phu!$I$96,M1238=phu!$I$97,M1238=phu!$I$98,M1238=phu!$I$99,M1238=phu!$I$100),"Huyện khác",""),IF(OR(M1238=phu!$I$101,M1238=phu!$I$102),"Tỉnh khác",""))</f>
        <v/>
      </c>
      <c r="O1238" s="814" t="str">
        <f t="shared" si="115"/>
        <v/>
      </c>
      <c r="P1238" s="254"/>
      <c r="Q1238" s="254"/>
      <c r="R1238" s="254"/>
      <c r="S1238" s="254"/>
      <c r="T1238" s="254"/>
      <c r="U1238" s="254"/>
      <c r="V1238" s="254"/>
      <c r="W1238" s="254"/>
      <c r="Y1238" s="246" t="str">
        <f t="shared" si="116"/>
        <v/>
      </c>
      <c r="Z1238" s="247" t="str">
        <f t="shared" si="114"/>
        <v/>
      </c>
      <c r="AA1238" s="246" t="str">
        <f t="shared" si="117"/>
        <v/>
      </c>
    </row>
    <row r="1239" spans="1:27" x14ac:dyDescent="0.25">
      <c r="A1239" s="248" t="str">
        <f t="shared" si="118"/>
        <v/>
      </c>
      <c r="B1239" s="249" t="str">
        <f t="shared" si="119"/>
        <v/>
      </c>
      <c r="C1239" s="250"/>
      <c r="D1239" s="251"/>
      <c r="E1239" s="241"/>
      <c r="F1239" s="252"/>
      <c r="G1239" s="252"/>
      <c r="H1239" s="253"/>
      <c r="I1239" s="250"/>
      <c r="J1239" s="250"/>
      <c r="K1239" s="270"/>
      <c r="L1239" s="250"/>
      <c r="M1239" s="250"/>
      <c r="N1239" s="553" t="str">
        <f>CONCATENATE(IF(OR(M1239=phu!$I$1,M1239=phu!$I$2,M1239=phu!$I$3),"Cam Thành Nam",""),IF(OR(M1239=phu!$I$4,M1239=phu!$I$5,M1239=phu!$I$6,M1239=phu!$I$7,M1239=phu!$I$8,M1239=phu!$I$9,M1239=phu!$I$10,M1239=phu!$I$11,M1239=phu!$I$12,M1239=phu!$I$13,M1239=phu!$I$14),"Cam Nghĩa",""),IF(OR(M1239=phu!$I$15,M1239=phu!$I$16,M1239=phu!$I$17,M1239=phu!$I$18,M1239=phu!$I$19,M1239=phu!$I$20,M1239=phu!$I$21),"Cam Phúc Bắc",""),IF(OR(M1239=phu!$I$22,M1239=phu!$I$23,M1239=phu!$I$24,M1239=phu!$I$25),"Cam Phúc Nam",""),IF(OR(M1239=phu!$I$26,M1239=phu!$I$27,M1239=phu!$I$28,M1239=phu!$I$29,M1239=phu!$I$30,M1239=phu!$I$31),"Cam Phú",""),IF(OR(M1239=phu!$I$32,M1239=phu!$I$33,M1239=phu!$I$34,M1239=phu!$I$35,M1239=phu!$I$36,M1239=phu!$I$37),"Cam Lộc",""),IF(OR(M1239=phu!$I$38,M1239=phu!$I$39,M1239=phu!$I$40,M1239=phu!$I$41,M1239=phu!$I$42,M1239=phu!$I$43,M1239=phu!$I$44),"Cam Thuận",""),IF(OR(M1239=phu!$I$45,M1239=phu!$I$46,M1239=phu!$I$47,M1239=phu!$I$48,M1239=phu!$I$49,M1239=phu!$I$50,M1239=phu!$I$51,M1239=phu!$I$52,M1239=phu!$I$53),"Cam Linh",""),IF(OR(M1239=phu!$I$54,M1239=phu!$I$55,M1239=phu!$I$56,M1239=phu!$I$57,M1239=phu!$I$58,M1239=phu!$I$59,M1239=phu!$I$60,M1239=phu!$I$61,M1239=phu!$I$62),"Cam Lợi",""),IF(OR(M1239=phu!$I$63,M1239=phu!$I$64,M1239=phu!$I$65,M1239=phu!$I$66,M1239=phu!$I$67,M1239=phu!$I$68,M1239=phu!$I$69,M1239=phu!$I$70,M1239=phu!$I$71),"Ba Ngòi",""),IF(OR(M1239=phu!$I$72,M1239=phu!$I$73,M1239=phu!$I$74,M1239=phu!$I$75,M1239=phu!$I$76,M1239=phu!$I$77,M1239=phu!$I$78),"Cam Phước Đông",""),IF(OR(M1239=phu!$I$79,M1239=phu!$I$80,M1239=phu!$I$81,M1239=phu!$I$82,M1239=phu!$I$83,M1239=phu!$I$84),"Cam Thịnh Đông",""),IF(OR(M1239=phu!$I$85,M1239=phu!$I$86,M1239=phu!$I$87,M1239=phu!$I$88),"Cam Thịnh Tây",""),IF(OR(M1239=phu!$I$89,M1239=phu!$I$90),"Cam Lập",""),IF(OR(M1239=phu!$I$91,M1239=phu!$I$92,M1239=phu!$I$93),"Cam Bình",""),IF(OR(M1239=phu!$I$94,M1239=phu!$I$95,M1239=phu!$I$96,M1239=phu!$I$97,M1239=phu!$I$98,M1239=phu!$I$99,M1239=phu!$I$100),"Huyện khác",""),IF(OR(M1239=phu!$I$101,M1239=phu!$I$102),"Tỉnh khác",""))</f>
        <v/>
      </c>
      <c r="O1239" s="814" t="str">
        <f t="shared" si="115"/>
        <v/>
      </c>
      <c r="P1239" s="254"/>
      <c r="Q1239" s="254"/>
      <c r="R1239" s="254"/>
      <c r="S1239" s="254"/>
      <c r="T1239" s="254"/>
      <c r="U1239" s="254"/>
      <c r="V1239" s="254"/>
      <c r="W1239" s="254"/>
      <c r="Y1239" s="246" t="str">
        <f t="shared" si="116"/>
        <v/>
      </c>
      <c r="Z1239" s="247" t="str">
        <f t="shared" si="114"/>
        <v/>
      </c>
      <c r="AA1239" s="246" t="str">
        <f t="shared" si="117"/>
        <v/>
      </c>
    </row>
    <row r="1240" spans="1:27" x14ac:dyDescent="0.25">
      <c r="A1240" s="248" t="str">
        <f t="shared" si="118"/>
        <v/>
      </c>
      <c r="B1240" s="249" t="str">
        <f t="shared" si="119"/>
        <v/>
      </c>
      <c r="C1240" s="250"/>
      <c r="D1240" s="251"/>
      <c r="E1240" s="241"/>
      <c r="F1240" s="252"/>
      <c r="G1240" s="252"/>
      <c r="H1240" s="253"/>
      <c r="I1240" s="250"/>
      <c r="J1240" s="250"/>
      <c r="K1240" s="270"/>
      <c r="L1240" s="250"/>
      <c r="M1240" s="250"/>
      <c r="N1240" s="553" t="str">
        <f>CONCATENATE(IF(OR(M1240=phu!$I$1,M1240=phu!$I$2,M1240=phu!$I$3),"Cam Thành Nam",""),IF(OR(M1240=phu!$I$4,M1240=phu!$I$5,M1240=phu!$I$6,M1240=phu!$I$7,M1240=phu!$I$8,M1240=phu!$I$9,M1240=phu!$I$10,M1240=phu!$I$11,M1240=phu!$I$12,M1240=phu!$I$13,M1240=phu!$I$14),"Cam Nghĩa",""),IF(OR(M1240=phu!$I$15,M1240=phu!$I$16,M1240=phu!$I$17,M1240=phu!$I$18,M1240=phu!$I$19,M1240=phu!$I$20,M1240=phu!$I$21),"Cam Phúc Bắc",""),IF(OR(M1240=phu!$I$22,M1240=phu!$I$23,M1240=phu!$I$24,M1240=phu!$I$25),"Cam Phúc Nam",""),IF(OR(M1240=phu!$I$26,M1240=phu!$I$27,M1240=phu!$I$28,M1240=phu!$I$29,M1240=phu!$I$30,M1240=phu!$I$31),"Cam Phú",""),IF(OR(M1240=phu!$I$32,M1240=phu!$I$33,M1240=phu!$I$34,M1240=phu!$I$35,M1240=phu!$I$36,M1240=phu!$I$37),"Cam Lộc",""),IF(OR(M1240=phu!$I$38,M1240=phu!$I$39,M1240=phu!$I$40,M1240=phu!$I$41,M1240=phu!$I$42,M1240=phu!$I$43,M1240=phu!$I$44),"Cam Thuận",""),IF(OR(M1240=phu!$I$45,M1240=phu!$I$46,M1240=phu!$I$47,M1240=phu!$I$48,M1240=phu!$I$49,M1240=phu!$I$50,M1240=phu!$I$51,M1240=phu!$I$52,M1240=phu!$I$53),"Cam Linh",""),IF(OR(M1240=phu!$I$54,M1240=phu!$I$55,M1240=phu!$I$56,M1240=phu!$I$57,M1240=phu!$I$58,M1240=phu!$I$59,M1240=phu!$I$60,M1240=phu!$I$61,M1240=phu!$I$62),"Cam Lợi",""),IF(OR(M1240=phu!$I$63,M1240=phu!$I$64,M1240=phu!$I$65,M1240=phu!$I$66,M1240=phu!$I$67,M1240=phu!$I$68,M1240=phu!$I$69,M1240=phu!$I$70,M1240=phu!$I$71),"Ba Ngòi",""),IF(OR(M1240=phu!$I$72,M1240=phu!$I$73,M1240=phu!$I$74,M1240=phu!$I$75,M1240=phu!$I$76,M1240=phu!$I$77,M1240=phu!$I$78),"Cam Phước Đông",""),IF(OR(M1240=phu!$I$79,M1240=phu!$I$80,M1240=phu!$I$81,M1240=phu!$I$82,M1240=phu!$I$83,M1240=phu!$I$84),"Cam Thịnh Đông",""),IF(OR(M1240=phu!$I$85,M1240=phu!$I$86,M1240=phu!$I$87,M1240=phu!$I$88),"Cam Thịnh Tây",""),IF(OR(M1240=phu!$I$89,M1240=phu!$I$90),"Cam Lập",""),IF(OR(M1240=phu!$I$91,M1240=phu!$I$92,M1240=phu!$I$93),"Cam Bình",""),IF(OR(M1240=phu!$I$94,M1240=phu!$I$95,M1240=phu!$I$96,M1240=phu!$I$97,M1240=phu!$I$98,M1240=phu!$I$99,M1240=phu!$I$100),"Huyện khác",""),IF(OR(M1240=phu!$I$101,M1240=phu!$I$102),"Tỉnh khác",""))</f>
        <v/>
      </c>
      <c r="O1240" s="814" t="str">
        <f t="shared" si="115"/>
        <v/>
      </c>
      <c r="P1240" s="254"/>
      <c r="Q1240" s="254"/>
      <c r="R1240" s="254"/>
      <c r="S1240" s="254"/>
      <c r="T1240" s="254"/>
      <c r="U1240" s="254"/>
      <c r="V1240" s="254"/>
      <c r="W1240" s="254"/>
      <c r="Y1240" s="246" t="str">
        <f t="shared" si="116"/>
        <v/>
      </c>
      <c r="Z1240" s="247" t="str">
        <f t="shared" si="114"/>
        <v/>
      </c>
      <c r="AA1240" s="246" t="str">
        <f t="shared" si="117"/>
        <v/>
      </c>
    </row>
    <row r="1241" spans="1:27" x14ac:dyDescent="0.25">
      <c r="A1241" s="248" t="str">
        <f t="shared" si="118"/>
        <v/>
      </c>
      <c r="B1241" s="249" t="str">
        <f t="shared" si="119"/>
        <v/>
      </c>
      <c r="C1241" s="250"/>
      <c r="D1241" s="251"/>
      <c r="E1241" s="241"/>
      <c r="F1241" s="252"/>
      <c r="G1241" s="252"/>
      <c r="H1241" s="253"/>
      <c r="I1241" s="250"/>
      <c r="J1241" s="250"/>
      <c r="K1241" s="270"/>
      <c r="L1241" s="250"/>
      <c r="M1241" s="250"/>
      <c r="N1241" s="553" t="str">
        <f>CONCATENATE(IF(OR(M1241=phu!$I$1,M1241=phu!$I$2,M1241=phu!$I$3),"Cam Thành Nam",""),IF(OR(M1241=phu!$I$4,M1241=phu!$I$5,M1241=phu!$I$6,M1241=phu!$I$7,M1241=phu!$I$8,M1241=phu!$I$9,M1241=phu!$I$10,M1241=phu!$I$11,M1241=phu!$I$12,M1241=phu!$I$13,M1241=phu!$I$14),"Cam Nghĩa",""),IF(OR(M1241=phu!$I$15,M1241=phu!$I$16,M1241=phu!$I$17,M1241=phu!$I$18,M1241=phu!$I$19,M1241=phu!$I$20,M1241=phu!$I$21),"Cam Phúc Bắc",""),IF(OR(M1241=phu!$I$22,M1241=phu!$I$23,M1241=phu!$I$24,M1241=phu!$I$25),"Cam Phúc Nam",""),IF(OR(M1241=phu!$I$26,M1241=phu!$I$27,M1241=phu!$I$28,M1241=phu!$I$29,M1241=phu!$I$30,M1241=phu!$I$31),"Cam Phú",""),IF(OR(M1241=phu!$I$32,M1241=phu!$I$33,M1241=phu!$I$34,M1241=phu!$I$35,M1241=phu!$I$36,M1241=phu!$I$37),"Cam Lộc",""),IF(OR(M1241=phu!$I$38,M1241=phu!$I$39,M1241=phu!$I$40,M1241=phu!$I$41,M1241=phu!$I$42,M1241=phu!$I$43,M1241=phu!$I$44),"Cam Thuận",""),IF(OR(M1241=phu!$I$45,M1241=phu!$I$46,M1241=phu!$I$47,M1241=phu!$I$48,M1241=phu!$I$49,M1241=phu!$I$50,M1241=phu!$I$51,M1241=phu!$I$52,M1241=phu!$I$53),"Cam Linh",""),IF(OR(M1241=phu!$I$54,M1241=phu!$I$55,M1241=phu!$I$56,M1241=phu!$I$57,M1241=phu!$I$58,M1241=phu!$I$59,M1241=phu!$I$60,M1241=phu!$I$61,M1241=phu!$I$62),"Cam Lợi",""),IF(OR(M1241=phu!$I$63,M1241=phu!$I$64,M1241=phu!$I$65,M1241=phu!$I$66,M1241=phu!$I$67,M1241=phu!$I$68,M1241=phu!$I$69,M1241=phu!$I$70,M1241=phu!$I$71),"Ba Ngòi",""),IF(OR(M1241=phu!$I$72,M1241=phu!$I$73,M1241=phu!$I$74,M1241=phu!$I$75,M1241=phu!$I$76,M1241=phu!$I$77,M1241=phu!$I$78),"Cam Phước Đông",""),IF(OR(M1241=phu!$I$79,M1241=phu!$I$80,M1241=phu!$I$81,M1241=phu!$I$82,M1241=phu!$I$83,M1241=phu!$I$84),"Cam Thịnh Đông",""),IF(OR(M1241=phu!$I$85,M1241=phu!$I$86,M1241=phu!$I$87,M1241=phu!$I$88),"Cam Thịnh Tây",""),IF(OR(M1241=phu!$I$89,M1241=phu!$I$90),"Cam Lập",""),IF(OR(M1241=phu!$I$91,M1241=phu!$I$92,M1241=phu!$I$93),"Cam Bình",""),IF(OR(M1241=phu!$I$94,M1241=phu!$I$95,M1241=phu!$I$96,M1241=phu!$I$97,M1241=phu!$I$98,M1241=phu!$I$99,M1241=phu!$I$100),"Huyện khác",""),IF(OR(M1241=phu!$I$101,M1241=phu!$I$102),"Tỉnh khác",""))</f>
        <v/>
      </c>
      <c r="O1241" s="814" t="str">
        <f t="shared" si="115"/>
        <v/>
      </c>
      <c r="P1241" s="254"/>
      <c r="Q1241" s="254"/>
      <c r="R1241" s="254"/>
      <c r="S1241" s="254"/>
      <c r="T1241" s="254"/>
      <c r="U1241" s="254"/>
      <c r="V1241" s="254"/>
      <c r="W1241" s="254"/>
      <c r="Y1241" s="246" t="str">
        <f t="shared" si="116"/>
        <v/>
      </c>
      <c r="Z1241" s="247" t="str">
        <f t="shared" si="114"/>
        <v/>
      </c>
      <c r="AA1241" s="246" t="str">
        <f t="shared" si="117"/>
        <v/>
      </c>
    </row>
    <row r="1242" spans="1:27" x14ac:dyDescent="0.25">
      <c r="A1242" s="248" t="str">
        <f t="shared" si="118"/>
        <v/>
      </c>
      <c r="B1242" s="249" t="str">
        <f t="shared" si="119"/>
        <v/>
      </c>
      <c r="C1242" s="250"/>
      <c r="D1242" s="251"/>
      <c r="E1242" s="241"/>
      <c r="F1242" s="252"/>
      <c r="G1242" s="252"/>
      <c r="H1242" s="253"/>
      <c r="I1242" s="250"/>
      <c r="J1242" s="250"/>
      <c r="K1242" s="270"/>
      <c r="L1242" s="250"/>
      <c r="M1242" s="250"/>
      <c r="N1242" s="553" t="str">
        <f>CONCATENATE(IF(OR(M1242=phu!$I$1,M1242=phu!$I$2,M1242=phu!$I$3),"Cam Thành Nam",""),IF(OR(M1242=phu!$I$4,M1242=phu!$I$5,M1242=phu!$I$6,M1242=phu!$I$7,M1242=phu!$I$8,M1242=phu!$I$9,M1242=phu!$I$10,M1242=phu!$I$11,M1242=phu!$I$12,M1242=phu!$I$13,M1242=phu!$I$14),"Cam Nghĩa",""),IF(OR(M1242=phu!$I$15,M1242=phu!$I$16,M1242=phu!$I$17,M1242=phu!$I$18,M1242=phu!$I$19,M1242=phu!$I$20,M1242=phu!$I$21),"Cam Phúc Bắc",""),IF(OR(M1242=phu!$I$22,M1242=phu!$I$23,M1242=phu!$I$24,M1242=phu!$I$25),"Cam Phúc Nam",""),IF(OR(M1242=phu!$I$26,M1242=phu!$I$27,M1242=phu!$I$28,M1242=phu!$I$29,M1242=phu!$I$30,M1242=phu!$I$31),"Cam Phú",""),IF(OR(M1242=phu!$I$32,M1242=phu!$I$33,M1242=phu!$I$34,M1242=phu!$I$35,M1242=phu!$I$36,M1242=phu!$I$37),"Cam Lộc",""),IF(OR(M1242=phu!$I$38,M1242=phu!$I$39,M1242=phu!$I$40,M1242=phu!$I$41,M1242=phu!$I$42,M1242=phu!$I$43,M1242=phu!$I$44),"Cam Thuận",""),IF(OR(M1242=phu!$I$45,M1242=phu!$I$46,M1242=phu!$I$47,M1242=phu!$I$48,M1242=phu!$I$49,M1242=phu!$I$50,M1242=phu!$I$51,M1242=phu!$I$52,M1242=phu!$I$53),"Cam Linh",""),IF(OR(M1242=phu!$I$54,M1242=phu!$I$55,M1242=phu!$I$56,M1242=phu!$I$57,M1242=phu!$I$58,M1242=phu!$I$59,M1242=phu!$I$60,M1242=phu!$I$61,M1242=phu!$I$62),"Cam Lợi",""),IF(OR(M1242=phu!$I$63,M1242=phu!$I$64,M1242=phu!$I$65,M1242=phu!$I$66,M1242=phu!$I$67,M1242=phu!$I$68,M1242=phu!$I$69,M1242=phu!$I$70,M1242=phu!$I$71),"Ba Ngòi",""),IF(OR(M1242=phu!$I$72,M1242=phu!$I$73,M1242=phu!$I$74,M1242=phu!$I$75,M1242=phu!$I$76,M1242=phu!$I$77,M1242=phu!$I$78),"Cam Phước Đông",""),IF(OR(M1242=phu!$I$79,M1242=phu!$I$80,M1242=phu!$I$81,M1242=phu!$I$82,M1242=phu!$I$83,M1242=phu!$I$84),"Cam Thịnh Đông",""),IF(OR(M1242=phu!$I$85,M1242=phu!$I$86,M1242=phu!$I$87,M1242=phu!$I$88),"Cam Thịnh Tây",""),IF(OR(M1242=phu!$I$89,M1242=phu!$I$90),"Cam Lập",""),IF(OR(M1242=phu!$I$91,M1242=phu!$I$92,M1242=phu!$I$93),"Cam Bình",""),IF(OR(M1242=phu!$I$94,M1242=phu!$I$95,M1242=phu!$I$96,M1242=phu!$I$97,M1242=phu!$I$98,M1242=phu!$I$99,M1242=phu!$I$100),"Huyện khác",""),IF(OR(M1242=phu!$I$101,M1242=phu!$I$102),"Tỉnh khác",""))</f>
        <v/>
      </c>
      <c r="O1242" s="814" t="str">
        <f t="shared" si="115"/>
        <v/>
      </c>
      <c r="P1242" s="254"/>
      <c r="Q1242" s="254"/>
      <c r="R1242" s="254"/>
      <c r="S1242" s="254"/>
      <c r="T1242" s="254"/>
      <c r="U1242" s="254"/>
      <c r="V1242" s="254"/>
      <c r="W1242" s="254"/>
      <c r="Y1242" s="246" t="str">
        <f t="shared" si="116"/>
        <v/>
      </c>
      <c r="Z1242" s="247" t="str">
        <f t="shared" si="114"/>
        <v/>
      </c>
      <c r="AA1242" s="246" t="str">
        <f t="shared" si="117"/>
        <v/>
      </c>
    </row>
    <row r="1243" spans="1:27" x14ac:dyDescent="0.25">
      <c r="A1243" s="248" t="str">
        <f t="shared" si="118"/>
        <v/>
      </c>
      <c r="B1243" s="249" t="str">
        <f t="shared" si="119"/>
        <v/>
      </c>
      <c r="C1243" s="250"/>
      <c r="D1243" s="251"/>
      <c r="E1243" s="241"/>
      <c r="F1243" s="252"/>
      <c r="G1243" s="252"/>
      <c r="H1243" s="253"/>
      <c r="I1243" s="250"/>
      <c r="J1243" s="250"/>
      <c r="K1243" s="270"/>
      <c r="L1243" s="250"/>
      <c r="M1243" s="250"/>
      <c r="N1243" s="553" t="str">
        <f>CONCATENATE(IF(OR(M1243=phu!$I$1,M1243=phu!$I$2,M1243=phu!$I$3),"Cam Thành Nam",""),IF(OR(M1243=phu!$I$4,M1243=phu!$I$5,M1243=phu!$I$6,M1243=phu!$I$7,M1243=phu!$I$8,M1243=phu!$I$9,M1243=phu!$I$10,M1243=phu!$I$11,M1243=phu!$I$12,M1243=phu!$I$13,M1243=phu!$I$14),"Cam Nghĩa",""),IF(OR(M1243=phu!$I$15,M1243=phu!$I$16,M1243=phu!$I$17,M1243=phu!$I$18,M1243=phu!$I$19,M1243=phu!$I$20,M1243=phu!$I$21),"Cam Phúc Bắc",""),IF(OR(M1243=phu!$I$22,M1243=phu!$I$23,M1243=phu!$I$24,M1243=phu!$I$25),"Cam Phúc Nam",""),IF(OR(M1243=phu!$I$26,M1243=phu!$I$27,M1243=phu!$I$28,M1243=phu!$I$29,M1243=phu!$I$30,M1243=phu!$I$31),"Cam Phú",""),IF(OR(M1243=phu!$I$32,M1243=phu!$I$33,M1243=phu!$I$34,M1243=phu!$I$35,M1243=phu!$I$36,M1243=phu!$I$37),"Cam Lộc",""),IF(OR(M1243=phu!$I$38,M1243=phu!$I$39,M1243=phu!$I$40,M1243=phu!$I$41,M1243=phu!$I$42,M1243=phu!$I$43,M1243=phu!$I$44),"Cam Thuận",""),IF(OR(M1243=phu!$I$45,M1243=phu!$I$46,M1243=phu!$I$47,M1243=phu!$I$48,M1243=phu!$I$49,M1243=phu!$I$50,M1243=phu!$I$51,M1243=phu!$I$52,M1243=phu!$I$53),"Cam Linh",""),IF(OR(M1243=phu!$I$54,M1243=phu!$I$55,M1243=phu!$I$56,M1243=phu!$I$57,M1243=phu!$I$58,M1243=phu!$I$59,M1243=phu!$I$60,M1243=phu!$I$61,M1243=phu!$I$62),"Cam Lợi",""),IF(OR(M1243=phu!$I$63,M1243=phu!$I$64,M1243=phu!$I$65,M1243=phu!$I$66,M1243=phu!$I$67,M1243=phu!$I$68,M1243=phu!$I$69,M1243=phu!$I$70,M1243=phu!$I$71),"Ba Ngòi",""),IF(OR(M1243=phu!$I$72,M1243=phu!$I$73,M1243=phu!$I$74,M1243=phu!$I$75,M1243=phu!$I$76,M1243=phu!$I$77,M1243=phu!$I$78),"Cam Phước Đông",""),IF(OR(M1243=phu!$I$79,M1243=phu!$I$80,M1243=phu!$I$81,M1243=phu!$I$82,M1243=phu!$I$83,M1243=phu!$I$84),"Cam Thịnh Đông",""),IF(OR(M1243=phu!$I$85,M1243=phu!$I$86,M1243=phu!$I$87,M1243=phu!$I$88),"Cam Thịnh Tây",""),IF(OR(M1243=phu!$I$89,M1243=phu!$I$90),"Cam Lập",""),IF(OR(M1243=phu!$I$91,M1243=phu!$I$92,M1243=phu!$I$93),"Cam Bình",""),IF(OR(M1243=phu!$I$94,M1243=phu!$I$95,M1243=phu!$I$96,M1243=phu!$I$97,M1243=phu!$I$98,M1243=phu!$I$99,M1243=phu!$I$100),"Huyện khác",""),IF(OR(M1243=phu!$I$101,M1243=phu!$I$102),"Tỉnh khác",""))</f>
        <v/>
      </c>
      <c r="O1243" s="814" t="str">
        <f t="shared" si="115"/>
        <v/>
      </c>
      <c r="P1243" s="254"/>
      <c r="Q1243" s="254"/>
      <c r="R1243" s="254"/>
      <c r="S1243" s="254"/>
      <c r="T1243" s="254"/>
      <c r="U1243" s="254"/>
      <c r="V1243" s="254"/>
      <c r="W1243" s="254"/>
      <c r="Y1243" s="246" t="str">
        <f t="shared" si="116"/>
        <v/>
      </c>
      <c r="Z1243" s="247" t="str">
        <f t="shared" si="114"/>
        <v/>
      </c>
      <c r="AA1243" s="246" t="str">
        <f t="shared" si="117"/>
        <v/>
      </c>
    </row>
    <row r="1244" spans="1:27" x14ac:dyDescent="0.25">
      <c r="A1244" s="248" t="str">
        <f t="shared" si="118"/>
        <v/>
      </c>
      <c r="B1244" s="249" t="str">
        <f t="shared" si="119"/>
        <v/>
      </c>
      <c r="C1244" s="250"/>
      <c r="D1244" s="251"/>
      <c r="E1244" s="241"/>
      <c r="F1244" s="252"/>
      <c r="G1244" s="252"/>
      <c r="H1244" s="253"/>
      <c r="I1244" s="250"/>
      <c r="J1244" s="250"/>
      <c r="K1244" s="270"/>
      <c r="L1244" s="250"/>
      <c r="M1244" s="250"/>
      <c r="N1244" s="553" t="str">
        <f>CONCATENATE(IF(OR(M1244=phu!$I$1,M1244=phu!$I$2,M1244=phu!$I$3),"Cam Thành Nam",""),IF(OR(M1244=phu!$I$4,M1244=phu!$I$5,M1244=phu!$I$6,M1244=phu!$I$7,M1244=phu!$I$8,M1244=phu!$I$9,M1244=phu!$I$10,M1244=phu!$I$11,M1244=phu!$I$12,M1244=phu!$I$13,M1244=phu!$I$14),"Cam Nghĩa",""),IF(OR(M1244=phu!$I$15,M1244=phu!$I$16,M1244=phu!$I$17,M1244=phu!$I$18,M1244=phu!$I$19,M1244=phu!$I$20,M1244=phu!$I$21),"Cam Phúc Bắc",""),IF(OR(M1244=phu!$I$22,M1244=phu!$I$23,M1244=phu!$I$24,M1244=phu!$I$25),"Cam Phúc Nam",""),IF(OR(M1244=phu!$I$26,M1244=phu!$I$27,M1244=phu!$I$28,M1244=phu!$I$29,M1244=phu!$I$30,M1244=phu!$I$31),"Cam Phú",""),IF(OR(M1244=phu!$I$32,M1244=phu!$I$33,M1244=phu!$I$34,M1244=phu!$I$35,M1244=phu!$I$36,M1244=phu!$I$37),"Cam Lộc",""),IF(OR(M1244=phu!$I$38,M1244=phu!$I$39,M1244=phu!$I$40,M1244=phu!$I$41,M1244=phu!$I$42,M1244=phu!$I$43,M1244=phu!$I$44),"Cam Thuận",""),IF(OR(M1244=phu!$I$45,M1244=phu!$I$46,M1244=phu!$I$47,M1244=phu!$I$48,M1244=phu!$I$49,M1244=phu!$I$50,M1244=phu!$I$51,M1244=phu!$I$52,M1244=phu!$I$53),"Cam Linh",""),IF(OR(M1244=phu!$I$54,M1244=phu!$I$55,M1244=phu!$I$56,M1244=phu!$I$57,M1244=phu!$I$58,M1244=phu!$I$59,M1244=phu!$I$60,M1244=phu!$I$61,M1244=phu!$I$62),"Cam Lợi",""),IF(OR(M1244=phu!$I$63,M1244=phu!$I$64,M1244=phu!$I$65,M1244=phu!$I$66,M1244=phu!$I$67,M1244=phu!$I$68,M1244=phu!$I$69,M1244=phu!$I$70,M1244=phu!$I$71),"Ba Ngòi",""),IF(OR(M1244=phu!$I$72,M1244=phu!$I$73,M1244=phu!$I$74,M1244=phu!$I$75,M1244=phu!$I$76,M1244=phu!$I$77,M1244=phu!$I$78),"Cam Phước Đông",""),IF(OR(M1244=phu!$I$79,M1244=phu!$I$80,M1244=phu!$I$81,M1244=phu!$I$82,M1244=phu!$I$83,M1244=phu!$I$84),"Cam Thịnh Đông",""),IF(OR(M1244=phu!$I$85,M1244=phu!$I$86,M1244=phu!$I$87,M1244=phu!$I$88),"Cam Thịnh Tây",""),IF(OR(M1244=phu!$I$89,M1244=phu!$I$90),"Cam Lập",""),IF(OR(M1244=phu!$I$91,M1244=phu!$I$92,M1244=phu!$I$93),"Cam Bình",""),IF(OR(M1244=phu!$I$94,M1244=phu!$I$95,M1244=phu!$I$96,M1244=phu!$I$97,M1244=phu!$I$98,M1244=phu!$I$99,M1244=phu!$I$100),"Huyện khác",""),IF(OR(M1244=phu!$I$101,M1244=phu!$I$102),"Tỉnh khác",""))</f>
        <v/>
      </c>
      <c r="O1244" s="814" t="str">
        <f t="shared" si="115"/>
        <v/>
      </c>
      <c r="P1244" s="254"/>
      <c r="Q1244" s="254"/>
      <c r="R1244" s="254"/>
      <c r="S1244" s="254"/>
      <c r="T1244" s="254"/>
      <c r="U1244" s="254"/>
      <c r="V1244" s="254"/>
      <c r="W1244" s="254"/>
      <c r="Y1244" s="246" t="str">
        <f t="shared" si="116"/>
        <v/>
      </c>
      <c r="Z1244" s="247" t="str">
        <f t="shared" si="114"/>
        <v/>
      </c>
      <c r="AA1244" s="246" t="str">
        <f t="shared" si="117"/>
        <v/>
      </c>
    </row>
    <row r="1245" spans="1:27" x14ac:dyDescent="0.25">
      <c r="A1245" s="248" t="str">
        <f t="shared" si="118"/>
        <v/>
      </c>
      <c r="B1245" s="249" t="str">
        <f t="shared" si="119"/>
        <v/>
      </c>
      <c r="C1245" s="250"/>
      <c r="D1245" s="251"/>
      <c r="E1245" s="241"/>
      <c r="F1245" s="252"/>
      <c r="G1245" s="252"/>
      <c r="H1245" s="253"/>
      <c r="I1245" s="250"/>
      <c r="J1245" s="250"/>
      <c r="K1245" s="270"/>
      <c r="L1245" s="250"/>
      <c r="M1245" s="250"/>
      <c r="N1245" s="553" t="str">
        <f>CONCATENATE(IF(OR(M1245=phu!$I$1,M1245=phu!$I$2,M1245=phu!$I$3),"Cam Thành Nam",""),IF(OR(M1245=phu!$I$4,M1245=phu!$I$5,M1245=phu!$I$6,M1245=phu!$I$7,M1245=phu!$I$8,M1245=phu!$I$9,M1245=phu!$I$10,M1245=phu!$I$11,M1245=phu!$I$12,M1245=phu!$I$13,M1245=phu!$I$14),"Cam Nghĩa",""),IF(OR(M1245=phu!$I$15,M1245=phu!$I$16,M1245=phu!$I$17,M1245=phu!$I$18,M1245=phu!$I$19,M1245=phu!$I$20,M1245=phu!$I$21),"Cam Phúc Bắc",""),IF(OR(M1245=phu!$I$22,M1245=phu!$I$23,M1245=phu!$I$24,M1245=phu!$I$25),"Cam Phúc Nam",""),IF(OR(M1245=phu!$I$26,M1245=phu!$I$27,M1245=phu!$I$28,M1245=phu!$I$29,M1245=phu!$I$30,M1245=phu!$I$31),"Cam Phú",""),IF(OR(M1245=phu!$I$32,M1245=phu!$I$33,M1245=phu!$I$34,M1245=phu!$I$35,M1245=phu!$I$36,M1245=phu!$I$37),"Cam Lộc",""),IF(OR(M1245=phu!$I$38,M1245=phu!$I$39,M1245=phu!$I$40,M1245=phu!$I$41,M1245=phu!$I$42,M1245=phu!$I$43,M1245=phu!$I$44),"Cam Thuận",""),IF(OR(M1245=phu!$I$45,M1245=phu!$I$46,M1245=phu!$I$47,M1245=phu!$I$48,M1245=phu!$I$49,M1245=phu!$I$50,M1245=phu!$I$51,M1245=phu!$I$52,M1245=phu!$I$53),"Cam Linh",""),IF(OR(M1245=phu!$I$54,M1245=phu!$I$55,M1245=phu!$I$56,M1245=phu!$I$57,M1245=phu!$I$58,M1245=phu!$I$59,M1245=phu!$I$60,M1245=phu!$I$61,M1245=phu!$I$62),"Cam Lợi",""),IF(OR(M1245=phu!$I$63,M1245=phu!$I$64,M1245=phu!$I$65,M1245=phu!$I$66,M1245=phu!$I$67,M1245=phu!$I$68,M1245=phu!$I$69,M1245=phu!$I$70,M1245=phu!$I$71),"Ba Ngòi",""),IF(OR(M1245=phu!$I$72,M1245=phu!$I$73,M1245=phu!$I$74,M1245=phu!$I$75,M1245=phu!$I$76,M1245=phu!$I$77,M1245=phu!$I$78),"Cam Phước Đông",""),IF(OR(M1245=phu!$I$79,M1245=phu!$I$80,M1245=phu!$I$81,M1245=phu!$I$82,M1245=phu!$I$83,M1245=phu!$I$84),"Cam Thịnh Đông",""),IF(OR(M1245=phu!$I$85,M1245=phu!$I$86,M1245=phu!$I$87,M1245=phu!$I$88),"Cam Thịnh Tây",""),IF(OR(M1245=phu!$I$89,M1245=phu!$I$90),"Cam Lập",""),IF(OR(M1245=phu!$I$91,M1245=phu!$I$92,M1245=phu!$I$93),"Cam Bình",""),IF(OR(M1245=phu!$I$94,M1245=phu!$I$95,M1245=phu!$I$96,M1245=phu!$I$97,M1245=phu!$I$98,M1245=phu!$I$99,M1245=phu!$I$100),"Huyện khác",""),IF(OR(M1245=phu!$I$101,M1245=phu!$I$102),"Tỉnh khác",""))</f>
        <v/>
      </c>
      <c r="O1245" s="814" t="str">
        <f t="shared" si="115"/>
        <v/>
      </c>
      <c r="P1245" s="254"/>
      <c r="Q1245" s="254"/>
      <c r="R1245" s="254"/>
      <c r="S1245" s="254"/>
      <c r="T1245" s="254"/>
      <c r="U1245" s="254"/>
      <c r="V1245" s="254"/>
      <c r="W1245" s="254"/>
      <c r="Y1245" s="246" t="str">
        <f t="shared" si="116"/>
        <v/>
      </c>
      <c r="Z1245" s="247" t="str">
        <f t="shared" si="114"/>
        <v/>
      </c>
      <c r="AA1245" s="246" t="str">
        <f t="shared" si="117"/>
        <v/>
      </c>
    </row>
    <row r="1246" spans="1:27" x14ac:dyDescent="0.25">
      <c r="A1246" s="248" t="str">
        <f t="shared" si="118"/>
        <v/>
      </c>
      <c r="B1246" s="249" t="str">
        <f t="shared" si="119"/>
        <v/>
      </c>
      <c r="C1246" s="250"/>
      <c r="D1246" s="251"/>
      <c r="E1246" s="241"/>
      <c r="F1246" s="252"/>
      <c r="G1246" s="252"/>
      <c r="H1246" s="253"/>
      <c r="I1246" s="250"/>
      <c r="J1246" s="250"/>
      <c r="K1246" s="270"/>
      <c r="L1246" s="250"/>
      <c r="M1246" s="250"/>
      <c r="N1246" s="553" t="str">
        <f>CONCATENATE(IF(OR(M1246=phu!$I$1,M1246=phu!$I$2,M1246=phu!$I$3),"Cam Thành Nam",""),IF(OR(M1246=phu!$I$4,M1246=phu!$I$5,M1246=phu!$I$6,M1246=phu!$I$7,M1246=phu!$I$8,M1246=phu!$I$9,M1246=phu!$I$10,M1246=phu!$I$11,M1246=phu!$I$12,M1246=phu!$I$13,M1246=phu!$I$14),"Cam Nghĩa",""),IF(OR(M1246=phu!$I$15,M1246=phu!$I$16,M1246=phu!$I$17,M1246=phu!$I$18,M1246=phu!$I$19,M1246=phu!$I$20,M1246=phu!$I$21),"Cam Phúc Bắc",""),IF(OR(M1246=phu!$I$22,M1246=phu!$I$23,M1246=phu!$I$24,M1246=phu!$I$25),"Cam Phúc Nam",""),IF(OR(M1246=phu!$I$26,M1246=phu!$I$27,M1246=phu!$I$28,M1246=phu!$I$29,M1246=phu!$I$30,M1246=phu!$I$31),"Cam Phú",""),IF(OR(M1246=phu!$I$32,M1246=phu!$I$33,M1246=phu!$I$34,M1246=phu!$I$35,M1246=phu!$I$36,M1246=phu!$I$37),"Cam Lộc",""),IF(OR(M1246=phu!$I$38,M1246=phu!$I$39,M1246=phu!$I$40,M1246=phu!$I$41,M1246=phu!$I$42,M1246=phu!$I$43,M1246=phu!$I$44),"Cam Thuận",""),IF(OR(M1246=phu!$I$45,M1246=phu!$I$46,M1246=phu!$I$47,M1246=phu!$I$48,M1246=phu!$I$49,M1246=phu!$I$50,M1246=phu!$I$51,M1246=phu!$I$52,M1246=phu!$I$53),"Cam Linh",""),IF(OR(M1246=phu!$I$54,M1246=phu!$I$55,M1246=phu!$I$56,M1246=phu!$I$57,M1246=phu!$I$58,M1246=phu!$I$59,M1246=phu!$I$60,M1246=phu!$I$61,M1246=phu!$I$62),"Cam Lợi",""),IF(OR(M1246=phu!$I$63,M1246=phu!$I$64,M1246=phu!$I$65,M1246=phu!$I$66,M1246=phu!$I$67,M1246=phu!$I$68,M1246=phu!$I$69,M1246=phu!$I$70,M1246=phu!$I$71),"Ba Ngòi",""),IF(OR(M1246=phu!$I$72,M1246=phu!$I$73,M1246=phu!$I$74,M1246=phu!$I$75,M1246=phu!$I$76,M1246=phu!$I$77,M1246=phu!$I$78),"Cam Phước Đông",""),IF(OR(M1246=phu!$I$79,M1246=phu!$I$80,M1246=phu!$I$81,M1246=phu!$I$82,M1246=phu!$I$83,M1246=phu!$I$84),"Cam Thịnh Đông",""),IF(OR(M1246=phu!$I$85,M1246=phu!$I$86,M1246=phu!$I$87,M1246=phu!$I$88),"Cam Thịnh Tây",""),IF(OR(M1246=phu!$I$89,M1246=phu!$I$90),"Cam Lập",""),IF(OR(M1246=phu!$I$91,M1246=phu!$I$92,M1246=phu!$I$93),"Cam Bình",""),IF(OR(M1246=phu!$I$94,M1246=phu!$I$95,M1246=phu!$I$96,M1246=phu!$I$97,M1246=phu!$I$98,M1246=phu!$I$99,M1246=phu!$I$100),"Huyện khác",""),IF(OR(M1246=phu!$I$101,M1246=phu!$I$102),"Tỉnh khác",""))</f>
        <v/>
      </c>
      <c r="O1246" s="814" t="str">
        <f t="shared" si="115"/>
        <v/>
      </c>
      <c r="P1246" s="254"/>
      <c r="Q1246" s="254"/>
      <c r="R1246" s="254"/>
      <c r="S1246" s="254"/>
      <c r="T1246" s="254"/>
      <c r="U1246" s="254"/>
      <c r="V1246" s="254"/>
      <c r="W1246" s="254"/>
      <c r="Y1246" s="246" t="str">
        <f t="shared" si="116"/>
        <v/>
      </c>
      <c r="Z1246" s="247" t="str">
        <f t="shared" si="114"/>
        <v/>
      </c>
      <c r="AA1246" s="246" t="str">
        <f t="shared" si="117"/>
        <v/>
      </c>
    </row>
    <row r="1247" spans="1:27" x14ac:dyDescent="0.25">
      <c r="A1247" s="248" t="str">
        <f t="shared" si="118"/>
        <v/>
      </c>
      <c r="B1247" s="249" t="str">
        <f t="shared" si="119"/>
        <v/>
      </c>
      <c r="C1247" s="250"/>
      <c r="D1247" s="251"/>
      <c r="E1247" s="241"/>
      <c r="F1247" s="252"/>
      <c r="G1247" s="252"/>
      <c r="H1247" s="253"/>
      <c r="I1247" s="250"/>
      <c r="J1247" s="250"/>
      <c r="K1247" s="270"/>
      <c r="L1247" s="250"/>
      <c r="M1247" s="250"/>
      <c r="N1247" s="553" t="str">
        <f>CONCATENATE(IF(OR(M1247=phu!$I$1,M1247=phu!$I$2,M1247=phu!$I$3),"Cam Thành Nam",""),IF(OR(M1247=phu!$I$4,M1247=phu!$I$5,M1247=phu!$I$6,M1247=phu!$I$7,M1247=phu!$I$8,M1247=phu!$I$9,M1247=phu!$I$10,M1247=phu!$I$11,M1247=phu!$I$12,M1247=phu!$I$13,M1247=phu!$I$14),"Cam Nghĩa",""),IF(OR(M1247=phu!$I$15,M1247=phu!$I$16,M1247=phu!$I$17,M1247=phu!$I$18,M1247=phu!$I$19,M1247=phu!$I$20,M1247=phu!$I$21),"Cam Phúc Bắc",""),IF(OR(M1247=phu!$I$22,M1247=phu!$I$23,M1247=phu!$I$24,M1247=phu!$I$25),"Cam Phúc Nam",""),IF(OR(M1247=phu!$I$26,M1247=phu!$I$27,M1247=phu!$I$28,M1247=phu!$I$29,M1247=phu!$I$30,M1247=phu!$I$31),"Cam Phú",""),IF(OR(M1247=phu!$I$32,M1247=phu!$I$33,M1247=phu!$I$34,M1247=phu!$I$35,M1247=phu!$I$36,M1247=phu!$I$37),"Cam Lộc",""),IF(OR(M1247=phu!$I$38,M1247=phu!$I$39,M1247=phu!$I$40,M1247=phu!$I$41,M1247=phu!$I$42,M1247=phu!$I$43,M1247=phu!$I$44),"Cam Thuận",""),IF(OR(M1247=phu!$I$45,M1247=phu!$I$46,M1247=phu!$I$47,M1247=phu!$I$48,M1247=phu!$I$49,M1247=phu!$I$50,M1247=phu!$I$51,M1247=phu!$I$52,M1247=phu!$I$53),"Cam Linh",""),IF(OR(M1247=phu!$I$54,M1247=phu!$I$55,M1247=phu!$I$56,M1247=phu!$I$57,M1247=phu!$I$58,M1247=phu!$I$59,M1247=phu!$I$60,M1247=phu!$I$61,M1247=phu!$I$62),"Cam Lợi",""),IF(OR(M1247=phu!$I$63,M1247=phu!$I$64,M1247=phu!$I$65,M1247=phu!$I$66,M1247=phu!$I$67,M1247=phu!$I$68,M1247=phu!$I$69,M1247=phu!$I$70,M1247=phu!$I$71),"Ba Ngòi",""),IF(OR(M1247=phu!$I$72,M1247=phu!$I$73,M1247=phu!$I$74,M1247=phu!$I$75,M1247=phu!$I$76,M1247=phu!$I$77,M1247=phu!$I$78),"Cam Phước Đông",""),IF(OR(M1247=phu!$I$79,M1247=phu!$I$80,M1247=phu!$I$81,M1247=phu!$I$82,M1247=phu!$I$83,M1247=phu!$I$84),"Cam Thịnh Đông",""),IF(OR(M1247=phu!$I$85,M1247=phu!$I$86,M1247=phu!$I$87,M1247=phu!$I$88),"Cam Thịnh Tây",""),IF(OR(M1247=phu!$I$89,M1247=phu!$I$90),"Cam Lập",""),IF(OR(M1247=phu!$I$91,M1247=phu!$I$92,M1247=phu!$I$93),"Cam Bình",""),IF(OR(M1247=phu!$I$94,M1247=phu!$I$95,M1247=phu!$I$96,M1247=phu!$I$97,M1247=phu!$I$98,M1247=phu!$I$99,M1247=phu!$I$100),"Huyện khác",""),IF(OR(M1247=phu!$I$101,M1247=phu!$I$102),"Tỉnh khác",""))</f>
        <v/>
      </c>
      <c r="O1247" s="814" t="str">
        <f t="shared" si="115"/>
        <v/>
      </c>
      <c r="P1247" s="254"/>
      <c r="Q1247" s="254"/>
      <c r="R1247" s="254"/>
      <c r="S1247" s="254"/>
      <c r="T1247" s="254"/>
      <c r="U1247" s="254"/>
      <c r="V1247" s="254"/>
      <c r="W1247" s="254"/>
      <c r="Y1247" s="246" t="str">
        <f t="shared" si="116"/>
        <v/>
      </c>
      <c r="Z1247" s="247" t="str">
        <f t="shared" si="114"/>
        <v/>
      </c>
      <c r="AA1247" s="246" t="str">
        <f t="shared" si="117"/>
        <v/>
      </c>
    </row>
    <row r="1248" spans="1:27" x14ac:dyDescent="0.25">
      <c r="A1248" s="248" t="str">
        <f t="shared" si="118"/>
        <v/>
      </c>
      <c r="B1248" s="249" t="str">
        <f t="shared" si="119"/>
        <v/>
      </c>
      <c r="C1248" s="250"/>
      <c r="D1248" s="251"/>
      <c r="E1248" s="241"/>
      <c r="F1248" s="252"/>
      <c r="G1248" s="252"/>
      <c r="H1248" s="253"/>
      <c r="I1248" s="250"/>
      <c r="J1248" s="250"/>
      <c r="K1248" s="270"/>
      <c r="L1248" s="250"/>
      <c r="M1248" s="250"/>
      <c r="N1248" s="553" t="str">
        <f>CONCATENATE(IF(OR(M1248=phu!$I$1,M1248=phu!$I$2,M1248=phu!$I$3),"Cam Thành Nam",""),IF(OR(M1248=phu!$I$4,M1248=phu!$I$5,M1248=phu!$I$6,M1248=phu!$I$7,M1248=phu!$I$8,M1248=phu!$I$9,M1248=phu!$I$10,M1248=phu!$I$11,M1248=phu!$I$12,M1248=phu!$I$13,M1248=phu!$I$14),"Cam Nghĩa",""),IF(OR(M1248=phu!$I$15,M1248=phu!$I$16,M1248=phu!$I$17,M1248=phu!$I$18,M1248=phu!$I$19,M1248=phu!$I$20,M1248=phu!$I$21),"Cam Phúc Bắc",""),IF(OR(M1248=phu!$I$22,M1248=phu!$I$23,M1248=phu!$I$24,M1248=phu!$I$25),"Cam Phúc Nam",""),IF(OR(M1248=phu!$I$26,M1248=phu!$I$27,M1248=phu!$I$28,M1248=phu!$I$29,M1248=phu!$I$30,M1248=phu!$I$31),"Cam Phú",""),IF(OR(M1248=phu!$I$32,M1248=phu!$I$33,M1248=phu!$I$34,M1248=phu!$I$35,M1248=phu!$I$36,M1248=phu!$I$37),"Cam Lộc",""),IF(OR(M1248=phu!$I$38,M1248=phu!$I$39,M1248=phu!$I$40,M1248=phu!$I$41,M1248=phu!$I$42,M1248=phu!$I$43,M1248=phu!$I$44),"Cam Thuận",""),IF(OR(M1248=phu!$I$45,M1248=phu!$I$46,M1248=phu!$I$47,M1248=phu!$I$48,M1248=phu!$I$49,M1248=phu!$I$50,M1248=phu!$I$51,M1248=phu!$I$52,M1248=phu!$I$53),"Cam Linh",""),IF(OR(M1248=phu!$I$54,M1248=phu!$I$55,M1248=phu!$I$56,M1248=phu!$I$57,M1248=phu!$I$58,M1248=phu!$I$59,M1248=phu!$I$60,M1248=phu!$I$61,M1248=phu!$I$62),"Cam Lợi",""),IF(OR(M1248=phu!$I$63,M1248=phu!$I$64,M1248=phu!$I$65,M1248=phu!$I$66,M1248=phu!$I$67,M1248=phu!$I$68,M1248=phu!$I$69,M1248=phu!$I$70,M1248=phu!$I$71),"Ba Ngòi",""),IF(OR(M1248=phu!$I$72,M1248=phu!$I$73,M1248=phu!$I$74,M1248=phu!$I$75,M1248=phu!$I$76,M1248=phu!$I$77,M1248=phu!$I$78),"Cam Phước Đông",""),IF(OR(M1248=phu!$I$79,M1248=phu!$I$80,M1248=phu!$I$81,M1248=phu!$I$82,M1248=phu!$I$83,M1248=phu!$I$84),"Cam Thịnh Đông",""),IF(OR(M1248=phu!$I$85,M1248=phu!$I$86,M1248=phu!$I$87,M1248=phu!$I$88),"Cam Thịnh Tây",""),IF(OR(M1248=phu!$I$89,M1248=phu!$I$90),"Cam Lập",""),IF(OR(M1248=phu!$I$91,M1248=phu!$I$92,M1248=phu!$I$93),"Cam Bình",""),IF(OR(M1248=phu!$I$94,M1248=phu!$I$95,M1248=phu!$I$96,M1248=phu!$I$97,M1248=phu!$I$98,M1248=phu!$I$99,M1248=phu!$I$100),"Huyện khác",""),IF(OR(M1248=phu!$I$101,M1248=phu!$I$102),"Tỉnh khác",""))</f>
        <v/>
      </c>
      <c r="O1248" s="814" t="str">
        <f t="shared" si="115"/>
        <v/>
      </c>
      <c r="P1248" s="254"/>
      <c r="Q1248" s="254"/>
      <c r="R1248" s="254"/>
      <c r="S1248" s="254"/>
      <c r="T1248" s="254"/>
      <c r="U1248" s="254"/>
      <c r="V1248" s="254"/>
      <c r="W1248" s="254"/>
      <c r="Y1248" s="246" t="str">
        <f t="shared" si="116"/>
        <v/>
      </c>
      <c r="Z1248" s="247" t="str">
        <f t="shared" si="114"/>
        <v/>
      </c>
      <c r="AA1248" s="246" t="str">
        <f t="shared" si="117"/>
        <v/>
      </c>
    </row>
    <row r="1249" spans="1:27" x14ac:dyDescent="0.25">
      <c r="A1249" s="248" t="str">
        <f t="shared" si="118"/>
        <v/>
      </c>
      <c r="B1249" s="249" t="str">
        <f t="shared" si="119"/>
        <v/>
      </c>
      <c r="C1249" s="250"/>
      <c r="D1249" s="251"/>
      <c r="E1249" s="241"/>
      <c r="F1249" s="252"/>
      <c r="G1249" s="252"/>
      <c r="H1249" s="253"/>
      <c r="I1249" s="250"/>
      <c r="J1249" s="250"/>
      <c r="K1249" s="270"/>
      <c r="L1249" s="250"/>
      <c r="M1249" s="250"/>
      <c r="N1249" s="553" t="str">
        <f>CONCATENATE(IF(OR(M1249=phu!$I$1,M1249=phu!$I$2,M1249=phu!$I$3),"Cam Thành Nam",""),IF(OR(M1249=phu!$I$4,M1249=phu!$I$5,M1249=phu!$I$6,M1249=phu!$I$7,M1249=phu!$I$8,M1249=phu!$I$9,M1249=phu!$I$10,M1249=phu!$I$11,M1249=phu!$I$12,M1249=phu!$I$13,M1249=phu!$I$14),"Cam Nghĩa",""),IF(OR(M1249=phu!$I$15,M1249=phu!$I$16,M1249=phu!$I$17,M1249=phu!$I$18,M1249=phu!$I$19,M1249=phu!$I$20,M1249=phu!$I$21),"Cam Phúc Bắc",""),IF(OR(M1249=phu!$I$22,M1249=phu!$I$23,M1249=phu!$I$24,M1249=phu!$I$25),"Cam Phúc Nam",""),IF(OR(M1249=phu!$I$26,M1249=phu!$I$27,M1249=phu!$I$28,M1249=phu!$I$29,M1249=phu!$I$30,M1249=phu!$I$31),"Cam Phú",""),IF(OR(M1249=phu!$I$32,M1249=phu!$I$33,M1249=phu!$I$34,M1249=phu!$I$35,M1249=phu!$I$36,M1249=phu!$I$37),"Cam Lộc",""),IF(OR(M1249=phu!$I$38,M1249=phu!$I$39,M1249=phu!$I$40,M1249=phu!$I$41,M1249=phu!$I$42,M1249=phu!$I$43,M1249=phu!$I$44),"Cam Thuận",""),IF(OR(M1249=phu!$I$45,M1249=phu!$I$46,M1249=phu!$I$47,M1249=phu!$I$48,M1249=phu!$I$49,M1249=phu!$I$50,M1249=phu!$I$51,M1249=phu!$I$52,M1249=phu!$I$53),"Cam Linh",""),IF(OR(M1249=phu!$I$54,M1249=phu!$I$55,M1249=phu!$I$56,M1249=phu!$I$57,M1249=phu!$I$58,M1249=phu!$I$59,M1249=phu!$I$60,M1249=phu!$I$61,M1249=phu!$I$62),"Cam Lợi",""),IF(OR(M1249=phu!$I$63,M1249=phu!$I$64,M1249=phu!$I$65,M1249=phu!$I$66,M1249=phu!$I$67,M1249=phu!$I$68,M1249=phu!$I$69,M1249=phu!$I$70,M1249=phu!$I$71),"Ba Ngòi",""),IF(OR(M1249=phu!$I$72,M1249=phu!$I$73,M1249=phu!$I$74,M1249=phu!$I$75,M1249=phu!$I$76,M1249=phu!$I$77,M1249=phu!$I$78),"Cam Phước Đông",""),IF(OR(M1249=phu!$I$79,M1249=phu!$I$80,M1249=phu!$I$81,M1249=phu!$I$82,M1249=phu!$I$83,M1249=phu!$I$84),"Cam Thịnh Đông",""),IF(OR(M1249=phu!$I$85,M1249=phu!$I$86,M1249=phu!$I$87,M1249=phu!$I$88),"Cam Thịnh Tây",""),IF(OR(M1249=phu!$I$89,M1249=phu!$I$90),"Cam Lập",""),IF(OR(M1249=phu!$I$91,M1249=phu!$I$92,M1249=phu!$I$93),"Cam Bình",""),IF(OR(M1249=phu!$I$94,M1249=phu!$I$95,M1249=phu!$I$96,M1249=phu!$I$97,M1249=phu!$I$98,M1249=phu!$I$99,M1249=phu!$I$100),"Huyện khác",""),IF(OR(M1249=phu!$I$101,M1249=phu!$I$102),"Tỉnh khác",""))</f>
        <v/>
      </c>
      <c r="O1249" s="814" t="str">
        <f t="shared" si="115"/>
        <v/>
      </c>
      <c r="P1249" s="254"/>
      <c r="Q1249" s="254"/>
      <c r="R1249" s="254"/>
      <c r="S1249" s="254"/>
      <c r="T1249" s="254"/>
      <c r="U1249" s="254"/>
      <c r="V1249" s="254"/>
      <c r="W1249" s="254"/>
      <c r="Y1249" s="246" t="str">
        <f t="shared" si="116"/>
        <v/>
      </c>
      <c r="Z1249" s="247" t="str">
        <f t="shared" si="114"/>
        <v/>
      </c>
      <c r="AA1249" s="246" t="str">
        <f t="shared" si="117"/>
        <v/>
      </c>
    </row>
    <row r="1250" spans="1:27" x14ac:dyDescent="0.25">
      <c r="A1250" s="248" t="str">
        <f t="shared" si="118"/>
        <v/>
      </c>
      <c r="B1250" s="249" t="str">
        <f t="shared" si="119"/>
        <v/>
      </c>
      <c r="C1250" s="250"/>
      <c r="D1250" s="251"/>
      <c r="E1250" s="241"/>
      <c r="F1250" s="252"/>
      <c r="G1250" s="252"/>
      <c r="H1250" s="253"/>
      <c r="I1250" s="250"/>
      <c r="J1250" s="250"/>
      <c r="K1250" s="270"/>
      <c r="L1250" s="250"/>
      <c r="M1250" s="250"/>
      <c r="N1250" s="553" t="str">
        <f>CONCATENATE(IF(OR(M1250=phu!$I$1,M1250=phu!$I$2,M1250=phu!$I$3),"Cam Thành Nam",""),IF(OR(M1250=phu!$I$4,M1250=phu!$I$5,M1250=phu!$I$6,M1250=phu!$I$7,M1250=phu!$I$8,M1250=phu!$I$9,M1250=phu!$I$10,M1250=phu!$I$11,M1250=phu!$I$12,M1250=phu!$I$13,M1250=phu!$I$14),"Cam Nghĩa",""),IF(OR(M1250=phu!$I$15,M1250=phu!$I$16,M1250=phu!$I$17,M1250=phu!$I$18,M1250=phu!$I$19,M1250=phu!$I$20,M1250=phu!$I$21),"Cam Phúc Bắc",""),IF(OR(M1250=phu!$I$22,M1250=phu!$I$23,M1250=phu!$I$24,M1250=phu!$I$25),"Cam Phúc Nam",""),IF(OR(M1250=phu!$I$26,M1250=phu!$I$27,M1250=phu!$I$28,M1250=phu!$I$29,M1250=phu!$I$30,M1250=phu!$I$31),"Cam Phú",""),IF(OR(M1250=phu!$I$32,M1250=phu!$I$33,M1250=phu!$I$34,M1250=phu!$I$35,M1250=phu!$I$36,M1250=phu!$I$37),"Cam Lộc",""),IF(OR(M1250=phu!$I$38,M1250=phu!$I$39,M1250=phu!$I$40,M1250=phu!$I$41,M1250=phu!$I$42,M1250=phu!$I$43,M1250=phu!$I$44),"Cam Thuận",""),IF(OR(M1250=phu!$I$45,M1250=phu!$I$46,M1250=phu!$I$47,M1250=phu!$I$48,M1250=phu!$I$49,M1250=phu!$I$50,M1250=phu!$I$51,M1250=phu!$I$52,M1250=phu!$I$53),"Cam Linh",""),IF(OR(M1250=phu!$I$54,M1250=phu!$I$55,M1250=phu!$I$56,M1250=phu!$I$57,M1250=phu!$I$58,M1250=phu!$I$59,M1250=phu!$I$60,M1250=phu!$I$61,M1250=phu!$I$62),"Cam Lợi",""),IF(OR(M1250=phu!$I$63,M1250=phu!$I$64,M1250=phu!$I$65,M1250=phu!$I$66,M1250=phu!$I$67,M1250=phu!$I$68,M1250=phu!$I$69,M1250=phu!$I$70,M1250=phu!$I$71),"Ba Ngòi",""),IF(OR(M1250=phu!$I$72,M1250=phu!$I$73,M1250=phu!$I$74,M1250=phu!$I$75,M1250=phu!$I$76,M1250=phu!$I$77,M1250=phu!$I$78),"Cam Phước Đông",""),IF(OR(M1250=phu!$I$79,M1250=phu!$I$80,M1250=phu!$I$81,M1250=phu!$I$82,M1250=phu!$I$83,M1250=phu!$I$84),"Cam Thịnh Đông",""),IF(OR(M1250=phu!$I$85,M1250=phu!$I$86,M1250=phu!$I$87,M1250=phu!$I$88),"Cam Thịnh Tây",""),IF(OR(M1250=phu!$I$89,M1250=phu!$I$90),"Cam Lập",""),IF(OR(M1250=phu!$I$91,M1250=phu!$I$92,M1250=phu!$I$93),"Cam Bình",""),IF(OR(M1250=phu!$I$94,M1250=phu!$I$95,M1250=phu!$I$96,M1250=phu!$I$97,M1250=phu!$I$98,M1250=phu!$I$99,M1250=phu!$I$100),"Huyện khác",""),IF(OR(M1250=phu!$I$101,M1250=phu!$I$102),"Tỉnh khác",""))</f>
        <v/>
      </c>
      <c r="O1250" s="814" t="str">
        <f t="shared" si="115"/>
        <v/>
      </c>
      <c r="P1250" s="254"/>
      <c r="Q1250" s="254"/>
      <c r="R1250" s="254"/>
      <c r="S1250" s="254"/>
      <c r="T1250" s="254"/>
      <c r="U1250" s="254"/>
      <c r="V1250" s="254"/>
      <c r="W1250" s="254"/>
      <c r="Y1250" s="246" t="str">
        <f t="shared" si="116"/>
        <v/>
      </c>
      <c r="Z1250" s="247" t="str">
        <f t="shared" si="114"/>
        <v/>
      </c>
      <c r="AA1250" s="246" t="str">
        <f t="shared" si="117"/>
        <v/>
      </c>
    </row>
    <row r="1251" spans="1:27" x14ac:dyDescent="0.25">
      <c r="A1251" s="248" t="str">
        <f t="shared" si="118"/>
        <v/>
      </c>
      <c r="B1251" s="249" t="str">
        <f t="shared" si="119"/>
        <v/>
      </c>
      <c r="C1251" s="250"/>
      <c r="D1251" s="251"/>
      <c r="E1251" s="241"/>
      <c r="F1251" s="252"/>
      <c r="G1251" s="252"/>
      <c r="H1251" s="253"/>
      <c r="I1251" s="250"/>
      <c r="J1251" s="250"/>
      <c r="K1251" s="270"/>
      <c r="L1251" s="250"/>
      <c r="M1251" s="250"/>
      <c r="N1251" s="553" t="str">
        <f>CONCATENATE(IF(OR(M1251=phu!$I$1,M1251=phu!$I$2,M1251=phu!$I$3),"Cam Thành Nam",""),IF(OR(M1251=phu!$I$4,M1251=phu!$I$5,M1251=phu!$I$6,M1251=phu!$I$7,M1251=phu!$I$8,M1251=phu!$I$9,M1251=phu!$I$10,M1251=phu!$I$11,M1251=phu!$I$12,M1251=phu!$I$13,M1251=phu!$I$14),"Cam Nghĩa",""),IF(OR(M1251=phu!$I$15,M1251=phu!$I$16,M1251=phu!$I$17,M1251=phu!$I$18,M1251=phu!$I$19,M1251=phu!$I$20,M1251=phu!$I$21),"Cam Phúc Bắc",""),IF(OR(M1251=phu!$I$22,M1251=phu!$I$23,M1251=phu!$I$24,M1251=phu!$I$25),"Cam Phúc Nam",""),IF(OR(M1251=phu!$I$26,M1251=phu!$I$27,M1251=phu!$I$28,M1251=phu!$I$29,M1251=phu!$I$30,M1251=phu!$I$31),"Cam Phú",""),IF(OR(M1251=phu!$I$32,M1251=phu!$I$33,M1251=phu!$I$34,M1251=phu!$I$35,M1251=phu!$I$36,M1251=phu!$I$37),"Cam Lộc",""),IF(OR(M1251=phu!$I$38,M1251=phu!$I$39,M1251=phu!$I$40,M1251=phu!$I$41,M1251=phu!$I$42,M1251=phu!$I$43,M1251=phu!$I$44),"Cam Thuận",""),IF(OR(M1251=phu!$I$45,M1251=phu!$I$46,M1251=phu!$I$47,M1251=phu!$I$48,M1251=phu!$I$49,M1251=phu!$I$50,M1251=phu!$I$51,M1251=phu!$I$52,M1251=phu!$I$53),"Cam Linh",""),IF(OR(M1251=phu!$I$54,M1251=phu!$I$55,M1251=phu!$I$56,M1251=phu!$I$57,M1251=phu!$I$58,M1251=phu!$I$59,M1251=phu!$I$60,M1251=phu!$I$61,M1251=phu!$I$62),"Cam Lợi",""),IF(OR(M1251=phu!$I$63,M1251=phu!$I$64,M1251=phu!$I$65,M1251=phu!$I$66,M1251=phu!$I$67,M1251=phu!$I$68,M1251=phu!$I$69,M1251=phu!$I$70,M1251=phu!$I$71),"Ba Ngòi",""),IF(OR(M1251=phu!$I$72,M1251=phu!$I$73,M1251=phu!$I$74,M1251=phu!$I$75,M1251=phu!$I$76,M1251=phu!$I$77,M1251=phu!$I$78),"Cam Phước Đông",""),IF(OR(M1251=phu!$I$79,M1251=phu!$I$80,M1251=phu!$I$81,M1251=phu!$I$82,M1251=phu!$I$83,M1251=phu!$I$84),"Cam Thịnh Đông",""),IF(OR(M1251=phu!$I$85,M1251=phu!$I$86,M1251=phu!$I$87,M1251=phu!$I$88),"Cam Thịnh Tây",""),IF(OR(M1251=phu!$I$89,M1251=phu!$I$90),"Cam Lập",""),IF(OR(M1251=phu!$I$91,M1251=phu!$I$92,M1251=phu!$I$93),"Cam Bình",""),IF(OR(M1251=phu!$I$94,M1251=phu!$I$95,M1251=phu!$I$96,M1251=phu!$I$97,M1251=phu!$I$98,M1251=phu!$I$99,M1251=phu!$I$100),"Huyện khác",""),IF(OR(M1251=phu!$I$101,M1251=phu!$I$102),"Tỉnh khác",""))</f>
        <v/>
      </c>
      <c r="O1251" s="814" t="str">
        <f t="shared" si="115"/>
        <v/>
      </c>
      <c r="P1251" s="254"/>
      <c r="Q1251" s="254"/>
      <c r="R1251" s="254"/>
      <c r="S1251" s="254"/>
      <c r="T1251" s="254"/>
      <c r="U1251" s="254"/>
      <c r="V1251" s="254"/>
      <c r="W1251" s="254"/>
      <c r="Y1251" s="246" t="str">
        <f t="shared" si="116"/>
        <v/>
      </c>
      <c r="Z1251" s="247" t="str">
        <f t="shared" si="114"/>
        <v/>
      </c>
      <c r="AA1251" s="246" t="str">
        <f t="shared" si="117"/>
        <v/>
      </c>
    </row>
    <row r="1252" spans="1:27" x14ac:dyDescent="0.25">
      <c r="A1252" s="248" t="str">
        <f t="shared" si="118"/>
        <v/>
      </c>
      <c r="B1252" s="249" t="str">
        <f t="shared" si="119"/>
        <v/>
      </c>
      <c r="C1252" s="250"/>
      <c r="D1252" s="251"/>
      <c r="E1252" s="241"/>
      <c r="F1252" s="252"/>
      <c r="G1252" s="252"/>
      <c r="H1252" s="253"/>
      <c r="I1252" s="250"/>
      <c r="J1252" s="250"/>
      <c r="K1252" s="270"/>
      <c r="L1252" s="250"/>
      <c r="M1252" s="250"/>
      <c r="N1252" s="553" t="str">
        <f>CONCATENATE(IF(OR(M1252=phu!$I$1,M1252=phu!$I$2,M1252=phu!$I$3),"Cam Thành Nam",""),IF(OR(M1252=phu!$I$4,M1252=phu!$I$5,M1252=phu!$I$6,M1252=phu!$I$7,M1252=phu!$I$8,M1252=phu!$I$9,M1252=phu!$I$10,M1252=phu!$I$11,M1252=phu!$I$12,M1252=phu!$I$13,M1252=phu!$I$14),"Cam Nghĩa",""),IF(OR(M1252=phu!$I$15,M1252=phu!$I$16,M1252=phu!$I$17,M1252=phu!$I$18,M1252=phu!$I$19,M1252=phu!$I$20,M1252=phu!$I$21),"Cam Phúc Bắc",""),IF(OR(M1252=phu!$I$22,M1252=phu!$I$23,M1252=phu!$I$24,M1252=phu!$I$25),"Cam Phúc Nam",""),IF(OR(M1252=phu!$I$26,M1252=phu!$I$27,M1252=phu!$I$28,M1252=phu!$I$29,M1252=phu!$I$30,M1252=phu!$I$31),"Cam Phú",""),IF(OR(M1252=phu!$I$32,M1252=phu!$I$33,M1252=phu!$I$34,M1252=phu!$I$35,M1252=phu!$I$36,M1252=phu!$I$37),"Cam Lộc",""),IF(OR(M1252=phu!$I$38,M1252=phu!$I$39,M1252=phu!$I$40,M1252=phu!$I$41,M1252=phu!$I$42,M1252=phu!$I$43,M1252=phu!$I$44),"Cam Thuận",""),IF(OR(M1252=phu!$I$45,M1252=phu!$I$46,M1252=phu!$I$47,M1252=phu!$I$48,M1252=phu!$I$49,M1252=phu!$I$50,M1252=phu!$I$51,M1252=phu!$I$52,M1252=phu!$I$53),"Cam Linh",""),IF(OR(M1252=phu!$I$54,M1252=phu!$I$55,M1252=phu!$I$56,M1252=phu!$I$57,M1252=phu!$I$58,M1252=phu!$I$59,M1252=phu!$I$60,M1252=phu!$I$61,M1252=phu!$I$62),"Cam Lợi",""),IF(OR(M1252=phu!$I$63,M1252=phu!$I$64,M1252=phu!$I$65,M1252=phu!$I$66,M1252=phu!$I$67,M1252=phu!$I$68,M1252=phu!$I$69,M1252=phu!$I$70,M1252=phu!$I$71),"Ba Ngòi",""),IF(OR(M1252=phu!$I$72,M1252=phu!$I$73,M1252=phu!$I$74,M1252=phu!$I$75,M1252=phu!$I$76,M1252=phu!$I$77,M1252=phu!$I$78),"Cam Phước Đông",""),IF(OR(M1252=phu!$I$79,M1252=phu!$I$80,M1252=phu!$I$81,M1252=phu!$I$82,M1252=phu!$I$83,M1252=phu!$I$84),"Cam Thịnh Đông",""),IF(OR(M1252=phu!$I$85,M1252=phu!$I$86,M1252=phu!$I$87,M1252=phu!$I$88),"Cam Thịnh Tây",""),IF(OR(M1252=phu!$I$89,M1252=phu!$I$90),"Cam Lập",""),IF(OR(M1252=phu!$I$91,M1252=phu!$I$92,M1252=phu!$I$93),"Cam Bình",""),IF(OR(M1252=phu!$I$94,M1252=phu!$I$95,M1252=phu!$I$96,M1252=phu!$I$97,M1252=phu!$I$98,M1252=phu!$I$99,M1252=phu!$I$100),"Huyện khác",""),IF(OR(M1252=phu!$I$101,M1252=phu!$I$102),"Tỉnh khác",""))</f>
        <v/>
      </c>
      <c r="O1252" s="814" t="str">
        <f t="shared" si="115"/>
        <v/>
      </c>
      <c r="P1252" s="254"/>
      <c r="Q1252" s="254"/>
      <c r="R1252" s="254"/>
      <c r="S1252" s="254"/>
      <c r="T1252" s="254"/>
      <c r="U1252" s="254"/>
      <c r="V1252" s="254"/>
      <c r="W1252" s="254"/>
      <c r="Y1252" s="246" t="str">
        <f t="shared" si="116"/>
        <v/>
      </c>
      <c r="Z1252" s="247" t="str">
        <f t="shared" si="114"/>
        <v/>
      </c>
      <c r="AA1252" s="246" t="str">
        <f t="shared" si="117"/>
        <v/>
      </c>
    </row>
    <row r="1253" spans="1:27" x14ac:dyDescent="0.25">
      <c r="A1253" s="248" t="str">
        <f t="shared" si="118"/>
        <v/>
      </c>
      <c r="B1253" s="249" t="str">
        <f t="shared" si="119"/>
        <v/>
      </c>
      <c r="C1253" s="250"/>
      <c r="D1253" s="251"/>
      <c r="E1253" s="241"/>
      <c r="F1253" s="252"/>
      <c r="G1253" s="252"/>
      <c r="H1253" s="253"/>
      <c r="I1253" s="250"/>
      <c r="J1253" s="250"/>
      <c r="K1253" s="270"/>
      <c r="L1253" s="250"/>
      <c r="M1253" s="250"/>
      <c r="N1253" s="553" t="str">
        <f>CONCATENATE(IF(OR(M1253=phu!$I$1,M1253=phu!$I$2,M1253=phu!$I$3),"Cam Thành Nam",""),IF(OR(M1253=phu!$I$4,M1253=phu!$I$5,M1253=phu!$I$6,M1253=phu!$I$7,M1253=phu!$I$8,M1253=phu!$I$9,M1253=phu!$I$10,M1253=phu!$I$11,M1253=phu!$I$12,M1253=phu!$I$13,M1253=phu!$I$14),"Cam Nghĩa",""),IF(OR(M1253=phu!$I$15,M1253=phu!$I$16,M1253=phu!$I$17,M1253=phu!$I$18,M1253=phu!$I$19,M1253=phu!$I$20,M1253=phu!$I$21),"Cam Phúc Bắc",""),IF(OR(M1253=phu!$I$22,M1253=phu!$I$23,M1253=phu!$I$24,M1253=phu!$I$25),"Cam Phúc Nam",""),IF(OR(M1253=phu!$I$26,M1253=phu!$I$27,M1253=phu!$I$28,M1253=phu!$I$29,M1253=phu!$I$30,M1253=phu!$I$31),"Cam Phú",""),IF(OR(M1253=phu!$I$32,M1253=phu!$I$33,M1253=phu!$I$34,M1253=phu!$I$35,M1253=phu!$I$36,M1253=phu!$I$37),"Cam Lộc",""),IF(OR(M1253=phu!$I$38,M1253=phu!$I$39,M1253=phu!$I$40,M1253=phu!$I$41,M1253=phu!$I$42,M1253=phu!$I$43,M1253=phu!$I$44),"Cam Thuận",""),IF(OR(M1253=phu!$I$45,M1253=phu!$I$46,M1253=phu!$I$47,M1253=phu!$I$48,M1253=phu!$I$49,M1253=phu!$I$50,M1253=phu!$I$51,M1253=phu!$I$52,M1253=phu!$I$53),"Cam Linh",""),IF(OR(M1253=phu!$I$54,M1253=phu!$I$55,M1253=phu!$I$56,M1253=phu!$I$57,M1253=phu!$I$58,M1253=phu!$I$59,M1253=phu!$I$60,M1253=phu!$I$61,M1253=phu!$I$62),"Cam Lợi",""),IF(OR(M1253=phu!$I$63,M1253=phu!$I$64,M1253=phu!$I$65,M1253=phu!$I$66,M1253=phu!$I$67,M1253=phu!$I$68,M1253=phu!$I$69,M1253=phu!$I$70,M1253=phu!$I$71),"Ba Ngòi",""),IF(OR(M1253=phu!$I$72,M1253=phu!$I$73,M1253=phu!$I$74,M1253=phu!$I$75,M1253=phu!$I$76,M1253=phu!$I$77,M1253=phu!$I$78),"Cam Phước Đông",""),IF(OR(M1253=phu!$I$79,M1253=phu!$I$80,M1253=phu!$I$81,M1253=phu!$I$82,M1253=phu!$I$83,M1253=phu!$I$84),"Cam Thịnh Đông",""),IF(OR(M1253=phu!$I$85,M1253=phu!$I$86,M1253=phu!$I$87,M1253=phu!$I$88),"Cam Thịnh Tây",""),IF(OR(M1253=phu!$I$89,M1253=phu!$I$90),"Cam Lập",""),IF(OR(M1253=phu!$I$91,M1253=phu!$I$92,M1253=phu!$I$93),"Cam Bình",""),IF(OR(M1253=phu!$I$94,M1253=phu!$I$95,M1253=phu!$I$96,M1253=phu!$I$97,M1253=phu!$I$98,M1253=phu!$I$99,M1253=phu!$I$100),"Huyện khác",""),IF(OR(M1253=phu!$I$101,M1253=phu!$I$102),"Tỉnh khác",""))</f>
        <v/>
      </c>
      <c r="O1253" s="814" t="str">
        <f t="shared" si="115"/>
        <v/>
      </c>
      <c r="P1253" s="254"/>
      <c r="Q1253" s="254"/>
      <c r="R1253" s="254"/>
      <c r="S1253" s="254"/>
      <c r="T1253" s="254"/>
      <c r="U1253" s="254"/>
      <c r="V1253" s="254"/>
      <c r="W1253" s="254"/>
      <c r="Y1253" s="246" t="str">
        <f t="shared" si="116"/>
        <v/>
      </c>
      <c r="Z1253" s="247" t="str">
        <f t="shared" si="114"/>
        <v/>
      </c>
      <c r="AA1253" s="246" t="str">
        <f t="shared" si="117"/>
        <v/>
      </c>
    </row>
    <row r="1254" spans="1:27" x14ac:dyDescent="0.25">
      <c r="A1254" s="248" t="str">
        <f t="shared" si="118"/>
        <v/>
      </c>
      <c r="B1254" s="249" t="str">
        <f t="shared" si="119"/>
        <v/>
      </c>
      <c r="C1254" s="250"/>
      <c r="D1254" s="251"/>
      <c r="E1254" s="241"/>
      <c r="F1254" s="252"/>
      <c r="G1254" s="252"/>
      <c r="H1254" s="253"/>
      <c r="I1254" s="250"/>
      <c r="J1254" s="250"/>
      <c r="K1254" s="270"/>
      <c r="L1254" s="250"/>
      <c r="M1254" s="250"/>
      <c r="N1254" s="553" t="str">
        <f>CONCATENATE(IF(OR(M1254=phu!$I$1,M1254=phu!$I$2,M1254=phu!$I$3),"Cam Thành Nam",""),IF(OR(M1254=phu!$I$4,M1254=phu!$I$5,M1254=phu!$I$6,M1254=phu!$I$7,M1254=phu!$I$8,M1254=phu!$I$9,M1254=phu!$I$10,M1254=phu!$I$11,M1254=phu!$I$12,M1254=phu!$I$13,M1254=phu!$I$14),"Cam Nghĩa",""),IF(OR(M1254=phu!$I$15,M1254=phu!$I$16,M1254=phu!$I$17,M1254=phu!$I$18,M1254=phu!$I$19,M1254=phu!$I$20,M1254=phu!$I$21),"Cam Phúc Bắc",""),IF(OR(M1254=phu!$I$22,M1254=phu!$I$23,M1254=phu!$I$24,M1254=phu!$I$25),"Cam Phúc Nam",""),IF(OR(M1254=phu!$I$26,M1254=phu!$I$27,M1254=phu!$I$28,M1254=phu!$I$29,M1254=phu!$I$30,M1254=phu!$I$31),"Cam Phú",""),IF(OR(M1254=phu!$I$32,M1254=phu!$I$33,M1254=phu!$I$34,M1254=phu!$I$35,M1254=phu!$I$36,M1254=phu!$I$37),"Cam Lộc",""),IF(OR(M1254=phu!$I$38,M1254=phu!$I$39,M1254=phu!$I$40,M1254=phu!$I$41,M1254=phu!$I$42,M1254=phu!$I$43,M1254=phu!$I$44),"Cam Thuận",""),IF(OR(M1254=phu!$I$45,M1254=phu!$I$46,M1254=phu!$I$47,M1254=phu!$I$48,M1254=phu!$I$49,M1254=phu!$I$50,M1254=phu!$I$51,M1254=phu!$I$52,M1254=phu!$I$53),"Cam Linh",""),IF(OR(M1254=phu!$I$54,M1254=phu!$I$55,M1254=phu!$I$56,M1254=phu!$I$57,M1254=phu!$I$58,M1254=phu!$I$59,M1254=phu!$I$60,M1254=phu!$I$61,M1254=phu!$I$62),"Cam Lợi",""),IF(OR(M1254=phu!$I$63,M1254=phu!$I$64,M1254=phu!$I$65,M1254=phu!$I$66,M1254=phu!$I$67,M1254=phu!$I$68,M1254=phu!$I$69,M1254=phu!$I$70,M1254=phu!$I$71),"Ba Ngòi",""),IF(OR(M1254=phu!$I$72,M1254=phu!$I$73,M1254=phu!$I$74,M1254=phu!$I$75,M1254=phu!$I$76,M1254=phu!$I$77,M1254=phu!$I$78),"Cam Phước Đông",""),IF(OR(M1254=phu!$I$79,M1254=phu!$I$80,M1254=phu!$I$81,M1254=phu!$I$82,M1254=phu!$I$83,M1254=phu!$I$84),"Cam Thịnh Đông",""),IF(OR(M1254=phu!$I$85,M1254=phu!$I$86,M1254=phu!$I$87,M1254=phu!$I$88),"Cam Thịnh Tây",""),IF(OR(M1254=phu!$I$89,M1254=phu!$I$90),"Cam Lập",""),IF(OR(M1254=phu!$I$91,M1254=phu!$I$92,M1254=phu!$I$93),"Cam Bình",""),IF(OR(M1254=phu!$I$94,M1254=phu!$I$95,M1254=phu!$I$96,M1254=phu!$I$97,M1254=phu!$I$98,M1254=phu!$I$99,M1254=phu!$I$100),"Huyện khác",""),IF(OR(M1254=phu!$I$101,M1254=phu!$I$102),"Tỉnh khác",""))</f>
        <v/>
      </c>
      <c r="O1254" s="814" t="str">
        <f t="shared" si="115"/>
        <v/>
      </c>
      <c r="P1254" s="254"/>
      <c r="Q1254" s="254"/>
      <c r="R1254" s="254"/>
      <c r="S1254" s="254"/>
      <c r="T1254" s="254"/>
      <c r="U1254" s="254"/>
      <c r="V1254" s="254"/>
      <c r="W1254" s="254"/>
      <c r="Y1254" s="246" t="str">
        <f t="shared" si="116"/>
        <v/>
      </c>
      <c r="Z1254" s="247" t="str">
        <f t="shared" si="114"/>
        <v/>
      </c>
      <c r="AA1254" s="246" t="str">
        <f t="shared" si="117"/>
        <v/>
      </c>
    </row>
    <row r="1255" spans="1:27" x14ac:dyDescent="0.25">
      <c r="A1255" s="248" t="str">
        <f t="shared" si="118"/>
        <v/>
      </c>
      <c r="B1255" s="249" t="str">
        <f t="shared" si="119"/>
        <v/>
      </c>
      <c r="C1255" s="250"/>
      <c r="D1255" s="251"/>
      <c r="E1255" s="241"/>
      <c r="F1255" s="252"/>
      <c r="G1255" s="252"/>
      <c r="H1255" s="253"/>
      <c r="I1255" s="250"/>
      <c r="J1255" s="250"/>
      <c r="K1255" s="270"/>
      <c r="L1255" s="250"/>
      <c r="M1255" s="250"/>
      <c r="N1255" s="553" t="str">
        <f>CONCATENATE(IF(OR(M1255=phu!$I$1,M1255=phu!$I$2,M1255=phu!$I$3),"Cam Thành Nam",""),IF(OR(M1255=phu!$I$4,M1255=phu!$I$5,M1255=phu!$I$6,M1255=phu!$I$7,M1255=phu!$I$8,M1255=phu!$I$9,M1255=phu!$I$10,M1255=phu!$I$11,M1255=phu!$I$12,M1255=phu!$I$13,M1255=phu!$I$14),"Cam Nghĩa",""),IF(OR(M1255=phu!$I$15,M1255=phu!$I$16,M1255=phu!$I$17,M1255=phu!$I$18,M1255=phu!$I$19,M1255=phu!$I$20,M1255=phu!$I$21),"Cam Phúc Bắc",""),IF(OR(M1255=phu!$I$22,M1255=phu!$I$23,M1255=phu!$I$24,M1255=phu!$I$25),"Cam Phúc Nam",""),IF(OR(M1255=phu!$I$26,M1255=phu!$I$27,M1255=phu!$I$28,M1255=phu!$I$29,M1255=phu!$I$30,M1255=phu!$I$31),"Cam Phú",""),IF(OR(M1255=phu!$I$32,M1255=phu!$I$33,M1255=phu!$I$34,M1255=phu!$I$35,M1255=phu!$I$36,M1255=phu!$I$37),"Cam Lộc",""),IF(OR(M1255=phu!$I$38,M1255=phu!$I$39,M1255=phu!$I$40,M1255=phu!$I$41,M1255=phu!$I$42,M1255=phu!$I$43,M1255=phu!$I$44),"Cam Thuận",""),IF(OR(M1255=phu!$I$45,M1255=phu!$I$46,M1255=phu!$I$47,M1255=phu!$I$48,M1255=phu!$I$49,M1255=phu!$I$50,M1255=phu!$I$51,M1255=phu!$I$52,M1255=phu!$I$53),"Cam Linh",""),IF(OR(M1255=phu!$I$54,M1255=phu!$I$55,M1255=phu!$I$56,M1255=phu!$I$57,M1255=phu!$I$58,M1255=phu!$I$59,M1255=phu!$I$60,M1255=phu!$I$61,M1255=phu!$I$62),"Cam Lợi",""),IF(OR(M1255=phu!$I$63,M1255=phu!$I$64,M1255=phu!$I$65,M1255=phu!$I$66,M1255=phu!$I$67,M1255=phu!$I$68,M1255=phu!$I$69,M1255=phu!$I$70,M1255=phu!$I$71),"Ba Ngòi",""),IF(OR(M1255=phu!$I$72,M1255=phu!$I$73,M1255=phu!$I$74,M1255=phu!$I$75,M1255=phu!$I$76,M1255=phu!$I$77,M1255=phu!$I$78),"Cam Phước Đông",""),IF(OR(M1255=phu!$I$79,M1255=phu!$I$80,M1255=phu!$I$81,M1255=phu!$I$82,M1255=phu!$I$83,M1255=phu!$I$84),"Cam Thịnh Đông",""),IF(OR(M1255=phu!$I$85,M1255=phu!$I$86,M1255=phu!$I$87,M1255=phu!$I$88),"Cam Thịnh Tây",""),IF(OR(M1255=phu!$I$89,M1255=phu!$I$90),"Cam Lập",""),IF(OR(M1255=phu!$I$91,M1255=phu!$I$92,M1255=phu!$I$93),"Cam Bình",""),IF(OR(M1255=phu!$I$94,M1255=phu!$I$95,M1255=phu!$I$96,M1255=phu!$I$97,M1255=phu!$I$98,M1255=phu!$I$99,M1255=phu!$I$100),"Huyện khác",""),IF(OR(M1255=phu!$I$101,M1255=phu!$I$102),"Tỉnh khác",""))</f>
        <v/>
      </c>
      <c r="O1255" s="814" t="str">
        <f t="shared" si="115"/>
        <v/>
      </c>
      <c r="P1255" s="254"/>
      <c r="Q1255" s="254"/>
      <c r="R1255" s="254"/>
      <c r="S1255" s="254"/>
      <c r="T1255" s="254"/>
      <c r="U1255" s="254"/>
      <c r="V1255" s="254"/>
      <c r="W1255" s="254"/>
      <c r="Y1255" s="246" t="str">
        <f t="shared" si="116"/>
        <v/>
      </c>
      <c r="Z1255" s="247" t="str">
        <f t="shared" si="114"/>
        <v/>
      </c>
      <c r="AA1255" s="246" t="str">
        <f t="shared" si="117"/>
        <v/>
      </c>
    </row>
    <row r="1256" spans="1:27" x14ac:dyDescent="0.25">
      <c r="A1256" s="248" t="str">
        <f t="shared" si="118"/>
        <v/>
      </c>
      <c r="B1256" s="249" t="str">
        <f t="shared" si="119"/>
        <v/>
      </c>
      <c r="C1256" s="250"/>
      <c r="D1256" s="251"/>
      <c r="E1256" s="241"/>
      <c r="F1256" s="252"/>
      <c r="G1256" s="252"/>
      <c r="H1256" s="253"/>
      <c r="I1256" s="250"/>
      <c r="J1256" s="250"/>
      <c r="K1256" s="270"/>
      <c r="L1256" s="250"/>
      <c r="M1256" s="250"/>
      <c r="N1256" s="553" t="str">
        <f>CONCATENATE(IF(OR(M1256=phu!$I$1,M1256=phu!$I$2,M1256=phu!$I$3),"Cam Thành Nam",""),IF(OR(M1256=phu!$I$4,M1256=phu!$I$5,M1256=phu!$I$6,M1256=phu!$I$7,M1256=phu!$I$8,M1256=phu!$I$9,M1256=phu!$I$10,M1256=phu!$I$11,M1256=phu!$I$12,M1256=phu!$I$13,M1256=phu!$I$14),"Cam Nghĩa",""),IF(OR(M1256=phu!$I$15,M1256=phu!$I$16,M1256=phu!$I$17,M1256=phu!$I$18,M1256=phu!$I$19,M1256=phu!$I$20,M1256=phu!$I$21),"Cam Phúc Bắc",""),IF(OR(M1256=phu!$I$22,M1256=phu!$I$23,M1256=phu!$I$24,M1256=phu!$I$25),"Cam Phúc Nam",""),IF(OR(M1256=phu!$I$26,M1256=phu!$I$27,M1256=phu!$I$28,M1256=phu!$I$29,M1256=phu!$I$30,M1256=phu!$I$31),"Cam Phú",""),IF(OR(M1256=phu!$I$32,M1256=phu!$I$33,M1256=phu!$I$34,M1256=phu!$I$35,M1256=phu!$I$36,M1256=phu!$I$37),"Cam Lộc",""),IF(OR(M1256=phu!$I$38,M1256=phu!$I$39,M1256=phu!$I$40,M1256=phu!$I$41,M1256=phu!$I$42,M1256=phu!$I$43,M1256=phu!$I$44),"Cam Thuận",""),IF(OR(M1256=phu!$I$45,M1256=phu!$I$46,M1256=phu!$I$47,M1256=phu!$I$48,M1256=phu!$I$49,M1256=phu!$I$50,M1256=phu!$I$51,M1256=phu!$I$52,M1256=phu!$I$53),"Cam Linh",""),IF(OR(M1256=phu!$I$54,M1256=phu!$I$55,M1256=phu!$I$56,M1256=phu!$I$57,M1256=phu!$I$58,M1256=phu!$I$59,M1256=phu!$I$60,M1256=phu!$I$61,M1256=phu!$I$62),"Cam Lợi",""),IF(OR(M1256=phu!$I$63,M1256=phu!$I$64,M1256=phu!$I$65,M1256=phu!$I$66,M1256=phu!$I$67,M1256=phu!$I$68,M1256=phu!$I$69,M1256=phu!$I$70,M1256=phu!$I$71),"Ba Ngòi",""),IF(OR(M1256=phu!$I$72,M1256=phu!$I$73,M1256=phu!$I$74,M1256=phu!$I$75,M1256=phu!$I$76,M1256=phu!$I$77,M1256=phu!$I$78),"Cam Phước Đông",""),IF(OR(M1256=phu!$I$79,M1256=phu!$I$80,M1256=phu!$I$81,M1256=phu!$I$82,M1256=phu!$I$83,M1256=phu!$I$84),"Cam Thịnh Đông",""),IF(OR(M1256=phu!$I$85,M1256=phu!$I$86,M1256=phu!$I$87,M1256=phu!$I$88),"Cam Thịnh Tây",""),IF(OR(M1256=phu!$I$89,M1256=phu!$I$90),"Cam Lập",""),IF(OR(M1256=phu!$I$91,M1256=phu!$I$92,M1256=phu!$I$93),"Cam Bình",""),IF(OR(M1256=phu!$I$94,M1256=phu!$I$95,M1256=phu!$I$96,M1256=phu!$I$97,M1256=phu!$I$98,M1256=phu!$I$99,M1256=phu!$I$100),"Huyện khác",""),IF(OR(M1256=phu!$I$101,M1256=phu!$I$102),"Tỉnh khác",""))</f>
        <v/>
      </c>
      <c r="O1256" s="814" t="str">
        <f t="shared" si="115"/>
        <v/>
      </c>
      <c r="P1256" s="254"/>
      <c r="Q1256" s="254"/>
      <c r="R1256" s="254"/>
      <c r="S1256" s="254"/>
      <c r="T1256" s="254"/>
      <c r="U1256" s="254"/>
      <c r="V1256" s="254"/>
      <c r="W1256" s="254"/>
      <c r="Y1256" s="246" t="str">
        <f t="shared" si="116"/>
        <v/>
      </c>
      <c r="Z1256" s="247" t="str">
        <f t="shared" si="114"/>
        <v/>
      </c>
      <c r="AA1256" s="246" t="str">
        <f t="shared" si="117"/>
        <v/>
      </c>
    </row>
    <row r="1257" spans="1:27" x14ac:dyDescent="0.25">
      <c r="A1257" s="248" t="str">
        <f t="shared" si="118"/>
        <v/>
      </c>
      <c r="B1257" s="249" t="str">
        <f t="shared" si="119"/>
        <v/>
      </c>
      <c r="C1257" s="250"/>
      <c r="D1257" s="251"/>
      <c r="E1257" s="241"/>
      <c r="F1257" s="252"/>
      <c r="G1257" s="252"/>
      <c r="H1257" s="253"/>
      <c r="I1257" s="250"/>
      <c r="J1257" s="250"/>
      <c r="K1257" s="270"/>
      <c r="L1257" s="250"/>
      <c r="M1257" s="250"/>
      <c r="N1257" s="553" t="str">
        <f>CONCATENATE(IF(OR(M1257=phu!$I$1,M1257=phu!$I$2,M1257=phu!$I$3),"Cam Thành Nam",""),IF(OR(M1257=phu!$I$4,M1257=phu!$I$5,M1257=phu!$I$6,M1257=phu!$I$7,M1257=phu!$I$8,M1257=phu!$I$9,M1257=phu!$I$10,M1257=phu!$I$11,M1257=phu!$I$12,M1257=phu!$I$13,M1257=phu!$I$14),"Cam Nghĩa",""),IF(OR(M1257=phu!$I$15,M1257=phu!$I$16,M1257=phu!$I$17,M1257=phu!$I$18,M1257=phu!$I$19,M1257=phu!$I$20,M1257=phu!$I$21),"Cam Phúc Bắc",""),IF(OR(M1257=phu!$I$22,M1257=phu!$I$23,M1257=phu!$I$24,M1257=phu!$I$25),"Cam Phúc Nam",""),IF(OR(M1257=phu!$I$26,M1257=phu!$I$27,M1257=phu!$I$28,M1257=phu!$I$29,M1257=phu!$I$30,M1257=phu!$I$31),"Cam Phú",""),IF(OR(M1257=phu!$I$32,M1257=phu!$I$33,M1257=phu!$I$34,M1257=phu!$I$35,M1257=phu!$I$36,M1257=phu!$I$37),"Cam Lộc",""),IF(OR(M1257=phu!$I$38,M1257=phu!$I$39,M1257=phu!$I$40,M1257=phu!$I$41,M1257=phu!$I$42,M1257=phu!$I$43,M1257=phu!$I$44),"Cam Thuận",""),IF(OR(M1257=phu!$I$45,M1257=phu!$I$46,M1257=phu!$I$47,M1257=phu!$I$48,M1257=phu!$I$49,M1257=phu!$I$50,M1257=phu!$I$51,M1257=phu!$I$52,M1257=phu!$I$53),"Cam Linh",""),IF(OR(M1257=phu!$I$54,M1257=phu!$I$55,M1257=phu!$I$56,M1257=phu!$I$57,M1257=phu!$I$58,M1257=phu!$I$59,M1257=phu!$I$60,M1257=phu!$I$61,M1257=phu!$I$62),"Cam Lợi",""),IF(OR(M1257=phu!$I$63,M1257=phu!$I$64,M1257=phu!$I$65,M1257=phu!$I$66,M1257=phu!$I$67,M1257=phu!$I$68,M1257=phu!$I$69,M1257=phu!$I$70,M1257=phu!$I$71),"Ba Ngòi",""),IF(OR(M1257=phu!$I$72,M1257=phu!$I$73,M1257=phu!$I$74,M1257=phu!$I$75,M1257=phu!$I$76,M1257=phu!$I$77,M1257=phu!$I$78),"Cam Phước Đông",""),IF(OR(M1257=phu!$I$79,M1257=phu!$I$80,M1257=phu!$I$81,M1257=phu!$I$82,M1257=phu!$I$83,M1257=phu!$I$84),"Cam Thịnh Đông",""),IF(OR(M1257=phu!$I$85,M1257=phu!$I$86,M1257=phu!$I$87,M1257=phu!$I$88),"Cam Thịnh Tây",""),IF(OR(M1257=phu!$I$89,M1257=phu!$I$90),"Cam Lập",""),IF(OR(M1257=phu!$I$91,M1257=phu!$I$92,M1257=phu!$I$93),"Cam Bình",""),IF(OR(M1257=phu!$I$94,M1257=phu!$I$95,M1257=phu!$I$96,M1257=phu!$I$97,M1257=phu!$I$98,M1257=phu!$I$99,M1257=phu!$I$100),"Huyện khác",""),IF(OR(M1257=phu!$I$101,M1257=phu!$I$102),"Tỉnh khác",""))</f>
        <v/>
      </c>
      <c r="O1257" s="814" t="str">
        <f t="shared" si="115"/>
        <v/>
      </c>
      <c r="P1257" s="254"/>
      <c r="Q1257" s="254"/>
      <c r="R1257" s="254"/>
      <c r="S1257" s="254"/>
      <c r="T1257" s="254"/>
      <c r="U1257" s="254"/>
      <c r="V1257" s="254"/>
      <c r="W1257" s="254"/>
      <c r="Y1257" s="246" t="str">
        <f t="shared" si="116"/>
        <v/>
      </c>
      <c r="Z1257" s="247" t="str">
        <f t="shared" si="114"/>
        <v/>
      </c>
      <c r="AA1257" s="246" t="str">
        <f t="shared" si="117"/>
        <v/>
      </c>
    </row>
    <row r="1258" spans="1:27" x14ac:dyDescent="0.25">
      <c r="A1258" s="248" t="str">
        <f t="shared" si="118"/>
        <v/>
      </c>
      <c r="B1258" s="249" t="str">
        <f t="shared" si="119"/>
        <v/>
      </c>
      <c r="C1258" s="250"/>
      <c r="D1258" s="251"/>
      <c r="E1258" s="241"/>
      <c r="F1258" s="252"/>
      <c r="G1258" s="252"/>
      <c r="H1258" s="253"/>
      <c r="I1258" s="250"/>
      <c r="J1258" s="250"/>
      <c r="K1258" s="270"/>
      <c r="L1258" s="250"/>
      <c r="M1258" s="250"/>
      <c r="N1258" s="553" t="str">
        <f>CONCATENATE(IF(OR(M1258=phu!$I$1,M1258=phu!$I$2,M1258=phu!$I$3),"Cam Thành Nam",""),IF(OR(M1258=phu!$I$4,M1258=phu!$I$5,M1258=phu!$I$6,M1258=phu!$I$7,M1258=phu!$I$8,M1258=phu!$I$9,M1258=phu!$I$10,M1258=phu!$I$11,M1258=phu!$I$12,M1258=phu!$I$13,M1258=phu!$I$14),"Cam Nghĩa",""),IF(OR(M1258=phu!$I$15,M1258=phu!$I$16,M1258=phu!$I$17,M1258=phu!$I$18,M1258=phu!$I$19,M1258=phu!$I$20,M1258=phu!$I$21),"Cam Phúc Bắc",""),IF(OR(M1258=phu!$I$22,M1258=phu!$I$23,M1258=phu!$I$24,M1258=phu!$I$25),"Cam Phúc Nam",""),IF(OR(M1258=phu!$I$26,M1258=phu!$I$27,M1258=phu!$I$28,M1258=phu!$I$29,M1258=phu!$I$30,M1258=phu!$I$31),"Cam Phú",""),IF(OR(M1258=phu!$I$32,M1258=phu!$I$33,M1258=phu!$I$34,M1258=phu!$I$35,M1258=phu!$I$36,M1258=phu!$I$37),"Cam Lộc",""),IF(OR(M1258=phu!$I$38,M1258=phu!$I$39,M1258=phu!$I$40,M1258=phu!$I$41,M1258=phu!$I$42,M1258=phu!$I$43,M1258=phu!$I$44),"Cam Thuận",""),IF(OR(M1258=phu!$I$45,M1258=phu!$I$46,M1258=phu!$I$47,M1258=phu!$I$48,M1258=phu!$I$49,M1258=phu!$I$50,M1258=phu!$I$51,M1258=phu!$I$52,M1258=phu!$I$53),"Cam Linh",""),IF(OR(M1258=phu!$I$54,M1258=phu!$I$55,M1258=phu!$I$56,M1258=phu!$I$57,M1258=phu!$I$58,M1258=phu!$I$59,M1258=phu!$I$60,M1258=phu!$I$61,M1258=phu!$I$62),"Cam Lợi",""),IF(OR(M1258=phu!$I$63,M1258=phu!$I$64,M1258=phu!$I$65,M1258=phu!$I$66,M1258=phu!$I$67,M1258=phu!$I$68,M1258=phu!$I$69,M1258=phu!$I$70,M1258=phu!$I$71),"Ba Ngòi",""),IF(OR(M1258=phu!$I$72,M1258=phu!$I$73,M1258=phu!$I$74,M1258=phu!$I$75,M1258=phu!$I$76,M1258=phu!$I$77,M1258=phu!$I$78),"Cam Phước Đông",""),IF(OR(M1258=phu!$I$79,M1258=phu!$I$80,M1258=phu!$I$81,M1258=phu!$I$82,M1258=phu!$I$83,M1258=phu!$I$84),"Cam Thịnh Đông",""),IF(OR(M1258=phu!$I$85,M1258=phu!$I$86,M1258=phu!$I$87,M1258=phu!$I$88),"Cam Thịnh Tây",""),IF(OR(M1258=phu!$I$89,M1258=phu!$I$90),"Cam Lập",""),IF(OR(M1258=phu!$I$91,M1258=phu!$I$92,M1258=phu!$I$93),"Cam Bình",""),IF(OR(M1258=phu!$I$94,M1258=phu!$I$95,M1258=phu!$I$96,M1258=phu!$I$97,M1258=phu!$I$98,M1258=phu!$I$99,M1258=phu!$I$100),"Huyện khác",""),IF(OR(M1258=phu!$I$101,M1258=phu!$I$102),"Tỉnh khác",""))</f>
        <v/>
      </c>
      <c r="O1258" s="814" t="str">
        <f t="shared" si="115"/>
        <v/>
      </c>
      <c r="P1258" s="254"/>
      <c r="Q1258" s="254"/>
      <c r="R1258" s="254"/>
      <c r="S1258" s="254"/>
      <c r="T1258" s="254"/>
      <c r="U1258" s="254"/>
      <c r="V1258" s="254"/>
      <c r="W1258" s="254"/>
      <c r="Y1258" s="246" t="str">
        <f t="shared" si="116"/>
        <v/>
      </c>
      <c r="Z1258" s="247" t="str">
        <f t="shared" si="114"/>
        <v/>
      </c>
      <c r="AA1258" s="246" t="str">
        <f t="shared" si="117"/>
        <v/>
      </c>
    </row>
    <row r="1259" spans="1:27" x14ac:dyDescent="0.25">
      <c r="A1259" s="248" t="str">
        <f t="shared" si="118"/>
        <v/>
      </c>
      <c r="B1259" s="249" t="str">
        <f t="shared" si="119"/>
        <v/>
      </c>
      <c r="C1259" s="250"/>
      <c r="D1259" s="251"/>
      <c r="E1259" s="241"/>
      <c r="F1259" s="252"/>
      <c r="G1259" s="252"/>
      <c r="H1259" s="253"/>
      <c r="I1259" s="250"/>
      <c r="J1259" s="250"/>
      <c r="K1259" s="270"/>
      <c r="L1259" s="250"/>
      <c r="M1259" s="250"/>
      <c r="N1259" s="553" t="str">
        <f>CONCATENATE(IF(OR(M1259=phu!$I$1,M1259=phu!$I$2,M1259=phu!$I$3),"Cam Thành Nam",""),IF(OR(M1259=phu!$I$4,M1259=phu!$I$5,M1259=phu!$I$6,M1259=phu!$I$7,M1259=phu!$I$8,M1259=phu!$I$9,M1259=phu!$I$10,M1259=phu!$I$11,M1259=phu!$I$12,M1259=phu!$I$13,M1259=phu!$I$14),"Cam Nghĩa",""),IF(OR(M1259=phu!$I$15,M1259=phu!$I$16,M1259=phu!$I$17,M1259=phu!$I$18,M1259=phu!$I$19,M1259=phu!$I$20,M1259=phu!$I$21),"Cam Phúc Bắc",""),IF(OR(M1259=phu!$I$22,M1259=phu!$I$23,M1259=phu!$I$24,M1259=phu!$I$25),"Cam Phúc Nam",""),IF(OR(M1259=phu!$I$26,M1259=phu!$I$27,M1259=phu!$I$28,M1259=phu!$I$29,M1259=phu!$I$30,M1259=phu!$I$31),"Cam Phú",""),IF(OR(M1259=phu!$I$32,M1259=phu!$I$33,M1259=phu!$I$34,M1259=phu!$I$35,M1259=phu!$I$36,M1259=phu!$I$37),"Cam Lộc",""),IF(OR(M1259=phu!$I$38,M1259=phu!$I$39,M1259=phu!$I$40,M1259=phu!$I$41,M1259=phu!$I$42,M1259=phu!$I$43,M1259=phu!$I$44),"Cam Thuận",""),IF(OR(M1259=phu!$I$45,M1259=phu!$I$46,M1259=phu!$I$47,M1259=phu!$I$48,M1259=phu!$I$49,M1259=phu!$I$50,M1259=phu!$I$51,M1259=phu!$I$52,M1259=phu!$I$53),"Cam Linh",""),IF(OR(M1259=phu!$I$54,M1259=phu!$I$55,M1259=phu!$I$56,M1259=phu!$I$57,M1259=phu!$I$58,M1259=phu!$I$59,M1259=phu!$I$60,M1259=phu!$I$61,M1259=phu!$I$62),"Cam Lợi",""),IF(OR(M1259=phu!$I$63,M1259=phu!$I$64,M1259=phu!$I$65,M1259=phu!$I$66,M1259=phu!$I$67,M1259=phu!$I$68,M1259=phu!$I$69,M1259=phu!$I$70,M1259=phu!$I$71),"Ba Ngòi",""),IF(OR(M1259=phu!$I$72,M1259=phu!$I$73,M1259=phu!$I$74,M1259=phu!$I$75,M1259=phu!$I$76,M1259=phu!$I$77,M1259=phu!$I$78),"Cam Phước Đông",""),IF(OR(M1259=phu!$I$79,M1259=phu!$I$80,M1259=phu!$I$81,M1259=phu!$I$82,M1259=phu!$I$83,M1259=phu!$I$84),"Cam Thịnh Đông",""),IF(OR(M1259=phu!$I$85,M1259=phu!$I$86,M1259=phu!$I$87,M1259=phu!$I$88),"Cam Thịnh Tây",""),IF(OR(M1259=phu!$I$89,M1259=phu!$I$90),"Cam Lập",""),IF(OR(M1259=phu!$I$91,M1259=phu!$I$92,M1259=phu!$I$93),"Cam Bình",""),IF(OR(M1259=phu!$I$94,M1259=phu!$I$95,M1259=phu!$I$96,M1259=phu!$I$97,M1259=phu!$I$98,M1259=phu!$I$99,M1259=phu!$I$100),"Huyện khác",""),IF(OR(M1259=phu!$I$101,M1259=phu!$I$102),"Tỉnh khác",""))</f>
        <v/>
      </c>
      <c r="O1259" s="814" t="str">
        <f t="shared" si="115"/>
        <v/>
      </c>
      <c r="P1259" s="254"/>
      <c r="Q1259" s="254"/>
      <c r="R1259" s="254"/>
      <c r="S1259" s="254"/>
      <c r="T1259" s="254"/>
      <c r="U1259" s="254"/>
      <c r="V1259" s="254"/>
      <c r="W1259" s="254"/>
      <c r="Y1259" s="246" t="str">
        <f t="shared" si="116"/>
        <v/>
      </c>
      <c r="Z1259" s="247" t="str">
        <f t="shared" si="114"/>
        <v/>
      </c>
      <c r="AA1259" s="246" t="str">
        <f t="shared" si="117"/>
        <v/>
      </c>
    </row>
    <row r="1260" spans="1:27" x14ac:dyDescent="0.25">
      <c r="A1260" s="248" t="str">
        <f t="shared" si="118"/>
        <v/>
      </c>
      <c r="B1260" s="249" t="str">
        <f t="shared" si="119"/>
        <v/>
      </c>
      <c r="C1260" s="250"/>
      <c r="D1260" s="251"/>
      <c r="E1260" s="241"/>
      <c r="F1260" s="252"/>
      <c r="G1260" s="252"/>
      <c r="H1260" s="253"/>
      <c r="I1260" s="250"/>
      <c r="J1260" s="250"/>
      <c r="K1260" s="270"/>
      <c r="L1260" s="250"/>
      <c r="M1260" s="250"/>
      <c r="N1260" s="553" t="str">
        <f>CONCATENATE(IF(OR(M1260=phu!$I$1,M1260=phu!$I$2,M1260=phu!$I$3),"Cam Thành Nam",""),IF(OR(M1260=phu!$I$4,M1260=phu!$I$5,M1260=phu!$I$6,M1260=phu!$I$7,M1260=phu!$I$8,M1260=phu!$I$9,M1260=phu!$I$10,M1260=phu!$I$11,M1260=phu!$I$12,M1260=phu!$I$13,M1260=phu!$I$14),"Cam Nghĩa",""),IF(OR(M1260=phu!$I$15,M1260=phu!$I$16,M1260=phu!$I$17,M1260=phu!$I$18,M1260=phu!$I$19,M1260=phu!$I$20,M1260=phu!$I$21),"Cam Phúc Bắc",""),IF(OR(M1260=phu!$I$22,M1260=phu!$I$23,M1260=phu!$I$24,M1260=phu!$I$25),"Cam Phúc Nam",""),IF(OR(M1260=phu!$I$26,M1260=phu!$I$27,M1260=phu!$I$28,M1260=phu!$I$29,M1260=phu!$I$30,M1260=phu!$I$31),"Cam Phú",""),IF(OR(M1260=phu!$I$32,M1260=phu!$I$33,M1260=phu!$I$34,M1260=phu!$I$35,M1260=phu!$I$36,M1260=phu!$I$37),"Cam Lộc",""),IF(OR(M1260=phu!$I$38,M1260=phu!$I$39,M1260=phu!$I$40,M1260=phu!$I$41,M1260=phu!$I$42,M1260=phu!$I$43,M1260=phu!$I$44),"Cam Thuận",""),IF(OR(M1260=phu!$I$45,M1260=phu!$I$46,M1260=phu!$I$47,M1260=phu!$I$48,M1260=phu!$I$49,M1260=phu!$I$50,M1260=phu!$I$51,M1260=phu!$I$52,M1260=phu!$I$53),"Cam Linh",""),IF(OR(M1260=phu!$I$54,M1260=phu!$I$55,M1260=phu!$I$56,M1260=phu!$I$57,M1260=phu!$I$58,M1260=phu!$I$59,M1260=phu!$I$60,M1260=phu!$I$61,M1260=phu!$I$62),"Cam Lợi",""),IF(OR(M1260=phu!$I$63,M1260=phu!$I$64,M1260=phu!$I$65,M1260=phu!$I$66,M1260=phu!$I$67,M1260=phu!$I$68,M1260=phu!$I$69,M1260=phu!$I$70,M1260=phu!$I$71),"Ba Ngòi",""),IF(OR(M1260=phu!$I$72,M1260=phu!$I$73,M1260=phu!$I$74,M1260=phu!$I$75,M1260=phu!$I$76,M1260=phu!$I$77,M1260=phu!$I$78),"Cam Phước Đông",""),IF(OR(M1260=phu!$I$79,M1260=phu!$I$80,M1260=phu!$I$81,M1260=phu!$I$82,M1260=phu!$I$83,M1260=phu!$I$84),"Cam Thịnh Đông",""),IF(OR(M1260=phu!$I$85,M1260=phu!$I$86,M1260=phu!$I$87,M1260=phu!$I$88),"Cam Thịnh Tây",""),IF(OR(M1260=phu!$I$89,M1260=phu!$I$90),"Cam Lập",""),IF(OR(M1260=phu!$I$91,M1260=phu!$I$92,M1260=phu!$I$93),"Cam Bình",""),IF(OR(M1260=phu!$I$94,M1260=phu!$I$95,M1260=phu!$I$96,M1260=phu!$I$97,M1260=phu!$I$98,M1260=phu!$I$99,M1260=phu!$I$100),"Huyện khác",""),IF(OR(M1260=phu!$I$101,M1260=phu!$I$102),"Tỉnh khác",""))</f>
        <v/>
      </c>
      <c r="O1260" s="814" t="str">
        <f t="shared" si="115"/>
        <v/>
      </c>
      <c r="P1260" s="254"/>
      <c r="Q1260" s="254"/>
      <c r="R1260" s="254"/>
      <c r="S1260" s="254"/>
      <c r="T1260" s="254"/>
      <c r="U1260" s="254"/>
      <c r="V1260" s="254"/>
      <c r="W1260" s="254"/>
      <c r="Y1260" s="246" t="str">
        <f t="shared" si="116"/>
        <v/>
      </c>
      <c r="Z1260" s="247" t="str">
        <f t="shared" si="114"/>
        <v/>
      </c>
      <c r="AA1260" s="246" t="str">
        <f t="shared" si="117"/>
        <v/>
      </c>
    </row>
    <row r="1261" spans="1:27" x14ac:dyDescent="0.25">
      <c r="A1261" s="248" t="str">
        <f t="shared" si="118"/>
        <v/>
      </c>
      <c r="B1261" s="249" t="str">
        <f t="shared" si="119"/>
        <v/>
      </c>
      <c r="C1261" s="250"/>
      <c r="D1261" s="251"/>
      <c r="E1261" s="241"/>
      <c r="F1261" s="252"/>
      <c r="G1261" s="252"/>
      <c r="H1261" s="253"/>
      <c r="I1261" s="250"/>
      <c r="J1261" s="250"/>
      <c r="K1261" s="270"/>
      <c r="L1261" s="250"/>
      <c r="M1261" s="250"/>
      <c r="N1261" s="553" t="str">
        <f>CONCATENATE(IF(OR(M1261=phu!$I$1,M1261=phu!$I$2,M1261=phu!$I$3),"Cam Thành Nam",""),IF(OR(M1261=phu!$I$4,M1261=phu!$I$5,M1261=phu!$I$6,M1261=phu!$I$7,M1261=phu!$I$8,M1261=phu!$I$9,M1261=phu!$I$10,M1261=phu!$I$11,M1261=phu!$I$12,M1261=phu!$I$13,M1261=phu!$I$14),"Cam Nghĩa",""),IF(OR(M1261=phu!$I$15,M1261=phu!$I$16,M1261=phu!$I$17,M1261=phu!$I$18,M1261=phu!$I$19,M1261=phu!$I$20,M1261=phu!$I$21),"Cam Phúc Bắc",""),IF(OR(M1261=phu!$I$22,M1261=phu!$I$23,M1261=phu!$I$24,M1261=phu!$I$25),"Cam Phúc Nam",""),IF(OR(M1261=phu!$I$26,M1261=phu!$I$27,M1261=phu!$I$28,M1261=phu!$I$29,M1261=phu!$I$30,M1261=phu!$I$31),"Cam Phú",""),IF(OR(M1261=phu!$I$32,M1261=phu!$I$33,M1261=phu!$I$34,M1261=phu!$I$35,M1261=phu!$I$36,M1261=phu!$I$37),"Cam Lộc",""),IF(OR(M1261=phu!$I$38,M1261=phu!$I$39,M1261=phu!$I$40,M1261=phu!$I$41,M1261=phu!$I$42,M1261=phu!$I$43,M1261=phu!$I$44),"Cam Thuận",""),IF(OR(M1261=phu!$I$45,M1261=phu!$I$46,M1261=phu!$I$47,M1261=phu!$I$48,M1261=phu!$I$49,M1261=phu!$I$50,M1261=phu!$I$51,M1261=phu!$I$52,M1261=phu!$I$53),"Cam Linh",""),IF(OR(M1261=phu!$I$54,M1261=phu!$I$55,M1261=phu!$I$56,M1261=phu!$I$57,M1261=phu!$I$58,M1261=phu!$I$59,M1261=phu!$I$60,M1261=phu!$I$61,M1261=phu!$I$62),"Cam Lợi",""),IF(OR(M1261=phu!$I$63,M1261=phu!$I$64,M1261=phu!$I$65,M1261=phu!$I$66,M1261=phu!$I$67,M1261=phu!$I$68,M1261=phu!$I$69,M1261=phu!$I$70,M1261=phu!$I$71),"Ba Ngòi",""),IF(OR(M1261=phu!$I$72,M1261=phu!$I$73,M1261=phu!$I$74,M1261=phu!$I$75,M1261=phu!$I$76,M1261=phu!$I$77,M1261=phu!$I$78),"Cam Phước Đông",""),IF(OR(M1261=phu!$I$79,M1261=phu!$I$80,M1261=phu!$I$81,M1261=phu!$I$82,M1261=phu!$I$83,M1261=phu!$I$84),"Cam Thịnh Đông",""),IF(OR(M1261=phu!$I$85,M1261=phu!$I$86,M1261=phu!$I$87,M1261=phu!$I$88),"Cam Thịnh Tây",""),IF(OR(M1261=phu!$I$89,M1261=phu!$I$90),"Cam Lập",""),IF(OR(M1261=phu!$I$91,M1261=phu!$I$92,M1261=phu!$I$93),"Cam Bình",""),IF(OR(M1261=phu!$I$94,M1261=phu!$I$95,M1261=phu!$I$96,M1261=phu!$I$97,M1261=phu!$I$98,M1261=phu!$I$99,M1261=phu!$I$100),"Huyện khác",""),IF(OR(M1261=phu!$I$101,M1261=phu!$I$102),"Tỉnh khác",""))</f>
        <v/>
      </c>
      <c r="O1261" s="814" t="str">
        <f t="shared" si="115"/>
        <v/>
      </c>
      <c r="P1261" s="254"/>
      <c r="Q1261" s="254"/>
      <c r="R1261" s="254"/>
      <c r="S1261" s="254"/>
      <c r="T1261" s="254"/>
      <c r="U1261" s="254"/>
      <c r="V1261" s="254"/>
      <c r="W1261" s="254"/>
      <c r="Y1261" s="246" t="str">
        <f t="shared" si="116"/>
        <v/>
      </c>
      <c r="Z1261" s="247" t="str">
        <f t="shared" si="114"/>
        <v/>
      </c>
      <c r="AA1261" s="246" t="str">
        <f t="shared" si="117"/>
        <v/>
      </c>
    </row>
    <row r="1262" spans="1:27" x14ac:dyDescent="0.25">
      <c r="A1262" s="248" t="str">
        <f t="shared" si="118"/>
        <v/>
      </c>
      <c r="B1262" s="249" t="str">
        <f t="shared" si="119"/>
        <v/>
      </c>
      <c r="C1262" s="250"/>
      <c r="D1262" s="251"/>
      <c r="E1262" s="241"/>
      <c r="F1262" s="252"/>
      <c r="G1262" s="252"/>
      <c r="H1262" s="253"/>
      <c r="I1262" s="250"/>
      <c r="J1262" s="250"/>
      <c r="K1262" s="270"/>
      <c r="L1262" s="250"/>
      <c r="M1262" s="250"/>
      <c r="N1262" s="553" t="str">
        <f>CONCATENATE(IF(OR(M1262=phu!$I$1,M1262=phu!$I$2,M1262=phu!$I$3),"Cam Thành Nam",""),IF(OR(M1262=phu!$I$4,M1262=phu!$I$5,M1262=phu!$I$6,M1262=phu!$I$7,M1262=phu!$I$8,M1262=phu!$I$9,M1262=phu!$I$10,M1262=phu!$I$11,M1262=phu!$I$12,M1262=phu!$I$13,M1262=phu!$I$14),"Cam Nghĩa",""),IF(OR(M1262=phu!$I$15,M1262=phu!$I$16,M1262=phu!$I$17,M1262=phu!$I$18,M1262=phu!$I$19,M1262=phu!$I$20,M1262=phu!$I$21),"Cam Phúc Bắc",""),IF(OR(M1262=phu!$I$22,M1262=phu!$I$23,M1262=phu!$I$24,M1262=phu!$I$25),"Cam Phúc Nam",""),IF(OR(M1262=phu!$I$26,M1262=phu!$I$27,M1262=phu!$I$28,M1262=phu!$I$29,M1262=phu!$I$30,M1262=phu!$I$31),"Cam Phú",""),IF(OR(M1262=phu!$I$32,M1262=phu!$I$33,M1262=phu!$I$34,M1262=phu!$I$35,M1262=phu!$I$36,M1262=phu!$I$37),"Cam Lộc",""),IF(OR(M1262=phu!$I$38,M1262=phu!$I$39,M1262=phu!$I$40,M1262=phu!$I$41,M1262=phu!$I$42,M1262=phu!$I$43,M1262=phu!$I$44),"Cam Thuận",""),IF(OR(M1262=phu!$I$45,M1262=phu!$I$46,M1262=phu!$I$47,M1262=phu!$I$48,M1262=phu!$I$49,M1262=phu!$I$50,M1262=phu!$I$51,M1262=phu!$I$52,M1262=phu!$I$53),"Cam Linh",""),IF(OR(M1262=phu!$I$54,M1262=phu!$I$55,M1262=phu!$I$56,M1262=phu!$I$57,M1262=phu!$I$58,M1262=phu!$I$59,M1262=phu!$I$60,M1262=phu!$I$61,M1262=phu!$I$62),"Cam Lợi",""),IF(OR(M1262=phu!$I$63,M1262=phu!$I$64,M1262=phu!$I$65,M1262=phu!$I$66,M1262=phu!$I$67,M1262=phu!$I$68,M1262=phu!$I$69,M1262=phu!$I$70,M1262=phu!$I$71),"Ba Ngòi",""),IF(OR(M1262=phu!$I$72,M1262=phu!$I$73,M1262=phu!$I$74,M1262=phu!$I$75,M1262=phu!$I$76,M1262=phu!$I$77,M1262=phu!$I$78),"Cam Phước Đông",""),IF(OR(M1262=phu!$I$79,M1262=phu!$I$80,M1262=phu!$I$81,M1262=phu!$I$82,M1262=phu!$I$83,M1262=phu!$I$84),"Cam Thịnh Đông",""),IF(OR(M1262=phu!$I$85,M1262=phu!$I$86,M1262=phu!$I$87,M1262=phu!$I$88),"Cam Thịnh Tây",""),IF(OR(M1262=phu!$I$89,M1262=phu!$I$90),"Cam Lập",""),IF(OR(M1262=phu!$I$91,M1262=phu!$I$92,M1262=phu!$I$93),"Cam Bình",""),IF(OR(M1262=phu!$I$94,M1262=phu!$I$95,M1262=phu!$I$96,M1262=phu!$I$97,M1262=phu!$I$98,M1262=phu!$I$99,M1262=phu!$I$100),"Huyện khác",""),IF(OR(M1262=phu!$I$101,M1262=phu!$I$102),"Tỉnh khác",""))</f>
        <v/>
      </c>
      <c r="O1262" s="814" t="str">
        <f t="shared" si="115"/>
        <v/>
      </c>
      <c r="P1262" s="254"/>
      <c r="Q1262" s="254"/>
      <c r="R1262" s="254"/>
      <c r="S1262" s="254"/>
      <c r="T1262" s="254"/>
      <c r="U1262" s="254"/>
      <c r="V1262" s="254"/>
      <c r="W1262" s="254"/>
      <c r="Y1262" s="246" t="str">
        <f t="shared" si="116"/>
        <v/>
      </c>
      <c r="Z1262" s="247" t="str">
        <f t="shared" si="114"/>
        <v/>
      </c>
      <c r="AA1262" s="246" t="str">
        <f t="shared" si="117"/>
        <v/>
      </c>
    </row>
    <row r="1263" spans="1:27" x14ac:dyDescent="0.25">
      <c r="A1263" s="248" t="str">
        <f t="shared" si="118"/>
        <v/>
      </c>
      <c r="B1263" s="249" t="str">
        <f t="shared" si="119"/>
        <v/>
      </c>
      <c r="C1263" s="250"/>
      <c r="D1263" s="251"/>
      <c r="E1263" s="241"/>
      <c r="F1263" s="252"/>
      <c r="G1263" s="252"/>
      <c r="H1263" s="253"/>
      <c r="I1263" s="250"/>
      <c r="J1263" s="250"/>
      <c r="K1263" s="270"/>
      <c r="L1263" s="250"/>
      <c r="M1263" s="250"/>
      <c r="N1263" s="553" t="str">
        <f>CONCATENATE(IF(OR(M1263=phu!$I$1,M1263=phu!$I$2,M1263=phu!$I$3),"Cam Thành Nam",""),IF(OR(M1263=phu!$I$4,M1263=phu!$I$5,M1263=phu!$I$6,M1263=phu!$I$7,M1263=phu!$I$8,M1263=phu!$I$9,M1263=phu!$I$10,M1263=phu!$I$11,M1263=phu!$I$12,M1263=phu!$I$13,M1263=phu!$I$14),"Cam Nghĩa",""),IF(OR(M1263=phu!$I$15,M1263=phu!$I$16,M1263=phu!$I$17,M1263=phu!$I$18,M1263=phu!$I$19,M1263=phu!$I$20,M1263=phu!$I$21),"Cam Phúc Bắc",""),IF(OR(M1263=phu!$I$22,M1263=phu!$I$23,M1263=phu!$I$24,M1263=phu!$I$25),"Cam Phúc Nam",""),IF(OR(M1263=phu!$I$26,M1263=phu!$I$27,M1263=phu!$I$28,M1263=phu!$I$29,M1263=phu!$I$30,M1263=phu!$I$31),"Cam Phú",""),IF(OR(M1263=phu!$I$32,M1263=phu!$I$33,M1263=phu!$I$34,M1263=phu!$I$35,M1263=phu!$I$36,M1263=phu!$I$37),"Cam Lộc",""),IF(OR(M1263=phu!$I$38,M1263=phu!$I$39,M1263=phu!$I$40,M1263=phu!$I$41,M1263=phu!$I$42,M1263=phu!$I$43,M1263=phu!$I$44),"Cam Thuận",""),IF(OR(M1263=phu!$I$45,M1263=phu!$I$46,M1263=phu!$I$47,M1263=phu!$I$48,M1263=phu!$I$49,M1263=phu!$I$50,M1263=phu!$I$51,M1263=phu!$I$52,M1263=phu!$I$53),"Cam Linh",""),IF(OR(M1263=phu!$I$54,M1263=phu!$I$55,M1263=phu!$I$56,M1263=phu!$I$57,M1263=phu!$I$58,M1263=phu!$I$59,M1263=phu!$I$60,M1263=phu!$I$61,M1263=phu!$I$62),"Cam Lợi",""),IF(OR(M1263=phu!$I$63,M1263=phu!$I$64,M1263=phu!$I$65,M1263=phu!$I$66,M1263=phu!$I$67,M1263=phu!$I$68,M1263=phu!$I$69,M1263=phu!$I$70,M1263=phu!$I$71),"Ba Ngòi",""),IF(OR(M1263=phu!$I$72,M1263=phu!$I$73,M1263=phu!$I$74,M1263=phu!$I$75,M1263=phu!$I$76,M1263=phu!$I$77,M1263=phu!$I$78),"Cam Phước Đông",""),IF(OR(M1263=phu!$I$79,M1263=phu!$I$80,M1263=phu!$I$81,M1263=phu!$I$82,M1263=phu!$I$83,M1263=phu!$I$84),"Cam Thịnh Đông",""),IF(OR(M1263=phu!$I$85,M1263=phu!$I$86,M1263=phu!$I$87,M1263=phu!$I$88),"Cam Thịnh Tây",""),IF(OR(M1263=phu!$I$89,M1263=phu!$I$90),"Cam Lập",""),IF(OR(M1263=phu!$I$91,M1263=phu!$I$92,M1263=phu!$I$93),"Cam Bình",""),IF(OR(M1263=phu!$I$94,M1263=phu!$I$95,M1263=phu!$I$96,M1263=phu!$I$97,M1263=phu!$I$98,M1263=phu!$I$99,M1263=phu!$I$100),"Huyện khác",""),IF(OR(M1263=phu!$I$101,M1263=phu!$I$102),"Tỉnh khác",""))</f>
        <v/>
      </c>
      <c r="O1263" s="814" t="str">
        <f t="shared" si="115"/>
        <v/>
      </c>
      <c r="P1263" s="254"/>
      <c r="Q1263" s="254"/>
      <c r="R1263" s="254"/>
      <c r="S1263" s="254"/>
      <c r="T1263" s="254"/>
      <c r="U1263" s="254"/>
      <c r="V1263" s="254"/>
      <c r="W1263" s="254"/>
      <c r="Y1263" s="246" t="str">
        <f t="shared" si="116"/>
        <v/>
      </c>
      <c r="Z1263" s="247" t="str">
        <f t="shared" si="114"/>
        <v/>
      </c>
      <c r="AA1263" s="246" t="str">
        <f t="shared" si="117"/>
        <v/>
      </c>
    </row>
    <row r="1264" spans="1:27" x14ac:dyDescent="0.25">
      <c r="A1264" s="248" t="str">
        <f t="shared" si="118"/>
        <v/>
      </c>
      <c r="B1264" s="249" t="str">
        <f t="shared" si="119"/>
        <v/>
      </c>
      <c r="C1264" s="250"/>
      <c r="D1264" s="251"/>
      <c r="E1264" s="241"/>
      <c r="F1264" s="252"/>
      <c r="G1264" s="252"/>
      <c r="H1264" s="253"/>
      <c r="I1264" s="250"/>
      <c r="J1264" s="250"/>
      <c r="K1264" s="270"/>
      <c r="L1264" s="250"/>
      <c r="M1264" s="250"/>
      <c r="N1264" s="553" t="str">
        <f>CONCATENATE(IF(OR(M1264=phu!$I$1,M1264=phu!$I$2,M1264=phu!$I$3),"Cam Thành Nam",""),IF(OR(M1264=phu!$I$4,M1264=phu!$I$5,M1264=phu!$I$6,M1264=phu!$I$7,M1264=phu!$I$8,M1264=phu!$I$9,M1264=phu!$I$10,M1264=phu!$I$11,M1264=phu!$I$12,M1264=phu!$I$13,M1264=phu!$I$14),"Cam Nghĩa",""),IF(OR(M1264=phu!$I$15,M1264=phu!$I$16,M1264=phu!$I$17,M1264=phu!$I$18,M1264=phu!$I$19,M1264=phu!$I$20,M1264=phu!$I$21),"Cam Phúc Bắc",""),IF(OR(M1264=phu!$I$22,M1264=phu!$I$23,M1264=phu!$I$24,M1264=phu!$I$25),"Cam Phúc Nam",""),IF(OR(M1264=phu!$I$26,M1264=phu!$I$27,M1264=phu!$I$28,M1264=phu!$I$29,M1264=phu!$I$30,M1264=phu!$I$31),"Cam Phú",""),IF(OR(M1264=phu!$I$32,M1264=phu!$I$33,M1264=phu!$I$34,M1264=phu!$I$35,M1264=phu!$I$36,M1264=phu!$I$37),"Cam Lộc",""),IF(OR(M1264=phu!$I$38,M1264=phu!$I$39,M1264=phu!$I$40,M1264=phu!$I$41,M1264=phu!$I$42,M1264=phu!$I$43,M1264=phu!$I$44),"Cam Thuận",""),IF(OR(M1264=phu!$I$45,M1264=phu!$I$46,M1264=phu!$I$47,M1264=phu!$I$48,M1264=phu!$I$49,M1264=phu!$I$50,M1264=phu!$I$51,M1264=phu!$I$52,M1264=phu!$I$53),"Cam Linh",""),IF(OR(M1264=phu!$I$54,M1264=phu!$I$55,M1264=phu!$I$56,M1264=phu!$I$57,M1264=phu!$I$58,M1264=phu!$I$59,M1264=phu!$I$60,M1264=phu!$I$61,M1264=phu!$I$62),"Cam Lợi",""),IF(OR(M1264=phu!$I$63,M1264=phu!$I$64,M1264=phu!$I$65,M1264=phu!$I$66,M1264=phu!$I$67,M1264=phu!$I$68,M1264=phu!$I$69,M1264=phu!$I$70,M1264=phu!$I$71),"Ba Ngòi",""),IF(OR(M1264=phu!$I$72,M1264=phu!$I$73,M1264=phu!$I$74,M1264=phu!$I$75,M1264=phu!$I$76,M1264=phu!$I$77,M1264=phu!$I$78),"Cam Phước Đông",""),IF(OR(M1264=phu!$I$79,M1264=phu!$I$80,M1264=phu!$I$81,M1264=phu!$I$82,M1264=phu!$I$83,M1264=phu!$I$84),"Cam Thịnh Đông",""),IF(OR(M1264=phu!$I$85,M1264=phu!$I$86,M1264=phu!$I$87,M1264=phu!$I$88),"Cam Thịnh Tây",""),IF(OR(M1264=phu!$I$89,M1264=phu!$I$90),"Cam Lập",""),IF(OR(M1264=phu!$I$91,M1264=phu!$I$92,M1264=phu!$I$93),"Cam Bình",""),IF(OR(M1264=phu!$I$94,M1264=phu!$I$95,M1264=phu!$I$96,M1264=phu!$I$97,M1264=phu!$I$98,M1264=phu!$I$99,M1264=phu!$I$100),"Huyện khác",""),IF(OR(M1264=phu!$I$101,M1264=phu!$I$102),"Tỉnh khác",""))</f>
        <v/>
      </c>
      <c r="O1264" s="814" t="str">
        <f t="shared" si="115"/>
        <v/>
      </c>
      <c r="P1264" s="254"/>
      <c r="Q1264" s="254"/>
      <c r="R1264" s="254"/>
      <c r="S1264" s="254"/>
      <c r="T1264" s="254"/>
      <c r="U1264" s="254"/>
      <c r="V1264" s="254"/>
      <c r="W1264" s="254"/>
      <c r="Y1264" s="246" t="str">
        <f t="shared" si="116"/>
        <v/>
      </c>
      <c r="Z1264" s="247" t="str">
        <f t="shared" si="114"/>
        <v/>
      </c>
      <c r="AA1264" s="246" t="str">
        <f t="shared" si="117"/>
        <v/>
      </c>
    </row>
    <row r="1265" spans="1:27" x14ac:dyDescent="0.25">
      <c r="A1265" s="248" t="str">
        <f t="shared" si="118"/>
        <v/>
      </c>
      <c r="B1265" s="249" t="str">
        <f t="shared" si="119"/>
        <v/>
      </c>
      <c r="C1265" s="250"/>
      <c r="D1265" s="251"/>
      <c r="E1265" s="241"/>
      <c r="F1265" s="252"/>
      <c r="G1265" s="252"/>
      <c r="H1265" s="253"/>
      <c r="I1265" s="250"/>
      <c r="J1265" s="250"/>
      <c r="K1265" s="270"/>
      <c r="L1265" s="250"/>
      <c r="M1265" s="250"/>
      <c r="N1265" s="553" t="str">
        <f>CONCATENATE(IF(OR(M1265=phu!$I$1,M1265=phu!$I$2,M1265=phu!$I$3),"Cam Thành Nam",""),IF(OR(M1265=phu!$I$4,M1265=phu!$I$5,M1265=phu!$I$6,M1265=phu!$I$7,M1265=phu!$I$8,M1265=phu!$I$9,M1265=phu!$I$10,M1265=phu!$I$11,M1265=phu!$I$12,M1265=phu!$I$13,M1265=phu!$I$14),"Cam Nghĩa",""),IF(OR(M1265=phu!$I$15,M1265=phu!$I$16,M1265=phu!$I$17,M1265=phu!$I$18,M1265=phu!$I$19,M1265=phu!$I$20,M1265=phu!$I$21),"Cam Phúc Bắc",""),IF(OR(M1265=phu!$I$22,M1265=phu!$I$23,M1265=phu!$I$24,M1265=phu!$I$25),"Cam Phúc Nam",""),IF(OR(M1265=phu!$I$26,M1265=phu!$I$27,M1265=phu!$I$28,M1265=phu!$I$29,M1265=phu!$I$30,M1265=phu!$I$31),"Cam Phú",""),IF(OR(M1265=phu!$I$32,M1265=phu!$I$33,M1265=phu!$I$34,M1265=phu!$I$35,M1265=phu!$I$36,M1265=phu!$I$37),"Cam Lộc",""),IF(OR(M1265=phu!$I$38,M1265=phu!$I$39,M1265=phu!$I$40,M1265=phu!$I$41,M1265=phu!$I$42,M1265=phu!$I$43,M1265=phu!$I$44),"Cam Thuận",""),IF(OR(M1265=phu!$I$45,M1265=phu!$I$46,M1265=phu!$I$47,M1265=phu!$I$48,M1265=phu!$I$49,M1265=phu!$I$50,M1265=phu!$I$51,M1265=phu!$I$52,M1265=phu!$I$53),"Cam Linh",""),IF(OR(M1265=phu!$I$54,M1265=phu!$I$55,M1265=phu!$I$56,M1265=phu!$I$57,M1265=phu!$I$58,M1265=phu!$I$59,M1265=phu!$I$60,M1265=phu!$I$61,M1265=phu!$I$62),"Cam Lợi",""),IF(OR(M1265=phu!$I$63,M1265=phu!$I$64,M1265=phu!$I$65,M1265=phu!$I$66,M1265=phu!$I$67,M1265=phu!$I$68,M1265=phu!$I$69,M1265=phu!$I$70,M1265=phu!$I$71),"Ba Ngòi",""),IF(OR(M1265=phu!$I$72,M1265=phu!$I$73,M1265=phu!$I$74,M1265=phu!$I$75,M1265=phu!$I$76,M1265=phu!$I$77,M1265=phu!$I$78),"Cam Phước Đông",""),IF(OR(M1265=phu!$I$79,M1265=phu!$I$80,M1265=phu!$I$81,M1265=phu!$I$82,M1265=phu!$I$83,M1265=phu!$I$84),"Cam Thịnh Đông",""),IF(OR(M1265=phu!$I$85,M1265=phu!$I$86,M1265=phu!$I$87,M1265=phu!$I$88),"Cam Thịnh Tây",""),IF(OR(M1265=phu!$I$89,M1265=phu!$I$90),"Cam Lập",""),IF(OR(M1265=phu!$I$91,M1265=phu!$I$92,M1265=phu!$I$93),"Cam Bình",""),IF(OR(M1265=phu!$I$94,M1265=phu!$I$95,M1265=phu!$I$96,M1265=phu!$I$97,M1265=phu!$I$98,M1265=phu!$I$99,M1265=phu!$I$100),"Huyện khác",""),IF(OR(M1265=phu!$I$101,M1265=phu!$I$102),"Tỉnh khác",""))</f>
        <v/>
      </c>
      <c r="O1265" s="814" t="str">
        <f t="shared" si="115"/>
        <v/>
      </c>
      <c r="P1265" s="254"/>
      <c r="Q1265" s="254"/>
      <c r="R1265" s="254"/>
      <c r="S1265" s="254"/>
      <c r="T1265" s="254"/>
      <c r="U1265" s="254"/>
      <c r="V1265" s="254"/>
      <c r="W1265" s="254"/>
      <c r="Y1265" s="246" t="str">
        <f t="shared" si="116"/>
        <v/>
      </c>
      <c r="Z1265" s="247" t="str">
        <f t="shared" si="114"/>
        <v/>
      </c>
      <c r="AA1265" s="246" t="str">
        <f t="shared" si="117"/>
        <v/>
      </c>
    </row>
    <row r="1266" spans="1:27" x14ac:dyDescent="0.25">
      <c r="A1266" s="248" t="str">
        <f t="shared" si="118"/>
        <v/>
      </c>
      <c r="B1266" s="249" t="str">
        <f t="shared" si="119"/>
        <v/>
      </c>
      <c r="C1266" s="250"/>
      <c r="D1266" s="251"/>
      <c r="E1266" s="241"/>
      <c r="F1266" s="252"/>
      <c r="G1266" s="252"/>
      <c r="H1266" s="253"/>
      <c r="I1266" s="250"/>
      <c r="J1266" s="250"/>
      <c r="K1266" s="270"/>
      <c r="L1266" s="250"/>
      <c r="M1266" s="250"/>
      <c r="N1266" s="553" t="str">
        <f>CONCATENATE(IF(OR(M1266=phu!$I$1,M1266=phu!$I$2,M1266=phu!$I$3),"Cam Thành Nam",""),IF(OR(M1266=phu!$I$4,M1266=phu!$I$5,M1266=phu!$I$6,M1266=phu!$I$7,M1266=phu!$I$8,M1266=phu!$I$9,M1266=phu!$I$10,M1266=phu!$I$11,M1266=phu!$I$12,M1266=phu!$I$13,M1266=phu!$I$14),"Cam Nghĩa",""),IF(OR(M1266=phu!$I$15,M1266=phu!$I$16,M1266=phu!$I$17,M1266=phu!$I$18,M1266=phu!$I$19,M1266=phu!$I$20,M1266=phu!$I$21),"Cam Phúc Bắc",""),IF(OR(M1266=phu!$I$22,M1266=phu!$I$23,M1266=phu!$I$24,M1266=phu!$I$25),"Cam Phúc Nam",""),IF(OR(M1266=phu!$I$26,M1266=phu!$I$27,M1266=phu!$I$28,M1266=phu!$I$29,M1266=phu!$I$30,M1266=phu!$I$31),"Cam Phú",""),IF(OR(M1266=phu!$I$32,M1266=phu!$I$33,M1266=phu!$I$34,M1266=phu!$I$35,M1266=phu!$I$36,M1266=phu!$I$37),"Cam Lộc",""),IF(OR(M1266=phu!$I$38,M1266=phu!$I$39,M1266=phu!$I$40,M1266=phu!$I$41,M1266=phu!$I$42,M1266=phu!$I$43,M1266=phu!$I$44),"Cam Thuận",""),IF(OR(M1266=phu!$I$45,M1266=phu!$I$46,M1266=phu!$I$47,M1266=phu!$I$48,M1266=phu!$I$49,M1266=phu!$I$50,M1266=phu!$I$51,M1266=phu!$I$52,M1266=phu!$I$53),"Cam Linh",""),IF(OR(M1266=phu!$I$54,M1266=phu!$I$55,M1266=phu!$I$56,M1266=phu!$I$57,M1266=phu!$I$58,M1266=phu!$I$59,M1266=phu!$I$60,M1266=phu!$I$61,M1266=phu!$I$62),"Cam Lợi",""),IF(OR(M1266=phu!$I$63,M1266=phu!$I$64,M1266=phu!$I$65,M1266=phu!$I$66,M1266=phu!$I$67,M1266=phu!$I$68,M1266=phu!$I$69,M1266=phu!$I$70,M1266=phu!$I$71),"Ba Ngòi",""),IF(OR(M1266=phu!$I$72,M1266=phu!$I$73,M1266=phu!$I$74,M1266=phu!$I$75,M1266=phu!$I$76,M1266=phu!$I$77,M1266=phu!$I$78),"Cam Phước Đông",""),IF(OR(M1266=phu!$I$79,M1266=phu!$I$80,M1266=phu!$I$81,M1266=phu!$I$82,M1266=phu!$I$83,M1266=phu!$I$84),"Cam Thịnh Đông",""),IF(OR(M1266=phu!$I$85,M1266=phu!$I$86,M1266=phu!$I$87,M1266=phu!$I$88),"Cam Thịnh Tây",""),IF(OR(M1266=phu!$I$89,M1266=phu!$I$90),"Cam Lập",""),IF(OR(M1266=phu!$I$91,M1266=phu!$I$92,M1266=phu!$I$93),"Cam Bình",""),IF(OR(M1266=phu!$I$94,M1266=phu!$I$95,M1266=phu!$I$96,M1266=phu!$I$97,M1266=phu!$I$98,M1266=phu!$I$99,M1266=phu!$I$100),"Huyện khác",""),IF(OR(M1266=phu!$I$101,M1266=phu!$I$102),"Tỉnh khác",""))</f>
        <v/>
      </c>
      <c r="O1266" s="814" t="str">
        <f t="shared" si="115"/>
        <v/>
      </c>
      <c r="P1266" s="254"/>
      <c r="Q1266" s="254"/>
      <c r="R1266" s="254"/>
      <c r="S1266" s="254"/>
      <c r="T1266" s="254"/>
      <c r="U1266" s="254"/>
      <c r="V1266" s="254"/>
      <c r="W1266" s="254"/>
      <c r="Y1266" s="246" t="str">
        <f t="shared" si="116"/>
        <v/>
      </c>
      <c r="Z1266" s="247" t="str">
        <f t="shared" si="114"/>
        <v/>
      </c>
      <c r="AA1266" s="246" t="str">
        <f t="shared" si="117"/>
        <v/>
      </c>
    </row>
    <row r="1267" spans="1:27" x14ac:dyDescent="0.25">
      <c r="A1267" s="248" t="str">
        <f t="shared" si="118"/>
        <v/>
      </c>
      <c r="B1267" s="249" t="str">
        <f t="shared" si="119"/>
        <v/>
      </c>
      <c r="C1267" s="250"/>
      <c r="D1267" s="251"/>
      <c r="E1267" s="241"/>
      <c r="F1267" s="252"/>
      <c r="G1267" s="252"/>
      <c r="H1267" s="253"/>
      <c r="I1267" s="250"/>
      <c r="J1267" s="250"/>
      <c r="K1267" s="270"/>
      <c r="L1267" s="250"/>
      <c r="M1267" s="250"/>
      <c r="N1267" s="553" t="str">
        <f>CONCATENATE(IF(OR(M1267=phu!$I$1,M1267=phu!$I$2,M1267=phu!$I$3),"Cam Thành Nam",""),IF(OR(M1267=phu!$I$4,M1267=phu!$I$5,M1267=phu!$I$6,M1267=phu!$I$7,M1267=phu!$I$8,M1267=phu!$I$9,M1267=phu!$I$10,M1267=phu!$I$11,M1267=phu!$I$12,M1267=phu!$I$13,M1267=phu!$I$14),"Cam Nghĩa",""),IF(OR(M1267=phu!$I$15,M1267=phu!$I$16,M1267=phu!$I$17,M1267=phu!$I$18,M1267=phu!$I$19,M1267=phu!$I$20,M1267=phu!$I$21),"Cam Phúc Bắc",""),IF(OR(M1267=phu!$I$22,M1267=phu!$I$23,M1267=phu!$I$24,M1267=phu!$I$25),"Cam Phúc Nam",""),IF(OR(M1267=phu!$I$26,M1267=phu!$I$27,M1267=phu!$I$28,M1267=phu!$I$29,M1267=phu!$I$30,M1267=phu!$I$31),"Cam Phú",""),IF(OR(M1267=phu!$I$32,M1267=phu!$I$33,M1267=phu!$I$34,M1267=phu!$I$35,M1267=phu!$I$36,M1267=phu!$I$37),"Cam Lộc",""),IF(OR(M1267=phu!$I$38,M1267=phu!$I$39,M1267=phu!$I$40,M1267=phu!$I$41,M1267=phu!$I$42,M1267=phu!$I$43,M1267=phu!$I$44),"Cam Thuận",""),IF(OR(M1267=phu!$I$45,M1267=phu!$I$46,M1267=phu!$I$47,M1267=phu!$I$48,M1267=phu!$I$49,M1267=phu!$I$50,M1267=phu!$I$51,M1267=phu!$I$52,M1267=phu!$I$53),"Cam Linh",""),IF(OR(M1267=phu!$I$54,M1267=phu!$I$55,M1267=phu!$I$56,M1267=phu!$I$57,M1267=phu!$I$58,M1267=phu!$I$59,M1267=phu!$I$60,M1267=phu!$I$61,M1267=phu!$I$62),"Cam Lợi",""),IF(OR(M1267=phu!$I$63,M1267=phu!$I$64,M1267=phu!$I$65,M1267=phu!$I$66,M1267=phu!$I$67,M1267=phu!$I$68,M1267=phu!$I$69,M1267=phu!$I$70,M1267=phu!$I$71),"Ba Ngòi",""),IF(OR(M1267=phu!$I$72,M1267=phu!$I$73,M1267=phu!$I$74,M1267=phu!$I$75,M1267=phu!$I$76,M1267=phu!$I$77,M1267=phu!$I$78),"Cam Phước Đông",""),IF(OR(M1267=phu!$I$79,M1267=phu!$I$80,M1267=phu!$I$81,M1267=phu!$I$82,M1267=phu!$I$83,M1267=phu!$I$84),"Cam Thịnh Đông",""),IF(OR(M1267=phu!$I$85,M1267=phu!$I$86,M1267=phu!$I$87,M1267=phu!$I$88),"Cam Thịnh Tây",""),IF(OR(M1267=phu!$I$89,M1267=phu!$I$90),"Cam Lập",""),IF(OR(M1267=phu!$I$91,M1267=phu!$I$92,M1267=phu!$I$93),"Cam Bình",""),IF(OR(M1267=phu!$I$94,M1267=phu!$I$95,M1267=phu!$I$96,M1267=phu!$I$97,M1267=phu!$I$98,M1267=phu!$I$99,M1267=phu!$I$100),"Huyện khác",""),IF(OR(M1267=phu!$I$101,M1267=phu!$I$102),"Tỉnh khác",""))</f>
        <v/>
      </c>
      <c r="O1267" s="814" t="str">
        <f t="shared" si="115"/>
        <v/>
      </c>
      <c r="P1267" s="254"/>
      <c r="Q1267" s="254"/>
      <c r="R1267" s="254"/>
      <c r="S1267" s="254"/>
      <c r="T1267" s="254"/>
      <c r="U1267" s="254"/>
      <c r="V1267" s="254"/>
      <c r="W1267" s="254"/>
      <c r="Y1267" s="246" t="str">
        <f t="shared" si="116"/>
        <v/>
      </c>
      <c r="Z1267" s="247" t="str">
        <f t="shared" si="114"/>
        <v/>
      </c>
      <c r="AA1267" s="246" t="str">
        <f t="shared" si="117"/>
        <v/>
      </c>
    </row>
    <row r="1268" spans="1:27" x14ac:dyDescent="0.25">
      <c r="A1268" s="248" t="str">
        <f t="shared" si="118"/>
        <v/>
      </c>
      <c r="B1268" s="249" t="str">
        <f t="shared" si="119"/>
        <v/>
      </c>
      <c r="C1268" s="250"/>
      <c r="D1268" s="251"/>
      <c r="E1268" s="241"/>
      <c r="F1268" s="252"/>
      <c r="G1268" s="252"/>
      <c r="H1268" s="253"/>
      <c r="I1268" s="250"/>
      <c r="J1268" s="250"/>
      <c r="K1268" s="270"/>
      <c r="L1268" s="250"/>
      <c r="M1268" s="250"/>
      <c r="N1268" s="553" t="str">
        <f>CONCATENATE(IF(OR(M1268=phu!$I$1,M1268=phu!$I$2,M1268=phu!$I$3),"Cam Thành Nam",""),IF(OR(M1268=phu!$I$4,M1268=phu!$I$5,M1268=phu!$I$6,M1268=phu!$I$7,M1268=phu!$I$8,M1268=phu!$I$9,M1268=phu!$I$10,M1268=phu!$I$11,M1268=phu!$I$12,M1268=phu!$I$13,M1268=phu!$I$14),"Cam Nghĩa",""),IF(OR(M1268=phu!$I$15,M1268=phu!$I$16,M1268=phu!$I$17,M1268=phu!$I$18,M1268=phu!$I$19,M1268=phu!$I$20,M1268=phu!$I$21),"Cam Phúc Bắc",""),IF(OR(M1268=phu!$I$22,M1268=phu!$I$23,M1268=phu!$I$24,M1268=phu!$I$25),"Cam Phúc Nam",""),IF(OR(M1268=phu!$I$26,M1268=phu!$I$27,M1268=phu!$I$28,M1268=phu!$I$29,M1268=phu!$I$30,M1268=phu!$I$31),"Cam Phú",""),IF(OR(M1268=phu!$I$32,M1268=phu!$I$33,M1268=phu!$I$34,M1268=phu!$I$35,M1268=phu!$I$36,M1268=phu!$I$37),"Cam Lộc",""),IF(OR(M1268=phu!$I$38,M1268=phu!$I$39,M1268=phu!$I$40,M1268=phu!$I$41,M1268=phu!$I$42,M1268=phu!$I$43,M1268=phu!$I$44),"Cam Thuận",""),IF(OR(M1268=phu!$I$45,M1268=phu!$I$46,M1268=phu!$I$47,M1268=phu!$I$48,M1268=phu!$I$49,M1268=phu!$I$50,M1268=phu!$I$51,M1268=phu!$I$52,M1268=phu!$I$53),"Cam Linh",""),IF(OR(M1268=phu!$I$54,M1268=phu!$I$55,M1268=phu!$I$56,M1268=phu!$I$57,M1268=phu!$I$58,M1268=phu!$I$59,M1268=phu!$I$60,M1268=phu!$I$61,M1268=phu!$I$62),"Cam Lợi",""),IF(OR(M1268=phu!$I$63,M1268=phu!$I$64,M1268=phu!$I$65,M1268=phu!$I$66,M1268=phu!$I$67,M1268=phu!$I$68,M1268=phu!$I$69,M1268=phu!$I$70,M1268=phu!$I$71),"Ba Ngòi",""),IF(OR(M1268=phu!$I$72,M1268=phu!$I$73,M1268=phu!$I$74,M1268=phu!$I$75,M1268=phu!$I$76,M1268=phu!$I$77,M1268=phu!$I$78),"Cam Phước Đông",""),IF(OR(M1268=phu!$I$79,M1268=phu!$I$80,M1268=phu!$I$81,M1268=phu!$I$82,M1268=phu!$I$83,M1268=phu!$I$84),"Cam Thịnh Đông",""),IF(OR(M1268=phu!$I$85,M1268=phu!$I$86,M1268=phu!$I$87,M1268=phu!$I$88),"Cam Thịnh Tây",""),IF(OR(M1268=phu!$I$89,M1268=phu!$I$90),"Cam Lập",""),IF(OR(M1268=phu!$I$91,M1268=phu!$I$92,M1268=phu!$I$93),"Cam Bình",""),IF(OR(M1268=phu!$I$94,M1268=phu!$I$95,M1268=phu!$I$96,M1268=phu!$I$97,M1268=phu!$I$98,M1268=phu!$I$99,M1268=phu!$I$100),"Huyện khác",""),IF(OR(M1268=phu!$I$101,M1268=phu!$I$102),"Tỉnh khác",""))</f>
        <v/>
      </c>
      <c r="O1268" s="814" t="str">
        <f t="shared" si="115"/>
        <v/>
      </c>
      <c r="P1268" s="254"/>
      <c r="Q1268" s="254"/>
      <c r="R1268" s="254"/>
      <c r="S1268" s="254"/>
      <c r="T1268" s="254"/>
      <c r="U1268" s="254"/>
      <c r="V1268" s="254"/>
      <c r="W1268" s="254"/>
      <c r="Y1268" s="246" t="str">
        <f t="shared" si="116"/>
        <v/>
      </c>
      <c r="Z1268" s="247" t="str">
        <f t="shared" si="114"/>
        <v/>
      </c>
      <c r="AA1268" s="246" t="str">
        <f t="shared" si="117"/>
        <v/>
      </c>
    </row>
    <row r="1269" spans="1:27" x14ac:dyDescent="0.25">
      <c r="A1269" s="248" t="str">
        <f t="shared" si="118"/>
        <v/>
      </c>
      <c r="B1269" s="249" t="str">
        <f t="shared" si="119"/>
        <v/>
      </c>
      <c r="C1269" s="250"/>
      <c r="D1269" s="251"/>
      <c r="E1269" s="241"/>
      <c r="F1269" s="252"/>
      <c r="G1269" s="252"/>
      <c r="H1269" s="253"/>
      <c r="I1269" s="250"/>
      <c r="J1269" s="250"/>
      <c r="K1269" s="270"/>
      <c r="L1269" s="250"/>
      <c r="M1269" s="250"/>
      <c r="N1269" s="553" t="str">
        <f>CONCATENATE(IF(OR(M1269=phu!$I$1,M1269=phu!$I$2,M1269=phu!$I$3),"Cam Thành Nam",""),IF(OR(M1269=phu!$I$4,M1269=phu!$I$5,M1269=phu!$I$6,M1269=phu!$I$7,M1269=phu!$I$8,M1269=phu!$I$9,M1269=phu!$I$10,M1269=phu!$I$11,M1269=phu!$I$12,M1269=phu!$I$13,M1269=phu!$I$14),"Cam Nghĩa",""),IF(OR(M1269=phu!$I$15,M1269=phu!$I$16,M1269=phu!$I$17,M1269=phu!$I$18,M1269=phu!$I$19,M1269=phu!$I$20,M1269=phu!$I$21),"Cam Phúc Bắc",""),IF(OR(M1269=phu!$I$22,M1269=phu!$I$23,M1269=phu!$I$24,M1269=phu!$I$25),"Cam Phúc Nam",""),IF(OR(M1269=phu!$I$26,M1269=phu!$I$27,M1269=phu!$I$28,M1269=phu!$I$29,M1269=phu!$I$30,M1269=phu!$I$31),"Cam Phú",""),IF(OR(M1269=phu!$I$32,M1269=phu!$I$33,M1269=phu!$I$34,M1269=phu!$I$35,M1269=phu!$I$36,M1269=phu!$I$37),"Cam Lộc",""),IF(OR(M1269=phu!$I$38,M1269=phu!$I$39,M1269=phu!$I$40,M1269=phu!$I$41,M1269=phu!$I$42,M1269=phu!$I$43,M1269=phu!$I$44),"Cam Thuận",""),IF(OR(M1269=phu!$I$45,M1269=phu!$I$46,M1269=phu!$I$47,M1269=phu!$I$48,M1269=phu!$I$49,M1269=phu!$I$50,M1269=phu!$I$51,M1269=phu!$I$52,M1269=phu!$I$53),"Cam Linh",""),IF(OR(M1269=phu!$I$54,M1269=phu!$I$55,M1269=phu!$I$56,M1269=phu!$I$57,M1269=phu!$I$58,M1269=phu!$I$59,M1269=phu!$I$60,M1269=phu!$I$61,M1269=phu!$I$62),"Cam Lợi",""),IF(OR(M1269=phu!$I$63,M1269=phu!$I$64,M1269=phu!$I$65,M1269=phu!$I$66,M1269=phu!$I$67,M1269=phu!$I$68,M1269=phu!$I$69,M1269=phu!$I$70,M1269=phu!$I$71),"Ba Ngòi",""),IF(OR(M1269=phu!$I$72,M1269=phu!$I$73,M1269=phu!$I$74,M1269=phu!$I$75,M1269=phu!$I$76,M1269=phu!$I$77,M1269=phu!$I$78),"Cam Phước Đông",""),IF(OR(M1269=phu!$I$79,M1269=phu!$I$80,M1269=phu!$I$81,M1269=phu!$I$82,M1269=phu!$I$83,M1269=phu!$I$84),"Cam Thịnh Đông",""),IF(OR(M1269=phu!$I$85,M1269=phu!$I$86,M1269=phu!$I$87,M1269=phu!$I$88),"Cam Thịnh Tây",""),IF(OR(M1269=phu!$I$89,M1269=phu!$I$90),"Cam Lập",""),IF(OR(M1269=phu!$I$91,M1269=phu!$I$92,M1269=phu!$I$93),"Cam Bình",""),IF(OR(M1269=phu!$I$94,M1269=phu!$I$95,M1269=phu!$I$96,M1269=phu!$I$97,M1269=phu!$I$98,M1269=phu!$I$99,M1269=phu!$I$100),"Huyện khác",""),IF(OR(M1269=phu!$I$101,M1269=phu!$I$102),"Tỉnh khác",""))</f>
        <v/>
      </c>
      <c r="O1269" s="814" t="str">
        <f t="shared" si="115"/>
        <v/>
      </c>
      <c r="P1269" s="254"/>
      <c r="Q1269" s="254"/>
      <c r="R1269" s="254"/>
      <c r="S1269" s="254"/>
      <c r="T1269" s="254"/>
      <c r="U1269" s="254"/>
      <c r="V1269" s="254"/>
      <c r="W1269" s="254"/>
      <c r="Y1269" s="246" t="str">
        <f t="shared" si="116"/>
        <v/>
      </c>
      <c r="Z1269" s="247" t="str">
        <f t="shared" si="114"/>
        <v/>
      </c>
      <c r="AA1269" s="246" t="str">
        <f t="shared" si="117"/>
        <v/>
      </c>
    </row>
    <row r="1270" spans="1:27" x14ac:dyDescent="0.25">
      <c r="A1270" s="248" t="str">
        <f t="shared" si="118"/>
        <v/>
      </c>
      <c r="B1270" s="249" t="str">
        <f t="shared" si="119"/>
        <v/>
      </c>
      <c r="C1270" s="250"/>
      <c r="D1270" s="251"/>
      <c r="E1270" s="241"/>
      <c r="F1270" s="252"/>
      <c r="G1270" s="252"/>
      <c r="H1270" s="253"/>
      <c r="I1270" s="250"/>
      <c r="J1270" s="250"/>
      <c r="K1270" s="270"/>
      <c r="L1270" s="250"/>
      <c r="M1270" s="250"/>
      <c r="N1270" s="553" t="str">
        <f>CONCATENATE(IF(OR(M1270=phu!$I$1,M1270=phu!$I$2,M1270=phu!$I$3),"Cam Thành Nam",""),IF(OR(M1270=phu!$I$4,M1270=phu!$I$5,M1270=phu!$I$6,M1270=phu!$I$7,M1270=phu!$I$8,M1270=phu!$I$9,M1270=phu!$I$10,M1270=phu!$I$11,M1270=phu!$I$12,M1270=phu!$I$13,M1270=phu!$I$14),"Cam Nghĩa",""),IF(OR(M1270=phu!$I$15,M1270=phu!$I$16,M1270=phu!$I$17,M1270=phu!$I$18,M1270=phu!$I$19,M1270=phu!$I$20,M1270=phu!$I$21),"Cam Phúc Bắc",""),IF(OR(M1270=phu!$I$22,M1270=phu!$I$23,M1270=phu!$I$24,M1270=phu!$I$25),"Cam Phúc Nam",""),IF(OR(M1270=phu!$I$26,M1270=phu!$I$27,M1270=phu!$I$28,M1270=phu!$I$29,M1270=phu!$I$30,M1270=phu!$I$31),"Cam Phú",""),IF(OR(M1270=phu!$I$32,M1270=phu!$I$33,M1270=phu!$I$34,M1270=phu!$I$35,M1270=phu!$I$36,M1270=phu!$I$37),"Cam Lộc",""),IF(OR(M1270=phu!$I$38,M1270=phu!$I$39,M1270=phu!$I$40,M1270=phu!$I$41,M1270=phu!$I$42,M1270=phu!$I$43,M1270=phu!$I$44),"Cam Thuận",""),IF(OR(M1270=phu!$I$45,M1270=phu!$I$46,M1270=phu!$I$47,M1270=phu!$I$48,M1270=phu!$I$49,M1270=phu!$I$50,M1270=phu!$I$51,M1270=phu!$I$52,M1270=phu!$I$53),"Cam Linh",""),IF(OR(M1270=phu!$I$54,M1270=phu!$I$55,M1270=phu!$I$56,M1270=phu!$I$57,M1270=phu!$I$58,M1270=phu!$I$59,M1270=phu!$I$60,M1270=phu!$I$61,M1270=phu!$I$62),"Cam Lợi",""),IF(OR(M1270=phu!$I$63,M1270=phu!$I$64,M1270=phu!$I$65,M1270=phu!$I$66,M1270=phu!$I$67,M1270=phu!$I$68,M1270=phu!$I$69,M1270=phu!$I$70,M1270=phu!$I$71),"Ba Ngòi",""),IF(OR(M1270=phu!$I$72,M1270=phu!$I$73,M1270=phu!$I$74,M1270=phu!$I$75,M1270=phu!$I$76,M1270=phu!$I$77,M1270=phu!$I$78),"Cam Phước Đông",""),IF(OR(M1270=phu!$I$79,M1270=phu!$I$80,M1270=phu!$I$81,M1270=phu!$I$82,M1270=phu!$I$83,M1270=phu!$I$84),"Cam Thịnh Đông",""),IF(OR(M1270=phu!$I$85,M1270=phu!$I$86,M1270=phu!$I$87,M1270=phu!$I$88),"Cam Thịnh Tây",""),IF(OR(M1270=phu!$I$89,M1270=phu!$I$90),"Cam Lập",""),IF(OR(M1270=phu!$I$91,M1270=phu!$I$92,M1270=phu!$I$93),"Cam Bình",""),IF(OR(M1270=phu!$I$94,M1270=phu!$I$95,M1270=phu!$I$96,M1270=phu!$I$97,M1270=phu!$I$98,M1270=phu!$I$99,M1270=phu!$I$100),"Huyện khác",""),IF(OR(M1270=phu!$I$101,M1270=phu!$I$102),"Tỉnh khác",""))</f>
        <v/>
      </c>
      <c r="O1270" s="814" t="str">
        <f t="shared" si="115"/>
        <v/>
      </c>
      <c r="P1270" s="254"/>
      <c r="Q1270" s="254"/>
      <c r="R1270" s="254"/>
      <c r="S1270" s="254"/>
      <c r="T1270" s="254"/>
      <c r="U1270" s="254"/>
      <c r="V1270" s="254"/>
      <c r="W1270" s="254"/>
      <c r="Y1270" s="246" t="str">
        <f t="shared" si="116"/>
        <v/>
      </c>
      <c r="Z1270" s="247" t="str">
        <f t="shared" si="114"/>
        <v/>
      </c>
      <c r="AA1270" s="246" t="str">
        <f t="shared" si="117"/>
        <v/>
      </c>
    </row>
    <row r="1271" spans="1:27" x14ac:dyDescent="0.25">
      <c r="A1271" s="248" t="str">
        <f t="shared" si="118"/>
        <v/>
      </c>
      <c r="B1271" s="249" t="str">
        <f t="shared" si="119"/>
        <v/>
      </c>
      <c r="C1271" s="250"/>
      <c r="D1271" s="251"/>
      <c r="E1271" s="241"/>
      <c r="F1271" s="252"/>
      <c r="G1271" s="252"/>
      <c r="H1271" s="253"/>
      <c r="I1271" s="250"/>
      <c r="J1271" s="250"/>
      <c r="K1271" s="270"/>
      <c r="L1271" s="250"/>
      <c r="M1271" s="250"/>
      <c r="N1271" s="553" t="str">
        <f>CONCATENATE(IF(OR(M1271=phu!$I$1,M1271=phu!$I$2,M1271=phu!$I$3),"Cam Thành Nam",""),IF(OR(M1271=phu!$I$4,M1271=phu!$I$5,M1271=phu!$I$6,M1271=phu!$I$7,M1271=phu!$I$8,M1271=phu!$I$9,M1271=phu!$I$10,M1271=phu!$I$11,M1271=phu!$I$12,M1271=phu!$I$13,M1271=phu!$I$14),"Cam Nghĩa",""),IF(OR(M1271=phu!$I$15,M1271=phu!$I$16,M1271=phu!$I$17,M1271=phu!$I$18,M1271=phu!$I$19,M1271=phu!$I$20,M1271=phu!$I$21),"Cam Phúc Bắc",""),IF(OR(M1271=phu!$I$22,M1271=phu!$I$23,M1271=phu!$I$24,M1271=phu!$I$25),"Cam Phúc Nam",""),IF(OR(M1271=phu!$I$26,M1271=phu!$I$27,M1271=phu!$I$28,M1271=phu!$I$29,M1271=phu!$I$30,M1271=phu!$I$31),"Cam Phú",""),IF(OR(M1271=phu!$I$32,M1271=phu!$I$33,M1271=phu!$I$34,M1271=phu!$I$35,M1271=phu!$I$36,M1271=phu!$I$37),"Cam Lộc",""),IF(OR(M1271=phu!$I$38,M1271=phu!$I$39,M1271=phu!$I$40,M1271=phu!$I$41,M1271=phu!$I$42,M1271=phu!$I$43,M1271=phu!$I$44),"Cam Thuận",""),IF(OR(M1271=phu!$I$45,M1271=phu!$I$46,M1271=phu!$I$47,M1271=phu!$I$48,M1271=phu!$I$49,M1271=phu!$I$50,M1271=phu!$I$51,M1271=phu!$I$52,M1271=phu!$I$53),"Cam Linh",""),IF(OR(M1271=phu!$I$54,M1271=phu!$I$55,M1271=phu!$I$56,M1271=phu!$I$57,M1271=phu!$I$58,M1271=phu!$I$59,M1271=phu!$I$60,M1271=phu!$I$61,M1271=phu!$I$62),"Cam Lợi",""),IF(OR(M1271=phu!$I$63,M1271=phu!$I$64,M1271=phu!$I$65,M1271=phu!$I$66,M1271=phu!$I$67,M1271=phu!$I$68,M1271=phu!$I$69,M1271=phu!$I$70,M1271=phu!$I$71),"Ba Ngòi",""),IF(OR(M1271=phu!$I$72,M1271=phu!$I$73,M1271=phu!$I$74,M1271=phu!$I$75,M1271=phu!$I$76,M1271=phu!$I$77,M1271=phu!$I$78),"Cam Phước Đông",""),IF(OR(M1271=phu!$I$79,M1271=phu!$I$80,M1271=phu!$I$81,M1271=phu!$I$82,M1271=phu!$I$83,M1271=phu!$I$84),"Cam Thịnh Đông",""),IF(OR(M1271=phu!$I$85,M1271=phu!$I$86,M1271=phu!$I$87,M1271=phu!$I$88),"Cam Thịnh Tây",""),IF(OR(M1271=phu!$I$89,M1271=phu!$I$90),"Cam Lập",""),IF(OR(M1271=phu!$I$91,M1271=phu!$I$92,M1271=phu!$I$93),"Cam Bình",""),IF(OR(M1271=phu!$I$94,M1271=phu!$I$95,M1271=phu!$I$96,M1271=phu!$I$97,M1271=phu!$I$98,M1271=phu!$I$99,M1271=phu!$I$100),"Huyện khác",""),IF(OR(M1271=phu!$I$101,M1271=phu!$I$102),"Tỉnh khác",""))</f>
        <v/>
      </c>
      <c r="O1271" s="814" t="str">
        <f t="shared" si="115"/>
        <v/>
      </c>
      <c r="P1271" s="254"/>
      <c r="Q1271" s="254"/>
      <c r="R1271" s="254"/>
      <c r="S1271" s="254"/>
      <c r="T1271" s="254"/>
      <c r="U1271" s="254"/>
      <c r="V1271" s="254"/>
      <c r="W1271" s="254"/>
      <c r="Y1271" s="246" t="str">
        <f t="shared" si="116"/>
        <v/>
      </c>
      <c r="Z1271" s="247" t="str">
        <f t="shared" si="114"/>
        <v/>
      </c>
      <c r="AA1271" s="246" t="str">
        <f t="shared" si="117"/>
        <v/>
      </c>
    </row>
    <row r="1272" spans="1:27" x14ac:dyDescent="0.25">
      <c r="A1272" s="248" t="str">
        <f t="shared" si="118"/>
        <v/>
      </c>
      <c r="B1272" s="249" t="str">
        <f t="shared" si="119"/>
        <v/>
      </c>
      <c r="C1272" s="250"/>
      <c r="D1272" s="251"/>
      <c r="E1272" s="241"/>
      <c r="F1272" s="252"/>
      <c r="G1272" s="252"/>
      <c r="H1272" s="253"/>
      <c r="I1272" s="250"/>
      <c r="J1272" s="250"/>
      <c r="K1272" s="270"/>
      <c r="L1272" s="250"/>
      <c r="M1272" s="250"/>
      <c r="N1272" s="553" t="str">
        <f>CONCATENATE(IF(OR(M1272=phu!$I$1,M1272=phu!$I$2,M1272=phu!$I$3),"Cam Thành Nam",""),IF(OR(M1272=phu!$I$4,M1272=phu!$I$5,M1272=phu!$I$6,M1272=phu!$I$7,M1272=phu!$I$8,M1272=phu!$I$9,M1272=phu!$I$10,M1272=phu!$I$11,M1272=phu!$I$12,M1272=phu!$I$13,M1272=phu!$I$14),"Cam Nghĩa",""),IF(OR(M1272=phu!$I$15,M1272=phu!$I$16,M1272=phu!$I$17,M1272=phu!$I$18,M1272=phu!$I$19,M1272=phu!$I$20,M1272=phu!$I$21),"Cam Phúc Bắc",""),IF(OR(M1272=phu!$I$22,M1272=phu!$I$23,M1272=phu!$I$24,M1272=phu!$I$25),"Cam Phúc Nam",""),IF(OR(M1272=phu!$I$26,M1272=phu!$I$27,M1272=phu!$I$28,M1272=phu!$I$29,M1272=phu!$I$30,M1272=phu!$I$31),"Cam Phú",""),IF(OR(M1272=phu!$I$32,M1272=phu!$I$33,M1272=phu!$I$34,M1272=phu!$I$35,M1272=phu!$I$36,M1272=phu!$I$37),"Cam Lộc",""),IF(OR(M1272=phu!$I$38,M1272=phu!$I$39,M1272=phu!$I$40,M1272=phu!$I$41,M1272=phu!$I$42,M1272=phu!$I$43,M1272=phu!$I$44),"Cam Thuận",""),IF(OR(M1272=phu!$I$45,M1272=phu!$I$46,M1272=phu!$I$47,M1272=phu!$I$48,M1272=phu!$I$49,M1272=phu!$I$50,M1272=phu!$I$51,M1272=phu!$I$52,M1272=phu!$I$53),"Cam Linh",""),IF(OR(M1272=phu!$I$54,M1272=phu!$I$55,M1272=phu!$I$56,M1272=phu!$I$57,M1272=phu!$I$58,M1272=phu!$I$59,M1272=phu!$I$60,M1272=phu!$I$61,M1272=phu!$I$62),"Cam Lợi",""),IF(OR(M1272=phu!$I$63,M1272=phu!$I$64,M1272=phu!$I$65,M1272=phu!$I$66,M1272=phu!$I$67,M1272=phu!$I$68,M1272=phu!$I$69,M1272=phu!$I$70,M1272=phu!$I$71),"Ba Ngòi",""),IF(OR(M1272=phu!$I$72,M1272=phu!$I$73,M1272=phu!$I$74,M1272=phu!$I$75,M1272=phu!$I$76,M1272=phu!$I$77,M1272=phu!$I$78),"Cam Phước Đông",""),IF(OR(M1272=phu!$I$79,M1272=phu!$I$80,M1272=phu!$I$81,M1272=phu!$I$82,M1272=phu!$I$83,M1272=phu!$I$84),"Cam Thịnh Đông",""),IF(OR(M1272=phu!$I$85,M1272=phu!$I$86,M1272=phu!$I$87,M1272=phu!$I$88),"Cam Thịnh Tây",""),IF(OR(M1272=phu!$I$89,M1272=phu!$I$90),"Cam Lập",""),IF(OR(M1272=phu!$I$91,M1272=phu!$I$92,M1272=phu!$I$93),"Cam Bình",""),IF(OR(M1272=phu!$I$94,M1272=phu!$I$95,M1272=phu!$I$96,M1272=phu!$I$97,M1272=phu!$I$98,M1272=phu!$I$99,M1272=phu!$I$100),"Huyện khác",""),IF(OR(M1272=phu!$I$101,M1272=phu!$I$102),"Tỉnh khác",""))</f>
        <v/>
      </c>
      <c r="O1272" s="814" t="str">
        <f t="shared" si="115"/>
        <v/>
      </c>
      <c r="P1272" s="254"/>
      <c r="Q1272" s="254"/>
      <c r="R1272" s="254"/>
      <c r="S1272" s="254"/>
      <c r="T1272" s="254"/>
      <c r="U1272" s="254"/>
      <c r="V1272" s="254"/>
      <c r="W1272" s="254"/>
      <c r="Y1272" s="246" t="str">
        <f t="shared" si="116"/>
        <v/>
      </c>
      <c r="Z1272" s="247" t="str">
        <f t="shared" si="114"/>
        <v/>
      </c>
      <c r="AA1272" s="246" t="str">
        <f t="shared" si="117"/>
        <v/>
      </c>
    </row>
    <row r="1273" spans="1:27" x14ac:dyDescent="0.25">
      <c r="A1273" s="248" t="str">
        <f t="shared" si="118"/>
        <v/>
      </c>
      <c r="B1273" s="249" t="str">
        <f t="shared" si="119"/>
        <v/>
      </c>
      <c r="C1273" s="250"/>
      <c r="D1273" s="251"/>
      <c r="E1273" s="241"/>
      <c r="F1273" s="252"/>
      <c r="G1273" s="252"/>
      <c r="H1273" s="253"/>
      <c r="I1273" s="250"/>
      <c r="J1273" s="250"/>
      <c r="K1273" s="270"/>
      <c r="L1273" s="250"/>
      <c r="M1273" s="250"/>
      <c r="N1273" s="553" t="str">
        <f>CONCATENATE(IF(OR(M1273=phu!$I$1,M1273=phu!$I$2,M1273=phu!$I$3),"Cam Thành Nam",""),IF(OR(M1273=phu!$I$4,M1273=phu!$I$5,M1273=phu!$I$6,M1273=phu!$I$7,M1273=phu!$I$8,M1273=phu!$I$9,M1273=phu!$I$10,M1273=phu!$I$11,M1273=phu!$I$12,M1273=phu!$I$13,M1273=phu!$I$14),"Cam Nghĩa",""),IF(OR(M1273=phu!$I$15,M1273=phu!$I$16,M1273=phu!$I$17,M1273=phu!$I$18,M1273=phu!$I$19,M1273=phu!$I$20,M1273=phu!$I$21),"Cam Phúc Bắc",""),IF(OR(M1273=phu!$I$22,M1273=phu!$I$23,M1273=phu!$I$24,M1273=phu!$I$25),"Cam Phúc Nam",""),IF(OR(M1273=phu!$I$26,M1273=phu!$I$27,M1273=phu!$I$28,M1273=phu!$I$29,M1273=phu!$I$30,M1273=phu!$I$31),"Cam Phú",""),IF(OR(M1273=phu!$I$32,M1273=phu!$I$33,M1273=phu!$I$34,M1273=phu!$I$35,M1273=phu!$I$36,M1273=phu!$I$37),"Cam Lộc",""),IF(OR(M1273=phu!$I$38,M1273=phu!$I$39,M1273=phu!$I$40,M1273=phu!$I$41,M1273=phu!$I$42,M1273=phu!$I$43,M1273=phu!$I$44),"Cam Thuận",""),IF(OR(M1273=phu!$I$45,M1273=phu!$I$46,M1273=phu!$I$47,M1273=phu!$I$48,M1273=phu!$I$49,M1273=phu!$I$50,M1273=phu!$I$51,M1273=phu!$I$52,M1273=phu!$I$53),"Cam Linh",""),IF(OR(M1273=phu!$I$54,M1273=phu!$I$55,M1273=phu!$I$56,M1273=phu!$I$57,M1273=phu!$I$58,M1273=phu!$I$59,M1273=phu!$I$60,M1273=phu!$I$61,M1273=phu!$I$62),"Cam Lợi",""),IF(OR(M1273=phu!$I$63,M1273=phu!$I$64,M1273=phu!$I$65,M1273=phu!$I$66,M1273=phu!$I$67,M1273=phu!$I$68,M1273=phu!$I$69,M1273=phu!$I$70,M1273=phu!$I$71),"Ba Ngòi",""),IF(OR(M1273=phu!$I$72,M1273=phu!$I$73,M1273=phu!$I$74,M1273=phu!$I$75,M1273=phu!$I$76,M1273=phu!$I$77,M1273=phu!$I$78),"Cam Phước Đông",""),IF(OR(M1273=phu!$I$79,M1273=phu!$I$80,M1273=phu!$I$81,M1273=phu!$I$82,M1273=phu!$I$83,M1273=phu!$I$84),"Cam Thịnh Đông",""),IF(OR(M1273=phu!$I$85,M1273=phu!$I$86,M1273=phu!$I$87,M1273=phu!$I$88),"Cam Thịnh Tây",""),IF(OR(M1273=phu!$I$89,M1273=phu!$I$90),"Cam Lập",""),IF(OR(M1273=phu!$I$91,M1273=phu!$I$92,M1273=phu!$I$93),"Cam Bình",""),IF(OR(M1273=phu!$I$94,M1273=phu!$I$95,M1273=phu!$I$96,M1273=phu!$I$97,M1273=phu!$I$98,M1273=phu!$I$99,M1273=phu!$I$100),"Huyện khác",""),IF(OR(M1273=phu!$I$101,M1273=phu!$I$102),"Tỉnh khác",""))</f>
        <v/>
      </c>
      <c r="O1273" s="814" t="str">
        <f t="shared" si="115"/>
        <v/>
      </c>
      <c r="P1273" s="254"/>
      <c r="Q1273" s="254"/>
      <c r="R1273" s="254"/>
      <c r="S1273" s="254"/>
      <c r="T1273" s="254"/>
      <c r="U1273" s="254"/>
      <c r="V1273" s="254"/>
      <c r="W1273" s="254"/>
      <c r="Y1273" s="246" t="str">
        <f t="shared" si="116"/>
        <v/>
      </c>
      <c r="Z1273" s="247" t="str">
        <f t="shared" si="114"/>
        <v/>
      </c>
      <c r="AA1273" s="246" t="str">
        <f t="shared" si="117"/>
        <v/>
      </c>
    </row>
    <row r="1274" spans="1:27" x14ac:dyDescent="0.25">
      <c r="A1274" s="248" t="str">
        <f t="shared" si="118"/>
        <v/>
      </c>
      <c r="B1274" s="249" t="str">
        <f t="shared" si="119"/>
        <v/>
      </c>
      <c r="C1274" s="250"/>
      <c r="D1274" s="251"/>
      <c r="E1274" s="241"/>
      <c r="F1274" s="252"/>
      <c r="G1274" s="252"/>
      <c r="H1274" s="253"/>
      <c r="I1274" s="250"/>
      <c r="J1274" s="250"/>
      <c r="K1274" s="270"/>
      <c r="L1274" s="250"/>
      <c r="M1274" s="250"/>
      <c r="N1274" s="553" t="str">
        <f>CONCATENATE(IF(OR(M1274=phu!$I$1,M1274=phu!$I$2,M1274=phu!$I$3),"Cam Thành Nam",""),IF(OR(M1274=phu!$I$4,M1274=phu!$I$5,M1274=phu!$I$6,M1274=phu!$I$7,M1274=phu!$I$8,M1274=phu!$I$9,M1274=phu!$I$10,M1274=phu!$I$11,M1274=phu!$I$12,M1274=phu!$I$13,M1274=phu!$I$14),"Cam Nghĩa",""),IF(OR(M1274=phu!$I$15,M1274=phu!$I$16,M1274=phu!$I$17,M1274=phu!$I$18,M1274=phu!$I$19,M1274=phu!$I$20,M1274=phu!$I$21),"Cam Phúc Bắc",""),IF(OR(M1274=phu!$I$22,M1274=phu!$I$23,M1274=phu!$I$24,M1274=phu!$I$25),"Cam Phúc Nam",""),IF(OR(M1274=phu!$I$26,M1274=phu!$I$27,M1274=phu!$I$28,M1274=phu!$I$29,M1274=phu!$I$30,M1274=phu!$I$31),"Cam Phú",""),IF(OR(M1274=phu!$I$32,M1274=phu!$I$33,M1274=phu!$I$34,M1274=phu!$I$35,M1274=phu!$I$36,M1274=phu!$I$37),"Cam Lộc",""),IF(OR(M1274=phu!$I$38,M1274=phu!$I$39,M1274=phu!$I$40,M1274=phu!$I$41,M1274=phu!$I$42,M1274=phu!$I$43,M1274=phu!$I$44),"Cam Thuận",""),IF(OR(M1274=phu!$I$45,M1274=phu!$I$46,M1274=phu!$I$47,M1274=phu!$I$48,M1274=phu!$I$49,M1274=phu!$I$50,M1274=phu!$I$51,M1274=phu!$I$52,M1274=phu!$I$53),"Cam Linh",""),IF(OR(M1274=phu!$I$54,M1274=phu!$I$55,M1274=phu!$I$56,M1274=phu!$I$57,M1274=phu!$I$58,M1274=phu!$I$59,M1274=phu!$I$60,M1274=phu!$I$61,M1274=phu!$I$62),"Cam Lợi",""),IF(OR(M1274=phu!$I$63,M1274=phu!$I$64,M1274=phu!$I$65,M1274=phu!$I$66,M1274=phu!$I$67,M1274=phu!$I$68,M1274=phu!$I$69,M1274=phu!$I$70,M1274=phu!$I$71),"Ba Ngòi",""),IF(OR(M1274=phu!$I$72,M1274=phu!$I$73,M1274=phu!$I$74,M1274=phu!$I$75,M1274=phu!$I$76,M1274=phu!$I$77,M1274=phu!$I$78),"Cam Phước Đông",""),IF(OR(M1274=phu!$I$79,M1274=phu!$I$80,M1274=phu!$I$81,M1274=phu!$I$82,M1274=phu!$I$83,M1274=phu!$I$84),"Cam Thịnh Đông",""),IF(OR(M1274=phu!$I$85,M1274=phu!$I$86,M1274=phu!$I$87,M1274=phu!$I$88),"Cam Thịnh Tây",""),IF(OR(M1274=phu!$I$89,M1274=phu!$I$90),"Cam Lập",""),IF(OR(M1274=phu!$I$91,M1274=phu!$I$92,M1274=phu!$I$93),"Cam Bình",""),IF(OR(M1274=phu!$I$94,M1274=phu!$I$95,M1274=phu!$I$96,M1274=phu!$I$97,M1274=phu!$I$98,M1274=phu!$I$99,M1274=phu!$I$100),"Huyện khác",""),IF(OR(M1274=phu!$I$101,M1274=phu!$I$102),"Tỉnh khác",""))</f>
        <v/>
      </c>
      <c r="O1274" s="814" t="str">
        <f t="shared" si="115"/>
        <v/>
      </c>
      <c r="P1274" s="254"/>
      <c r="Q1274" s="254"/>
      <c r="R1274" s="254"/>
      <c r="S1274" s="254"/>
      <c r="T1274" s="254"/>
      <c r="U1274" s="254"/>
      <c r="V1274" s="254"/>
      <c r="W1274" s="254"/>
      <c r="Y1274" s="246" t="str">
        <f t="shared" si="116"/>
        <v/>
      </c>
      <c r="Z1274" s="247" t="str">
        <f t="shared" si="114"/>
        <v/>
      </c>
      <c r="AA1274" s="246" t="str">
        <f t="shared" si="117"/>
        <v/>
      </c>
    </row>
    <row r="1275" spans="1:27" x14ac:dyDescent="0.25">
      <c r="A1275" s="248" t="str">
        <f t="shared" si="118"/>
        <v/>
      </c>
      <c r="B1275" s="249" t="str">
        <f t="shared" si="119"/>
        <v/>
      </c>
      <c r="C1275" s="250"/>
      <c r="D1275" s="251"/>
      <c r="E1275" s="241"/>
      <c r="F1275" s="252"/>
      <c r="G1275" s="252"/>
      <c r="H1275" s="253"/>
      <c r="I1275" s="250"/>
      <c r="J1275" s="250"/>
      <c r="K1275" s="270"/>
      <c r="L1275" s="250"/>
      <c r="M1275" s="250"/>
      <c r="N1275" s="553" t="str">
        <f>CONCATENATE(IF(OR(M1275=phu!$I$1,M1275=phu!$I$2,M1275=phu!$I$3),"Cam Thành Nam",""),IF(OR(M1275=phu!$I$4,M1275=phu!$I$5,M1275=phu!$I$6,M1275=phu!$I$7,M1275=phu!$I$8,M1275=phu!$I$9,M1275=phu!$I$10,M1275=phu!$I$11,M1275=phu!$I$12,M1275=phu!$I$13,M1275=phu!$I$14),"Cam Nghĩa",""),IF(OR(M1275=phu!$I$15,M1275=phu!$I$16,M1275=phu!$I$17,M1275=phu!$I$18,M1275=phu!$I$19,M1275=phu!$I$20,M1275=phu!$I$21),"Cam Phúc Bắc",""),IF(OR(M1275=phu!$I$22,M1275=phu!$I$23,M1275=phu!$I$24,M1275=phu!$I$25),"Cam Phúc Nam",""),IF(OR(M1275=phu!$I$26,M1275=phu!$I$27,M1275=phu!$I$28,M1275=phu!$I$29,M1275=phu!$I$30,M1275=phu!$I$31),"Cam Phú",""),IF(OR(M1275=phu!$I$32,M1275=phu!$I$33,M1275=phu!$I$34,M1275=phu!$I$35,M1275=phu!$I$36,M1275=phu!$I$37),"Cam Lộc",""),IF(OR(M1275=phu!$I$38,M1275=phu!$I$39,M1275=phu!$I$40,M1275=phu!$I$41,M1275=phu!$I$42,M1275=phu!$I$43,M1275=phu!$I$44),"Cam Thuận",""),IF(OR(M1275=phu!$I$45,M1275=phu!$I$46,M1275=phu!$I$47,M1275=phu!$I$48,M1275=phu!$I$49,M1275=phu!$I$50,M1275=phu!$I$51,M1275=phu!$I$52,M1275=phu!$I$53),"Cam Linh",""),IF(OR(M1275=phu!$I$54,M1275=phu!$I$55,M1275=phu!$I$56,M1275=phu!$I$57,M1275=phu!$I$58,M1275=phu!$I$59,M1275=phu!$I$60,M1275=phu!$I$61,M1275=phu!$I$62),"Cam Lợi",""),IF(OR(M1275=phu!$I$63,M1275=phu!$I$64,M1275=phu!$I$65,M1275=phu!$I$66,M1275=phu!$I$67,M1275=phu!$I$68,M1275=phu!$I$69,M1275=phu!$I$70,M1275=phu!$I$71),"Ba Ngòi",""),IF(OR(M1275=phu!$I$72,M1275=phu!$I$73,M1275=phu!$I$74,M1275=phu!$I$75,M1275=phu!$I$76,M1275=phu!$I$77,M1275=phu!$I$78),"Cam Phước Đông",""),IF(OR(M1275=phu!$I$79,M1275=phu!$I$80,M1275=phu!$I$81,M1275=phu!$I$82,M1275=phu!$I$83,M1275=phu!$I$84),"Cam Thịnh Đông",""),IF(OR(M1275=phu!$I$85,M1275=phu!$I$86,M1275=phu!$I$87,M1275=phu!$I$88),"Cam Thịnh Tây",""),IF(OR(M1275=phu!$I$89,M1275=phu!$I$90),"Cam Lập",""),IF(OR(M1275=phu!$I$91,M1275=phu!$I$92,M1275=phu!$I$93),"Cam Bình",""),IF(OR(M1275=phu!$I$94,M1275=phu!$I$95,M1275=phu!$I$96,M1275=phu!$I$97,M1275=phu!$I$98,M1275=phu!$I$99,M1275=phu!$I$100),"Huyện khác",""),IF(OR(M1275=phu!$I$101,M1275=phu!$I$102),"Tỉnh khác",""))</f>
        <v/>
      </c>
      <c r="O1275" s="814" t="str">
        <f t="shared" si="115"/>
        <v/>
      </c>
      <c r="P1275" s="254"/>
      <c r="Q1275" s="254"/>
      <c r="R1275" s="254"/>
      <c r="S1275" s="254"/>
      <c r="T1275" s="254"/>
      <c r="U1275" s="254"/>
      <c r="V1275" s="254"/>
      <c r="W1275" s="254"/>
      <c r="Y1275" s="246" t="str">
        <f t="shared" si="116"/>
        <v/>
      </c>
      <c r="Z1275" s="247" t="str">
        <f t="shared" si="114"/>
        <v/>
      </c>
      <c r="AA1275" s="246" t="str">
        <f t="shared" si="117"/>
        <v/>
      </c>
    </row>
    <row r="1276" spans="1:27" x14ac:dyDescent="0.25">
      <c r="A1276" s="248" t="str">
        <f t="shared" si="118"/>
        <v/>
      </c>
      <c r="B1276" s="249" t="str">
        <f t="shared" si="119"/>
        <v/>
      </c>
      <c r="C1276" s="250"/>
      <c r="D1276" s="251"/>
      <c r="E1276" s="241"/>
      <c r="F1276" s="252"/>
      <c r="G1276" s="252"/>
      <c r="H1276" s="253"/>
      <c r="I1276" s="250"/>
      <c r="J1276" s="250"/>
      <c r="K1276" s="270"/>
      <c r="L1276" s="250"/>
      <c r="M1276" s="250"/>
      <c r="N1276" s="553" t="str">
        <f>CONCATENATE(IF(OR(M1276=phu!$I$1,M1276=phu!$I$2,M1276=phu!$I$3),"Cam Thành Nam",""),IF(OR(M1276=phu!$I$4,M1276=phu!$I$5,M1276=phu!$I$6,M1276=phu!$I$7,M1276=phu!$I$8,M1276=phu!$I$9,M1276=phu!$I$10,M1276=phu!$I$11,M1276=phu!$I$12,M1276=phu!$I$13,M1276=phu!$I$14),"Cam Nghĩa",""),IF(OR(M1276=phu!$I$15,M1276=phu!$I$16,M1276=phu!$I$17,M1276=phu!$I$18,M1276=phu!$I$19,M1276=phu!$I$20,M1276=phu!$I$21),"Cam Phúc Bắc",""),IF(OR(M1276=phu!$I$22,M1276=phu!$I$23,M1276=phu!$I$24,M1276=phu!$I$25),"Cam Phúc Nam",""),IF(OR(M1276=phu!$I$26,M1276=phu!$I$27,M1276=phu!$I$28,M1276=phu!$I$29,M1276=phu!$I$30,M1276=phu!$I$31),"Cam Phú",""),IF(OR(M1276=phu!$I$32,M1276=phu!$I$33,M1276=phu!$I$34,M1276=phu!$I$35,M1276=phu!$I$36,M1276=phu!$I$37),"Cam Lộc",""),IF(OR(M1276=phu!$I$38,M1276=phu!$I$39,M1276=phu!$I$40,M1276=phu!$I$41,M1276=phu!$I$42,M1276=phu!$I$43,M1276=phu!$I$44),"Cam Thuận",""),IF(OR(M1276=phu!$I$45,M1276=phu!$I$46,M1276=phu!$I$47,M1276=phu!$I$48,M1276=phu!$I$49,M1276=phu!$I$50,M1276=phu!$I$51,M1276=phu!$I$52,M1276=phu!$I$53),"Cam Linh",""),IF(OR(M1276=phu!$I$54,M1276=phu!$I$55,M1276=phu!$I$56,M1276=phu!$I$57,M1276=phu!$I$58,M1276=phu!$I$59,M1276=phu!$I$60,M1276=phu!$I$61,M1276=phu!$I$62),"Cam Lợi",""),IF(OR(M1276=phu!$I$63,M1276=phu!$I$64,M1276=phu!$I$65,M1276=phu!$I$66,M1276=phu!$I$67,M1276=phu!$I$68,M1276=phu!$I$69,M1276=phu!$I$70,M1276=phu!$I$71),"Ba Ngòi",""),IF(OR(M1276=phu!$I$72,M1276=phu!$I$73,M1276=phu!$I$74,M1276=phu!$I$75,M1276=phu!$I$76,M1276=phu!$I$77,M1276=phu!$I$78),"Cam Phước Đông",""),IF(OR(M1276=phu!$I$79,M1276=phu!$I$80,M1276=phu!$I$81,M1276=phu!$I$82,M1276=phu!$I$83,M1276=phu!$I$84),"Cam Thịnh Đông",""),IF(OR(M1276=phu!$I$85,M1276=phu!$I$86,M1276=phu!$I$87,M1276=phu!$I$88),"Cam Thịnh Tây",""),IF(OR(M1276=phu!$I$89,M1276=phu!$I$90),"Cam Lập",""),IF(OR(M1276=phu!$I$91,M1276=phu!$I$92,M1276=phu!$I$93),"Cam Bình",""),IF(OR(M1276=phu!$I$94,M1276=phu!$I$95,M1276=phu!$I$96,M1276=phu!$I$97,M1276=phu!$I$98,M1276=phu!$I$99,M1276=phu!$I$100),"Huyện khác",""),IF(OR(M1276=phu!$I$101,M1276=phu!$I$102),"Tỉnh khác",""))</f>
        <v/>
      </c>
      <c r="O1276" s="814" t="str">
        <f t="shared" si="115"/>
        <v/>
      </c>
      <c r="P1276" s="254"/>
      <c r="Q1276" s="254"/>
      <c r="R1276" s="254"/>
      <c r="S1276" s="254"/>
      <c r="T1276" s="254"/>
      <c r="U1276" s="254"/>
      <c r="V1276" s="254"/>
      <c r="W1276" s="254"/>
      <c r="Y1276" s="246" t="str">
        <f t="shared" si="116"/>
        <v/>
      </c>
      <c r="Z1276" s="247" t="str">
        <f t="shared" si="114"/>
        <v/>
      </c>
      <c r="AA1276" s="246" t="str">
        <f t="shared" si="117"/>
        <v/>
      </c>
    </row>
    <row r="1277" spans="1:27" x14ac:dyDescent="0.25">
      <c r="A1277" s="248" t="str">
        <f t="shared" si="118"/>
        <v/>
      </c>
      <c r="B1277" s="249" t="str">
        <f t="shared" si="119"/>
        <v/>
      </c>
      <c r="C1277" s="250"/>
      <c r="D1277" s="251"/>
      <c r="E1277" s="241"/>
      <c r="F1277" s="252"/>
      <c r="G1277" s="252"/>
      <c r="H1277" s="253"/>
      <c r="I1277" s="250"/>
      <c r="J1277" s="250"/>
      <c r="K1277" s="270"/>
      <c r="L1277" s="250"/>
      <c r="M1277" s="250"/>
      <c r="N1277" s="553" t="str">
        <f>CONCATENATE(IF(OR(M1277=phu!$I$1,M1277=phu!$I$2,M1277=phu!$I$3),"Cam Thành Nam",""),IF(OR(M1277=phu!$I$4,M1277=phu!$I$5,M1277=phu!$I$6,M1277=phu!$I$7,M1277=phu!$I$8,M1277=phu!$I$9,M1277=phu!$I$10,M1277=phu!$I$11,M1277=phu!$I$12,M1277=phu!$I$13,M1277=phu!$I$14),"Cam Nghĩa",""),IF(OR(M1277=phu!$I$15,M1277=phu!$I$16,M1277=phu!$I$17,M1277=phu!$I$18,M1277=phu!$I$19,M1277=phu!$I$20,M1277=phu!$I$21),"Cam Phúc Bắc",""),IF(OR(M1277=phu!$I$22,M1277=phu!$I$23,M1277=phu!$I$24,M1277=phu!$I$25),"Cam Phúc Nam",""),IF(OR(M1277=phu!$I$26,M1277=phu!$I$27,M1277=phu!$I$28,M1277=phu!$I$29,M1277=phu!$I$30,M1277=phu!$I$31),"Cam Phú",""),IF(OR(M1277=phu!$I$32,M1277=phu!$I$33,M1277=phu!$I$34,M1277=phu!$I$35,M1277=phu!$I$36,M1277=phu!$I$37),"Cam Lộc",""),IF(OR(M1277=phu!$I$38,M1277=phu!$I$39,M1277=phu!$I$40,M1277=phu!$I$41,M1277=phu!$I$42,M1277=phu!$I$43,M1277=phu!$I$44),"Cam Thuận",""),IF(OR(M1277=phu!$I$45,M1277=phu!$I$46,M1277=phu!$I$47,M1277=phu!$I$48,M1277=phu!$I$49,M1277=phu!$I$50,M1277=phu!$I$51,M1277=phu!$I$52,M1277=phu!$I$53),"Cam Linh",""),IF(OR(M1277=phu!$I$54,M1277=phu!$I$55,M1277=phu!$I$56,M1277=phu!$I$57,M1277=phu!$I$58,M1277=phu!$I$59,M1277=phu!$I$60,M1277=phu!$I$61,M1277=phu!$I$62),"Cam Lợi",""),IF(OR(M1277=phu!$I$63,M1277=phu!$I$64,M1277=phu!$I$65,M1277=phu!$I$66,M1277=phu!$I$67,M1277=phu!$I$68,M1277=phu!$I$69,M1277=phu!$I$70,M1277=phu!$I$71),"Ba Ngòi",""),IF(OR(M1277=phu!$I$72,M1277=phu!$I$73,M1277=phu!$I$74,M1277=phu!$I$75,M1277=phu!$I$76,M1277=phu!$I$77,M1277=phu!$I$78),"Cam Phước Đông",""),IF(OR(M1277=phu!$I$79,M1277=phu!$I$80,M1277=phu!$I$81,M1277=phu!$I$82,M1277=phu!$I$83,M1277=phu!$I$84),"Cam Thịnh Đông",""),IF(OR(M1277=phu!$I$85,M1277=phu!$I$86,M1277=phu!$I$87,M1277=phu!$I$88),"Cam Thịnh Tây",""),IF(OR(M1277=phu!$I$89,M1277=phu!$I$90),"Cam Lập",""),IF(OR(M1277=phu!$I$91,M1277=phu!$I$92,M1277=phu!$I$93),"Cam Bình",""),IF(OR(M1277=phu!$I$94,M1277=phu!$I$95,M1277=phu!$I$96,M1277=phu!$I$97,M1277=phu!$I$98,M1277=phu!$I$99,M1277=phu!$I$100),"Huyện khác",""),IF(OR(M1277=phu!$I$101,M1277=phu!$I$102),"Tỉnh khác",""))</f>
        <v/>
      </c>
      <c r="O1277" s="814" t="str">
        <f t="shared" si="115"/>
        <v/>
      </c>
      <c r="P1277" s="254"/>
      <c r="Q1277" s="254"/>
      <c r="R1277" s="254"/>
      <c r="S1277" s="254"/>
      <c r="T1277" s="254"/>
      <c r="U1277" s="254"/>
      <c r="V1277" s="254"/>
      <c r="W1277" s="254"/>
      <c r="Y1277" s="246" t="str">
        <f t="shared" si="116"/>
        <v/>
      </c>
      <c r="Z1277" s="247" t="str">
        <f t="shared" si="114"/>
        <v/>
      </c>
      <c r="AA1277" s="246" t="str">
        <f t="shared" si="117"/>
        <v/>
      </c>
    </row>
    <row r="1278" spans="1:27" x14ac:dyDescent="0.25">
      <c r="A1278" s="248" t="str">
        <f t="shared" si="118"/>
        <v/>
      </c>
      <c r="B1278" s="249" t="str">
        <f t="shared" si="119"/>
        <v/>
      </c>
      <c r="C1278" s="250"/>
      <c r="D1278" s="251"/>
      <c r="E1278" s="241"/>
      <c r="F1278" s="252"/>
      <c r="G1278" s="252"/>
      <c r="H1278" s="253"/>
      <c r="I1278" s="250"/>
      <c r="J1278" s="250"/>
      <c r="K1278" s="270"/>
      <c r="L1278" s="250"/>
      <c r="M1278" s="250"/>
      <c r="N1278" s="553" t="str">
        <f>CONCATENATE(IF(OR(M1278=phu!$I$1,M1278=phu!$I$2,M1278=phu!$I$3),"Cam Thành Nam",""),IF(OR(M1278=phu!$I$4,M1278=phu!$I$5,M1278=phu!$I$6,M1278=phu!$I$7,M1278=phu!$I$8,M1278=phu!$I$9,M1278=phu!$I$10,M1278=phu!$I$11,M1278=phu!$I$12,M1278=phu!$I$13,M1278=phu!$I$14),"Cam Nghĩa",""),IF(OR(M1278=phu!$I$15,M1278=phu!$I$16,M1278=phu!$I$17,M1278=phu!$I$18,M1278=phu!$I$19,M1278=phu!$I$20,M1278=phu!$I$21),"Cam Phúc Bắc",""),IF(OR(M1278=phu!$I$22,M1278=phu!$I$23,M1278=phu!$I$24,M1278=phu!$I$25),"Cam Phúc Nam",""),IF(OR(M1278=phu!$I$26,M1278=phu!$I$27,M1278=phu!$I$28,M1278=phu!$I$29,M1278=phu!$I$30,M1278=phu!$I$31),"Cam Phú",""),IF(OR(M1278=phu!$I$32,M1278=phu!$I$33,M1278=phu!$I$34,M1278=phu!$I$35,M1278=phu!$I$36,M1278=phu!$I$37),"Cam Lộc",""),IF(OR(M1278=phu!$I$38,M1278=phu!$I$39,M1278=phu!$I$40,M1278=phu!$I$41,M1278=phu!$I$42,M1278=phu!$I$43,M1278=phu!$I$44),"Cam Thuận",""),IF(OR(M1278=phu!$I$45,M1278=phu!$I$46,M1278=phu!$I$47,M1278=phu!$I$48,M1278=phu!$I$49,M1278=phu!$I$50,M1278=phu!$I$51,M1278=phu!$I$52,M1278=phu!$I$53),"Cam Linh",""),IF(OR(M1278=phu!$I$54,M1278=phu!$I$55,M1278=phu!$I$56,M1278=phu!$I$57,M1278=phu!$I$58,M1278=phu!$I$59,M1278=phu!$I$60,M1278=phu!$I$61,M1278=phu!$I$62),"Cam Lợi",""),IF(OR(M1278=phu!$I$63,M1278=phu!$I$64,M1278=phu!$I$65,M1278=phu!$I$66,M1278=phu!$I$67,M1278=phu!$I$68,M1278=phu!$I$69,M1278=phu!$I$70,M1278=phu!$I$71),"Ba Ngòi",""),IF(OR(M1278=phu!$I$72,M1278=phu!$I$73,M1278=phu!$I$74,M1278=phu!$I$75,M1278=phu!$I$76,M1278=phu!$I$77,M1278=phu!$I$78),"Cam Phước Đông",""),IF(OR(M1278=phu!$I$79,M1278=phu!$I$80,M1278=phu!$I$81,M1278=phu!$I$82,M1278=phu!$I$83,M1278=phu!$I$84),"Cam Thịnh Đông",""),IF(OR(M1278=phu!$I$85,M1278=phu!$I$86,M1278=phu!$I$87,M1278=phu!$I$88),"Cam Thịnh Tây",""),IF(OR(M1278=phu!$I$89,M1278=phu!$I$90),"Cam Lập",""),IF(OR(M1278=phu!$I$91,M1278=phu!$I$92,M1278=phu!$I$93),"Cam Bình",""),IF(OR(M1278=phu!$I$94,M1278=phu!$I$95,M1278=phu!$I$96,M1278=phu!$I$97,M1278=phu!$I$98,M1278=phu!$I$99,M1278=phu!$I$100),"Huyện khác",""),IF(OR(M1278=phu!$I$101,M1278=phu!$I$102),"Tỉnh khác",""))</f>
        <v/>
      </c>
      <c r="O1278" s="814" t="str">
        <f t="shared" si="115"/>
        <v/>
      </c>
      <c r="P1278" s="254"/>
      <c r="Q1278" s="254"/>
      <c r="R1278" s="254"/>
      <c r="S1278" s="254"/>
      <c r="T1278" s="254"/>
      <c r="U1278" s="254"/>
      <c r="V1278" s="254"/>
      <c r="W1278" s="254"/>
      <c r="Y1278" s="246" t="str">
        <f t="shared" si="116"/>
        <v/>
      </c>
      <c r="Z1278" s="247" t="str">
        <f t="shared" si="114"/>
        <v/>
      </c>
      <c r="AA1278" s="246" t="str">
        <f t="shared" si="117"/>
        <v/>
      </c>
    </row>
    <row r="1279" spans="1:27" x14ac:dyDescent="0.25">
      <c r="A1279" s="248" t="str">
        <f t="shared" si="118"/>
        <v/>
      </c>
      <c r="B1279" s="249" t="str">
        <f t="shared" si="119"/>
        <v/>
      </c>
      <c r="C1279" s="250"/>
      <c r="D1279" s="251"/>
      <c r="E1279" s="241"/>
      <c r="F1279" s="252"/>
      <c r="G1279" s="252"/>
      <c r="H1279" s="253"/>
      <c r="I1279" s="250"/>
      <c r="J1279" s="250"/>
      <c r="K1279" s="270"/>
      <c r="L1279" s="250"/>
      <c r="M1279" s="250"/>
      <c r="N1279" s="553" t="str">
        <f>CONCATENATE(IF(OR(M1279=phu!$I$1,M1279=phu!$I$2,M1279=phu!$I$3),"Cam Thành Nam",""),IF(OR(M1279=phu!$I$4,M1279=phu!$I$5,M1279=phu!$I$6,M1279=phu!$I$7,M1279=phu!$I$8,M1279=phu!$I$9,M1279=phu!$I$10,M1279=phu!$I$11,M1279=phu!$I$12,M1279=phu!$I$13,M1279=phu!$I$14),"Cam Nghĩa",""),IF(OR(M1279=phu!$I$15,M1279=phu!$I$16,M1279=phu!$I$17,M1279=phu!$I$18,M1279=phu!$I$19,M1279=phu!$I$20,M1279=phu!$I$21),"Cam Phúc Bắc",""),IF(OR(M1279=phu!$I$22,M1279=phu!$I$23,M1279=phu!$I$24,M1279=phu!$I$25),"Cam Phúc Nam",""),IF(OR(M1279=phu!$I$26,M1279=phu!$I$27,M1279=phu!$I$28,M1279=phu!$I$29,M1279=phu!$I$30,M1279=phu!$I$31),"Cam Phú",""),IF(OR(M1279=phu!$I$32,M1279=phu!$I$33,M1279=phu!$I$34,M1279=phu!$I$35,M1279=phu!$I$36,M1279=phu!$I$37),"Cam Lộc",""),IF(OR(M1279=phu!$I$38,M1279=phu!$I$39,M1279=phu!$I$40,M1279=phu!$I$41,M1279=phu!$I$42,M1279=phu!$I$43,M1279=phu!$I$44),"Cam Thuận",""),IF(OR(M1279=phu!$I$45,M1279=phu!$I$46,M1279=phu!$I$47,M1279=phu!$I$48,M1279=phu!$I$49,M1279=phu!$I$50,M1279=phu!$I$51,M1279=phu!$I$52,M1279=phu!$I$53),"Cam Linh",""),IF(OR(M1279=phu!$I$54,M1279=phu!$I$55,M1279=phu!$I$56,M1279=phu!$I$57,M1279=phu!$I$58,M1279=phu!$I$59,M1279=phu!$I$60,M1279=phu!$I$61,M1279=phu!$I$62),"Cam Lợi",""),IF(OR(M1279=phu!$I$63,M1279=phu!$I$64,M1279=phu!$I$65,M1279=phu!$I$66,M1279=phu!$I$67,M1279=phu!$I$68,M1279=phu!$I$69,M1279=phu!$I$70,M1279=phu!$I$71),"Ba Ngòi",""),IF(OR(M1279=phu!$I$72,M1279=phu!$I$73,M1279=phu!$I$74,M1279=phu!$I$75,M1279=phu!$I$76,M1279=phu!$I$77,M1279=phu!$I$78),"Cam Phước Đông",""),IF(OR(M1279=phu!$I$79,M1279=phu!$I$80,M1279=phu!$I$81,M1279=phu!$I$82,M1279=phu!$I$83,M1279=phu!$I$84),"Cam Thịnh Đông",""),IF(OR(M1279=phu!$I$85,M1279=phu!$I$86,M1279=phu!$I$87,M1279=phu!$I$88),"Cam Thịnh Tây",""),IF(OR(M1279=phu!$I$89,M1279=phu!$I$90),"Cam Lập",""),IF(OR(M1279=phu!$I$91,M1279=phu!$I$92,M1279=phu!$I$93),"Cam Bình",""),IF(OR(M1279=phu!$I$94,M1279=phu!$I$95,M1279=phu!$I$96,M1279=phu!$I$97,M1279=phu!$I$98,M1279=phu!$I$99,M1279=phu!$I$100),"Huyện khác",""),IF(OR(M1279=phu!$I$101,M1279=phu!$I$102),"Tỉnh khác",""))</f>
        <v/>
      </c>
      <c r="O1279" s="814" t="str">
        <f t="shared" si="115"/>
        <v/>
      </c>
      <c r="P1279" s="254"/>
      <c r="Q1279" s="254"/>
      <c r="R1279" s="254"/>
      <c r="S1279" s="254"/>
      <c r="T1279" s="254"/>
      <c r="U1279" s="254"/>
      <c r="V1279" s="254"/>
      <c r="W1279" s="254"/>
      <c r="Y1279" s="246" t="str">
        <f t="shared" si="116"/>
        <v/>
      </c>
      <c r="Z1279" s="247" t="str">
        <f t="shared" si="114"/>
        <v/>
      </c>
      <c r="AA1279" s="246" t="str">
        <f t="shared" si="117"/>
        <v/>
      </c>
    </row>
    <row r="1280" spans="1:27" x14ac:dyDescent="0.25">
      <c r="A1280" s="248" t="str">
        <f t="shared" si="118"/>
        <v/>
      </c>
      <c r="B1280" s="249" t="str">
        <f t="shared" si="119"/>
        <v/>
      </c>
      <c r="C1280" s="250"/>
      <c r="D1280" s="251"/>
      <c r="E1280" s="241"/>
      <c r="F1280" s="252"/>
      <c r="G1280" s="252"/>
      <c r="H1280" s="253"/>
      <c r="I1280" s="250"/>
      <c r="J1280" s="250"/>
      <c r="K1280" s="270"/>
      <c r="L1280" s="250"/>
      <c r="M1280" s="250"/>
      <c r="N1280" s="553" t="str">
        <f>CONCATENATE(IF(OR(M1280=phu!$I$1,M1280=phu!$I$2,M1280=phu!$I$3),"Cam Thành Nam",""),IF(OR(M1280=phu!$I$4,M1280=phu!$I$5,M1280=phu!$I$6,M1280=phu!$I$7,M1280=phu!$I$8,M1280=phu!$I$9,M1280=phu!$I$10,M1280=phu!$I$11,M1280=phu!$I$12,M1280=phu!$I$13,M1280=phu!$I$14),"Cam Nghĩa",""),IF(OR(M1280=phu!$I$15,M1280=phu!$I$16,M1280=phu!$I$17,M1280=phu!$I$18,M1280=phu!$I$19,M1280=phu!$I$20,M1280=phu!$I$21),"Cam Phúc Bắc",""),IF(OR(M1280=phu!$I$22,M1280=phu!$I$23,M1280=phu!$I$24,M1280=phu!$I$25),"Cam Phúc Nam",""),IF(OR(M1280=phu!$I$26,M1280=phu!$I$27,M1280=phu!$I$28,M1280=phu!$I$29,M1280=phu!$I$30,M1280=phu!$I$31),"Cam Phú",""),IF(OR(M1280=phu!$I$32,M1280=phu!$I$33,M1280=phu!$I$34,M1280=phu!$I$35,M1280=phu!$I$36,M1280=phu!$I$37),"Cam Lộc",""),IF(OR(M1280=phu!$I$38,M1280=phu!$I$39,M1280=phu!$I$40,M1280=phu!$I$41,M1280=phu!$I$42,M1280=phu!$I$43,M1280=phu!$I$44),"Cam Thuận",""),IF(OR(M1280=phu!$I$45,M1280=phu!$I$46,M1280=phu!$I$47,M1280=phu!$I$48,M1280=phu!$I$49,M1280=phu!$I$50,M1280=phu!$I$51,M1280=phu!$I$52,M1280=phu!$I$53),"Cam Linh",""),IF(OR(M1280=phu!$I$54,M1280=phu!$I$55,M1280=phu!$I$56,M1280=phu!$I$57,M1280=phu!$I$58,M1280=phu!$I$59,M1280=phu!$I$60,M1280=phu!$I$61,M1280=phu!$I$62),"Cam Lợi",""),IF(OR(M1280=phu!$I$63,M1280=phu!$I$64,M1280=phu!$I$65,M1280=phu!$I$66,M1280=phu!$I$67,M1280=phu!$I$68,M1280=phu!$I$69,M1280=phu!$I$70,M1280=phu!$I$71),"Ba Ngòi",""),IF(OR(M1280=phu!$I$72,M1280=phu!$I$73,M1280=phu!$I$74,M1280=phu!$I$75,M1280=phu!$I$76,M1280=phu!$I$77,M1280=phu!$I$78),"Cam Phước Đông",""),IF(OR(M1280=phu!$I$79,M1280=phu!$I$80,M1280=phu!$I$81,M1280=phu!$I$82,M1280=phu!$I$83,M1280=phu!$I$84),"Cam Thịnh Đông",""),IF(OR(M1280=phu!$I$85,M1280=phu!$I$86,M1280=phu!$I$87,M1280=phu!$I$88),"Cam Thịnh Tây",""),IF(OR(M1280=phu!$I$89,M1280=phu!$I$90),"Cam Lập",""),IF(OR(M1280=phu!$I$91,M1280=phu!$I$92,M1280=phu!$I$93),"Cam Bình",""),IF(OR(M1280=phu!$I$94,M1280=phu!$I$95,M1280=phu!$I$96,M1280=phu!$I$97,M1280=phu!$I$98,M1280=phu!$I$99,M1280=phu!$I$100),"Huyện khác",""),IF(OR(M1280=phu!$I$101,M1280=phu!$I$102),"Tỉnh khác",""))</f>
        <v/>
      </c>
      <c r="O1280" s="814" t="str">
        <f t="shared" si="115"/>
        <v/>
      </c>
      <c r="P1280" s="254"/>
      <c r="Q1280" s="254"/>
      <c r="R1280" s="254"/>
      <c r="S1280" s="254"/>
      <c r="T1280" s="254"/>
      <c r="U1280" s="254"/>
      <c r="V1280" s="254"/>
      <c r="W1280" s="254"/>
      <c r="Y1280" s="246" t="str">
        <f t="shared" si="116"/>
        <v/>
      </c>
      <c r="Z1280" s="247" t="str">
        <f t="shared" si="114"/>
        <v/>
      </c>
      <c r="AA1280" s="246" t="str">
        <f t="shared" si="117"/>
        <v/>
      </c>
    </row>
    <row r="1281" spans="1:27" x14ac:dyDescent="0.25">
      <c r="A1281" s="248" t="str">
        <f t="shared" si="118"/>
        <v/>
      </c>
      <c r="B1281" s="249" t="str">
        <f t="shared" si="119"/>
        <v/>
      </c>
      <c r="C1281" s="250"/>
      <c r="D1281" s="251"/>
      <c r="E1281" s="241"/>
      <c r="F1281" s="252"/>
      <c r="G1281" s="252"/>
      <c r="H1281" s="253"/>
      <c r="I1281" s="250"/>
      <c r="J1281" s="250"/>
      <c r="K1281" s="270"/>
      <c r="L1281" s="250"/>
      <c r="M1281" s="250"/>
      <c r="N1281" s="553" t="str">
        <f>CONCATENATE(IF(OR(M1281=phu!$I$1,M1281=phu!$I$2,M1281=phu!$I$3),"Cam Thành Nam",""),IF(OR(M1281=phu!$I$4,M1281=phu!$I$5,M1281=phu!$I$6,M1281=phu!$I$7,M1281=phu!$I$8,M1281=phu!$I$9,M1281=phu!$I$10,M1281=phu!$I$11,M1281=phu!$I$12,M1281=phu!$I$13,M1281=phu!$I$14),"Cam Nghĩa",""),IF(OR(M1281=phu!$I$15,M1281=phu!$I$16,M1281=phu!$I$17,M1281=phu!$I$18,M1281=phu!$I$19,M1281=phu!$I$20,M1281=phu!$I$21),"Cam Phúc Bắc",""),IF(OR(M1281=phu!$I$22,M1281=phu!$I$23,M1281=phu!$I$24,M1281=phu!$I$25),"Cam Phúc Nam",""),IF(OR(M1281=phu!$I$26,M1281=phu!$I$27,M1281=phu!$I$28,M1281=phu!$I$29,M1281=phu!$I$30,M1281=phu!$I$31),"Cam Phú",""),IF(OR(M1281=phu!$I$32,M1281=phu!$I$33,M1281=phu!$I$34,M1281=phu!$I$35,M1281=phu!$I$36,M1281=phu!$I$37),"Cam Lộc",""),IF(OR(M1281=phu!$I$38,M1281=phu!$I$39,M1281=phu!$I$40,M1281=phu!$I$41,M1281=phu!$I$42,M1281=phu!$I$43,M1281=phu!$I$44),"Cam Thuận",""),IF(OR(M1281=phu!$I$45,M1281=phu!$I$46,M1281=phu!$I$47,M1281=phu!$I$48,M1281=phu!$I$49,M1281=phu!$I$50,M1281=phu!$I$51,M1281=phu!$I$52,M1281=phu!$I$53),"Cam Linh",""),IF(OR(M1281=phu!$I$54,M1281=phu!$I$55,M1281=phu!$I$56,M1281=phu!$I$57,M1281=phu!$I$58,M1281=phu!$I$59,M1281=phu!$I$60,M1281=phu!$I$61,M1281=phu!$I$62),"Cam Lợi",""),IF(OR(M1281=phu!$I$63,M1281=phu!$I$64,M1281=phu!$I$65,M1281=phu!$I$66,M1281=phu!$I$67,M1281=phu!$I$68,M1281=phu!$I$69,M1281=phu!$I$70,M1281=phu!$I$71),"Ba Ngòi",""),IF(OR(M1281=phu!$I$72,M1281=phu!$I$73,M1281=phu!$I$74,M1281=phu!$I$75,M1281=phu!$I$76,M1281=phu!$I$77,M1281=phu!$I$78),"Cam Phước Đông",""),IF(OR(M1281=phu!$I$79,M1281=phu!$I$80,M1281=phu!$I$81,M1281=phu!$I$82,M1281=phu!$I$83,M1281=phu!$I$84),"Cam Thịnh Đông",""),IF(OR(M1281=phu!$I$85,M1281=phu!$I$86,M1281=phu!$I$87,M1281=phu!$I$88),"Cam Thịnh Tây",""),IF(OR(M1281=phu!$I$89,M1281=phu!$I$90),"Cam Lập",""),IF(OR(M1281=phu!$I$91,M1281=phu!$I$92,M1281=phu!$I$93),"Cam Bình",""),IF(OR(M1281=phu!$I$94,M1281=phu!$I$95,M1281=phu!$I$96,M1281=phu!$I$97,M1281=phu!$I$98,M1281=phu!$I$99,M1281=phu!$I$100),"Huyện khác",""),IF(OR(M1281=phu!$I$101,M1281=phu!$I$102),"Tỉnh khác",""))</f>
        <v/>
      </c>
      <c r="O1281" s="814" t="str">
        <f t="shared" si="115"/>
        <v/>
      </c>
      <c r="P1281" s="254"/>
      <c r="Q1281" s="254"/>
      <c r="R1281" s="254"/>
      <c r="S1281" s="254"/>
      <c r="T1281" s="254"/>
      <c r="U1281" s="254"/>
      <c r="V1281" s="254"/>
      <c r="W1281" s="254"/>
      <c r="Y1281" s="246" t="str">
        <f t="shared" si="116"/>
        <v/>
      </c>
      <c r="Z1281" s="247" t="str">
        <f t="shared" si="114"/>
        <v/>
      </c>
      <c r="AA1281" s="246" t="str">
        <f t="shared" si="117"/>
        <v/>
      </c>
    </row>
    <row r="1282" spans="1:27" x14ac:dyDescent="0.25">
      <c r="A1282" s="248" t="str">
        <f t="shared" si="118"/>
        <v/>
      </c>
      <c r="B1282" s="249" t="str">
        <f t="shared" si="119"/>
        <v/>
      </c>
      <c r="C1282" s="250"/>
      <c r="D1282" s="251"/>
      <c r="E1282" s="241"/>
      <c r="F1282" s="252"/>
      <c r="G1282" s="252"/>
      <c r="H1282" s="253"/>
      <c r="I1282" s="250"/>
      <c r="J1282" s="250"/>
      <c r="K1282" s="270"/>
      <c r="L1282" s="250"/>
      <c r="M1282" s="250"/>
      <c r="N1282" s="553" t="str">
        <f>CONCATENATE(IF(OR(M1282=phu!$I$1,M1282=phu!$I$2,M1282=phu!$I$3),"Cam Thành Nam",""),IF(OR(M1282=phu!$I$4,M1282=phu!$I$5,M1282=phu!$I$6,M1282=phu!$I$7,M1282=phu!$I$8,M1282=phu!$I$9,M1282=phu!$I$10,M1282=phu!$I$11,M1282=phu!$I$12,M1282=phu!$I$13,M1282=phu!$I$14),"Cam Nghĩa",""),IF(OR(M1282=phu!$I$15,M1282=phu!$I$16,M1282=phu!$I$17,M1282=phu!$I$18,M1282=phu!$I$19,M1282=phu!$I$20,M1282=phu!$I$21),"Cam Phúc Bắc",""),IF(OR(M1282=phu!$I$22,M1282=phu!$I$23,M1282=phu!$I$24,M1282=phu!$I$25),"Cam Phúc Nam",""),IF(OR(M1282=phu!$I$26,M1282=phu!$I$27,M1282=phu!$I$28,M1282=phu!$I$29,M1282=phu!$I$30,M1282=phu!$I$31),"Cam Phú",""),IF(OR(M1282=phu!$I$32,M1282=phu!$I$33,M1282=phu!$I$34,M1282=phu!$I$35,M1282=phu!$I$36,M1282=phu!$I$37),"Cam Lộc",""),IF(OR(M1282=phu!$I$38,M1282=phu!$I$39,M1282=phu!$I$40,M1282=phu!$I$41,M1282=phu!$I$42,M1282=phu!$I$43,M1282=phu!$I$44),"Cam Thuận",""),IF(OR(M1282=phu!$I$45,M1282=phu!$I$46,M1282=phu!$I$47,M1282=phu!$I$48,M1282=phu!$I$49,M1282=phu!$I$50,M1282=phu!$I$51,M1282=phu!$I$52,M1282=phu!$I$53),"Cam Linh",""),IF(OR(M1282=phu!$I$54,M1282=phu!$I$55,M1282=phu!$I$56,M1282=phu!$I$57,M1282=phu!$I$58,M1282=phu!$I$59,M1282=phu!$I$60,M1282=phu!$I$61,M1282=phu!$I$62),"Cam Lợi",""),IF(OR(M1282=phu!$I$63,M1282=phu!$I$64,M1282=phu!$I$65,M1282=phu!$I$66,M1282=phu!$I$67,M1282=phu!$I$68,M1282=phu!$I$69,M1282=phu!$I$70,M1282=phu!$I$71),"Ba Ngòi",""),IF(OR(M1282=phu!$I$72,M1282=phu!$I$73,M1282=phu!$I$74,M1282=phu!$I$75,M1282=phu!$I$76,M1282=phu!$I$77,M1282=phu!$I$78),"Cam Phước Đông",""),IF(OR(M1282=phu!$I$79,M1282=phu!$I$80,M1282=phu!$I$81,M1282=phu!$I$82,M1282=phu!$I$83,M1282=phu!$I$84),"Cam Thịnh Đông",""),IF(OR(M1282=phu!$I$85,M1282=phu!$I$86,M1282=phu!$I$87,M1282=phu!$I$88),"Cam Thịnh Tây",""),IF(OR(M1282=phu!$I$89,M1282=phu!$I$90),"Cam Lập",""),IF(OR(M1282=phu!$I$91,M1282=phu!$I$92,M1282=phu!$I$93),"Cam Bình",""),IF(OR(M1282=phu!$I$94,M1282=phu!$I$95,M1282=phu!$I$96,M1282=phu!$I$97,M1282=phu!$I$98,M1282=phu!$I$99,M1282=phu!$I$100),"Huyện khác",""),IF(OR(M1282=phu!$I$101,M1282=phu!$I$102),"Tỉnh khác",""))</f>
        <v/>
      </c>
      <c r="O1282" s="814" t="str">
        <f t="shared" si="115"/>
        <v/>
      </c>
      <c r="P1282" s="254"/>
      <c r="Q1282" s="254"/>
      <c r="R1282" s="254"/>
      <c r="S1282" s="254"/>
      <c r="T1282" s="254"/>
      <c r="U1282" s="254"/>
      <c r="V1282" s="254"/>
      <c r="W1282" s="254"/>
      <c r="Y1282" s="246" t="str">
        <f t="shared" si="116"/>
        <v/>
      </c>
      <c r="Z1282" s="247" t="str">
        <f t="shared" si="114"/>
        <v/>
      </c>
      <c r="AA1282" s="246" t="str">
        <f t="shared" si="117"/>
        <v/>
      </c>
    </row>
    <row r="1283" spans="1:27" x14ac:dyDescent="0.25">
      <c r="A1283" s="248" t="str">
        <f t="shared" si="118"/>
        <v/>
      </c>
      <c r="B1283" s="249" t="str">
        <f t="shared" si="119"/>
        <v/>
      </c>
      <c r="C1283" s="250"/>
      <c r="D1283" s="251"/>
      <c r="E1283" s="241"/>
      <c r="F1283" s="252"/>
      <c r="G1283" s="252"/>
      <c r="H1283" s="253"/>
      <c r="I1283" s="250"/>
      <c r="J1283" s="250"/>
      <c r="K1283" s="270"/>
      <c r="L1283" s="250"/>
      <c r="M1283" s="250"/>
      <c r="N1283" s="553" t="str">
        <f>CONCATENATE(IF(OR(M1283=phu!$I$1,M1283=phu!$I$2,M1283=phu!$I$3),"Cam Thành Nam",""),IF(OR(M1283=phu!$I$4,M1283=phu!$I$5,M1283=phu!$I$6,M1283=phu!$I$7,M1283=phu!$I$8,M1283=phu!$I$9,M1283=phu!$I$10,M1283=phu!$I$11,M1283=phu!$I$12,M1283=phu!$I$13,M1283=phu!$I$14),"Cam Nghĩa",""),IF(OR(M1283=phu!$I$15,M1283=phu!$I$16,M1283=phu!$I$17,M1283=phu!$I$18,M1283=phu!$I$19,M1283=phu!$I$20,M1283=phu!$I$21),"Cam Phúc Bắc",""),IF(OR(M1283=phu!$I$22,M1283=phu!$I$23,M1283=phu!$I$24,M1283=phu!$I$25),"Cam Phúc Nam",""),IF(OR(M1283=phu!$I$26,M1283=phu!$I$27,M1283=phu!$I$28,M1283=phu!$I$29,M1283=phu!$I$30,M1283=phu!$I$31),"Cam Phú",""),IF(OR(M1283=phu!$I$32,M1283=phu!$I$33,M1283=phu!$I$34,M1283=phu!$I$35,M1283=phu!$I$36,M1283=phu!$I$37),"Cam Lộc",""),IF(OR(M1283=phu!$I$38,M1283=phu!$I$39,M1283=phu!$I$40,M1283=phu!$I$41,M1283=phu!$I$42,M1283=phu!$I$43,M1283=phu!$I$44),"Cam Thuận",""),IF(OR(M1283=phu!$I$45,M1283=phu!$I$46,M1283=phu!$I$47,M1283=phu!$I$48,M1283=phu!$I$49,M1283=phu!$I$50,M1283=phu!$I$51,M1283=phu!$I$52,M1283=phu!$I$53),"Cam Linh",""),IF(OR(M1283=phu!$I$54,M1283=phu!$I$55,M1283=phu!$I$56,M1283=phu!$I$57,M1283=phu!$I$58,M1283=phu!$I$59,M1283=phu!$I$60,M1283=phu!$I$61,M1283=phu!$I$62),"Cam Lợi",""),IF(OR(M1283=phu!$I$63,M1283=phu!$I$64,M1283=phu!$I$65,M1283=phu!$I$66,M1283=phu!$I$67,M1283=phu!$I$68,M1283=phu!$I$69,M1283=phu!$I$70,M1283=phu!$I$71),"Ba Ngòi",""),IF(OR(M1283=phu!$I$72,M1283=phu!$I$73,M1283=phu!$I$74,M1283=phu!$I$75,M1283=phu!$I$76,M1283=phu!$I$77,M1283=phu!$I$78),"Cam Phước Đông",""),IF(OR(M1283=phu!$I$79,M1283=phu!$I$80,M1283=phu!$I$81,M1283=phu!$I$82,M1283=phu!$I$83,M1283=phu!$I$84),"Cam Thịnh Đông",""),IF(OR(M1283=phu!$I$85,M1283=phu!$I$86,M1283=phu!$I$87,M1283=phu!$I$88),"Cam Thịnh Tây",""),IF(OR(M1283=phu!$I$89,M1283=phu!$I$90),"Cam Lập",""),IF(OR(M1283=phu!$I$91,M1283=phu!$I$92,M1283=phu!$I$93),"Cam Bình",""),IF(OR(M1283=phu!$I$94,M1283=phu!$I$95,M1283=phu!$I$96,M1283=phu!$I$97,M1283=phu!$I$98,M1283=phu!$I$99,M1283=phu!$I$100),"Huyện khác",""),IF(OR(M1283=phu!$I$101,M1283=phu!$I$102),"Tỉnh khác",""))</f>
        <v/>
      </c>
      <c r="O1283" s="814" t="str">
        <f t="shared" si="115"/>
        <v/>
      </c>
      <c r="P1283" s="254"/>
      <c r="Q1283" s="254"/>
      <c r="R1283" s="254"/>
      <c r="S1283" s="254"/>
      <c r="T1283" s="254"/>
      <c r="U1283" s="254"/>
      <c r="V1283" s="254"/>
      <c r="W1283" s="254"/>
      <c r="Y1283" s="246" t="str">
        <f t="shared" si="116"/>
        <v/>
      </c>
      <c r="Z1283" s="247" t="str">
        <f t="shared" si="114"/>
        <v/>
      </c>
      <c r="AA1283" s="246" t="str">
        <f t="shared" si="117"/>
        <v/>
      </c>
    </row>
    <row r="1284" spans="1:27" x14ac:dyDescent="0.25">
      <c r="A1284" s="248" t="str">
        <f t="shared" si="118"/>
        <v/>
      </c>
      <c r="B1284" s="249" t="str">
        <f t="shared" si="119"/>
        <v/>
      </c>
      <c r="C1284" s="250"/>
      <c r="D1284" s="251"/>
      <c r="E1284" s="241"/>
      <c r="F1284" s="252"/>
      <c r="G1284" s="252"/>
      <c r="H1284" s="253"/>
      <c r="I1284" s="250"/>
      <c r="J1284" s="250"/>
      <c r="K1284" s="270"/>
      <c r="L1284" s="250"/>
      <c r="M1284" s="250"/>
      <c r="N1284" s="553" t="str">
        <f>CONCATENATE(IF(OR(M1284=phu!$I$1,M1284=phu!$I$2,M1284=phu!$I$3),"Cam Thành Nam",""),IF(OR(M1284=phu!$I$4,M1284=phu!$I$5,M1284=phu!$I$6,M1284=phu!$I$7,M1284=phu!$I$8,M1284=phu!$I$9,M1284=phu!$I$10,M1284=phu!$I$11,M1284=phu!$I$12,M1284=phu!$I$13,M1284=phu!$I$14),"Cam Nghĩa",""),IF(OR(M1284=phu!$I$15,M1284=phu!$I$16,M1284=phu!$I$17,M1284=phu!$I$18,M1284=phu!$I$19,M1284=phu!$I$20,M1284=phu!$I$21),"Cam Phúc Bắc",""),IF(OR(M1284=phu!$I$22,M1284=phu!$I$23,M1284=phu!$I$24,M1284=phu!$I$25),"Cam Phúc Nam",""),IF(OR(M1284=phu!$I$26,M1284=phu!$I$27,M1284=phu!$I$28,M1284=phu!$I$29,M1284=phu!$I$30,M1284=phu!$I$31),"Cam Phú",""),IF(OR(M1284=phu!$I$32,M1284=phu!$I$33,M1284=phu!$I$34,M1284=phu!$I$35,M1284=phu!$I$36,M1284=phu!$I$37),"Cam Lộc",""),IF(OR(M1284=phu!$I$38,M1284=phu!$I$39,M1284=phu!$I$40,M1284=phu!$I$41,M1284=phu!$I$42,M1284=phu!$I$43,M1284=phu!$I$44),"Cam Thuận",""),IF(OR(M1284=phu!$I$45,M1284=phu!$I$46,M1284=phu!$I$47,M1284=phu!$I$48,M1284=phu!$I$49,M1284=phu!$I$50,M1284=phu!$I$51,M1284=phu!$I$52,M1284=phu!$I$53),"Cam Linh",""),IF(OR(M1284=phu!$I$54,M1284=phu!$I$55,M1284=phu!$I$56,M1284=phu!$I$57,M1284=phu!$I$58,M1284=phu!$I$59,M1284=phu!$I$60,M1284=phu!$I$61,M1284=phu!$I$62),"Cam Lợi",""),IF(OR(M1284=phu!$I$63,M1284=phu!$I$64,M1284=phu!$I$65,M1284=phu!$I$66,M1284=phu!$I$67,M1284=phu!$I$68,M1284=phu!$I$69,M1284=phu!$I$70,M1284=phu!$I$71),"Ba Ngòi",""),IF(OR(M1284=phu!$I$72,M1284=phu!$I$73,M1284=phu!$I$74,M1284=phu!$I$75,M1284=phu!$I$76,M1284=phu!$I$77,M1284=phu!$I$78),"Cam Phước Đông",""),IF(OR(M1284=phu!$I$79,M1284=phu!$I$80,M1284=phu!$I$81,M1284=phu!$I$82,M1284=phu!$I$83,M1284=phu!$I$84),"Cam Thịnh Đông",""),IF(OR(M1284=phu!$I$85,M1284=phu!$I$86,M1284=phu!$I$87,M1284=phu!$I$88),"Cam Thịnh Tây",""),IF(OR(M1284=phu!$I$89,M1284=phu!$I$90),"Cam Lập",""),IF(OR(M1284=phu!$I$91,M1284=phu!$I$92,M1284=phu!$I$93),"Cam Bình",""),IF(OR(M1284=phu!$I$94,M1284=phu!$I$95,M1284=phu!$I$96,M1284=phu!$I$97,M1284=phu!$I$98,M1284=phu!$I$99,M1284=phu!$I$100),"Huyện khác",""),IF(OR(M1284=phu!$I$101,M1284=phu!$I$102),"Tỉnh khác",""))</f>
        <v/>
      </c>
      <c r="O1284" s="814" t="str">
        <f t="shared" si="115"/>
        <v/>
      </c>
      <c r="P1284" s="254"/>
      <c r="Q1284" s="254"/>
      <c r="R1284" s="254"/>
      <c r="S1284" s="254"/>
      <c r="T1284" s="254"/>
      <c r="U1284" s="254"/>
      <c r="V1284" s="254"/>
      <c r="W1284" s="254"/>
      <c r="Y1284" s="246" t="str">
        <f t="shared" si="116"/>
        <v/>
      </c>
      <c r="Z1284" s="247" t="str">
        <f t="shared" si="114"/>
        <v/>
      </c>
      <c r="AA1284" s="246" t="str">
        <f t="shared" si="117"/>
        <v/>
      </c>
    </row>
    <row r="1285" spans="1:27" x14ac:dyDescent="0.25">
      <c r="A1285" s="248" t="str">
        <f t="shared" si="118"/>
        <v/>
      </c>
      <c r="B1285" s="249" t="str">
        <f t="shared" si="119"/>
        <v/>
      </c>
      <c r="C1285" s="250"/>
      <c r="D1285" s="251"/>
      <c r="E1285" s="241"/>
      <c r="F1285" s="252"/>
      <c r="G1285" s="252"/>
      <c r="H1285" s="253"/>
      <c r="I1285" s="250"/>
      <c r="J1285" s="250"/>
      <c r="K1285" s="270"/>
      <c r="L1285" s="250"/>
      <c r="M1285" s="250"/>
      <c r="N1285" s="553" t="str">
        <f>CONCATENATE(IF(OR(M1285=phu!$I$1,M1285=phu!$I$2,M1285=phu!$I$3),"Cam Thành Nam",""),IF(OR(M1285=phu!$I$4,M1285=phu!$I$5,M1285=phu!$I$6,M1285=phu!$I$7,M1285=phu!$I$8,M1285=phu!$I$9,M1285=phu!$I$10,M1285=phu!$I$11,M1285=phu!$I$12,M1285=phu!$I$13,M1285=phu!$I$14),"Cam Nghĩa",""),IF(OR(M1285=phu!$I$15,M1285=phu!$I$16,M1285=phu!$I$17,M1285=phu!$I$18,M1285=phu!$I$19,M1285=phu!$I$20,M1285=phu!$I$21),"Cam Phúc Bắc",""),IF(OR(M1285=phu!$I$22,M1285=phu!$I$23,M1285=phu!$I$24,M1285=phu!$I$25),"Cam Phúc Nam",""),IF(OR(M1285=phu!$I$26,M1285=phu!$I$27,M1285=phu!$I$28,M1285=phu!$I$29,M1285=phu!$I$30,M1285=phu!$I$31),"Cam Phú",""),IF(OR(M1285=phu!$I$32,M1285=phu!$I$33,M1285=phu!$I$34,M1285=phu!$I$35,M1285=phu!$I$36,M1285=phu!$I$37),"Cam Lộc",""),IF(OR(M1285=phu!$I$38,M1285=phu!$I$39,M1285=phu!$I$40,M1285=phu!$I$41,M1285=phu!$I$42,M1285=phu!$I$43,M1285=phu!$I$44),"Cam Thuận",""),IF(OR(M1285=phu!$I$45,M1285=phu!$I$46,M1285=phu!$I$47,M1285=phu!$I$48,M1285=phu!$I$49,M1285=phu!$I$50,M1285=phu!$I$51,M1285=phu!$I$52,M1285=phu!$I$53),"Cam Linh",""),IF(OR(M1285=phu!$I$54,M1285=phu!$I$55,M1285=phu!$I$56,M1285=phu!$I$57,M1285=phu!$I$58,M1285=phu!$I$59,M1285=phu!$I$60,M1285=phu!$I$61,M1285=phu!$I$62),"Cam Lợi",""),IF(OR(M1285=phu!$I$63,M1285=phu!$I$64,M1285=phu!$I$65,M1285=phu!$I$66,M1285=phu!$I$67,M1285=phu!$I$68,M1285=phu!$I$69,M1285=phu!$I$70,M1285=phu!$I$71),"Ba Ngòi",""),IF(OR(M1285=phu!$I$72,M1285=phu!$I$73,M1285=phu!$I$74,M1285=phu!$I$75,M1285=phu!$I$76,M1285=phu!$I$77,M1285=phu!$I$78),"Cam Phước Đông",""),IF(OR(M1285=phu!$I$79,M1285=phu!$I$80,M1285=phu!$I$81,M1285=phu!$I$82,M1285=phu!$I$83,M1285=phu!$I$84),"Cam Thịnh Đông",""),IF(OR(M1285=phu!$I$85,M1285=phu!$I$86,M1285=phu!$I$87,M1285=phu!$I$88),"Cam Thịnh Tây",""),IF(OR(M1285=phu!$I$89,M1285=phu!$I$90),"Cam Lập",""),IF(OR(M1285=phu!$I$91,M1285=phu!$I$92,M1285=phu!$I$93),"Cam Bình",""),IF(OR(M1285=phu!$I$94,M1285=phu!$I$95,M1285=phu!$I$96,M1285=phu!$I$97,M1285=phu!$I$98,M1285=phu!$I$99,M1285=phu!$I$100),"Huyện khác",""),IF(OR(M1285=phu!$I$101,M1285=phu!$I$102),"Tỉnh khác",""))</f>
        <v/>
      </c>
      <c r="O1285" s="814" t="str">
        <f t="shared" si="115"/>
        <v/>
      </c>
      <c r="P1285" s="254"/>
      <c r="Q1285" s="254"/>
      <c r="R1285" s="254"/>
      <c r="S1285" s="254"/>
      <c r="T1285" s="254"/>
      <c r="U1285" s="254"/>
      <c r="V1285" s="254"/>
      <c r="W1285" s="254"/>
      <c r="Y1285" s="246" t="str">
        <f t="shared" si="116"/>
        <v/>
      </c>
      <c r="Z1285" s="247" t="str">
        <f t="shared" si="114"/>
        <v/>
      </c>
      <c r="AA1285" s="246" t="str">
        <f t="shared" si="117"/>
        <v/>
      </c>
    </row>
    <row r="1286" spans="1:27" x14ac:dyDescent="0.25">
      <c r="A1286" s="248" t="str">
        <f t="shared" si="118"/>
        <v/>
      </c>
      <c r="B1286" s="249" t="str">
        <f t="shared" si="119"/>
        <v/>
      </c>
      <c r="C1286" s="250"/>
      <c r="D1286" s="251"/>
      <c r="E1286" s="241"/>
      <c r="F1286" s="252"/>
      <c r="G1286" s="252"/>
      <c r="H1286" s="253"/>
      <c r="I1286" s="250"/>
      <c r="J1286" s="250"/>
      <c r="K1286" s="270"/>
      <c r="L1286" s="250"/>
      <c r="M1286" s="250"/>
      <c r="N1286" s="553" t="str">
        <f>CONCATENATE(IF(OR(M1286=phu!$I$1,M1286=phu!$I$2,M1286=phu!$I$3),"Cam Thành Nam",""),IF(OR(M1286=phu!$I$4,M1286=phu!$I$5,M1286=phu!$I$6,M1286=phu!$I$7,M1286=phu!$I$8,M1286=phu!$I$9,M1286=phu!$I$10,M1286=phu!$I$11,M1286=phu!$I$12,M1286=phu!$I$13,M1286=phu!$I$14),"Cam Nghĩa",""),IF(OR(M1286=phu!$I$15,M1286=phu!$I$16,M1286=phu!$I$17,M1286=phu!$I$18,M1286=phu!$I$19,M1286=phu!$I$20,M1286=phu!$I$21),"Cam Phúc Bắc",""),IF(OR(M1286=phu!$I$22,M1286=phu!$I$23,M1286=phu!$I$24,M1286=phu!$I$25),"Cam Phúc Nam",""),IF(OR(M1286=phu!$I$26,M1286=phu!$I$27,M1286=phu!$I$28,M1286=phu!$I$29,M1286=phu!$I$30,M1286=phu!$I$31),"Cam Phú",""),IF(OR(M1286=phu!$I$32,M1286=phu!$I$33,M1286=phu!$I$34,M1286=phu!$I$35,M1286=phu!$I$36,M1286=phu!$I$37),"Cam Lộc",""),IF(OR(M1286=phu!$I$38,M1286=phu!$I$39,M1286=phu!$I$40,M1286=phu!$I$41,M1286=phu!$I$42,M1286=phu!$I$43,M1286=phu!$I$44),"Cam Thuận",""),IF(OR(M1286=phu!$I$45,M1286=phu!$I$46,M1286=phu!$I$47,M1286=phu!$I$48,M1286=phu!$I$49,M1286=phu!$I$50,M1286=phu!$I$51,M1286=phu!$I$52,M1286=phu!$I$53),"Cam Linh",""),IF(OR(M1286=phu!$I$54,M1286=phu!$I$55,M1286=phu!$I$56,M1286=phu!$I$57,M1286=phu!$I$58,M1286=phu!$I$59,M1286=phu!$I$60,M1286=phu!$I$61,M1286=phu!$I$62),"Cam Lợi",""),IF(OR(M1286=phu!$I$63,M1286=phu!$I$64,M1286=phu!$I$65,M1286=phu!$I$66,M1286=phu!$I$67,M1286=phu!$I$68,M1286=phu!$I$69,M1286=phu!$I$70,M1286=phu!$I$71),"Ba Ngòi",""),IF(OR(M1286=phu!$I$72,M1286=phu!$I$73,M1286=phu!$I$74,M1286=phu!$I$75,M1286=phu!$I$76,M1286=phu!$I$77,M1286=phu!$I$78),"Cam Phước Đông",""),IF(OR(M1286=phu!$I$79,M1286=phu!$I$80,M1286=phu!$I$81,M1286=phu!$I$82,M1286=phu!$I$83,M1286=phu!$I$84),"Cam Thịnh Đông",""),IF(OR(M1286=phu!$I$85,M1286=phu!$I$86,M1286=phu!$I$87,M1286=phu!$I$88),"Cam Thịnh Tây",""),IF(OR(M1286=phu!$I$89,M1286=phu!$I$90),"Cam Lập",""),IF(OR(M1286=phu!$I$91,M1286=phu!$I$92,M1286=phu!$I$93),"Cam Bình",""),IF(OR(M1286=phu!$I$94,M1286=phu!$I$95,M1286=phu!$I$96,M1286=phu!$I$97,M1286=phu!$I$98,M1286=phu!$I$99,M1286=phu!$I$100),"Huyện khác",""),IF(OR(M1286=phu!$I$101,M1286=phu!$I$102),"Tỉnh khác",""))</f>
        <v/>
      </c>
      <c r="O1286" s="814" t="str">
        <f t="shared" si="115"/>
        <v/>
      </c>
      <c r="P1286" s="254"/>
      <c r="Q1286" s="254"/>
      <c r="R1286" s="254"/>
      <c r="S1286" s="254"/>
      <c r="T1286" s="254"/>
      <c r="U1286" s="254"/>
      <c r="V1286" s="254"/>
      <c r="W1286" s="254"/>
      <c r="Y1286" s="246" t="str">
        <f t="shared" si="116"/>
        <v/>
      </c>
      <c r="Z1286" s="247" t="str">
        <f t="shared" ref="Z1286:Z1349" si="120">IF(H1286="","",$Z$1-H1286)</f>
        <v/>
      </c>
      <c r="AA1286" s="246" t="str">
        <f t="shared" si="117"/>
        <v/>
      </c>
    </row>
    <row r="1287" spans="1:27" x14ac:dyDescent="0.25">
      <c r="A1287" s="248" t="str">
        <f t="shared" si="118"/>
        <v/>
      </c>
      <c r="B1287" s="249" t="str">
        <f t="shared" si="119"/>
        <v/>
      </c>
      <c r="C1287" s="250"/>
      <c r="D1287" s="251"/>
      <c r="E1287" s="241"/>
      <c r="F1287" s="252"/>
      <c r="G1287" s="252"/>
      <c r="H1287" s="253"/>
      <c r="I1287" s="250"/>
      <c r="J1287" s="250"/>
      <c r="K1287" s="270"/>
      <c r="L1287" s="250"/>
      <c r="M1287" s="250"/>
      <c r="N1287" s="553" t="str">
        <f>CONCATENATE(IF(OR(M1287=phu!$I$1,M1287=phu!$I$2,M1287=phu!$I$3),"Cam Thành Nam",""),IF(OR(M1287=phu!$I$4,M1287=phu!$I$5,M1287=phu!$I$6,M1287=phu!$I$7,M1287=phu!$I$8,M1287=phu!$I$9,M1287=phu!$I$10,M1287=phu!$I$11,M1287=phu!$I$12,M1287=phu!$I$13,M1287=phu!$I$14),"Cam Nghĩa",""),IF(OR(M1287=phu!$I$15,M1287=phu!$I$16,M1287=phu!$I$17,M1287=phu!$I$18,M1287=phu!$I$19,M1287=phu!$I$20,M1287=phu!$I$21),"Cam Phúc Bắc",""),IF(OR(M1287=phu!$I$22,M1287=phu!$I$23,M1287=phu!$I$24,M1287=phu!$I$25),"Cam Phúc Nam",""),IF(OR(M1287=phu!$I$26,M1287=phu!$I$27,M1287=phu!$I$28,M1287=phu!$I$29,M1287=phu!$I$30,M1287=phu!$I$31),"Cam Phú",""),IF(OR(M1287=phu!$I$32,M1287=phu!$I$33,M1287=phu!$I$34,M1287=phu!$I$35,M1287=phu!$I$36,M1287=phu!$I$37),"Cam Lộc",""),IF(OR(M1287=phu!$I$38,M1287=phu!$I$39,M1287=phu!$I$40,M1287=phu!$I$41,M1287=phu!$I$42,M1287=phu!$I$43,M1287=phu!$I$44),"Cam Thuận",""),IF(OR(M1287=phu!$I$45,M1287=phu!$I$46,M1287=phu!$I$47,M1287=phu!$I$48,M1287=phu!$I$49,M1287=phu!$I$50,M1287=phu!$I$51,M1287=phu!$I$52,M1287=phu!$I$53),"Cam Linh",""),IF(OR(M1287=phu!$I$54,M1287=phu!$I$55,M1287=phu!$I$56,M1287=phu!$I$57,M1287=phu!$I$58,M1287=phu!$I$59,M1287=phu!$I$60,M1287=phu!$I$61,M1287=phu!$I$62),"Cam Lợi",""),IF(OR(M1287=phu!$I$63,M1287=phu!$I$64,M1287=phu!$I$65,M1287=phu!$I$66,M1287=phu!$I$67,M1287=phu!$I$68,M1287=phu!$I$69,M1287=phu!$I$70,M1287=phu!$I$71),"Ba Ngòi",""),IF(OR(M1287=phu!$I$72,M1287=phu!$I$73,M1287=phu!$I$74,M1287=phu!$I$75,M1287=phu!$I$76,M1287=phu!$I$77,M1287=phu!$I$78),"Cam Phước Đông",""),IF(OR(M1287=phu!$I$79,M1287=phu!$I$80,M1287=phu!$I$81,M1287=phu!$I$82,M1287=phu!$I$83,M1287=phu!$I$84),"Cam Thịnh Đông",""),IF(OR(M1287=phu!$I$85,M1287=phu!$I$86,M1287=phu!$I$87,M1287=phu!$I$88),"Cam Thịnh Tây",""),IF(OR(M1287=phu!$I$89,M1287=phu!$I$90),"Cam Lập",""),IF(OR(M1287=phu!$I$91,M1287=phu!$I$92,M1287=phu!$I$93),"Cam Bình",""),IF(OR(M1287=phu!$I$94,M1287=phu!$I$95,M1287=phu!$I$96,M1287=phu!$I$97,M1287=phu!$I$98,M1287=phu!$I$99,M1287=phu!$I$100),"Huyện khác",""),IF(OR(M1287=phu!$I$101,M1287=phu!$I$102),"Tỉnh khác",""))</f>
        <v/>
      </c>
      <c r="O1287" s="814" t="str">
        <f t="shared" ref="O1287:O1350" si="121">CONCATENATE(IF(OR(N1287="Cam Thành Nam",N1287="Cam Nghĩa",N1287="Cam Phúc Bắc"),"Bắc Cam Ranh",""),IF(OR(N1287="Cam Phúc Nam",N1287="Cam Phú",N1287="Cam Lộc"),"Cam Ranh",""),IF(OR(N1287="Cam Thuận",N1287="Cam Linh",N1287="Cam Lợi"),"Cam Linh",""),IF(OR(N1287="Ba Ngòi",N1287="Cam Phước Đông"),"Ba Ngòi",""),IF(OR(N1287="Cam Thịnh Đông",N1287="Cam Thịnh Tây",N1287="Cam Lập",N1287="Cam Bình"),"Nam Cam Ranh",""),IF(N1287="Huyện khác","Huyện khác",""),IF(N1287="Tỉnh khác","Tỉnh khác",""))</f>
        <v/>
      </c>
      <c r="P1287" s="254"/>
      <c r="Q1287" s="254"/>
      <c r="R1287" s="254"/>
      <c r="S1287" s="254"/>
      <c r="T1287" s="254"/>
      <c r="U1287" s="254"/>
      <c r="V1287" s="254"/>
      <c r="W1287" s="254"/>
      <c r="Y1287" s="246" t="str">
        <f t="shared" ref="Y1287:Y1350" si="122">IF(OR(AND(B1287="",C1287="",D1287="",E1287="",F1287="",G1287="",H1287="",I1287="",J1287="",L1287="",M1287="",N1287="",P1287="",Q1287="",R1287="",S1287=""),AND(B1287&lt;&gt;"",C1287&lt;&gt;"",D1287&lt;&gt;"",E1287&lt;&gt;"",F1287&lt;&gt;"",G1287&lt;&gt;"",H1287&lt;&gt;"",J1287&lt;&gt;"",M1287&lt;&gt;"",N1287&lt;&gt;"",P1287&lt;&gt;"",OR(AND(Q1287&lt;&gt;"",R1287=""),AND(Q1287="",R1287&lt;&gt;""),AND(Q1287&lt;&gt;"",R1287&lt;&gt;"")),OR(AND(K1287="X",T1287&lt;&gt;""),AND(K1287="",T1287="")))),"","er")</f>
        <v/>
      </c>
      <c r="Z1287" s="247" t="str">
        <f t="shared" si="120"/>
        <v/>
      </c>
      <c r="AA1287" s="246" t="str">
        <f t="shared" ref="AA1287:AA1350" si="123">IF(OR(AND(Z1287=5,B1287&gt;0),AND(Z1287=6,B1287&gt;1),AND(Z1287=7,B1287&gt;2),AND(Z1287=8,B1287&gt;3),AND(Z1287=9,B1287&gt;4),AND(Z1287=10,B1287&gt;5),AND(Z1287=5,B1287=0,L1287="X"),AND(Z1287=6,B1287=1,L1287="X"),AND(Z1287=7,B1287=2,L1287="X"),AND(Z1287=8,B1287=3,L1287="X"),AND(Z1287=9,B1287=4,L1287="X"),AND(Z1287=10,B1287=5,L1287="X")),"er","")</f>
        <v/>
      </c>
    </row>
    <row r="1288" spans="1:27" x14ac:dyDescent="0.25">
      <c r="A1288" s="248" t="str">
        <f t="shared" ref="A1288:A1351" si="124">IF(OR(A1287="",B1288="",C1288="",D1288="",E1288=""),"",A1287+1)</f>
        <v/>
      </c>
      <c r="B1288" s="249" t="str">
        <f t="shared" ref="B1288:B1351" si="125">IF(C1288="","",VALUE(LEFT(C1288,1)))</f>
        <v/>
      </c>
      <c r="C1288" s="250"/>
      <c r="D1288" s="251"/>
      <c r="E1288" s="241"/>
      <c r="F1288" s="252"/>
      <c r="G1288" s="252"/>
      <c r="H1288" s="253"/>
      <c r="I1288" s="250"/>
      <c r="J1288" s="250"/>
      <c r="K1288" s="270"/>
      <c r="L1288" s="250"/>
      <c r="M1288" s="250"/>
      <c r="N1288" s="553" t="str">
        <f>CONCATENATE(IF(OR(M1288=phu!$I$1,M1288=phu!$I$2,M1288=phu!$I$3),"Cam Thành Nam",""),IF(OR(M1288=phu!$I$4,M1288=phu!$I$5,M1288=phu!$I$6,M1288=phu!$I$7,M1288=phu!$I$8,M1288=phu!$I$9,M1288=phu!$I$10,M1288=phu!$I$11,M1288=phu!$I$12,M1288=phu!$I$13,M1288=phu!$I$14),"Cam Nghĩa",""),IF(OR(M1288=phu!$I$15,M1288=phu!$I$16,M1288=phu!$I$17,M1288=phu!$I$18,M1288=phu!$I$19,M1288=phu!$I$20,M1288=phu!$I$21),"Cam Phúc Bắc",""),IF(OR(M1288=phu!$I$22,M1288=phu!$I$23,M1288=phu!$I$24,M1288=phu!$I$25),"Cam Phúc Nam",""),IF(OR(M1288=phu!$I$26,M1288=phu!$I$27,M1288=phu!$I$28,M1288=phu!$I$29,M1288=phu!$I$30,M1288=phu!$I$31),"Cam Phú",""),IF(OR(M1288=phu!$I$32,M1288=phu!$I$33,M1288=phu!$I$34,M1288=phu!$I$35,M1288=phu!$I$36,M1288=phu!$I$37),"Cam Lộc",""),IF(OR(M1288=phu!$I$38,M1288=phu!$I$39,M1288=phu!$I$40,M1288=phu!$I$41,M1288=phu!$I$42,M1288=phu!$I$43,M1288=phu!$I$44),"Cam Thuận",""),IF(OR(M1288=phu!$I$45,M1288=phu!$I$46,M1288=phu!$I$47,M1288=phu!$I$48,M1288=phu!$I$49,M1288=phu!$I$50,M1288=phu!$I$51,M1288=phu!$I$52,M1288=phu!$I$53),"Cam Linh",""),IF(OR(M1288=phu!$I$54,M1288=phu!$I$55,M1288=phu!$I$56,M1288=phu!$I$57,M1288=phu!$I$58,M1288=phu!$I$59,M1288=phu!$I$60,M1288=phu!$I$61,M1288=phu!$I$62),"Cam Lợi",""),IF(OR(M1288=phu!$I$63,M1288=phu!$I$64,M1288=phu!$I$65,M1288=phu!$I$66,M1288=phu!$I$67,M1288=phu!$I$68,M1288=phu!$I$69,M1288=phu!$I$70,M1288=phu!$I$71),"Ba Ngòi",""),IF(OR(M1288=phu!$I$72,M1288=phu!$I$73,M1288=phu!$I$74,M1288=phu!$I$75,M1288=phu!$I$76,M1288=phu!$I$77,M1288=phu!$I$78),"Cam Phước Đông",""),IF(OR(M1288=phu!$I$79,M1288=phu!$I$80,M1288=phu!$I$81,M1288=phu!$I$82,M1288=phu!$I$83,M1288=phu!$I$84),"Cam Thịnh Đông",""),IF(OR(M1288=phu!$I$85,M1288=phu!$I$86,M1288=phu!$I$87,M1288=phu!$I$88),"Cam Thịnh Tây",""),IF(OR(M1288=phu!$I$89,M1288=phu!$I$90),"Cam Lập",""),IF(OR(M1288=phu!$I$91,M1288=phu!$I$92,M1288=phu!$I$93),"Cam Bình",""),IF(OR(M1288=phu!$I$94,M1288=phu!$I$95,M1288=phu!$I$96,M1288=phu!$I$97,M1288=phu!$I$98,M1288=phu!$I$99,M1288=phu!$I$100),"Huyện khác",""),IF(OR(M1288=phu!$I$101,M1288=phu!$I$102),"Tỉnh khác",""))</f>
        <v/>
      </c>
      <c r="O1288" s="814" t="str">
        <f t="shared" si="121"/>
        <v/>
      </c>
      <c r="P1288" s="254"/>
      <c r="Q1288" s="254"/>
      <c r="R1288" s="254"/>
      <c r="S1288" s="254"/>
      <c r="T1288" s="254"/>
      <c r="U1288" s="254"/>
      <c r="V1288" s="254"/>
      <c r="W1288" s="254"/>
      <c r="Y1288" s="246" t="str">
        <f t="shared" si="122"/>
        <v/>
      </c>
      <c r="Z1288" s="247" t="str">
        <f t="shared" si="120"/>
        <v/>
      </c>
      <c r="AA1288" s="246" t="str">
        <f t="shared" si="123"/>
        <v/>
      </c>
    </row>
    <row r="1289" spans="1:27" x14ac:dyDescent="0.25">
      <c r="A1289" s="248" t="str">
        <f t="shared" si="124"/>
        <v/>
      </c>
      <c r="B1289" s="249" t="str">
        <f t="shared" si="125"/>
        <v/>
      </c>
      <c r="C1289" s="250"/>
      <c r="D1289" s="251"/>
      <c r="E1289" s="241"/>
      <c r="F1289" s="252"/>
      <c r="G1289" s="252"/>
      <c r="H1289" s="253"/>
      <c r="I1289" s="250"/>
      <c r="J1289" s="250"/>
      <c r="K1289" s="270"/>
      <c r="L1289" s="250"/>
      <c r="M1289" s="250"/>
      <c r="N1289" s="553" t="str">
        <f>CONCATENATE(IF(OR(M1289=phu!$I$1,M1289=phu!$I$2,M1289=phu!$I$3),"Cam Thành Nam",""),IF(OR(M1289=phu!$I$4,M1289=phu!$I$5,M1289=phu!$I$6,M1289=phu!$I$7,M1289=phu!$I$8,M1289=phu!$I$9,M1289=phu!$I$10,M1289=phu!$I$11,M1289=phu!$I$12,M1289=phu!$I$13,M1289=phu!$I$14),"Cam Nghĩa",""),IF(OR(M1289=phu!$I$15,M1289=phu!$I$16,M1289=phu!$I$17,M1289=phu!$I$18,M1289=phu!$I$19,M1289=phu!$I$20,M1289=phu!$I$21),"Cam Phúc Bắc",""),IF(OR(M1289=phu!$I$22,M1289=phu!$I$23,M1289=phu!$I$24,M1289=phu!$I$25),"Cam Phúc Nam",""),IF(OR(M1289=phu!$I$26,M1289=phu!$I$27,M1289=phu!$I$28,M1289=phu!$I$29,M1289=phu!$I$30,M1289=phu!$I$31),"Cam Phú",""),IF(OR(M1289=phu!$I$32,M1289=phu!$I$33,M1289=phu!$I$34,M1289=phu!$I$35,M1289=phu!$I$36,M1289=phu!$I$37),"Cam Lộc",""),IF(OR(M1289=phu!$I$38,M1289=phu!$I$39,M1289=phu!$I$40,M1289=phu!$I$41,M1289=phu!$I$42,M1289=phu!$I$43,M1289=phu!$I$44),"Cam Thuận",""),IF(OR(M1289=phu!$I$45,M1289=phu!$I$46,M1289=phu!$I$47,M1289=phu!$I$48,M1289=phu!$I$49,M1289=phu!$I$50,M1289=phu!$I$51,M1289=phu!$I$52,M1289=phu!$I$53),"Cam Linh",""),IF(OR(M1289=phu!$I$54,M1289=phu!$I$55,M1289=phu!$I$56,M1289=phu!$I$57,M1289=phu!$I$58,M1289=phu!$I$59,M1289=phu!$I$60,M1289=phu!$I$61,M1289=phu!$I$62),"Cam Lợi",""),IF(OR(M1289=phu!$I$63,M1289=phu!$I$64,M1289=phu!$I$65,M1289=phu!$I$66,M1289=phu!$I$67,M1289=phu!$I$68,M1289=phu!$I$69,M1289=phu!$I$70,M1289=phu!$I$71),"Ba Ngòi",""),IF(OR(M1289=phu!$I$72,M1289=phu!$I$73,M1289=phu!$I$74,M1289=phu!$I$75,M1289=phu!$I$76,M1289=phu!$I$77,M1289=phu!$I$78),"Cam Phước Đông",""),IF(OR(M1289=phu!$I$79,M1289=phu!$I$80,M1289=phu!$I$81,M1289=phu!$I$82,M1289=phu!$I$83,M1289=phu!$I$84),"Cam Thịnh Đông",""),IF(OR(M1289=phu!$I$85,M1289=phu!$I$86,M1289=phu!$I$87,M1289=phu!$I$88),"Cam Thịnh Tây",""),IF(OR(M1289=phu!$I$89,M1289=phu!$I$90),"Cam Lập",""),IF(OR(M1289=phu!$I$91,M1289=phu!$I$92,M1289=phu!$I$93),"Cam Bình",""),IF(OR(M1289=phu!$I$94,M1289=phu!$I$95,M1289=phu!$I$96,M1289=phu!$I$97,M1289=phu!$I$98,M1289=phu!$I$99,M1289=phu!$I$100),"Huyện khác",""),IF(OR(M1289=phu!$I$101,M1289=phu!$I$102),"Tỉnh khác",""))</f>
        <v/>
      </c>
      <c r="O1289" s="814" t="str">
        <f t="shared" si="121"/>
        <v/>
      </c>
      <c r="P1289" s="254"/>
      <c r="Q1289" s="254"/>
      <c r="R1289" s="254"/>
      <c r="S1289" s="254"/>
      <c r="T1289" s="254"/>
      <c r="U1289" s="254"/>
      <c r="V1289" s="254"/>
      <c r="W1289" s="254"/>
      <c r="Y1289" s="246" t="str">
        <f t="shared" si="122"/>
        <v/>
      </c>
      <c r="Z1289" s="247" t="str">
        <f t="shared" si="120"/>
        <v/>
      </c>
      <c r="AA1289" s="246" t="str">
        <f t="shared" si="123"/>
        <v/>
      </c>
    </row>
    <row r="1290" spans="1:27" x14ac:dyDescent="0.25">
      <c r="A1290" s="248" t="str">
        <f t="shared" si="124"/>
        <v/>
      </c>
      <c r="B1290" s="249" t="str">
        <f t="shared" si="125"/>
        <v/>
      </c>
      <c r="C1290" s="250"/>
      <c r="D1290" s="251"/>
      <c r="E1290" s="241"/>
      <c r="F1290" s="252"/>
      <c r="G1290" s="252"/>
      <c r="H1290" s="253"/>
      <c r="I1290" s="250"/>
      <c r="J1290" s="250"/>
      <c r="K1290" s="270"/>
      <c r="L1290" s="250"/>
      <c r="M1290" s="250"/>
      <c r="N1290" s="553" t="str">
        <f>CONCATENATE(IF(OR(M1290=phu!$I$1,M1290=phu!$I$2,M1290=phu!$I$3),"Cam Thành Nam",""),IF(OR(M1290=phu!$I$4,M1290=phu!$I$5,M1290=phu!$I$6,M1290=phu!$I$7,M1290=phu!$I$8,M1290=phu!$I$9,M1290=phu!$I$10,M1290=phu!$I$11,M1290=phu!$I$12,M1290=phu!$I$13,M1290=phu!$I$14),"Cam Nghĩa",""),IF(OR(M1290=phu!$I$15,M1290=phu!$I$16,M1290=phu!$I$17,M1290=phu!$I$18,M1290=phu!$I$19,M1290=phu!$I$20,M1290=phu!$I$21),"Cam Phúc Bắc",""),IF(OR(M1290=phu!$I$22,M1290=phu!$I$23,M1290=phu!$I$24,M1290=phu!$I$25),"Cam Phúc Nam",""),IF(OR(M1290=phu!$I$26,M1290=phu!$I$27,M1290=phu!$I$28,M1290=phu!$I$29,M1290=phu!$I$30,M1290=phu!$I$31),"Cam Phú",""),IF(OR(M1290=phu!$I$32,M1290=phu!$I$33,M1290=phu!$I$34,M1290=phu!$I$35,M1290=phu!$I$36,M1290=phu!$I$37),"Cam Lộc",""),IF(OR(M1290=phu!$I$38,M1290=phu!$I$39,M1290=phu!$I$40,M1290=phu!$I$41,M1290=phu!$I$42,M1290=phu!$I$43,M1290=phu!$I$44),"Cam Thuận",""),IF(OR(M1290=phu!$I$45,M1290=phu!$I$46,M1290=phu!$I$47,M1290=phu!$I$48,M1290=phu!$I$49,M1290=phu!$I$50,M1290=phu!$I$51,M1290=phu!$I$52,M1290=phu!$I$53),"Cam Linh",""),IF(OR(M1290=phu!$I$54,M1290=phu!$I$55,M1290=phu!$I$56,M1290=phu!$I$57,M1290=phu!$I$58,M1290=phu!$I$59,M1290=phu!$I$60,M1290=phu!$I$61,M1290=phu!$I$62),"Cam Lợi",""),IF(OR(M1290=phu!$I$63,M1290=phu!$I$64,M1290=phu!$I$65,M1290=phu!$I$66,M1290=phu!$I$67,M1290=phu!$I$68,M1290=phu!$I$69,M1290=phu!$I$70,M1290=phu!$I$71),"Ba Ngòi",""),IF(OR(M1290=phu!$I$72,M1290=phu!$I$73,M1290=phu!$I$74,M1290=phu!$I$75,M1290=phu!$I$76,M1290=phu!$I$77,M1290=phu!$I$78),"Cam Phước Đông",""),IF(OR(M1290=phu!$I$79,M1290=phu!$I$80,M1290=phu!$I$81,M1290=phu!$I$82,M1290=phu!$I$83,M1290=phu!$I$84),"Cam Thịnh Đông",""),IF(OR(M1290=phu!$I$85,M1290=phu!$I$86,M1290=phu!$I$87,M1290=phu!$I$88),"Cam Thịnh Tây",""),IF(OR(M1290=phu!$I$89,M1290=phu!$I$90),"Cam Lập",""),IF(OR(M1290=phu!$I$91,M1290=phu!$I$92,M1290=phu!$I$93),"Cam Bình",""),IF(OR(M1290=phu!$I$94,M1290=phu!$I$95,M1290=phu!$I$96,M1290=phu!$I$97,M1290=phu!$I$98,M1290=phu!$I$99,M1290=phu!$I$100),"Huyện khác",""),IF(OR(M1290=phu!$I$101,M1290=phu!$I$102),"Tỉnh khác",""))</f>
        <v/>
      </c>
      <c r="O1290" s="814" t="str">
        <f t="shared" si="121"/>
        <v/>
      </c>
      <c r="P1290" s="254"/>
      <c r="Q1290" s="254"/>
      <c r="R1290" s="254"/>
      <c r="S1290" s="254"/>
      <c r="T1290" s="254"/>
      <c r="U1290" s="254"/>
      <c r="V1290" s="254"/>
      <c r="W1290" s="254"/>
      <c r="Y1290" s="246" t="str">
        <f t="shared" si="122"/>
        <v/>
      </c>
      <c r="Z1290" s="247" t="str">
        <f t="shared" si="120"/>
        <v/>
      </c>
      <c r="AA1290" s="246" t="str">
        <f t="shared" si="123"/>
        <v/>
      </c>
    </row>
    <row r="1291" spans="1:27" x14ac:dyDescent="0.25">
      <c r="A1291" s="248" t="str">
        <f t="shared" si="124"/>
        <v/>
      </c>
      <c r="B1291" s="249" t="str">
        <f t="shared" si="125"/>
        <v/>
      </c>
      <c r="C1291" s="250"/>
      <c r="D1291" s="251"/>
      <c r="E1291" s="241"/>
      <c r="F1291" s="252"/>
      <c r="G1291" s="252"/>
      <c r="H1291" s="253"/>
      <c r="I1291" s="250"/>
      <c r="J1291" s="250"/>
      <c r="K1291" s="270"/>
      <c r="L1291" s="250"/>
      <c r="M1291" s="250"/>
      <c r="N1291" s="553" t="str">
        <f>CONCATENATE(IF(OR(M1291=phu!$I$1,M1291=phu!$I$2,M1291=phu!$I$3),"Cam Thành Nam",""),IF(OR(M1291=phu!$I$4,M1291=phu!$I$5,M1291=phu!$I$6,M1291=phu!$I$7,M1291=phu!$I$8,M1291=phu!$I$9,M1291=phu!$I$10,M1291=phu!$I$11,M1291=phu!$I$12,M1291=phu!$I$13,M1291=phu!$I$14),"Cam Nghĩa",""),IF(OR(M1291=phu!$I$15,M1291=phu!$I$16,M1291=phu!$I$17,M1291=phu!$I$18,M1291=phu!$I$19,M1291=phu!$I$20,M1291=phu!$I$21),"Cam Phúc Bắc",""),IF(OR(M1291=phu!$I$22,M1291=phu!$I$23,M1291=phu!$I$24,M1291=phu!$I$25),"Cam Phúc Nam",""),IF(OR(M1291=phu!$I$26,M1291=phu!$I$27,M1291=phu!$I$28,M1291=phu!$I$29,M1291=phu!$I$30,M1291=phu!$I$31),"Cam Phú",""),IF(OR(M1291=phu!$I$32,M1291=phu!$I$33,M1291=phu!$I$34,M1291=phu!$I$35,M1291=phu!$I$36,M1291=phu!$I$37),"Cam Lộc",""),IF(OR(M1291=phu!$I$38,M1291=phu!$I$39,M1291=phu!$I$40,M1291=phu!$I$41,M1291=phu!$I$42,M1291=phu!$I$43,M1291=phu!$I$44),"Cam Thuận",""),IF(OR(M1291=phu!$I$45,M1291=phu!$I$46,M1291=phu!$I$47,M1291=phu!$I$48,M1291=phu!$I$49,M1291=phu!$I$50,M1291=phu!$I$51,M1291=phu!$I$52,M1291=phu!$I$53),"Cam Linh",""),IF(OR(M1291=phu!$I$54,M1291=phu!$I$55,M1291=phu!$I$56,M1291=phu!$I$57,M1291=phu!$I$58,M1291=phu!$I$59,M1291=phu!$I$60,M1291=phu!$I$61,M1291=phu!$I$62),"Cam Lợi",""),IF(OR(M1291=phu!$I$63,M1291=phu!$I$64,M1291=phu!$I$65,M1291=phu!$I$66,M1291=phu!$I$67,M1291=phu!$I$68,M1291=phu!$I$69,M1291=phu!$I$70,M1291=phu!$I$71),"Ba Ngòi",""),IF(OR(M1291=phu!$I$72,M1291=phu!$I$73,M1291=phu!$I$74,M1291=phu!$I$75,M1291=phu!$I$76,M1291=phu!$I$77,M1291=phu!$I$78),"Cam Phước Đông",""),IF(OR(M1291=phu!$I$79,M1291=phu!$I$80,M1291=phu!$I$81,M1291=phu!$I$82,M1291=phu!$I$83,M1291=phu!$I$84),"Cam Thịnh Đông",""),IF(OR(M1291=phu!$I$85,M1291=phu!$I$86,M1291=phu!$I$87,M1291=phu!$I$88),"Cam Thịnh Tây",""),IF(OR(M1291=phu!$I$89,M1291=phu!$I$90),"Cam Lập",""),IF(OR(M1291=phu!$I$91,M1291=phu!$I$92,M1291=phu!$I$93),"Cam Bình",""),IF(OR(M1291=phu!$I$94,M1291=phu!$I$95,M1291=phu!$I$96,M1291=phu!$I$97,M1291=phu!$I$98,M1291=phu!$I$99,M1291=phu!$I$100),"Huyện khác",""),IF(OR(M1291=phu!$I$101,M1291=phu!$I$102),"Tỉnh khác",""))</f>
        <v/>
      </c>
      <c r="O1291" s="814" t="str">
        <f t="shared" si="121"/>
        <v/>
      </c>
      <c r="P1291" s="254"/>
      <c r="Q1291" s="254"/>
      <c r="R1291" s="254"/>
      <c r="S1291" s="254"/>
      <c r="T1291" s="254"/>
      <c r="U1291" s="254"/>
      <c r="V1291" s="254"/>
      <c r="W1291" s="254"/>
      <c r="Y1291" s="246" t="str">
        <f t="shared" si="122"/>
        <v/>
      </c>
      <c r="Z1291" s="247" t="str">
        <f t="shared" si="120"/>
        <v/>
      </c>
      <c r="AA1291" s="246" t="str">
        <f t="shared" si="123"/>
        <v/>
      </c>
    </row>
    <row r="1292" spans="1:27" x14ac:dyDescent="0.25">
      <c r="A1292" s="248" t="str">
        <f t="shared" si="124"/>
        <v/>
      </c>
      <c r="B1292" s="249" t="str">
        <f t="shared" si="125"/>
        <v/>
      </c>
      <c r="C1292" s="250"/>
      <c r="D1292" s="251"/>
      <c r="E1292" s="241"/>
      <c r="F1292" s="252"/>
      <c r="G1292" s="252"/>
      <c r="H1292" s="253"/>
      <c r="I1292" s="250"/>
      <c r="J1292" s="250"/>
      <c r="K1292" s="270"/>
      <c r="L1292" s="250"/>
      <c r="M1292" s="250"/>
      <c r="N1292" s="553" t="str">
        <f>CONCATENATE(IF(OR(M1292=phu!$I$1,M1292=phu!$I$2,M1292=phu!$I$3),"Cam Thành Nam",""),IF(OR(M1292=phu!$I$4,M1292=phu!$I$5,M1292=phu!$I$6,M1292=phu!$I$7,M1292=phu!$I$8,M1292=phu!$I$9,M1292=phu!$I$10,M1292=phu!$I$11,M1292=phu!$I$12,M1292=phu!$I$13,M1292=phu!$I$14),"Cam Nghĩa",""),IF(OR(M1292=phu!$I$15,M1292=phu!$I$16,M1292=phu!$I$17,M1292=phu!$I$18,M1292=phu!$I$19,M1292=phu!$I$20,M1292=phu!$I$21),"Cam Phúc Bắc",""),IF(OR(M1292=phu!$I$22,M1292=phu!$I$23,M1292=phu!$I$24,M1292=phu!$I$25),"Cam Phúc Nam",""),IF(OR(M1292=phu!$I$26,M1292=phu!$I$27,M1292=phu!$I$28,M1292=phu!$I$29,M1292=phu!$I$30,M1292=phu!$I$31),"Cam Phú",""),IF(OR(M1292=phu!$I$32,M1292=phu!$I$33,M1292=phu!$I$34,M1292=phu!$I$35,M1292=phu!$I$36,M1292=phu!$I$37),"Cam Lộc",""),IF(OR(M1292=phu!$I$38,M1292=phu!$I$39,M1292=phu!$I$40,M1292=phu!$I$41,M1292=phu!$I$42,M1292=phu!$I$43,M1292=phu!$I$44),"Cam Thuận",""),IF(OR(M1292=phu!$I$45,M1292=phu!$I$46,M1292=phu!$I$47,M1292=phu!$I$48,M1292=phu!$I$49,M1292=phu!$I$50,M1292=phu!$I$51,M1292=phu!$I$52,M1292=phu!$I$53),"Cam Linh",""),IF(OR(M1292=phu!$I$54,M1292=phu!$I$55,M1292=phu!$I$56,M1292=phu!$I$57,M1292=phu!$I$58,M1292=phu!$I$59,M1292=phu!$I$60,M1292=phu!$I$61,M1292=phu!$I$62),"Cam Lợi",""),IF(OR(M1292=phu!$I$63,M1292=phu!$I$64,M1292=phu!$I$65,M1292=phu!$I$66,M1292=phu!$I$67,M1292=phu!$I$68,M1292=phu!$I$69,M1292=phu!$I$70,M1292=phu!$I$71),"Ba Ngòi",""),IF(OR(M1292=phu!$I$72,M1292=phu!$I$73,M1292=phu!$I$74,M1292=phu!$I$75,M1292=phu!$I$76,M1292=phu!$I$77,M1292=phu!$I$78),"Cam Phước Đông",""),IF(OR(M1292=phu!$I$79,M1292=phu!$I$80,M1292=phu!$I$81,M1292=phu!$I$82,M1292=phu!$I$83,M1292=phu!$I$84),"Cam Thịnh Đông",""),IF(OR(M1292=phu!$I$85,M1292=phu!$I$86,M1292=phu!$I$87,M1292=phu!$I$88),"Cam Thịnh Tây",""),IF(OR(M1292=phu!$I$89,M1292=phu!$I$90),"Cam Lập",""),IF(OR(M1292=phu!$I$91,M1292=phu!$I$92,M1292=phu!$I$93),"Cam Bình",""),IF(OR(M1292=phu!$I$94,M1292=phu!$I$95,M1292=phu!$I$96,M1292=phu!$I$97,M1292=phu!$I$98,M1292=phu!$I$99,M1292=phu!$I$100),"Huyện khác",""),IF(OR(M1292=phu!$I$101,M1292=phu!$I$102),"Tỉnh khác",""))</f>
        <v/>
      </c>
      <c r="O1292" s="814" t="str">
        <f t="shared" si="121"/>
        <v/>
      </c>
      <c r="P1292" s="254"/>
      <c r="Q1292" s="254"/>
      <c r="R1292" s="254"/>
      <c r="S1292" s="254"/>
      <c r="T1292" s="254"/>
      <c r="U1292" s="254"/>
      <c r="V1292" s="254"/>
      <c r="W1292" s="254"/>
      <c r="Y1292" s="246" t="str">
        <f t="shared" si="122"/>
        <v/>
      </c>
      <c r="Z1292" s="247" t="str">
        <f t="shared" si="120"/>
        <v/>
      </c>
      <c r="AA1292" s="246" t="str">
        <f t="shared" si="123"/>
        <v/>
      </c>
    </row>
    <row r="1293" spans="1:27" x14ac:dyDescent="0.25">
      <c r="A1293" s="248" t="str">
        <f t="shared" si="124"/>
        <v/>
      </c>
      <c r="B1293" s="249" t="str">
        <f t="shared" si="125"/>
        <v/>
      </c>
      <c r="C1293" s="250"/>
      <c r="D1293" s="251"/>
      <c r="E1293" s="241"/>
      <c r="F1293" s="252"/>
      <c r="G1293" s="252"/>
      <c r="H1293" s="253"/>
      <c r="I1293" s="250"/>
      <c r="J1293" s="250"/>
      <c r="K1293" s="270"/>
      <c r="L1293" s="250"/>
      <c r="M1293" s="250"/>
      <c r="N1293" s="553" t="str">
        <f>CONCATENATE(IF(OR(M1293=phu!$I$1,M1293=phu!$I$2,M1293=phu!$I$3),"Cam Thành Nam",""),IF(OR(M1293=phu!$I$4,M1293=phu!$I$5,M1293=phu!$I$6,M1293=phu!$I$7,M1293=phu!$I$8,M1293=phu!$I$9,M1293=phu!$I$10,M1293=phu!$I$11,M1293=phu!$I$12,M1293=phu!$I$13,M1293=phu!$I$14),"Cam Nghĩa",""),IF(OR(M1293=phu!$I$15,M1293=phu!$I$16,M1293=phu!$I$17,M1293=phu!$I$18,M1293=phu!$I$19,M1293=phu!$I$20,M1293=phu!$I$21),"Cam Phúc Bắc",""),IF(OR(M1293=phu!$I$22,M1293=phu!$I$23,M1293=phu!$I$24,M1293=phu!$I$25),"Cam Phúc Nam",""),IF(OR(M1293=phu!$I$26,M1293=phu!$I$27,M1293=phu!$I$28,M1293=phu!$I$29,M1293=phu!$I$30,M1293=phu!$I$31),"Cam Phú",""),IF(OR(M1293=phu!$I$32,M1293=phu!$I$33,M1293=phu!$I$34,M1293=phu!$I$35,M1293=phu!$I$36,M1293=phu!$I$37),"Cam Lộc",""),IF(OR(M1293=phu!$I$38,M1293=phu!$I$39,M1293=phu!$I$40,M1293=phu!$I$41,M1293=phu!$I$42,M1293=phu!$I$43,M1293=phu!$I$44),"Cam Thuận",""),IF(OR(M1293=phu!$I$45,M1293=phu!$I$46,M1293=phu!$I$47,M1293=phu!$I$48,M1293=phu!$I$49,M1293=phu!$I$50,M1293=phu!$I$51,M1293=phu!$I$52,M1293=phu!$I$53),"Cam Linh",""),IF(OR(M1293=phu!$I$54,M1293=phu!$I$55,M1293=phu!$I$56,M1293=phu!$I$57,M1293=phu!$I$58,M1293=phu!$I$59,M1293=phu!$I$60,M1293=phu!$I$61,M1293=phu!$I$62),"Cam Lợi",""),IF(OR(M1293=phu!$I$63,M1293=phu!$I$64,M1293=phu!$I$65,M1293=phu!$I$66,M1293=phu!$I$67,M1293=phu!$I$68,M1293=phu!$I$69,M1293=phu!$I$70,M1293=phu!$I$71),"Ba Ngòi",""),IF(OR(M1293=phu!$I$72,M1293=phu!$I$73,M1293=phu!$I$74,M1293=phu!$I$75,M1293=phu!$I$76,M1293=phu!$I$77,M1293=phu!$I$78),"Cam Phước Đông",""),IF(OR(M1293=phu!$I$79,M1293=phu!$I$80,M1293=phu!$I$81,M1293=phu!$I$82,M1293=phu!$I$83,M1293=phu!$I$84),"Cam Thịnh Đông",""),IF(OR(M1293=phu!$I$85,M1293=phu!$I$86,M1293=phu!$I$87,M1293=phu!$I$88),"Cam Thịnh Tây",""),IF(OR(M1293=phu!$I$89,M1293=phu!$I$90),"Cam Lập",""),IF(OR(M1293=phu!$I$91,M1293=phu!$I$92,M1293=phu!$I$93),"Cam Bình",""),IF(OR(M1293=phu!$I$94,M1293=phu!$I$95,M1293=phu!$I$96,M1293=phu!$I$97,M1293=phu!$I$98,M1293=phu!$I$99,M1293=phu!$I$100),"Huyện khác",""),IF(OR(M1293=phu!$I$101,M1293=phu!$I$102),"Tỉnh khác",""))</f>
        <v/>
      </c>
      <c r="O1293" s="814" t="str">
        <f t="shared" si="121"/>
        <v/>
      </c>
      <c r="P1293" s="254"/>
      <c r="Q1293" s="254"/>
      <c r="R1293" s="254"/>
      <c r="S1293" s="254"/>
      <c r="T1293" s="254"/>
      <c r="U1293" s="254"/>
      <c r="V1293" s="254"/>
      <c r="W1293" s="254"/>
      <c r="Y1293" s="246" t="str">
        <f t="shared" si="122"/>
        <v/>
      </c>
      <c r="Z1293" s="247" t="str">
        <f t="shared" si="120"/>
        <v/>
      </c>
      <c r="AA1293" s="246" t="str">
        <f t="shared" si="123"/>
        <v/>
      </c>
    </row>
    <row r="1294" spans="1:27" x14ac:dyDescent="0.25">
      <c r="A1294" s="248" t="str">
        <f t="shared" si="124"/>
        <v/>
      </c>
      <c r="B1294" s="249" t="str">
        <f t="shared" si="125"/>
        <v/>
      </c>
      <c r="C1294" s="250"/>
      <c r="D1294" s="251"/>
      <c r="E1294" s="241"/>
      <c r="F1294" s="252"/>
      <c r="G1294" s="252"/>
      <c r="H1294" s="253"/>
      <c r="I1294" s="250"/>
      <c r="J1294" s="250"/>
      <c r="K1294" s="270"/>
      <c r="L1294" s="250"/>
      <c r="M1294" s="250"/>
      <c r="N1294" s="553" t="str">
        <f>CONCATENATE(IF(OR(M1294=phu!$I$1,M1294=phu!$I$2,M1294=phu!$I$3),"Cam Thành Nam",""),IF(OR(M1294=phu!$I$4,M1294=phu!$I$5,M1294=phu!$I$6,M1294=phu!$I$7,M1294=phu!$I$8,M1294=phu!$I$9,M1294=phu!$I$10,M1294=phu!$I$11,M1294=phu!$I$12,M1294=phu!$I$13,M1294=phu!$I$14),"Cam Nghĩa",""),IF(OR(M1294=phu!$I$15,M1294=phu!$I$16,M1294=phu!$I$17,M1294=phu!$I$18,M1294=phu!$I$19,M1294=phu!$I$20,M1294=phu!$I$21),"Cam Phúc Bắc",""),IF(OR(M1294=phu!$I$22,M1294=phu!$I$23,M1294=phu!$I$24,M1294=phu!$I$25),"Cam Phúc Nam",""),IF(OR(M1294=phu!$I$26,M1294=phu!$I$27,M1294=phu!$I$28,M1294=phu!$I$29,M1294=phu!$I$30,M1294=phu!$I$31),"Cam Phú",""),IF(OR(M1294=phu!$I$32,M1294=phu!$I$33,M1294=phu!$I$34,M1294=phu!$I$35,M1294=phu!$I$36,M1294=phu!$I$37),"Cam Lộc",""),IF(OR(M1294=phu!$I$38,M1294=phu!$I$39,M1294=phu!$I$40,M1294=phu!$I$41,M1294=phu!$I$42,M1294=phu!$I$43,M1294=phu!$I$44),"Cam Thuận",""),IF(OR(M1294=phu!$I$45,M1294=phu!$I$46,M1294=phu!$I$47,M1294=phu!$I$48,M1294=phu!$I$49,M1294=phu!$I$50,M1294=phu!$I$51,M1294=phu!$I$52,M1294=phu!$I$53),"Cam Linh",""),IF(OR(M1294=phu!$I$54,M1294=phu!$I$55,M1294=phu!$I$56,M1294=phu!$I$57,M1294=phu!$I$58,M1294=phu!$I$59,M1294=phu!$I$60,M1294=phu!$I$61,M1294=phu!$I$62),"Cam Lợi",""),IF(OR(M1294=phu!$I$63,M1294=phu!$I$64,M1294=phu!$I$65,M1294=phu!$I$66,M1294=phu!$I$67,M1294=phu!$I$68,M1294=phu!$I$69,M1294=phu!$I$70,M1294=phu!$I$71),"Ba Ngòi",""),IF(OR(M1294=phu!$I$72,M1294=phu!$I$73,M1294=phu!$I$74,M1294=phu!$I$75,M1294=phu!$I$76,M1294=phu!$I$77,M1294=phu!$I$78),"Cam Phước Đông",""),IF(OR(M1294=phu!$I$79,M1294=phu!$I$80,M1294=phu!$I$81,M1294=phu!$I$82,M1294=phu!$I$83,M1294=phu!$I$84),"Cam Thịnh Đông",""),IF(OR(M1294=phu!$I$85,M1294=phu!$I$86,M1294=phu!$I$87,M1294=phu!$I$88),"Cam Thịnh Tây",""),IF(OR(M1294=phu!$I$89,M1294=phu!$I$90),"Cam Lập",""),IF(OR(M1294=phu!$I$91,M1294=phu!$I$92,M1294=phu!$I$93),"Cam Bình",""),IF(OR(M1294=phu!$I$94,M1294=phu!$I$95,M1294=phu!$I$96,M1294=phu!$I$97,M1294=phu!$I$98,M1294=phu!$I$99,M1294=phu!$I$100),"Huyện khác",""),IF(OR(M1294=phu!$I$101,M1294=phu!$I$102),"Tỉnh khác",""))</f>
        <v/>
      </c>
      <c r="O1294" s="814" t="str">
        <f t="shared" si="121"/>
        <v/>
      </c>
      <c r="P1294" s="254"/>
      <c r="Q1294" s="254"/>
      <c r="R1294" s="254"/>
      <c r="S1294" s="254"/>
      <c r="T1294" s="254"/>
      <c r="U1294" s="254"/>
      <c r="V1294" s="254"/>
      <c r="W1294" s="254"/>
      <c r="Y1294" s="246" t="str">
        <f t="shared" si="122"/>
        <v/>
      </c>
      <c r="Z1294" s="247" t="str">
        <f t="shared" si="120"/>
        <v/>
      </c>
      <c r="AA1294" s="246" t="str">
        <f t="shared" si="123"/>
        <v/>
      </c>
    </row>
    <row r="1295" spans="1:27" x14ac:dyDescent="0.25">
      <c r="A1295" s="248" t="str">
        <f t="shared" si="124"/>
        <v/>
      </c>
      <c r="B1295" s="249" t="str">
        <f t="shared" si="125"/>
        <v/>
      </c>
      <c r="C1295" s="250"/>
      <c r="D1295" s="251"/>
      <c r="E1295" s="241"/>
      <c r="F1295" s="252"/>
      <c r="G1295" s="252"/>
      <c r="H1295" s="253"/>
      <c r="I1295" s="250"/>
      <c r="J1295" s="250"/>
      <c r="K1295" s="270"/>
      <c r="L1295" s="250"/>
      <c r="M1295" s="250"/>
      <c r="N1295" s="553" t="str">
        <f>CONCATENATE(IF(OR(M1295=phu!$I$1,M1295=phu!$I$2,M1295=phu!$I$3),"Cam Thành Nam",""),IF(OR(M1295=phu!$I$4,M1295=phu!$I$5,M1295=phu!$I$6,M1295=phu!$I$7,M1295=phu!$I$8,M1295=phu!$I$9,M1295=phu!$I$10,M1295=phu!$I$11,M1295=phu!$I$12,M1295=phu!$I$13,M1295=phu!$I$14),"Cam Nghĩa",""),IF(OR(M1295=phu!$I$15,M1295=phu!$I$16,M1295=phu!$I$17,M1295=phu!$I$18,M1295=phu!$I$19,M1295=phu!$I$20,M1295=phu!$I$21),"Cam Phúc Bắc",""),IF(OR(M1295=phu!$I$22,M1295=phu!$I$23,M1295=phu!$I$24,M1295=phu!$I$25),"Cam Phúc Nam",""),IF(OR(M1295=phu!$I$26,M1295=phu!$I$27,M1295=phu!$I$28,M1295=phu!$I$29,M1295=phu!$I$30,M1295=phu!$I$31),"Cam Phú",""),IF(OR(M1295=phu!$I$32,M1295=phu!$I$33,M1295=phu!$I$34,M1295=phu!$I$35,M1295=phu!$I$36,M1295=phu!$I$37),"Cam Lộc",""),IF(OR(M1295=phu!$I$38,M1295=phu!$I$39,M1295=phu!$I$40,M1295=phu!$I$41,M1295=phu!$I$42,M1295=phu!$I$43,M1295=phu!$I$44),"Cam Thuận",""),IF(OR(M1295=phu!$I$45,M1295=phu!$I$46,M1295=phu!$I$47,M1295=phu!$I$48,M1295=phu!$I$49,M1295=phu!$I$50,M1295=phu!$I$51,M1295=phu!$I$52,M1295=phu!$I$53),"Cam Linh",""),IF(OR(M1295=phu!$I$54,M1295=phu!$I$55,M1295=phu!$I$56,M1295=phu!$I$57,M1295=phu!$I$58,M1295=phu!$I$59,M1295=phu!$I$60,M1295=phu!$I$61,M1295=phu!$I$62),"Cam Lợi",""),IF(OR(M1295=phu!$I$63,M1295=phu!$I$64,M1295=phu!$I$65,M1295=phu!$I$66,M1295=phu!$I$67,M1295=phu!$I$68,M1295=phu!$I$69,M1295=phu!$I$70,M1295=phu!$I$71),"Ba Ngòi",""),IF(OR(M1295=phu!$I$72,M1295=phu!$I$73,M1295=phu!$I$74,M1295=phu!$I$75,M1295=phu!$I$76,M1295=phu!$I$77,M1295=phu!$I$78),"Cam Phước Đông",""),IF(OR(M1295=phu!$I$79,M1295=phu!$I$80,M1295=phu!$I$81,M1295=phu!$I$82,M1295=phu!$I$83,M1295=phu!$I$84),"Cam Thịnh Đông",""),IF(OR(M1295=phu!$I$85,M1295=phu!$I$86,M1295=phu!$I$87,M1295=phu!$I$88),"Cam Thịnh Tây",""),IF(OR(M1295=phu!$I$89,M1295=phu!$I$90),"Cam Lập",""),IF(OR(M1295=phu!$I$91,M1295=phu!$I$92,M1295=phu!$I$93),"Cam Bình",""),IF(OR(M1295=phu!$I$94,M1295=phu!$I$95,M1295=phu!$I$96,M1295=phu!$I$97,M1295=phu!$I$98,M1295=phu!$I$99,M1295=phu!$I$100),"Huyện khác",""),IF(OR(M1295=phu!$I$101,M1295=phu!$I$102),"Tỉnh khác",""))</f>
        <v/>
      </c>
      <c r="O1295" s="814" t="str">
        <f t="shared" si="121"/>
        <v/>
      </c>
      <c r="P1295" s="254"/>
      <c r="Q1295" s="254"/>
      <c r="R1295" s="254"/>
      <c r="S1295" s="254"/>
      <c r="T1295" s="254"/>
      <c r="U1295" s="254"/>
      <c r="V1295" s="254"/>
      <c r="W1295" s="254"/>
      <c r="Y1295" s="246" t="str">
        <f t="shared" si="122"/>
        <v/>
      </c>
      <c r="Z1295" s="247" t="str">
        <f t="shared" si="120"/>
        <v/>
      </c>
      <c r="AA1295" s="246" t="str">
        <f t="shared" si="123"/>
        <v/>
      </c>
    </row>
    <row r="1296" spans="1:27" x14ac:dyDescent="0.25">
      <c r="A1296" s="248" t="str">
        <f t="shared" si="124"/>
        <v/>
      </c>
      <c r="B1296" s="249" t="str">
        <f t="shared" si="125"/>
        <v/>
      </c>
      <c r="C1296" s="250"/>
      <c r="D1296" s="251"/>
      <c r="E1296" s="241"/>
      <c r="F1296" s="252"/>
      <c r="G1296" s="252"/>
      <c r="H1296" s="253"/>
      <c r="I1296" s="250"/>
      <c r="J1296" s="250"/>
      <c r="K1296" s="270"/>
      <c r="L1296" s="250"/>
      <c r="M1296" s="250"/>
      <c r="N1296" s="553" t="str">
        <f>CONCATENATE(IF(OR(M1296=phu!$I$1,M1296=phu!$I$2,M1296=phu!$I$3),"Cam Thành Nam",""),IF(OR(M1296=phu!$I$4,M1296=phu!$I$5,M1296=phu!$I$6,M1296=phu!$I$7,M1296=phu!$I$8,M1296=phu!$I$9,M1296=phu!$I$10,M1296=phu!$I$11,M1296=phu!$I$12,M1296=phu!$I$13,M1296=phu!$I$14),"Cam Nghĩa",""),IF(OR(M1296=phu!$I$15,M1296=phu!$I$16,M1296=phu!$I$17,M1296=phu!$I$18,M1296=phu!$I$19,M1296=phu!$I$20,M1296=phu!$I$21),"Cam Phúc Bắc",""),IF(OR(M1296=phu!$I$22,M1296=phu!$I$23,M1296=phu!$I$24,M1296=phu!$I$25),"Cam Phúc Nam",""),IF(OR(M1296=phu!$I$26,M1296=phu!$I$27,M1296=phu!$I$28,M1296=phu!$I$29,M1296=phu!$I$30,M1296=phu!$I$31),"Cam Phú",""),IF(OR(M1296=phu!$I$32,M1296=phu!$I$33,M1296=phu!$I$34,M1296=phu!$I$35,M1296=phu!$I$36,M1296=phu!$I$37),"Cam Lộc",""),IF(OR(M1296=phu!$I$38,M1296=phu!$I$39,M1296=phu!$I$40,M1296=phu!$I$41,M1296=phu!$I$42,M1296=phu!$I$43,M1296=phu!$I$44),"Cam Thuận",""),IF(OR(M1296=phu!$I$45,M1296=phu!$I$46,M1296=phu!$I$47,M1296=phu!$I$48,M1296=phu!$I$49,M1296=phu!$I$50,M1296=phu!$I$51,M1296=phu!$I$52,M1296=phu!$I$53),"Cam Linh",""),IF(OR(M1296=phu!$I$54,M1296=phu!$I$55,M1296=phu!$I$56,M1296=phu!$I$57,M1296=phu!$I$58,M1296=phu!$I$59,M1296=phu!$I$60,M1296=phu!$I$61,M1296=phu!$I$62),"Cam Lợi",""),IF(OR(M1296=phu!$I$63,M1296=phu!$I$64,M1296=phu!$I$65,M1296=phu!$I$66,M1296=phu!$I$67,M1296=phu!$I$68,M1296=phu!$I$69,M1296=phu!$I$70,M1296=phu!$I$71),"Ba Ngòi",""),IF(OR(M1296=phu!$I$72,M1296=phu!$I$73,M1296=phu!$I$74,M1296=phu!$I$75,M1296=phu!$I$76,M1296=phu!$I$77,M1296=phu!$I$78),"Cam Phước Đông",""),IF(OR(M1296=phu!$I$79,M1296=phu!$I$80,M1296=phu!$I$81,M1296=phu!$I$82,M1296=phu!$I$83,M1296=phu!$I$84),"Cam Thịnh Đông",""),IF(OR(M1296=phu!$I$85,M1296=phu!$I$86,M1296=phu!$I$87,M1296=phu!$I$88),"Cam Thịnh Tây",""),IF(OR(M1296=phu!$I$89,M1296=phu!$I$90),"Cam Lập",""),IF(OR(M1296=phu!$I$91,M1296=phu!$I$92,M1296=phu!$I$93),"Cam Bình",""),IF(OR(M1296=phu!$I$94,M1296=phu!$I$95,M1296=phu!$I$96,M1296=phu!$I$97,M1296=phu!$I$98,M1296=phu!$I$99,M1296=phu!$I$100),"Huyện khác",""),IF(OR(M1296=phu!$I$101,M1296=phu!$I$102),"Tỉnh khác",""))</f>
        <v/>
      </c>
      <c r="O1296" s="814" t="str">
        <f t="shared" si="121"/>
        <v/>
      </c>
      <c r="P1296" s="254"/>
      <c r="Q1296" s="254"/>
      <c r="R1296" s="254"/>
      <c r="S1296" s="254"/>
      <c r="T1296" s="254"/>
      <c r="U1296" s="254"/>
      <c r="V1296" s="254"/>
      <c r="W1296" s="254"/>
      <c r="Y1296" s="246" t="str">
        <f t="shared" si="122"/>
        <v/>
      </c>
      <c r="Z1296" s="247" t="str">
        <f t="shared" si="120"/>
        <v/>
      </c>
      <c r="AA1296" s="246" t="str">
        <f t="shared" si="123"/>
        <v/>
      </c>
    </row>
    <row r="1297" spans="1:27" x14ac:dyDescent="0.25">
      <c r="A1297" s="248" t="str">
        <f t="shared" si="124"/>
        <v/>
      </c>
      <c r="B1297" s="249" t="str">
        <f t="shared" si="125"/>
        <v/>
      </c>
      <c r="C1297" s="250"/>
      <c r="D1297" s="251"/>
      <c r="E1297" s="241"/>
      <c r="F1297" s="252"/>
      <c r="G1297" s="252"/>
      <c r="H1297" s="253"/>
      <c r="I1297" s="250"/>
      <c r="J1297" s="250"/>
      <c r="K1297" s="270"/>
      <c r="L1297" s="250"/>
      <c r="M1297" s="250"/>
      <c r="N1297" s="553" t="str">
        <f>CONCATENATE(IF(OR(M1297=phu!$I$1,M1297=phu!$I$2,M1297=phu!$I$3),"Cam Thành Nam",""),IF(OR(M1297=phu!$I$4,M1297=phu!$I$5,M1297=phu!$I$6,M1297=phu!$I$7,M1297=phu!$I$8,M1297=phu!$I$9,M1297=phu!$I$10,M1297=phu!$I$11,M1297=phu!$I$12,M1297=phu!$I$13,M1297=phu!$I$14),"Cam Nghĩa",""),IF(OR(M1297=phu!$I$15,M1297=phu!$I$16,M1297=phu!$I$17,M1297=phu!$I$18,M1297=phu!$I$19,M1297=phu!$I$20,M1297=phu!$I$21),"Cam Phúc Bắc",""),IF(OR(M1297=phu!$I$22,M1297=phu!$I$23,M1297=phu!$I$24,M1297=phu!$I$25),"Cam Phúc Nam",""),IF(OR(M1297=phu!$I$26,M1297=phu!$I$27,M1297=phu!$I$28,M1297=phu!$I$29,M1297=phu!$I$30,M1297=phu!$I$31),"Cam Phú",""),IF(OR(M1297=phu!$I$32,M1297=phu!$I$33,M1297=phu!$I$34,M1297=phu!$I$35,M1297=phu!$I$36,M1297=phu!$I$37),"Cam Lộc",""),IF(OR(M1297=phu!$I$38,M1297=phu!$I$39,M1297=phu!$I$40,M1297=phu!$I$41,M1297=phu!$I$42,M1297=phu!$I$43,M1297=phu!$I$44),"Cam Thuận",""),IF(OR(M1297=phu!$I$45,M1297=phu!$I$46,M1297=phu!$I$47,M1297=phu!$I$48,M1297=phu!$I$49,M1297=phu!$I$50,M1297=phu!$I$51,M1297=phu!$I$52,M1297=phu!$I$53),"Cam Linh",""),IF(OR(M1297=phu!$I$54,M1297=phu!$I$55,M1297=phu!$I$56,M1297=phu!$I$57,M1297=phu!$I$58,M1297=phu!$I$59,M1297=phu!$I$60,M1297=phu!$I$61,M1297=phu!$I$62),"Cam Lợi",""),IF(OR(M1297=phu!$I$63,M1297=phu!$I$64,M1297=phu!$I$65,M1297=phu!$I$66,M1297=phu!$I$67,M1297=phu!$I$68,M1297=phu!$I$69,M1297=phu!$I$70,M1297=phu!$I$71),"Ba Ngòi",""),IF(OR(M1297=phu!$I$72,M1297=phu!$I$73,M1297=phu!$I$74,M1297=phu!$I$75,M1297=phu!$I$76,M1297=phu!$I$77,M1297=phu!$I$78),"Cam Phước Đông",""),IF(OR(M1297=phu!$I$79,M1297=phu!$I$80,M1297=phu!$I$81,M1297=phu!$I$82,M1297=phu!$I$83,M1297=phu!$I$84),"Cam Thịnh Đông",""),IF(OR(M1297=phu!$I$85,M1297=phu!$I$86,M1297=phu!$I$87,M1297=phu!$I$88),"Cam Thịnh Tây",""),IF(OR(M1297=phu!$I$89,M1297=phu!$I$90),"Cam Lập",""),IF(OR(M1297=phu!$I$91,M1297=phu!$I$92,M1297=phu!$I$93),"Cam Bình",""),IF(OR(M1297=phu!$I$94,M1297=phu!$I$95,M1297=phu!$I$96,M1297=phu!$I$97,M1297=phu!$I$98,M1297=phu!$I$99,M1297=phu!$I$100),"Huyện khác",""),IF(OR(M1297=phu!$I$101,M1297=phu!$I$102),"Tỉnh khác",""))</f>
        <v/>
      </c>
      <c r="O1297" s="814" t="str">
        <f t="shared" si="121"/>
        <v/>
      </c>
      <c r="P1297" s="254"/>
      <c r="Q1297" s="254"/>
      <c r="R1297" s="254"/>
      <c r="S1297" s="254"/>
      <c r="T1297" s="254"/>
      <c r="U1297" s="254"/>
      <c r="V1297" s="254"/>
      <c r="W1297" s="254"/>
      <c r="Y1297" s="246" t="str">
        <f t="shared" si="122"/>
        <v/>
      </c>
      <c r="Z1297" s="247" t="str">
        <f t="shared" si="120"/>
        <v/>
      </c>
      <c r="AA1297" s="246" t="str">
        <f t="shared" si="123"/>
        <v/>
      </c>
    </row>
    <row r="1298" spans="1:27" x14ac:dyDescent="0.25">
      <c r="A1298" s="248" t="str">
        <f t="shared" si="124"/>
        <v/>
      </c>
      <c r="B1298" s="249" t="str">
        <f t="shared" si="125"/>
        <v/>
      </c>
      <c r="C1298" s="250"/>
      <c r="D1298" s="251"/>
      <c r="E1298" s="241"/>
      <c r="F1298" s="252"/>
      <c r="G1298" s="252"/>
      <c r="H1298" s="253"/>
      <c r="I1298" s="250"/>
      <c r="J1298" s="250"/>
      <c r="K1298" s="270"/>
      <c r="L1298" s="250"/>
      <c r="M1298" s="250"/>
      <c r="N1298" s="553" t="str">
        <f>CONCATENATE(IF(OR(M1298=phu!$I$1,M1298=phu!$I$2,M1298=phu!$I$3),"Cam Thành Nam",""),IF(OR(M1298=phu!$I$4,M1298=phu!$I$5,M1298=phu!$I$6,M1298=phu!$I$7,M1298=phu!$I$8,M1298=phu!$I$9,M1298=phu!$I$10,M1298=phu!$I$11,M1298=phu!$I$12,M1298=phu!$I$13,M1298=phu!$I$14),"Cam Nghĩa",""),IF(OR(M1298=phu!$I$15,M1298=phu!$I$16,M1298=phu!$I$17,M1298=phu!$I$18,M1298=phu!$I$19,M1298=phu!$I$20,M1298=phu!$I$21),"Cam Phúc Bắc",""),IF(OR(M1298=phu!$I$22,M1298=phu!$I$23,M1298=phu!$I$24,M1298=phu!$I$25),"Cam Phúc Nam",""),IF(OR(M1298=phu!$I$26,M1298=phu!$I$27,M1298=phu!$I$28,M1298=phu!$I$29,M1298=phu!$I$30,M1298=phu!$I$31),"Cam Phú",""),IF(OR(M1298=phu!$I$32,M1298=phu!$I$33,M1298=phu!$I$34,M1298=phu!$I$35,M1298=phu!$I$36,M1298=phu!$I$37),"Cam Lộc",""),IF(OR(M1298=phu!$I$38,M1298=phu!$I$39,M1298=phu!$I$40,M1298=phu!$I$41,M1298=phu!$I$42,M1298=phu!$I$43,M1298=phu!$I$44),"Cam Thuận",""),IF(OR(M1298=phu!$I$45,M1298=phu!$I$46,M1298=phu!$I$47,M1298=phu!$I$48,M1298=phu!$I$49,M1298=phu!$I$50,M1298=phu!$I$51,M1298=phu!$I$52,M1298=phu!$I$53),"Cam Linh",""),IF(OR(M1298=phu!$I$54,M1298=phu!$I$55,M1298=phu!$I$56,M1298=phu!$I$57,M1298=phu!$I$58,M1298=phu!$I$59,M1298=phu!$I$60,M1298=phu!$I$61,M1298=phu!$I$62),"Cam Lợi",""),IF(OR(M1298=phu!$I$63,M1298=phu!$I$64,M1298=phu!$I$65,M1298=phu!$I$66,M1298=phu!$I$67,M1298=phu!$I$68,M1298=phu!$I$69,M1298=phu!$I$70,M1298=phu!$I$71),"Ba Ngòi",""),IF(OR(M1298=phu!$I$72,M1298=phu!$I$73,M1298=phu!$I$74,M1298=phu!$I$75,M1298=phu!$I$76,M1298=phu!$I$77,M1298=phu!$I$78),"Cam Phước Đông",""),IF(OR(M1298=phu!$I$79,M1298=phu!$I$80,M1298=phu!$I$81,M1298=phu!$I$82,M1298=phu!$I$83,M1298=phu!$I$84),"Cam Thịnh Đông",""),IF(OR(M1298=phu!$I$85,M1298=phu!$I$86,M1298=phu!$I$87,M1298=phu!$I$88),"Cam Thịnh Tây",""),IF(OR(M1298=phu!$I$89,M1298=phu!$I$90),"Cam Lập",""),IF(OR(M1298=phu!$I$91,M1298=phu!$I$92,M1298=phu!$I$93),"Cam Bình",""),IF(OR(M1298=phu!$I$94,M1298=phu!$I$95,M1298=phu!$I$96,M1298=phu!$I$97,M1298=phu!$I$98,M1298=phu!$I$99,M1298=phu!$I$100),"Huyện khác",""),IF(OR(M1298=phu!$I$101,M1298=phu!$I$102),"Tỉnh khác",""))</f>
        <v/>
      </c>
      <c r="O1298" s="814" t="str">
        <f t="shared" si="121"/>
        <v/>
      </c>
      <c r="P1298" s="254"/>
      <c r="Q1298" s="254"/>
      <c r="R1298" s="254"/>
      <c r="S1298" s="254"/>
      <c r="T1298" s="254"/>
      <c r="U1298" s="254"/>
      <c r="V1298" s="254"/>
      <c r="W1298" s="254"/>
      <c r="Y1298" s="246" t="str">
        <f t="shared" si="122"/>
        <v/>
      </c>
      <c r="Z1298" s="247" t="str">
        <f t="shared" si="120"/>
        <v/>
      </c>
      <c r="AA1298" s="246" t="str">
        <f t="shared" si="123"/>
        <v/>
      </c>
    </row>
    <row r="1299" spans="1:27" x14ac:dyDescent="0.25">
      <c r="A1299" s="248" t="str">
        <f t="shared" si="124"/>
        <v/>
      </c>
      <c r="B1299" s="249" t="str">
        <f t="shared" si="125"/>
        <v/>
      </c>
      <c r="C1299" s="250"/>
      <c r="D1299" s="251"/>
      <c r="E1299" s="241"/>
      <c r="F1299" s="252"/>
      <c r="G1299" s="252"/>
      <c r="H1299" s="253"/>
      <c r="I1299" s="250"/>
      <c r="J1299" s="250"/>
      <c r="K1299" s="270"/>
      <c r="L1299" s="250"/>
      <c r="M1299" s="250"/>
      <c r="N1299" s="553" t="str">
        <f>CONCATENATE(IF(OR(M1299=phu!$I$1,M1299=phu!$I$2,M1299=phu!$I$3),"Cam Thành Nam",""),IF(OR(M1299=phu!$I$4,M1299=phu!$I$5,M1299=phu!$I$6,M1299=phu!$I$7,M1299=phu!$I$8,M1299=phu!$I$9,M1299=phu!$I$10,M1299=phu!$I$11,M1299=phu!$I$12,M1299=phu!$I$13,M1299=phu!$I$14),"Cam Nghĩa",""),IF(OR(M1299=phu!$I$15,M1299=phu!$I$16,M1299=phu!$I$17,M1299=phu!$I$18,M1299=phu!$I$19,M1299=phu!$I$20,M1299=phu!$I$21),"Cam Phúc Bắc",""),IF(OR(M1299=phu!$I$22,M1299=phu!$I$23,M1299=phu!$I$24,M1299=phu!$I$25),"Cam Phúc Nam",""),IF(OR(M1299=phu!$I$26,M1299=phu!$I$27,M1299=phu!$I$28,M1299=phu!$I$29,M1299=phu!$I$30,M1299=phu!$I$31),"Cam Phú",""),IF(OR(M1299=phu!$I$32,M1299=phu!$I$33,M1299=phu!$I$34,M1299=phu!$I$35,M1299=phu!$I$36,M1299=phu!$I$37),"Cam Lộc",""),IF(OR(M1299=phu!$I$38,M1299=phu!$I$39,M1299=phu!$I$40,M1299=phu!$I$41,M1299=phu!$I$42,M1299=phu!$I$43,M1299=phu!$I$44),"Cam Thuận",""),IF(OR(M1299=phu!$I$45,M1299=phu!$I$46,M1299=phu!$I$47,M1299=phu!$I$48,M1299=phu!$I$49,M1299=phu!$I$50,M1299=phu!$I$51,M1299=phu!$I$52,M1299=phu!$I$53),"Cam Linh",""),IF(OR(M1299=phu!$I$54,M1299=phu!$I$55,M1299=phu!$I$56,M1299=phu!$I$57,M1299=phu!$I$58,M1299=phu!$I$59,M1299=phu!$I$60,M1299=phu!$I$61,M1299=phu!$I$62),"Cam Lợi",""),IF(OR(M1299=phu!$I$63,M1299=phu!$I$64,M1299=phu!$I$65,M1299=phu!$I$66,M1299=phu!$I$67,M1299=phu!$I$68,M1299=phu!$I$69,M1299=phu!$I$70,M1299=phu!$I$71),"Ba Ngòi",""),IF(OR(M1299=phu!$I$72,M1299=phu!$I$73,M1299=phu!$I$74,M1299=phu!$I$75,M1299=phu!$I$76,M1299=phu!$I$77,M1299=phu!$I$78),"Cam Phước Đông",""),IF(OR(M1299=phu!$I$79,M1299=phu!$I$80,M1299=phu!$I$81,M1299=phu!$I$82,M1299=phu!$I$83,M1299=phu!$I$84),"Cam Thịnh Đông",""),IF(OR(M1299=phu!$I$85,M1299=phu!$I$86,M1299=phu!$I$87,M1299=phu!$I$88),"Cam Thịnh Tây",""),IF(OR(M1299=phu!$I$89,M1299=phu!$I$90),"Cam Lập",""),IF(OR(M1299=phu!$I$91,M1299=phu!$I$92,M1299=phu!$I$93),"Cam Bình",""),IF(OR(M1299=phu!$I$94,M1299=phu!$I$95,M1299=phu!$I$96,M1299=phu!$I$97,M1299=phu!$I$98,M1299=phu!$I$99,M1299=phu!$I$100),"Huyện khác",""),IF(OR(M1299=phu!$I$101,M1299=phu!$I$102),"Tỉnh khác",""))</f>
        <v/>
      </c>
      <c r="O1299" s="814" t="str">
        <f t="shared" si="121"/>
        <v/>
      </c>
      <c r="P1299" s="254"/>
      <c r="Q1299" s="254"/>
      <c r="R1299" s="254"/>
      <c r="S1299" s="254"/>
      <c r="T1299" s="254"/>
      <c r="U1299" s="254"/>
      <c r="V1299" s="254"/>
      <c r="W1299" s="254"/>
      <c r="Y1299" s="246" t="str">
        <f t="shared" si="122"/>
        <v/>
      </c>
      <c r="Z1299" s="247" t="str">
        <f t="shared" si="120"/>
        <v/>
      </c>
      <c r="AA1299" s="246" t="str">
        <f t="shared" si="123"/>
        <v/>
      </c>
    </row>
    <row r="1300" spans="1:27" x14ac:dyDescent="0.25">
      <c r="A1300" s="248" t="str">
        <f t="shared" si="124"/>
        <v/>
      </c>
      <c r="B1300" s="249" t="str">
        <f t="shared" si="125"/>
        <v/>
      </c>
      <c r="C1300" s="250"/>
      <c r="D1300" s="251"/>
      <c r="E1300" s="241"/>
      <c r="F1300" s="252"/>
      <c r="G1300" s="252"/>
      <c r="H1300" s="253"/>
      <c r="I1300" s="250"/>
      <c r="J1300" s="250"/>
      <c r="K1300" s="270"/>
      <c r="L1300" s="250"/>
      <c r="M1300" s="250"/>
      <c r="N1300" s="553" t="str">
        <f>CONCATENATE(IF(OR(M1300=phu!$I$1,M1300=phu!$I$2,M1300=phu!$I$3),"Cam Thành Nam",""),IF(OR(M1300=phu!$I$4,M1300=phu!$I$5,M1300=phu!$I$6,M1300=phu!$I$7,M1300=phu!$I$8,M1300=phu!$I$9,M1300=phu!$I$10,M1300=phu!$I$11,M1300=phu!$I$12,M1300=phu!$I$13,M1300=phu!$I$14),"Cam Nghĩa",""),IF(OR(M1300=phu!$I$15,M1300=phu!$I$16,M1300=phu!$I$17,M1300=phu!$I$18,M1300=phu!$I$19,M1300=phu!$I$20,M1300=phu!$I$21),"Cam Phúc Bắc",""),IF(OR(M1300=phu!$I$22,M1300=phu!$I$23,M1300=phu!$I$24,M1300=phu!$I$25),"Cam Phúc Nam",""),IF(OR(M1300=phu!$I$26,M1300=phu!$I$27,M1300=phu!$I$28,M1300=phu!$I$29,M1300=phu!$I$30,M1300=phu!$I$31),"Cam Phú",""),IF(OR(M1300=phu!$I$32,M1300=phu!$I$33,M1300=phu!$I$34,M1300=phu!$I$35,M1300=phu!$I$36,M1300=phu!$I$37),"Cam Lộc",""),IF(OR(M1300=phu!$I$38,M1300=phu!$I$39,M1300=phu!$I$40,M1300=phu!$I$41,M1300=phu!$I$42,M1300=phu!$I$43,M1300=phu!$I$44),"Cam Thuận",""),IF(OR(M1300=phu!$I$45,M1300=phu!$I$46,M1300=phu!$I$47,M1300=phu!$I$48,M1300=phu!$I$49,M1300=phu!$I$50,M1300=phu!$I$51,M1300=phu!$I$52,M1300=phu!$I$53),"Cam Linh",""),IF(OR(M1300=phu!$I$54,M1300=phu!$I$55,M1300=phu!$I$56,M1300=phu!$I$57,M1300=phu!$I$58,M1300=phu!$I$59,M1300=phu!$I$60,M1300=phu!$I$61,M1300=phu!$I$62),"Cam Lợi",""),IF(OR(M1300=phu!$I$63,M1300=phu!$I$64,M1300=phu!$I$65,M1300=phu!$I$66,M1300=phu!$I$67,M1300=phu!$I$68,M1300=phu!$I$69,M1300=phu!$I$70,M1300=phu!$I$71),"Ba Ngòi",""),IF(OR(M1300=phu!$I$72,M1300=phu!$I$73,M1300=phu!$I$74,M1300=phu!$I$75,M1300=phu!$I$76,M1300=phu!$I$77,M1300=phu!$I$78),"Cam Phước Đông",""),IF(OR(M1300=phu!$I$79,M1300=phu!$I$80,M1300=phu!$I$81,M1300=phu!$I$82,M1300=phu!$I$83,M1300=phu!$I$84),"Cam Thịnh Đông",""),IF(OR(M1300=phu!$I$85,M1300=phu!$I$86,M1300=phu!$I$87,M1300=phu!$I$88),"Cam Thịnh Tây",""),IF(OR(M1300=phu!$I$89,M1300=phu!$I$90),"Cam Lập",""),IF(OR(M1300=phu!$I$91,M1300=phu!$I$92,M1300=phu!$I$93),"Cam Bình",""),IF(OR(M1300=phu!$I$94,M1300=phu!$I$95,M1300=phu!$I$96,M1300=phu!$I$97,M1300=phu!$I$98,M1300=phu!$I$99,M1300=phu!$I$100),"Huyện khác",""),IF(OR(M1300=phu!$I$101,M1300=phu!$I$102),"Tỉnh khác",""))</f>
        <v/>
      </c>
      <c r="O1300" s="814" t="str">
        <f t="shared" si="121"/>
        <v/>
      </c>
      <c r="P1300" s="254"/>
      <c r="Q1300" s="254"/>
      <c r="R1300" s="254"/>
      <c r="S1300" s="254"/>
      <c r="T1300" s="254"/>
      <c r="U1300" s="254"/>
      <c r="V1300" s="254"/>
      <c r="W1300" s="254"/>
      <c r="Y1300" s="246" t="str">
        <f t="shared" si="122"/>
        <v/>
      </c>
      <c r="Z1300" s="247" t="str">
        <f t="shared" si="120"/>
        <v/>
      </c>
      <c r="AA1300" s="246" t="str">
        <f t="shared" si="123"/>
        <v/>
      </c>
    </row>
    <row r="1301" spans="1:27" x14ac:dyDescent="0.25">
      <c r="A1301" s="248" t="str">
        <f t="shared" si="124"/>
        <v/>
      </c>
      <c r="B1301" s="249" t="str">
        <f t="shared" si="125"/>
        <v/>
      </c>
      <c r="C1301" s="250"/>
      <c r="D1301" s="251"/>
      <c r="E1301" s="241"/>
      <c r="F1301" s="252"/>
      <c r="G1301" s="252"/>
      <c r="H1301" s="253"/>
      <c r="I1301" s="250"/>
      <c r="J1301" s="250"/>
      <c r="K1301" s="270"/>
      <c r="L1301" s="250"/>
      <c r="M1301" s="250"/>
      <c r="N1301" s="553" t="str">
        <f>CONCATENATE(IF(OR(M1301=phu!$I$1,M1301=phu!$I$2,M1301=phu!$I$3),"Cam Thành Nam",""),IF(OR(M1301=phu!$I$4,M1301=phu!$I$5,M1301=phu!$I$6,M1301=phu!$I$7,M1301=phu!$I$8,M1301=phu!$I$9,M1301=phu!$I$10,M1301=phu!$I$11,M1301=phu!$I$12,M1301=phu!$I$13,M1301=phu!$I$14),"Cam Nghĩa",""),IF(OR(M1301=phu!$I$15,M1301=phu!$I$16,M1301=phu!$I$17,M1301=phu!$I$18,M1301=phu!$I$19,M1301=phu!$I$20,M1301=phu!$I$21),"Cam Phúc Bắc",""),IF(OR(M1301=phu!$I$22,M1301=phu!$I$23,M1301=phu!$I$24,M1301=phu!$I$25),"Cam Phúc Nam",""),IF(OR(M1301=phu!$I$26,M1301=phu!$I$27,M1301=phu!$I$28,M1301=phu!$I$29,M1301=phu!$I$30,M1301=phu!$I$31),"Cam Phú",""),IF(OR(M1301=phu!$I$32,M1301=phu!$I$33,M1301=phu!$I$34,M1301=phu!$I$35,M1301=phu!$I$36,M1301=phu!$I$37),"Cam Lộc",""),IF(OR(M1301=phu!$I$38,M1301=phu!$I$39,M1301=phu!$I$40,M1301=phu!$I$41,M1301=phu!$I$42,M1301=phu!$I$43,M1301=phu!$I$44),"Cam Thuận",""),IF(OR(M1301=phu!$I$45,M1301=phu!$I$46,M1301=phu!$I$47,M1301=phu!$I$48,M1301=phu!$I$49,M1301=phu!$I$50,M1301=phu!$I$51,M1301=phu!$I$52,M1301=phu!$I$53),"Cam Linh",""),IF(OR(M1301=phu!$I$54,M1301=phu!$I$55,M1301=phu!$I$56,M1301=phu!$I$57,M1301=phu!$I$58,M1301=phu!$I$59,M1301=phu!$I$60,M1301=phu!$I$61,M1301=phu!$I$62),"Cam Lợi",""),IF(OR(M1301=phu!$I$63,M1301=phu!$I$64,M1301=phu!$I$65,M1301=phu!$I$66,M1301=phu!$I$67,M1301=phu!$I$68,M1301=phu!$I$69,M1301=phu!$I$70,M1301=phu!$I$71),"Ba Ngòi",""),IF(OR(M1301=phu!$I$72,M1301=phu!$I$73,M1301=phu!$I$74,M1301=phu!$I$75,M1301=phu!$I$76,M1301=phu!$I$77,M1301=phu!$I$78),"Cam Phước Đông",""),IF(OR(M1301=phu!$I$79,M1301=phu!$I$80,M1301=phu!$I$81,M1301=phu!$I$82,M1301=phu!$I$83,M1301=phu!$I$84),"Cam Thịnh Đông",""),IF(OR(M1301=phu!$I$85,M1301=phu!$I$86,M1301=phu!$I$87,M1301=phu!$I$88),"Cam Thịnh Tây",""),IF(OR(M1301=phu!$I$89,M1301=phu!$I$90),"Cam Lập",""),IF(OR(M1301=phu!$I$91,M1301=phu!$I$92,M1301=phu!$I$93),"Cam Bình",""),IF(OR(M1301=phu!$I$94,M1301=phu!$I$95,M1301=phu!$I$96,M1301=phu!$I$97,M1301=phu!$I$98,M1301=phu!$I$99,M1301=phu!$I$100),"Huyện khác",""),IF(OR(M1301=phu!$I$101,M1301=phu!$I$102),"Tỉnh khác",""))</f>
        <v/>
      </c>
      <c r="O1301" s="814" t="str">
        <f t="shared" si="121"/>
        <v/>
      </c>
      <c r="P1301" s="254"/>
      <c r="Q1301" s="254"/>
      <c r="R1301" s="254"/>
      <c r="S1301" s="254"/>
      <c r="T1301" s="254"/>
      <c r="U1301" s="254"/>
      <c r="V1301" s="254"/>
      <c r="W1301" s="254"/>
      <c r="Y1301" s="246" t="str">
        <f t="shared" si="122"/>
        <v/>
      </c>
      <c r="Z1301" s="247" t="str">
        <f t="shared" si="120"/>
        <v/>
      </c>
      <c r="AA1301" s="246" t="str">
        <f t="shared" si="123"/>
        <v/>
      </c>
    </row>
    <row r="1302" spans="1:27" x14ac:dyDescent="0.25">
      <c r="A1302" s="248" t="str">
        <f t="shared" si="124"/>
        <v/>
      </c>
      <c r="B1302" s="249" t="str">
        <f t="shared" si="125"/>
        <v/>
      </c>
      <c r="C1302" s="250"/>
      <c r="D1302" s="251"/>
      <c r="E1302" s="241"/>
      <c r="F1302" s="252"/>
      <c r="G1302" s="252"/>
      <c r="H1302" s="253"/>
      <c r="I1302" s="250"/>
      <c r="J1302" s="250"/>
      <c r="K1302" s="270"/>
      <c r="L1302" s="250"/>
      <c r="M1302" s="250"/>
      <c r="N1302" s="553" t="str">
        <f>CONCATENATE(IF(OR(M1302=phu!$I$1,M1302=phu!$I$2,M1302=phu!$I$3),"Cam Thành Nam",""),IF(OR(M1302=phu!$I$4,M1302=phu!$I$5,M1302=phu!$I$6,M1302=phu!$I$7,M1302=phu!$I$8,M1302=phu!$I$9,M1302=phu!$I$10,M1302=phu!$I$11,M1302=phu!$I$12,M1302=phu!$I$13,M1302=phu!$I$14),"Cam Nghĩa",""),IF(OR(M1302=phu!$I$15,M1302=phu!$I$16,M1302=phu!$I$17,M1302=phu!$I$18,M1302=phu!$I$19,M1302=phu!$I$20,M1302=phu!$I$21),"Cam Phúc Bắc",""),IF(OR(M1302=phu!$I$22,M1302=phu!$I$23,M1302=phu!$I$24,M1302=phu!$I$25),"Cam Phúc Nam",""),IF(OR(M1302=phu!$I$26,M1302=phu!$I$27,M1302=phu!$I$28,M1302=phu!$I$29,M1302=phu!$I$30,M1302=phu!$I$31),"Cam Phú",""),IF(OR(M1302=phu!$I$32,M1302=phu!$I$33,M1302=phu!$I$34,M1302=phu!$I$35,M1302=phu!$I$36,M1302=phu!$I$37),"Cam Lộc",""),IF(OR(M1302=phu!$I$38,M1302=phu!$I$39,M1302=phu!$I$40,M1302=phu!$I$41,M1302=phu!$I$42,M1302=phu!$I$43,M1302=phu!$I$44),"Cam Thuận",""),IF(OR(M1302=phu!$I$45,M1302=phu!$I$46,M1302=phu!$I$47,M1302=phu!$I$48,M1302=phu!$I$49,M1302=phu!$I$50,M1302=phu!$I$51,M1302=phu!$I$52,M1302=phu!$I$53),"Cam Linh",""),IF(OR(M1302=phu!$I$54,M1302=phu!$I$55,M1302=phu!$I$56,M1302=phu!$I$57,M1302=phu!$I$58,M1302=phu!$I$59,M1302=phu!$I$60,M1302=phu!$I$61,M1302=phu!$I$62),"Cam Lợi",""),IF(OR(M1302=phu!$I$63,M1302=phu!$I$64,M1302=phu!$I$65,M1302=phu!$I$66,M1302=phu!$I$67,M1302=phu!$I$68,M1302=phu!$I$69,M1302=phu!$I$70,M1302=phu!$I$71),"Ba Ngòi",""),IF(OR(M1302=phu!$I$72,M1302=phu!$I$73,M1302=phu!$I$74,M1302=phu!$I$75,M1302=phu!$I$76,M1302=phu!$I$77,M1302=phu!$I$78),"Cam Phước Đông",""),IF(OR(M1302=phu!$I$79,M1302=phu!$I$80,M1302=phu!$I$81,M1302=phu!$I$82,M1302=phu!$I$83,M1302=phu!$I$84),"Cam Thịnh Đông",""),IF(OR(M1302=phu!$I$85,M1302=phu!$I$86,M1302=phu!$I$87,M1302=phu!$I$88),"Cam Thịnh Tây",""),IF(OR(M1302=phu!$I$89,M1302=phu!$I$90),"Cam Lập",""),IF(OR(M1302=phu!$I$91,M1302=phu!$I$92,M1302=phu!$I$93),"Cam Bình",""),IF(OR(M1302=phu!$I$94,M1302=phu!$I$95,M1302=phu!$I$96,M1302=phu!$I$97,M1302=phu!$I$98,M1302=phu!$I$99,M1302=phu!$I$100),"Huyện khác",""),IF(OR(M1302=phu!$I$101,M1302=phu!$I$102),"Tỉnh khác",""))</f>
        <v/>
      </c>
      <c r="O1302" s="814" t="str">
        <f t="shared" si="121"/>
        <v/>
      </c>
      <c r="P1302" s="254"/>
      <c r="Q1302" s="254"/>
      <c r="R1302" s="254"/>
      <c r="S1302" s="254"/>
      <c r="T1302" s="254"/>
      <c r="U1302" s="254"/>
      <c r="V1302" s="254"/>
      <c r="W1302" s="254"/>
      <c r="Y1302" s="246" t="str">
        <f t="shared" si="122"/>
        <v/>
      </c>
      <c r="Z1302" s="247" t="str">
        <f t="shared" si="120"/>
        <v/>
      </c>
      <c r="AA1302" s="246" t="str">
        <f t="shared" si="123"/>
        <v/>
      </c>
    </row>
    <row r="1303" spans="1:27" x14ac:dyDescent="0.25">
      <c r="A1303" s="248" t="str">
        <f t="shared" si="124"/>
        <v/>
      </c>
      <c r="B1303" s="249" t="str">
        <f t="shared" si="125"/>
        <v/>
      </c>
      <c r="C1303" s="250"/>
      <c r="D1303" s="251"/>
      <c r="E1303" s="241"/>
      <c r="F1303" s="252"/>
      <c r="G1303" s="252"/>
      <c r="H1303" s="253"/>
      <c r="I1303" s="250"/>
      <c r="J1303" s="250"/>
      <c r="K1303" s="270"/>
      <c r="L1303" s="250"/>
      <c r="M1303" s="250"/>
      <c r="N1303" s="553" t="str">
        <f>CONCATENATE(IF(OR(M1303=phu!$I$1,M1303=phu!$I$2,M1303=phu!$I$3),"Cam Thành Nam",""),IF(OR(M1303=phu!$I$4,M1303=phu!$I$5,M1303=phu!$I$6,M1303=phu!$I$7,M1303=phu!$I$8,M1303=phu!$I$9,M1303=phu!$I$10,M1303=phu!$I$11,M1303=phu!$I$12,M1303=phu!$I$13,M1303=phu!$I$14),"Cam Nghĩa",""),IF(OR(M1303=phu!$I$15,M1303=phu!$I$16,M1303=phu!$I$17,M1303=phu!$I$18,M1303=phu!$I$19,M1303=phu!$I$20,M1303=phu!$I$21),"Cam Phúc Bắc",""),IF(OR(M1303=phu!$I$22,M1303=phu!$I$23,M1303=phu!$I$24,M1303=phu!$I$25),"Cam Phúc Nam",""),IF(OR(M1303=phu!$I$26,M1303=phu!$I$27,M1303=phu!$I$28,M1303=phu!$I$29,M1303=phu!$I$30,M1303=phu!$I$31),"Cam Phú",""),IF(OR(M1303=phu!$I$32,M1303=phu!$I$33,M1303=phu!$I$34,M1303=phu!$I$35,M1303=phu!$I$36,M1303=phu!$I$37),"Cam Lộc",""),IF(OR(M1303=phu!$I$38,M1303=phu!$I$39,M1303=phu!$I$40,M1303=phu!$I$41,M1303=phu!$I$42,M1303=phu!$I$43,M1303=phu!$I$44),"Cam Thuận",""),IF(OR(M1303=phu!$I$45,M1303=phu!$I$46,M1303=phu!$I$47,M1303=phu!$I$48,M1303=phu!$I$49,M1303=phu!$I$50,M1303=phu!$I$51,M1303=phu!$I$52,M1303=phu!$I$53),"Cam Linh",""),IF(OR(M1303=phu!$I$54,M1303=phu!$I$55,M1303=phu!$I$56,M1303=phu!$I$57,M1303=phu!$I$58,M1303=phu!$I$59,M1303=phu!$I$60,M1303=phu!$I$61,M1303=phu!$I$62),"Cam Lợi",""),IF(OR(M1303=phu!$I$63,M1303=phu!$I$64,M1303=phu!$I$65,M1303=phu!$I$66,M1303=phu!$I$67,M1303=phu!$I$68,M1303=phu!$I$69,M1303=phu!$I$70,M1303=phu!$I$71),"Ba Ngòi",""),IF(OR(M1303=phu!$I$72,M1303=phu!$I$73,M1303=phu!$I$74,M1303=phu!$I$75,M1303=phu!$I$76,M1303=phu!$I$77,M1303=phu!$I$78),"Cam Phước Đông",""),IF(OR(M1303=phu!$I$79,M1303=phu!$I$80,M1303=phu!$I$81,M1303=phu!$I$82,M1303=phu!$I$83,M1303=phu!$I$84),"Cam Thịnh Đông",""),IF(OR(M1303=phu!$I$85,M1303=phu!$I$86,M1303=phu!$I$87,M1303=phu!$I$88),"Cam Thịnh Tây",""),IF(OR(M1303=phu!$I$89,M1303=phu!$I$90),"Cam Lập",""),IF(OR(M1303=phu!$I$91,M1303=phu!$I$92,M1303=phu!$I$93),"Cam Bình",""),IF(OR(M1303=phu!$I$94,M1303=phu!$I$95,M1303=phu!$I$96,M1303=phu!$I$97,M1303=phu!$I$98,M1303=phu!$I$99,M1303=phu!$I$100),"Huyện khác",""),IF(OR(M1303=phu!$I$101,M1303=phu!$I$102),"Tỉnh khác",""))</f>
        <v/>
      </c>
      <c r="O1303" s="814" t="str">
        <f t="shared" si="121"/>
        <v/>
      </c>
      <c r="P1303" s="254"/>
      <c r="Q1303" s="254"/>
      <c r="R1303" s="254"/>
      <c r="S1303" s="254"/>
      <c r="T1303" s="254"/>
      <c r="U1303" s="254"/>
      <c r="V1303" s="254"/>
      <c r="W1303" s="254"/>
      <c r="Y1303" s="246" t="str">
        <f t="shared" si="122"/>
        <v/>
      </c>
      <c r="Z1303" s="247" t="str">
        <f t="shared" si="120"/>
        <v/>
      </c>
      <c r="AA1303" s="246" t="str">
        <f t="shared" si="123"/>
        <v/>
      </c>
    </row>
    <row r="1304" spans="1:27" x14ac:dyDescent="0.25">
      <c r="A1304" s="248" t="str">
        <f t="shared" si="124"/>
        <v/>
      </c>
      <c r="B1304" s="249" t="str">
        <f t="shared" si="125"/>
        <v/>
      </c>
      <c r="C1304" s="250"/>
      <c r="D1304" s="251"/>
      <c r="E1304" s="241"/>
      <c r="F1304" s="252"/>
      <c r="G1304" s="252"/>
      <c r="H1304" s="253"/>
      <c r="I1304" s="250"/>
      <c r="J1304" s="250"/>
      <c r="K1304" s="270"/>
      <c r="L1304" s="250"/>
      <c r="M1304" s="250"/>
      <c r="N1304" s="553" t="str">
        <f>CONCATENATE(IF(OR(M1304=phu!$I$1,M1304=phu!$I$2,M1304=phu!$I$3),"Cam Thành Nam",""),IF(OR(M1304=phu!$I$4,M1304=phu!$I$5,M1304=phu!$I$6,M1304=phu!$I$7,M1304=phu!$I$8,M1304=phu!$I$9,M1304=phu!$I$10,M1304=phu!$I$11,M1304=phu!$I$12,M1304=phu!$I$13,M1304=phu!$I$14),"Cam Nghĩa",""),IF(OR(M1304=phu!$I$15,M1304=phu!$I$16,M1304=phu!$I$17,M1304=phu!$I$18,M1304=phu!$I$19,M1304=phu!$I$20,M1304=phu!$I$21),"Cam Phúc Bắc",""),IF(OR(M1304=phu!$I$22,M1304=phu!$I$23,M1304=phu!$I$24,M1304=phu!$I$25),"Cam Phúc Nam",""),IF(OR(M1304=phu!$I$26,M1304=phu!$I$27,M1304=phu!$I$28,M1304=phu!$I$29,M1304=phu!$I$30,M1304=phu!$I$31),"Cam Phú",""),IF(OR(M1304=phu!$I$32,M1304=phu!$I$33,M1304=phu!$I$34,M1304=phu!$I$35,M1304=phu!$I$36,M1304=phu!$I$37),"Cam Lộc",""),IF(OR(M1304=phu!$I$38,M1304=phu!$I$39,M1304=phu!$I$40,M1304=phu!$I$41,M1304=phu!$I$42,M1304=phu!$I$43,M1304=phu!$I$44),"Cam Thuận",""),IF(OR(M1304=phu!$I$45,M1304=phu!$I$46,M1304=phu!$I$47,M1304=phu!$I$48,M1304=phu!$I$49,M1304=phu!$I$50,M1304=phu!$I$51,M1304=phu!$I$52,M1304=phu!$I$53),"Cam Linh",""),IF(OR(M1304=phu!$I$54,M1304=phu!$I$55,M1304=phu!$I$56,M1304=phu!$I$57,M1304=phu!$I$58,M1304=phu!$I$59,M1304=phu!$I$60,M1304=phu!$I$61,M1304=phu!$I$62),"Cam Lợi",""),IF(OR(M1304=phu!$I$63,M1304=phu!$I$64,M1304=phu!$I$65,M1304=phu!$I$66,M1304=phu!$I$67,M1304=phu!$I$68,M1304=phu!$I$69,M1304=phu!$I$70,M1304=phu!$I$71),"Ba Ngòi",""),IF(OR(M1304=phu!$I$72,M1304=phu!$I$73,M1304=phu!$I$74,M1304=phu!$I$75,M1304=phu!$I$76,M1304=phu!$I$77,M1304=phu!$I$78),"Cam Phước Đông",""),IF(OR(M1304=phu!$I$79,M1304=phu!$I$80,M1304=phu!$I$81,M1304=phu!$I$82,M1304=phu!$I$83,M1304=phu!$I$84),"Cam Thịnh Đông",""),IF(OR(M1304=phu!$I$85,M1304=phu!$I$86,M1304=phu!$I$87,M1304=phu!$I$88),"Cam Thịnh Tây",""),IF(OR(M1304=phu!$I$89,M1304=phu!$I$90),"Cam Lập",""),IF(OR(M1304=phu!$I$91,M1304=phu!$I$92,M1304=phu!$I$93),"Cam Bình",""),IF(OR(M1304=phu!$I$94,M1304=phu!$I$95,M1304=phu!$I$96,M1304=phu!$I$97,M1304=phu!$I$98,M1304=phu!$I$99,M1304=phu!$I$100),"Huyện khác",""),IF(OR(M1304=phu!$I$101,M1304=phu!$I$102),"Tỉnh khác",""))</f>
        <v/>
      </c>
      <c r="O1304" s="814" t="str">
        <f t="shared" si="121"/>
        <v/>
      </c>
      <c r="P1304" s="254"/>
      <c r="Q1304" s="254"/>
      <c r="R1304" s="254"/>
      <c r="S1304" s="254"/>
      <c r="T1304" s="254"/>
      <c r="U1304" s="254"/>
      <c r="V1304" s="254"/>
      <c r="W1304" s="254"/>
      <c r="Y1304" s="246" t="str">
        <f t="shared" si="122"/>
        <v/>
      </c>
      <c r="Z1304" s="247" t="str">
        <f t="shared" si="120"/>
        <v/>
      </c>
      <c r="AA1304" s="246" t="str">
        <f t="shared" si="123"/>
        <v/>
      </c>
    </row>
    <row r="1305" spans="1:27" x14ac:dyDescent="0.25">
      <c r="A1305" s="248" t="str">
        <f t="shared" si="124"/>
        <v/>
      </c>
      <c r="B1305" s="249" t="str">
        <f t="shared" si="125"/>
        <v/>
      </c>
      <c r="C1305" s="250"/>
      <c r="D1305" s="251"/>
      <c r="E1305" s="241"/>
      <c r="F1305" s="252"/>
      <c r="G1305" s="252"/>
      <c r="H1305" s="253"/>
      <c r="I1305" s="250"/>
      <c r="J1305" s="250"/>
      <c r="K1305" s="270"/>
      <c r="L1305" s="250"/>
      <c r="M1305" s="250"/>
      <c r="N1305" s="553" t="str">
        <f>CONCATENATE(IF(OR(M1305=phu!$I$1,M1305=phu!$I$2,M1305=phu!$I$3),"Cam Thành Nam",""),IF(OR(M1305=phu!$I$4,M1305=phu!$I$5,M1305=phu!$I$6,M1305=phu!$I$7,M1305=phu!$I$8,M1305=phu!$I$9,M1305=phu!$I$10,M1305=phu!$I$11,M1305=phu!$I$12,M1305=phu!$I$13,M1305=phu!$I$14),"Cam Nghĩa",""),IF(OR(M1305=phu!$I$15,M1305=phu!$I$16,M1305=phu!$I$17,M1305=phu!$I$18,M1305=phu!$I$19,M1305=phu!$I$20,M1305=phu!$I$21),"Cam Phúc Bắc",""),IF(OR(M1305=phu!$I$22,M1305=phu!$I$23,M1305=phu!$I$24,M1305=phu!$I$25),"Cam Phúc Nam",""),IF(OR(M1305=phu!$I$26,M1305=phu!$I$27,M1305=phu!$I$28,M1305=phu!$I$29,M1305=phu!$I$30,M1305=phu!$I$31),"Cam Phú",""),IF(OR(M1305=phu!$I$32,M1305=phu!$I$33,M1305=phu!$I$34,M1305=phu!$I$35,M1305=phu!$I$36,M1305=phu!$I$37),"Cam Lộc",""),IF(OR(M1305=phu!$I$38,M1305=phu!$I$39,M1305=phu!$I$40,M1305=phu!$I$41,M1305=phu!$I$42,M1305=phu!$I$43,M1305=phu!$I$44),"Cam Thuận",""),IF(OR(M1305=phu!$I$45,M1305=phu!$I$46,M1305=phu!$I$47,M1305=phu!$I$48,M1305=phu!$I$49,M1305=phu!$I$50,M1305=phu!$I$51,M1305=phu!$I$52,M1305=phu!$I$53),"Cam Linh",""),IF(OR(M1305=phu!$I$54,M1305=phu!$I$55,M1305=phu!$I$56,M1305=phu!$I$57,M1305=phu!$I$58,M1305=phu!$I$59,M1305=phu!$I$60,M1305=phu!$I$61,M1305=phu!$I$62),"Cam Lợi",""),IF(OR(M1305=phu!$I$63,M1305=phu!$I$64,M1305=phu!$I$65,M1305=phu!$I$66,M1305=phu!$I$67,M1305=phu!$I$68,M1305=phu!$I$69,M1305=phu!$I$70,M1305=phu!$I$71),"Ba Ngòi",""),IF(OR(M1305=phu!$I$72,M1305=phu!$I$73,M1305=phu!$I$74,M1305=phu!$I$75,M1305=phu!$I$76,M1305=phu!$I$77,M1305=phu!$I$78),"Cam Phước Đông",""),IF(OR(M1305=phu!$I$79,M1305=phu!$I$80,M1305=phu!$I$81,M1305=phu!$I$82,M1305=phu!$I$83,M1305=phu!$I$84),"Cam Thịnh Đông",""),IF(OR(M1305=phu!$I$85,M1305=phu!$I$86,M1305=phu!$I$87,M1305=phu!$I$88),"Cam Thịnh Tây",""),IF(OR(M1305=phu!$I$89,M1305=phu!$I$90),"Cam Lập",""),IF(OR(M1305=phu!$I$91,M1305=phu!$I$92,M1305=phu!$I$93),"Cam Bình",""),IF(OR(M1305=phu!$I$94,M1305=phu!$I$95,M1305=phu!$I$96,M1305=phu!$I$97,M1305=phu!$I$98,M1305=phu!$I$99,M1305=phu!$I$100),"Huyện khác",""),IF(OR(M1305=phu!$I$101,M1305=phu!$I$102),"Tỉnh khác",""))</f>
        <v/>
      </c>
      <c r="O1305" s="814" t="str">
        <f t="shared" si="121"/>
        <v/>
      </c>
      <c r="P1305" s="254"/>
      <c r="Q1305" s="254"/>
      <c r="R1305" s="254"/>
      <c r="S1305" s="254"/>
      <c r="T1305" s="254"/>
      <c r="U1305" s="254"/>
      <c r="V1305" s="254"/>
      <c r="W1305" s="254"/>
      <c r="Y1305" s="246" t="str">
        <f t="shared" si="122"/>
        <v/>
      </c>
      <c r="Z1305" s="247" t="str">
        <f t="shared" si="120"/>
        <v/>
      </c>
      <c r="AA1305" s="246" t="str">
        <f t="shared" si="123"/>
        <v/>
      </c>
    </row>
    <row r="1306" spans="1:27" x14ac:dyDescent="0.25">
      <c r="A1306" s="248" t="str">
        <f t="shared" si="124"/>
        <v/>
      </c>
      <c r="B1306" s="249" t="str">
        <f t="shared" si="125"/>
        <v/>
      </c>
      <c r="C1306" s="250"/>
      <c r="D1306" s="251"/>
      <c r="E1306" s="241"/>
      <c r="F1306" s="252"/>
      <c r="G1306" s="252"/>
      <c r="H1306" s="253"/>
      <c r="I1306" s="250"/>
      <c r="J1306" s="250"/>
      <c r="K1306" s="270"/>
      <c r="L1306" s="250"/>
      <c r="M1306" s="250"/>
      <c r="N1306" s="553" t="str">
        <f>CONCATENATE(IF(OR(M1306=phu!$I$1,M1306=phu!$I$2,M1306=phu!$I$3),"Cam Thành Nam",""),IF(OR(M1306=phu!$I$4,M1306=phu!$I$5,M1306=phu!$I$6,M1306=phu!$I$7,M1306=phu!$I$8,M1306=phu!$I$9,M1306=phu!$I$10,M1306=phu!$I$11,M1306=phu!$I$12,M1306=phu!$I$13,M1306=phu!$I$14),"Cam Nghĩa",""),IF(OR(M1306=phu!$I$15,M1306=phu!$I$16,M1306=phu!$I$17,M1306=phu!$I$18,M1306=phu!$I$19,M1306=phu!$I$20,M1306=phu!$I$21),"Cam Phúc Bắc",""),IF(OR(M1306=phu!$I$22,M1306=phu!$I$23,M1306=phu!$I$24,M1306=phu!$I$25),"Cam Phúc Nam",""),IF(OR(M1306=phu!$I$26,M1306=phu!$I$27,M1306=phu!$I$28,M1306=phu!$I$29,M1306=phu!$I$30,M1306=phu!$I$31),"Cam Phú",""),IF(OR(M1306=phu!$I$32,M1306=phu!$I$33,M1306=phu!$I$34,M1306=phu!$I$35,M1306=phu!$I$36,M1306=phu!$I$37),"Cam Lộc",""),IF(OR(M1306=phu!$I$38,M1306=phu!$I$39,M1306=phu!$I$40,M1306=phu!$I$41,M1306=phu!$I$42,M1306=phu!$I$43,M1306=phu!$I$44),"Cam Thuận",""),IF(OR(M1306=phu!$I$45,M1306=phu!$I$46,M1306=phu!$I$47,M1306=phu!$I$48,M1306=phu!$I$49,M1306=phu!$I$50,M1306=phu!$I$51,M1306=phu!$I$52,M1306=phu!$I$53),"Cam Linh",""),IF(OR(M1306=phu!$I$54,M1306=phu!$I$55,M1306=phu!$I$56,M1306=phu!$I$57,M1306=phu!$I$58,M1306=phu!$I$59,M1306=phu!$I$60,M1306=phu!$I$61,M1306=phu!$I$62),"Cam Lợi",""),IF(OR(M1306=phu!$I$63,M1306=phu!$I$64,M1306=phu!$I$65,M1306=phu!$I$66,M1306=phu!$I$67,M1306=phu!$I$68,M1306=phu!$I$69,M1306=phu!$I$70,M1306=phu!$I$71),"Ba Ngòi",""),IF(OR(M1306=phu!$I$72,M1306=phu!$I$73,M1306=phu!$I$74,M1306=phu!$I$75,M1306=phu!$I$76,M1306=phu!$I$77,M1306=phu!$I$78),"Cam Phước Đông",""),IF(OR(M1306=phu!$I$79,M1306=phu!$I$80,M1306=phu!$I$81,M1306=phu!$I$82,M1306=phu!$I$83,M1306=phu!$I$84),"Cam Thịnh Đông",""),IF(OR(M1306=phu!$I$85,M1306=phu!$I$86,M1306=phu!$I$87,M1306=phu!$I$88),"Cam Thịnh Tây",""),IF(OR(M1306=phu!$I$89,M1306=phu!$I$90),"Cam Lập",""),IF(OR(M1306=phu!$I$91,M1306=phu!$I$92,M1306=phu!$I$93),"Cam Bình",""),IF(OR(M1306=phu!$I$94,M1306=phu!$I$95,M1306=phu!$I$96,M1306=phu!$I$97,M1306=phu!$I$98,M1306=phu!$I$99,M1306=phu!$I$100),"Huyện khác",""),IF(OR(M1306=phu!$I$101,M1306=phu!$I$102),"Tỉnh khác",""))</f>
        <v/>
      </c>
      <c r="O1306" s="814" t="str">
        <f t="shared" si="121"/>
        <v/>
      </c>
      <c r="P1306" s="254"/>
      <c r="Q1306" s="254"/>
      <c r="R1306" s="254"/>
      <c r="S1306" s="254"/>
      <c r="T1306" s="254"/>
      <c r="U1306" s="254"/>
      <c r="V1306" s="254"/>
      <c r="W1306" s="254"/>
      <c r="Y1306" s="246" t="str">
        <f t="shared" si="122"/>
        <v/>
      </c>
      <c r="Z1306" s="247" t="str">
        <f t="shared" si="120"/>
        <v/>
      </c>
      <c r="AA1306" s="246" t="str">
        <f t="shared" si="123"/>
        <v/>
      </c>
    </row>
    <row r="1307" spans="1:27" x14ac:dyDescent="0.25">
      <c r="A1307" s="248" t="str">
        <f t="shared" si="124"/>
        <v/>
      </c>
      <c r="B1307" s="249" t="str">
        <f t="shared" si="125"/>
        <v/>
      </c>
      <c r="C1307" s="250"/>
      <c r="D1307" s="251"/>
      <c r="E1307" s="241"/>
      <c r="F1307" s="252"/>
      <c r="G1307" s="252"/>
      <c r="H1307" s="253"/>
      <c r="I1307" s="250"/>
      <c r="J1307" s="250"/>
      <c r="K1307" s="270"/>
      <c r="L1307" s="250"/>
      <c r="M1307" s="250"/>
      <c r="N1307" s="553" t="str">
        <f>CONCATENATE(IF(OR(M1307=phu!$I$1,M1307=phu!$I$2,M1307=phu!$I$3),"Cam Thành Nam",""),IF(OR(M1307=phu!$I$4,M1307=phu!$I$5,M1307=phu!$I$6,M1307=phu!$I$7,M1307=phu!$I$8,M1307=phu!$I$9,M1307=phu!$I$10,M1307=phu!$I$11,M1307=phu!$I$12,M1307=phu!$I$13,M1307=phu!$I$14),"Cam Nghĩa",""),IF(OR(M1307=phu!$I$15,M1307=phu!$I$16,M1307=phu!$I$17,M1307=phu!$I$18,M1307=phu!$I$19,M1307=phu!$I$20,M1307=phu!$I$21),"Cam Phúc Bắc",""),IF(OR(M1307=phu!$I$22,M1307=phu!$I$23,M1307=phu!$I$24,M1307=phu!$I$25),"Cam Phúc Nam",""),IF(OR(M1307=phu!$I$26,M1307=phu!$I$27,M1307=phu!$I$28,M1307=phu!$I$29,M1307=phu!$I$30,M1307=phu!$I$31),"Cam Phú",""),IF(OR(M1307=phu!$I$32,M1307=phu!$I$33,M1307=phu!$I$34,M1307=phu!$I$35,M1307=phu!$I$36,M1307=phu!$I$37),"Cam Lộc",""),IF(OR(M1307=phu!$I$38,M1307=phu!$I$39,M1307=phu!$I$40,M1307=phu!$I$41,M1307=phu!$I$42,M1307=phu!$I$43,M1307=phu!$I$44),"Cam Thuận",""),IF(OR(M1307=phu!$I$45,M1307=phu!$I$46,M1307=phu!$I$47,M1307=phu!$I$48,M1307=phu!$I$49,M1307=phu!$I$50,M1307=phu!$I$51,M1307=phu!$I$52,M1307=phu!$I$53),"Cam Linh",""),IF(OR(M1307=phu!$I$54,M1307=phu!$I$55,M1307=phu!$I$56,M1307=phu!$I$57,M1307=phu!$I$58,M1307=phu!$I$59,M1307=phu!$I$60,M1307=phu!$I$61,M1307=phu!$I$62),"Cam Lợi",""),IF(OR(M1307=phu!$I$63,M1307=phu!$I$64,M1307=phu!$I$65,M1307=phu!$I$66,M1307=phu!$I$67,M1307=phu!$I$68,M1307=phu!$I$69,M1307=phu!$I$70,M1307=phu!$I$71),"Ba Ngòi",""),IF(OR(M1307=phu!$I$72,M1307=phu!$I$73,M1307=phu!$I$74,M1307=phu!$I$75,M1307=phu!$I$76,M1307=phu!$I$77,M1307=phu!$I$78),"Cam Phước Đông",""),IF(OR(M1307=phu!$I$79,M1307=phu!$I$80,M1307=phu!$I$81,M1307=phu!$I$82,M1307=phu!$I$83,M1307=phu!$I$84),"Cam Thịnh Đông",""),IF(OR(M1307=phu!$I$85,M1307=phu!$I$86,M1307=phu!$I$87,M1307=phu!$I$88),"Cam Thịnh Tây",""),IF(OR(M1307=phu!$I$89,M1307=phu!$I$90),"Cam Lập",""),IF(OR(M1307=phu!$I$91,M1307=phu!$I$92,M1307=phu!$I$93),"Cam Bình",""),IF(OR(M1307=phu!$I$94,M1307=phu!$I$95,M1307=phu!$I$96,M1307=phu!$I$97,M1307=phu!$I$98,M1307=phu!$I$99,M1307=phu!$I$100),"Huyện khác",""),IF(OR(M1307=phu!$I$101,M1307=phu!$I$102),"Tỉnh khác",""))</f>
        <v/>
      </c>
      <c r="O1307" s="814" t="str">
        <f t="shared" si="121"/>
        <v/>
      </c>
      <c r="P1307" s="254"/>
      <c r="Q1307" s="254"/>
      <c r="R1307" s="254"/>
      <c r="S1307" s="254"/>
      <c r="T1307" s="254"/>
      <c r="U1307" s="254"/>
      <c r="V1307" s="254"/>
      <c r="W1307" s="254"/>
      <c r="Y1307" s="246" t="str">
        <f t="shared" si="122"/>
        <v/>
      </c>
      <c r="Z1307" s="247" t="str">
        <f t="shared" si="120"/>
        <v/>
      </c>
      <c r="AA1307" s="246" t="str">
        <f t="shared" si="123"/>
        <v/>
      </c>
    </row>
    <row r="1308" spans="1:27" x14ac:dyDescent="0.25">
      <c r="A1308" s="248" t="str">
        <f t="shared" si="124"/>
        <v/>
      </c>
      <c r="B1308" s="249" t="str">
        <f t="shared" si="125"/>
        <v/>
      </c>
      <c r="C1308" s="250"/>
      <c r="D1308" s="251"/>
      <c r="E1308" s="241"/>
      <c r="F1308" s="252"/>
      <c r="G1308" s="252"/>
      <c r="H1308" s="253"/>
      <c r="I1308" s="250"/>
      <c r="J1308" s="250"/>
      <c r="K1308" s="270"/>
      <c r="L1308" s="250"/>
      <c r="M1308" s="250"/>
      <c r="N1308" s="553" t="str">
        <f>CONCATENATE(IF(OR(M1308=phu!$I$1,M1308=phu!$I$2,M1308=phu!$I$3),"Cam Thành Nam",""),IF(OR(M1308=phu!$I$4,M1308=phu!$I$5,M1308=phu!$I$6,M1308=phu!$I$7,M1308=phu!$I$8,M1308=phu!$I$9,M1308=phu!$I$10,M1308=phu!$I$11,M1308=phu!$I$12,M1308=phu!$I$13,M1308=phu!$I$14),"Cam Nghĩa",""),IF(OR(M1308=phu!$I$15,M1308=phu!$I$16,M1308=phu!$I$17,M1308=phu!$I$18,M1308=phu!$I$19,M1308=phu!$I$20,M1308=phu!$I$21),"Cam Phúc Bắc",""),IF(OR(M1308=phu!$I$22,M1308=phu!$I$23,M1308=phu!$I$24,M1308=phu!$I$25),"Cam Phúc Nam",""),IF(OR(M1308=phu!$I$26,M1308=phu!$I$27,M1308=phu!$I$28,M1308=phu!$I$29,M1308=phu!$I$30,M1308=phu!$I$31),"Cam Phú",""),IF(OR(M1308=phu!$I$32,M1308=phu!$I$33,M1308=phu!$I$34,M1308=phu!$I$35,M1308=phu!$I$36,M1308=phu!$I$37),"Cam Lộc",""),IF(OR(M1308=phu!$I$38,M1308=phu!$I$39,M1308=phu!$I$40,M1308=phu!$I$41,M1308=phu!$I$42,M1308=phu!$I$43,M1308=phu!$I$44),"Cam Thuận",""),IF(OR(M1308=phu!$I$45,M1308=phu!$I$46,M1308=phu!$I$47,M1308=phu!$I$48,M1308=phu!$I$49,M1308=phu!$I$50,M1308=phu!$I$51,M1308=phu!$I$52,M1308=phu!$I$53),"Cam Linh",""),IF(OR(M1308=phu!$I$54,M1308=phu!$I$55,M1308=phu!$I$56,M1308=phu!$I$57,M1308=phu!$I$58,M1308=phu!$I$59,M1308=phu!$I$60,M1308=phu!$I$61,M1308=phu!$I$62),"Cam Lợi",""),IF(OR(M1308=phu!$I$63,M1308=phu!$I$64,M1308=phu!$I$65,M1308=phu!$I$66,M1308=phu!$I$67,M1308=phu!$I$68,M1308=phu!$I$69,M1308=phu!$I$70,M1308=phu!$I$71),"Ba Ngòi",""),IF(OR(M1308=phu!$I$72,M1308=phu!$I$73,M1308=phu!$I$74,M1308=phu!$I$75,M1308=phu!$I$76,M1308=phu!$I$77,M1308=phu!$I$78),"Cam Phước Đông",""),IF(OR(M1308=phu!$I$79,M1308=phu!$I$80,M1308=phu!$I$81,M1308=phu!$I$82,M1308=phu!$I$83,M1308=phu!$I$84),"Cam Thịnh Đông",""),IF(OR(M1308=phu!$I$85,M1308=phu!$I$86,M1308=phu!$I$87,M1308=phu!$I$88),"Cam Thịnh Tây",""),IF(OR(M1308=phu!$I$89,M1308=phu!$I$90),"Cam Lập",""),IF(OR(M1308=phu!$I$91,M1308=phu!$I$92,M1308=phu!$I$93),"Cam Bình",""),IF(OR(M1308=phu!$I$94,M1308=phu!$I$95,M1308=phu!$I$96,M1308=phu!$I$97,M1308=phu!$I$98,M1308=phu!$I$99,M1308=phu!$I$100),"Huyện khác",""),IF(OR(M1308=phu!$I$101,M1308=phu!$I$102),"Tỉnh khác",""))</f>
        <v/>
      </c>
      <c r="O1308" s="814" t="str">
        <f t="shared" si="121"/>
        <v/>
      </c>
      <c r="P1308" s="254"/>
      <c r="Q1308" s="254"/>
      <c r="R1308" s="254"/>
      <c r="S1308" s="254"/>
      <c r="T1308" s="254"/>
      <c r="U1308" s="254"/>
      <c r="V1308" s="254"/>
      <c r="W1308" s="254"/>
      <c r="Y1308" s="246" t="str">
        <f t="shared" si="122"/>
        <v/>
      </c>
      <c r="Z1308" s="247" t="str">
        <f t="shared" si="120"/>
        <v/>
      </c>
      <c r="AA1308" s="246" t="str">
        <f t="shared" si="123"/>
        <v/>
      </c>
    </row>
    <row r="1309" spans="1:27" x14ac:dyDescent="0.25">
      <c r="A1309" s="248" t="str">
        <f t="shared" si="124"/>
        <v/>
      </c>
      <c r="B1309" s="249" t="str">
        <f t="shared" si="125"/>
        <v/>
      </c>
      <c r="C1309" s="250"/>
      <c r="D1309" s="251"/>
      <c r="E1309" s="241"/>
      <c r="F1309" s="252"/>
      <c r="G1309" s="252"/>
      <c r="H1309" s="253"/>
      <c r="I1309" s="250"/>
      <c r="J1309" s="250"/>
      <c r="K1309" s="270"/>
      <c r="L1309" s="250"/>
      <c r="M1309" s="250"/>
      <c r="N1309" s="553" t="str">
        <f>CONCATENATE(IF(OR(M1309=phu!$I$1,M1309=phu!$I$2,M1309=phu!$I$3),"Cam Thành Nam",""),IF(OR(M1309=phu!$I$4,M1309=phu!$I$5,M1309=phu!$I$6,M1309=phu!$I$7,M1309=phu!$I$8,M1309=phu!$I$9,M1309=phu!$I$10,M1309=phu!$I$11,M1309=phu!$I$12,M1309=phu!$I$13,M1309=phu!$I$14),"Cam Nghĩa",""),IF(OR(M1309=phu!$I$15,M1309=phu!$I$16,M1309=phu!$I$17,M1309=phu!$I$18,M1309=phu!$I$19,M1309=phu!$I$20,M1309=phu!$I$21),"Cam Phúc Bắc",""),IF(OR(M1309=phu!$I$22,M1309=phu!$I$23,M1309=phu!$I$24,M1309=phu!$I$25),"Cam Phúc Nam",""),IF(OR(M1309=phu!$I$26,M1309=phu!$I$27,M1309=phu!$I$28,M1309=phu!$I$29,M1309=phu!$I$30,M1309=phu!$I$31),"Cam Phú",""),IF(OR(M1309=phu!$I$32,M1309=phu!$I$33,M1309=phu!$I$34,M1309=phu!$I$35,M1309=phu!$I$36,M1309=phu!$I$37),"Cam Lộc",""),IF(OR(M1309=phu!$I$38,M1309=phu!$I$39,M1309=phu!$I$40,M1309=phu!$I$41,M1309=phu!$I$42,M1309=phu!$I$43,M1309=phu!$I$44),"Cam Thuận",""),IF(OR(M1309=phu!$I$45,M1309=phu!$I$46,M1309=phu!$I$47,M1309=phu!$I$48,M1309=phu!$I$49,M1309=phu!$I$50,M1309=phu!$I$51,M1309=phu!$I$52,M1309=phu!$I$53),"Cam Linh",""),IF(OR(M1309=phu!$I$54,M1309=phu!$I$55,M1309=phu!$I$56,M1309=phu!$I$57,M1309=phu!$I$58,M1309=phu!$I$59,M1309=phu!$I$60,M1309=phu!$I$61,M1309=phu!$I$62),"Cam Lợi",""),IF(OR(M1309=phu!$I$63,M1309=phu!$I$64,M1309=phu!$I$65,M1309=phu!$I$66,M1309=phu!$I$67,M1309=phu!$I$68,M1309=phu!$I$69,M1309=phu!$I$70,M1309=phu!$I$71),"Ba Ngòi",""),IF(OR(M1309=phu!$I$72,M1309=phu!$I$73,M1309=phu!$I$74,M1309=phu!$I$75,M1309=phu!$I$76,M1309=phu!$I$77,M1309=phu!$I$78),"Cam Phước Đông",""),IF(OR(M1309=phu!$I$79,M1309=phu!$I$80,M1309=phu!$I$81,M1309=phu!$I$82,M1309=phu!$I$83,M1309=phu!$I$84),"Cam Thịnh Đông",""),IF(OR(M1309=phu!$I$85,M1309=phu!$I$86,M1309=phu!$I$87,M1309=phu!$I$88),"Cam Thịnh Tây",""),IF(OR(M1309=phu!$I$89,M1309=phu!$I$90),"Cam Lập",""),IF(OR(M1309=phu!$I$91,M1309=phu!$I$92,M1309=phu!$I$93),"Cam Bình",""),IF(OR(M1309=phu!$I$94,M1309=phu!$I$95,M1309=phu!$I$96,M1309=phu!$I$97,M1309=phu!$I$98,M1309=phu!$I$99,M1309=phu!$I$100),"Huyện khác",""),IF(OR(M1309=phu!$I$101,M1309=phu!$I$102),"Tỉnh khác",""))</f>
        <v/>
      </c>
      <c r="O1309" s="814" t="str">
        <f t="shared" si="121"/>
        <v/>
      </c>
      <c r="P1309" s="254"/>
      <c r="Q1309" s="254"/>
      <c r="R1309" s="254"/>
      <c r="S1309" s="254"/>
      <c r="T1309" s="254"/>
      <c r="U1309" s="254"/>
      <c r="V1309" s="254"/>
      <c r="W1309" s="254"/>
      <c r="Y1309" s="246" t="str">
        <f t="shared" si="122"/>
        <v/>
      </c>
      <c r="Z1309" s="247" t="str">
        <f t="shared" si="120"/>
        <v/>
      </c>
      <c r="AA1309" s="246" t="str">
        <f t="shared" si="123"/>
        <v/>
      </c>
    </row>
    <row r="1310" spans="1:27" x14ac:dyDescent="0.25">
      <c r="A1310" s="248" t="str">
        <f t="shared" si="124"/>
        <v/>
      </c>
      <c r="B1310" s="249" t="str">
        <f t="shared" si="125"/>
        <v/>
      </c>
      <c r="C1310" s="250"/>
      <c r="D1310" s="251"/>
      <c r="E1310" s="241"/>
      <c r="F1310" s="252"/>
      <c r="G1310" s="252"/>
      <c r="H1310" s="253"/>
      <c r="I1310" s="250"/>
      <c r="J1310" s="250"/>
      <c r="K1310" s="270"/>
      <c r="L1310" s="250"/>
      <c r="M1310" s="250"/>
      <c r="N1310" s="553" t="str">
        <f>CONCATENATE(IF(OR(M1310=phu!$I$1,M1310=phu!$I$2,M1310=phu!$I$3),"Cam Thành Nam",""),IF(OR(M1310=phu!$I$4,M1310=phu!$I$5,M1310=phu!$I$6,M1310=phu!$I$7,M1310=phu!$I$8,M1310=phu!$I$9,M1310=phu!$I$10,M1310=phu!$I$11,M1310=phu!$I$12,M1310=phu!$I$13,M1310=phu!$I$14),"Cam Nghĩa",""),IF(OR(M1310=phu!$I$15,M1310=phu!$I$16,M1310=phu!$I$17,M1310=phu!$I$18,M1310=phu!$I$19,M1310=phu!$I$20,M1310=phu!$I$21),"Cam Phúc Bắc",""),IF(OR(M1310=phu!$I$22,M1310=phu!$I$23,M1310=phu!$I$24,M1310=phu!$I$25),"Cam Phúc Nam",""),IF(OR(M1310=phu!$I$26,M1310=phu!$I$27,M1310=phu!$I$28,M1310=phu!$I$29,M1310=phu!$I$30,M1310=phu!$I$31),"Cam Phú",""),IF(OR(M1310=phu!$I$32,M1310=phu!$I$33,M1310=phu!$I$34,M1310=phu!$I$35,M1310=phu!$I$36,M1310=phu!$I$37),"Cam Lộc",""),IF(OR(M1310=phu!$I$38,M1310=phu!$I$39,M1310=phu!$I$40,M1310=phu!$I$41,M1310=phu!$I$42,M1310=phu!$I$43,M1310=phu!$I$44),"Cam Thuận",""),IF(OR(M1310=phu!$I$45,M1310=phu!$I$46,M1310=phu!$I$47,M1310=phu!$I$48,M1310=phu!$I$49,M1310=phu!$I$50,M1310=phu!$I$51,M1310=phu!$I$52,M1310=phu!$I$53),"Cam Linh",""),IF(OR(M1310=phu!$I$54,M1310=phu!$I$55,M1310=phu!$I$56,M1310=phu!$I$57,M1310=phu!$I$58,M1310=phu!$I$59,M1310=phu!$I$60,M1310=phu!$I$61,M1310=phu!$I$62),"Cam Lợi",""),IF(OR(M1310=phu!$I$63,M1310=phu!$I$64,M1310=phu!$I$65,M1310=phu!$I$66,M1310=phu!$I$67,M1310=phu!$I$68,M1310=phu!$I$69,M1310=phu!$I$70,M1310=phu!$I$71),"Ba Ngòi",""),IF(OR(M1310=phu!$I$72,M1310=phu!$I$73,M1310=phu!$I$74,M1310=phu!$I$75,M1310=phu!$I$76,M1310=phu!$I$77,M1310=phu!$I$78),"Cam Phước Đông",""),IF(OR(M1310=phu!$I$79,M1310=phu!$I$80,M1310=phu!$I$81,M1310=phu!$I$82,M1310=phu!$I$83,M1310=phu!$I$84),"Cam Thịnh Đông",""),IF(OR(M1310=phu!$I$85,M1310=phu!$I$86,M1310=phu!$I$87,M1310=phu!$I$88),"Cam Thịnh Tây",""),IF(OR(M1310=phu!$I$89,M1310=phu!$I$90),"Cam Lập",""),IF(OR(M1310=phu!$I$91,M1310=phu!$I$92,M1310=phu!$I$93),"Cam Bình",""),IF(OR(M1310=phu!$I$94,M1310=phu!$I$95,M1310=phu!$I$96,M1310=phu!$I$97,M1310=phu!$I$98,M1310=phu!$I$99,M1310=phu!$I$100),"Huyện khác",""),IF(OR(M1310=phu!$I$101,M1310=phu!$I$102),"Tỉnh khác",""))</f>
        <v/>
      </c>
      <c r="O1310" s="814" t="str">
        <f t="shared" si="121"/>
        <v/>
      </c>
      <c r="P1310" s="254"/>
      <c r="Q1310" s="254"/>
      <c r="R1310" s="254"/>
      <c r="S1310" s="254"/>
      <c r="T1310" s="254"/>
      <c r="U1310" s="254"/>
      <c r="V1310" s="254"/>
      <c r="W1310" s="254"/>
      <c r="Y1310" s="246" t="str">
        <f t="shared" si="122"/>
        <v/>
      </c>
      <c r="Z1310" s="247" t="str">
        <f t="shared" si="120"/>
        <v/>
      </c>
      <c r="AA1310" s="246" t="str">
        <f t="shared" si="123"/>
        <v/>
      </c>
    </row>
    <row r="1311" spans="1:27" x14ac:dyDescent="0.25">
      <c r="A1311" s="248" t="str">
        <f t="shared" si="124"/>
        <v/>
      </c>
      <c r="B1311" s="249" t="str">
        <f t="shared" si="125"/>
        <v/>
      </c>
      <c r="C1311" s="250"/>
      <c r="D1311" s="251"/>
      <c r="E1311" s="241"/>
      <c r="F1311" s="252"/>
      <c r="G1311" s="252"/>
      <c r="H1311" s="253"/>
      <c r="I1311" s="250"/>
      <c r="J1311" s="250"/>
      <c r="K1311" s="270"/>
      <c r="L1311" s="250"/>
      <c r="M1311" s="250"/>
      <c r="N1311" s="553" t="str">
        <f>CONCATENATE(IF(OR(M1311=phu!$I$1,M1311=phu!$I$2,M1311=phu!$I$3),"Cam Thành Nam",""),IF(OR(M1311=phu!$I$4,M1311=phu!$I$5,M1311=phu!$I$6,M1311=phu!$I$7,M1311=phu!$I$8,M1311=phu!$I$9,M1311=phu!$I$10,M1311=phu!$I$11,M1311=phu!$I$12,M1311=phu!$I$13,M1311=phu!$I$14),"Cam Nghĩa",""),IF(OR(M1311=phu!$I$15,M1311=phu!$I$16,M1311=phu!$I$17,M1311=phu!$I$18,M1311=phu!$I$19,M1311=phu!$I$20,M1311=phu!$I$21),"Cam Phúc Bắc",""),IF(OR(M1311=phu!$I$22,M1311=phu!$I$23,M1311=phu!$I$24,M1311=phu!$I$25),"Cam Phúc Nam",""),IF(OR(M1311=phu!$I$26,M1311=phu!$I$27,M1311=phu!$I$28,M1311=phu!$I$29,M1311=phu!$I$30,M1311=phu!$I$31),"Cam Phú",""),IF(OR(M1311=phu!$I$32,M1311=phu!$I$33,M1311=phu!$I$34,M1311=phu!$I$35,M1311=phu!$I$36,M1311=phu!$I$37),"Cam Lộc",""),IF(OR(M1311=phu!$I$38,M1311=phu!$I$39,M1311=phu!$I$40,M1311=phu!$I$41,M1311=phu!$I$42,M1311=phu!$I$43,M1311=phu!$I$44),"Cam Thuận",""),IF(OR(M1311=phu!$I$45,M1311=phu!$I$46,M1311=phu!$I$47,M1311=phu!$I$48,M1311=phu!$I$49,M1311=phu!$I$50,M1311=phu!$I$51,M1311=phu!$I$52,M1311=phu!$I$53),"Cam Linh",""),IF(OR(M1311=phu!$I$54,M1311=phu!$I$55,M1311=phu!$I$56,M1311=phu!$I$57,M1311=phu!$I$58,M1311=phu!$I$59,M1311=phu!$I$60,M1311=phu!$I$61,M1311=phu!$I$62),"Cam Lợi",""),IF(OR(M1311=phu!$I$63,M1311=phu!$I$64,M1311=phu!$I$65,M1311=phu!$I$66,M1311=phu!$I$67,M1311=phu!$I$68,M1311=phu!$I$69,M1311=phu!$I$70,M1311=phu!$I$71),"Ba Ngòi",""),IF(OR(M1311=phu!$I$72,M1311=phu!$I$73,M1311=phu!$I$74,M1311=phu!$I$75,M1311=phu!$I$76,M1311=phu!$I$77,M1311=phu!$I$78),"Cam Phước Đông",""),IF(OR(M1311=phu!$I$79,M1311=phu!$I$80,M1311=phu!$I$81,M1311=phu!$I$82,M1311=phu!$I$83,M1311=phu!$I$84),"Cam Thịnh Đông",""),IF(OR(M1311=phu!$I$85,M1311=phu!$I$86,M1311=phu!$I$87,M1311=phu!$I$88),"Cam Thịnh Tây",""),IF(OR(M1311=phu!$I$89,M1311=phu!$I$90),"Cam Lập",""),IF(OR(M1311=phu!$I$91,M1311=phu!$I$92,M1311=phu!$I$93),"Cam Bình",""),IF(OR(M1311=phu!$I$94,M1311=phu!$I$95,M1311=phu!$I$96,M1311=phu!$I$97,M1311=phu!$I$98,M1311=phu!$I$99,M1311=phu!$I$100),"Huyện khác",""),IF(OR(M1311=phu!$I$101,M1311=phu!$I$102),"Tỉnh khác",""))</f>
        <v/>
      </c>
      <c r="O1311" s="814" t="str">
        <f t="shared" si="121"/>
        <v/>
      </c>
      <c r="P1311" s="254"/>
      <c r="Q1311" s="254"/>
      <c r="R1311" s="254"/>
      <c r="S1311" s="254"/>
      <c r="T1311" s="254"/>
      <c r="U1311" s="254"/>
      <c r="V1311" s="254"/>
      <c r="W1311" s="254"/>
      <c r="Y1311" s="246" t="str">
        <f t="shared" si="122"/>
        <v/>
      </c>
      <c r="Z1311" s="247" t="str">
        <f t="shared" si="120"/>
        <v/>
      </c>
      <c r="AA1311" s="246" t="str">
        <f t="shared" si="123"/>
        <v/>
      </c>
    </row>
    <row r="1312" spans="1:27" x14ac:dyDescent="0.25">
      <c r="A1312" s="248" t="str">
        <f t="shared" si="124"/>
        <v/>
      </c>
      <c r="B1312" s="249" t="str">
        <f t="shared" si="125"/>
        <v/>
      </c>
      <c r="C1312" s="250"/>
      <c r="D1312" s="251"/>
      <c r="E1312" s="241"/>
      <c r="F1312" s="252"/>
      <c r="G1312" s="252"/>
      <c r="H1312" s="253"/>
      <c r="I1312" s="250"/>
      <c r="J1312" s="250"/>
      <c r="K1312" s="270"/>
      <c r="L1312" s="250"/>
      <c r="M1312" s="250"/>
      <c r="N1312" s="553" t="str">
        <f>CONCATENATE(IF(OR(M1312=phu!$I$1,M1312=phu!$I$2,M1312=phu!$I$3),"Cam Thành Nam",""),IF(OR(M1312=phu!$I$4,M1312=phu!$I$5,M1312=phu!$I$6,M1312=phu!$I$7,M1312=phu!$I$8,M1312=phu!$I$9,M1312=phu!$I$10,M1312=phu!$I$11,M1312=phu!$I$12,M1312=phu!$I$13,M1312=phu!$I$14),"Cam Nghĩa",""),IF(OR(M1312=phu!$I$15,M1312=phu!$I$16,M1312=phu!$I$17,M1312=phu!$I$18,M1312=phu!$I$19,M1312=phu!$I$20,M1312=phu!$I$21),"Cam Phúc Bắc",""),IF(OR(M1312=phu!$I$22,M1312=phu!$I$23,M1312=phu!$I$24,M1312=phu!$I$25),"Cam Phúc Nam",""),IF(OR(M1312=phu!$I$26,M1312=phu!$I$27,M1312=phu!$I$28,M1312=phu!$I$29,M1312=phu!$I$30,M1312=phu!$I$31),"Cam Phú",""),IF(OR(M1312=phu!$I$32,M1312=phu!$I$33,M1312=phu!$I$34,M1312=phu!$I$35,M1312=phu!$I$36,M1312=phu!$I$37),"Cam Lộc",""),IF(OR(M1312=phu!$I$38,M1312=phu!$I$39,M1312=phu!$I$40,M1312=phu!$I$41,M1312=phu!$I$42,M1312=phu!$I$43,M1312=phu!$I$44),"Cam Thuận",""),IF(OR(M1312=phu!$I$45,M1312=phu!$I$46,M1312=phu!$I$47,M1312=phu!$I$48,M1312=phu!$I$49,M1312=phu!$I$50,M1312=phu!$I$51,M1312=phu!$I$52,M1312=phu!$I$53),"Cam Linh",""),IF(OR(M1312=phu!$I$54,M1312=phu!$I$55,M1312=phu!$I$56,M1312=phu!$I$57,M1312=phu!$I$58,M1312=phu!$I$59,M1312=phu!$I$60,M1312=phu!$I$61,M1312=phu!$I$62),"Cam Lợi",""),IF(OR(M1312=phu!$I$63,M1312=phu!$I$64,M1312=phu!$I$65,M1312=phu!$I$66,M1312=phu!$I$67,M1312=phu!$I$68,M1312=phu!$I$69,M1312=phu!$I$70,M1312=phu!$I$71),"Ba Ngòi",""),IF(OR(M1312=phu!$I$72,M1312=phu!$I$73,M1312=phu!$I$74,M1312=phu!$I$75,M1312=phu!$I$76,M1312=phu!$I$77,M1312=phu!$I$78),"Cam Phước Đông",""),IF(OR(M1312=phu!$I$79,M1312=phu!$I$80,M1312=phu!$I$81,M1312=phu!$I$82,M1312=phu!$I$83,M1312=phu!$I$84),"Cam Thịnh Đông",""),IF(OR(M1312=phu!$I$85,M1312=phu!$I$86,M1312=phu!$I$87,M1312=phu!$I$88),"Cam Thịnh Tây",""),IF(OR(M1312=phu!$I$89,M1312=phu!$I$90),"Cam Lập",""),IF(OR(M1312=phu!$I$91,M1312=phu!$I$92,M1312=phu!$I$93),"Cam Bình",""),IF(OR(M1312=phu!$I$94,M1312=phu!$I$95,M1312=phu!$I$96,M1312=phu!$I$97,M1312=phu!$I$98,M1312=phu!$I$99,M1312=phu!$I$100),"Huyện khác",""),IF(OR(M1312=phu!$I$101,M1312=phu!$I$102),"Tỉnh khác",""))</f>
        <v/>
      </c>
      <c r="O1312" s="814" t="str">
        <f t="shared" si="121"/>
        <v/>
      </c>
      <c r="P1312" s="254"/>
      <c r="Q1312" s="254"/>
      <c r="R1312" s="254"/>
      <c r="S1312" s="254"/>
      <c r="T1312" s="254"/>
      <c r="U1312" s="254"/>
      <c r="V1312" s="254"/>
      <c r="W1312" s="254"/>
      <c r="Y1312" s="246" t="str">
        <f t="shared" si="122"/>
        <v/>
      </c>
      <c r="Z1312" s="247" t="str">
        <f t="shared" si="120"/>
        <v/>
      </c>
      <c r="AA1312" s="246" t="str">
        <f t="shared" si="123"/>
        <v/>
      </c>
    </row>
    <row r="1313" spans="1:27" x14ac:dyDescent="0.25">
      <c r="A1313" s="248" t="str">
        <f t="shared" si="124"/>
        <v/>
      </c>
      <c r="B1313" s="249" t="str">
        <f t="shared" si="125"/>
        <v/>
      </c>
      <c r="C1313" s="250"/>
      <c r="D1313" s="251"/>
      <c r="E1313" s="241"/>
      <c r="F1313" s="252"/>
      <c r="G1313" s="252"/>
      <c r="H1313" s="253"/>
      <c r="I1313" s="250"/>
      <c r="J1313" s="250"/>
      <c r="K1313" s="270"/>
      <c r="L1313" s="250"/>
      <c r="M1313" s="250"/>
      <c r="N1313" s="553" t="str">
        <f>CONCATENATE(IF(OR(M1313=phu!$I$1,M1313=phu!$I$2,M1313=phu!$I$3),"Cam Thành Nam",""),IF(OR(M1313=phu!$I$4,M1313=phu!$I$5,M1313=phu!$I$6,M1313=phu!$I$7,M1313=phu!$I$8,M1313=phu!$I$9,M1313=phu!$I$10,M1313=phu!$I$11,M1313=phu!$I$12,M1313=phu!$I$13,M1313=phu!$I$14),"Cam Nghĩa",""),IF(OR(M1313=phu!$I$15,M1313=phu!$I$16,M1313=phu!$I$17,M1313=phu!$I$18,M1313=phu!$I$19,M1313=phu!$I$20,M1313=phu!$I$21),"Cam Phúc Bắc",""),IF(OR(M1313=phu!$I$22,M1313=phu!$I$23,M1313=phu!$I$24,M1313=phu!$I$25),"Cam Phúc Nam",""),IF(OR(M1313=phu!$I$26,M1313=phu!$I$27,M1313=phu!$I$28,M1313=phu!$I$29,M1313=phu!$I$30,M1313=phu!$I$31),"Cam Phú",""),IF(OR(M1313=phu!$I$32,M1313=phu!$I$33,M1313=phu!$I$34,M1313=phu!$I$35,M1313=phu!$I$36,M1313=phu!$I$37),"Cam Lộc",""),IF(OR(M1313=phu!$I$38,M1313=phu!$I$39,M1313=phu!$I$40,M1313=phu!$I$41,M1313=phu!$I$42,M1313=phu!$I$43,M1313=phu!$I$44),"Cam Thuận",""),IF(OR(M1313=phu!$I$45,M1313=phu!$I$46,M1313=phu!$I$47,M1313=phu!$I$48,M1313=phu!$I$49,M1313=phu!$I$50,M1313=phu!$I$51,M1313=phu!$I$52,M1313=phu!$I$53),"Cam Linh",""),IF(OR(M1313=phu!$I$54,M1313=phu!$I$55,M1313=phu!$I$56,M1313=phu!$I$57,M1313=phu!$I$58,M1313=phu!$I$59,M1313=phu!$I$60,M1313=phu!$I$61,M1313=phu!$I$62),"Cam Lợi",""),IF(OR(M1313=phu!$I$63,M1313=phu!$I$64,M1313=phu!$I$65,M1313=phu!$I$66,M1313=phu!$I$67,M1313=phu!$I$68,M1313=phu!$I$69,M1313=phu!$I$70,M1313=phu!$I$71),"Ba Ngòi",""),IF(OR(M1313=phu!$I$72,M1313=phu!$I$73,M1313=phu!$I$74,M1313=phu!$I$75,M1313=phu!$I$76,M1313=phu!$I$77,M1313=phu!$I$78),"Cam Phước Đông",""),IF(OR(M1313=phu!$I$79,M1313=phu!$I$80,M1313=phu!$I$81,M1313=phu!$I$82,M1313=phu!$I$83,M1313=phu!$I$84),"Cam Thịnh Đông",""),IF(OR(M1313=phu!$I$85,M1313=phu!$I$86,M1313=phu!$I$87,M1313=phu!$I$88),"Cam Thịnh Tây",""),IF(OR(M1313=phu!$I$89,M1313=phu!$I$90),"Cam Lập",""),IF(OR(M1313=phu!$I$91,M1313=phu!$I$92,M1313=phu!$I$93),"Cam Bình",""),IF(OR(M1313=phu!$I$94,M1313=phu!$I$95,M1313=phu!$I$96,M1313=phu!$I$97,M1313=phu!$I$98,M1313=phu!$I$99,M1313=phu!$I$100),"Huyện khác",""),IF(OR(M1313=phu!$I$101,M1313=phu!$I$102),"Tỉnh khác",""))</f>
        <v/>
      </c>
      <c r="O1313" s="814" t="str">
        <f t="shared" si="121"/>
        <v/>
      </c>
      <c r="P1313" s="254"/>
      <c r="Q1313" s="254"/>
      <c r="R1313" s="254"/>
      <c r="S1313" s="254"/>
      <c r="T1313" s="254"/>
      <c r="U1313" s="254"/>
      <c r="V1313" s="254"/>
      <c r="W1313" s="254"/>
      <c r="Y1313" s="246" t="str">
        <f t="shared" si="122"/>
        <v/>
      </c>
      <c r="Z1313" s="247" t="str">
        <f t="shared" si="120"/>
        <v/>
      </c>
      <c r="AA1313" s="246" t="str">
        <f t="shared" si="123"/>
        <v/>
      </c>
    </row>
    <row r="1314" spans="1:27" x14ac:dyDescent="0.25">
      <c r="A1314" s="248" t="str">
        <f t="shared" si="124"/>
        <v/>
      </c>
      <c r="B1314" s="249" t="str">
        <f t="shared" si="125"/>
        <v/>
      </c>
      <c r="C1314" s="250"/>
      <c r="D1314" s="251"/>
      <c r="E1314" s="241"/>
      <c r="F1314" s="252"/>
      <c r="G1314" s="252"/>
      <c r="H1314" s="253"/>
      <c r="I1314" s="250"/>
      <c r="J1314" s="250"/>
      <c r="K1314" s="270"/>
      <c r="L1314" s="250"/>
      <c r="M1314" s="250"/>
      <c r="N1314" s="553" t="str">
        <f>CONCATENATE(IF(OR(M1314=phu!$I$1,M1314=phu!$I$2,M1314=phu!$I$3),"Cam Thành Nam",""),IF(OR(M1314=phu!$I$4,M1314=phu!$I$5,M1314=phu!$I$6,M1314=phu!$I$7,M1314=phu!$I$8,M1314=phu!$I$9,M1314=phu!$I$10,M1314=phu!$I$11,M1314=phu!$I$12,M1314=phu!$I$13,M1314=phu!$I$14),"Cam Nghĩa",""),IF(OR(M1314=phu!$I$15,M1314=phu!$I$16,M1314=phu!$I$17,M1314=phu!$I$18,M1314=phu!$I$19,M1314=phu!$I$20,M1314=phu!$I$21),"Cam Phúc Bắc",""),IF(OR(M1314=phu!$I$22,M1314=phu!$I$23,M1314=phu!$I$24,M1314=phu!$I$25),"Cam Phúc Nam",""),IF(OR(M1314=phu!$I$26,M1314=phu!$I$27,M1314=phu!$I$28,M1314=phu!$I$29,M1314=phu!$I$30,M1314=phu!$I$31),"Cam Phú",""),IF(OR(M1314=phu!$I$32,M1314=phu!$I$33,M1314=phu!$I$34,M1314=phu!$I$35,M1314=phu!$I$36,M1314=phu!$I$37),"Cam Lộc",""),IF(OR(M1314=phu!$I$38,M1314=phu!$I$39,M1314=phu!$I$40,M1314=phu!$I$41,M1314=phu!$I$42,M1314=phu!$I$43,M1314=phu!$I$44),"Cam Thuận",""),IF(OR(M1314=phu!$I$45,M1314=phu!$I$46,M1314=phu!$I$47,M1314=phu!$I$48,M1314=phu!$I$49,M1314=phu!$I$50,M1314=phu!$I$51,M1314=phu!$I$52,M1314=phu!$I$53),"Cam Linh",""),IF(OR(M1314=phu!$I$54,M1314=phu!$I$55,M1314=phu!$I$56,M1314=phu!$I$57,M1314=phu!$I$58,M1314=phu!$I$59,M1314=phu!$I$60,M1314=phu!$I$61,M1314=phu!$I$62),"Cam Lợi",""),IF(OR(M1314=phu!$I$63,M1314=phu!$I$64,M1314=phu!$I$65,M1314=phu!$I$66,M1314=phu!$I$67,M1314=phu!$I$68,M1314=phu!$I$69,M1314=phu!$I$70,M1314=phu!$I$71),"Ba Ngòi",""),IF(OR(M1314=phu!$I$72,M1314=phu!$I$73,M1314=phu!$I$74,M1314=phu!$I$75,M1314=phu!$I$76,M1314=phu!$I$77,M1314=phu!$I$78),"Cam Phước Đông",""),IF(OR(M1314=phu!$I$79,M1314=phu!$I$80,M1314=phu!$I$81,M1314=phu!$I$82,M1314=phu!$I$83,M1314=phu!$I$84),"Cam Thịnh Đông",""),IF(OR(M1314=phu!$I$85,M1314=phu!$I$86,M1314=phu!$I$87,M1314=phu!$I$88),"Cam Thịnh Tây",""),IF(OR(M1314=phu!$I$89,M1314=phu!$I$90),"Cam Lập",""),IF(OR(M1314=phu!$I$91,M1314=phu!$I$92,M1314=phu!$I$93),"Cam Bình",""),IF(OR(M1314=phu!$I$94,M1314=phu!$I$95,M1314=phu!$I$96,M1314=phu!$I$97,M1314=phu!$I$98,M1314=phu!$I$99,M1314=phu!$I$100),"Huyện khác",""),IF(OR(M1314=phu!$I$101,M1314=phu!$I$102),"Tỉnh khác",""))</f>
        <v/>
      </c>
      <c r="O1314" s="814" t="str">
        <f t="shared" si="121"/>
        <v/>
      </c>
      <c r="P1314" s="254"/>
      <c r="Q1314" s="254"/>
      <c r="R1314" s="254"/>
      <c r="S1314" s="254"/>
      <c r="T1314" s="254"/>
      <c r="U1314" s="254"/>
      <c r="V1314" s="254"/>
      <c r="W1314" s="254"/>
      <c r="Y1314" s="246" t="str">
        <f t="shared" si="122"/>
        <v/>
      </c>
      <c r="Z1314" s="247" t="str">
        <f t="shared" si="120"/>
        <v/>
      </c>
      <c r="AA1314" s="246" t="str">
        <f t="shared" si="123"/>
        <v/>
      </c>
    </row>
    <row r="1315" spans="1:27" x14ac:dyDescent="0.25">
      <c r="A1315" s="248" t="str">
        <f t="shared" si="124"/>
        <v/>
      </c>
      <c r="B1315" s="249" t="str">
        <f t="shared" si="125"/>
        <v/>
      </c>
      <c r="C1315" s="250"/>
      <c r="D1315" s="251"/>
      <c r="E1315" s="241"/>
      <c r="F1315" s="252"/>
      <c r="G1315" s="252"/>
      <c r="H1315" s="253"/>
      <c r="I1315" s="250"/>
      <c r="J1315" s="250"/>
      <c r="K1315" s="270"/>
      <c r="L1315" s="250"/>
      <c r="M1315" s="250"/>
      <c r="N1315" s="553" t="str">
        <f>CONCATENATE(IF(OR(M1315=phu!$I$1,M1315=phu!$I$2,M1315=phu!$I$3),"Cam Thành Nam",""),IF(OR(M1315=phu!$I$4,M1315=phu!$I$5,M1315=phu!$I$6,M1315=phu!$I$7,M1315=phu!$I$8,M1315=phu!$I$9,M1315=phu!$I$10,M1315=phu!$I$11,M1315=phu!$I$12,M1315=phu!$I$13,M1315=phu!$I$14),"Cam Nghĩa",""),IF(OR(M1315=phu!$I$15,M1315=phu!$I$16,M1315=phu!$I$17,M1315=phu!$I$18,M1315=phu!$I$19,M1315=phu!$I$20,M1315=phu!$I$21),"Cam Phúc Bắc",""),IF(OR(M1315=phu!$I$22,M1315=phu!$I$23,M1315=phu!$I$24,M1315=phu!$I$25),"Cam Phúc Nam",""),IF(OR(M1315=phu!$I$26,M1315=phu!$I$27,M1315=phu!$I$28,M1315=phu!$I$29,M1315=phu!$I$30,M1315=phu!$I$31),"Cam Phú",""),IF(OR(M1315=phu!$I$32,M1315=phu!$I$33,M1315=phu!$I$34,M1315=phu!$I$35,M1315=phu!$I$36,M1315=phu!$I$37),"Cam Lộc",""),IF(OR(M1315=phu!$I$38,M1315=phu!$I$39,M1315=phu!$I$40,M1315=phu!$I$41,M1315=phu!$I$42,M1315=phu!$I$43,M1315=phu!$I$44),"Cam Thuận",""),IF(OR(M1315=phu!$I$45,M1315=phu!$I$46,M1315=phu!$I$47,M1315=phu!$I$48,M1315=phu!$I$49,M1315=phu!$I$50,M1315=phu!$I$51,M1315=phu!$I$52,M1315=phu!$I$53),"Cam Linh",""),IF(OR(M1315=phu!$I$54,M1315=phu!$I$55,M1315=phu!$I$56,M1315=phu!$I$57,M1315=phu!$I$58,M1315=phu!$I$59,M1315=phu!$I$60,M1315=phu!$I$61,M1315=phu!$I$62),"Cam Lợi",""),IF(OR(M1315=phu!$I$63,M1315=phu!$I$64,M1315=phu!$I$65,M1315=phu!$I$66,M1315=phu!$I$67,M1315=phu!$I$68,M1315=phu!$I$69,M1315=phu!$I$70,M1315=phu!$I$71),"Ba Ngòi",""),IF(OR(M1315=phu!$I$72,M1315=phu!$I$73,M1315=phu!$I$74,M1315=phu!$I$75,M1315=phu!$I$76,M1315=phu!$I$77,M1315=phu!$I$78),"Cam Phước Đông",""),IF(OR(M1315=phu!$I$79,M1315=phu!$I$80,M1315=phu!$I$81,M1315=phu!$I$82,M1315=phu!$I$83,M1315=phu!$I$84),"Cam Thịnh Đông",""),IF(OR(M1315=phu!$I$85,M1315=phu!$I$86,M1315=phu!$I$87,M1315=phu!$I$88),"Cam Thịnh Tây",""),IF(OR(M1315=phu!$I$89,M1315=phu!$I$90),"Cam Lập",""),IF(OR(M1315=phu!$I$91,M1315=phu!$I$92,M1315=phu!$I$93),"Cam Bình",""),IF(OR(M1315=phu!$I$94,M1315=phu!$I$95,M1315=phu!$I$96,M1315=phu!$I$97,M1315=phu!$I$98,M1315=phu!$I$99,M1315=phu!$I$100),"Huyện khác",""),IF(OR(M1315=phu!$I$101,M1315=phu!$I$102),"Tỉnh khác",""))</f>
        <v/>
      </c>
      <c r="O1315" s="814" t="str">
        <f t="shared" si="121"/>
        <v/>
      </c>
      <c r="P1315" s="254"/>
      <c r="Q1315" s="254"/>
      <c r="R1315" s="254"/>
      <c r="S1315" s="254"/>
      <c r="T1315" s="254"/>
      <c r="U1315" s="254"/>
      <c r="V1315" s="254"/>
      <c r="W1315" s="254"/>
      <c r="Y1315" s="246" t="str">
        <f t="shared" si="122"/>
        <v/>
      </c>
      <c r="Z1315" s="247" t="str">
        <f t="shared" si="120"/>
        <v/>
      </c>
      <c r="AA1315" s="246" t="str">
        <f t="shared" si="123"/>
        <v/>
      </c>
    </row>
    <row r="1316" spans="1:27" x14ac:dyDescent="0.25">
      <c r="A1316" s="248" t="str">
        <f t="shared" si="124"/>
        <v/>
      </c>
      <c r="B1316" s="249" t="str">
        <f t="shared" si="125"/>
        <v/>
      </c>
      <c r="C1316" s="250"/>
      <c r="D1316" s="251"/>
      <c r="E1316" s="241"/>
      <c r="F1316" s="252"/>
      <c r="G1316" s="252"/>
      <c r="H1316" s="253"/>
      <c r="I1316" s="250"/>
      <c r="J1316" s="250"/>
      <c r="K1316" s="270"/>
      <c r="L1316" s="250"/>
      <c r="M1316" s="250"/>
      <c r="N1316" s="553" t="str">
        <f>CONCATENATE(IF(OR(M1316=phu!$I$1,M1316=phu!$I$2,M1316=phu!$I$3),"Cam Thành Nam",""),IF(OR(M1316=phu!$I$4,M1316=phu!$I$5,M1316=phu!$I$6,M1316=phu!$I$7,M1316=phu!$I$8,M1316=phu!$I$9,M1316=phu!$I$10,M1316=phu!$I$11,M1316=phu!$I$12,M1316=phu!$I$13,M1316=phu!$I$14),"Cam Nghĩa",""),IF(OR(M1316=phu!$I$15,M1316=phu!$I$16,M1316=phu!$I$17,M1316=phu!$I$18,M1316=phu!$I$19,M1316=phu!$I$20,M1316=phu!$I$21),"Cam Phúc Bắc",""),IF(OR(M1316=phu!$I$22,M1316=phu!$I$23,M1316=phu!$I$24,M1316=phu!$I$25),"Cam Phúc Nam",""),IF(OR(M1316=phu!$I$26,M1316=phu!$I$27,M1316=phu!$I$28,M1316=phu!$I$29,M1316=phu!$I$30,M1316=phu!$I$31),"Cam Phú",""),IF(OR(M1316=phu!$I$32,M1316=phu!$I$33,M1316=phu!$I$34,M1316=phu!$I$35,M1316=phu!$I$36,M1316=phu!$I$37),"Cam Lộc",""),IF(OR(M1316=phu!$I$38,M1316=phu!$I$39,M1316=phu!$I$40,M1316=phu!$I$41,M1316=phu!$I$42,M1316=phu!$I$43,M1316=phu!$I$44),"Cam Thuận",""),IF(OR(M1316=phu!$I$45,M1316=phu!$I$46,M1316=phu!$I$47,M1316=phu!$I$48,M1316=phu!$I$49,M1316=phu!$I$50,M1316=phu!$I$51,M1316=phu!$I$52,M1316=phu!$I$53),"Cam Linh",""),IF(OR(M1316=phu!$I$54,M1316=phu!$I$55,M1316=phu!$I$56,M1316=phu!$I$57,M1316=phu!$I$58,M1316=phu!$I$59,M1316=phu!$I$60,M1316=phu!$I$61,M1316=phu!$I$62),"Cam Lợi",""),IF(OR(M1316=phu!$I$63,M1316=phu!$I$64,M1316=phu!$I$65,M1316=phu!$I$66,M1316=phu!$I$67,M1316=phu!$I$68,M1316=phu!$I$69,M1316=phu!$I$70,M1316=phu!$I$71),"Ba Ngòi",""),IF(OR(M1316=phu!$I$72,M1316=phu!$I$73,M1316=phu!$I$74,M1316=phu!$I$75,M1316=phu!$I$76,M1316=phu!$I$77,M1316=phu!$I$78),"Cam Phước Đông",""),IF(OR(M1316=phu!$I$79,M1316=phu!$I$80,M1316=phu!$I$81,M1316=phu!$I$82,M1316=phu!$I$83,M1316=phu!$I$84),"Cam Thịnh Đông",""),IF(OR(M1316=phu!$I$85,M1316=phu!$I$86,M1316=phu!$I$87,M1316=phu!$I$88),"Cam Thịnh Tây",""),IF(OR(M1316=phu!$I$89,M1316=phu!$I$90),"Cam Lập",""),IF(OR(M1316=phu!$I$91,M1316=phu!$I$92,M1316=phu!$I$93),"Cam Bình",""),IF(OR(M1316=phu!$I$94,M1316=phu!$I$95,M1316=phu!$I$96,M1316=phu!$I$97,M1316=phu!$I$98,M1316=phu!$I$99,M1316=phu!$I$100),"Huyện khác",""),IF(OR(M1316=phu!$I$101,M1316=phu!$I$102),"Tỉnh khác",""))</f>
        <v/>
      </c>
      <c r="O1316" s="814" t="str">
        <f t="shared" si="121"/>
        <v/>
      </c>
      <c r="P1316" s="254"/>
      <c r="Q1316" s="254"/>
      <c r="R1316" s="254"/>
      <c r="S1316" s="254"/>
      <c r="T1316" s="254"/>
      <c r="U1316" s="254"/>
      <c r="V1316" s="254"/>
      <c r="W1316" s="254"/>
      <c r="Y1316" s="246" t="str">
        <f t="shared" si="122"/>
        <v/>
      </c>
      <c r="Z1316" s="247" t="str">
        <f t="shared" si="120"/>
        <v/>
      </c>
      <c r="AA1316" s="246" t="str">
        <f t="shared" si="123"/>
        <v/>
      </c>
    </row>
    <row r="1317" spans="1:27" x14ac:dyDescent="0.25">
      <c r="A1317" s="248" t="str">
        <f t="shared" si="124"/>
        <v/>
      </c>
      <c r="B1317" s="249" t="str">
        <f t="shared" si="125"/>
        <v/>
      </c>
      <c r="C1317" s="250"/>
      <c r="D1317" s="251"/>
      <c r="E1317" s="241"/>
      <c r="F1317" s="252"/>
      <c r="G1317" s="252"/>
      <c r="H1317" s="253"/>
      <c r="I1317" s="250"/>
      <c r="J1317" s="250"/>
      <c r="K1317" s="270"/>
      <c r="L1317" s="250"/>
      <c r="M1317" s="250"/>
      <c r="N1317" s="553" t="str">
        <f>CONCATENATE(IF(OR(M1317=phu!$I$1,M1317=phu!$I$2,M1317=phu!$I$3),"Cam Thành Nam",""),IF(OR(M1317=phu!$I$4,M1317=phu!$I$5,M1317=phu!$I$6,M1317=phu!$I$7,M1317=phu!$I$8,M1317=phu!$I$9,M1317=phu!$I$10,M1317=phu!$I$11,M1317=phu!$I$12,M1317=phu!$I$13,M1317=phu!$I$14),"Cam Nghĩa",""),IF(OR(M1317=phu!$I$15,M1317=phu!$I$16,M1317=phu!$I$17,M1317=phu!$I$18,M1317=phu!$I$19,M1317=phu!$I$20,M1317=phu!$I$21),"Cam Phúc Bắc",""),IF(OR(M1317=phu!$I$22,M1317=phu!$I$23,M1317=phu!$I$24,M1317=phu!$I$25),"Cam Phúc Nam",""),IF(OR(M1317=phu!$I$26,M1317=phu!$I$27,M1317=phu!$I$28,M1317=phu!$I$29,M1317=phu!$I$30,M1317=phu!$I$31),"Cam Phú",""),IF(OR(M1317=phu!$I$32,M1317=phu!$I$33,M1317=phu!$I$34,M1317=phu!$I$35,M1317=phu!$I$36,M1317=phu!$I$37),"Cam Lộc",""),IF(OR(M1317=phu!$I$38,M1317=phu!$I$39,M1317=phu!$I$40,M1317=phu!$I$41,M1317=phu!$I$42,M1317=phu!$I$43,M1317=phu!$I$44),"Cam Thuận",""),IF(OR(M1317=phu!$I$45,M1317=phu!$I$46,M1317=phu!$I$47,M1317=phu!$I$48,M1317=phu!$I$49,M1317=phu!$I$50,M1317=phu!$I$51,M1317=phu!$I$52,M1317=phu!$I$53),"Cam Linh",""),IF(OR(M1317=phu!$I$54,M1317=phu!$I$55,M1317=phu!$I$56,M1317=phu!$I$57,M1317=phu!$I$58,M1317=phu!$I$59,M1317=phu!$I$60,M1317=phu!$I$61,M1317=phu!$I$62),"Cam Lợi",""),IF(OR(M1317=phu!$I$63,M1317=phu!$I$64,M1317=phu!$I$65,M1317=phu!$I$66,M1317=phu!$I$67,M1317=phu!$I$68,M1317=phu!$I$69,M1317=phu!$I$70,M1317=phu!$I$71),"Ba Ngòi",""),IF(OR(M1317=phu!$I$72,M1317=phu!$I$73,M1317=phu!$I$74,M1317=phu!$I$75,M1317=phu!$I$76,M1317=phu!$I$77,M1317=phu!$I$78),"Cam Phước Đông",""),IF(OR(M1317=phu!$I$79,M1317=phu!$I$80,M1317=phu!$I$81,M1317=phu!$I$82,M1317=phu!$I$83,M1317=phu!$I$84),"Cam Thịnh Đông",""),IF(OR(M1317=phu!$I$85,M1317=phu!$I$86,M1317=phu!$I$87,M1317=phu!$I$88),"Cam Thịnh Tây",""),IF(OR(M1317=phu!$I$89,M1317=phu!$I$90),"Cam Lập",""),IF(OR(M1317=phu!$I$91,M1317=phu!$I$92,M1317=phu!$I$93),"Cam Bình",""),IF(OR(M1317=phu!$I$94,M1317=phu!$I$95,M1317=phu!$I$96,M1317=phu!$I$97,M1317=phu!$I$98,M1317=phu!$I$99,M1317=phu!$I$100),"Huyện khác",""),IF(OR(M1317=phu!$I$101,M1317=phu!$I$102),"Tỉnh khác",""))</f>
        <v/>
      </c>
      <c r="O1317" s="814" t="str">
        <f t="shared" si="121"/>
        <v/>
      </c>
      <c r="P1317" s="254"/>
      <c r="Q1317" s="254"/>
      <c r="R1317" s="254"/>
      <c r="S1317" s="254"/>
      <c r="T1317" s="254"/>
      <c r="U1317" s="254"/>
      <c r="V1317" s="254"/>
      <c r="W1317" s="254"/>
      <c r="Y1317" s="246" t="str">
        <f t="shared" si="122"/>
        <v/>
      </c>
      <c r="Z1317" s="247" t="str">
        <f t="shared" si="120"/>
        <v/>
      </c>
      <c r="AA1317" s="246" t="str">
        <f t="shared" si="123"/>
        <v/>
      </c>
    </row>
    <row r="1318" spans="1:27" x14ac:dyDescent="0.25">
      <c r="A1318" s="248" t="str">
        <f t="shared" si="124"/>
        <v/>
      </c>
      <c r="B1318" s="249" t="str">
        <f t="shared" si="125"/>
        <v/>
      </c>
      <c r="C1318" s="250"/>
      <c r="D1318" s="251"/>
      <c r="E1318" s="241"/>
      <c r="F1318" s="252"/>
      <c r="G1318" s="252"/>
      <c r="H1318" s="253"/>
      <c r="I1318" s="250"/>
      <c r="J1318" s="250"/>
      <c r="K1318" s="270"/>
      <c r="L1318" s="250"/>
      <c r="M1318" s="250"/>
      <c r="N1318" s="553" t="str">
        <f>CONCATENATE(IF(OR(M1318=phu!$I$1,M1318=phu!$I$2,M1318=phu!$I$3),"Cam Thành Nam",""),IF(OR(M1318=phu!$I$4,M1318=phu!$I$5,M1318=phu!$I$6,M1318=phu!$I$7,M1318=phu!$I$8,M1318=phu!$I$9,M1318=phu!$I$10,M1318=phu!$I$11,M1318=phu!$I$12,M1318=phu!$I$13,M1318=phu!$I$14),"Cam Nghĩa",""),IF(OR(M1318=phu!$I$15,M1318=phu!$I$16,M1318=phu!$I$17,M1318=phu!$I$18,M1318=phu!$I$19,M1318=phu!$I$20,M1318=phu!$I$21),"Cam Phúc Bắc",""),IF(OR(M1318=phu!$I$22,M1318=phu!$I$23,M1318=phu!$I$24,M1318=phu!$I$25),"Cam Phúc Nam",""),IF(OR(M1318=phu!$I$26,M1318=phu!$I$27,M1318=phu!$I$28,M1318=phu!$I$29,M1318=phu!$I$30,M1318=phu!$I$31),"Cam Phú",""),IF(OR(M1318=phu!$I$32,M1318=phu!$I$33,M1318=phu!$I$34,M1318=phu!$I$35,M1318=phu!$I$36,M1318=phu!$I$37),"Cam Lộc",""),IF(OR(M1318=phu!$I$38,M1318=phu!$I$39,M1318=phu!$I$40,M1318=phu!$I$41,M1318=phu!$I$42,M1318=phu!$I$43,M1318=phu!$I$44),"Cam Thuận",""),IF(OR(M1318=phu!$I$45,M1318=phu!$I$46,M1318=phu!$I$47,M1318=phu!$I$48,M1318=phu!$I$49,M1318=phu!$I$50,M1318=phu!$I$51,M1318=phu!$I$52,M1318=phu!$I$53),"Cam Linh",""),IF(OR(M1318=phu!$I$54,M1318=phu!$I$55,M1318=phu!$I$56,M1318=phu!$I$57,M1318=phu!$I$58,M1318=phu!$I$59,M1318=phu!$I$60,M1318=phu!$I$61,M1318=phu!$I$62),"Cam Lợi",""),IF(OR(M1318=phu!$I$63,M1318=phu!$I$64,M1318=phu!$I$65,M1318=phu!$I$66,M1318=phu!$I$67,M1318=phu!$I$68,M1318=phu!$I$69,M1318=phu!$I$70,M1318=phu!$I$71),"Ba Ngòi",""),IF(OR(M1318=phu!$I$72,M1318=phu!$I$73,M1318=phu!$I$74,M1318=phu!$I$75,M1318=phu!$I$76,M1318=phu!$I$77,M1318=phu!$I$78),"Cam Phước Đông",""),IF(OR(M1318=phu!$I$79,M1318=phu!$I$80,M1318=phu!$I$81,M1318=phu!$I$82,M1318=phu!$I$83,M1318=phu!$I$84),"Cam Thịnh Đông",""),IF(OR(M1318=phu!$I$85,M1318=phu!$I$86,M1318=phu!$I$87,M1318=phu!$I$88),"Cam Thịnh Tây",""),IF(OR(M1318=phu!$I$89,M1318=phu!$I$90),"Cam Lập",""),IF(OR(M1318=phu!$I$91,M1318=phu!$I$92,M1318=phu!$I$93),"Cam Bình",""),IF(OR(M1318=phu!$I$94,M1318=phu!$I$95,M1318=phu!$I$96,M1318=phu!$I$97,M1318=phu!$I$98,M1318=phu!$I$99,M1318=phu!$I$100),"Huyện khác",""),IF(OR(M1318=phu!$I$101,M1318=phu!$I$102),"Tỉnh khác",""))</f>
        <v/>
      </c>
      <c r="O1318" s="814" t="str">
        <f t="shared" si="121"/>
        <v/>
      </c>
      <c r="P1318" s="254"/>
      <c r="Q1318" s="254"/>
      <c r="R1318" s="254"/>
      <c r="S1318" s="254"/>
      <c r="T1318" s="254"/>
      <c r="U1318" s="254"/>
      <c r="V1318" s="254"/>
      <c r="W1318" s="254"/>
      <c r="Y1318" s="246" t="str">
        <f t="shared" si="122"/>
        <v/>
      </c>
      <c r="Z1318" s="247" t="str">
        <f t="shared" si="120"/>
        <v/>
      </c>
      <c r="AA1318" s="246" t="str">
        <f t="shared" si="123"/>
        <v/>
      </c>
    </row>
    <row r="1319" spans="1:27" x14ac:dyDescent="0.25">
      <c r="A1319" s="248" t="str">
        <f t="shared" si="124"/>
        <v/>
      </c>
      <c r="B1319" s="249" t="str">
        <f t="shared" si="125"/>
        <v/>
      </c>
      <c r="C1319" s="250"/>
      <c r="D1319" s="251"/>
      <c r="E1319" s="241"/>
      <c r="F1319" s="252"/>
      <c r="G1319" s="252"/>
      <c r="H1319" s="253"/>
      <c r="I1319" s="250"/>
      <c r="J1319" s="250"/>
      <c r="K1319" s="270"/>
      <c r="L1319" s="250"/>
      <c r="M1319" s="250"/>
      <c r="N1319" s="553" t="str">
        <f>CONCATENATE(IF(OR(M1319=phu!$I$1,M1319=phu!$I$2,M1319=phu!$I$3),"Cam Thành Nam",""),IF(OR(M1319=phu!$I$4,M1319=phu!$I$5,M1319=phu!$I$6,M1319=phu!$I$7,M1319=phu!$I$8,M1319=phu!$I$9,M1319=phu!$I$10,M1319=phu!$I$11,M1319=phu!$I$12,M1319=phu!$I$13,M1319=phu!$I$14),"Cam Nghĩa",""),IF(OR(M1319=phu!$I$15,M1319=phu!$I$16,M1319=phu!$I$17,M1319=phu!$I$18,M1319=phu!$I$19,M1319=phu!$I$20,M1319=phu!$I$21),"Cam Phúc Bắc",""),IF(OR(M1319=phu!$I$22,M1319=phu!$I$23,M1319=phu!$I$24,M1319=phu!$I$25),"Cam Phúc Nam",""),IF(OR(M1319=phu!$I$26,M1319=phu!$I$27,M1319=phu!$I$28,M1319=phu!$I$29,M1319=phu!$I$30,M1319=phu!$I$31),"Cam Phú",""),IF(OR(M1319=phu!$I$32,M1319=phu!$I$33,M1319=phu!$I$34,M1319=phu!$I$35,M1319=phu!$I$36,M1319=phu!$I$37),"Cam Lộc",""),IF(OR(M1319=phu!$I$38,M1319=phu!$I$39,M1319=phu!$I$40,M1319=phu!$I$41,M1319=phu!$I$42,M1319=phu!$I$43,M1319=phu!$I$44),"Cam Thuận",""),IF(OR(M1319=phu!$I$45,M1319=phu!$I$46,M1319=phu!$I$47,M1319=phu!$I$48,M1319=phu!$I$49,M1319=phu!$I$50,M1319=phu!$I$51,M1319=phu!$I$52,M1319=phu!$I$53),"Cam Linh",""),IF(OR(M1319=phu!$I$54,M1319=phu!$I$55,M1319=phu!$I$56,M1319=phu!$I$57,M1319=phu!$I$58,M1319=phu!$I$59,M1319=phu!$I$60,M1319=phu!$I$61,M1319=phu!$I$62),"Cam Lợi",""),IF(OR(M1319=phu!$I$63,M1319=phu!$I$64,M1319=phu!$I$65,M1319=phu!$I$66,M1319=phu!$I$67,M1319=phu!$I$68,M1319=phu!$I$69,M1319=phu!$I$70,M1319=phu!$I$71),"Ba Ngòi",""),IF(OR(M1319=phu!$I$72,M1319=phu!$I$73,M1319=phu!$I$74,M1319=phu!$I$75,M1319=phu!$I$76,M1319=phu!$I$77,M1319=phu!$I$78),"Cam Phước Đông",""),IF(OR(M1319=phu!$I$79,M1319=phu!$I$80,M1319=phu!$I$81,M1319=phu!$I$82,M1319=phu!$I$83,M1319=phu!$I$84),"Cam Thịnh Đông",""),IF(OR(M1319=phu!$I$85,M1319=phu!$I$86,M1319=phu!$I$87,M1319=phu!$I$88),"Cam Thịnh Tây",""),IF(OR(M1319=phu!$I$89,M1319=phu!$I$90),"Cam Lập",""),IF(OR(M1319=phu!$I$91,M1319=phu!$I$92,M1319=phu!$I$93),"Cam Bình",""),IF(OR(M1319=phu!$I$94,M1319=phu!$I$95,M1319=phu!$I$96,M1319=phu!$I$97,M1319=phu!$I$98,M1319=phu!$I$99,M1319=phu!$I$100),"Huyện khác",""),IF(OR(M1319=phu!$I$101,M1319=phu!$I$102),"Tỉnh khác",""))</f>
        <v/>
      </c>
      <c r="O1319" s="814" t="str">
        <f t="shared" si="121"/>
        <v/>
      </c>
      <c r="P1319" s="254"/>
      <c r="Q1319" s="254"/>
      <c r="R1319" s="254"/>
      <c r="S1319" s="254"/>
      <c r="T1319" s="254"/>
      <c r="U1319" s="254"/>
      <c r="V1319" s="254"/>
      <c r="W1319" s="254"/>
      <c r="Y1319" s="246" t="str">
        <f t="shared" si="122"/>
        <v/>
      </c>
      <c r="Z1319" s="247" t="str">
        <f t="shared" si="120"/>
        <v/>
      </c>
      <c r="AA1319" s="246" t="str">
        <f t="shared" si="123"/>
        <v/>
      </c>
    </row>
    <row r="1320" spans="1:27" x14ac:dyDescent="0.25">
      <c r="A1320" s="248" t="str">
        <f t="shared" si="124"/>
        <v/>
      </c>
      <c r="B1320" s="249" t="str">
        <f t="shared" si="125"/>
        <v/>
      </c>
      <c r="C1320" s="250"/>
      <c r="D1320" s="251"/>
      <c r="E1320" s="241"/>
      <c r="F1320" s="252"/>
      <c r="G1320" s="252"/>
      <c r="H1320" s="253"/>
      <c r="I1320" s="250"/>
      <c r="J1320" s="250"/>
      <c r="K1320" s="270"/>
      <c r="L1320" s="250"/>
      <c r="M1320" s="250"/>
      <c r="N1320" s="553" t="str">
        <f>CONCATENATE(IF(OR(M1320=phu!$I$1,M1320=phu!$I$2,M1320=phu!$I$3),"Cam Thành Nam",""),IF(OR(M1320=phu!$I$4,M1320=phu!$I$5,M1320=phu!$I$6,M1320=phu!$I$7,M1320=phu!$I$8,M1320=phu!$I$9,M1320=phu!$I$10,M1320=phu!$I$11,M1320=phu!$I$12,M1320=phu!$I$13,M1320=phu!$I$14),"Cam Nghĩa",""),IF(OR(M1320=phu!$I$15,M1320=phu!$I$16,M1320=phu!$I$17,M1320=phu!$I$18,M1320=phu!$I$19,M1320=phu!$I$20,M1320=phu!$I$21),"Cam Phúc Bắc",""),IF(OR(M1320=phu!$I$22,M1320=phu!$I$23,M1320=phu!$I$24,M1320=phu!$I$25),"Cam Phúc Nam",""),IF(OR(M1320=phu!$I$26,M1320=phu!$I$27,M1320=phu!$I$28,M1320=phu!$I$29,M1320=phu!$I$30,M1320=phu!$I$31),"Cam Phú",""),IF(OR(M1320=phu!$I$32,M1320=phu!$I$33,M1320=phu!$I$34,M1320=phu!$I$35,M1320=phu!$I$36,M1320=phu!$I$37),"Cam Lộc",""),IF(OR(M1320=phu!$I$38,M1320=phu!$I$39,M1320=phu!$I$40,M1320=phu!$I$41,M1320=phu!$I$42,M1320=phu!$I$43,M1320=phu!$I$44),"Cam Thuận",""),IF(OR(M1320=phu!$I$45,M1320=phu!$I$46,M1320=phu!$I$47,M1320=phu!$I$48,M1320=phu!$I$49,M1320=phu!$I$50,M1320=phu!$I$51,M1320=phu!$I$52,M1320=phu!$I$53),"Cam Linh",""),IF(OR(M1320=phu!$I$54,M1320=phu!$I$55,M1320=phu!$I$56,M1320=phu!$I$57,M1320=phu!$I$58,M1320=phu!$I$59,M1320=phu!$I$60,M1320=phu!$I$61,M1320=phu!$I$62),"Cam Lợi",""),IF(OR(M1320=phu!$I$63,M1320=phu!$I$64,M1320=phu!$I$65,M1320=phu!$I$66,M1320=phu!$I$67,M1320=phu!$I$68,M1320=phu!$I$69,M1320=phu!$I$70,M1320=phu!$I$71),"Ba Ngòi",""),IF(OR(M1320=phu!$I$72,M1320=phu!$I$73,M1320=phu!$I$74,M1320=phu!$I$75,M1320=phu!$I$76,M1320=phu!$I$77,M1320=phu!$I$78),"Cam Phước Đông",""),IF(OR(M1320=phu!$I$79,M1320=phu!$I$80,M1320=phu!$I$81,M1320=phu!$I$82,M1320=phu!$I$83,M1320=phu!$I$84),"Cam Thịnh Đông",""),IF(OR(M1320=phu!$I$85,M1320=phu!$I$86,M1320=phu!$I$87,M1320=phu!$I$88),"Cam Thịnh Tây",""),IF(OR(M1320=phu!$I$89,M1320=phu!$I$90),"Cam Lập",""),IF(OR(M1320=phu!$I$91,M1320=phu!$I$92,M1320=phu!$I$93),"Cam Bình",""),IF(OR(M1320=phu!$I$94,M1320=phu!$I$95,M1320=phu!$I$96,M1320=phu!$I$97,M1320=phu!$I$98,M1320=phu!$I$99,M1320=phu!$I$100),"Huyện khác",""),IF(OR(M1320=phu!$I$101,M1320=phu!$I$102),"Tỉnh khác",""))</f>
        <v/>
      </c>
      <c r="O1320" s="814" t="str">
        <f t="shared" si="121"/>
        <v/>
      </c>
      <c r="P1320" s="254"/>
      <c r="Q1320" s="254"/>
      <c r="R1320" s="254"/>
      <c r="S1320" s="254"/>
      <c r="T1320" s="254"/>
      <c r="U1320" s="254"/>
      <c r="V1320" s="254"/>
      <c r="W1320" s="254"/>
      <c r="Y1320" s="246" t="str">
        <f t="shared" si="122"/>
        <v/>
      </c>
      <c r="Z1320" s="247" t="str">
        <f t="shared" si="120"/>
        <v/>
      </c>
      <c r="AA1320" s="246" t="str">
        <f t="shared" si="123"/>
        <v/>
      </c>
    </row>
    <row r="1321" spans="1:27" x14ac:dyDescent="0.25">
      <c r="A1321" s="248" t="str">
        <f t="shared" si="124"/>
        <v/>
      </c>
      <c r="B1321" s="249" t="str">
        <f t="shared" si="125"/>
        <v/>
      </c>
      <c r="C1321" s="250"/>
      <c r="D1321" s="251"/>
      <c r="E1321" s="241"/>
      <c r="F1321" s="252"/>
      <c r="G1321" s="252"/>
      <c r="H1321" s="253"/>
      <c r="I1321" s="250"/>
      <c r="J1321" s="250"/>
      <c r="K1321" s="270"/>
      <c r="L1321" s="250"/>
      <c r="M1321" s="250"/>
      <c r="N1321" s="553" t="str">
        <f>CONCATENATE(IF(OR(M1321=phu!$I$1,M1321=phu!$I$2,M1321=phu!$I$3),"Cam Thành Nam",""),IF(OR(M1321=phu!$I$4,M1321=phu!$I$5,M1321=phu!$I$6,M1321=phu!$I$7,M1321=phu!$I$8,M1321=phu!$I$9,M1321=phu!$I$10,M1321=phu!$I$11,M1321=phu!$I$12,M1321=phu!$I$13,M1321=phu!$I$14),"Cam Nghĩa",""),IF(OR(M1321=phu!$I$15,M1321=phu!$I$16,M1321=phu!$I$17,M1321=phu!$I$18,M1321=phu!$I$19,M1321=phu!$I$20,M1321=phu!$I$21),"Cam Phúc Bắc",""),IF(OR(M1321=phu!$I$22,M1321=phu!$I$23,M1321=phu!$I$24,M1321=phu!$I$25),"Cam Phúc Nam",""),IF(OR(M1321=phu!$I$26,M1321=phu!$I$27,M1321=phu!$I$28,M1321=phu!$I$29,M1321=phu!$I$30,M1321=phu!$I$31),"Cam Phú",""),IF(OR(M1321=phu!$I$32,M1321=phu!$I$33,M1321=phu!$I$34,M1321=phu!$I$35,M1321=phu!$I$36,M1321=phu!$I$37),"Cam Lộc",""),IF(OR(M1321=phu!$I$38,M1321=phu!$I$39,M1321=phu!$I$40,M1321=phu!$I$41,M1321=phu!$I$42,M1321=phu!$I$43,M1321=phu!$I$44),"Cam Thuận",""),IF(OR(M1321=phu!$I$45,M1321=phu!$I$46,M1321=phu!$I$47,M1321=phu!$I$48,M1321=phu!$I$49,M1321=phu!$I$50,M1321=phu!$I$51,M1321=phu!$I$52,M1321=phu!$I$53),"Cam Linh",""),IF(OR(M1321=phu!$I$54,M1321=phu!$I$55,M1321=phu!$I$56,M1321=phu!$I$57,M1321=phu!$I$58,M1321=phu!$I$59,M1321=phu!$I$60,M1321=phu!$I$61,M1321=phu!$I$62),"Cam Lợi",""),IF(OR(M1321=phu!$I$63,M1321=phu!$I$64,M1321=phu!$I$65,M1321=phu!$I$66,M1321=phu!$I$67,M1321=phu!$I$68,M1321=phu!$I$69,M1321=phu!$I$70,M1321=phu!$I$71),"Ba Ngòi",""),IF(OR(M1321=phu!$I$72,M1321=phu!$I$73,M1321=phu!$I$74,M1321=phu!$I$75,M1321=phu!$I$76,M1321=phu!$I$77,M1321=phu!$I$78),"Cam Phước Đông",""),IF(OR(M1321=phu!$I$79,M1321=phu!$I$80,M1321=phu!$I$81,M1321=phu!$I$82,M1321=phu!$I$83,M1321=phu!$I$84),"Cam Thịnh Đông",""),IF(OR(M1321=phu!$I$85,M1321=phu!$I$86,M1321=phu!$I$87,M1321=phu!$I$88),"Cam Thịnh Tây",""),IF(OR(M1321=phu!$I$89,M1321=phu!$I$90),"Cam Lập",""),IF(OR(M1321=phu!$I$91,M1321=phu!$I$92,M1321=phu!$I$93),"Cam Bình",""),IF(OR(M1321=phu!$I$94,M1321=phu!$I$95,M1321=phu!$I$96,M1321=phu!$I$97,M1321=phu!$I$98,M1321=phu!$I$99,M1321=phu!$I$100),"Huyện khác",""),IF(OR(M1321=phu!$I$101,M1321=phu!$I$102),"Tỉnh khác",""))</f>
        <v/>
      </c>
      <c r="O1321" s="814" t="str">
        <f t="shared" si="121"/>
        <v/>
      </c>
      <c r="P1321" s="254"/>
      <c r="Q1321" s="254"/>
      <c r="R1321" s="254"/>
      <c r="S1321" s="254"/>
      <c r="T1321" s="254"/>
      <c r="U1321" s="254"/>
      <c r="V1321" s="254"/>
      <c r="W1321" s="254"/>
      <c r="Y1321" s="246" t="str">
        <f t="shared" si="122"/>
        <v/>
      </c>
      <c r="Z1321" s="247" t="str">
        <f t="shared" si="120"/>
        <v/>
      </c>
      <c r="AA1321" s="246" t="str">
        <f t="shared" si="123"/>
        <v/>
      </c>
    </row>
    <row r="1322" spans="1:27" x14ac:dyDescent="0.25">
      <c r="A1322" s="248" t="str">
        <f t="shared" si="124"/>
        <v/>
      </c>
      <c r="B1322" s="249" t="str">
        <f t="shared" si="125"/>
        <v/>
      </c>
      <c r="C1322" s="250"/>
      <c r="D1322" s="251"/>
      <c r="E1322" s="241"/>
      <c r="F1322" s="252"/>
      <c r="G1322" s="252"/>
      <c r="H1322" s="253"/>
      <c r="I1322" s="250"/>
      <c r="J1322" s="250"/>
      <c r="K1322" s="270"/>
      <c r="L1322" s="250"/>
      <c r="M1322" s="250"/>
      <c r="N1322" s="553" t="str">
        <f>CONCATENATE(IF(OR(M1322=phu!$I$1,M1322=phu!$I$2,M1322=phu!$I$3),"Cam Thành Nam",""),IF(OR(M1322=phu!$I$4,M1322=phu!$I$5,M1322=phu!$I$6,M1322=phu!$I$7,M1322=phu!$I$8,M1322=phu!$I$9,M1322=phu!$I$10,M1322=phu!$I$11,M1322=phu!$I$12,M1322=phu!$I$13,M1322=phu!$I$14),"Cam Nghĩa",""),IF(OR(M1322=phu!$I$15,M1322=phu!$I$16,M1322=phu!$I$17,M1322=phu!$I$18,M1322=phu!$I$19,M1322=phu!$I$20,M1322=phu!$I$21),"Cam Phúc Bắc",""),IF(OR(M1322=phu!$I$22,M1322=phu!$I$23,M1322=phu!$I$24,M1322=phu!$I$25),"Cam Phúc Nam",""),IF(OR(M1322=phu!$I$26,M1322=phu!$I$27,M1322=phu!$I$28,M1322=phu!$I$29,M1322=phu!$I$30,M1322=phu!$I$31),"Cam Phú",""),IF(OR(M1322=phu!$I$32,M1322=phu!$I$33,M1322=phu!$I$34,M1322=phu!$I$35,M1322=phu!$I$36,M1322=phu!$I$37),"Cam Lộc",""),IF(OR(M1322=phu!$I$38,M1322=phu!$I$39,M1322=phu!$I$40,M1322=phu!$I$41,M1322=phu!$I$42,M1322=phu!$I$43,M1322=phu!$I$44),"Cam Thuận",""),IF(OR(M1322=phu!$I$45,M1322=phu!$I$46,M1322=phu!$I$47,M1322=phu!$I$48,M1322=phu!$I$49,M1322=phu!$I$50,M1322=phu!$I$51,M1322=phu!$I$52,M1322=phu!$I$53),"Cam Linh",""),IF(OR(M1322=phu!$I$54,M1322=phu!$I$55,M1322=phu!$I$56,M1322=phu!$I$57,M1322=phu!$I$58,M1322=phu!$I$59,M1322=phu!$I$60,M1322=phu!$I$61,M1322=phu!$I$62),"Cam Lợi",""),IF(OR(M1322=phu!$I$63,M1322=phu!$I$64,M1322=phu!$I$65,M1322=phu!$I$66,M1322=phu!$I$67,M1322=phu!$I$68,M1322=phu!$I$69,M1322=phu!$I$70,M1322=phu!$I$71),"Ba Ngòi",""),IF(OR(M1322=phu!$I$72,M1322=phu!$I$73,M1322=phu!$I$74,M1322=phu!$I$75,M1322=phu!$I$76,M1322=phu!$I$77,M1322=phu!$I$78),"Cam Phước Đông",""),IF(OR(M1322=phu!$I$79,M1322=phu!$I$80,M1322=phu!$I$81,M1322=phu!$I$82,M1322=phu!$I$83,M1322=phu!$I$84),"Cam Thịnh Đông",""),IF(OR(M1322=phu!$I$85,M1322=phu!$I$86,M1322=phu!$I$87,M1322=phu!$I$88),"Cam Thịnh Tây",""),IF(OR(M1322=phu!$I$89,M1322=phu!$I$90),"Cam Lập",""),IF(OR(M1322=phu!$I$91,M1322=phu!$I$92,M1322=phu!$I$93),"Cam Bình",""),IF(OR(M1322=phu!$I$94,M1322=phu!$I$95,M1322=phu!$I$96,M1322=phu!$I$97,M1322=phu!$I$98,M1322=phu!$I$99,M1322=phu!$I$100),"Huyện khác",""),IF(OR(M1322=phu!$I$101,M1322=phu!$I$102),"Tỉnh khác",""))</f>
        <v/>
      </c>
      <c r="O1322" s="814" t="str">
        <f t="shared" si="121"/>
        <v/>
      </c>
      <c r="P1322" s="254"/>
      <c r="Q1322" s="254"/>
      <c r="R1322" s="254"/>
      <c r="S1322" s="254"/>
      <c r="T1322" s="254"/>
      <c r="U1322" s="254"/>
      <c r="V1322" s="254"/>
      <c r="W1322" s="254"/>
      <c r="Y1322" s="246" t="str">
        <f t="shared" si="122"/>
        <v/>
      </c>
      <c r="Z1322" s="247" t="str">
        <f t="shared" si="120"/>
        <v/>
      </c>
      <c r="AA1322" s="246" t="str">
        <f t="shared" si="123"/>
        <v/>
      </c>
    </row>
    <row r="1323" spans="1:27" x14ac:dyDescent="0.25">
      <c r="A1323" s="248" t="str">
        <f t="shared" si="124"/>
        <v/>
      </c>
      <c r="B1323" s="249" t="str">
        <f t="shared" si="125"/>
        <v/>
      </c>
      <c r="C1323" s="250"/>
      <c r="D1323" s="251"/>
      <c r="E1323" s="241"/>
      <c r="F1323" s="252"/>
      <c r="G1323" s="252"/>
      <c r="H1323" s="253"/>
      <c r="I1323" s="250"/>
      <c r="J1323" s="250"/>
      <c r="K1323" s="270"/>
      <c r="L1323" s="250"/>
      <c r="M1323" s="250"/>
      <c r="N1323" s="553" t="str">
        <f>CONCATENATE(IF(OR(M1323=phu!$I$1,M1323=phu!$I$2,M1323=phu!$I$3),"Cam Thành Nam",""),IF(OR(M1323=phu!$I$4,M1323=phu!$I$5,M1323=phu!$I$6,M1323=phu!$I$7,M1323=phu!$I$8,M1323=phu!$I$9,M1323=phu!$I$10,M1323=phu!$I$11,M1323=phu!$I$12,M1323=phu!$I$13,M1323=phu!$I$14),"Cam Nghĩa",""),IF(OR(M1323=phu!$I$15,M1323=phu!$I$16,M1323=phu!$I$17,M1323=phu!$I$18,M1323=phu!$I$19,M1323=phu!$I$20,M1323=phu!$I$21),"Cam Phúc Bắc",""),IF(OR(M1323=phu!$I$22,M1323=phu!$I$23,M1323=phu!$I$24,M1323=phu!$I$25),"Cam Phúc Nam",""),IF(OR(M1323=phu!$I$26,M1323=phu!$I$27,M1323=phu!$I$28,M1323=phu!$I$29,M1323=phu!$I$30,M1323=phu!$I$31),"Cam Phú",""),IF(OR(M1323=phu!$I$32,M1323=phu!$I$33,M1323=phu!$I$34,M1323=phu!$I$35,M1323=phu!$I$36,M1323=phu!$I$37),"Cam Lộc",""),IF(OR(M1323=phu!$I$38,M1323=phu!$I$39,M1323=phu!$I$40,M1323=phu!$I$41,M1323=phu!$I$42,M1323=phu!$I$43,M1323=phu!$I$44),"Cam Thuận",""),IF(OR(M1323=phu!$I$45,M1323=phu!$I$46,M1323=phu!$I$47,M1323=phu!$I$48,M1323=phu!$I$49,M1323=phu!$I$50,M1323=phu!$I$51,M1323=phu!$I$52,M1323=phu!$I$53),"Cam Linh",""),IF(OR(M1323=phu!$I$54,M1323=phu!$I$55,M1323=phu!$I$56,M1323=phu!$I$57,M1323=phu!$I$58,M1323=phu!$I$59,M1323=phu!$I$60,M1323=phu!$I$61,M1323=phu!$I$62),"Cam Lợi",""),IF(OR(M1323=phu!$I$63,M1323=phu!$I$64,M1323=phu!$I$65,M1323=phu!$I$66,M1323=phu!$I$67,M1323=phu!$I$68,M1323=phu!$I$69,M1323=phu!$I$70,M1323=phu!$I$71),"Ba Ngòi",""),IF(OR(M1323=phu!$I$72,M1323=phu!$I$73,M1323=phu!$I$74,M1323=phu!$I$75,M1323=phu!$I$76,M1323=phu!$I$77,M1323=phu!$I$78),"Cam Phước Đông",""),IF(OR(M1323=phu!$I$79,M1323=phu!$I$80,M1323=phu!$I$81,M1323=phu!$I$82,M1323=phu!$I$83,M1323=phu!$I$84),"Cam Thịnh Đông",""),IF(OR(M1323=phu!$I$85,M1323=phu!$I$86,M1323=phu!$I$87,M1323=phu!$I$88),"Cam Thịnh Tây",""),IF(OR(M1323=phu!$I$89,M1323=phu!$I$90),"Cam Lập",""),IF(OR(M1323=phu!$I$91,M1323=phu!$I$92,M1323=phu!$I$93),"Cam Bình",""),IF(OR(M1323=phu!$I$94,M1323=phu!$I$95,M1323=phu!$I$96,M1323=phu!$I$97,M1323=phu!$I$98,M1323=phu!$I$99,M1323=phu!$I$100),"Huyện khác",""),IF(OR(M1323=phu!$I$101,M1323=phu!$I$102),"Tỉnh khác",""))</f>
        <v/>
      </c>
      <c r="O1323" s="814" t="str">
        <f t="shared" si="121"/>
        <v/>
      </c>
      <c r="P1323" s="254"/>
      <c r="Q1323" s="254"/>
      <c r="R1323" s="254"/>
      <c r="S1323" s="254"/>
      <c r="T1323" s="254"/>
      <c r="U1323" s="254"/>
      <c r="V1323" s="254"/>
      <c r="W1323" s="254"/>
      <c r="Y1323" s="246" t="str">
        <f t="shared" si="122"/>
        <v/>
      </c>
      <c r="Z1323" s="247" t="str">
        <f t="shared" si="120"/>
        <v/>
      </c>
      <c r="AA1323" s="246" t="str">
        <f t="shared" si="123"/>
        <v/>
      </c>
    </row>
    <row r="1324" spans="1:27" x14ac:dyDescent="0.25">
      <c r="A1324" s="248" t="str">
        <f t="shared" si="124"/>
        <v/>
      </c>
      <c r="B1324" s="249" t="str">
        <f t="shared" si="125"/>
        <v/>
      </c>
      <c r="C1324" s="250"/>
      <c r="D1324" s="251"/>
      <c r="E1324" s="241"/>
      <c r="F1324" s="252"/>
      <c r="G1324" s="252"/>
      <c r="H1324" s="253"/>
      <c r="I1324" s="250"/>
      <c r="J1324" s="250"/>
      <c r="K1324" s="270"/>
      <c r="L1324" s="250"/>
      <c r="M1324" s="250"/>
      <c r="N1324" s="553" t="str">
        <f>CONCATENATE(IF(OR(M1324=phu!$I$1,M1324=phu!$I$2,M1324=phu!$I$3),"Cam Thành Nam",""),IF(OR(M1324=phu!$I$4,M1324=phu!$I$5,M1324=phu!$I$6,M1324=phu!$I$7,M1324=phu!$I$8,M1324=phu!$I$9,M1324=phu!$I$10,M1324=phu!$I$11,M1324=phu!$I$12,M1324=phu!$I$13,M1324=phu!$I$14),"Cam Nghĩa",""),IF(OR(M1324=phu!$I$15,M1324=phu!$I$16,M1324=phu!$I$17,M1324=phu!$I$18,M1324=phu!$I$19,M1324=phu!$I$20,M1324=phu!$I$21),"Cam Phúc Bắc",""),IF(OR(M1324=phu!$I$22,M1324=phu!$I$23,M1324=phu!$I$24,M1324=phu!$I$25),"Cam Phúc Nam",""),IF(OR(M1324=phu!$I$26,M1324=phu!$I$27,M1324=phu!$I$28,M1324=phu!$I$29,M1324=phu!$I$30,M1324=phu!$I$31),"Cam Phú",""),IF(OR(M1324=phu!$I$32,M1324=phu!$I$33,M1324=phu!$I$34,M1324=phu!$I$35,M1324=phu!$I$36,M1324=phu!$I$37),"Cam Lộc",""),IF(OR(M1324=phu!$I$38,M1324=phu!$I$39,M1324=phu!$I$40,M1324=phu!$I$41,M1324=phu!$I$42,M1324=phu!$I$43,M1324=phu!$I$44),"Cam Thuận",""),IF(OR(M1324=phu!$I$45,M1324=phu!$I$46,M1324=phu!$I$47,M1324=phu!$I$48,M1324=phu!$I$49,M1324=phu!$I$50,M1324=phu!$I$51,M1324=phu!$I$52,M1324=phu!$I$53),"Cam Linh",""),IF(OR(M1324=phu!$I$54,M1324=phu!$I$55,M1324=phu!$I$56,M1324=phu!$I$57,M1324=phu!$I$58,M1324=phu!$I$59,M1324=phu!$I$60,M1324=phu!$I$61,M1324=phu!$I$62),"Cam Lợi",""),IF(OR(M1324=phu!$I$63,M1324=phu!$I$64,M1324=phu!$I$65,M1324=phu!$I$66,M1324=phu!$I$67,M1324=phu!$I$68,M1324=phu!$I$69,M1324=phu!$I$70,M1324=phu!$I$71),"Ba Ngòi",""),IF(OR(M1324=phu!$I$72,M1324=phu!$I$73,M1324=phu!$I$74,M1324=phu!$I$75,M1324=phu!$I$76,M1324=phu!$I$77,M1324=phu!$I$78),"Cam Phước Đông",""),IF(OR(M1324=phu!$I$79,M1324=phu!$I$80,M1324=phu!$I$81,M1324=phu!$I$82,M1324=phu!$I$83,M1324=phu!$I$84),"Cam Thịnh Đông",""),IF(OR(M1324=phu!$I$85,M1324=phu!$I$86,M1324=phu!$I$87,M1324=phu!$I$88),"Cam Thịnh Tây",""),IF(OR(M1324=phu!$I$89,M1324=phu!$I$90),"Cam Lập",""),IF(OR(M1324=phu!$I$91,M1324=phu!$I$92,M1324=phu!$I$93),"Cam Bình",""),IF(OR(M1324=phu!$I$94,M1324=phu!$I$95,M1324=phu!$I$96,M1324=phu!$I$97,M1324=phu!$I$98,M1324=phu!$I$99,M1324=phu!$I$100),"Huyện khác",""),IF(OR(M1324=phu!$I$101,M1324=phu!$I$102),"Tỉnh khác",""))</f>
        <v/>
      </c>
      <c r="O1324" s="814" t="str">
        <f t="shared" si="121"/>
        <v/>
      </c>
      <c r="P1324" s="254"/>
      <c r="Q1324" s="254"/>
      <c r="R1324" s="254"/>
      <c r="S1324" s="254"/>
      <c r="T1324" s="254"/>
      <c r="U1324" s="254"/>
      <c r="V1324" s="254"/>
      <c r="W1324" s="254"/>
      <c r="Y1324" s="246" t="str">
        <f t="shared" si="122"/>
        <v/>
      </c>
      <c r="Z1324" s="247" t="str">
        <f t="shared" si="120"/>
        <v/>
      </c>
      <c r="AA1324" s="246" t="str">
        <f t="shared" si="123"/>
        <v/>
      </c>
    </row>
    <row r="1325" spans="1:27" x14ac:dyDescent="0.25">
      <c r="A1325" s="248" t="str">
        <f t="shared" si="124"/>
        <v/>
      </c>
      <c r="B1325" s="249" t="str">
        <f t="shared" si="125"/>
        <v/>
      </c>
      <c r="C1325" s="250"/>
      <c r="D1325" s="251"/>
      <c r="E1325" s="241"/>
      <c r="F1325" s="252"/>
      <c r="G1325" s="252"/>
      <c r="H1325" s="253"/>
      <c r="I1325" s="250"/>
      <c r="J1325" s="250"/>
      <c r="K1325" s="270"/>
      <c r="L1325" s="250"/>
      <c r="M1325" s="250"/>
      <c r="N1325" s="553" t="str">
        <f>CONCATENATE(IF(OR(M1325=phu!$I$1,M1325=phu!$I$2,M1325=phu!$I$3),"Cam Thành Nam",""),IF(OR(M1325=phu!$I$4,M1325=phu!$I$5,M1325=phu!$I$6,M1325=phu!$I$7,M1325=phu!$I$8,M1325=phu!$I$9,M1325=phu!$I$10,M1325=phu!$I$11,M1325=phu!$I$12,M1325=phu!$I$13,M1325=phu!$I$14),"Cam Nghĩa",""),IF(OR(M1325=phu!$I$15,M1325=phu!$I$16,M1325=phu!$I$17,M1325=phu!$I$18,M1325=phu!$I$19,M1325=phu!$I$20,M1325=phu!$I$21),"Cam Phúc Bắc",""),IF(OR(M1325=phu!$I$22,M1325=phu!$I$23,M1325=phu!$I$24,M1325=phu!$I$25),"Cam Phúc Nam",""),IF(OR(M1325=phu!$I$26,M1325=phu!$I$27,M1325=phu!$I$28,M1325=phu!$I$29,M1325=phu!$I$30,M1325=phu!$I$31),"Cam Phú",""),IF(OR(M1325=phu!$I$32,M1325=phu!$I$33,M1325=phu!$I$34,M1325=phu!$I$35,M1325=phu!$I$36,M1325=phu!$I$37),"Cam Lộc",""),IF(OR(M1325=phu!$I$38,M1325=phu!$I$39,M1325=phu!$I$40,M1325=phu!$I$41,M1325=phu!$I$42,M1325=phu!$I$43,M1325=phu!$I$44),"Cam Thuận",""),IF(OR(M1325=phu!$I$45,M1325=phu!$I$46,M1325=phu!$I$47,M1325=phu!$I$48,M1325=phu!$I$49,M1325=phu!$I$50,M1325=phu!$I$51,M1325=phu!$I$52,M1325=phu!$I$53),"Cam Linh",""),IF(OR(M1325=phu!$I$54,M1325=phu!$I$55,M1325=phu!$I$56,M1325=phu!$I$57,M1325=phu!$I$58,M1325=phu!$I$59,M1325=phu!$I$60,M1325=phu!$I$61,M1325=phu!$I$62),"Cam Lợi",""),IF(OR(M1325=phu!$I$63,M1325=phu!$I$64,M1325=phu!$I$65,M1325=phu!$I$66,M1325=phu!$I$67,M1325=phu!$I$68,M1325=phu!$I$69,M1325=phu!$I$70,M1325=phu!$I$71),"Ba Ngòi",""),IF(OR(M1325=phu!$I$72,M1325=phu!$I$73,M1325=phu!$I$74,M1325=phu!$I$75,M1325=phu!$I$76,M1325=phu!$I$77,M1325=phu!$I$78),"Cam Phước Đông",""),IF(OR(M1325=phu!$I$79,M1325=phu!$I$80,M1325=phu!$I$81,M1325=phu!$I$82,M1325=phu!$I$83,M1325=phu!$I$84),"Cam Thịnh Đông",""),IF(OR(M1325=phu!$I$85,M1325=phu!$I$86,M1325=phu!$I$87,M1325=phu!$I$88),"Cam Thịnh Tây",""),IF(OR(M1325=phu!$I$89,M1325=phu!$I$90),"Cam Lập",""),IF(OR(M1325=phu!$I$91,M1325=phu!$I$92,M1325=phu!$I$93),"Cam Bình",""),IF(OR(M1325=phu!$I$94,M1325=phu!$I$95,M1325=phu!$I$96,M1325=phu!$I$97,M1325=phu!$I$98,M1325=phu!$I$99,M1325=phu!$I$100),"Huyện khác",""),IF(OR(M1325=phu!$I$101,M1325=phu!$I$102),"Tỉnh khác",""))</f>
        <v/>
      </c>
      <c r="O1325" s="814" t="str">
        <f t="shared" si="121"/>
        <v/>
      </c>
      <c r="P1325" s="254"/>
      <c r="Q1325" s="254"/>
      <c r="R1325" s="254"/>
      <c r="S1325" s="254"/>
      <c r="T1325" s="254"/>
      <c r="U1325" s="254"/>
      <c r="V1325" s="254"/>
      <c r="W1325" s="254"/>
      <c r="Y1325" s="246" t="str">
        <f t="shared" si="122"/>
        <v/>
      </c>
      <c r="Z1325" s="247" t="str">
        <f t="shared" si="120"/>
        <v/>
      </c>
      <c r="AA1325" s="246" t="str">
        <f t="shared" si="123"/>
        <v/>
      </c>
    </row>
    <row r="1326" spans="1:27" x14ac:dyDescent="0.25">
      <c r="A1326" s="248" t="str">
        <f t="shared" si="124"/>
        <v/>
      </c>
      <c r="B1326" s="249" t="str">
        <f t="shared" si="125"/>
        <v/>
      </c>
      <c r="C1326" s="250"/>
      <c r="D1326" s="251"/>
      <c r="E1326" s="241"/>
      <c r="F1326" s="252"/>
      <c r="G1326" s="252"/>
      <c r="H1326" s="253"/>
      <c r="I1326" s="250"/>
      <c r="J1326" s="250"/>
      <c r="K1326" s="270"/>
      <c r="L1326" s="250"/>
      <c r="M1326" s="250"/>
      <c r="N1326" s="553" t="str">
        <f>CONCATENATE(IF(OR(M1326=phu!$I$1,M1326=phu!$I$2,M1326=phu!$I$3),"Cam Thành Nam",""),IF(OR(M1326=phu!$I$4,M1326=phu!$I$5,M1326=phu!$I$6,M1326=phu!$I$7,M1326=phu!$I$8,M1326=phu!$I$9,M1326=phu!$I$10,M1326=phu!$I$11,M1326=phu!$I$12,M1326=phu!$I$13,M1326=phu!$I$14),"Cam Nghĩa",""),IF(OR(M1326=phu!$I$15,M1326=phu!$I$16,M1326=phu!$I$17,M1326=phu!$I$18,M1326=phu!$I$19,M1326=phu!$I$20,M1326=phu!$I$21),"Cam Phúc Bắc",""),IF(OR(M1326=phu!$I$22,M1326=phu!$I$23,M1326=phu!$I$24,M1326=phu!$I$25),"Cam Phúc Nam",""),IF(OR(M1326=phu!$I$26,M1326=phu!$I$27,M1326=phu!$I$28,M1326=phu!$I$29,M1326=phu!$I$30,M1326=phu!$I$31),"Cam Phú",""),IF(OR(M1326=phu!$I$32,M1326=phu!$I$33,M1326=phu!$I$34,M1326=phu!$I$35,M1326=phu!$I$36,M1326=phu!$I$37),"Cam Lộc",""),IF(OR(M1326=phu!$I$38,M1326=phu!$I$39,M1326=phu!$I$40,M1326=phu!$I$41,M1326=phu!$I$42,M1326=phu!$I$43,M1326=phu!$I$44),"Cam Thuận",""),IF(OR(M1326=phu!$I$45,M1326=phu!$I$46,M1326=phu!$I$47,M1326=phu!$I$48,M1326=phu!$I$49,M1326=phu!$I$50,M1326=phu!$I$51,M1326=phu!$I$52,M1326=phu!$I$53),"Cam Linh",""),IF(OR(M1326=phu!$I$54,M1326=phu!$I$55,M1326=phu!$I$56,M1326=phu!$I$57,M1326=phu!$I$58,M1326=phu!$I$59,M1326=phu!$I$60,M1326=phu!$I$61,M1326=phu!$I$62),"Cam Lợi",""),IF(OR(M1326=phu!$I$63,M1326=phu!$I$64,M1326=phu!$I$65,M1326=phu!$I$66,M1326=phu!$I$67,M1326=phu!$I$68,M1326=phu!$I$69,M1326=phu!$I$70,M1326=phu!$I$71),"Ba Ngòi",""),IF(OR(M1326=phu!$I$72,M1326=phu!$I$73,M1326=phu!$I$74,M1326=phu!$I$75,M1326=phu!$I$76,M1326=phu!$I$77,M1326=phu!$I$78),"Cam Phước Đông",""),IF(OR(M1326=phu!$I$79,M1326=phu!$I$80,M1326=phu!$I$81,M1326=phu!$I$82,M1326=phu!$I$83,M1326=phu!$I$84),"Cam Thịnh Đông",""),IF(OR(M1326=phu!$I$85,M1326=phu!$I$86,M1326=phu!$I$87,M1326=phu!$I$88),"Cam Thịnh Tây",""),IF(OR(M1326=phu!$I$89,M1326=phu!$I$90),"Cam Lập",""),IF(OR(M1326=phu!$I$91,M1326=phu!$I$92,M1326=phu!$I$93),"Cam Bình",""),IF(OR(M1326=phu!$I$94,M1326=phu!$I$95,M1326=phu!$I$96,M1326=phu!$I$97,M1326=phu!$I$98,M1326=phu!$I$99,M1326=phu!$I$100),"Huyện khác",""),IF(OR(M1326=phu!$I$101,M1326=phu!$I$102),"Tỉnh khác",""))</f>
        <v/>
      </c>
      <c r="O1326" s="814" t="str">
        <f t="shared" si="121"/>
        <v/>
      </c>
      <c r="P1326" s="254"/>
      <c r="Q1326" s="254"/>
      <c r="R1326" s="254"/>
      <c r="S1326" s="254"/>
      <c r="T1326" s="254"/>
      <c r="U1326" s="254"/>
      <c r="V1326" s="254"/>
      <c r="W1326" s="254"/>
      <c r="Y1326" s="246" t="str">
        <f t="shared" si="122"/>
        <v/>
      </c>
      <c r="Z1326" s="247" t="str">
        <f t="shared" si="120"/>
        <v/>
      </c>
      <c r="AA1326" s="246" t="str">
        <f t="shared" si="123"/>
        <v/>
      </c>
    </row>
    <row r="1327" spans="1:27" x14ac:dyDescent="0.25">
      <c r="A1327" s="248" t="str">
        <f t="shared" si="124"/>
        <v/>
      </c>
      <c r="B1327" s="249" t="str">
        <f t="shared" si="125"/>
        <v/>
      </c>
      <c r="C1327" s="250"/>
      <c r="D1327" s="251"/>
      <c r="E1327" s="241"/>
      <c r="F1327" s="252"/>
      <c r="G1327" s="252"/>
      <c r="H1327" s="253"/>
      <c r="I1327" s="250"/>
      <c r="J1327" s="250"/>
      <c r="K1327" s="270"/>
      <c r="L1327" s="250"/>
      <c r="M1327" s="250"/>
      <c r="N1327" s="553" t="str">
        <f>CONCATENATE(IF(OR(M1327=phu!$I$1,M1327=phu!$I$2,M1327=phu!$I$3),"Cam Thành Nam",""),IF(OR(M1327=phu!$I$4,M1327=phu!$I$5,M1327=phu!$I$6,M1327=phu!$I$7,M1327=phu!$I$8,M1327=phu!$I$9,M1327=phu!$I$10,M1327=phu!$I$11,M1327=phu!$I$12,M1327=phu!$I$13,M1327=phu!$I$14),"Cam Nghĩa",""),IF(OR(M1327=phu!$I$15,M1327=phu!$I$16,M1327=phu!$I$17,M1327=phu!$I$18,M1327=phu!$I$19,M1327=phu!$I$20,M1327=phu!$I$21),"Cam Phúc Bắc",""),IF(OR(M1327=phu!$I$22,M1327=phu!$I$23,M1327=phu!$I$24,M1327=phu!$I$25),"Cam Phúc Nam",""),IF(OR(M1327=phu!$I$26,M1327=phu!$I$27,M1327=phu!$I$28,M1327=phu!$I$29,M1327=phu!$I$30,M1327=phu!$I$31),"Cam Phú",""),IF(OR(M1327=phu!$I$32,M1327=phu!$I$33,M1327=phu!$I$34,M1327=phu!$I$35,M1327=phu!$I$36,M1327=phu!$I$37),"Cam Lộc",""),IF(OR(M1327=phu!$I$38,M1327=phu!$I$39,M1327=phu!$I$40,M1327=phu!$I$41,M1327=phu!$I$42,M1327=phu!$I$43,M1327=phu!$I$44),"Cam Thuận",""),IF(OR(M1327=phu!$I$45,M1327=phu!$I$46,M1327=phu!$I$47,M1327=phu!$I$48,M1327=phu!$I$49,M1327=phu!$I$50,M1327=phu!$I$51,M1327=phu!$I$52,M1327=phu!$I$53),"Cam Linh",""),IF(OR(M1327=phu!$I$54,M1327=phu!$I$55,M1327=phu!$I$56,M1327=phu!$I$57,M1327=phu!$I$58,M1327=phu!$I$59,M1327=phu!$I$60,M1327=phu!$I$61,M1327=phu!$I$62),"Cam Lợi",""),IF(OR(M1327=phu!$I$63,M1327=phu!$I$64,M1327=phu!$I$65,M1327=phu!$I$66,M1327=phu!$I$67,M1327=phu!$I$68,M1327=phu!$I$69,M1327=phu!$I$70,M1327=phu!$I$71),"Ba Ngòi",""),IF(OR(M1327=phu!$I$72,M1327=phu!$I$73,M1327=phu!$I$74,M1327=phu!$I$75,M1327=phu!$I$76,M1327=phu!$I$77,M1327=phu!$I$78),"Cam Phước Đông",""),IF(OR(M1327=phu!$I$79,M1327=phu!$I$80,M1327=phu!$I$81,M1327=phu!$I$82,M1327=phu!$I$83,M1327=phu!$I$84),"Cam Thịnh Đông",""),IF(OR(M1327=phu!$I$85,M1327=phu!$I$86,M1327=phu!$I$87,M1327=phu!$I$88),"Cam Thịnh Tây",""),IF(OR(M1327=phu!$I$89,M1327=phu!$I$90),"Cam Lập",""),IF(OR(M1327=phu!$I$91,M1327=phu!$I$92,M1327=phu!$I$93),"Cam Bình",""),IF(OR(M1327=phu!$I$94,M1327=phu!$I$95,M1327=phu!$I$96,M1327=phu!$I$97,M1327=phu!$I$98,M1327=phu!$I$99,M1327=phu!$I$100),"Huyện khác",""),IF(OR(M1327=phu!$I$101,M1327=phu!$I$102),"Tỉnh khác",""))</f>
        <v/>
      </c>
      <c r="O1327" s="814" t="str">
        <f t="shared" si="121"/>
        <v/>
      </c>
      <c r="P1327" s="254"/>
      <c r="Q1327" s="254"/>
      <c r="R1327" s="254"/>
      <c r="S1327" s="254"/>
      <c r="T1327" s="254"/>
      <c r="U1327" s="254"/>
      <c r="V1327" s="254"/>
      <c r="W1327" s="254"/>
      <c r="Y1327" s="246" t="str">
        <f t="shared" si="122"/>
        <v/>
      </c>
      <c r="Z1327" s="247" t="str">
        <f t="shared" si="120"/>
        <v/>
      </c>
      <c r="AA1327" s="246" t="str">
        <f t="shared" si="123"/>
        <v/>
      </c>
    </row>
    <row r="1328" spans="1:27" x14ac:dyDescent="0.25">
      <c r="A1328" s="248" t="str">
        <f t="shared" si="124"/>
        <v/>
      </c>
      <c r="B1328" s="249" t="str">
        <f t="shared" si="125"/>
        <v/>
      </c>
      <c r="C1328" s="250"/>
      <c r="D1328" s="251"/>
      <c r="E1328" s="241"/>
      <c r="F1328" s="252"/>
      <c r="G1328" s="252"/>
      <c r="H1328" s="253"/>
      <c r="I1328" s="250"/>
      <c r="J1328" s="250"/>
      <c r="K1328" s="270"/>
      <c r="L1328" s="250"/>
      <c r="M1328" s="250"/>
      <c r="N1328" s="553" t="str">
        <f>CONCATENATE(IF(OR(M1328=phu!$I$1,M1328=phu!$I$2,M1328=phu!$I$3),"Cam Thành Nam",""),IF(OR(M1328=phu!$I$4,M1328=phu!$I$5,M1328=phu!$I$6,M1328=phu!$I$7,M1328=phu!$I$8,M1328=phu!$I$9,M1328=phu!$I$10,M1328=phu!$I$11,M1328=phu!$I$12,M1328=phu!$I$13,M1328=phu!$I$14),"Cam Nghĩa",""),IF(OR(M1328=phu!$I$15,M1328=phu!$I$16,M1328=phu!$I$17,M1328=phu!$I$18,M1328=phu!$I$19,M1328=phu!$I$20,M1328=phu!$I$21),"Cam Phúc Bắc",""),IF(OR(M1328=phu!$I$22,M1328=phu!$I$23,M1328=phu!$I$24,M1328=phu!$I$25),"Cam Phúc Nam",""),IF(OR(M1328=phu!$I$26,M1328=phu!$I$27,M1328=phu!$I$28,M1328=phu!$I$29,M1328=phu!$I$30,M1328=phu!$I$31),"Cam Phú",""),IF(OR(M1328=phu!$I$32,M1328=phu!$I$33,M1328=phu!$I$34,M1328=phu!$I$35,M1328=phu!$I$36,M1328=phu!$I$37),"Cam Lộc",""),IF(OR(M1328=phu!$I$38,M1328=phu!$I$39,M1328=phu!$I$40,M1328=phu!$I$41,M1328=phu!$I$42,M1328=phu!$I$43,M1328=phu!$I$44),"Cam Thuận",""),IF(OR(M1328=phu!$I$45,M1328=phu!$I$46,M1328=phu!$I$47,M1328=phu!$I$48,M1328=phu!$I$49,M1328=phu!$I$50,M1328=phu!$I$51,M1328=phu!$I$52,M1328=phu!$I$53),"Cam Linh",""),IF(OR(M1328=phu!$I$54,M1328=phu!$I$55,M1328=phu!$I$56,M1328=phu!$I$57,M1328=phu!$I$58,M1328=phu!$I$59,M1328=phu!$I$60,M1328=phu!$I$61,M1328=phu!$I$62),"Cam Lợi",""),IF(OR(M1328=phu!$I$63,M1328=phu!$I$64,M1328=phu!$I$65,M1328=phu!$I$66,M1328=phu!$I$67,M1328=phu!$I$68,M1328=phu!$I$69,M1328=phu!$I$70,M1328=phu!$I$71),"Ba Ngòi",""),IF(OR(M1328=phu!$I$72,M1328=phu!$I$73,M1328=phu!$I$74,M1328=phu!$I$75,M1328=phu!$I$76,M1328=phu!$I$77,M1328=phu!$I$78),"Cam Phước Đông",""),IF(OR(M1328=phu!$I$79,M1328=phu!$I$80,M1328=phu!$I$81,M1328=phu!$I$82,M1328=phu!$I$83,M1328=phu!$I$84),"Cam Thịnh Đông",""),IF(OR(M1328=phu!$I$85,M1328=phu!$I$86,M1328=phu!$I$87,M1328=phu!$I$88),"Cam Thịnh Tây",""),IF(OR(M1328=phu!$I$89,M1328=phu!$I$90),"Cam Lập",""),IF(OR(M1328=phu!$I$91,M1328=phu!$I$92,M1328=phu!$I$93),"Cam Bình",""),IF(OR(M1328=phu!$I$94,M1328=phu!$I$95,M1328=phu!$I$96,M1328=phu!$I$97,M1328=phu!$I$98,M1328=phu!$I$99,M1328=phu!$I$100),"Huyện khác",""),IF(OR(M1328=phu!$I$101,M1328=phu!$I$102),"Tỉnh khác",""))</f>
        <v/>
      </c>
      <c r="O1328" s="814" t="str">
        <f t="shared" si="121"/>
        <v/>
      </c>
      <c r="P1328" s="254"/>
      <c r="Q1328" s="254"/>
      <c r="R1328" s="254"/>
      <c r="S1328" s="254"/>
      <c r="T1328" s="254"/>
      <c r="U1328" s="254"/>
      <c r="V1328" s="254"/>
      <c r="W1328" s="254"/>
      <c r="Y1328" s="246" t="str">
        <f t="shared" si="122"/>
        <v/>
      </c>
      <c r="Z1328" s="247" t="str">
        <f t="shared" si="120"/>
        <v/>
      </c>
      <c r="AA1328" s="246" t="str">
        <f t="shared" si="123"/>
        <v/>
      </c>
    </row>
    <row r="1329" spans="1:27" x14ac:dyDescent="0.25">
      <c r="A1329" s="248" t="str">
        <f t="shared" si="124"/>
        <v/>
      </c>
      <c r="B1329" s="249" t="str">
        <f t="shared" si="125"/>
        <v/>
      </c>
      <c r="C1329" s="250"/>
      <c r="D1329" s="251"/>
      <c r="E1329" s="241"/>
      <c r="F1329" s="252"/>
      <c r="G1329" s="252"/>
      <c r="H1329" s="253"/>
      <c r="I1329" s="250"/>
      <c r="J1329" s="250"/>
      <c r="K1329" s="270"/>
      <c r="L1329" s="250"/>
      <c r="M1329" s="250"/>
      <c r="N1329" s="553" t="str">
        <f>CONCATENATE(IF(OR(M1329=phu!$I$1,M1329=phu!$I$2,M1329=phu!$I$3),"Cam Thành Nam",""),IF(OR(M1329=phu!$I$4,M1329=phu!$I$5,M1329=phu!$I$6,M1329=phu!$I$7,M1329=phu!$I$8,M1329=phu!$I$9,M1329=phu!$I$10,M1329=phu!$I$11,M1329=phu!$I$12,M1329=phu!$I$13,M1329=phu!$I$14),"Cam Nghĩa",""),IF(OR(M1329=phu!$I$15,M1329=phu!$I$16,M1329=phu!$I$17,M1329=phu!$I$18,M1329=phu!$I$19,M1329=phu!$I$20,M1329=phu!$I$21),"Cam Phúc Bắc",""),IF(OR(M1329=phu!$I$22,M1329=phu!$I$23,M1329=phu!$I$24,M1329=phu!$I$25),"Cam Phúc Nam",""),IF(OR(M1329=phu!$I$26,M1329=phu!$I$27,M1329=phu!$I$28,M1329=phu!$I$29,M1329=phu!$I$30,M1329=phu!$I$31),"Cam Phú",""),IF(OR(M1329=phu!$I$32,M1329=phu!$I$33,M1329=phu!$I$34,M1329=phu!$I$35,M1329=phu!$I$36,M1329=phu!$I$37),"Cam Lộc",""),IF(OR(M1329=phu!$I$38,M1329=phu!$I$39,M1329=phu!$I$40,M1329=phu!$I$41,M1329=phu!$I$42,M1329=phu!$I$43,M1329=phu!$I$44),"Cam Thuận",""),IF(OR(M1329=phu!$I$45,M1329=phu!$I$46,M1329=phu!$I$47,M1329=phu!$I$48,M1329=phu!$I$49,M1329=phu!$I$50,M1329=phu!$I$51,M1329=phu!$I$52,M1329=phu!$I$53),"Cam Linh",""),IF(OR(M1329=phu!$I$54,M1329=phu!$I$55,M1329=phu!$I$56,M1329=phu!$I$57,M1329=phu!$I$58,M1329=phu!$I$59,M1329=phu!$I$60,M1329=phu!$I$61,M1329=phu!$I$62),"Cam Lợi",""),IF(OR(M1329=phu!$I$63,M1329=phu!$I$64,M1329=phu!$I$65,M1329=phu!$I$66,M1329=phu!$I$67,M1329=phu!$I$68,M1329=phu!$I$69,M1329=phu!$I$70,M1329=phu!$I$71),"Ba Ngòi",""),IF(OR(M1329=phu!$I$72,M1329=phu!$I$73,M1329=phu!$I$74,M1329=phu!$I$75,M1329=phu!$I$76,M1329=phu!$I$77,M1329=phu!$I$78),"Cam Phước Đông",""),IF(OR(M1329=phu!$I$79,M1329=phu!$I$80,M1329=phu!$I$81,M1329=phu!$I$82,M1329=phu!$I$83,M1329=phu!$I$84),"Cam Thịnh Đông",""),IF(OR(M1329=phu!$I$85,M1329=phu!$I$86,M1329=phu!$I$87,M1329=phu!$I$88),"Cam Thịnh Tây",""),IF(OR(M1329=phu!$I$89,M1329=phu!$I$90),"Cam Lập",""),IF(OR(M1329=phu!$I$91,M1329=phu!$I$92,M1329=phu!$I$93),"Cam Bình",""),IF(OR(M1329=phu!$I$94,M1329=phu!$I$95,M1329=phu!$I$96,M1329=phu!$I$97,M1329=phu!$I$98,M1329=phu!$I$99,M1329=phu!$I$100),"Huyện khác",""),IF(OR(M1329=phu!$I$101,M1329=phu!$I$102),"Tỉnh khác",""))</f>
        <v/>
      </c>
      <c r="O1329" s="814" t="str">
        <f t="shared" si="121"/>
        <v/>
      </c>
      <c r="P1329" s="254"/>
      <c r="Q1329" s="254"/>
      <c r="R1329" s="254"/>
      <c r="S1329" s="254"/>
      <c r="T1329" s="254"/>
      <c r="U1329" s="254"/>
      <c r="V1329" s="254"/>
      <c r="W1329" s="254"/>
      <c r="Y1329" s="246" t="str">
        <f t="shared" si="122"/>
        <v/>
      </c>
      <c r="Z1329" s="247" t="str">
        <f t="shared" si="120"/>
        <v/>
      </c>
      <c r="AA1329" s="246" t="str">
        <f t="shared" si="123"/>
        <v/>
      </c>
    </row>
    <row r="1330" spans="1:27" x14ac:dyDescent="0.25">
      <c r="A1330" s="248" t="str">
        <f t="shared" si="124"/>
        <v/>
      </c>
      <c r="B1330" s="249" t="str">
        <f t="shared" si="125"/>
        <v/>
      </c>
      <c r="C1330" s="250"/>
      <c r="D1330" s="251"/>
      <c r="E1330" s="241"/>
      <c r="F1330" s="252"/>
      <c r="G1330" s="252"/>
      <c r="H1330" s="253"/>
      <c r="I1330" s="250"/>
      <c r="J1330" s="250"/>
      <c r="K1330" s="270"/>
      <c r="L1330" s="250"/>
      <c r="M1330" s="250"/>
      <c r="N1330" s="553" t="str">
        <f>CONCATENATE(IF(OR(M1330=phu!$I$1,M1330=phu!$I$2,M1330=phu!$I$3),"Cam Thành Nam",""),IF(OR(M1330=phu!$I$4,M1330=phu!$I$5,M1330=phu!$I$6,M1330=phu!$I$7,M1330=phu!$I$8,M1330=phu!$I$9,M1330=phu!$I$10,M1330=phu!$I$11,M1330=phu!$I$12,M1330=phu!$I$13,M1330=phu!$I$14),"Cam Nghĩa",""),IF(OR(M1330=phu!$I$15,M1330=phu!$I$16,M1330=phu!$I$17,M1330=phu!$I$18,M1330=phu!$I$19,M1330=phu!$I$20,M1330=phu!$I$21),"Cam Phúc Bắc",""),IF(OR(M1330=phu!$I$22,M1330=phu!$I$23,M1330=phu!$I$24,M1330=phu!$I$25),"Cam Phúc Nam",""),IF(OR(M1330=phu!$I$26,M1330=phu!$I$27,M1330=phu!$I$28,M1330=phu!$I$29,M1330=phu!$I$30,M1330=phu!$I$31),"Cam Phú",""),IF(OR(M1330=phu!$I$32,M1330=phu!$I$33,M1330=phu!$I$34,M1330=phu!$I$35,M1330=phu!$I$36,M1330=phu!$I$37),"Cam Lộc",""),IF(OR(M1330=phu!$I$38,M1330=phu!$I$39,M1330=phu!$I$40,M1330=phu!$I$41,M1330=phu!$I$42,M1330=phu!$I$43,M1330=phu!$I$44),"Cam Thuận",""),IF(OR(M1330=phu!$I$45,M1330=phu!$I$46,M1330=phu!$I$47,M1330=phu!$I$48,M1330=phu!$I$49,M1330=phu!$I$50,M1330=phu!$I$51,M1330=phu!$I$52,M1330=phu!$I$53),"Cam Linh",""),IF(OR(M1330=phu!$I$54,M1330=phu!$I$55,M1330=phu!$I$56,M1330=phu!$I$57,M1330=phu!$I$58,M1330=phu!$I$59,M1330=phu!$I$60,M1330=phu!$I$61,M1330=phu!$I$62),"Cam Lợi",""),IF(OR(M1330=phu!$I$63,M1330=phu!$I$64,M1330=phu!$I$65,M1330=phu!$I$66,M1330=phu!$I$67,M1330=phu!$I$68,M1330=phu!$I$69,M1330=phu!$I$70,M1330=phu!$I$71),"Ba Ngòi",""),IF(OR(M1330=phu!$I$72,M1330=phu!$I$73,M1330=phu!$I$74,M1330=phu!$I$75,M1330=phu!$I$76,M1330=phu!$I$77,M1330=phu!$I$78),"Cam Phước Đông",""),IF(OR(M1330=phu!$I$79,M1330=phu!$I$80,M1330=phu!$I$81,M1330=phu!$I$82,M1330=phu!$I$83,M1330=phu!$I$84),"Cam Thịnh Đông",""),IF(OR(M1330=phu!$I$85,M1330=phu!$I$86,M1330=phu!$I$87,M1330=phu!$I$88),"Cam Thịnh Tây",""),IF(OR(M1330=phu!$I$89,M1330=phu!$I$90),"Cam Lập",""),IF(OR(M1330=phu!$I$91,M1330=phu!$I$92,M1330=phu!$I$93),"Cam Bình",""),IF(OR(M1330=phu!$I$94,M1330=phu!$I$95,M1330=phu!$I$96,M1330=phu!$I$97,M1330=phu!$I$98,M1330=phu!$I$99,M1330=phu!$I$100),"Huyện khác",""),IF(OR(M1330=phu!$I$101,M1330=phu!$I$102),"Tỉnh khác",""))</f>
        <v/>
      </c>
      <c r="O1330" s="814" t="str">
        <f t="shared" si="121"/>
        <v/>
      </c>
      <c r="P1330" s="254"/>
      <c r="Q1330" s="254"/>
      <c r="R1330" s="254"/>
      <c r="S1330" s="254"/>
      <c r="T1330" s="254"/>
      <c r="U1330" s="254"/>
      <c r="V1330" s="254"/>
      <c r="W1330" s="254"/>
      <c r="Y1330" s="246" t="str">
        <f t="shared" si="122"/>
        <v/>
      </c>
      <c r="Z1330" s="247" t="str">
        <f t="shared" si="120"/>
        <v/>
      </c>
      <c r="AA1330" s="246" t="str">
        <f t="shared" si="123"/>
        <v/>
      </c>
    </row>
    <row r="1331" spans="1:27" x14ac:dyDescent="0.25">
      <c r="A1331" s="248" t="str">
        <f t="shared" si="124"/>
        <v/>
      </c>
      <c r="B1331" s="249" t="str">
        <f t="shared" si="125"/>
        <v/>
      </c>
      <c r="C1331" s="250"/>
      <c r="D1331" s="251"/>
      <c r="E1331" s="241"/>
      <c r="F1331" s="252"/>
      <c r="G1331" s="252"/>
      <c r="H1331" s="253"/>
      <c r="I1331" s="250"/>
      <c r="J1331" s="250"/>
      <c r="K1331" s="270"/>
      <c r="L1331" s="250"/>
      <c r="M1331" s="250"/>
      <c r="N1331" s="553" t="str">
        <f>CONCATENATE(IF(OR(M1331=phu!$I$1,M1331=phu!$I$2,M1331=phu!$I$3),"Cam Thành Nam",""),IF(OR(M1331=phu!$I$4,M1331=phu!$I$5,M1331=phu!$I$6,M1331=phu!$I$7,M1331=phu!$I$8,M1331=phu!$I$9,M1331=phu!$I$10,M1331=phu!$I$11,M1331=phu!$I$12,M1331=phu!$I$13,M1331=phu!$I$14),"Cam Nghĩa",""),IF(OR(M1331=phu!$I$15,M1331=phu!$I$16,M1331=phu!$I$17,M1331=phu!$I$18,M1331=phu!$I$19,M1331=phu!$I$20,M1331=phu!$I$21),"Cam Phúc Bắc",""),IF(OR(M1331=phu!$I$22,M1331=phu!$I$23,M1331=phu!$I$24,M1331=phu!$I$25),"Cam Phúc Nam",""),IF(OR(M1331=phu!$I$26,M1331=phu!$I$27,M1331=phu!$I$28,M1331=phu!$I$29,M1331=phu!$I$30,M1331=phu!$I$31),"Cam Phú",""),IF(OR(M1331=phu!$I$32,M1331=phu!$I$33,M1331=phu!$I$34,M1331=phu!$I$35,M1331=phu!$I$36,M1331=phu!$I$37),"Cam Lộc",""),IF(OR(M1331=phu!$I$38,M1331=phu!$I$39,M1331=phu!$I$40,M1331=phu!$I$41,M1331=phu!$I$42,M1331=phu!$I$43,M1331=phu!$I$44),"Cam Thuận",""),IF(OR(M1331=phu!$I$45,M1331=phu!$I$46,M1331=phu!$I$47,M1331=phu!$I$48,M1331=phu!$I$49,M1331=phu!$I$50,M1331=phu!$I$51,M1331=phu!$I$52,M1331=phu!$I$53),"Cam Linh",""),IF(OR(M1331=phu!$I$54,M1331=phu!$I$55,M1331=phu!$I$56,M1331=phu!$I$57,M1331=phu!$I$58,M1331=phu!$I$59,M1331=phu!$I$60,M1331=phu!$I$61,M1331=phu!$I$62),"Cam Lợi",""),IF(OR(M1331=phu!$I$63,M1331=phu!$I$64,M1331=phu!$I$65,M1331=phu!$I$66,M1331=phu!$I$67,M1331=phu!$I$68,M1331=phu!$I$69,M1331=phu!$I$70,M1331=phu!$I$71),"Ba Ngòi",""),IF(OR(M1331=phu!$I$72,M1331=phu!$I$73,M1331=phu!$I$74,M1331=phu!$I$75,M1331=phu!$I$76,M1331=phu!$I$77,M1331=phu!$I$78),"Cam Phước Đông",""),IF(OR(M1331=phu!$I$79,M1331=phu!$I$80,M1331=phu!$I$81,M1331=phu!$I$82,M1331=phu!$I$83,M1331=phu!$I$84),"Cam Thịnh Đông",""),IF(OR(M1331=phu!$I$85,M1331=phu!$I$86,M1331=phu!$I$87,M1331=phu!$I$88),"Cam Thịnh Tây",""),IF(OR(M1331=phu!$I$89,M1331=phu!$I$90),"Cam Lập",""),IF(OR(M1331=phu!$I$91,M1331=phu!$I$92,M1331=phu!$I$93),"Cam Bình",""),IF(OR(M1331=phu!$I$94,M1331=phu!$I$95,M1331=phu!$I$96,M1331=phu!$I$97,M1331=phu!$I$98,M1331=phu!$I$99,M1331=phu!$I$100),"Huyện khác",""),IF(OR(M1331=phu!$I$101,M1331=phu!$I$102),"Tỉnh khác",""))</f>
        <v/>
      </c>
      <c r="O1331" s="814" t="str">
        <f t="shared" si="121"/>
        <v/>
      </c>
      <c r="P1331" s="254"/>
      <c r="Q1331" s="254"/>
      <c r="R1331" s="254"/>
      <c r="S1331" s="254"/>
      <c r="T1331" s="254"/>
      <c r="U1331" s="254"/>
      <c r="V1331" s="254"/>
      <c r="W1331" s="254"/>
      <c r="Y1331" s="246" t="str">
        <f t="shared" si="122"/>
        <v/>
      </c>
      <c r="Z1331" s="247" t="str">
        <f t="shared" si="120"/>
        <v/>
      </c>
      <c r="AA1331" s="246" t="str">
        <f t="shared" si="123"/>
        <v/>
      </c>
    </row>
    <row r="1332" spans="1:27" x14ac:dyDescent="0.25">
      <c r="A1332" s="248" t="str">
        <f t="shared" si="124"/>
        <v/>
      </c>
      <c r="B1332" s="249" t="str">
        <f t="shared" si="125"/>
        <v/>
      </c>
      <c r="C1332" s="250"/>
      <c r="D1332" s="251"/>
      <c r="E1332" s="241"/>
      <c r="F1332" s="252"/>
      <c r="G1332" s="252"/>
      <c r="H1332" s="253"/>
      <c r="I1332" s="250"/>
      <c r="J1332" s="250"/>
      <c r="K1332" s="270"/>
      <c r="L1332" s="250"/>
      <c r="M1332" s="250"/>
      <c r="N1332" s="553" t="str">
        <f>CONCATENATE(IF(OR(M1332=phu!$I$1,M1332=phu!$I$2,M1332=phu!$I$3),"Cam Thành Nam",""),IF(OR(M1332=phu!$I$4,M1332=phu!$I$5,M1332=phu!$I$6,M1332=phu!$I$7,M1332=phu!$I$8,M1332=phu!$I$9,M1332=phu!$I$10,M1332=phu!$I$11,M1332=phu!$I$12,M1332=phu!$I$13,M1332=phu!$I$14),"Cam Nghĩa",""),IF(OR(M1332=phu!$I$15,M1332=phu!$I$16,M1332=phu!$I$17,M1332=phu!$I$18,M1332=phu!$I$19,M1332=phu!$I$20,M1332=phu!$I$21),"Cam Phúc Bắc",""),IF(OR(M1332=phu!$I$22,M1332=phu!$I$23,M1332=phu!$I$24,M1332=phu!$I$25),"Cam Phúc Nam",""),IF(OR(M1332=phu!$I$26,M1332=phu!$I$27,M1332=phu!$I$28,M1332=phu!$I$29,M1332=phu!$I$30,M1332=phu!$I$31),"Cam Phú",""),IF(OR(M1332=phu!$I$32,M1332=phu!$I$33,M1332=phu!$I$34,M1332=phu!$I$35,M1332=phu!$I$36,M1332=phu!$I$37),"Cam Lộc",""),IF(OR(M1332=phu!$I$38,M1332=phu!$I$39,M1332=phu!$I$40,M1332=phu!$I$41,M1332=phu!$I$42,M1332=phu!$I$43,M1332=phu!$I$44),"Cam Thuận",""),IF(OR(M1332=phu!$I$45,M1332=phu!$I$46,M1332=phu!$I$47,M1332=phu!$I$48,M1332=phu!$I$49,M1332=phu!$I$50,M1332=phu!$I$51,M1332=phu!$I$52,M1332=phu!$I$53),"Cam Linh",""),IF(OR(M1332=phu!$I$54,M1332=phu!$I$55,M1332=phu!$I$56,M1332=phu!$I$57,M1332=phu!$I$58,M1332=phu!$I$59,M1332=phu!$I$60,M1332=phu!$I$61,M1332=phu!$I$62),"Cam Lợi",""),IF(OR(M1332=phu!$I$63,M1332=phu!$I$64,M1332=phu!$I$65,M1332=phu!$I$66,M1332=phu!$I$67,M1332=phu!$I$68,M1332=phu!$I$69,M1332=phu!$I$70,M1332=phu!$I$71),"Ba Ngòi",""),IF(OR(M1332=phu!$I$72,M1332=phu!$I$73,M1332=phu!$I$74,M1332=phu!$I$75,M1332=phu!$I$76,M1332=phu!$I$77,M1332=phu!$I$78),"Cam Phước Đông",""),IF(OR(M1332=phu!$I$79,M1332=phu!$I$80,M1332=phu!$I$81,M1332=phu!$I$82,M1332=phu!$I$83,M1332=phu!$I$84),"Cam Thịnh Đông",""),IF(OR(M1332=phu!$I$85,M1332=phu!$I$86,M1332=phu!$I$87,M1332=phu!$I$88),"Cam Thịnh Tây",""),IF(OR(M1332=phu!$I$89,M1332=phu!$I$90),"Cam Lập",""),IF(OR(M1332=phu!$I$91,M1332=phu!$I$92,M1332=phu!$I$93),"Cam Bình",""),IF(OR(M1332=phu!$I$94,M1332=phu!$I$95,M1332=phu!$I$96,M1332=phu!$I$97,M1332=phu!$I$98,M1332=phu!$I$99,M1332=phu!$I$100),"Huyện khác",""),IF(OR(M1332=phu!$I$101,M1332=phu!$I$102),"Tỉnh khác",""))</f>
        <v/>
      </c>
      <c r="O1332" s="814" t="str">
        <f t="shared" si="121"/>
        <v/>
      </c>
      <c r="P1332" s="254"/>
      <c r="Q1332" s="254"/>
      <c r="R1332" s="254"/>
      <c r="S1332" s="254"/>
      <c r="T1332" s="254"/>
      <c r="U1332" s="254"/>
      <c r="V1332" s="254"/>
      <c r="W1332" s="254"/>
      <c r="Y1332" s="246" t="str">
        <f t="shared" si="122"/>
        <v/>
      </c>
      <c r="Z1332" s="247" t="str">
        <f t="shared" si="120"/>
        <v/>
      </c>
      <c r="AA1332" s="246" t="str">
        <f t="shared" si="123"/>
        <v/>
      </c>
    </row>
    <row r="1333" spans="1:27" x14ac:dyDescent="0.25">
      <c r="A1333" s="248" t="str">
        <f t="shared" si="124"/>
        <v/>
      </c>
      <c r="B1333" s="249" t="str">
        <f t="shared" si="125"/>
        <v/>
      </c>
      <c r="C1333" s="250"/>
      <c r="D1333" s="251"/>
      <c r="E1333" s="241"/>
      <c r="F1333" s="252"/>
      <c r="G1333" s="252"/>
      <c r="H1333" s="253"/>
      <c r="I1333" s="250"/>
      <c r="J1333" s="250"/>
      <c r="K1333" s="270"/>
      <c r="L1333" s="250"/>
      <c r="M1333" s="250"/>
      <c r="N1333" s="553" t="str">
        <f>CONCATENATE(IF(OR(M1333=phu!$I$1,M1333=phu!$I$2,M1333=phu!$I$3),"Cam Thành Nam",""),IF(OR(M1333=phu!$I$4,M1333=phu!$I$5,M1333=phu!$I$6,M1333=phu!$I$7,M1333=phu!$I$8,M1333=phu!$I$9,M1333=phu!$I$10,M1333=phu!$I$11,M1333=phu!$I$12,M1333=phu!$I$13,M1333=phu!$I$14),"Cam Nghĩa",""),IF(OR(M1333=phu!$I$15,M1333=phu!$I$16,M1333=phu!$I$17,M1333=phu!$I$18,M1333=phu!$I$19,M1333=phu!$I$20,M1333=phu!$I$21),"Cam Phúc Bắc",""),IF(OR(M1333=phu!$I$22,M1333=phu!$I$23,M1333=phu!$I$24,M1333=phu!$I$25),"Cam Phúc Nam",""),IF(OR(M1333=phu!$I$26,M1333=phu!$I$27,M1333=phu!$I$28,M1333=phu!$I$29,M1333=phu!$I$30,M1333=phu!$I$31),"Cam Phú",""),IF(OR(M1333=phu!$I$32,M1333=phu!$I$33,M1333=phu!$I$34,M1333=phu!$I$35,M1333=phu!$I$36,M1333=phu!$I$37),"Cam Lộc",""),IF(OR(M1333=phu!$I$38,M1333=phu!$I$39,M1333=phu!$I$40,M1333=phu!$I$41,M1333=phu!$I$42,M1333=phu!$I$43,M1333=phu!$I$44),"Cam Thuận",""),IF(OR(M1333=phu!$I$45,M1333=phu!$I$46,M1333=phu!$I$47,M1333=phu!$I$48,M1333=phu!$I$49,M1333=phu!$I$50,M1333=phu!$I$51,M1333=phu!$I$52,M1333=phu!$I$53),"Cam Linh",""),IF(OR(M1333=phu!$I$54,M1333=phu!$I$55,M1333=phu!$I$56,M1333=phu!$I$57,M1333=phu!$I$58,M1333=phu!$I$59,M1333=phu!$I$60,M1333=phu!$I$61,M1333=phu!$I$62),"Cam Lợi",""),IF(OR(M1333=phu!$I$63,M1333=phu!$I$64,M1333=phu!$I$65,M1333=phu!$I$66,M1333=phu!$I$67,M1333=phu!$I$68,M1333=phu!$I$69,M1333=phu!$I$70,M1333=phu!$I$71),"Ba Ngòi",""),IF(OR(M1333=phu!$I$72,M1333=phu!$I$73,M1333=phu!$I$74,M1333=phu!$I$75,M1333=phu!$I$76,M1333=phu!$I$77,M1333=phu!$I$78),"Cam Phước Đông",""),IF(OR(M1333=phu!$I$79,M1333=phu!$I$80,M1333=phu!$I$81,M1333=phu!$I$82,M1333=phu!$I$83,M1333=phu!$I$84),"Cam Thịnh Đông",""),IF(OR(M1333=phu!$I$85,M1333=phu!$I$86,M1333=phu!$I$87,M1333=phu!$I$88),"Cam Thịnh Tây",""),IF(OR(M1333=phu!$I$89,M1333=phu!$I$90),"Cam Lập",""),IF(OR(M1333=phu!$I$91,M1333=phu!$I$92,M1333=phu!$I$93),"Cam Bình",""),IF(OR(M1333=phu!$I$94,M1333=phu!$I$95,M1333=phu!$I$96,M1333=phu!$I$97,M1333=phu!$I$98,M1333=phu!$I$99,M1333=phu!$I$100),"Huyện khác",""),IF(OR(M1333=phu!$I$101,M1333=phu!$I$102),"Tỉnh khác",""))</f>
        <v/>
      </c>
      <c r="O1333" s="814" t="str">
        <f t="shared" si="121"/>
        <v/>
      </c>
      <c r="P1333" s="254"/>
      <c r="Q1333" s="254"/>
      <c r="R1333" s="254"/>
      <c r="S1333" s="254"/>
      <c r="T1333" s="254"/>
      <c r="U1333" s="254"/>
      <c r="V1333" s="254"/>
      <c r="W1333" s="254"/>
      <c r="Y1333" s="246" t="str">
        <f t="shared" si="122"/>
        <v/>
      </c>
      <c r="Z1333" s="247" t="str">
        <f t="shared" si="120"/>
        <v/>
      </c>
      <c r="AA1333" s="246" t="str">
        <f t="shared" si="123"/>
        <v/>
      </c>
    </row>
    <row r="1334" spans="1:27" x14ac:dyDescent="0.25">
      <c r="A1334" s="248" t="str">
        <f t="shared" si="124"/>
        <v/>
      </c>
      <c r="B1334" s="249" t="str">
        <f t="shared" si="125"/>
        <v/>
      </c>
      <c r="C1334" s="250"/>
      <c r="D1334" s="251"/>
      <c r="E1334" s="241"/>
      <c r="F1334" s="252"/>
      <c r="G1334" s="252"/>
      <c r="H1334" s="253"/>
      <c r="I1334" s="250"/>
      <c r="J1334" s="250"/>
      <c r="K1334" s="270"/>
      <c r="L1334" s="250"/>
      <c r="M1334" s="250"/>
      <c r="N1334" s="553" t="str">
        <f>CONCATENATE(IF(OR(M1334=phu!$I$1,M1334=phu!$I$2,M1334=phu!$I$3),"Cam Thành Nam",""),IF(OR(M1334=phu!$I$4,M1334=phu!$I$5,M1334=phu!$I$6,M1334=phu!$I$7,M1334=phu!$I$8,M1334=phu!$I$9,M1334=phu!$I$10,M1334=phu!$I$11,M1334=phu!$I$12,M1334=phu!$I$13,M1334=phu!$I$14),"Cam Nghĩa",""),IF(OR(M1334=phu!$I$15,M1334=phu!$I$16,M1334=phu!$I$17,M1334=phu!$I$18,M1334=phu!$I$19,M1334=phu!$I$20,M1334=phu!$I$21),"Cam Phúc Bắc",""),IF(OR(M1334=phu!$I$22,M1334=phu!$I$23,M1334=phu!$I$24,M1334=phu!$I$25),"Cam Phúc Nam",""),IF(OR(M1334=phu!$I$26,M1334=phu!$I$27,M1334=phu!$I$28,M1334=phu!$I$29,M1334=phu!$I$30,M1334=phu!$I$31),"Cam Phú",""),IF(OR(M1334=phu!$I$32,M1334=phu!$I$33,M1334=phu!$I$34,M1334=phu!$I$35,M1334=phu!$I$36,M1334=phu!$I$37),"Cam Lộc",""),IF(OR(M1334=phu!$I$38,M1334=phu!$I$39,M1334=phu!$I$40,M1334=phu!$I$41,M1334=phu!$I$42,M1334=phu!$I$43,M1334=phu!$I$44),"Cam Thuận",""),IF(OR(M1334=phu!$I$45,M1334=phu!$I$46,M1334=phu!$I$47,M1334=phu!$I$48,M1334=phu!$I$49,M1334=phu!$I$50,M1334=phu!$I$51,M1334=phu!$I$52,M1334=phu!$I$53),"Cam Linh",""),IF(OR(M1334=phu!$I$54,M1334=phu!$I$55,M1334=phu!$I$56,M1334=phu!$I$57,M1334=phu!$I$58,M1334=phu!$I$59,M1334=phu!$I$60,M1334=phu!$I$61,M1334=phu!$I$62),"Cam Lợi",""),IF(OR(M1334=phu!$I$63,M1334=phu!$I$64,M1334=phu!$I$65,M1334=phu!$I$66,M1334=phu!$I$67,M1334=phu!$I$68,M1334=phu!$I$69,M1334=phu!$I$70,M1334=phu!$I$71),"Ba Ngòi",""),IF(OR(M1334=phu!$I$72,M1334=phu!$I$73,M1334=phu!$I$74,M1334=phu!$I$75,M1334=phu!$I$76,M1334=phu!$I$77,M1334=phu!$I$78),"Cam Phước Đông",""),IF(OR(M1334=phu!$I$79,M1334=phu!$I$80,M1334=phu!$I$81,M1334=phu!$I$82,M1334=phu!$I$83,M1334=phu!$I$84),"Cam Thịnh Đông",""),IF(OR(M1334=phu!$I$85,M1334=phu!$I$86,M1334=phu!$I$87,M1334=phu!$I$88),"Cam Thịnh Tây",""),IF(OR(M1334=phu!$I$89,M1334=phu!$I$90),"Cam Lập",""),IF(OR(M1334=phu!$I$91,M1334=phu!$I$92,M1334=phu!$I$93),"Cam Bình",""),IF(OR(M1334=phu!$I$94,M1334=phu!$I$95,M1334=phu!$I$96,M1334=phu!$I$97,M1334=phu!$I$98,M1334=phu!$I$99,M1334=phu!$I$100),"Huyện khác",""),IF(OR(M1334=phu!$I$101,M1334=phu!$I$102),"Tỉnh khác",""))</f>
        <v/>
      </c>
      <c r="O1334" s="814" t="str">
        <f t="shared" si="121"/>
        <v/>
      </c>
      <c r="P1334" s="254"/>
      <c r="Q1334" s="254"/>
      <c r="R1334" s="254"/>
      <c r="S1334" s="254"/>
      <c r="T1334" s="254"/>
      <c r="U1334" s="254"/>
      <c r="V1334" s="254"/>
      <c r="W1334" s="254"/>
      <c r="Y1334" s="246" t="str">
        <f t="shared" si="122"/>
        <v/>
      </c>
      <c r="Z1334" s="247" t="str">
        <f t="shared" si="120"/>
        <v/>
      </c>
      <c r="AA1334" s="246" t="str">
        <f t="shared" si="123"/>
        <v/>
      </c>
    </row>
    <row r="1335" spans="1:27" x14ac:dyDescent="0.25">
      <c r="A1335" s="248" t="str">
        <f t="shared" si="124"/>
        <v/>
      </c>
      <c r="B1335" s="249" t="str">
        <f t="shared" si="125"/>
        <v/>
      </c>
      <c r="C1335" s="250"/>
      <c r="D1335" s="251"/>
      <c r="E1335" s="241"/>
      <c r="F1335" s="252"/>
      <c r="G1335" s="252"/>
      <c r="H1335" s="253"/>
      <c r="I1335" s="250"/>
      <c r="J1335" s="250"/>
      <c r="K1335" s="270"/>
      <c r="L1335" s="250"/>
      <c r="M1335" s="250"/>
      <c r="N1335" s="553" t="str">
        <f>CONCATENATE(IF(OR(M1335=phu!$I$1,M1335=phu!$I$2,M1335=phu!$I$3),"Cam Thành Nam",""),IF(OR(M1335=phu!$I$4,M1335=phu!$I$5,M1335=phu!$I$6,M1335=phu!$I$7,M1335=phu!$I$8,M1335=phu!$I$9,M1335=phu!$I$10,M1335=phu!$I$11,M1335=phu!$I$12,M1335=phu!$I$13,M1335=phu!$I$14),"Cam Nghĩa",""),IF(OR(M1335=phu!$I$15,M1335=phu!$I$16,M1335=phu!$I$17,M1335=phu!$I$18,M1335=phu!$I$19,M1335=phu!$I$20,M1335=phu!$I$21),"Cam Phúc Bắc",""),IF(OR(M1335=phu!$I$22,M1335=phu!$I$23,M1335=phu!$I$24,M1335=phu!$I$25),"Cam Phúc Nam",""),IF(OR(M1335=phu!$I$26,M1335=phu!$I$27,M1335=phu!$I$28,M1335=phu!$I$29,M1335=phu!$I$30,M1335=phu!$I$31),"Cam Phú",""),IF(OR(M1335=phu!$I$32,M1335=phu!$I$33,M1335=phu!$I$34,M1335=phu!$I$35,M1335=phu!$I$36,M1335=phu!$I$37),"Cam Lộc",""),IF(OR(M1335=phu!$I$38,M1335=phu!$I$39,M1335=phu!$I$40,M1335=phu!$I$41,M1335=phu!$I$42,M1335=phu!$I$43,M1335=phu!$I$44),"Cam Thuận",""),IF(OR(M1335=phu!$I$45,M1335=phu!$I$46,M1335=phu!$I$47,M1335=phu!$I$48,M1335=phu!$I$49,M1335=phu!$I$50,M1335=phu!$I$51,M1335=phu!$I$52,M1335=phu!$I$53),"Cam Linh",""),IF(OR(M1335=phu!$I$54,M1335=phu!$I$55,M1335=phu!$I$56,M1335=phu!$I$57,M1335=phu!$I$58,M1335=phu!$I$59,M1335=phu!$I$60,M1335=phu!$I$61,M1335=phu!$I$62),"Cam Lợi",""),IF(OR(M1335=phu!$I$63,M1335=phu!$I$64,M1335=phu!$I$65,M1335=phu!$I$66,M1335=phu!$I$67,M1335=phu!$I$68,M1335=phu!$I$69,M1335=phu!$I$70,M1335=phu!$I$71),"Ba Ngòi",""),IF(OR(M1335=phu!$I$72,M1335=phu!$I$73,M1335=phu!$I$74,M1335=phu!$I$75,M1335=phu!$I$76,M1335=phu!$I$77,M1335=phu!$I$78),"Cam Phước Đông",""),IF(OR(M1335=phu!$I$79,M1335=phu!$I$80,M1335=phu!$I$81,M1335=phu!$I$82,M1335=phu!$I$83,M1335=phu!$I$84),"Cam Thịnh Đông",""),IF(OR(M1335=phu!$I$85,M1335=phu!$I$86,M1335=phu!$I$87,M1335=phu!$I$88),"Cam Thịnh Tây",""),IF(OR(M1335=phu!$I$89,M1335=phu!$I$90),"Cam Lập",""),IF(OR(M1335=phu!$I$91,M1335=phu!$I$92,M1335=phu!$I$93),"Cam Bình",""),IF(OR(M1335=phu!$I$94,M1335=phu!$I$95,M1335=phu!$I$96,M1335=phu!$I$97,M1335=phu!$I$98,M1335=phu!$I$99,M1335=phu!$I$100),"Huyện khác",""),IF(OR(M1335=phu!$I$101,M1335=phu!$I$102),"Tỉnh khác",""))</f>
        <v/>
      </c>
      <c r="O1335" s="814" t="str">
        <f t="shared" si="121"/>
        <v/>
      </c>
      <c r="P1335" s="254"/>
      <c r="Q1335" s="254"/>
      <c r="R1335" s="254"/>
      <c r="S1335" s="254"/>
      <c r="T1335" s="254"/>
      <c r="U1335" s="254"/>
      <c r="V1335" s="254"/>
      <c r="W1335" s="254"/>
      <c r="Y1335" s="246" t="str">
        <f t="shared" si="122"/>
        <v/>
      </c>
      <c r="Z1335" s="247" t="str">
        <f t="shared" si="120"/>
        <v/>
      </c>
      <c r="AA1335" s="246" t="str">
        <f t="shared" si="123"/>
        <v/>
      </c>
    </row>
    <row r="1336" spans="1:27" x14ac:dyDescent="0.25">
      <c r="A1336" s="248" t="str">
        <f t="shared" si="124"/>
        <v/>
      </c>
      <c r="B1336" s="249" t="str">
        <f t="shared" si="125"/>
        <v/>
      </c>
      <c r="C1336" s="250"/>
      <c r="D1336" s="251"/>
      <c r="E1336" s="241"/>
      <c r="F1336" s="252"/>
      <c r="G1336" s="252"/>
      <c r="H1336" s="253"/>
      <c r="I1336" s="250"/>
      <c r="J1336" s="250"/>
      <c r="K1336" s="270"/>
      <c r="L1336" s="250"/>
      <c r="M1336" s="250"/>
      <c r="N1336" s="553" t="str">
        <f>CONCATENATE(IF(OR(M1336=phu!$I$1,M1336=phu!$I$2,M1336=phu!$I$3),"Cam Thành Nam",""),IF(OR(M1336=phu!$I$4,M1336=phu!$I$5,M1336=phu!$I$6,M1336=phu!$I$7,M1336=phu!$I$8,M1336=phu!$I$9,M1336=phu!$I$10,M1336=phu!$I$11,M1336=phu!$I$12,M1336=phu!$I$13,M1336=phu!$I$14),"Cam Nghĩa",""),IF(OR(M1336=phu!$I$15,M1336=phu!$I$16,M1336=phu!$I$17,M1336=phu!$I$18,M1336=phu!$I$19,M1336=phu!$I$20,M1336=phu!$I$21),"Cam Phúc Bắc",""),IF(OR(M1336=phu!$I$22,M1336=phu!$I$23,M1336=phu!$I$24,M1336=phu!$I$25),"Cam Phúc Nam",""),IF(OR(M1336=phu!$I$26,M1336=phu!$I$27,M1336=phu!$I$28,M1336=phu!$I$29,M1336=phu!$I$30,M1336=phu!$I$31),"Cam Phú",""),IF(OR(M1336=phu!$I$32,M1336=phu!$I$33,M1336=phu!$I$34,M1336=phu!$I$35,M1336=phu!$I$36,M1336=phu!$I$37),"Cam Lộc",""),IF(OR(M1336=phu!$I$38,M1336=phu!$I$39,M1336=phu!$I$40,M1336=phu!$I$41,M1336=phu!$I$42,M1336=phu!$I$43,M1336=phu!$I$44),"Cam Thuận",""),IF(OR(M1336=phu!$I$45,M1336=phu!$I$46,M1336=phu!$I$47,M1336=phu!$I$48,M1336=phu!$I$49,M1336=phu!$I$50,M1336=phu!$I$51,M1336=phu!$I$52,M1336=phu!$I$53),"Cam Linh",""),IF(OR(M1336=phu!$I$54,M1336=phu!$I$55,M1336=phu!$I$56,M1336=phu!$I$57,M1336=phu!$I$58,M1336=phu!$I$59,M1336=phu!$I$60,M1336=phu!$I$61,M1336=phu!$I$62),"Cam Lợi",""),IF(OR(M1336=phu!$I$63,M1336=phu!$I$64,M1336=phu!$I$65,M1336=phu!$I$66,M1336=phu!$I$67,M1336=phu!$I$68,M1336=phu!$I$69,M1336=phu!$I$70,M1336=phu!$I$71),"Ba Ngòi",""),IF(OR(M1336=phu!$I$72,M1336=phu!$I$73,M1336=phu!$I$74,M1336=phu!$I$75,M1336=phu!$I$76,M1336=phu!$I$77,M1336=phu!$I$78),"Cam Phước Đông",""),IF(OR(M1336=phu!$I$79,M1336=phu!$I$80,M1336=phu!$I$81,M1336=phu!$I$82,M1336=phu!$I$83,M1336=phu!$I$84),"Cam Thịnh Đông",""),IF(OR(M1336=phu!$I$85,M1336=phu!$I$86,M1336=phu!$I$87,M1336=phu!$I$88),"Cam Thịnh Tây",""),IF(OR(M1336=phu!$I$89,M1336=phu!$I$90),"Cam Lập",""),IF(OR(M1336=phu!$I$91,M1336=phu!$I$92,M1336=phu!$I$93),"Cam Bình",""),IF(OR(M1336=phu!$I$94,M1336=phu!$I$95,M1336=phu!$I$96,M1336=phu!$I$97,M1336=phu!$I$98,M1336=phu!$I$99,M1336=phu!$I$100),"Huyện khác",""),IF(OR(M1336=phu!$I$101,M1336=phu!$I$102),"Tỉnh khác",""))</f>
        <v/>
      </c>
      <c r="O1336" s="814" t="str">
        <f t="shared" si="121"/>
        <v/>
      </c>
      <c r="P1336" s="254"/>
      <c r="Q1336" s="254"/>
      <c r="R1336" s="254"/>
      <c r="S1336" s="254"/>
      <c r="T1336" s="254"/>
      <c r="U1336" s="254"/>
      <c r="V1336" s="254"/>
      <c r="W1336" s="254"/>
      <c r="Y1336" s="246" t="str">
        <f t="shared" si="122"/>
        <v/>
      </c>
      <c r="Z1336" s="247" t="str">
        <f t="shared" si="120"/>
        <v/>
      </c>
      <c r="AA1336" s="246" t="str">
        <f t="shared" si="123"/>
        <v/>
      </c>
    </row>
    <row r="1337" spans="1:27" x14ac:dyDescent="0.25">
      <c r="A1337" s="248" t="str">
        <f t="shared" si="124"/>
        <v/>
      </c>
      <c r="B1337" s="249" t="str">
        <f t="shared" si="125"/>
        <v/>
      </c>
      <c r="C1337" s="250"/>
      <c r="D1337" s="251"/>
      <c r="E1337" s="241"/>
      <c r="F1337" s="252"/>
      <c r="G1337" s="252"/>
      <c r="H1337" s="253"/>
      <c r="I1337" s="250"/>
      <c r="J1337" s="250"/>
      <c r="K1337" s="270"/>
      <c r="L1337" s="250"/>
      <c r="M1337" s="250"/>
      <c r="N1337" s="553" t="str">
        <f>CONCATENATE(IF(OR(M1337=phu!$I$1,M1337=phu!$I$2,M1337=phu!$I$3),"Cam Thành Nam",""),IF(OR(M1337=phu!$I$4,M1337=phu!$I$5,M1337=phu!$I$6,M1337=phu!$I$7,M1337=phu!$I$8,M1337=phu!$I$9,M1337=phu!$I$10,M1337=phu!$I$11,M1337=phu!$I$12,M1337=phu!$I$13,M1337=phu!$I$14),"Cam Nghĩa",""),IF(OR(M1337=phu!$I$15,M1337=phu!$I$16,M1337=phu!$I$17,M1337=phu!$I$18,M1337=phu!$I$19,M1337=phu!$I$20,M1337=phu!$I$21),"Cam Phúc Bắc",""),IF(OR(M1337=phu!$I$22,M1337=phu!$I$23,M1337=phu!$I$24,M1337=phu!$I$25),"Cam Phúc Nam",""),IF(OR(M1337=phu!$I$26,M1337=phu!$I$27,M1337=phu!$I$28,M1337=phu!$I$29,M1337=phu!$I$30,M1337=phu!$I$31),"Cam Phú",""),IF(OR(M1337=phu!$I$32,M1337=phu!$I$33,M1337=phu!$I$34,M1337=phu!$I$35,M1337=phu!$I$36,M1337=phu!$I$37),"Cam Lộc",""),IF(OR(M1337=phu!$I$38,M1337=phu!$I$39,M1337=phu!$I$40,M1337=phu!$I$41,M1337=phu!$I$42,M1337=phu!$I$43,M1337=phu!$I$44),"Cam Thuận",""),IF(OR(M1337=phu!$I$45,M1337=phu!$I$46,M1337=phu!$I$47,M1337=phu!$I$48,M1337=phu!$I$49,M1337=phu!$I$50,M1337=phu!$I$51,M1337=phu!$I$52,M1337=phu!$I$53),"Cam Linh",""),IF(OR(M1337=phu!$I$54,M1337=phu!$I$55,M1337=phu!$I$56,M1337=phu!$I$57,M1337=phu!$I$58,M1337=phu!$I$59,M1337=phu!$I$60,M1337=phu!$I$61,M1337=phu!$I$62),"Cam Lợi",""),IF(OR(M1337=phu!$I$63,M1337=phu!$I$64,M1337=phu!$I$65,M1337=phu!$I$66,M1337=phu!$I$67,M1337=phu!$I$68,M1337=phu!$I$69,M1337=phu!$I$70,M1337=phu!$I$71),"Ba Ngòi",""),IF(OR(M1337=phu!$I$72,M1337=phu!$I$73,M1337=phu!$I$74,M1337=phu!$I$75,M1337=phu!$I$76,M1337=phu!$I$77,M1337=phu!$I$78),"Cam Phước Đông",""),IF(OR(M1337=phu!$I$79,M1337=phu!$I$80,M1337=phu!$I$81,M1337=phu!$I$82,M1337=phu!$I$83,M1337=phu!$I$84),"Cam Thịnh Đông",""),IF(OR(M1337=phu!$I$85,M1337=phu!$I$86,M1337=phu!$I$87,M1337=phu!$I$88),"Cam Thịnh Tây",""),IF(OR(M1337=phu!$I$89,M1337=phu!$I$90),"Cam Lập",""),IF(OR(M1337=phu!$I$91,M1337=phu!$I$92,M1337=phu!$I$93),"Cam Bình",""),IF(OR(M1337=phu!$I$94,M1337=phu!$I$95,M1337=phu!$I$96,M1337=phu!$I$97,M1337=phu!$I$98,M1337=phu!$I$99,M1337=phu!$I$100),"Huyện khác",""),IF(OR(M1337=phu!$I$101,M1337=phu!$I$102),"Tỉnh khác",""))</f>
        <v/>
      </c>
      <c r="O1337" s="814" t="str">
        <f t="shared" si="121"/>
        <v/>
      </c>
      <c r="P1337" s="254"/>
      <c r="Q1337" s="254"/>
      <c r="R1337" s="254"/>
      <c r="S1337" s="254"/>
      <c r="T1337" s="254"/>
      <c r="U1337" s="254"/>
      <c r="V1337" s="254"/>
      <c r="W1337" s="254"/>
      <c r="Y1337" s="246" t="str">
        <f t="shared" si="122"/>
        <v/>
      </c>
      <c r="Z1337" s="247" t="str">
        <f t="shared" si="120"/>
        <v/>
      </c>
      <c r="AA1337" s="246" t="str">
        <f t="shared" si="123"/>
        <v/>
      </c>
    </row>
    <row r="1338" spans="1:27" x14ac:dyDescent="0.25">
      <c r="A1338" s="248" t="str">
        <f t="shared" si="124"/>
        <v/>
      </c>
      <c r="B1338" s="249" t="str">
        <f t="shared" si="125"/>
        <v/>
      </c>
      <c r="C1338" s="250"/>
      <c r="D1338" s="251"/>
      <c r="E1338" s="241"/>
      <c r="F1338" s="252"/>
      <c r="G1338" s="252"/>
      <c r="H1338" s="253"/>
      <c r="I1338" s="250"/>
      <c r="J1338" s="250"/>
      <c r="K1338" s="270"/>
      <c r="L1338" s="250"/>
      <c r="M1338" s="250"/>
      <c r="N1338" s="553" t="str">
        <f>CONCATENATE(IF(OR(M1338=phu!$I$1,M1338=phu!$I$2,M1338=phu!$I$3),"Cam Thành Nam",""),IF(OR(M1338=phu!$I$4,M1338=phu!$I$5,M1338=phu!$I$6,M1338=phu!$I$7,M1338=phu!$I$8,M1338=phu!$I$9,M1338=phu!$I$10,M1338=phu!$I$11,M1338=phu!$I$12,M1338=phu!$I$13,M1338=phu!$I$14),"Cam Nghĩa",""),IF(OR(M1338=phu!$I$15,M1338=phu!$I$16,M1338=phu!$I$17,M1338=phu!$I$18,M1338=phu!$I$19,M1338=phu!$I$20,M1338=phu!$I$21),"Cam Phúc Bắc",""),IF(OR(M1338=phu!$I$22,M1338=phu!$I$23,M1338=phu!$I$24,M1338=phu!$I$25),"Cam Phúc Nam",""),IF(OR(M1338=phu!$I$26,M1338=phu!$I$27,M1338=phu!$I$28,M1338=phu!$I$29,M1338=phu!$I$30,M1338=phu!$I$31),"Cam Phú",""),IF(OR(M1338=phu!$I$32,M1338=phu!$I$33,M1338=phu!$I$34,M1338=phu!$I$35,M1338=phu!$I$36,M1338=phu!$I$37),"Cam Lộc",""),IF(OR(M1338=phu!$I$38,M1338=phu!$I$39,M1338=phu!$I$40,M1338=phu!$I$41,M1338=phu!$I$42,M1338=phu!$I$43,M1338=phu!$I$44),"Cam Thuận",""),IF(OR(M1338=phu!$I$45,M1338=phu!$I$46,M1338=phu!$I$47,M1338=phu!$I$48,M1338=phu!$I$49,M1338=phu!$I$50,M1338=phu!$I$51,M1338=phu!$I$52,M1338=phu!$I$53),"Cam Linh",""),IF(OR(M1338=phu!$I$54,M1338=phu!$I$55,M1338=phu!$I$56,M1338=phu!$I$57,M1338=phu!$I$58,M1338=phu!$I$59,M1338=phu!$I$60,M1338=phu!$I$61,M1338=phu!$I$62),"Cam Lợi",""),IF(OR(M1338=phu!$I$63,M1338=phu!$I$64,M1338=phu!$I$65,M1338=phu!$I$66,M1338=phu!$I$67,M1338=phu!$I$68,M1338=phu!$I$69,M1338=phu!$I$70,M1338=phu!$I$71),"Ba Ngòi",""),IF(OR(M1338=phu!$I$72,M1338=phu!$I$73,M1338=phu!$I$74,M1338=phu!$I$75,M1338=phu!$I$76,M1338=phu!$I$77,M1338=phu!$I$78),"Cam Phước Đông",""),IF(OR(M1338=phu!$I$79,M1338=phu!$I$80,M1338=phu!$I$81,M1338=phu!$I$82,M1338=phu!$I$83,M1338=phu!$I$84),"Cam Thịnh Đông",""),IF(OR(M1338=phu!$I$85,M1338=phu!$I$86,M1338=phu!$I$87,M1338=phu!$I$88),"Cam Thịnh Tây",""),IF(OR(M1338=phu!$I$89,M1338=phu!$I$90),"Cam Lập",""),IF(OR(M1338=phu!$I$91,M1338=phu!$I$92,M1338=phu!$I$93),"Cam Bình",""),IF(OR(M1338=phu!$I$94,M1338=phu!$I$95,M1338=phu!$I$96,M1338=phu!$I$97,M1338=phu!$I$98,M1338=phu!$I$99,M1338=phu!$I$100),"Huyện khác",""),IF(OR(M1338=phu!$I$101,M1338=phu!$I$102),"Tỉnh khác",""))</f>
        <v/>
      </c>
      <c r="O1338" s="814" t="str">
        <f t="shared" si="121"/>
        <v/>
      </c>
      <c r="P1338" s="254"/>
      <c r="Q1338" s="254"/>
      <c r="R1338" s="254"/>
      <c r="S1338" s="254"/>
      <c r="T1338" s="254"/>
      <c r="U1338" s="254"/>
      <c r="V1338" s="254"/>
      <c r="W1338" s="254"/>
      <c r="Y1338" s="246" t="str">
        <f t="shared" si="122"/>
        <v/>
      </c>
      <c r="Z1338" s="247" t="str">
        <f t="shared" si="120"/>
        <v/>
      </c>
      <c r="AA1338" s="246" t="str">
        <f t="shared" si="123"/>
        <v/>
      </c>
    </row>
    <row r="1339" spans="1:27" x14ac:dyDescent="0.25">
      <c r="A1339" s="248" t="str">
        <f t="shared" si="124"/>
        <v/>
      </c>
      <c r="B1339" s="249" t="str">
        <f t="shared" si="125"/>
        <v/>
      </c>
      <c r="C1339" s="250"/>
      <c r="D1339" s="251"/>
      <c r="E1339" s="241"/>
      <c r="F1339" s="252"/>
      <c r="G1339" s="252"/>
      <c r="H1339" s="253"/>
      <c r="I1339" s="250"/>
      <c r="J1339" s="250"/>
      <c r="K1339" s="270"/>
      <c r="L1339" s="250"/>
      <c r="M1339" s="250"/>
      <c r="N1339" s="553" t="str">
        <f>CONCATENATE(IF(OR(M1339=phu!$I$1,M1339=phu!$I$2,M1339=phu!$I$3),"Cam Thành Nam",""),IF(OR(M1339=phu!$I$4,M1339=phu!$I$5,M1339=phu!$I$6,M1339=phu!$I$7,M1339=phu!$I$8,M1339=phu!$I$9,M1339=phu!$I$10,M1339=phu!$I$11,M1339=phu!$I$12,M1339=phu!$I$13,M1339=phu!$I$14),"Cam Nghĩa",""),IF(OR(M1339=phu!$I$15,M1339=phu!$I$16,M1339=phu!$I$17,M1339=phu!$I$18,M1339=phu!$I$19,M1339=phu!$I$20,M1339=phu!$I$21),"Cam Phúc Bắc",""),IF(OR(M1339=phu!$I$22,M1339=phu!$I$23,M1339=phu!$I$24,M1339=phu!$I$25),"Cam Phúc Nam",""),IF(OR(M1339=phu!$I$26,M1339=phu!$I$27,M1339=phu!$I$28,M1339=phu!$I$29,M1339=phu!$I$30,M1339=phu!$I$31),"Cam Phú",""),IF(OR(M1339=phu!$I$32,M1339=phu!$I$33,M1339=phu!$I$34,M1339=phu!$I$35,M1339=phu!$I$36,M1339=phu!$I$37),"Cam Lộc",""),IF(OR(M1339=phu!$I$38,M1339=phu!$I$39,M1339=phu!$I$40,M1339=phu!$I$41,M1339=phu!$I$42,M1339=phu!$I$43,M1339=phu!$I$44),"Cam Thuận",""),IF(OR(M1339=phu!$I$45,M1339=phu!$I$46,M1339=phu!$I$47,M1339=phu!$I$48,M1339=phu!$I$49,M1339=phu!$I$50,M1339=phu!$I$51,M1339=phu!$I$52,M1339=phu!$I$53),"Cam Linh",""),IF(OR(M1339=phu!$I$54,M1339=phu!$I$55,M1339=phu!$I$56,M1339=phu!$I$57,M1339=phu!$I$58,M1339=phu!$I$59,M1339=phu!$I$60,M1339=phu!$I$61,M1339=phu!$I$62),"Cam Lợi",""),IF(OR(M1339=phu!$I$63,M1339=phu!$I$64,M1339=phu!$I$65,M1339=phu!$I$66,M1339=phu!$I$67,M1339=phu!$I$68,M1339=phu!$I$69,M1339=phu!$I$70,M1339=phu!$I$71),"Ba Ngòi",""),IF(OR(M1339=phu!$I$72,M1339=phu!$I$73,M1339=phu!$I$74,M1339=phu!$I$75,M1339=phu!$I$76,M1339=phu!$I$77,M1339=phu!$I$78),"Cam Phước Đông",""),IF(OR(M1339=phu!$I$79,M1339=phu!$I$80,M1339=phu!$I$81,M1339=phu!$I$82,M1339=phu!$I$83,M1339=phu!$I$84),"Cam Thịnh Đông",""),IF(OR(M1339=phu!$I$85,M1339=phu!$I$86,M1339=phu!$I$87,M1339=phu!$I$88),"Cam Thịnh Tây",""),IF(OR(M1339=phu!$I$89,M1339=phu!$I$90),"Cam Lập",""),IF(OR(M1339=phu!$I$91,M1339=phu!$I$92,M1339=phu!$I$93),"Cam Bình",""),IF(OR(M1339=phu!$I$94,M1339=phu!$I$95,M1339=phu!$I$96,M1339=phu!$I$97,M1339=phu!$I$98,M1339=phu!$I$99,M1339=phu!$I$100),"Huyện khác",""),IF(OR(M1339=phu!$I$101,M1339=phu!$I$102),"Tỉnh khác",""))</f>
        <v/>
      </c>
      <c r="O1339" s="814" t="str">
        <f t="shared" si="121"/>
        <v/>
      </c>
      <c r="P1339" s="254"/>
      <c r="Q1339" s="254"/>
      <c r="R1339" s="254"/>
      <c r="S1339" s="254"/>
      <c r="T1339" s="254"/>
      <c r="U1339" s="254"/>
      <c r="V1339" s="254"/>
      <c r="W1339" s="254"/>
      <c r="Y1339" s="246" t="str">
        <f t="shared" si="122"/>
        <v/>
      </c>
      <c r="Z1339" s="247" t="str">
        <f t="shared" si="120"/>
        <v/>
      </c>
      <c r="AA1339" s="246" t="str">
        <f t="shared" si="123"/>
        <v/>
      </c>
    </row>
    <row r="1340" spans="1:27" x14ac:dyDescent="0.25">
      <c r="A1340" s="248" t="str">
        <f t="shared" si="124"/>
        <v/>
      </c>
      <c r="B1340" s="249" t="str">
        <f t="shared" si="125"/>
        <v/>
      </c>
      <c r="C1340" s="250"/>
      <c r="D1340" s="251"/>
      <c r="E1340" s="241"/>
      <c r="F1340" s="252"/>
      <c r="G1340" s="252"/>
      <c r="H1340" s="253"/>
      <c r="I1340" s="250"/>
      <c r="J1340" s="250"/>
      <c r="K1340" s="270"/>
      <c r="L1340" s="250"/>
      <c r="M1340" s="250"/>
      <c r="N1340" s="553" t="str">
        <f>CONCATENATE(IF(OR(M1340=phu!$I$1,M1340=phu!$I$2,M1340=phu!$I$3),"Cam Thành Nam",""),IF(OR(M1340=phu!$I$4,M1340=phu!$I$5,M1340=phu!$I$6,M1340=phu!$I$7,M1340=phu!$I$8,M1340=phu!$I$9,M1340=phu!$I$10,M1340=phu!$I$11,M1340=phu!$I$12,M1340=phu!$I$13,M1340=phu!$I$14),"Cam Nghĩa",""),IF(OR(M1340=phu!$I$15,M1340=phu!$I$16,M1340=phu!$I$17,M1340=phu!$I$18,M1340=phu!$I$19,M1340=phu!$I$20,M1340=phu!$I$21),"Cam Phúc Bắc",""),IF(OR(M1340=phu!$I$22,M1340=phu!$I$23,M1340=phu!$I$24,M1340=phu!$I$25),"Cam Phúc Nam",""),IF(OR(M1340=phu!$I$26,M1340=phu!$I$27,M1340=phu!$I$28,M1340=phu!$I$29,M1340=phu!$I$30,M1340=phu!$I$31),"Cam Phú",""),IF(OR(M1340=phu!$I$32,M1340=phu!$I$33,M1340=phu!$I$34,M1340=phu!$I$35,M1340=phu!$I$36,M1340=phu!$I$37),"Cam Lộc",""),IF(OR(M1340=phu!$I$38,M1340=phu!$I$39,M1340=phu!$I$40,M1340=phu!$I$41,M1340=phu!$I$42,M1340=phu!$I$43,M1340=phu!$I$44),"Cam Thuận",""),IF(OR(M1340=phu!$I$45,M1340=phu!$I$46,M1340=phu!$I$47,M1340=phu!$I$48,M1340=phu!$I$49,M1340=phu!$I$50,M1340=phu!$I$51,M1340=phu!$I$52,M1340=phu!$I$53),"Cam Linh",""),IF(OR(M1340=phu!$I$54,M1340=phu!$I$55,M1340=phu!$I$56,M1340=phu!$I$57,M1340=phu!$I$58,M1340=phu!$I$59,M1340=phu!$I$60,M1340=phu!$I$61,M1340=phu!$I$62),"Cam Lợi",""),IF(OR(M1340=phu!$I$63,M1340=phu!$I$64,M1340=phu!$I$65,M1340=phu!$I$66,M1340=phu!$I$67,M1340=phu!$I$68,M1340=phu!$I$69,M1340=phu!$I$70,M1340=phu!$I$71),"Ba Ngòi",""),IF(OR(M1340=phu!$I$72,M1340=phu!$I$73,M1340=phu!$I$74,M1340=phu!$I$75,M1340=phu!$I$76,M1340=phu!$I$77,M1340=phu!$I$78),"Cam Phước Đông",""),IF(OR(M1340=phu!$I$79,M1340=phu!$I$80,M1340=phu!$I$81,M1340=phu!$I$82,M1340=phu!$I$83,M1340=phu!$I$84),"Cam Thịnh Đông",""),IF(OR(M1340=phu!$I$85,M1340=phu!$I$86,M1340=phu!$I$87,M1340=phu!$I$88),"Cam Thịnh Tây",""),IF(OR(M1340=phu!$I$89,M1340=phu!$I$90),"Cam Lập",""),IF(OR(M1340=phu!$I$91,M1340=phu!$I$92,M1340=phu!$I$93),"Cam Bình",""),IF(OR(M1340=phu!$I$94,M1340=phu!$I$95,M1340=phu!$I$96,M1340=phu!$I$97,M1340=phu!$I$98,M1340=phu!$I$99,M1340=phu!$I$100),"Huyện khác",""),IF(OR(M1340=phu!$I$101,M1340=phu!$I$102),"Tỉnh khác",""))</f>
        <v/>
      </c>
      <c r="O1340" s="814" t="str">
        <f t="shared" si="121"/>
        <v/>
      </c>
      <c r="P1340" s="254"/>
      <c r="Q1340" s="254"/>
      <c r="R1340" s="254"/>
      <c r="S1340" s="254"/>
      <c r="T1340" s="254"/>
      <c r="U1340" s="254"/>
      <c r="V1340" s="254"/>
      <c r="W1340" s="254"/>
      <c r="Y1340" s="246" t="str">
        <f t="shared" si="122"/>
        <v/>
      </c>
      <c r="Z1340" s="247" t="str">
        <f t="shared" si="120"/>
        <v/>
      </c>
      <c r="AA1340" s="246" t="str">
        <f t="shared" si="123"/>
        <v/>
      </c>
    </row>
    <row r="1341" spans="1:27" x14ac:dyDescent="0.25">
      <c r="A1341" s="248" t="str">
        <f t="shared" si="124"/>
        <v/>
      </c>
      <c r="B1341" s="249" t="str">
        <f t="shared" si="125"/>
        <v/>
      </c>
      <c r="C1341" s="250"/>
      <c r="D1341" s="251"/>
      <c r="E1341" s="241"/>
      <c r="F1341" s="252"/>
      <c r="G1341" s="252"/>
      <c r="H1341" s="253"/>
      <c r="I1341" s="250"/>
      <c r="J1341" s="250"/>
      <c r="K1341" s="270"/>
      <c r="L1341" s="250"/>
      <c r="M1341" s="250"/>
      <c r="N1341" s="553" t="str">
        <f>CONCATENATE(IF(OR(M1341=phu!$I$1,M1341=phu!$I$2,M1341=phu!$I$3),"Cam Thành Nam",""),IF(OR(M1341=phu!$I$4,M1341=phu!$I$5,M1341=phu!$I$6,M1341=phu!$I$7,M1341=phu!$I$8,M1341=phu!$I$9,M1341=phu!$I$10,M1341=phu!$I$11,M1341=phu!$I$12,M1341=phu!$I$13,M1341=phu!$I$14),"Cam Nghĩa",""),IF(OR(M1341=phu!$I$15,M1341=phu!$I$16,M1341=phu!$I$17,M1341=phu!$I$18,M1341=phu!$I$19,M1341=phu!$I$20,M1341=phu!$I$21),"Cam Phúc Bắc",""),IF(OR(M1341=phu!$I$22,M1341=phu!$I$23,M1341=phu!$I$24,M1341=phu!$I$25),"Cam Phúc Nam",""),IF(OR(M1341=phu!$I$26,M1341=phu!$I$27,M1341=phu!$I$28,M1341=phu!$I$29,M1341=phu!$I$30,M1341=phu!$I$31),"Cam Phú",""),IF(OR(M1341=phu!$I$32,M1341=phu!$I$33,M1341=phu!$I$34,M1341=phu!$I$35,M1341=phu!$I$36,M1341=phu!$I$37),"Cam Lộc",""),IF(OR(M1341=phu!$I$38,M1341=phu!$I$39,M1341=phu!$I$40,M1341=phu!$I$41,M1341=phu!$I$42,M1341=phu!$I$43,M1341=phu!$I$44),"Cam Thuận",""),IF(OR(M1341=phu!$I$45,M1341=phu!$I$46,M1341=phu!$I$47,M1341=phu!$I$48,M1341=phu!$I$49,M1341=phu!$I$50,M1341=phu!$I$51,M1341=phu!$I$52,M1341=phu!$I$53),"Cam Linh",""),IF(OR(M1341=phu!$I$54,M1341=phu!$I$55,M1341=phu!$I$56,M1341=phu!$I$57,M1341=phu!$I$58,M1341=phu!$I$59,M1341=phu!$I$60,M1341=phu!$I$61,M1341=phu!$I$62),"Cam Lợi",""),IF(OR(M1341=phu!$I$63,M1341=phu!$I$64,M1341=phu!$I$65,M1341=phu!$I$66,M1341=phu!$I$67,M1341=phu!$I$68,M1341=phu!$I$69,M1341=phu!$I$70,M1341=phu!$I$71),"Ba Ngòi",""),IF(OR(M1341=phu!$I$72,M1341=phu!$I$73,M1341=phu!$I$74,M1341=phu!$I$75,M1341=phu!$I$76,M1341=phu!$I$77,M1341=phu!$I$78),"Cam Phước Đông",""),IF(OR(M1341=phu!$I$79,M1341=phu!$I$80,M1341=phu!$I$81,M1341=phu!$I$82,M1341=phu!$I$83,M1341=phu!$I$84),"Cam Thịnh Đông",""),IF(OR(M1341=phu!$I$85,M1341=phu!$I$86,M1341=phu!$I$87,M1341=phu!$I$88),"Cam Thịnh Tây",""),IF(OR(M1341=phu!$I$89,M1341=phu!$I$90),"Cam Lập",""),IF(OR(M1341=phu!$I$91,M1341=phu!$I$92,M1341=phu!$I$93),"Cam Bình",""),IF(OR(M1341=phu!$I$94,M1341=phu!$I$95,M1341=phu!$I$96,M1341=phu!$I$97,M1341=phu!$I$98,M1341=phu!$I$99,M1341=phu!$I$100),"Huyện khác",""),IF(OR(M1341=phu!$I$101,M1341=phu!$I$102),"Tỉnh khác",""))</f>
        <v/>
      </c>
      <c r="O1341" s="814" t="str">
        <f t="shared" si="121"/>
        <v/>
      </c>
      <c r="P1341" s="254"/>
      <c r="Q1341" s="254"/>
      <c r="R1341" s="254"/>
      <c r="S1341" s="254"/>
      <c r="T1341" s="254"/>
      <c r="U1341" s="254"/>
      <c r="V1341" s="254"/>
      <c r="W1341" s="254"/>
      <c r="Y1341" s="246" t="str">
        <f t="shared" si="122"/>
        <v/>
      </c>
      <c r="Z1341" s="247" t="str">
        <f t="shared" si="120"/>
        <v/>
      </c>
      <c r="AA1341" s="246" t="str">
        <f t="shared" si="123"/>
        <v/>
      </c>
    </row>
    <row r="1342" spans="1:27" x14ac:dyDescent="0.25">
      <c r="A1342" s="248" t="str">
        <f t="shared" si="124"/>
        <v/>
      </c>
      <c r="B1342" s="249" t="str">
        <f t="shared" si="125"/>
        <v/>
      </c>
      <c r="C1342" s="250"/>
      <c r="D1342" s="251"/>
      <c r="E1342" s="241"/>
      <c r="F1342" s="252"/>
      <c r="G1342" s="252"/>
      <c r="H1342" s="253"/>
      <c r="I1342" s="250"/>
      <c r="J1342" s="250"/>
      <c r="K1342" s="270"/>
      <c r="L1342" s="250"/>
      <c r="M1342" s="250"/>
      <c r="N1342" s="553" t="str">
        <f>CONCATENATE(IF(OR(M1342=phu!$I$1,M1342=phu!$I$2,M1342=phu!$I$3),"Cam Thành Nam",""),IF(OR(M1342=phu!$I$4,M1342=phu!$I$5,M1342=phu!$I$6,M1342=phu!$I$7,M1342=phu!$I$8,M1342=phu!$I$9,M1342=phu!$I$10,M1342=phu!$I$11,M1342=phu!$I$12,M1342=phu!$I$13,M1342=phu!$I$14),"Cam Nghĩa",""),IF(OR(M1342=phu!$I$15,M1342=phu!$I$16,M1342=phu!$I$17,M1342=phu!$I$18,M1342=phu!$I$19,M1342=phu!$I$20,M1342=phu!$I$21),"Cam Phúc Bắc",""),IF(OR(M1342=phu!$I$22,M1342=phu!$I$23,M1342=phu!$I$24,M1342=phu!$I$25),"Cam Phúc Nam",""),IF(OR(M1342=phu!$I$26,M1342=phu!$I$27,M1342=phu!$I$28,M1342=phu!$I$29,M1342=phu!$I$30,M1342=phu!$I$31),"Cam Phú",""),IF(OR(M1342=phu!$I$32,M1342=phu!$I$33,M1342=phu!$I$34,M1342=phu!$I$35,M1342=phu!$I$36,M1342=phu!$I$37),"Cam Lộc",""),IF(OR(M1342=phu!$I$38,M1342=phu!$I$39,M1342=phu!$I$40,M1342=phu!$I$41,M1342=phu!$I$42,M1342=phu!$I$43,M1342=phu!$I$44),"Cam Thuận",""),IF(OR(M1342=phu!$I$45,M1342=phu!$I$46,M1342=phu!$I$47,M1342=phu!$I$48,M1342=phu!$I$49,M1342=phu!$I$50,M1342=phu!$I$51,M1342=phu!$I$52,M1342=phu!$I$53),"Cam Linh",""),IF(OR(M1342=phu!$I$54,M1342=phu!$I$55,M1342=phu!$I$56,M1342=phu!$I$57,M1342=phu!$I$58,M1342=phu!$I$59,M1342=phu!$I$60,M1342=phu!$I$61,M1342=phu!$I$62),"Cam Lợi",""),IF(OR(M1342=phu!$I$63,M1342=phu!$I$64,M1342=phu!$I$65,M1342=phu!$I$66,M1342=phu!$I$67,M1342=phu!$I$68,M1342=phu!$I$69,M1342=phu!$I$70,M1342=phu!$I$71),"Ba Ngòi",""),IF(OR(M1342=phu!$I$72,M1342=phu!$I$73,M1342=phu!$I$74,M1342=phu!$I$75,M1342=phu!$I$76,M1342=phu!$I$77,M1342=phu!$I$78),"Cam Phước Đông",""),IF(OR(M1342=phu!$I$79,M1342=phu!$I$80,M1342=phu!$I$81,M1342=phu!$I$82,M1342=phu!$I$83,M1342=phu!$I$84),"Cam Thịnh Đông",""),IF(OR(M1342=phu!$I$85,M1342=phu!$I$86,M1342=phu!$I$87,M1342=phu!$I$88),"Cam Thịnh Tây",""),IF(OR(M1342=phu!$I$89,M1342=phu!$I$90),"Cam Lập",""),IF(OR(M1342=phu!$I$91,M1342=phu!$I$92,M1342=phu!$I$93),"Cam Bình",""),IF(OR(M1342=phu!$I$94,M1342=phu!$I$95,M1342=phu!$I$96,M1342=phu!$I$97,M1342=phu!$I$98,M1342=phu!$I$99,M1342=phu!$I$100),"Huyện khác",""),IF(OR(M1342=phu!$I$101,M1342=phu!$I$102),"Tỉnh khác",""))</f>
        <v/>
      </c>
      <c r="O1342" s="814" t="str">
        <f t="shared" si="121"/>
        <v/>
      </c>
      <c r="P1342" s="254"/>
      <c r="Q1342" s="254"/>
      <c r="R1342" s="254"/>
      <c r="S1342" s="254"/>
      <c r="T1342" s="254"/>
      <c r="U1342" s="254"/>
      <c r="V1342" s="254"/>
      <c r="W1342" s="254"/>
      <c r="Y1342" s="246" t="str">
        <f t="shared" si="122"/>
        <v/>
      </c>
      <c r="Z1342" s="247" t="str">
        <f t="shared" si="120"/>
        <v/>
      </c>
      <c r="AA1342" s="246" t="str">
        <f t="shared" si="123"/>
        <v/>
      </c>
    </row>
    <row r="1343" spans="1:27" x14ac:dyDescent="0.25">
      <c r="A1343" s="248" t="str">
        <f t="shared" si="124"/>
        <v/>
      </c>
      <c r="B1343" s="249" t="str">
        <f t="shared" si="125"/>
        <v/>
      </c>
      <c r="C1343" s="250"/>
      <c r="D1343" s="251"/>
      <c r="E1343" s="241"/>
      <c r="F1343" s="252"/>
      <c r="G1343" s="252"/>
      <c r="H1343" s="253"/>
      <c r="I1343" s="250"/>
      <c r="J1343" s="250"/>
      <c r="K1343" s="270"/>
      <c r="L1343" s="250"/>
      <c r="M1343" s="250"/>
      <c r="N1343" s="553" t="str">
        <f>CONCATENATE(IF(OR(M1343=phu!$I$1,M1343=phu!$I$2,M1343=phu!$I$3),"Cam Thành Nam",""),IF(OR(M1343=phu!$I$4,M1343=phu!$I$5,M1343=phu!$I$6,M1343=phu!$I$7,M1343=phu!$I$8,M1343=phu!$I$9,M1343=phu!$I$10,M1343=phu!$I$11,M1343=phu!$I$12,M1343=phu!$I$13,M1343=phu!$I$14),"Cam Nghĩa",""),IF(OR(M1343=phu!$I$15,M1343=phu!$I$16,M1343=phu!$I$17,M1343=phu!$I$18,M1343=phu!$I$19,M1343=phu!$I$20,M1343=phu!$I$21),"Cam Phúc Bắc",""),IF(OR(M1343=phu!$I$22,M1343=phu!$I$23,M1343=phu!$I$24,M1343=phu!$I$25),"Cam Phúc Nam",""),IF(OR(M1343=phu!$I$26,M1343=phu!$I$27,M1343=phu!$I$28,M1343=phu!$I$29,M1343=phu!$I$30,M1343=phu!$I$31),"Cam Phú",""),IF(OR(M1343=phu!$I$32,M1343=phu!$I$33,M1343=phu!$I$34,M1343=phu!$I$35,M1343=phu!$I$36,M1343=phu!$I$37),"Cam Lộc",""),IF(OR(M1343=phu!$I$38,M1343=phu!$I$39,M1343=phu!$I$40,M1343=phu!$I$41,M1343=phu!$I$42,M1343=phu!$I$43,M1343=phu!$I$44),"Cam Thuận",""),IF(OR(M1343=phu!$I$45,M1343=phu!$I$46,M1343=phu!$I$47,M1343=phu!$I$48,M1343=phu!$I$49,M1343=phu!$I$50,M1343=phu!$I$51,M1343=phu!$I$52,M1343=phu!$I$53),"Cam Linh",""),IF(OR(M1343=phu!$I$54,M1343=phu!$I$55,M1343=phu!$I$56,M1343=phu!$I$57,M1343=phu!$I$58,M1343=phu!$I$59,M1343=phu!$I$60,M1343=phu!$I$61,M1343=phu!$I$62),"Cam Lợi",""),IF(OR(M1343=phu!$I$63,M1343=phu!$I$64,M1343=phu!$I$65,M1343=phu!$I$66,M1343=phu!$I$67,M1343=phu!$I$68,M1343=phu!$I$69,M1343=phu!$I$70,M1343=phu!$I$71),"Ba Ngòi",""),IF(OR(M1343=phu!$I$72,M1343=phu!$I$73,M1343=phu!$I$74,M1343=phu!$I$75,M1343=phu!$I$76,M1343=phu!$I$77,M1343=phu!$I$78),"Cam Phước Đông",""),IF(OR(M1343=phu!$I$79,M1343=phu!$I$80,M1343=phu!$I$81,M1343=phu!$I$82,M1343=phu!$I$83,M1343=phu!$I$84),"Cam Thịnh Đông",""),IF(OR(M1343=phu!$I$85,M1343=phu!$I$86,M1343=phu!$I$87,M1343=phu!$I$88),"Cam Thịnh Tây",""),IF(OR(M1343=phu!$I$89,M1343=phu!$I$90),"Cam Lập",""),IF(OR(M1343=phu!$I$91,M1343=phu!$I$92,M1343=phu!$I$93),"Cam Bình",""),IF(OR(M1343=phu!$I$94,M1343=phu!$I$95,M1343=phu!$I$96,M1343=phu!$I$97,M1343=phu!$I$98,M1343=phu!$I$99,M1343=phu!$I$100),"Huyện khác",""),IF(OR(M1343=phu!$I$101,M1343=phu!$I$102),"Tỉnh khác",""))</f>
        <v/>
      </c>
      <c r="O1343" s="814" t="str">
        <f t="shared" si="121"/>
        <v/>
      </c>
      <c r="P1343" s="254"/>
      <c r="Q1343" s="254"/>
      <c r="R1343" s="254"/>
      <c r="S1343" s="254"/>
      <c r="T1343" s="254"/>
      <c r="U1343" s="254"/>
      <c r="V1343" s="254"/>
      <c r="W1343" s="254"/>
      <c r="Y1343" s="246" t="str">
        <f t="shared" si="122"/>
        <v/>
      </c>
      <c r="Z1343" s="247" t="str">
        <f t="shared" si="120"/>
        <v/>
      </c>
      <c r="AA1343" s="246" t="str">
        <f t="shared" si="123"/>
        <v/>
      </c>
    </row>
    <row r="1344" spans="1:27" x14ac:dyDescent="0.25">
      <c r="A1344" s="248" t="str">
        <f t="shared" si="124"/>
        <v/>
      </c>
      <c r="B1344" s="249" t="str">
        <f t="shared" si="125"/>
        <v/>
      </c>
      <c r="C1344" s="250"/>
      <c r="D1344" s="251"/>
      <c r="E1344" s="241"/>
      <c r="F1344" s="252"/>
      <c r="G1344" s="252"/>
      <c r="H1344" s="253"/>
      <c r="I1344" s="250"/>
      <c r="J1344" s="250"/>
      <c r="K1344" s="270"/>
      <c r="L1344" s="250"/>
      <c r="M1344" s="250"/>
      <c r="N1344" s="553" t="str">
        <f>CONCATENATE(IF(OR(M1344=phu!$I$1,M1344=phu!$I$2,M1344=phu!$I$3),"Cam Thành Nam",""),IF(OR(M1344=phu!$I$4,M1344=phu!$I$5,M1344=phu!$I$6,M1344=phu!$I$7,M1344=phu!$I$8,M1344=phu!$I$9,M1344=phu!$I$10,M1344=phu!$I$11,M1344=phu!$I$12,M1344=phu!$I$13,M1344=phu!$I$14),"Cam Nghĩa",""),IF(OR(M1344=phu!$I$15,M1344=phu!$I$16,M1344=phu!$I$17,M1344=phu!$I$18,M1344=phu!$I$19,M1344=phu!$I$20,M1344=phu!$I$21),"Cam Phúc Bắc",""),IF(OR(M1344=phu!$I$22,M1344=phu!$I$23,M1344=phu!$I$24,M1344=phu!$I$25),"Cam Phúc Nam",""),IF(OR(M1344=phu!$I$26,M1344=phu!$I$27,M1344=phu!$I$28,M1344=phu!$I$29,M1344=phu!$I$30,M1344=phu!$I$31),"Cam Phú",""),IF(OR(M1344=phu!$I$32,M1344=phu!$I$33,M1344=phu!$I$34,M1344=phu!$I$35,M1344=phu!$I$36,M1344=phu!$I$37),"Cam Lộc",""),IF(OR(M1344=phu!$I$38,M1344=phu!$I$39,M1344=phu!$I$40,M1344=phu!$I$41,M1344=phu!$I$42,M1344=phu!$I$43,M1344=phu!$I$44),"Cam Thuận",""),IF(OR(M1344=phu!$I$45,M1344=phu!$I$46,M1344=phu!$I$47,M1344=phu!$I$48,M1344=phu!$I$49,M1344=phu!$I$50,M1344=phu!$I$51,M1344=phu!$I$52,M1344=phu!$I$53),"Cam Linh",""),IF(OR(M1344=phu!$I$54,M1344=phu!$I$55,M1344=phu!$I$56,M1344=phu!$I$57,M1344=phu!$I$58,M1344=phu!$I$59,M1344=phu!$I$60,M1344=phu!$I$61,M1344=phu!$I$62),"Cam Lợi",""),IF(OR(M1344=phu!$I$63,M1344=phu!$I$64,M1344=phu!$I$65,M1344=phu!$I$66,M1344=phu!$I$67,M1344=phu!$I$68,M1344=phu!$I$69,M1344=phu!$I$70,M1344=phu!$I$71),"Ba Ngòi",""),IF(OR(M1344=phu!$I$72,M1344=phu!$I$73,M1344=phu!$I$74,M1344=phu!$I$75,M1344=phu!$I$76,M1344=phu!$I$77,M1344=phu!$I$78),"Cam Phước Đông",""),IF(OR(M1344=phu!$I$79,M1344=phu!$I$80,M1344=phu!$I$81,M1344=phu!$I$82,M1344=phu!$I$83,M1344=phu!$I$84),"Cam Thịnh Đông",""),IF(OR(M1344=phu!$I$85,M1344=phu!$I$86,M1344=phu!$I$87,M1344=phu!$I$88),"Cam Thịnh Tây",""),IF(OR(M1344=phu!$I$89,M1344=phu!$I$90),"Cam Lập",""),IF(OR(M1344=phu!$I$91,M1344=phu!$I$92,M1344=phu!$I$93),"Cam Bình",""),IF(OR(M1344=phu!$I$94,M1344=phu!$I$95,M1344=phu!$I$96,M1344=phu!$I$97,M1344=phu!$I$98,M1344=phu!$I$99,M1344=phu!$I$100),"Huyện khác",""),IF(OR(M1344=phu!$I$101,M1344=phu!$I$102),"Tỉnh khác",""))</f>
        <v/>
      </c>
      <c r="O1344" s="814" t="str">
        <f t="shared" si="121"/>
        <v/>
      </c>
      <c r="P1344" s="254"/>
      <c r="Q1344" s="254"/>
      <c r="R1344" s="254"/>
      <c r="S1344" s="254"/>
      <c r="T1344" s="254"/>
      <c r="U1344" s="254"/>
      <c r="V1344" s="254"/>
      <c r="W1344" s="254"/>
      <c r="Y1344" s="246" t="str">
        <f t="shared" si="122"/>
        <v/>
      </c>
      <c r="Z1344" s="247" t="str">
        <f t="shared" si="120"/>
        <v/>
      </c>
      <c r="AA1344" s="246" t="str">
        <f t="shared" si="123"/>
        <v/>
      </c>
    </row>
    <row r="1345" spans="1:27" x14ac:dyDescent="0.25">
      <c r="A1345" s="248" t="str">
        <f t="shared" si="124"/>
        <v/>
      </c>
      <c r="B1345" s="249" t="str">
        <f t="shared" si="125"/>
        <v/>
      </c>
      <c r="C1345" s="250"/>
      <c r="D1345" s="251"/>
      <c r="E1345" s="241"/>
      <c r="F1345" s="252"/>
      <c r="G1345" s="252"/>
      <c r="H1345" s="253"/>
      <c r="I1345" s="250"/>
      <c r="J1345" s="250"/>
      <c r="K1345" s="270"/>
      <c r="L1345" s="250"/>
      <c r="M1345" s="250"/>
      <c r="N1345" s="553" t="str">
        <f>CONCATENATE(IF(OR(M1345=phu!$I$1,M1345=phu!$I$2,M1345=phu!$I$3),"Cam Thành Nam",""),IF(OR(M1345=phu!$I$4,M1345=phu!$I$5,M1345=phu!$I$6,M1345=phu!$I$7,M1345=phu!$I$8,M1345=phu!$I$9,M1345=phu!$I$10,M1345=phu!$I$11,M1345=phu!$I$12,M1345=phu!$I$13,M1345=phu!$I$14),"Cam Nghĩa",""),IF(OR(M1345=phu!$I$15,M1345=phu!$I$16,M1345=phu!$I$17,M1345=phu!$I$18,M1345=phu!$I$19,M1345=phu!$I$20,M1345=phu!$I$21),"Cam Phúc Bắc",""),IF(OR(M1345=phu!$I$22,M1345=phu!$I$23,M1345=phu!$I$24,M1345=phu!$I$25),"Cam Phúc Nam",""),IF(OR(M1345=phu!$I$26,M1345=phu!$I$27,M1345=phu!$I$28,M1345=phu!$I$29,M1345=phu!$I$30,M1345=phu!$I$31),"Cam Phú",""),IF(OR(M1345=phu!$I$32,M1345=phu!$I$33,M1345=phu!$I$34,M1345=phu!$I$35,M1345=phu!$I$36,M1345=phu!$I$37),"Cam Lộc",""),IF(OR(M1345=phu!$I$38,M1345=phu!$I$39,M1345=phu!$I$40,M1345=phu!$I$41,M1345=phu!$I$42,M1345=phu!$I$43,M1345=phu!$I$44),"Cam Thuận",""),IF(OR(M1345=phu!$I$45,M1345=phu!$I$46,M1345=phu!$I$47,M1345=phu!$I$48,M1345=phu!$I$49,M1345=phu!$I$50,M1345=phu!$I$51,M1345=phu!$I$52,M1345=phu!$I$53),"Cam Linh",""),IF(OR(M1345=phu!$I$54,M1345=phu!$I$55,M1345=phu!$I$56,M1345=phu!$I$57,M1345=phu!$I$58,M1345=phu!$I$59,M1345=phu!$I$60,M1345=phu!$I$61,M1345=phu!$I$62),"Cam Lợi",""),IF(OR(M1345=phu!$I$63,M1345=phu!$I$64,M1345=phu!$I$65,M1345=phu!$I$66,M1345=phu!$I$67,M1345=phu!$I$68,M1345=phu!$I$69,M1345=phu!$I$70,M1345=phu!$I$71),"Ba Ngòi",""),IF(OR(M1345=phu!$I$72,M1345=phu!$I$73,M1345=phu!$I$74,M1345=phu!$I$75,M1345=phu!$I$76,M1345=phu!$I$77,M1345=phu!$I$78),"Cam Phước Đông",""),IF(OR(M1345=phu!$I$79,M1345=phu!$I$80,M1345=phu!$I$81,M1345=phu!$I$82,M1345=phu!$I$83,M1345=phu!$I$84),"Cam Thịnh Đông",""),IF(OR(M1345=phu!$I$85,M1345=phu!$I$86,M1345=phu!$I$87,M1345=phu!$I$88),"Cam Thịnh Tây",""),IF(OR(M1345=phu!$I$89,M1345=phu!$I$90),"Cam Lập",""),IF(OR(M1345=phu!$I$91,M1345=phu!$I$92,M1345=phu!$I$93),"Cam Bình",""),IF(OR(M1345=phu!$I$94,M1345=phu!$I$95,M1345=phu!$I$96,M1345=phu!$I$97,M1345=phu!$I$98,M1345=phu!$I$99,M1345=phu!$I$100),"Huyện khác",""),IF(OR(M1345=phu!$I$101,M1345=phu!$I$102),"Tỉnh khác",""))</f>
        <v/>
      </c>
      <c r="O1345" s="814" t="str">
        <f t="shared" si="121"/>
        <v/>
      </c>
      <c r="P1345" s="254"/>
      <c r="Q1345" s="254"/>
      <c r="R1345" s="254"/>
      <c r="S1345" s="254"/>
      <c r="T1345" s="254"/>
      <c r="U1345" s="254"/>
      <c r="V1345" s="254"/>
      <c r="W1345" s="254"/>
      <c r="Y1345" s="246" t="str">
        <f t="shared" si="122"/>
        <v/>
      </c>
      <c r="Z1345" s="247" t="str">
        <f t="shared" si="120"/>
        <v/>
      </c>
      <c r="AA1345" s="246" t="str">
        <f t="shared" si="123"/>
        <v/>
      </c>
    </row>
    <row r="1346" spans="1:27" x14ac:dyDescent="0.25">
      <c r="A1346" s="248" t="str">
        <f t="shared" si="124"/>
        <v/>
      </c>
      <c r="B1346" s="249" t="str">
        <f t="shared" si="125"/>
        <v/>
      </c>
      <c r="C1346" s="250"/>
      <c r="D1346" s="251"/>
      <c r="E1346" s="241"/>
      <c r="F1346" s="252"/>
      <c r="G1346" s="252"/>
      <c r="H1346" s="253"/>
      <c r="I1346" s="250"/>
      <c r="J1346" s="250"/>
      <c r="K1346" s="270"/>
      <c r="L1346" s="250"/>
      <c r="M1346" s="250"/>
      <c r="N1346" s="553" t="str">
        <f>CONCATENATE(IF(OR(M1346=phu!$I$1,M1346=phu!$I$2,M1346=phu!$I$3),"Cam Thành Nam",""),IF(OR(M1346=phu!$I$4,M1346=phu!$I$5,M1346=phu!$I$6,M1346=phu!$I$7,M1346=phu!$I$8,M1346=phu!$I$9,M1346=phu!$I$10,M1346=phu!$I$11,M1346=phu!$I$12,M1346=phu!$I$13,M1346=phu!$I$14),"Cam Nghĩa",""),IF(OR(M1346=phu!$I$15,M1346=phu!$I$16,M1346=phu!$I$17,M1346=phu!$I$18,M1346=phu!$I$19,M1346=phu!$I$20,M1346=phu!$I$21),"Cam Phúc Bắc",""),IF(OR(M1346=phu!$I$22,M1346=phu!$I$23,M1346=phu!$I$24,M1346=phu!$I$25),"Cam Phúc Nam",""),IF(OR(M1346=phu!$I$26,M1346=phu!$I$27,M1346=phu!$I$28,M1346=phu!$I$29,M1346=phu!$I$30,M1346=phu!$I$31),"Cam Phú",""),IF(OR(M1346=phu!$I$32,M1346=phu!$I$33,M1346=phu!$I$34,M1346=phu!$I$35,M1346=phu!$I$36,M1346=phu!$I$37),"Cam Lộc",""),IF(OR(M1346=phu!$I$38,M1346=phu!$I$39,M1346=phu!$I$40,M1346=phu!$I$41,M1346=phu!$I$42,M1346=phu!$I$43,M1346=phu!$I$44),"Cam Thuận",""),IF(OR(M1346=phu!$I$45,M1346=phu!$I$46,M1346=phu!$I$47,M1346=phu!$I$48,M1346=phu!$I$49,M1346=phu!$I$50,M1346=phu!$I$51,M1346=phu!$I$52,M1346=phu!$I$53),"Cam Linh",""),IF(OR(M1346=phu!$I$54,M1346=phu!$I$55,M1346=phu!$I$56,M1346=phu!$I$57,M1346=phu!$I$58,M1346=phu!$I$59,M1346=phu!$I$60,M1346=phu!$I$61,M1346=phu!$I$62),"Cam Lợi",""),IF(OR(M1346=phu!$I$63,M1346=phu!$I$64,M1346=phu!$I$65,M1346=phu!$I$66,M1346=phu!$I$67,M1346=phu!$I$68,M1346=phu!$I$69,M1346=phu!$I$70,M1346=phu!$I$71),"Ba Ngòi",""),IF(OR(M1346=phu!$I$72,M1346=phu!$I$73,M1346=phu!$I$74,M1346=phu!$I$75,M1346=phu!$I$76,M1346=phu!$I$77,M1346=phu!$I$78),"Cam Phước Đông",""),IF(OR(M1346=phu!$I$79,M1346=phu!$I$80,M1346=phu!$I$81,M1346=phu!$I$82,M1346=phu!$I$83,M1346=phu!$I$84),"Cam Thịnh Đông",""),IF(OR(M1346=phu!$I$85,M1346=phu!$I$86,M1346=phu!$I$87,M1346=phu!$I$88),"Cam Thịnh Tây",""),IF(OR(M1346=phu!$I$89,M1346=phu!$I$90),"Cam Lập",""),IF(OR(M1346=phu!$I$91,M1346=phu!$I$92,M1346=phu!$I$93),"Cam Bình",""),IF(OR(M1346=phu!$I$94,M1346=phu!$I$95,M1346=phu!$I$96,M1346=phu!$I$97,M1346=phu!$I$98,M1346=phu!$I$99,M1346=phu!$I$100),"Huyện khác",""),IF(OR(M1346=phu!$I$101,M1346=phu!$I$102),"Tỉnh khác",""))</f>
        <v/>
      </c>
      <c r="O1346" s="814" t="str">
        <f t="shared" si="121"/>
        <v/>
      </c>
      <c r="P1346" s="254"/>
      <c r="Q1346" s="254"/>
      <c r="R1346" s="254"/>
      <c r="S1346" s="254"/>
      <c r="T1346" s="254"/>
      <c r="U1346" s="254"/>
      <c r="V1346" s="254"/>
      <c r="W1346" s="254"/>
      <c r="Y1346" s="246" t="str">
        <f t="shared" si="122"/>
        <v/>
      </c>
      <c r="Z1346" s="247" t="str">
        <f t="shared" si="120"/>
        <v/>
      </c>
      <c r="AA1346" s="246" t="str">
        <f t="shared" si="123"/>
        <v/>
      </c>
    </row>
    <row r="1347" spans="1:27" x14ac:dyDescent="0.25">
      <c r="A1347" s="248" t="str">
        <f t="shared" si="124"/>
        <v/>
      </c>
      <c r="B1347" s="249" t="str">
        <f t="shared" si="125"/>
        <v/>
      </c>
      <c r="C1347" s="250"/>
      <c r="D1347" s="251"/>
      <c r="E1347" s="241"/>
      <c r="F1347" s="252"/>
      <c r="G1347" s="252"/>
      <c r="H1347" s="253"/>
      <c r="I1347" s="250"/>
      <c r="J1347" s="250"/>
      <c r="K1347" s="270"/>
      <c r="L1347" s="250"/>
      <c r="M1347" s="250"/>
      <c r="N1347" s="553" t="str">
        <f>CONCATENATE(IF(OR(M1347=phu!$I$1,M1347=phu!$I$2,M1347=phu!$I$3),"Cam Thành Nam",""),IF(OR(M1347=phu!$I$4,M1347=phu!$I$5,M1347=phu!$I$6,M1347=phu!$I$7,M1347=phu!$I$8,M1347=phu!$I$9,M1347=phu!$I$10,M1347=phu!$I$11,M1347=phu!$I$12,M1347=phu!$I$13,M1347=phu!$I$14),"Cam Nghĩa",""),IF(OR(M1347=phu!$I$15,M1347=phu!$I$16,M1347=phu!$I$17,M1347=phu!$I$18,M1347=phu!$I$19,M1347=phu!$I$20,M1347=phu!$I$21),"Cam Phúc Bắc",""),IF(OR(M1347=phu!$I$22,M1347=phu!$I$23,M1347=phu!$I$24,M1347=phu!$I$25),"Cam Phúc Nam",""),IF(OR(M1347=phu!$I$26,M1347=phu!$I$27,M1347=phu!$I$28,M1347=phu!$I$29,M1347=phu!$I$30,M1347=phu!$I$31),"Cam Phú",""),IF(OR(M1347=phu!$I$32,M1347=phu!$I$33,M1347=phu!$I$34,M1347=phu!$I$35,M1347=phu!$I$36,M1347=phu!$I$37),"Cam Lộc",""),IF(OR(M1347=phu!$I$38,M1347=phu!$I$39,M1347=phu!$I$40,M1347=phu!$I$41,M1347=phu!$I$42,M1347=phu!$I$43,M1347=phu!$I$44),"Cam Thuận",""),IF(OR(M1347=phu!$I$45,M1347=phu!$I$46,M1347=phu!$I$47,M1347=phu!$I$48,M1347=phu!$I$49,M1347=phu!$I$50,M1347=phu!$I$51,M1347=phu!$I$52,M1347=phu!$I$53),"Cam Linh",""),IF(OR(M1347=phu!$I$54,M1347=phu!$I$55,M1347=phu!$I$56,M1347=phu!$I$57,M1347=phu!$I$58,M1347=phu!$I$59,M1347=phu!$I$60,M1347=phu!$I$61,M1347=phu!$I$62),"Cam Lợi",""),IF(OR(M1347=phu!$I$63,M1347=phu!$I$64,M1347=phu!$I$65,M1347=phu!$I$66,M1347=phu!$I$67,M1347=phu!$I$68,M1347=phu!$I$69,M1347=phu!$I$70,M1347=phu!$I$71),"Ba Ngòi",""),IF(OR(M1347=phu!$I$72,M1347=phu!$I$73,M1347=phu!$I$74,M1347=phu!$I$75,M1347=phu!$I$76,M1347=phu!$I$77,M1347=phu!$I$78),"Cam Phước Đông",""),IF(OR(M1347=phu!$I$79,M1347=phu!$I$80,M1347=phu!$I$81,M1347=phu!$I$82,M1347=phu!$I$83,M1347=phu!$I$84),"Cam Thịnh Đông",""),IF(OR(M1347=phu!$I$85,M1347=phu!$I$86,M1347=phu!$I$87,M1347=phu!$I$88),"Cam Thịnh Tây",""),IF(OR(M1347=phu!$I$89,M1347=phu!$I$90),"Cam Lập",""),IF(OR(M1347=phu!$I$91,M1347=phu!$I$92,M1347=phu!$I$93),"Cam Bình",""),IF(OR(M1347=phu!$I$94,M1347=phu!$I$95,M1347=phu!$I$96,M1347=phu!$I$97,M1347=phu!$I$98,M1347=phu!$I$99,M1347=phu!$I$100),"Huyện khác",""),IF(OR(M1347=phu!$I$101,M1347=phu!$I$102),"Tỉnh khác",""))</f>
        <v/>
      </c>
      <c r="O1347" s="814" t="str">
        <f t="shared" si="121"/>
        <v/>
      </c>
      <c r="P1347" s="254"/>
      <c r="Q1347" s="254"/>
      <c r="R1347" s="254"/>
      <c r="S1347" s="254"/>
      <c r="T1347" s="254"/>
      <c r="U1347" s="254"/>
      <c r="V1347" s="254"/>
      <c r="W1347" s="254"/>
      <c r="Y1347" s="246" t="str">
        <f t="shared" si="122"/>
        <v/>
      </c>
      <c r="Z1347" s="247" t="str">
        <f t="shared" si="120"/>
        <v/>
      </c>
      <c r="AA1347" s="246" t="str">
        <f t="shared" si="123"/>
        <v/>
      </c>
    </row>
    <row r="1348" spans="1:27" x14ac:dyDescent="0.25">
      <c r="A1348" s="248" t="str">
        <f t="shared" si="124"/>
        <v/>
      </c>
      <c r="B1348" s="249" t="str">
        <f t="shared" si="125"/>
        <v/>
      </c>
      <c r="C1348" s="250"/>
      <c r="D1348" s="251"/>
      <c r="E1348" s="241"/>
      <c r="F1348" s="252"/>
      <c r="G1348" s="252"/>
      <c r="H1348" s="253"/>
      <c r="I1348" s="250"/>
      <c r="J1348" s="250"/>
      <c r="K1348" s="270"/>
      <c r="L1348" s="250"/>
      <c r="M1348" s="250"/>
      <c r="N1348" s="553" t="str">
        <f>CONCATENATE(IF(OR(M1348=phu!$I$1,M1348=phu!$I$2,M1348=phu!$I$3),"Cam Thành Nam",""),IF(OR(M1348=phu!$I$4,M1348=phu!$I$5,M1348=phu!$I$6,M1348=phu!$I$7,M1348=phu!$I$8,M1348=phu!$I$9,M1348=phu!$I$10,M1348=phu!$I$11,M1348=phu!$I$12,M1348=phu!$I$13,M1348=phu!$I$14),"Cam Nghĩa",""),IF(OR(M1348=phu!$I$15,M1348=phu!$I$16,M1348=phu!$I$17,M1348=phu!$I$18,M1348=phu!$I$19,M1348=phu!$I$20,M1348=phu!$I$21),"Cam Phúc Bắc",""),IF(OR(M1348=phu!$I$22,M1348=phu!$I$23,M1348=phu!$I$24,M1348=phu!$I$25),"Cam Phúc Nam",""),IF(OR(M1348=phu!$I$26,M1348=phu!$I$27,M1348=phu!$I$28,M1348=phu!$I$29,M1348=phu!$I$30,M1348=phu!$I$31),"Cam Phú",""),IF(OR(M1348=phu!$I$32,M1348=phu!$I$33,M1348=phu!$I$34,M1348=phu!$I$35,M1348=phu!$I$36,M1348=phu!$I$37),"Cam Lộc",""),IF(OR(M1348=phu!$I$38,M1348=phu!$I$39,M1348=phu!$I$40,M1348=phu!$I$41,M1348=phu!$I$42,M1348=phu!$I$43,M1348=phu!$I$44),"Cam Thuận",""),IF(OR(M1348=phu!$I$45,M1348=phu!$I$46,M1348=phu!$I$47,M1348=phu!$I$48,M1348=phu!$I$49,M1348=phu!$I$50,M1348=phu!$I$51,M1348=phu!$I$52,M1348=phu!$I$53),"Cam Linh",""),IF(OR(M1348=phu!$I$54,M1348=phu!$I$55,M1348=phu!$I$56,M1348=phu!$I$57,M1348=phu!$I$58,M1348=phu!$I$59,M1348=phu!$I$60,M1348=phu!$I$61,M1348=phu!$I$62),"Cam Lợi",""),IF(OR(M1348=phu!$I$63,M1348=phu!$I$64,M1348=phu!$I$65,M1348=phu!$I$66,M1348=phu!$I$67,M1348=phu!$I$68,M1348=phu!$I$69,M1348=phu!$I$70,M1348=phu!$I$71),"Ba Ngòi",""),IF(OR(M1348=phu!$I$72,M1348=phu!$I$73,M1348=phu!$I$74,M1348=phu!$I$75,M1348=phu!$I$76,M1348=phu!$I$77,M1348=phu!$I$78),"Cam Phước Đông",""),IF(OR(M1348=phu!$I$79,M1348=phu!$I$80,M1348=phu!$I$81,M1348=phu!$I$82,M1348=phu!$I$83,M1348=phu!$I$84),"Cam Thịnh Đông",""),IF(OR(M1348=phu!$I$85,M1348=phu!$I$86,M1348=phu!$I$87,M1348=phu!$I$88),"Cam Thịnh Tây",""),IF(OR(M1348=phu!$I$89,M1348=phu!$I$90),"Cam Lập",""),IF(OR(M1348=phu!$I$91,M1348=phu!$I$92,M1348=phu!$I$93),"Cam Bình",""),IF(OR(M1348=phu!$I$94,M1348=phu!$I$95,M1348=phu!$I$96,M1348=phu!$I$97,M1348=phu!$I$98,M1348=phu!$I$99,M1348=phu!$I$100),"Huyện khác",""),IF(OR(M1348=phu!$I$101,M1348=phu!$I$102),"Tỉnh khác",""))</f>
        <v/>
      </c>
      <c r="O1348" s="814" t="str">
        <f t="shared" si="121"/>
        <v/>
      </c>
      <c r="P1348" s="254"/>
      <c r="Q1348" s="254"/>
      <c r="R1348" s="254"/>
      <c r="S1348" s="254"/>
      <c r="T1348" s="254"/>
      <c r="U1348" s="254"/>
      <c r="V1348" s="254"/>
      <c r="W1348" s="254"/>
      <c r="Y1348" s="246" t="str">
        <f t="shared" si="122"/>
        <v/>
      </c>
      <c r="Z1348" s="247" t="str">
        <f t="shared" si="120"/>
        <v/>
      </c>
      <c r="AA1348" s="246" t="str">
        <f t="shared" si="123"/>
        <v/>
      </c>
    </row>
    <row r="1349" spans="1:27" x14ac:dyDescent="0.25">
      <c r="A1349" s="248" t="str">
        <f t="shared" si="124"/>
        <v/>
      </c>
      <c r="B1349" s="249" t="str">
        <f t="shared" si="125"/>
        <v/>
      </c>
      <c r="C1349" s="250"/>
      <c r="D1349" s="251"/>
      <c r="E1349" s="241"/>
      <c r="F1349" s="252"/>
      <c r="G1349" s="252"/>
      <c r="H1349" s="253"/>
      <c r="I1349" s="250"/>
      <c r="J1349" s="250"/>
      <c r="K1349" s="270"/>
      <c r="L1349" s="250"/>
      <c r="M1349" s="250"/>
      <c r="N1349" s="553" t="str">
        <f>CONCATENATE(IF(OR(M1349=phu!$I$1,M1349=phu!$I$2,M1349=phu!$I$3),"Cam Thành Nam",""),IF(OR(M1349=phu!$I$4,M1349=phu!$I$5,M1349=phu!$I$6,M1349=phu!$I$7,M1349=phu!$I$8,M1349=phu!$I$9,M1349=phu!$I$10,M1349=phu!$I$11,M1349=phu!$I$12,M1349=phu!$I$13,M1349=phu!$I$14),"Cam Nghĩa",""),IF(OR(M1349=phu!$I$15,M1349=phu!$I$16,M1349=phu!$I$17,M1349=phu!$I$18,M1349=phu!$I$19,M1349=phu!$I$20,M1349=phu!$I$21),"Cam Phúc Bắc",""),IF(OR(M1349=phu!$I$22,M1349=phu!$I$23,M1349=phu!$I$24,M1349=phu!$I$25),"Cam Phúc Nam",""),IF(OR(M1349=phu!$I$26,M1349=phu!$I$27,M1349=phu!$I$28,M1349=phu!$I$29,M1349=phu!$I$30,M1349=phu!$I$31),"Cam Phú",""),IF(OR(M1349=phu!$I$32,M1349=phu!$I$33,M1349=phu!$I$34,M1349=phu!$I$35,M1349=phu!$I$36,M1349=phu!$I$37),"Cam Lộc",""),IF(OR(M1349=phu!$I$38,M1349=phu!$I$39,M1349=phu!$I$40,M1349=phu!$I$41,M1349=phu!$I$42,M1349=phu!$I$43,M1349=phu!$I$44),"Cam Thuận",""),IF(OR(M1349=phu!$I$45,M1349=phu!$I$46,M1349=phu!$I$47,M1349=phu!$I$48,M1349=phu!$I$49,M1349=phu!$I$50,M1349=phu!$I$51,M1349=phu!$I$52,M1349=phu!$I$53),"Cam Linh",""),IF(OR(M1349=phu!$I$54,M1349=phu!$I$55,M1349=phu!$I$56,M1349=phu!$I$57,M1349=phu!$I$58,M1349=phu!$I$59,M1349=phu!$I$60,M1349=phu!$I$61,M1349=phu!$I$62),"Cam Lợi",""),IF(OR(M1349=phu!$I$63,M1349=phu!$I$64,M1349=phu!$I$65,M1349=phu!$I$66,M1349=phu!$I$67,M1349=phu!$I$68,M1349=phu!$I$69,M1349=phu!$I$70,M1349=phu!$I$71),"Ba Ngòi",""),IF(OR(M1349=phu!$I$72,M1349=phu!$I$73,M1349=phu!$I$74,M1349=phu!$I$75,M1349=phu!$I$76,M1349=phu!$I$77,M1349=phu!$I$78),"Cam Phước Đông",""),IF(OR(M1349=phu!$I$79,M1349=phu!$I$80,M1349=phu!$I$81,M1349=phu!$I$82,M1349=phu!$I$83,M1349=phu!$I$84),"Cam Thịnh Đông",""),IF(OR(M1349=phu!$I$85,M1349=phu!$I$86,M1349=phu!$I$87,M1349=phu!$I$88),"Cam Thịnh Tây",""),IF(OR(M1349=phu!$I$89,M1349=phu!$I$90),"Cam Lập",""),IF(OR(M1349=phu!$I$91,M1349=phu!$I$92,M1349=phu!$I$93),"Cam Bình",""),IF(OR(M1349=phu!$I$94,M1349=phu!$I$95,M1349=phu!$I$96,M1349=phu!$I$97,M1349=phu!$I$98,M1349=phu!$I$99,M1349=phu!$I$100),"Huyện khác",""),IF(OR(M1349=phu!$I$101,M1349=phu!$I$102),"Tỉnh khác",""))</f>
        <v/>
      </c>
      <c r="O1349" s="814" t="str">
        <f t="shared" si="121"/>
        <v/>
      </c>
      <c r="P1349" s="254"/>
      <c r="Q1349" s="254"/>
      <c r="R1349" s="254"/>
      <c r="S1349" s="254"/>
      <c r="T1349" s="254"/>
      <c r="U1349" s="254"/>
      <c r="V1349" s="254"/>
      <c r="W1349" s="254"/>
      <c r="Y1349" s="246" t="str">
        <f t="shared" si="122"/>
        <v/>
      </c>
      <c r="Z1349" s="247" t="str">
        <f t="shared" si="120"/>
        <v/>
      </c>
      <c r="AA1349" s="246" t="str">
        <f t="shared" si="123"/>
        <v/>
      </c>
    </row>
    <row r="1350" spans="1:27" x14ac:dyDescent="0.25">
      <c r="A1350" s="248" t="str">
        <f t="shared" si="124"/>
        <v/>
      </c>
      <c r="B1350" s="249" t="str">
        <f t="shared" si="125"/>
        <v/>
      </c>
      <c r="C1350" s="250"/>
      <c r="D1350" s="251"/>
      <c r="E1350" s="241"/>
      <c r="F1350" s="252"/>
      <c r="G1350" s="252"/>
      <c r="H1350" s="253"/>
      <c r="I1350" s="250"/>
      <c r="J1350" s="250"/>
      <c r="K1350" s="270"/>
      <c r="L1350" s="250"/>
      <c r="M1350" s="250"/>
      <c r="N1350" s="553" t="str">
        <f>CONCATENATE(IF(OR(M1350=phu!$I$1,M1350=phu!$I$2,M1350=phu!$I$3),"Cam Thành Nam",""),IF(OR(M1350=phu!$I$4,M1350=phu!$I$5,M1350=phu!$I$6,M1350=phu!$I$7,M1350=phu!$I$8,M1350=phu!$I$9,M1350=phu!$I$10,M1350=phu!$I$11,M1350=phu!$I$12,M1350=phu!$I$13,M1350=phu!$I$14),"Cam Nghĩa",""),IF(OR(M1350=phu!$I$15,M1350=phu!$I$16,M1350=phu!$I$17,M1350=phu!$I$18,M1350=phu!$I$19,M1350=phu!$I$20,M1350=phu!$I$21),"Cam Phúc Bắc",""),IF(OR(M1350=phu!$I$22,M1350=phu!$I$23,M1350=phu!$I$24,M1350=phu!$I$25),"Cam Phúc Nam",""),IF(OR(M1350=phu!$I$26,M1350=phu!$I$27,M1350=phu!$I$28,M1350=phu!$I$29,M1350=phu!$I$30,M1350=phu!$I$31),"Cam Phú",""),IF(OR(M1350=phu!$I$32,M1350=phu!$I$33,M1350=phu!$I$34,M1350=phu!$I$35,M1350=phu!$I$36,M1350=phu!$I$37),"Cam Lộc",""),IF(OR(M1350=phu!$I$38,M1350=phu!$I$39,M1350=phu!$I$40,M1350=phu!$I$41,M1350=phu!$I$42,M1350=phu!$I$43,M1350=phu!$I$44),"Cam Thuận",""),IF(OR(M1350=phu!$I$45,M1350=phu!$I$46,M1350=phu!$I$47,M1350=phu!$I$48,M1350=phu!$I$49,M1350=phu!$I$50,M1350=phu!$I$51,M1350=phu!$I$52,M1350=phu!$I$53),"Cam Linh",""),IF(OR(M1350=phu!$I$54,M1350=phu!$I$55,M1350=phu!$I$56,M1350=phu!$I$57,M1350=phu!$I$58,M1350=phu!$I$59,M1350=phu!$I$60,M1350=phu!$I$61,M1350=phu!$I$62),"Cam Lợi",""),IF(OR(M1350=phu!$I$63,M1350=phu!$I$64,M1350=phu!$I$65,M1350=phu!$I$66,M1350=phu!$I$67,M1350=phu!$I$68,M1350=phu!$I$69,M1350=phu!$I$70,M1350=phu!$I$71),"Ba Ngòi",""),IF(OR(M1350=phu!$I$72,M1350=phu!$I$73,M1350=phu!$I$74,M1350=phu!$I$75,M1350=phu!$I$76,M1350=phu!$I$77,M1350=phu!$I$78),"Cam Phước Đông",""),IF(OR(M1350=phu!$I$79,M1350=phu!$I$80,M1350=phu!$I$81,M1350=phu!$I$82,M1350=phu!$I$83,M1350=phu!$I$84),"Cam Thịnh Đông",""),IF(OR(M1350=phu!$I$85,M1350=phu!$I$86,M1350=phu!$I$87,M1350=phu!$I$88),"Cam Thịnh Tây",""),IF(OR(M1350=phu!$I$89,M1350=phu!$I$90),"Cam Lập",""),IF(OR(M1350=phu!$I$91,M1350=phu!$I$92,M1350=phu!$I$93),"Cam Bình",""),IF(OR(M1350=phu!$I$94,M1350=phu!$I$95,M1350=phu!$I$96,M1350=phu!$I$97,M1350=phu!$I$98,M1350=phu!$I$99,M1350=phu!$I$100),"Huyện khác",""),IF(OR(M1350=phu!$I$101,M1350=phu!$I$102),"Tỉnh khác",""))</f>
        <v/>
      </c>
      <c r="O1350" s="814" t="str">
        <f t="shared" si="121"/>
        <v/>
      </c>
      <c r="P1350" s="254"/>
      <c r="Q1350" s="254"/>
      <c r="R1350" s="254"/>
      <c r="S1350" s="254"/>
      <c r="T1350" s="254"/>
      <c r="U1350" s="254"/>
      <c r="V1350" s="254"/>
      <c r="W1350" s="254"/>
      <c r="Y1350" s="246" t="str">
        <f t="shared" si="122"/>
        <v/>
      </c>
      <c r="Z1350" s="247" t="str">
        <f t="shared" ref="Z1350:Z1413" si="126">IF(H1350="","",$Z$1-H1350)</f>
        <v/>
      </c>
      <c r="AA1350" s="246" t="str">
        <f t="shared" si="123"/>
        <v/>
      </c>
    </row>
    <row r="1351" spans="1:27" x14ac:dyDescent="0.25">
      <c r="A1351" s="248" t="str">
        <f t="shared" si="124"/>
        <v/>
      </c>
      <c r="B1351" s="249" t="str">
        <f t="shared" si="125"/>
        <v/>
      </c>
      <c r="C1351" s="250"/>
      <c r="D1351" s="251"/>
      <c r="E1351" s="241"/>
      <c r="F1351" s="252"/>
      <c r="G1351" s="252"/>
      <c r="H1351" s="253"/>
      <c r="I1351" s="250"/>
      <c r="J1351" s="250"/>
      <c r="K1351" s="270"/>
      <c r="L1351" s="250"/>
      <c r="M1351" s="250"/>
      <c r="N1351" s="553" t="str">
        <f>CONCATENATE(IF(OR(M1351=phu!$I$1,M1351=phu!$I$2,M1351=phu!$I$3),"Cam Thành Nam",""),IF(OR(M1351=phu!$I$4,M1351=phu!$I$5,M1351=phu!$I$6,M1351=phu!$I$7,M1351=phu!$I$8,M1351=phu!$I$9,M1351=phu!$I$10,M1351=phu!$I$11,M1351=phu!$I$12,M1351=phu!$I$13,M1351=phu!$I$14),"Cam Nghĩa",""),IF(OR(M1351=phu!$I$15,M1351=phu!$I$16,M1351=phu!$I$17,M1351=phu!$I$18,M1351=phu!$I$19,M1351=phu!$I$20,M1351=phu!$I$21),"Cam Phúc Bắc",""),IF(OR(M1351=phu!$I$22,M1351=phu!$I$23,M1351=phu!$I$24,M1351=phu!$I$25),"Cam Phúc Nam",""),IF(OR(M1351=phu!$I$26,M1351=phu!$I$27,M1351=phu!$I$28,M1351=phu!$I$29,M1351=phu!$I$30,M1351=phu!$I$31),"Cam Phú",""),IF(OR(M1351=phu!$I$32,M1351=phu!$I$33,M1351=phu!$I$34,M1351=phu!$I$35,M1351=phu!$I$36,M1351=phu!$I$37),"Cam Lộc",""),IF(OR(M1351=phu!$I$38,M1351=phu!$I$39,M1351=phu!$I$40,M1351=phu!$I$41,M1351=phu!$I$42,M1351=phu!$I$43,M1351=phu!$I$44),"Cam Thuận",""),IF(OR(M1351=phu!$I$45,M1351=phu!$I$46,M1351=phu!$I$47,M1351=phu!$I$48,M1351=phu!$I$49,M1351=phu!$I$50,M1351=phu!$I$51,M1351=phu!$I$52,M1351=phu!$I$53),"Cam Linh",""),IF(OR(M1351=phu!$I$54,M1351=phu!$I$55,M1351=phu!$I$56,M1351=phu!$I$57,M1351=phu!$I$58,M1351=phu!$I$59,M1351=phu!$I$60,M1351=phu!$I$61,M1351=phu!$I$62),"Cam Lợi",""),IF(OR(M1351=phu!$I$63,M1351=phu!$I$64,M1351=phu!$I$65,M1351=phu!$I$66,M1351=phu!$I$67,M1351=phu!$I$68,M1351=phu!$I$69,M1351=phu!$I$70,M1351=phu!$I$71),"Ba Ngòi",""),IF(OR(M1351=phu!$I$72,M1351=phu!$I$73,M1351=phu!$I$74,M1351=phu!$I$75,M1351=phu!$I$76,M1351=phu!$I$77,M1351=phu!$I$78),"Cam Phước Đông",""),IF(OR(M1351=phu!$I$79,M1351=phu!$I$80,M1351=phu!$I$81,M1351=phu!$I$82,M1351=phu!$I$83,M1351=phu!$I$84),"Cam Thịnh Đông",""),IF(OR(M1351=phu!$I$85,M1351=phu!$I$86,M1351=phu!$I$87,M1351=phu!$I$88),"Cam Thịnh Tây",""),IF(OR(M1351=phu!$I$89,M1351=phu!$I$90),"Cam Lập",""),IF(OR(M1351=phu!$I$91,M1351=phu!$I$92,M1351=phu!$I$93),"Cam Bình",""),IF(OR(M1351=phu!$I$94,M1351=phu!$I$95,M1351=phu!$I$96,M1351=phu!$I$97,M1351=phu!$I$98,M1351=phu!$I$99,M1351=phu!$I$100),"Huyện khác",""),IF(OR(M1351=phu!$I$101,M1351=phu!$I$102),"Tỉnh khác",""))</f>
        <v/>
      </c>
      <c r="O1351" s="814" t="str">
        <f t="shared" ref="O1351:O1414" si="127">CONCATENATE(IF(OR(N1351="Cam Thành Nam",N1351="Cam Nghĩa",N1351="Cam Phúc Bắc"),"Bắc Cam Ranh",""),IF(OR(N1351="Cam Phúc Nam",N1351="Cam Phú",N1351="Cam Lộc"),"Cam Ranh",""),IF(OR(N1351="Cam Thuận",N1351="Cam Linh",N1351="Cam Lợi"),"Cam Linh",""),IF(OR(N1351="Ba Ngòi",N1351="Cam Phước Đông"),"Ba Ngòi",""),IF(OR(N1351="Cam Thịnh Đông",N1351="Cam Thịnh Tây",N1351="Cam Lập",N1351="Cam Bình"),"Nam Cam Ranh",""),IF(N1351="Huyện khác","Huyện khác",""),IF(N1351="Tỉnh khác","Tỉnh khác",""))</f>
        <v/>
      </c>
      <c r="P1351" s="254"/>
      <c r="Q1351" s="254"/>
      <c r="R1351" s="254"/>
      <c r="S1351" s="254"/>
      <c r="T1351" s="254"/>
      <c r="U1351" s="254"/>
      <c r="V1351" s="254"/>
      <c r="W1351" s="254"/>
      <c r="Y1351" s="246" t="str">
        <f t="shared" ref="Y1351:Y1414" si="128">IF(OR(AND(B1351="",C1351="",D1351="",E1351="",F1351="",G1351="",H1351="",I1351="",J1351="",L1351="",M1351="",N1351="",P1351="",Q1351="",R1351="",S1351=""),AND(B1351&lt;&gt;"",C1351&lt;&gt;"",D1351&lt;&gt;"",E1351&lt;&gt;"",F1351&lt;&gt;"",G1351&lt;&gt;"",H1351&lt;&gt;"",J1351&lt;&gt;"",M1351&lt;&gt;"",N1351&lt;&gt;"",P1351&lt;&gt;"",OR(AND(Q1351&lt;&gt;"",R1351=""),AND(Q1351="",R1351&lt;&gt;""),AND(Q1351&lt;&gt;"",R1351&lt;&gt;"")),OR(AND(K1351="X",T1351&lt;&gt;""),AND(K1351="",T1351="")))),"","er")</f>
        <v/>
      </c>
      <c r="Z1351" s="247" t="str">
        <f t="shared" si="126"/>
        <v/>
      </c>
      <c r="AA1351" s="246" t="str">
        <f t="shared" ref="AA1351:AA1414" si="129">IF(OR(AND(Z1351=5,B1351&gt;0),AND(Z1351=6,B1351&gt;1),AND(Z1351=7,B1351&gt;2),AND(Z1351=8,B1351&gt;3),AND(Z1351=9,B1351&gt;4),AND(Z1351=10,B1351&gt;5),AND(Z1351=5,B1351=0,L1351="X"),AND(Z1351=6,B1351=1,L1351="X"),AND(Z1351=7,B1351=2,L1351="X"),AND(Z1351=8,B1351=3,L1351="X"),AND(Z1351=9,B1351=4,L1351="X"),AND(Z1351=10,B1351=5,L1351="X")),"er","")</f>
        <v/>
      </c>
    </row>
    <row r="1352" spans="1:27" x14ac:dyDescent="0.25">
      <c r="A1352" s="248" t="str">
        <f t="shared" ref="A1352:A1415" si="130">IF(OR(A1351="",B1352="",C1352="",D1352="",E1352=""),"",A1351+1)</f>
        <v/>
      </c>
      <c r="B1352" s="249" t="str">
        <f t="shared" ref="B1352:B1415" si="131">IF(C1352="","",VALUE(LEFT(C1352,1)))</f>
        <v/>
      </c>
      <c r="C1352" s="250"/>
      <c r="D1352" s="251"/>
      <c r="E1352" s="241"/>
      <c r="F1352" s="252"/>
      <c r="G1352" s="252"/>
      <c r="H1352" s="253"/>
      <c r="I1352" s="250"/>
      <c r="J1352" s="250"/>
      <c r="K1352" s="270"/>
      <c r="L1352" s="250"/>
      <c r="M1352" s="250"/>
      <c r="N1352" s="553" t="str">
        <f>CONCATENATE(IF(OR(M1352=phu!$I$1,M1352=phu!$I$2,M1352=phu!$I$3),"Cam Thành Nam",""),IF(OR(M1352=phu!$I$4,M1352=phu!$I$5,M1352=phu!$I$6,M1352=phu!$I$7,M1352=phu!$I$8,M1352=phu!$I$9,M1352=phu!$I$10,M1352=phu!$I$11,M1352=phu!$I$12,M1352=phu!$I$13,M1352=phu!$I$14),"Cam Nghĩa",""),IF(OR(M1352=phu!$I$15,M1352=phu!$I$16,M1352=phu!$I$17,M1352=phu!$I$18,M1352=phu!$I$19,M1352=phu!$I$20,M1352=phu!$I$21),"Cam Phúc Bắc",""),IF(OR(M1352=phu!$I$22,M1352=phu!$I$23,M1352=phu!$I$24,M1352=phu!$I$25),"Cam Phúc Nam",""),IF(OR(M1352=phu!$I$26,M1352=phu!$I$27,M1352=phu!$I$28,M1352=phu!$I$29,M1352=phu!$I$30,M1352=phu!$I$31),"Cam Phú",""),IF(OR(M1352=phu!$I$32,M1352=phu!$I$33,M1352=phu!$I$34,M1352=phu!$I$35,M1352=phu!$I$36,M1352=phu!$I$37),"Cam Lộc",""),IF(OR(M1352=phu!$I$38,M1352=phu!$I$39,M1352=phu!$I$40,M1352=phu!$I$41,M1352=phu!$I$42,M1352=phu!$I$43,M1352=phu!$I$44),"Cam Thuận",""),IF(OR(M1352=phu!$I$45,M1352=phu!$I$46,M1352=phu!$I$47,M1352=phu!$I$48,M1352=phu!$I$49,M1352=phu!$I$50,M1352=phu!$I$51,M1352=phu!$I$52,M1352=phu!$I$53),"Cam Linh",""),IF(OR(M1352=phu!$I$54,M1352=phu!$I$55,M1352=phu!$I$56,M1352=phu!$I$57,M1352=phu!$I$58,M1352=phu!$I$59,M1352=phu!$I$60,M1352=phu!$I$61,M1352=phu!$I$62),"Cam Lợi",""),IF(OR(M1352=phu!$I$63,M1352=phu!$I$64,M1352=phu!$I$65,M1352=phu!$I$66,M1352=phu!$I$67,M1352=phu!$I$68,M1352=phu!$I$69,M1352=phu!$I$70,M1352=phu!$I$71),"Ba Ngòi",""),IF(OR(M1352=phu!$I$72,M1352=phu!$I$73,M1352=phu!$I$74,M1352=phu!$I$75,M1352=phu!$I$76,M1352=phu!$I$77,M1352=phu!$I$78),"Cam Phước Đông",""),IF(OR(M1352=phu!$I$79,M1352=phu!$I$80,M1352=phu!$I$81,M1352=phu!$I$82,M1352=phu!$I$83,M1352=phu!$I$84),"Cam Thịnh Đông",""),IF(OR(M1352=phu!$I$85,M1352=phu!$I$86,M1352=phu!$I$87,M1352=phu!$I$88),"Cam Thịnh Tây",""),IF(OR(M1352=phu!$I$89,M1352=phu!$I$90),"Cam Lập",""),IF(OR(M1352=phu!$I$91,M1352=phu!$I$92,M1352=phu!$I$93),"Cam Bình",""),IF(OR(M1352=phu!$I$94,M1352=phu!$I$95,M1352=phu!$I$96,M1352=phu!$I$97,M1352=phu!$I$98,M1352=phu!$I$99,M1352=phu!$I$100),"Huyện khác",""),IF(OR(M1352=phu!$I$101,M1352=phu!$I$102),"Tỉnh khác",""))</f>
        <v/>
      </c>
      <c r="O1352" s="814" t="str">
        <f t="shared" si="127"/>
        <v/>
      </c>
      <c r="P1352" s="254"/>
      <c r="Q1352" s="254"/>
      <c r="R1352" s="254"/>
      <c r="S1352" s="254"/>
      <c r="T1352" s="254"/>
      <c r="U1352" s="254"/>
      <c r="V1352" s="254"/>
      <c r="W1352" s="254"/>
      <c r="Y1352" s="246" t="str">
        <f t="shared" si="128"/>
        <v/>
      </c>
      <c r="Z1352" s="247" t="str">
        <f t="shared" si="126"/>
        <v/>
      </c>
      <c r="AA1352" s="246" t="str">
        <f t="shared" si="129"/>
        <v/>
      </c>
    </row>
    <row r="1353" spans="1:27" x14ac:dyDescent="0.25">
      <c r="A1353" s="248" t="str">
        <f t="shared" si="130"/>
        <v/>
      </c>
      <c r="B1353" s="249" t="str">
        <f t="shared" si="131"/>
        <v/>
      </c>
      <c r="C1353" s="250"/>
      <c r="D1353" s="251"/>
      <c r="E1353" s="241"/>
      <c r="F1353" s="252"/>
      <c r="G1353" s="252"/>
      <c r="H1353" s="253"/>
      <c r="I1353" s="250"/>
      <c r="J1353" s="250"/>
      <c r="K1353" s="270"/>
      <c r="L1353" s="250"/>
      <c r="M1353" s="250"/>
      <c r="N1353" s="553" t="str">
        <f>CONCATENATE(IF(OR(M1353=phu!$I$1,M1353=phu!$I$2,M1353=phu!$I$3),"Cam Thành Nam",""),IF(OR(M1353=phu!$I$4,M1353=phu!$I$5,M1353=phu!$I$6,M1353=phu!$I$7,M1353=phu!$I$8,M1353=phu!$I$9,M1353=phu!$I$10,M1353=phu!$I$11,M1353=phu!$I$12,M1353=phu!$I$13,M1353=phu!$I$14),"Cam Nghĩa",""),IF(OR(M1353=phu!$I$15,M1353=phu!$I$16,M1353=phu!$I$17,M1353=phu!$I$18,M1353=phu!$I$19,M1353=phu!$I$20,M1353=phu!$I$21),"Cam Phúc Bắc",""),IF(OR(M1353=phu!$I$22,M1353=phu!$I$23,M1353=phu!$I$24,M1353=phu!$I$25),"Cam Phúc Nam",""),IF(OR(M1353=phu!$I$26,M1353=phu!$I$27,M1353=phu!$I$28,M1353=phu!$I$29,M1353=phu!$I$30,M1353=phu!$I$31),"Cam Phú",""),IF(OR(M1353=phu!$I$32,M1353=phu!$I$33,M1353=phu!$I$34,M1353=phu!$I$35,M1353=phu!$I$36,M1353=phu!$I$37),"Cam Lộc",""),IF(OR(M1353=phu!$I$38,M1353=phu!$I$39,M1353=phu!$I$40,M1353=phu!$I$41,M1353=phu!$I$42,M1353=phu!$I$43,M1353=phu!$I$44),"Cam Thuận",""),IF(OR(M1353=phu!$I$45,M1353=phu!$I$46,M1353=phu!$I$47,M1353=phu!$I$48,M1353=phu!$I$49,M1353=phu!$I$50,M1353=phu!$I$51,M1353=phu!$I$52,M1353=phu!$I$53),"Cam Linh",""),IF(OR(M1353=phu!$I$54,M1353=phu!$I$55,M1353=phu!$I$56,M1353=phu!$I$57,M1353=phu!$I$58,M1353=phu!$I$59,M1353=phu!$I$60,M1353=phu!$I$61,M1353=phu!$I$62),"Cam Lợi",""),IF(OR(M1353=phu!$I$63,M1353=phu!$I$64,M1353=phu!$I$65,M1353=phu!$I$66,M1353=phu!$I$67,M1353=phu!$I$68,M1353=phu!$I$69,M1353=phu!$I$70,M1353=phu!$I$71),"Ba Ngòi",""),IF(OR(M1353=phu!$I$72,M1353=phu!$I$73,M1353=phu!$I$74,M1353=phu!$I$75,M1353=phu!$I$76,M1353=phu!$I$77,M1353=phu!$I$78),"Cam Phước Đông",""),IF(OR(M1353=phu!$I$79,M1353=phu!$I$80,M1353=phu!$I$81,M1353=phu!$I$82,M1353=phu!$I$83,M1353=phu!$I$84),"Cam Thịnh Đông",""),IF(OR(M1353=phu!$I$85,M1353=phu!$I$86,M1353=phu!$I$87,M1353=phu!$I$88),"Cam Thịnh Tây",""),IF(OR(M1353=phu!$I$89,M1353=phu!$I$90),"Cam Lập",""),IF(OR(M1353=phu!$I$91,M1353=phu!$I$92,M1353=phu!$I$93),"Cam Bình",""),IF(OR(M1353=phu!$I$94,M1353=phu!$I$95,M1353=phu!$I$96,M1353=phu!$I$97,M1353=phu!$I$98,M1353=phu!$I$99,M1353=phu!$I$100),"Huyện khác",""),IF(OR(M1353=phu!$I$101,M1353=phu!$I$102),"Tỉnh khác",""))</f>
        <v/>
      </c>
      <c r="O1353" s="814" t="str">
        <f t="shared" si="127"/>
        <v/>
      </c>
      <c r="P1353" s="254"/>
      <c r="Q1353" s="254"/>
      <c r="R1353" s="254"/>
      <c r="S1353" s="254"/>
      <c r="T1353" s="254"/>
      <c r="U1353" s="254"/>
      <c r="V1353" s="254"/>
      <c r="W1353" s="254"/>
      <c r="Y1353" s="246" t="str">
        <f t="shared" si="128"/>
        <v/>
      </c>
      <c r="Z1353" s="247" t="str">
        <f t="shared" si="126"/>
        <v/>
      </c>
      <c r="AA1353" s="246" t="str">
        <f t="shared" si="129"/>
        <v/>
      </c>
    </row>
    <row r="1354" spans="1:27" x14ac:dyDescent="0.25">
      <c r="A1354" s="248" t="str">
        <f t="shared" si="130"/>
        <v/>
      </c>
      <c r="B1354" s="249" t="str">
        <f t="shared" si="131"/>
        <v/>
      </c>
      <c r="C1354" s="250"/>
      <c r="D1354" s="251"/>
      <c r="E1354" s="241"/>
      <c r="F1354" s="252"/>
      <c r="G1354" s="252"/>
      <c r="H1354" s="253"/>
      <c r="I1354" s="250"/>
      <c r="J1354" s="250"/>
      <c r="K1354" s="270"/>
      <c r="L1354" s="250"/>
      <c r="M1354" s="250"/>
      <c r="N1354" s="553" t="str">
        <f>CONCATENATE(IF(OR(M1354=phu!$I$1,M1354=phu!$I$2,M1354=phu!$I$3),"Cam Thành Nam",""),IF(OR(M1354=phu!$I$4,M1354=phu!$I$5,M1354=phu!$I$6,M1354=phu!$I$7,M1354=phu!$I$8,M1354=phu!$I$9,M1354=phu!$I$10,M1354=phu!$I$11,M1354=phu!$I$12,M1354=phu!$I$13,M1354=phu!$I$14),"Cam Nghĩa",""),IF(OR(M1354=phu!$I$15,M1354=phu!$I$16,M1354=phu!$I$17,M1354=phu!$I$18,M1354=phu!$I$19,M1354=phu!$I$20,M1354=phu!$I$21),"Cam Phúc Bắc",""),IF(OR(M1354=phu!$I$22,M1354=phu!$I$23,M1354=phu!$I$24,M1354=phu!$I$25),"Cam Phúc Nam",""),IF(OR(M1354=phu!$I$26,M1354=phu!$I$27,M1354=phu!$I$28,M1354=phu!$I$29,M1354=phu!$I$30,M1354=phu!$I$31),"Cam Phú",""),IF(OR(M1354=phu!$I$32,M1354=phu!$I$33,M1354=phu!$I$34,M1354=phu!$I$35,M1354=phu!$I$36,M1354=phu!$I$37),"Cam Lộc",""),IF(OR(M1354=phu!$I$38,M1354=phu!$I$39,M1354=phu!$I$40,M1354=phu!$I$41,M1354=phu!$I$42,M1354=phu!$I$43,M1354=phu!$I$44),"Cam Thuận",""),IF(OR(M1354=phu!$I$45,M1354=phu!$I$46,M1354=phu!$I$47,M1354=phu!$I$48,M1354=phu!$I$49,M1354=phu!$I$50,M1354=phu!$I$51,M1354=phu!$I$52,M1354=phu!$I$53),"Cam Linh",""),IF(OR(M1354=phu!$I$54,M1354=phu!$I$55,M1354=phu!$I$56,M1354=phu!$I$57,M1354=phu!$I$58,M1354=phu!$I$59,M1354=phu!$I$60,M1354=phu!$I$61,M1354=phu!$I$62),"Cam Lợi",""),IF(OR(M1354=phu!$I$63,M1354=phu!$I$64,M1354=phu!$I$65,M1354=phu!$I$66,M1354=phu!$I$67,M1354=phu!$I$68,M1354=phu!$I$69,M1354=phu!$I$70,M1354=phu!$I$71),"Ba Ngòi",""),IF(OR(M1354=phu!$I$72,M1354=phu!$I$73,M1354=phu!$I$74,M1354=phu!$I$75,M1354=phu!$I$76,M1354=phu!$I$77,M1354=phu!$I$78),"Cam Phước Đông",""),IF(OR(M1354=phu!$I$79,M1354=phu!$I$80,M1354=phu!$I$81,M1354=phu!$I$82,M1354=phu!$I$83,M1354=phu!$I$84),"Cam Thịnh Đông",""),IF(OR(M1354=phu!$I$85,M1354=phu!$I$86,M1354=phu!$I$87,M1354=phu!$I$88),"Cam Thịnh Tây",""),IF(OR(M1354=phu!$I$89,M1354=phu!$I$90),"Cam Lập",""),IF(OR(M1354=phu!$I$91,M1354=phu!$I$92,M1354=phu!$I$93),"Cam Bình",""),IF(OR(M1354=phu!$I$94,M1354=phu!$I$95,M1354=phu!$I$96,M1354=phu!$I$97,M1354=phu!$I$98,M1354=phu!$I$99,M1354=phu!$I$100),"Huyện khác",""),IF(OR(M1354=phu!$I$101,M1354=phu!$I$102),"Tỉnh khác",""))</f>
        <v/>
      </c>
      <c r="O1354" s="814" t="str">
        <f t="shared" si="127"/>
        <v/>
      </c>
      <c r="P1354" s="254"/>
      <c r="Q1354" s="254"/>
      <c r="R1354" s="254"/>
      <c r="S1354" s="254"/>
      <c r="T1354" s="254"/>
      <c r="U1354" s="254"/>
      <c r="V1354" s="254"/>
      <c r="W1354" s="254"/>
      <c r="Y1354" s="246" t="str">
        <f t="shared" si="128"/>
        <v/>
      </c>
      <c r="Z1354" s="247" t="str">
        <f t="shared" si="126"/>
        <v/>
      </c>
      <c r="AA1354" s="246" t="str">
        <f t="shared" si="129"/>
        <v/>
      </c>
    </row>
    <row r="1355" spans="1:27" x14ac:dyDescent="0.25">
      <c r="A1355" s="248" t="str">
        <f t="shared" si="130"/>
        <v/>
      </c>
      <c r="B1355" s="249" t="str">
        <f t="shared" si="131"/>
        <v/>
      </c>
      <c r="C1355" s="250"/>
      <c r="D1355" s="251"/>
      <c r="E1355" s="241"/>
      <c r="F1355" s="252"/>
      <c r="G1355" s="252"/>
      <c r="H1355" s="253"/>
      <c r="I1355" s="250"/>
      <c r="J1355" s="250"/>
      <c r="K1355" s="270"/>
      <c r="L1355" s="250"/>
      <c r="M1355" s="250"/>
      <c r="N1355" s="553" t="str">
        <f>CONCATENATE(IF(OR(M1355=phu!$I$1,M1355=phu!$I$2,M1355=phu!$I$3),"Cam Thành Nam",""),IF(OR(M1355=phu!$I$4,M1355=phu!$I$5,M1355=phu!$I$6,M1355=phu!$I$7,M1355=phu!$I$8,M1355=phu!$I$9,M1355=phu!$I$10,M1355=phu!$I$11,M1355=phu!$I$12,M1355=phu!$I$13,M1355=phu!$I$14),"Cam Nghĩa",""),IF(OR(M1355=phu!$I$15,M1355=phu!$I$16,M1355=phu!$I$17,M1355=phu!$I$18,M1355=phu!$I$19,M1355=phu!$I$20,M1355=phu!$I$21),"Cam Phúc Bắc",""),IF(OR(M1355=phu!$I$22,M1355=phu!$I$23,M1355=phu!$I$24,M1355=phu!$I$25),"Cam Phúc Nam",""),IF(OR(M1355=phu!$I$26,M1355=phu!$I$27,M1355=phu!$I$28,M1355=phu!$I$29,M1355=phu!$I$30,M1355=phu!$I$31),"Cam Phú",""),IF(OR(M1355=phu!$I$32,M1355=phu!$I$33,M1355=phu!$I$34,M1355=phu!$I$35,M1355=phu!$I$36,M1355=phu!$I$37),"Cam Lộc",""),IF(OR(M1355=phu!$I$38,M1355=phu!$I$39,M1355=phu!$I$40,M1355=phu!$I$41,M1355=phu!$I$42,M1355=phu!$I$43,M1355=phu!$I$44),"Cam Thuận",""),IF(OR(M1355=phu!$I$45,M1355=phu!$I$46,M1355=phu!$I$47,M1355=phu!$I$48,M1355=phu!$I$49,M1355=phu!$I$50,M1355=phu!$I$51,M1355=phu!$I$52,M1355=phu!$I$53),"Cam Linh",""),IF(OR(M1355=phu!$I$54,M1355=phu!$I$55,M1355=phu!$I$56,M1355=phu!$I$57,M1355=phu!$I$58,M1355=phu!$I$59,M1355=phu!$I$60,M1355=phu!$I$61,M1355=phu!$I$62),"Cam Lợi",""),IF(OR(M1355=phu!$I$63,M1355=phu!$I$64,M1355=phu!$I$65,M1355=phu!$I$66,M1355=phu!$I$67,M1355=phu!$I$68,M1355=phu!$I$69,M1355=phu!$I$70,M1355=phu!$I$71),"Ba Ngòi",""),IF(OR(M1355=phu!$I$72,M1355=phu!$I$73,M1355=phu!$I$74,M1355=phu!$I$75,M1355=phu!$I$76,M1355=phu!$I$77,M1355=phu!$I$78),"Cam Phước Đông",""),IF(OR(M1355=phu!$I$79,M1355=phu!$I$80,M1355=phu!$I$81,M1355=phu!$I$82,M1355=phu!$I$83,M1355=phu!$I$84),"Cam Thịnh Đông",""),IF(OR(M1355=phu!$I$85,M1355=phu!$I$86,M1355=phu!$I$87,M1355=phu!$I$88),"Cam Thịnh Tây",""),IF(OR(M1355=phu!$I$89,M1355=phu!$I$90),"Cam Lập",""),IF(OR(M1355=phu!$I$91,M1355=phu!$I$92,M1355=phu!$I$93),"Cam Bình",""),IF(OR(M1355=phu!$I$94,M1355=phu!$I$95,M1355=phu!$I$96,M1355=phu!$I$97,M1355=phu!$I$98,M1355=phu!$I$99,M1355=phu!$I$100),"Huyện khác",""),IF(OR(M1355=phu!$I$101,M1355=phu!$I$102),"Tỉnh khác",""))</f>
        <v/>
      </c>
      <c r="O1355" s="814" t="str">
        <f t="shared" si="127"/>
        <v/>
      </c>
      <c r="P1355" s="254"/>
      <c r="Q1355" s="254"/>
      <c r="R1355" s="254"/>
      <c r="S1355" s="254"/>
      <c r="T1355" s="254"/>
      <c r="U1355" s="254"/>
      <c r="V1355" s="254"/>
      <c r="W1355" s="254"/>
      <c r="Y1355" s="246" t="str">
        <f t="shared" si="128"/>
        <v/>
      </c>
      <c r="Z1355" s="247" t="str">
        <f t="shared" si="126"/>
        <v/>
      </c>
      <c r="AA1355" s="246" t="str">
        <f t="shared" si="129"/>
        <v/>
      </c>
    </row>
    <row r="1356" spans="1:27" x14ac:dyDescent="0.25">
      <c r="A1356" s="248" t="str">
        <f t="shared" si="130"/>
        <v/>
      </c>
      <c r="B1356" s="249" t="str">
        <f t="shared" si="131"/>
        <v/>
      </c>
      <c r="C1356" s="250"/>
      <c r="D1356" s="251"/>
      <c r="E1356" s="241"/>
      <c r="F1356" s="252"/>
      <c r="G1356" s="252"/>
      <c r="H1356" s="253"/>
      <c r="I1356" s="250"/>
      <c r="J1356" s="250"/>
      <c r="K1356" s="270"/>
      <c r="L1356" s="250"/>
      <c r="M1356" s="250"/>
      <c r="N1356" s="553" t="str">
        <f>CONCATENATE(IF(OR(M1356=phu!$I$1,M1356=phu!$I$2,M1356=phu!$I$3),"Cam Thành Nam",""),IF(OR(M1356=phu!$I$4,M1356=phu!$I$5,M1356=phu!$I$6,M1356=phu!$I$7,M1356=phu!$I$8,M1356=phu!$I$9,M1356=phu!$I$10,M1356=phu!$I$11,M1356=phu!$I$12,M1356=phu!$I$13,M1356=phu!$I$14),"Cam Nghĩa",""),IF(OR(M1356=phu!$I$15,M1356=phu!$I$16,M1356=phu!$I$17,M1356=phu!$I$18,M1356=phu!$I$19,M1356=phu!$I$20,M1356=phu!$I$21),"Cam Phúc Bắc",""),IF(OR(M1356=phu!$I$22,M1356=phu!$I$23,M1356=phu!$I$24,M1356=phu!$I$25),"Cam Phúc Nam",""),IF(OR(M1356=phu!$I$26,M1356=phu!$I$27,M1356=phu!$I$28,M1356=phu!$I$29,M1356=phu!$I$30,M1356=phu!$I$31),"Cam Phú",""),IF(OR(M1356=phu!$I$32,M1356=phu!$I$33,M1356=phu!$I$34,M1356=phu!$I$35,M1356=phu!$I$36,M1356=phu!$I$37),"Cam Lộc",""),IF(OR(M1356=phu!$I$38,M1356=phu!$I$39,M1356=phu!$I$40,M1356=phu!$I$41,M1356=phu!$I$42,M1356=phu!$I$43,M1356=phu!$I$44),"Cam Thuận",""),IF(OR(M1356=phu!$I$45,M1356=phu!$I$46,M1356=phu!$I$47,M1356=phu!$I$48,M1356=phu!$I$49,M1356=phu!$I$50,M1356=phu!$I$51,M1356=phu!$I$52,M1356=phu!$I$53),"Cam Linh",""),IF(OR(M1356=phu!$I$54,M1356=phu!$I$55,M1356=phu!$I$56,M1356=phu!$I$57,M1356=phu!$I$58,M1356=phu!$I$59,M1356=phu!$I$60,M1356=phu!$I$61,M1356=phu!$I$62),"Cam Lợi",""),IF(OR(M1356=phu!$I$63,M1356=phu!$I$64,M1356=phu!$I$65,M1356=phu!$I$66,M1356=phu!$I$67,M1356=phu!$I$68,M1356=phu!$I$69,M1356=phu!$I$70,M1356=phu!$I$71),"Ba Ngòi",""),IF(OR(M1356=phu!$I$72,M1356=phu!$I$73,M1356=phu!$I$74,M1356=phu!$I$75,M1356=phu!$I$76,M1356=phu!$I$77,M1356=phu!$I$78),"Cam Phước Đông",""),IF(OR(M1356=phu!$I$79,M1356=phu!$I$80,M1356=phu!$I$81,M1356=phu!$I$82,M1356=phu!$I$83,M1356=phu!$I$84),"Cam Thịnh Đông",""),IF(OR(M1356=phu!$I$85,M1356=phu!$I$86,M1356=phu!$I$87,M1356=phu!$I$88),"Cam Thịnh Tây",""),IF(OR(M1356=phu!$I$89,M1356=phu!$I$90),"Cam Lập",""),IF(OR(M1356=phu!$I$91,M1356=phu!$I$92,M1356=phu!$I$93),"Cam Bình",""),IF(OR(M1356=phu!$I$94,M1356=phu!$I$95,M1356=phu!$I$96,M1356=phu!$I$97,M1356=phu!$I$98,M1356=phu!$I$99,M1356=phu!$I$100),"Huyện khác",""),IF(OR(M1356=phu!$I$101,M1356=phu!$I$102),"Tỉnh khác",""))</f>
        <v/>
      </c>
      <c r="O1356" s="814" t="str">
        <f t="shared" si="127"/>
        <v/>
      </c>
      <c r="P1356" s="254"/>
      <c r="Q1356" s="254"/>
      <c r="R1356" s="254"/>
      <c r="S1356" s="254"/>
      <c r="T1356" s="254"/>
      <c r="U1356" s="254"/>
      <c r="V1356" s="254"/>
      <c r="W1356" s="254"/>
      <c r="Y1356" s="246" t="str">
        <f t="shared" si="128"/>
        <v/>
      </c>
      <c r="Z1356" s="247" t="str">
        <f t="shared" si="126"/>
        <v/>
      </c>
      <c r="AA1356" s="246" t="str">
        <f t="shared" si="129"/>
        <v/>
      </c>
    </row>
    <row r="1357" spans="1:27" x14ac:dyDescent="0.25">
      <c r="A1357" s="248" t="str">
        <f t="shared" si="130"/>
        <v/>
      </c>
      <c r="B1357" s="249" t="str">
        <f t="shared" si="131"/>
        <v/>
      </c>
      <c r="C1357" s="250"/>
      <c r="D1357" s="251"/>
      <c r="E1357" s="241"/>
      <c r="F1357" s="252"/>
      <c r="G1357" s="252"/>
      <c r="H1357" s="253"/>
      <c r="I1357" s="250"/>
      <c r="J1357" s="250"/>
      <c r="K1357" s="270"/>
      <c r="L1357" s="250"/>
      <c r="M1357" s="250"/>
      <c r="N1357" s="553" t="str">
        <f>CONCATENATE(IF(OR(M1357=phu!$I$1,M1357=phu!$I$2,M1357=phu!$I$3),"Cam Thành Nam",""),IF(OR(M1357=phu!$I$4,M1357=phu!$I$5,M1357=phu!$I$6,M1357=phu!$I$7,M1357=phu!$I$8,M1357=phu!$I$9,M1357=phu!$I$10,M1357=phu!$I$11,M1357=phu!$I$12,M1357=phu!$I$13,M1357=phu!$I$14),"Cam Nghĩa",""),IF(OR(M1357=phu!$I$15,M1357=phu!$I$16,M1357=phu!$I$17,M1357=phu!$I$18,M1357=phu!$I$19,M1357=phu!$I$20,M1357=phu!$I$21),"Cam Phúc Bắc",""),IF(OR(M1357=phu!$I$22,M1357=phu!$I$23,M1357=phu!$I$24,M1357=phu!$I$25),"Cam Phúc Nam",""),IF(OR(M1357=phu!$I$26,M1357=phu!$I$27,M1357=phu!$I$28,M1357=phu!$I$29,M1357=phu!$I$30,M1357=phu!$I$31),"Cam Phú",""),IF(OR(M1357=phu!$I$32,M1357=phu!$I$33,M1357=phu!$I$34,M1357=phu!$I$35,M1357=phu!$I$36,M1357=phu!$I$37),"Cam Lộc",""),IF(OR(M1357=phu!$I$38,M1357=phu!$I$39,M1357=phu!$I$40,M1357=phu!$I$41,M1357=phu!$I$42,M1357=phu!$I$43,M1357=phu!$I$44),"Cam Thuận",""),IF(OR(M1357=phu!$I$45,M1357=phu!$I$46,M1357=phu!$I$47,M1357=phu!$I$48,M1357=phu!$I$49,M1357=phu!$I$50,M1357=phu!$I$51,M1357=phu!$I$52,M1357=phu!$I$53),"Cam Linh",""),IF(OR(M1357=phu!$I$54,M1357=phu!$I$55,M1357=phu!$I$56,M1357=phu!$I$57,M1357=phu!$I$58,M1357=phu!$I$59,M1357=phu!$I$60,M1357=phu!$I$61,M1357=phu!$I$62),"Cam Lợi",""),IF(OR(M1357=phu!$I$63,M1357=phu!$I$64,M1357=phu!$I$65,M1357=phu!$I$66,M1357=phu!$I$67,M1357=phu!$I$68,M1357=phu!$I$69,M1357=phu!$I$70,M1357=phu!$I$71),"Ba Ngòi",""),IF(OR(M1357=phu!$I$72,M1357=phu!$I$73,M1357=phu!$I$74,M1357=phu!$I$75,M1357=phu!$I$76,M1357=phu!$I$77,M1357=phu!$I$78),"Cam Phước Đông",""),IF(OR(M1357=phu!$I$79,M1357=phu!$I$80,M1357=phu!$I$81,M1357=phu!$I$82,M1357=phu!$I$83,M1357=phu!$I$84),"Cam Thịnh Đông",""),IF(OR(M1357=phu!$I$85,M1357=phu!$I$86,M1357=phu!$I$87,M1357=phu!$I$88),"Cam Thịnh Tây",""),IF(OR(M1357=phu!$I$89,M1357=phu!$I$90),"Cam Lập",""),IF(OR(M1357=phu!$I$91,M1357=phu!$I$92,M1357=phu!$I$93),"Cam Bình",""),IF(OR(M1357=phu!$I$94,M1357=phu!$I$95,M1357=phu!$I$96,M1357=phu!$I$97,M1357=phu!$I$98,M1357=phu!$I$99,M1357=phu!$I$100),"Huyện khác",""),IF(OR(M1357=phu!$I$101,M1357=phu!$I$102),"Tỉnh khác",""))</f>
        <v/>
      </c>
      <c r="O1357" s="814" t="str">
        <f t="shared" si="127"/>
        <v/>
      </c>
      <c r="P1357" s="254"/>
      <c r="Q1357" s="254"/>
      <c r="R1357" s="254"/>
      <c r="S1357" s="254"/>
      <c r="T1357" s="254"/>
      <c r="U1357" s="254"/>
      <c r="V1357" s="254"/>
      <c r="W1357" s="254"/>
      <c r="Y1357" s="246" t="str">
        <f t="shared" si="128"/>
        <v/>
      </c>
      <c r="Z1357" s="247" t="str">
        <f t="shared" si="126"/>
        <v/>
      </c>
      <c r="AA1357" s="246" t="str">
        <f t="shared" si="129"/>
        <v/>
      </c>
    </row>
    <row r="1358" spans="1:27" x14ac:dyDescent="0.25">
      <c r="A1358" s="248" t="str">
        <f t="shared" si="130"/>
        <v/>
      </c>
      <c r="B1358" s="249" t="str">
        <f t="shared" si="131"/>
        <v/>
      </c>
      <c r="C1358" s="250"/>
      <c r="D1358" s="251"/>
      <c r="E1358" s="241"/>
      <c r="F1358" s="252"/>
      <c r="G1358" s="252"/>
      <c r="H1358" s="253"/>
      <c r="I1358" s="250"/>
      <c r="J1358" s="250"/>
      <c r="K1358" s="270"/>
      <c r="L1358" s="250"/>
      <c r="M1358" s="250"/>
      <c r="N1358" s="553" t="str">
        <f>CONCATENATE(IF(OR(M1358=phu!$I$1,M1358=phu!$I$2,M1358=phu!$I$3),"Cam Thành Nam",""),IF(OR(M1358=phu!$I$4,M1358=phu!$I$5,M1358=phu!$I$6,M1358=phu!$I$7,M1358=phu!$I$8,M1358=phu!$I$9,M1358=phu!$I$10,M1358=phu!$I$11,M1358=phu!$I$12,M1358=phu!$I$13,M1358=phu!$I$14),"Cam Nghĩa",""),IF(OR(M1358=phu!$I$15,M1358=phu!$I$16,M1358=phu!$I$17,M1358=phu!$I$18,M1358=phu!$I$19,M1358=phu!$I$20,M1358=phu!$I$21),"Cam Phúc Bắc",""),IF(OR(M1358=phu!$I$22,M1358=phu!$I$23,M1358=phu!$I$24,M1358=phu!$I$25),"Cam Phúc Nam",""),IF(OR(M1358=phu!$I$26,M1358=phu!$I$27,M1358=phu!$I$28,M1358=phu!$I$29,M1358=phu!$I$30,M1358=phu!$I$31),"Cam Phú",""),IF(OR(M1358=phu!$I$32,M1358=phu!$I$33,M1358=phu!$I$34,M1358=phu!$I$35,M1358=phu!$I$36,M1358=phu!$I$37),"Cam Lộc",""),IF(OR(M1358=phu!$I$38,M1358=phu!$I$39,M1358=phu!$I$40,M1358=phu!$I$41,M1358=phu!$I$42,M1358=phu!$I$43,M1358=phu!$I$44),"Cam Thuận",""),IF(OR(M1358=phu!$I$45,M1358=phu!$I$46,M1358=phu!$I$47,M1358=phu!$I$48,M1358=phu!$I$49,M1358=phu!$I$50,M1358=phu!$I$51,M1358=phu!$I$52,M1358=phu!$I$53),"Cam Linh",""),IF(OR(M1358=phu!$I$54,M1358=phu!$I$55,M1358=phu!$I$56,M1358=phu!$I$57,M1358=phu!$I$58,M1358=phu!$I$59,M1358=phu!$I$60,M1358=phu!$I$61,M1358=phu!$I$62),"Cam Lợi",""),IF(OR(M1358=phu!$I$63,M1358=phu!$I$64,M1358=phu!$I$65,M1358=phu!$I$66,M1358=phu!$I$67,M1358=phu!$I$68,M1358=phu!$I$69,M1358=phu!$I$70,M1358=phu!$I$71),"Ba Ngòi",""),IF(OR(M1358=phu!$I$72,M1358=phu!$I$73,M1358=phu!$I$74,M1358=phu!$I$75,M1358=phu!$I$76,M1358=phu!$I$77,M1358=phu!$I$78),"Cam Phước Đông",""),IF(OR(M1358=phu!$I$79,M1358=phu!$I$80,M1358=phu!$I$81,M1358=phu!$I$82,M1358=phu!$I$83,M1358=phu!$I$84),"Cam Thịnh Đông",""),IF(OR(M1358=phu!$I$85,M1358=phu!$I$86,M1358=phu!$I$87,M1358=phu!$I$88),"Cam Thịnh Tây",""),IF(OR(M1358=phu!$I$89,M1358=phu!$I$90),"Cam Lập",""),IF(OR(M1358=phu!$I$91,M1358=phu!$I$92,M1358=phu!$I$93),"Cam Bình",""),IF(OR(M1358=phu!$I$94,M1358=phu!$I$95,M1358=phu!$I$96,M1358=phu!$I$97,M1358=phu!$I$98,M1358=phu!$I$99,M1358=phu!$I$100),"Huyện khác",""),IF(OR(M1358=phu!$I$101,M1358=phu!$I$102),"Tỉnh khác",""))</f>
        <v/>
      </c>
      <c r="O1358" s="814" t="str">
        <f t="shared" si="127"/>
        <v/>
      </c>
      <c r="P1358" s="254"/>
      <c r="Q1358" s="254"/>
      <c r="R1358" s="254"/>
      <c r="S1358" s="254"/>
      <c r="T1358" s="254"/>
      <c r="U1358" s="254"/>
      <c r="V1358" s="254"/>
      <c r="W1358" s="254"/>
      <c r="Y1358" s="246" t="str">
        <f t="shared" si="128"/>
        <v/>
      </c>
      <c r="Z1358" s="247" t="str">
        <f t="shared" si="126"/>
        <v/>
      </c>
      <c r="AA1358" s="246" t="str">
        <f t="shared" si="129"/>
        <v/>
      </c>
    </row>
    <row r="1359" spans="1:27" x14ac:dyDescent="0.25">
      <c r="A1359" s="248" t="str">
        <f t="shared" si="130"/>
        <v/>
      </c>
      <c r="B1359" s="249" t="str">
        <f t="shared" si="131"/>
        <v/>
      </c>
      <c r="C1359" s="250"/>
      <c r="D1359" s="251"/>
      <c r="E1359" s="241"/>
      <c r="F1359" s="252"/>
      <c r="G1359" s="252"/>
      <c r="H1359" s="253"/>
      <c r="I1359" s="250"/>
      <c r="J1359" s="250"/>
      <c r="K1359" s="270"/>
      <c r="L1359" s="250"/>
      <c r="M1359" s="250"/>
      <c r="N1359" s="553" t="str">
        <f>CONCATENATE(IF(OR(M1359=phu!$I$1,M1359=phu!$I$2,M1359=phu!$I$3),"Cam Thành Nam",""),IF(OR(M1359=phu!$I$4,M1359=phu!$I$5,M1359=phu!$I$6,M1359=phu!$I$7,M1359=phu!$I$8,M1359=phu!$I$9,M1359=phu!$I$10,M1359=phu!$I$11,M1359=phu!$I$12,M1359=phu!$I$13,M1359=phu!$I$14),"Cam Nghĩa",""),IF(OR(M1359=phu!$I$15,M1359=phu!$I$16,M1359=phu!$I$17,M1359=phu!$I$18,M1359=phu!$I$19,M1359=phu!$I$20,M1359=phu!$I$21),"Cam Phúc Bắc",""),IF(OR(M1359=phu!$I$22,M1359=phu!$I$23,M1359=phu!$I$24,M1359=phu!$I$25),"Cam Phúc Nam",""),IF(OR(M1359=phu!$I$26,M1359=phu!$I$27,M1359=phu!$I$28,M1359=phu!$I$29,M1359=phu!$I$30,M1359=phu!$I$31),"Cam Phú",""),IF(OR(M1359=phu!$I$32,M1359=phu!$I$33,M1359=phu!$I$34,M1359=phu!$I$35,M1359=phu!$I$36,M1359=phu!$I$37),"Cam Lộc",""),IF(OR(M1359=phu!$I$38,M1359=phu!$I$39,M1359=phu!$I$40,M1359=phu!$I$41,M1359=phu!$I$42,M1359=phu!$I$43,M1359=phu!$I$44),"Cam Thuận",""),IF(OR(M1359=phu!$I$45,M1359=phu!$I$46,M1359=phu!$I$47,M1359=phu!$I$48,M1359=phu!$I$49,M1359=phu!$I$50,M1359=phu!$I$51,M1359=phu!$I$52,M1359=phu!$I$53),"Cam Linh",""),IF(OR(M1359=phu!$I$54,M1359=phu!$I$55,M1359=phu!$I$56,M1359=phu!$I$57,M1359=phu!$I$58,M1359=phu!$I$59,M1359=phu!$I$60,M1359=phu!$I$61,M1359=phu!$I$62),"Cam Lợi",""),IF(OR(M1359=phu!$I$63,M1359=phu!$I$64,M1359=phu!$I$65,M1359=phu!$I$66,M1359=phu!$I$67,M1359=phu!$I$68,M1359=phu!$I$69,M1359=phu!$I$70,M1359=phu!$I$71),"Ba Ngòi",""),IF(OR(M1359=phu!$I$72,M1359=phu!$I$73,M1359=phu!$I$74,M1359=phu!$I$75,M1359=phu!$I$76,M1359=phu!$I$77,M1359=phu!$I$78),"Cam Phước Đông",""),IF(OR(M1359=phu!$I$79,M1359=phu!$I$80,M1359=phu!$I$81,M1359=phu!$I$82,M1359=phu!$I$83,M1359=phu!$I$84),"Cam Thịnh Đông",""),IF(OR(M1359=phu!$I$85,M1359=phu!$I$86,M1359=phu!$I$87,M1359=phu!$I$88),"Cam Thịnh Tây",""),IF(OR(M1359=phu!$I$89,M1359=phu!$I$90),"Cam Lập",""),IF(OR(M1359=phu!$I$91,M1359=phu!$I$92,M1359=phu!$I$93),"Cam Bình",""),IF(OR(M1359=phu!$I$94,M1359=phu!$I$95,M1359=phu!$I$96,M1359=phu!$I$97,M1359=phu!$I$98,M1359=phu!$I$99,M1359=phu!$I$100),"Huyện khác",""),IF(OR(M1359=phu!$I$101,M1359=phu!$I$102),"Tỉnh khác",""))</f>
        <v/>
      </c>
      <c r="O1359" s="814" t="str">
        <f t="shared" si="127"/>
        <v/>
      </c>
      <c r="P1359" s="254"/>
      <c r="Q1359" s="254"/>
      <c r="R1359" s="254"/>
      <c r="S1359" s="254"/>
      <c r="T1359" s="254"/>
      <c r="U1359" s="254"/>
      <c r="V1359" s="254"/>
      <c r="W1359" s="254"/>
      <c r="Y1359" s="246" t="str">
        <f t="shared" si="128"/>
        <v/>
      </c>
      <c r="Z1359" s="247" t="str">
        <f t="shared" si="126"/>
        <v/>
      </c>
      <c r="AA1359" s="246" t="str">
        <f t="shared" si="129"/>
        <v/>
      </c>
    </row>
    <row r="1360" spans="1:27" x14ac:dyDescent="0.25">
      <c r="A1360" s="248" t="str">
        <f t="shared" si="130"/>
        <v/>
      </c>
      <c r="B1360" s="249" t="str">
        <f t="shared" si="131"/>
        <v/>
      </c>
      <c r="C1360" s="250"/>
      <c r="D1360" s="251"/>
      <c r="E1360" s="241"/>
      <c r="F1360" s="252"/>
      <c r="G1360" s="252"/>
      <c r="H1360" s="253"/>
      <c r="I1360" s="250"/>
      <c r="J1360" s="250"/>
      <c r="K1360" s="270"/>
      <c r="L1360" s="250"/>
      <c r="M1360" s="250"/>
      <c r="N1360" s="553" t="str">
        <f>CONCATENATE(IF(OR(M1360=phu!$I$1,M1360=phu!$I$2,M1360=phu!$I$3),"Cam Thành Nam",""),IF(OR(M1360=phu!$I$4,M1360=phu!$I$5,M1360=phu!$I$6,M1360=phu!$I$7,M1360=phu!$I$8,M1360=phu!$I$9,M1360=phu!$I$10,M1360=phu!$I$11,M1360=phu!$I$12,M1360=phu!$I$13,M1360=phu!$I$14),"Cam Nghĩa",""),IF(OR(M1360=phu!$I$15,M1360=phu!$I$16,M1360=phu!$I$17,M1360=phu!$I$18,M1360=phu!$I$19,M1360=phu!$I$20,M1360=phu!$I$21),"Cam Phúc Bắc",""),IF(OR(M1360=phu!$I$22,M1360=phu!$I$23,M1360=phu!$I$24,M1360=phu!$I$25),"Cam Phúc Nam",""),IF(OR(M1360=phu!$I$26,M1360=phu!$I$27,M1360=phu!$I$28,M1360=phu!$I$29,M1360=phu!$I$30,M1360=phu!$I$31),"Cam Phú",""),IF(OR(M1360=phu!$I$32,M1360=phu!$I$33,M1360=phu!$I$34,M1360=phu!$I$35,M1360=phu!$I$36,M1360=phu!$I$37),"Cam Lộc",""),IF(OR(M1360=phu!$I$38,M1360=phu!$I$39,M1360=phu!$I$40,M1360=phu!$I$41,M1360=phu!$I$42,M1360=phu!$I$43,M1360=phu!$I$44),"Cam Thuận",""),IF(OR(M1360=phu!$I$45,M1360=phu!$I$46,M1360=phu!$I$47,M1360=phu!$I$48,M1360=phu!$I$49,M1360=phu!$I$50,M1360=phu!$I$51,M1360=phu!$I$52,M1360=phu!$I$53),"Cam Linh",""),IF(OR(M1360=phu!$I$54,M1360=phu!$I$55,M1360=phu!$I$56,M1360=phu!$I$57,M1360=phu!$I$58,M1360=phu!$I$59,M1360=phu!$I$60,M1360=phu!$I$61,M1360=phu!$I$62),"Cam Lợi",""),IF(OR(M1360=phu!$I$63,M1360=phu!$I$64,M1360=phu!$I$65,M1360=phu!$I$66,M1360=phu!$I$67,M1360=phu!$I$68,M1360=phu!$I$69,M1360=phu!$I$70,M1360=phu!$I$71),"Ba Ngòi",""),IF(OR(M1360=phu!$I$72,M1360=phu!$I$73,M1360=phu!$I$74,M1360=phu!$I$75,M1360=phu!$I$76,M1360=phu!$I$77,M1360=phu!$I$78),"Cam Phước Đông",""),IF(OR(M1360=phu!$I$79,M1360=phu!$I$80,M1360=phu!$I$81,M1360=phu!$I$82,M1360=phu!$I$83,M1360=phu!$I$84),"Cam Thịnh Đông",""),IF(OR(M1360=phu!$I$85,M1360=phu!$I$86,M1360=phu!$I$87,M1360=phu!$I$88),"Cam Thịnh Tây",""),IF(OR(M1360=phu!$I$89,M1360=phu!$I$90),"Cam Lập",""),IF(OR(M1360=phu!$I$91,M1360=phu!$I$92,M1360=phu!$I$93),"Cam Bình",""),IF(OR(M1360=phu!$I$94,M1360=phu!$I$95,M1360=phu!$I$96,M1360=phu!$I$97,M1360=phu!$I$98,M1360=phu!$I$99,M1360=phu!$I$100),"Huyện khác",""),IF(OR(M1360=phu!$I$101,M1360=phu!$I$102),"Tỉnh khác",""))</f>
        <v/>
      </c>
      <c r="O1360" s="814" t="str">
        <f t="shared" si="127"/>
        <v/>
      </c>
      <c r="P1360" s="254"/>
      <c r="Q1360" s="254"/>
      <c r="R1360" s="254"/>
      <c r="S1360" s="254"/>
      <c r="T1360" s="254"/>
      <c r="U1360" s="254"/>
      <c r="V1360" s="254"/>
      <c r="W1360" s="254"/>
      <c r="Y1360" s="246" t="str">
        <f t="shared" si="128"/>
        <v/>
      </c>
      <c r="Z1360" s="247" t="str">
        <f t="shared" si="126"/>
        <v/>
      </c>
      <c r="AA1360" s="246" t="str">
        <f t="shared" si="129"/>
        <v/>
      </c>
    </row>
    <row r="1361" spans="1:27" x14ac:dyDescent="0.25">
      <c r="A1361" s="248" t="str">
        <f t="shared" si="130"/>
        <v/>
      </c>
      <c r="B1361" s="249" t="str">
        <f t="shared" si="131"/>
        <v/>
      </c>
      <c r="C1361" s="250"/>
      <c r="D1361" s="251"/>
      <c r="E1361" s="241"/>
      <c r="F1361" s="252"/>
      <c r="G1361" s="252"/>
      <c r="H1361" s="253"/>
      <c r="I1361" s="250"/>
      <c r="J1361" s="250"/>
      <c r="K1361" s="270"/>
      <c r="L1361" s="250"/>
      <c r="M1361" s="250"/>
      <c r="N1361" s="553" t="str">
        <f>CONCATENATE(IF(OR(M1361=phu!$I$1,M1361=phu!$I$2,M1361=phu!$I$3),"Cam Thành Nam",""),IF(OR(M1361=phu!$I$4,M1361=phu!$I$5,M1361=phu!$I$6,M1361=phu!$I$7,M1361=phu!$I$8,M1361=phu!$I$9,M1361=phu!$I$10,M1361=phu!$I$11,M1361=phu!$I$12,M1361=phu!$I$13,M1361=phu!$I$14),"Cam Nghĩa",""),IF(OR(M1361=phu!$I$15,M1361=phu!$I$16,M1361=phu!$I$17,M1361=phu!$I$18,M1361=phu!$I$19,M1361=phu!$I$20,M1361=phu!$I$21),"Cam Phúc Bắc",""),IF(OR(M1361=phu!$I$22,M1361=phu!$I$23,M1361=phu!$I$24,M1361=phu!$I$25),"Cam Phúc Nam",""),IF(OR(M1361=phu!$I$26,M1361=phu!$I$27,M1361=phu!$I$28,M1361=phu!$I$29,M1361=phu!$I$30,M1361=phu!$I$31),"Cam Phú",""),IF(OR(M1361=phu!$I$32,M1361=phu!$I$33,M1361=phu!$I$34,M1361=phu!$I$35,M1361=phu!$I$36,M1361=phu!$I$37),"Cam Lộc",""),IF(OR(M1361=phu!$I$38,M1361=phu!$I$39,M1361=phu!$I$40,M1361=phu!$I$41,M1361=phu!$I$42,M1361=phu!$I$43,M1361=phu!$I$44),"Cam Thuận",""),IF(OR(M1361=phu!$I$45,M1361=phu!$I$46,M1361=phu!$I$47,M1361=phu!$I$48,M1361=phu!$I$49,M1361=phu!$I$50,M1361=phu!$I$51,M1361=phu!$I$52,M1361=phu!$I$53),"Cam Linh",""),IF(OR(M1361=phu!$I$54,M1361=phu!$I$55,M1361=phu!$I$56,M1361=phu!$I$57,M1361=phu!$I$58,M1361=phu!$I$59,M1361=phu!$I$60,M1361=phu!$I$61,M1361=phu!$I$62),"Cam Lợi",""),IF(OR(M1361=phu!$I$63,M1361=phu!$I$64,M1361=phu!$I$65,M1361=phu!$I$66,M1361=phu!$I$67,M1361=phu!$I$68,M1361=phu!$I$69,M1361=phu!$I$70,M1361=phu!$I$71),"Ba Ngòi",""),IF(OR(M1361=phu!$I$72,M1361=phu!$I$73,M1361=phu!$I$74,M1361=phu!$I$75,M1361=phu!$I$76,M1361=phu!$I$77,M1361=phu!$I$78),"Cam Phước Đông",""),IF(OR(M1361=phu!$I$79,M1361=phu!$I$80,M1361=phu!$I$81,M1361=phu!$I$82,M1361=phu!$I$83,M1361=phu!$I$84),"Cam Thịnh Đông",""),IF(OR(M1361=phu!$I$85,M1361=phu!$I$86,M1361=phu!$I$87,M1361=phu!$I$88),"Cam Thịnh Tây",""),IF(OR(M1361=phu!$I$89,M1361=phu!$I$90),"Cam Lập",""),IF(OR(M1361=phu!$I$91,M1361=phu!$I$92,M1361=phu!$I$93),"Cam Bình",""),IF(OR(M1361=phu!$I$94,M1361=phu!$I$95,M1361=phu!$I$96,M1361=phu!$I$97,M1361=phu!$I$98,M1361=phu!$I$99,M1361=phu!$I$100),"Huyện khác",""),IF(OR(M1361=phu!$I$101,M1361=phu!$I$102),"Tỉnh khác",""))</f>
        <v/>
      </c>
      <c r="O1361" s="814" t="str">
        <f t="shared" si="127"/>
        <v/>
      </c>
      <c r="P1361" s="254"/>
      <c r="Q1361" s="254"/>
      <c r="R1361" s="254"/>
      <c r="S1361" s="254"/>
      <c r="T1361" s="254"/>
      <c r="U1361" s="254"/>
      <c r="V1361" s="254"/>
      <c r="W1361" s="254"/>
      <c r="Y1361" s="246" t="str">
        <f t="shared" si="128"/>
        <v/>
      </c>
      <c r="Z1361" s="247" t="str">
        <f t="shared" si="126"/>
        <v/>
      </c>
      <c r="AA1361" s="246" t="str">
        <f t="shared" si="129"/>
        <v/>
      </c>
    </row>
    <row r="1362" spans="1:27" x14ac:dyDescent="0.25">
      <c r="A1362" s="248" t="str">
        <f t="shared" si="130"/>
        <v/>
      </c>
      <c r="B1362" s="249" t="str">
        <f t="shared" si="131"/>
        <v/>
      </c>
      <c r="C1362" s="250"/>
      <c r="D1362" s="251"/>
      <c r="E1362" s="241"/>
      <c r="F1362" s="252"/>
      <c r="G1362" s="252"/>
      <c r="H1362" s="253"/>
      <c r="I1362" s="250"/>
      <c r="J1362" s="250"/>
      <c r="K1362" s="270"/>
      <c r="L1362" s="250"/>
      <c r="M1362" s="250"/>
      <c r="N1362" s="553" t="str">
        <f>CONCATENATE(IF(OR(M1362=phu!$I$1,M1362=phu!$I$2,M1362=phu!$I$3),"Cam Thành Nam",""),IF(OR(M1362=phu!$I$4,M1362=phu!$I$5,M1362=phu!$I$6,M1362=phu!$I$7,M1362=phu!$I$8,M1362=phu!$I$9,M1362=phu!$I$10,M1362=phu!$I$11,M1362=phu!$I$12,M1362=phu!$I$13,M1362=phu!$I$14),"Cam Nghĩa",""),IF(OR(M1362=phu!$I$15,M1362=phu!$I$16,M1362=phu!$I$17,M1362=phu!$I$18,M1362=phu!$I$19,M1362=phu!$I$20,M1362=phu!$I$21),"Cam Phúc Bắc",""),IF(OR(M1362=phu!$I$22,M1362=phu!$I$23,M1362=phu!$I$24,M1362=phu!$I$25),"Cam Phúc Nam",""),IF(OR(M1362=phu!$I$26,M1362=phu!$I$27,M1362=phu!$I$28,M1362=phu!$I$29,M1362=phu!$I$30,M1362=phu!$I$31),"Cam Phú",""),IF(OR(M1362=phu!$I$32,M1362=phu!$I$33,M1362=phu!$I$34,M1362=phu!$I$35,M1362=phu!$I$36,M1362=phu!$I$37),"Cam Lộc",""),IF(OR(M1362=phu!$I$38,M1362=phu!$I$39,M1362=phu!$I$40,M1362=phu!$I$41,M1362=phu!$I$42,M1362=phu!$I$43,M1362=phu!$I$44),"Cam Thuận",""),IF(OR(M1362=phu!$I$45,M1362=phu!$I$46,M1362=phu!$I$47,M1362=phu!$I$48,M1362=phu!$I$49,M1362=phu!$I$50,M1362=phu!$I$51,M1362=phu!$I$52,M1362=phu!$I$53),"Cam Linh",""),IF(OR(M1362=phu!$I$54,M1362=phu!$I$55,M1362=phu!$I$56,M1362=phu!$I$57,M1362=phu!$I$58,M1362=phu!$I$59,M1362=phu!$I$60,M1362=phu!$I$61,M1362=phu!$I$62),"Cam Lợi",""),IF(OR(M1362=phu!$I$63,M1362=phu!$I$64,M1362=phu!$I$65,M1362=phu!$I$66,M1362=phu!$I$67,M1362=phu!$I$68,M1362=phu!$I$69,M1362=phu!$I$70,M1362=phu!$I$71),"Ba Ngòi",""),IF(OR(M1362=phu!$I$72,M1362=phu!$I$73,M1362=phu!$I$74,M1362=phu!$I$75,M1362=phu!$I$76,M1362=phu!$I$77,M1362=phu!$I$78),"Cam Phước Đông",""),IF(OR(M1362=phu!$I$79,M1362=phu!$I$80,M1362=phu!$I$81,M1362=phu!$I$82,M1362=phu!$I$83,M1362=phu!$I$84),"Cam Thịnh Đông",""),IF(OR(M1362=phu!$I$85,M1362=phu!$I$86,M1362=phu!$I$87,M1362=phu!$I$88),"Cam Thịnh Tây",""),IF(OR(M1362=phu!$I$89,M1362=phu!$I$90),"Cam Lập",""),IF(OR(M1362=phu!$I$91,M1362=phu!$I$92,M1362=phu!$I$93),"Cam Bình",""),IF(OR(M1362=phu!$I$94,M1362=phu!$I$95,M1362=phu!$I$96,M1362=phu!$I$97,M1362=phu!$I$98,M1362=phu!$I$99,M1362=phu!$I$100),"Huyện khác",""),IF(OR(M1362=phu!$I$101,M1362=phu!$I$102),"Tỉnh khác",""))</f>
        <v/>
      </c>
      <c r="O1362" s="814" t="str">
        <f t="shared" si="127"/>
        <v/>
      </c>
      <c r="P1362" s="254"/>
      <c r="Q1362" s="254"/>
      <c r="R1362" s="254"/>
      <c r="S1362" s="254"/>
      <c r="T1362" s="254"/>
      <c r="U1362" s="254"/>
      <c r="V1362" s="254"/>
      <c r="W1362" s="254"/>
      <c r="Y1362" s="246" t="str">
        <f t="shared" si="128"/>
        <v/>
      </c>
      <c r="Z1362" s="247" t="str">
        <f t="shared" si="126"/>
        <v/>
      </c>
      <c r="AA1362" s="246" t="str">
        <f t="shared" si="129"/>
        <v/>
      </c>
    </row>
    <row r="1363" spans="1:27" x14ac:dyDescent="0.25">
      <c r="A1363" s="248" t="str">
        <f t="shared" si="130"/>
        <v/>
      </c>
      <c r="B1363" s="249" t="str">
        <f t="shared" si="131"/>
        <v/>
      </c>
      <c r="C1363" s="250"/>
      <c r="D1363" s="251"/>
      <c r="E1363" s="241"/>
      <c r="F1363" s="252"/>
      <c r="G1363" s="252"/>
      <c r="H1363" s="253"/>
      <c r="I1363" s="250"/>
      <c r="J1363" s="250"/>
      <c r="K1363" s="270"/>
      <c r="L1363" s="250"/>
      <c r="M1363" s="250"/>
      <c r="N1363" s="553" t="str">
        <f>CONCATENATE(IF(OR(M1363=phu!$I$1,M1363=phu!$I$2,M1363=phu!$I$3),"Cam Thành Nam",""),IF(OR(M1363=phu!$I$4,M1363=phu!$I$5,M1363=phu!$I$6,M1363=phu!$I$7,M1363=phu!$I$8,M1363=phu!$I$9,M1363=phu!$I$10,M1363=phu!$I$11,M1363=phu!$I$12,M1363=phu!$I$13,M1363=phu!$I$14),"Cam Nghĩa",""),IF(OR(M1363=phu!$I$15,M1363=phu!$I$16,M1363=phu!$I$17,M1363=phu!$I$18,M1363=phu!$I$19,M1363=phu!$I$20,M1363=phu!$I$21),"Cam Phúc Bắc",""),IF(OR(M1363=phu!$I$22,M1363=phu!$I$23,M1363=phu!$I$24,M1363=phu!$I$25),"Cam Phúc Nam",""),IF(OR(M1363=phu!$I$26,M1363=phu!$I$27,M1363=phu!$I$28,M1363=phu!$I$29,M1363=phu!$I$30,M1363=phu!$I$31),"Cam Phú",""),IF(OR(M1363=phu!$I$32,M1363=phu!$I$33,M1363=phu!$I$34,M1363=phu!$I$35,M1363=phu!$I$36,M1363=phu!$I$37),"Cam Lộc",""),IF(OR(M1363=phu!$I$38,M1363=phu!$I$39,M1363=phu!$I$40,M1363=phu!$I$41,M1363=phu!$I$42,M1363=phu!$I$43,M1363=phu!$I$44),"Cam Thuận",""),IF(OR(M1363=phu!$I$45,M1363=phu!$I$46,M1363=phu!$I$47,M1363=phu!$I$48,M1363=phu!$I$49,M1363=phu!$I$50,M1363=phu!$I$51,M1363=phu!$I$52,M1363=phu!$I$53),"Cam Linh",""),IF(OR(M1363=phu!$I$54,M1363=phu!$I$55,M1363=phu!$I$56,M1363=phu!$I$57,M1363=phu!$I$58,M1363=phu!$I$59,M1363=phu!$I$60,M1363=phu!$I$61,M1363=phu!$I$62),"Cam Lợi",""),IF(OR(M1363=phu!$I$63,M1363=phu!$I$64,M1363=phu!$I$65,M1363=phu!$I$66,M1363=phu!$I$67,M1363=phu!$I$68,M1363=phu!$I$69,M1363=phu!$I$70,M1363=phu!$I$71),"Ba Ngòi",""),IF(OR(M1363=phu!$I$72,M1363=phu!$I$73,M1363=phu!$I$74,M1363=phu!$I$75,M1363=phu!$I$76,M1363=phu!$I$77,M1363=phu!$I$78),"Cam Phước Đông",""),IF(OR(M1363=phu!$I$79,M1363=phu!$I$80,M1363=phu!$I$81,M1363=phu!$I$82,M1363=phu!$I$83,M1363=phu!$I$84),"Cam Thịnh Đông",""),IF(OR(M1363=phu!$I$85,M1363=phu!$I$86,M1363=phu!$I$87,M1363=phu!$I$88),"Cam Thịnh Tây",""),IF(OR(M1363=phu!$I$89,M1363=phu!$I$90),"Cam Lập",""),IF(OR(M1363=phu!$I$91,M1363=phu!$I$92,M1363=phu!$I$93),"Cam Bình",""),IF(OR(M1363=phu!$I$94,M1363=phu!$I$95,M1363=phu!$I$96,M1363=phu!$I$97,M1363=phu!$I$98,M1363=phu!$I$99,M1363=phu!$I$100),"Huyện khác",""),IF(OR(M1363=phu!$I$101,M1363=phu!$I$102),"Tỉnh khác",""))</f>
        <v/>
      </c>
      <c r="O1363" s="814" t="str">
        <f t="shared" si="127"/>
        <v/>
      </c>
      <c r="P1363" s="254"/>
      <c r="Q1363" s="254"/>
      <c r="R1363" s="254"/>
      <c r="S1363" s="254"/>
      <c r="T1363" s="254"/>
      <c r="U1363" s="254"/>
      <c r="V1363" s="254"/>
      <c r="W1363" s="254"/>
      <c r="Y1363" s="246" t="str">
        <f t="shared" si="128"/>
        <v/>
      </c>
      <c r="Z1363" s="247" t="str">
        <f t="shared" si="126"/>
        <v/>
      </c>
      <c r="AA1363" s="246" t="str">
        <f t="shared" si="129"/>
        <v/>
      </c>
    </row>
    <row r="1364" spans="1:27" x14ac:dyDescent="0.25">
      <c r="A1364" s="248" t="str">
        <f t="shared" si="130"/>
        <v/>
      </c>
      <c r="B1364" s="249" t="str">
        <f t="shared" si="131"/>
        <v/>
      </c>
      <c r="C1364" s="250"/>
      <c r="D1364" s="251"/>
      <c r="E1364" s="241"/>
      <c r="F1364" s="252"/>
      <c r="G1364" s="252"/>
      <c r="H1364" s="253"/>
      <c r="I1364" s="250"/>
      <c r="J1364" s="250"/>
      <c r="K1364" s="270"/>
      <c r="L1364" s="250"/>
      <c r="M1364" s="250"/>
      <c r="N1364" s="553" t="str">
        <f>CONCATENATE(IF(OR(M1364=phu!$I$1,M1364=phu!$I$2,M1364=phu!$I$3),"Cam Thành Nam",""),IF(OR(M1364=phu!$I$4,M1364=phu!$I$5,M1364=phu!$I$6,M1364=phu!$I$7,M1364=phu!$I$8,M1364=phu!$I$9,M1364=phu!$I$10,M1364=phu!$I$11,M1364=phu!$I$12,M1364=phu!$I$13,M1364=phu!$I$14),"Cam Nghĩa",""),IF(OR(M1364=phu!$I$15,M1364=phu!$I$16,M1364=phu!$I$17,M1364=phu!$I$18,M1364=phu!$I$19,M1364=phu!$I$20,M1364=phu!$I$21),"Cam Phúc Bắc",""),IF(OR(M1364=phu!$I$22,M1364=phu!$I$23,M1364=phu!$I$24,M1364=phu!$I$25),"Cam Phúc Nam",""),IF(OR(M1364=phu!$I$26,M1364=phu!$I$27,M1364=phu!$I$28,M1364=phu!$I$29,M1364=phu!$I$30,M1364=phu!$I$31),"Cam Phú",""),IF(OR(M1364=phu!$I$32,M1364=phu!$I$33,M1364=phu!$I$34,M1364=phu!$I$35,M1364=phu!$I$36,M1364=phu!$I$37),"Cam Lộc",""),IF(OR(M1364=phu!$I$38,M1364=phu!$I$39,M1364=phu!$I$40,M1364=phu!$I$41,M1364=phu!$I$42,M1364=phu!$I$43,M1364=phu!$I$44),"Cam Thuận",""),IF(OR(M1364=phu!$I$45,M1364=phu!$I$46,M1364=phu!$I$47,M1364=phu!$I$48,M1364=phu!$I$49,M1364=phu!$I$50,M1364=phu!$I$51,M1364=phu!$I$52,M1364=phu!$I$53),"Cam Linh",""),IF(OR(M1364=phu!$I$54,M1364=phu!$I$55,M1364=phu!$I$56,M1364=phu!$I$57,M1364=phu!$I$58,M1364=phu!$I$59,M1364=phu!$I$60,M1364=phu!$I$61,M1364=phu!$I$62),"Cam Lợi",""),IF(OR(M1364=phu!$I$63,M1364=phu!$I$64,M1364=phu!$I$65,M1364=phu!$I$66,M1364=phu!$I$67,M1364=phu!$I$68,M1364=phu!$I$69,M1364=phu!$I$70,M1364=phu!$I$71),"Ba Ngòi",""),IF(OR(M1364=phu!$I$72,M1364=phu!$I$73,M1364=phu!$I$74,M1364=phu!$I$75,M1364=phu!$I$76,M1364=phu!$I$77,M1364=phu!$I$78),"Cam Phước Đông",""),IF(OR(M1364=phu!$I$79,M1364=phu!$I$80,M1364=phu!$I$81,M1364=phu!$I$82,M1364=phu!$I$83,M1364=phu!$I$84),"Cam Thịnh Đông",""),IF(OR(M1364=phu!$I$85,M1364=phu!$I$86,M1364=phu!$I$87,M1364=phu!$I$88),"Cam Thịnh Tây",""),IF(OR(M1364=phu!$I$89,M1364=phu!$I$90),"Cam Lập",""),IF(OR(M1364=phu!$I$91,M1364=phu!$I$92,M1364=phu!$I$93),"Cam Bình",""),IF(OR(M1364=phu!$I$94,M1364=phu!$I$95,M1364=phu!$I$96,M1364=phu!$I$97,M1364=phu!$I$98,M1364=phu!$I$99,M1364=phu!$I$100),"Huyện khác",""),IF(OR(M1364=phu!$I$101,M1364=phu!$I$102),"Tỉnh khác",""))</f>
        <v/>
      </c>
      <c r="O1364" s="814" t="str">
        <f t="shared" si="127"/>
        <v/>
      </c>
      <c r="P1364" s="254"/>
      <c r="Q1364" s="254"/>
      <c r="R1364" s="254"/>
      <c r="S1364" s="254"/>
      <c r="T1364" s="254"/>
      <c r="U1364" s="254"/>
      <c r="V1364" s="254"/>
      <c r="W1364" s="254"/>
      <c r="Y1364" s="246" t="str">
        <f t="shared" si="128"/>
        <v/>
      </c>
      <c r="Z1364" s="247" t="str">
        <f t="shared" si="126"/>
        <v/>
      </c>
      <c r="AA1364" s="246" t="str">
        <f t="shared" si="129"/>
        <v/>
      </c>
    </row>
    <row r="1365" spans="1:27" x14ac:dyDescent="0.25">
      <c r="A1365" s="248" t="str">
        <f t="shared" si="130"/>
        <v/>
      </c>
      <c r="B1365" s="249" t="str">
        <f t="shared" si="131"/>
        <v/>
      </c>
      <c r="C1365" s="250"/>
      <c r="D1365" s="251"/>
      <c r="E1365" s="241"/>
      <c r="F1365" s="252"/>
      <c r="G1365" s="252"/>
      <c r="H1365" s="253"/>
      <c r="I1365" s="250"/>
      <c r="J1365" s="250"/>
      <c r="K1365" s="270"/>
      <c r="L1365" s="250"/>
      <c r="M1365" s="250"/>
      <c r="N1365" s="553" t="str">
        <f>CONCATENATE(IF(OR(M1365=phu!$I$1,M1365=phu!$I$2,M1365=phu!$I$3),"Cam Thành Nam",""),IF(OR(M1365=phu!$I$4,M1365=phu!$I$5,M1365=phu!$I$6,M1365=phu!$I$7,M1365=phu!$I$8,M1365=phu!$I$9,M1365=phu!$I$10,M1365=phu!$I$11,M1365=phu!$I$12,M1365=phu!$I$13,M1365=phu!$I$14),"Cam Nghĩa",""),IF(OR(M1365=phu!$I$15,M1365=phu!$I$16,M1365=phu!$I$17,M1365=phu!$I$18,M1365=phu!$I$19,M1365=phu!$I$20,M1365=phu!$I$21),"Cam Phúc Bắc",""),IF(OR(M1365=phu!$I$22,M1365=phu!$I$23,M1365=phu!$I$24,M1365=phu!$I$25),"Cam Phúc Nam",""),IF(OR(M1365=phu!$I$26,M1365=phu!$I$27,M1365=phu!$I$28,M1365=phu!$I$29,M1365=phu!$I$30,M1365=phu!$I$31),"Cam Phú",""),IF(OR(M1365=phu!$I$32,M1365=phu!$I$33,M1365=phu!$I$34,M1365=phu!$I$35,M1365=phu!$I$36,M1365=phu!$I$37),"Cam Lộc",""),IF(OR(M1365=phu!$I$38,M1365=phu!$I$39,M1365=phu!$I$40,M1365=phu!$I$41,M1365=phu!$I$42,M1365=phu!$I$43,M1365=phu!$I$44),"Cam Thuận",""),IF(OR(M1365=phu!$I$45,M1365=phu!$I$46,M1365=phu!$I$47,M1365=phu!$I$48,M1365=phu!$I$49,M1365=phu!$I$50,M1365=phu!$I$51,M1365=phu!$I$52,M1365=phu!$I$53),"Cam Linh",""),IF(OR(M1365=phu!$I$54,M1365=phu!$I$55,M1365=phu!$I$56,M1365=phu!$I$57,M1365=phu!$I$58,M1365=phu!$I$59,M1365=phu!$I$60,M1365=phu!$I$61,M1365=phu!$I$62),"Cam Lợi",""),IF(OR(M1365=phu!$I$63,M1365=phu!$I$64,M1365=phu!$I$65,M1365=phu!$I$66,M1365=phu!$I$67,M1365=phu!$I$68,M1365=phu!$I$69,M1365=phu!$I$70,M1365=phu!$I$71),"Ba Ngòi",""),IF(OR(M1365=phu!$I$72,M1365=phu!$I$73,M1365=phu!$I$74,M1365=phu!$I$75,M1365=phu!$I$76,M1365=phu!$I$77,M1365=phu!$I$78),"Cam Phước Đông",""),IF(OR(M1365=phu!$I$79,M1365=phu!$I$80,M1365=phu!$I$81,M1365=phu!$I$82,M1365=phu!$I$83,M1365=phu!$I$84),"Cam Thịnh Đông",""),IF(OR(M1365=phu!$I$85,M1365=phu!$I$86,M1365=phu!$I$87,M1365=phu!$I$88),"Cam Thịnh Tây",""),IF(OR(M1365=phu!$I$89,M1365=phu!$I$90),"Cam Lập",""),IF(OR(M1365=phu!$I$91,M1365=phu!$I$92,M1365=phu!$I$93),"Cam Bình",""),IF(OR(M1365=phu!$I$94,M1365=phu!$I$95,M1365=phu!$I$96,M1365=phu!$I$97,M1365=phu!$I$98,M1365=phu!$I$99,M1365=phu!$I$100),"Huyện khác",""),IF(OR(M1365=phu!$I$101,M1365=phu!$I$102),"Tỉnh khác",""))</f>
        <v/>
      </c>
      <c r="O1365" s="814" t="str">
        <f t="shared" si="127"/>
        <v/>
      </c>
      <c r="P1365" s="254"/>
      <c r="Q1365" s="254"/>
      <c r="R1365" s="254"/>
      <c r="S1365" s="254"/>
      <c r="T1365" s="254"/>
      <c r="U1365" s="254"/>
      <c r="V1365" s="254"/>
      <c r="W1365" s="254"/>
      <c r="Y1365" s="246" t="str">
        <f t="shared" si="128"/>
        <v/>
      </c>
      <c r="Z1365" s="247" t="str">
        <f t="shared" si="126"/>
        <v/>
      </c>
      <c r="AA1365" s="246" t="str">
        <f t="shared" si="129"/>
        <v/>
      </c>
    </row>
    <row r="1366" spans="1:27" x14ac:dyDescent="0.25">
      <c r="A1366" s="248" t="str">
        <f t="shared" si="130"/>
        <v/>
      </c>
      <c r="B1366" s="249" t="str">
        <f t="shared" si="131"/>
        <v/>
      </c>
      <c r="C1366" s="250"/>
      <c r="D1366" s="251"/>
      <c r="E1366" s="241"/>
      <c r="F1366" s="252"/>
      <c r="G1366" s="252"/>
      <c r="H1366" s="253"/>
      <c r="I1366" s="250"/>
      <c r="J1366" s="250"/>
      <c r="K1366" s="270"/>
      <c r="L1366" s="250"/>
      <c r="M1366" s="250"/>
      <c r="N1366" s="553" t="str">
        <f>CONCATENATE(IF(OR(M1366=phu!$I$1,M1366=phu!$I$2,M1366=phu!$I$3),"Cam Thành Nam",""),IF(OR(M1366=phu!$I$4,M1366=phu!$I$5,M1366=phu!$I$6,M1366=phu!$I$7,M1366=phu!$I$8,M1366=phu!$I$9,M1366=phu!$I$10,M1366=phu!$I$11,M1366=phu!$I$12,M1366=phu!$I$13,M1366=phu!$I$14),"Cam Nghĩa",""),IF(OR(M1366=phu!$I$15,M1366=phu!$I$16,M1366=phu!$I$17,M1366=phu!$I$18,M1366=phu!$I$19,M1366=phu!$I$20,M1366=phu!$I$21),"Cam Phúc Bắc",""),IF(OR(M1366=phu!$I$22,M1366=phu!$I$23,M1366=phu!$I$24,M1366=phu!$I$25),"Cam Phúc Nam",""),IF(OR(M1366=phu!$I$26,M1366=phu!$I$27,M1366=phu!$I$28,M1366=phu!$I$29,M1366=phu!$I$30,M1366=phu!$I$31),"Cam Phú",""),IF(OR(M1366=phu!$I$32,M1366=phu!$I$33,M1366=phu!$I$34,M1366=phu!$I$35,M1366=phu!$I$36,M1366=phu!$I$37),"Cam Lộc",""),IF(OR(M1366=phu!$I$38,M1366=phu!$I$39,M1366=phu!$I$40,M1366=phu!$I$41,M1366=phu!$I$42,M1366=phu!$I$43,M1366=phu!$I$44),"Cam Thuận",""),IF(OR(M1366=phu!$I$45,M1366=phu!$I$46,M1366=phu!$I$47,M1366=phu!$I$48,M1366=phu!$I$49,M1366=phu!$I$50,M1366=phu!$I$51,M1366=phu!$I$52,M1366=phu!$I$53),"Cam Linh",""),IF(OR(M1366=phu!$I$54,M1366=phu!$I$55,M1366=phu!$I$56,M1366=phu!$I$57,M1366=phu!$I$58,M1366=phu!$I$59,M1366=phu!$I$60,M1366=phu!$I$61,M1366=phu!$I$62),"Cam Lợi",""),IF(OR(M1366=phu!$I$63,M1366=phu!$I$64,M1366=phu!$I$65,M1366=phu!$I$66,M1366=phu!$I$67,M1366=phu!$I$68,M1366=phu!$I$69,M1366=phu!$I$70,M1366=phu!$I$71),"Ba Ngòi",""),IF(OR(M1366=phu!$I$72,M1366=phu!$I$73,M1366=phu!$I$74,M1366=phu!$I$75,M1366=phu!$I$76,M1366=phu!$I$77,M1366=phu!$I$78),"Cam Phước Đông",""),IF(OR(M1366=phu!$I$79,M1366=phu!$I$80,M1366=phu!$I$81,M1366=phu!$I$82,M1366=phu!$I$83,M1366=phu!$I$84),"Cam Thịnh Đông",""),IF(OR(M1366=phu!$I$85,M1366=phu!$I$86,M1366=phu!$I$87,M1366=phu!$I$88),"Cam Thịnh Tây",""),IF(OR(M1366=phu!$I$89,M1366=phu!$I$90),"Cam Lập",""),IF(OR(M1366=phu!$I$91,M1366=phu!$I$92,M1366=phu!$I$93),"Cam Bình",""),IF(OR(M1366=phu!$I$94,M1366=phu!$I$95,M1366=phu!$I$96,M1366=phu!$I$97,M1366=phu!$I$98,M1366=phu!$I$99,M1366=phu!$I$100),"Huyện khác",""),IF(OR(M1366=phu!$I$101,M1366=phu!$I$102),"Tỉnh khác",""))</f>
        <v/>
      </c>
      <c r="O1366" s="814" t="str">
        <f t="shared" si="127"/>
        <v/>
      </c>
      <c r="P1366" s="254"/>
      <c r="Q1366" s="254"/>
      <c r="R1366" s="254"/>
      <c r="S1366" s="254"/>
      <c r="T1366" s="254"/>
      <c r="U1366" s="254"/>
      <c r="V1366" s="254"/>
      <c r="W1366" s="254"/>
      <c r="Y1366" s="246" t="str">
        <f t="shared" si="128"/>
        <v/>
      </c>
      <c r="Z1366" s="247" t="str">
        <f t="shared" si="126"/>
        <v/>
      </c>
      <c r="AA1366" s="246" t="str">
        <f t="shared" si="129"/>
        <v/>
      </c>
    </row>
    <row r="1367" spans="1:27" x14ac:dyDescent="0.25">
      <c r="A1367" s="248" t="str">
        <f t="shared" si="130"/>
        <v/>
      </c>
      <c r="B1367" s="249" t="str">
        <f t="shared" si="131"/>
        <v/>
      </c>
      <c r="C1367" s="250"/>
      <c r="D1367" s="251"/>
      <c r="E1367" s="241"/>
      <c r="F1367" s="252"/>
      <c r="G1367" s="252"/>
      <c r="H1367" s="253"/>
      <c r="I1367" s="250"/>
      <c r="J1367" s="250"/>
      <c r="K1367" s="270"/>
      <c r="L1367" s="250"/>
      <c r="M1367" s="250"/>
      <c r="N1367" s="553" t="str">
        <f>CONCATENATE(IF(OR(M1367=phu!$I$1,M1367=phu!$I$2,M1367=phu!$I$3),"Cam Thành Nam",""),IF(OR(M1367=phu!$I$4,M1367=phu!$I$5,M1367=phu!$I$6,M1367=phu!$I$7,M1367=phu!$I$8,M1367=phu!$I$9,M1367=phu!$I$10,M1367=phu!$I$11,M1367=phu!$I$12,M1367=phu!$I$13,M1367=phu!$I$14),"Cam Nghĩa",""),IF(OR(M1367=phu!$I$15,M1367=phu!$I$16,M1367=phu!$I$17,M1367=phu!$I$18,M1367=phu!$I$19,M1367=phu!$I$20,M1367=phu!$I$21),"Cam Phúc Bắc",""),IF(OR(M1367=phu!$I$22,M1367=phu!$I$23,M1367=phu!$I$24,M1367=phu!$I$25),"Cam Phúc Nam",""),IF(OR(M1367=phu!$I$26,M1367=phu!$I$27,M1367=phu!$I$28,M1367=phu!$I$29,M1367=phu!$I$30,M1367=phu!$I$31),"Cam Phú",""),IF(OR(M1367=phu!$I$32,M1367=phu!$I$33,M1367=phu!$I$34,M1367=phu!$I$35,M1367=phu!$I$36,M1367=phu!$I$37),"Cam Lộc",""),IF(OR(M1367=phu!$I$38,M1367=phu!$I$39,M1367=phu!$I$40,M1367=phu!$I$41,M1367=phu!$I$42,M1367=phu!$I$43,M1367=phu!$I$44),"Cam Thuận",""),IF(OR(M1367=phu!$I$45,M1367=phu!$I$46,M1367=phu!$I$47,M1367=phu!$I$48,M1367=phu!$I$49,M1367=phu!$I$50,M1367=phu!$I$51,M1367=phu!$I$52,M1367=phu!$I$53),"Cam Linh",""),IF(OR(M1367=phu!$I$54,M1367=phu!$I$55,M1367=phu!$I$56,M1367=phu!$I$57,M1367=phu!$I$58,M1367=phu!$I$59,M1367=phu!$I$60,M1367=phu!$I$61,M1367=phu!$I$62),"Cam Lợi",""),IF(OR(M1367=phu!$I$63,M1367=phu!$I$64,M1367=phu!$I$65,M1367=phu!$I$66,M1367=phu!$I$67,M1367=phu!$I$68,M1367=phu!$I$69,M1367=phu!$I$70,M1367=phu!$I$71),"Ba Ngòi",""),IF(OR(M1367=phu!$I$72,M1367=phu!$I$73,M1367=phu!$I$74,M1367=phu!$I$75,M1367=phu!$I$76,M1367=phu!$I$77,M1367=phu!$I$78),"Cam Phước Đông",""),IF(OR(M1367=phu!$I$79,M1367=phu!$I$80,M1367=phu!$I$81,M1367=phu!$I$82,M1367=phu!$I$83,M1367=phu!$I$84),"Cam Thịnh Đông",""),IF(OR(M1367=phu!$I$85,M1367=phu!$I$86,M1367=phu!$I$87,M1367=phu!$I$88),"Cam Thịnh Tây",""),IF(OR(M1367=phu!$I$89,M1367=phu!$I$90),"Cam Lập",""),IF(OR(M1367=phu!$I$91,M1367=phu!$I$92,M1367=phu!$I$93),"Cam Bình",""),IF(OR(M1367=phu!$I$94,M1367=phu!$I$95,M1367=phu!$I$96,M1367=phu!$I$97,M1367=phu!$I$98,M1367=phu!$I$99,M1367=phu!$I$100),"Huyện khác",""),IF(OR(M1367=phu!$I$101,M1367=phu!$I$102),"Tỉnh khác",""))</f>
        <v/>
      </c>
      <c r="O1367" s="814" t="str">
        <f t="shared" si="127"/>
        <v/>
      </c>
      <c r="P1367" s="254"/>
      <c r="Q1367" s="254"/>
      <c r="R1367" s="254"/>
      <c r="S1367" s="254"/>
      <c r="T1367" s="254"/>
      <c r="U1367" s="254"/>
      <c r="V1367" s="254"/>
      <c r="W1367" s="254"/>
      <c r="Y1367" s="246" t="str">
        <f t="shared" si="128"/>
        <v/>
      </c>
      <c r="Z1367" s="247" t="str">
        <f t="shared" si="126"/>
        <v/>
      </c>
      <c r="AA1367" s="246" t="str">
        <f t="shared" si="129"/>
        <v/>
      </c>
    </row>
    <row r="1368" spans="1:27" x14ac:dyDescent="0.25">
      <c r="A1368" s="248" t="str">
        <f t="shared" si="130"/>
        <v/>
      </c>
      <c r="B1368" s="249" t="str">
        <f t="shared" si="131"/>
        <v/>
      </c>
      <c r="C1368" s="250"/>
      <c r="D1368" s="251"/>
      <c r="E1368" s="241"/>
      <c r="F1368" s="252"/>
      <c r="G1368" s="252"/>
      <c r="H1368" s="253"/>
      <c r="I1368" s="250"/>
      <c r="J1368" s="250"/>
      <c r="K1368" s="270"/>
      <c r="L1368" s="250"/>
      <c r="M1368" s="250"/>
      <c r="N1368" s="553" t="str">
        <f>CONCATENATE(IF(OR(M1368=phu!$I$1,M1368=phu!$I$2,M1368=phu!$I$3),"Cam Thành Nam",""),IF(OR(M1368=phu!$I$4,M1368=phu!$I$5,M1368=phu!$I$6,M1368=phu!$I$7,M1368=phu!$I$8,M1368=phu!$I$9,M1368=phu!$I$10,M1368=phu!$I$11,M1368=phu!$I$12,M1368=phu!$I$13,M1368=phu!$I$14),"Cam Nghĩa",""),IF(OR(M1368=phu!$I$15,M1368=phu!$I$16,M1368=phu!$I$17,M1368=phu!$I$18,M1368=phu!$I$19,M1368=phu!$I$20,M1368=phu!$I$21),"Cam Phúc Bắc",""),IF(OR(M1368=phu!$I$22,M1368=phu!$I$23,M1368=phu!$I$24,M1368=phu!$I$25),"Cam Phúc Nam",""),IF(OR(M1368=phu!$I$26,M1368=phu!$I$27,M1368=phu!$I$28,M1368=phu!$I$29,M1368=phu!$I$30,M1368=phu!$I$31),"Cam Phú",""),IF(OR(M1368=phu!$I$32,M1368=phu!$I$33,M1368=phu!$I$34,M1368=phu!$I$35,M1368=phu!$I$36,M1368=phu!$I$37),"Cam Lộc",""),IF(OR(M1368=phu!$I$38,M1368=phu!$I$39,M1368=phu!$I$40,M1368=phu!$I$41,M1368=phu!$I$42,M1368=phu!$I$43,M1368=phu!$I$44),"Cam Thuận",""),IF(OR(M1368=phu!$I$45,M1368=phu!$I$46,M1368=phu!$I$47,M1368=phu!$I$48,M1368=phu!$I$49,M1368=phu!$I$50,M1368=phu!$I$51,M1368=phu!$I$52,M1368=phu!$I$53),"Cam Linh",""),IF(OR(M1368=phu!$I$54,M1368=phu!$I$55,M1368=phu!$I$56,M1368=phu!$I$57,M1368=phu!$I$58,M1368=phu!$I$59,M1368=phu!$I$60,M1368=phu!$I$61,M1368=phu!$I$62),"Cam Lợi",""),IF(OR(M1368=phu!$I$63,M1368=phu!$I$64,M1368=phu!$I$65,M1368=phu!$I$66,M1368=phu!$I$67,M1368=phu!$I$68,M1368=phu!$I$69,M1368=phu!$I$70,M1368=phu!$I$71),"Ba Ngòi",""),IF(OR(M1368=phu!$I$72,M1368=phu!$I$73,M1368=phu!$I$74,M1368=phu!$I$75,M1368=phu!$I$76,M1368=phu!$I$77,M1368=phu!$I$78),"Cam Phước Đông",""),IF(OR(M1368=phu!$I$79,M1368=phu!$I$80,M1368=phu!$I$81,M1368=phu!$I$82,M1368=phu!$I$83,M1368=phu!$I$84),"Cam Thịnh Đông",""),IF(OR(M1368=phu!$I$85,M1368=phu!$I$86,M1368=phu!$I$87,M1368=phu!$I$88),"Cam Thịnh Tây",""),IF(OR(M1368=phu!$I$89,M1368=phu!$I$90),"Cam Lập",""),IF(OR(M1368=phu!$I$91,M1368=phu!$I$92,M1368=phu!$I$93),"Cam Bình",""),IF(OR(M1368=phu!$I$94,M1368=phu!$I$95,M1368=phu!$I$96,M1368=phu!$I$97,M1368=phu!$I$98,M1368=phu!$I$99,M1368=phu!$I$100),"Huyện khác",""),IF(OR(M1368=phu!$I$101,M1368=phu!$I$102),"Tỉnh khác",""))</f>
        <v/>
      </c>
      <c r="O1368" s="814" t="str">
        <f t="shared" si="127"/>
        <v/>
      </c>
      <c r="P1368" s="254"/>
      <c r="Q1368" s="254"/>
      <c r="R1368" s="254"/>
      <c r="S1368" s="254"/>
      <c r="T1368" s="254"/>
      <c r="U1368" s="254"/>
      <c r="V1368" s="254"/>
      <c r="W1368" s="254"/>
      <c r="Y1368" s="246" t="str">
        <f t="shared" si="128"/>
        <v/>
      </c>
      <c r="Z1368" s="247" t="str">
        <f t="shared" si="126"/>
        <v/>
      </c>
      <c r="AA1368" s="246" t="str">
        <f t="shared" si="129"/>
        <v/>
      </c>
    </row>
    <row r="1369" spans="1:27" x14ac:dyDescent="0.25">
      <c r="A1369" s="248" t="str">
        <f t="shared" si="130"/>
        <v/>
      </c>
      <c r="B1369" s="249" t="str">
        <f t="shared" si="131"/>
        <v/>
      </c>
      <c r="C1369" s="250"/>
      <c r="D1369" s="251"/>
      <c r="E1369" s="241"/>
      <c r="F1369" s="252"/>
      <c r="G1369" s="252"/>
      <c r="H1369" s="253"/>
      <c r="I1369" s="250"/>
      <c r="J1369" s="250"/>
      <c r="K1369" s="270"/>
      <c r="L1369" s="250"/>
      <c r="M1369" s="250"/>
      <c r="N1369" s="553" t="str">
        <f>CONCATENATE(IF(OR(M1369=phu!$I$1,M1369=phu!$I$2,M1369=phu!$I$3),"Cam Thành Nam",""),IF(OR(M1369=phu!$I$4,M1369=phu!$I$5,M1369=phu!$I$6,M1369=phu!$I$7,M1369=phu!$I$8,M1369=phu!$I$9,M1369=phu!$I$10,M1369=phu!$I$11,M1369=phu!$I$12,M1369=phu!$I$13,M1369=phu!$I$14),"Cam Nghĩa",""),IF(OR(M1369=phu!$I$15,M1369=phu!$I$16,M1369=phu!$I$17,M1369=phu!$I$18,M1369=phu!$I$19,M1369=phu!$I$20,M1369=phu!$I$21),"Cam Phúc Bắc",""),IF(OR(M1369=phu!$I$22,M1369=phu!$I$23,M1369=phu!$I$24,M1369=phu!$I$25),"Cam Phúc Nam",""),IF(OR(M1369=phu!$I$26,M1369=phu!$I$27,M1369=phu!$I$28,M1369=phu!$I$29,M1369=phu!$I$30,M1369=phu!$I$31),"Cam Phú",""),IF(OR(M1369=phu!$I$32,M1369=phu!$I$33,M1369=phu!$I$34,M1369=phu!$I$35,M1369=phu!$I$36,M1369=phu!$I$37),"Cam Lộc",""),IF(OR(M1369=phu!$I$38,M1369=phu!$I$39,M1369=phu!$I$40,M1369=phu!$I$41,M1369=phu!$I$42,M1369=phu!$I$43,M1369=phu!$I$44),"Cam Thuận",""),IF(OR(M1369=phu!$I$45,M1369=phu!$I$46,M1369=phu!$I$47,M1369=phu!$I$48,M1369=phu!$I$49,M1369=phu!$I$50,M1369=phu!$I$51,M1369=phu!$I$52,M1369=phu!$I$53),"Cam Linh",""),IF(OR(M1369=phu!$I$54,M1369=phu!$I$55,M1369=phu!$I$56,M1369=phu!$I$57,M1369=phu!$I$58,M1369=phu!$I$59,M1369=phu!$I$60,M1369=phu!$I$61,M1369=phu!$I$62),"Cam Lợi",""),IF(OR(M1369=phu!$I$63,M1369=phu!$I$64,M1369=phu!$I$65,M1369=phu!$I$66,M1369=phu!$I$67,M1369=phu!$I$68,M1369=phu!$I$69,M1369=phu!$I$70,M1369=phu!$I$71),"Ba Ngòi",""),IF(OR(M1369=phu!$I$72,M1369=phu!$I$73,M1369=phu!$I$74,M1369=phu!$I$75,M1369=phu!$I$76,M1369=phu!$I$77,M1369=phu!$I$78),"Cam Phước Đông",""),IF(OR(M1369=phu!$I$79,M1369=phu!$I$80,M1369=phu!$I$81,M1369=phu!$I$82,M1369=phu!$I$83,M1369=phu!$I$84),"Cam Thịnh Đông",""),IF(OR(M1369=phu!$I$85,M1369=phu!$I$86,M1369=phu!$I$87,M1369=phu!$I$88),"Cam Thịnh Tây",""),IF(OR(M1369=phu!$I$89,M1369=phu!$I$90),"Cam Lập",""),IF(OR(M1369=phu!$I$91,M1369=phu!$I$92,M1369=phu!$I$93),"Cam Bình",""),IF(OR(M1369=phu!$I$94,M1369=phu!$I$95,M1369=phu!$I$96,M1369=phu!$I$97,M1369=phu!$I$98,M1369=phu!$I$99,M1369=phu!$I$100),"Huyện khác",""),IF(OR(M1369=phu!$I$101,M1369=phu!$I$102),"Tỉnh khác",""))</f>
        <v/>
      </c>
      <c r="O1369" s="814" t="str">
        <f t="shared" si="127"/>
        <v/>
      </c>
      <c r="P1369" s="254"/>
      <c r="Q1369" s="254"/>
      <c r="R1369" s="254"/>
      <c r="S1369" s="254"/>
      <c r="T1369" s="254"/>
      <c r="U1369" s="254"/>
      <c r="V1369" s="254"/>
      <c r="W1369" s="254"/>
      <c r="Y1369" s="246" t="str">
        <f t="shared" si="128"/>
        <v/>
      </c>
      <c r="Z1369" s="247" t="str">
        <f t="shared" si="126"/>
        <v/>
      </c>
      <c r="AA1369" s="246" t="str">
        <f t="shared" si="129"/>
        <v/>
      </c>
    </row>
    <row r="1370" spans="1:27" x14ac:dyDescent="0.25">
      <c r="A1370" s="248" t="str">
        <f t="shared" si="130"/>
        <v/>
      </c>
      <c r="B1370" s="249" t="str">
        <f t="shared" si="131"/>
        <v/>
      </c>
      <c r="C1370" s="250"/>
      <c r="D1370" s="251"/>
      <c r="E1370" s="241"/>
      <c r="F1370" s="252"/>
      <c r="G1370" s="252"/>
      <c r="H1370" s="253"/>
      <c r="I1370" s="250"/>
      <c r="J1370" s="250"/>
      <c r="K1370" s="270"/>
      <c r="L1370" s="250"/>
      <c r="M1370" s="250"/>
      <c r="N1370" s="553" t="str">
        <f>CONCATENATE(IF(OR(M1370=phu!$I$1,M1370=phu!$I$2,M1370=phu!$I$3),"Cam Thành Nam",""),IF(OR(M1370=phu!$I$4,M1370=phu!$I$5,M1370=phu!$I$6,M1370=phu!$I$7,M1370=phu!$I$8,M1370=phu!$I$9,M1370=phu!$I$10,M1370=phu!$I$11,M1370=phu!$I$12,M1370=phu!$I$13,M1370=phu!$I$14),"Cam Nghĩa",""),IF(OR(M1370=phu!$I$15,M1370=phu!$I$16,M1370=phu!$I$17,M1370=phu!$I$18,M1370=phu!$I$19,M1370=phu!$I$20,M1370=phu!$I$21),"Cam Phúc Bắc",""),IF(OR(M1370=phu!$I$22,M1370=phu!$I$23,M1370=phu!$I$24,M1370=phu!$I$25),"Cam Phúc Nam",""),IF(OR(M1370=phu!$I$26,M1370=phu!$I$27,M1370=phu!$I$28,M1370=phu!$I$29,M1370=phu!$I$30,M1370=phu!$I$31),"Cam Phú",""),IF(OR(M1370=phu!$I$32,M1370=phu!$I$33,M1370=phu!$I$34,M1370=phu!$I$35,M1370=phu!$I$36,M1370=phu!$I$37),"Cam Lộc",""),IF(OR(M1370=phu!$I$38,M1370=phu!$I$39,M1370=phu!$I$40,M1370=phu!$I$41,M1370=phu!$I$42,M1370=phu!$I$43,M1370=phu!$I$44),"Cam Thuận",""),IF(OR(M1370=phu!$I$45,M1370=phu!$I$46,M1370=phu!$I$47,M1370=phu!$I$48,M1370=phu!$I$49,M1370=phu!$I$50,M1370=phu!$I$51,M1370=phu!$I$52,M1370=phu!$I$53),"Cam Linh",""),IF(OR(M1370=phu!$I$54,M1370=phu!$I$55,M1370=phu!$I$56,M1370=phu!$I$57,M1370=phu!$I$58,M1370=phu!$I$59,M1370=phu!$I$60,M1370=phu!$I$61,M1370=phu!$I$62),"Cam Lợi",""),IF(OR(M1370=phu!$I$63,M1370=phu!$I$64,M1370=phu!$I$65,M1370=phu!$I$66,M1370=phu!$I$67,M1370=phu!$I$68,M1370=phu!$I$69,M1370=phu!$I$70,M1370=phu!$I$71),"Ba Ngòi",""),IF(OR(M1370=phu!$I$72,M1370=phu!$I$73,M1370=phu!$I$74,M1370=phu!$I$75,M1370=phu!$I$76,M1370=phu!$I$77,M1370=phu!$I$78),"Cam Phước Đông",""),IF(OR(M1370=phu!$I$79,M1370=phu!$I$80,M1370=phu!$I$81,M1370=phu!$I$82,M1370=phu!$I$83,M1370=phu!$I$84),"Cam Thịnh Đông",""),IF(OR(M1370=phu!$I$85,M1370=phu!$I$86,M1370=phu!$I$87,M1370=phu!$I$88),"Cam Thịnh Tây",""),IF(OR(M1370=phu!$I$89,M1370=phu!$I$90),"Cam Lập",""),IF(OR(M1370=phu!$I$91,M1370=phu!$I$92,M1370=phu!$I$93),"Cam Bình",""),IF(OR(M1370=phu!$I$94,M1370=phu!$I$95,M1370=phu!$I$96,M1370=phu!$I$97,M1370=phu!$I$98,M1370=phu!$I$99,M1370=phu!$I$100),"Huyện khác",""),IF(OR(M1370=phu!$I$101,M1370=phu!$I$102),"Tỉnh khác",""))</f>
        <v/>
      </c>
      <c r="O1370" s="814" t="str">
        <f t="shared" si="127"/>
        <v/>
      </c>
      <c r="P1370" s="254"/>
      <c r="Q1370" s="254"/>
      <c r="R1370" s="254"/>
      <c r="S1370" s="254"/>
      <c r="T1370" s="254"/>
      <c r="U1370" s="254"/>
      <c r="V1370" s="254"/>
      <c r="W1370" s="254"/>
      <c r="Y1370" s="246" t="str">
        <f t="shared" si="128"/>
        <v/>
      </c>
      <c r="Z1370" s="247" t="str">
        <f t="shared" si="126"/>
        <v/>
      </c>
      <c r="AA1370" s="246" t="str">
        <f t="shared" si="129"/>
        <v/>
      </c>
    </row>
    <row r="1371" spans="1:27" x14ac:dyDescent="0.25">
      <c r="A1371" s="248" t="str">
        <f t="shared" si="130"/>
        <v/>
      </c>
      <c r="B1371" s="249" t="str">
        <f t="shared" si="131"/>
        <v/>
      </c>
      <c r="C1371" s="250"/>
      <c r="D1371" s="251"/>
      <c r="E1371" s="241"/>
      <c r="F1371" s="252"/>
      <c r="G1371" s="252"/>
      <c r="H1371" s="253"/>
      <c r="I1371" s="250"/>
      <c r="J1371" s="250"/>
      <c r="K1371" s="270"/>
      <c r="L1371" s="250"/>
      <c r="M1371" s="250"/>
      <c r="N1371" s="553" t="str">
        <f>CONCATENATE(IF(OR(M1371=phu!$I$1,M1371=phu!$I$2,M1371=phu!$I$3),"Cam Thành Nam",""),IF(OR(M1371=phu!$I$4,M1371=phu!$I$5,M1371=phu!$I$6,M1371=phu!$I$7,M1371=phu!$I$8,M1371=phu!$I$9,M1371=phu!$I$10,M1371=phu!$I$11,M1371=phu!$I$12,M1371=phu!$I$13,M1371=phu!$I$14),"Cam Nghĩa",""),IF(OR(M1371=phu!$I$15,M1371=phu!$I$16,M1371=phu!$I$17,M1371=phu!$I$18,M1371=phu!$I$19,M1371=phu!$I$20,M1371=phu!$I$21),"Cam Phúc Bắc",""),IF(OR(M1371=phu!$I$22,M1371=phu!$I$23,M1371=phu!$I$24,M1371=phu!$I$25),"Cam Phúc Nam",""),IF(OR(M1371=phu!$I$26,M1371=phu!$I$27,M1371=phu!$I$28,M1371=phu!$I$29,M1371=phu!$I$30,M1371=phu!$I$31),"Cam Phú",""),IF(OR(M1371=phu!$I$32,M1371=phu!$I$33,M1371=phu!$I$34,M1371=phu!$I$35,M1371=phu!$I$36,M1371=phu!$I$37),"Cam Lộc",""),IF(OR(M1371=phu!$I$38,M1371=phu!$I$39,M1371=phu!$I$40,M1371=phu!$I$41,M1371=phu!$I$42,M1371=phu!$I$43,M1371=phu!$I$44),"Cam Thuận",""),IF(OR(M1371=phu!$I$45,M1371=phu!$I$46,M1371=phu!$I$47,M1371=phu!$I$48,M1371=phu!$I$49,M1371=phu!$I$50,M1371=phu!$I$51,M1371=phu!$I$52,M1371=phu!$I$53),"Cam Linh",""),IF(OR(M1371=phu!$I$54,M1371=phu!$I$55,M1371=phu!$I$56,M1371=phu!$I$57,M1371=phu!$I$58,M1371=phu!$I$59,M1371=phu!$I$60,M1371=phu!$I$61,M1371=phu!$I$62),"Cam Lợi",""),IF(OR(M1371=phu!$I$63,M1371=phu!$I$64,M1371=phu!$I$65,M1371=phu!$I$66,M1371=phu!$I$67,M1371=phu!$I$68,M1371=phu!$I$69,M1371=phu!$I$70,M1371=phu!$I$71),"Ba Ngòi",""),IF(OR(M1371=phu!$I$72,M1371=phu!$I$73,M1371=phu!$I$74,M1371=phu!$I$75,M1371=phu!$I$76,M1371=phu!$I$77,M1371=phu!$I$78),"Cam Phước Đông",""),IF(OR(M1371=phu!$I$79,M1371=phu!$I$80,M1371=phu!$I$81,M1371=phu!$I$82,M1371=phu!$I$83,M1371=phu!$I$84),"Cam Thịnh Đông",""),IF(OR(M1371=phu!$I$85,M1371=phu!$I$86,M1371=phu!$I$87,M1371=phu!$I$88),"Cam Thịnh Tây",""),IF(OR(M1371=phu!$I$89,M1371=phu!$I$90),"Cam Lập",""),IF(OR(M1371=phu!$I$91,M1371=phu!$I$92,M1371=phu!$I$93),"Cam Bình",""),IF(OR(M1371=phu!$I$94,M1371=phu!$I$95,M1371=phu!$I$96,M1371=phu!$I$97,M1371=phu!$I$98,M1371=phu!$I$99,M1371=phu!$I$100),"Huyện khác",""),IF(OR(M1371=phu!$I$101,M1371=phu!$I$102),"Tỉnh khác",""))</f>
        <v/>
      </c>
      <c r="O1371" s="814" t="str">
        <f t="shared" si="127"/>
        <v/>
      </c>
      <c r="P1371" s="254"/>
      <c r="Q1371" s="254"/>
      <c r="R1371" s="254"/>
      <c r="S1371" s="254"/>
      <c r="T1371" s="254"/>
      <c r="U1371" s="254"/>
      <c r="V1371" s="254"/>
      <c r="W1371" s="254"/>
      <c r="Y1371" s="246" t="str">
        <f t="shared" si="128"/>
        <v/>
      </c>
      <c r="Z1371" s="247" t="str">
        <f t="shared" si="126"/>
        <v/>
      </c>
      <c r="AA1371" s="246" t="str">
        <f t="shared" si="129"/>
        <v/>
      </c>
    </row>
    <row r="1372" spans="1:27" x14ac:dyDescent="0.25">
      <c r="A1372" s="248" t="str">
        <f t="shared" si="130"/>
        <v/>
      </c>
      <c r="B1372" s="249" t="str">
        <f t="shared" si="131"/>
        <v/>
      </c>
      <c r="C1372" s="250"/>
      <c r="D1372" s="251"/>
      <c r="E1372" s="241"/>
      <c r="F1372" s="252"/>
      <c r="G1372" s="252"/>
      <c r="H1372" s="253"/>
      <c r="I1372" s="250"/>
      <c r="J1372" s="250"/>
      <c r="K1372" s="270"/>
      <c r="L1372" s="250"/>
      <c r="M1372" s="250"/>
      <c r="N1372" s="553" t="str">
        <f>CONCATENATE(IF(OR(M1372=phu!$I$1,M1372=phu!$I$2,M1372=phu!$I$3),"Cam Thành Nam",""),IF(OR(M1372=phu!$I$4,M1372=phu!$I$5,M1372=phu!$I$6,M1372=phu!$I$7,M1372=phu!$I$8,M1372=phu!$I$9,M1372=phu!$I$10,M1372=phu!$I$11,M1372=phu!$I$12,M1372=phu!$I$13,M1372=phu!$I$14),"Cam Nghĩa",""),IF(OR(M1372=phu!$I$15,M1372=phu!$I$16,M1372=phu!$I$17,M1372=phu!$I$18,M1372=phu!$I$19,M1372=phu!$I$20,M1372=phu!$I$21),"Cam Phúc Bắc",""),IF(OR(M1372=phu!$I$22,M1372=phu!$I$23,M1372=phu!$I$24,M1372=phu!$I$25),"Cam Phúc Nam",""),IF(OR(M1372=phu!$I$26,M1372=phu!$I$27,M1372=phu!$I$28,M1372=phu!$I$29,M1372=phu!$I$30,M1372=phu!$I$31),"Cam Phú",""),IF(OR(M1372=phu!$I$32,M1372=phu!$I$33,M1372=phu!$I$34,M1372=phu!$I$35,M1372=phu!$I$36,M1372=phu!$I$37),"Cam Lộc",""),IF(OR(M1372=phu!$I$38,M1372=phu!$I$39,M1372=phu!$I$40,M1372=phu!$I$41,M1372=phu!$I$42,M1372=phu!$I$43,M1372=phu!$I$44),"Cam Thuận",""),IF(OR(M1372=phu!$I$45,M1372=phu!$I$46,M1372=phu!$I$47,M1372=phu!$I$48,M1372=phu!$I$49,M1372=phu!$I$50,M1372=phu!$I$51,M1372=phu!$I$52,M1372=phu!$I$53),"Cam Linh",""),IF(OR(M1372=phu!$I$54,M1372=phu!$I$55,M1372=phu!$I$56,M1372=phu!$I$57,M1372=phu!$I$58,M1372=phu!$I$59,M1372=phu!$I$60,M1372=phu!$I$61,M1372=phu!$I$62),"Cam Lợi",""),IF(OR(M1372=phu!$I$63,M1372=phu!$I$64,M1372=phu!$I$65,M1372=phu!$I$66,M1372=phu!$I$67,M1372=phu!$I$68,M1372=phu!$I$69,M1372=phu!$I$70,M1372=phu!$I$71),"Ba Ngòi",""),IF(OR(M1372=phu!$I$72,M1372=phu!$I$73,M1372=phu!$I$74,M1372=phu!$I$75,M1372=phu!$I$76,M1372=phu!$I$77,M1372=phu!$I$78),"Cam Phước Đông",""),IF(OR(M1372=phu!$I$79,M1372=phu!$I$80,M1372=phu!$I$81,M1372=phu!$I$82,M1372=phu!$I$83,M1372=phu!$I$84),"Cam Thịnh Đông",""),IF(OR(M1372=phu!$I$85,M1372=phu!$I$86,M1372=phu!$I$87,M1372=phu!$I$88),"Cam Thịnh Tây",""),IF(OR(M1372=phu!$I$89,M1372=phu!$I$90),"Cam Lập",""),IF(OR(M1372=phu!$I$91,M1372=phu!$I$92,M1372=phu!$I$93),"Cam Bình",""),IF(OR(M1372=phu!$I$94,M1372=phu!$I$95,M1372=phu!$I$96,M1372=phu!$I$97,M1372=phu!$I$98,M1372=phu!$I$99,M1372=phu!$I$100),"Huyện khác",""),IF(OR(M1372=phu!$I$101,M1372=phu!$I$102),"Tỉnh khác",""))</f>
        <v/>
      </c>
      <c r="O1372" s="814" t="str">
        <f t="shared" si="127"/>
        <v/>
      </c>
      <c r="P1372" s="254"/>
      <c r="Q1372" s="254"/>
      <c r="R1372" s="254"/>
      <c r="S1372" s="254"/>
      <c r="T1372" s="254"/>
      <c r="U1372" s="254"/>
      <c r="V1372" s="254"/>
      <c r="W1372" s="254"/>
      <c r="Y1372" s="246" t="str">
        <f t="shared" si="128"/>
        <v/>
      </c>
      <c r="Z1372" s="247" t="str">
        <f t="shared" si="126"/>
        <v/>
      </c>
      <c r="AA1372" s="246" t="str">
        <f t="shared" si="129"/>
        <v/>
      </c>
    </row>
    <row r="1373" spans="1:27" x14ac:dyDescent="0.25">
      <c r="A1373" s="248" t="str">
        <f t="shared" si="130"/>
        <v/>
      </c>
      <c r="B1373" s="249" t="str">
        <f t="shared" si="131"/>
        <v/>
      </c>
      <c r="C1373" s="250"/>
      <c r="D1373" s="251"/>
      <c r="E1373" s="241"/>
      <c r="F1373" s="252"/>
      <c r="G1373" s="252"/>
      <c r="H1373" s="253"/>
      <c r="I1373" s="250"/>
      <c r="J1373" s="250"/>
      <c r="K1373" s="270"/>
      <c r="L1373" s="250"/>
      <c r="M1373" s="250"/>
      <c r="N1373" s="553" t="str">
        <f>CONCATENATE(IF(OR(M1373=phu!$I$1,M1373=phu!$I$2,M1373=phu!$I$3),"Cam Thành Nam",""),IF(OR(M1373=phu!$I$4,M1373=phu!$I$5,M1373=phu!$I$6,M1373=phu!$I$7,M1373=phu!$I$8,M1373=phu!$I$9,M1373=phu!$I$10,M1373=phu!$I$11,M1373=phu!$I$12,M1373=phu!$I$13,M1373=phu!$I$14),"Cam Nghĩa",""),IF(OR(M1373=phu!$I$15,M1373=phu!$I$16,M1373=phu!$I$17,M1373=phu!$I$18,M1373=phu!$I$19,M1373=phu!$I$20,M1373=phu!$I$21),"Cam Phúc Bắc",""),IF(OR(M1373=phu!$I$22,M1373=phu!$I$23,M1373=phu!$I$24,M1373=phu!$I$25),"Cam Phúc Nam",""),IF(OR(M1373=phu!$I$26,M1373=phu!$I$27,M1373=phu!$I$28,M1373=phu!$I$29,M1373=phu!$I$30,M1373=phu!$I$31),"Cam Phú",""),IF(OR(M1373=phu!$I$32,M1373=phu!$I$33,M1373=phu!$I$34,M1373=phu!$I$35,M1373=phu!$I$36,M1373=phu!$I$37),"Cam Lộc",""),IF(OR(M1373=phu!$I$38,M1373=phu!$I$39,M1373=phu!$I$40,M1373=phu!$I$41,M1373=phu!$I$42,M1373=phu!$I$43,M1373=phu!$I$44),"Cam Thuận",""),IF(OR(M1373=phu!$I$45,M1373=phu!$I$46,M1373=phu!$I$47,M1373=phu!$I$48,M1373=phu!$I$49,M1373=phu!$I$50,M1373=phu!$I$51,M1373=phu!$I$52,M1373=phu!$I$53),"Cam Linh",""),IF(OR(M1373=phu!$I$54,M1373=phu!$I$55,M1373=phu!$I$56,M1373=phu!$I$57,M1373=phu!$I$58,M1373=phu!$I$59,M1373=phu!$I$60,M1373=phu!$I$61,M1373=phu!$I$62),"Cam Lợi",""),IF(OR(M1373=phu!$I$63,M1373=phu!$I$64,M1373=phu!$I$65,M1373=phu!$I$66,M1373=phu!$I$67,M1373=phu!$I$68,M1373=phu!$I$69,M1373=phu!$I$70,M1373=phu!$I$71),"Ba Ngòi",""),IF(OR(M1373=phu!$I$72,M1373=phu!$I$73,M1373=phu!$I$74,M1373=phu!$I$75,M1373=phu!$I$76,M1373=phu!$I$77,M1373=phu!$I$78),"Cam Phước Đông",""),IF(OR(M1373=phu!$I$79,M1373=phu!$I$80,M1373=phu!$I$81,M1373=phu!$I$82,M1373=phu!$I$83,M1373=phu!$I$84),"Cam Thịnh Đông",""),IF(OR(M1373=phu!$I$85,M1373=phu!$I$86,M1373=phu!$I$87,M1373=phu!$I$88),"Cam Thịnh Tây",""),IF(OR(M1373=phu!$I$89,M1373=phu!$I$90),"Cam Lập",""),IF(OR(M1373=phu!$I$91,M1373=phu!$I$92,M1373=phu!$I$93),"Cam Bình",""),IF(OR(M1373=phu!$I$94,M1373=phu!$I$95,M1373=phu!$I$96,M1373=phu!$I$97,M1373=phu!$I$98,M1373=phu!$I$99,M1373=phu!$I$100),"Huyện khác",""),IF(OR(M1373=phu!$I$101,M1373=phu!$I$102),"Tỉnh khác",""))</f>
        <v/>
      </c>
      <c r="O1373" s="814" t="str">
        <f t="shared" si="127"/>
        <v/>
      </c>
      <c r="P1373" s="254"/>
      <c r="Q1373" s="254"/>
      <c r="R1373" s="254"/>
      <c r="S1373" s="254"/>
      <c r="T1373" s="254"/>
      <c r="U1373" s="254"/>
      <c r="V1373" s="254"/>
      <c r="W1373" s="254"/>
      <c r="Y1373" s="246" t="str">
        <f t="shared" si="128"/>
        <v/>
      </c>
      <c r="Z1373" s="247" t="str">
        <f t="shared" si="126"/>
        <v/>
      </c>
      <c r="AA1373" s="246" t="str">
        <f t="shared" si="129"/>
        <v/>
      </c>
    </row>
    <row r="1374" spans="1:27" x14ac:dyDescent="0.25">
      <c r="A1374" s="248" t="str">
        <f t="shared" si="130"/>
        <v/>
      </c>
      <c r="B1374" s="249" t="str">
        <f t="shared" si="131"/>
        <v/>
      </c>
      <c r="C1374" s="250"/>
      <c r="D1374" s="251"/>
      <c r="E1374" s="241"/>
      <c r="F1374" s="252"/>
      <c r="G1374" s="252"/>
      <c r="H1374" s="253"/>
      <c r="I1374" s="250"/>
      <c r="J1374" s="250"/>
      <c r="K1374" s="270"/>
      <c r="L1374" s="250"/>
      <c r="M1374" s="250"/>
      <c r="N1374" s="553" t="str">
        <f>CONCATENATE(IF(OR(M1374=phu!$I$1,M1374=phu!$I$2,M1374=phu!$I$3),"Cam Thành Nam",""),IF(OR(M1374=phu!$I$4,M1374=phu!$I$5,M1374=phu!$I$6,M1374=phu!$I$7,M1374=phu!$I$8,M1374=phu!$I$9,M1374=phu!$I$10,M1374=phu!$I$11,M1374=phu!$I$12,M1374=phu!$I$13,M1374=phu!$I$14),"Cam Nghĩa",""),IF(OR(M1374=phu!$I$15,M1374=phu!$I$16,M1374=phu!$I$17,M1374=phu!$I$18,M1374=phu!$I$19,M1374=phu!$I$20,M1374=phu!$I$21),"Cam Phúc Bắc",""),IF(OR(M1374=phu!$I$22,M1374=phu!$I$23,M1374=phu!$I$24,M1374=phu!$I$25),"Cam Phúc Nam",""),IF(OR(M1374=phu!$I$26,M1374=phu!$I$27,M1374=phu!$I$28,M1374=phu!$I$29,M1374=phu!$I$30,M1374=phu!$I$31),"Cam Phú",""),IF(OR(M1374=phu!$I$32,M1374=phu!$I$33,M1374=phu!$I$34,M1374=phu!$I$35,M1374=phu!$I$36,M1374=phu!$I$37),"Cam Lộc",""),IF(OR(M1374=phu!$I$38,M1374=phu!$I$39,M1374=phu!$I$40,M1374=phu!$I$41,M1374=phu!$I$42,M1374=phu!$I$43,M1374=phu!$I$44),"Cam Thuận",""),IF(OR(M1374=phu!$I$45,M1374=phu!$I$46,M1374=phu!$I$47,M1374=phu!$I$48,M1374=phu!$I$49,M1374=phu!$I$50,M1374=phu!$I$51,M1374=phu!$I$52,M1374=phu!$I$53),"Cam Linh",""),IF(OR(M1374=phu!$I$54,M1374=phu!$I$55,M1374=phu!$I$56,M1374=phu!$I$57,M1374=phu!$I$58,M1374=phu!$I$59,M1374=phu!$I$60,M1374=phu!$I$61,M1374=phu!$I$62),"Cam Lợi",""),IF(OR(M1374=phu!$I$63,M1374=phu!$I$64,M1374=phu!$I$65,M1374=phu!$I$66,M1374=phu!$I$67,M1374=phu!$I$68,M1374=phu!$I$69,M1374=phu!$I$70,M1374=phu!$I$71),"Ba Ngòi",""),IF(OR(M1374=phu!$I$72,M1374=phu!$I$73,M1374=phu!$I$74,M1374=phu!$I$75,M1374=phu!$I$76,M1374=phu!$I$77,M1374=phu!$I$78),"Cam Phước Đông",""),IF(OR(M1374=phu!$I$79,M1374=phu!$I$80,M1374=phu!$I$81,M1374=phu!$I$82,M1374=phu!$I$83,M1374=phu!$I$84),"Cam Thịnh Đông",""),IF(OR(M1374=phu!$I$85,M1374=phu!$I$86,M1374=phu!$I$87,M1374=phu!$I$88),"Cam Thịnh Tây",""),IF(OR(M1374=phu!$I$89,M1374=phu!$I$90),"Cam Lập",""),IF(OR(M1374=phu!$I$91,M1374=phu!$I$92,M1374=phu!$I$93),"Cam Bình",""),IF(OR(M1374=phu!$I$94,M1374=phu!$I$95,M1374=phu!$I$96,M1374=phu!$I$97,M1374=phu!$I$98,M1374=phu!$I$99,M1374=phu!$I$100),"Huyện khác",""),IF(OR(M1374=phu!$I$101,M1374=phu!$I$102),"Tỉnh khác",""))</f>
        <v/>
      </c>
      <c r="O1374" s="814" t="str">
        <f t="shared" si="127"/>
        <v/>
      </c>
      <c r="P1374" s="254"/>
      <c r="Q1374" s="254"/>
      <c r="R1374" s="254"/>
      <c r="S1374" s="254"/>
      <c r="T1374" s="254"/>
      <c r="U1374" s="254"/>
      <c r="V1374" s="254"/>
      <c r="W1374" s="254"/>
      <c r="Y1374" s="246" t="str">
        <f t="shared" si="128"/>
        <v/>
      </c>
      <c r="Z1374" s="247" t="str">
        <f t="shared" si="126"/>
        <v/>
      </c>
      <c r="AA1374" s="246" t="str">
        <f t="shared" si="129"/>
        <v/>
      </c>
    </row>
    <row r="1375" spans="1:27" x14ac:dyDescent="0.25">
      <c r="A1375" s="248" t="str">
        <f t="shared" si="130"/>
        <v/>
      </c>
      <c r="B1375" s="249" t="str">
        <f t="shared" si="131"/>
        <v/>
      </c>
      <c r="C1375" s="250"/>
      <c r="D1375" s="251"/>
      <c r="E1375" s="241"/>
      <c r="F1375" s="252"/>
      <c r="G1375" s="252"/>
      <c r="H1375" s="253"/>
      <c r="I1375" s="250"/>
      <c r="J1375" s="250"/>
      <c r="K1375" s="270"/>
      <c r="L1375" s="250"/>
      <c r="M1375" s="250"/>
      <c r="N1375" s="553" t="str">
        <f>CONCATENATE(IF(OR(M1375=phu!$I$1,M1375=phu!$I$2,M1375=phu!$I$3),"Cam Thành Nam",""),IF(OR(M1375=phu!$I$4,M1375=phu!$I$5,M1375=phu!$I$6,M1375=phu!$I$7,M1375=phu!$I$8,M1375=phu!$I$9,M1375=phu!$I$10,M1375=phu!$I$11,M1375=phu!$I$12,M1375=phu!$I$13,M1375=phu!$I$14),"Cam Nghĩa",""),IF(OR(M1375=phu!$I$15,M1375=phu!$I$16,M1375=phu!$I$17,M1375=phu!$I$18,M1375=phu!$I$19,M1375=phu!$I$20,M1375=phu!$I$21),"Cam Phúc Bắc",""),IF(OR(M1375=phu!$I$22,M1375=phu!$I$23,M1375=phu!$I$24,M1375=phu!$I$25),"Cam Phúc Nam",""),IF(OR(M1375=phu!$I$26,M1375=phu!$I$27,M1375=phu!$I$28,M1375=phu!$I$29,M1375=phu!$I$30,M1375=phu!$I$31),"Cam Phú",""),IF(OR(M1375=phu!$I$32,M1375=phu!$I$33,M1375=phu!$I$34,M1375=phu!$I$35,M1375=phu!$I$36,M1375=phu!$I$37),"Cam Lộc",""),IF(OR(M1375=phu!$I$38,M1375=phu!$I$39,M1375=phu!$I$40,M1375=phu!$I$41,M1375=phu!$I$42,M1375=phu!$I$43,M1375=phu!$I$44),"Cam Thuận",""),IF(OR(M1375=phu!$I$45,M1375=phu!$I$46,M1375=phu!$I$47,M1375=phu!$I$48,M1375=phu!$I$49,M1375=phu!$I$50,M1375=phu!$I$51,M1375=phu!$I$52,M1375=phu!$I$53),"Cam Linh",""),IF(OR(M1375=phu!$I$54,M1375=phu!$I$55,M1375=phu!$I$56,M1375=phu!$I$57,M1375=phu!$I$58,M1375=phu!$I$59,M1375=phu!$I$60,M1375=phu!$I$61,M1375=phu!$I$62),"Cam Lợi",""),IF(OR(M1375=phu!$I$63,M1375=phu!$I$64,M1375=phu!$I$65,M1375=phu!$I$66,M1375=phu!$I$67,M1375=phu!$I$68,M1375=phu!$I$69,M1375=phu!$I$70,M1375=phu!$I$71),"Ba Ngòi",""),IF(OR(M1375=phu!$I$72,M1375=phu!$I$73,M1375=phu!$I$74,M1375=phu!$I$75,M1375=phu!$I$76,M1375=phu!$I$77,M1375=phu!$I$78),"Cam Phước Đông",""),IF(OR(M1375=phu!$I$79,M1375=phu!$I$80,M1375=phu!$I$81,M1375=phu!$I$82,M1375=phu!$I$83,M1375=phu!$I$84),"Cam Thịnh Đông",""),IF(OR(M1375=phu!$I$85,M1375=phu!$I$86,M1375=phu!$I$87,M1375=phu!$I$88),"Cam Thịnh Tây",""),IF(OR(M1375=phu!$I$89,M1375=phu!$I$90),"Cam Lập",""),IF(OR(M1375=phu!$I$91,M1375=phu!$I$92,M1375=phu!$I$93),"Cam Bình",""),IF(OR(M1375=phu!$I$94,M1375=phu!$I$95,M1375=phu!$I$96,M1375=phu!$I$97,M1375=phu!$I$98,M1375=phu!$I$99,M1375=phu!$I$100),"Huyện khác",""),IF(OR(M1375=phu!$I$101,M1375=phu!$I$102),"Tỉnh khác",""))</f>
        <v/>
      </c>
      <c r="O1375" s="814" t="str">
        <f t="shared" si="127"/>
        <v/>
      </c>
      <c r="P1375" s="254"/>
      <c r="Q1375" s="254"/>
      <c r="R1375" s="254"/>
      <c r="S1375" s="254"/>
      <c r="T1375" s="254"/>
      <c r="U1375" s="254"/>
      <c r="V1375" s="254"/>
      <c r="W1375" s="254"/>
      <c r="Y1375" s="246" t="str">
        <f t="shared" si="128"/>
        <v/>
      </c>
      <c r="Z1375" s="247" t="str">
        <f t="shared" si="126"/>
        <v/>
      </c>
      <c r="AA1375" s="246" t="str">
        <f t="shared" si="129"/>
        <v/>
      </c>
    </row>
    <row r="1376" spans="1:27" x14ac:dyDescent="0.25">
      <c r="A1376" s="248" t="str">
        <f t="shared" si="130"/>
        <v/>
      </c>
      <c r="B1376" s="249" t="str">
        <f t="shared" si="131"/>
        <v/>
      </c>
      <c r="C1376" s="250"/>
      <c r="D1376" s="251"/>
      <c r="E1376" s="241"/>
      <c r="F1376" s="252"/>
      <c r="G1376" s="252"/>
      <c r="H1376" s="253"/>
      <c r="I1376" s="250"/>
      <c r="J1376" s="250"/>
      <c r="K1376" s="270"/>
      <c r="L1376" s="250"/>
      <c r="M1376" s="250"/>
      <c r="N1376" s="553" t="str">
        <f>CONCATENATE(IF(OR(M1376=phu!$I$1,M1376=phu!$I$2,M1376=phu!$I$3),"Cam Thành Nam",""),IF(OR(M1376=phu!$I$4,M1376=phu!$I$5,M1376=phu!$I$6,M1376=phu!$I$7,M1376=phu!$I$8,M1376=phu!$I$9,M1376=phu!$I$10,M1376=phu!$I$11,M1376=phu!$I$12,M1376=phu!$I$13,M1376=phu!$I$14),"Cam Nghĩa",""),IF(OR(M1376=phu!$I$15,M1376=phu!$I$16,M1376=phu!$I$17,M1376=phu!$I$18,M1376=phu!$I$19,M1376=phu!$I$20,M1376=phu!$I$21),"Cam Phúc Bắc",""),IF(OR(M1376=phu!$I$22,M1376=phu!$I$23,M1376=phu!$I$24,M1376=phu!$I$25),"Cam Phúc Nam",""),IF(OR(M1376=phu!$I$26,M1376=phu!$I$27,M1376=phu!$I$28,M1376=phu!$I$29,M1376=phu!$I$30,M1376=phu!$I$31),"Cam Phú",""),IF(OR(M1376=phu!$I$32,M1376=phu!$I$33,M1376=phu!$I$34,M1376=phu!$I$35,M1376=phu!$I$36,M1376=phu!$I$37),"Cam Lộc",""),IF(OR(M1376=phu!$I$38,M1376=phu!$I$39,M1376=phu!$I$40,M1376=phu!$I$41,M1376=phu!$I$42,M1376=phu!$I$43,M1376=phu!$I$44),"Cam Thuận",""),IF(OR(M1376=phu!$I$45,M1376=phu!$I$46,M1376=phu!$I$47,M1376=phu!$I$48,M1376=phu!$I$49,M1376=phu!$I$50,M1376=phu!$I$51,M1376=phu!$I$52,M1376=phu!$I$53),"Cam Linh",""),IF(OR(M1376=phu!$I$54,M1376=phu!$I$55,M1376=phu!$I$56,M1376=phu!$I$57,M1376=phu!$I$58,M1376=phu!$I$59,M1376=phu!$I$60,M1376=phu!$I$61,M1376=phu!$I$62),"Cam Lợi",""),IF(OR(M1376=phu!$I$63,M1376=phu!$I$64,M1376=phu!$I$65,M1376=phu!$I$66,M1376=phu!$I$67,M1376=phu!$I$68,M1376=phu!$I$69,M1376=phu!$I$70,M1376=phu!$I$71),"Ba Ngòi",""),IF(OR(M1376=phu!$I$72,M1376=phu!$I$73,M1376=phu!$I$74,M1376=phu!$I$75,M1376=phu!$I$76,M1376=phu!$I$77,M1376=phu!$I$78),"Cam Phước Đông",""),IF(OR(M1376=phu!$I$79,M1376=phu!$I$80,M1376=phu!$I$81,M1376=phu!$I$82,M1376=phu!$I$83,M1376=phu!$I$84),"Cam Thịnh Đông",""),IF(OR(M1376=phu!$I$85,M1376=phu!$I$86,M1376=phu!$I$87,M1376=phu!$I$88),"Cam Thịnh Tây",""),IF(OR(M1376=phu!$I$89,M1376=phu!$I$90),"Cam Lập",""),IF(OR(M1376=phu!$I$91,M1376=phu!$I$92,M1376=phu!$I$93),"Cam Bình",""),IF(OR(M1376=phu!$I$94,M1376=phu!$I$95,M1376=phu!$I$96,M1376=phu!$I$97,M1376=phu!$I$98,M1376=phu!$I$99,M1376=phu!$I$100),"Huyện khác",""),IF(OR(M1376=phu!$I$101,M1376=phu!$I$102),"Tỉnh khác",""))</f>
        <v/>
      </c>
      <c r="O1376" s="814" t="str">
        <f t="shared" si="127"/>
        <v/>
      </c>
      <c r="P1376" s="254"/>
      <c r="Q1376" s="254"/>
      <c r="R1376" s="254"/>
      <c r="S1376" s="254"/>
      <c r="T1376" s="254"/>
      <c r="U1376" s="254"/>
      <c r="V1376" s="254"/>
      <c r="W1376" s="254"/>
      <c r="Y1376" s="246" t="str">
        <f t="shared" si="128"/>
        <v/>
      </c>
      <c r="Z1376" s="247" t="str">
        <f t="shared" si="126"/>
        <v/>
      </c>
      <c r="AA1376" s="246" t="str">
        <f t="shared" si="129"/>
        <v/>
      </c>
    </row>
    <row r="1377" spans="1:27" x14ac:dyDescent="0.25">
      <c r="A1377" s="248" t="str">
        <f t="shared" si="130"/>
        <v/>
      </c>
      <c r="B1377" s="249" t="str">
        <f t="shared" si="131"/>
        <v/>
      </c>
      <c r="C1377" s="250"/>
      <c r="D1377" s="251"/>
      <c r="E1377" s="241"/>
      <c r="F1377" s="252"/>
      <c r="G1377" s="252"/>
      <c r="H1377" s="253"/>
      <c r="I1377" s="250"/>
      <c r="J1377" s="250"/>
      <c r="K1377" s="270"/>
      <c r="L1377" s="250"/>
      <c r="M1377" s="250"/>
      <c r="N1377" s="553" t="str">
        <f>CONCATENATE(IF(OR(M1377=phu!$I$1,M1377=phu!$I$2,M1377=phu!$I$3),"Cam Thành Nam",""),IF(OR(M1377=phu!$I$4,M1377=phu!$I$5,M1377=phu!$I$6,M1377=phu!$I$7,M1377=phu!$I$8,M1377=phu!$I$9,M1377=phu!$I$10,M1377=phu!$I$11,M1377=phu!$I$12,M1377=phu!$I$13,M1377=phu!$I$14),"Cam Nghĩa",""),IF(OR(M1377=phu!$I$15,M1377=phu!$I$16,M1377=phu!$I$17,M1377=phu!$I$18,M1377=phu!$I$19,M1377=phu!$I$20,M1377=phu!$I$21),"Cam Phúc Bắc",""),IF(OR(M1377=phu!$I$22,M1377=phu!$I$23,M1377=phu!$I$24,M1377=phu!$I$25),"Cam Phúc Nam",""),IF(OR(M1377=phu!$I$26,M1377=phu!$I$27,M1377=phu!$I$28,M1377=phu!$I$29,M1377=phu!$I$30,M1377=phu!$I$31),"Cam Phú",""),IF(OR(M1377=phu!$I$32,M1377=phu!$I$33,M1377=phu!$I$34,M1377=phu!$I$35,M1377=phu!$I$36,M1377=phu!$I$37),"Cam Lộc",""),IF(OR(M1377=phu!$I$38,M1377=phu!$I$39,M1377=phu!$I$40,M1377=phu!$I$41,M1377=phu!$I$42,M1377=phu!$I$43,M1377=phu!$I$44),"Cam Thuận",""),IF(OR(M1377=phu!$I$45,M1377=phu!$I$46,M1377=phu!$I$47,M1377=phu!$I$48,M1377=phu!$I$49,M1377=phu!$I$50,M1377=phu!$I$51,M1377=phu!$I$52,M1377=phu!$I$53),"Cam Linh",""),IF(OR(M1377=phu!$I$54,M1377=phu!$I$55,M1377=phu!$I$56,M1377=phu!$I$57,M1377=phu!$I$58,M1377=phu!$I$59,M1377=phu!$I$60,M1377=phu!$I$61,M1377=phu!$I$62),"Cam Lợi",""),IF(OR(M1377=phu!$I$63,M1377=phu!$I$64,M1377=phu!$I$65,M1377=phu!$I$66,M1377=phu!$I$67,M1377=phu!$I$68,M1377=phu!$I$69,M1377=phu!$I$70,M1377=phu!$I$71),"Ba Ngòi",""),IF(OR(M1377=phu!$I$72,M1377=phu!$I$73,M1377=phu!$I$74,M1377=phu!$I$75,M1377=phu!$I$76,M1377=phu!$I$77,M1377=phu!$I$78),"Cam Phước Đông",""),IF(OR(M1377=phu!$I$79,M1377=phu!$I$80,M1377=phu!$I$81,M1377=phu!$I$82,M1377=phu!$I$83,M1377=phu!$I$84),"Cam Thịnh Đông",""),IF(OR(M1377=phu!$I$85,M1377=phu!$I$86,M1377=phu!$I$87,M1377=phu!$I$88),"Cam Thịnh Tây",""),IF(OR(M1377=phu!$I$89,M1377=phu!$I$90),"Cam Lập",""),IF(OR(M1377=phu!$I$91,M1377=phu!$I$92,M1377=phu!$I$93),"Cam Bình",""),IF(OR(M1377=phu!$I$94,M1377=phu!$I$95,M1377=phu!$I$96,M1377=phu!$I$97,M1377=phu!$I$98,M1377=phu!$I$99,M1377=phu!$I$100),"Huyện khác",""),IF(OR(M1377=phu!$I$101,M1377=phu!$I$102),"Tỉnh khác",""))</f>
        <v/>
      </c>
      <c r="O1377" s="814" t="str">
        <f t="shared" si="127"/>
        <v/>
      </c>
      <c r="P1377" s="254"/>
      <c r="Q1377" s="254"/>
      <c r="R1377" s="254"/>
      <c r="S1377" s="254"/>
      <c r="T1377" s="254"/>
      <c r="U1377" s="254"/>
      <c r="V1377" s="254"/>
      <c r="W1377" s="254"/>
      <c r="Y1377" s="246" t="str">
        <f t="shared" si="128"/>
        <v/>
      </c>
      <c r="Z1377" s="247" t="str">
        <f t="shared" si="126"/>
        <v/>
      </c>
      <c r="AA1377" s="246" t="str">
        <f t="shared" si="129"/>
        <v/>
      </c>
    </row>
    <row r="1378" spans="1:27" x14ac:dyDescent="0.25">
      <c r="A1378" s="248" t="str">
        <f t="shared" si="130"/>
        <v/>
      </c>
      <c r="B1378" s="249" t="str">
        <f t="shared" si="131"/>
        <v/>
      </c>
      <c r="C1378" s="250"/>
      <c r="D1378" s="251"/>
      <c r="E1378" s="241"/>
      <c r="F1378" s="252"/>
      <c r="G1378" s="252"/>
      <c r="H1378" s="253"/>
      <c r="I1378" s="250"/>
      <c r="J1378" s="250"/>
      <c r="K1378" s="270"/>
      <c r="L1378" s="250"/>
      <c r="M1378" s="250"/>
      <c r="N1378" s="553" t="str">
        <f>CONCATENATE(IF(OR(M1378=phu!$I$1,M1378=phu!$I$2,M1378=phu!$I$3),"Cam Thành Nam",""),IF(OR(M1378=phu!$I$4,M1378=phu!$I$5,M1378=phu!$I$6,M1378=phu!$I$7,M1378=phu!$I$8,M1378=phu!$I$9,M1378=phu!$I$10,M1378=phu!$I$11,M1378=phu!$I$12,M1378=phu!$I$13,M1378=phu!$I$14),"Cam Nghĩa",""),IF(OR(M1378=phu!$I$15,M1378=phu!$I$16,M1378=phu!$I$17,M1378=phu!$I$18,M1378=phu!$I$19,M1378=phu!$I$20,M1378=phu!$I$21),"Cam Phúc Bắc",""),IF(OR(M1378=phu!$I$22,M1378=phu!$I$23,M1378=phu!$I$24,M1378=phu!$I$25),"Cam Phúc Nam",""),IF(OR(M1378=phu!$I$26,M1378=phu!$I$27,M1378=phu!$I$28,M1378=phu!$I$29,M1378=phu!$I$30,M1378=phu!$I$31),"Cam Phú",""),IF(OR(M1378=phu!$I$32,M1378=phu!$I$33,M1378=phu!$I$34,M1378=phu!$I$35,M1378=phu!$I$36,M1378=phu!$I$37),"Cam Lộc",""),IF(OR(M1378=phu!$I$38,M1378=phu!$I$39,M1378=phu!$I$40,M1378=phu!$I$41,M1378=phu!$I$42,M1378=phu!$I$43,M1378=phu!$I$44),"Cam Thuận",""),IF(OR(M1378=phu!$I$45,M1378=phu!$I$46,M1378=phu!$I$47,M1378=phu!$I$48,M1378=phu!$I$49,M1378=phu!$I$50,M1378=phu!$I$51,M1378=phu!$I$52,M1378=phu!$I$53),"Cam Linh",""),IF(OR(M1378=phu!$I$54,M1378=phu!$I$55,M1378=phu!$I$56,M1378=phu!$I$57,M1378=phu!$I$58,M1378=phu!$I$59,M1378=phu!$I$60,M1378=phu!$I$61,M1378=phu!$I$62),"Cam Lợi",""),IF(OR(M1378=phu!$I$63,M1378=phu!$I$64,M1378=phu!$I$65,M1378=phu!$I$66,M1378=phu!$I$67,M1378=phu!$I$68,M1378=phu!$I$69,M1378=phu!$I$70,M1378=phu!$I$71),"Ba Ngòi",""),IF(OR(M1378=phu!$I$72,M1378=phu!$I$73,M1378=phu!$I$74,M1378=phu!$I$75,M1378=phu!$I$76,M1378=phu!$I$77,M1378=phu!$I$78),"Cam Phước Đông",""),IF(OR(M1378=phu!$I$79,M1378=phu!$I$80,M1378=phu!$I$81,M1378=phu!$I$82,M1378=phu!$I$83,M1378=phu!$I$84),"Cam Thịnh Đông",""),IF(OR(M1378=phu!$I$85,M1378=phu!$I$86,M1378=phu!$I$87,M1378=phu!$I$88),"Cam Thịnh Tây",""),IF(OR(M1378=phu!$I$89,M1378=phu!$I$90),"Cam Lập",""),IF(OR(M1378=phu!$I$91,M1378=phu!$I$92,M1378=phu!$I$93),"Cam Bình",""),IF(OR(M1378=phu!$I$94,M1378=phu!$I$95,M1378=phu!$I$96,M1378=phu!$I$97,M1378=phu!$I$98,M1378=phu!$I$99,M1378=phu!$I$100),"Huyện khác",""),IF(OR(M1378=phu!$I$101,M1378=phu!$I$102),"Tỉnh khác",""))</f>
        <v/>
      </c>
      <c r="O1378" s="814" t="str">
        <f t="shared" si="127"/>
        <v/>
      </c>
      <c r="P1378" s="254"/>
      <c r="Q1378" s="254"/>
      <c r="R1378" s="254"/>
      <c r="S1378" s="254"/>
      <c r="T1378" s="254"/>
      <c r="U1378" s="254"/>
      <c r="V1378" s="254"/>
      <c r="W1378" s="254"/>
      <c r="Y1378" s="246" t="str">
        <f t="shared" si="128"/>
        <v/>
      </c>
      <c r="Z1378" s="247" t="str">
        <f t="shared" si="126"/>
        <v/>
      </c>
      <c r="AA1378" s="246" t="str">
        <f t="shared" si="129"/>
        <v/>
      </c>
    </row>
    <row r="1379" spans="1:27" x14ac:dyDescent="0.25">
      <c r="A1379" s="248" t="str">
        <f t="shared" si="130"/>
        <v/>
      </c>
      <c r="B1379" s="249" t="str">
        <f t="shared" si="131"/>
        <v/>
      </c>
      <c r="C1379" s="250"/>
      <c r="D1379" s="251"/>
      <c r="E1379" s="241"/>
      <c r="F1379" s="252"/>
      <c r="G1379" s="252"/>
      <c r="H1379" s="253"/>
      <c r="I1379" s="250"/>
      <c r="J1379" s="250"/>
      <c r="K1379" s="270"/>
      <c r="L1379" s="250"/>
      <c r="M1379" s="250"/>
      <c r="N1379" s="553" t="str">
        <f>CONCATENATE(IF(OR(M1379=phu!$I$1,M1379=phu!$I$2,M1379=phu!$I$3),"Cam Thành Nam",""),IF(OR(M1379=phu!$I$4,M1379=phu!$I$5,M1379=phu!$I$6,M1379=phu!$I$7,M1379=phu!$I$8,M1379=phu!$I$9,M1379=phu!$I$10,M1379=phu!$I$11,M1379=phu!$I$12,M1379=phu!$I$13,M1379=phu!$I$14),"Cam Nghĩa",""),IF(OR(M1379=phu!$I$15,M1379=phu!$I$16,M1379=phu!$I$17,M1379=phu!$I$18,M1379=phu!$I$19,M1379=phu!$I$20,M1379=phu!$I$21),"Cam Phúc Bắc",""),IF(OR(M1379=phu!$I$22,M1379=phu!$I$23,M1379=phu!$I$24,M1379=phu!$I$25),"Cam Phúc Nam",""),IF(OR(M1379=phu!$I$26,M1379=phu!$I$27,M1379=phu!$I$28,M1379=phu!$I$29,M1379=phu!$I$30,M1379=phu!$I$31),"Cam Phú",""),IF(OR(M1379=phu!$I$32,M1379=phu!$I$33,M1379=phu!$I$34,M1379=phu!$I$35,M1379=phu!$I$36,M1379=phu!$I$37),"Cam Lộc",""),IF(OR(M1379=phu!$I$38,M1379=phu!$I$39,M1379=phu!$I$40,M1379=phu!$I$41,M1379=phu!$I$42,M1379=phu!$I$43,M1379=phu!$I$44),"Cam Thuận",""),IF(OR(M1379=phu!$I$45,M1379=phu!$I$46,M1379=phu!$I$47,M1379=phu!$I$48,M1379=phu!$I$49,M1379=phu!$I$50,M1379=phu!$I$51,M1379=phu!$I$52,M1379=phu!$I$53),"Cam Linh",""),IF(OR(M1379=phu!$I$54,M1379=phu!$I$55,M1379=phu!$I$56,M1379=phu!$I$57,M1379=phu!$I$58,M1379=phu!$I$59,M1379=phu!$I$60,M1379=phu!$I$61,M1379=phu!$I$62),"Cam Lợi",""),IF(OR(M1379=phu!$I$63,M1379=phu!$I$64,M1379=phu!$I$65,M1379=phu!$I$66,M1379=phu!$I$67,M1379=phu!$I$68,M1379=phu!$I$69,M1379=phu!$I$70,M1379=phu!$I$71),"Ba Ngòi",""),IF(OR(M1379=phu!$I$72,M1379=phu!$I$73,M1379=phu!$I$74,M1379=phu!$I$75,M1379=phu!$I$76,M1379=phu!$I$77,M1379=phu!$I$78),"Cam Phước Đông",""),IF(OR(M1379=phu!$I$79,M1379=phu!$I$80,M1379=phu!$I$81,M1379=phu!$I$82,M1379=phu!$I$83,M1379=phu!$I$84),"Cam Thịnh Đông",""),IF(OR(M1379=phu!$I$85,M1379=phu!$I$86,M1379=phu!$I$87,M1379=phu!$I$88),"Cam Thịnh Tây",""),IF(OR(M1379=phu!$I$89,M1379=phu!$I$90),"Cam Lập",""),IF(OR(M1379=phu!$I$91,M1379=phu!$I$92,M1379=phu!$I$93),"Cam Bình",""),IF(OR(M1379=phu!$I$94,M1379=phu!$I$95,M1379=phu!$I$96,M1379=phu!$I$97,M1379=phu!$I$98,M1379=phu!$I$99,M1379=phu!$I$100),"Huyện khác",""),IF(OR(M1379=phu!$I$101,M1379=phu!$I$102),"Tỉnh khác",""))</f>
        <v/>
      </c>
      <c r="O1379" s="814" t="str">
        <f t="shared" si="127"/>
        <v/>
      </c>
      <c r="P1379" s="254"/>
      <c r="Q1379" s="254"/>
      <c r="R1379" s="254"/>
      <c r="S1379" s="254"/>
      <c r="T1379" s="254"/>
      <c r="U1379" s="254"/>
      <c r="V1379" s="254"/>
      <c r="W1379" s="254"/>
      <c r="Y1379" s="246" t="str">
        <f t="shared" si="128"/>
        <v/>
      </c>
      <c r="Z1379" s="247" t="str">
        <f t="shared" si="126"/>
        <v/>
      </c>
      <c r="AA1379" s="246" t="str">
        <f t="shared" si="129"/>
        <v/>
      </c>
    </row>
    <row r="1380" spans="1:27" x14ac:dyDescent="0.25">
      <c r="A1380" s="248" t="str">
        <f t="shared" si="130"/>
        <v/>
      </c>
      <c r="B1380" s="249" t="str">
        <f t="shared" si="131"/>
        <v/>
      </c>
      <c r="C1380" s="250"/>
      <c r="D1380" s="251"/>
      <c r="E1380" s="241"/>
      <c r="F1380" s="252"/>
      <c r="G1380" s="252"/>
      <c r="H1380" s="253"/>
      <c r="I1380" s="250"/>
      <c r="J1380" s="250"/>
      <c r="K1380" s="270"/>
      <c r="L1380" s="250"/>
      <c r="M1380" s="250"/>
      <c r="N1380" s="553" t="str">
        <f>CONCATENATE(IF(OR(M1380=phu!$I$1,M1380=phu!$I$2,M1380=phu!$I$3),"Cam Thành Nam",""),IF(OR(M1380=phu!$I$4,M1380=phu!$I$5,M1380=phu!$I$6,M1380=phu!$I$7,M1380=phu!$I$8,M1380=phu!$I$9,M1380=phu!$I$10,M1380=phu!$I$11,M1380=phu!$I$12,M1380=phu!$I$13,M1380=phu!$I$14),"Cam Nghĩa",""),IF(OR(M1380=phu!$I$15,M1380=phu!$I$16,M1380=phu!$I$17,M1380=phu!$I$18,M1380=phu!$I$19,M1380=phu!$I$20,M1380=phu!$I$21),"Cam Phúc Bắc",""),IF(OR(M1380=phu!$I$22,M1380=phu!$I$23,M1380=phu!$I$24,M1380=phu!$I$25),"Cam Phúc Nam",""),IF(OR(M1380=phu!$I$26,M1380=phu!$I$27,M1380=phu!$I$28,M1380=phu!$I$29,M1380=phu!$I$30,M1380=phu!$I$31),"Cam Phú",""),IF(OR(M1380=phu!$I$32,M1380=phu!$I$33,M1380=phu!$I$34,M1380=phu!$I$35,M1380=phu!$I$36,M1380=phu!$I$37),"Cam Lộc",""),IF(OR(M1380=phu!$I$38,M1380=phu!$I$39,M1380=phu!$I$40,M1380=phu!$I$41,M1380=phu!$I$42,M1380=phu!$I$43,M1380=phu!$I$44),"Cam Thuận",""),IF(OR(M1380=phu!$I$45,M1380=phu!$I$46,M1380=phu!$I$47,M1380=phu!$I$48,M1380=phu!$I$49,M1380=phu!$I$50,M1380=phu!$I$51,M1380=phu!$I$52,M1380=phu!$I$53),"Cam Linh",""),IF(OR(M1380=phu!$I$54,M1380=phu!$I$55,M1380=phu!$I$56,M1380=phu!$I$57,M1380=phu!$I$58,M1380=phu!$I$59,M1380=phu!$I$60,M1380=phu!$I$61,M1380=phu!$I$62),"Cam Lợi",""),IF(OR(M1380=phu!$I$63,M1380=phu!$I$64,M1380=phu!$I$65,M1380=phu!$I$66,M1380=phu!$I$67,M1380=phu!$I$68,M1380=phu!$I$69,M1380=phu!$I$70,M1380=phu!$I$71),"Ba Ngòi",""),IF(OR(M1380=phu!$I$72,M1380=phu!$I$73,M1380=phu!$I$74,M1380=phu!$I$75,M1380=phu!$I$76,M1380=phu!$I$77,M1380=phu!$I$78),"Cam Phước Đông",""),IF(OR(M1380=phu!$I$79,M1380=phu!$I$80,M1380=phu!$I$81,M1380=phu!$I$82,M1380=phu!$I$83,M1380=phu!$I$84),"Cam Thịnh Đông",""),IF(OR(M1380=phu!$I$85,M1380=phu!$I$86,M1380=phu!$I$87,M1380=phu!$I$88),"Cam Thịnh Tây",""),IF(OR(M1380=phu!$I$89,M1380=phu!$I$90),"Cam Lập",""),IF(OR(M1380=phu!$I$91,M1380=phu!$I$92,M1380=phu!$I$93),"Cam Bình",""),IF(OR(M1380=phu!$I$94,M1380=phu!$I$95,M1380=phu!$I$96,M1380=phu!$I$97,M1380=phu!$I$98,M1380=phu!$I$99,M1380=phu!$I$100),"Huyện khác",""),IF(OR(M1380=phu!$I$101,M1380=phu!$I$102),"Tỉnh khác",""))</f>
        <v/>
      </c>
      <c r="O1380" s="814" t="str">
        <f t="shared" si="127"/>
        <v/>
      </c>
      <c r="P1380" s="254"/>
      <c r="Q1380" s="254"/>
      <c r="R1380" s="254"/>
      <c r="S1380" s="254"/>
      <c r="T1380" s="254"/>
      <c r="U1380" s="254"/>
      <c r="V1380" s="254"/>
      <c r="W1380" s="254"/>
      <c r="Y1380" s="246" t="str">
        <f t="shared" si="128"/>
        <v/>
      </c>
      <c r="Z1380" s="247" t="str">
        <f t="shared" si="126"/>
        <v/>
      </c>
      <c r="AA1380" s="246" t="str">
        <f t="shared" si="129"/>
        <v/>
      </c>
    </row>
    <row r="1381" spans="1:27" x14ac:dyDescent="0.25">
      <c r="A1381" s="248" t="str">
        <f t="shared" si="130"/>
        <v/>
      </c>
      <c r="B1381" s="249" t="str">
        <f t="shared" si="131"/>
        <v/>
      </c>
      <c r="C1381" s="250"/>
      <c r="D1381" s="251"/>
      <c r="E1381" s="241"/>
      <c r="F1381" s="252"/>
      <c r="G1381" s="252"/>
      <c r="H1381" s="253"/>
      <c r="I1381" s="250"/>
      <c r="J1381" s="250"/>
      <c r="K1381" s="270"/>
      <c r="L1381" s="250"/>
      <c r="M1381" s="250"/>
      <c r="N1381" s="553" t="str">
        <f>CONCATENATE(IF(OR(M1381=phu!$I$1,M1381=phu!$I$2,M1381=phu!$I$3),"Cam Thành Nam",""),IF(OR(M1381=phu!$I$4,M1381=phu!$I$5,M1381=phu!$I$6,M1381=phu!$I$7,M1381=phu!$I$8,M1381=phu!$I$9,M1381=phu!$I$10,M1381=phu!$I$11,M1381=phu!$I$12,M1381=phu!$I$13,M1381=phu!$I$14),"Cam Nghĩa",""),IF(OR(M1381=phu!$I$15,M1381=phu!$I$16,M1381=phu!$I$17,M1381=phu!$I$18,M1381=phu!$I$19,M1381=phu!$I$20,M1381=phu!$I$21),"Cam Phúc Bắc",""),IF(OR(M1381=phu!$I$22,M1381=phu!$I$23,M1381=phu!$I$24,M1381=phu!$I$25),"Cam Phúc Nam",""),IF(OR(M1381=phu!$I$26,M1381=phu!$I$27,M1381=phu!$I$28,M1381=phu!$I$29,M1381=phu!$I$30,M1381=phu!$I$31),"Cam Phú",""),IF(OR(M1381=phu!$I$32,M1381=phu!$I$33,M1381=phu!$I$34,M1381=phu!$I$35,M1381=phu!$I$36,M1381=phu!$I$37),"Cam Lộc",""),IF(OR(M1381=phu!$I$38,M1381=phu!$I$39,M1381=phu!$I$40,M1381=phu!$I$41,M1381=phu!$I$42,M1381=phu!$I$43,M1381=phu!$I$44),"Cam Thuận",""),IF(OR(M1381=phu!$I$45,M1381=phu!$I$46,M1381=phu!$I$47,M1381=phu!$I$48,M1381=phu!$I$49,M1381=phu!$I$50,M1381=phu!$I$51,M1381=phu!$I$52,M1381=phu!$I$53),"Cam Linh",""),IF(OR(M1381=phu!$I$54,M1381=phu!$I$55,M1381=phu!$I$56,M1381=phu!$I$57,M1381=phu!$I$58,M1381=phu!$I$59,M1381=phu!$I$60,M1381=phu!$I$61,M1381=phu!$I$62),"Cam Lợi",""),IF(OR(M1381=phu!$I$63,M1381=phu!$I$64,M1381=phu!$I$65,M1381=phu!$I$66,M1381=phu!$I$67,M1381=phu!$I$68,M1381=phu!$I$69,M1381=phu!$I$70,M1381=phu!$I$71),"Ba Ngòi",""),IF(OR(M1381=phu!$I$72,M1381=phu!$I$73,M1381=phu!$I$74,M1381=phu!$I$75,M1381=phu!$I$76,M1381=phu!$I$77,M1381=phu!$I$78),"Cam Phước Đông",""),IF(OR(M1381=phu!$I$79,M1381=phu!$I$80,M1381=phu!$I$81,M1381=phu!$I$82,M1381=phu!$I$83,M1381=phu!$I$84),"Cam Thịnh Đông",""),IF(OR(M1381=phu!$I$85,M1381=phu!$I$86,M1381=phu!$I$87,M1381=phu!$I$88),"Cam Thịnh Tây",""),IF(OR(M1381=phu!$I$89,M1381=phu!$I$90),"Cam Lập",""),IF(OR(M1381=phu!$I$91,M1381=phu!$I$92,M1381=phu!$I$93),"Cam Bình",""),IF(OR(M1381=phu!$I$94,M1381=phu!$I$95,M1381=phu!$I$96,M1381=phu!$I$97,M1381=phu!$I$98,M1381=phu!$I$99,M1381=phu!$I$100),"Huyện khác",""),IF(OR(M1381=phu!$I$101,M1381=phu!$I$102),"Tỉnh khác",""))</f>
        <v/>
      </c>
      <c r="O1381" s="814" t="str">
        <f t="shared" si="127"/>
        <v/>
      </c>
      <c r="P1381" s="254"/>
      <c r="Q1381" s="254"/>
      <c r="R1381" s="254"/>
      <c r="S1381" s="254"/>
      <c r="T1381" s="254"/>
      <c r="U1381" s="254"/>
      <c r="V1381" s="254"/>
      <c r="W1381" s="254"/>
      <c r="Y1381" s="246" t="str">
        <f t="shared" si="128"/>
        <v/>
      </c>
      <c r="Z1381" s="247" t="str">
        <f t="shared" si="126"/>
        <v/>
      </c>
      <c r="AA1381" s="246" t="str">
        <f t="shared" si="129"/>
        <v/>
      </c>
    </row>
    <row r="1382" spans="1:27" x14ac:dyDescent="0.25">
      <c r="A1382" s="248" t="str">
        <f t="shared" si="130"/>
        <v/>
      </c>
      <c r="B1382" s="249" t="str">
        <f t="shared" si="131"/>
        <v/>
      </c>
      <c r="C1382" s="250"/>
      <c r="D1382" s="251"/>
      <c r="E1382" s="241"/>
      <c r="F1382" s="252"/>
      <c r="G1382" s="252"/>
      <c r="H1382" s="253"/>
      <c r="I1382" s="250"/>
      <c r="J1382" s="250"/>
      <c r="K1382" s="270"/>
      <c r="L1382" s="250"/>
      <c r="M1382" s="250"/>
      <c r="N1382" s="553" t="str">
        <f>CONCATENATE(IF(OR(M1382=phu!$I$1,M1382=phu!$I$2,M1382=phu!$I$3),"Cam Thành Nam",""),IF(OR(M1382=phu!$I$4,M1382=phu!$I$5,M1382=phu!$I$6,M1382=phu!$I$7,M1382=phu!$I$8,M1382=phu!$I$9,M1382=phu!$I$10,M1382=phu!$I$11,M1382=phu!$I$12,M1382=phu!$I$13,M1382=phu!$I$14),"Cam Nghĩa",""),IF(OR(M1382=phu!$I$15,M1382=phu!$I$16,M1382=phu!$I$17,M1382=phu!$I$18,M1382=phu!$I$19,M1382=phu!$I$20,M1382=phu!$I$21),"Cam Phúc Bắc",""),IF(OR(M1382=phu!$I$22,M1382=phu!$I$23,M1382=phu!$I$24,M1382=phu!$I$25),"Cam Phúc Nam",""),IF(OR(M1382=phu!$I$26,M1382=phu!$I$27,M1382=phu!$I$28,M1382=phu!$I$29,M1382=phu!$I$30,M1382=phu!$I$31),"Cam Phú",""),IF(OR(M1382=phu!$I$32,M1382=phu!$I$33,M1382=phu!$I$34,M1382=phu!$I$35,M1382=phu!$I$36,M1382=phu!$I$37),"Cam Lộc",""),IF(OR(M1382=phu!$I$38,M1382=phu!$I$39,M1382=phu!$I$40,M1382=phu!$I$41,M1382=phu!$I$42,M1382=phu!$I$43,M1382=phu!$I$44),"Cam Thuận",""),IF(OR(M1382=phu!$I$45,M1382=phu!$I$46,M1382=phu!$I$47,M1382=phu!$I$48,M1382=phu!$I$49,M1382=phu!$I$50,M1382=phu!$I$51,M1382=phu!$I$52,M1382=phu!$I$53),"Cam Linh",""),IF(OR(M1382=phu!$I$54,M1382=phu!$I$55,M1382=phu!$I$56,M1382=phu!$I$57,M1382=phu!$I$58,M1382=phu!$I$59,M1382=phu!$I$60,M1382=phu!$I$61,M1382=phu!$I$62),"Cam Lợi",""),IF(OR(M1382=phu!$I$63,M1382=phu!$I$64,M1382=phu!$I$65,M1382=phu!$I$66,M1382=phu!$I$67,M1382=phu!$I$68,M1382=phu!$I$69,M1382=phu!$I$70,M1382=phu!$I$71),"Ba Ngòi",""),IF(OR(M1382=phu!$I$72,M1382=phu!$I$73,M1382=phu!$I$74,M1382=phu!$I$75,M1382=phu!$I$76,M1382=phu!$I$77,M1382=phu!$I$78),"Cam Phước Đông",""),IF(OR(M1382=phu!$I$79,M1382=phu!$I$80,M1382=phu!$I$81,M1382=phu!$I$82,M1382=phu!$I$83,M1382=phu!$I$84),"Cam Thịnh Đông",""),IF(OR(M1382=phu!$I$85,M1382=phu!$I$86,M1382=phu!$I$87,M1382=phu!$I$88),"Cam Thịnh Tây",""),IF(OR(M1382=phu!$I$89,M1382=phu!$I$90),"Cam Lập",""),IF(OR(M1382=phu!$I$91,M1382=phu!$I$92,M1382=phu!$I$93),"Cam Bình",""),IF(OR(M1382=phu!$I$94,M1382=phu!$I$95,M1382=phu!$I$96,M1382=phu!$I$97,M1382=phu!$I$98,M1382=phu!$I$99,M1382=phu!$I$100),"Huyện khác",""),IF(OR(M1382=phu!$I$101,M1382=phu!$I$102),"Tỉnh khác",""))</f>
        <v/>
      </c>
      <c r="O1382" s="814" t="str">
        <f t="shared" si="127"/>
        <v/>
      </c>
      <c r="P1382" s="254"/>
      <c r="Q1382" s="254"/>
      <c r="R1382" s="254"/>
      <c r="S1382" s="254"/>
      <c r="T1382" s="254"/>
      <c r="U1382" s="254"/>
      <c r="V1382" s="254"/>
      <c r="W1382" s="254"/>
      <c r="Y1382" s="246" t="str">
        <f t="shared" si="128"/>
        <v/>
      </c>
      <c r="Z1382" s="247" t="str">
        <f t="shared" si="126"/>
        <v/>
      </c>
      <c r="AA1382" s="246" t="str">
        <f t="shared" si="129"/>
        <v/>
      </c>
    </row>
    <row r="1383" spans="1:27" x14ac:dyDescent="0.25">
      <c r="A1383" s="248" t="str">
        <f t="shared" si="130"/>
        <v/>
      </c>
      <c r="B1383" s="249" t="str">
        <f t="shared" si="131"/>
        <v/>
      </c>
      <c r="C1383" s="250"/>
      <c r="D1383" s="251"/>
      <c r="E1383" s="241"/>
      <c r="F1383" s="252"/>
      <c r="G1383" s="252"/>
      <c r="H1383" s="253"/>
      <c r="I1383" s="250"/>
      <c r="J1383" s="250"/>
      <c r="K1383" s="270"/>
      <c r="L1383" s="250"/>
      <c r="M1383" s="250"/>
      <c r="N1383" s="553" t="str">
        <f>CONCATENATE(IF(OR(M1383=phu!$I$1,M1383=phu!$I$2,M1383=phu!$I$3),"Cam Thành Nam",""),IF(OR(M1383=phu!$I$4,M1383=phu!$I$5,M1383=phu!$I$6,M1383=phu!$I$7,M1383=phu!$I$8,M1383=phu!$I$9,M1383=phu!$I$10,M1383=phu!$I$11,M1383=phu!$I$12,M1383=phu!$I$13,M1383=phu!$I$14),"Cam Nghĩa",""),IF(OR(M1383=phu!$I$15,M1383=phu!$I$16,M1383=phu!$I$17,M1383=phu!$I$18,M1383=phu!$I$19,M1383=phu!$I$20,M1383=phu!$I$21),"Cam Phúc Bắc",""),IF(OR(M1383=phu!$I$22,M1383=phu!$I$23,M1383=phu!$I$24,M1383=phu!$I$25),"Cam Phúc Nam",""),IF(OR(M1383=phu!$I$26,M1383=phu!$I$27,M1383=phu!$I$28,M1383=phu!$I$29,M1383=phu!$I$30,M1383=phu!$I$31),"Cam Phú",""),IF(OR(M1383=phu!$I$32,M1383=phu!$I$33,M1383=phu!$I$34,M1383=phu!$I$35,M1383=phu!$I$36,M1383=phu!$I$37),"Cam Lộc",""),IF(OR(M1383=phu!$I$38,M1383=phu!$I$39,M1383=phu!$I$40,M1383=phu!$I$41,M1383=phu!$I$42,M1383=phu!$I$43,M1383=phu!$I$44),"Cam Thuận",""),IF(OR(M1383=phu!$I$45,M1383=phu!$I$46,M1383=phu!$I$47,M1383=phu!$I$48,M1383=phu!$I$49,M1383=phu!$I$50,M1383=phu!$I$51,M1383=phu!$I$52,M1383=phu!$I$53),"Cam Linh",""),IF(OR(M1383=phu!$I$54,M1383=phu!$I$55,M1383=phu!$I$56,M1383=phu!$I$57,M1383=phu!$I$58,M1383=phu!$I$59,M1383=phu!$I$60,M1383=phu!$I$61,M1383=phu!$I$62),"Cam Lợi",""),IF(OR(M1383=phu!$I$63,M1383=phu!$I$64,M1383=phu!$I$65,M1383=phu!$I$66,M1383=phu!$I$67,M1383=phu!$I$68,M1383=phu!$I$69,M1383=phu!$I$70,M1383=phu!$I$71),"Ba Ngòi",""),IF(OR(M1383=phu!$I$72,M1383=phu!$I$73,M1383=phu!$I$74,M1383=phu!$I$75,M1383=phu!$I$76,M1383=phu!$I$77,M1383=phu!$I$78),"Cam Phước Đông",""),IF(OR(M1383=phu!$I$79,M1383=phu!$I$80,M1383=phu!$I$81,M1383=phu!$I$82,M1383=phu!$I$83,M1383=phu!$I$84),"Cam Thịnh Đông",""),IF(OR(M1383=phu!$I$85,M1383=phu!$I$86,M1383=phu!$I$87,M1383=phu!$I$88),"Cam Thịnh Tây",""),IF(OR(M1383=phu!$I$89,M1383=phu!$I$90),"Cam Lập",""),IF(OR(M1383=phu!$I$91,M1383=phu!$I$92,M1383=phu!$I$93),"Cam Bình",""),IF(OR(M1383=phu!$I$94,M1383=phu!$I$95,M1383=phu!$I$96,M1383=phu!$I$97,M1383=phu!$I$98,M1383=phu!$I$99,M1383=phu!$I$100),"Huyện khác",""),IF(OR(M1383=phu!$I$101,M1383=phu!$I$102),"Tỉnh khác",""))</f>
        <v/>
      </c>
      <c r="O1383" s="814" t="str">
        <f t="shared" si="127"/>
        <v/>
      </c>
      <c r="P1383" s="254"/>
      <c r="Q1383" s="254"/>
      <c r="R1383" s="254"/>
      <c r="S1383" s="254"/>
      <c r="T1383" s="254"/>
      <c r="U1383" s="254"/>
      <c r="V1383" s="254"/>
      <c r="W1383" s="254"/>
      <c r="Y1383" s="246" t="str">
        <f t="shared" si="128"/>
        <v/>
      </c>
      <c r="Z1383" s="247" t="str">
        <f t="shared" si="126"/>
        <v/>
      </c>
      <c r="AA1383" s="246" t="str">
        <f t="shared" si="129"/>
        <v/>
      </c>
    </row>
    <row r="1384" spans="1:27" x14ac:dyDescent="0.25">
      <c r="A1384" s="248" t="str">
        <f t="shared" si="130"/>
        <v/>
      </c>
      <c r="B1384" s="249" t="str">
        <f t="shared" si="131"/>
        <v/>
      </c>
      <c r="C1384" s="250"/>
      <c r="D1384" s="251"/>
      <c r="E1384" s="241"/>
      <c r="F1384" s="252"/>
      <c r="G1384" s="252"/>
      <c r="H1384" s="253"/>
      <c r="I1384" s="250"/>
      <c r="J1384" s="250"/>
      <c r="K1384" s="270"/>
      <c r="L1384" s="250"/>
      <c r="M1384" s="250"/>
      <c r="N1384" s="553" t="str">
        <f>CONCATENATE(IF(OR(M1384=phu!$I$1,M1384=phu!$I$2,M1384=phu!$I$3),"Cam Thành Nam",""),IF(OR(M1384=phu!$I$4,M1384=phu!$I$5,M1384=phu!$I$6,M1384=phu!$I$7,M1384=phu!$I$8,M1384=phu!$I$9,M1384=phu!$I$10,M1384=phu!$I$11,M1384=phu!$I$12,M1384=phu!$I$13,M1384=phu!$I$14),"Cam Nghĩa",""),IF(OR(M1384=phu!$I$15,M1384=phu!$I$16,M1384=phu!$I$17,M1384=phu!$I$18,M1384=phu!$I$19,M1384=phu!$I$20,M1384=phu!$I$21),"Cam Phúc Bắc",""),IF(OR(M1384=phu!$I$22,M1384=phu!$I$23,M1384=phu!$I$24,M1384=phu!$I$25),"Cam Phúc Nam",""),IF(OR(M1384=phu!$I$26,M1384=phu!$I$27,M1384=phu!$I$28,M1384=phu!$I$29,M1384=phu!$I$30,M1384=phu!$I$31),"Cam Phú",""),IF(OR(M1384=phu!$I$32,M1384=phu!$I$33,M1384=phu!$I$34,M1384=phu!$I$35,M1384=phu!$I$36,M1384=phu!$I$37),"Cam Lộc",""),IF(OR(M1384=phu!$I$38,M1384=phu!$I$39,M1384=phu!$I$40,M1384=phu!$I$41,M1384=phu!$I$42,M1384=phu!$I$43,M1384=phu!$I$44),"Cam Thuận",""),IF(OR(M1384=phu!$I$45,M1384=phu!$I$46,M1384=phu!$I$47,M1384=phu!$I$48,M1384=phu!$I$49,M1384=phu!$I$50,M1384=phu!$I$51,M1384=phu!$I$52,M1384=phu!$I$53),"Cam Linh",""),IF(OR(M1384=phu!$I$54,M1384=phu!$I$55,M1384=phu!$I$56,M1384=phu!$I$57,M1384=phu!$I$58,M1384=phu!$I$59,M1384=phu!$I$60,M1384=phu!$I$61,M1384=phu!$I$62),"Cam Lợi",""),IF(OR(M1384=phu!$I$63,M1384=phu!$I$64,M1384=phu!$I$65,M1384=phu!$I$66,M1384=phu!$I$67,M1384=phu!$I$68,M1384=phu!$I$69,M1384=phu!$I$70,M1384=phu!$I$71),"Ba Ngòi",""),IF(OR(M1384=phu!$I$72,M1384=phu!$I$73,M1384=phu!$I$74,M1384=phu!$I$75,M1384=phu!$I$76,M1384=phu!$I$77,M1384=phu!$I$78),"Cam Phước Đông",""),IF(OR(M1384=phu!$I$79,M1384=phu!$I$80,M1384=phu!$I$81,M1384=phu!$I$82,M1384=phu!$I$83,M1384=phu!$I$84),"Cam Thịnh Đông",""),IF(OR(M1384=phu!$I$85,M1384=phu!$I$86,M1384=phu!$I$87,M1384=phu!$I$88),"Cam Thịnh Tây",""),IF(OR(M1384=phu!$I$89,M1384=phu!$I$90),"Cam Lập",""),IF(OR(M1384=phu!$I$91,M1384=phu!$I$92,M1384=phu!$I$93),"Cam Bình",""),IF(OR(M1384=phu!$I$94,M1384=phu!$I$95,M1384=phu!$I$96,M1384=phu!$I$97,M1384=phu!$I$98,M1384=phu!$I$99,M1384=phu!$I$100),"Huyện khác",""),IF(OR(M1384=phu!$I$101,M1384=phu!$I$102),"Tỉnh khác",""))</f>
        <v/>
      </c>
      <c r="O1384" s="814" t="str">
        <f t="shared" si="127"/>
        <v/>
      </c>
      <c r="P1384" s="254"/>
      <c r="Q1384" s="254"/>
      <c r="R1384" s="254"/>
      <c r="S1384" s="254"/>
      <c r="T1384" s="254"/>
      <c r="U1384" s="254"/>
      <c r="V1384" s="254"/>
      <c r="W1384" s="254"/>
      <c r="Y1384" s="246" t="str">
        <f t="shared" si="128"/>
        <v/>
      </c>
      <c r="Z1384" s="247" t="str">
        <f t="shared" si="126"/>
        <v/>
      </c>
      <c r="AA1384" s="246" t="str">
        <f t="shared" si="129"/>
        <v/>
      </c>
    </row>
    <row r="1385" spans="1:27" x14ac:dyDescent="0.25">
      <c r="A1385" s="248" t="str">
        <f t="shared" si="130"/>
        <v/>
      </c>
      <c r="B1385" s="249" t="str">
        <f t="shared" si="131"/>
        <v/>
      </c>
      <c r="C1385" s="250"/>
      <c r="D1385" s="251"/>
      <c r="E1385" s="241"/>
      <c r="F1385" s="252"/>
      <c r="G1385" s="252"/>
      <c r="H1385" s="253"/>
      <c r="I1385" s="250"/>
      <c r="J1385" s="250"/>
      <c r="K1385" s="270"/>
      <c r="L1385" s="250"/>
      <c r="M1385" s="250"/>
      <c r="N1385" s="553" t="str">
        <f>CONCATENATE(IF(OR(M1385=phu!$I$1,M1385=phu!$I$2,M1385=phu!$I$3),"Cam Thành Nam",""),IF(OR(M1385=phu!$I$4,M1385=phu!$I$5,M1385=phu!$I$6,M1385=phu!$I$7,M1385=phu!$I$8,M1385=phu!$I$9,M1385=phu!$I$10,M1385=phu!$I$11,M1385=phu!$I$12,M1385=phu!$I$13,M1385=phu!$I$14),"Cam Nghĩa",""),IF(OR(M1385=phu!$I$15,M1385=phu!$I$16,M1385=phu!$I$17,M1385=phu!$I$18,M1385=phu!$I$19,M1385=phu!$I$20,M1385=phu!$I$21),"Cam Phúc Bắc",""),IF(OR(M1385=phu!$I$22,M1385=phu!$I$23,M1385=phu!$I$24,M1385=phu!$I$25),"Cam Phúc Nam",""),IF(OR(M1385=phu!$I$26,M1385=phu!$I$27,M1385=phu!$I$28,M1385=phu!$I$29,M1385=phu!$I$30,M1385=phu!$I$31),"Cam Phú",""),IF(OR(M1385=phu!$I$32,M1385=phu!$I$33,M1385=phu!$I$34,M1385=phu!$I$35,M1385=phu!$I$36,M1385=phu!$I$37),"Cam Lộc",""),IF(OR(M1385=phu!$I$38,M1385=phu!$I$39,M1385=phu!$I$40,M1385=phu!$I$41,M1385=phu!$I$42,M1385=phu!$I$43,M1385=phu!$I$44),"Cam Thuận",""),IF(OR(M1385=phu!$I$45,M1385=phu!$I$46,M1385=phu!$I$47,M1385=phu!$I$48,M1385=phu!$I$49,M1385=phu!$I$50,M1385=phu!$I$51,M1385=phu!$I$52,M1385=phu!$I$53),"Cam Linh",""),IF(OR(M1385=phu!$I$54,M1385=phu!$I$55,M1385=phu!$I$56,M1385=phu!$I$57,M1385=phu!$I$58,M1385=phu!$I$59,M1385=phu!$I$60,M1385=phu!$I$61,M1385=phu!$I$62),"Cam Lợi",""),IF(OR(M1385=phu!$I$63,M1385=phu!$I$64,M1385=phu!$I$65,M1385=phu!$I$66,M1385=phu!$I$67,M1385=phu!$I$68,M1385=phu!$I$69,M1385=phu!$I$70,M1385=phu!$I$71),"Ba Ngòi",""),IF(OR(M1385=phu!$I$72,M1385=phu!$I$73,M1385=phu!$I$74,M1385=phu!$I$75,M1385=phu!$I$76,M1385=phu!$I$77,M1385=phu!$I$78),"Cam Phước Đông",""),IF(OR(M1385=phu!$I$79,M1385=phu!$I$80,M1385=phu!$I$81,M1385=phu!$I$82,M1385=phu!$I$83,M1385=phu!$I$84),"Cam Thịnh Đông",""),IF(OR(M1385=phu!$I$85,M1385=phu!$I$86,M1385=phu!$I$87,M1385=phu!$I$88),"Cam Thịnh Tây",""),IF(OR(M1385=phu!$I$89,M1385=phu!$I$90),"Cam Lập",""),IF(OR(M1385=phu!$I$91,M1385=phu!$I$92,M1385=phu!$I$93),"Cam Bình",""),IF(OR(M1385=phu!$I$94,M1385=phu!$I$95,M1385=phu!$I$96,M1385=phu!$I$97,M1385=phu!$I$98,M1385=phu!$I$99,M1385=phu!$I$100),"Huyện khác",""),IF(OR(M1385=phu!$I$101,M1385=phu!$I$102),"Tỉnh khác",""))</f>
        <v/>
      </c>
      <c r="O1385" s="814" t="str">
        <f t="shared" si="127"/>
        <v/>
      </c>
      <c r="P1385" s="254"/>
      <c r="Q1385" s="254"/>
      <c r="R1385" s="254"/>
      <c r="S1385" s="254"/>
      <c r="T1385" s="254"/>
      <c r="U1385" s="254"/>
      <c r="V1385" s="254"/>
      <c r="W1385" s="254"/>
      <c r="Y1385" s="246" t="str">
        <f t="shared" si="128"/>
        <v/>
      </c>
      <c r="Z1385" s="247" t="str">
        <f t="shared" si="126"/>
        <v/>
      </c>
      <c r="AA1385" s="246" t="str">
        <f t="shared" si="129"/>
        <v/>
      </c>
    </row>
    <row r="1386" spans="1:27" x14ac:dyDescent="0.25">
      <c r="A1386" s="248" t="str">
        <f t="shared" si="130"/>
        <v/>
      </c>
      <c r="B1386" s="249" t="str">
        <f t="shared" si="131"/>
        <v/>
      </c>
      <c r="C1386" s="250"/>
      <c r="D1386" s="251"/>
      <c r="E1386" s="241"/>
      <c r="F1386" s="252"/>
      <c r="G1386" s="252"/>
      <c r="H1386" s="253"/>
      <c r="I1386" s="250"/>
      <c r="J1386" s="250"/>
      <c r="K1386" s="270"/>
      <c r="L1386" s="250"/>
      <c r="M1386" s="250"/>
      <c r="N1386" s="553" t="str">
        <f>CONCATENATE(IF(OR(M1386=phu!$I$1,M1386=phu!$I$2,M1386=phu!$I$3),"Cam Thành Nam",""),IF(OR(M1386=phu!$I$4,M1386=phu!$I$5,M1386=phu!$I$6,M1386=phu!$I$7,M1386=phu!$I$8,M1386=phu!$I$9,M1386=phu!$I$10,M1386=phu!$I$11,M1386=phu!$I$12,M1386=phu!$I$13,M1386=phu!$I$14),"Cam Nghĩa",""),IF(OR(M1386=phu!$I$15,M1386=phu!$I$16,M1386=phu!$I$17,M1386=phu!$I$18,M1386=phu!$I$19,M1386=phu!$I$20,M1386=phu!$I$21),"Cam Phúc Bắc",""),IF(OR(M1386=phu!$I$22,M1386=phu!$I$23,M1386=phu!$I$24,M1386=phu!$I$25),"Cam Phúc Nam",""),IF(OR(M1386=phu!$I$26,M1386=phu!$I$27,M1386=phu!$I$28,M1386=phu!$I$29,M1386=phu!$I$30,M1386=phu!$I$31),"Cam Phú",""),IF(OR(M1386=phu!$I$32,M1386=phu!$I$33,M1386=phu!$I$34,M1386=phu!$I$35,M1386=phu!$I$36,M1386=phu!$I$37),"Cam Lộc",""),IF(OR(M1386=phu!$I$38,M1386=phu!$I$39,M1386=phu!$I$40,M1386=phu!$I$41,M1386=phu!$I$42,M1386=phu!$I$43,M1386=phu!$I$44),"Cam Thuận",""),IF(OR(M1386=phu!$I$45,M1386=phu!$I$46,M1386=phu!$I$47,M1386=phu!$I$48,M1386=phu!$I$49,M1386=phu!$I$50,M1386=phu!$I$51,M1386=phu!$I$52,M1386=phu!$I$53),"Cam Linh",""),IF(OR(M1386=phu!$I$54,M1386=phu!$I$55,M1386=phu!$I$56,M1386=phu!$I$57,M1386=phu!$I$58,M1386=phu!$I$59,M1386=phu!$I$60,M1386=phu!$I$61,M1386=phu!$I$62),"Cam Lợi",""),IF(OR(M1386=phu!$I$63,M1386=phu!$I$64,M1386=phu!$I$65,M1386=phu!$I$66,M1386=phu!$I$67,M1386=phu!$I$68,M1386=phu!$I$69,M1386=phu!$I$70,M1386=phu!$I$71),"Ba Ngòi",""),IF(OR(M1386=phu!$I$72,M1386=phu!$I$73,M1386=phu!$I$74,M1386=phu!$I$75,M1386=phu!$I$76,M1386=phu!$I$77,M1386=phu!$I$78),"Cam Phước Đông",""),IF(OR(M1386=phu!$I$79,M1386=phu!$I$80,M1386=phu!$I$81,M1386=phu!$I$82,M1386=phu!$I$83,M1386=phu!$I$84),"Cam Thịnh Đông",""),IF(OR(M1386=phu!$I$85,M1386=phu!$I$86,M1386=phu!$I$87,M1386=phu!$I$88),"Cam Thịnh Tây",""),IF(OR(M1386=phu!$I$89,M1386=phu!$I$90),"Cam Lập",""),IF(OR(M1386=phu!$I$91,M1386=phu!$I$92,M1386=phu!$I$93),"Cam Bình",""),IF(OR(M1386=phu!$I$94,M1386=phu!$I$95,M1386=phu!$I$96,M1386=phu!$I$97,M1386=phu!$I$98,M1386=phu!$I$99,M1386=phu!$I$100),"Huyện khác",""),IF(OR(M1386=phu!$I$101,M1386=phu!$I$102),"Tỉnh khác",""))</f>
        <v/>
      </c>
      <c r="O1386" s="814" t="str">
        <f t="shared" si="127"/>
        <v/>
      </c>
      <c r="P1386" s="254"/>
      <c r="Q1386" s="254"/>
      <c r="R1386" s="254"/>
      <c r="S1386" s="254"/>
      <c r="T1386" s="254"/>
      <c r="U1386" s="254"/>
      <c r="V1386" s="254"/>
      <c r="W1386" s="254"/>
      <c r="Y1386" s="246" t="str">
        <f t="shared" si="128"/>
        <v/>
      </c>
      <c r="Z1386" s="247" t="str">
        <f t="shared" si="126"/>
        <v/>
      </c>
      <c r="AA1386" s="246" t="str">
        <f t="shared" si="129"/>
        <v/>
      </c>
    </row>
    <row r="1387" spans="1:27" x14ac:dyDescent="0.25">
      <c r="A1387" s="248" t="str">
        <f t="shared" si="130"/>
        <v/>
      </c>
      <c r="B1387" s="249" t="str">
        <f t="shared" si="131"/>
        <v/>
      </c>
      <c r="C1387" s="250"/>
      <c r="D1387" s="251"/>
      <c r="E1387" s="241"/>
      <c r="F1387" s="252"/>
      <c r="G1387" s="252"/>
      <c r="H1387" s="253"/>
      <c r="I1387" s="250"/>
      <c r="J1387" s="250"/>
      <c r="K1387" s="270"/>
      <c r="L1387" s="250"/>
      <c r="M1387" s="250"/>
      <c r="N1387" s="553" t="str">
        <f>CONCATENATE(IF(OR(M1387=phu!$I$1,M1387=phu!$I$2,M1387=phu!$I$3),"Cam Thành Nam",""),IF(OR(M1387=phu!$I$4,M1387=phu!$I$5,M1387=phu!$I$6,M1387=phu!$I$7,M1387=phu!$I$8,M1387=phu!$I$9,M1387=phu!$I$10,M1387=phu!$I$11,M1387=phu!$I$12,M1387=phu!$I$13,M1387=phu!$I$14),"Cam Nghĩa",""),IF(OR(M1387=phu!$I$15,M1387=phu!$I$16,M1387=phu!$I$17,M1387=phu!$I$18,M1387=phu!$I$19,M1387=phu!$I$20,M1387=phu!$I$21),"Cam Phúc Bắc",""),IF(OR(M1387=phu!$I$22,M1387=phu!$I$23,M1387=phu!$I$24,M1387=phu!$I$25),"Cam Phúc Nam",""),IF(OR(M1387=phu!$I$26,M1387=phu!$I$27,M1387=phu!$I$28,M1387=phu!$I$29,M1387=phu!$I$30,M1387=phu!$I$31),"Cam Phú",""),IF(OR(M1387=phu!$I$32,M1387=phu!$I$33,M1387=phu!$I$34,M1387=phu!$I$35,M1387=phu!$I$36,M1387=phu!$I$37),"Cam Lộc",""),IF(OR(M1387=phu!$I$38,M1387=phu!$I$39,M1387=phu!$I$40,M1387=phu!$I$41,M1387=phu!$I$42,M1387=phu!$I$43,M1387=phu!$I$44),"Cam Thuận",""),IF(OR(M1387=phu!$I$45,M1387=phu!$I$46,M1387=phu!$I$47,M1387=phu!$I$48,M1387=phu!$I$49,M1387=phu!$I$50,M1387=phu!$I$51,M1387=phu!$I$52,M1387=phu!$I$53),"Cam Linh",""),IF(OR(M1387=phu!$I$54,M1387=phu!$I$55,M1387=phu!$I$56,M1387=phu!$I$57,M1387=phu!$I$58,M1387=phu!$I$59,M1387=phu!$I$60,M1387=phu!$I$61,M1387=phu!$I$62),"Cam Lợi",""),IF(OR(M1387=phu!$I$63,M1387=phu!$I$64,M1387=phu!$I$65,M1387=phu!$I$66,M1387=phu!$I$67,M1387=phu!$I$68,M1387=phu!$I$69,M1387=phu!$I$70,M1387=phu!$I$71),"Ba Ngòi",""),IF(OR(M1387=phu!$I$72,M1387=phu!$I$73,M1387=phu!$I$74,M1387=phu!$I$75,M1387=phu!$I$76,M1387=phu!$I$77,M1387=phu!$I$78),"Cam Phước Đông",""),IF(OR(M1387=phu!$I$79,M1387=phu!$I$80,M1387=phu!$I$81,M1387=phu!$I$82,M1387=phu!$I$83,M1387=phu!$I$84),"Cam Thịnh Đông",""),IF(OR(M1387=phu!$I$85,M1387=phu!$I$86,M1387=phu!$I$87,M1387=phu!$I$88),"Cam Thịnh Tây",""),IF(OR(M1387=phu!$I$89,M1387=phu!$I$90),"Cam Lập",""),IF(OR(M1387=phu!$I$91,M1387=phu!$I$92,M1387=phu!$I$93),"Cam Bình",""),IF(OR(M1387=phu!$I$94,M1387=phu!$I$95,M1387=phu!$I$96,M1387=phu!$I$97,M1387=phu!$I$98,M1387=phu!$I$99,M1387=phu!$I$100),"Huyện khác",""),IF(OR(M1387=phu!$I$101,M1387=phu!$I$102),"Tỉnh khác",""))</f>
        <v/>
      </c>
      <c r="O1387" s="814" t="str">
        <f t="shared" si="127"/>
        <v/>
      </c>
      <c r="P1387" s="254"/>
      <c r="Q1387" s="254"/>
      <c r="R1387" s="254"/>
      <c r="S1387" s="254"/>
      <c r="T1387" s="254"/>
      <c r="U1387" s="254"/>
      <c r="V1387" s="254"/>
      <c r="W1387" s="254"/>
      <c r="Y1387" s="246" t="str">
        <f t="shared" si="128"/>
        <v/>
      </c>
      <c r="Z1387" s="247" t="str">
        <f t="shared" si="126"/>
        <v/>
      </c>
      <c r="AA1387" s="246" t="str">
        <f t="shared" si="129"/>
        <v/>
      </c>
    </row>
    <row r="1388" spans="1:27" x14ac:dyDescent="0.25">
      <c r="A1388" s="248" t="str">
        <f t="shared" si="130"/>
        <v/>
      </c>
      <c r="B1388" s="249" t="str">
        <f t="shared" si="131"/>
        <v/>
      </c>
      <c r="C1388" s="250"/>
      <c r="D1388" s="251"/>
      <c r="E1388" s="241"/>
      <c r="F1388" s="252"/>
      <c r="G1388" s="252"/>
      <c r="H1388" s="253"/>
      <c r="I1388" s="250"/>
      <c r="J1388" s="250"/>
      <c r="K1388" s="270"/>
      <c r="L1388" s="250"/>
      <c r="M1388" s="250"/>
      <c r="N1388" s="553" t="str">
        <f>CONCATENATE(IF(OR(M1388=phu!$I$1,M1388=phu!$I$2,M1388=phu!$I$3),"Cam Thành Nam",""),IF(OR(M1388=phu!$I$4,M1388=phu!$I$5,M1388=phu!$I$6,M1388=phu!$I$7,M1388=phu!$I$8,M1388=phu!$I$9,M1388=phu!$I$10,M1388=phu!$I$11,M1388=phu!$I$12,M1388=phu!$I$13,M1388=phu!$I$14),"Cam Nghĩa",""),IF(OR(M1388=phu!$I$15,M1388=phu!$I$16,M1388=phu!$I$17,M1388=phu!$I$18,M1388=phu!$I$19,M1388=phu!$I$20,M1388=phu!$I$21),"Cam Phúc Bắc",""),IF(OR(M1388=phu!$I$22,M1388=phu!$I$23,M1388=phu!$I$24,M1388=phu!$I$25),"Cam Phúc Nam",""),IF(OR(M1388=phu!$I$26,M1388=phu!$I$27,M1388=phu!$I$28,M1388=phu!$I$29,M1388=phu!$I$30,M1388=phu!$I$31),"Cam Phú",""),IF(OR(M1388=phu!$I$32,M1388=phu!$I$33,M1388=phu!$I$34,M1388=phu!$I$35,M1388=phu!$I$36,M1388=phu!$I$37),"Cam Lộc",""),IF(OR(M1388=phu!$I$38,M1388=phu!$I$39,M1388=phu!$I$40,M1388=phu!$I$41,M1388=phu!$I$42,M1388=phu!$I$43,M1388=phu!$I$44),"Cam Thuận",""),IF(OR(M1388=phu!$I$45,M1388=phu!$I$46,M1388=phu!$I$47,M1388=phu!$I$48,M1388=phu!$I$49,M1388=phu!$I$50,M1388=phu!$I$51,M1388=phu!$I$52,M1388=phu!$I$53),"Cam Linh",""),IF(OR(M1388=phu!$I$54,M1388=phu!$I$55,M1388=phu!$I$56,M1388=phu!$I$57,M1388=phu!$I$58,M1388=phu!$I$59,M1388=phu!$I$60,M1388=phu!$I$61,M1388=phu!$I$62),"Cam Lợi",""),IF(OR(M1388=phu!$I$63,M1388=phu!$I$64,M1388=phu!$I$65,M1388=phu!$I$66,M1388=phu!$I$67,M1388=phu!$I$68,M1388=phu!$I$69,M1388=phu!$I$70,M1388=phu!$I$71),"Ba Ngòi",""),IF(OR(M1388=phu!$I$72,M1388=phu!$I$73,M1388=phu!$I$74,M1388=phu!$I$75,M1388=phu!$I$76,M1388=phu!$I$77,M1388=phu!$I$78),"Cam Phước Đông",""),IF(OR(M1388=phu!$I$79,M1388=phu!$I$80,M1388=phu!$I$81,M1388=phu!$I$82,M1388=phu!$I$83,M1388=phu!$I$84),"Cam Thịnh Đông",""),IF(OR(M1388=phu!$I$85,M1388=phu!$I$86,M1388=phu!$I$87,M1388=phu!$I$88),"Cam Thịnh Tây",""),IF(OR(M1388=phu!$I$89,M1388=phu!$I$90),"Cam Lập",""),IF(OR(M1388=phu!$I$91,M1388=phu!$I$92,M1388=phu!$I$93),"Cam Bình",""),IF(OR(M1388=phu!$I$94,M1388=phu!$I$95,M1388=phu!$I$96,M1388=phu!$I$97,M1388=phu!$I$98,M1388=phu!$I$99,M1388=phu!$I$100),"Huyện khác",""),IF(OR(M1388=phu!$I$101,M1388=phu!$I$102),"Tỉnh khác",""))</f>
        <v/>
      </c>
      <c r="O1388" s="814" t="str">
        <f t="shared" si="127"/>
        <v/>
      </c>
      <c r="P1388" s="254"/>
      <c r="Q1388" s="254"/>
      <c r="R1388" s="254"/>
      <c r="S1388" s="254"/>
      <c r="T1388" s="254"/>
      <c r="U1388" s="254"/>
      <c r="V1388" s="254"/>
      <c r="W1388" s="254"/>
      <c r="Y1388" s="246" t="str">
        <f t="shared" si="128"/>
        <v/>
      </c>
      <c r="Z1388" s="247" t="str">
        <f t="shared" si="126"/>
        <v/>
      </c>
      <c r="AA1388" s="246" t="str">
        <f t="shared" si="129"/>
        <v/>
      </c>
    </row>
    <row r="1389" spans="1:27" x14ac:dyDescent="0.25">
      <c r="A1389" s="248" t="str">
        <f t="shared" si="130"/>
        <v/>
      </c>
      <c r="B1389" s="249" t="str">
        <f t="shared" si="131"/>
        <v/>
      </c>
      <c r="C1389" s="250"/>
      <c r="D1389" s="251"/>
      <c r="E1389" s="241"/>
      <c r="F1389" s="252"/>
      <c r="G1389" s="252"/>
      <c r="H1389" s="253"/>
      <c r="I1389" s="250"/>
      <c r="J1389" s="250"/>
      <c r="K1389" s="270"/>
      <c r="L1389" s="250"/>
      <c r="M1389" s="250"/>
      <c r="N1389" s="553" t="str">
        <f>CONCATENATE(IF(OR(M1389=phu!$I$1,M1389=phu!$I$2,M1389=phu!$I$3),"Cam Thành Nam",""),IF(OR(M1389=phu!$I$4,M1389=phu!$I$5,M1389=phu!$I$6,M1389=phu!$I$7,M1389=phu!$I$8,M1389=phu!$I$9,M1389=phu!$I$10,M1389=phu!$I$11,M1389=phu!$I$12,M1389=phu!$I$13,M1389=phu!$I$14),"Cam Nghĩa",""),IF(OR(M1389=phu!$I$15,M1389=phu!$I$16,M1389=phu!$I$17,M1389=phu!$I$18,M1389=phu!$I$19,M1389=phu!$I$20,M1389=phu!$I$21),"Cam Phúc Bắc",""),IF(OR(M1389=phu!$I$22,M1389=phu!$I$23,M1389=phu!$I$24,M1389=phu!$I$25),"Cam Phúc Nam",""),IF(OR(M1389=phu!$I$26,M1389=phu!$I$27,M1389=phu!$I$28,M1389=phu!$I$29,M1389=phu!$I$30,M1389=phu!$I$31),"Cam Phú",""),IF(OR(M1389=phu!$I$32,M1389=phu!$I$33,M1389=phu!$I$34,M1389=phu!$I$35,M1389=phu!$I$36,M1389=phu!$I$37),"Cam Lộc",""),IF(OR(M1389=phu!$I$38,M1389=phu!$I$39,M1389=phu!$I$40,M1389=phu!$I$41,M1389=phu!$I$42,M1389=phu!$I$43,M1389=phu!$I$44),"Cam Thuận",""),IF(OR(M1389=phu!$I$45,M1389=phu!$I$46,M1389=phu!$I$47,M1389=phu!$I$48,M1389=phu!$I$49,M1389=phu!$I$50,M1389=phu!$I$51,M1389=phu!$I$52,M1389=phu!$I$53),"Cam Linh",""),IF(OR(M1389=phu!$I$54,M1389=phu!$I$55,M1389=phu!$I$56,M1389=phu!$I$57,M1389=phu!$I$58,M1389=phu!$I$59,M1389=phu!$I$60,M1389=phu!$I$61,M1389=phu!$I$62),"Cam Lợi",""),IF(OR(M1389=phu!$I$63,M1389=phu!$I$64,M1389=phu!$I$65,M1389=phu!$I$66,M1389=phu!$I$67,M1389=phu!$I$68,M1389=phu!$I$69,M1389=phu!$I$70,M1389=phu!$I$71),"Ba Ngòi",""),IF(OR(M1389=phu!$I$72,M1389=phu!$I$73,M1389=phu!$I$74,M1389=phu!$I$75,M1389=phu!$I$76,M1389=phu!$I$77,M1389=phu!$I$78),"Cam Phước Đông",""),IF(OR(M1389=phu!$I$79,M1389=phu!$I$80,M1389=phu!$I$81,M1389=phu!$I$82,M1389=phu!$I$83,M1389=phu!$I$84),"Cam Thịnh Đông",""),IF(OR(M1389=phu!$I$85,M1389=phu!$I$86,M1389=phu!$I$87,M1389=phu!$I$88),"Cam Thịnh Tây",""),IF(OR(M1389=phu!$I$89,M1389=phu!$I$90),"Cam Lập",""),IF(OR(M1389=phu!$I$91,M1389=phu!$I$92,M1389=phu!$I$93),"Cam Bình",""),IF(OR(M1389=phu!$I$94,M1389=phu!$I$95,M1389=phu!$I$96,M1389=phu!$I$97,M1389=phu!$I$98,M1389=phu!$I$99,M1389=phu!$I$100),"Huyện khác",""),IF(OR(M1389=phu!$I$101,M1389=phu!$I$102),"Tỉnh khác",""))</f>
        <v/>
      </c>
      <c r="O1389" s="814" t="str">
        <f t="shared" si="127"/>
        <v/>
      </c>
      <c r="P1389" s="254"/>
      <c r="Q1389" s="254"/>
      <c r="R1389" s="254"/>
      <c r="S1389" s="254"/>
      <c r="T1389" s="254"/>
      <c r="U1389" s="254"/>
      <c r="V1389" s="254"/>
      <c r="W1389" s="254"/>
      <c r="Y1389" s="246" t="str">
        <f t="shared" si="128"/>
        <v/>
      </c>
      <c r="Z1389" s="247" t="str">
        <f t="shared" si="126"/>
        <v/>
      </c>
      <c r="AA1389" s="246" t="str">
        <f t="shared" si="129"/>
        <v/>
      </c>
    </row>
    <row r="1390" spans="1:27" x14ac:dyDescent="0.25">
      <c r="A1390" s="248" t="str">
        <f t="shared" si="130"/>
        <v/>
      </c>
      <c r="B1390" s="249" t="str">
        <f t="shared" si="131"/>
        <v/>
      </c>
      <c r="C1390" s="250"/>
      <c r="D1390" s="251"/>
      <c r="E1390" s="241"/>
      <c r="F1390" s="252"/>
      <c r="G1390" s="252"/>
      <c r="H1390" s="253"/>
      <c r="I1390" s="250"/>
      <c r="J1390" s="250"/>
      <c r="K1390" s="270"/>
      <c r="L1390" s="250"/>
      <c r="M1390" s="250"/>
      <c r="N1390" s="553" t="str">
        <f>CONCATENATE(IF(OR(M1390=phu!$I$1,M1390=phu!$I$2,M1390=phu!$I$3),"Cam Thành Nam",""),IF(OR(M1390=phu!$I$4,M1390=phu!$I$5,M1390=phu!$I$6,M1390=phu!$I$7,M1390=phu!$I$8,M1390=phu!$I$9,M1390=phu!$I$10,M1390=phu!$I$11,M1390=phu!$I$12,M1390=phu!$I$13,M1390=phu!$I$14),"Cam Nghĩa",""),IF(OR(M1390=phu!$I$15,M1390=phu!$I$16,M1390=phu!$I$17,M1390=phu!$I$18,M1390=phu!$I$19,M1390=phu!$I$20,M1390=phu!$I$21),"Cam Phúc Bắc",""),IF(OR(M1390=phu!$I$22,M1390=phu!$I$23,M1390=phu!$I$24,M1390=phu!$I$25),"Cam Phúc Nam",""),IF(OR(M1390=phu!$I$26,M1390=phu!$I$27,M1390=phu!$I$28,M1390=phu!$I$29,M1390=phu!$I$30,M1390=phu!$I$31),"Cam Phú",""),IF(OR(M1390=phu!$I$32,M1390=phu!$I$33,M1390=phu!$I$34,M1390=phu!$I$35,M1390=phu!$I$36,M1390=phu!$I$37),"Cam Lộc",""),IF(OR(M1390=phu!$I$38,M1390=phu!$I$39,M1390=phu!$I$40,M1390=phu!$I$41,M1390=phu!$I$42,M1390=phu!$I$43,M1390=phu!$I$44),"Cam Thuận",""),IF(OR(M1390=phu!$I$45,M1390=phu!$I$46,M1390=phu!$I$47,M1390=phu!$I$48,M1390=phu!$I$49,M1390=phu!$I$50,M1390=phu!$I$51,M1390=phu!$I$52,M1390=phu!$I$53),"Cam Linh",""),IF(OR(M1390=phu!$I$54,M1390=phu!$I$55,M1390=phu!$I$56,M1390=phu!$I$57,M1390=phu!$I$58,M1390=phu!$I$59,M1390=phu!$I$60,M1390=phu!$I$61,M1390=phu!$I$62),"Cam Lợi",""),IF(OR(M1390=phu!$I$63,M1390=phu!$I$64,M1390=phu!$I$65,M1390=phu!$I$66,M1390=phu!$I$67,M1390=phu!$I$68,M1390=phu!$I$69,M1390=phu!$I$70,M1390=phu!$I$71),"Ba Ngòi",""),IF(OR(M1390=phu!$I$72,M1390=phu!$I$73,M1390=phu!$I$74,M1390=phu!$I$75,M1390=phu!$I$76,M1390=phu!$I$77,M1390=phu!$I$78),"Cam Phước Đông",""),IF(OR(M1390=phu!$I$79,M1390=phu!$I$80,M1390=phu!$I$81,M1390=phu!$I$82,M1390=phu!$I$83,M1390=phu!$I$84),"Cam Thịnh Đông",""),IF(OR(M1390=phu!$I$85,M1390=phu!$I$86,M1390=phu!$I$87,M1390=phu!$I$88),"Cam Thịnh Tây",""),IF(OR(M1390=phu!$I$89,M1390=phu!$I$90),"Cam Lập",""),IF(OR(M1390=phu!$I$91,M1390=phu!$I$92,M1390=phu!$I$93),"Cam Bình",""),IF(OR(M1390=phu!$I$94,M1390=phu!$I$95,M1390=phu!$I$96,M1390=phu!$I$97,M1390=phu!$I$98,M1390=phu!$I$99,M1390=phu!$I$100),"Huyện khác",""),IF(OR(M1390=phu!$I$101,M1390=phu!$I$102),"Tỉnh khác",""))</f>
        <v/>
      </c>
      <c r="O1390" s="814" t="str">
        <f t="shared" si="127"/>
        <v/>
      </c>
      <c r="P1390" s="254"/>
      <c r="Q1390" s="254"/>
      <c r="R1390" s="254"/>
      <c r="S1390" s="254"/>
      <c r="T1390" s="254"/>
      <c r="U1390" s="254"/>
      <c r="V1390" s="254"/>
      <c r="W1390" s="254"/>
      <c r="Y1390" s="246" t="str">
        <f t="shared" si="128"/>
        <v/>
      </c>
      <c r="Z1390" s="247" t="str">
        <f t="shared" si="126"/>
        <v/>
      </c>
      <c r="AA1390" s="246" t="str">
        <f t="shared" si="129"/>
        <v/>
      </c>
    </row>
    <row r="1391" spans="1:27" x14ac:dyDescent="0.25">
      <c r="A1391" s="248" t="str">
        <f t="shared" si="130"/>
        <v/>
      </c>
      <c r="B1391" s="249" t="str">
        <f t="shared" si="131"/>
        <v/>
      </c>
      <c r="C1391" s="250"/>
      <c r="D1391" s="251"/>
      <c r="E1391" s="241"/>
      <c r="F1391" s="252"/>
      <c r="G1391" s="252"/>
      <c r="H1391" s="253"/>
      <c r="I1391" s="250"/>
      <c r="J1391" s="250"/>
      <c r="K1391" s="270"/>
      <c r="L1391" s="250"/>
      <c r="M1391" s="250"/>
      <c r="N1391" s="553" t="str">
        <f>CONCATENATE(IF(OR(M1391=phu!$I$1,M1391=phu!$I$2,M1391=phu!$I$3),"Cam Thành Nam",""),IF(OR(M1391=phu!$I$4,M1391=phu!$I$5,M1391=phu!$I$6,M1391=phu!$I$7,M1391=phu!$I$8,M1391=phu!$I$9,M1391=phu!$I$10,M1391=phu!$I$11,M1391=phu!$I$12,M1391=phu!$I$13,M1391=phu!$I$14),"Cam Nghĩa",""),IF(OR(M1391=phu!$I$15,M1391=phu!$I$16,M1391=phu!$I$17,M1391=phu!$I$18,M1391=phu!$I$19,M1391=phu!$I$20,M1391=phu!$I$21),"Cam Phúc Bắc",""),IF(OR(M1391=phu!$I$22,M1391=phu!$I$23,M1391=phu!$I$24,M1391=phu!$I$25),"Cam Phúc Nam",""),IF(OR(M1391=phu!$I$26,M1391=phu!$I$27,M1391=phu!$I$28,M1391=phu!$I$29,M1391=phu!$I$30,M1391=phu!$I$31),"Cam Phú",""),IF(OR(M1391=phu!$I$32,M1391=phu!$I$33,M1391=phu!$I$34,M1391=phu!$I$35,M1391=phu!$I$36,M1391=phu!$I$37),"Cam Lộc",""),IF(OR(M1391=phu!$I$38,M1391=phu!$I$39,M1391=phu!$I$40,M1391=phu!$I$41,M1391=phu!$I$42,M1391=phu!$I$43,M1391=phu!$I$44),"Cam Thuận",""),IF(OR(M1391=phu!$I$45,M1391=phu!$I$46,M1391=phu!$I$47,M1391=phu!$I$48,M1391=phu!$I$49,M1391=phu!$I$50,M1391=phu!$I$51,M1391=phu!$I$52,M1391=phu!$I$53),"Cam Linh",""),IF(OR(M1391=phu!$I$54,M1391=phu!$I$55,M1391=phu!$I$56,M1391=phu!$I$57,M1391=phu!$I$58,M1391=phu!$I$59,M1391=phu!$I$60,M1391=phu!$I$61,M1391=phu!$I$62),"Cam Lợi",""),IF(OR(M1391=phu!$I$63,M1391=phu!$I$64,M1391=phu!$I$65,M1391=phu!$I$66,M1391=phu!$I$67,M1391=phu!$I$68,M1391=phu!$I$69,M1391=phu!$I$70,M1391=phu!$I$71),"Ba Ngòi",""),IF(OR(M1391=phu!$I$72,M1391=phu!$I$73,M1391=phu!$I$74,M1391=phu!$I$75,M1391=phu!$I$76,M1391=phu!$I$77,M1391=phu!$I$78),"Cam Phước Đông",""),IF(OR(M1391=phu!$I$79,M1391=phu!$I$80,M1391=phu!$I$81,M1391=phu!$I$82,M1391=phu!$I$83,M1391=phu!$I$84),"Cam Thịnh Đông",""),IF(OR(M1391=phu!$I$85,M1391=phu!$I$86,M1391=phu!$I$87,M1391=phu!$I$88),"Cam Thịnh Tây",""),IF(OR(M1391=phu!$I$89,M1391=phu!$I$90),"Cam Lập",""),IF(OR(M1391=phu!$I$91,M1391=phu!$I$92,M1391=phu!$I$93),"Cam Bình",""),IF(OR(M1391=phu!$I$94,M1391=phu!$I$95,M1391=phu!$I$96,M1391=phu!$I$97,M1391=phu!$I$98,M1391=phu!$I$99,M1391=phu!$I$100),"Huyện khác",""),IF(OR(M1391=phu!$I$101,M1391=phu!$I$102),"Tỉnh khác",""))</f>
        <v/>
      </c>
      <c r="O1391" s="814" t="str">
        <f t="shared" si="127"/>
        <v/>
      </c>
      <c r="P1391" s="254"/>
      <c r="Q1391" s="254"/>
      <c r="R1391" s="254"/>
      <c r="S1391" s="254"/>
      <c r="T1391" s="254"/>
      <c r="U1391" s="254"/>
      <c r="V1391" s="254"/>
      <c r="W1391" s="254"/>
      <c r="Y1391" s="246" t="str">
        <f t="shared" si="128"/>
        <v/>
      </c>
      <c r="Z1391" s="247" t="str">
        <f t="shared" si="126"/>
        <v/>
      </c>
      <c r="AA1391" s="246" t="str">
        <f t="shared" si="129"/>
        <v/>
      </c>
    </row>
    <row r="1392" spans="1:27" x14ac:dyDescent="0.25">
      <c r="A1392" s="248" t="str">
        <f t="shared" si="130"/>
        <v/>
      </c>
      <c r="B1392" s="249" t="str">
        <f t="shared" si="131"/>
        <v/>
      </c>
      <c r="C1392" s="250"/>
      <c r="D1392" s="251"/>
      <c r="E1392" s="241"/>
      <c r="F1392" s="252"/>
      <c r="G1392" s="252"/>
      <c r="H1392" s="253"/>
      <c r="I1392" s="250"/>
      <c r="J1392" s="250"/>
      <c r="K1392" s="270"/>
      <c r="L1392" s="250"/>
      <c r="M1392" s="250"/>
      <c r="N1392" s="553" t="str">
        <f>CONCATENATE(IF(OR(M1392=phu!$I$1,M1392=phu!$I$2,M1392=phu!$I$3),"Cam Thành Nam",""),IF(OR(M1392=phu!$I$4,M1392=phu!$I$5,M1392=phu!$I$6,M1392=phu!$I$7,M1392=phu!$I$8,M1392=phu!$I$9,M1392=phu!$I$10,M1392=phu!$I$11,M1392=phu!$I$12,M1392=phu!$I$13,M1392=phu!$I$14),"Cam Nghĩa",""),IF(OR(M1392=phu!$I$15,M1392=phu!$I$16,M1392=phu!$I$17,M1392=phu!$I$18,M1392=phu!$I$19,M1392=phu!$I$20,M1392=phu!$I$21),"Cam Phúc Bắc",""),IF(OR(M1392=phu!$I$22,M1392=phu!$I$23,M1392=phu!$I$24,M1392=phu!$I$25),"Cam Phúc Nam",""),IF(OR(M1392=phu!$I$26,M1392=phu!$I$27,M1392=phu!$I$28,M1392=phu!$I$29,M1392=phu!$I$30,M1392=phu!$I$31),"Cam Phú",""),IF(OR(M1392=phu!$I$32,M1392=phu!$I$33,M1392=phu!$I$34,M1392=phu!$I$35,M1392=phu!$I$36,M1392=phu!$I$37),"Cam Lộc",""),IF(OR(M1392=phu!$I$38,M1392=phu!$I$39,M1392=phu!$I$40,M1392=phu!$I$41,M1392=phu!$I$42,M1392=phu!$I$43,M1392=phu!$I$44),"Cam Thuận",""),IF(OR(M1392=phu!$I$45,M1392=phu!$I$46,M1392=phu!$I$47,M1392=phu!$I$48,M1392=phu!$I$49,M1392=phu!$I$50,M1392=phu!$I$51,M1392=phu!$I$52,M1392=phu!$I$53),"Cam Linh",""),IF(OR(M1392=phu!$I$54,M1392=phu!$I$55,M1392=phu!$I$56,M1392=phu!$I$57,M1392=phu!$I$58,M1392=phu!$I$59,M1392=phu!$I$60,M1392=phu!$I$61,M1392=phu!$I$62),"Cam Lợi",""),IF(OR(M1392=phu!$I$63,M1392=phu!$I$64,M1392=phu!$I$65,M1392=phu!$I$66,M1392=phu!$I$67,M1392=phu!$I$68,M1392=phu!$I$69,M1392=phu!$I$70,M1392=phu!$I$71),"Ba Ngòi",""),IF(OR(M1392=phu!$I$72,M1392=phu!$I$73,M1392=phu!$I$74,M1392=phu!$I$75,M1392=phu!$I$76,M1392=phu!$I$77,M1392=phu!$I$78),"Cam Phước Đông",""),IF(OR(M1392=phu!$I$79,M1392=phu!$I$80,M1392=phu!$I$81,M1392=phu!$I$82,M1392=phu!$I$83,M1392=phu!$I$84),"Cam Thịnh Đông",""),IF(OR(M1392=phu!$I$85,M1392=phu!$I$86,M1392=phu!$I$87,M1392=phu!$I$88),"Cam Thịnh Tây",""),IF(OR(M1392=phu!$I$89,M1392=phu!$I$90),"Cam Lập",""),IF(OR(M1392=phu!$I$91,M1392=phu!$I$92,M1392=phu!$I$93),"Cam Bình",""),IF(OR(M1392=phu!$I$94,M1392=phu!$I$95,M1392=phu!$I$96,M1392=phu!$I$97,M1392=phu!$I$98,M1392=phu!$I$99,M1392=phu!$I$100),"Huyện khác",""),IF(OR(M1392=phu!$I$101,M1392=phu!$I$102),"Tỉnh khác",""))</f>
        <v/>
      </c>
      <c r="O1392" s="814" t="str">
        <f t="shared" si="127"/>
        <v/>
      </c>
      <c r="P1392" s="254"/>
      <c r="Q1392" s="254"/>
      <c r="R1392" s="254"/>
      <c r="S1392" s="254"/>
      <c r="T1392" s="254"/>
      <c r="U1392" s="254"/>
      <c r="V1392" s="254"/>
      <c r="W1392" s="254"/>
      <c r="Y1392" s="246" t="str">
        <f t="shared" si="128"/>
        <v/>
      </c>
      <c r="Z1392" s="247" t="str">
        <f t="shared" si="126"/>
        <v/>
      </c>
      <c r="AA1392" s="246" t="str">
        <f t="shared" si="129"/>
        <v/>
      </c>
    </row>
    <row r="1393" spans="1:27" x14ac:dyDescent="0.25">
      <c r="A1393" s="248" t="str">
        <f t="shared" si="130"/>
        <v/>
      </c>
      <c r="B1393" s="249" t="str">
        <f t="shared" si="131"/>
        <v/>
      </c>
      <c r="C1393" s="250"/>
      <c r="D1393" s="251"/>
      <c r="E1393" s="241"/>
      <c r="F1393" s="252"/>
      <c r="G1393" s="252"/>
      <c r="H1393" s="253"/>
      <c r="I1393" s="250"/>
      <c r="J1393" s="250"/>
      <c r="K1393" s="270"/>
      <c r="L1393" s="250"/>
      <c r="M1393" s="250"/>
      <c r="N1393" s="553" t="str">
        <f>CONCATENATE(IF(OR(M1393=phu!$I$1,M1393=phu!$I$2,M1393=phu!$I$3),"Cam Thành Nam",""),IF(OR(M1393=phu!$I$4,M1393=phu!$I$5,M1393=phu!$I$6,M1393=phu!$I$7,M1393=phu!$I$8,M1393=phu!$I$9,M1393=phu!$I$10,M1393=phu!$I$11,M1393=phu!$I$12,M1393=phu!$I$13,M1393=phu!$I$14),"Cam Nghĩa",""),IF(OR(M1393=phu!$I$15,M1393=phu!$I$16,M1393=phu!$I$17,M1393=phu!$I$18,M1393=phu!$I$19,M1393=phu!$I$20,M1393=phu!$I$21),"Cam Phúc Bắc",""),IF(OR(M1393=phu!$I$22,M1393=phu!$I$23,M1393=phu!$I$24,M1393=phu!$I$25),"Cam Phúc Nam",""),IF(OR(M1393=phu!$I$26,M1393=phu!$I$27,M1393=phu!$I$28,M1393=phu!$I$29,M1393=phu!$I$30,M1393=phu!$I$31),"Cam Phú",""),IF(OR(M1393=phu!$I$32,M1393=phu!$I$33,M1393=phu!$I$34,M1393=phu!$I$35,M1393=phu!$I$36,M1393=phu!$I$37),"Cam Lộc",""),IF(OR(M1393=phu!$I$38,M1393=phu!$I$39,M1393=phu!$I$40,M1393=phu!$I$41,M1393=phu!$I$42,M1393=phu!$I$43,M1393=phu!$I$44),"Cam Thuận",""),IF(OR(M1393=phu!$I$45,M1393=phu!$I$46,M1393=phu!$I$47,M1393=phu!$I$48,M1393=phu!$I$49,M1393=phu!$I$50,M1393=phu!$I$51,M1393=phu!$I$52,M1393=phu!$I$53),"Cam Linh",""),IF(OR(M1393=phu!$I$54,M1393=phu!$I$55,M1393=phu!$I$56,M1393=phu!$I$57,M1393=phu!$I$58,M1393=phu!$I$59,M1393=phu!$I$60,M1393=phu!$I$61,M1393=phu!$I$62),"Cam Lợi",""),IF(OR(M1393=phu!$I$63,M1393=phu!$I$64,M1393=phu!$I$65,M1393=phu!$I$66,M1393=phu!$I$67,M1393=phu!$I$68,M1393=phu!$I$69,M1393=phu!$I$70,M1393=phu!$I$71),"Ba Ngòi",""),IF(OR(M1393=phu!$I$72,M1393=phu!$I$73,M1393=phu!$I$74,M1393=phu!$I$75,M1393=phu!$I$76,M1393=phu!$I$77,M1393=phu!$I$78),"Cam Phước Đông",""),IF(OR(M1393=phu!$I$79,M1393=phu!$I$80,M1393=phu!$I$81,M1393=phu!$I$82,M1393=phu!$I$83,M1393=phu!$I$84),"Cam Thịnh Đông",""),IF(OR(M1393=phu!$I$85,M1393=phu!$I$86,M1393=phu!$I$87,M1393=phu!$I$88),"Cam Thịnh Tây",""),IF(OR(M1393=phu!$I$89,M1393=phu!$I$90),"Cam Lập",""),IF(OR(M1393=phu!$I$91,M1393=phu!$I$92,M1393=phu!$I$93),"Cam Bình",""),IF(OR(M1393=phu!$I$94,M1393=phu!$I$95,M1393=phu!$I$96,M1393=phu!$I$97,M1393=phu!$I$98,M1393=phu!$I$99,M1393=phu!$I$100),"Huyện khác",""),IF(OR(M1393=phu!$I$101,M1393=phu!$I$102),"Tỉnh khác",""))</f>
        <v/>
      </c>
      <c r="O1393" s="814" t="str">
        <f t="shared" si="127"/>
        <v/>
      </c>
      <c r="P1393" s="254"/>
      <c r="Q1393" s="254"/>
      <c r="R1393" s="254"/>
      <c r="S1393" s="254"/>
      <c r="T1393" s="254"/>
      <c r="U1393" s="254"/>
      <c r="V1393" s="254"/>
      <c r="W1393" s="254"/>
      <c r="Y1393" s="246" t="str">
        <f t="shared" si="128"/>
        <v/>
      </c>
      <c r="Z1393" s="247" t="str">
        <f t="shared" si="126"/>
        <v/>
      </c>
      <c r="AA1393" s="246" t="str">
        <f t="shared" si="129"/>
        <v/>
      </c>
    </row>
    <row r="1394" spans="1:27" x14ac:dyDescent="0.25">
      <c r="A1394" s="248" t="str">
        <f t="shared" si="130"/>
        <v/>
      </c>
      <c r="B1394" s="249" t="str">
        <f t="shared" si="131"/>
        <v/>
      </c>
      <c r="C1394" s="250"/>
      <c r="D1394" s="251"/>
      <c r="E1394" s="241"/>
      <c r="F1394" s="252"/>
      <c r="G1394" s="252"/>
      <c r="H1394" s="253"/>
      <c r="I1394" s="250"/>
      <c r="J1394" s="250"/>
      <c r="K1394" s="270"/>
      <c r="L1394" s="250"/>
      <c r="M1394" s="250"/>
      <c r="N1394" s="553" t="str">
        <f>CONCATENATE(IF(OR(M1394=phu!$I$1,M1394=phu!$I$2,M1394=phu!$I$3),"Cam Thành Nam",""),IF(OR(M1394=phu!$I$4,M1394=phu!$I$5,M1394=phu!$I$6,M1394=phu!$I$7,M1394=phu!$I$8,M1394=phu!$I$9,M1394=phu!$I$10,M1394=phu!$I$11,M1394=phu!$I$12,M1394=phu!$I$13,M1394=phu!$I$14),"Cam Nghĩa",""),IF(OR(M1394=phu!$I$15,M1394=phu!$I$16,M1394=phu!$I$17,M1394=phu!$I$18,M1394=phu!$I$19,M1394=phu!$I$20,M1394=phu!$I$21),"Cam Phúc Bắc",""),IF(OR(M1394=phu!$I$22,M1394=phu!$I$23,M1394=phu!$I$24,M1394=phu!$I$25),"Cam Phúc Nam",""),IF(OR(M1394=phu!$I$26,M1394=phu!$I$27,M1394=phu!$I$28,M1394=phu!$I$29,M1394=phu!$I$30,M1394=phu!$I$31),"Cam Phú",""),IF(OR(M1394=phu!$I$32,M1394=phu!$I$33,M1394=phu!$I$34,M1394=phu!$I$35,M1394=phu!$I$36,M1394=phu!$I$37),"Cam Lộc",""),IF(OR(M1394=phu!$I$38,M1394=phu!$I$39,M1394=phu!$I$40,M1394=phu!$I$41,M1394=phu!$I$42,M1394=phu!$I$43,M1394=phu!$I$44),"Cam Thuận",""),IF(OR(M1394=phu!$I$45,M1394=phu!$I$46,M1394=phu!$I$47,M1394=phu!$I$48,M1394=phu!$I$49,M1394=phu!$I$50,M1394=phu!$I$51,M1394=phu!$I$52,M1394=phu!$I$53),"Cam Linh",""),IF(OR(M1394=phu!$I$54,M1394=phu!$I$55,M1394=phu!$I$56,M1394=phu!$I$57,M1394=phu!$I$58,M1394=phu!$I$59,M1394=phu!$I$60,M1394=phu!$I$61,M1394=phu!$I$62),"Cam Lợi",""),IF(OR(M1394=phu!$I$63,M1394=phu!$I$64,M1394=phu!$I$65,M1394=phu!$I$66,M1394=phu!$I$67,M1394=phu!$I$68,M1394=phu!$I$69,M1394=phu!$I$70,M1394=phu!$I$71),"Ba Ngòi",""),IF(OR(M1394=phu!$I$72,M1394=phu!$I$73,M1394=phu!$I$74,M1394=phu!$I$75,M1394=phu!$I$76,M1394=phu!$I$77,M1394=phu!$I$78),"Cam Phước Đông",""),IF(OR(M1394=phu!$I$79,M1394=phu!$I$80,M1394=phu!$I$81,M1394=phu!$I$82,M1394=phu!$I$83,M1394=phu!$I$84),"Cam Thịnh Đông",""),IF(OR(M1394=phu!$I$85,M1394=phu!$I$86,M1394=phu!$I$87,M1394=phu!$I$88),"Cam Thịnh Tây",""),IF(OR(M1394=phu!$I$89,M1394=phu!$I$90),"Cam Lập",""),IF(OR(M1394=phu!$I$91,M1394=phu!$I$92,M1394=phu!$I$93),"Cam Bình",""),IF(OR(M1394=phu!$I$94,M1394=phu!$I$95,M1394=phu!$I$96,M1394=phu!$I$97,M1394=phu!$I$98,M1394=phu!$I$99,M1394=phu!$I$100),"Huyện khác",""),IF(OR(M1394=phu!$I$101,M1394=phu!$I$102),"Tỉnh khác",""))</f>
        <v/>
      </c>
      <c r="O1394" s="814" t="str">
        <f t="shared" si="127"/>
        <v/>
      </c>
      <c r="P1394" s="254"/>
      <c r="Q1394" s="254"/>
      <c r="R1394" s="254"/>
      <c r="S1394" s="254"/>
      <c r="T1394" s="254"/>
      <c r="U1394" s="254"/>
      <c r="V1394" s="254"/>
      <c r="W1394" s="254"/>
      <c r="Y1394" s="246" t="str">
        <f t="shared" si="128"/>
        <v/>
      </c>
      <c r="Z1394" s="247" t="str">
        <f t="shared" si="126"/>
        <v/>
      </c>
      <c r="AA1394" s="246" t="str">
        <f t="shared" si="129"/>
        <v/>
      </c>
    </row>
    <row r="1395" spans="1:27" x14ac:dyDescent="0.25">
      <c r="A1395" s="248" t="str">
        <f t="shared" si="130"/>
        <v/>
      </c>
      <c r="B1395" s="249" t="str">
        <f t="shared" si="131"/>
        <v/>
      </c>
      <c r="C1395" s="250"/>
      <c r="D1395" s="251"/>
      <c r="E1395" s="241"/>
      <c r="F1395" s="252"/>
      <c r="G1395" s="252"/>
      <c r="H1395" s="253"/>
      <c r="I1395" s="250"/>
      <c r="J1395" s="250"/>
      <c r="K1395" s="270"/>
      <c r="L1395" s="250"/>
      <c r="M1395" s="250"/>
      <c r="N1395" s="553" t="str">
        <f>CONCATENATE(IF(OR(M1395=phu!$I$1,M1395=phu!$I$2,M1395=phu!$I$3),"Cam Thành Nam",""),IF(OR(M1395=phu!$I$4,M1395=phu!$I$5,M1395=phu!$I$6,M1395=phu!$I$7,M1395=phu!$I$8,M1395=phu!$I$9,M1395=phu!$I$10,M1395=phu!$I$11,M1395=phu!$I$12,M1395=phu!$I$13,M1395=phu!$I$14),"Cam Nghĩa",""),IF(OR(M1395=phu!$I$15,M1395=phu!$I$16,M1395=phu!$I$17,M1395=phu!$I$18,M1395=phu!$I$19,M1395=phu!$I$20,M1395=phu!$I$21),"Cam Phúc Bắc",""),IF(OR(M1395=phu!$I$22,M1395=phu!$I$23,M1395=phu!$I$24,M1395=phu!$I$25),"Cam Phúc Nam",""),IF(OR(M1395=phu!$I$26,M1395=phu!$I$27,M1395=phu!$I$28,M1395=phu!$I$29,M1395=phu!$I$30,M1395=phu!$I$31),"Cam Phú",""),IF(OR(M1395=phu!$I$32,M1395=phu!$I$33,M1395=phu!$I$34,M1395=phu!$I$35,M1395=phu!$I$36,M1395=phu!$I$37),"Cam Lộc",""),IF(OR(M1395=phu!$I$38,M1395=phu!$I$39,M1395=phu!$I$40,M1395=phu!$I$41,M1395=phu!$I$42,M1395=phu!$I$43,M1395=phu!$I$44),"Cam Thuận",""),IF(OR(M1395=phu!$I$45,M1395=phu!$I$46,M1395=phu!$I$47,M1395=phu!$I$48,M1395=phu!$I$49,M1395=phu!$I$50,M1395=phu!$I$51,M1395=phu!$I$52,M1395=phu!$I$53),"Cam Linh",""),IF(OR(M1395=phu!$I$54,M1395=phu!$I$55,M1395=phu!$I$56,M1395=phu!$I$57,M1395=phu!$I$58,M1395=phu!$I$59,M1395=phu!$I$60,M1395=phu!$I$61,M1395=phu!$I$62),"Cam Lợi",""),IF(OR(M1395=phu!$I$63,M1395=phu!$I$64,M1395=phu!$I$65,M1395=phu!$I$66,M1395=phu!$I$67,M1395=phu!$I$68,M1395=phu!$I$69,M1395=phu!$I$70,M1395=phu!$I$71),"Ba Ngòi",""),IF(OR(M1395=phu!$I$72,M1395=phu!$I$73,M1395=phu!$I$74,M1395=phu!$I$75,M1395=phu!$I$76,M1395=phu!$I$77,M1395=phu!$I$78),"Cam Phước Đông",""),IF(OR(M1395=phu!$I$79,M1395=phu!$I$80,M1395=phu!$I$81,M1395=phu!$I$82,M1395=phu!$I$83,M1395=phu!$I$84),"Cam Thịnh Đông",""),IF(OR(M1395=phu!$I$85,M1395=phu!$I$86,M1395=phu!$I$87,M1395=phu!$I$88),"Cam Thịnh Tây",""),IF(OR(M1395=phu!$I$89,M1395=phu!$I$90),"Cam Lập",""),IF(OR(M1395=phu!$I$91,M1395=phu!$I$92,M1395=phu!$I$93),"Cam Bình",""),IF(OR(M1395=phu!$I$94,M1395=phu!$I$95,M1395=phu!$I$96,M1395=phu!$I$97,M1395=phu!$I$98,M1395=phu!$I$99,M1395=phu!$I$100),"Huyện khác",""),IF(OR(M1395=phu!$I$101,M1395=phu!$I$102),"Tỉnh khác",""))</f>
        <v/>
      </c>
      <c r="O1395" s="814" t="str">
        <f t="shared" si="127"/>
        <v/>
      </c>
      <c r="P1395" s="254"/>
      <c r="Q1395" s="254"/>
      <c r="R1395" s="254"/>
      <c r="S1395" s="254"/>
      <c r="T1395" s="254"/>
      <c r="U1395" s="254"/>
      <c r="V1395" s="254"/>
      <c r="W1395" s="254"/>
      <c r="Y1395" s="246" t="str">
        <f t="shared" si="128"/>
        <v/>
      </c>
      <c r="Z1395" s="247" t="str">
        <f t="shared" si="126"/>
        <v/>
      </c>
      <c r="AA1395" s="246" t="str">
        <f t="shared" si="129"/>
        <v/>
      </c>
    </row>
    <row r="1396" spans="1:27" x14ac:dyDescent="0.25">
      <c r="A1396" s="248" t="str">
        <f t="shared" si="130"/>
        <v/>
      </c>
      <c r="B1396" s="249" t="str">
        <f t="shared" si="131"/>
        <v/>
      </c>
      <c r="C1396" s="250"/>
      <c r="D1396" s="251"/>
      <c r="E1396" s="241"/>
      <c r="F1396" s="252"/>
      <c r="G1396" s="252"/>
      <c r="H1396" s="253"/>
      <c r="I1396" s="250"/>
      <c r="J1396" s="250"/>
      <c r="K1396" s="270"/>
      <c r="L1396" s="250"/>
      <c r="M1396" s="250"/>
      <c r="N1396" s="553" t="str">
        <f>CONCATENATE(IF(OR(M1396=phu!$I$1,M1396=phu!$I$2,M1396=phu!$I$3),"Cam Thành Nam",""),IF(OR(M1396=phu!$I$4,M1396=phu!$I$5,M1396=phu!$I$6,M1396=phu!$I$7,M1396=phu!$I$8,M1396=phu!$I$9,M1396=phu!$I$10,M1396=phu!$I$11,M1396=phu!$I$12,M1396=phu!$I$13,M1396=phu!$I$14),"Cam Nghĩa",""),IF(OR(M1396=phu!$I$15,M1396=phu!$I$16,M1396=phu!$I$17,M1396=phu!$I$18,M1396=phu!$I$19,M1396=phu!$I$20,M1396=phu!$I$21),"Cam Phúc Bắc",""),IF(OR(M1396=phu!$I$22,M1396=phu!$I$23,M1396=phu!$I$24,M1396=phu!$I$25),"Cam Phúc Nam",""),IF(OR(M1396=phu!$I$26,M1396=phu!$I$27,M1396=phu!$I$28,M1396=phu!$I$29,M1396=phu!$I$30,M1396=phu!$I$31),"Cam Phú",""),IF(OR(M1396=phu!$I$32,M1396=phu!$I$33,M1396=phu!$I$34,M1396=phu!$I$35,M1396=phu!$I$36,M1396=phu!$I$37),"Cam Lộc",""),IF(OR(M1396=phu!$I$38,M1396=phu!$I$39,M1396=phu!$I$40,M1396=phu!$I$41,M1396=phu!$I$42,M1396=phu!$I$43,M1396=phu!$I$44),"Cam Thuận",""),IF(OR(M1396=phu!$I$45,M1396=phu!$I$46,M1396=phu!$I$47,M1396=phu!$I$48,M1396=phu!$I$49,M1396=phu!$I$50,M1396=phu!$I$51,M1396=phu!$I$52,M1396=phu!$I$53),"Cam Linh",""),IF(OR(M1396=phu!$I$54,M1396=phu!$I$55,M1396=phu!$I$56,M1396=phu!$I$57,M1396=phu!$I$58,M1396=phu!$I$59,M1396=phu!$I$60,M1396=phu!$I$61,M1396=phu!$I$62),"Cam Lợi",""),IF(OR(M1396=phu!$I$63,M1396=phu!$I$64,M1396=phu!$I$65,M1396=phu!$I$66,M1396=phu!$I$67,M1396=phu!$I$68,M1396=phu!$I$69,M1396=phu!$I$70,M1396=phu!$I$71),"Ba Ngòi",""),IF(OR(M1396=phu!$I$72,M1396=phu!$I$73,M1396=phu!$I$74,M1396=phu!$I$75,M1396=phu!$I$76,M1396=phu!$I$77,M1396=phu!$I$78),"Cam Phước Đông",""),IF(OR(M1396=phu!$I$79,M1396=phu!$I$80,M1396=phu!$I$81,M1396=phu!$I$82,M1396=phu!$I$83,M1396=phu!$I$84),"Cam Thịnh Đông",""),IF(OR(M1396=phu!$I$85,M1396=phu!$I$86,M1396=phu!$I$87,M1396=phu!$I$88),"Cam Thịnh Tây",""),IF(OR(M1396=phu!$I$89,M1396=phu!$I$90),"Cam Lập",""),IF(OR(M1396=phu!$I$91,M1396=phu!$I$92,M1396=phu!$I$93),"Cam Bình",""),IF(OR(M1396=phu!$I$94,M1396=phu!$I$95,M1396=phu!$I$96,M1396=phu!$I$97,M1396=phu!$I$98,M1396=phu!$I$99,M1396=phu!$I$100),"Huyện khác",""),IF(OR(M1396=phu!$I$101,M1396=phu!$I$102),"Tỉnh khác",""))</f>
        <v/>
      </c>
      <c r="O1396" s="814" t="str">
        <f t="shared" si="127"/>
        <v/>
      </c>
      <c r="P1396" s="254"/>
      <c r="Q1396" s="254"/>
      <c r="R1396" s="254"/>
      <c r="S1396" s="254"/>
      <c r="T1396" s="254"/>
      <c r="U1396" s="254"/>
      <c r="V1396" s="254"/>
      <c r="W1396" s="254"/>
      <c r="Y1396" s="246" t="str">
        <f t="shared" si="128"/>
        <v/>
      </c>
      <c r="Z1396" s="247" t="str">
        <f t="shared" si="126"/>
        <v/>
      </c>
      <c r="AA1396" s="246" t="str">
        <f t="shared" si="129"/>
        <v/>
      </c>
    </row>
    <row r="1397" spans="1:27" x14ac:dyDescent="0.25">
      <c r="A1397" s="248" t="str">
        <f t="shared" si="130"/>
        <v/>
      </c>
      <c r="B1397" s="249" t="str">
        <f t="shared" si="131"/>
        <v/>
      </c>
      <c r="C1397" s="250"/>
      <c r="D1397" s="251"/>
      <c r="E1397" s="241"/>
      <c r="F1397" s="252"/>
      <c r="G1397" s="252"/>
      <c r="H1397" s="253"/>
      <c r="I1397" s="250"/>
      <c r="J1397" s="250"/>
      <c r="K1397" s="270"/>
      <c r="L1397" s="250"/>
      <c r="M1397" s="250"/>
      <c r="N1397" s="553" t="str">
        <f>CONCATENATE(IF(OR(M1397=phu!$I$1,M1397=phu!$I$2,M1397=phu!$I$3),"Cam Thành Nam",""),IF(OR(M1397=phu!$I$4,M1397=phu!$I$5,M1397=phu!$I$6,M1397=phu!$I$7,M1397=phu!$I$8,M1397=phu!$I$9,M1397=phu!$I$10,M1397=phu!$I$11,M1397=phu!$I$12,M1397=phu!$I$13,M1397=phu!$I$14),"Cam Nghĩa",""),IF(OR(M1397=phu!$I$15,M1397=phu!$I$16,M1397=phu!$I$17,M1397=phu!$I$18,M1397=phu!$I$19,M1397=phu!$I$20,M1397=phu!$I$21),"Cam Phúc Bắc",""),IF(OR(M1397=phu!$I$22,M1397=phu!$I$23,M1397=phu!$I$24,M1397=phu!$I$25),"Cam Phúc Nam",""),IF(OR(M1397=phu!$I$26,M1397=phu!$I$27,M1397=phu!$I$28,M1397=phu!$I$29,M1397=phu!$I$30,M1397=phu!$I$31),"Cam Phú",""),IF(OR(M1397=phu!$I$32,M1397=phu!$I$33,M1397=phu!$I$34,M1397=phu!$I$35,M1397=phu!$I$36,M1397=phu!$I$37),"Cam Lộc",""),IF(OR(M1397=phu!$I$38,M1397=phu!$I$39,M1397=phu!$I$40,M1397=phu!$I$41,M1397=phu!$I$42,M1397=phu!$I$43,M1397=phu!$I$44),"Cam Thuận",""),IF(OR(M1397=phu!$I$45,M1397=phu!$I$46,M1397=phu!$I$47,M1397=phu!$I$48,M1397=phu!$I$49,M1397=phu!$I$50,M1397=phu!$I$51,M1397=phu!$I$52,M1397=phu!$I$53),"Cam Linh",""),IF(OR(M1397=phu!$I$54,M1397=phu!$I$55,M1397=phu!$I$56,M1397=phu!$I$57,M1397=phu!$I$58,M1397=phu!$I$59,M1397=phu!$I$60,M1397=phu!$I$61,M1397=phu!$I$62),"Cam Lợi",""),IF(OR(M1397=phu!$I$63,M1397=phu!$I$64,M1397=phu!$I$65,M1397=phu!$I$66,M1397=phu!$I$67,M1397=phu!$I$68,M1397=phu!$I$69,M1397=phu!$I$70,M1397=phu!$I$71),"Ba Ngòi",""),IF(OR(M1397=phu!$I$72,M1397=phu!$I$73,M1397=phu!$I$74,M1397=phu!$I$75,M1397=phu!$I$76,M1397=phu!$I$77,M1397=phu!$I$78),"Cam Phước Đông",""),IF(OR(M1397=phu!$I$79,M1397=phu!$I$80,M1397=phu!$I$81,M1397=phu!$I$82,M1397=phu!$I$83,M1397=phu!$I$84),"Cam Thịnh Đông",""),IF(OR(M1397=phu!$I$85,M1397=phu!$I$86,M1397=phu!$I$87,M1397=phu!$I$88),"Cam Thịnh Tây",""),IF(OR(M1397=phu!$I$89,M1397=phu!$I$90),"Cam Lập",""),IF(OR(M1397=phu!$I$91,M1397=phu!$I$92,M1397=phu!$I$93),"Cam Bình",""),IF(OR(M1397=phu!$I$94,M1397=phu!$I$95,M1397=phu!$I$96,M1397=phu!$I$97,M1397=phu!$I$98,M1397=phu!$I$99,M1397=phu!$I$100),"Huyện khác",""),IF(OR(M1397=phu!$I$101,M1397=phu!$I$102),"Tỉnh khác",""))</f>
        <v/>
      </c>
      <c r="O1397" s="814" t="str">
        <f t="shared" si="127"/>
        <v/>
      </c>
      <c r="P1397" s="254"/>
      <c r="Q1397" s="254"/>
      <c r="R1397" s="254"/>
      <c r="S1397" s="254"/>
      <c r="T1397" s="254"/>
      <c r="U1397" s="254"/>
      <c r="V1397" s="254"/>
      <c r="W1397" s="254"/>
      <c r="Y1397" s="246" t="str">
        <f t="shared" si="128"/>
        <v/>
      </c>
      <c r="Z1397" s="247" t="str">
        <f t="shared" si="126"/>
        <v/>
      </c>
      <c r="AA1397" s="246" t="str">
        <f t="shared" si="129"/>
        <v/>
      </c>
    </row>
    <row r="1398" spans="1:27" x14ac:dyDescent="0.25">
      <c r="A1398" s="248" t="str">
        <f t="shared" si="130"/>
        <v/>
      </c>
      <c r="B1398" s="249" t="str">
        <f t="shared" si="131"/>
        <v/>
      </c>
      <c r="C1398" s="250"/>
      <c r="D1398" s="251"/>
      <c r="E1398" s="241"/>
      <c r="F1398" s="252"/>
      <c r="G1398" s="252"/>
      <c r="H1398" s="253"/>
      <c r="I1398" s="250"/>
      <c r="J1398" s="250"/>
      <c r="K1398" s="270"/>
      <c r="L1398" s="250"/>
      <c r="M1398" s="250"/>
      <c r="N1398" s="553" t="str">
        <f>CONCATENATE(IF(OR(M1398=phu!$I$1,M1398=phu!$I$2,M1398=phu!$I$3),"Cam Thành Nam",""),IF(OR(M1398=phu!$I$4,M1398=phu!$I$5,M1398=phu!$I$6,M1398=phu!$I$7,M1398=phu!$I$8,M1398=phu!$I$9,M1398=phu!$I$10,M1398=phu!$I$11,M1398=phu!$I$12,M1398=phu!$I$13,M1398=phu!$I$14),"Cam Nghĩa",""),IF(OR(M1398=phu!$I$15,M1398=phu!$I$16,M1398=phu!$I$17,M1398=phu!$I$18,M1398=phu!$I$19,M1398=phu!$I$20,M1398=phu!$I$21),"Cam Phúc Bắc",""),IF(OR(M1398=phu!$I$22,M1398=phu!$I$23,M1398=phu!$I$24,M1398=phu!$I$25),"Cam Phúc Nam",""),IF(OR(M1398=phu!$I$26,M1398=phu!$I$27,M1398=phu!$I$28,M1398=phu!$I$29,M1398=phu!$I$30,M1398=phu!$I$31),"Cam Phú",""),IF(OR(M1398=phu!$I$32,M1398=phu!$I$33,M1398=phu!$I$34,M1398=phu!$I$35,M1398=phu!$I$36,M1398=phu!$I$37),"Cam Lộc",""),IF(OR(M1398=phu!$I$38,M1398=phu!$I$39,M1398=phu!$I$40,M1398=phu!$I$41,M1398=phu!$I$42,M1398=phu!$I$43,M1398=phu!$I$44),"Cam Thuận",""),IF(OR(M1398=phu!$I$45,M1398=phu!$I$46,M1398=phu!$I$47,M1398=phu!$I$48,M1398=phu!$I$49,M1398=phu!$I$50,M1398=phu!$I$51,M1398=phu!$I$52,M1398=phu!$I$53),"Cam Linh",""),IF(OR(M1398=phu!$I$54,M1398=phu!$I$55,M1398=phu!$I$56,M1398=phu!$I$57,M1398=phu!$I$58,M1398=phu!$I$59,M1398=phu!$I$60,M1398=phu!$I$61,M1398=phu!$I$62),"Cam Lợi",""),IF(OR(M1398=phu!$I$63,M1398=phu!$I$64,M1398=phu!$I$65,M1398=phu!$I$66,M1398=phu!$I$67,M1398=phu!$I$68,M1398=phu!$I$69,M1398=phu!$I$70,M1398=phu!$I$71),"Ba Ngòi",""),IF(OR(M1398=phu!$I$72,M1398=phu!$I$73,M1398=phu!$I$74,M1398=phu!$I$75,M1398=phu!$I$76,M1398=phu!$I$77,M1398=phu!$I$78),"Cam Phước Đông",""),IF(OR(M1398=phu!$I$79,M1398=phu!$I$80,M1398=phu!$I$81,M1398=phu!$I$82,M1398=phu!$I$83,M1398=phu!$I$84),"Cam Thịnh Đông",""),IF(OR(M1398=phu!$I$85,M1398=phu!$I$86,M1398=phu!$I$87,M1398=phu!$I$88),"Cam Thịnh Tây",""),IF(OR(M1398=phu!$I$89,M1398=phu!$I$90),"Cam Lập",""),IF(OR(M1398=phu!$I$91,M1398=phu!$I$92,M1398=phu!$I$93),"Cam Bình",""),IF(OR(M1398=phu!$I$94,M1398=phu!$I$95,M1398=phu!$I$96,M1398=phu!$I$97,M1398=phu!$I$98,M1398=phu!$I$99,M1398=phu!$I$100),"Huyện khác",""),IF(OR(M1398=phu!$I$101,M1398=phu!$I$102),"Tỉnh khác",""))</f>
        <v/>
      </c>
      <c r="O1398" s="814" t="str">
        <f t="shared" si="127"/>
        <v/>
      </c>
      <c r="P1398" s="254"/>
      <c r="Q1398" s="254"/>
      <c r="R1398" s="254"/>
      <c r="S1398" s="254"/>
      <c r="T1398" s="254"/>
      <c r="U1398" s="254"/>
      <c r="V1398" s="254"/>
      <c r="W1398" s="254"/>
      <c r="Y1398" s="246" t="str">
        <f t="shared" si="128"/>
        <v/>
      </c>
      <c r="Z1398" s="247" t="str">
        <f t="shared" si="126"/>
        <v/>
      </c>
      <c r="AA1398" s="246" t="str">
        <f t="shared" si="129"/>
        <v/>
      </c>
    </row>
    <row r="1399" spans="1:27" x14ac:dyDescent="0.25">
      <c r="A1399" s="248" t="str">
        <f t="shared" si="130"/>
        <v/>
      </c>
      <c r="B1399" s="249" t="str">
        <f t="shared" si="131"/>
        <v/>
      </c>
      <c r="C1399" s="250"/>
      <c r="D1399" s="251"/>
      <c r="E1399" s="241"/>
      <c r="F1399" s="252"/>
      <c r="G1399" s="252"/>
      <c r="H1399" s="253"/>
      <c r="I1399" s="250"/>
      <c r="J1399" s="250"/>
      <c r="K1399" s="270"/>
      <c r="L1399" s="250"/>
      <c r="M1399" s="250"/>
      <c r="N1399" s="553" t="str">
        <f>CONCATENATE(IF(OR(M1399=phu!$I$1,M1399=phu!$I$2,M1399=phu!$I$3),"Cam Thành Nam",""),IF(OR(M1399=phu!$I$4,M1399=phu!$I$5,M1399=phu!$I$6,M1399=phu!$I$7,M1399=phu!$I$8,M1399=phu!$I$9,M1399=phu!$I$10,M1399=phu!$I$11,M1399=phu!$I$12,M1399=phu!$I$13,M1399=phu!$I$14),"Cam Nghĩa",""),IF(OR(M1399=phu!$I$15,M1399=phu!$I$16,M1399=phu!$I$17,M1399=phu!$I$18,M1399=phu!$I$19,M1399=phu!$I$20,M1399=phu!$I$21),"Cam Phúc Bắc",""),IF(OR(M1399=phu!$I$22,M1399=phu!$I$23,M1399=phu!$I$24,M1399=phu!$I$25),"Cam Phúc Nam",""),IF(OR(M1399=phu!$I$26,M1399=phu!$I$27,M1399=phu!$I$28,M1399=phu!$I$29,M1399=phu!$I$30,M1399=phu!$I$31),"Cam Phú",""),IF(OR(M1399=phu!$I$32,M1399=phu!$I$33,M1399=phu!$I$34,M1399=phu!$I$35,M1399=phu!$I$36,M1399=phu!$I$37),"Cam Lộc",""),IF(OR(M1399=phu!$I$38,M1399=phu!$I$39,M1399=phu!$I$40,M1399=phu!$I$41,M1399=phu!$I$42,M1399=phu!$I$43,M1399=phu!$I$44),"Cam Thuận",""),IF(OR(M1399=phu!$I$45,M1399=phu!$I$46,M1399=phu!$I$47,M1399=phu!$I$48,M1399=phu!$I$49,M1399=phu!$I$50,M1399=phu!$I$51,M1399=phu!$I$52,M1399=phu!$I$53),"Cam Linh",""),IF(OR(M1399=phu!$I$54,M1399=phu!$I$55,M1399=phu!$I$56,M1399=phu!$I$57,M1399=phu!$I$58,M1399=phu!$I$59,M1399=phu!$I$60,M1399=phu!$I$61,M1399=phu!$I$62),"Cam Lợi",""),IF(OR(M1399=phu!$I$63,M1399=phu!$I$64,M1399=phu!$I$65,M1399=phu!$I$66,M1399=phu!$I$67,M1399=phu!$I$68,M1399=phu!$I$69,M1399=phu!$I$70,M1399=phu!$I$71),"Ba Ngòi",""),IF(OR(M1399=phu!$I$72,M1399=phu!$I$73,M1399=phu!$I$74,M1399=phu!$I$75,M1399=phu!$I$76,M1399=phu!$I$77,M1399=phu!$I$78),"Cam Phước Đông",""),IF(OR(M1399=phu!$I$79,M1399=phu!$I$80,M1399=phu!$I$81,M1399=phu!$I$82,M1399=phu!$I$83,M1399=phu!$I$84),"Cam Thịnh Đông",""),IF(OR(M1399=phu!$I$85,M1399=phu!$I$86,M1399=phu!$I$87,M1399=phu!$I$88),"Cam Thịnh Tây",""),IF(OR(M1399=phu!$I$89,M1399=phu!$I$90),"Cam Lập",""),IF(OR(M1399=phu!$I$91,M1399=phu!$I$92,M1399=phu!$I$93),"Cam Bình",""),IF(OR(M1399=phu!$I$94,M1399=phu!$I$95,M1399=phu!$I$96,M1399=phu!$I$97,M1399=phu!$I$98,M1399=phu!$I$99,M1399=phu!$I$100),"Huyện khác",""),IF(OR(M1399=phu!$I$101,M1399=phu!$I$102),"Tỉnh khác",""))</f>
        <v/>
      </c>
      <c r="O1399" s="814" t="str">
        <f t="shared" si="127"/>
        <v/>
      </c>
      <c r="P1399" s="254"/>
      <c r="Q1399" s="254"/>
      <c r="R1399" s="254"/>
      <c r="S1399" s="254"/>
      <c r="T1399" s="254"/>
      <c r="U1399" s="254"/>
      <c r="V1399" s="254"/>
      <c r="W1399" s="254"/>
      <c r="Y1399" s="246" t="str">
        <f t="shared" si="128"/>
        <v/>
      </c>
      <c r="Z1399" s="247" t="str">
        <f t="shared" si="126"/>
        <v/>
      </c>
      <c r="AA1399" s="246" t="str">
        <f t="shared" si="129"/>
        <v/>
      </c>
    </row>
    <row r="1400" spans="1:27" x14ac:dyDescent="0.25">
      <c r="A1400" s="248" t="str">
        <f t="shared" si="130"/>
        <v/>
      </c>
      <c r="B1400" s="249" t="str">
        <f t="shared" si="131"/>
        <v/>
      </c>
      <c r="C1400" s="250"/>
      <c r="D1400" s="251"/>
      <c r="E1400" s="241"/>
      <c r="F1400" s="252"/>
      <c r="G1400" s="252"/>
      <c r="H1400" s="253"/>
      <c r="I1400" s="250"/>
      <c r="J1400" s="250"/>
      <c r="K1400" s="270"/>
      <c r="L1400" s="250"/>
      <c r="M1400" s="250"/>
      <c r="N1400" s="553" t="str">
        <f>CONCATENATE(IF(OR(M1400=phu!$I$1,M1400=phu!$I$2,M1400=phu!$I$3),"Cam Thành Nam",""),IF(OR(M1400=phu!$I$4,M1400=phu!$I$5,M1400=phu!$I$6,M1400=phu!$I$7,M1400=phu!$I$8,M1400=phu!$I$9,M1400=phu!$I$10,M1400=phu!$I$11,M1400=phu!$I$12,M1400=phu!$I$13,M1400=phu!$I$14),"Cam Nghĩa",""),IF(OR(M1400=phu!$I$15,M1400=phu!$I$16,M1400=phu!$I$17,M1400=phu!$I$18,M1400=phu!$I$19,M1400=phu!$I$20,M1400=phu!$I$21),"Cam Phúc Bắc",""),IF(OR(M1400=phu!$I$22,M1400=phu!$I$23,M1400=phu!$I$24,M1400=phu!$I$25),"Cam Phúc Nam",""),IF(OR(M1400=phu!$I$26,M1400=phu!$I$27,M1400=phu!$I$28,M1400=phu!$I$29,M1400=phu!$I$30,M1400=phu!$I$31),"Cam Phú",""),IF(OR(M1400=phu!$I$32,M1400=phu!$I$33,M1400=phu!$I$34,M1400=phu!$I$35,M1400=phu!$I$36,M1400=phu!$I$37),"Cam Lộc",""),IF(OR(M1400=phu!$I$38,M1400=phu!$I$39,M1400=phu!$I$40,M1400=phu!$I$41,M1400=phu!$I$42,M1400=phu!$I$43,M1400=phu!$I$44),"Cam Thuận",""),IF(OR(M1400=phu!$I$45,M1400=phu!$I$46,M1400=phu!$I$47,M1400=phu!$I$48,M1400=phu!$I$49,M1400=phu!$I$50,M1400=phu!$I$51,M1400=phu!$I$52,M1400=phu!$I$53),"Cam Linh",""),IF(OR(M1400=phu!$I$54,M1400=phu!$I$55,M1400=phu!$I$56,M1400=phu!$I$57,M1400=phu!$I$58,M1400=phu!$I$59,M1400=phu!$I$60,M1400=phu!$I$61,M1400=phu!$I$62),"Cam Lợi",""),IF(OR(M1400=phu!$I$63,M1400=phu!$I$64,M1400=phu!$I$65,M1400=phu!$I$66,M1400=phu!$I$67,M1400=phu!$I$68,M1400=phu!$I$69,M1400=phu!$I$70,M1400=phu!$I$71),"Ba Ngòi",""),IF(OR(M1400=phu!$I$72,M1400=phu!$I$73,M1400=phu!$I$74,M1400=phu!$I$75,M1400=phu!$I$76,M1400=phu!$I$77,M1400=phu!$I$78),"Cam Phước Đông",""),IF(OR(M1400=phu!$I$79,M1400=phu!$I$80,M1400=phu!$I$81,M1400=phu!$I$82,M1400=phu!$I$83,M1400=phu!$I$84),"Cam Thịnh Đông",""),IF(OR(M1400=phu!$I$85,M1400=phu!$I$86,M1400=phu!$I$87,M1400=phu!$I$88),"Cam Thịnh Tây",""),IF(OR(M1400=phu!$I$89,M1400=phu!$I$90),"Cam Lập",""),IF(OR(M1400=phu!$I$91,M1400=phu!$I$92,M1400=phu!$I$93),"Cam Bình",""),IF(OR(M1400=phu!$I$94,M1400=phu!$I$95,M1400=phu!$I$96,M1400=phu!$I$97,M1400=phu!$I$98,M1400=phu!$I$99,M1400=phu!$I$100),"Huyện khác",""),IF(OR(M1400=phu!$I$101,M1400=phu!$I$102),"Tỉnh khác",""))</f>
        <v/>
      </c>
      <c r="O1400" s="814" t="str">
        <f t="shared" si="127"/>
        <v/>
      </c>
      <c r="P1400" s="254"/>
      <c r="Q1400" s="254"/>
      <c r="R1400" s="254"/>
      <c r="S1400" s="254"/>
      <c r="T1400" s="254"/>
      <c r="U1400" s="254"/>
      <c r="V1400" s="254"/>
      <c r="W1400" s="254"/>
      <c r="Y1400" s="246" t="str">
        <f t="shared" si="128"/>
        <v/>
      </c>
      <c r="Z1400" s="247" t="str">
        <f t="shared" si="126"/>
        <v/>
      </c>
      <c r="AA1400" s="246" t="str">
        <f t="shared" si="129"/>
        <v/>
      </c>
    </row>
    <row r="1401" spans="1:27" x14ac:dyDescent="0.25">
      <c r="A1401" s="248" t="str">
        <f t="shared" si="130"/>
        <v/>
      </c>
      <c r="B1401" s="249" t="str">
        <f t="shared" si="131"/>
        <v/>
      </c>
      <c r="C1401" s="250"/>
      <c r="D1401" s="251"/>
      <c r="E1401" s="241"/>
      <c r="F1401" s="252"/>
      <c r="G1401" s="252"/>
      <c r="H1401" s="253"/>
      <c r="I1401" s="250"/>
      <c r="J1401" s="250"/>
      <c r="K1401" s="270"/>
      <c r="L1401" s="250"/>
      <c r="M1401" s="250"/>
      <c r="N1401" s="553" t="str">
        <f>CONCATENATE(IF(OR(M1401=phu!$I$1,M1401=phu!$I$2,M1401=phu!$I$3),"Cam Thành Nam",""),IF(OR(M1401=phu!$I$4,M1401=phu!$I$5,M1401=phu!$I$6,M1401=phu!$I$7,M1401=phu!$I$8,M1401=phu!$I$9,M1401=phu!$I$10,M1401=phu!$I$11,M1401=phu!$I$12,M1401=phu!$I$13,M1401=phu!$I$14),"Cam Nghĩa",""),IF(OR(M1401=phu!$I$15,M1401=phu!$I$16,M1401=phu!$I$17,M1401=phu!$I$18,M1401=phu!$I$19,M1401=phu!$I$20,M1401=phu!$I$21),"Cam Phúc Bắc",""),IF(OR(M1401=phu!$I$22,M1401=phu!$I$23,M1401=phu!$I$24,M1401=phu!$I$25),"Cam Phúc Nam",""),IF(OR(M1401=phu!$I$26,M1401=phu!$I$27,M1401=phu!$I$28,M1401=phu!$I$29,M1401=phu!$I$30,M1401=phu!$I$31),"Cam Phú",""),IF(OR(M1401=phu!$I$32,M1401=phu!$I$33,M1401=phu!$I$34,M1401=phu!$I$35,M1401=phu!$I$36,M1401=phu!$I$37),"Cam Lộc",""),IF(OR(M1401=phu!$I$38,M1401=phu!$I$39,M1401=phu!$I$40,M1401=phu!$I$41,M1401=phu!$I$42,M1401=phu!$I$43,M1401=phu!$I$44),"Cam Thuận",""),IF(OR(M1401=phu!$I$45,M1401=phu!$I$46,M1401=phu!$I$47,M1401=phu!$I$48,M1401=phu!$I$49,M1401=phu!$I$50,M1401=phu!$I$51,M1401=phu!$I$52,M1401=phu!$I$53),"Cam Linh",""),IF(OR(M1401=phu!$I$54,M1401=phu!$I$55,M1401=phu!$I$56,M1401=phu!$I$57,M1401=phu!$I$58,M1401=phu!$I$59,M1401=phu!$I$60,M1401=phu!$I$61,M1401=phu!$I$62),"Cam Lợi",""),IF(OR(M1401=phu!$I$63,M1401=phu!$I$64,M1401=phu!$I$65,M1401=phu!$I$66,M1401=phu!$I$67,M1401=phu!$I$68,M1401=phu!$I$69,M1401=phu!$I$70,M1401=phu!$I$71),"Ba Ngòi",""),IF(OR(M1401=phu!$I$72,M1401=phu!$I$73,M1401=phu!$I$74,M1401=phu!$I$75,M1401=phu!$I$76,M1401=phu!$I$77,M1401=phu!$I$78),"Cam Phước Đông",""),IF(OR(M1401=phu!$I$79,M1401=phu!$I$80,M1401=phu!$I$81,M1401=phu!$I$82,M1401=phu!$I$83,M1401=phu!$I$84),"Cam Thịnh Đông",""),IF(OR(M1401=phu!$I$85,M1401=phu!$I$86,M1401=phu!$I$87,M1401=phu!$I$88),"Cam Thịnh Tây",""),IF(OR(M1401=phu!$I$89,M1401=phu!$I$90),"Cam Lập",""),IF(OR(M1401=phu!$I$91,M1401=phu!$I$92,M1401=phu!$I$93),"Cam Bình",""),IF(OR(M1401=phu!$I$94,M1401=phu!$I$95,M1401=phu!$I$96,M1401=phu!$I$97,M1401=phu!$I$98,M1401=phu!$I$99,M1401=phu!$I$100),"Huyện khác",""),IF(OR(M1401=phu!$I$101,M1401=phu!$I$102),"Tỉnh khác",""))</f>
        <v/>
      </c>
      <c r="O1401" s="814" t="str">
        <f t="shared" si="127"/>
        <v/>
      </c>
      <c r="P1401" s="254"/>
      <c r="Q1401" s="254"/>
      <c r="R1401" s="254"/>
      <c r="S1401" s="254"/>
      <c r="T1401" s="254"/>
      <c r="U1401" s="254"/>
      <c r="V1401" s="254"/>
      <c r="W1401" s="254"/>
      <c r="Y1401" s="246" t="str">
        <f t="shared" si="128"/>
        <v/>
      </c>
      <c r="Z1401" s="247" t="str">
        <f t="shared" si="126"/>
        <v/>
      </c>
      <c r="AA1401" s="246" t="str">
        <f t="shared" si="129"/>
        <v/>
      </c>
    </row>
    <row r="1402" spans="1:27" x14ac:dyDescent="0.25">
      <c r="A1402" s="248" t="str">
        <f t="shared" si="130"/>
        <v/>
      </c>
      <c r="B1402" s="249" t="str">
        <f t="shared" si="131"/>
        <v/>
      </c>
      <c r="C1402" s="250"/>
      <c r="D1402" s="251"/>
      <c r="E1402" s="241"/>
      <c r="F1402" s="252"/>
      <c r="G1402" s="252"/>
      <c r="H1402" s="253"/>
      <c r="I1402" s="250"/>
      <c r="J1402" s="250"/>
      <c r="K1402" s="270"/>
      <c r="L1402" s="250"/>
      <c r="M1402" s="250"/>
      <c r="N1402" s="553" t="str">
        <f>CONCATENATE(IF(OR(M1402=phu!$I$1,M1402=phu!$I$2,M1402=phu!$I$3),"Cam Thành Nam",""),IF(OR(M1402=phu!$I$4,M1402=phu!$I$5,M1402=phu!$I$6,M1402=phu!$I$7,M1402=phu!$I$8,M1402=phu!$I$9,M1402=phu!$I$10,M1402=phu!$I$11,M1402=phu!$I$12,M1402=phu!$I$13,M1402=phu!$I$14),"Cam Nghĩa",""),IF(OR(M1402=phu!$I$15,M1402=phu!$I$16,M1402=phu!$I$17,M1402=phu!$I$18,M1402=phu!$I$19,M1402=phu!$I$20,M1402=phu!$I$21),"Cam Phúc Bắc",""),IF(OR(M1402=phu!$I$22,M1402=phu!$I$23,M1402=phu!$I$24,M1402=phu!$I$25),"Cam Phúc Nam",""),IF(OR(M1402=phu!$I$26,M1402=phu!$I$27,M1402=phu!$I$28,M1402=phu!$I$29,M1402=phu!$I$30,M1402=phu!$I$31),"Cam Phú",""),IF(OR(M1402=phu!$I$32,M1402=phu!$I$33,M1402=phu!$I$34,M1402=phu!$I$35,M1402=phu!$I$36,M1402=phu!$I$37),"Cam Lộc",""),IF(OR(M1402=phu!$I$38,M1402=phu!$I$39,M1402=phu!$I$40,M1402=phu!$I$41,M1402=phu!$I$42,M1402=phu!$I$43,M1402=phu!$I$44),"Cam Thuận",""),IF(OR(M1402=phu!$I$45,M1402=phu!$I$46,M1402=phu!$I$47,M1402=phu!$I$48,M1402=phu!$I$49,M1402=phu!$I$50,M1402=phu!$I$51,M1402=phu!$I$52,M1402=phu!$I$53),"Cam Linh",""),IF(OR(M1402=phu!$I$54,M1402=phu!$I$55,M1402=phu!$I$56,M1402=phu!$I$57,M1402=phu!$I$58,M1402=phu!$I$59,M1402=phu!$I$60,M1402=phu!$I$61,M1402=phu!$I$62),"Cam Lợi",""),IF(OR(M1402=phu!$I$63,M1402=phu!$I$64,M1402=phu!$I$65,M1402=phu!$I$66,M1402=phu!$I$67,M1402=phu!$I$68,M1402=phu!$I$69,M1402=phu!$I$70,M1402=phu!$I$71),"Ba Ngòi",""),IF(OR(M1402=phu!$I$72,M1402=phu!$I$73,M1402=phu!$I$74,M1402=phu!$I$75,M1402=phu!$I$76,M1402=phu!$I$77,M1402=phu!$I$78),"Cam Phước Đông",""),IF(OR(M1402=phu!$I$79,M1402=phu!$I$80,M1402=phu!$I$81,M1402=phu!$I$82,M1402=phu!$I$83,M1402=phu!$I$84),"Cam Thịnh Đông",""),IF(OR(M1402=phu!$I$85,M1402=phu!$I$86,M1402=phu!$I$87,M1402=phu!$I$88),"Cam Thịnh Tây",""),IF(OR(M1402=phu!$I$89,M1402=phu!$I$90),"Cam Lập",""),IF(OR(M1402=phu!$I$91,M1402=phu!$I$92,M1402=phu!$I$93),"Cam Bình",""),IF(OR(M1402=phu!$I$94,M1402=phu!$I$95,M1402=phu!$I$96,M1402=phu!$I$97,M1402=phu!$I$98,M1402=phu!$I$99,M1402=phu!$I$100),"Huyện khác",""),IF(OR(M1402=phu!$I$101,M1402=phu!$I$102),"Tỉnh khác",""))</f>
        <v/>
      </c>
      <c r="O1402" s="814" t="str">
        <f t="shared" si="127"/>
        <v/>
      </c>
      <c r="P1402" s="254"/>
      <c r="Q1402" s="254"/>
      <c r="R1402" s="254"/>
      <c r="S1402" s="254"/>
      <c r="T1402" s="254"/>
      <c r="U1402" s="254"/>
      <c r="V1402" s="254"/>
      <c r="W1402" s="254"/>
      <c r="Y1402" s="246" t="str">
        <f t="shared" si="128"/>
        <v/>
      </c>
      <c r="Z1402" s="247" t="str">
        <f t="shared" si="126"/>
        <v/>
      </c>
      <c r="AA1402" s="246" t="str">
        <f t="shared" si="129"/>
        <v/>
      </c>
    </row>
    <row r="1403" spans="1:27" x14ac:dyDescent="0.25">
      <c r="A1403" s="248" t="str">
        <f t="shared" si="130"/>
        <v/>
      </c>
      <c r="B1403" s="249" t="str">
        <f t="shared" si="131"/>
        <v/>
      </c>
      <c r="C1403" s="250"/>
      <c r="D1403" s="251"/>
      <c r="E1403" s="241"/>
      <c r="F1403" s="252"/>
      <c r="G1403" s="252"/>
      <c r="H1403" s="253"/>
      <c r="I1403" s="250"/>
      <c r="J1403" s="250"/>
      <c r="K1403" s="270"/>
      <c r="L1403" s="250"/>
      <c r="M1403" s="250"/>
      <c r="N1403" s="553" t="str">
        <f>CONCATENATE(IF(OR(M1403=phu!$I$1,M1403=phu!$I$2,M1403=phu!$I$3),"Cam Thành Nam",""),IF(OR(M1403=phu!$I$4,M1403=phu!$I$5,M1403=phu!$I$6,M1403=phu!$I$7,M1403=phu!$I$8,M1403=phu!$I$9,M1403=phu!$I$10,M1403=phu!$I$11,M1403=phu!$I$12,M1403=phu!$I$13,M1403=phu!$I$14),"Cam Nghĩa",""),IF(OR(M1403=phu!$I$15,M1403=phu!$I$16,M1403=phu!$I$17,M1403=phu!$I$18,M1403=phu!$I$19,M1403=phu!$I$20,M1403=phu!$I$21),"Cam Phúc Bắc",""),IF(OR(M1403=phu!$I$22,M1403=phu!$I$23,M1403=phu!$I$24,M1403=phu!$I$25),"Cam Phúc Nam",""),IF(OR(M1403=phu!$I$26,M1403=phu!$I$27,M1403=phu!$I$28,M1403=phu!$I$29,M1403=phu!$I$30,M1403=phu!$I$31),"Cam Phú",""),IF(OR(M1403=phu!$I$32,M1403=phu!$I$33,M1403=phu!$I$34,M1403=phu!$I$35,M1403=phu!$I$36,M1403=phu!$I$37),"Cam Lộc",""),IF(OR(M1403=phu!$I$38,M1403=phu!$I$39,M1403=phu!$I$40,M1403=phu!$I$41,M1403=phu!$I$42,M1403=phu!$I$43,M1403=phu!$I$44),"Cam Thuận",""),IF(OR(M1403=phu!$I$45,M1403=phu!$I$46,M1403=phu!$I$47,M1403=phu!$I$48,M1403=phu!$I$49,M1403=phu!$I$50,M1403=phu!$I$51,M1403=phu!$I$52,M1403=phu!$I$53),"Cam Linh",""),IF(OR(M1403=phu!$I$54,M1403=phu!$I$55,M1403=phu!$I$56,M1403=phu!$I$57,M1403=phu!$I$58,M1403=phu!$I$59,M1403=phu!$I$60,M1403=phu!$I$61,M1403=phu!$I$62),"Cam Lợi",""),IF(OR(M1403=phu!$I$63,M1403=phu!$I$64,M1403=phu!$I$65,M1403=phu!$I$66,M1403=phu!$I$67,M1403=phu!$I$68,M1403=phu!$I$69,M1403=phu!$I$70,M1403=phu!$I$71),"Ba Ngòi",""),IF(OR(M1403=phu!$I$72,M1403=phu!$I$73,M1403=phu!$I$74,M1403=phu!$I$75,M1403=phu!$I$76,M1403=phu!$I$77,M1403=phu!$I$78),"Cam Phước Đông",""),IF(OR(M1403=phu!$I$79,M1403=phu!$I$80,M1403=phu!$I$81,M1403=phu!$I$82,M1403=phu!$I$83,M1403=phu!$I$84),"Cam Thịnh Đông",""),IF(OR(M1403=phu!$I$85,M1403=phu!$I$86,M1403=phu!$I$87,M1403=phu!$I$88),"Cam Thịnh Tây",""),IF(OR(M1403=phu!$I$89,M1403=phu!$I$90),"Cam Lập",""),IF(OR(M1403=phu!$I$91,M1403=phu!$I$92,M1403=phu!$I$93),"Cam Bình",""),IF(OR(M1403=phu!$I$94,M1403=phu!$I$95,M1403=phu!$I$96,M1403=phu!$I$97,M1403=phu!$I$98,M1403=phu!$I$99,M1403=phu!$I$100),"Huyện khác",""),IF(OR(M1403=phu!$I$101,M1403=phu!$I$102),"Tỉnh khác",""))</f>
        <v/>
      </c>
      <c r="O1403" s="814" t="str">
        <f t="shared" si="127"/>
        <v/>
      </c>
      <c r="P1403" s="254"/>
      <c r="Q1403" s="254"/>
      <c r="R1403" s="254"/>
      <c r="S1403" s="254"/>
      <c r="T1403" s="254"/>
      <c r="U1403" s="254"/>
      <c r="V1403" s="254"/>
      <c r="W1403" s="254"/>
      <c r="Y1403" s="246" t="str">
        <f t="shared" si="128"/>
        <v/>
      </c>
      <c r="Z1403" s="247" t="str">
        <f t="shared" si="126"/>
        <v/>
      </c>
      <c r="AA1403" s="246" t="str">
        <f t="shared" si="129"/>
        <v/>
      </c>
    </row>
    <row r="1404" spans="1:27" x14ac:dyDescent="0.25">
      <c r="A1404" s="248" t="str">
        <f t="shared" si="130"/>
        <v/>
      </c>
      <c r="B1404" s="249" t="str">
        <f t="shared" si="131"/>
        <v/>
      </c>
      <c r="C1404" s="250"/>
      <c r="D1404" s="251"/>
      <c r="E1404" s="241"/>
      <c r="F1404" s="252"/>
      <c r="G1404" s="252"/>
      <c r="H1404" s="253"/>
      <c r="I1404" s="250"/>
      <c r="J1404" s="250"/>
      <c r="K1404" s="270"/>
      <c r="L1404" s="250"/>
      <c r="M1404" s="250"/>
      <c r="N1404" s="553" t="str">
        <f>CONCATENATE(IF(OR(M1404=phu!$I$1,M1404=phu!$I$2,M1404=phu!$I$3),"Cam Thành Nam",""),IF(OR(M1404=phu!$I$4,M1404=phu!$I$5,M1404=phu!$I$6,M1404=phu!$I$7,M1404=phu!$I$8,M1404=phu!$I$9,M1404=phu!$I$10,M1404=phu!$I$11,M1404=phu!$I$12,M1404=phu!$I$13,M1404=phu!$I$14),"Cam Nghĩa",""),IF(OR(M1404=phu!$I$15,M1404=phu!$I$16,M1404=phu!$I$17,M1404=phu!$I$18,M1404=phu!$I$19,M1404=phu!$I$20,M1404=phu!$I$21),"Cam Phúc Bắc",""),IF(OR(M1404=phu!$I$22,M1404=phu!$I$23,M1404=phu!$I$24,M1404=phu!$I$25),"Cam Phúc Nam",""),IF(OR(M1404=phu!$I$26,M1404=phu!$I$27,M1404=phu!$I$28,M1404=phu!$I$29,M1404=phu!$I$30,M1404=phu!$I$31),"Cam Phú",""),IF(OR(M1404=phu!$I$32,M1404=phu!$I$33,M1404=phu!$I$34,M1404=phu!$I$35,M1404=phu!$I$36,M1404=phu!$I$37),"Cam Lộc",""),IF(OR(M1404=phu!$I$38,M1404=phu!$I$39,M1404=phu!$I$40,M1404=phu!$I$41,M1404=phu!$I$42,M1404=phu!$I$43,M1404=phu!$I$44),"Cam Thuận",""),IF(OR(M1404=phu!$I$45,M1404=phu!$I$46,M1404=phu!$I$47,M1404=phu!$I$48,M1404=phu!$I$49,M1404=phu!$I$50,M1404=phu!$I$51,M1404=phu!$I$52,M1404=phu!$I$53),"Cam Linh",""),IF(OR(M1404=phu!$I$54,M1404=phu!$I$55,M1404=phu!$I$56,M1404=phu!$I$57,M1404=phu!$I$58,M1404=phu!$I$59,M1404=phu!$I$60,M1404=phu!$I$61,M1404=phu!$I$62),"Cam Lợi",""),IF(OR(M1404=phu!$I$63,M1404=phu!$I$64,M1404=phu!$I$65,M1404=phu!$I$66,M1404=phu!$I$67,M1404=phu!$I$68,M1404=phu!$I$69,M1404=phu!$I$70,M1404=phu!$I$71),"Ba Ngòi",""),IF(OR(M1404=phu!$I$72,M1404=phu!$I$73,M1404=phu!$I$74,M1404=phu!$I$75,M1404=phu!$I$76,M1404=phu!$I$77,M1404=phu!$I$78),"Cam Phước Đông",""),IF(OR(M1404=phu!$I$79,M1404=phu!$I$80,M1404=phu!$I$81,M1404=phu!$I$82,M1404=phu!$I$83,M1404=phu!$I$84),"Cam Thịnh Đông",""),IF(OR(M1404=phu!$I$85,M1404=phu!$I$86,M1404=phu!$I$87,M1404=phu!$I$88),"Cam Thịnh Tây",""),IF(OR(M1404=phu!$I$89,M1404=phu!$I$90),"Cam Lập",""),IF(OR(M1404=phu!$I$91,M1404=phu!$I$92,M1404=phu!$I$93),"Cam Bình",""),IF(OR(M1404=phu!$I$94,M1404=phu!$I$95,M1404=phu!$I$96,M1404=phu!$I$97,M1404=phu!$I$98,M1404=phu!$I$99,M1404=phu!$I$100),"Huyện khác",""),IF(OR(M1404=phu!$I$101,M1404=phu!$I$102),"Tỉnh khác",""))</f>
        <v/>
      </c>
      <c r="O1404" s="814" t="str">
        <f t="shared" si="127"/>
        <v/>
      </c>
      <c r="P1404" s="254"/>
      <c r="Q1404" s="254"/>
      <c r="R1404" s="254"/>
      <c r="S1404" s="254"/>
      <c r="T1404" s="254"/>
      <c r="U1404" s="254"/>
      <c r="V1404" s="254"/>
      <c r="W1404" s="254"/>
      <c r="Y1404" s="246" t="str">
        <f t="shared" si="128"/>
        <v/>
      </c>
      <c r="Z1404" s="247" t="str">
        <f t="shared" si="126"/>
        <v/>
      </c>
      <c r="AA1404" s="246" t="str">
        <f t="shared" si="129"/>
        <v/>
      </c>
    </row>
    <row r="1405" spans="1:27" x14ac:dyDescent="0.25">
      <c r="A1405" s="248" t="str">
        <f t="shared" si="130"/>
        <v/>
      </c>
      <c r="B1405" s="249" t="str">
        <f t="shared" si="131"/>
        <v/>
      </c>
      <c r="C1405" s="250"/>
      <c r="D1405" s="251"/>
      <c r="E1405" s="241"/>
      <c r="F1405" s="252"/>
      <c r="G1405" s="252"/>
      <c r="H1405" s="253"/>
      <c r="I1405" s="250"/>
      <c r="J1405" s="250"/>
      <c r="K1405" s="270"/>
      <c r="L1405" s="250"/>
      <c r="M1405" s="250"/>
      <c r="N1405" s="553" t="str">
        <f>CONCATENATE(IF(OR(M1405=phu!$I$1,M1405=phu!$I$2,M1405=phu!$I$3),"Cam Thành Nam",""),IF(OR(M1405=phu!$I$4,M1405=phu!$I$5,M1405=phu!$I$6,M1405=phu!$I$7,M1405=phu!$I$8,M1405=phu!$I$9,M1405=phu!$I$10,M1405=phu!$I$11,M1405=phu!$I$12,M1405=phu!$I$13,M1405=phu!$I$14),"Cam Nghĩa",""),IF(OR(M1405=phu!$I$15,M1405=phu!$I$16,M1405=phu!$I$17,M1405=phu!$I$18,M1405=phu!$I$19,M1405=phu!$I$20,M1405=phu!$I$21),"Cam Phúc Bắc",""),IF(OR(M1405=phu!$I$22,M1405=phu!$I$23,M1405=phu!$I$24,M1405=phu!$I$25),"Cam Phúc Nam",""),IF(OR(M1405=phu!$I$26,M1405=phu!$I$27,M1405=phu!$I$28,M1405=phu!$I$29,M1405=phu!$I$30,M1405=phu!$I$31),"Cam Phú",""),IF(OR(M1405=phu!$I$32,M1405=phu!$I$33,M1405=phu!$I$34,M1405=phu!$I$35,M1405=phu!$I$36,M1405=phu!$I$37),"Cam Lộc",""),IF(OR(M1405=phu!$I$38,M1405=phu!$I$39,M1405=phu!$I$40,M1405=phu!$I$41,M1405=phu!$I$42,M1405=phu!$I$43,M1405=phu!$I$44),"Cam Thuận",""),IF(OR(M1405=phu!$I$45,M1405=phu!$I$46,M1405=phu!$I$47,M1405=phu!$I$48,M1405=phu!$I$49,M1405=phu!$I$50,M1405=phu!$I$51,M1405=phu!$I$52,M1405=phu!$I$53),"Cam Linh",""),IF(OR(M1405=phu!$I$54,M1405=phu!$I$55,M1405=phu!$I$56,M1405=phu!$I$57,M1405=phu!$I$58,M1405=phu!$I$59,M1405=phu!$I$60,M1405=phu!$I$61,M1405=phu!$I$62),"Cam Lợi",""),IF(OR(M1405=phu!$I$63,M1405=phu!$I$64,M1405=phu!$I$65,M1405=phu!$I$66,M1405=phu!$I$67,M1405=phu!$I$68,M1405=phu!$I$69,M1405=phu!$I$70,M1405=phu!$I$71),"Ba Ngòi",""),IF(OR(M1405=phu!$I$72,M1405=phu!$I$73,M1405=phu!$I$74,M1405=phu!$I$75,M1405=phu!$I$76,M1405=phu!$I$77,M1405=phu!$I$78),"Cam Phước Đông",""),IF(OR(M1405=phu!$I$79,M1405=phu!$I$80,M1405=phu!$I$81,M1405=phu!$I$82,M1405=phu!$I$83,M1405=phu!$I$84),"Cam Thịnh Đông",""),IF(OR(M1405=phu!$I$85,M1405=phu!$I$86,M1405=phu!$I$87,M1405=phu!$I$88),"Cam Thịnh Tây",""),IF(OR(M1405=phu!$I$89,M1405=phu!$I$90),"Cam Lập",""),IF(OR(M1405=phu!$I$91,M1405=phu!$I$92,M1405=phu!$I$93),"Cam Bình",""),IF(OR(M1405=phu!$I$94,M1405=phu!$I$95,M1405=phu!$I$96,M1405=phu!$I$97,M1405=phu!$I$98,M1405=phu!$I$99,M1405=phu!$I$100),"Huyện khác",""),IF(OR(M1405=phu!$I$101,M1405=phu!$I$102),"Tỉnh khác",""))</f>
        <v/>
      </c>
      <c r="O1405" s="814" t="str">
        <f t="shared" si="127"/>
        <v/>
      </c>
      <c r="P1405" s="254"/>
      <c r="Q1405" s="254"/>
      <c r="R1405" s="254"/>
      <c r="S1405" s="254"/>
      <c r="T1405" s="254"/>
      <c r="U1405" s="254"/>
      <c r="V1405" s="254"/>
      <c r="W1405" s="254"/>
      <c r="Y1405" s="246" t="str">
        <f t="shared" si="128"/>
        <v/>
      </c>
      <c r="Z1405" s="247" t="str">
        <f t="shared" si="126"/>
        <v/>
      </c>
      <c r="AA1405" s="246" t="str">
        <f t="shared" si="129"/>
        <v/>
      </c>
    </row>
    <row r="1406" spans="1:27" x14ac:dyDescent="0.25">
      <c r="A1406" s="248" t="str">
        <f t="shared" si="130"/>
        <v/>
      </c>
      <c r="B1406" s="249" t="str">
        <f t="shared" si="131"/>
        <v/>
      </c>
      <c r="C1406" s="250"/>
      <c r="D1406" s="251"/>
      <c r="E1406" s="241"/>
      <c r="F1406" s="252"/>
      <c r="G1406" s="252"/>
      <c r="H1406" s="253"/>
      <c r="I1406" s="250"/>
      <c r="J1406" s="250"/>
      <c r="K1406" s="270"/>
      <c r="L1406" s="250"/>
      <c r="M1406" s="250"/>
      <c r="N1406" s="553" t="str">
        <f>CONCATENATE(IF(OR(M1406=phu!$I$1,M1406=phu!$I$2,M1406=phu!$I$3),"Cam Thành Nam",""),IF(OR(M1406=phu!$I$4,M1406=phu!$I$5,M1406=phu!$I$6,M1406=phu!$I$7,M1406=phu!$I$8,M1406=phu!$I$9,M1406=phu!$I$10,M1406=phu!$I$11,M1406=phu!$I$12,M1406=phu!$I$13,M1406=phu!$I$14),"Cam Nghĩa",""),IF(OR(M1406=phu!$I$15,M1406=phu!$I$16,M1406=phu!$I$17,M1406=phu!$I$18,M1406=phu!$I$19,M1406=phu!$I$20,M1406=phu!$I$21),"Cam Phúc Bắc",""),IF(OR(M1406=phu!$I$22,M1406=phu!$I$23,M1406=phu!$I$24,M1406=phu!$I$25),"Cam Phúc Nam",""),IF(OR(M1406=phu!$I$26,M1406=phu!$I$27,M1406=phu!$I$28,M1406=phu!$I$29,M1406=phu!$I$30,M1406=phu!$I$31),"Cam Phú",""),IF(OR(M1406=phu!$I$32,M1406=phu!$I$33,M1406=phu!$I$34,M1406=phu!$I$35,M1406=phu!$I$36,M1406=phu!$I$37),"Cam Lộc",""),IF(OR(M1406=phu!$I$38,M1406=phu!$I$39,M1406=phu!$I$40,M1406=phu!$I$41,M1406=phu!$I$42,M1406=phu!$I$43,M1406=phu!$I$44),"Cam Thuận",""),IF(OR(M1406=phu!$I$45,M1406=phu!$I$46,M1406=phu!$I$47,M1406=phu!$I$48,M1406=phu!$I$49,M1406=phu!$I$50,M1406=phu!$I$51,M1406=phu!$I$52,M1406=phu!$I$53),"Cam Linh",""),IF(OR(M1406=phu!$I$54,M1406=phu!$I$55,M1406=phu!$I$56,M1406=phu!$I$57,M1406=phu!$I$58,M1406=phu!$I$59,M1406=phu!$I$60,M1406=phu!$I$61,M1406=phu!$I$62),"Cam Lợi",""),IF(OR(M1406=phu!$I$63,M1406=phu!$I$64,M1406=phu!$I$65,M1406=phu!$I$66,M1406=phu!$I$67,M1406=phu!$I$68,M1406=phu!$I$69,M1406=phu!$I$70,M1406=phu!$I$71),"Ba Ngòi",""),IF(OR(M1406=phu!$I$72,M1406=phu!$I$73,M1406=phu!$I$74,M1406=phu!$I$75,M1406=phu!$I$76,M1406=phu!$I$77,M1406=phu!$I$78),"Cam Phước Đông",""),IF(OR(M1406=phu!$I$79,M1406=phu!$I$80,M1406=phu!$I$81,M1406=phu!$I$82,M1406=phu!$I$83,M1406=phu!$I$84),"Cam Thịnh Đông",""),IF(OR(M1406=phu!$I$85,M1406=phu!$I$86,M1406=phu!$I$87,M1406=phu!$I$88),"Cam Thịnh Tây",""),IF(OR(M1406=phu!$I$89,M1406=phu!$I$90),"Cam Lập",""),IF(OR(M1406=phu!$I$91,M1406=phu!$I$92,M1406=phu!$I$93),"Cam Bình",""),IF(OR(M1406=phu!$I$94,M1406=phu!$I$95,M1406=phu!$I$96,M1406=phu!$I$97,M1406=phu!$I$98,M1406=phu!$I$99,M1406=phu!$I$100),"Huyện khác",""),IF(OR(M1406=phu!$I$101,M1406=phu!$I$102),"Tỉnh khác",""))</f>
        <v/>
      </c>
      <c r="O1406" s="814" t="str">
        <f t="shared" si="127"/>
        <v/>
      </c>
      <c r="P1406" s="254"/>
      <c r="Q1406" s="254"/>
      <c r="R1406" s="254"/>
      <c r="S1406" s="254"/>
      <c r="T1406" s="254"/>
      <c r="U1406" s="254"/>
      <c r="V1406" s="254"/>
      <c r="W1406" s="254"/>
      <c r="Y1406" s="246" t="str">
        <f t="shared" si="128"/>
        <v/>
      </c>
      <c r="Z1406" s="247" t="str">
        <f t="shared" si="126"/>
        <v/>
      </c>
      <c r="AA1406" s="246" t="str">
        <f t="shared" si="129"/>
        <v/>
      </c>
    </row>
    <row r="1407" spans="1:27" x14ac:dyDescent="0.25">
      <c r="A1407" s="248" t="str">
        <f t="shared" si="130"/>
        <v/>
      </c>
      <c r="B1407" s="249" t="str">
        <f t="shared" si="131"/>
        <v/>
      </c>
      <c r="C1407" s="250"/>
      <c r="D1407" s="251"/>
      <c r="E1407" s="241"/>
      <c r="F1407" s="252"/>
      <c r="G1407" s="252"/>
      <c r="H1407" s="253"/>
      <c r="I1407" s="250"/>
      <c r="J1407" s="250"/>
      <c r="K1407" s="270"/>
      <c r="L1407" s="250"/>
      <c r="M1407" s="250"/>
      <c r="N1407" s="553" t="str">
        <f>CONCATENATE(IF(OR(M1407=phu!$I$1,M1407=phu!$I$2,M1407=phu!$I$3),"Cam Thành Nam",""),IF(OR(M1407=phu!$I$4,M1407=phu!$I$5,M1407=phu!$I$6,M1407=phu!$I$7,M1407=phu!$I$8,M1407=phu!$I$9,M1407=phu!$I$10,M1407=phu!$I$11,M1407=phu!$I$12,M1407=phu!$I$13,M1407=phu!$I$14),"Cam Nghĩa",""),IF(OR(M1407=phu!$I$15,M1407=phu!$I$16,M1407=phu!$I$17,M1407=phu!$I$18,M1407=phu!$I$19,M1407=phu!$I$20,M1407=phu!$I$21),"Cam Phúc Bắc",""),IF(OR(M1407=phu!$I$22,M1407=phu!$I$23,M1407=phu!$I$24,M1407=phu!$I$25),"Cam Phúc Nam",""),IF(OR(M1407=phu!$I$26,M1407=phu!$I$27,M1407=phu!$I$28,M1407=phu!$I$29,M1407=phu!$I$30,M1407=phu!$I$31),"Cam Phú",""),IF(OR(M1407=phu!$I$32,M1407=phu!$I$33,M1407=phu!$I$34,M1407=phu!$I$35,M1407=phu!$I$36,M1407=phu!$I$37),"Cam Lộc",""),IF(OR(M1407=phu!$I$38,M1407=phu!$I$39,M1407=phu!$I$40,M1407=phu!$I$41,M1407=phu!$I$42,M1407=phu!$I$43,M1407=phu!$I$44),"Cam Thuận",""),IF(OR(M1407=phu!$I$45,M1407=phu!$I$46,M1407=phu!$I$47,M1407=phu!$I$48,M1407=phu!$I$49,M1407=phu!$I$50,M1407=phu!$I$51,M1407=phu!$I$52,M1407=phu!$I$53),"Cam Linh",""),IF(OR(M1407=phu!$I$54,M1407=phu!$I$55,M1407=phu!$I$56,M1407=phu!$I$57,M1407=phu!$I$58,M1407=phu!$I$59,M1407=phu!$I$60,M1407=phu!$I$61,M1407=phu!$I$62),"Cam Lợi",""),IF(OR(M1407=phu!$I$63,M1407=phu!$I$64,M1407=phu!$I$65,M1407=phu!$I$66,M1407=phu!$I$67,M1407=phu!$I$68,M1407=phu!$I$69,M1407=phu!$I$70,M1407=phu!$I$71),"Ba Ngòi",""),IF(OR(M1407=phu!$I$72,M1407=phu!$I$73,M1407=phu!$I$74,M1407=phu!$I$75,M1407=phu!$I$76,M1407=phu!$I$77,M1407=phu!$I$78),"Cam Phước Đông",""),IF(OR(M1407=phu!$I$79,M1407=phu!$I$80,M1407=phu!$I$81,M1407=phu!$I$82,M1407=phu!$I$83,M1407=phu!$I$84),"Cam Thịnh Đông",""),IF(OR(M1407=phu!$I$85,M1407=phu!$I$86,M1407=phu!$I$87,M1407=phu!$I$88),"Cam Thịnh Tây",""),IF(OR(M1407=phu!$I$89,M1407=phu!$I$90),"Cam Lập",""),IF(OR(M1407=phu!$I$91,M1407=phu!$I$92,M1407=phu!$I$93),"Cam Bình",""),IF(OR(M1407=phu!$I$94,M1407=phu!$I$95,M1407=phu!$I$96,M1407=phu!$I$97,M1407=phu!$I$98,M1407=phu!$I$99,M1407=phu!$I$100),"Huyện khác",""),IF(OR(M1407=phu!$I$101,M1407=phu!$I$102),"Tỉnh khác",""))</f>
        <v/>
      </c>
      <c r="O1407" s="814" t="str">
        <f t="shared" si="127"/>
        <v/>
      </c>
      <c r="P1407" s="254"/>
      <c r="Q1407" s="254"/>
      <c r="R1407" s="254"/>
      <c r="S1407" s="254"/>
      <c r="T1407" s="254"/>
      <c r="U1407" s="254"/>
      <c r="V1407" s="254"/>
      <c r="W1407" s="254"/>
      <c r="Y1407" s="246" t="str">
        <f t="shared" si="128"/>
        <v/>
      </c>
      <c r="Z1407" s="247" t="str">
        <f t="shared" si="126"/>
        <v/>
      </c>
      <c r="AA1407" s="246" t="str">
        <f t="shared" si="129"/>
        <v/>
      </c>
    </row>
    <row r="1408" spans="1:27" x14ac:dyDescent="0.25">
      <c r="A1408" s="248" t="str">
        <f t="shared" si="130"/>
        <v/>
      </c>
      <c r="B1408" s="249" t="str">
        <f t="shared" si="131"/>
        <v/>
      </c>
      <c r="C1408" s="250"/>
      <c r="D1408" s="251"/>
      <c r="E1408" s="241"/>
      <c r="F1408" s="252"/>
      <c r="G1408" s="252"/>
      <c r="H1408" s="253"/>
      <c r="I1408" s="250"/>
      <c r="J1408" s="250"/>
      <c r="K1408" s="270"/>
      <c r="L1408" s="250"/>
      <c r="M1408" s="250"/>
      <c r="N1408" s="553" t="str">
        <f>CONCATENATE(IF(OR(M1408=phu!$I$1,M1408=phu!$I$2,M1408=phu!$I$3),"Cam Thành Nam",""),IF(OR(M1408=phu!$I$4,M1408=phu!$I$5,M1408=phu!$I$6,M1408=phu!$I$7,M1408=phu!$I$8,M1408=phu!$I$9,M1408=phu!$I$10,M1408=phu!$I$11,M1408=phu!$I$12,M1408=phu!$I$13,M1408=phu!$I$14),"Cam Nghĩa",""),IF(OR(M1408=phu!$I$15,M1408=phu!$I$16,M1408=phu!$I$17,M1408=phu!$I$18,M1408=phu!$I$19,M1408=phu!$I$20,M1408=phu!$I$21),"Cam Phúc Bắc",""),IF(OR(M1408=phu!$I$22,M1408=phu!$I$23,M1408=phu!$I$24,M1408=phu!$I$25),"Cam Phúc Nam",""),IF(OR(M1408=phu!$I$26,M1408=phu!$I$27,M1408=phu!$I$28,M1408=phu!$I$29,M1408=phu!$I$30,M1408=phu!$I$31),"Cam Phú",""),IF(OR(M1408=phu!$I$32,M1408=phu!$I$33,M1408=phu!$I$34,M1408=phu!$I$35,M1408=phu!$I$36,M1408=phu!$I$37),"Cam Lộc",""),IF(OR(M1408=phu!$I$38,M1408=phu!$I$39,M1408=phu!$I$40,M1408=phu!$I$41,M1408=phu!$I$42,M1408=phu!$I$43,M1408=phu!$I$44),"Cam Thuận",""),IF(OR(M1408=phu!$I$45,M1408=phu!$I$46,M1408=phu!$I$47,M1408=phu!$I$48,M1408=phu!$I$49,M1408=phu!$I$50,M1408=phu!$I$51,M1408=phu!$I$52,M1408=phu!$I$53),"Cam Linh",""),IF(OR(M1408=phu!$I$54,M1408=phu!$I$55,M1408=phu!$I$56,M1408=phu!$I$57,M1408=phu!$I$58,M1408=phu!$I$59,M1408=phu!$I$60,M1408=phu!$I$61,M1408=phu!$I$62),"Cam Lợi",""),IF(OR(M1408=phu!$I$63,M1408=phu!$I$64,M1408=phu!$I$65,M1408=phu!$I$66,M1408=phu!$I$67,M1408=phu!$I$68,M1408=phu!$I$69,M1408=phu!$I$70,M1408=phu!$I$71),"Ba Ngòi",""),IF(OR(M1408=phu!$I$72,M1408=phu!$I$73,M1408=phu!$I$74,M1408=phu!$I$75,M1408=phu!$I$76,M1408=phu!$I$77,M1408=phu!$I$78),"Cam Phước Đông",""),IF(OR(M1408=phu!$I$79,M1408=phu!$I$80,M1408=phu!$I$81,M1408=phu!$I$82,M1408=phu!$I$83,M1408=phu!$I$84),"Cam Thịnh Đông",""),IF(OR(M1408=phu!$I$85,M1408=phu!$I$86,M1408=phu!$I$87,M1408=phu!$I$88),"Cam Thịnh Tây",""),IF(OR(M1408=phu!$I$89,M1408=phu!$I$90),"Cam Lập",""),IF(OR(M1408=phu!$I$91,M1408=phu!$I$92,M1408=phu!$I$93),"Cam Bình",""),IF(OR(M1408=phu!$I$94,M1408=phu!$I$95,M1408=phu!$I$96,M1408=phu!$I$97,M1408=phu!$I$98,M1408=phu!$I$99,M1408=phu!$I$100),"Huyện khác",""),IF(OR(M1408=phu!$I$101,M1408=phu!$I$102),"Tỉnh khác",""))</f>
        <v/>
      </c>
      <c r="O1408" s="814" t="str">
        <f t="shared" si="127"/>
        <v/>
      </c>
      <c r="P1408" s="254"/>
      <c r="Q1408" s="254"/>
      <c r="R1408" s="254"/>
      <c r="S1408" s="254"/>
      <c r="T1408" s="254"/>
      <c r="U1408" s="254"/>
      <c r="V1408" s="254"/>
      <c r="W1408" s="254"/>
      <c r="Y1408" s="246" t="str">
        <f t="shared" si="128"/>
        <v/>
      </c>
      <c r="Z1408" s="247" t="str">
        <f t="shared" si="126"/>
        <v/>
      </c>
      <c r="AA1408" s="246" t="str">
        <f t="shared" si="129"/>
        <v/>
      </c>
    </row>
    <row r="1409" spans="1:27" x14ac:dyDescent="0.25">
      <c r="A1409" s="248" t="str">
        <f t="shared" si="130"/>
        <v/>
      </c>
      <c r="B1409" s="249" t="str">
        <f t="shared" si="131"/>
        <v/>
      </c>
      <c r="C1409" s="250"/>
      <c r="D1409" s="251"/>
      <c r="E1409" s="241"/>
      <c r="F1409" s="252"/>
      <c r="G1409" s="252"/>
      <c r="H1409" s="253"/>
      <c r="I1409" s="250"/>
      <c r="J1409" s="250"/>
      <c r="K1409" s="270"/>
      <c r="L1409" s="250"/>
      <c r="M1409" s="250"/>
      <c r="N1409" s="553" t="str">
        <f>CONCATENATE(IF(OR(M1409=phu!$I$1,M1409=phu!$I$2,M1409=phu!$I$3),"Cam Thành Nam",""),IF(OR(M1409=phu!$I$4,M1409=phu!$I$5,M1409=phu!$I$6,M1409=phu!$I$7,M1409=phu!$I$8,M1409=phu!$I$9,M1409=phu!$I$10,M1409=phu!$I$11,M1409=phu!$I$12,M1409=phu!$I$13,M1409=phu!$I$14),"Cam Nghĩa",""),IF(OR(M1409=phu!$I$15,M1409=phu!$I$16,M1409=phu!$I$17,M1409=phu!$I$18,M1409=phu!$I$19,M1409=phu!$I$20,M1409=phu!$I$21),"Cam Phúc Bắc",""),IF(OR(M1409=phu!$I$22,M1409=phu!$I$23,M1409=phu!$I$24,M1409=phu!$I$25),"Cam Phúc Nam",""),IF(OR(M1409=phu!$I$26,M1409=phu!$I$27,M1409=phu!$I$28,M1409=phu!$I$29,M1409=phu!$I$30,M1409=phu!$I$31),"Cam Phú",""),IF(OR(M1409=phu!$I$32,M1409=phu!$I$33,M1409=phu!$I$34,M1409=phu!$I$35,M1409=phu!$I$36,M1409=phu!$I$37),"Cam Lộc",""),IF(OR(M1409=phu!$I$38,M1409=phu!$I$39,M1409=phu!$I$40,M1409=phu!$I$41,M1409=phu!$I$42,M1409=phu!$I$43,M1409=phu!$I$44),"Cam Thuận",""),IF(OR(M1409=phu!$I$45,M1409=phu!$I$46,M1409=phu!$I$47,M1409=phu!$I$48,M1409=phu!$I$49,M1409=phu!$I$50,M1409=phu!$I$51,M1409=phu!$I$52,M1409=phu!$I$53),"Cam Linh",""),IF(OR(M1409=phu!$I$54,M1409=phu!$I$55,M1409=phu!$I$56,M1409=phu!$I$57,M1409=phu!$I$58,M1409=phu!$I$59,M1409=phu!$I$60,M1409=phu!$I$61,M1409=phu!$I$62),"Cam Lợi",""),IF(OR(M1409=phu!$I$63,M1409=phu!$I$64,M1409=phu!$I$65,M1409=phu!$I$66,M1409=phu!$I$67,M1409=phu!$I$68,M1409=phu!$I$69,M1409=phu!$I$70,M1409=phu!$I$71),"Ba Ngòi",""),IF(OR(M1409=phu!$I$72,M1409=phu!$I$73,M1409=phu!$I$74,M1409=phu!$I$75,M1409=phu!$I$76,M1409=phu!$I$77,M1409=phu!$I$78),"Cam Phước Đông",""),IF(OR(M1409=phu!$I$79,M1409=phu!$I$80,M1409=phu!$I$81,M1409=phu!$I$82,M1409=phu!$I$83,M1409=phu!$I$84),"Cam Thịnh Đông",""),IF(OR(M1409=phu!$I$85,M1409=phu!$I$86,M1409=phu!$I$87,M1409=phu!$I$88),"Cam Thịnh Tây",""),IF(OR(M1409=phu!$I$89,M1409=phu!$I$90),"Cam Lập",""),IF(OR(M1409=phu!$I$91,M1409=phu!$I$92,M1409=phu!$I$93),"Cam Bình",""),IF(OR(M1409=phu!$I$94,M1409=phu!$I$95,M1409=phu!$I$96,M1409=phu!$I$97,M1409=phu!$I$98,M1409=phu!$I$99,M1409=phu!$I$100),"Huyện khác",""),IF(OR(M1409=phu!$I$101,M1409=phu!$I$102),"Tỉnh khác",""))</f>
        <v/>
      </c>
      <c r="O1409" s="814" t="str">
        <f t="shared" si="127"/>
        <v/>
      </c>
      <c r="P1409" s="254"/>
      <c r="Q1409" s="254"/>
      <c r="R1409" s="254"/>
      <c r="S1409" s="254"/>
      <c r="T1409" s="254"/>
      <c r="U1409" s="254"/>
      <c r="V1409" s="254"/>
      <c r="W1409" s="254"/>
      <c r="Y1409" s="246" t="str">
        <f t="shared" si="128"/>
        <v/>
      </c>
      <c r="Z1409" s="247" t="str">
        <f t="shared" si="126"/>
        <v/>
      </c>
      <c r="AA1409" s="246" t="str">
        <f t="shared" si="129"/>
        <v/>
      </c>
    </row>
    <row r="1410" spans="1:27" x14ac:dyDescent="0.25">
      <c r="A1410" s="248" t="str">
        <f t="shared" si="130"/>
        <v/>
      </c>
      <c r="B1410" s="249" t="str">
        <f t="shared" si="131"/>
        <v/>
      </c>
      <c r="C1410" s="250"/>
      <c r="D1410" s="251"/>
      <c r="E1410" s="241"/>
      <c r="F1410" s="252"/>
      <c r="G1410" s="252"/>
      <c r="H1410" s="253"/>
      <c r="I1410" s="250"/>
      <c r="J1410" s="250"/>
      <c r="K1410" s="270"/>
      <c r="L1410" s="250"/>
      <c r="M1410" s="250"/>
      <c r="N1410" s="553" t="str">
        <f>CONCATENATE(IF(OR(M1410=phu!$I$1,M1410=phu!$I$2,M1410=phu!$I$3),"Cam Thành Nam",""),IF(OR(M1410=phu!$I$4,M1410=phu!$I$5,M1410=phu!$I$6,M1410=phu!$I$7,M1410=phu!$I$8,M1410=phu!$I$9,M1410=phu!$I$10,M1410=phu!$I$11,M1410=phu!$I$12,M1410=phu!$I$13,M1410=phu!$I$14),"Cam Nghĩa",""),IF(OR(M1410=phu!$I$15,M1410=phu!$I$16,M1410=phu!$I$17,M1410=phu!$I$18,M1410=phu!$I$19,M1410=phu!$I$20,M1410=phu!$I$21),"Cam Phúc Bắc",""),IF(OR(M1410=phu!$I$22,M1410=phu!$I$23,M1410=phu!$I$24,M1410=phu!$I$25),"Cam Phúc Nam",""),IF(OR(M1410=phu!$I$26,M1410=phu!$I$27,M1410=phu!$I$28,M1410=phu!$I$29,M1410=phu!$I$30,M1410=phu!$I$31),"Cam Phú",""),IF(OR(M1410=phu!$I$32,M1410=phu!$I$33,M1410=phu!$I$34,M1410=phu!$I$35,M1410=phu!$I$36,M1410=phu!$I$37),"Cam Lộc",""),IF(OR(M1410=phu!$I$38,M1410=phu!$I$39,M1410=phu!$I$40,M1410=phu!$I$41,M1410=phu!$I$42,M1410=phu!$I$43,M1410=phu!$I$44),"Cam Thuận",""),IF(OR(M1410=phu!$I$45,M1410=phu!$I$46,M1410=phu!$I$47,M1410=phu!$I$48,M1410=phu!$I$49,M1410=phu!$I$50,M1410=phu!$I$51,M1410=phu!$I$52,M1410=phu!$I$53),"Cam Linh",""),IF(OR(M1410=phu!$I$54,M1410=phu!$I$55,M1410=phu!$I$56,M1410=phu!$I$57,M1410=phu!$I$58,M1410=phu!$I$59,M1410=phu!$I$60,M1410=phu!$I$61,M1410=phu!$I$62),"Cam Lợi",""),IF(OR(M1410=phu!$I$63,M1410=phu!$I$64,M1410=phu!$I$65,M1410=phu!$I$66,M1410=phu!$I$67,M1410=phu!$I$68,M1410=phu!$I$69,M1410=phu!$I$70,M1410=phu!$I$71),"Ba Ngòi",""),IF(OR(M1410=phu!$I$72,M1410=phu!$I$73,M1410=phu!$I$74,M1410=phu!$I$75,M1410=phu!$I$76,M1410=phu!$I$77,M1410=phu!$I$78),"Cam Phước Đông",""),IF(OR(M1410=phu!$I$79,M1410=phu!$I$80,M1410=phu!$I$81,M1410=phu!$I$82,M1410=phu!$I$83,M1410=phu!$I$84),"Cam Thịnh Đông",""),IF(OR(M1410=phu!$I$85,M1410=phu!$I$86,M1410=phu!$I$87,M1410=phu!$I$88),"Cam Thịnh Tây",""),IF(OR(M1410=phu!$I$89,M1410=phu!$I$90),"Cam Lập",""),IF(OR(M1410=phu!$I$91,M1410=phu!$I$92,M1410=phu!$I$93),"Cam Bình",""),IF(OR(M1410=phu!$I$94,M1410=phu!$I$95,M1410=phu!$I$96,M1410=phu!$I$97,M1410=phu!$I$98,M1410=phu!$I$99,M1410=phu!$I$100),"Huyện khác",""),IF(OR(M1410=phu!$I$101,M1410=phu!$I$102),"Tỉnh khác",""))</f>
        <v/>
      </c>
      <c r="O1410" s="814" t="str">
        <f t="shared" si="127"/>
        <v/>
      </c>
      <c r="P1410" s="254"/>
      <c r="Q1410" s="254"/>
      <c r="R1410" s="254"/>
      <c r="S1410" s="254"/>
      <c r="T1410" s="254"/>
      <c r="U1410" s="254"/>
      <c r="V1410" s="254"/>
      <c r="W1410" s="254"/>
      <c r="Y1410" s="246" t="str">
        <f t="shared" si="128"/>
        <v/>
      </c>
      <c r="Z1410" s="247" t="str">
        <f t="shared" si="126"/>
        <v/>
      </c>
      <c r="AA1410" s="246" t="str">
        <f t="shared" si="129"/>
        <v/>
      </c>
    </row>
    <row r="1411" spans="1:27" x14ac:dyDescent="0.25">
      <c r="A1411" s="248" t="str">
        <f t="shared" si="130"/>
        <v/>
      </c>
      <c r="B1411" s="249" t="str">
        <f t="shared" si="131"/>
        <v/>
      </c>
      <c r="C1411" s="250"/>
      <c r="D1411" s="251"/>
      <c r="E1411" s="241"/>
      <c r="F1411" s="252"/>
      <c r="G1411" s="252"/>
      <c r="H1411" s="253"/>
      <c r="I1411" s="250"/>
      <c r="J1411" s="250"/>
      <c r="K1411" s="270"/>
      <c r="L1411" s="250"/>
      <c r="M1411" s="250"/>
      <c r="N1411" s="553" t="str">
        <f>CONCATENATE(IF(OR(M1411=phu!$I$1,M1411=phu!$I$2,M1411=phu!$I$3),"Cam Thành Nam",""),IF(OR(M1411=phu!$I$4,M1411=phu!$I$5,M1411=phu!$I$6,M1411=phu!$I$7,M1411=phu!$I$8,M1411=phu!$I$9,M1411=phu!$I$10,M1411=phu!$I$11,M1411=phu!$I$12,M1411=phu!$I$13,M1411=phu!$I$14),"Cam Nghĩa",""),IF(OR(M1411=phu!$I$15,M1411=phu!$I$16,M1411=phu!$I$17,M1411=phu!$I$18,M1411=phu!$I$19,M1411=phu!$I$20,M1411=phu!$I$21),"Cam Phúc Bắc",""),IF(OR(M1411=phu!$I$22,M1411=phu!$I$23,M1411=phu!$I$24,M1411=phu!$I$25),"Cam Phúc Nam",""),IF(OR(M1411=phu!$I$26,M1411=phu!$I$27,M1411=phu!$I$28,M1411=phu!$I$29,M1411=phu!$I$30,M1411=phu!$I$31),"Cam Phú",""),IF(OR(M1411=phu!$I$32,M1411=phu!$I$33,M1411=phu!$I$34,M1411=phu!$I$35,M1411=phu!$I$36,M1411=phu!$I$37),"Cam Lộc",""),IF(OR(M1411=phu!$I$38,M1411=phu!$I$39,M1411=phu!$I$40,M1411=phu!$I$41,M1411=phu!$I$42,M1411=phu!$I$43,M1411=phu!$I$44),"Cam Thuận",""),IF(OR(M1411=phu!$I$45,M1411=phu!$I$46,M1411=phu!$I$47,M1411=phu!$I$48,M1411=phu!$I$49,M1411=phu!$I$50,M1411=phu!$I$51,M1411=phu!$I$52,M1411=phu!$I$53),"Cam Linh",""),IF(OR(M1411=phu!$I$54,M1411=phu!$I$55,M1411=phu!$I$56,M1411=phu!$I$57,M1411=phu!$I$58,M1411=phu!$I$59,M1411=phu!$I$60,M1411=phu!$I$61,M1411=phu!$I$62),"Cam Lợi",""),IF(OR(M1411=phu!$I$63,M1411=phu!$I$64,M1411=phu!$I$65,M1411=phu!$I$66,M1411=phu!$I$67,M1411=phu!$I$68,M1411=phu!$I$69,M1411=phu!$I$70,M1411=phu!$I$71),"Ba Ngòi",""),IF(OR(M1411=phu!$I$72,M1411=phu!$I$73,M1411=phu!$I$74,M1411=phu!$I$75,M1411=phu!$I$76,M1411=phu!$I$77,M1411=phu!$I$78),"Cam Phước Đông",""),IF(OR(M1411=phu!$I$79,M1411=phu!$I$80,M1411=phu!$I$81,M1411=phu!$I$82,M1411=phu!$I$83,M1411=phu!$I$84),"Cam Thịnh Đông",""),IF(OR(M1411=phu!$I$85,M1411=phu!$I$86,M1411=phu!$I$87,M1411=phu!$I$88),"Cam Thịnh Tây",""),IF(OR(M1411=phu!$I$89,M1411=phu!$I$90),"Cam Lập",""),IF(OR(M1411=phu!$I$91,M1411=phu!$I$92,M1411=phu!$I$93),"Cam Bình",""),IF(OR(M1411=phu!$I$94,M1411=phu!$I$95,M1411=phu!$I$96,M1411=phu!$I$97,M1411=phu!$I$98,M1411=phu!$I$99,M1411=phu!$I$100),"Huyện khác",""),IF(OR(M1411=phu!$I$101,M1411=phu!$I$102),"Tỉnh khác",""))</f>
        <v/>
      </c>
      <c r="O1411" s="814" t="str">
        <f t="shared" si="127"/>
        <v/>
      </c>
      <c r="P1411" s="254"/>
      <c r="Q1411" s="254"/>
      <c r="R1411" s="254"/>
      <c r="S1411" s="254"/>
      <c r="T1411" s="254"/>
      <c r="U1411" s="254"/>
      <c r="V1411" s="254"/>
      <c r="W1411" s="254"/>
      <c r="Y1411" s="246" t="str">
        <f t="shared" si="128"/>
        <v/>
      </c>
      <c r="Z1411" s="247" t="str">
        <f t="shared" si="126"/>
        <v/>
      </c>
      <c r="AA1411" s="246" t="str">
        <f t="shared" si="129"/>
        <v/>
      </c>
    </row>
    <row r="1412" spans="1:27" x14ac:dyDescent="0.25">
      <c r="A1412" s="248" t="str">
        <f t="shared" si="130"/>
        <v/>
      </c>
      <c r="B1412" s="249" t="str">
        <f t="shared" si="131"/>
        <v/>
      </c>
      <c r="C1412" s="250"/>
      <c r="D1412" s="251"/>
      <c r="E1412" s="241"/>
      <c r="F1412" s="252"/>
      <c r="G1412" s="252"/>
      <c r="H1412" s="253"/>
      <c r="I1412" s="250"/>
      <c r="J1412" s="250"/>
      <c r="K1412" s="270"/>
      <c r="L1412" s="250"/>
      <c r="M1412" s="250"/>
      <c r="N1412" s="553" t="str">
        <f>CONCATENATE(IF(OR(M1412=phu!$I$1,M1412=phu!$I$2,M1412=phu!$I$3),"Cam Thành Nam",""),IF(OR(M1412=phu!$I$4,M1412=phu!$I$5,M1412=phu!$I$6,M1412=phu!$I$7,M1412=phu!$I$8,M1412=phu!$I$9,M1412=phu!$I$10,M1412=phu!$I$11,M1412=phu!$I$12,M1412=phu!$I$13,M1412=phu!$I$14),"Cam Nghĩa",""),IF(OR(M1412=phu!$I$15,M1412=phu!$I$16,M1412=phu!$I$17,M1412=phu!$I$18,M1412=phu!$I$19,M1412=phu!$I$20,M1412=phu!$I$21),"Cam Phúc Bắc",""),IF(OR(M1412=phu!$I$22,M1412=phu!$I$23,M1412=phu!$I$24,M1412=phu!$I$25),"Cam Phúc Nam",""),IF(OR(M1412=phu!$I$26,M1412=phu!$I$27,M1412=phu!$I$28,M1412=phu!$I$29,M1412=phu!$I$30,M1412=phu!$I$31),"Cam Phú",""),IF(OR(M1412=phu!$I$32,M1412=phu!$I$33,M1412=phu!$I$34,M1412=phu!$I$35,M1412=phu!$I$36,M1412=phu!$I$37),"Cam Lộc",""),IF(OR(M1412=phu!$I$38,M1412=phu!$I$39,M1412=phu!$I$40,M1412=phu!$I$41,M1412=phu!$I$42,M1412=phu!$I$43,M1412=phu!$I$44),"Cam Thuận",""),IF(OR(M1412=phu!$I$45,M1412=phu!$I$46,M1412=phu!$I$47,M1412=phu!$I$48,M1412=phu!$I$49,M1412=phu!$I$50,M1412=phu!$I$51,M1412=phu!$I$52,M1412=phu!$I$53),"Cam Linh",""),IF(OR(M1412=phu!$I$54,M1412=phu!$I$55,M1412=phu!$I$56,M1412=phu!$I$57,M1412=phu!$I$58,M1412=phu!$I$59,M1412=phu!$I$60,M1412=phu!$I$61,M1412=phu!$I$62),"Cam Lợi",""),IF(OR(M1412=phu!$I$63,M1412=phu!$I$64,M1412=phu!$I$65,M1412=phu!$I$66,M1412=phu!$I$67,M1412=phu!$I$68,M1412=phu!$I$69,M1412=phu!$I$70,M1412=phu!$I$71),"Ba Ngòi",""),IF(OR(M1412=phu!$I$72,M1412=phu!$I$73,M1412=phu!$I$74,M1412=phu!$I$75,M1412=phu!$I$76,M1412=phu!$I$77,M1412=phu!$I$78),"Cam Phước Đông",""),IF(OR(M1412=phu!$I$79,M1412=phu!$I$80,M1412=phu!$I$81,M1412=phu!$I$82,M1412=phu!$I$83,M1412=phu!$I$84),"Cam Thịnh Đông",""),IF(OR(M1412=phu!$I$85,M1412=phu!$I$86,M1412=phu!$I$87,M1412=phu!$I$88),"Cam Thịnh Tây",""),IF(OR(M1412=phu!$I$89,M1412=phu!$I$90),"Cam Lập",""),IF(OR(M1412=phu!$I$91,M1412=phu!$I$92,M1412=phu!$I$93),"Cam Bình",""),IF(OR(M1412=phu!$I$94,M1412=phu!$I$95,M1412=phu!$I$96,M1412=phu!$I$97,M1412=phu!$I$98,M1412=phu!$I$99,M1412=phu!$I$100),"Huyện khác",""),IF(OR(M1412=phu!$I$101,M1412=phu!$I$102),"Tỉnh khác",""))</f>
        <v/>
      </c>
      <c r="O1412" s="814" t="str">
        <f t="shared" si="127"/>
        <v/>
      </c>
      <c r="P1412" s="254"/>
      <c r="Q1412" s="254"/>
      <c r="R1412" s="254"/>
      <c r="S1412" s="254"/>
      <c r="T1412" s="254"/>
      <c r="U1412" s="254"/>
      <c r="V1412" s="254"/>
      <c r="W1412" s="254"/>
      <c r="Y1412" s="246" t="str">
        <f t="shared" si="128"/>
        <v/>
      </c>
      <c r="Z1412" s="247" t="str">
        <f t="shared" si="126"/>
        <v/>
      </c>
      <c r="AA1412" s="246" t="str">
        <f t="shared" si="129"/>
        <v/>
      </c>
    </row>
    <row r="1413" spans="1:27" x14ac:dyDescent="0.25">
      <c r="A1413" s="248" t="str">
        <f t="shared" si="130"/>
        <v/>
      </c>
      <c r="B1413" s="249" t="str">
        <f t="shared" si="131"/>
        <v/>
      </c>
      <c r="C1413" s="250"/>
      <c r="D1413" s="251"/>
      <c r="E1413" s="241"/>
      <c r="F1413" s="252"/>
      <c r="G1413" s="252"/>
      <c r="H1413" s="253"/>
      <c r="I1413" s="250"/>
      <c r="J1413" s="250"/>
      <c r="K1413" s="270"/>
      <c r="L1413" s="250"/>
      <c r="M1413" s="250"/>
      <c r="N1413" s="553" t="str">
        <f>CONCATENATE(IF(OR(M1413=phu!$I$1,M1413=phu!$I$2,M1413=phu!$I$3),"Cam Thành Nam",""),IF(OR(M1413=phu!$I$4,M1413=phu!$I$5,M1413=phu!$I$6,M1413=phu!$I$7,M1413=phu!$I$8,M1413=phu!$I$9,M1413=phu!$I$10,M1413=phu!$I$11,M1413=phu!$I$12,M1413=phu!$I$13,M1413=phu!$I$14),"Cam Nghĩa",""),IF(OR(M1413=phu!$I$15,M1413=phu!$I$16,M1413=phu!$I$17,M1413=phu!$I$18,M1413=phu!$I$19,M1413=phu!$I$20,M1413=phu!$I$21),"Cam Phúc Bắc",""),IF(OR(M1413=phu!$I$22,M1413=phu!$I$23,M1413=phu!$I$24,M1413=phu!$I$25),"Cam Phúc Nam",""),IF(OR(M1413=phu!$I$26,M1413=phu!$I$27,M1413=phu!$I$28,M1413=phu!$I$29,M1413=phu!$I$30,M1413=phu!$I$31),"Cam Phú",""),IF(OR(M1413=phu!$I$32,M1413=phu!$I$33,M1413=phu!$I$34,M1413=phu!$I$35,M1413=phu!$I$36,M1413=phu!$I$37),"Cam Lộc",""),IF(OR(M1413=phu!$I$38,M1413=phu!$I$39,M1413=phu!$I$40,M1413=phu!$I$41,M1413=phu!$I$42,M1413=phu!$I$43,M1413=phu!$I$44),"Cam Thuận",""),IF(OR(M1413=phu!$I$45,M1413=phu!$I$46,M1413=phu!$I$47,M1413=phu!$I$48,M1413=phu!$I$49,M1413=phu!$I$50,M1413=phu!$I$51,M1413=phu!$I$52,M1413=phu!$I$53),"Cam Linh",""),IF(OR(M1413=phu!$I$54,M1413=phu!$I$55,M1413=phu!$I$56,M1413=phu!$I$57,M1413=phu!$I$58,M1413=phu!$I$59,M1413=phu!$I$60,M1413=phu!$I$61,M1413=phu!$I$62),"Cam Lợi",""),IF(OR(M1413=phu!$I$63,M1413=phu!$I$64,M1413=phu!$I$65,M1413=phu!$I$66,M1413=phu!$I$67,M1413=phu!$I$68,M1413=phu!$I$69,M1413=phu!$I$70,M1413=phu!$I$71),"Ba Ngòi",""),IF(OR(M1413=phu!$I$72,M1413=phu!$I$73,M1413=phu!$I$74,M1413=phu!$I$75,M1413=phu!$I$76,M1413=phu!$I$77,M1413=phu!$I$78),"Cam Phước Đông",""),IF(OR(M1413=phu!$I$79,M1413=phu!$I$80,M1413=phu!$I$81,M1413=phu!$I$82,M1413=phu!$I$83,M1413=phu!$I$84),"Cam Thịnh Đông",""),IF(OR(M1413=phu!$I$85,M1413=phu!$I$86,M1413=phu!$I$87,M1413=phu!$I$88),"Cam Thịnh Tây",""),IF(OR(M1413=phu!$I$89,M1413=phu!$I$90),"Cam Lập",""),IF(OR(M1413=phu!$I$91,M1413=phu!$I$92,M1413=phu!$I$93),"Cam Bình",""),IF(OR(M1413=phu!$I$94,M1413=phu!$I$95,M1413=phu!$I$96,M1413=phu!$I$97,M1413=phu!$I$98,M1413=phu!$I$99,M1413=phu!$I$100),"Huyện khác",""),IF(OR(M1413=phu!$I$101,M1413=phu!$I$102),"Tỉnh khác",""))</f>
        <v/>
      </c>
      <c r="O1413" s="814" t="str">
        <f t="shared" si="127"/>
        <v/>
      </c>
      <c r="P1413" s="254"/>
      <c r="Q1413" s="254"/>
      <c r="R1413" s="254"/>
      <c r="S1413" s="254"/>
      <c r="T1413" s="254"/>
      <c r="U1413" s="254"/>
      <c r="V1413" s="254"/>
      <c r="W1413" s="254"/>
      <c r="Y1413" s="246" t="str">
        <f t="shared" si="128"/>
        <v/>
      </c>
      <c r="Z1413" s="247" t="str">
        <f t="shared" si="126"/>
        <v/>
      </c>
      <c r="AA1413" s="246" t="str">
        <f t="shared" si="129"/>
        <v/>
      </c>
    </row>
    <row r="1414" spans="1:27" x14ac:dyDescent="0.25">
      <c r="A1414" s="248" t="str">
        <f t="shared" si="130"/>
        <v/>
      </c>
      <c r="B1414" s="249" t="str">
        <f t="shared" si="131"/>
        <v/>
      </c>
      <c r="C1414" s="250"/>
      <c r="D1414" s="251"/>
      <c r="E1414" s="241"/>
      <c r="F1414" s="252"/>
      <c r="G1414" s="252"/>
      <c r="H1414" s="253"/>
      <c r="I1414" s="250"/>
      <c r="J1414" s="250"/>
      <c r="K1414" s="270"/>
      <c r="L1414" s="250"/>
      <c r="M1414" s="250"/>
      <c r="N1414" s="553" t="str">
        <f>CONCATENATE(IF(OR(M1414=phu!$I$1,M1414=phu!$I$2,M1414=phu!$I$3),"Cam Thành Nam",""),IF(OR(M1414=phu!$I$4,M1414=phu!$I$5,M1414=phu!$I$6,M1414=phu!$I$7,M1414=phu!$I$8,M1414=phu!$I$9,M1414=phu!$I$10,M1414=phu!$I$11,M1414=phu!$I$12,M1414=phu!$I$13,M1414=phu!$I$14),"Cam Nghĩa",""),IF(OR(M1414=phu!$I$15,M1414=phu!$I$16,M1414=phu!$I$17,M1414=phu!$I$18,M1414=phu!$I$19,M1414=phu!$I$20,M1414=phu!$I$21),"Cam Phúc Bắc",""),IF(OR(M1414=phu!$I$22,M1414=phu!$I$23,M1414=phu!$I$24,M1414=phu!$I$25),"Cam Phúc Nam",""),IF(OR(M1414=phu!$I$26,M1414=phu!$I$27,M1414=phu!$I$28,M1414=phu!$I$29,M1414=phu!$I$30,M1414=phu!$I$31),"Cam Phú",""),IF(OR(M1414=phu!$I$32,M1414=phu!$I$33,M1414=phu!$I$34,M1414=phu!$I$35,M1414=phu!$I$36,M1414=phu!$I$37),"Cam Lộc",""),IF(OR(M1414=phu!$I$38,M1414=phu!$I$39,M1414=phu!$I$40,M1414=phu!$I$41,M1414=phu!$I$42,M1414=phu!$I$43,M1414=phu!$I$44),"Cam Thuận",""),IF(OR(M1414=phu!$I$45,M1414=phu!$I$46,M1414=phu!$I$47,M1414=phu!$I$48,M1414=phu!$I$49,M1414=phu!$I$50,M1414=phu!$I$51,M1414=phu!$I$52,M1414=phu!$I$53),"Cam Linh",""),IF(OR(M1414=phu!$I$54,M1414=phu!$I$55,M1414=phu!$I$56,M1414=phu!$I$57,M1414=phu!$I$58,M1414=phu!$I$59,M1414=phu!$I$60,M1414=phu!$I$61,M1414=phu!$I$62),"Cam Lợi",""),IF(OR(M1414=phu!$I$63,M1414=phu!$I$64,M1414=phu!$I$65,M1414=phu!$I$66,M1414=phu!$I$67,M1414=phu!$I$68,M1414=phu!$I$69,M1414=phu!$I$70,M1414=phu!$I$71),"Ba Ngòi",""),IF(OR(M1414=phu!$I$72,M1414=phu!$I$73,M1414=phu!$I$74,M1414=phu!$I$75,M1414=phu!$I$76,M1414=phu!$I$77,M1414=phu!$I$78),"Cam Phước Đông",""),IF(OR(M1414=phu!$I$79,M1414=phu!$I$80,M1414=phu!$I$81,M1414=phu!$I$82,M1414=phu!$I$83,M1414=phu!$I$84),"Cam Thịnh Đông",""),IF(OR(M1414=phu!$I$85,M1414=phu!$I$86,M1414=phu!$I$87,M1414=phu!$I$88),"Cam Thịnh Tây",""),IF(OR(M1414=phu!$I$89,M1414=phu!$I$90),"Cam Lập",""),IF(OR(M1414=phu!$I$91,M1414=phu!$I$92,M1414=phu!$I$93),"Cam Bình",""),IF(OR(M1414=phu!$I$94,M1414=phu!$I$95,M1414=phu!$I$96,M1414=phu!$I$97,M1414=phu!$I$98,M1414=phu!$I$99,M1414=phu!$I$100),"Huyện khác",""),IF(OR(M1414=phu!$I$101,M1414=phu!$I$102),"Tỉnh khác",""))</f>
        <v/>
      </c>
      <c r="O1414" s="814" t="str">
        <f t="shared" si="127"/>
        <v/>
      </c>
      <c r="P1414" s="254"/>
      <c r="Q1414" s="254"/>
      <c r="R1414" s="254"/>
      <c r="S1414" s="254"/>
      <c r="T1414" s="254"/>
      <c r="U1414" s="254"/>
      <c r="V1414" s="254"/>
      <c r="W1414" s="254"/>
      <c r="Y1414" s="246" t="str">
        <f t="shared" si="128"/>
        <v/>
      </c>
      <c r="Z1414" s="247" t="str">
        <f t="shared" ref="Z1414:Z1477" si="132">IF(H1414="","",$Z$1-H1414)</f>
        <v/>
      </c>
      <c r="AA1414" s="246" t="str">
        <f t="shared" si="129"/>
        <v/>
      </c>
    </row>
    <row r="1415" spans="1:27" x14ac:dyDescent="0.25">
      <c r="A1415" s="248" t="str">
        <f t="shared" si="130"/>
        <v/>
      </c>
      <c r="B1415" s="249" t="str">
        <f t="shared" si="131"/>
        <v/>
      </c>
      <c r="C1415" s="250"/>
      <c r="D1415" s="251"/>
      <c r="E1415" s="241"/>
      <c r="F1415" s="252"/>
      <c r="G1415" s="252"/>
      <c r="H1415" s="253"/>
      <c r="I1415" s="250"/>
      <c r="J1415" s="250"/>
      <c r="K1415" s="270"/>
      <c r="L1415" s="250"/>
      <c r="M1415" s="250"/>
      <c r="N1415" s="553" t="str">
        <f>CONCATENATE(IF(OR(M1415=phu!$I$1,M1415=phu!$I$2,M1415=phu!$I$3),"Cam Thành Nam",""),IF(OR(M1415=phu!$I$4,M1415=phu!$I$5,M1415=phu!$I$6,M1415=phu!$I$7,M1415=phu!$I$8,M1415=phu!$I$9,M1415=phu!$I$10,M1415=phu!$I$11,M1415=phu!$I$12,M1415=phu!$I$13,M1415=phu!$I$14),"Cam Nghĩa",""),IF(OR(M1415=phu!$I$15,M1415=phu!$I$16,M1415=phu!$I$17,M1415=phu!$I$18,M1415=phu!$I$19,M1415=phu!$I$20,M1415=phu!$I$21),"Cam Phúc Bắc",""),IF(OR(M1415=phu!$I$22,M1415=phu!$I$23,M1415=phu!$I$24,M1415=phu!$I$25),"Cam Phúc Nam",""),IF(OR(M1415=phu!$I$26,M1415=phu!$I$27,M1415=phu!$I$28,M1415=phu!$I$29,M1415=phu!$I$30,M1415=phu!$I$31),"Cam Phú",""),IF(OR(M1415=phu!$I$32,M1415=phu!$I$33,M1415=phu!$I$34,M1415=phu!$I$35,M1415=phu!$I$36,M1415=phu!$I$37),"Cam Lộc",""),IF(OR(M1415=phu!$I$38,M1415=phu!$I$39,M1415=phu!$I$40,M1415=phu!$I$41,M1415=phu!$I$42,M1415=phu!$I$43,M1415=phu!$I$44),"Cam Thuận",""),IF(OR(M1415=phu!$I$45,M1415=phu!$I$46,M1415=phu!$I$47,M1415=phu!$I$48,M1415=phu!$I$49,M1415=phu!$I$50,M1415=phu!$I$51,M1415=phu!$I$52,M1415=phu!$I$53),"Cam Linh",""),IF(OR(M1415=phu!$I$54,M1415=phu!$I$55,M1415=phu!$I$56,M1415=phu!$I$57,M1415=phu!$I$58,M1415=phu!$I$59,M1415=phu!$I$60,M1415=phu!$I$61,M1415=phu!$I$62),"Cam Lợi",""),IF(OR(M1415=phu!$I$63,M1415=phu!$I$64,M1415=phu!$I$65,M1415=phu!$I$66,M1415=phu!$I$67,M1415=phu!$I$68,M1415=phu!$I$69,M1415=phu!$I$70,M1415=phu!$I$71),"Ba Ngòi",""),IF(OR(M1415=phu!$I$72,M1415=phu!$I$73,M1415=phu!$I$74,M1415=phu!$I$75,M1415=phu!$I$76,M1415=phu!$I$77,M1415=phu!$I$78),"Cam Phước Đông",""),IF(OR(M1415=phu!$I$79,M1415=phu!$I$80,M1415=phu!$I$81,M1415=phu!$I$82,M1415=phu!$I$83,M1415=phu!$I$84),"Cam Thịnh Đông",""),IF(OR(M1415=phu!$I$85,M1415=phu!$I$86,M1415=phu!$I$87,M1415=phu!$I$88),"Cam Thịnh Tây",""),IF(OR(M1415=phu!$I$89,M1415=phu!$I$90),"Cam Lập",""),IF(OR(M1415=phu!$I$91,M1415=phu!$I$92,M1415=phu!$I$93),"Cam Bình",""),IF(OR(M1415=phu!$I$94,M1415=phu!$I$95,M1415=phu!$I$96,M1415=phu!$I$97,M1415=phu!$I$98,M1415=phu!$I$99,M1415=phu!$I$100),"Huyện khác",""),IF(OR(M1415=phu!$I$101,M1415=phu!$I$102),"Tỉnh khác",""))</f>
        <v/>
      </c>
      <c r="O1415" s="814" t="str">
        <f t="shared" ref="O1415:O1478" si="133">CONCATENATE(IF(OR(N1415="Cam Thành Nam",N1415="Cam Nghĩa",N1415="Cam Phúc Bắc"),"Bắc Cam Ranh",""),IF(OR(N1415="Cam Phúc Nam",N1415="Cam Phú",N1415="Cam Lộc"),"Cam Ranh",""),IF(OR(N1415="Cam Thuận",N1415="Cam Linh",N1415="Cam Lợi"),"Cam Linh",""),IF(OR(N1415="Ba Ngòi",N1415="Cam Phước Đông"),"Ba Ngòi",""),IF(OR(N1415="Cam Thịnh Đông",N1415="Cam Thịnh Tây",N1415="Cam Lập",N1415="Cam Bình"),"Nam Cam Ranh",""),IF(N1415="Huyện khác","Huyện khác",""),IF(N1415="Tỉnh khác","Tỉnh khác",""))</f>
        <v/>
      </c>
      <c r="P1415" s="254"/>
      <c r="Q1415" s="254"/>
      <c r="R1415" s="254"/>
      <c r="S1415" s="254"/>
      <c r="T1415" s="254"/>
      <c r="U1415" s="254"/>
      <c r="V1415" s="254"/>
      <c r="W1415" s="254"/>
      <c r="Y1415" s="246" t="str">
        <f t="shared" ref="Y1415:Y1478" si="134">IF(OR(AND(B1415="",C1415="",D1415="",E1415="",F1415="",G1415="",H1415="",I1415="",J1415="",L1415="",M1415="",N1415="",P1415="",Q1415="",R1415="",S1415=""),AND(B1415&lt;&gt;"",C1415&lt;&gt;"",D1415&lt;&gt;"",E1415&lt;&gt;"",F1415&lt;&gt;"",G1415&lt;&gt;"",H1415&lt;&gt;"",J1415&lt;&gt;"",M1415&lt;&gt;"",N1415&lt;&gt;"",P1415&lt;&gt;"",OR(AND(Q1415&lt;&gt;"",R1415=""),AND(Q1415="",R1415&lt;&gt;""),AND(Q1415&lt;&gt;"",R1415&lt;&gt;"")),OR(AND(K1415="X",T1415&lt;&gt;""),AND(K1415="",T1415="")))),"","er")</f>
        <v/>
      </c>
      <c r="Z1415" s="247" t="str">
        <f t="shared" si="132"/>
        <v/>
      </c>
      <c r="AA1415" s="246" t="str">
        <f t="shared" ref="AA1415:AA1478" si="135">IF(OR(AND(Z1415=5,B1415&gt;0),AND(Z1415=6,B1415&gt;1),AND(Z1415=7,B1415&gt;2),AND(Z1415=8,B1415&gt;3),AND(Z1415=9,B1415&gt;4),AND(Z1415=10,B1415&gt;5),AND(Z1415=5,B1415=0,L1415="X"),AND(Z1415=6,B1415=1,L1415="X"),AND(Z1415=7,B1415=2,L1415="X"),AND(Z1415=8,B1415=3,L1415="X"),AND(Z1415=9,B1415=4,L1415="X"),AND(Z1415=10,B1415=5,L1415="X")),"er","")</f>
        <v/>
      </c>
    </row>
    <row r="1416" spans="1:27" x14ac:dyDescent="0.25">
      <c r="A1416" s="248" t="str">
        <f t="shared" ref="A1416:A1479" si="136">IF(OR(A1415="",B1416="",C1416="",D1416="",E1416=""),"",A1415+1)</f>
        <v/>
      </c>
      <c r="B1416" s="249" t="str">
        <f t="shared" ref="B1416:B1479" si="137">IF(C1416="","",VALUE(LEFT(C1416,1)))</f>
        <v/>
      </c>
      <c r="C1416" s="250"/>
      <c r="D1416" s="251"/>
      <c r="E1416" s="241"/>
      <c r="F1416" s="252"/>
      <c r="G1416" s="252"/>
      <c r="H1416" s="253"/>
      <c r="I1416" s="250"/>
      <c r="J1416" s="250"/>
      <c r="K1416" s="270"/>
      <c r="L1416" s="250"/>
      <c r="M1416" s="250"/>
      <c r="N1416" s="553" t="str">
        <f>CONCATENATE(IF(OR(M1416=phu!$I$1,M1416=phu!$I$2,M1416=phu!$I$3),"Cam Thành Nam",""),IF(OR(M1416=phu!$I$4,M1416=phu!$I$5,M1416=phu!$I$6,M1416=phu!$I$7,M1416=phu!$I$8,M1416=phu!$I$9,M1416=phu!$I$10,M1416=phu!$I$11,M1416=phu!$I$12,M1416=phu!$I$13,M1416=phu!$I$14),"Cam Nghĩa",""),IF(OR(M1416=phu!$I$15,M1416=phu!$I$16,M1416=phu!$I$17,M1416=phu!$I$18,M1416=phu!$I$19,M1416=phu!$I$20,M1416=phu!$I$21),"Cam Phúc Bắc",""),IF(OR(M1416=phu!$I$22,M1416=phu!$I$23,M1416=phu!$I$24,M1416=phu!$I$25),"Cam Phúc Nam",""),IF(OR(M1416=phu!$I$26,M1416=phu!$I$27,M1416=phu!$I$28,M1416=phu!$I$29,M1416=phu!$I$30,M1416=phu!$I$31),"Cam Phú",""),IF(OR(M1416=phu!$I$32,M1416=phu!$I$33,M1416=phu!$I$34,M1416=phu!$I$35,M1416=phu!$I$36,M1416=phu!$I$37),"Cam Lộc",""),IF(OR(M1416=phu!$I$38,M1416=phu!$I$39,M1416=phu!$I$40,M1416=phu!$I$41,M1416=phu!$I$42,M1416=phu!$I$43,M1416=phu!$I$44),"Cam Thuận",""),IF(OR(M1416=phu!$I$45,M1416=phu!$I$46,M1416=phu!$I$47,M1416=phu!$I$48,M1416=phu!$I$49,M1416=phu!$I$50,M1416=phu!$I$51,M1416=phu!$I$52,M1416=phu!$I$53),"Cam Linh",""),IF(OR(M1416=phu!$I$54,M1416=phu!$I$55,M1416=phu!$I$56,M1416=phu!$I$57,M1416=phu!$I$58,M1416=phu!$I$59,M1416=phu!$I$60,M1416=phu!$I$61,M1416=phu!$I$62),"Cam Lợi",""),IF(OR(M1416=phu!$I$63,M1416=phu!$I$64,M1416=phu!$I$65,M1416=phu!$I$66,M1416=phu!$I$67,M1416=phu!$I$68,M1416=phu!$I$69,M1416=phu!$I$70,M1416=phu!$I$71),"Ba Ngòi",""),IF(OR(M1416=phu!$I$72,M1416=phu!$I$73,M1416=phu!$I$74,M1416=phu!$I$75,M1416=phu!$I$76,M1416=phu!$I$77,M1416=phu!$I$78),"Cam Phước Đông",""),IF(OR(M1416=phu!$I$79,M1416=phu!$I$80,M1416=phu!$I$81,M1416=phu!$I$82,M1416=phu!$I$83,M1416=phu!$I$84),"Cam Thịnh Đông",""),IF(OR(M1416=phu!$I$85,M1416=phu!$I$86,M1416=phu!$I$87,M1416=phu!$I$88),"Cam Thịnh Tây",""),IF(OR(M1416=phu!$I$89,M1416=phu!$I$90),"Cam Lập",""),IF(OR(M1416=phu!$I$91,M1416=phu!$I$92,M1416=phu!$I$93),"Cam Bình",""),IF(OR(M1416=phu!$I$94,M1416=phu!$I$95,M1416=phu!$I$96,M1416=phu!$I$97,M1416=phu!$I$98,M1416=phu!$I$99,M1416=phu!$I$100),"Huyện khác",""),IF(OR(M1416=phu!$I$101,M1416=phu!$I$102),"Tỉnh khác",""))</f>
        <v/>
      </c>
      <c r="O1416" s="814" t="str">
        <f t="shared" si="133"/>
        <v/>
      </c>
      <c r="P1416" s="254"/>
      <c r="Q1416" s="254"/>
      <c r="R1416" s="254"/>
      <c r="S1416" s="254"/>
      <c r="T1416" s="254"/>
      <c r="U1416" s="254"/>
      <c r="V1416" s="254"/>
      <c r="W1416" s="254"/>
      <c r="Y1416" s="246" t="str">
        <f t="shared" si="134"/>
        <v/>
      </c>
      <c r="Z1416" s="247" t="str">
        <f t="shared" si="132"/>
        <v/>
      </c>
      <c r="AA1416" s="246" t="str">
        <f t="shared" si="135"/>
        <v/>
      </c>
    </row>
    <row r="1417" spans="1:27" x14ac:dyDescent="0.25">
      <c r="A1417" s="248" t="str">
        <f t="shared" si="136"/>
        <v/>
      </c>
      <c r="B1417" s="249" t="str">
        <f t="shared" si="137"/>
        <v/>
      </c>
      <c r="C1417" s="250"/>
      <c r="D1417" s="251"/>
      <c r="E1417" s="241"/>
      <c r="F1417" s="252"/>
      <c r="G1417" s="252"/>
      <c r="H1417" s="253"/>
      <c r="I1417" s="250"/>
      <c r="J1417" s="250"/>
      <c r="K1417" s="270"/>
      <c r="L1417" s="250"/>
      <c r="M1417" s="250"/>
      <c r="N1417" s="553" t="str">
        <f>CONCATENATE(IF(OR(M1417=phu!$I$1,M1417=phu!$I$2,M1417=phu!$I$3),"Cam Thành Nam",""),IF(OR(M1417=phu!$I$4,M1417=phu!$I$5,M1417=phu!$I$6,M1417=phu!$I$7,M1417=phu!$I$8,M1417=phu!$I$9,M1417=phu!$I$10,M1417=phu!$I$11,M1417=phu!$I$12,M1417=phu!$I$13,M1417=phu!$I$14),"Cam Nghĩa",""),IF(OR(M1417=phu!$I$15,M1417=phu!$I$16,M1417=phu!$I$17,M1417=phu!$I$18,M1417=phu!$I$19,M1417=phu!$I$20,M1417=phu!$I$21),"Cam Phúc Bắc",""),IF(OR(M1417=phu!$I$22,M1417=phu!$I$23,M1417=phu!$I$24,M1417=phu!$I$25),"Cam Phúc Nam",""),IF(OR(M1417=phu!$I$26,M1417=phu!$I$27,M1417=phu!$I$28,M1417=phu!$I$29,M1417=phu!$I$30,M1417=phu!$I$31),"Cam Phú",""),IF(OR(M1417=phu!$I$32,M1417=phu!$I$33,M1417=phu!$I$34,M1417=phu!$I$35,M1417=phu!$I$36,M1417=phu!$I$37),"Cam Lộc",""),IF(OR(M1417=phu!$I$38,M1417=phu!$I$39,M1417=phu!$I$40,M1417=phu!$I$41,M1417=phu!$I$42,M1417=phu!$I$43,M1417=phu!$I$44),"Cam Thuận",""),IF(OR(M1417=phu!$I$45,M1417=phu!$I$46,M1417=phu!$I$47,M1417=phu!$I$48,M1417=phu!$I$49,M1417=phu!$I$50,M1417=phu!$I$51,M1417=phu!$I$52,M1417=phu!$I$53),"Cam Linh",""),IF(OR(M1417=phu!$I$54,M1417=phu!$I$55,M1417=phu!$I$56,M1417=phu!$I$57,M1417=phu!$I$58,M1417=phu!$I$59,M1417=phu!$I$60,M1417=phu!$I$61,M1417=phu!$I$62),"Cam Lợi",""),IF(OR(M1417=phu!$I$63,M1417=phu!$I$64,M1417=phu!$I$65,M1417=phu!$I$66,M1417=phu!$I$67,M1417=phu!$I$68,M1417=phu!$I$69,M1417=phu!$I$70,M1417=phu!$I$71),"Ba Ngòi",""),IF(OR(M1417=phu!$I$72,M1417=phu!$I$73,M1417=phu!$I$74,M1417=phu!$I$75,M1417=phu!$I$76,M1417=phu!$I$77,M1417=phu!$I$78),"Cam Phước Đông",""),IF(OR(M1417=phu!$I$79,M1417=phu!$I$80,M1417=phu!$I$81,M1417=phu!$I$82,M1417=phu!$I$83,M1417=phu!$I$84),"Cam Thịnh Đông",""),IF(OR(M1417=phu!$I$85,M1417=phu!$I$86,M1417=phu!$I$87,M1417=phu!$I$88),"Cam Thịnh Tây",""),IF(OR(M1417=phu!$I$89,M1417=phu!$I$90),"Cam Lập",""),IF(OR(M1417=phu!$I$91,M1417=phu!$I$92,M1417=phu!$I$93),"Cam Bình",""),IF(OR(M1417=phu!$I$94,M1417=phu!$I$95,M1417=phu!$I$96,M1417=phu!$I$97,M1417=phu!$I$98,M1417=phu!$I$99,M1417=phu!$I$100),"Huyện khác",""),IF(OR(M1417=phu!$I$101,M1417=phu!$I$102),"Tỉnh khác",""))</f>
        <v/>
      </c>
      <c r="O1417" s="814" t="str">
        <f t="shared" si="133"/>
        <v/>
      </c>
      <c r="P1417" s="254"/>
      <c r="Q1417" s="254"/>
      <c r="R1417" s="254"/>
      <c r="S1417" s="254"/>
      <c r="T1417" s="254"/>
      <c r="U1417" s="254"/>
      <c r="V1417" s="254"/>
      <c r="W1417" s="254"/>
      <c r="Y1417" s="246" t="str">
        <f t="shared" si="134"/>
        <v/>
      </c>
      <c r="Z1417" s="247" t="str">
        <f t="shared" si="132"/>
        <v/>
      </c>
      <c r="AA1417" s="246" t="str">
        <f t="shared" si="135"/>
        <v/>
      </c>
    </row>
    <row r="1418" spans="1:27" x14ac:dyDescent="0.25">
      <c r="A1418" s="248" t="str">
        <f t="shared" si="136"/>
        <v/>
      </c>
      <c r="B1418" s="249" t="str">
        <f t="shared" si="137"/>
        <v/>
      </c>
      <c r="C1418" s="250"/>
      <c r="D1418" s="251"/>
      <c r="E1418" s="241"/>
      <c r="F1418" s="252"/>
      <c r="G1418" s="252"/>
      <c r="H1418" s="253"/>
      <c r="I1418" s="250"/>
      <c r="J1418" s="250"/>
      <c r="K1418" s="270"/>
      <c r="L1418" s="250"/>
      <c r="M1418" s="250"/>
      <c r="N1418" s="553" t="str">
        <f>CONCATENATE(IF(OR(M1418=phu!$I$1,M1418=phu!$I$2,M1418=phu!$I$3),"Cam Thành Nam",""),IF(OR(M1418=phu!$I$4,M1418=phu!$I$5,M1418=phu!$I$6,M1418=phu!$I$7,M1418=phu!$I$8,M1418=phu!$I$9,M1418=phu!$I$10,M1418=phu!$I$11,M1418=phu!$I$12,M1418=phu!$I$13,M1418=phu!$I$14),"Cam Nghĩa",""),IF(OR(M1418=phu!$I$15,M1418=phu!$I$16,M1418=phu!$I$17,M1418=phu!$I$18,M1418=phu!$I$19,M1418=phu!$I$20,M1418=phu!$I$21),"Cam Phúc Bắc",""),IF(OR(M1418=phu!$I$22,M1418=phu!$I$23,M1418=phu!$I$24,M1418=phu!$I$25),"Cam Phúc Nam",""),IF(OR(M1418=phu!$I$26,M1418=phu!$I$27,M1418=phu!$I$28,M1418=phu!$I$29,M1418=phu!$I$30,M1418=phu!$I$31),"Cam Phú",""),IF(OR(M1418=phu!$I$32,M1418=phu!$I$33,M1418=phu!$I$34,M1418=phu!$I$35,M1418=phu!$I$36,M1418=phu!$I$37),"Cam Lộc",""),IF(OR(M1418=phu!$I$38,M1418=phu!$I$39,M1418=phu!$I$40,M1418=phu!$I$41,M1418=phu!$I$42,M1418=phu!$I$43,M1418=phu!$I$44),"Cam Thuận",""),IF(OR(M1418=phu!$I$45,M1418=phu!$I$46,M1418=phu!$I$47,M1418=phu!$I$48,M1418=phu!$I$49,M1418=phu!$I$50,M1418=phu!$I$51,M1418=phu!$I$52,M1418=phu!$I$53),"Cam Linh",""),IF(OR(M1418=phu!$I$54,M1418=phu!$I$55,M1418=phu!$I$56,M1418=phu!$I$57,M1418=phu!$I$58,M1418=phu!$I$59,M1418=phu!$I$60,M1418=phu!$I$61,M1418=phu!$I$62),"Cam Lợi",""),IF(OR(M1418=phu!$I$63,M1418=phu!$I$64,M1418=phu!$I$65,M1418=phu!$I$66,M1418=phu!$I$67,M1418=phu!$I$68,M1418=phu!$I$69,M1418=phu!$I$70,M1418=phu!$I$71),"Ba Ngòi",""),IF(OR(M1418=phu!$I$72,M1418=phu!$I$73,M1418=phu!$I$74,M1418=phu!$I$75,M1418=phu!$I$76,M1418=phu!$I$77,M1418=phu!$I$78),"Cam Phước Đông",""),IF(OR(M1418=phu!$I$79,M1418=phu!$I$80,M1418=phu!$I$81,M1418=phu!$I$82,M1418=phu!$I$83,M1418=phu!$I$84),"Cam Thịnh Đông",""),IF(OR(M1418=phu!$I$85,M1418=phu!$I$86,M1418=phu!$I$87,M1418=phu!$I$88),"Cam Thịnh Tây",""),IF(OR(M1418=phu!$I$89,M1418=phu!$I$90),"Cam Lập",""),IF(OR(M1418=phu!$I$91,M1418=phu!$I$92,M1418=phu!$I$93),"Cam Bình",""),IF(OR(M1418=phu!$I$94,M1418=phu!$I$95,M1418=phu!$I$96,M1418=phu!$I$97,M1418=phu!$I$98,M1418=phu!$I$99,M1418=phu!$I$100),"Huyện khác",""),IF(OR(M1418=phu!$I$101,M1418=phu!$I$102),"Tỉnh khác",""))</f>
        <v/>
      </c>
      <c r="O1418" s="814" t="str">
        <f t="shared" si="133"/>
        <v/>
      </c>
      <c r="P1418" s="254"/>
      <c r="Q1418" s="254"/>
      <c r="R1418" s="254"/>
      <c r="S1418" s="254"/>
      <c r="T1418" s="254"/>
      <c r="U1418" s="254"/>
      <c r="V1418" s="254"/>
      <c r="W1418" s="254"/>
      <c r="Y1418" s="246" t="str">
        <f t="shared" si="134"/>
        <v/>
      </c>
      <c r="Z1418" s="247" t="str">
        <f t="shared" si="132"/>
        <v/>
      </c>
      <c r="AA1418" s="246" t="str">
        <f t="shared" si="135"/>
        <v/>
      </c>
    </row>
    <row r="1419" spans="1:27" x14ac:dyDescent="0.25">
      <c r="A1419" s="248" t="str">
        <f t="shared" si="136"/>
        <v/>
      </c>
      <c r="B1419" s="249" t="str">
        <f t="shared" si="137"/>
        <v/>
      </c>
      <c r="C1419" s="250"/>
      <c r="D1419" s="251"/>
      <c r="E1419" s="241"/>
      <c r="F1419" s="252"/>
      <c r="G1419" s="252"/>
      <c r="H1419" s="253"/>
      <c r="I1419" s="250"/>
      <c r="J1419" s="250"/>
      <c r="K1419" s="270"/>
      <c r="L1419" s="250"/>
      <c r="M1419" s="250"/>
      <c r="N1419" s="553" t="str">
        <f>CONCATENATE(IF(OR(M1419=phu!$I$1,M1419=phu!$I$2,M1419=phu!$I$3),"Cam Thành Nam",""),IF(OR(M1419=phu!$I$4,M1419=phu!$I$5,M1419=phu!$I$6,M1419=phu!$I$7,M1419=phu!$I$8,M1419=phu!$I$9,M1419=phu!$I$10,M1419=phu!$I$11,M1419=phu!$I$12,M1419=phu!$I$13,M1419=phu!$I$14),"Cam Nghĩa",""),IF(OR(M1419=phu!$I$15,M1419=phu!$I$16,M1419=phu!$I$17,M1419=phu!$I$18,M1419=phu!$I$19,M1419=phu!$I$20,M1419=phu!$I$21),"Cam Phúc Bắc",""),IF(OR(M1419=phu!$I$22,M1419=phu!$I$23,M1419=phu!$I$24,M1419=phu!$I$25),"Cam Phúc Nam",""),IF(OR(M1419=phu!$I$26,M1419=phu!$I$27,M1419=phu!$I$28,M1419=phu!$I$29,M1419=phu!$I$30,M1419=phu!$I$31),"Cam Phú",""),IF(OR(M1419=phu!$I$32,M1419=phu!$I$33,M1419=phu!$I$34,M1419=phu!$I$35,M1419=phu!$I$36,M1419=phu!$I$37),"Cam Lộc",""),IF(OR(M1419=phu!$I$38,M1419=phu!$I$39,M1419=phu!$I$40,M1419=phu!$I$41,M1419=phu!$I$42,M1419=phu!$I$43,M1419=phu!$I$44),"Cam Thuận",""),IF(OR(M1419=phu!$I$45,M1419=phu!$I$46,M1419=phu!$I$47,M1419=phu!$I$48,M1419=phu!$I$49,M1419=phu!$I$50,M1419=phu!$I$51,M1419=phu!$I$52,M1419=phu!$I$53),"Cam Linh",""),IF(OR(M1419=phu!$I$54,M1419=phu!$I$55,M1419=phu!$I$56,M1419=phu!$I$57,M1419=phu!$I$58,M1419=phu!$I$59,M1419=phu!$I$60,M1419=phu!$I$61,M1419=phu!$I$62),"Cam Lợi",""),IF(OR(M1419=phu!$I$63,M1419=phu!$I$64,M1419=phu!$I$65,M1419=phu!$I$66,M1419=phu!$I$67,M1419=phu!$I$68,M1419=phu!$I$69,M1419=phu!$I$70,M1419=phu!$I$71),"Ba Ngòi",""),IF(OR(M1419=phu!$I$72,M1419=phu!$I$73,M1419=phu!$I$74,M1419=phu!$I$75,M1419=phu!$I$76,M1419=phu!$I$77,M1419=phu!$I$78),"Cam Phước Đông",""),IF(OR(M1419=phu!$I$79,M1419=phu!$I$80,M1419=phu!$I$81,M1419=phu!$I$82,M1419=phu!$I$83,M1419=phu!$I$84),"Cam Thịnh Đông",""),IF(OR(M1419=phu!$I$85,M1419=phu!$I$86,M1419=phu!$I$87,M1419=phu!$I$88),"Cam Thịnh Tây",""),IF(OR(M1419=phu!$I$89,M1419=phu!$I$90),"Cam Lập",""),IF(OR(M1419=phu!$I$91,M1419=phu!$I$92,M1419=phu!$I$93),"Cam Bình",""),IF(OR(M1419=phu!$I$94,M1419=phu!$I$95,M1419=phu!$I$96,M1419=phu!$I$97,M1419=phu!$I$98,M1419=phu!$I$99,M1419=phu!$I$100),"Huyện khác",""),IF(OR(M1419=phu!$I$101,M1419=phu!$I$102),"Tỉnh khác",""))</f>
        <v/>
      </c>
      <c r="O1419" s="814" t="str">
        <f t="shared" si="133"/>
        <v/>
      </c>
      <c r="P1419" s="254"/>
      <c r="Q1419" s="254"/>
      <c r="R1419" s="254"/>
      <c r="S1419" s="254"/>
      <c r="T1419" s="254"/>
      <c r="U1419" s="254"/>
      <c r="V1419" s="254"/>
      <c r="W1419" s="254"/>
      <c r="Y1419" s="246" t="str">
        <f t="shared" si="134"/>
        <v/>
      </c>
      <c r="Z1419" s="247" t="str">
        <f t="shared" si="132"/>
        <v/>
      </c>
      <c r="AA1419" s="246" t="str">
        <f t="shared" si="135"/>
        <v/>
      </c>
    </row>
    <row r="1420" spans="1:27" x14ac:dyDescent="0.25">
      <c r="A1420" s="248" t="str">
        <f t="shared" si="136"/>
        <v/>
      </c>
      <c r="B1420" s="249" t="str">
        <f t="shared" si="137"/>
        <v/>
      </c>
      <c r="C1420" s="250"/>
      <c r="D1420" s="251"/>
      <c r="E1420" s="241"/>
      <c r="F1420" s="252"/>
      <c r="G1420" s="252"/>
      <c r="H1420" s="253"/>
      <c r="I1420" s="250"/>
      <c r="J1420" s="250"/>
      <c r="K1420" s="270"/>
      <c r="L1420" s="250"/>
      <c r="M1420" s="250"/>
      <c r="N1420" s="553" t="str">
        <f>CONCATENATE(IF(OR(M1420=phu!$I$1,M1420=phu!$I$2,M1420=phu!$I$3),"Cam Thành Nam",""),IF(OR(M1420=phu!$I$4,M1420=phu!$I$5,M1420=phu!$I$6,M1420=phu!$I$7,M1420=phu!$I$8,M1420=phu!$I$9,M1420=phu!$I$10,M1420=phu!$I$11,M1420=phu!$I$12,M1420=phu!$I$13,M1420=phu!$I$14),"Cam Nghĩa",""),IF(OR(M1420=phu!$I$15,M1420=phu!$I$16,M1420=phu!$I$17,M1420=phu!$I$18,M1420=phu!$I$19,M1420=phu!$I$20,M1420=phu!$I$21),"Cam Phúc Bắc",""),IF(OR(M1420=phu!$I$22,M1420=phu!$I$23,M1420=phu!$I$24,M1420=phu!$I$25),"Cam Phúc Nam",""),IF(OR(M1420=phu!$I$26,M1420=phu!$I$27,M1420=phu!$I$28,M1420=phu!$I$29,M1420=phu!$I$30,M1420=phu!$I$31),"Cam Phú",""),IF(OR(M1420=phu!$I$32,M1420=phu!$I$33,M1420=phu!$I$34,M1420=phu!$I$35,M1420=phu!$I$36,M1420=phu!$I$37),"Cam Lộc",""),IF(OR(M1420=phu!$I$38,M1420=phu!$I$39,M1420=phu!$I$40,M1420=phu!$I$41,M1420=phu!$I$42,M1420=phu!$I$43,M1420=phu!$I$44),"Cam Thuận",""),IF(OR(M1420=phu!$I$45,M1420=phu!$I$46,M1420=phu!$I$47,M1420=phu!$I$48,M1420=phu!$I$49,M1420=phu!$I$50,M1420=phu!$I$51,M1420=phu!$I$52,M1420=phu!$I$53),"Cam Linh",""),IF(OR(M1420=phu!$I$54,M1420=phu!$I$55,M1420=phu!$I$56,M1420=phu!$I$57,M1420=phu!$I$58,M1420=phu!$I$59,M1420=phu!$I$60,M1420=phu!$I$61,M1420=phu!$I$62),"Cam Lợi",""),IF(OR(M1420=phu!$I$63,M1420=phu!$I$64,M1420=phu!$I$65,M1420=phu!$I$66,M1420=phu!$I$67,M1420=phu!$I$68,M1420=phu!$I$69,M1420=phu!$I$70,M1420=phu!$I$71),"Ba Ngòi",""),IF(OR(M1420=phu!$I$72,M1420=phu!$I$73,M1420=phu!$I$74,M1420=phu!$I$75,M1420=phu!$I$76,M1420=phu!$I$77,M1420=phu!$I$78),"Cam Phước Đông",""),IF(OR(M1420=phu!$I$79,M1420=phu!$I$80,M1420=phu!$I$81,M1420=phu!$I$82,M1420=phu!$I$83,M1420=phu!$I$84),"Cam Thịnh Đông",""),IF(OR(M1420=phu!$I$85,M1420=phu!$I$86,M1420=phu!$I$87,M1420=phu!$I$88),"Cam Thịnh Tây",""),IF(OR(M1420=phu!$I$89,M1420=phu!$I$90),"Cam Lập",""),IF(OR(M1420=phu!$I$91,M1420=phu!$I$92,M1420=phu!$I$93),"Cam Bình",""),IF(OR(M1420=phu!$I$94,M1420=phu!$I$95,M1420=phu!$I$96,M1420=phu!$I$97,M1420=phu!$I$98,M1420=phu!$I$99,M1420=phu!$I$100),"Huyện khác",""),IF(OR(M1420=phu!$I$101,M1420=phu!$I$102),"Tỉnh khác",""))</f>
        <v/>
      </c>
      <c r="O1420" s="814" t="str">
        <f t="shared" si="133"/>
        <v/>
      </c>
      <c r="P1420" s="254"/>
      <c r="Q1420" s="254"/>
      <c r="R1420" s="254"/>
      <c r="S1420" s="254"/>
      <c r="T1420" s="254"/>
      <c r="U1420" s="254"/>
      <c r="V1420" s="254"/>
      <c r="W1420" s="254"/>
      <c r="Y1420" s="246" t="str">
        <f t="shared" si="134"/>
        <v/>
      </c>
      <c r="Z1420" s="247" t="str">
        <f t="shared" si="132"/>
        <v/>
      </c>
      <c r="AA1420" s="246" t="str">
        <f t="shared" si="135"/>
        <v/>
      </c>
    </row>
    <row r="1421" spans="1:27" x14ac:dyDescent="0.25">
      <c r="A1421" s="248" t="str">
        <f t="shared" si="136"/>
        <v/>
      </c>
      <c r="B1421" s="249" t="str">
        <f t="shared" si="137"/>
        <v/>
      </c>
      <c r="C1421" s="250"/>
      <c r="D1421" s="251"/>
      <c r="E1421" s="241"/>
      <c r="F1421" s="252"/>
      <c r="G1421" s="252"/>
      <c r="H1421" s="253"/>
      <c r="I1421" s="250"/>
      <c r="J1421" s="250"/>
      <c r="K1421" s="270"/>
      <c r="L1421" s="250"/>
      <c r="M1421" s="250"/>
      <c r="N1421" s="553" t="str">
        <f>CONCATENATE(IF(OR(M1421=phu!$I$1,M1421=phu!$I$2,M1421=phu!$I$3),"Cam Thành Nam",""),IF(OR(M1421=phu!$I$4,M1421=phu!$I$5,M1421=phu!$I$6,M1421=phu!$I$7,M1421=phu!$I$8,M1421=phu!$I$9,M1421=phu!$I$10,M1421=phu!$I$11,M1421=phu!$I$12,M1421=phu!$I$13,M1421=phu!$I$14),"Cam Nghĩa",""),IF(OR(M1421=phu!$I$15,M1421=phu!$I$16,M1421=phu!$I$17,M1421=phu!$I$18,M1421=phu!$I$19,M1421=phu!$I$20,M1421=phu!$I$21),"Cam Phúc Bắc",""),IF(OR(M1421=phu!$I$22,M1421=phu!$I$23,M1421=phu!$I$24,M1421=phu!$I$25),"Cam Phúc Nam",""),IF(OR(M1421=phu!$I$26,M1421=phu!$I$27,M1421=phu!$I$28,M1421=phu!$I$29,M1421=phu!$I$30,M1421=phu!$I$31),"Cam Phú",""),IF(OR(M1421=phu!$I$32,M1421=phu!$I$33,M1421=phu!$I$34,M1421=phu!$I$35,M1421=phu!$I$36,M1421=phu!$I$37),"Cam Lộc",""),IF(OR(M1421=phu!$I$38,M1421=phu!$I$39,M1421=phu!$I$40,M1421=phu!$I$41,M1421=phu!$I$42,M1421=phu!$I$43,M1421=phu!$I$44),"Cam Thuận",""),IF(OR(M1421=phu!$I$45,M1421=phu!$I$46,M1421=phu!$I$47,M1421=phu!$I$48,M1421=phu!$I$49,M1421=phu!$I$50,M1421=phu!$I$51,M1421=phu!$I$52,M1421=phu!$I$53),"Cam Linh",""),IF(OR(M1421=phu!$I$54,M1421=phu!$I$55,M1421=phu!$I$56,M1421=phu!$I$57,M1421=phu!$I$58,M1421=phu!$I$59,M1421=phu!$I$60,M1421=phu!$I$61,M1421=phu!$I$62),"Cam Lợi",""),IF(OR(M1421=phu!$I$63,M1421=phu!$I$64,M1421=phu!$I$65,M1421=phu!$I$66,M1421=phu!$I$67,M1421=phu!$I$68,M1421=phu!$I$69,M1421=phu!$I$70,M1421=phu!$I$71),"Ba Ngòi",""),IF(OR(M1421=phu!$I$72,M1421=phu!$I$73,M1421=phu!$I$74,M1421=phu!$I$75,M1421=phu!$I$76,M1421=phu!$I$77,M1421=phu!$I$78),"Cam Phước Đông",""),IF(OR(M1421=phu!$I$79,M1421=phu!$I$80,M1421=phu!$I$81,M1421=phu!$I$82,M1421=phu!$I$83,M1421=phu!$I$84),"Cam Thịnh Đông",""),IF(OR(M1421=phu!$I$85,M1421=phu!$I$86,M1421=phu!$I$87,M1421=phu!$I$88),"Cam Thịnh Tây",""),IF(OR(M1421=phu!$I$89,M1421=phu!$I$90),"Cam Lập",""),IF(OR(M1421=phu!$I$91,M1421=phu!$I$92,M1421=phu!$I$93),"Cam Bình",""),IF(OR(M1421=phu!$I$94,M1421=phu!$I$95,M1421=phu!$I$96,M1421=phu!$I$97,M1421=phu!$I$98,M1421=phu!$I$99,M1421=phu!$I$100),"Huyện khác",""),IF(OR(M1421=phu!$I$101,M1421=phu!$I$102),"Tỉnh khác",""))</f>
        <v/>
      </c>
      <c r="O1421" s="814" t="str">
        <f t="shared" si="133"/>
        <v/>
      </c>
      <c r="P1421" s="254"/>
      <c r="Q1421" s="254"/>
      <c r="R1421" s="254"/>
      <c r="S1421" s="254"/>
      <c r="T1421" s="254"/>
      <c r="U1421" s="254"/>
      <c r="V1421" s="254"/>
      <c r="W1421" s="254"/>
      <c r="Y1421" s="246" t="str">
        <f t="shared" si="134"/>
        <v/>
      </c>
      <c r="Z1421" s="247" t="str">
        <f t="shared" si="132"/>
        <v/>
      </c>
      <c r="AA1421" s="246" t="str">
        <f t="shared" si="135"/>
        <v/>
      </c>
    </row>
    <row r="1422" spans="1:27" x14ac:dyDescent="0.25">
      <c r="A1422" s="248" t="str">
        <f t="shared" si="136"/>
        <v/>
      </c>
      <c r="B1422" s="249" t="str">
        <f t="shared" si="137"/>
        <v/>
      </c>
      <c r="C1422" s="250"/>
      <c r="D1422" s="251"/>
      <c r="E1422" s="241"/>
      <c r="F1422" s="252"/>
      <c r="G1422" s="252"/>
      <c r="H1422" s="253"/>
      <c r="I1422" s="250"/>
      <c r="J1422" s="250"/>
      <c r="K1422" s="270"/>
      <c r="L1422" s="250"/>
      <c r="M1422" s="250"/>
      <c r="N1422" s="553" t="str">
        <f>CONCATENATE(IF(OR(M1422=phu!$I$1,M1422=phu!$I$2,M1422=phu!$I$3),"Cam Thành Nam",""),IF(OR(M1422=phu!$I$4,M1422=phu!$I$5,M1422=phu!$I$6,M1422=phu!$I$7,M1422=phu!$I$8,M1422=phu!$I$9,M1422=phu!$I$10,M1422=phu!$I$11,M1422=phu!$I$12,M1422=phu!$I$13,M1422=phu!$I$14),"Cam Nghĩa",""),IF(OR(M1422=phu!$I$15,M1422=phu!$I$16,M1422=phu!$I$17,M1422=phu!$I$18,M1422=phu!$I$19,M1422=phu!$I$20,M1422=phu!$I$21),"Cam Phúc Bắc",""),IF(OR(M1422=phu!$I$22,M1422=phu!$I$23,M1422=phu!$I$24,M1422=phu!$I$25),"Cam Phúc Nam",""),IF(OR(M1422=phu!$I$26,M1422=phu!$I$27,M1422=phu!$I$28,M1422=phu!$I$29,M1422=phu!$I$30,M1422=phu!$I$31),"Cam Phú",""),IF(OR(M1422=phu!$I$32,M1422=phu!$I$33,M1422=phu!$I$34,M1422=phu!$I$35,M1422=phu!$I$36,M1422=phu!$I$37),"Cam Lộc",""),IF(OR(M1422=phu!$I$38,M1422=phu!$I$39,M1422=phu!$I$40,M1422=phu!$I$41,M1422=phu!$I$42,M1422=phu!$I$43,M1422=phu!$I$44),"Cam Thuận",""),IF(OR(M1422=phu!$I$45,M1422=phu!$I$46,M1422=phu!$I$47,M1422=phu!$I$48,M1422=phu!$I$49,M1422=phu!$I$50,M1422=phu!$I$51,M1422=phu!$I$52,M1422=phu!$I$53),"Cam Linh",""),IF(OR(M1422=phu!$I$54,M1422=phu!$I$55,M1422=phu!$I$56,M1422=phu!$I$57,M1422=phu!$I$58,M1422=phu!$I$59,M1422=phu!$I$60,M1422=phu!$I$61,M1422=phu!$I$62),"Cam Lợi",""),IF(OR(M1422=phu!$I$63,M1422=phu!$I$64,M1422=phu!$I$65,M1422=phu!$I$66,M1422=phu!$I$67,M1422=phu!$I$68,M1422=phu!$I$69,M1422=phu!$I$70,M1422=phu!$I$71),"Ba Ngòi",""),IF(OR(M1422=phu!$I$72,M1422=phu!$I$73,M1422=phu!$I$74,M1422=phu!$I$75,M1422=phu!$I$76,M1422=phu!$I$77,M1422=phu!$I$78),"Cam Phước Đông",""),IF(OR(M1422=phu!$I$79,M1422=phu!$I$80,M1422=phu!$I$81,M1422=phu!$I$82,M1422=phu!$I$83,M1422=phu!$I$84),"Cam Thịnh Đông",""),IF(OR(M1422=phu!$I$85,M1422=phu!$I$86,M1422=phu!$I$87,M1422=phu!$I$88),"Cam Thịnh Tây",""),IF(OR(M1422=phu!$I$89,M1422=phu!$I$90),"Cam Lập",""),IF(OR(M1422=phu!$I$91,M1422=phu!$I$92,M1422=phu!$I$93),"Cam Bình",""),IF(OR(M1422=phu!$I$94,M1422=phu!$I$95,M1422=phu!$I$96,M1422=phu!$I$97,M1422=phu!$I$98,M1422=phu!$I$99,M1422=phu!$I$100),"Huyện khác",""),IF(OR(M1422=phu!$I$101,M1422=phu!$I$102),"Tỉnh khác",""))</f>
        <v/>
      </c>
      <c r="O1422" s="814" t="str">
        <f t="shared" si="133"/>
        <v/>
      </c>
      <c r="P1422" s="254"/>
      <c r="Q1422" s="254"/>
      <c r="R1422" s="254"/>
      <c r="S1422" s="254"/>
      <c r="T1422" s="254"/>
      <c r="U1422" s="254"/>
      <c r="V1422" s="254"/>
      <c r="W1422" s="254"/>
      <c r="Y1422" s="246" t="str">
        <f t="shared" si="134"/>
        <v/>
      </c>
      <c r="Z1422" s="247" t="str">
        <f t="shared" si="132"/>
        <v/>
      </c>
      <c r="AA1422" s="246" t="str">
        <f t="shared" si="135"/>
        <v/>
      </c>
    </row>
    <row r="1423" spans="1:27" x14ac:dyDescent="0.25">
      <c r="A1423" s="248" t="str">
        <f t="shared" si="136"/>
        <v/>
      </c>
      <c r="B1423" s="249" t="str">
        <f t="shared" si="137"/>
        <v/>
      </c>
      <c r="C1423" s="250"/>
      <c r="D1423" s="251"/>
      <c r="E1423" s="241"/>
      <c r="F1423" s="252"/>
      <c r="G1423" s="252"/>
      <c r="H1423" s="253"/>
      <c r="I1423" s="250"/>
      <c r="J1423" s="250"/>
      <c r="K1423" s="270"/>
      <c r="L1423" s="250"/>
      <c r="M1423" s="250"/>
      <c r="N1423" s="553" t="str">
        <f>CONCATENATE(IF(OR(M1423=phu!$I$1,M1423=phu!$I$2,M1423=phu!$I$3),"Cam Thành Nam",""),IF(OR(M1423=phu!$I$4,M1423=phu!$I$5,M1423=phu!$I$6,M1423=phu!$I$7,M1423=phu!$I$8,M1423=phu!$I$9,M1423=phu!$I$10,M1423=phu!$I$11,M1423=phu!$I$12,M1423=phu!$I$13,M1423=phu!$I$14),"Cam Nghĩa",""),IF(OR(M1423=phu!$I$15,M1423=phu!$I$16,M1423=phu!$I$17,M1423=phu!$I$18,M1423=phu!$I$19,M1423=phu!$I$20,M1423=phu!$I$21),"Cam Phúc Bắc",""),IF(OR(M1423=phu!$I$22,M1423=phu!$I$23,M1423=phu!$I$24,M1423=phu!$I$25),"Cam Phúc Nam",""),IF(OR(M1423=phu!$I$26,M1423=phu!$I$27,M1423=phu!$I$28,M1423=phu!$I$29,M1423=phu!$I$30,M1423=phu!$I$31),"Cam Phú",""),IF(OR(M1423=phu!$I$32,M1423=phu!$I$33,M1423=phu!$I$34,M1423=phu!$I$35,M1423=phu!$I$36,M1423=phu!$I$37),"Cam Lộc",""),IF(OR(M1423=phu!$I$38,M1423=phu!$I$39,M1423=phu!$I$40,M1423=phu!$I$41,M1423=phu!$I$42,M1423=phu!$I$43,M1423=phu!$I$44),"Cam Thuận",""),IF(OR(M1423=phu!$I$45,M1423=phu!$I$46,M1423=phu!$I$47,M1423=phu!$I$48,M1423=phu!$I$49,M1423=phu!$I$50,M1423=phu!$I$51,M1423=phu!$I$52,M1423=phu!$I$53),"Cam Linh",""),IF(OR(M1423=phu!$I$54,M1423=phu!$I$55,M1423=phu!$I$56,M1423=phu!$I$57,M1423=phu!$I$58,M1423=phu!$I$59,M1423=phu!$I$60,M1423=phu!$I$61,M1423=phu!$I$62),"Cam Lợi",""),IF(OR(M1423=phu!$I$63,M1423=phu!$I$64,M1423=phu!$I$65,M1423=phu!$I$66,M1423=phu!$I$67,M1423=phu!$I$68,M1423=phu!$I$69,M1423=phu!$I$70,M1423=phu!$I$71),"Ba Ngòi",""),IF(OR(M1423=phu!$I$72,M1423=phu!$I$73,M1423=phu!$I$74,M1423=phu!$I$75,M1423=phu!$I$76,M1423=phu!$I$77,M1423=phu!$I$78),"Cam Phước Đông",""),IF(OR(M1423=phu!$I$79,M1423=phu!$I$80,M1423=phu!$I$81,M1423=phu!$I$82,M1423=phu!$I$83,M1423=phu!$I$84),"Cam Thịnh Đông",""),IF(OR(M1423=phu!$I$85,M1423=phu!$I$86,M1423=phu!$I$87,M1423=phu!$I$88),"Cam Thịnh Tây",""),IF(OR(M1423=phu!$I$89,M1423=phu!$I$90),"Cam Lập",""),IF(OR(M1423=phu!$I$91,M1423=phu!$I$92,M1423=phu!$I$93),"Cam Bình",""),IF(OR(M1423=phu!$I$94,M1423=phu!$I$95,M1423=phu!$I$96,M1423=phu!$I$97,M1423=phu!$I$98,M1423=phu!$I$99,M1423=phu!$I$100),"Huyện khác",""),IF(OR(M1423=phu!$I$101,M1423=phu!$I$102),"Tỉnh khác",""))</f>
        <v/>
      </c>
      <c r="O1423" s="814" t="str">
        <f t="shared" si="133"/>
        <v/>
      </c>
      <c r="P1423" s="254"/>
      <c r="Q1423" s="254"/>
      <c r="R1423" s="254"/>
      <c r="S1423" s="254"/>
      <c r="T1423" s="254"/>
      <c r="U1423" s="254"/>
      <c r="V1423" s="254"/>
      <c r="W1423" s="254"/>
      <c r="Y1423" s="246" t="str">
        <f t="shared" si="134"/>
        <v/>
      </c>
      <c r="Z1423" s="247" t="str">
        <f t="shared" si="132"/>
        <v/>
      </c>
      <c r="AA1423" s="246" t="str">
        <f t="shared" si="135"/>
        <v/>
      </c>
    </row>
    <row r="1424" spans="1:27" x14ac:dyDescent="0.25">
      <c r="A1424" s="248" t="str">
        <f t="shared" si="136"/>
        <v/>
      </c>
      <c r="B1424" s="249" t="str">
        <f t="shared" si="137"/>
        <v/>
      </c>
      <c r="C1424" s="250"/>
      <c r="D1424" s="251"/>
      <c r="E1424" s="241"/>
      <c r="F1424" s="252"/>
      <c r="G1424" s="252"/>
      <c r="H1424" s="253"/>
      <c r="I1424" s="250"/>
      <c r="J1424" s="250"/>
      <c r="K1424" s="270"/>
      <c r="L1424" s="250"/>
      <c r="M1424" s="250"/>
      <c r="N1424" s="553" t="str">
        <f>CONCATENATE(IF(OR(M1424=phu!$I$1,M1424=phu!$I$2,M1424=phu!$I$3),"Cam Thành Nam",""),IF(OR(M1424=phu!$I$4,M1424=phu!$I$5,M1424=phu!$I$6,M1424=phu!$I$7,M1424=phu!$I$8,M1424=phu!$I$9,M1424=phu!$I$10,M1424=phu!$I$11,M1424=phu!$I$12,M1424=phu!$I$13,M1424=phu!$I$14),"Cam Nghĩa",""),IF(OR(M1424=phu!$I$15,M1424=phu!$I$16,M1424=phu!$I$17,M1424=phu!$I$18,M1424=phu!$I$19,M1424=phu!$I$20,M1424=phu!$I$21),"Cam Phúc Bắc",""),IF(OR(M1424=phu!$I$22,M1424=phu!$I$23,M1424=phu!$I$24,M1424=phu!$I$25),"Cam Phúc Nam",""),IF(OR(M1424=phu!$I$26,M1424=phu!$I$27,M1424=phu!$I$28,M1424=phu!$I$29,M1424=phu!$I$30,M1424=phu!$I$31),"Cam Phú",""),IF(OR(M1424=phu!$I$32,M1424=phu!$I$33,M1424=phu!$I$34,M1424=phu!$I$35,M1424=phu!$I$36,M1424=phu!$I$37),"Cam Lộc",""),IF(OR(M1424=phu!$I$38,M1424=phu!$I$39,M1424=phu!$I$40,M1424=phu!$I$41,M1424=phu!$I$42,M1424=phu!$I$43,M1424=phu!$I$44),"Cam Thuận",""),IF(OR(M1424=phu!$I$45,M1424=phu!$I$46,M1424=phu!$I$47,M1424=phu!$I$48,M1424=phu!$I$49,M1424=phu!$I$50,M1424=phu!$I$51,M1424=phu!$I$52,M1424=phu!$I$53),"Cam Linh",""),IF(OR(M1424=phu!$I$54,M1424=phu!$I$55,M1424=phu!$I$56,M1424=phu!$I$57,M1424=phu!$I$58,M1424=phu!$I$59,M1424=phu!$I$60,M1424=phu!$I$61,M1424=phu!$I$62),"Cam Lợi",""),IF(OR(M1424=phu!$I$63,M1424=phu!$I$64,M1424=phu!$I$65,M1424=phu!$I$66,M1424=phu!$I$67,M1424=phu!$I$68,M1424=phu!$I$69,M1424=phu!$I$70,M1424=phu!$I$71),"Ba Ngòi",""),IF(OR(M1424=phu!$I$72,M1424=phu!$I$73,M1424=phu!$I$74,M1424=phu!$I$75,M1424=phu!$I$76,M1424=phu!$I$77,M1424=phu!$I$78),"Cam Phước Đông",""),IF(OR(M1424=phu!$I$79,M1424=phu!$I$80,M1424=phu!$I$81,M1424=phu!$I$82,M1424=phu!$I$83,M1424=phu!$I$84),"Cam Thịnh Đông",""),IF(OR(M1424=phu!$I$85,M1424=phu!$I$86,M1424=phu!$I$87,M1424=phu!$I$88),"Cam Thịnh Tây",""),IF(OR(M1424=phu!$I$89,M1424=phu!$I$90),"Cam Lập",""),IF(OR(M1424=phu!$I$91,M1424=phu!$I$92,M1424=phu!$I$93),"Cam Bình",""),IF(OR(M1424=phu!$I$94,M1424=phu!$I$95,M1424=phu!$I$96,M1424=phu!$I$97,M1424=phu!$I$98,M1424=phu!$I$99,M1424=phu!$I$100),"Huyện khác",""),IF(OR(M1424=phu!$I$101,M1424=phu!$I$102),"Tỉnh khác",""))</f>
        <v/>
      </c>
      <c r="O1424" s="814" t="str">
        <f t="shared" si="133"/>
        <v/>
      </c>
      <c r="P1424" s="254"/>
      <c r="Q1424" s="254"/>
      <c r="R1424" s="254"/>
      <c r="S1424" s="254"/>
      <c r="T1424" s="254"/>
      <c r="U1424" s="254"/>
      <c r="V1424" s="254"/>
      <c r="W1424" s="254"/>
      <c r="Y1424" s="246" t="str">
        <f t="shared" si="134"/>
        <v/>
      </c>
      <c r="Z1424" s="247" t="str">
        <f t="shared" si="132"/>
        <v/>
      </c>
      <c r="AA1424" s="246" t="str">
        <f t="shared" si="135"/>
        <v/>
      </c>
    </row>
    <row r="1425" spans="1:27" x14ac:dyDescent="0.25">
      <c r="A1425" s="248" t="str">
        <f t="shared" si="136"/>
        <v/>
      </c>
      <c r="B1425" s="249" t="str">
        <f t="shared" si="137"/>
        <v/>
      </c>
      <c r="C1425" s="250"/>
      <c r="D1425" s="251"/>
      <c r="E1425" s="241"/>
      <c r="F1425" s="252"/>
      <c r="G1425" s="252"/>
      <c r="H1425" s="253"/>
      <c r="I1425" s="250"/>
      <c r="J1425" s="250"/>
      <c r="K1425" s="270"/>
      <c r="L1425" s="250"/>
      <c r="M1425" s="250"/>
      <c r="N1425" s="553" t="str">
        <f>CONCATENATE(IF(OR(M1425=phu!$I$1,M1425=phu!$I$2,M1425=phu!$I$3),"Cam Thành Nam",""),IF(OR(M1425=phu!$I$4,M1425=phu!$I$5,M1425=phu!$I$6,M1425=phu!$I$7,M1425=phu!$I$8,M1425=phu!$I$9,M1425=phu!$I$10,M1425=phu!$I$11,M1425=phu!$I$12,M1425=phu!$I$13,M1425=phu!$I$14),"Cam Nghĩa",""),IF(OR(M1425=phu!$I$15,M1425=phu!$I$16,M1425=phu!$I$17,M1425=phu!$I$18,M1425=phu!$I$19,M1425=phu!$I$20,M1425=phu!$I$21),"Cam Phúc Bắc",""),IF(OR(M1425=phu!$I$22,M1425=phu!$I$23,M1425=phu!$I$24,M1425=phu!$I$25),"Cam Phúc Nam",""),IF(OR(M1425=phu!$I$26,M1425=phu!$I$27,M1425=phu!$I$28,M1425=phu!$I$29,M1425=phu!$I$30,M1425=phu!$I$31),"Cam Phú",""),IF(OR(M1425=phu!$I$32,M1425=phu!$I$33,M1425=phu!$I$34,M1425=phu!$I$35,M1425=phu!$I$36,M1425=phu!$I$37),"Cam Lộc",""),IF(OR(M1425=phu!$I$38,M1425=phu!$I$39,M1425=phu!$I$40,M1425=phu!$I$41,M1425=phu!$I$42,M1425=phu!$I$43,M1425=phu!$I$44),"Cam Thuận",""),IF(OR(M1425=phu!$I$45,M1425=phu!$I$46,M1425=phu!$I$47,M1425=phu!$I$48,M1425=phu!$I$49,M1425=phu!$I$50,M1425=phu!$I$51,M1425=phu!$I$52,M1425=phu!$I$53),"Cam Linh",""),IF(OR(M1425=phu!$I$54,M1425=phu!$I$55,M1425=phu!$I$56,M1425=phu!$I$57,M1425=phu!$I$58,M1425=phu!$I$59,M1425=phu!$I$60,M1425=phu!$I$61,M1425=phu!$I$62),"Cam Lợi",""),IF(OR(M1425=phu!$I$63,M1425=phu!$I$64,M1425=phu!$I$65,M1425=phu!$I$66,M1425=phu!$I$67,M1425=phu!$I$68,M1425=phu!$I$69,M1425=phu!$I$70,M1425=phu!$I$71),"Ba Ngòi",""),IF(OR(M1425=phu!$I$72,M1425=phu!$I$73,M1425=phu!$I$74,M1425=phu!$I$75,M1425=phu!$I$76,M1425=phu!$I$77,M1425=phu!$I$78),"Cam Phước Đông",""),IF(OR(M1425=phu!$I$79,M1425=phu!$I$80,M1425=phu!$I$81,M1425=phu!$I$82,M1425=phu!$I$83,M1425=phu!$I$84),"Cam Thịnh Đông",""),IF(OR(M1425=phu!$I$85,M1425=phu!$I$86,M1425=phu!$I$87,M1425=phu!$I$88),"Cam Thịnh Tây",""),IF(OR(M1425=phu!$I$89,M1425=phu!$I$90),"Cam Lập",""),IF(OR(M1425=phu!$I$91,M1425=phu!$I$92,M1425=phu!$I$93),"Cam Bình",""),IF(OR(M1425=phu!$I$94,M1425=phu!$I$95,M1425=phu!$I$96,M1425=phu!$I$97,M1425=phu!$I$98,M1425=phu!$I$99,M1425=phu!$I$100),"Huyện khác",""),IF(OR(M1425=phu!$I$101,M1425=phu!$I$102),"Tỉnh khác",""))</f>
        <v/>
      </c>
      <c r="O1425" s="814" t="str">
        <f t="shared" si="133"/>
        <v/>
      </c>
      <c r="P1425" s="254"/>
      <c r="Q1425" s="254"/>
      <c r="R1425" s="254"/>
      <c r="S1425" s="254"/>
      <c r="T1425" s="254"/>
      <c r="U1425" s="254"/>
      <c r="V1425" s="254"/>
      <c r="W1425" s="254"/>
      <c r="Y1425" s="246" t="str">
        <f t="shared" si="134"/>
        <v/>
      </c>
      <c r="Z1425" s="247" t="str">
        <f t="shared" si="132"/>
        <v/>
      </c>
      <c r="AA1425" s="246" t="str">
        <f t="shared" si="135"/>
        <v/>
      </c>
    </row>
    <row r="1426" spans="1:27" x14ac:dyDescent="0.25">
      <c r="A1426" s="248" t="str">
        <f t="shared" si="136"/>
        <v/>
      </c>
      <c r="B1426" s="249" t="str">
        <f t="shared" si="137"/>
        <v/>
      </c>
      <c r="C1426" s="250"/>
      <c r="D1426" s="251"/>
      <c r="E1426" s="241"/>
      <c r="F1426" s="252"/>
      <c r="G1426" s="252"/>
      <c r="H1426" s="253"/>
      <c r="I1426" s="250"/>
      <c r="J1426" s="250"/>
      <c r="K1426" s="270"/>
      <c r="L1426" s="250"/>
      <c r="M1426" s="250"/>
      <c r="N1426" s="553" t="str">
        <f>CONCATENATE(IF(OR(M1426=phu!$I$1,M1426=phu!$I$2,M1426=phu!$I$3),"Cam Thành Nam",""),IF(OR(M1426=phu!$I$4,M1426=phu!$I$5,M1426=phu!$I$6,M1426=phu!$I$7,M1426=phu!$I$8,M1426=phu!$I$9,M1426=phu!$I$10,M1426=phu!$I$11,M1426=phu!$I$12,M1426=phu!$I$13,M1426=phu!$I$14),"Cam Nghĩa",""),IF(OR(M1426=phu!$I$15,M1426=phu!$I$16,M1426=phu!$I$17,M1426=phu!$I$18,M1426=phu!$I$19,M1426=phu!$I$20,M1426=phu!$I$21),"Cam Phúc Bắc",""),IF(OR(M1426=phu!$I$22,M1426=phu!$I$23,M1426=phu!$I$24,M1426=phu!$I$25),"Cam Phúc Nam",""),IF(OR(M1426=phu!$I$26,M1426=phu!$I$27,M1426=phu!$I$28,M1426=phu!$I$29,M1426=phu!$I$30,M1426=phu!$I$31),"Cam Phú",""),IF(OR(M1426=phu!$I$32,M1426=phu!$I$33,M1426=phu!$I$34,M1426=phu!$I$35,M1426=phu!$I$36,M1426=phu!$I$37),"Cam Lộc",""),IF(OR(M1426=phu!$I$38,M1426=phu!$I$39,M1426=phu!$I$40,M1426=phu!$I$41,M1426=phu!$I$42,M1426=phu!$I$43,M1426=phu!$I$44),"Cam Thuận",""),IF(OR(M1426=phu!$I$45,M1426=phu!$I$46,M1426=phu!$I$47,M1426=phu!$I$48,M1426=phu!$I$49,M1426=phu!$I$50,M1426=phu!$I$51,M1426=phu!$I$52,M1426=phu!$I$53),"Cam Linh",""),IF(OR(M1426=phu!$I$54,M1426=phu!$I$55,M1426=phu!$I$56,M1426=phu!$I$57,M1426=phu!$I$58,M1426=phu!$I$59,M1426=phu!$I$60,M1426=phu!$I$61,M1426=phu!$I$62),"Cam Lợi",""),IF(OR(M1426=phu!$I$63,M1426=phu!$I$64,M1426=phu!$I$65,M1426=phu!$I$66,M1426=phu!$I$67,M1426=phu!$I$68,M1426=phu!$I$69,M1426=phu!$I$70,M1426=phu!$I$71),"Ba Ngòi",""),IF(OR(M1426=phu!$I$72,M1426=phu!$I$73,M1426=phu!$I$74,M1426=phu!$I$75,M1426=phu!$I$76,M1426=phu!$I$77,M1426=phu!$I$78),"Cam Phước Đông",""),IF(OR(M1426=phu!$I$79,M1426=phu!$I$80,M1426=phu!$I$81,M1426=phu!$I$82,M1426=phu!$I$83,M1426=phu!$I$84),"Cam Thịnh Đông",""),IF(OR(M1426=phu!$I$85,M1426=phu!$I$86,M1426=phu!$I$87,M1426=phu!$I$88),"Cam Thịnh Tây",""),IF(OR(M1426=phu!$I$89,M1426=phu!$I$90),"Cam Lập",""),IF(OR(M1426=phu!$I$91,M1426=phu!$I$92,M1426=phu!$I$93),"Cam Bình",""),IF(OR(M1426=phu!$I$94,M1426=phu!$I$95,M1426=phu!$I$96,M1426=phu!$I$97,M1426=phu!$I$98,M1426=phu!$I$99,M1426=phu!$I$100),"Huyện khác",""),IF(OR(M1426=phu!$I$101,M1426=phu!$I$102),"Tỉnh khác",""))</f>
        <v/>
      </c>
      <c r="O1426" s="814" t="str">
        <f t="shared" si="133"/>
        <v/>
      </c>
      <c r="P1426" s="254"/>
      <c r="Q1426" s="254"/>
      <c r="R1426" s="254"/>
      <c r="S1426" s="254"/>
      <c r="T1426" s="254"/>
      <c r="U1426" s="254"/>
      <c r="V1426" s="254"/>
      <c r="W1426" s="254"/>
      <c r="Y1426" s="246" t="str">
        <f t="shared" si="134"/>
        <v/>
      </c>
      <c r="Z1426" s="247" t="str">
        <f t="shared" si="132"/>
        <v/>
      </c>
      <c r="AA1426" s="246" t="str">
        <f t="shared" si="135"/>
        <v/>
      </c>
    </row>
    <row r="1427" spans="1:27" x14ac:dyDescent="0.25">
      <c r="A1427" s="248" t="str">
        <f t="shared" si="136"/>
        <v/>
      </c>
      <c r="B1427" s="249" t="str">
        <f t="shared" si="137"/>
        <v/>
      </c>
      <c r="C1427" s="250"/>
      <c r="D1427" s="251"/>
      <c r="E1427" s="241"/>
      <c r="F1427" s="252"/>
      <c r="G1427" s="252"/>
      <c r="H1427" s="253"/>
      <c r="I1427" s="250"/>
      <c r="J1427" s="250"/>
      <c r="K1427" s="270"/>
      <c r="L1427" s="250"/>
      <c r="M1427" s="250"/>
      <c r="N1427" s="553" t="str">
        <f>CONCATENATE(IF(OR(M1427=phu!$I$1,M1427=phu!$I$2,M1427=phu!$I$3),"Cam Thành Nam",""),IF(OR(M1427=phu!$I$4,M1427=phu!$I$5,M1427=phu!$I$6,M1427=phu!$I$7,M1427=phu!$I$8,M1427=phu!$I$9,M1427=phu!$I$10,M1427=phu!$I$11,M1427=phu!$I$12,M1427=phu!$I$13,M1427=phu!$I$14),"Cam Nghĩa",""),IF(OR(M1427=phu!$I$15,M1427=phu!$I$16,M1427=phu!$I$17,M1427=phu!$I$18,M1427=phu!$I$19,M1427=phu!$I$20,M1427=phu!$I$21),"Cam Phúc Bắc",""),IF(OR(M1427=phu!$I$22,M1427=phu!$I$23,M1427=phu!$I$24,M1427=phu!$I$25),"Cam Phúc Nam",""),IF(OR(M1427=phu!$I$26,M1427=phu!$I$27,M1427=phu!$I$28,M1427=phu!$I$29,M1427=phu!$I$30,M1427=phu!$I$31),"Cam Phú",""),IF(OR(M1427=phu!$I$32,M1427=phu!$I$33,M1427=phu!$I$34,M1427=phu!$I$35,M1427=phu!$I$36,M1427=phu!$I$37),"Cam Lộc",""),IF(OR(M1427=phu!$I$38,M1427=phu!$I$39,M1427=phu!$I$40,M1427=phu!$I$41,M1427=phu!$I$42,M1427=phu!$I$43,M1427=phu!$I$44),"Cam Thuận",""),IF(OR(M1427=phu!$I$45,M1427=phu!$I$46,M1427=phu!$I$47,M1427=phu!$I$48,M1427=phu!$I$49,M1427=phu!$I$50,M1427=phu!$I$51,M1427=phu!$I$52,M1427=phu!$I$53),"Cam Linh",""),IF(OR(M1427=phu!$I$54,M1427=phu!$I$55,M1427=phu!$I$56,M1427=phu!$I$57,M1427=phu!$I$58,M1427=phu!$I$59,M1427=phu!$I$60,M1427=phu!$I$61,M1427=phu!$I$62),"Cam Lợi",""),IF(OR(M1427=phu!$I$63,M1427=phu!$I$64,M1427=phu!$I$65,M1427=phu!$I$66,M1427=phu!$I$67,M1427=phu!$I$68,M1427=phu!$I$69,M1427=phu!$I$70,M1427=phu!$I$71),"Ba Ngòi",""),IF(OR(M1427=phu!$I$72,M1427=phu!$I$73,M1427=phu!$I$74,M1427=phu!$I$75,M1427=phu!$I$76,M1427=phu!$I$77,M1427=phu!$I$78),"Cam Phước Đông",""),IF(OR(M1427=phu!$I$79,M1427=phu!$I$80,M1427=phu!$I$81,M1427=phu!$I$82,M1427=phu!$I$83,M1427=phu!$I$84),"Cam Thịnh Đông",""),IF(OR(M1427=phu!$I$85,M1427=phu!$I$86,M1427=phu!$I$87,M1427=phu!$I$88),"Cam Thịnh Tây",""),IF(OR(M1427=phu!$I$89,M1427=phu!$I$90),"Cam Lập",""),IF(OR(M1427=phu!$I$91,M1427=phu!$I$92,M1427=phu!$I$93),"Cam Bình",""),IF(OR(M1427=phu!$I$94,M1427=phu!$I$95,M1427=phu!$I$96,M1427=phu!$I$97,M1427=phu!$I$98,M1427=phu!$I$99,M1427=phu!$I$100),"Huyện khác",""),IF(OR(M1427=phu!$I$101,M1427=phu!$I$102),"Tỉnh khác",""))</f>
        <v/>
      </c>
      <c r="O1427" s="814" t="str">
        <f t="shared" si="133"/>
        <v/>
      </c>
      <c r="P1427" s="254"/>
      <c r="Q1427" s="254"/>
      <c r="R1427" s="254"/>
      <c r="S1427" s="254"/>
      <c r="T1427" s="254"/>
      <c r="U1427" s="254"/>
      <c r="V1427" s="254"/>
      <c r="W1427" s="254"/>
      <c r="Y1427" s="246" t="str">
        <f t="shared" si="134"/>
        <v/>
      </c>
      <c r="Z1427" s="247" t="str">
        <f t="shared" si="132"/>
        <v/>
      </c>
      <c r="AA1427" s="246" t="str">
        <f t="shared" si="135"/>
        <v/>
      </c>
    </row>
    <row r="1428" spans="1:27" x14ac:dyDescent="0.25">
      <c r="A1428" s="248" t="str">
        <f t="shared" si="136"/>
        <v/>
      </c>
      <c r="B1428" s="249" t="str">
        <f t="shared" si="137"/>
        <v/>
      </c>
      <c r="C1428" s="250"/>
      <c r="D1428" s="251"/>
      <c r="E1428" s="241"/>
      <c r="F1428" s="252"/>
      <c r="G1428" s="252"/>
      <c r="H1428" s="253"/>
      <c r="I1428" s="250"/>
      <c r="J1428" s="250"/>
      <c r="K1428" s="270"/>
      <c r="L1428" s="250"/>
      <c r="M1428" s="250"/>
      <c r="N1428" s="553" t="str">
        <f>CONCATENATE(IF(OR(M1428=phu!$I$1,M1428=phu!$I$2,M1428=phu!$I$3),"Cam Thành Nam",""),IF(OR(M1428=phu!$I$4,M1428=phu!$I$5,M1428=phu!$I$6,M1428=phu!$I$7,M1428=phu!$I$8,M1428=phu!$I$9,M1428=phu!$I$10,M1428=phu!$I$11,M1428=phu!$I$12,M1428=phu!$I$13,M1428=phu!$I$14),"Cam Nghĩa",""),IF(OR(M1428=phu!$I$15,M1428=phu!$I$16,M1428=phu!$I$17,M1428=phu!$I$18,M1428=phu!$I$19,M1428=phu!$I$20,M1428=phu!$I$21),"Cam Phúc Bắc",""),IF(OR(M1428=phu!$I$22,M1428=phu!$I$23,M1428=phu!$I$24,M1428=phu!$I$25),"Cam Phúc Nam",""),IF(OR(M1428=phu!$I$26,M1428=phu!$I$27,M1428=phu!$I$28,M1428=phu!$I$29,M1428=phu!$I$30,M1428=phu!$I$31),"Cam Phú",""),IF(OR(M1428=phu!$I$32,M1428=phu!$I$33,M1428=phu!$I$34,M1428=phu!$I$35,M1428=phu!$I$36,M1428=phu!$I$37),"Cam Lộc",""),IF(OR(M1428=phu!$I$38,M1428=phu!$I$39,M1428=phu!$I$40,M1428=phu!$I$41,M1428=phu!$I$42,M1428=phu!$I$43,M1428=phu!$I$44),"Cam Thuận",""),IF(OR(M1428=phu!$I$45,M1428=phu!$I$46,M1428=phu!$I$47,M1428=phu!$I$48,M1428=phu!$I$49,M1428=phu!$I$50,M1428=phu!$I$51,M1428=phu!$I$52,M1428=phu!$I$53),"Cam Linh",""),IF(OR(M1428=phu!$I$54,M1428=phu!$I$55,M1428=phu!$I$56,M1428=phu!$I$57,M1428=phu!$I$58,M1428=phu!$I$59,M1428=phu!$I$60,M1428=phu!$I$61,M1428=phu!$I$62),"Cam Lợi",""),IF(OR(M1428=phu!$I$63,M1428=phu!$I$64,M1428=phu!$I$65,M1428=phu!$I$66,M1428=phu!$I$67,M1428=phu!$I$68,M1428=phu!$I$69,M1428=phu!$I$70,M1428=phu!$I$71),"Ba Ngòi",""),IF(OR(M1428=phu!$I$72,M1428=phu!$I$73,M1428=phu!$I$74,M1428=phu!$I$75,M1428=phu!$I$76,M1428=phu!$I$77,M1428=phu!$I$78),"Cam Phước Đông",""),IF(OR(M1428=phu!$I$79,M1428=phu!$I$80,M1428=phu!$I$81,M1428=phu!$I$82,M1428=phu!$I$83,M1428=phu!$I$84),"Cam Thịnh Đông",""),IF(OR(M1428=phu!$I$85,M1428=phu!$I$86,M1428=phu!$I$87,M1428=phu!$I$88),"Cam Thịnh Tây",""),IF(OR(M1428=phu!$I$89,M1428=phu!$I$90),"Cam Lập",""),IF(OR(M1428=phu!$I$91,M1428=phu!$I$92,M1428=phu!$I$93),"Cam Bình",""),IF(OR(M1428=phu!$I$94,M1428=phu!$I$95,M1428=phu!$I$96,M1428=phu!$I$97,M1428=phu!$I$98,M1428=phu!$I$99,M1428=phu!$I$100),"Huyện khác",""),IF(OR(M1428=phu!$I$101,M1428=phu!$I$102),"Tỉnh khác",""))</f>
        <v/>
      </c>
      <c r="O1428" s="814" t="str">
        <f t="shared" si="133"/>
        <v/>
      </c>
      <c r="P1428" s="254"/>
      <c r="Q1428" s="254"/>
      <c r="R1428" s="254"/>
      <c r="S1428" s="254"/>
      <c r="T1428" s="254"/>
      <c r="U1428" s="254"/>
      <c r="V1428" s="254"/>
      <c r="W1428" s="254"/>
      <c r="Y1428" s="246" t="str">
        <f t="shared" si="134"/>
        <v/>
      </c>
      <c r="Z1428" s="247" t="str">
        <f t="shared" si="132"/>
        <v/>
      </c>
      <c r="AA1428" s="246" t="str">
        <f t="shared" si="135"/>
        <v/>
      </c>
    </row>
    <row r="1429" spans="1:27" x14ac:dyDescent="0.25">
      <c r="A1429" s="248" t="str">
        <f t="shared" si="136"/>
        <v/>
      </c>
      <c r="B1429" s="249" t="str">
        <f t="shared" si="137"/>
        <v/>
      </c>
      <c r="C1429" s="250"/>
      <c r="D1429" s="251"/>
      <c r="E1429" s="241"/>
      <c r="F1429" s="252"/>
      <c r="G1429" s="252"/>
      <c r="H1429" s="253"/>
      <c r="I1429" s="250"/>
      <c r="J1429" s="250"/>
      <c r="K1429" s="270"/>
      <c r="L1429" s="250"/>
      <c r="M1429" s="250"/>
      <c r="N1429" s="553" t="str">
        <f>CONCATENATE(IF(OR(M1429=phu!$I$1,M1429=phu!$I$2,M1429=phu!$I$3),"Cam Thành Nam",""),IF(OR(M1429=phu!$I$4,M1429=phu!$I$5,M1429=phu!$I$6,M1429=phu!$I$7,M1429=phu!$I$8,M1429=phu!$I$9,M1429=phu!$I$10,M1429=phu!$I$11,M1429=phu!$I$12,M1429=phu!$I$13,M1429=phu!$I$14),"Cam Nghĩa",""),IF(OR(M1429=phu!$I$15,M1429=phu!$I$16,M1429=phu!$I$17,M1429=phu!$I$18,M1429=phu!$I$19,M1429=phu!$I$20,M1429=phu!$I$21),"Cam Phúc Bắc",""),IF(OR(M1429=phu!$I$22,M1429=phu!$I$23,M1429=phu!$I$24,M1429=phu!$I$25),"Cam Phúc Nam",""),IF(OR(M1429=phu!$I$26,M1429=phu!$I$27,M1429=phu!$I$28,M1429=phu!$I$29,M1429=phu!$I$30,M1429=phu!$I$31),"Cam Phú",""),IF(OR(M1429=phu!$I$32,M1429=phu!$I$33,M1429=phu!$I$34,M1429=phu!$I$35,M1429=phu!$I$36,M1429=phu!$I$37),"Cam Lộc",""),IF(OR(M1429=phu!$I$38,M1429=phu!$I$39,M1429=phu!$I$40,M1429=phu!$I$41,M1429=phu!$I$42,M1429=phu!$I$43,M1429=phu!$I$44),"Cam Thuận",""),IF(OR(M1429=phu!$I$45,M1429=phu!$I$46,M1429=phu!$I$47,M1429=phu!$I$48,M1429=phu!$I$49,M1429=phu!$I$50,M1429=phu!$I$51,M1429=phu!$I$52,M1429=phu!$I$53),"Cam Linh",""),IF(OR(M1429=phu!$I$54,M1429=phu!$I$55,M1429=phu!$I$56,M1429=phu!$I$57,M1429=phu!$I$58,M1429=phu!$I$59,M1429=phu!$I$60,M1429=phu!$I$61,M1429=phu!$I$62),"Cam Lợi",""),IF(OR(M1429=phu!$I$63,M1429=phu!$I$64,M1429=phu!$I$65,M1429=phu!$I$66,M1429=phu!$I$67,M1429=phu!$I$68,M1429=phu!$I$69,M1429=phu!$I$70,M1429=phu!$I$71),"Ba Ngòi",""),IF(OR(M1429=phu!$I$72,M1429=phu!$I$73,M1429=phu!$I$74,M1429=phu!$I$75,M1429=phu!$I$76,M1429=phu!$I$77,M1429=phu!$I$78),"Cam Phước Đông",""),IF(OR(M1429=phu!$I$79,M1429=phu!$I$80,M1429=phu!$I$81,M1429=phu!$I$82,M1429=phu!$I$83,M1429=phu!$I$84),"Cam Thịnh Đông",""),IF(OR(M1429=phu!$I$85,M1429=phu!$I$86,M1429=phu!$I$87,M1429=phu!$I$88),"Cam Thịnh Tây",""),IF(OR(M1429=phu!$I$89,M1429=phu!$I$90),"Cam Lập",""),IF(OR(M1429=phu!$I$91,M1429=phu!$I$92,M1429=phu!$I$93),"Cam Bình",""),IF(OR(M1429=phu!$I$94,M1429=phu!$I$95,M1429=phu!$I$96,M1429=phu!$I$97,M1429=phu!$I$98,M1429=phu!$I$99,M1429=phu!$I$100),"Huyện khác",""),IF(OR(M1429=phu!$I$101,M1429=phu!$I$102),"Tỉnh khác",""))</f>
        <v/>
      </c>
      <c r="O1429" s="814" t="str">
        <f t="shared" si="133"/>
        <v/>
      </c>
      <c r="P1429" s="254"/>
      <c r="Q1429" s="254"/>
      <c r="R1429" s="254"/>
      <c r="S1429" s="254"/>
      <c r="T1429" s="254"/>
      <c r="U1429" s="254"/>
      <c r="V1429" s="254"/>
      <c r="W1429" s="254"/>
      <c r="Y1429" s="246" t="str">
        <f t="shared" si="134"/>
        <v/>
      </c>
      <c r="Z1429" s="247" t="str">
        <f t="shared" si="132"/>
        <v/>
      </c>
      <c r="AA1429" s="246" t="str">
        <f t="shared" si="135"/>
        <v/>
      </c>
    </row>
    <row r="1430" spans="1:27" x14ac:dyDescent="0.25">
      <c r="A1430" s="248" t="str">
        <f t="shared" si="136"/>
        <v/>
      </c>
      <c r="B1430" s="249" t="str">
        <f t="shared" si="137"/>
        <v/>
      </c>
      <c r="C1430" s="250"/>
      <c r="D1430" s="251"/>
      <c r="E1430" s="241"/>
      <c r="F1430" s="252"/>
      <c r="G1430" s="252"/>
      <c r="H1430" s="253"/>
      <c r="I1430" s="250"/>
      <c r="J1430" s="250"/>
      <c r="K1430" s="270"/>
      <c r="L1430" s="250"/>
      <c r="M1430" s="250"/>
      <c r="N1430" s="553" t="str">
        <f>CONCATENATE(IF(OR(M1430=phu!$I$1,M1430=phu!$I$2,M1430=phu!$I$3),"Cam Thành Nam",""),IF(OR(M1430=phu!$I$4,M1430=phu!$I$5,M1430=phu!$I$6,M1430=phu!$I$7,M1430=phu!$I$8,M1430=phu!$I$9,M1430=phu!$I$10,M1430=phu!$I$11,M1430=phu!$I$12,M1430=phu!$I$13,M1430=phu!$I$14),"Cam Nghĩa",""),IF(OR(M1430=phu!$I$15,M1430=phu!$I$16,M1430=phu!$I$17,M1430=phu!$I$18,M1430=phu!$I$19,M1430=phu!$I$20,M1430=phu!$I$21),"Cam Phúc Bắc",""),IF(OR(M1430=phu!$I$22,M1430=phu!$I$23,M1430=phu!$I$24,M1430=phu!$I$25),"Cam Phúc Nam",""),IF(OR(M1430=phu!$I$26,M1430=phu!$I$27,M1430=phu!$I$28,M1430=phu!$I$29,M1430=phu!$I$30,M1430=phu!$I$31),"Cam Phú",""),IF(OR(M1430=phu!$I$32,M1430=phu!$I$33,M1430=phu!$I$34,M1430=phu!$I$35,M1430=phu!$I$36,M1430=phu!$I$37),"Cam Lộc",""),IF(OR(M1430=phu!$I$38,M1430=phu!$I$39,M1430=phu!$I$40,M1430=phu!$I$41,M1430=phu!$I$42,M1430=phu!$I$43,M1430=phu!$I$44),"Cam Thuận",""),IF(OR(M1430=phu!$I$45,M1430=phu!$I$46,M1430=phu!$I$47,M1430=phu!$I$48,M1430=phu!$I$49,M1430=phu!$I$50,M1430=phu!$I$51,M1430=phu!$I$52,M1430=phu!$I$53),"Cam Linh",""),IF(OR(M1430=phu!$I$54,M1430=phu!$I$55,M1430=phu!$I$56,M1430=phu!$I$57,M1430=phu!$I$58,M1430=phu!$I$59,M1430=phu!$I$60,M1430=phu!$I$61,M1430=phu!$I$62),"Cam Lợi",""),IF(OR(M1430=phu!$I$63,M1430=phu!$I$64,M1430=phu!$I$65,M1430=phu!$I$66,M1430=phu!$I$67,M1430=phu!$I$68,M1430=phu!$I$69,M1430=phu!$I$70,M1430=phu!$I$71),"Ba Ngòi",""),IF(OR(M1430=phu!$I$72,M1430=phu!$I$73,M1430=phu!$I$74,M1430=phu!$I$75,M1430=phu!$I$76,M1430=phu!$I$77,M1430=phu!$I$78),"Cam Phước Đông",""),IF(OR(M1430=phu!$I$79,M1430=phu!$I$80,M1430=phu!$I$81,M1430=phu!$I$82,M1430=phu!$I$83,M1430=phu!$I$84),"Cam Thịnh Đông",""),IF(OR(M1430=phu!$I$85,M1430=phu!$I$86,M1430=phu!$I$87,M1430=phu!$I$88),"Cam Thịnh Tây",""),IF(OR(M1430=phu!$I$89,M1430=phu!$I$90),"Cam Lập",""),IF(OR(M1430=phu!$I$91,M1430=phu!$I$92,M1430=phu!$I$93),"Cam Bình",""),IF(OR(M1430=phu!$I$94,M1430=phu!$I$95,M1430=phu!$I$96,M1430=phu!$I$97,M1430=phu!$I$98,M1430=phu!$I$99,M1430=phu!$I$100),"Huyện khác",""),IF(OR(M1430=phu!$I$101,M1430=phu!$I$102),"Tỉnh khác",""))</f>
        <v/>
      </c>
      <c r="O1430" s="814" t="str">
        <f t="shared" si="133"/>
        <v/>
      </c>
      <c r="P1430" s="254"/>
      <c r="Q1430" s="254"/>
      <c r="R1430" s="254"/>
      <c r="S1430" s="254"/>
      <c r="T1430" s="254"/>
      <c r="U1430" s="254"/>
      <c r="V1430" s="254"/>
      <c r="W1430" s="254"/>
      <c r="Y1430" s="246" t="str">
        <f t="shared" si="134"/>
        <v/>
      </c>
      <c r="Z1430" s="247" t="str">
        <f t="shared" si="132"/>
        <v/>
      </c>
      <c r="AA1430" s="246" t="str">
        <f t="shared" si="135"/>
        <v/>
      </c>
    </row>
    <row r="1431" spans="1:27" x14ac:dyDescent="0.25">
      <c r="A1431" s="248" t="str">
        <f t="shared" si="136"/>
        <v/>
      </c>
      <c r="B1431" s="249" t="str">
        <f t="shared" si="137"/>
        <v/>
      </c>
      <c r="C1431" s="250"/>
      <c r="D1431" s="251"/>
      <c r="E1431" s="241"/>
      <c r="F1431" s="252"/>
      <c r="G1431" s="252"/>
      <c r="H1431" s="253"/>
      <c r="I1431" s="250"/>
      <c r="J1431" s="250"/>
      <c r="K1431" s="270"/>
      <c r="L1431" s="250"/>
      <c r="M1431" s="250"/>
      <c r="N1431" s="553" t="str">
        <f>CONCATENATE(IF(OR(M1431=phu!$I$1,M1431=phu!$I$2,M1431=phu!$I$3),"Cam Thành Nam",""),IF(OR(M1431=phu!$I$4,M1431=phu!$I$5,M1431=phu!$I$6,M1431=phu!$I$7,M1431=phu!$I$8,M1431=phu!$I$9,M1431=phu!$I$10,M1431=phu!$I$11,M1431=phu!$I$12,M1431=phu!$I$13,M1431=phu!$I$14),"Cam Nghĩa",""),IF(OR(M1431=phu!$I$15,M1431=phu!$I$16,M1431=phu!$I$17,M1431=phu!$I$18,M1431=phu!$I$19,M1431=phu!$I$20,M1431=phu!$I$21),"Cam Phúc Bắc",""),IF(OR(M1431=phu!$I$22,M1431=phu!$I$23,M1431=phu!$I$24,M1431=phu!$I$25),"Cam Phúc Nam",""),IF(OR(M1431=phu!$I$26,M1431=phu!$I$27,M1431=phu!$I$28,M1431=phu!$I$29,M1431=phu!$I$30,M1431=phu!$I$31),"Cam Phú",""),IF(OR(M1431=phu!$I$32,M1431=phu!$I$33,M1431=phu!$I$34,M1431=phu!$I$35,M1431=phu!$I$36,M1431=phu!$I$37),"Cam Lộc",""),IF(OR(M1431=phu!$I$38,M1431=phu!$I$39,M1431=phu!$I$40,M1431=phu!$I$41,M1431=phu!$I$42,M1431=phu!$I$43,M1431=phu!$I$44),"Cam Thuận",""),IF(OR(M1431=phu!$I$45,M1431=phu!$I$46,M1431=phu!$I$47,M1431=phu!$I$48,M1431=phu!$I$49,M1431=phu!$I$50,M1431=phu!$I$51,M1431=phu!$I$52,M1431=phu!$I$53),"Cam Linh",""),IF(OR(M1431=phu!$I$54,M1431=phu!$I$55,M1431=phu!$I$56,M1431=phu!$I$57,M1431=phu!$I$58,M1431=phu!$I$59,M1431=phu!$I$60,M1431=phu!$I$61,M1431=phu!$I$62),"Cam Lợi",""),IF(OR(M1431=phu!$I$63,M1431=phu!$I$64,M1431=phu!$I$65,M1431=phu!$I$66,M1431=phu!$I$67,M1431=phu!$I$68,M1431=phu!$I$69,M1431=phu!$I$70,M1431=phu!$I$71),"Ba Ngòi",""),IF(OR(M1431=phu!$I$72,M1431=phu!$I$73,M1431=phu!$I$74,M1431=phu!$I$75,M1431=phu!$I$76,M1431=phu!$I$77,M1431=phu!$I$78),"Cam Phước Đông",""),IF(OR(M1431=phu!$I$79,M1431=phu!$I$80,M1431=phu!$I$81,M1431=phu!$I$82,M1431=phu!$I$83,M1431=phu!$I$84),"Cam Thịnh Đông",""),IF(OR(M1431=phu!$I$85,M1431=phu!$I$86,M1431=phu!$I$87,M1431=phu!$I$88),"Cam Thịnh Tây",""),IF(OR(M1431=phu!$I$89,M1431=phu!$I$90),"Cam Lập",""),IF(OR(M1431=phu!$I$91,M1431=phu!$I$92,M1431=phu!$I$93),"Cam Bình",""),IF(OR(M1431=phu!$I$94,M1431=phu!$I$95,M1431=phu!$I$96,M1431=phu!$I$97,M1431=phu!$I$98,M1431=phu!$I$99,M1431=phu!$I$100),"Huyện khác",""),IF(OR(M1431=phu!$I$101,M1431=phu!$I$102),"Tỉnh khác",""))</f>
        <v/>
      </c>
      <c r="O1431" s="814" t="str">
        <f t="shared" si="133"/>
        <v/>
      </c>
      <c r="P1431" s="254"/>
      <c r="Q1431" s="254"/>
      <c r="R1431" s="254"/>
      <c r="S1431" s="254"/>
      <c r="T1431" s="254"/>
      <c r="U1431" s="254"/>
      <c r="V1431" s="254"/>
      <c r="W1431" s="254"/>
      <c r="Y1431" s="246" t="str">
        <f t="shared" si="134"/>
        <v/>
      </c>
      <c r="Z1431" s="247" t="str">
        <f t="shared" si="132"/>
        <v/>
      </c>
      <c r="AA1431" s="246" t="str">
        <f t="shared" si="135"/>
        <v/>
      </c>
    </row>
    <row r="1432" spans="1:27" x14ac:dyDescent="0.25">
      <c r="A1432" s="248" t="str">
        <f t="shared" si="136"/>
        <v/>
      </c>
      <c r="B1432" s="249" t="str">
        <f t="shared" si="137"/>
        <v/>
      </c>
      <c r="C1432" s="250"/>
      <c r="D1432" s="251"/>
      <c r="E1432" s="241"/>
      <c r="F1432" s="252"/>
      <c r="G1432" s="252"/>
      <c r="H1432" s="253"/>
      <c r="I1432" s="250"/>
      <c r="J1432" s="250"/>
      <c r="K1432" s="270"/>
      <c r="L1432" s="250"/>
      <c r="M1432" s="250"/>
      <c r="N1432" s="553" t="str">
        <f>CONCATENATE(IF(OR(M1432=phu!$I$1,M1432=phu!$I$2,M1432=phu!$I$3),"Cam Thành Nam",""),IF(OR(M1432=phu!$I$4,M1432=phu!$I$5,M1432=phu!$I$6,M1432=phu!$I$7,M1432=phu!$I$8,M1432=phu!$I$9,M1432=phu!$I$10,M1432=phu!$I$11,M1432=phu!$I$12,M1432=phu!$I$13,M1432=phu!$I$14),"Cam Nghĩa",""),IF(OR(M1432=phu!$I$15,M1432=phu!$I$16,M1432=phu!$I$17,M1432=phu!$I$18,M1432=phu!$I$19,M1432=phu!$I$20,M1432=phu!$I$21),"Cam Phúc Bắc",""),IF(OR(M1432=phu!$I$22,M1432=phu!$I$23,M1432=phu!$I$24,M1432=phu!$I$25),"Cam Phúc Nam",""),IF(OR(M1432=phu!$I$26,M1432=phu!$I$27,M1432=phu!$I$28,M1432=phu!$I$29,M1432=phu!$I$30,M1432=phu!$I$31),"Cam Phú",""),IF(OR(M1432=phu!$I$32,M1432=phu!$I$33,M1432=phu!$I$34,M1432=phu!$I$35,M1432=phu!$I$36,M1432=phu!$I$37),"Cam Lộc",""),IF(OR(M1432=phu!$I$38,M1432=phu!$I$39,M1432=phu!$I$40,M1432=phu!$I$41,M1432=phu!$I$42,M1432=phu!$I$43,M1432=phu!$I$44),"Cam Thuận",""),IF(OR(M1432=phu!$I$45,M1432=phu!$I$46,M1432=phu!$I$47,M1432=phu!$I$48,M1432=phu!$I$49,M1432=phu!$I$50,M1432=phu!$I$51,M1432=phu!$I$52,M1432=phu!$I$53),"Cam Linh",""),IF(OR(M1432=phu!$I$54,M1432=phu!$I$55,M1432=phu!$I$56,M1432=phu!$I$57,M1432=phu!$I$58,M1432=phu!$I$59,M1432=phu!$I$60,M1432=phu!$I$61,M1432=phu!$I$62),"Cam Lợi",""),IF(OR(M1432=phu!$I$63,M1432=phu!$I$64,M1432=phu!$I$65,M1432=phu!$I$66,M1432=phu!$I$67,M1432=phu!$I$68,M1432=phu!$I$69,M1432=phu!$I$70,M1432=phu!$I$71),"Ba Ngòi",""),IF(OR(M1432=phu!$I$72,M1432=phu!$I$73,M1432=phu!$I$74,M1432=phu!$I$75,M1432=phu!$I$76,M1432=phu!$I$77,M1432=phu!$I$78),"Cam Phước Đông",""),IF(OR(M1432=phu!$I$79,M1432=phu!$I$80,M1432=phu!$I$81,M1432=phu!$I$82,M1432=phu!$I$83,M1432=phu!$I$84),"Cam Thịnh Đông",""),IF(OR(M1432=phu!$I$85,M1432=phu!$I$86,M1432=phu!$I$87,M1432=phu!$I$88),"Cam Thịnh Tây",""),IF(OR(M1432=phu!$I$89,M1432=phu!$I$90),"Cam Lập",""),IF(OR(M1432=phu!$I$91,M1432=phu!$I$92,M1432=phu!$I$93),"Cam Bình",""),IF(OR(M1432=phu!$I$94,M1432=phu!$I$95,M1432=phu!$I$96,M1432=phu!$I$97,M1432=phu!$I$98,M1432=phu!$I$99,M1432=phu!$I$100),"Huyện khác",""),IF(OR(M1432=phu!$I$101,M1432=phu!$I$102),"Tỉnh khác",""))</f>
        <v/>
      </c>
      <c r="O1432" s="814" t="str">
        <f t="shared" si="133"/>
        <v/>
      </c>
      <c r="P1432" s="254"/>
      <c r="Q1432" s="254"/>
      <c r="R1432" s="254"/>
      <c r="S1432" s="254"/>
      <c r="T1432" s="254"/>
      <c r="U1432" s="254"/>
      <c r="V1432" s="254"/>
      <c r="W1432" s="254"/>
      <c r="Y1432" s="246" t="str">
        <f t="shared" si="134"/>
        <v/>
      </c>
      <c r="Z1432" s="247" t="str">
        <f t="shared" si="132"/>
        <v/>
      </c>
      <c r="AA1432" s="246" t="str">
        <f t="shared" si="135"/>
        <v/>
      </c>
    </row>
    <row r="1433" spans="1:27" x14ac:dyDescent="0.25">
      <c r="A1433" s="248" t="str">
        <f t="shared" si="136"/>
        <v/>
      </c>
      <c r="B1433" s="249" t="str">
        <f t="shared" si="137"/>
        <v/>
      </c>
      <c r="C1433" s="250"/>
      <c r="D1433" s="251"/>
      <c r="E1433" s="241"/>
      <c r="F1433" s="252"/>
      <c r="G1433" s="252"/>
      <c r="H1433" s="253"/>
      <c r="I1433" s="250"/>
      <c r="J1433" s="250"/>
      <c r="K1433" s="270"/>
      <c r="L1433" s="250"/>
      <c r="M1433" s="250"/>
      <c r="N1433" s="553" t="str">
        <f>CONCATENATE(IF(OR(M1433=phu!$I$1,M1433=phu!$I$2,M1433=phu!$I$3),"Cam Thành Nam",""),IF(OR(M1433=phu!$I$4,M1433=phu!$I$5,M1433=phu!$I$6,M1433=phu!$I$7,M1433=phu!$I$8,M1433=phu!$I$9,M1433=phu!$I$10,M1433=phu!$I$11,M1433=phu!$I$12,M1433=phu!$I$13,M1433=phu!$I$14),"Cam Nghĩa",""),IF(OR(M1433=phu!$I$15,M1433=phu!$I$16,M1433=phu!$I$17,M1433=phu!$I$18,M1433=phu!$I$19,M1433=phu!$I$20,M1433=phu!$I$21),"Cam Phúc Bắc",""),IF(OR(M1433=phu!$I$22,M1433=phu!$I$23,M1433=phu!$I$24,M1433=phu!$I$25),"Cam Phúc Nam",""),IF(OR(M1433=phu!$I$26,M1433=phu!$I$27,M1433=phu!$I$28,M1433=phu!$I$29,M1433=phu!$I$30,M1433=phu!$I$31),"Cam Phú",""),IF(OR(M1433=phu!$I$32,M1433=phu!$I$33,M1433=phu!$I$34,M1433=phu!$I$35,M1433=phu!$I$36,M1433=phu!$I$37),"Cam Lộc",""),IF(OR(M1433=phu!$I$38,M1433=phu!$I$39,M1433=phu!$I$40,M1433=phu!$I$41,M1433=phu!$I$42,M1433=phu!$I$43,M1433=phu!$I$44),"Cam Thuận",""),IF(OR(M1433=phu!$I$45,M1433=phu!$I$46,M1433=phu!$I$47,M1433=phu!$I$48,M1433=phu!$I$49,M1433=phu!$I$50,M1433=phu!$I$51,M1433=phu!$I$52,M1433=phu!$I$53),"Cam Linh",""),IF(OR(M1433=phu!$I$54,M1433=phu!$I$55,M1433=phu!$I$56,M1433=phu!$I$57,M1433=phu!$I$58,M1433=phu!$I$59,M1433=phu!$I$60,M1433=phu!$I$61,M1433=phu!$I$62),"Cam Lợi",""),IF(OR(M1433=phu!$I$63,M1433=phu!$I$64,M1433=phu!$I$65,M1433=phu!$I$66,M1433=phu!$I$67,M1433=phu!$I$68,M1433=phu!$I$69,M1433=phu!$I$70,M1433=phu!$I$71),"Ba Ngòi",""),IF(OR(M1433=phu!$I$72,M1433=phu!$I$73,M1433=phu!$I$74,M1433=phu!$I$75,M1433=phu!$I$76,M1433=phu!$I$77,M1433=phu!$I$78),"Cam Phước Đông",""),IF(OR(M1433=phu!$I$79,M1433=phu!$I$80,M1433=phu!$I$81,M1433=phu!$I$82,M1433=phu!$I$83,M1433=phu!$I$84),"Cam Thịnh Đông",""),IF(OR(M1433=phu!$I$85,M1433=phu!$I$86,M1433=phu!$I$87,M1433=phu!$I$88),"Cam Thịnh Tây",""),IF(OR(M1433=phu!$I$89,M1433=phu!$I$90),"Cam Lập",""),IF(OR(M1433=phu!$I$91,M1433=phu!$I$92,M1433=phu!$I$93),"Cam Bình",""),IF(OR(M1433=phu!$I$94,M1433=phu!$I$95,M1433=phu!$I$96,M1433=phu!$I$97,M1433=phu!$I$98,M1433=phu!$I$99,M1433=phu!$I$100),"Huyện khác",""),IF(OR(M1433=phu!$I$101,M1433=phu!$I$102),"Tỉnh khác",""))</f>
        <v/>
      </c>
      <c r="O1433" s="814" t="str">
        <f t="shared" si="133"/>
        <v/>
      </c>
      <c r="P1433" s="254"/>
      <c r="Q1433" s="254"/>
      <c r="R1433" s="254"/>
      <c r="S1433" s="254"/>
      <c r="T1433" s="254"/>
      <c r="U1433" s="254"/>
      <c r="V1433" s="254"/>
      <c r="W1433" s="254"/>
      <c r="Y1433" s="246" t="str">
        <f t="shared" si="134"/>
        <v/>
      </c>
      <c r="Z1433" s="247" t="str">
        <f t="shared" si="132"/>
        <v/>
      </c>
      <c r="AA1433" s="246" t="str">
        <f t="shared" si="135"/>
        <v/>
      </c>
    </row>
    <row r="1434" spans="1:27" x14ac:dyDescent="0.25">
      <c r="A1434" s="248" t="str">
        <f t="shared" si="136"/>
        <v/>
      </c>
      <c r="B1434" s="249" t="str">
        <f t="shared" si="137"/>
        <v/>
      </c>
      <c r="C1434" s="250"/>
      <c r="D1434" s="251"/>
      <c r="E1434" s="241"/>
      <c r="F1434" s="252"/>
      <c r="G1434" s="252"/>
      <c r="H1434" s="253"/>
      <c r="I1434" s="250"/>
      <c r="J1434" s="250"/>
      <c r="K1434" s="270"/>
      <c r="L1434" s="250"/>
      <c r="M1434" s="250"/>
      <c r="N1434" s="553" t="str">
        <f>CONCATENATE(IF(OR(M1434=phu!$I$1,M1434=phu!$I$2,M1434=phu!$I$3),"Cam Thành Nam",""),IF(OR(M1434=phu!$I$4,M1434=phu!$I$5,M1434=phu!$I$6,M1434=phu!$I$7,M1434=phu!$I$8,M1434=phu!$I$9,M1434=phu!$I$10,M1434=phu!$I$11,M1434=phu!$I$12,M1434=phu!$I$13,M1434=phu!$I$14),"Cam Nghĩa",""),IF(OR(M1434=phu!$I$15,M1434=phu!$I$16,M1434=phu!$I$17,M1434=phu!$I$18,M1434=phu!$I$19,M1434=phu!$I$20,M1434=phu!$I$21),"Cam Phúc Bắc",""),IF(OR(M1434=phu!$I$22,M1434=phu!$I$23,M1434=phu!$I$24,M1434=phu!$I$25),"Cam Phúc Nam",""),IF(OR(M1434=phu!$I$26,M1434=phu!$I$27,M1434=phu!$I$28,M1434=phu!$I$29,M1434=phu!$I$30,M1434=phu!$I$31),"Cam Phú",""),IF(OR(M1434=phu!$I$32,M1434=phu!$I$33,M1434=phu!$I$34,M1434=phu!$I$35,M1434=phu!$I$36,M1434=phu!$I$37),"Cam Lộc",""),IF(OR(M1434=phu!$I$38,M1434=phu!$I$39,M1434=phu!$I$40,M1434=phu!$I$41,M1434=phu!$I$42,M1434=phu!$I$43,M1434=phu!$I$44),"Cam Thuận",""),IF(OR(M1434=phu!$I$45,M1434=phu!$I$46,M1434=phu!$I$47,M1434=phu!$I$48,M1434=phu!$I$49,M1434=phu!$I$50,M1434=phu!$I$51,M1434=phu!$I$52,M1434=phu!$I$53),"Cam Linh",""),IF(OR(M1434=phu!$I$54,M1434=phu!$I$55,M1434=phu!$I$56,M1434=phu!$I$57,M1434=phu!$I$58,M1434=phu!$I$59,M1434=phu!$I$60,M1434=phu!$I$61,M1434=phu!$I$62),"Cam Lợi",""),IF(OR(M1434=phu!$I$63,M1434=phu!$I$64,M1434=phu!$I$65,M1434=phu!$I$66,M1434=phu!$I$67,M1434=phu!$I$68,M1434=phu!$I$69,M1434=phu!$I$70,M1434=phu!$I$71),"Ba Ngòi",""),IF(OR(M1434=phu!$I$72,M1434=phu!$I$73,M1434=phu!$I$74,M1434=phu!$I$75,M1434=phu!$I$76,M1434=phu!$I$77,M1434=phu!$I$78),"Cam Phước Đông",""),IF(OR(M1434=phu!$I$79,M1434=phu!$I$80,M1434=phu!$I$81,M1434=phu!$I$82,M1434=phu!$I$83,M1434=phu!$I$84),"Cam Thịnh Đông",""),IF(OR(M1434=phu!$I$85,M1434=phu!$I$86,M1434=phu!$I$87,M1434=phu!$I$88),"Cam Thịnh Tây",""),IF(OR(M1434=phu!$I$89,M1434=phu!$I$90),"Cam Lập",""),IF(OR(M1434=phu!$I$91,M1434=phu!$I$92,M1434=phu!$I$93),"Cam Bình",""),IF(OR(M1434=phu!$I$94,M1434=phu!$I$95,M1434=phu!$I$96,M1434=phu!$I$97,M1434=phu!$I$98,M1434=phu!$I$99,M1434=phu!$I$100),"Huyện khác",""),IF(OR(M1434=phu!$I$101,M1434=phu!$I$102),"Tỉnh khác",""))</f>
        <v/>
      </c>
      <c r="O1434" s="814" t="str">
        <f t="shared" si="133"/>
        <v/>
      </c>
      <c r="P1434" s="254"/>
      <c r="Q1434" s="254"/>
      <c r="R1434" s="254"/>
      <c r="S1434" s="254"/>
      <c r="T1434" s="254"/>
      <c r="U1434" s="254"/>
      <c r="V1434" s="254"/>
      <c r="W1434" s="254"/>
      <c r="Y1434" s="246" t="str">
        <f t="shared" si="134"/>
        <v/>
      </c>
      <c r="Z1434" s="247" t="str">
        <f t="shared" si="132"/>
        <v/>
      </c>
      <c r="AA1434" s="246" t="str">
        <f t="shared" si="135"/>
        <v/>
      </c>
    </row>
    <row r="1435" spans="1:27" x14ac:dyDescent="0.25">
      <c r="A1435" s="248" t="str">
        <f t="shared" si="136"/>
        <v/>
      </c>
      <c r="B1435" s="249" t="str">
        <f t="shared" si="137"/>
        <v/>
      </c>
      <c r="C1435" s="250"/>
      <c r="D1435" s="251"/>
      <c r="E1435" s="241"/>
      <c r="F1435" s="252"/>
      <c r="G1435" s="252"/>
      <c r="H1435" s="253"/>
      <c r="I1435" s="250"/>
      <c r="J1435" s="250"/>
      <c r="K1435" s="270"/>
      <c r="L1435" s="250"/>
      <c r="M1435" s="250"/>
      <c r="N1435" s="553" t="str">
        <f>CONCATENATE(IF(OR(M1435=phu!$I$1,M1435=phu!$I$2,M1435=phu!$I$3),"Cam Thành Nam",""),IF(OR(M1435=phu!$I$4,M1435=phu!$I$5,M1435=phu!$I$6,M1435=phu!$I$7,M1435=phu!$I$8,M1435=phu!$I$9,M1435=phu!$I$10,M1435=phu!$I$11,M1435=phu!$I$12,M1435=phu!$I$13,M1435=phu!$I$14),"Cam Nghĩa",""),IF(OR(M1435=phu!$I$15,M1435=phu!$I$16,M1435=phu!$I$17,M1435=phu!$I$18,M1435=phu!$I$19,M1435=phu!$I$20,M1435=phu!$I$21),"Cam Phúc Bắc",""),IF(OR(M1435=phu!$I$22,M1435=phu!$I$23,M1435=phu!$I$24,M1435=phu!$I$25),"Cam Phúc Nam",""),IF(OR(M1435=phu!$I$26,M1435=phu!$I$27,M1435=phu!$I$28,M1435=phu!$I$29,M1435=phu!$I$30,M1435=phu!$I$31),"Cam Phú",""),IF(OR(M1435=phu!$I$32,M1435=phu!$I$33,M1435=phu!$I$34,M1435=phu!$I$35,M1435=phu!$I$36,M1435=phu!$I$37),"Cam Lộc",""),IF(OR(M1435=phu!$I$38,M1435=phu!$I$39,M1435=phu!$I$40,M1435=phu!$I$41,M1435=phu!$I$42,M1435=phu!$I$43,M1435=phu!$I$44),"Cam Thuận",""),IF(OR(M1435=phu!$I$45,M1435=phu!$I$46,M1435=phu!$I$47,M1435=phu!$I$48,M1435=phu!$I$49,M1435=phu!$I$50,M1435=phu!$I$51,M1435=phu!$I$52,M1435=phu!$I$53),"Cam Linh",""),IF(OR(M1435=phu!$I$54,M1435=phu!$I$55,M1435=phu!$I$56,M1435=phu!$I$57,M1435=phu!$I$58,M1435=phu!$I$59,M1435=phu!$I$60,M1435=phu!$I$61,M1435=phu!$I$62),"Cam Lợi",""),IF(OR(M1435=phu!$I$63,M1435=phu!$I$64,M1435=phu!$I$65,M1435=phu!$I$66,M1435=phu!$I$67,M1435=phu!$I$68,M1435=phu!$I$69,M1435=phu!$I$70,M1435=phu!$I$71),"Ba Ngòi",""),IF(OR(M1435=phu!$I$72,M1435=phu!$I$73,M1435=phu!$I$74,M1435=phu!$I$75,M1435=phu!$I$76,M1435=phu!$I$77,M1435=phu!$I$78),"Cam Phước Đông",""),IF(OR(M1435=phu!$I$79,M1435=phu!$I$80,M1435=phu!$I$81,M1435=phu!$I$82,M1435=phu!$I$83,M1435=phu!$I$84),"Cam Thịnh Đông",""),IF(OR(M1435=phu!$I$85,M1435=phu!$I$86,M1435=phu!$I$87,M1435=phu!$I$88),"Cam Thịnh Tây",""),IF(OR(M1435=phu!$I$89,M1435=phu!$I$90),"Cam Lập",""),IF(OR(M1435=phu!$I$91,M1435=phu!$I$92,M1435=phu!$I$93),"Cam Bình",""),IF(OR(M1435=phu!$I$94,M1435=phu!$I$95,M1435=phu!$I$96,M1435=phu!$I$97,M1435=phu!$I$98,M1435=phu!$I$99,M1435=phu!$I$100),"Huyện khác",""),IF(OR(M1435=phu!$I$101,M1435=phu!$I$102),"Tỉnh khác",""))</f>
        <v/>
      </c>
      <c r="O1435" s="814" t="str">
        <f t="shared" si="133"/>
        <v/>
      </c>
      <c r="P1435" s="254"/>
      <c r="Q1435" s="254"/>
      <c r="R1435" s="254"/>
      <c r="S1435" s="254"/>
      <c r="T1435" s="254"/>
      <c r="U1435" s="254"/>
      <c r="V1435" s="254"/>
      <c r="W1435" s="254"/>
      <c r="Y1435" s="246" t="str">
        <f t="shared" si="134"/>
        <v/>
      </c>
      <c r="Z1435" s="247" t="str">
        <f t="shared" si="132"/>
        <v/>
      </c>
      <c r="AA1435" s="246" t="str">
        <f t="shared" si="135"/>
        <v/>
      </c>
    </row>
    <row r="1436" spans="1:27" x14ac:dyDescent="0.25">
      <c r="A1436" s="248" t="str">
        <f t="shared" si="136"/>
        <v/>
      </c>
      <c r="B1436" s="249" t="str">
        <f t="shared" si="137"/>
        <v/>
      </c>
      <c r="C1436" s="250"/>
      <c r="D1436" s="251"/>
      <c r="E1436" s="241"/>
      <c r="F1436" s="252"/>
      <c r="G1436" s="252"/>
      <c r="H1436" s="253"/>
      <c r="I1436" s="250"/>
      <c r="J1436" s="250"/>
      <c r="K1436" s="270"/>
      <c r="L1436" s="250"/>
      <c r="M1436" s="250"/>
      <c r="N1436" s="553" t="str">
        <f>CONCATENATE(IF(OR(M1436=phu!$I$1,M1436=phu!$I$2,M1436=phu!$I$3),"Cam Thành Nam",""),IF(OR(M1436=phu!$I$4,M1436=phu!$I$5,M1436=phu!$I$6,M1436=phu!$I$7,M1436=phu!$I$8,M1436=phu!$I$9,M1436=phu!$I$10,M1436=phu!$I$11,M1436=phu!$I$12,M1436=phu!$I$13,M1436=phu!$I$14),"Cam Nghĩa",""),IF(OR(M1436=phu!$I$15,M1436=phu!$I$16,M1436=phu!$I$17,M1436=phu!$I$18,M1436=phu!$I$19,M1436=phu!$I$20,M1436=phu!$I$21),"Cam Phúc Bắc",""),IF(OR(M1436=phu!$I$22,M1436=phu!$I$23,M1436=phu!$I$24,M1436=phu!$I$25),"Cam Phúc Nam",""),IF(OR(M1436=phu!$I$26,M1436=phu!$I$27,M1436=phu!$I$28,M1436=phu!$I$29,M1436=phu!$I$30,M1436=phu!$I$31),"Cam Phú",""),IF(OR(M1436=phu!$I$32,M1436=phu!$I$33,M1436=phu!$I$34,M1436=phu!$I$35,M1436=phu!$I$36,M1436=phu!$I$37),"Cam Lộc",""),IF(OR(M1436=phu!$I$38,M1436=phu!$I$39,M1436=phu!$I$40,M1436=phu!$I$41,M1436=phu!$I$42,M1436=phu!$I$43,M1436=phu!$I$44),"Cam Thuận",""),IF(OR(M1436=phu!$I$45,M1436=phu!$I$46,M1436=phu!$I$47,M1436=phu!$I$48,M1436=phu!$I$49,M1436=phu!$I$50,M1436=phu!$I$51,M1436=phu!$I$52,M1436=phu!$I$53),"Cam Linh",""),IF(OR(M1436=phu!$I$54,M1436=phu!$I$55,M1436=phu!$I$56,M1436=phu!$I$57,M1436=phu!$I$58,M1436=phu!$I$59,M1436=phu!$I$60,M1436=phu!$I$61,M1436=phu!$I$62),"Cam Lợi",""),IF(OR(M1436=phu!$I$63,M1436=phu!$I$64,M1436=phu!$I$65,M1436=phu!$I$66,M1436=phu!$I$67,M1436=phu!$I$68,M1436=phu!$I$69,M1436=phu!$I$70,M1436=phu!$I$71),"Ba Ngòi",""),IF(OR(M1436=phu!$I$72,M1436=phu!$I$73,M1436=phu!$I$74,M1436=phu!$I$75,M1436=phu!$I$76,M1436=phu!$I$77,M1436=phu!$I$78),"Cam Phước Đông",""),IF(OR(M1436=phu!$I$79,M1436=phu!$I$80,M1436=phu!$I$81,M1436=phu!$I$82,M1436=phu!$I$83,M1436=phu!$I$84),"Cam Thịnh Đông",""),IF(OR(M1436=phu!$I$85,M1436=phu!$I$86,M1436=phu!$I$87,M1436=phu!$I$88),"Cam Thịnh Tây",""),IF(OR(M1436=phu!$I$89,M1436=phu!$I$90),"Cam Lập",""),IF(OR(M1436=phu!$I$91,M1436=phu!$I$92,M1436=phu!$I$93),"Cam Bình",""),IF(OR(M1436=phu!$I$94,M1436=phu!$I$95,M1436=phu!$I$96,M1436=phu!$I$97,M1436=phu!$I$98,M1436=phu!$I$99,M1436=phu!$I$100),"Huyện khác",""),IF(OR(M1436=phu!$I$101,M1436=phu!$I$102),"Tỉnh khác",""))</f>
        <v/>
      </c>
      <c r="O1436" s="814" t="str">
        <f t="shared" si="133"/>
        <v/>
      </c>
      <c r="P1436" s="254"/>
      <c r="Q1436" s="254"/>
      <c r="R1436" s="254"/>
      <c r="S1436" s="254"/>
      <c r="T1436" s="254"/>
      <c r="U1436" s="254"/>
      <c r="V1436" s="254"/>
      <c r="W1436" s="254"/>
      <c r="Y1436" s="246" t="str">
        <f t="shared" si="134"/>
        <v/>
      </c>
      <c r="Z1436" s="247" t="str">
        <f t="shared" si="132"/>
        <v/>
      </c>
      <c r="AA1436" s="246" t="str">
        <f t="shared" si="135"/>
        <v/>
      </c>
    </row>
    <row r="1437" spans="1:27" x14ac:dyDescent="0.25">
      <c r="A1437" s="248" t="str">
        <f t="shared" si="136"/>
        <v/>
      </c>
      <c r="B1437" s="249" t="str">
        <f t="shared" si="137"/>
        <v/>
      </c>
      <c r="C1437" s="250"/>
      <c r="D1437" s="251"/>
      <c r="E1437" s="241"/>
      <c r="F1437" s="252"/>
      <c r="G1437" s="252"/>
      <c r="H1437" s="253"/>
      <c r="I1437" s="250"/>
      <c r="J1437" s="250"/>
      <c r="K1437" s="270"/>
      <c r="L1437" s="250"/>
      <c r="M1437" s="250"/>
      <c r="N1437" s="553" t="str">
        <f>CONCATENATE(IF(OR(M1437=phu!$I$1,M1437=phu!$I$2,M1437=phu!$I$3),"Cam Thành Nam",""),IF(OR(M1437=phu!$I$4,M1437=phu!$I$5,M1437=phu!$I$6,M1437=phu!$I$7,M1437=phu!$I$8,M1437=phu!$I$9,M1437=phu!$I$10,M1437=phu!$I$11,M1437=phu!$I$12,M1437=phu!$I$13,M1437=phu!$I$14),"Cam Nghĩa",""),IF(OR(M1437=phu!$I$15,M1437=phu!$I$16,M1437=phu!$I$17,M1437=phu!$I$18,M1437=phu!$I$19,M1437=phu!$I$20,M1437=phu!$I$21),"Cam Phúc Bắc",""),IF(OR(M1437=phu!$I$22,M1437=phu!$I$23,M1437=phu!$I$24,M1437=phu!$I$25),"Cam Phúc Nam",""),IF(OR(M1437=phu!$I$26,M1437=phu!$I$27,M1437=phu!$I$28,M1437=phu!$I$29,M1437=phu!$I$30,M1437=phu!$I$31),"Cam Phú",""),IF(OR(M1437=phu!$I$32,M1437=phu!$I$33,M1437=phu!$I$34,M1437=phu!$I$35,M1437=phu!$I$36,M1437=phu!$I$37),"Cam Lộc",""),IF(OR(M1437=phu!$I$38,M1437=phu!$I$39,M1437=phu!$I$40,M1437=phu!$I$41,M1437=phu!$I$42,M1437=phu!$I$43,M1437=phu!$I$44),"Cam Thuận",""),IF(OR(M1437=phu!$I$45,M1437=phu!$I$46,M1437=phu!$I$47,M1437=phu!$I$48,M1437=phu!$I$49,M1437=phu!$I$50,M1437=phu!$I$51,M1437=phu!$I$52,M1437=phu!$I$53),"Cam Linh",""),IF(OR(M1437=phu!$I$54,M1437=phu!$I$55,M1437=phu!$I$56,M1437=phu!$I$57,M1437=phu!$I$58,M1437=phu!$I$59,M1437=phu!$I$60,M1437=phu!$I$61,M1437=phu!$I$62),"Cam Lợi",""),IF(OR(M1437=phu!$I$63,M1437=phu!$I$64,M1437=phu!$I$65,M1437=phu!$I$66,M1437=phu!$I$67,M1437=phu!$I$68,M1437=phu!$I$69,M1437=phu!$I$70,M1437=phu!$I$71),"Ba Ngòi",""),IF(OR(M1437=phu!$I$72,M1437=phu!$I$73,M1437=phu!$I$74,M1437=phu!$I$75,M1437=phu!$I$76,M1437=phu!$I$77,M1437=phu!$I$78),"Cam Phước Đông",""),IF(OR(M1437=phu!$I$79,M1437=phu!$I$80,M1437=phu!$I$81,M1437=phu!$I$82,M1437=phu!$I$83,M1437=phu!$I$84),"Cam Thịnh Đông",""),IF(OR(M1437=phu!$I$85,M1437=phu!$I$86,M1437=phu!$I$87,M1437=phu!$I$88),"Cam Thịnh Tây",""),IF(OR(M1437=phu!$I$89,M1437=phu!$I$90),"Cam Lập",""),IF(OR(M1437=phu!$I$91,M1437=phu!$I$92,M1437=phu!$I$93),"Cam Bình",""),IF(OR(M1437=phu!$I$94,M1437=phu!$I$95,M1437=phu!$I$96,M1437=phu!$I$97,M1437=phu!$I$98,M1437=phu!$I$99,M1437=phu!$I$100),"Huyện khác",""),IF(OR(M1437=phu!$I$101,M1437=phu!$I$102),"Tỉnh khác",""))</f>
        <v/>
      </c>
      <c r="O1437" s="814" t="str">
        <f t="shared" si="133"/>
        <v/>
      </c>
      <c r="P1437" s="254"/>
      <c r="Q1437" s="254"/>
      <c r="R1437" s="254"/>
      <c r="S1437" s="254"/>
      <c r="T1437" s="254"/>
      <c r="U1437" s="254"/>
      <c r="V1437" s="254"/>
      <c r="W1437" s="254"/>
      <c r="Y1437" s="246" t="str">
        <f t="shared" si="134"/>
        <v/>
      </c>
      <c r="Z1437" s="247" t="str">
        <f t="shared" si="132"/>
        <v/>
      </c>
      <c r="AA1437" s="246" t="str">
        <f t="shared" si="135"/>
        <v/>
      </c>
    </row>
    <row r="1438" spans="1:27" x14ac:dyDescent="0.25">
      <c r="A1438" s="248" t="str">
        <f t="shared" si="136"/>
        <v/>
      </c>
      <c r="B1438" s="249" t="str">
        <f t="shared" si="137"/>
        <v/>
      </c>
      <c r="C1438" s="250"/>
      <c r="D1438" s="251"/>
      <c r="E1438" s="241"/>
      <c r="F1438" s="252"/>
      <c r="G1438" s="252"/>
      <c r="H1438" s="253"/>
      <c r="I1438" s="250"/>
      <c r="J1438" s="250"/>
      <c r="K1438" s="270"/>
      <c r="L1438" s="250"/>
      <c r="M1438" s="250"/>
      <c r="N1438" s="553" t="str">
        <f>CONCATENATE(IF(OR(M1438=phu!$I$1,M1438=phu!$I$2,M1438=phu!$I$3),"Cam Thành Nam",""),IF(OR(M1438=phu!$I$4,M1438=phu!$I$5,M1438=phu!$I$6,M1438=phu!$I$7,M1438=phu!$I$8,M1438=phu!$I$9,M1438=phu!$I$10,M1438=phu!$I$11,M1438=phu!$I$12,M1438=phu!$I$13,M1438=phu!$I$14),"Cam Nghĩa",""),IF(OR(M1438=phu!$I$15,M1438=phu!$I$16,M1438=phu!$I$17,M1438=phu!$I$18,M1438=phu!$I$19,M1438=phu!$I$20,M1438=phu!$I$21),"Cam Phúc Bắc",""),IF(OR(M1438=phu!$I$22,M1438=phu!$I$23,M1438=phu!$I$24,M1438=phu!$I$25),"Cam Phúc Nam",""),IF(OR(M1438=phu!$I$26,M1438=phu!$I$27,M1438=phu!$I$28,M1438=phu!$I$29,M1438=phu!$I$30,M1438=phu!$I$31),"Cam Phú",""),IF(OR(M1438=phu!$I$32,M1438=phu!$I$33,M1438=phu!$I$34,M1438=phu!$I$35,M1438=phu!$I$36,M1438=phu!$I$37),"Cam Lộc",""),IF(OR(M1438=phu!$I$38,M1438=phu!$I$39,M1438=phu!$I$40,M1438=phu!$I$41,M1438=phu!$I$42,M1438=phu!$I$43,M1438=phu!$I$44),"Cam Thuận",""),IF(OR(M1438=phu!$I$45,M1438=phu!$I$46,M1438=phu!$I$47,M1438=phu!$I$48,M1438=phu!$I$49,M1438=phu!$I$50,M1438=phu!$I$51,M1438=phu!$I$52,M1438=phu!$I$53),"Cam Linh",""),IF(OR(M1438=phu!$I$54,M1438=phu!$I$55,M1438=phu!$I$56,M1438=phu!$I$57,M1438=phu!$I$58,M1438=phu!$I$59,M1438=phu!$I$60,M1438=phu!$I$61,M1438=phu!$I$62),"Cam Lợi",""),IF(OR(M1438=phu!$I$63,M1438=phu!$I$64,M1438=phu!$I$65,M1438=phu!$I$66,M1438=phu!$I$67,M1438=phu!$I$68,M1438=phu!$I$69,M1438=phu!$I$70,M1438=phu!$I$71),"Ba Ngòi",""),IF(OR(M1438=phu!$I$72,M1438=phu!$I$73,M1438=phu!$I$74,M1438=phu!$I$75,M1438=phu!$I$76,M1438=phu!$I$77,M1438=phu!$I$78),"Cam Phước Đông",""),IF(OR(M1438=phu!$I$79,M1438=phu!$I$80,M1438=phu!$I$81,M1438=phu!$I$82,M1438=phu!$I$83,M1438=phu!$I$84),"Cam Thịnh Đông",""),IF(OR(M1438=phu!$I$85,M1438=phu!$I$86,M1438=phu!$I$87,M1438=phu!$I$88),"Cam Thịnh Tây",""),IF(OR(M1438=phu!$I$89,M1438=phu!$I$90),"Cam Lập",""),IF(OR(M1438=phu!$I$91,M1438=phu!$I$92,M1438=phu!$I$93),"Cam Bình",""),IF(OR(M1438=phu!$I$94,M1438=phu!$I$95,M1438=phu!$I$96,M1438=phu!$I$97,M1438=phu!$I$98,M1438=phu!$I$99,M1438=phu!$I$100),"Huyện khác",""),IF(OR(M1438=phu!$I$101,M1438=phu!$I$102),"Tỉnh khác",""))</f>
        <v/>
      </c>
      <c r="O1438" s="814" t="str">
        <f t="shared" si="133"/>
        <v/>
      </c>
      <c r="P1438" s="254"/>
      <c r="Q1438" s="254"/>
      <c r="R1438" s="254"/>
      <c r="S1438" s="254"/>
      <c r="T1438" s="254"/>
      <c r="U1438" s="254"/>
      <c r="V1438" s="254"/>
      <c r="W1438" s="254"/>
      <c r="Y1438" s="246" t="str">
        <f t="shared" si="134"/>
        <v/>
      </c>
      <c r="Z1438" s="247" t="str">
        <f t="shared" si="132"/>
        <v/>
      </c>
      <c r="AA1438" s="246" t="str">
        <f t="shared" si="135"/>
        <v/>
      </c>
    </row>
    <row r="1439" spans="1:27" x14ac:dyDescent="0.25">
      <c r="A1439" s="248" t="str">
        <f t="shared" si="136"/>
        <v/>
      </c>
      <c r="B1439" s="249" t="str">
        <f t="shared" si="137"/>
        <v/>
      </c>
      <c r="C1439" s="250"/>
      <c r="D1439" s="251"/>
      <c r="E1439" s="241"/>
      <c r="F1439" s="252"/>
      <c r="G1439" s="252"/>
      <c r="H1439" s="253"/>
      <c r="I1439" s="250"/>
      <c r="J1439" s="250"/>
      <c r="K1439" s="270"/>
      <c r="L1439" s="250"/>
      <c r="M1439" s="250"/>
      <c r="N1439" s="553" t="str">
        <f>CONCATENATE(IF(OR(M1439=phu!$I$1,M1439=phu!$I$2,M1439=phu!$I$3),"Cam Thành Nam",""),IF(OR(M1439=phu!$I$4,M1439=phu!$I$5,M1439=phu!$I$6,M1439=phu!$I$7,M1439=phu!$I$8,M1439=phu!$I$9,M1439=phu!$I$10,M1439=phu!$I$11,M1439=phu!$I$12,M1439=phu!$I$13,M1439=phu!$I$14),"Cam Nghĩa",""),IF(OR(M1439=phu!$I$15,M1439=phu!$I$16,M1439=phu!$I$17,M1439=phu!$I$18,M1439=phu!$I$19,M1439=phu!$I$20,M1439=phu!$I$21),"Cam Phúc Bắc",""),IF(OR(M1439=phu!$I$22,M1439=phu!$I$23,M1439=phu!$I$24,M1439=phu!$I$25),"Cam Phúc Nam",""),IF(OR(M1439=phu!$I$26,M1439=phu!$I$27,M1439=phu!$I$28,M1439=phu!$I$29,M1439=phu!$I$30,M1439=phu!$I$31),"Cam Phú",""),IF(OR(M1439=phu!$I$32,M1439=phu!$I$33,M1439=phu!$I$34,M1439=phu!$I$35,M1439=phu!$I$36,M1439=phu!$I$37),"Cam Lộc",""),IF(OR(M1439=phu!$I$38,M1439=phu!$I$39,M1439=phu!$I$40,M1439=phu!$I$41,M1439=phu!$I$42,M1439=phu!$I$43,M1439=phu!$I$44),"Cam Thuận",""),IF(OR(M1439=phu!$I$45,M1439=phu!$I$46,M1439=phu!$I$47,M1439=phu!$I$48,M1439=phu!$I$49,M1439=phu!$I$50,M1439=phu!$I$51,M1439=phu!$I$52,M1439=phu!$I$53),"Cam Linh",""),IF(OR(M1439=phu!$I$54,M1439=phu!$I$55,M1439=phu!$I$56,M1439=phu!$I$57,M1439=phu!$I$58,M1439=phu!$I$59,M1439=phu!$I$60,M1439=phu!$I$61,M1439=phu!$I$62),"Cam Lợi",""),IF(OR(M1439=phu!$I$63,M1439=phu!$I$64,M1439=phu!$I$65,M1439=phu!$I$66,M1439=phu!$I$67,M1439=phu!$I$68,M1439=phu!$I$69,M1439=phu!$I$70,M1439=phu!$I$71),"Ba Ngòi",""),IF(OR(M1439=phu!$I$72,M1439=phu!$I$73,M1439=phu!$I$74,M1439=phu!$I$75,M1439=phu!$I$76,M1439=phu!$I$77,M1439=phu!$I$78),"Cam Phước Đông",""),IF(OR(M1439=phu!$I$79,M1439=phu!$I$80,M1439=phu!$I$81,M1439=phu!$I$82,M1439=phu!$I$83,M1439=phu!$I$84),"Cam Thịnh Đông",""),IF(OR(M1439=phu!$I$85,M1439=phu!$I$86,M1439=phu!$I$87,M1439=phu!$I$88),"Cam Thịnh Tây",""),IF(OR(M1439=phu!$I$89,M1439=phu!$I$90),"Cam Lập",""),IF(OR(M1439=phu!$I$91,M1439=phu!$I$92,M1439=phu!$I$93),"Cam Bình",""),IF(OR(M1439=phu!$I$94,M1439=phu!$I$95,M1439=phu!$I$96,M1439=phu!$I$97,M1439=phu!$I$98,M1439=phu!$I$99,M1439=phu!$I$100),"Huyện khác",""),IF(OR(M1439=phu!$I$101,M1439=phu!$I$102),"Tỉnh khác",""))</f>
        <v/>
      </c>
      <c r="O1439" s="814" t="str">
        <f t="shared" si="133"/>
        <v/>
      </c>
      <c r="P1439" s="254"/>
      <c r="Q1439" s="254"/>
      <c r="R1439" s="254"/>
      <c r="S1439" s="254"/>
      <c r="T1439" s="254"/>
      <c r="U1439" s="254"/>
      <c r="V1439" s="254"/>
      <c r="W1439" s="254"/>
      <c r="Y1439" s="246" t="str">
        <f t="shared" si="134"/>
        <v/>
      </c>
      <c r="Z1439" s="247" t="str">
        <f t="shared" si="132"/>
        <v/>
      </c>
      <c r="AA1439" s="246" t="str">
        <f t="shared" si="135"/>
        <v/>
      </c>
    </row>
    <row r="1440" spans="1:27" x14ac:dyDescent="0.25">
      <c r="A1440" s="248" t="str">
        <f t="shared" si="136"/>
        <v/>
      </c>
      <c r="B1440" s="249" t="str">
        <f t="shared" si="137"/>
        <v/>
      </c>
      <c r="C1440" s="250"/>
      <c r="D1440" s="251"/>
      <c r="E1440" s="241"/>
      <c r="F1440" s="252"/>
      <c r="G1440" s="252"/>
      <c r="H1440" s="253"/>
      <c r="I1440" s="250"/>
      <c r="J1440" s="250"/>
      <c r="K1440" s="270"/>
      <c r="L1440" s="250"/>
      <c r="M1440" s="250"/>
      <c r="N1440" s="553" t="str">
        <f>CONCATENATE(IF(OR(M1440=phu!$I$1,M1440=phu!$I$2,M1440=phu!$I$3),"Cam Thành Nam",""),IF(OR(M1440=phu!$I$4,M1440=phu!$I$5,M1440=phu!$I$6,M1440=phu!$I$7,M1440=phu!$I$8,M1440=phu!$I$9,M1440=phu!$I$10,M1440=phu!$I$11,M1440=phu!$I$12,M1440=phu!$I$13,M1440=phu!$I$14),"Cam Nghĩa",""),IF(OR(M1440=phu!$I$15,M1440=phu!$I$16,M1440=phu!$I$17,M1440=phu!$I$18,M1440=phu!$I$19,M1440=phu!$I$20,M1440=phu!$I$21),"Cam Phúc Bắc",""),IF(OR(M1440=phu!$I$22,M1440=phu!$I$23,M1440=phu!$I$24,M1440=phu!$I$25),"Cam Phúc Nam",""),IF(OR(M1440=phu!$I$26,M1440=phu!$I$27,M1440=phu!$I$28,M1440=phu!$I$29,M1440=phu!$I$30,M1440=phu!$I$31),"Cam Phú",""),IF(OR(M1440=phu!$I$32,M1440=phu!$I$33,M1440=phu!$I$34,M1440=phu!$I$35,M1440=phu!$I$36,M1440=phu!$I$37),"Cam Lộc",""),IF(OR(M1440=phu!$I$38,M1440=phu!$I$39,M1440=phu!$I$40,M1440=phu!$I$41,M1440=phu!$I$42,M1440=phu!$I$43,M1440=phu!$I$44),"Cam Thuận",""),IF(OR(M1440=phu!$I$45,M1440=phu!$I$46,M1440=phu!$I$47,M1440=phu!$I$48,M1440=phu!$I$49,M1440=phu!$I$50,M1440=phu!$I$51,M1440=phu!$I$52,M1440=phu!$I$53),"Cam Linh",""),IF(OR(M1440=phu!$I$54,M1440=phu!$I$55,M1440=phu!$I$56,M1440=phu!$I$57,M1440=phu!$I$58,M1440=phu!$I$59,M1440=phu!$I$60,M1440=phu!$I$61,M1440=phu!$I$62),"Cam Lợi",""),IF(OR(M1440=phu!$I$63,M1440=phu!$I$64,M1440=phu!$I$65,M1440=phu!$I$66,M1440=phu!$I$67,M1440=phu!$I$68,M1440=phu!$I$69,M1440=phu!$I$70,M1440=phu!$I$71),"Ba Ngòi",""),IF(OR(M1440=phu!$I$72,M1440=phu!$I$73,M1440=phu!$I$74,M1440=phu!$I$75,M1440=phu!$I$76,M1440=phu!$I$77,M1440=phu!$I$78),"Cam Phước Đông",""),IF(OR(M1440=phu!$I$79,M1440=phu!$I$80,M1440=phu!$I$81,M1440=phu!$I$82,M1440=phu!$I$83,M1440=phu!$I$84),"Cam Thịnh Đông",""),IF(OR(M1440=phu!$I$85,M1440=phu!$I$86,M1440=phu!$I$87,M1440=phu!$I$88),"Cam Thịnh Tây",""),IF(OR(M1440=phu!$I$89,M1440=phu!$I$90),"Cam Lập",""),IF(OR(M1440=phu!$I$91,M1440=phu!$I$92,M1440=phu!$I$93),"Cam Bình",""),IF(OR(M1440=phu!$I$94,M1440=phu!$I$95,M1440=phu!$I$96,M1440=phu!$I$97,M1440=phu!$I$98,M1440=phu!$I$99,M1440=phu!$I$100),"Huyện khác",""),IF(OR(M1440=phu!$I$101,M1440=phu!$I$102),"Tỉnh khác",""))</f>
        <v/>
      </c>
      <c r="O1440" s="814" t="str">
        <f t="shared" si="133"/>
        <v/>
      </c>
      <c r="P1440" s="254"/>
      <c r="Q1440" s="254"/>
      <c r="R1440" s="254"/>
      <c r="S1440" s="254"/>
      <c r="T1440" s="254"/>
      <c r="U1440" s="254"/>
      <c r="V1440" s="254"/>
      <c r="W1440" s="254"/>
      <c r="Y1440" s="246" t="str">
        <f t="shared" si="134"/>
        <v/>
      </c>
      <c r="Z1440" s="247" t="str">
        <f t="shared" si="132"/>
        <v/>
      </c>
      <c r="AA1440" s="246" t="str">
        <f t="shared" si="135"/>
        <v/>
      </c>
    </row>
    <row r="1441" spans="1:27" x14ac:dyDescent="0.25">
      <c r="A1441" s="248" t="str">
        <f t="shared" si="136"/>
        <v/>
      </c>
      <c r="B1441" s="249" t="str">
        <f t="shared" si="137"/>
        <v/>
      </c>
      <c r="C1441" s="250"/>
      <c r="D1441" s="251"/>
      <c r="E1441" s="241"/>
      <c r="F1441" s="252"/>
      <c r="G1441" s="252"/>
      <c r="H1441" s="253"/>
      <c r="I1441" s="250"/>
      <c r="J1441" s="250"/>
      <c r="K1441" s="270"/>
      <c r="L1441" s="250"/>
      <c r="M1441" s="250"/>
      <c r="N1441" s="553" t="str">
        <f>CONCATENATE(IF(OR(M1441=phu!$I$1,M1441=phu!$I$2,M1441=phu!$I$3),"Cam Thành Nam",""),IF(OR(M1441=phu!$I$4,M1441=phu!$I$5,M1441=phu!$I$6,M1441=phu!$I$7,M1441=phu!$I$8,M1441=phu!$I$9,M1441=phu!$I$10,M1441=phu!$I$11,M1441=phu!$I$12,M1441=phu!$I$13,M1441=phu!$I$14),"Cam Nghĩa",""),IF(OR(M1441=phu!$I$15,M1441=phu!$I$16,M1441=phu!$I$17,M1441=phu!$I$18,M1441=phu!$I$19,M1441=phu!$I$20,M1441=phu!$I$21),"Cam Phúc Bắc",""),IF(OR(M1441=phu!$I$22,M1441=phu!$I$23,M1441=phu!$I$24,M1441=phu!$I$25),"Cam Phúc Nam",""),IF(OR(M1441=phu!$I$26,M1441=phu!$I$27,M1441=phu!$I$28,M1441=phu!$I$29,M1441=phu!$I$30,M1441=phu!$I$31),"Cam Phú",""),IF(OR(M1441=phu!$I$32,M1441=phu!$I$33,M1441=phu!$I$34,M1441=phu!$I$35,M1441=phu!$I$36,M1441=phu!$I$37),"Cam Lộc",""),IF(OR(M1441=phu!$I$38,M1441=phu!$I$39,M1441=phu!$I$40,M1441=phu!$I$41,M1441=phu!$I$42,M1441=phu!$I$43,M1441=phu!$I$44),"Cam Thuận",""),IF(OR(M1441=phu!$I$45,M1441=phu!$I$46,M1441=phu!$I$47,M1441=phu!$I$48,M1441=phu!$I$49,M1441=phu!$I$50,M1441=phu!$I$51,M1441=phu!$I$52,M1441=phu!$I$53),"Cam Linh",""),IF(OR(M1441=phu!$I$54,M1441=phu!$I$55,M1441=phu!$I$56,M1441=phu!$I$57,M1441=phu!$I$58,M1441=phu!$I$59,M1441=phu!$I$60,M1441=phu!$I$61,M1441=phu!$I$62),"Cam Lợi",""),IF(OR(M1441=phu!$I$63,M1441=phu!$I$64,M1441=phu!$I$65,M1441=phu!$I$66,M1441=phu!$I$67,M1441=phu!$I$68,M1441=phu!$I$69,M1441=phu!$I$70,M1441=phu!$I$71),"Ba Ngòi",""),IF(OR(M1441=phu!$I$72,M1441=phu!$I$73,M1441=phu!$I$74,M1441=phu!$I$75,M1441=phu!$I$76,M1441=phu!$I$77,M1441=phu!$I$78),"Cam Phước Đông",""),IF(OR(M1441=phu!$I$79,M1441=phu!$I$80,M1441=phu!$I$81,M1441=phu!$I$82,M1441=phu!$I$83,M1441=phu!$I$84),"Cam Thịnh Đông",""),IF(OR(M1441=phu!$I$85,M1441=phu!$I$86,M1441=phu!$I$87,M1441=phu!$I$88),"Cam Thịnh Tây",""),IF(OR(M1441=phu!$I$89,M1441=phu!$I$90),"Cam Lập",""),IF(OR(M1441=phu!$I$91,M1441=phu!$I$92,M1441=phu!$I$93),"Cam Bình",""),IF(OR(M1441=phu!$I$94,M1441=phu!$I$95,M1441=phu!$I$96,M1441=phu!$I$97,M1441=phu!$I$98,M1441=phu!$I$99,M1441=phu!$I$100),"Huyện khác",""),IF(OR(M1441=phu!$I$101,M1441=phu!$I$102),"Tỉnh khác",""))</f>
        <v/>
      </c>
      <c r="O1441" s="814" t="str">
        <f t="shared" si="133"/>
        <v/>
      </c>
      <c r="P1441" s="254"/>
      <c r="Q1441" s="254"/>
      <c r="R1441" s="254"/>
      <c r="S1441" s="254"/>
      <c r="T1441" s="254"/>
      <c r="U1441" s="254"/>
      <c r="V1441" s="254"/>
      <c r="W1441" s="254"/>
      <c r="Y1441" s="246" t="str">
        <f t="shared" si="134"/>
        <v/>
      </c>
      <c r="Z1441" s="247" t="str">
        <f t="shared" si="132"/>
        <v/>
      </c>
      <c r="AA1441" s="246" t="str">
        <f t="shared" si="135"/>
        <v/>
      </c>
    </row>
    <row r="1442" spans="1:27" x14ac:dyDescent="0.25">
      <c r="A1442" s="248" t="str">
        <f t="shared" si="136"/>
        <v/>
      </c>
      <c r="B1442" s="249" t="str">
        <f t="shared" si="137"/>
        <v/>
      </c>
      <c r="C1442" s="250"/>
      <c r="D1442" s="251"/>
      <c r="E1442" s="241"/>
      <c r="F1442" s="252"/>
      <c r="G1442" s="252"/>
      <c r="H1442" s="253"/>
      <c r="I1442" s="250"/>
      <c r="J1442" s="250"/>
      <c r="K1442" s="270"/>
      <c r="L1442" s="250"/>
      <c r="M1442" s="250"/>
      <c r="N1442" s="553" t="str">
        <f>CONCATENATE(IF(OR(M1442=phu!$I$1,M1442=phu!$I$2,M1442=phu!$I$3),"Cam Thành Nam",""),IF(OR(M1442=phu!$I$4,M1442=phu!$I$5,M1442=phu!$I$6,M1442=phu!$I$7,M1442=phu!$I$8,M1442=phu!$I$9,M1442=phu!$I$10,M1442=phu!$I$11,M1442=phu!$I$12,M1442=phu!$I$13,M1442=phu!$I$14),"Cam Nghĩa",""),IF(OR(M1442=phu!$I$15,M1442=phu!$I$16,M1442=phu!$I$17,M1442=phu!$I$18,M1442=phu!$I$19,M1442=phu!$I$20,M1442=phu!$I$21),"Cam Phúc Bắc",""),IF(OR(M1442=phu!$I$22,M1442=phu!$I$23,M1442=phu!$I$24,M1442=phu!$I$25),"Cam Phúc Nam",""),IF(OR(M1442=phu!$I$26,M1442=phu!$I$27,M1442=phu!$I$28,M1442=phu!$I$29,M1442=phu!$I$30,M1442=phu!$I$31),"Cam Phú",""),IF(OR(M1442=phu!$I$32,M1442=phu!$I$33,M1442=phu!$I$34,M1442=phu!$I$35,M1442=phu!$I$36,M1442=phu!$I$37),"Cam Lộc",""),IF(OR(M1442=phu!$I$38,M1442=phu!$I$39,M1442=phu!$I$40,M1442=phu!$I$41,M1442=phu!$I$42,M1442=phu!$I$43,M1442=phu!$I$44),"Cam Thuận",""),IF(OR(M1442=phu!$I$45,M1442=phu!$I$46,M1442=phu!$I$47,M1442=phu!$I$48,M1442=phu!$I$49,M1442=phu!$I$50,M1442=phu!$I$51,M1442=phu!$I$52,M1442=phu!$I$53),"Cam Linh",""),IF(OR(M1442=phu!$I$54,M1442=phu!$I$55,M1442=phu!$I$56,M1442=phu!$I$57,M1442=phu!$I$58,M1442=phu!$I$59,M1442=phu!$I$60,M1442=phu!$I$61,M1442=phu!$I$62),"Cam Lợi",""),IF(OR(M1442=phu!$I$63,M1442=phu!$I$64,M1442=phu!$I$65,M1442=phu!$I$66,M1442=phu!$I$67,M1442=phu!$I$68,M1442=phu!$I$69,M1442=phu!$I$70,M1442=phu!$I$71),"Ba Ngòi",""),IF(OR(M1442=phu!$I$72,M1442=phu!$I$73,M1442=phu!$I$74,M1442=phu!$I$75,M1442=phu!$I$76,M1442=phu!$I$77,M1442=phu!$I$78),"Cam Phước Đông",""),IF(OR(M1442=phu!$I$79,M1442=phu!$I$80,M1442=phu!$I$81,M1442=phu!$I$82,M1442=phu!$I$83,M1442=phu!$I$84),"Cam Thịnh Đông",""),IF(OR(M1442=phu!$I$85,M1442=phu!$I$86,M1442=phu!$I$87,M1442=phu!$I$88),"Cam Thịnh Tây",""),IF(OR(M1442=phu!$I$89,M1442=phu!$I$90),"Cam Lập",""),IF(OR(M1442=phu!$I$91,M1442=phu!$I$92,M1442=phu!$I$93),"Cam Bình",""),IF(OR(M1442=phu!$I$94,M1442=phu!$I$95,M1442=phu!$I$96,M1442=phu!$I$97,M1442=phu!$I$98,M1442=phu!$I$99,M1442=phu!$I$100),"Huyện khác",""),IF(OR(M1442=phu!$I$101,M1442=phu!$I$102),"Tỉnh khác",""))</f>
        <v/>
      </c>
      <c r="O1442" s="814" t="str">
        <f t="shared" si="133"/>
        <v/>
      </c>
      <c r="P1442" s="254"/>
      <c r="Q1442" s="254"/>
      <c r="R1442" s="254"/>
      <c r="S1442" s="254"/>
      <c r="T1442" s="254"/>
      <c r="U1442" s="254"/>
      <c r="V1442" s="254"/>
      <c r="W1442" s="254"/>
      <c r="Y1442" s="246" t="str">
        <f t="shared" si="134"/>
        <v/>
      </c>
      <c r="Z1442" s="247" t="str">
        <f t="shared" si="132"/>
        <v/>
      </c>
      <c r="AA1442" s="246" t="str">
        <f t="shared" si="135"/>
        <v/>
      </c>
    </row>
    <row r="1443" spans="1:27" x14ac:dyDescent="0.25">
      <c r="A1443" s="248" t="str">
        <f t="shared" si="136"/>
        <v/>
      </c>
      <c r="B1443" s="249" t="str">
        <f t="shared" si="137"/>
        <v/>
      </c>
      <c r="C1443" s="250"/>
      <c r="D1443" s="251"/>
      <c r="E1443" s="241"/>
      <c r="F1443" s="252"/>
      <c r="G1443" s="252"/>
      <c r="H1443" s="253"/>
      <c r="I1443" s="250"/>
      <c r="J1443" s="250"/>
      <c r="K1443" s="270"/>
      <c r="L1443" s="250"/>
      <c r="M1443" s="250"/>
      <c r="N1443" s="553" t="str">
        <f>CONCATENATE(IF(OR(M1443=phu!$I$1,M1443=phu!$I$2,M1443=phu!$I$3),"Cam Thành Nam",""),IF(OR(M1443=phu!$I$4,M1443=phu!$I$5,M1443=phu!$I$6,M1443=phu!$I$7,M1443=phu!$I$8,M1443=phu!$I$9,M1443=phu!$I$10,M1443=phu!$I$11,M1443=phu!$I$12,M1443=phu!$I$13,M1443=phu!$I$14),"Cam Nghĩa",""),IF(OR(M1443=phu!$I$15,M1443=phu!$I$16,M1443=phu!$I$17,M1443=phu!$I$18,M1443=phu!$I$19,M1443=phu!$I$20,M1443=phu!$I$21),"Cam Phúc Bắc",""),IF(OR(M1443=phu!$I$22,M1443=phu!$I$23,M1443=phu!$I$24,M1443=phu!$I$25),"Cam Phúc Nam",""),IF(OR(M1443=phu!$I$26,M1443=phu!$I$27,M1443=phu!$I$28,M1443=phu!$I$29,M1443=phu!$I$30,M1443=phu!$I$31),"Cam Phú",""),IF(OR(M1443=phu!$I$32,M1443=phu!$I$33,M1443=phu!$I$34,M1443=phu!$I$35,M1443=phu!$I$36,M1443=phu!$I$37),"Cam Lộc",""),IF(OR(M1443=phu!$I$38,M1443=phu!$I$39,M1443=phu!$I$40,M1443=phu!$I$41,M1443=phu!$I$42,M1443=phu!$I$43,M1443=phu!$I$44),"Cam Thuận",""),IF(OR(M1443=phu!$I$45,M1443=phu!$I$46,M1443=phu!$I$47,M1443=phu!$I$48,M1443=phu!$I$49,M1443=phu!$I$50,M1443=phu!$I$51,M1443=phu!$I$52,M1443=phu!$I$53),"Cam Linh",""),IF(OR(M1443=phu!$I$54,M1443=phu!$I$55,M1443=phu!$I$56,M1443=phu!$I$57,M1443=phu!$I$58,M1443=phu!$I$59,M1443=phu!$I$60,M1443=phu!$I$61,M1443=phu!$I$62),"Cam Lợi",""),IF(OR(M1443=phu!$I$63,M1443=phu!$I$64,M1443=phu!$I$65,M1443=phu!$I$66,M1443=phu!$I$67,M1443=phu!$I$68,M1443=phu!$I$69,M1443=phu!$I$70,M1443=phu!$I$71),"Ba Ngòi",""),IF(OR(M1443=phu!$I$72,M1443=phu!$I$73,M1443=phu!$I$74,M1443=phu!$I$75,M1443=phu!$I$76,M1443=phu!$I$77,M1443=phu!$I$78),"Cam Phước Đông",""),IF(OR(M1443=phu!$I$79,M1443=phu!$I$80,M1443=phu!$I$81,M1443=phu!$I$82,M1443=phu!$I$83,M1443=phu!$I$84),"Cam Thịnh Đông",""),IF(OR(M1443=phu!$I$85,M1443=phu!$I$86,M1443=phu!$I$87,M1443=phu!$I$88),"Cam Thịnh Tây",""),IF(OR(M1443=phu!$I$89,M1443=phu!$I$90),"Cam Lập",""),IF(OR(M1443=phu!$I$91,M1443=phu!$I$92,M1443=phu!$I$93),"Cam Bình",""),IF(OR(M1443=phu!$I$94,M1443=phu!$I$95,M1443=phu!$I$96,M1443=phu!$I$97,M1443=phu!$I$98,M1443=phu!$I$99,M1443=phu!$I$100),"Huyện khác",""),IF(OR(M1443=phu!$I$101,M1443=phu!$I$102),"Tỉnh khác",""))</f>
        <v/>
      </c>
      <c r="O1443" s="814" t="str">
        <f t="shared" si="133"/>
        <v/>
      </c>
      <c r="P1443" s="254"/>
      <c r="Q1443" s="254"/>
      <c r="R1443" s="254"/>
      <c r="S1443" s="254"/>
      <c r="T1443" s="254"/>
      <c r="U1443" s="254"/>
      <c r="V1443" s="254"/>
      <c r="W1443" s="254"/>
      <c r="Y1443" s="246" t="str">
        <f t="shared" si="134"/>
        <v/>
      </c>
      <c r="Z1443" s="247" t="str">
        <f t="shared" si="132"/>
        <v/>
      </c>
      <c r="AA1443" s="246" t="str">
        <f t="shared" si="135"/>
        <v/>
      </c>
    </row>
    <row r="1444" spans="1:27" x14ac:dyDescent="0.25">
      <c r="A1444" s="248" t="str">
        <f t="shared" si="136"/>
        <v/>
      </c>
      <c r="B1444" s="249" t="str">
        <f t="shared" si="137"/>
        <v/>
      </c>
      <c r="C1444" s="250"/>
      <c r="D1444" s="251"/>
      <c r="E1444" s="241"/>
      <c r="F1444" s="252"/>
      <c r="G1444" s="252"/>
      <c r="H1444" s="253"/>
      <c r="I1444" s="250"/>
      <c r="J1444" s="250"/>
      <c r="K1444" s="270"/>
      <c r="L1444" s="250"/>
      <c r="M1444" s="250"/>
      <c r="N1444" s="553" t="str">
        <f>CONCATENATE(IF(OR(M1444=phu!$I$1,M1444=phu!$I$2,M1444=phu!$I$3),"Cam Thành Nam",""),IF(OR(M1444=phu!$I$4,M1444=phu!$I$5,M1444=phu!$I$6,M1444=phu!$I$7,M1444=phu!$I$8,M1444=phu!$I$9,M1444=phu!$I$10,M1444=phu!$I$11,M1444=phu!$I$12,M1444=phu!$I$13,M1444=phu!$I$14),"Cam Nghĩa",""),IF(OR(M1444=phu!$I$15,M1444=phu!$I$16,M1444=phu!$I$17,M1444=phu!$I$18,M1444=phu!$I$19,M1444=phu!$I$20,M1444=phu!$I$21),"Cam Phúc Bắc",""),IF(OR(M1444=phu!$I$22,M1444=phu!$I$23,M1444=phu!$I$24,M1444=phu!$I$25),"Cam Phúc Nam",""),IF(OR(M1444=phu!$I$26,M1444=phu!$I$27,M1444=phu!$I$28,M1444=phu!$I$29,M1444=phu!$I$30,M1444=phu!$I$31),"Cam Phú",""),IF(OR(M1444=phu!$I$32,M1444=phu!$I$33,M1444=phu!$I$34,M1444=phu!$I$35,M1444=phu!$I$36,M1444=phu!$I$37),"Cam Lộc",""),IF(OR(M1444=phu!$I$38,M1444=phu!$I$39,M1444=phu!$I$40,M1444=phu!$I$41,M1444=phu!$I$42,M1444=phu!$I$43,M1444=phu!$I$44),"Cam Thuận",""),IF(OR(M1444=phu!$I$45,M1444=phu!$I$46,M1444=phu!$I$47,M1444=phu!$I$48,M1444=phu!$I$49,M1444=phu!$I$50,M1444=phu!$I$51,M1444=phu!$I$52,M1444=phu!$I$53),"Cam Linh",""),IF(OR(M1444=phu!$I$54,M1444=phu!$I$55,M1444=phu!$I$56,M1444=phu!$I$57,M1444=phu!$I$58,M1444=phu!$I$59,M1444=phu!$I$60,M1444=phu!$I$61,M1444=phu!$I$62),"Cam Lợi",""),IF(OR(M1444=phu!$I$63,M1444=phu!$I$64,M1444=phu!$I$65,M1444=phu!$I$66,M1444=phu!$I$67,M1444=phu!$I$68,M1444=phu!$I$69,M1444=phu!$I$70,M1444=phu!$I$71),"Ba Ngòi",""),IF(OR(M1444=phu!$I$72,M1444=phu!$I$73,M1444=phu!$I$74,M1444=phu!$I$75,M1444=phu!$I$76,M1444=phu!$I$77,M1444=phu!$I$78),"Cam Phước Đông",""),IF(OR(M1444=phu!$I$79,M1444=phu!$I$80,M1444=phu!$I$81,M1444=phu!$I$82,M1444=phu!$I$83,M1444=phu!$I$84),"Cam Thịnh Đông",""),IF(OR(M1444=phu!$I$85,M1444=phu!$I$86,M1444=phu!$I$87,M1444=phu!$I$88),"Cam Thịnh Tây",""),IF(OR(M1444=phu!$I$89,M1444=phu!$I$90),"Cam Lập",""),IF(OR(M1444=phu!$I$91,M1444=phu!$I$92,M1444=phu!$I$93),"Cam Bình",""),IF(OR(M1444=phu!$I$94,M1444=phu!$I$95,M1444=phu!$I$96,M1444=phu!$I$97,M1444=phu!$I$98,M1444=phu!$I$99,M1444=phu!$I$100),"Huyện khác",""),IF(OR(M1444=phu!$I$101,M1444=phu!$I$102),"Tỉnh khác",""))</f>
        <v/>
      </c>
      <c r="O1444" s="814" t="str">
        <f t="shared" si="133"/>
        <v/>
      </c>
      <c r="P1444" s="254"/>
      <c r="Q1444" s="254"/>
      <c r="R1444" s="254"/>
      <c r="S1444" s="254"/>
      <c r="T1444" s="254"/>
      <c r="U1444" s="254"/>
      <c r="V1444" s="254"/>
      <c r="W1444" s="254"/>
      <c r="Y1444" s="246" t="str">
        <f t="shared" si="134"/>
        <v/>
      </c>
      <c r="Z1444" s="247" t="str">
        <f t="shared" si="132"/>
        <v/>
      </c>
      <c r="AA1444" s="246" t="str">
        <f t="shared" si="135"/>
        <v/>
      </c>
    </row>
    <row r="1445" spans="1:27" x14ac:dyDescent="0.25">
      <c r="A1445" s="248" t="str">
        <f t="shared" si="136"/>
        <v/>
      </c>
      <c r="B1445" s="249" t="str">
        <f t="shared" si="137"/>
        <v/>
      </c>
      <c r="C1445" s="250"/>
      <c r="D1445" s="251"/>
      <c r="E1445" s="241"/>
      <c r="F1445" s="252"/>
      <c r="G1445" s="252"/>
      <c r="H1445" s="253"/>
      <c r="I1445" s="250"/>
      <c r="J1445" s="250"/>
      <c r="K1445" s="270"/>
      <c r="L1445" s="250"/>
      <c r="M1445" s="250"/>
      <c r="N1445" s="553" t="str">
        <f>CONCATENATE(IF(OR(M1445=phu!$I$1,M1445=phu!$I$2,M1445=phu!$I$3),"Cam Thành Nam",""),IF(OR(M1445=phu!$I$4,M1445=phu!$I$5,M1445=phu!$I$6,M1445=phu!$I$7,M1445=phu!$I$8,M1445=phu!$I$9,M1445=phu!$I$10,M1445=phu!$I$11,M1445=phu!$I$12,M1445=phu!$I$13,M1445=phu!$I$14),"Cam Nghĩa",""),IF(OR(M1445=phu!$I$15,M1445=phu!$I$16,M1445=phu!$I$17,M1445=phu!$I$18,M1445=phu!$I$19,M1445=phu!$I$20,M1445=phu!$I$21),"Cam Phúc Bắc",""),IF(OR(M1445=phu!$I$22,M1445=phu!$I$23,M1445=phu!$I$24,M1445=phu!$I$25),"Cam Phúc Nam",""),IF(OR(M1445=phu!$I$26,M1445=phu!$I$27,M1445=phu!$I$28,M1445=phu!$I$29,M1445=phu!$I$30,M1445=phu!$I$31),"Cam Phú",""),IF(OR(M1445=phu!$I$32,M1445=phu!$I$33,M1445=phu!$I$34,M1445=phu!$I$35,M1445=phu!$I$36,M1445=phu!$I$37),"Cam Lộc",""),IF(OR(M1445=phu!$I$38,M1445=phu!$I$39,M1445=phu!$I$40,M1445=phu!$I$41,M1445=phu!$I$42,M1445=phu!$I$43,M1445=phu!$I$44),"Cam Thuận",""),IF(OR(M1445=phu!$I$45,M1445=phu!$I$46,M1445=phu!$I$47,M1445=phu!$I$48,M1445=phu!$I$49,M1445=phu!$I$50,M1445=phu!$I$51,M1445=phu!$I$52,M1445=phu!$I$53),"Cam Linh",""),IF(OR(M1445=phu!$I$54,M1445=phu!$I$55,M1445=phu!$I$56,M1445=phu!$I$57,M1445=phu!$I$58,M1445=phu!$I$59,M1445=phu!$I$60,M1445=phu!$I$61,M1445=phu!$I$62),"Cam Lợi",""),IF(OR(M1445=phu!$I$63,M1445=phu!$I$64,M1445=phu!$I$65,M1445=phu!$I$66,M1445=phu!$I$67,M1445=phu!$I$68,M1445=phu!$I$69,M1445=phu!$I$70,M1445=phu!$I$71),"Ba Ngòi",""),IF(OR(M1445=phu!$I$72,M1445=phu!$I$73,M1445=phu!$I$74,M1445=phu!$I$75,M1445=phu!$I$76,M1445=phu!$I$77,M1445=phu!$I$78),"Cam Phước Đông",""),IF(OR(M1445=phu!$I$79,M1445=phu!$I$80,M1445=phu!$I$81,M1445=phu!$I$82,M1445=phu!$I$83,M1445=phu!$I$84),"Cam Thịnh Đông",""),IF(OR(M1445=phu!$I$85,M1445=phu!$I$86,M1445=phu!$I$87,M1445=phu!$I$88),"Cam Thịnh Tây",""),IF(OR(M1445=phu!$I$89,M1445=phu!$I$90),"Cam Lập",""),IF(OR(M1445=phu!$I$91,M1445=phu!$I$92,M1445=phu!$I$93),"Cam Bình",""),IF(OR(M1445=phu!$I$94,M1445=phu!$I$95,M1445=phu!$I$96,M1445=phu!$I$97,M1445=phu!$I$98,M1445=phu!$I$99,M1445=phu!$I$100),"Huyện khác",""),IF(OR(M1445=phu!$I$101,M1445=phu!$I$102),"Tỉnh khác",""))</f>
        <v/>
      </c>
      <c r="O1445" s="814" t="str">
        <f t="shared" si="133"/>
        <v/>
      </c>
      <c r="P1445" s="254"/>
      <c r="Q1445" s="254"/>
      <c r="R1445" s="254"/>
      <c r="S1445" s="254"/>
      <c r="T1445" s="254"/>
      <c r="U1445" s="254"/>
      <c r="V1445" s="254"/>
      <c r="W1445" s="254"/>
      <c r="Y1445" s="246" t="str">
        <f t="shared" si="134"/>
        <v/>
      </c>
      <c r="Z1445" s="247" t="str">
        <f t="shared" si="132"/>
        <v/>
      </c>
      <c r="AA1445" s="246" t="str">
        <f t="shared" si="135"/>
        <v/>
      </c>
    </row>
    <row r="1446" spans="1:27" x14ac:dyDescent="0.25">
      <c r="A1446" s="248" t="str">
        <f t="shared" si="136"/>
        <v/>
      </c>
      <c r="B1446" s="249" t="str">
        <f t="shared" si="137"/>
        <v/>
      </c>
      <c r="C1446" s="250"/>
      <c r="D1446" s="251"/>
      <c r="E1446" s="241"/>
      <c r="F1446" s="252"/>
      <c r="G1446" s="252"/>
      <c r="H1446" s="253"/>
      <c r="I1446" s="250"/>
      <c r="J1446" s="250"/>
      <c r="K1446" s="270"/>
      <c r="L1446" s="250"/>
      <c r="M1446" s="250"/>
      <c r="N1446" s="553" t="str">
        <f>CONCATENATE(IF(OR(M1446=phu!$I$1,M1446=phu!$I$2,M1446=phu!$I$3),"Cam Thành Nam",""),IF(OR(M1446=phu!$I$4,M1446=phu!$I$5,M1446=phu!$I$6,M1446=phu!$I$7,M1446=phu!$I$8,M1446=phu!$I$9,M1446=phu!$I$10,M1446=phu!$I$11,M1446=phu!$I$12,M1446=phu!$I$13,M1446=phu!$I$14),"Cam Nghĩa",""),IF(OR(M1446=phu!$I$15,M1446=phu!$I$16,M1446=phu!$I$17,M1446=phu!$I$18,M1446=phu!$I$19,M1446=phu!$I$20,M1446=phu!$I$21),"Cam Phúc Bắc",""),IF(OR(M1446=phu!$I$22,M1446=phu!$I$23,M1446=phu!$I$24,M1446=phu!$I$25),"Cam Phúc Nam",""),IF(OR(M1446=phu!$I$26,M1446=phu!$I$27,M1446=phu!$I$28,M1446=phu!$I$29,M1446=phu!$I$30,M1446=phu!$I$31),"Cam Phú",""),IF(OR(M1446=phu!$I$32,M1446=phu!$I$33,M1446=phu!$I$34,M1446=phu!$I$35,M1446=phu!$I$36,M1446=phu!$I$37),"Cam Lộc",""),IF(OR(M1446=phu!$I$38,M1446=phu!$I$39,M1446=phu!$I$40,M1446=phu!$I$41,M1446=phu!$I$42,M1446=phu!$I$43,M1446=phu!$I$44),"Cam Thuận",""),IF(OR(M1446=phu!$I$45,M1446=phu!$I$46,M1446=phu!$I$47,M1446=phu!$I$48,M1446=phu!$I$49,M1446=phu!$I$50,M1446=phu!$I$51,M1446=phu!$I$52,M1446=phu!$I$53),"Cam Linh",""),IF(OR(M1446=phu!$I$54,M1446=phu!$I$55,M1446=phu!$I$56,M1446=phu!$I$57,M1446=phu!$I$58,M1446=phu!$I$59,M1446=phu!$I$60,M1446=phu!$I$61,M1446=phu!$I$62),"Cam Lợi",""),IF(OR(M1446=phu!$I$63,M1446=phu!$I$64,M1446=phu!$I$65,M1446=phu!$I$66,M1446=phu!$I$67,M1446=phu!$I$68,M1446=phu!$I$69,M1446=phu!$I$70,M1446=phu!$I$71),"Ba Ngòi",""),IF(OR(M1446=phu!$I$72,M1446=phu!$I$73,M1446=phu!$I$74,M1446=phu!$I$75,M1446=phu!$I$76,M1446=phu!$I$77,M1446=phu!$I$78),"Cam Phước Đông",""),IF(OR(M1446=phu!$I$79,M1446=phu!$I$80,M1446=phu!$I$81,M1446=phu!$I$82,M1446=phu!$I$83,M1446=phu!$I$84),"Cam Thịnh Đông",""),IF(OR(M1446=phu!$I$85,M1446=phu!$I$86,M1446=phu!$I$87,M1446=phu!$I$88),"Cam Thịnh Tây",""),IF(OR(M1446=phu!$I$89,M1446=phu!$I$90),"Cam Lập",""),IF(OR(M1446=phu!$I$91,M1446=phu!$I$92,M1446=phu!$I$93),"Cam Bình",""),IF(OR(M1446=phu!$I$94,M1446=phu!$I$95,M1446=phu!$I$96,M1446=phu!$I$97,M1446=phu!$I$98,M1446=phu!$I$99,M1446=phu!$I$100),"Huyện khác",""),IF(OR(M1446=phu!$I$101,M1446=phu!$I$102),"Tỉnh khác",""))</f>
        <v/>
      </c>
      <c r="O1446" s="814" t="str">
        <f t="shared" si="133"/>
        <v/>
      </c>
      <c r="P1446" s="254"/>
      <c r="Q1446" s="254"/>
      <c r="R1446" s="254"/>
      <c r="S1446" s="254"/>
      <c r="T1446" s="254"/>
      <c r="U1446" s="254"/>
      <c r="V1446" s="254"/>
      <c r="W1446" s="254"/>
      <c r="Y1446" s="246" t="str">
        <f t="shared" si="134"/>
        <v/>
      </c>
      <c r="Z1446" s="247" t="str">
        <f t="shared" si="132"/>
        <v/>
      </c>
      <c r="AA1446" s="246" t="str">
        <f t="shared" si="135"/>
        <v/>
      </c>
    </row>
    <row r="1447" spans="1:27" x14ac:dyDescent="0.25">
      <c r="A1447" s="248" t="str">
        <f t="shared" si="136"/>
        <v/>
      </c>
      <c r="B1447" s="249" t="str">
        <f t="shared" si="137"/>
        <v/>
      </c>
      <c r="C1447" s="250"/>
      <c r="D1447" s="251"/>
      <c r="E1447" s="241"/>
      <c r="F1447" s="252"/>
      <c r="G1447" s="252"/>
      <c r="H1447" s="253"/>
      <c r="I1447" s="250"/>
      <c r="J1447" s="250"/>
      <c r="K1447" s="270"/>
      <c r="L1447" s="250"/>
      <c r="M1447" s="250"/>
      <c r="N1447" s="553" t="str">
        <f>CONCATENATE(IF(OR(M1447=phu!$I$1,M1447=phu!$I$2,M1447=phu!$I$3),"Cam Thành Nam",""),IF(OR(M1447=phu!$I$4,M1447=phu!$I$5,M1447=phu!$I$6,M1447=phu!$I$7,M1447=phu!$I$8,M1447=phu!$I$9,M1447=phu!$I$10,M1447=phu!$I$11,M1447=phu!$I$12,M1447=phu!$I$13,M1447=phu!$I$14),"Cam Nghĩa",""),IF(OR(M1447=phu!$I$15,M1447=phu!$I$16,M1447=phu!$I$17,M1447=phu!$I$18,M1447=phu!$I$19,M1447=phu!$I$20,M1447=phu!$I$21),"Cam Phúc Bắc",""),IF(OR(M1447=phu!$I$22,M1447=phu!$I$23,M1447=phu!$I$24,M1447=phu!$I$25),"Cam Phúc Nam",""),IF(OR(M1447=phu!$I$26,M1447=phu!$I$27,M1447=phu!$I$28,M1447=phu!$I$29,M1447=phu!$I$30,M1447=phu!$I$31),"Cam Phú",""),IF(OR(M1447=phu!$I$32,M1447=phu!$I$33,M1447=phu!$I$34,M1447=phu!$I$35,M1447=phu!$I$36,M1447=phu!$I$37),"Cam Lộc",""),IF(OR(M1447=phu!$I$38,M1447=phu!$I$39,M1447=phu!$I$40,M1447=phu!$I$41,M1447=phu!$I$42,M1447=phu!$I$43,M1447=phu!$I$44),"Cam Thuận",""),IF(OR(M1447=phu!$I$45,M1447=phu!$I$46,M1447=phu!$I$47,M1447=phu!$I$48,M1447=phu!$I$49,M1447=phu!$I$50,M1447=phu!$I$51,M1447=phu!$I$52,M1447=phu!$I$53),"Cam Linh",""),IF(OR(M1447=phu!$I$54,M1447=phu!$I$55,M1447=phu!$I$56,M1447=phu!$I$57,M1447=phu!$I$58,M1447=phu!$I$59,M1447=phu!$I$60,M1447=phu!$I$61,M1447=phu!$I$62),"Cam Lợi",""),IF(OR(M1447=phu!$I$63,M1447=phu!$I$64,M1447=phu!$I$65,M1447=phu!$I$66,M1447=phu!$I$67,M1447=phu!$I$68,M1447=phu!$I$69,M1447=phu!$I$70,M1447=phu!$I$71),"Ba Ngòi",""),IF(OR(M1447=phu!$I$72,M1447=phu!$I$73,M1447=phu!$I$74,M1447=phu!$I$75,M1447=phu!$I$76,M1447=phu!$I$77,M1447=phu!$I$78),"Cam Phước Đông",""),IF(OR(M1447=phu!$I$79,M1447=phu!$I$80,M1447=phu!$I$81,M1447=phu!$I$82,M1447=phu!$I$83,M1447=phu!$I$84),"Cam Thịnh Đông",""),IF(OR(M1447=phu!$I$85,M1447=phu!$I$86,M1447=phu!$I$87,M1447=phu!$I$88),"Cam Thịnh Tây",""),IF(OR(M1447=phu!$I$89,M1447=phu!$I$90),"Cam Lập",""),IF(OR(M1447=phu!$I$91,M1447=phu!$I$92,M1447=phu!$I$93),"Cam Bình",""),IF(OR(M1447=phu!$I$94,M1447=phu!$I$95,M1447=phu!$I$96,M1447=phu!$I$97,M1447=phu!$I$98,M1447=phu!$I$99,M1447=phu!$I$100),"Huyện khác",""),IF(OR(M1447=phu!$I$101,M1447=phu!$I$102),"Tỉnh khác",""))</f>
        <v/>
      </c>
      <c r="O1447" s="814" t="str">
        <f t="shared" si="133"/>
        <v/>
      </c>
      <c r="P1447" s="254"/>
      <c r="Q1447" s="254"/>
      <c r="R1447" s="254"/>
      <c r="S1447" s="254"/>
      <c r="T1447" s="254"/>
      <c r="U1447" s="254"/>
      <c r="V1447" s="254"/>
      <c r="W1447" s="254"/>
      <c r="Y1447" s="246" t="str">
        <f t="shared" si="134"/>
        <v/>
      </c>
      <c r="Z1447" s="247" t="str">
        <f t="shared" si="132"/>
        <v/>
      </c>
      <c r="AA1447" s="246" t="str">
        <f t="shared" si="135"/>
        <v/>
      </c>
    </row>
    <row r="1448" spans="1:27" x14ac:dyDescent="0.25">
      <c r="A1448" s="248" t="str">
        <f t="shared" si="136"/>
        <v/>
      </c>
      <c r="B1448" s="249" t="str">
        <f t="shared" si="137"/>
        <v/>
      </c>
      <c r="C1448" s="250"/>
      <c r="D1448" s="251"/>
      <c r="E1448" s="241"/>
      <c r="F1448" s="252"/>
      <c r="G1448" s="252"/>
      <c r="H1448" s="253"/>
      <c r="I1448" s="250"/>
      <c r="J1448" s="250"/>
      <c r="K1448" s="270"/>
      <c r="L1448" s="250"/>
      <c r="M1448" s="250"/>
      <c r="N1448" s="553" t="str">
        <f>CONCATENATE(IF(OR(M1448=phu!$I$1,M1448=phu!$I$2,M1448=phu!$I$3),"Cam Thành Nam",""),IF(OR(M1448=phu!$I$4,M1448=phu!$I$5,M1448=phu!$I$6,M1448=phu!$I$7,M1448=phu!$I$8,M1448=phu!$I$9,M1448=phu!$I$10,M1448=phu!$I$11,M1448=phu!$I$12,M1448=phu!$I$13,M1448=phu!$I$14),"Cam Nghĩa",""),IF(OR(M1448=phu!$I$15,M1448=phu!$I$16,M1448=phu!$I$17,M1448=phu!$I$18,M1448=phu!$I$19,M1448=phu!$I$20,M1448=phu!$I$21),"Cam Phúc Bắc",""),IF(OR(M1448=phu!$I$22,M1448=phu!$I$23,M1448=phu!$I$24,M1448=phu!$I$25),"Cam Phúc Nam",""),IF(OR(M1448=phu!$I$26,M1448=phu!$I$27,M1448=phu!$I$28,M1448=phu!$I$29,M1448=phu!$I$30,M1448=phu!$I$31),"Cam Phú",""),IF(OR(M1448=phu!$I$32,M1448=phu!$I$33,M1448=phu!$I$34,M1448=phu!$I$35,M1448=phu!$I$36,M1448=phu!$I$37),"Cam Lộc",""),IF(OR(M1448=phu!$I$38,M1448=phu!$I$39,M1448=phu!$I$40,M1448=phu!$I$41,M1448=phu!$I$42,M1448=phu!$I$43,M1448=phu!$I$44),"Cam Thuận",""),IF(OR(M1448=phu!$I$45,M1448=phu!$I$46,M1448=phu!$I$47,M1448=phu!$I$48,M1448=phu!$I$49,M1448=phu!$I$50,M1448=phu!$I$51,M1448=phu!$I$52,M1448=phu!$I$53),"Cam Linh",""),IF(OR(M1448=phu!$I$54,M1448=phu!$I$55,M1448=phu!$I$56,M1448=phu!$I$57,M1448=phu!$I$58,M1448=phu!$I$59,M1448=phu!$I$60,M1448=phu!$I$61,M1448=phu!$I$62),"Cam Lợi",""),IF(OR(M1448=phu!$I$63,M1448=phu!$I$64,M1448=phu!$I$65,M1448=phu!$I$66,M1448=phu!$I$67,M1448=phu!$I$68,M1448=phu!$I$69,M1448=phu!$I$70,M1448=phu!$I$71),"Ba Ngòi",""),IF(OR(M1448=phu!$I$72,M1448=phu!$I$73,M1448=phu!$I$74,M1448=phu!$I$75,M1448=phu!$I$76,M1448=phu!$I$77,M1448=phu!$I$78),"Cam Phước Đông",""),IF(OR(M1448=phu!$I$79,M1448=phu!$I$80,M1448=phu!$I$81,M1448=phu!$I$82,M1448=phu!$I$83,M1448=phu!$I$84),"Cam Thịnh Đông",""),IF(OR(M1448=phu!$I$85,M1448=phu!$I$86,M1448=phu!$I$87,M1448=phu!$I$88),"Cam Thịnh Tây",""),IF(OR(M1448=phu!$I$89,M1448=phu!$I$90),"Cam Lập",""),IF(OR(M1448=phu!$I$91,M1448=phu!$I$92,M1448=phu!$I$93),"Cam Bình",""),IF(OR(M1448=phu!$I$94,M1448=phu!$I$95,M1448=phu!$I$96,M1448=phu!$I$97,M1448=phu!$I$98,M1448=phu!$I$99,M1448=phu!$I$100),"Huyện khác",""),IF(OR(M1448=phu!$I$101,M1448=phu!$I$102),"Tỉnh khác",""))</f>
        <v/>
      </c>
      <c r="O1448" s="814" t="str">
        <f t="shared" si="133"/>
        <v/>
      </c>
      <c r="P1448" s="254"/>
      <c r="Q1448" s="254"/>
      <c r="R1448" s="254"/>
      <c r="S1448" s="254"/>
      <c r="T1448" s="254"/>
      <c r="U1448" s="254"/>
      <c r="V1448" s="254"/>
      <c r="W1448" s="254"/>
      <c r="Y1448" s="246" t="str">
        <f t="shared" si="134"/>
        <v/>
      </c>
      <c r="Z1448" s="247" t="str">
        <f t="shared" si="132"/>
        <v/>
      </c>
      <c r="AA1448" s="246" t="str">
        <f t="shared" si="135"/>
        <v/>
      </c>
    </row>
    <row r="1449" spans="1:27" x14ac:dyDescent="0.25">
      <c r="A1449" s="248" t="str">
        <f t="shared" si="136"/>
        <v/>
      </c>
      <c r="B1449" s="249" t="str">
        <f t="shared" si="137"/>
        <v/>
      </c>
      <c r="C1449" s="250"/>
      <c r="D1449" s="251"/>
      <c r="E1449" s="241"/>
      <c r="F1449" s="252"/>
      <c r="G1449" s="252"/>
      <c r="H1449" s="253"/>
      <c r="I1449" s="250"/>
      <c r="J1449" s="250"/>
      <c r="K1449" s="270"/>
      <c r="L1449" s="250"/>
      <c r="M1449" s="250"/>
      <c r="N1449" s="553" t="str">
        <f>CONCATENATE(IF(OR(M1449=phu!$I$1,M1449=phu!$I$2,M1449=phu!$I$3),"Cam Thành Nam",""),IF(OR(M1449=phu!$I$4,M1449=phu!$I$5,M1449=phu!$I$6,M1449=phu!$I$7,M1449=phu!$I$8,M1449=phu!$I$9,M1449=phu!$I$10,M1449=phu!$I$11,M1449=phu!$I$12,M1449=phu!$I$13,M1449=phu!$I$14),"Cam Nghĩa",""),IF(OR(M1449=phu!$I$15,M1449=phu!$I$16,M1449=phu!$I$17,M1449=phu!$I$18,M1449=phu!$I$19,M1449=phu!$I$20,M1449=phu!$I$21),"Cam Phúc Bắc",""),IF(OR(M1449=phu!$I$22,M1449=phu!$I$23,M1449=phu!$I$24,M1449=phu!$I$25),"Cam Phúc Nam",""),IF(OR(M1449=phu!$I$26,M1449=phu!$I$27,M1449=phu!$I$28,M1449=phu!$I$29,M1449=phu!$I$30,M1449=phu!$I$31),"Cam Phú",""),IF(OR(M1449=phu!$I$32,M1449=phu!$I$33,M1449=phu!$I$34,M1449=phu!$I$35,M1449=phu!$I$36,M1449=phu!$I$37),"Cam Lộc",""),IF(OR(M1449=phu!$I$38,M1449=phu!$I$39,M1449=phu!$I$40,M1449=phu!$I$41,M1449=phu!$I$42,M1449=phu!$I$43,M1449=phu!$I$44),"Cam Thuận",""),IF(OR(M1449=phu!$I$45,M1449=phu!$I$46,M1449=phu!$I$47,M1449=phu!$I$48,M1449=phu!$I$49,M1449=phu!$I$50,M1449=phu!$I$51,M1449=phu!$I$52,M1449=phu!$I$53),"Cam Linh",""),IF(OR(M1449=phu!$I$54,M1449=phu!$I$55,M1449=phu!$I$56,M1449=phu!$I$57,M1449=phu!$I$58,M1449=phu!$I$59,M1449=phu!$I$60,M1449=phu!$I$61,M1449=phu!$I$62),"Cam Lợi",""),IF(OR(M1449=phu!$I$63,M1449=phu!$I$64,M1449=phu!$I$65,M1449=phu!$I$66,M1449=phu!$I$67,M1449=phu!$I$68,M1449=phu!$I$69,M1449=phu!$I$70,M1449=phu!$I$71),"Ba Ngòi",""),IF(OR(M1449=phu!$I$72,M1449=phu!$I$73,M1449=phu!$I$74,M1449=phu!$I$75,M1449=phu!$I$76,M1449=phu!$I$77,M1449=phu!$I$78),"Cam Phước Đông",""),IF(OR(M1449=phu!$I$79,M1449=phu!$I$80,M1449=phu!$I$81,M1449=phu!$I$82,M1449=phu!$I$83,M1449=phu!$I$84),"Cam Thịnh Đông",""),IF(OR(M1449=phu!$I$85,M1449=phu!$I$86,M1449=phu!$I$87,M1449=phu!$I$88),"Cam Thịnh Tây",""),IF(OR(M1449=phu!$I$89,M1449=phu!$I$90),"Cam Lập",""),IF(OR(M1449=phu!$I$91,M1449=phu!$I$92,M1449=phu!$I$93),"Cam Bình",""),IF(OR(M1449=phu!$I$94,M1449=phu!$I$95,M1449=phu!$I$96,M1449=phu!$I$97,M1449=phu!$I$98,M1449=phu!$I$99,M1449=phu!$I$100),"Huyện khác",""),IF(OR(M1449=phu!$I$101,M1449=phu!$I$102),"Tỉnh khác",""))</f>
        <v/>
      </c>
      <c r="O1449" s="814" t="str">
        <f t="shared" si="133"/>
        <v/>
      </c>
      <c r="P1449" s="254"/>
      <c r="Q1449" s="254"/>
      <c r="R1449" s="254"/>
      <c r="S1449" s="254"/>
      <c r="T1449" s="254"/>
      <c r="U1449" s="254"/>
      <c r="V1449" s="254"/>
      <c r="W1449" s="254"/>
      <c r="Y1449" s="246" t="str">
        <f t="shared" si="134"/>
        <v/>
      </c>
      <c r="Z1449" s="247" t="str">
        <f t="shared" si="132"/>
        <v/>
      </c>
      <c r="AA1449" s="246" t="str">
        <f t="shared" si="135"/>
        <v/>
      </c>
    </row>
    <row r="1450" spans="1:27" x14ac:dyDescent="0.25">
      <c r="A1450" s="248" t="str">
        <f t="shared" si="136"/>
        <v/>
      </c>
      <c r="B1450" s="249" t="str">
        <f t="shared" si="137"/>
        <v/>
      </c>
      <c r="C1450" s="250"/>
      <c r="D1450" s="251"/>
      <c r="E1450" s="241"/>
      <c r="F1450" s="252"/>
      <c r="G1450" s="252"/>
      <c r="H1450" s="253"/>
      <c r="I1450" s="250"/>
      <c r="J1450" s="250"/>
      <c r="K1450" s="270"/>
      <c r="L1450" s="250"/>
      <c r="M1450" s="250"/>
      <c r="N1450" s="553" t="str">
        <f>CONCATENATE(IF(OR(M1450=phu!$I$1,M1450=phu!$I$2,M1450=phu!$I$3),"Cam Thành Nam",""),IF(OR(M1450=phu!$I$4,M1450=phu!$I$5,M1450=phu!$I$6,M1450=phu!$I$7,M1450=phu!$I$8,M1450=phu!$I$9,M1450=phu!$I$10,M1450=phu!$I$11,M1450=phu!$I$12,M1450=phu!$I$13,M1450=phu!$I$14),"Cam Nghĩa",""),IF(OR(M1450=phu!$I$15,M1450=phu!$I$16,M1450=phu!$I$17,M1450=phu!$I$18,M1450=phu!$I$19,M1450=phu!$I$20,M1450=phu!$I$21),"Cam Phúc Bắc",""),IF(OR(M1450=phu!$I$22,M1450=phu!$I$23,M1450=phu!$I$24,M1450=phu!$I$25),"Cam Phúc Nam",""),IF(OR(M1450=phu!$I$26,M1450=phu!$I$27,M1450=phu!$I$28,M1450=phu!$I$29,M1450=phu!$I$30,M1450=phu!$I$31),"Cam Phú",""),IF(OR(M1450=phu!$I$32,M1450=phu!$I$33,M1450=phu!$I$34,M1450=phu!$I$35,M1450=phu!$I$36,M1450=phu!$I$37),"Cam Lộc",""),IF(OR(M1450=phu!$I$38,M1450=phu!$I$39,M1450=phu!$I$40,M1450=phu!$I$41,M1450=phu!$I$42,M1450=phu!$I$43,M1450=phu!$I$44),"Cam Thuận",""),IF(OR(M1450=phu!$I$45,M1450=phu!$I$46,M1450=phu!$I$47,M1450=phu!$I$48,M1450=phu!$I$49,M1450=phu!$I$50,M1450=phu!$I$51,M1450=phu!$I$52,M1450=phu!$I$53),"Cam Linh",""),IF(OR(M1450=phu!$I$54,M1450=phu!$I$55,M1450=phu!$I$56,M1450=phu!$I$57,M1450=phu!$I$58,M1450=phu!$I$59,M1450=phu!$I$60,M1450=phu!$I$61,M1450=phu!$I$62),"Cam Lợi",""),IF(OR(M1450=phu!$I$63,M1450=phu!$I$64,M1450=phu!$I$65,M1450=phu!$I$66,M1450=phu!$I$67,M1450=phu!$I$68,M1450=phu!$I$69,M1450=phu!$I$70,M1450=phu!$I$71),"Ba Ngòi",""),IF(OR(M1450=phu!$I$72,M1450=phu!$I$73,M1450=phu!$I$74,M1450=phu!$I$75,M1450=phu!$I$76,M1450=phu!$I$77,M1450=phu!$I$78),"Cam Phước Đông",""),IF(OR(M1450=phu!$I$79,M1450=phu!$I$80,M1450=phu!$I$81,M1450=phu!$I$82,M1450=phu!$I$83,M1450=phu!$I$84),"Cam Thịnh Đông",""),IF(OR(M1450=phu!$I$85,M1450=phu!$I$86,M1450=phu!$I$87,M1450=phu!$I$88),"Cam Thịnh Tây",""),IF(OR(M1450=phu!$I$89,M1450=phu!$I$90),"Cam Lập",""),IF(OR(M1450=phu!$I$91,M1450=phu!$I$92,M1450=phu!$I$93),"Cam Bình",""),IF(OR(M1450=phu!$I$94,M1450=phu!$I$95,M1450=phu!$I$96,M1450=phu!$I$97,M1450=phu!$I$98,M1450=phu!$I$99,M1450=phu!$I$100),"Huyện khác",""),IF(OR(M1450=phu!$I$101,M1450=phu!$I$102),"Tỉnh khác",""))</f>
        <v/>
      </c>
      <c r="O1450" s="814" t="str">
        <f t="shared" si="133"/>
        <v/>
      </c>
      <c r="P1450" s="254"/>
      <c r="Q1450" s="254"/>
      <c r="R1450" s="254"/>
      <c r="S1450" s="254"/>
      <c r="T1450" s="254"/>
      <c r="U1450" s="254"/>
      <c r="V1450" s="254"/>
      <c r="W1450" s="254"/>
      <c r="Y1450" s="246" t="str">
        <f t="shared" si="134"/>
        <v/>
      </c>
      <c r="Z1450" s="247" t="str">
        <f t="shared" si="132"/>
        <v/>
      </c>
      <c r="AA1450" s="246" t="str">
        <f t="shared" si="135"/>
        <v/>
      </c>
    </row>
    <row r="1451" spans="1:27" x14ac:dyDescent="0.25">
      <c r="A1451" s="248" t="str">
        <f t="shared" si="136"/>
        <v/>
      </c>
      <c r="B1451" s="249" t="str">
        <f t="shared" si="137"/>
        <v/>
      </c>
      <c r="C1451" s="250"/>
      <c r="D1451" s="251"/>
      <c r="E1451" s="241"/>
      <c r="F1451" s="252"/>
      <c r="G1451" s="252"/>
      <c r="H1451" s="253"/>
      <c r="I1451" s="250"/>
      <c r="J1451" s="250"/>
      <c r="K1451" s="270"/>
      <c r="L1451" s="250"/>
      <c r="M1451" s="250"/>
      <c r="N1451" s="553" t="str">
        <f>CONCATENATE(IF(OR(M1451=phu!$I$1,M1451=phu!$I$2,M1451=phu!$I$3),"Cam Thành Nam",""),IF(OR(M1451=phu!$I$4,M1451=phu!$I$5,M1451=phu!$I$6,M1451=phu!$I$7,M1451=phu!$I$8,M1451=phu!$I$9,M1451=phu!$I$10,M1451=phu!$I$11,M1451=phu!$I$12,M1451=phu!$I$13,M1451=phu!$I$14),"Cam Nghĩa",""),IF(OR(M1451=phu!$I$15,M1451=phu!$I$16,M1451=phu!$I$17,M1451=phu!$I$18,M1451=phu!$I$19,M1451=phu!$I$20,M1451=phu!$I$21),"Cam Phúc Bắc",""),IF(OR(M1451=phu!$I$22,M1451=phu!$I$23,M1451=phu!$I$24,M1451=phu!$I$25),"Cam Phúc Nam",""),IF(OR(M1451=phu!$I$26,M1451=phu!$I$27,M1451=phu!$I$28,M1451=phu!$I$29,M1451=phu!$I$30,M1451=phu!$I$31),"Cam Phú",""),IF(OR(M1451=phu!$I$32,M1451=phu!$I$33,M1451=phu!$I$34,M1451=phu!$I$35,M1451=phu!$I$36,M1451=phu!$I$37),"Cam Lộc",""),IF(OR(M1451=phu!$I$38,M1451=phu!$I$39,M1451=phu!$I$40,M1451=phu!$I$41,M1451=phu!$I$42,M1451=phu!$I$43,M1451=phu!$I$44),"Cam Thuận",""),IF(OR(M1451=phu!$I$45,M1451=phu!$I$46,M1451=phu!$I$47,M1451=phu!$I$48,M1451=phu!$I$49,M1451=phu!$I$50,M1451=phu!$I$51,M1451=phu!$I$52,M1451=phu!$I$53),"Cam Linh",""),IF(OR(M1451=phu!$I$54,M1451=phu!$I$55,M1451=phu!$I$56,M1451=phu!$I$57,M1451=phu!$I$58,M1451=phu!$I$59,M1451=phu!$I$60,M1451=phu!$I$61,M1451=phu!$I$62),"Cam Lợi",""),IF(OR(M1451=phu!$I$63,M1451=phu!$I$64,M1451=phu!$I$65,M1451=phu!$I$66,M1451=phu!$I$67,M1451=phu!$I$68,M1451=phu!$I$69,M1451=phu!$I$70,M1451=phu!$I$71),"Ba Ngòi",""),IF(OR(M1451=phu!$I$72,M1451=phu!$I$73,M1451=phu!$I$74,M1451=phu!$I$75,M1451=phu!$I$76,M1451=phu!$I$77,M1451=phu!$I$78),"Cam Phước Đông",""),IF(OR(M1451=phu!$I$79,M1451=phu!$I$80,M1451=phu!$I$81,M1451=phu!$I$82,M1451=phu!$I$83,M1451=phu!$I$84),"Cam Thịnh Đông",""),IF(OR(M1451=phu!$I$85,M1451=phu!$I$86,M1451=phu!$I$87,M1451=phu!$I$88),"Cam Thịnh Tây",""),IF(OR(M1451=phu!$I$89,M1451=phu!$I$90),"Cam Lập",""),IF(OR(M1451=phu!$I$91,M1451=phu!$I$92,M1451=phu!$I$93),"Cam Bình",""),IF(OR(M1451=phu!$I$94,M1451=phu!$I$95,M1451=phu!$I$96,M1451=phu!$I$97,M1451=phu!$I$98,M1451=phu!$I$99,M1451=phu!$I$100),"Huyện khác",""),IF(OR(M1451=phu!$I$101,M1451=phu!$I$102),"Tỉnh khác",""))</f>
        <v/>
      </c>
      <c r="O1451" s="814" t="str">
        <f t="shared" si="133"/>
        <v/>
      </c>
      <c r="P1451" s="254"/>
      <c r="Q1451" s="254"/>
      <c r="R1451" s="254"/>
      <c r="S1451" s="254"/>
      <c r="T1451" s="254"/>
      <c r="U1451" s="254"/>
      <c r="V1451" s="254"/>
      <c r="W1451" s="254"/>
      <c r="Y1451" s="246" t="str">
        <f t="shared" si="134"/>
        <v/>
      </c>
      <c r="Z1451" s="247" t="str">
        <f t="shared" si="132"/>
        <v/>
      </c>
      <c r="AA1451" s="246" t="str">
        <f t="shared" si="135"/>
        <v/>
      </c>
    </row>
    <row r="1452" spans="1:27" x14ac:dyDescent="0.25">
      <c r="A1452" s="248" t="str">
        <f t="shared" si="136"/>
        <v/>
      </c>
      <c r="B1452" s="249" t="str">
        <f t="shared" si="137"/>
        <v/>
      </c>
      <c r="C1452" s="250"/>
      <c r="D1452" s="251"/>
      <c r="E1452" s="241"/>
      <c r="F1452" s="252"/>
      <c r="G1452" s="252"/>
      <c r="H1452" s="253"/>
      <c r="I1452" s="250"/>
      <c r="J1452" s="250"/>
      <c r="K1452" s="270"/>
      <c r="L1452" s="250"/>
      <c r="M1452" s="250"/>
      <c r="N1452" s="553" t="str">
        <f>CONCATENATE(IF(OR(M1452=phu!$I$1,M1452=phu!$I$2,M1452=phu!$I$3),"Cam Thành Nam",""),IF(OR(M1452=phu!$I$4,M1452=phu!$I$5,M1452=phu!$I$6,M1452=phu!$I$7,M1452=phu!$I$8,M1452=phu!$I$9,M1452=phu!$I$10,M1452=phu!$I$11,M1452=phu!$I$12,M1452=phu!$I$13,M1452=phu!$I$14),"Cam Nghĩa",""),IF(OR(M1452=phu!$I$15,M1452=phu!$I$16,M1452=phu!$I$17,M1452=phu!$I$18,M1452=phu!$I$19,M1452=phu!$I$20,M1452=phu!$I$21),"Cam Phúc Bắc",""),IF(OR(M1452=phu!$I$22,M1452=phu!$I$23,M1452=phu!$I$24,M1452=phu!$I$25),"Cam Phúc Nam",""),IF(OR(M1452=phu!$I$26,M1452=phu!$I$27,M1452=phu!$I$28,M1452=phu!$I$29,M1452=phu!$I$30,M1452=phu!$I$31),"Cam Phú",""),IF(OR(M1452=phu!$I$32,M1452=phu!$I$33,M1452=phu!$I$34,M1452=phu!$I$35,M1452=phu!$I$36,M1452=phu!$I$37),"Cam Lộc",""),IF(OR(M1452=phu!$I$38,M1452=phu!$I$39,M1452=phu!$I$40,M1452=phu!$I$41,M1452=phu!$I$42,M1452=phu!$I$43,M1452=phu!$I$44),"Cam Thuận",""),IF(OR(M1452=phu!$I$45,M1452=phu!$I$46,M1452=phu!$I$47,M1452=phu!$I$48,M1452=phu!$I$49,M1452=phu!$I$50,M1452=phu!$I$51,M1452=phu!$I$52,M1452=phu!$I$53),"Cam Linh",""),IF(OR(M1452=phu!$I$54,M1452=phu!$I$55,M1452=phu!$I$56,M1452=phu!$I$57,M1452=phu!$I$58,M1452=phu!$I$59,M1452=phu!$I$60,M1452=phu!$I$61,M1452=phu!$I$62),"Cam Lợi",""),IF(OR(M1452=phu!$I$63,M1452=phu!$I$64,M1452=phu!$I$65,M1452=phu!$I$66,M1452=phu!$I$67,M1452=phu!$I$68,M1452=phu!$I$69,M1452=phu!$I$70,M1452=phu!$I$71),"Ba Ngòi",""),IF(OR(M1452=phu!$I$72,M1452=phu!$I$73,M1452=phu!$I$74,M1452=phu!$I$75,M1452=phu!$I$76,M1452=phu!$I$77,M1452=phu!$I$78),"Cam Phước Đông",""),IF(OR(M1452=phu!$I$79,M1452=phu!$I$80,M1452=phu!$I$81,M1452=phu!$I$82,M1452=phu!$I$83,M1452=phu!$I$84),"Cam Thịnh Đông",""),IF(OR(M1452=phu!$I$85,M1452=phu!$I$86,M1452=phu!$I$87,M1452=phu!$I$88),"Cam Thịnh Tây",""),IF(OR(M1452=phu!$I$89,M1452=phu!$I$90),"Cam Lập",""),IF(OR(M1452=phu!$I$91,M1452=phu!$I$92,M1452=phu!$I$93),"Cam Bình",""),IF(OR(M1452=phu!$I$94,M1452=phu!$I$95,M1452=phu!$I$96,M1452=phu!$I$97,M1452=phu!$I$98,M1452=phu!$I$99,M1452=phu!$I$100),"Huyện khác",""),IF(OR(M1452=phu!$I$101,M1452=phu!$I$102),"Tỉnh khác",""))</f>
        <v/>
      </c>
      <c r="O1452" s="814" t="str">
        <f t="shared" si="133"/>
        <v/>
      </c>
      <c r="P1452" s="254"/>
      <c r="Q1452" s="254"/>
      <c r="R1452" s="254"/>
      <c r="S1452" s="254"/>
      <c r="T1452" s="254"/>
      <c r="U1452" s="254"/>
      <c r="V1452" s="254"/>
      <c r="W1452" s="254"/>
      <c r="Y1452" s="246" t="str">
        <f t="shared" si="134"/>
        <v/>
      </c>
      <c r="Z1452" s="247" t="str">
        <f t="shared" si="132"/>
        <v/>
      </c>
      <c r="AA1452" s="246" t="str">
        <f t="shared" si="135"/>
        <v/>
      </c>
    </row>
    <row r="1453" spans="1:27" x14ac:dyDescent="0.25">
      <c r="A1453" s="248" t="str">
        <f t="shared" si="136"/>
        <v/>
      </c>
      <c r="B1453" s="249" t="str">
        <f t="shared" si="137"/>
        <v/>
      </c>
      <c r="C1453" s="250"/>
      <c r="D1453" s="251"/>
      <c r="E1453" s="241"/>
      <c r="F1453" s="252"/>
      <c r="G1453" s="252"/>
      <c r="H1453" s="253"/>
      <c r="I1453" s="250"/>
      <c r="J1453" s="250"/>
      <c r="K1453" s="270"/>
      <c r="L1453" s="250"/>
      <c r="M1453" s="250"/>
      <c r="N1453" s="553" t="str">
        <f>CONCATENATE(IF(OR(M1453=phu!$I$1,M1453=phu!$I$2,M1453=phu!$I$3),"Cam Thành Nam",""),IF(OR(M1453=phu!$I$4,M1453=phu!$I$5,M1453=phu!$I$6,M1453=phu!$I$7,M1453=phu!$I$8,M1453=phu!$I$9,M1453=phu!$I$10,M1453=phu!$I$11,M1453=phu!$I$12,M1453=phu!$I$13,M1453=phu!$I$14),"Cam Nghĩa",""),IF(OR(M1453=phu!$I$15,M1453=phu!$I$16,M1453=phu!$I$17,M1453=phu!$I$18,M1453=phu!$I$19,M1453=phu!$I$20,M1453=phu!$I$21),"Cam Phúc Bắc",""),IF(OR(M1453=phu!$I$22,M1453=phu!$I$23,M1453=phu!$I$24,M1453=phu!$I$25),"Cam Phúc Nam",""),IF(OR(M1453=phu!$I$26,M1453=phu!$I$27,M1453=phu!$I$28,M1453=phu!$I$29,M1453=phu!$I$30,M1453=phu!$I$31),"Cam Phú",""),IF(OR(M1453=phu!$I$32,M1453=phu!$I$33,M1453=phu!$I$34,M1453=phu!$I$35,M1453=phu!$I$36,M1453=phu!$I$37),"Cam Lộc",""),IF(OR(M1453=phu!$I$38,M1453=phu!$I$39,M1453=phu!$I$40,M1453=phu!$I$41,M1453=phu!$I$42,M1453=phu!$I$43,M1453=phu!$I$44),"Cam Thuận",""),IF(OR(M1453=phu!$I$45,M1453=phu!$I$46,M1453=phu!$I$47,M1453=phu!$I$48,M1453=phu!$I$49,M1453=phu!$I$50,M1453=phu!$I$51,M1453=phu!$I$52,M1453=phu!$I$53),"Cam Linh",""),IF(OR(M1453=phu!$I$54,M1453=phu!$I$55,M1453=phu!$I$56,M1453=phu!$I$57,M1453=phu!$I$58,M1453=phu!$I$59,M1453=phu!$I$60,M1453=phu!$I$61,M1453=phu!$I$62),"Cam Lợi",""),IF(OR(M1453=phu!$I$63,M1453=phu!$I$64,M1453=phu!$I$65,M1453=phu!$I$66,M1453=phu!$I$67,M1453=phu!$I$68,M1453=phu!$I$69,M1453=phu!$I$70,M1453=phu!$I$71),"Ba Ngòi",""),IF(OR(M1453=phu!$I$72,M1453=phu!$I$73,M1453=phu!$I$74,M1453=phu!$I$75,M1453=phu!$I$76,M1453=phu!$I$77,M1453=phu!$I$78),"Cam Phước Đông",""),IF(OR(M1453=phu!$I$79,M1453=phu!$I$80,M1453=phu!$I$81,M1453=phu!$I$82,M1453=phu!$I$83,M1453=phu!$I$84),"Cam Thịnh Đông",""),IF(OR(M1453=phu!$I$85,M1453=phu!$I$86,M1453=phu!$I$87,M1453=phu!$I$88),"Cam Thịnh Tây",""),IF(OR(M1453=phu!$I$89,M1453=phu!$I$90),"Cam Lập",""),IF(OR(M1453=phu!$I$91,M1453=phu!$I$92,M1453=phu!$I$93),"Cam Bình",""),IF(OR(M1453=phu!$I$94,M1453=phu!$I$95,M1453=phu!$I$96,M1453=phu!$I$97,M1453=phu!$I$98,M1453=phu!$I$99,M1453=phu!$I$100),"Huyện khác",""),IF(OR(M1453=phu!$I$101,M1453=phu!$I$102),"Tỉnh khác",""))</f>
        <v/>
      </c>
      <c r="O1453" s="814" t="str">
        <f t="shared" si="133"/>
        <v/>
      </c>
      <c r="P1453" s="254"/>
      <c r="Q1453" s="254"/>
      <c r="R1453" s="254"/>
      <c r="S1453" s="254"/>
      <c r="T1453" s="254"/>
      <c r="U1453" s="254"/>
      <c r="V1453" s="254"/>
      <c r="W1453" s="254"/>
      <c r="Y1453" s="246" t="str">
        <f t="shared" si="134"/>
        <v/>
      </c>
      <c r="Z1453" s="247" t="str">
        <f t="shared" si="132"/>
        <v/>
      </c>
      <c r="AA1453" s="246" t="str">
        <f t="shared" si="135"/>
        <v/>
      </c>
    </row>
    <row r="1454" spans="1:27" x14ac:dyDescent="0.25">
      <c r="A1454" s="248" t="str">
        <f t="shared" si="136"/>
        <v/>
      </c>
      <c r="B1454" s="249" t="str">
        <f t="shared" si="137"/>
        <v/>
      </c>
      <c r="C1454" s="250"/>
      <c r="D1454" s="251"/>
      <c r="E1454" s="241"/>
      <c r="F1454" s="252"/>
      <c r="G1454" s="252"/>
      <c r="H1454" s="253"/>
      <c r="I1454" s="250"/>
      <c r="J1454" s="250"/>
      <c r="K1454" s="270"/>
      <c r="L1454" s="250"/>
      <c r="M1454" s="250"/>
      <c r="N1454" s="553" t="str">
        <f>CONCATENATE(IF(OR(M1454=phu!$I$1,M1454=phu!$I$2,M1454=phu!$I$3),"Cam Thành Nam",""),IF(OR(M1454=phu!$I$4,M1454=phu!$I$5,M1454=phu!$I$6,M1454=phu!$I$7,M1454=phu!$I$8,M1454=phu!$I$9,M1454=phu!$I$10,M1454=phu!$I$11,M1454=phu!$I$12,M1454=phu!$I$13,M1454=phu!$I$14),"Cam Nghĩa",""),IF(OR(M1454=phu!$I$15,M1454=phu!$I$16,M1454=phu!$I$17,M1454=phu!$I$18,M1454=phu!$I$19,M1454=phu!$I$20,M1454=phu!$I$21),"Cam Phúc Bắc",""),IF(OR(M1454=phu!$I$22,M1454=phu!$I$23,M1454=phu!$I$24,M1454=phu!$I$25),"Cam Phúc Nam",""),IF(OR(M1454=phu!$I$26,M1454=phu!$I$27,M1454=phu!$I$28,M1454=phu!$I$29,M1454=phu!$I$30,M1454=phu!$I$31),"Cam Phú",""),IF(OR(M1454=phu!$I$32,M1454=phu!$I$33,M1454=phu!$I$34,M1454=phu!$I$35,M1454=phu!$I$36,M1454=phu!$I$37),"Cam Lộc",""),IF(OR(M1454=phu!$I$38,M1454=phu!$I$39,M1454=phu!$I$40,M1454=phu!$I$41,M1454=phu!$I$42,M1454=phu!$I$43,M1454=phu!$I$44),"Cam Thuận",""),IF(OR(M1454=phu!$I$45,M1454=phu!$I$46,M1454=phu!$I$47,M1454=phu!$I$48,M1454=phu!$I$49,M1454=phu!$I$50,M1454=phu!$I$51,M1454=phu!$I$52,M1454=phu!$I$53),"Cam Linh",""),IF(OR(M1454=phu!$I$54,M1454=phu!$I$55,M1454=phu!$I$56,M1454=phu!$I$57,M1454=phu!$I$58,M1454=phu!$I$59,M1454=phu!$I$60,M1454=phu!$I$61,M1454=phu!$I$62),"Cam Lợi",""),IF(OR(M1454=phu!$I$63,M1454=phu!$I$64,M1454=phu!$I$65,M1454=phu!$I$66,M1454=phu!$I$67,M1454=phu!$I$68,M1454=phu!$I$69,M1454=phu!$I$70,M1454=phu!$I$71),"Ba Ngòi",""),IF(OR(M1454=phu!$I$72,M1454=phu!$I$73,M1454=phu!$I$74,M1454=phu!$I$75,M1454=phu!$I$76,M1454=phu!$I$77,M1454=phu!$I$78),"Cam Phước Đông",""),IF(OR(M1454=phu!$I$79,M1454=phu!$I$80,M1454=phu!$I$81,M1454=phu!$I$82,M1454=phu!$I$83,M1454=phu!$I$84),"Cam Thịnh Đông",""),IF(OR(M1454=phu!$I$85,M1454=phu!$I$86,M1454=phu!$I$87,M1454=phu!$I$88),"Cam Thịnh Tây",""),IF(OR(M1454=phu!$I$89,M1454=phu!$I$90),"Cam Lập",""),IF(OR(M1454=phu!$I$91,M1454=phu!$I$92,M1454=phu!$I$93),"Cam Bình",""),IF(OR(M1454=phu!$I$94,M1454=phu!$I$95,M1454=phu!$I$96,M1454=phu!$I$97,M1454=phu!$I$98,M1454=phu!$I$99,M1454=phu!$I$100),"Huyện khác",""),IF(OR(M1454=phu!$I$101,M1454=phu!$I$102),"Tỉnh khác",""))</f>
        <v/>
      </c>
      <c r="O1454" s="814" t="str">
        <f t="shared" si="133"/>
        <v/>
      </c>
      <c r="P1454" s="254"/>
      <c r="Q1454" s="254"/>
      <c r="R1454" s="254"/>
      <c r="S1454" s="254"/>
      <c r="T1454" s="254"/>
      <c r="U1454" s="254"/>
      <c r="V1454" s="254"/>
      <c r="W1454" s="254"/>
      <c r="Y1454" s="246" t="str">
        <f t="shared" si="134"/>
        <v/>
      </c>
      <c r="Z1454" s="247" t="str">
        <f t="shared" si="132"/>
        <v/>
      </c>
      <c r="AA1454" s="246" t="str">
        <f t="shared" si="135"/>
        <v/>
      </c>
    </row>
    <row r="1455" spans="1:27" x14ac:dyDescent="0.25">
      <c r="A1455" s="248" t="str">
        <f t="shared" si="136"/>
        <v/>
      </c>
      <c r="B1455" s="249" t="str">
        <f t="shared" si="137"/>
        <v/>
      </c>
      <c r="C1455" s="250"/>
      <c r="D1455" s="251"/>
      <c r="E1455" s="241"/>
      <c r="F1455" s="252"/>
      <c r="G1455" s="252"/>
      <c r="H1455" s="253"/>
      <c r="I1455" s="250"/>
      <c r="J1455" s="250"/>
      <c r="K1455" s="270"/>
      <c r="L1455" s="250"/>
      <c r="M1455" s="250"/>
      <c r="N1455" s="553" t="str">
        <f>CONCATENATE(IF(OR(M1455=phu!$I$1,M1455=phu!$I$2,M1455=phu!$I$3),"Cam Thành Nam",""),IF(OR(M1455=phu!$I$4,M1455=phu!$I$5,M1455=phu!$I$6,M1455=phu!$I$7,M1455=phu!$I$8,M1455=phu!$I$9,M1455=phu!$I$10,M1455=phu!$I$11,M1455=phu!$I$12,M1455=phu!$I$13,M1455=phu!$I$14),"Cam Nghĩa",""),IF(OR(M1455=phu!$I$15,M1455=phu!$I$16,M1455=phu!$I$17,M1455=phu!$I$18,M1455=phu!$I$19,M1455=phu!$I$20,M1455=phu!$I$21),"Cam Phúc Bắc",""),IF(OR(M1455=phu!$I$22,M1455=phu!$I$23,M1455=phu!$I$24,M1455=phu!$I$25),"Cam Phúc Nam",""),IF(OR(M1455=phu!$I$26,M1455=phu!$I$27,M1455=phu!$I$28,M1455=phu!$I$29,M1455=phu!$I$30,M1455=phu!$I$31),"Cam Phú",""),IF(OR(M1455=phu!$I$32,M1455=phu!$I$33,M1455=phu!$I$34,M1455=phu!$I$35,M1455=phu!$I$36,M1455=phu!$I$37),"Cam Lộc",""),IF(OR(M1455=phu!$I$38,M1455=phu!$I$39,M1455=phu!$I$40,M1455=phu!$I$41,M1455=phu!$I$42,M1455=phu!$I$43,M1455=phu!$I$44),"Cam Thuận",""),IF(OR(M1455=phu!$I$45,M1455=phu!$I$46,M1455=phu!$I$47,M1455=phu!$I$48,M1455=phu!$I$49,M1455=phu!$I$50,M1455=phu!$I$51,M1455=phu!$I$52,M1455=phu!$I$53),"Cam Linh",""),IF(OR(M1455=phu!$I$54,M1455=phu!$I$55,M1455=phu!$I$56,M1455=phu!$I$57,M1455=phu!$I$58,M1455=phu!$I$59,M1455=phu!$I$60,M1455=phu!$I$61,M1455=phu!$I$62),"Cam Lợi",""),IF(OR(M1455=phu!$I$63,M1455=phu!$I$64,M1455=phu!$I$65,M1455=phu!$I$66,M1455=phu!$I$67,M1455=phu!$I$68,M1455=phu!$I$69,M1455=phu!$I$70,M1455=phu!$I$71),"Ba Ngòi",""),IF(OR(M1455=phu!$I$72,M1455=phu!$I$73,M1455=phu!$I$74,M1455=phu!$I$75,M1455=phu!$I$76,M1455=phu!$I$77,M1455=phu!$I$78),"Cam Phước Đông",""),IF(OR(M1455=phu!$I$79,M1455=phu!$I$80,M1455=phu!$I$81,M1455=phu!$I$82,M1455=phu!$I$83,M1455=phu!$I$84),"Cam Thịnh Đông",""),IF(OR(M1455=phu!$I$85,M1455=phu!$I$86,M1455=phu!$I$87,M1455=phu!$I$88),"Cam Thịnh Tây",""),IF(OR(M1455=phu!$I$89,M1455=phu!$I$90),"Cam Lập",""),IF(OR(M1455=phu!$I$91,M1455=phu!$I$92,M1455=phu!$I$93),"Cam Bình",""),IF(OR(M1455=phu!$I$94,M1455=phu!$I$95,M1455=phu!$I$96,M1455=phu!$I$97,M1455=phu!$I$98,M1455=phu!$I$99,M1455=phu!$I$100),"Huyện khác",""),IF(OR(M1455=phu!$I$101,M1455=phu!$I$102),"Tỉnh khác",""))</f>
        <v/>
      </c>
      <c r="O1455" s="814" t="str">
        <f t="shared" si="133"/>
        <v/>
      </c>
      <c r="P1455" s="254"/>
      <c r="Q1455" s="254"/>
      <c r="R1455" s="254"/>
      <c r="S1455" s="254"/>
      <c r="T1455" s="254"/>
      <c r="U1455" s="254"/>
      <c r="V1455" s="254"/>
      <c r="W1455" s="254"/>
      <c r="Y1455" s="246" t="str">
        <f t="shared" si="134"/>
        <v/>
      </c>
      <c r="Z1455" s="247" t="str">
        <f t="shared" si="132"/>
        <v/>
      </c>
      <c r="AA1455" s="246" t="str">
        <f t="shared" si="135"/>
        <v/>
      </c>
    </row>
    <row r="1456" spans="1:27" x14ac:dyDescent="0.25">
      <c r="A1456" s="248" t="str">
        <f t="shared" si="136"/>
        <v/>
      </c>
      <c r="B1456" s="249" t="str">
        <f t="shared" si="137"/>
        <v/>
      </c>
      <c r="C1456" s="250"/>
      <c r="D1456" s="251"/>
      <c r="E1456" s="241"/>
      <c r="F1456" s="252"/>
      <c r="G1456" s="252"/>
      <c r="H1456" s="253"/>
      <c r="I1456" s="250"/>
      <c r="J1456" s="250"/>
      <c r="K1456" s="270"/>
      <c r="L1456" s="250"/>
      <c r="M1456" s="250"/>
      <c r="N1456" s="553" t="str">
        <f>CONCATENATE(IF(OR(M1456=phu!$I$1,M1456=phu!$I$2,M1456=phu!$I$3),"Cam Thành Nam",""),IF(OR(M1456=phu!$I$4,M1456=phu!$I$5,M1456=phu!$I$6,M1456=phu!$I$7,M1456=phu!$I$8,M1456=phu!$I$9,M1456=phu!$I$10,M1456=phu!$I$11,M1456=phu!$I$12,M1456=phu!$I$13,M1456=phu!$I$14),"Cam Nghĩa",""),IF(OR(M1456=phu!$I$15,M1456=phu!$I$16,M1456=phu!$I$17,M1456=phu!$I$18,M1456=phu!$I$19,M1456=phu!$I$20,M1456=phu!$I$21),"Cam Phúc Bắc",""),IF(OR(M1456=phu!$I$22,M1456=phu!$I$23,M1456=phu!$I$24,M1456=phu!$I$25),"Cam Phúc Nam",""),IF(OR(M1456=phu!$I$26,M1456=phu!$I$27,M1456=phu!$I$28,M1456=phu!$I$29,M1456=phu!$I$30,M1456=phu!$I$31),"Cam Phú",""),IF(OR(M1456=phu!$I$32,M1456=phu!$I$33,M1456=phu!$I$34,M1456=phu!$I$35,M1456=phu!$I$36,M1456=phu!$I$37),"Cam Lộc",""),IF(OR(M1456=phu!$I$38,M1456=phu!$I$39,M1456=phu!$I$40,M1456=phu!$I$41,M1456=phu!$I$42,M1456=phu!$I$43,M1456=phu!$I$44),"Cam Thuận",""),IF(OR(M1456=phu!$I$45,M1456=phu!$I$46,M1456=phu!$I$47,M1456=phu!$I$48,M1456=phu!$I$49,M1456=phu!$I$50,M1456=phu!$I$51,M1456=phu!$I$52,M1456=phu!$I$53),"Cam Linh",""),IF(OR(M1456=phu!$I$54,M1456=phu!$I$55,M1456=phu!$I$56,M1456=phu!$I$57,M1456=phu!$I$58,M1456=phu!$I$59,M1456=phu!$I$60,M1456=phu!$I$61,M1456=phu!$I$62),"Cam Lợi",""),IF(OR(M1456=phu!$I$63,M1456=phu!$I$64,M1456=phu!$I$65,M1456=phu!$I$66,M1456=phu!$I$67,M1456=phu!$I$68,M1456=phu!$I$69,M1456=phu!$I$70,M1456=phu!$I$71),"Ba Ngòi",""),IF(OR(M1456=phu!$I$72,M1456=phu!$I$73,M1456=phu!$I$74,M1456=phu!$I$75,M1456=phu!$I$76,M1456=phu!$I$77,M1456=phu!$I$78),"Cam Phước Đông",""),IF(OR(M1456=phu!$I$79,M1456=phu!$I$80,M1456=phu!$I$81,M1456=phu!$I$82,M1456=phu!$I$83,M1456=phu!$I$84),"Cam Thịnh Đông",""),IF(OR(M1456=phu!$I$85,M1456=phu!$I$86,M1456=phu!$I$87,M1456=phu!$I$88),"Cam Thịnh Tây",""),IF(OR(M1456=phu!$I$89,M1456=phu!$I$90),"Cam Lập",""),IF(OR(M1456=phu!$I$91,M1456=phu!$I$92,M1456=phu!$I$93),"Cam Bình",""),IF(OR(M1456=phu!$I$94,M1456=phu!$I$95,M1456=phu!$I$96,M1456=phu!$I$97,M1456=phu!$I$98,M1456=phu!$I$99,M1456=phu!$I$100),"Huyện khác",""),IF(OR(M1456=phu!$I$101,M1456=phu!$I$102),"Tỉnh khác",""))</f>
        <v/>
      </c>
      <c r="O1456" s="814" t="str">
        <f t="shared" si="133"/>
        <v/>
      </c>
      <c r="P1456" s="254"/>
      <c r="Q1456" s="254"/>
      <c r="R1456" s="254"/>
      <c r="S1456" s="254"/>
      <c r="T1456" s="254"/>
      <c r="U1456" s="254"/>
      <c r="V1456" s="254"/>
      <c r="W1456" s="254"/>
      <c r="Y1456" s="246" t="str">
        <f t="shared" si="134"/>
        <v/>
      </c>
      <c r="Z1456" s="247" t="str">
        <f t="shared" si="132"/>
        <v/>
      </c>
      <c r="AA1456" s="246" t="str">
        <f t="shared" si="135"/>
        <v/>
      </c>
    </row>
    <row r="1457" spans="1:27" x14ac:dyDescent="0.25">
      <c r="A1457" s="248" t="str">
        <f t="shared" si="136"/>
        <v/>
      </c>
      <c r="B1457" s="249" t="str">
        <f t="shared" si="137"/>
        <v/>
      </c>
      <c r="C1457" s="250"/>
      <c r="D1457" s="251"/>
      <c r="E1457" s="241"/>
      <c r="F1457" s="252"/>
      <c r="G1457" s="252"/>
      <c r="H1457" s="253"/>
      <c r="I1457" s="250"/>
      <c r="J1457" s="250"/>
      <c r="K1457" s="270"/>
      <c r="L1457" s="250"/>
      <c r="M1457" s="250"/>
      <c r="N1457" s="553" t="str">
        <f>CONCATENATE(IF(OR(M1457=phu!$I$1,M1457=phu!$I$2,M1457=phu!$I$3),"Cam Thành Nam",""),IF(OR(M1457=phu!$I$4,M1457=phu!$I$5,M1457=phu!$I$6,M1457=phu!$I$7,M1457=phu!$I$8,M1457=phu!$I$9,M1457=phu!$I$10,M1457=phu!$I$11,M1457=phu!$I$12,M1457=phu!$I$13,M1457=phu!$I$14),"Cam Nghĩa",""),IF(OR(M1457=phu!$I$15,M1457=phu!$I$16,M1457=phu!$I$17,M1457=phu!$I$18,M1457=phu!$I$19,M1457=phu!$I$20,M1457=phu!$I$21),"Cam Phúc Bắc",""),IF(OR(M1457=phu!$I$22,M1457=phu!$I$23,M1457=phu!$I$24,M1457=phu!$I$25),"Cam Phúc Nam",""),IF(OR(M1457=phu!$I$26,M1457=phu!$I$27,M1457=phu!$I$28,M1457=phu!$I$29,M1457=phu!$I$30,M1457=phu!$I$31),"Cam Phú",""),IF(OR(M1457=phu!$I$32,M1457=phu!$I$33,M1457=phu!$I$34,M1457=phu!$I$35,M1457=phu!$I$36,M1457=phu!$I$37),"Cam Lộc",""),IF(OR(M1457=phu!$I$38,M1457=phu!$I$39,M1457=phu!$I$40,M1457=phu!$I$41,M1457=phu!$I$42,M1457=phu!$I$43,M1457=phu!$I$44),"Cam Thuận",""),IF(OR(M1457=phu!$I$45,M1457=phu!$I$46,M1457=phu!$I$47,M1457=phu!$I$48,M1457=phu!$I$49,M1457=phu!$I$50,M1457=phu!$I$51,M1457=phu!$I$52,M1457=phu!$I$53),"Cam Linh",""),IF(OR(M1457=phu!$I$54,M1457=phu!$I$55,M1457=phu!$I$56,M1457=phu!$I$57,M1457=phu!$I$58,M1457=phu!$I$59,M1457=phu!$I$60,M1457=phu!$I$61,M1457=phu!$I$62),"Cam Lợi",""),IF(OR(M1457=phu!$I$63,M1457=phu!$I$64,M1457=phu!$I$65,M1457=phu!$I$66,M1457=phu!$I$67,M1457=phu!$I$68,M1457=phu!$I$69,M1457=phu!$I$70,M1457=phu!$I$71),"Ba Ngòi",""),IF(OR(M1457=phu!$I$72,M1457=phu!$I$73,M1457=phu!$I$74,M1457=phu!$I$75,M1457=phu!$I$76,M1457=phu!$I$77,M1457=phu!$I$78),"Cam Phước Đông",""),IF(OR(M1457=phu!$I$79,M1457=phu!$I$80,M1457=phu!$I$81,M1457=phu!$I$82,M1457=phu!$I$83,M1457=phu!$I$84),"Cam Thịnh Đông",""),IF(OR(M1457=phu!$I$85,M1457=phu!$I$86,M1457=phu!$I$87,M1457=phu!$I$88),"Cam Thịnh Tây",""),IF(OR(M1457=phu!$I$89,M1457=phu!$I$90),"Cam Lập",""),IF(OR(M1457=phu!$I$91,M1457=phu!$I$92,M1457=phu!$I$93),"Cam Bình",""),IF(OR(M1457=phu!$I$94,M1457=phu!$I$95,M1457=phu!$I$96,M1457=phu!$I$97,M1457=phu!$I$98,M1457=phu!$I$99,M1457=phu!$I$100),"Huyện khác",""),IF(OR(M1457=phu!$I$101,M1457=phu!$I$102),"Tỉnh khác",""))</f>
        <v/>
      </c>
      <c r="O1457" s="814" t="str">
        <f t="shared" si="133"/>
        <v/>
      </c>
      <c r="P1457" s="254"/>
      <c r="Q1457" s="254"/>
      <c r="R1457" s="254"/>
      <c r="S1457" s="254"/>
      <c r="T1457" s="254"/>
      <c r="U1457" s="254"/>
      <c r="V1457" s="254"/>
      <c r="W1457" s="254"/>
      <c r="Y1457" s="246" t="str">
        <f t="shared" si="134"/>
        <v/>
      </c>
      <c r="Z1457" s="247" t="str">
        <f t="shared" si="132"/>
        <v/>
      </c>
      <c r="AA1457" s="246" t="str">
        <f t="shared" si="135"/>
        <v/>
      </c>
    </row>
    <row r="1458" spans="1:27" x14ac:dyDescent="0.25">
      <c r="A1458" s="248" t="str">
        <f t="shared" si="136"/>
        <v/>
      </c>
      <c r="B1458" s="249" t="str">
        <f t="shared" si="137"/>
        <v/>
      </c>
      <c r="C1458" s="250"/>
      <c r="D1458" s="251"/>
      <c r="E1458" s="241"/>
      <c r="F1458" s="252"/>
      <c r="G1458" s="252"/>
      <c r="H1458" s="253"/>
      <c r="I1458" s="250"/>
      <c r="J1458" s="250"/>
      <c r="K1458" s="270"/>
      <c r="L1458" s="250"/>
      <c r="M1458" s="250"/>
      <c r="N1458" s="553" t="str">
        <f>CONCATENATE(IF(OR(M1458=phu!$I$1,M1458=phu!$I$2,M1458=phu!$I$3),"Cam Thành Nam",""),IF(OR(M1458=phu!$I$4,M1458=phu!$I$5,M1458=phu!$I$6,M1458=phu!$I$7,M1458=phu!$I$8,M1458=phu!$I$9,M1458=phu!$I$10,M1458=phu!$I$11,M1458=phu!$I$12,M1458=phu!$I$13,M1458=phu!$I$14),"Cam Nghĩa",""),IF(OR(M1458=phu!$I$15,M1458=phu!$I$16,M1458=phu!$I$17,M1458=phu!$I$18,M1458=phu!$I$19,M1458=phu!$I$20,M1458=phu!$I$21),"Cam Phúc Bắc",""),IF(OR(M1458=phu!$I$22,M1458=phu!$I$23,M1458=phu!$I$24,M1458=phu!$I$25),"Cam Phúc Nam",""),IF(OR(M1458=phu!$I$26,M1458=phu!$I$27,M1458=phu!$I$28,M1458=phu!$I$29,M1458=phu!$I$30,M1458=phu!$I$31),"Cam Phú",""),IF(OR(M1458=phu!$I$32,M1458=phu!$I$33,M1458=phu!$I$34,M1458=phu!$I$35,M1458=phu!$I$36,M1458=phu!$I$37),"Cam Lộc",""),IF(OR(M1458=phu!$I$38,M1458=phu!$I$39,M1458=phu!$I$40,M1458=phu!$I$41,M1458=phu!$I$42,M1458=phu!$I$43,M1458=phu!$I$44),"Cam Thuận",""),IF(OR(M1458=phu!$I$45,M1458=phu!$I$46,M1458=phu!$I$47,M1458=phu!$I$48,M1458=phu!$I$49,M1458=phu!$I$50,M1458=phu!$I$51,M1458=phu!$I$52,M1458=phu!$I$53),"Cam Linh",""),IF(OR(M1458=phu!$I$54,M1458=phu!$I$55,M1458=phu!$I$56,M1458=phu!$I$57,M1458=phu!$I$58,M1458=phu!$I$59,M1458=phu!$I$60,M1458=phu!$I$61,M1458=phu!$I$62),"Cam Lợi",""),IF(OR(M1458=phu!$I$63,M1458=phu!$I$64,M1458=phu!$I$65,M1458=phu!$I$66,M1458=phu!$I$67,M1458=phu!$I$68,M1458=phu!$I$69,M1458=phu!$I$70,M1458=phu!$I$71),"Ba Ngòi",""),IF(OR(M1458=phu!$I$72,M1458=phu!$I$73,M1458=phu!$I$74,M1458=phu!$I$75,M1458=phu!$I$76,M1458=phu!$I$77,M1458=phu!$I$78),"Cam Phước Đông",""),IF(OR(M1458=phu!$I$79,M1458=phu!$I$80,M1458=phu!$I$81,M1458=phu!$I$82,M1458=phu!$I$83,M1458=phu!$I$84),"Cam Thịnh Đông",""),IF(OR(M1458=phu!$I$85,M1458=phu!$I$86,M1458=phu!$I$87,M1458=phu!$I$88),"Cam Thịnh Tây",""),IF(OR(M1458=phu!$I$89,M1458=phu!$I$90),"Cam Lập",""),IF(OR(M1458=phu!$I$91,M1458=phu!$I$92,M1458=phu!$I$93),"Cam Bình",""),IF(OR(M1458=phu!$I$94,M1458=phu!$I$95,M1458=phu!$I$96,M1458=phu!$I$97,M1458=phu!$I$98,M1458=phu!$I$99,M1458=phu!$I$100),"Huyện khác",""),IF(OR(M1458=phu!$I$101,M1458=phu!$I$102),"Tỉnh khác",""))</f>
        <v/>
      </c>
      <c r="O1458" s="814" t="str">
        <f t="shared" si="133"/>
        <v/>
      </c>
      <c r="P1458" s="254"/>
      <c r="Q1458" s="254"/>
      <c r="R1458" s="254"/>
      <c r="S1458" s="254"/>
      <c r="T1458" s="254"/>
      <c r="U1458" s="254"/>
      <c r="V1458" s="254"/>
      <c r="W1458" s="254"/>
      <c r="Y1458" s="246" t="str">
        <f t="shared" si="134"/>
        <v/>
      </c>
      <c r="Z1458" s="247" t="str">
        <f t="shared" si="132"/>
        <v/>
      </c>
      <c r="AA1458" s="246" t="str">
        <f t="shared" si="135"/>
        <v/>
      </c>
    </row>
    <row r="1459" spans="1:27" x14ac:dyDescent="0.25">
      <c r="A1459" s="248" t="str">
        <f t="shared" si="136"/>
        <v/>
      </c>
      <c r="B1459" s="249" t="str">
        <f t="shared" si="137"/>
        <v/>
      </c>
      <c r="C1459" s="250"/>
      <c r="D1459" s="251"/>
      <c r="E1459" s="241"/>
      <c r="F1459" s="252"/>
      <c r="G1459" s="252"/>
      <c r="H1459" s="253"/>
      <c r="I1459" s="250"/>
      <c r="J1459" s="250"/>
      <c r="K1459" s="270"/>
      <c r="L1459" s="250"/>
      <c r="M1459" s="250"/>
      <c r="N1459" s="553" t="str">
        <f>CONCATENATE(IF(OR(M1459=phu!$I$1,M1459=phu!$I$2,M1459=phu!$I$3),"Cam Thành Nam",""),IF(OR(M1459=phu!$I$4,M1459=phu!$I$5,M1459=phu!$I$6,M1459=phu!$I$7,M1459=phu!$I$8,M1459=phu!$I$9,M1459=phu!$I$10,M1459=phu!$I$11,M1459=phu!$I$12,M1459=phu!$I$13,M1459=phu!$I$14),"Cam Nghĩa",""),IF(OR(M1459=phu!$I$15,M1459=phu!$I$16,M1459=phu!$I$17,M1459=phu!$I$18,M1459=phu!$I$19,M1459=phu!$I$20,M1459=phu!$I$21),"Cam Phúc Bắc",""),IF(OR(M1459=phu!$I$22,M1459=phu!$I$23,M1459=phu!$I$24,M1459=phu!$I$25),"Cam Phúc Nam",""),IF(OR(M1459=phu!$I$26,M1459=phu!$I$27,M1459=phu!$I$28,M1459=phu!$I$29,M1459=phu!$I$30,M1459=phu!$I$31),"Cam Phú",""),IF(OR(M1459=phu!$I$32,M1459=phu!$I$33,M1459=phu!$I$34,M1459=phu!$I$35,M1459=phu!$I$36,M1459=phu!$I$37),"Cam Lộc",""),IF(OR(M1459=phu!$I$38,M1459=phu!$I$39,M1459=phu!$I$40,M1459=phu!$I$41,M1459=phu!$I$42,M1459=phu!$I$43,M1459=phu!$I$44),"Cam Thuận",""),IF(OR(M1459=phu!$I$45,M1459=phu!$I$46,M1459=phu!$I$47,M1459=phu!$I$48,M1459=phu!$I$49,M1459=phu!$I$50,M1459=phu!$I$51,M1459=phu!$I$52,M1459=phu!$I$53),"Cam Linh",""),IF(OR(M1459=phu!$I$54,M1459=phu!$I$55,M1459=phu!$I$56,M1459=phu!$I$57,M1459=phu!$I$58,M1459=phu!$I$59,M1459=phu!$I$60,M1459=phu!$I$61,M1459=phu!$I$62),"Cam Lợi",""),IF(OR(M1459=phu!$I$63,M1459=phu!$I$64,M1459=phu!$I$65,M1459=phu!$I$66,M1459=phu!$I$67,M1459=phu!$I$68,M1459=phu!$I$69,M1459=phu!$I$70,M1459=phu!$I$71),"Ba Ngòi",""),IF(OR(M1459=phu!$I$72,M1459=phu!$I$73,M1459=phu!$I$74,M1459=phu!$I$75,M1459=phu!$I$76,M1459=phu!$I$77,M1459=phu!$I$78),"Cam Phước Đông",""),IF(OR(M1459=phu!$I$79,M1459=phu!$I$80,M1459=phu!$I$81,M1459=phu!$I$82,M1459=phu!$I$83,M1459=phu!$I$84),"Cam Thịnh Đông",""),IF(OR(M1459=phu!$I$85,M1459=phu!$I$86,M1459=phu!$I$87,M1459=phu!$I$88),"Cam Thịnh Tây",""),IF(OR(M1459=phu!$I$89,M1459=phu!$I$90),"Cam Lập",""),IF(OR(M1459=phu!$I$91,M1459=phu!$I$92,M1459=phu!$I$93),"Cam Bình",""),IF(OR(M1459=phu!$I$94,M1459=phu!$I$95,M1459=phu!$I$96,M1459=phu!$I$97,M1459=phu!$I$98,M1459=phu!$I$99,M1459=phu!$I$100),"Huyện khác",""),IF(OR(M1459=phu!$I$101,M1459=phu!$I$102),"Tỉnh khác",""))</f>
        <v/>
      </c>
      <c r="O1459" s="814" t="str">
        <f t="shared" si="133"/>
        <v/>
      </c>
      <c r="P1459" s="254"/>
      <c r="Q1459" s="254"/>
      <c r="R1459" s="254"/>
      <c r="S1459" s="254"/>
      <c r="T1459" s="254"/>
      <c r="U1459" s="254"/>
      <c r="V1459" s="254"/>
      <c r="W1459" s="254"/>
      <c r="Y1459" s="246" t="str">
        <f t="shared" si="134"/>
        <v/>
      </c>
      <c r="Z1459" s="247" t="str">
        <f t="shared" si="132"/>
        <v/>
      </c>
      <c r="AA1459" s="246" t="str">
        <f t="shared" si="135"/>
        <v/>
      </c>
    </row>
    <row r="1460" spans="1:27" x14ac:dyDescent="0.25">
      <c r="A1460" s="248" t="str">
        <f t="shared" si="136"/>
        <v/>
      </c>
      <c r="B1460" s="249" t="str">
        <f t="shared" si="137"/>
        <v/>
      </c>
      <c r="C1460" s="250"/>
      <c r="D1460" s="251"/>
      <c r="E1460" s="241"/>
      <c r="F1460" s="252"/>
      <c r="G1460" s="252"/>
      <c r="H1460" s="253"/>
      <c r="I1460" s="250"/>
      <c r="J1460" s="250"/>
      <c r="K1460" s="270"/>
      <c r="L1460" s="250"/>
      <c r="M1460" s="250"/>
      <c r="N1460" s="553" t="str">
        <f>CONCATENATE(IF(OR(M1460=phu!$I$1,M1460=phu!$I$2,M1460=phu!$I$3),"Cam Thành Nam",""),IF(OR(M1460=phu!$I$4,M1460=phu!$I$5,M1460=phu!$I$6,M1460=phu!$I$7,M1460=phu!$I$8,M1460=phu!$I$9,M1460=phu!$I$10,M1460=phu!$I$11,M1460=phu!$I$12,M1460=phu!$I$13,M1460=phu!$I$14),"Cam Nghĩa",""),IF(OR(M1460=phu!$I$15,M1460=phu!$I$16,M1460=phu!$I$17,M1460=phu!$I$18,M1460=phu!$I$19,M1460=phu!$I$20,M1460=phu!$I$21),"Cam Phúc Bắc",""),IF(OR(M1460=phu!$I$22,M1460=phu!$I$23,M1460=phu!$I$24,M1460=phu!$I$25),"Cam Phúc Nam",""),IF(OR(M1460=phu!$I$26,M1460=phu!$I$27,M1460=phu!$I$28,M1460=phu!$I$29,M1460=phu!$I$30,M1460=phu!$I$31),"Cam Phú",""),IF(OR(M1460=phu!$I$32,M1460=phu!$I$33,M1460=phu!$I$34,M1460=phu!$I$35,M1460=phu!$I$36,M1460=phu!$I$37),"Cam Lộc",""),IF(OR(M1460=phu!$I$38,M1460=phu!$I$39,M1460=phu!$I$40,M1460=phu!$I$41,M1460=phu!$I$42,M1460=phu!$I$43,M1460=phu!$I$44),"Cam Thuận",""),IF(OR(M1460=phu!$I$45,M1460=phu!$I$46,M1460=phu!$I$47,M1460=phu!$I$48,M1460=phu!$I$49,M1460=phu!$I$50,M1460=phu!$I$51,M1460=phu!$I$52,M1460=phu!$I$53),"Cam Linh",""),IF(OR(M1460=phu!$I$54,M1460=phu!$I$55,M1460=phu!$I$56,M1460=phu!$I$57,M1460=phu!$I$58,M1460=phu!$I$59,M1460=phu!$I$60,M1460=phu!$I$61,M1460=phu!$I$62),"Cam Lợi",""),IF(OR(M1460=phu!$I$63,M1460=phu!$I$64,M1460=phu!$I$65,M1460=phu!$I$66,M1460=phu!$I$67,M1460=phu!$I$68,M1460=phu!$I$69,M1460=phu!$I$70,M1460=phu!$I$71),"Ba Ngòi",""),IF(OR(M1460=phu!$I$72,M1460=phu!$I$73,M1460=phu!$I$74,M1460=phu!$I$75,M1460=phu!$I$76,M1460=phu!$I$77,M1460=phu!$I$78),"Cam Phước Đông",""),IF(OR(M1460=phu!$I$79,M1460=phu!$I$80,M1460=phu!$I$81,M1460=phu!$I$82,M1460=phu!$I$83,M1460=phu!$I$84),"Cam Thịnh Đông",""),IF(OR(M1460=phu!$I$85,M1460=phu!$I$86,M1460=phu!$I$87,M1460=phu!$I$88),"Cam Thịnh Tây",""),IF(OR(M1460=phu!$I$89,M1460=phu!$I$90),"Cam Lập",""),IF(OR(M1460=phu!$I$91,M1460=phu!$I$92,M1460=phu!$I$93),"Cam Bình",""),IF(OR(M1460=phu!$I$94,M1460=phu!$I$95,M1460=phu!$I$96,M1460=phu!$I$97,M1460=phu!$I$98,M1460=phu!$I$99,M1460=phu!$I$100),"Huyện khác",""),IF(OR(M1460=phu!$I$101,M1460=phu!$I$102),"Tỉnh khác",""))</f>
        <v/>
      </c>
      <c r="O1460" s="814" t="str">
        <f t="shared" si="133"/>
        <v/>
      </c>
      <c r="P1460" s="254"/>
      <c r="Q1460" s="254"/>
      <c r="R1460" s="254"/>
      <c r="S1460" s="254"/>
      <c r="T1460" s="254"/>
      <c r="U1460" s="254"/>
      <c r="V1460" s="254"/>
      <c r="W1460" s="254"/>
      <c r="Y1460" s="246" t="str">
        <f t="shared" si="134"/>
        <v/>
      </c>
      <c r="Z1460" s="247" t="str">
        <f t="shared" si="132"/>
        <v/>
      </c>
      <c r="AA1460" s="246" t="str">
        <f t="shared" si="135"/>
        <v/>
      </c>
    </row>
    <row r="1461" spans="1:27" x14ac:dyDescent="0.25">
      <c r="A1461" s="248" t="str">
        <f t="shared" si="136"/>
        <v/>
      </c>
      <c r="B1461" s="249" t="str">
        <f t="shared" si="137"/>
        <v/>
      </c>
      <c r="C1461" s="250"/>
      <c r="D1461" s="251"/>
      <c r="E1461" s="241"/>
      <c r="F1461" s="252"/>
      <c r="G1461" s="252"/>
      <c r="H1461" s="253"/>
      <c r="I1461" s="250"/>
      <c r="J1461" s="250"/>
      <c r="K1461" s="270"/>
      <c r="L1461" s="250"/>
      <c r="M1461" s="250"/>
      <c r="N1461" s="553" t="str">
        <f>CONCATENATE(IF(OR(M1461=phu!$I$1,M1461=phu!$I$2,M1461=phu!$I$3),"Cam Thành Nam",""),IF(OR(M1461=phu!$I$4,M1461=phu!$I$5,M1461=phu!$I$6,M1461=phu!$I$7,M1461=phu!$I$8,M1461=phu!$I$9,M1461=phu!$I$10,M1461=phu!$I$11,M1461=phu!$I$12,M1461=phu!$I$13,M1461=phu!$I$14),"Cam Nghĩa",""),IF(OR(M1461=phu!$I$15,M1461=phu!$I$16,M1461=phu!$I$17,M1461=phu!$I$18,M1461=phu!$I$19,M1461=phu!$I$20,M1461=phu!$I$21),"Cam Phúc Bắc",""),IF(OR(M1461=phu!$I$22,M1461=phu!$I$23,M1461=phu!$I$24,M1461=phu!$I$25),"Cam Phúc Nam",""),IF(OR(M1461=phu!$I$26,M1461=phu!$I$27,M1461=phu!$I$28,M1461=phu!$I$29,M1461=phu!$I$30,M1461=phu!$I$31),"Cam Phú",""),IF(OR(M1461=phu!$I$32,M1461=phu!$I$33,M1461=phu!$I$34,M1461=phu!$I$35,M1461=phu!$I$36,M1461=phu!$I$37),"Cam Lộc",""),IF(OR(M1461=phu!$I$38,M1461=phu!$I$39,M1461=phu!$I$40,M1461=phu!$I$41,M1461=phu!$I$42,M1461=phu!$I$43,M1461=phu!$I$44),"Cam Thuận",""),IF(OR(M1461=phu!$I$45,M1461=phu!$I$46,M1461=phu!$I$47,M1461=phu!$I$48,M1461=phu!$I$49,M1461=phu!$I$50,M1461=phu!$I$51,M1461=phu!$I$52,M1461=phu!$I$53),"Cam Linh",""),IF(OR(M1461=phu!$I$54,M1461=phu!$I$55,M1461=phu!$I$56,M1461=phu!$I$57,M1461=phu!$I$58,M1461=phu!$I$59,M1461=phu!$I$60,M1461=phu!$I$61,M1461=phu!$I$62),"Cam Lợi",""),IF(OR(M1461=phu!$I$63,M1461=phu!$I$64,M1461=phu!$I$65,M1461=phu!$I$66,M1461=phu!$I$67,M1461=phu!$I$68,M1461=phu!$I$69,M1461=phu!$I$70,M1461=phu!$I$71),"Ba Ngòi",""),IF(OR(M1461=phu!$I$72,M1461=phu!$I$73,M1461=phu!$I$74,M1461=phu!$I$75,M1461=phu!$I$76,M1461=phu!$I$77,M1461=phu!$I$78),"Cam Phước Đông",""),IF(OR(M1461=phu!$I$79,M1461=phu!$I$80,M1461=phu!$I$81,M1461=phu!$I$82,M1461=phu!$I$83,M1461=phu!$I$84),"Cam Thịnh Đông",""),IF(OR(M1461=phu!$I$85,M1461=phu!$I$86,M1461=phu!$I$87,M1461=phu!$I$88),"Cam Thịnh Tây",""),IF(OR(M1461=phu!$I$89,M1461=phu!$I$90),"Cam Lập",""),IF(OR(M1461=phu!$I$91,M1461=phu!$I$92,M1461=phu!$I$93),"Cam Bình",""),IF(OR(M1461=phu!$I$94,M1461=phu!$I$95,M1461=phu!$I$96,M1461=phu!$I$97,M1461=phu!$I$98,M1461=phu!$I$99,M1461=phu!$I$100),"Huyện khác",""),IF(OR(M1461=phu!$I$101,M1461=phu!$I$102),"Tỉnh khác",""))</f>
        <v/>
      </c>
      <c r="O1461" s="814" t="str">
        <f t="shared" si="133"/>
        <v/>
      </c>
      <c r="P1461" s="254"/>
      <c r="Q1461" s="254"/>
      <c r="R1461" s="254"/>
      <c r="S1461" s="254"/>
      <c r="T1461" s="254"/>
      <c r="U1461" s="254"/>
      <c r="V1461" s="254"/>
      <c r="W1461" s="254"/>
      <c r="Y1461" s="246" t="str">
        <f t="shared" si="134"/>
        <v/>
      </c>
      <c r="Z1461" s="247" t="str">
        <f t="shared" si="132"/>
        <v/>
      </c>
      <c r="AA1461" s="246" t="str">
        <f t="shared" si="135"/>
        <v/>
      </c>
    </row>
    <row r="1462" spans="1:27" x14ac:dyDescent="0.25">
      <c r="A1462" s="248" t="str">
        <f t="shared" si="136"/>
        <v/>
      </c>
      <c r="B1462" s="249" t="str">
        <f t="shared" si="137"/>
        <v/>
      </c>
      <c r="C1462" s="250"/>
      <c r="D1462" s="251"/>
      <c r="E1462" s="241"/>
      <c r="F1462" s="252"/>
      <c r="G1462" s="252"/>
      <c r="H1462" s="253"/>
      <c r="I1462" s="250"/>
      <c r="J1462" s="250"/>
      <c r="K1462" s="270"/>
      <c r="L1462" s="250"/>
      <c r="M1462" s="250"/>
      <c r="N1462" s="553" t="str">
        <f>CONCATENATE(IF(OR(M1462=phu!$I$1,M1462=phu!$I$2,M1462=phu!$I$3),"Cam Thành Nam",""),IF(OR(M1462=phu!$I$4,M1462=phu!$I$5,M1462=phu!$I$6,M1462=phu!$I$7,M1462=phu!$I$8,M1462=phu!$I$9,M1462=phu!$I$10,M1462=phu!$I$11,M1462=phu!$I$12,M1462=phu!$I$13,M1462=phu!$I$14),"Cam Nghĩa",""),IF(OR(M1462=phu!$I$15,M1462=phu!$I$16,M1462=phu!$I$17,M1462=phu!$I$18,M1462=phu!$I$19,M1462=phu!$I$20,M1462=phu!$I$21),"Cam Phúc Bắc",""),IF(OR(M1462=phu!$I$22,M1462=phu!$I$23,M1462=phu!$I$24,M1462=phu!$I$25),"Cam Phúc Nam",""),IF(OR(M1462=phu!$I$26,M1462=phu!$I$27,M1462=phu!$I$28,M1462=phu!$I$29,M1462=phu!$I$30,M1462=phu!$I$31),"Cam Phú",""),IF(OR(M1462=phu!$I$32,M1462=phu!$I$33,M1462=phu!$I$34,M1462=phu!$I$35,M1462=phu!$I$36,M1462=phu!$I$37),"Cam Lộc",""),IF(OR(M1462=phu!$I$38,M1462=phu!$I$39,M1462=phu!$I$40,M1462=phu!$I$41,M1462=phu!$I$42,M1462=phu!$I$43,M1462=phu!$I$44),"Cam Thuận",""),IF(OR(M1462=phu!$I$45,M1462=phu!$I$46,M1462=phu!$I$47,M1462=phu!$I$48,M1462=phu!$I$49,M1462=phu!$I$50,M1462=phu!$I$51,M1462=phu!$I$52,M1462=phu!$I$53),"Cam Linh",""),IF(OR(M1462=phu!$I$54,M1462=phu!$I$55,M1462=phu!$I$56,M1462=phu!$I$57,M1462=phu!$I$58,M1462=phu!$I$59,M1462=phu!$I$60,M1462=phu!$I$61,M1462=phu!$I$62),"Cam Lợi",""),IF(OR(M1462=phu!$I$63,M1462=phu!$I$64,M1462=phu!$I$65,M1462=phu!$I$66,M1462=phu!$I$67,M1462=phu!$I$68,M1462=phu!$I$69,M1462=phu!$I$70,M1462=phu!$I$71),"Ba Ngòi",""),IF(OR(M1462=phu!$I$72,M1462=phu!$I$73,M1462=phu!$I$74,M1462=phu!$I$75,M1462=phu!$I$76,M1462=phu!$I$77,M1462=phu!$I$78),"Cam Phước Đông",""),IF(OR(M1462=phu!$I$79,M1462=phu!$I$80,M1462=phu!$I$81,M1462=phu!$I$82,M1462=phu!$I$83,M1462=phu!$I$84),"Cam Thịnh Đông",""),IF(OR(M1462=phu!$I$85,M1462=phu!$I$86,M1462=phu!$I$87,M1462=phu!$I$88),"Cam Thịnh Tây",""),IF(OR(M1462=phu!$I$89,M1462=phu!$I$90),"Cam Lập",""),IF(OR(M1462=phu!$I$91,M1462=phu!$I$92,M1462=phu!$I$93),"Cam Bình",""),IF(OR(M1462=phu!$I$94,M1462=phu!$I$95,M1462=phu!$I$96,M1462=phu!$I$97,M1462=phu!$I$98,M1462=phu!$I$99,M1462=phu!$I$100),"Huyện khác",""),IF(OR(M1462=phu!$I$101,M1462=phu!$I$102),"Tỉnh khác",""))</f>
        <v/>
      </c>
      <c r="O1462" s="814" t="str">
        <f t="shared" si="133"/>
        <v/>
      </c>
      <c r="P1462" s="254"/>
      <c r="Q1462" s="254"/>
      <c r="R1462" s="254"/>
      <c r="S1462" s="254"/>
      <c r="T1462" s="254"/>
      <c r="U1462" s="254"/>
      <c r="V1462" s="254"/>
      <c r="W1462" s="254"/>
      <c r="Y1462" s="246" t="str">
        <f t="shared" si="134"/>
        <v/>
      </c>
      <c r="Z1462" s="247" t="str">
        <f t="shared" si="132"/>
        <v/>
      </c>
      <c r="AA1462" s="246" t="str">
        <f t="shared" si="135"/>
        <v/>
      </c>
    </row>
    <row r="1463" spans="1:27" x14ac:dyDescent="0.25">
      <c r="A1463" s="248" t="str">
        <f t="shared" si="136"/>
        <v/>
      </c>
      <c r="B1463" s="249" t="str">
        <f t="shared" si="137"/>
        <v/>
      </c>
      <c r="C1463" s="250"/>
      <c r="D1463" s="251"/>
      <c r="E1463" s="241"/>
      <c r="F1463" s="252"/>
      <c r="G1463" s="252"/>
      <c r="H1463" s="253"/>
      <c r="I1463" s="250"/>
      <c r="J1463" s="250"/>
      <c r="K1463" s="270"/>
      <c r="L1463" s="250"/>
      <c r="M1463" s="250"/>
      <c r="N1463" s="553" t="str">
        <f>CONCATENATE(IF(OR(M1463=phu!$I$1,M1463=phu!$I$2,M1463=phu!$I$3),"Cam Thành Nam",""),IF(OR(M1463=phu!$I$4,M1463=phu!$I$5,M1463=phu!$I$6,M1463=phu!$I$7,M1463=phu!$I$8,M1463=phu!$I$9,M1463=phu!$I$10,M1463=phu!$I$11,M1463=phu!$I$12,M1463=phu!$I$13,M1463=phu!$I$14),"Cam Nghĩa",""),IF(OR(M1463=phu!$I$15,M1463=phu!$I$16,M1463=phu!$I$17,M1463=phu!$I$18,M1463=phu!$I$19,M1463=phu!$I$20,M1463=phu!$I$21),"Cam Phúc Bắc",""),IF(OR(M1463=phu!$I$22,M1463=phu!$I$23,M1463=phu!$I$24,M1463=phu!$I$25),"Cam Phúc Nam",""),IF(OR(M1463=phu!$I$26,M1463=phu!$I$27,M1463=phu!$I$28,M1463=phu!$I$29,M1463=phu!$I$30,M1463=phu!$I$31),"Cam Phú",""),IF(OR(M1463=phu!$I$32,M1463=phu!$I$33,M1463=phu!$I$34,M1463=phu!$I$35,M1463=phu!$I$36,M1463=phu!$I$37),"Cam Lộc",""),IF(OR(M1463=phu!$I$38,M1463=phu!$I$39,M1463=phu!$I$40,M1463=phu!$I$41,M1463=phu!$I$42,M1463=phu!$I$43,M1463=phu!$I$44),"Cam Thuận",""),IF(OR(M1463=phu!$I$45,M1463=phu!$I$46,M1463=phu!$I$47,M1463=phu!$I$48,M1463=phu!$I$49,M1463=phu!$I$50,M1463=phu!$I$51,M1463=phu!$I$52,M1463=phu!$I$53),"Cam Linh",""),IF(OR(M1463=phu!$I$54,M1463=phu!$I$55,M1463=phu!$I$56,M1463=phu!$I$57,M1463=phu!$I$58,M1463=phu!$I$59,M1463=phu!$I$60,M1463=phu!$I$61,M1463=phu!$I$62),"Cam Lợi",""),IF(OR(M1463=phu!$I$63,M1463=phu!$I$64,M1463=phu!$I$65,M1463=phu!$I$66,M1463=phu!$I$67,M1463=phu!$I$68,M1463=phu!$I$69,M1463=phu!$I$70,M1463=phu!$I$71),"Ba Ngòi",""),IF(OR(M1463=phu!$I$72,M1463=phu!$I$73,M1463=phu!$I$74,M1463=phu!$I$75,M1463=phu!$I$76,M1463=phu!$I$77,M1463=phu!$I$78),"Cam Phước Đông",""),IF(OR(M1463=phu!$I$79,M1463=phu!$I$80,M1463=phu!$I$81,M1463=phu!$I$82,M1463=phu!$I$83,M1463=phu!$I$84),"Cam Thịnh Đông",""),IF(OR(M1463=phu!$I$85,M1463=phu!$I$86,M1463=phu!$I$87,M1463=phu!$I$88),"Cam Thịnh Tây",""),IF(OR(M1463=phu!$I$89,M1463=phu!$I$90),"Cam Lập",""),IF(OR(M1463=phu!$I$91,M1463=phu!$I$92,M1463=phu!$I$93),"Cam Bình",""),IF(OR(M1463=phu!$I$94,M1463=phu!$I$95,M1463=phu!$I$96,M1463=phu!$I$97,M1463=phu!$I$98,M1463=phu!$I$99,M1463=phu!$I$100),"Huyện khác",""),IF(OR(M1463=phu!$I$101,M1463=phu!$I$102),"Tỉnh khác",""))</f>
        <v/>
      </c>
      <c r="O1463" s="814" t="str">
        <f t="shared" si="133"/>
        <v/>
      </c>
      <c r="P1463" s="254"/>
      <c r="Q1463" s="254"/>
      <c r="R1463" s="254"/>
      <c r="S1463" s="254"/>
      <c r="T1463" s="254"/>
      <c r="U1463" s="254"/>
      <c r="V1463" s="254"/>
      <c r="W1463" s="254"/>
      <c r="Y1463" s="246" t="str">
        <f t="shared" si="134"/>
        <v/>
      </c>
      <c r="Z1463" s="247" t="str">
        <f t="shared" si="132"/>
        <v/>
      </c>
      <c r="AA1463" s="246" t="str">
        <f t="shared" si="135"/>
        <v/>
      </c>
    </row>
    <row r="1464" spans="1:27" x14ac:dyDescent="0.25">
      <c r="A1464" s="248" t="str">
        <f t="shared" si="136"/>
        <v/>
      </c>
      <c r="B1464" s="249" t="str">
        <f t="shared" si="137"/>
        <v/>
      </c>
      <c r="C1464" s="250"/>
      <c r="D1464" s="251"/>
      <c r="E1464" s="241"/>
      <c r="F1464" s="252"/>
      <c r="G1464" s="252"/>
      <c r="H1464" s="253"/>
      <c r="I1464" s="250"/>
      <c r="J1464" s="250"/>
      <c r="K1464" s="270"/>
      <c r="L1464" s="250"/>
      <c r="M1464" s="250"/>
      <c r="N1464" s="553" t="str">
        <f>CONCATENATE(IF(OR(M1464=phu!$I$1,M1464=phu!$I$2,M1464=phu!$I$3),"Cam Thành Nam",""),IF(OR(M1464=phu!$I$4,M1464=phu!$I$5,M1464=phu!$I$6,M1464=phu!$I$7,M1464=phu!$I$8,M1464=phu!$I$9,M1464=phu!$I$10,M1464=phu!$I$11,M1464=phu!$I$12,M1464=phu!$I$13,M1464=phu!$I$14),"Cam Nghĩa",""),IF(OR(M1464=phu!$I$15,M1464=phu!$I$16,M1464=phu!$I$17,M1464=phu!$I$18,M1464=phu!$I$19,M1464=phu!$I$20,M1464=phu!$I$21),"Cam Phúc Bắc",""),IF(OR(M1464=phu!$I$22,M1464=phu!$I$23,M1464=phu!$I$24,M1464=phu!$I$25),"Cam Phúc Nam",""),IF(OR(M1464=phu!$I$26,M1464=phu!$I$27,M1464=phu!$I$28,M1464=phu!$I$29,M1464=phu!$I$30,M1464=phu!$I$31),"Cam Phú",""),IF(OR(M1464=phu!$I$32,M1464=phu!$I$33,M1464=phu!$I$34,M1464=phu!$I$35,M1464=phu!$I$36,M1464=phu!$I$37),"Cam Lộc",""),IF(OR(M1464=phu!$I$38,M1464=phu!$I$39,M1464=phu!$I$40,M1464=phu!$I$41,M1464=phu!$I$42,M1464=phu!$I$43,M1464=phu!$I$44),"Cam Thuận",""),IF(OR(M1464=phu!$I$45,M1464=phu!$I$46,M1464=phu!$I$47,M1464=phu!$I$48,M1464=phu!$I$49,M1464=phu!$I$50,M1464=phu!$I$51,M1464=phu!$I$52,M1464=phu!$I$53),"Cam Linh",""),IF(OR(M1464=phu!$I$54,M1464=phu!$I$55,M1464=phu!$I$56,M1464=phu!$I$57,M1464=phu!$I$58,M1464=phu!$I$59,M1464=phu!$I$60,M1464=phu!$I$61,M1464=phu!$I$62),"Cam Lợi",""),IF(OR(M1464=phu!$I$63,M1464=phu!$I$64,M1464=phu!$I$65,M1464=phu!$I$66,M1464=phu!$I$67,M1464=phu!$I$68,M1464=phu!$I$69,M1464=phu!$I$70,M1464=phu!$I$71),"Ba Ngòi",""),IF(OR(M1464=phu!$I$72,M1464=phu!$I$73,M1464=phu!$I$74,M1464=phu!$I$75,M1464=phu!$I$76,M1464=phu!$I$77,M1464=phu!$I$78),"Cam Phước Đông",""),IF(OR(M1464=phu!$I$79,M1464=phu!$I$80,M1464=phu!$I$81,M1464=phu!$I$82,M1464=phu!$I$83,M1464=phu!$I$84),"Cam Thịnh Đông",""),IF(OR(M1464=phu!$I$85,M1464=phu!$I$86,M1464=phu!$I$87,M1464=phu!$I$88),"Cam Thịnh Tây",""),IF(OR(M1464=phu!$I$89,M1464=phu!$I$90),"Cam Lập",""),IF(OR(M1464=phu!$I$91,M1464=phu!$I$92,M1464=phu!$I$93),"Cam Bình",""),IF(OR(M1464=phu!$I$94,M1464=phu!$I$95,M1464=phu!$I$96,M1464=phu!$I$97,M1464=phu!$I$98,M1464=phu!$I$99,M1464=phu!$I$100),"Huyện khác",""),IF(OR(M1464=phu!$I$101,M1464=phu!$I$102),"Tỉnh khác",""))</f>
        <v/>
      </c>
      <c r="O1464" s="814" t="str">
        <f t="shared" si="133"/>
        <v/>
      </c>
      <c r="P1464" s="254"/>
      <c r="Q1464" s="254"/>
      <c r="R1464" s="254"/>
      <c r="S1464" s="254"/>
      <c r="T1464" s="254"/>
      <c r="U1464" s="254"/>
      <c r="V1464" s="254"/>
      <c r="W1464" s="254"/>
      <c r="Y1464" s="246" t="str">
        <f t="shared" si="134"/>
        <v/>
      </c>
      <c r="Z1464" s="247" t="str">
        <f t="shared" si="132"/>
        <v/>
      </c>
      <c r="AA1464" s="246" t="str">
        <f t="shared" si="135"/>
        <v/>
      </c>
    </row>
    <row r="1465" spans="1:27" x14ac:dyDescent="0.25">
      <c r="A1465" s="248" t="str">
        <f t="shared" si="136"/>
        <v/>
      </c>
      <c r="B1465" s="249" t="str">
        <f t="shared" si="137"/>
        <v/>
      </c>
      <c r="C1465" s="250"/>
      <c r="D1465" s="251"/>
      <c r="E1465" s="241"/>
      <c r="F1465" s="252"/>
      <c r="G1465" s="252"/>
      <c r="H1465" s="253"/>
      <c r="I1465" s="250"/>
      <c r="J1465" s="250"/>
      <c r="K1465" s="270"/>
      <c r="L1465" s="250"/>
      <c r="M1465" s="250"/>
      <c r="N1465" s="553" t="str">
        <f>CONCATENATE(IF(OR(M1465=phu!$I$1,M1465=phu!$I$2,M1465=phu!$I$3),"Cam Thành Nam",""),IF(OR(M1465=phu!$I$4,M1465=phu!$I$5,M1465=phu!$I$6,M1465=phu!$I$7,M1465=phu!$I$8,M1465=phu!$I$9,M1465=phu!$I$10,M1465=phu!$I$11,M1465=phu!$I$12,M1465=phu!$I$13,M1465=phu!$I$14),"Cam Nghĩa",""),IF(OR(M1465=phu!$I$15,M1465=phu!$I$16,M1465=phu!$I$17,M1465=phu!$I$18,M1465=phu!$I$19,M1465=phu!$I$20,M1465=phu!$I$21),"Cam Phúc Bắc",""),IF(OR(M1465=phu!$I$22,M1465=phu!$I$23,M1465=phu!$I$24,M1465=phu!$I$25),"Cam Phúc Nam",""),IF(OR(M1465=phu!$I$26,M1465=phu!$I$27,M1465=phu!$I$28,M1465=phu!$I$29,M1465=phu!$I$30,M1465=phu!$I$31),"Cam Phú",""),IF(OR(M1465=phu!$I$32,M1465=phu!$I$33,M1465=phu!$I$34,M1465=phu!$I$35,M1465=phu!$I$36,M1465=phu!$I$37),"Cam Lộc",""),IF(OR(M1465=phu!$I$38,M1465=phu!$I$39,M1465=phu!$I$40,M1465=phu!$I$41,M1465=phu!$I$42,M1465=phu!$I$43,M1465=phu!$I$44),"Cam Thuận",""),IF(OR(M1465=phu!$I$45,M1465=phu!$I$46,M1465=phu!$I$47,M1465=phu!$I$48,M1465=phu!$I$49,M1465=phu!$I$50,M1465=phu!$I$51,M1465=phu!$I$52,M1465=phu!$I$53),"Cam Linh",""),IF(OR(M1465=phu!$I$54,M1465=phu!$I$55,M1465=phu!$I$56,M1465=phu!$I$57,M1465=phu!$I$58,M1465=phu!$I$59,M1465=phu!$I$60,M1465=phu!$I$61,M1465=phu!$I$62),"Cam Lợi",""),IF(OR(M1465=phu!$I$63,M1465=phu!$I$64,M1465=phu!$I$65,M1465=phu!$I$66,M1465=phu!$I$67,M1465=phu!$I$68,M1465=phu!$I$69,M1465=phu!$I$70,M1465=phu!$I$71),"Ba Ngòi",""),IF(OR(M1465=phu!$I$72,M1465=phu!$I$73,M1465=phu!$I$74,M1465=phu!$I$75,M1465=phu!$I$76,M1465=phu!$I$77,M1465=phu!$I$78),"Cam Phước Đông",""),IF(OR(M1465=phu!$I$79,M1465=phu!$I$80,M1465=phu!$I$81,M1465=phu!$I$82,M1465=phu!$I$83,M1465=phu!$I$84),"Cam Thịnh Đông",""),IF(OR(M1465=phu!$I$85,M1465=phu!$I$86,M1465=phu!$I$87,M1465=phu!$I$88),"Cam Thịnh Tây",""),IF(OR(M1465=phu!$I$89,M1465=phu!$I$90),"Cam Lập",""),IF(OR(M1465=phu!$I$91,M1465=phu!$I$92,M1465=phu!$I$93),"Cam Bình",""),IF(OR(M1465=phu!$I$94,M1465=phu!$I$95,M1465=phu!$I$96,M1465=phu!$I$97,M1465=phu!$I$98,M1465=phu!$I$99,M1465=phu!$I$100),"Huyện khác",""),IF(OR(M1465=phu!$I$101,M1465=phu!$I$102),"Tỉnh khác",""))</f>
        <v/>
      </c>
      <c r="O1465" s="814" t="str">
        <f t="shared" si="133"/>
        <v/>
      </c>
      <c r="P1465" s="254"/>
      <c r="Q1465" s="254"/>
      <c r="R1465" s="254"/>
      <c r="S1465" s="254"/>
      <c r="T1465" s="254"/>
      <c r="U1465" s="254"/>
      <c r="V1465" s="254"/>
      <c r="W1465" s="254"/>
      <c r="Y1465" s="246" t="str">
        <f t="shared" si="134"/>
        <v/>
      </c>
      <c r="Z1465" s="247" t="str">
        <f t="shared" si="132"/>
        <v/>
      </c>
      <c r="AA1465" s="246" t="str">
        <f t="shared" si="135"/>
        <v/>
      </c>
    </row>
    <row r="1466" spans="1:27" x14ac:dyDescent="0.25">
      <c r="A1466" s="248" t="str">
        <f t="shared" si="136"/>
        <v/>
      </c>
      <c r="B1466" s="249" t="str">
        <f t="shared" si="137"/>
        <v/>
      </c>
      <c r="C1466" s="250"/>
      <c r="D1466" s="251"/>
      <c r="E1466" s="241"/>
      <c r="F1466" s="252"/>
      <c r="G1466" s="252"/>
      <c r="H1466" s="253"/>
      <c r="I1466" s="250"/>
      <c r="J1466" s="250"/>
      <c r="K1466" s="270"/>
      <c r="L1466" s="250"/>
      <c r="M1466" s="250"/>
      <c r="N1466" s="553" t="str">
        <f>CONCATENATE(IF(OR(M1466=phu!$I$1,M1466=phu!$I$2,M1466=phu!$I$3),"Cam Thành Nam",""),IF(OR(M1466=phu!$I$4,M1466=phu!$I$5,M1466=phu!$I$6,M1466=phu!$I$7,M1466=phu!$I$8,M1466=phu!$I$9,M1466=phu!$I$10,M1466=phu!$I$11,M1466=phu!$I$12,M1466=phu!$I$13,M1466=phu!$I$14),"Cam Nghĩa",""),IF(OR(M1466=phu!$I$15,M1466=phu!$I$16,M1466=phu!$I$17,M1466=phu!$I$18,M1466=phu!$I$19,M1466=phu!$I$20,M1466=phu!$I$21),"Cam Phúc Bắc",""),IF(OR(M1466=phu!$I$22,M1466=phu!$I$23,M1466=phu!$I$24,M1466=phu!$I$25),"Cam Phúc Nam",""),IF(OR(M1466=phu!$I$26,M1466=phu!$I$27,M1466=phu!$I$28,M1466=phu!$I$29,M1466=phu!$I$30,M1466=phu!$I$31),"Cam Phú",""),IF(OR(M1466=phu!$I$32,M1466=phu!$I$33,M1466=phu!$I$34,M1466=phu!$I$35,M1466=phu!$I$36,M1466=phu!$I$37),"Cam Lộc",""),IF(OR(M1466=phu!$I$38,M1466=phu!$I$39,M1466=phu!$I$40,M1466=phu!$I$41,M1466=phu!$I$42,M1466=phu!$I$43,M1466=phu!$I$44),"Cam Thuận",""),IF(OR(M1466=phu!$I$45,M1466=phu!$I$46,M1466=phu!$I$47,M1466=phu!$I$48,M1466=phu!$I$49,M1466=phu!$I$50,M1466=phu!$I$51,M1466=phu!$I$52,M1466=phu!$I$53),"Cam Linh",""),IF(OR(M1466=phu!$I$54,M1466=phu!$I$55,M1466=phu!$I$56,M1466=phu!$I$57,M1466=phu!$I$58,M1466=phu!$I$59,M1466=phu!$I$60,M1466=phu!$I$61,M1466=phu!$I$62),"Cam Lợi",""),IF(OR(M1466=phu!$I$63,M1466=phu!$I$64,M1466=phu!$I$65,M1466=phu!$I$66,M1466=phu!$I$67,M1466=phu!$I$68,M1466=phu!$I$69,M1466=phu!$I$70,M1466=phu!$I$71),"Ba Ngòi",""),IF(OR(M1466=phu!$I$72,M1466=phu!$I$73,M1466=phu!$I$74,M1466=phu!$I$75,M1466=phu!$I$76,M1466=phu!$I$77,M1466=phu!$I$78),"Cam Phước Đông",""),IF(OR(M1466=phu!$I$79,M1466=phu!$I$80,M1466=phu!$I$81,M1466=phu!$I$82,M1466=phu!$I$83,M1466=phu!$I$84),"Cam Thịnh Đông",""),IF(OR(M1466=phu!$I$85,M1466=phu!$I$86,M1466=phu!$I$87,M1466=phu!$I$88),"Cam Thịnh Tây",""),IF(OR(M1466=phu!$I$89,M1466=phu!$I$90),"Cam Lập",""),IF(OR(M1466=phu!$I$91,M1466=phu!$I$92,M1466=phu!$I$93),"Cam Bình",""),IF(OR(M1466=phu!$I$94,M1466=phu!$I$95,M1466=phu!$I$96,M1466=phu!$I$97,M1466=phu!$I$98,M1466=phu!$I$99,M1466=phu!$I$100),"Huyện khác",""),IF(OR(M1466=phu!$I$101,M1466=phu!$I$102),"Tỉnh khác",""))</f>
        <v/>
      </c>
      <c r="O1466" s="814" t="str">
        <f t="shared" si="133"/>
        <v/>
      </c>
      <c r="P1466" s="254"/>
      <c r="Q1466" s="254"/>
      <c r="R1466" s="254"/>
      <c r="S1466" s="254"/>
      <c r="T1466" s="254"/>
      <c r="U1466" s="254"/>
      <c r="V1466" s="254"/>
      <c r="W1466" s="254"/>
      <c r="Y1466" s="246" t="str">
        <f t="shared" si="134"/>
        <v/>
      </c>
      <c r="Z1466" s="247" t="str">
        <f t="shared" si="132"/>
        <v/>
      </c>
      <c r="AA1466" s="246" t="str">
        <f t="shared" si="135"/>
        <v/>
      </c>
    </row>
    <row r="1467" spans="1:27" x14ac:dyDescent="0.25">
      <c r="A1467" s="248" t="str">
        <f t="shared" si="136"/>
        <v/>
      </c>
      <c r="B1467" s="249" t="str">
        <f t="shared" si="137"/>
        <v/>
      </c>
      <c r="C1467" s="250"/>
      <c r="D1467" s="251"/>
      <c r="E1467" s="241"/>
      <c r="F1467" s="252"/>
      <c r="G1467" s="252"/>
      <c r="H1467" s="253"/>
      <c r="I1467" s="250"/>
      <c r="J1467" s="250"/>
      <c r="K1467" s="270"/>
      <c r="L1467" s="250"/>
      <c r="M1467" s="250"/>
      <c r="N1467" s="553" t="str">
        <f>CONCATENATE(IF(OR(M1467=phu!$I$1,M1467=phu!$I$2,M1467=phu!$I$3),"Cam Thành Nam",""),IF(OR(M1467=phu!$I$4,M1467=phu!$I$5,M1467=phu!$I$6,M1467=phu!$I$7,M1467=phu!$I$8,M1467=phu!$I$9,M1467=phu!$I$10,M1467=phu!$I$11,M1467=phu!$I$12,M1467=phu!$I$13,M1467=phu!$I$14),"Cam Nghĩa",""),IF(OR(M1467=phu!$I$15,M1467=phu!$I$16,M1467=phu!$I$17,M1467=phu!$I$18,M1467=phu!$I$19,M1467=phu!$I$20,M1467=phu!$I$21),"Cam Phúc Bắc",""),IF(OR(M1467=phu!$I$22,M1467=phu!$I$23,M1467=phu!$I$24,M1467=phu!$I$25),"Cam Phúc Nam",""),IF(OR(M1467=phu!$I$26,M1467=phu!$I$27,M1467=phu!$I$28,M1467=phu!$I$29,M1467=phu!$I$30,M1467=phu!$I$31),"Cam Phú",""),IF(OR(M1467=phu!$I$32,M1467=phu!$I$33,M1467=phu!$I$34,M1467=phu!$I$35,M1467=phu!$I$36,M1467=phu!$I$37),"Cam Lộc",""),IF(OR(M1467=phu!$I$38,M1467=phu!$I$39,M1467=phu!$I$40,M1467=phu!$I$41,M1467=phu!$I$42,M1467=phu!$I$43,M1467=phu!$I$44),"Cam Thuận",""),IF(OR(M1467=phu!$I$45,M1467=phu!$I$46,M1467=phu!$I$47,M1467=phu!$I$48,M1467=phu!$I$49,M1467=phu!$I$50,M1467=phu!$I$51,M1467=phu!$I$52,M1467=phu!$I$53),"Cam Linh",""),IF(OR(M1467=phu!$I$54,M1467=phu!$I$55,M1467=phu!$I$56,M1467=phu!$I$57,M1467=phu!$I$58,M1467=phu!$I$59,M1467=phu!$I$60,M1467=phu!$I$61,M1467=phu!$I$62),"Cam Lợi",""),IF(OR(M1467=phu!$I$63,M1467=phu!$I$64,M1467=phu!$I$65,M1467=phu!$I$66,M1467=phu!$I$67,M1467=phu!$I$68,M1467=phu!$I$69,M1467=phu!$I$70,M1467=phu!$I$71),"Ba Ngòi",""),IF(OR(M1467=phu!$I$72,M1467=phu!$I$73,M1467=phu!$I$74,M1467=phu!$I$75,M1467=phu!$I$76,M1467=phu!$I$77,M1467=phu!$I$78),"Cam Phước Đông",""),IF(OR(M1467=phu!$I$79,M1467=phu!$I$80,M1467=phu!$I$81,M1467=phu!$I$82,M1467=phu!$I$83,M1467=phu!$I$84),"Cam Thịnh Đông",""),IF(OR(M1467=phu!$I$85,M1467=phu!$I$86,M1467=phu!$I$87,M1467=phu!$I$88),"Cam Thịnh Tây",""),IF(OR(M1467=phu!$I$89,M1467=phu!$I$90),"Cam Lập",""),IF(OR(M1467=phu!$I$91,M1467=phu!$I$92,M1467=phu!$I$93),"Cam Bình",""),IF(OR(M1467=phu!$I$94,M1467=phu!$I$95,M1467=phu!$I$96,M1467=phu!$I$97,M1467=phu!$I$98,M1467=phu!$I$99,M1467=phu!$I$100),"Huyện khác",""),IF(OR(M1467=phu!$I$101,M1467=phu!$I$102),"Tỉnh khác",""))</f>
        <v/>
      </c>
      <c r="O1467" s="814" t="str">
        <f t="shared" si="133"/>
        <v/>
      </c>
      <c r="P1467" s="254"/>
      <c r="Q1467" s="254"/>
      <c r="R1467" s="254"/>
      <c r="S1467" s="254"/>
      <c r="T1467" s="254"/>
      <c r="U1467" s="254"/>
      <c r="V1467" s="254"/>
      <c r="W1467" s="254"/>
      <c r="Y1467" s="246" t="str">
        <f t="shared" si="134"/>
        <v/>
      </c>
      <c r="Z1467" s="247" t="str">
        <f t="shared" si="132"/>
        <v/>
      </c>
      <c r="AA1467" s="246" t="str">
        <f t="shared" si="135"/>
        <v/>
      </c>
    </row>
    <row r="1468" spans="1:27" x14ac:dyDescent="0.25">
      <c r="A1468" s="248" t="str">
        <f t="shared" si="136"/>
        <v/>
      </c>
      <c r="B1468" s="249" t="str">
        <f t="shared" si="137"/>
        <v/>
      </c>
      <c r="C1468" s="250"/>
      <c r="D1468" s="251"/>
      <c r="E1468" s="241"/>
      <c r="F1468" s="252"/>
      <c r="G1468" s="252"/>
      <c r="H1468" s="253"/>
      <c r="I1468" s="250"/>
      <c r="J1468" s="250"/>
      <c r="K1468" s="270"/>
      <c r="L1468" s="250"/>
      <c r="M1468" s="250"/>
      <c r="N1468" s="553" t="str">
        <f>CONCATENATE(IF(OR(M1468=phu!$I$1,M1468=phu!$I$2,M1468=phu!$I$3),"Cam Thành Nam",""),IF(OR(M1468=phu!$I$4,M1468=phu!$I$5,M1468=phu!$I$6,M1468=phu!$I$7,M1468=phu!$I$8,M1468=phu!$I$9,M1468=phu!$I$10,M1468=phu!$I$11,M1468=phu!$I$12,M1468=phu!$I$13,M1468=phu!$I$14),"Cam Nghĩa",""),IF(OR(M1468=phu!$I$15,M1468=phu!$I$16,M1468=phu!$I$17,M1468=phu!$I$18,M1468=phu!$I$19,M1468=phu!$I$20,M1468=phu!$I$21),"Cam Phúc Bắc",""),IF(OR(M1468=phu!$I$22,M1468=phu!$I$23,M1468=phu!$I$24,M1468=phu!$I$25),"Cam Phúc Nam",""),IF(OR(M1468=phu!$I$26,M1468=phu!$I$27,M1468=phu!$I$28,M1468=phu!$I$29,M1468=phu!$I$30,M1468=phu!$I$31),"Cam Phú",""),IF(OR(M1468=phu!$I$32,M1468=phu!$I$33,M1468=phu!$I$34,M1468=phu!$I$35,M1468=phu!$I$36,M1468=phu!$I$37),"Cam Lộc",""),IF(OR(M1468=phu!$I$38,M1468=phu!$I$39,M1468=phu!$I$40,M1468=phu!$I$41,M1468=phu!$I$42,M1468=phu!$I$43,M1468=phu!$I$44),"Cam Thuận",""),IF(OR(M1468=phu!$I$45,M1468=phu!$I$46,M1468=phu!$I$47,M1468=phu!$I$48,M1468=phu!$I$49,M1468=phu!$I$50,M1468=phu!$I$51,M1468=phu!$I$52,M1468=phu!$I$53),"Cam Linh",""),IF(OR(M1468=phu!$I$54,M1468=phu!$I$55,M1468=phu!$I$56,M1468=phu!$I$57,M1468=phu!$I$58,M1468=phu!$I$59,M1468=phu!$I$60,M1468=phu!$I$61,M1468=phu!$I$62),"Cam Lợi",""),IF(OR(M1468=phu!$I$63,M1468=phu!$I$64,M1468=phu!$I$65,M1468=phu!$I$66,M1468=phu!$I$67,M1468=phu!$I$68,M1468=phu!$I$69,M1468=phu!$I$70,M1468=phu!$I$71),"Ba Ngòi",""),IF(OR(M1468=phu!$I$72,M1468=phu!$I$73,M1468=phu!$I$74,M1468=phu!$I$75,M1468=phu!$I$76,M1468=phu!$I$77,M1468=phu!$I$78),"Cam Phước Đông",""),IF(OR(M1468=phu!$I$79,M1468=phu!$I$80,M1468=phu!$I$81,M1468=phu!$I$82,M1468=phu!$I$83,M1468=phu!$I$84),"Cam Thịnh Đông",""),IF(OR(M1468=phu!$I$85,M1468=phu!$I$86,M1468=phu!$I$87,M1468=phu!$I$88),"Cam Thịnh Tây",""),IF(OR(M1468=phu!$I$89,M1468=phu!$I$90),"Cam Lập",""),IF(OR(M1468=phu!$I$91,M1468=phu!$I$92,M1468=phu!$I$93),"Cam Bình",""),IF(OR(M1468=phu!$I$94,M1468=phu!$I$95,M1468=phu!$I$96,M1468=phu!$I$97,M1468=phu!$I$98,M1468=phu!$I$99,M1468=phu!$I$100),"Huyện khác",""),IF(OR(M1468=phu!$I$101,M1468=phu!$I$102),"Tỉnh khác",""))</f>
        <v/>
      </c>
      <c r="O1468" s="814" t="str">
        <f t="shared" si="133"/>
        <v/>
      </c>
      <c r="P1468" s="254"/>
      <c r="Q1468" s="254"/>
      <c r="R1468" s="254"/>
      <c r="S1468" s="254"/>
      <c r="T1468" s="254"/>
      <c r="U1468" s="254"/>
      <c r="V1468" s="254"/>
      <c r="W1468" s="254"/>
      <c r="Y1468" s="246" t="str">
        <f t="shared" si="134"/>
        <v/>
      </c>
      <c r="Z1468" s="247" t="str">
        <f t="shared" si="132"/>
        <v/>
      </c>
      <c r="AA1468" s="246" t="str">
        <f t="shared" si="135"/>
        <v/>
      </c>
    </row>
    <row r="1469" spans="1:27" x14ac:dyDescent="0.25">
      <c r="A1469" s="248" t="str">
        <f t="shared" si="136"/>
        <v/>
      </c>
      <c r="B1469" s="249" t="str">
        <f t="shared" si="137"/>
        <v/>
      </c>
      <c r="C1469" s="250"/>
      <c r="D1469" s="251"/>
      <c r="E1469" s="241"/>
      <c r="F1469" s="252"/>
      <c r="G1469" s="252"/>
      <c r="H1469" s="253"/>
      <c r="I1469" s="250"/>
      <c r="J1469" s="250"/>
      <c r="K1469" s="270"/>
      <c r="L1469" s="250"/>
      <c r="M1469" s="250"/>
      <c r="N1469" s="553" t="str">
        <f>CONCATENATE(IF(OR(M1469=phu!$I$1,M1469=phu!$I$2,M1469=phu!$I$3),"Cam Thành Nam",""),IF(OR(M1469=phu!$I$4,M1469=phu!$I$5,M1469=phu!$I$6,M1469=phu!$I$7,M1469=phu!$I$8,M1469=phu!$I$9,M1469=phu!$I$10,M1469=phu!$I$11,M1469=phu!$I$12,M1469=phu!$I$13,M1469=phu!$I$14),"Cam Nghĩa",""),IF(OR(M1469=phu!$I$15,M1469=phu!$I$16,M1469=phu!$I$17,M1469=phu!$I$18,M1469=phu!$I$19,M1469=phu!$I$20,M1469=phu!$I$21),"Cam Phúc Bắc",""),IF(OR(M1469=phu!$I$22,M1469=phu!$I$23,M1469=phu!$I$24,M1469=phu!$I$25),"Cam Phúc Nam",""),IF(OR(M1469=phu!$I$26,M1469=phu!$I$27,M1469=phu!$I$28,M1469=phu!$I$29,M1469=phu!$I$30,M1469=phu!$I$31),"Cam Phú",""),IF(OR(M1469=phu!$I$32,M1469=phu!$I$33,M1469=phu!$I$34,M1469=phu!$I$35,M1469=phu!$I$36,M1469=phu!$I$37),"Cam Lộc",""),IF(OR(M1469=phu!$I$38,M1469=phu!$I$39,M1469=phu!$I$40,M1469=phu!$I$41,M1469=phu!$I$42,M1469=phu!$I$43,M1469=phu!$I$44),"Cam Thuận",""),IF(OR(M1469=phu!$I$45,M1469=phu!$I$46,M1469=phu!$I$47,M1469=phu!$I$48,M1469=phu!$I$49,M1469=phu!$I$50,M1469=phu!$I$51,M1469=phu!$I$52,M1469=phu!$I$53),"Cam Linh",""),IF(OR(M1469=phu!$I$54,M1469=phu!$I$55,M1469=phu!$I$56,M1469=phu!$I$57,M1469=phu!$I$58,M1469=phu!$I$59,M1469=phu!$I$60,M1469=phu!$I$61,M1469=phu!$I$62),"Cam Lợi",""),IF(OR(M1469=phu!$I$63,M1469=phu!$I$64,M1469=phu!$I$65,M1469=phu!$I$66,M1469=phu!$I$67,M1469=phu!$I$68,M1469=phu!$I$69,M1469=phu!$I$70,M1469=phu!$I$71),"Ba Ngòi",""),IF(OR(M1469=phu!$I$72,M1469=phu!$I$73,M1469=phu!$I$74,M1469=phu!$I$75,M1469=phu!$I$76,M1469=phu!$I$77,M1469=phu!$I$78),"Cam Phước Đông",""),IF(OR(M1469=phu!$I$79,M1469=phu!$I$80,M1469=phu!$I$81,M1469=phu!$I$82,M1469=phu!$I$83,M1469=phu!$I$84),"Cam Thịnh Đông",""),IF(OR(M1469=phu!$I$85,M1469=phu!$I$86,M1469=phu!$I$87,M1469=phu!$I$88),"Cam Thịnh Tây",""),IF(OR(M1469=phu!$I$89,M1469=phu!$I$90),"Cam Lập",""),IF(OR(M1469=phu!$I$91,M1469=phu!$I$92,M1469=phu!$I$93),"Cam Bình",""),IF(OR(M1469=phu!$I$94,M1469=phu!$I$95,M1469=phu!$I$96,M1469=phu!$I$97,M1469=phu!$I$98,M1469=phu!$I$99,M1469=phu!$I$100),"Huyện khác",""),IF(OR(M1469=phu!$I$101,M1469=phu!$I$102),"Tỉnh khác",""))</f>
        <v/>
      </c>
      <c r="O1469" s="814" t="str">
        <f t="shared" si="133"/>
        <v/>
      </c>
      <c r="P1469" s="254"/>
      <c r="Q1469" s="254"/>
      <c r="R1469" s="254"/>
      <c r="S1469" s="254"/>
      <c r="T1469" s="254"/>
      <c r="U1469" s="254"/>
      <c r="V1469" s="254"/>
      <c r="W1469" s="254"/>
      <c r="Y1469" s="246" t="str">
        <f t="shared" si="134"/>
        <v/>
      </c>
      <c r="Z1469" s="247" t="str">
        <f t="shared" si="132"/>
        <v/>
      </c>
      <c r="AA1469" s="246" t="str">
        <f t="shared" si="135"/>
        <v/>
      </c>
    </row>
    <row r="1470" spans="1:27" x14ac:dyDescent="0.25">
      <c r="A1470" s="248" t="str">
        <f t="shared" si="136"/>
        <v/>
      </c>
      <c r="B1470" s="249" t="str">
        <f t="shared" si="137"/>
        <v/>
      </c>
      <c r="C1470" s="250"/>
      <c r="D1470" s="251"/>
      <c r="E1470" s="241"/>
      <c r="F1470" s="252"/>
      <c r="G1470" s="252"/>
      <c r="H1470" s="253"/>
      <c r="I1470" s="250"/>
      <c r="J1470" s="250"/>
      <c r="K1470" s="270"/>
      <c r="L1470" s="250"/>
      <c r="M1470" s="250"/>
      <c r="N1470" s="553" t="str">
        <f>CONCATENATE(IF(OR(M1470=phu!$I$1,M1470=phu!$I$2,M1470=phu!$I$3),"Cam Thành Nam",""),IF(OR(M1470=phu!$I$4,M1470=phu!$I$5,M1470=phu!$I$6,M1470=phu!$I$7,M1470=phu!$I$8,M1470=phu!$I$9,M1470=phu!$I$10,M1470=phu!$I$11,M1470=phu!$I$12,M1470=phu!$I$13,M1470=phu!$I$14),"Cam Nghĩa",""),IF(OR(M1470=phu!$I$15,M1470=phu!$I$16,M1470=phu!$I$17,M1470=phu!$I$18,M1470=phu!$I$19,M1470=phu!$I$20,M1470=phu!$I$21),"Cam Phúc Bắc",""),IF(OR(M1470=phu!$I$22,M1470=phu!$I$23,M1470=phu!$I$24,M1470=phu!$I$25),"Cam Phúc Nam",""),IF(OR(M1470=phu!$I$26,M1470=phu!$I$27,M1470=phu!$I$28,M1470=phu!$I$29,M1470=phu!$I$30,M1470=phu!$I$31),"Cam Phú",""),IF(OR(M1470=phu!$I$32,M1470=phu!$I$33,M1470=phu!$I$34,M1470=phu!$I$35,M1470=phu!$I$36,M1470=phu!$I$37),"Cam Lộc",""),IF(OR(M1470=phu!$I$38,M1470=phu!$I$39,M1470=phu!$I$40,M1470=phu!$I$41,M1470=phu!$I$42,M1470=phu!$I$43,M1470=phu!$I$44),"Cam Thuận",""),IF(OR(M1470=phu!$I$45,M1470=phu!$I$46,M1470=phu!$I$47,M1470=phu!$I$48,M1470=phu!$I$49,M1470=phu!$I$50,M1470=phu!$I$51,M1470=phu!$I$52,M1470=phu!$I$53),"Cam Linh",""),IF(OR(M1470=phu!$I$54,M1470=phu!$I$55,M1470=phu!$I$56,M1470=phu!$I$57,M1470=phu!$I$58,M1470=phu!$I$59,M1470=phu!$I$60,M1470=phu!$I$61,M1470=phu!$I$62),"Cam Lợi",""),IF(OR(M1470=phu!$I$63,M1470=phu!$I$64,M1470=phu!$I$65,M1470=phu!$I$66,M1470=phu!$I$67,M1470=phu!$I$68,M1470=phu!$I$69,M1470=phu!$I$70,M1470=phu!$I$71),"Ba Ngòi",""),IF(OR(M1470=phu!$I$72,M1470=phu!$I$73,M1470=phu!$I$74,M1470=phu!$I$75,M1470=phu!$I$76,M1470=phu!$I$77,M1470=phu!$I$78),"Cam Phước Đông",""),IF(OR(M1470=phu!$I$79,M1470=phu!$I$80,M1470=phu!$I$81,M1470=phu!$I$82,M1470=phu!$I$83,M1470=phu!$I$84),"Cam Thịnh Đông",""),IF(OR(M1470=phu!$I$85,M1470=phu!$I$86,M1470=phu!$I$87,M1470=phu!$I$88),"Cam Thịnh Tây",""),IF(OR(M1470=phu!$I$89,M1470=phu!$I$90),"Cam Lập",""),IF(OR(M1470=phu!$I$91,M1470=phu!$I$92,M1470=phu!$I$93),"Cam Bình",""),IF(OR(M1470=phu!$I$94,M1470=phu!$I$95,M1470=phu!$I$96,M1470=phu!$I$97,M1470=phu!$I$98,M1470=phu!$I$99,M1470=phu!$I$100),"Huyện khác",""),IF(OR(M1470=phu!$I$101,M1470=phu!$I$102),"Tỉnh khác",""))</f>
        <v/>
      </c>
      <c r="O1470" s="814" t="str">
        <f t="shared" si="133"/>
        <v/>
      </c>
      <c r="P1470" s="254"/>
      <c r="Q1470" s="254"/>
      <c r="R1470" s="254"/>
      <c r="S1470" s="254"/>
      <c r="T1470" s="254"/>
      <c r="U1470" s="254"/>
      <c r="V1470" s="254"/>
      <c r="W1470" s="254"/>
      <c r="Y1470" s="246" t="str">
        <f t="shared" si="134"/>
        <v/>
      </c>
      <c r="Z1470" s="247" t="str">
        <f t="shared" si="132"/>
        <v/>
      </c>
      <c r="AA1470" s="246" t="str">
        <f t="shared" si="135"/>
        <v/>
      </c>
    </row>
    <row r="1471" spans="1:27" x14ac:dyDescent="0.25">
      <c r="A1471" s="248" t="str">
        <f t="shared" si="136"/>
        <v/>
      </c>
      <c r="B1471" s="249" t="str">
        <f t="shared" si="137"/>
        <v/>
      </c>
      <c r="C1471" s="250"/>
      <c r="D1471" s="251"/>
      <c r="E1471" s="241"/>
      <c r="F1471" s="252"/>
      <c r="G1471" s="252"/>
      <c r="H1471" s="253"/>
      <c r="I1471" s="250"/>
      <c r="J1471" s="250"/>
      <c r="K1471" s="270"/>
      <c r="L1471" s="250"/>
      <c r="M1471" s="250"/>
      <c r="N1471" s="553" t="str">
        <f>CONCATENATE(IF(OR(M1471=phu!$I$1,M1471=phu!$I$2,M1471=phu!$I$3),"Cam Thành Nam",""),IF(OR(M1471=phu!$I$4,M1471=phu!$I$5,M1471=phu!$I$6,M1471=phu!$I$7,M1471=phu!$I$8,M1471=phu!$I$9,M1471=phu!$I$10,M1471=phu!$I$11,M1471=phu!$I$12,M1471=phu!$I$13,M1471=phu!$I$14),"Cam Nghĩa",""),IF(OR(M1471=phu!$I$15,M1471=phu!$I$16,M1471=phu!$I$17,M1471=phu!$I$18,M1471=phu!$I$19,M1471=phu!$I$20,M1471=phu!$I$21),"Cam Phúc Bắc",""),IF(OR(M1471=phu!$I$22,M1471=phu!$I$23,M1471=phu!$I$24,M1471=phu!$I$25),"Cam Phúc Nam",""),IF(OR(M1471=phu!$I$26,M1471=phu!$I$27,M1471=phu!$I$28,M1471=phu!$I$29,M1471=phu!$I$30,M1471=phu!$I$31),"Cam Phú",""),IF(OR(M1471=phu!$I$32,M1471=phu!$I$33,M1471=phu!$I$34,M1471=phu!$I$35,M1471=phu!$I$36,M1471=phu!$I$37),"Cam Lộc",""),IF(OR(M1471=phu!$I$38,M1471=phu!$I$39,M1471=phu!$I$40,M1471=phu!$I$41,M1471=phu!$I$42,M1471=phu!$I$43,M1471=phu!$I$44),"Cam Thuận",""),IF(OR(M1471=phu!$I$45,M1471=phu!$I$46,M1471=phu!$I$47,M1471=phu!$I$48,M1471=phu!$I$49,M1471=phu!$I$50,M1471=phu!$I$51,M1471=phu!$I$52,M1471=phu!$I$53),"Cam Linh",""),IF(OR(M1471=phu!$I$54,M1471=phu!$I$55,M1471=phu!$I$56,M1471=phu!$I$57,M1471=phu!$I$58,M1471=phu!$I$59,M1471=phu!$I$60,M1471=phu!$I$61,M1471=phu!$I$62),"Cam Lợi",""),IF(OR(M1471=phu!$I$63,M1471=phu!$I$64,M1471=phu!$I$65,M1471=phu!$I$66,M1471=phu!$I$67,M1471=phu!$I$68,M1471=phu!$I$69,M1471=phu!$I$70,M1471=phu!$I$71),"Ba Ngòi",""),IF(OR(M1471=phu!$I$72,M1471=phu!$I$73,M1471=phu!$I$74,M1471=phu!$I$75,M1471=phu!$I$76,M1471=phu!$I$77,M1471=phu!$I$78),"Cam Phước Đông",""),IF(OR(M1471=phu!$I$79,M1471=phu!$I$80,M1471=phu!$I$81,M1471=phu!$I$82,M1471=phu!$I$83,M1471=phu!$I$84),"Cam Thịnh Đông",""),IF(OR(M1471=phu!$I$85,M1471=phu!$I$86,M1471=phu!$I$87,M1471=phu!$I$88),"Cam Thịnh Tây",""),IF(OR(M1471=phu!$I$89,M1471=phu!$I$90),"Cam Lập",""),IF(OR(M1471=phu!$I$91,M1471=phu!$I$92,M1471=phu!$I$93),"Cam Bình",""),IF(OR(M1471=phu!$I$94,M1471=phu!$I$95,M1471=phu!$I$96,M1471=phu!$I$97,M1471=phu!$I$98,M1471=phu!$I$99,M1471=phu!$I$100),"Huyện khác",""),IF(OR(M1471=phu!$I$101,M1471=phu!$I$102),"Tỉnh khác",""))</f>
        <v/>
      </c>
      <c r="O1471" s="814" t="str">
        <f t="shared" si="133"/>
        <v/>
      </c>
      <c r="P1471" s="254"/>
      <c r="Q1471" s="254"/>
      <c r="R1471" s="254"/>
      <c r="S1471" s="254"/>
      <c r="T1471" s="254"/>
      <c r="U1471" s="254"/>
      <c r="V1471" s="254"/>
      <c r="W1471" s="254"/>
      <c r="Y1471" s="246" t="str">
        <f t="shared" si="134"/>
        <v/>
      </c>
      <c r="Z1471" s="247" t="str">
        <f t="shared" si="132"/>
        <v/>
      </c>
      <c r="AA1471" s="246" t="str">
        <f t="shared" si="135"/>
        <v/>
      </c>
    </row>
    <row r="1472" spans="1:27" x14ac:dyDescent="0.25">
      <c r="A1472" s="248" t="str">
        <f t="shared" si="136"/>
        <v/>
      </c>
      <c r="B1472" s="249" t="str">
        <f t="shared" si="137"/>
        <v/>
      </c>
      <c r="C1472" s="250"/>
      <c r="D1472" s="251"/>
      <c r="E1472" s="241"/>
      <c r="F1472" s="252"/>
      <c r="G1472" s="252"/>
      <c r="H1472" s="253"/>
      <c r="I1472" s="250"/>
      <c r="J1472" s="250"/>
      <c r="K1472" s="270"/>
      <c r="L1472" s="250"/>
      <c r="M1472" s="250"/>
      <c r="N1472" s="553" t="str">
        <f>CONCATENATE(IF(OR(M1472=phu!$I$1,M1472=phu!$I$2,M1472=phu!$I$3),"Cam Thành Nam",""),IF(OR(M1472=phu!$I$4,M1472=phu!$I$5,M1472=phu!$I$6,M1472=phu!$I$7,M1472=phu!$I$8,M1472=phu!$I$9,M1472=phu!$I$10,M1472=phu!$I$11,M1472=phu!$I$12,M1472=phu!$I$13,M1472=phu!$I$14),"Cam Nghĩa",""),IF(OR(M1472=phu!$I$15,M1472=phu!$I$16,M1472=phu!$I$17,M1472=phu!$I$18,M1472=phu!$I$19,M1472=phu!$I$20,M1472=phu!$I$21),"Cam Phúc Bắc",""),IF(OR(M1472=phu!$I$22,M1472=phu!$I$23,M1472=phu!$I$24,M1472=phu!$I$25),"Cam Phúc Nam",""),IF(OR(M1472=phu!$I$26,M1472=phu!$I$27,M1472=phu!$I$28,M1472=phu!$I$29,M1472=phu!$I$30,M1472=phu!$I$31),"Cam Phú",""),IF(OR(M1472=phu!$I$32,M1472=phu!$I$33,M1472=phu!$I$34,M1472=phu!$I$35,M1472=phu!$I$36,M1472=phu!$I$37),"Cam Lộc",""),IF(OR(M1472=phu!$I$38,M1472=phu!$I$39,M1472=phu!$I$40,M1472=phu!$I$41,M1472=phu!$I$42,M1472=phu!$I$43,M1472=phu!$I$44),"Cam Thuận",""),IF(OR(M1472=phu!$I$45,M1472=phu!$I$46,M1472=phu!$I$47,M1472=phu!$I$48,M1472=phu!$I$49,M1472=phu!$I$50,M1472=phu!$I$51,M1472=phu!$I$52,M1472=phu!$I$53),"Cam Linh",""),IF(OR(M1472=phu!$I$54,M1472=phu!$I$55,M1472=phu!$I$56,M1472=phu!$I$57,M1472=phu!$I$58,M1472=phu!$I$59,M1472=phu!$I$60,M1472=phu!$I$61,M1472=phu!$I$62),"Cam Lợi",""),IF(OR(M1472=phu!$I$63,M1472=phu!$I$64,M1472=phu!$I$65,M1472=phu!$I$66,M1472=phu!$I$67,M1472=phu!$I$68,M1472=phu!$I$69,M1472=phu!$I$70,M1472=phu!$I$71),"Ba Ngòi",""),IF(OR(M1472=phu!$I$72,M1472=phu!$I$73,M1472=phu!$I$74,M1472=phu!$I$75,M1472=phu!$I$76,M1472=phu!$I$77,M1472=phu!$I$78),"Cam Phước Đông",""),IF(OR(M1472=phu!$I$79,M1472=phu!$I$80,M1472=phu!$I$81,M1472=phu!$I$82,M1472=phu!$I$83,M1472=phu!$I$84),"Cam Thịnh Đông",""),IF(OR(M1472=phu!$I$85,M1472=phu!$I$86,M1472=phu!$I$87,M1472=phu!$I$88),"Cam Thịnh Tây",""),IF(OR(M1472=phu!$I$89,M1472=phu!$I$90),"Cam Lập",""),IF(OR(M1472=phu!$I$91,M1472=phu!$I$92,M1472=phu!$I$93),"Cam Bình",""),IF(OR(M1472=phu!$I$94,M1472=phu!$I$95,M1472=phu!$I$96,M1472=phu!$I$97,M1472=phu!$I$98,M1472=phu!$I$99,M1472=phu!$I$100),"Huyện khác",""),IF(OR(M1472=phu!$I$101,M1472=phu!$I$102),"Tỉnh khác",""))</f>
        <v/>
      </c>
      <c r="O1472" s="814" t="str">
        <f t="shared" si="133"/>
        <v/>
      </c>
      <c r="P1472" s="254"/>
      <c r="Q1472" s="254"/>
      <c r="R1472" s="254"/>
      <c r="S1472" s="254"/>
      <c r="T1472" s="254"/>
      <c r="U1472" s="254"/>
      <c r="V1472" s="254"/>
      <c r="W1472" s="254"/>
      <c r="Y1472" s="246" t="str">
        <f t="shared" si="134"/>
        <v/>
      </c>
      <c r="Z1472" s="247" t="str">
        <f t="shared" si="132"/>
        <v/>
      </c>
      <c r="AA1472" s="246" t="str">
        <f t="shared" si="135"/>
        <v/>
      </c>
    </row>
    <row r="1473" spans="1:27" x14ac:dyDescent="0.25">
      <c r="A1473" s="248" t="str">
        <f t="shared" si="136"/>
        <v/>
      </c>
      <c r="B1473" s="249" t="str">
        <f t="shared" si="137"/>
        <v/>
      </c>
      <c r="C1473" s="250"/>
      <c r="D1473" s="251"/>
      <c r="E1473" s="241"/>
      <c r="F1473" s="252"/>
      <c r="G1473" s="252"/>
      <c r="H1473" s="253"/>
      <c r="I1473" s="250"/>
      <c r="J1473" s="250"/>
      <c r="K1473" s="270"/>
      <c r="L1473" s="250"/>
      <c r="M1473" s="250"/>
      <c r="N1473" s="553" t="str">
        <f>CONCATENATE(IF(OR(M1473=phu!$I$1,M1473=phu!$I$2,M1473=phu!$I$3),"Cam Thành Nam",""),IF(OR(M1473=phu!$I$4,M1473=phu!$I$5,M1473=phu!$I$6,M1473=phu!$I$7,M1473=phu!$I$8,M1473=phu!$I$9,M1473=phu!$I$10,M1473=phu!$I$11,M1473=phu!$I$12,M1473=phu!$I$13,M1473=phu!$I$14),"Cam Nghĩa",""),IF(OR(M1473=phu!$I$15,M1473=phu!$I$16,M1473=phu!$I$17,M1473=phu!$I$18,M1473=phu!$I$19,M1473=phu!$I$20,M1473=phu!$I$21),"Cam Phúc Bắc",""),IF(OR(M1473=phu!$I$22,M1473=phu!$I$23,M1473=phu!$I$24,M1473=phu!$I$25),"Cam Phúc Nam",""),IF(OR(M1473=phu!$I$26,M1473=phu!$I$27,M1473=phu!$I$28,M1473=phu!$I$29,M1473=phu!$I$30,M1473=phu!$I$31),"Cam Phú",""),IF(OR(M1473=phu!$I$32,M1473=phu!$I$33,M1473=phu!$I$34,M1473=phu!$I$35,M1473=phu!$I$36,M1473=phu!$I$37),"Cam Lộc",""),IF(OR(M1473=phu!$I$38,M1473=phu!$I$39,M1473=phu!$I$40,M1473=phu!$I$41,M1473=phu!$I$42,M1473=phu!$I$43,M1473=phu!$I$44),"Cam Thuận",""),IF(OR(M1473=phu!$I$45,M1473=phu!$I$46,M1473=phu!$I$47,M1473=phu!$I$48,M1473=phu!$I$49,M1473=phu!$I$50,M1473=phu!$I$51,M1473=phu!$I$52,M1473=phu!$I$53),"Cam Linh",""),IF(OR(M1473=phu!$I$54,M1473=phu!$I$55,M1473=phu!$I$56,M1473=phu!$I$57,M1473=phu!$I$58,M1473=phu!$I$59,M1473=phu!$I$60,M1473=phu!$I$61,M1473=phu!$I$62),"Cam Lợi",""),IF(OR(M1473=phu!$I$63,M1473=phu!$I$64,M1473=phu!$I$65,M1473=phu!$I$66,M1473=phu!$I$67,M1473=phu!$I$68,M1473=phu!$I$69,M1473=phu!$I$70,M1473=phu!$I$71),"Ba Ngòi",""),IF(OR(M1473=phu!$I$72,M1473=phu!$I$73,M1473=phu!$I$74,M1473=phu!$I$75,M1473=phu!$I$76,M1473=phu!$I$77,M1473=phu!$I$78),"Cam Phước Đông",""),IF(OR(M1473=phu!$I$79,M1473=phu!$I$80,M1473=phu!$I$81,M1473=phu!$I$82,M1473=phu!$I$83,M1473=phu!$I$84),"Cam Thịnh Đông",""),IF(OR(M1473=phu!$I$85,M1473=phu!$I$86,M1473=phu!$I$87,M1473=phu!$I$88),"Cam Thịnh Tây",""),IF(OR(M1473=phu!$I$89,M1473=phu!$I$90),"Cam Lập",""),IF(OR(M1473=phu!$I$91,M1473=phu!$I$92,M1473=phu!$I$93),"Cam Bình",""),IF(OR(M1473=phu!$I$94,M1473=phu!$I$95,M1473=phu!$I$96,M1473=phu!$I$97,M1473=phu!$I$98,M1473=phu!$I$99,M1473=phu!$I$100),"Huyện khác",""),IF(OR(M1473=phu!$I$101,M1473=phu!$I$102),"Tỉnh khác",""))</f>
        <v/>
      </c>
      <c r="O1473" s="814" t="str">
        <f t="shared" si="133"/>
        <v/>
      </c>
      <c r="P1473" s="254"/>
      <c r="Q1473" s="254"/>
      <c r="R1473" s="254"/>
      <c r="S1473" s="254"/>
      <c r="T1473" s="254"/>
      <c r="U1473" s="254"/>
      <c r="V1473" s="254"/>
      <c r="W1473" s="254"/>
      <c r="Y1473" s="246" t="str">
        <f t="shared" si="134"/>
        <v/>
      </c>
      <c r="Z1473" s="247" t="str">
        <f t="shared" si="132"/>
        <v/>
      </c>
      <c r="AA1473" s="246" t="str">
        <f t="shared" si="135"/>
        <v/>
      </c>
    </row>
    <row r="1474" spans="1:27" x14ac:dyDescent="0.25">
      <c r="A1474" s="248" t="str">
        <f t="shared" si="136"/>
        <v/>
      </c>
      <c r="B1474" s="249" t="str">
        <f t="shared" si="137"/>
        <v/>
      </c>
      <c r="C1474" s="250"/>
      <c r="D1474" s="251"/>
      <c r="E1474" s="241"/>
      <c r="F1474" s="252"/>
      <c r="G1474" s="252"/>
      <c r="H1474" s="253"/>
      <c r="I1474" s="250"/>
      <c r="J1474" s="250"/>
      <c r="K1474" s="270"/>
      <c r="L1474" s="250"/>
      <c r="M1474" s="250"/>
      <c r="N1474" s="553" t="str">
        <f>CONCATENATE(IF(OR(M1474=phu!$I$1,M1474=phu!$I$2,M1474=phu!$I$3),"Cam Thành Nam",""),IF(OR(M1474=phu!$I$4,M1474=phu!$I$5,M1474=phu!$I$6,M1474=phu!$I$7,M1474=phu!$I$8,M1474=phu!$I$9,M1474=phu!$I$10,M1474=phu!$I$11,M1474=phu!$I$12,M1474=phu!$I$13,M1474=phu!$I$14),"Cam Nghĩa",""),IF(OR(M1474=phu!$I$15,M1474=phu!$I$16,M1474=phu!$I$17,M1474=phu!$I$18,M1474=phu!$I$19,M1474=phu!$I$20,M1474=phu!$I$21),"Cam Phúc Bắc",""),IF(OR(M1474=phu!$I$22,M1474=phu!$I$23,M1474=phu!$I$24,M1474=phu!$I$25),"Cam Phúc Nam",""),IF(OR(M1474=phu!$I$26,M1474=phu!$I$27,M1474=phu!$I$28,M1474=phu!$I$29,M1474=phu!$I$30,M1474=phu!$I$31),"Cam Phú",""),IF(OR(M1474=phu!$I$32,M1474=phu!$I$33,M1474=phu!$I$34,M1474=phu!$I$35,M1474=phu!$I$36,M1474=phu!$I$37),"Cam Lộc",""),IF(OR(M1474=phu!$I$38,M1474=phu!$I$39,M1474=phu!$I$40,M1474=phu!$I$41,M1474=phu!$I$42,M1474=phu!$I$43,M1474=phu!$I$44),"Cam Thuận",""),IF(OR(M1474=phu!$I$45,M1474=phu!$I$46,M1474=phu!$I$47,M1474=phu!$I$48,M1474=phu!$I$49,M1474=phu!$I$50,M1474=phu!$I$51,M1474=phu!$I$52,M1474=phu!$I$53),"Cam Linh",""),IF(OR(M1474=phu!$I$54,M1474=phu!$I$55,M1474=phu!$I$56,M1474=phu!$I$57,M1474=phu!$I$58,M1474=phu!$I$59,M1474=phu!$I$60,M1474=phu!$I$61,M1474=phu!$I$62),"Cam Lợi",""),IF(OR(M1474=phu!$I$63,M1474=phu!$I$64,M1474=phu!$I$65,M1474=phu!$I$66,M1474=phu!$I$67,M1474=phu!$I$68,M1474=phu!$I$69,M1474=phu!$I$70,M1474=phu!$I$71),"Ba Ngòi",""),IF(OR(M1474=phu!$I$72,M1474=phu!$I$73,M1474=phu!$I$74,M1474=phu!$I$75,M1474=phu!$I$76,M1474=phu!$I$77,M1474=phu!$I$78),"Cam Phước Đông",""),IF(OR(M1474=phu!$I$79,M1474=phu!$I$80,M1474=phu!$I$81,M1474=phu!$I$82,M1474=phu!$I$83,M1474=phu!$I$84),"Cam Thịnh Đông",""),IF(OR(M1474=phu!$I$85,M1474=phu!$I$86,M1474=phu!$I$87,M1474=phu!$I$88),"Cam Thịnh Tây",""),IF(OR(M1474=phu!$I$89,M1474=phu!$I$90),"Cam Lập",""),IF(OR(M1474=phu!$I$91,M1474=phu!$I$92,M1474=phu!$I$93),"Cam Bình",""),IF(OR(M1474=phu!$I$94,M1474=phu!$I$95,M1474=phu!$I$96,M1474=phu!$I$97,M1474=phu!$I$98,M1474=phu!$I$99,M1474=phu!$I$100),"Huyện khác",""),IF(OR(M1474=phu!$I$101,M1474=phu!$I$102),"Tỉnh khác",""))</f>
        <v/>
      </c>
      <c r="O1474" s="814" t="str">
        <f t="shared" si="133"/>
        <v/>
      </c>
      <c r="P1474" s="254"/>
      <c r="Q1474" s="254"/>
      <c r="R1474" s="254"/>
      <c r="S1474" s="254"/>
      <c r="T1474" s="254"/>
      <c r="U1474" s="254"/>
      <c r="V1474" s="254"/>
      <c r="W1474" s="254"/>
      <c r="Y1474" s="246" t="str">
        <f t="shared" si="134"/>
        <v/>
      </c>
      <c r="Z1474" s="247" t="str">
        <f t="shared" si="132"/>
        <v/>
      </c>
      <c r="AA1474" s="246" t="str">
        <f t="shared" si="135"/>
        <v/>
      </c>
    </row>
    <row r="1475" spans="1:27" x14ac:dyDescent="0.25">
      <c r="A1475" s="248" t="str">
        <f t="shared" si="136"/>
        <v/>
      </c>
      <c r="B1475" s="249" t="str">
        <f t="shared" si="137"/>
        <v/>
      </c>
      <c r="C1475" s="250"/>
      <c r="D1475" s="251"/>
      <c r="E1475" s="241"/>
      <c r="F1475" s="252"/>
      <c r="G1475" s="252"/>
      <c r="H1475" s="253"/>
      <c r="I1475" s="250"/>
      <c r="J1475" s="250"/>
      <c r="K1475" s="270"/>
      <c r="L1475" s="250"/>
      <c r="M1475" s="250"/>
      <c r="N1475" s="553" t="str">
        <f>CONCATENATE(IF(OR(M1475=phu!$I$1,M1475=phu!$I$2,M1475=phu!$I$3),"Cam Thành Nam",""),IF(OR(M1475=phu!$I$4,M1475=phu!$I$5,M1475=phu!$I$6,M1475=phu!$I$7,M1475=phu!$I$8,M1475=phu!$I$9,M1475=phu!$I$10,M1475=phu!$I$11,M1475=phu!$I$12,M1475=phu!$I$13,M1475=phu!$I$14),"Cam Nghĩa",""),IF(OR(M1475=phu!$I$15,M1475=phu!$I$16,M1475=phu!$I$17,M1475=phu!$I$18,M1475=phu!$I$19,M1475=phu!$I$20,M1475=phu!$I$21),"Cam Phúc Bắc",""),IF(OR(M1475=phu!$I$22,M1475=phu!$I$23,M1475=phu!$I$24,M1475=phu!$I$25),"Cam Phúc Nam",""),IF(OR(M1475=phu!$I$26,M1475=phu!$I$27,M1475=phu!$I$28,M1475=phu!$I$29,M1475=phu!$I$30,M1475=phu!$I$31),"Cam Phú",""),IF(OR(M1475=phu!$I$32,M1475=phu!$I$33,M1475=phu!$I$34,M1475=phu!$I$35,M1475=phu!$I$36,M1475=phu!$I$37),"Cam Lộc",""),IF(OR(M1475=phu!$I$38,M1475=phu!$I$39,M1475=phu!$I$40,M1475=phu!$I$41,M1475=phu!$I$42,M1475=phu!$I$43,M1475=phu!$I$44),"Cam Thuận",""),IF(OR(M1475=phu!$I$45,M1475=phu!$I$46,M1475=phu!$I$47,M1475=phu!$I$48,M1475=phu!$I$49,M1475=phu!$I$50,M1475=phu!$I$51,M1475=phu!$I$52,M1475=phu!$I$53),"Cam Linh",""),IF(OR(M1475=phu!$I$54,M1475=phu!$I$55,M1475=phu!$I$56,M1475=phu!$I$57,M1475=phu!$I$58,M1475=phu!$I$59,M1475=phu!$I$60,M1475=phu!$I$61,M1475=phu!$I$62),"Cam Lợi",""),IF(OR(M1475=phu!$I$63,M1475=phu!$I$64,M1475=phu!$I$65,M1475=phu!$I$66,M1475=phu!$I$67,M1475=phu!$I$68,M1475=phu!$I$69,M1475=phu!$I$70,M1475=phu!$I$71),"Ba Ngòi",""),IF(OR(M1475=phu!$I$72,M1475=phu!$I$73,M1475=phu!$I$74,M1475=phu!$I$75,M1475=phu!$I$76,M1475=phu!$I$77,M1475=phu!$I$78),"Cam Phước Đông",""),IF(OR(M1475=phu!$I$79,M1475=phu!$I$80,M1475=phu!$I$81,M1475=phu!$I$82,M1475=phu!$I$83,M1475=phu!$I$84),"Cam Thịnh Đông",""),IF(OR(M1475=phu!$I$85,M1475=phu!$I$86,M1475=phu!$I$87,M1475=phu!$I$88),"Cam Thịnh Tây",""),IF(OR(M1475=phu!$I$89,M1475=phu!$I$90),"Cam Lập",""),IF(OR(M1475=phu!$I$91,M1475=phu!$I$92,M1475=phu!$I$93),"Cam Bình",""),IF(OR(M1475=phu!$I$94,M1475=phu!$I$95,M1475=phu!$I$96,M1475=phu!$I$97,M1475=phu!$I$98,M1475=phu!$I$99,M1475=phu!$I$100),"Huyện khác",""),IF(OR(M1475=phu!$I$101,M1475=phu!$I$102),"Tỉnh khác",""))</f>
        <v/>
      </c>
      <c r="O1475" s="814" t="str">
        <f t="shared" si="133"/>
        <v/>
      </c>
      <c r="P1475" s="254"/>
      <c r="Q1475" s="254"/>
      <c r="R1475" s="254"/>
      <c r="S1475" s="254"/>
      <c r="T1475" s="254"/>
      <c r="U1475" s="254"/>
      <c r="V1475" s="254"/>
      <c r="W1475" s="254"/>
      <c r="Y1475" s="246" t="str">
        <f t="shared" si="134"/>
        <v/>
      </c>
      <c r="Z1475" s="247" t="str">
        <f t="shared" si="132"/>
        <v/>
      </c>
      <c r="AA1475" s="246" t="str">
        <f t="shared" si="135"/>
        <v/>
      </c>
    </row>
    <row r="1476" spans="1:27" x14ac:dyDescent="0.25">
      <c r="A1476" s="248" t="str">
        <f t="shared" si="136"/>
        <v/>
      </c>
      <c r="B1476" s="249" t="str">
        <f t="shared" si="137"/>
        <v/>
      </c>
      <c r="C1476" s="250"/>
      <c r="D1476" s="251"/>
      <c r="E1476" s="241"/>
      <c r="F1476" s="252"/>
      <c r="G1476" s="252"/>
      <c r="H1476" s="253"/>
      <c r="I1476" s="250"/>
      <c r="J1476" s="250"/>
      <c r="K1476" s="270"/>
      <c r="L1476" s="250"/>
      <c r="M1476" s="250"/>
      <c r="N1476" s="553" t="str">
        <f>CONCATENATE(IF(OR(M1476=phu!$I$1,M1476=phu!$I$2,M1476=phu!$I$3),"Cam Thành Nam",""),IF(OR(M1476=phu!$I$4,M1476=phu!$I$5,M1476=phu!$I$6,M1476=phu!$I$7,M1476=phu!$I$8,M1476=phu!$I$9,M1476=phu!$I$10,M1476=phu!$I$11,M1476=phu!$I$12,M1476=phu!$I$13,M1476=phu!$I$14),"Cam Nghĩa",""),IF(OR(M1476=phu!$I$15,M1476=phu!$I$16,M1476=phu!$I$17,M1476=phu!$I$18,M1476=phu!$I$19,M1476=phu!$I$20,M1476=phu!$I$21),"Cam Phúc Bắc",""),IF(OR(M1476=phu!$I$22,M1476=phu!$I$23,M1476=phu!$I$24,M1476=phu!$I$25),"Cam Phúc Nam",""),IF(OR(M1476=phu!$I$26,M1476=phu!$I$27,M1476=phu!$I$28,M1476=phu!$I$29,M1476=phu!$I$30,M1476=phu!$I$31),"Cam Phú",""),IF(OR(M1476=phu!$I$32,M1476=phu!$I$33,M1476=phu!$I$34,M1476=phu!$I$35,M1476=phu!$I$36,M1476=phu!$I$37),"Cam Lộc",""),IF(OR(M1476=phu!$I$38,M1476=phu!$I$39,M1476=phu!$I$40,M1476=phu!$I$41,M1476=phu!$I$42,M1476=phu!$I$43,M1476=phu!$I$44),"Cam Thuận",""),IF(OR(M1476=phu!$I$45,M1476=phu!$I$46,M1476=phu!$I$47,M1476=phu!$I$48,M1476=phu!$I$49,M1476=phu!$I$50,M1476=phu!$I$51,M1476=phu!$I$52,M1476=phu!$I$53),"Cam Linh",""),IF(OR(M1476=phu!$I$54,M1476=phu!$I$55,M1476=phu!$I$56,M1476=phu!$I$57,M1476=phu!$I$58,M1476=phu!$I$59,M1476=phu!$I$60,M1476=phu!$I$61,M1476=phu!$I$62),"Cam Lợi",""),IF(OR(M1476=phu!$I$63,M1476=phu!$I$64,M1476=phu!$I$65,M1476=phu!$I$66,M1476=phu!$I$67,M1476=phu!$I$68,M1476=phu!$I$69,M1476=phu!$I$70,M1476=phu!$I$71),"Ba Ngòi",""),IF(OR(M1476=phu!$I$72,M1476=phu!$I$73,M1476=phu!$I$74,M1476=phu!$I$75,M1476=phu!$I$76,M1476=phu!$I$77,M1476=phu!$I$78),"Cam Phước Đông",""),IF(OR(M1476=phu!$I$79,M1476=phu!$I$80,M1476=phu!$I$81,M1476=phu!$I$82,M1476=phu!$I$83,M1476=phu!$I$84),"Cam Thịnh Đông",""),IF(OR(M1476=phu!$I$85,M1476=phu!$I$86,M1476=phu!$I$87,M1476=phu!$I$88),"Cam Thịnh Tây",""),IF(OR(M1476=phu!$I$89,M1476=phu!$I$90),"Cam Lập",""),IF(OR(M1476=phu!$I$91,M1476=phu!$I$92,M1476=phu!$I$93),"Cam Bình",""),IF(OR(M1476=phu!$I$94,M1476=phu!$I$95,M1476=phu!$I$96,M1476=phu!$I$97,M1476=phu!$I$98,M1476=phu!$I$99,M1476=phu!$I$100),"Huyện khác",""),IF(OR(M1476=phu!$I$101,M1476=phu!$I$102),"Tỉnh khác",""))</f>
        <v/>
      </c>
      <c r="O1476" s="814" t="str">
        <f t="shared" si="133"/>
        <v/>
      </c>
      <c r="P1476" s="254"/>
      <c r="Q1476" s="254"/>
      <c r="R1476" s="254"/>
      <c r="S1476" s="254"/>
      <c r="T1476" s="254"/>
      <c r="U1476" s="254"/>
      <c r="V1476" s="254"/>
      <c r="W1476" s="254"/>
      <c r="Y1476" s="246" t="str">
        <f t="shared" si="134"/>
        <v/>
      </c>
      <c r="Z1476" s="247" t="str">
        <f t="shared" si="132"/>
        <v/>
      </c>
      <c r="AA1476" s="246" t="str">
        <f t="shared" si="135"/>
        <v/>
      </c>
    </row>
    <row r="1477" spans="1:27" x14ac:dyDescent="0.25">
      <c r="A1477" s="248" t="str">
        <f t="shared" si="136"/>
        <v/>
      </c>
      <c r="B1477" s="249" t="str">
        <f t="shared" si="137"/>
        <v/>
      </c>
      <c r="C1477" s="250"/>
      <c r="D1477" s="251"/>
      <c r="E1477" s="241"/>
      <c r="F1477" s="252"/>
      <c r="G1477" s="252"/>
      <c r="H1477" s="253"/>
      <c r="I1477" s="250"/>
      <c r="J1477" s="250"/>
      <c r="K1477" s="270"/>
      <c r="L1477" s="250"/>
      <c r="M1477" s="250"/>
      <c r="N1477" s="553" t="str">
        <f>CONCATENATE(IF(OR(M1477=phu!$I$1,M1477=phu!$I$2,M1477=phu!$I$3),"Cam Thành Nam",""),IF(OR(M1477=phu!$I$4,M1477=phu!$I$5,M1477=phu!$I$6,M1477=phu!$I$7,M1477=phu!$I$8,M1477=phu!$I$9,M1477=phu!$I$10,M1477=phu!$I$11,M1477=phu!$I$12,M1477=phu!$I$13,M1477=phu!$I$14),"Cam Nghĩa",""),IF(OR(M1477=phu!$I$15,M1477=phu!$I$16,M1477=phu!$I$17,M1477=phu!$I$18,M1477=phu!$I$19,M1477=phu!$I$20,M1477=phu!$I$21),"Cam Phúc Bắc",""),IF(OR(M1477=phu!$I$22,M1477=phu!$I$23,M1477=phu!$I$24,M1477=phu!$I$25),"Cam Phúc Nam",""),IF(OR(M1477=phu!$I$26,M1477=phu!$I$27,M1477=phu!$I$28,M1477=phu!$I$29,M1477=phu!$I$30,M1477=phu!$I$31),"Cam Phú",""),IF(OR(M1477=phu!$I$32,M1477=phu!$I$33,M1477=phu!$I$34,M1477=phu!$I$35,M1477=phu!$I$36,M1477=phu!$I$37),"Cam Lộc",""),IF(OR(M1477=phu!$I$38,M1477=phu!$I$39,M1477=phu!$I$40,M1477=phu!$I$41,M1477=phu!$I$42,M1477=phu!$I$43,M1477=phu!$I$44),"Cam Thuận",""),IF(OR(M1477=phu!$I$45,M1477=phu!$I$46,M1477=phu!$I$47,M1477=phu!$I$48,M1477=phu!$I$49,M1477=phu!$I$50,M1477=phu!$I$51,M1477=phu!$I$52,M1477=phu!$I$53),"Cam Linh",""),IF(OR(M1477=phu!$I$54,M1477=phu!$I$55,M1477=phu!$I$56,M1477=phu!$I$57,M1477=phu!$I$58,M1477=phu!$I$59,M1477=phu!$I$60,M1477=phu!$I$61,M1477=phu!$I$62),"Cam Lợi",""),IF(OR(M1477=phu!$I$63,M1477=phu!$I$64,M1477=phu!$I$65,M1477=phu!$I$66,M1477=phu!$I$67,M1477=phu!$I$68,M1477=phu!$I$69,M1477=phu!$I$70,M1477=phu!$I$71),"Ba Ngòi",""),IF(OR(M1477=phu!$I$72,M1477=phu!$I$73,M1477=phu!$I$74,M1477=phu!$I$75,M1477=phu!$I$76,M1477=phu!$I$77,M1477=phu!$I$78),"Cam Phước Đông",""),IF(OR(M1477=phu!$I$79,M1477=phu!$I$80,M1477=phu!$I$81,M1477=phu!$I$82,M1477=phu!$I$83,M1477=phu!$I$84),"Cam Thịnh Đông",""),IF(OR(M1477=phu!$I$85,M1477=phu!$I$86,M1477=phu!$I$87,M1477=phu!$I$88),"Cam Thịnh Tây",""),IF(OR(M1477=phu!$I$89,M1477=phu!$I$90),"Cam Lập",""),IF(OR(M1477=phu!$I$91,M1477=phu!$I$92,M1477=phu!$I$93),"Cam Bình",""),IF(OR(M1477=phu!$I$94,M1477=phu!$I$95,M1477=phu!$I$96,M1477=phu!$I$97,M1477=phu!$I$98,M1477=phu!$I$99,M1477=phu!$I$100),"Huyện khác",""),IF(OR(M1477=phu!$I$101,M1477=phu!$I$102),"Tỉnh khác",""))</f>
        <v/>
      </c>
      <c r="O1477" s="814" t="str">
        <f t="shared" si="133"/>
        <v/>
      </c>
      <c r="P1477" s="254"/>
      <c r="Q1477" s="254"/>
      <c r="R1477" s="254"/>
      <c r="S1477" s="254"/>
      <c r="T1477" s="254"/>
      <c r="U1477" s="254"/>
      <c r="V1477" s="254"/>
      <c r="W1477" s="254"/>
      <c r="Y1477" s="246" t="str">
        <f t="shared" si="134"/>
        <v/>
      </c>
      <c r="Z1477" s="247" t="str">
        <f t="shared" si="132"/>
        <v/>
      </c>
      <c r="AA1477" s="246" t="str">
        <f t="shared" si="135"/>
        <v/>
      </c>
    </row>
    <row r="1478" spans="1:27" x14ac:dyDescent="0.25">
      <c r="A1478" s="248" t="str">
        <f t="shared" si="136"/>
        <v/>
      </c>
      <c r="B1478" s="249" t="str">
        <f t="shared" si="137"/>
        <v/>
      </c>
      <c r="C1478" s="250"/>
      <c r="D1478" s="251"/>
      <c r="E1478" s="241"/>
      <c r="F1478" s="252"/>
      <c r="G1478" s="252"/>
      <c r="H1478" s="253"/>
      <c r="I1478" s="250"/>
      <c r="J1478" s="250"/>
      <c r="K1478" s="270"/>
      <c r="L1478" s="250"/>
      <c r="M1478" s="250"/>
      <c r="N1478" s="553" t="str">
        <f>CONCATENATE(IF(OR(M1478=phu!$I$1,M1478=phu!$I$2,M1478=phu!$I$3),"Cam Thành Nam",""),IF(OR(M1478=phu!$I$4,M1478=phu!$I$5,M1478=phu!$I$6,M1478=phu!$I$7,M1478=phu!$I$8,M1478=phu!$I$9,M1478=phu!$I$10,M1478=phu!$I$11,M1478=phu!$I$12,M1478=phu!$I$13,M1478=phu!$I$14),"Cam Nghĩa",""),IF(OR(M1478=phu!$I$15,M1478=phu!$I$16,M1478=phu!$I$17,M1478=phu!$I$18,M1478=phu!$I$19,M1478=phu!$I$20,M1478=phu!$I$21),"Cam Phúc Bắc",""),IF(OR(M1478=phu!$I$22,M1478=phu!$I$23,M1478=phu!$I$24,M1478=phu!$I$25),"Cam Phúc Nam",""),IF(OR(M1478=phu!$I$26,M1478=phu!$I$27,M1478=phu!$I$28,M1478=phu!$I$29,M1478=phu!$I$30,M1478=phu!$I$31),"Cam Phú",""),IF(OR(M1478=phu!$I$32,M1478=phu!$I$33,M1478=phu!$I$34,M1478=phu!$I$35,M1478=phu!$I$36,M1478=phu!$I$37),"Cam Lộc",""),IF(OR(M1478=phu!$I$38,M1478=phu!$I$39,M1478=phu!$I$40,M1478=phu!$I$41,M1478=phu!$I$42,M1478=phu!$I$43,M1478=phu!$I$44),"Cam Thuận",""),IF(OR(M1478=phu!$I$45,M1478=phu!$I$46,M1478=phu!$I$47,M1478=phu!$I$48,M1478=phu!$I$49,M1478=phu!$I$50,M1478=phu!$I$51,M1478=phu!$I$52,M1478=phu!$I$53),"Cam Linh",""),IF(OR(M1478=phu!$I$54,M1478=phu!$I$55,M1478=phu!$I$56,M1478=phu!$I$57,M1478=phu!$I$58,M1478=phu!$I$59,M1478=phu!$I$60,M1478=phu!$I$61,M1478=phu!$I$62),"Cam Lợi",""),IF(OR(M1478=phu!$I$63,M1478=phu!$I$64,M1478=phu!$I$65,M1478=phu!$I$66,M1478=phu!$I$67,M1478=phu!$I$68,M1478=phu!$I$69,M1478=phu!$I$70,M1478=phu!$I$71),"Ba Ngòi",""),IF(OR(M1478=phu!$I$72,M1478=phu!$I$73,M1478=phu!$I$74,M1478=phu!$I$75,M1478=phu!$I$76,M1478=phu!$I$77,M1478=phu!$I$78),"Cam Phước Đông",""),IF(OR(M1478=phu!$I$79,M1478=phu!$I$80,M1478=phu!$I$81,M1478=phu!$I$82,M1478=phu!$I$83,M1478=phu!$I$84),"Cam Thịnh Đông",""),IF(OR(M1478=phu!$I$85,M1478=phu!$I$86,M1478=phu!$I$87,M1478=phu!$I$88),"Cam Thịnh Tây",""),IF(OR(M1478=phu!$I$89,M1478=phu!$I$90),"Cam Lập",""),IF(OR(M1478=phu!$I$91,M1478=phu!$I$92,M1478=phu!$I$93),"Cam Bình",""),IF(OR(M1478=phu!$I$94,M1478=phu!$I$95,M1478=phu!$I$96,M1478=phu!$I$97,M1478=phu!$I$98,M1478=phu!$I$99,M1478=phu!$I$100),"Huyện khác",""),IF(OR(M1478=phu!$I$101,M1478=phu!$I$102),"Tỉnh khác",""))</f>
        <v/>
      </c>
      <c r="O1478" s="814" t="str">
        <f t="shared" si="133"/>
        <v/>
      </c>
      <c r="P1478" s="254"/>
      <c r="Q1478" s="254"/>
      <c r="R1478" s="254"/>
      <c r="S1478" s="254"/>
      <c r="T1478" s="254"/>
      <c r="U1478" s="254"/>
      <c r="V1478" s="254"/>
      <c r="W1478" s="254"/>
      <c r="Y1478" s="246" t="str">
        <f t="shared" si="134"/>
        <v/>
      </c>
      <c r="Z1478" s="247" t="str">
        <f t="shared" ref="Z1478:Z1541" si="138">IF(H1478="","",$Z$1-H1478)</f>
        <v/>
      </c>
      <c r="AA1478" s="246" t="str">
        <f t="shared" si="135"/>
        <v/>
      </c>
    </row>
    <row r="1479" spans="1:27" x14ac:dyDescent="0.25">
      <c r="A1479" s="248" t="str">
        <f t="shared" si="136"/>
        <v/>
      </c>
      <c r="B1479" s="249" t="str">
        <f t="shared" si="137"/>
        <v/>
      </c>
      <c r="C1479" s="250"/>
      <c r="D1479" s="251"/>
      <c r="E1479" s="241"/>
      <c r="F1479" s="252"/>
      <c r="G1479" s="252"/>
      <c r="H1479" s="253"/>
      <c r="I1479" s="250"/>
      <c r="J1479" s="250"/>
      <c r="K1479" s="270"/>
      <c r="L1479" s="250"/>
      <c r="M1479" s="250"/>
      <c r="N1479" s="553" t="str">
        <f>CONCATENATE(IF(OR(M1479=phu!$I$1,M1479=phu!$I$2,M1479=phu!$I$3),"Cam Thành Nam",""),IF(OR(M1479=phu!$I$4,M1479=phu!$I$5,M1479=phu!$I$6,M1479=phu!$I$7,M1479=phu!$I$8,M1479=phu!$I$9,M1479=phu!$I$10,M1479=phu!$I$11,M1479=phu!$I$12,M1479=phu!$I$13,M1479=phu!$I$14),"Cam Nghĩa",""),IF(OR(M1479=phu!$I$15,M1479=phu!$I$16,M1479=phu!$I$17,M1479=phu!$I$18,M1479=phu!$I$19,M1479=phu!$I$20,M1479=phu!$I$21),"Cam Phúc Bắc",""),IF(OR(M1479=phu!$I$22,M1479=phu!$I$23,M1479=phu!$I$24,M1479=phu!$I$25),"Cam Phúc Nam",""),IF(OR(M1479=phu!$I$26,M1479=phu!$I$27,M1479=phu!$I$28,M1479=phu!$I$29,M1479=phu!$I$30,M1479=phu!$I$31),"Cam Phú",""),IF(OR(M1479=phu!$I$32,M1479=phu!$I$33,M1479=phu!$I$34,M1479=phu!$I$35,M1479=phu!$I$36,M1479=phu!$I$37),"Cam Lộc",""),IF(OR(M1479=phu!$I$38,M1479=phu!$I$39,M1479=phu!$I$40,M1479=phu!$I$41,M1479=phu!$I$42,M1479=phu!$I$43,M1479=phu!$I$44),"Cam Thuận",""),IF(OR(M1479=phu!$I$45,M1479=phu!$I$46,M1479=phu!$I$47,M1479=phu!$I$48,M1479=phu!$I$49,M1479=phu!$I$50,M1479=phu!$I$51,M1479=phu!$I$52,M1479=phu!$I$53),"Cam Linh",""),IF(OR(M1479=phu!$I$54,M1479=phu!$I$55,M1479=phu!$I$56,M1479=phu!$I$57,M1479=phu!$I$58,M1479=phu!$I$59,M1479=phu!$I$60,M1479=phu!$I$61,M1479=phu!$I$62),"Cam Lợi",""),IF(OR(M1479=phu!$I$63,M1479=phu!$I$64,M1479=phu!$I$65,M1479=phu!$I$66,M1479=phu!$I$67,M1479=phu!$I$68,M1479=phu!$I$69,M1479=phu!$I$70,M1479=phu!$I$71),"Ba Ngòi",""),IF(OR(M1479=phu!$I$72,M1479=phu!$I$73,M1479=phu!$I$74,M1479=phu!$I$75,M1479=phu!$I$76,M1479=phu!$I$77,M1479=phu!$I$78),"Cam Phước Đông",""),IF(OR(M1479=phu!$I$79,M1479=phu!$I$80,M1479=phu!$I$81,M1479=phu!$I$82,M1479=phu!$I$83,M1479=phu!$I$84),"Cam Thịnh Đông",""),IF(OR(M1479=phu!$I$85,M1479=phu!$I$86,M1479=phu!$I$87,M1479=phu!$I$88),"Cam Thịnh Tây",""),IF(OR(M1479=phu!$I$89,M1479=phu!$I$90),"Cam Lập",""),IF(OR(M1479=phu!$I$91,M1479=phu!$I$92,M1479=phu!$I$93),"Cam Bình",""),IF(OR(M1479=phu!$I$94,M1479=phu!$I$95,M1479=phu!$I$96,M1479=phu!$I$97,M1479=phu!$I$98,M1479=phu!$I$99,M1479=phu!$I$100),"Huyện khác",""),IF(OR(M1479=phu!$I$101,M1479=phu!$I$102),"Tỉnh khác",""))</f>
        <v/>
      </c>
      <c r="O1479" s="814" t="str">
        <f t="shared" ref="O1479:O1542" si="139">CONCATENATE(IF(OR(N1479="Cam Thành Nam",N1479="Cam Nghĩa",N1479="Cam Phúc Bắc"),"Bắc Cam Ranh",""),IF(OR(N1479="Cam Phúc Nam",N1479="Cam Phú",N1479="Cam Lộc"),"Cam Ranh",""),IF(OR(N1479="Cam Thuận",N1479="Cam Linh",N1479="Cam Lợi"),"Cam Linh",""),IF(OR(N1479="Ba Ngòi",N1479="Cam Phước Đông"),"Ba Ngòi",""),IF(OR(N1479="Cam Thịnh Đông",N1479="Cam Thịnh Tây",N1479="Cam Lập",N1479="Cam Bình"),"Nam Cam Ranh",""),IF(N1479="Huyện khác","Huyện khác",""),IF(N1479="Tỉnh khác","Tỉnh khác",""))</f>
        <v/>
      </c>
      <c r="P1479" s="254"/>
      <c r="Q1479" s="254"/>
      <c r="R1479" s="254"/>
      <c r="S1479" s="254"/>
      <c r="T1479" s="254"/>
      <c r="U1479" s="254"/>
      <c r="V1479" s="254"/>
      <c r="W1479" s="254"/>
      <c r="Y1479" s="246" t="str">
        <f t="shared" ref="Y1479:Y1542" si="140">IF(OR(AND(B1479="",C1479="",D1479="",E1479="",F1479="",G1479="",H1479="",I1479="",J1479="",L1479="",M1479="",N1479="",P1479="",Q1479="",R1479="",S1479=""),AND(B1479&lt;&gt;"",C1479&lt;&gt;"",D1479&lt;&gt;"",E1479&lt;&gt;"",F1479&lt;&gt;"",G1479&lt;&gt;"",H1479&lt;&gt;"",J1479&lt;&gt;"",M1479&lt;&gt;"",N1479&lt;&gt;"",P1479&lt;&gt;"",OR(AND(Q1479&lt;&gt;"",R1479=""),AND(Q1479="",R1479&lt;&gt;""),AND(Q1479&lt;&gt;"",R1479&lt;&gt;"")),OR(AND(K1479="X",T1479&lt;&gt;""),AND(K1479="",T1479="")))),"","er")</f>
        <v/>
      </c>
      <c r="Z1479" s="247" t="str">
        <f t="shared" si="138"/>
        <v/>
      </c>
      <c r="AA1479" s="246" t="str">
        <f t="shared" ref="AA1479:AA1542" si="141">IF(OR(AND(Z1479=5,B1479&gt;0),AND(Z1479=6,B1479&gt;1),AND(Z1479=7,B1479&gt;2),AND(Z1479=8,B1479&gt;3),AND(Z1479=9,B1479&gt;4),AND(Z1479=10,B1479&gt;5),AND(Z1479=5,B1479=0,L1479="X"),AND(Z1479=6,B1479=1,L1479="X"),AND(Z1479=7,B1479=2,L1479="X"),AND(Z1479=8,B1479=3,L1479="X"),AND(Z1479=9,B1479=4,L1479="X"),AND(Z1479=10,B1479=5,L1479="X")),"er","")</f>
        <v/>
      </c>
    </row>
    <row r="1480" spans="1:27" x14ac:dyDescent="0.25">
      <c r="A1480" s="248" t="str">
        <f t="shared" ref="A1480:A1543" si="142">IF(OR(A1479="",B1480="",C1480="",D1480="",E1480=""),"",A1479+1)</f>
        <v/>
      </c>
      <c r="B1480" s="249" t="str">
        <f t="shared" ref="B1480:B1543" si="143">IF(C1480="","",VALUE(LEFT(C1480,1)))</f>
        <v/>
      </c>
      <c r="C1480" s="250"/>
      <c r="D1480" s="251"/>
      <c r="E1480" s="241"/>
      <c r="F1480" s="252"/>
      <c r="G1480" s="252"/>
      <c r="H1480" s="253"/>
      <c r="I1480" s="250"/>
      <c r="J1480" s="250"/>
      <c r="K1480" s="270"/>
      <c r="L1480" s="250"/>
      <c r="M1480" s="250"/>
      <c r="N1480" s="553" t="str">
        <f>CONCATENATE(IF(OR(M1480=phu!$I$1,M1480=phu!$I$2,M1480=phu!$I$3),"Cam Thành Nam",""),IF(OR(M1480=phu!$I$4,M1480=phu!$I$5,M1480=phu!$I$6,M1480=phu!$I$7,M1480=phu!$I$8,M1480=phu!$I$9,M1480=phu!$I$10,M1480=phu!$I$11,M1480=phu!$I$12,M1480=phu!$I$13,M1480=phu!$I$14),"Cam Nghĩa",""),IF(OR(M1480=phu!$I$15,M1480=phu!$I$16,M1480=phu!$I$17,M1480=phu!$I$18,M1480=phu!$I$19,M1480=phu!$I$20,M1480=phu!$I$21),"Cam Phúc Bắc",""),IF(OR(M1480=phu!$I$22,M1480=phu!$I$23,M1480=phu!$I$24,M1480=phu!$I$25),"Cam Phúc Nam",""),IF(OR(M1480=phu!$I$26,M1480=phu!$I$27,M1480=phu!$I$28,M1480=phu!$I$29,M1480=phu!$I$30,M1480=phu!$I$31),"Cam Phú",""),IF(OR(M1480=phu!$I$32,M1480=phu!$I$33,M1480=phu!$I$34,M1480=phu!$I$35,M1480=phu!$I$36,M1480=phu!$I$37),"Cam Lộc",""),IF(OR(M1480=phu!$I$38,M1480=phu!$I$39,M1480=phu!$I$40,M1480=phu!$I$41,M1480=phu!$I$42,M1480=phu!$I$43,M1480=phu!$I$44),"Cam Thuận",""),IF(OR(M1480=phu!$I$45,M1480=phu!$I$46,M1480=phu!$I$47,M1480=phu!$I$48,M1480=phu!$I$49,M1480=phu!$I$50,M1480=phu!$I$51,M1480=phu!$I$52,M1480=phu!$I$53),"Cam Linh",""),IF(OR(M1480=phu!$I$54,M1480=phu!$I$55,M1480=phu!$I$56,M1480=phu!$I$57,M1480=phu!$I$58,M1480=phu!$I$59,M1480=phu!$I$60,M1480=phu!$I$61,M1480=phu!$I$62),"Cam Lợi",""),IF(OR(M1480=phu!$I$63,M1480=phu!$I$64,M1480=phu!$I$65,M1480=phu!$I$66,M1480=phu!$I$67,M1480=phu!$I$68,M1480=phu!$I$69,M1480=phu!$I$70,M1480=phu!$I$71),"Ba Ngòi",""),IF(OR(M1480=phu!$I$72,M1480=phu!$I$73,M1480=phu!$I$74,M1480=phu!$I$75,M1480=phu!$I$76,M1480=phu!$I$77,M1480=phu!$I$78),"Cam Phước Đông",""),IF(OR(M1480=phu!$I$79,M1480=phu!$I$80,M1480=phu!$I$81,M1480=phu!$I$82,M1480=phu!$I$83,M1480=phu!$I$84),"Cam Thịnh Đông",""),IF(OR(M1480=phu!$I$85,M1480=phu!$I$86,M1480=phu!$I$87,M1480=phu!$I$88),"Cam Thịnh Tây",""),IF(OR(M1480=phu!$I$89,M1480=phu!$I$90),"Cam Lập",""),IF(OR(M1480=phu!$I$91,M1480=phu!$I$92,M1480=phu!$I$93),"Cam Bình",""),IF(OR(M1480=phu!$I$94,M1480=phu!$I$95,M1480=phu!$I$96,M1480=phu!$I$97,M1480=phu!$I$98,M1480=phu!$I$99,M1480=phu!$I$100),"Huyện khác",""),IF(OR(M1480=phu!$I$101,M1480=phu!$I$102),"Tỉnh khác",""))</f>
        <v/>
      </c>
      <c r="O1480" s="814" t="str">
        <f t="shared" si="139"/>
        <v/>
      </c>
      <c r="P1480" s="254"/>
      <c r="Q1480" s="254"/>
      <c r="R1480" s="254"/>
      <c r="S1480" s="254"/>
      <c r="T1480" s="254"/>
      <c r="U1480" s="254"/>
      <c r="V1480" s="254"/>
      <c r="W1480" s="254"/>
      <c r="Y1480" s="246" t="str">
        <f t="shared" si="140"/>
        <v/>
      </c>
      <c r="Z1480" s="247" t="str">
        <f t="shared" si="138"/>
        <v/>
      </c>
      <c r="AA1480" s="246" t="str">
        <f t="shared" si="141"/>
        <v/>
      </c>
    </row>
    <row r="1481" spans="1:27" x14ac:dyDescent="0.25">
      <c r="A1481" s="248" t="str">
        <f t="shared" si="142"/>
        <v/>
      </c>
      <c r="B1481" s="249" t="str">
        <f t="shared" si="143"/>
        <v/>
      </c>
      <c r="C1481" s="250"/>
      <c r="D1481" s="251"/>
      <c r="E1481" s="241"/>
      <c r="F1481" s="252"/>
      <c r="G1481" s="252"/>
      <c r="H1481" s="253"/>
      <c r="I1481" s="250"/>
      <c r="J1481" s="250"/>
      <c r="K1481" s="270"/>
      <c r="L1481" s="250"/>
      <c r="M1481" s="250"/>
      <c r="N1481" s="553" t="str">
        <f>CONCATENATE(IF(OR(M1481=phu!$I$1,M1481=phu!$I$2,M1481=phu!$I$3),"Cam Thành Nam",""),IF(OR(M1481=phu!$I$4,M1481=phu!$I$5,M1481=phu!$I$6,M1481=phu!$I$7,M1481=phu!$I$8,M1481=phu!$I$9,M1481=phu!$I$10,M1481=phu!$I$11,M1481=phu!$I$12,M1481=phu!$I$13,M1481=phu!$I$14),"Cam Nghĩa",""),IF(OR(M1481=phu!$I$15,M1481=phu!$I$16,M1481=phu!$I$17,M1481=phu!$I$18,M1481=phu!$I$19,M1481=phu!$I$20,M1481=phu!$I$21),"Cam Phúc Bắc",""),IF(OR(M1481=phu!$I$22,M1481=phu!$I$23,M1481=phu!$I$24,M1481=phu!$I$25),"Cam Phúc Nam",""),IF(OR(M1481=phu!$I$26,M1481=phu!$I$27,M1481=phu!$I$28,M1481=phu!$I$29,M1481=phu!$I$30,M1481=phu!$I$31),"Cam Phú",""),IF(OR(M1481=phu!$I$32,M1481=phu!$I$33,M1481=phu!$I$34,M1481=phu!$I$35,M1481=phu!$I$36,M1481=phu!$I$37),"Cam Lộc",""),IF(OR(M1481=phu!$I$38,M1481=phu!$I$39,M1481=phu!$I$40,M1481=phu!$I$41,M1481=phu!$I$42,M1481=phu!$I$43,M1481=phu!$I$44),"Cam Thuận",""),IF(OR(M1481=phu!$I$45,M1481=phu!$I$46,M1481=phu!$I$47,M1481=phu!$I$48,M1481=phu!$I$49,M1481=phu!$I$50,M1481=phu!$I$51,M1481=phu!$I$52,M1481=phu!$I$53),"Cam Linh",""),IF(OR(M1481=phu!$I$54,M1481=phu!$I$55,M1481=phu!$I$56,M1481=phu!$I$57,M1481=phu!$I$58,M1481=phu!$I$59,M1481=phu!$I$60,M1481=phu!$I$61,M1481=phu!$I$62),"Cam Lợi",""),IF(OR(M1481=phu!$I$63,M1481=phu!$I$64,M1481=phu!$I$65,M1481=phu!$I$66,M1481=phu!$I$67,M1481=phu!$I$68,M1481=phu!$I$69,M1481=phu!$I$70,M1481=phu!$I$71),"Ba Ngòi",""),IF(OR(M1481=phu!$I$72,M1481=phu!$I$73,M1481=phu!$I$74,M1481=phu!$I$75,M1481=phu!$I$76,M1481=phu!$I$77,M1481=phu!$I$78),"Cam Phước Đông",""),IF(OR(M1481=phu!$I$79,M1481=phu!$I$80,M1481=phu!$I$81,M1481=phu!$I$82,M1481=phu!$I$83,M1481=phu!$I$84),"Cam Thịnh Đông",""),IF(OR(M1481=phu!$I$85,M1481=phu!$I$86,M1481=phu!$I$87,M1481=phu!$I$88),"Cam Thịnh Tây",""),IF(OR(M1481=phu!$I$89,M1481=phu!$I$90),"Cam Lập",""),IF(OR(M1481=phu!$I$91,M1481=phu!$I$92,M1481=phu!$I$93),"Cam Bình",""),IF(OR(M1481=phu!$I$94,M1481=phu!$I$95,M1481=phu!$I$96,M1481=phu!$I$97,M1481=phu!$I$98,M1481=phu!$I$99,M1481=phu!$I$100),"Huyện khác",""),IF(OR(M1481=phu!$I$101,M1481=phu!$I$102),"Tỉnh khác",""))</f>
        <v/>
      </c>
      <c r="O1481" s="814" t="str">
        <f t="shared" si="139"/>
        <v/>
      </c>
      <c r="P1481" s="254"/>
      <c r="Q1481" s="254"/>
      <c r="R1481" s="254"/>
      <c r="S1481" s="254"/>
      <c r="T1481" s="254"/>
      <c r="U1481" s="254"/>
      <c r="V1481" s="254"/>
      <c r="W1481" s="254"/>
      <c r="Y1481" s="246" t="str">
        <f t="shared" si="140"/>
        <v/>
      </c>
      <c r="Z1481" s="247" t="str">
        <f t="shared" si="138"/>
        <v/>
      </c>
      <c r="AA1481" s="246" t="str">
        <f t="shared" si="141"/>
        <v/>
      </c>
    </row>
    <row r="1482" spans="1:27" x14ac:dyDescent="0.25">
      <c r="A1482" s="248" t="str">
        <f t="shared" si="142"/>
        <v/>
      </c>
      <c r="B1482" s="249" t="str">
        <f t="shared" si="143"/>
        <v/>
      </c>
      <c r="C1482" s="250"/>
      <c r="D1482" s="251"/>
      <c r="E1482" s="241"/>
      <c r="F1482" s="252"/>
      <c r="G1482" s="252"/>
      <c r="H1482" s="253"/>
      <c r="I1482" s="250"/>
      <c r="J1482" s="250"/>
      <c r="K1482" s="270"/>
      <c r="L1482" s="250"/>
      <c r="M1482" s="250"/>
      <c r="N1482" s="553" t="str">
        <f>CONCATENATE(IF(OR(M1482=phu!$I$1,M1482=phu!$I$2,M1482=phu!$I$3),"Cam Thành Nam",""),IF(OR(M1482=phu!$I$4,M1482=phu!$I$5,M1482=phu!$I$6,M1482=phu!$I$7,M1482=phu!$I$8,M1482=phu!$I$9,M1482=phu!$I$10,M1482=phu!$I$11,M1482=phu!$I$12,M1482=phu!$I$13,M1482=phu!$I$14),"Cam Nghĩa",""),IF(OR(M1482=phu!$I$15,M1482=phu!$I$16,M1482=phu!$I$17,M1482=phu!$I$18,M1482=phu!$I$19,M1482=phu!$I$20,M1482=phu!$I$21),"Cam Phúc Bắc",""),IF(OR(M1482=phu!$I$22,M1482=phu!$I$23,M1482=phu!$I$24,M1482=phu!$I$25),"Cam Phúc Nam",""),IF(OR(M1482=phu!$I$26,M1482=phu!$I$27,M1482=phu!$I$28,M1482=phu!$I$29,M1482=phu!$I$30,M1482=phu!$I$31),"Cam Phú",""),IF(OR(M1482=phu!$I$32,M1482=phu!$I$33,M1482=phu!$I$34,M1482=phu!$I$35,M1482=phu!$I$36,M1482=phu!$I$37),"Cam Lộc",""),IF(OR(M1482=phu!$I$38,M1482=phu!$I$39,M1482=phu!$I$40,M1482=phu!$I$41,M1482=phu!$I$42,M1482=phu!$I$43,M1482=phu!$I$44),"Cam Thuận",""),IF(OR(M1482=phu!$I$45,M1482=phu!$I$46,M1482=phu!$I$47,M1482=phu!$I$48,M1482=phu!$I$49,M1482=phu!$I$50,M1482=phu!$I$51,M1482=phu!$I$52,M1482=phu!$I$53),"Cam Linh",""),IF(OR(M1482=phu!$I$54,M1482=phu!$I$55,M1482=phu!$I$56,M1482=phu!$I$57,M1482=phu!$I$58,M1482=phu!$I$59,M1482=phu!$I$60,M1482=phu!$I$61,M1482=phu!$I$62),"Cam Lợi",""),IF(OR(M1482=phu!$I$63,M1482=phu!$I$64,M1482=phu!$I$65,M1482=phu!$I$66,M1482=phu!$I$67,M1482=phu!$I$68,M1482=phu!$I$69,M1482=phu!$I$70,M1482=phu!$I$71),"Ba Ngòi",""),IF(OR(M1482=phu!$I$72,M1482=phu!$I$73,M1482=phu!$I$74,M1482=phu!$I$75,M1482=phu!$I$76,M1482=phu!$I$77,M1482=phu!$I$78),"Cam Phước Đông",""),IF(OR(M1482=phu!$I$79,M1482=phu!$I$80,M1482=phu!$I$81,M1482=phu!$I$82,M1482=phu!$I$83,M1482=phu!$I$84),"Cam Thịnh Đông",""),IF(OR(M1482=phu!$I$85,M1482=phu!$I$86,M1482=phu!$I$87,M1482=phu!$I$88),"Cam Thịnh Tây",""),IF(OR(M1482=phu!$I$89,M1482=phu!$I$90),"Cam Lập",""),IF(OR(M1482=phu!$I$91,M1482=phu!$I$92,M1482=phu!$I$93),"Cam Bình",""),IF(OR(M1482=phu!$I$94,M1482=phu!$I$95,M1482=phu!$I$96,M1482=phu!$I$97,M1482=phu!$I$98,M1482=phu!$I$99,M1482=phu!$I$100),"Huyện khác",""),IF(OR(M1482=phu!$I$101,M1482=phu!$I$102),"Tỉnh khác",""))</f>
        <v/>
      </c>
      <c r="O1482" s="814" t="str">
        <f t="shared" si="139"/>
        <v/>
      </c>
      <c r="P1482" s="254"/>
      <c r="Q1482" s="254"/>
      <c r="R1482" s="254"/>
      <c r="S1482" s="254"/>
      <c r="T1482" s="254"/>
      <c r="U1482" s="254"/>
      <c r="V1482" s="254"/>
      <c r="W1482" s="254"/>
      <c r="Y1482" s="246" t="str">
        <f t="shared" si="140"/>
        <v/>
      </c>
      <c r="Z1482" s="247" t="str">
        <f t="shared" si="138"/>
        <v/>
      </c>
      <c r="AA1482" s="246" t="str">
        <f t="shared" si="141"/>
        <v/>
      </c>
    </row>
    <row r="1483" spans="1:27" x14ac:dyDescent="0.25">
      <c r="A1483" s="248" t="str">
        <f t="shared" si="142"/>
        <v/>
      </c>
      <c r="B1483" s="249" t="str">
        <f t="shared" si="143"/>
        <v/>
      </c>
      <c r="C1483" s="250"/>
      <c r="D1483" s="251"/>
      <c r="E1483" s="241"/>
      <c r="F1483" s="252"/>
      <c r="G1483" s="252"/>
      <c r="H1483" s="253"/>
      <c r="I1483" s="250"/>
      <c r="J1483" s="250"/>
      <c r="K1483" s="270"/>
      <c r="L1483" s="250"/>
      <c r="M1483" s="250"/>
      <c r="N1483" s="553" t="str">
        <f>CONCATENATE(IF(OR(M1483=phu!$I$1,M1483=phu!$I$2,M1483=phu!$I$3),"Cam Thành Nam",""),IF(OR(M1483=phu!$I$4,M1483=phu!$I$5,M1483=phu!$I$6,M1483=phu!$I$7,M1483=phu!$I$8,M1483=phu!$I$9,M1483=phu!$I$10,M1483=phu!$I$11,M1483=phu!$I$12,M1483=phu!$I$13,M1483=phu!$I$14),"Cam Nghĩa",""),IF(OR(M1483=phu!$I$15,M1483=phu!$I$16,M1483=phu!$I$17,M1483=phu!$I$18,M1483=phu!$I$19,M1483=phu!$I$20,M1483=phu!$I$21),"Cam Phúc Bắc",""),IF(OR(M1483=phu!$I$22,M1483=phu!$I$23,M1483=phu!$I$24,M1483=phu!$I$25),"Cam Phúc Nam",""),IF(OR(M1483=phu!$I$26,M1483=phu!$I$27,M1483=phu!$I$28,M1483=phu!$I$29,M1483=phu!$I$30,M1483=phu!$I$31),"Cam Phú",""),IF(OR(M1483=phu!$I$32,M1483=phu!$I$33,M1483=phu!$I$34,M1483=phu!$I$35,M1483=phu!$I$36,M1483=phu!$I$37),"Cam Lộc",""),IF(OR(M1483=phu!$I$38,M1483=phu!$I$39,M1483=phu!$I$40,M1483=phu!$I$41,M1483=phu!$I$42,M1483=phu!$I$43,M1483=phu!$I$44),"Cam Thuận",""),IF(OR(M1483=phu!$I$45,M1483=phu!$I$46,M1483=phu!$I$47,M1483=phu!$I$48,M1483=phu!$I$49,M1483=phu!$I$50,M1483=phu!$I$51,M1483=phu!$I$52,M1483=phu!$I$53),"Cam Linh",""),IF(OR(M1483=phu!$I$54,M1483=phu!$I$55,M1483=phu!$I$56,M1483=phu!$I$57,M1483=phu!$I$58,M1483=phu!$I$59,M1483=phu!$I$60,M1483=phu!$I$61,M1483=phu!$I$62),"Cam Lợi",""),IF(OR(M1483=phu!$I$63,M1483=phu!$I$64,M1483=phu!$I$65,M1483=phu!$I$66,M1483=phu!$I$67,M1483=phu!$I$68,M1483=phu!$I$69,M1483=phu!$I$70,M1483=phu!$I$71),"Ba Ngòi",""),IF(OR(M1483=phu!$I$72,M1483=phu!$I$73,M1483=phu!$I$74,M1483=phu!$I$75,M1483=phu!$I$76,M1483=phu!$I$77,M1483=phu!$I$78),"Cam Phước Đông",""),IF(OR(M1483=phu!$I$79,M1483=phu!$I$80,M1483=phu!$I$81,M1483=phu!$I$82,M1483=phu!$I$83,M1483=phu!$I$84),"Cam Thịnh Đông",""),IF(OR(M1483=phu!$I$85,M1483=phu!$I$86,M1483=phu!$I$87,M1483=phu!$I$88),"Cam Thịnh Tây",""),IF(OR(M1483=phu!$I$89,M1483=phu!$I$90),"Cam Lập",""),IF(OR(M1483=phu!$I$91,M1483=phu!$I$92,M1483=phu!$I$93),"Cam Bình",""),IF(OR(M1483=phu!$I$94,M1483=phu!$I$95,M1483=phu!$I$96,M1483=phu!$I$97,M1483=phu!$I$98,M1483=phu!$I$99,M1483=phu!$I$100),"Huyện khác",""),IF(OR(M1483=phu!$I$101,M1483=phu!$I$102),"Tỉnh khác",""))</f>
        <v/>
      </c>
      <c r="O1483" s="814" t="str">
        <f t="shared" si="139"/>
        <v/>
      </c>
      <c r="P1483" s="254"/>
      <c r="Q1483" s="254"/>
      <c r="R1483" s="254"/>
      <c r="S1483" s="254"/>
      <c r="T1483" s="254"/>
      <c r="U1483" s="254"/>
      <c r="V1483" s="254"/>
      <c r="W1483" s="254"/>
      <c r="Y1483" s="246" t="str">
        <f t="shared" si="140"/>
        <v/>
      </c>
      <c r="Z1483" s="247" t="str">
        <f t="shared" si="138"/>
        <v/>
      </c>
      <c r="AA1483" s="246" t="str">
        <f t="shared" si="141"/>
        <v/>
      </c>
    </row>
    <row r="1484" spans="1:27" x14ac:dyDescent="0.25">
      <c r="A1484" s="248" t="str">
        <f t="shared" si="142"/>
        <v/>
      </c>
      <c r="B1484" s="249" t="str">
        <f t="shared" si="143"/>
        <v/>
      </c>
      <c r="C1484" s="250"/>
      <c r="D1484" s="251"/>
      <c r="E1484" s="241"/>
      <c r="F1484" s="252"/>
      <c r="G1484" s="252"/>
      <c r="H1484" s="253"/>
      <c r="I1484" s="250"/>
      <c r="J1484" s="250"/>
      <c r="K1484" s="270"/>
      <c r="L1484" s="250"/>
      <c r="M1484" s="250"/>
      <c r="N1484" s="553" t="str">
        <f>CONCATENATE(IF(OR(M1484=phu!$I$1,M1484=phu!$I$2,M1484=phu!$I$3),"Cam Thành Nam",""),IF(OR(M1484=phu!$I$4,M1484=phu!$I$5,M1484=phu!$I$6,M1484=phu!$I$7,M1484=phu!$I$8,M1484=phu!$I$9,M1484=phu!$I$10,M1484=phu!$I$11,M1484=phu!$I$12,M1484=phu!$I$13,M1484=phu!$I$14),"Cam Nghĩa",""),IF(OR(M1484=phu!$I$15,M1484=phu!$I$16,M1484=phu!$I$17,M1484=phu!$I$18,M1484=phu!$I$19,M1484=phu!$I$20,M1484=phu!$I$21),"Cam Phúc Bắc",""),IF(OR(M1484=phu!$I$22,M1484=phu!$I$23,M1484=phu!$I$24,M1484=phu!$I$25),"Cam Phúc Nam",""),IF(OR(M1484=phu!$I$26,M1484=phu!$I$27,M1484=phu!$I$28,M1484=phu!$I$29,M1484=phu!$I$30,M1484=phu!$I$31),"Cam Phú",""),IF(OR(M1484=phu!$I$32,M1484=phu!$I$33,M1484=phu!$I$34,M1484=phu!$I$35,M1484=phu!$I$36,M1484=phu!$I$37),"Cam Lộc",""),IF(OR(M1484=phu!$I$38,M1484=phu!$I$39,M1484=phu!$I$40,M1484=phu!$I$41,M1484=phu!$I$42,M1484=phu!$I$43,M1484=phu!$I$44),"Cam Thuận",""),IF(OR(M1484=phu!$I$45,M1484=phu!$I$46,M1484=phu!$I$47,M1484=phu!$I$48,M1484=phu!$I$49,M1484=phu!$I$50,M1484=phu!$I$51,M1484=phu!$I$52,M1484=phu!$I$53),"Cam Linh",""),IF(OR(M1484=phu!$I$54,M1484=phu!$I$55,M1484=phu!$I$56,M1484=phu!$I$57,M1484=phu!$I$58,M1484=phu!$I$59,M1484=phu!$I$60,M1484=phu!$I$61,M1484=phu!$I$62),"Cam Lợi",""),IF(OR(M1484=phu!$I$63,M1484=phu!$I$64,M1484=phu!$I$65,M1484=phu!$I$66,M1484=phu!$I$67,M1484=phu!$I$68,M1484=phu!$I$69,M1484=phu!$I$70,M1484=phu!$I$71),"Ba Ngòi",""),IF(OR(M1484=phu!$I$72,M1484=phu!$I$73,M1484=phu!$I$74,M1484=phu!$I$75,M1484=phu!$I$76,M1484=phu!$I$77,M1484=phu!$I$78),"Cam Phước Đông",""),IF(OR(M1484=phu!$I$79,M1484=phu!$I$80,M1484=phu!$I$81,M1484=phu!$I$82,M1484=phu!$I$83,M1484=phu!$I$84),"Cam Thịnh Đông",""),IF(OR(M1484=phu!$I$85,M1484=phu!$I$86,M1484=phu!$I$87,M1484=phu!$I$88),"Cam Thịnh Tây",""),IF(OR(M1484=phu!$I$89,M1484=phu!$I$90),"Cam Lập",""),IF(OR(M1484=phu!$I$91,M1484=phu!$I$92,M1484=phu!$I$93),"Cam Bình",""),IF(OR(M1484=phu!$I$94,M1484=phu!$I$95,M1484=phu!$I$96,M1484=phu!$I$97,M1484=phu!$I$98,M1484=phu!$I$99,M1484=phu!$I$100),"Huyện khác",""),IF(OR(M1484=phu!$I$101,M1484=phu!$I$102),"Tỉnh khác",""))</f>
        <v/>
      </c>
      <c r="O1484" s="814" t="str">
        <f t="shared" si="139"/>
        <v/>
      </c>
      <c r="P1484" s="254"/>
      <c r="Q1484" s="254"/>
      <c r="R1484" s="254"/>
      <c r="S1484" s="254"/>
      <c r="T1484" s="254"/>
      <c r="U1484" s="254"/>
      <c r="V1484" s="254"/>
      <c r="W1484" s="254"/>
      <c r="Y1484" s="246" t="str">
        <f t="shared" si="140"/>
        <v/>
      </c>
      <c r="Z1484" s="247" t="str">
        <f t="shared" si="138"/>
        <v/>
      </c>
      <c r="AA1484" s="246" t="str">
        <f t="shared" si="141"/>
        <v/>
      </c>
    </row>
    <row r="1485" spans="1:27" x14ac:dyDescent="0.25">
      <c r="A1485" s="248" t="str">
        <f t="shared" si="142"/>
        <v/>
      </c>
      <c r="B1485" s="249" t="str">
        <f t="shared" si="143"/>
        <v/>
      </c>
      <c r="C1485" s="250"/>
      <c r="D1485" s="251"/>
      <c r="E1485" s="241"/>
      <c r="F1485" s="252"/>
      <c r="G1485" s="252"/>
      <c r="H1485" s="253"/>
      <c r="I1485" s="250"/>
      <c r="J1485" s="250"/>
      <c r="K1485" s="270"/>
      <c r="L1485" s="250"/>
      <c r="M1485" s="250"/>
      <c r="N1485" s="553" t="str">
        <f>CONCATENATE(IF(OR(M1485=phu!$I$1,M1485=phu!$I$2,M1485=phu!$I$3),"Cam Thành Nam",""),IF(OR(M1485=phu!$I$4,M1485=phu!$I$5,M1485=phu!$I$6,M1485=phu!$I$7,M1485=phu!$I$8,M1485=phu!$I$9,M1485=phu!$I$10,M1485=phu!$I$11,M1485=phu!$I$12,M1485=phu!$I$13,M1485=phu!$I$14),"Cam Nghĩa",""),IF(OR(M1485=phu!$I$15,M1485=phu!$I$16,M1485=phu!$I$17,M1485=phu!$I$18,M1485=phu!$I$19,M1485=phu!$I$20,M1485=phu!$I$21),"Cam Phúc Bắc",""),IF(OR(M1485=phu!$I$22,M1485=phu!$I$23,M1485=phu!$I$24,M1485=phu!$I$25),"Cam Phúc Nam",""),IF(OR(M1485=phu!$I$26,M1485=phu!$I$27,M1485=phu!$I$28,M1485=phu!$I$29,M1485=phu!$I$30,M1485=phu!$I$31),"Cam Phú",""),IF(OR(M1485=phu!$I$32,M1485=phu!$I$33,M1485=phu!$I$34,M1485=phu!$I$35,M1485=phu!$I$36,M1485=phu!$I$37),"Cam Lộc",""),IF(OR(M1485=phu!$I$38,M1485=phu!$I$39,M1485=phu!$I$40,M1485=phu!$I$41,M1485=phu!$I$42,M1485=phu!$I$43,M1485=phu!$I$44),"Cam Thuận",""),IF(OR(M1485=phu!$I$45,M1485=phu!$I$46,M1485=phu!$I$47,M1485=phu!$I$48,M1485=phu!$I$49,M1485=phu!$I$50,M1485=phu!$I$51,M1485=phu!$I$52,M1485=phu!$I$53),"Cam Linh",""),IF(OR(M1485=phu!$I$54,M1485=phu!$I$55,M1485=phu!$I$56,M1485=phu!$I$57,M1485=phu!$I$58,M1485=phu!$I$59,M1485=phu!$I$60,M1485=phu!$I$61,M1485=phu!$I$62),"Cam Lợi",""),IF(OR(M1485=phu!$I$63,M1485=phu!$I$64,M1485=phu!$I$65,M1485=phu!$I$66,M1485=phu!$I$67,M1485=phu!$I$68,M1485=phu!$I$69,M1485=phu!$I$70,M1485=phu!$I$71),"Ba Ngòi",""),IF(OR(M1485=phu!$I$72,M1485=phu!$I$73,M1485=phu!$I$74,M1485=phu!$I$75,M1485=phu!$I$76,M1485=phu!$I$77,M1485=phu!$I$78),"Cam Phước Đông",""),IF(OR(M1485=phu!$I$79,M1485=phu!$I$80,M1485=phu!$I$81,M1485=phu!$I$82,M1485=phu!$I$83,M1485=phu!$I$84),"Cam Thịnh Đông",""),IF(OR(M1485=phu!$I$85,M1485=phu!$I$86,M1485=phu!$I$87,M1485=phu!$I$88),"Cam Thịnh Tây",""),IF(OR(M1485=phu!$I$89,M1485=phu!$I$90),"Cam Lập",""),IF(OR(M1485=phu!$I$91,M1485=phu!$I$92,M1485=phu!$I$93),"Cam Bình",""),IF(OR(M1485=phu!$I$94,M1485=phu!$I$95,M1485=phu!$I$96,M1485=phu!$I$97,M1485=phu!$I$98,M1485=phu!$I$99,M1485=phu!$I$100),"Huyện khác",""),IF(OR(M1485=phu!$I$101,M1485=phu!$I$102),"Tỉnh khác",""))</f>
        <v/>
      </c>
      <c r="O1485" s="814" t="str">
        <f t="shared" si="139"/>
        <v/>
      </c>
      <c r="P1485" s="254"/>
      <c r="Q1485" s="254"/>
      <c r="R1485" s="254"/>
      <c r="S1485" s="254"/>
      <c r="T1485" s="254"/>
      <c r="U1485" s="254"/>
      <c r="V1485" s="254"/>
      <c r="W1485" s="254"/>
      <c r="Y1485" s="246" t="str">
        <f t="shared" si="140"/>
        <v/>
      </c>
      <c r="Z1485" s="247" t="str">
        <f t="shared" si="138"/>
        <v/>
      </c>
      <c r="AA1485" s="246" t="str">
        <f t="shared" si="141"/>
        <v/>
      </c>
    </row>
    <row r="1486" spans="1:27" x14ac:dyDescent="0.25">
      <c r="A1486" s="248" t="str">
        <f t="shared" si="142"/>
        <v/>
      </c>
      <c r="B1486" s="249" t="str">
        <f t="shared" si="143"/>
        <v/>
      </c>
      <c r="C1486" s="250"/>
      <c r="D1486" s="251"/>
      <c r="E1486" s="241"/>
      <c r="F1486" s="252"/>
      <c r="G1486" s="252"/>
      <c r="H1486" s="253"/>
      <c r="I1486" s="250"/>
      <c r="J1486" s="250"/>
      <c r="K1486" s="270"/>
      <c r="L1486" s="250"/>
      <c r="M1486" s="250"/>
      <c r="N1486" s="553" t="str">
        <f>CONCATENATE(IF(OR(M1486=phu!$I$1,M1486=phu!$I$2,M1486=phu!$I$3),"Cam Thành Nam",""),IF(OR(M1486=phu!$I$4,M1486=phu!$I$5,M1486=phu!$I$6,M1486=phu!$I$7,M1486=phu!$I$8,M1486=phu!$I$9,M1486=phu!$I$10,M1486=phu!$I$11,M1486=phu!$I$12,M1486=phu!$I$13,M1486=phu!$I$14),"Cam Nghĩa",""),IF(OR(M1486=phu!$I$15,M1486=phu!$I$16,M1486=phu!$I$17,M1486=phu!$I$18,M1486=phu!$I$19,M1486=phu!$I$20,M1486=phu!$I$21),"Cam Phúc Bắc",""),IF(OR(M1486=phu!$I$22,M1486=phu!$I$23,M1486=phu!$I$24,M1486=phu!$I$25),"Cam Phúc Nam",""),IF(OR(M1486=phu!$I$26,M1486=phu!$I$27,M1486=phu!$I$28,M1486=phu!$I$29,M1486=phu!$I$30,M1486=phu!$I$31),"Cam Phú",""),IF(OR(M1486=phu!$I$32,M1486=phu!$I$33,M1486=phu!$I$34,M1486=phu!$I$35,M1486=phu!$I$36,M1486=phu!$I$37),"Cam Lộc",""),IF(OR(M1486=phu!$I$38,M1486=phu!$I$39,M1486=phu!$I$40,M1486=phu!$I$41,M1486=phu!$I$42,M1486=phu!$I$43,M1486=phu!$I$44),"Cam Thuận",""),IF(OR(M1486=phu!$I$45,M1486=phu!$I$46,M1486=phu!$I$47,M1486=phu!$I$48,M1486=phu!$I$49,M1486=phu!$I$50,M1486=phu!$I$51,M1486=phu!$I$52,M1486=phu!$I$53),"Cam Linh",""),IF(OR(M1486=phu!$I$54,M1486=phu!$I$55,M1486=phu!$I$56,M1486=phu!$I$57,M1486=phu!$I$58,M1486=phu!$I$59,M1486=phu!$I$60,M1486=phu!$I$61,M1486=phu!$I$62),"Cam Lợi",""),IF(OR(M1486=phu!$I$63,M1486=phu!$I$64,M1486=phu!$I$65,M1486=phu!$I$66,M1486=phu!$I$67,M1486=phu!$I$68,M1486=phu!$I$69,M1486=phu!$I$70,M1486=phu!$I$71),"Ba Ngòi",""),IF(OR(M1486=phu!$I$72,M1486=phu!$I$73,M1486=phu!$I$74,M1486=phu!$I$75,M1486=phu!$I$76,M1486=phu!$I$77,M1486=phu!$I$78),"Cam Phước Đông",""),IF(OR(M1486=phu!$I$79,M1486=phu!$I$80,M1486=phu!$I$81,M1486=phu!$I$82,M1486=phu!$I$83,M1486=phu!$I$84),"Cam Thịnh Đông",""),IF(OR(M1486=phu!$I$85,M1486=phu!$I$86,M1486=phu!$I$87,M1486=phu!$I$88),"Cam Thịnh Tây",""),IF(OR(M1486=phu!$I$89,M1486=phu!$I$90),"Cam Lập",""),IF(OR(M1486=phu!$I$91,M1486=phu!$I$92,M1486=phu!$I$93),"Cam Bình",""),IF(OR(M1486=phu!$I$94,M1486=phu!$I$95,M1486=phu!$I$96,M1486=phu!$I$97,M1486=phu!$I$98,M1486=phu!$I$99,M1486=phu!$I$100),"Huyện khác",""),IF(OR(M1486=phu!$I$101,M1486=phu!$I$102),"Tỉnh khác",""))</f>
        <v/>
      </c>
      <c r="O1486" s="814" t="str">
        <f t="shared" si="139"/>
        <v/>
      </c>
      <c r="P1486" s="254"/>
      <c r="Q1486" s="254"/>
      <c r="R1486" s="254"/>
      <c r="S1486" s="254"/>
      <c r="T1486" s="254"/>
      <c r="U1486" s="254"/>
      <c r="V1486" s="254"/>
      <c r="W1486" s="254"/>
      <c r="Y1486" s="246" t="str">
        <f t="shared" si="140"/>
        <v/>
      </c>
      <c r="Z1486" s="247" t="str">
        <f t="shared" si="138"/>
        <v/>
      </c>
      <c r="AA1486" s="246" t="str">
        <f t="shared" si="141"/>
        <v/>
      </c>
    </row>
    <row r="1487" spans="1:27" x14ac:dyDescent="0.25">
      <c r="A1487" s="248" t="str">
        <f t="shared" si="142"/>
        <v/>
      </c>
      <c r="B1487" s="249" t="str">
        <f t="shared" si="143"/>
        <v/>
      </c>
      <c r="C1487" s="250"/>
      <c r="D1487" s="251"/>
      <c r="E1487" s="241"/>
      <c r="F1487" s="252"/>
      <c r="G1487" s="252"/>
      <c r="H1487" s="253"/>
      <c r="I1487" s="250"/>
      <c r="J1487" s="250"/>
      <c r="K1487" s="270"/>
      <c r="L1487" s="250"/>
      <c r="M1487" s="250"/>
      <c r="N1487" s="553" t="str">
        <f>CONCATENATE(IF(OR(M1487=phu!$I$1,M1487=phu!$I$2,M1487=phu!$I$3),"Cam Thành Nam",""),IF(OR(M1487=phu!$I$4,M1487=phu!$I$5,M1487=phu!$I$6,M1487=phu!$I$7,M1487=phu!$I$8,M1487=phu!$I$9,M1487=phu!$I$10,M1487=phu!$I$11,M1487=phu!$I$12,M1487=phu!$I$13,M1487=phu!$I$14),"Cam Nghĩa",""),IF(OR(M1487=phu!$I$15,M1487=phu!$I$16,M1487=phu!$I$17,M1487=phu!$I$18,M1487=phu!$I$19,M1487=phu!$I$20,M1487=phu!$I$21),"Cam Phúc Bắc",""),IF(OR(M1487=phu!$I$22,M1487=phu!$I$23,M1487=phu!$I$24,M1487=phu!$I$25),"Cam Phúc Nam",""),IF(OR(M1487=phu!$I$26,M1487=phu!$I$27,M1487=phu!$I$28,M1487=phu!$I$29,M1487=phu!$I$30,M1487=phu!$I$31),"Cam Phú",""),IF(OR(M1487=phu!$I$32,M1487=phu!$I$33,M1487=phu!$I$34,M1487=phu!$I$35,M1487=phu!$I$36,M1487=phu!$I$37),"Cam Lộc",""),IF(OR(M1487=phu!$I$38,M1487=phu!$I$39,M1487=phu!$I$40,M1487=phu!$I$41,M1487=phu!$I$42,M1487=phu!$I$43,M1487=phu!$I$44),"Cam Thuận",""),IF(OR(M1487=phu!$I$45,M1487=phu!$I$46,M1487=phu!$I$47,M1487=phu!$I$48,M1487=phu!$I$49,M1487=phu!$I$50,M1487=phu!$I$51,M1487=phu!$I$52,M1487=phu!$I$53),"Cam Linh",""),IF(OR(M1487=phu!$I$54,M1487=phu!$I$55,M1487=phu!$I$56,M1487=phu!$I$57,M1487=phu!$I$58,M1487=phu!$I$59,M1487=phu!$I$60,M1487=phu!$I$61,M1487=phu!$I$62),"Cam Lợi",""),IF(OR(M1487=phu!$I$63,M1487=phu!$I$64,M1487=phu!$I$65,M1487=phu!$I$66,M1487=phu!$I$67,M1487=phu!$I$68,M1487=phu!$I$69,M1487=phu!$I$70,M1487=phu!$I$71),"Ba Ngòi",""),IF(OR(M1487=phu!$I$72,M1487=phu!$I$73,M1487=phu!$I$74,M1487=phu!$I$75,M1487=phu!$I$76,M1487=phu!$I$77,M1487=phu!$I$78),"Cam Phước Đông",""),IF(OR(M1487=phu!$I$79,M1487=phu!$I$80,M1487=phu!$I$81,M1487=phu!$I$82,M1487=phu!$I$83,M1487=phu!$I$84),"Cam Thịnh Đông",""),IF(OR(M1487=phu!$I$85,M1487=phu!$I$86,M1487=phu!$I$87,M1487=phu!$I$88),"Cam Thịnh Tây",""),IF(OR(M1487=phu!$I$89,M1487=phu!$I$90),"Cam Lập",""),IF(OR(M1487=phu!$I$91,M1487=phu!$I$92,M1487=phu!$I$93),"Cam Bình",""),IF(OR(M1487=phu!$I$94,M1487=phu!$I$95,M1487=phu!$I$96,M1487=phu!$I$97,M1487=phu!$I$98,M1487=phu!$I$99,M1487=phu!$I$100),"Huyện khác",""),IF(OR(M1487=phu!$I$101,M1487=phu!$I$102),"Tỉnh khác",""))</f>
        <v/>
      </c>
      <c r="O1487" s="814" t="str">
        <f t="shared" si="139"/>
        <v/>
      </c>
      <c r="P1487" s="254"/>
      <c r="Q1487" s="254"/>
      <c r="R1487" s="254"/>
      <c r="S1487" s="254"/>
      <c r="T1487" s="254"/>
      <c r="U1487" s="254"/>
      <c r="V1487" s="254"/>
      <c r="W1487" s="254"/>
      <c r="Y1487" s="246" t="str">
        <f t="shared" si="140"/>
        <v/>
      </c>
      <c r="Z1487" s="247" t="str">
        <f t="shared" si="138"/>
        <v/>
      </c>
      <c r="AA1487" s="246" t="str">
        <f t="shared" si="141"/>
        <v/>
      </c>
    </row>
    <row r="1488" spans="1:27" x14ac:dyDescent="0.25">
      <c r="A1488" s="248" t="str">
        <f t="shared" si="142"/>
        <v/>
      </c>
      <c r="B1488" s="249" t="str">
        <f t="shared" si="143"/>
        <v/>
      </c>
      <c r="C1488" s="250"/>
      <c r="D1488" s="251"/>
      <c r="E1488" s="241"/>
      <c r="F1488" s="252"/>
      <c r="G1488" s="252"/>
      <c r="H1488" s="253"/>
      <c r="I1488" s="250"/>
      <c r="J1488" s="250"/>
      <c r="K1488" s="270"/>
      <c r="L1488" s="250"/>
      <c r="M1488" s="250"/>
      <c r="N1488" s="553" t="str">
        <f>CONCATENATE(IF(OR(M1488=phu!$I$1,M1488=phu!$I$2,M1488=phu!$I$3),"Cam Thành Nam",""),IF(OR(M1488=phu!$I$4,M1488=phu!$I$5,M1488=phu!$I$6,M1488=phu!$I$7,M1488=phu!$I$8,M1488=phu!$I$9,M1488=phu!$I$10,M1488=phu!$I$11,M1488=phu!$I$12,M1488=phu!$I$13,M1488=phu!$I$14),"Cam Nghĩa",""),IF(OR(M1488=phu!$I$15,M1488=phu!$I$16,M1488=phu!$I$17,M1488=phu!$I$18,M1488=phu!$I$19,M1488=phu!$I$20,M1488=phu!$I$21),"Cam Phúc Bắc",""),IF(OR(M1488=phu!$I$22,M1488=phu!$I$23,M1488=phu!$I$24,M1488=phu!$I$25),"Cam Phúc Nam",""),IF(OR(M1488=phu!$I$26,M1488=phu!$I$27,M1488=phu!$I$28,M1488=phu!$I$29,M1488=phu!$I$30,M1488=phu!$I$31),"Cam Phú",""),IF(OR(M1488=phu!$I$32,M1488=phu!$I$33,M1488=phu!$I$34,M1488=phu!$I$35,M1488=phu!$I$36,M1488=phu!$I$37),"Cam Lộc",""),IF(OR(M1488=phu!$I$38,M1488=phu!$I$39,M1488=phu!$I$40,M1488=phu!$I$41,M1488=phu!$I$42,M1488=phu!$I$43,M1488=phu!$I$44),"Cam Thuận",""),IF(OR(M1488=phu!$I$45,M1488=phu!$I$46,M1488=phu!$I$47,M1488=phu!$I$48,M1488=phu!$I$49,M1488=phu!$I$50,M1488=phu!$I$51,M1488=phu!$I$52,M1488=phu!$I$53),"Cam Linh",""),IF(OR(M1488=phu!$I$54,M1488=phu!$I$55,M1488=phu!$I$56,M1488=phu!$I$57,M1488=phu!$I$58,M1488=phu!$I$59,M1488=phu!$I$60,M1488=phu!$I$61,M1488=phu!$I$62),"Cam Lợi",""),IF(OR(M1488=phu!$I$63,M1488=phu!$I$64,M1488=phu!$I$65,M1488=phu!$I$66,M1488=phu!$I$67,M1488=phu!$I$68,M1488=phu!$I$69,M1488=phu!$I$70,M1488=phu!$I$71),"Ba Ngòi",""),IF(OR(M1488=phu!$I$72,M1488=phu!$I$73,M1488=phu!$I$74,M1488=phu!$I$75,M1488=phu!$I$76,M1488=phu!$I$77,M1488=phu!$I$78),"Cam Phước Đông",""),IF(OR(M1488=phu!$I$79,M1488=phu!$I$80,M1488=phu!$I$81,M1488=phu!$I$82,M1488=phu!$I$83,M1488=phu!$I$84),"Cam Thịnh Đông",""),IF(OR(M1488=phu!$I$85,M1488=phu!$I$86,M1488=phu!$I$87,M1488=phu!$I$88),"Cam Thịnh Tây",""),IF(OR(M1488=phu!$I$89,M1488=phu!$I$90),"Cam Lập",""),IF(OR(M1488=phu!$I$91,M1488=phu!$I$92,M1488=phu!$I$93),"Cam Bình",""),IF(OR(M1488=phu!$I$94,M1488=phu!$I$95,M1488=phu!$I$96,M1488=phu!$I$97,M1488=phu!$I$98,M1488=phu!$I$99,M1488=phu!$I$100),"Huyện khác",""),IF(OR(M1488=phu!$I$101,M1488=phu!$I$102),"Tỉnh khác",""))</f>
        <v/>
      </c>
      <c r="O1488" s="814" t="str">
        <f t="shared" si="139"/>
        <v/>
      </c>
      <c r="P1488" s="254"/>
      <c r="Q1488" s="254"/>
      <c r="R1488" s="254"/>
      <c r="S1488" s="254"/>
      <c r="T1488" s="254"/>
      <c r="U1488" s="254"/>
      <c r="V1488" s="254"/>
      <c r="W1488" s="254"/>
      <c r="Y1488" s="246" t="str">
        <f t="shared" si="140"/>
        <v/>
      </c>
      <c r="Z1488" s="247" t="str">
        <f t="shared" si="138"/>
        <v/>
      </c>
      <c r="AA1488" s="246" t="str">
        <f t="shared" si="141"/>
        <v/>
      </c>
    </row>
    <row r="1489" spans="1:27" x14ac:dyDescent="0.25">
      <c r="A1489" s="248" t="str">
        <f t="shared" si="142"/>
        <v/>
      </c>
      <c r="B1489" s="249" t="str">
        <f t="shared" si="143"/>
        <v/>
      </c>
      <c r="C1489" s="250"/>
      <c r="D1489" s="251"/>
      <c r="E1489" s="241"/>
      <c r="F1489" s="252"/>
      <c r="G1489" s="252"/>
      <c r="H1489" s="253"/>
      <c r="I1489" s="250"/>
      <c r="J1489" s="250"/>
      <c r="K1489" s="270"/>
      <c r="L1489" s="250"/>
      <c r="M1489" s="250"/>
      <c r="N1489" s="553" t="str">
        <f>CONCATENATE(IF(OR(M1489=phu!$I$1,M1489=phu!$I$2,M1489=phu!$I$3),"Cam Thành Nam",""),IF(OR(M1489=phu!$I$4,M1489=phu!$I$5,M1489=phu!$I$6,M1489=phu!$I$7,M1489=phu!$I$8,M1489=phu!$I$9,M1489=phu!$I$10,M1489=phu!$I$11,M1489=phu!$I$12,M1489=phu!$I$13,M1489=phu!$I$14),"Cam Nghĩa",""),IF(OR(M1489=phu!$I$15,M1489=phu!$I$16,M1489=phu!$I$17,M1489=phu!$I$18,M1489=phu!$I$19,M1489=phu!$I$20,M1489=phu!$I$21),"Cam Phúc Bắc",""),IF(OR(M1489=phu!$I$22,M1489=phu!$I$23,M1489=phu!$I$24,M1489=phu!$I$25),"Cam Phúc Nam",""),IF(OR(M1489=phu!$I$26,M1489=phu!$I$27,M1489=phu!$I$28,M1489=phu!$I$29,M1489=phu!$I$30,M1489=phu!$I$31),"Cam Phú",""),IF(OR(M1489=phu!$I$32,M1489=phu!$I$33,M1489=phu!$I$34,M1489=phu!$I$35,M1489=phu!$I$36,M1489=phu!$I$37),"Cam Lộc",""),IF(OR(M1489=phu!$I$38,M1489=phu!$I$39,M1489=phu!$I$40,M1489=phu!$I$41,M1489=phu!$I$42,M1489=phu!$I$43,M1489=phu!$I$44),"Cam Thuận",""),IF(OR(M1489=phu!$I$45,M1489=phu!$I$46,M1489=phu!$I$47,M1489=phu!$I$48,M1489=phu!$I$49,M1489=phu!$I$50,M1489=phu!$I$51,M1489=phu!$I$52,M1489=phu!$I$53),"Cam Linh",""),IF(OR(M1489=phu!$I$54,M1489=phu!$I$55,M1489=phu!$I$56,M1489=phu!$I$57,M1489=phu!$I$58,M1489=phu!$I$59,M1489=phu!$I$60,M1489=phu!$I$61,M1489=phu!$I$62),"Cam Lợi",""),IF(OR(M1489=phu!$I$63,M1489=phu!$I$64,M1489=phu!$I$65,M1489=phu!$I$66,M1489=phu!$I$67,M1489=phu!$I$68,M1489=phu!$I$69,M1489=phu!$I$70,M1489=phu!$I$71),"Ba Ngòi",""),IF(OR(M1489=phu!$I$72,M1489=phu!$I$73,M1489=phu!$I$74,M1489=phu!$I$75,M1489=phu!$I$76,M1489=phu!$I$77,M1489=phu!$I$78),"Cam Phước Đông",""),IF(OR(M1489=phu!$I$79,M1489=phu!$I$80,M1489=phu!$I$81,M1489=phu!$I$82,M1489=phu!$I$83,M1489=phu!$I$84),"Cam Thịnh Đông",""),IF(OR(M1489=phu!$I$85,M1489=phu!$I$86,M1489=phu!$I$87,M1489=phu!$I$88),"Cam Thịnh Tây",""),IF(OR(M1489=phu!$I$89,M1489=phu!$I$90),"Cam Lập",""),IF(OR(M1489=phu!$I$91,M1489=phu!$I$92,M1489=phu!$I$93),"Cam Bình",""),IF(OR(M1489=phu!$I$94,M1489=phu!$I$95,M1489=phu!$I$96,M1489=phu!$I$97,M1489=phu!$I$98,M1489=phu!$I$99,M1489=phu!$I$100),"Huyện khác",""),IF(OR(M1489=phu!$I$101,M1489=phu!$I$102),"Tỉnh khác",""))</f>
        <v/>
      </c>
      <c r="O1489" s="814" t="str">
        <f t="shared" si="139"/>
        <v/>
      </c>
      <c r="P1489" s="254"/>
      <c r="Q1489" s="254"/>
      <c r="R1489" s="254"/>
      <c r="S1489" s="254"/>
      <c r="T1489" s="254"/>
      <c r="U1489" s="254"/>
      <c r="V1489" s="254"/>
      <c r="W1489" s="254"/>
      <c r="Y1489" s="246" t="str">
        <f t="shared" si="140"/>
        <v/>
      </c>
      <c r="Z1489" s="247" t="str">
        <f t="shared" si="138"/>
        <v/>
      </c>
      <c r="AA1489" s="246" t="str">
        <f t="shared" si="141"/>
        <v/>
      </c>
    </row>
    <row r="1490" spans="1:27" x14ac:dyDescent="0.25">
      <c r="A1490" s="248" t="str">
        <f t="shared" si="142"/>
        <v/>
      </c>
      <c r="B1490" s="249" t="str">
        <f t="shared" si="143"/>
        <v/>
      </c>
      <c r="C1490" s="250"/>
      <c r="D1490" s="251"/>
      <c r="E1490" s="241"/>
      <c r="F1490" s="252"/>
      <c r="G1490" s="252"/>
      <c r="H1490" s="253"/>
      <c r="I1490" s="250"/>
      <c r="J1490" s="250"/>
      <c r="K1490" s="270"/>
      <c r="L1490" s="250"/>
      <c r="M1490" s="250"/>
      <c r="N1490" s="553" t="str">
        <f>CONCATENATE(IF(OR(M1490=phu!$I$1,M1490=phu!$I$2,M1490=phu!$I$3),"Cam Thành Nam",""),IF(OR(M1490=phu!$I$4,M1490=phu!$I$5,M1490=phu!$I$6,M1490=phu!$I$7,M1490=phu!$I$8,M1490=phu!$I$9,M1490=phu!$I$10,M1490=phu!$I$11,M1490=phu!$I$12,M1490=phu!$I$13,M1490=phu!$I$14),"Cam Nghĩa",""),IF(OR(M1490=phu!$I$15,M1490=phu!$I$16,M1490=phu!$I$17,M1490=phu!$I$18,M1490=phu!$I$19,M1490=phu!$I$20,M1490=phu!$I$21),"Cam Phúc Bắc",""),IF(OR(M1490=phu!$I$22,M1490=phu!$I$23,M1490=phu!$I$24,M1490=phu!$I$25),"Cam Phúc Nam",""),IF(OR(M1490=phu!$I$26,M1490=phu!$I$27,M1490=phu!$I$28,M1490=phu!$I$29,M1490=phu!$I$30,M1490=phu!$I$31),"Cam Phú",""),IF(OR(M1490=phu!$I$32,M1490=phu!$I$33,M1490=phu!$I$34,M1490=phu!$I$35,M1490=phu!$I$36,M1490=phu!$I$37),"Cam Lộc",""),IF(OR(M1490=phu!$I$38,M1490=phu!$I$39,M1490=phu!$I$40,M1490=phu!$I$41,M1490=phu!$I$42,M1490=phu!$I$43,M1490=phu!$I$44),"Cam Thuận",""),IF(OR(M1490=phu!$I$45,M1490=phu!$I$46,M1490=phu!$I$47,M1490=phu!$I$48,M1490=phu!$I$49,M1490=phu!$I$50,M1490=phu!$I$51,M1490=phu!$I$52,M1490=phu!$I$53),"Cam Linh",""),IF(OR(M1490=phu!$I$54,M1490=phu!$I$55,M1490=phu!$I$56,M1490=phu!$I$57,M1490=phu!$I$58,M1490=phu!$I$59,M1490=phu!$I$60,M1490=phu!$I$61,M1490=phu!$I$62),"Cam Lợi",""),IF(OR(M1490=phu!$I$63,M1490=phu!$I$64,M1490=phu!$I$65,M1490=phu!$I$66,M1490=phu!$I$67,M1490=phu!$I$68,M1490=phu!$I$69,M1490=phu!$I$70,M1490=phu!$I$71),"Ba Ngòi",""),IF(OR(M1490=phu!$I$72,M1490=phu!$I$73,M1490=phu!$I$74,M1490=phu!$I$75,M1490=phu!$I$76,M1490=phu!$I$77,M1490=phu!$I$78),"Cam Phước Đông",""),IF(OR(M1490=phu!$I$79,M1490=phu!$I$80,M1490=phu!$I$81,M1490=phu!$I$82,M1490=phu!$I$83,M1490=phu!$I$84),"Cam Thịnh Đông",""),IF(OR(M1490=phu!$I$85,M1490=phu!$I$86,M1490=phu!$I$87,M1490=phu!$I$88),"Cam Thịnh Tây",""),IF(OR(M1490=phu!$I$89,M1490=phu!$I$90),"Cam Lập",""),IF(OR(M1490=phu!$I$91,M1490=phu!$I$92,M1490=phu!$I$93),"Cam Bình",""),IF(OR(M1490=phu!$I$94,M1490=phu!$I$95,M1490=phu!$I$96,M1490=phu!$I$97,M1490=phu!$I$98,M1490=phu!$I$99,M1490=phu!$I$100),"Huyện khác",""),IF(OR(M1490=phu!$I$101,M1490=phu!$I$102),"Tỉnh khác",""))</f>
        <v/>
      </c>
      <c r="O1490" s="814" t="str">
        <f t="shared" si="139"/>
        <v/>
      </c>
      <c r="P1490" s="254"/>
      <c r="Q1490" s="254"/>
      <c r="R1490" s="254"/>
      <c r="S1490" s="254"/>
      <c r="T1490" s="254"/>
      <c r="U1490" s="254"/>
      <c r="V1490" s="254"/>
      <c r="W1490" s="254"/>
      <c r="Y1490" s="246" t="str">
        <f t="shared" si="140"/>
        <v/>
      </c>
      <c r="Z1490" s="247" t="str">
        <f t="shared" si="138"/>
        <v/>
      </c>
      <c r="AA1490" s="246" t="str">
        <f t="shared" si="141"/>
        <v/>
      </c>
    </row>
    <row r="1491" spans="1:27" x14ac:dyDescent="0.25">
      <c r="A1491" s="248" t="str">
        <f t="shared" si="142"/>
        <v/>
      </c>
      <c r="B1491" s="249" t="str">
        <f t="shared" si="143"/>
        <v/>
      </c>
      <c r="C1491" s="250"/>
      <c r="D1491" s="251"/>
      <c r="E1491" s="241"/>
      <c r="F1491" s="252"/>
      <c r="G1491" s="252"/>
      <c r="H1491" s="253"/>
      <c r="I1491" s="250"/>
      <c r="J1491" s="250"/>
      <c r="K1491" s="270"/>
      <c r="L1491" s="250"/>
      <c r="M1491" s="250"/>
      <c r="N1491" s="553" t="str">
        <f>CONCATENATE(IF(OR(M1491=phu!$I$1,M1491=phu!$I$2,M1491=phu!$I$3),"Cam Thành Nam",""),IF(OR(M1491=phu!$I$4,M1491=phu!$I$5,M1491=phu!$I$6,M1491=phu!$I$7,M1491=phu!$I$8,M1491=phu!$I$9,M1491=phu!$I$10,M1491=phu!$I$11,M1491=phu!$I$12,M1491=phu!$I$13,M1491=phu!$I$14),"Cam Nghĩa",""),IF(OR(M1491=phu!$I$15,M1491=phu!$I$16,M1491=phu!$I$17,M1491=phu!$I$18,M1491=phu!$I$19,M1491=phu!$I$20,M1491=phu!$I$21),"Cam Phúc Bắc",""),IF(OR(M1491=phu!$I$22,M1491=phu!$I$23,M1491=phu!$I$24,M1491=phu!$I$25),"Cam Phúc Nam",""),IF(OR(M1491=phu!$I$26,M1491=phu!$I$27,M1491=phu!$I$28,M1491=phu!$I$29,M1491=phu!$I$30,M1491=phu!$I$31),"Cam Phú",""),IF(OR(M1491=phu!$I$32,M1491=phu!$I$33,M1491=phu!$I$34,M1491=phu!$I$35,M1491=phu!$I$36,M1491=phu!$I$37),"Cam Lộc",""),IF(OR(M1491=phu!$I$38,M1491=phu!$I$39,M1491=phu!$I$40,M1491=phu!$I$41,M1491=phu!$I$42,M1491=phu!$I$43,M1491=phu!$I$44),"Cam Thuận",""),IF(OR(M1491=phu!$I$45,M1491=phu!$I$46,M1491=phu!$I$47,M1491=phu!$I$48,M1491=phu!$I$49,M1491=phu!$I$50,M1491=phu!$I$51,M1491=phu!$I$52,M1491=phu!$I$53),"Cam Linh",""),IF(OR(M1491=phu!$I$54,M1491=phu!$I$55,M1491=phu!$I$56,M1491=phu!$I$57,M1491=phu!$I$58,M1491=phu!$I$59,M1491=phu!$I$60,M1491=phu!$I$61,M1491=phu!$I$62),"Cam Lợi",""),IF(OR(M1491=phu!$I$63,M1491=phu!$I$64,M1491=phu!$I$65,M1491=phu!$I$66,M1491=phu!$I$67,M1491=phu!$I$68,M1491=phu!$I$69,M1491=phu!$I$70,M1491=phu!$I$71),"Ba Ngòi",""),IF(OR(M1491=phu!$I$72,M1491=phu!$I$73,M1491=phu!$I$74,M1491=phu!$I$75,M1491=phu!$I$76,M1491=phu!$I$77,M1491=phu!$I$78),"Cam Phước Đông",""),IF(OR(M1491=phu!$I$79,M1491=phu!$I$80,M1491=phu!$I$81,M1491=phu!$I$82,M1491=phu!$I$83,M1491=phu!$I$84),"Cam Thịnh Đông",""),IF(OR(M1491=phu!$I$85,M1491=phu!$I$86,M1491=phu!$I$87,M1491=phu!$I$88),"Cam Thịnh Tây",""),IF(OR(M1491=phu!$I$89,M1491=phu!$I$90),"Cam Lập",""),IF(OR(M1491=phu!$I$91,M1491=phu!$I$92,M1491=phu!$I$93),"Cam Bình",""),IF(OR(M1491=phu!$I$94,M1491=phu!$I$95,M1491=phu!$I$96,M1491=phu!$I$97,M1491=phu!$I$98,M1491=phu!$I$99,M1491=phu!$I$100),"Huyện khác",""),IF(OR(M1491=phu!$I$101,M1491=phu!$I$102),"Tỉnh khác",""))</f>
        <v/>
      </c>
      <c r="O1491" s="814" t="str">
        <f t="shared" si="139"/>
        <v/>
      </c>
      <c r="P1491" s="254"/>
      <c r="Q1491" s="254"/>
      <c r="R1491" s="254"/>
      <c r="S1491" s="254"/>
      <c r="T1491" s="254"/>
      <c r="U1491" s="254"/>
      <c r="V1491" s="254"/>
      <c r="W1491" s="254"/>
      <c r="Y1491" s="246" t="str">
        <f t="shared" si="140"/>
        <v/>
      </c>
      <c r="Z1491" s="247" t="str">
        <f t="shared" si="138"/>
        <v/>
      </c>
      <c r="AA1491" s="246" t="str">
        <f t="shared" si="141"/>
        <v/>
      </c>
    </row>
    <row r="1492" spans="1:27" x14ac:dyDescent="0.25">
      <c r="A1492" s="248" t="str">
        <f t="shared" si="142"/>
        <v/>
      </c>
      <c r="B1492" s="249" t="str">
        <f t="shared" si="143"/>
        <v/>
      </c>
      <c r="C1492" s="250"/>
      <c r="D1492" s="251"/>
      <c r="E1492" s="241"/>
      <c r="F1492" s="252"/>
      <c r="G1492" s="252"/>
      <c r="H1492" s="253"/>
      <c r="I1492" s="250"/>
      <c r="J1492" s="250"/>
      <c r="K1492" s="270"/>
      <c r="L1492" s="250"/>
      <c r="M1492" s="250"/>
      <c r="N1492" s="553" t="str">
        <f>CONCATENATE(IF(OR(M1492=phu!$I$1,M1492=phu!$I$2,M1492=phu!$I$3),"Cam Thành Nam",""),IF(OR(M1492=phu!$I$4,M1492=phu!$I$5,M1492=phu!$I$6,M1492=phu!$I$7,M1492=phu!$I$8,M1492=phu!$I$9,M1492=phu!$I$10,M1492=phu!$I$11,M1492=phu!$I$12,M1492=phu!$I$13,M1492=phu!$I$14),"Cam Nghĩa",""),IF(OR(M1492=phu!$I$15,M1492=phu!$I$16,M1492=phu!$I$17,M1492=phu!$I$18,M1492=phu!$I$19,M1492=phu!$I$20,M1492=phu!$I$21),"Cam Phúc Bắc",""),IF(OR(M1492=phu!$I$22,M1492=phu!$I$23,M1492=phu!$I$24,M1492=phu!$I$25),"Cam Phúc Nam",""),IF(OR(M1492=phu!$I$26,M1492=phu!$I$27,M1492=phu!$I$28,M1492=phu!$I$29,M1492=phu!$I$30,M1492=phu!$I$31),"Cam Phú",""),IF(OR(M1492=phu!$I$32,M1492=phu!$I$33,M1492=phu!$I$34,M1492=phu!$I$35,M1492=phu!$I$36,M1492=phu!$I$37),"Cam Lộc",""),IF(OR(M1492=phu!$I$38,M1492=phu!$I$39,M1492=phu!$I$40,M1492=phu!$I$41,M1492=phu!$I$42,M1492=phu!$I$43,M1492=phu!$I$44),"Cam Thuận",""),IF(OR(M1492=phu!$I$45,M1492=phu!$I$46,M1492=phu!$I$47,M1492=phu!$I$48,M1492=phu!$I$49,M1492=phu!$I$50,M1492=phu!$I$51,M1492=phu!$I$52,M1492=phu!$I$53),"Cam Linh",""),IF(OR(M1492=phu!$I$54,M1492=phu!$I$55,M1492=phu!$I$56,M1492=phu!$I$57,M1492=phu!$I$58,M1492=phu!$I$59,M1492=phu!$I$60,M1492=phu!$I$61,M1492=phu!$I$62),"Cam Lợi",""),IF(OR(M1492=phu!$I$63,M1492=phu!$I$64,M1492=phu!$I$65,M1492=phu!$I$66,M1492=phu!$I$67,M1492=phu!$I$68,M1492=phu!$I$69,M1492=phu!$I$70,M1492=phu!$I$71),"Ba Ngòi",""),IF(OR(M1492=phu!$I$72,M1492=phu!$I$73,M1492=phu!$I$74,M1492=phu!$I$75,M1492=phu!$I$76,M1492=phu!$I$77,M1492=phu!$I$78),"Cam Phước Đông",""),IF(OR(M1492=phu!$I$79,M1492=phu!$I$80,M1492=phu!$I$81,M1492=phu!$I$82,M1492=phu!$I$83,M1492=phu!$I$84),"Cam Thịnh Đông",""),IF(OR(M1492=phu!$I$85,M1492=phu!$I$86,M1492=phu!$I$87,M1492=phu!$I$88),"Cam Thịnh Tây",""),IF(OR(M1492=phu!$I$89,M1492=phu!$I$90),"Cam Lập",""),IF(OR(M1492=phu!$I$91,M1492=phu!$I$92,M1492=phu!$I$93),"Cam Bình",""),IF(OR(M1492=phu!$I$94,M1492=phu!$I$95,M1492=phu!$I$96,M1492=phu!$I$97,M1492=phu!$I$98,M1492=phu!$I$99,M1492=phu!$I$100),"Huyện khác",""),IF(OR(M1492=phu!$I$101,M1492=phu!$I$102),"Tỉnh khác",""))</f>
        <v/>
      </c>
      <c r="O1492" s="814" t="str">
        <f t="shared" si="139"/>
        <v/>
      </c>
      <c r="P1492" s="254"/>
      <c r="Q1492" s="254"/>
      <c r="R1492" s="254"/>
      <c r="S1492" s="254"/>
      <c r="T1492" s="254"/>
      <c r="U1492" s="254"/>
      <c r="V1492" s="254"/>
      <c r="W1492" s="254"/>
      <c r="Y1492" s="246" t="str">
        <f t="shared" si="140"/>
        <v/>
      </c>
      <c r="Z1492" s="247" t="str">
        <f t="shared" si="138"/>
        <v/>
      </c>
      <c r="AA1492" s="246" t="str">
        <f t="shared" si="141"/>
        <v/>
      </c>
    </row>
    <row r="1493" spans="1:27" x14ac:dyDescent="0.25">
      <c r="A1493" s="248" t="str">
        <f t="shared" si="142"/>
        <v/>
      </c>
      <c r="B1493" s="249" t="str">
        <f t="shared" si="143"/>
        <v/>
      </c>
      <c r="C1493" s="250"/>
      <c r="D1493" s="251"/>
      <c r="E1493" s="241"/>
      <c r="F1493" s="252"/>
      <c r="G1493" s="252"/>
      <c r="H1493" s="253"/>
      <c r="I1493" s="250"/>
      <c r="J1493" s="250"/>
      <c r="K1493" s="270"/>
      <c r="L1493" s="250"/>
      <c r="M1493" s="250"/>
      <c r="N1493" s="553" t="str">
        <f>CONCATENATE(IF(OR(M1493=phu!$I$1,M1493=phu!$I$2,M1493=phu!$I$3),"Cam Thành Nam",""),IF(OR(M1493=phu!$I$4,M1493=phu!$I$5,M1493=phu!$I$6,M1493=phu!$I$7,M1493=phu!$I$8,M1493=phu!$I$9,M1493=phu!$I$10,M1493=phu!$I$11,M1493=phu!$I$12,M1493=phu!$I$13,M1493=phu!$I$14),"Cam Nghĩa",""),IF(OR(M1493=phu!$I$15,M1493=phu!$I$16,M1493=phu!$I$17,M1493=phu!$I$18,M1493=phu!$I$19,M1493=phu!$I$20,M1493=phu!$I$21),"Cam Phúc Bắc",""),IF(OR(M1493=phu!$I$22,M1493=phu!$I$23,M1493=phu!$I$24,M1493=phu!$I$25),"Cam Phúc Nam",""),IF(OR(M1493=phu!$I$26,M1493=phu!$I$27,M1493=phu!$I$28,M1493=phu!$I$29,M1493=phu!$I$30,M1493=phu!$I$31),"Cam Phú",""),IF(OR(M1493=phu!$I$32,M1493=phu!$I$33,M1493=phu!$I$34,M1493=phu!$I$35,M1493=phu!$I$36,M1493=phu!$I$37),"Cam Lộc",""),IF(OR(M1493=phu!$I$38,M1493=phu!$I$39,M1493=phu!$I$40,M1493=phu!$I$41,M1493=phu!$I$42,M1493=phu!$I$43,M1493=phu!$I$44),"Cam Thuận",""),IF(OR(M1493=phu!$I$45,M1493=phu!$I$46,M1493=phu!$I$47,M1493=phu!$I$48,M1493=phu!$I$49,M1493=phu!$I$50,M1493=phu!$I$51,M1493=phu!$I$52,M1493=phu!$I$53),"Cam Linh",""),IF(OR(M1493=phu!$I$54,M1493=phu!$I$55,M1493=phu!$I$56,M1493=phu!$I$57,M1493=phu!$I$58,M1493=phu!$I$59,M1493=phu!$I$60,M1493=phu!$I$61,M1493=phu!$I$62),"Cam Lợi",""),IF(OR(M1493=phu!$I$63,M1493=phu!$I$64,M1493=phu!$I$65,M1493=phu!$I$66,M1493=phu!$I$67,M1493=phu!$I$68,M1493=phu!$I$69,M1493=phu!$I$70,M1493=phu!$I$71),"Ba Ngòi",""),IF(OR(M1493=phu!$I$72,M1493=phu!$I$73,M1493=phu!$I$74,M1493=phu!$I$75,M1493=phu!$I$76,M1493=phu!$I$77,M1493=phu!$I$78),"Cam Phước Đông",""),IF(OR(M1493=phu!$I$79,M1493=phu!$I$80,M1493=phu!$I$81,M1493=phu!$I$82,M1493=phu!$I$83,M1493=phu!$I$84),"Cam Thịnh Đông",""),IF(OR(M1493=phu!$I$85,M1493=phu!$I$86,M1493=phu!$I$87,M1493=phu!$I$88),"Cam Thịnh Tây",""),IF(OR(M1493=phu!$I$89,M1493=phu!$I$90),"Cam Lập",""),IF(OR(M1493=phu!$I$91,M1493=phu!$I$92,M1493=phu!$I$93),"Cam Bình",""),IF(OR(M1493=phu!$I$94,M1493=phu!$I$95,M1493=phu!$I$96,M1493=phu!$I$97,M1493=phu!$I$98,M1493=phu!$I$99,M1493=phu!$I$100),"Huyện khác",""),IF(OR(M1493=phu!$I$101,M1493=phu!$I$102),"Tỉnh khác",""))</f>
        <v/>
      </c>
      <c r="O1493" s="814" t="str">
        <f t="shared" si="139"/>
        <v/>
      </c>
      <c r="P1493" s="254"/>
      <c r="Q1493" s="254"/>
      <c r="R1493" s="254"/>
      <c r="S1493" s="254"/>
      <c r="T1493" s="254"/>
      <c r="U1493" s="254"/>
      <c r="V1493" s="254"/>
      <c r="W1493" s="254"/>
      <c r="Y1493" s="246" t="str">
        <f t="shared" si="140"/>
        <v/>
      </c>
      <c r="Z1493" s="247" t="str">
        <f t="shared" si="138"/>
        <v/>
      </c>
      <c r="AA1493" s="246" t="str">
        <f t="shared" si="141"/>
        <v/>
      </c>
    </row>
    <row r="1494" spans="1:27" x14ac:dyDescent="0.25">
      <c r="A1494" s="248" t="str">
        <f t="shared" si="142"/>
        <v/>
      </c>
      <c r="B1494" s="249" t="str">
        <f t="shared" si="143"/>
        <v/>
      </c>
      <c r="C1494" s="250"/>
      <c r="D1494" s="251"/>
      <c r="E1494" s="241"/>
      <c r="F1494" s="252"/>
      <c r="G1494" s="252"/>
      <c r="H1494" s="253"/>
      <c r="I1494" s="250"/>
      <c r="J1494" s="250"/>
      <c r="K1494" s="270"/>
      <c r="L1494" s="250"/>
      <c r="M1494" s="250"/>
      <c r="N1494" s="553" t="str">
        <f>CONCATENATE(IF(OR(M1494=phu!$I$1,M1494=phu!$I$2,M1494=phu!$I$3),"Cam Thành Nam",""),IF(OR(M1494=phu!$I$4,M1494=phu!$I$5,M1494=phu!$I$6,M1494=phu!$I$7,M1494=phu!$I$8,M1494=phu!$I$9,M1494=phu!$I$10,M1494=phu!$I$11,M1494=phu!$I$12,M1494=phu!$I$13,M1494=phu!$I$14),"Cam Nghĩa",""),IF(OR(M1494=phu!$I$15,M1494=phu!$I$16,M1494=phu!$I$17,M1494=phu!$I$18,M1494=phu!$I$19,M1494=phu!$I$20,M1494=phu!$I$21),"Cam Phúc Bắc",""),IF(OR(M1494=phu!$I$22,M1494=phu!$I$23,M1494=phu!$I$24,M1494=phu!$I$25),"Cam Phúc Nam",""),IF(OR(M1494=phu!$I$26,M1494=phu!$I$27,M1494=phu!$I$28,M1494=phu!$I$29,M1494=phu!$I$30,M1494=phu!$I$31),"Cam Phú",""),IF(OR(M1494=phu!$I$32,M1494=phu!$I$33,M1494=phu!$I$34,M1494=phu!$I$35,M1494=phu!$I$36,M1494=phu!$I$37),"Cam Lộc",""),IF(OR(M1494=phu!$I$38,M1494=phu!$I$39,M1494=phu!$I$40,M1494=phu!$I$41,M1494=phu!$I$42,M1494=phu!$I$43,M1494=phu!$I$44),"Cam Thuận",""),IF(OR(M1494=phu!$I$45,M1494=phu!$I$46,M1494=phu!$I$47,M1494=phu!$I$48,M1494=phu!$I$49,M1494=phu!$I$50,M1494=phu!$I$51,M1494=phu!$I$52,M1494=phu!$I$53),"Cam Linh",""),IF(OR(M1494=phu!$I$54,M1494=phu!$I$55,M1494=phu!$I$56,M1494=phu!$I$57,M1494=phu!$I$58,M1494=phu!$I$59,M1494=phu!$I$60,M1494=phu!$I$61,M1494=phu!$I$62),"Cam Lợi",""),IF(OR(M1494=phu!$I$63,M1494=phu!$I$64,M1494=phu!$I$65,M1494=phu!$I$66,M1494=phu!$I$67,M1494=phu!$I$68,M1494=phu!$I$69,M1494=phu!$I$70,M1494=phu!$I$71),"Ba Ngòi",""),IF(OR(M1494=phu!$I$72,M1494=phu!$I$73,M1494=phu!$I$74,M1494=phu!$I$75,M1494=phu!$I$76,M1494=phu!$I$77,M1494=phu!$I$78),"Cam Phước Đông",""),IF(OR(M1494=phu!$I$79,M1494=phu!$I$80,M1494=phu!$I$81,M1494=phu!$I$82,M1494=phu!$I$83,M1494=phu!$I$84),"Cam Thịnh Đông",""),IF(OR(M1494=phu!$I$85,M1494=phu!$I$86,M1494=phu!$I$87,M1494=phu!$I$88),"Cam Thịnh Tây",""),IF(OR(M1494=phu!$I$89,M1494=phu!$I$90),"Cam Lập",""),IF(OR(M1494=phu!$I$91,M1494=phu!$I$92,M1494=phu!$I$93),"Cam Bình",""),IF(OR(M1494=phu!$I$94,M1494=phu!$I$95,M1494=phu!$I$96,M1494=phu!$I$97,M1494=phu!$I$98,M1494=phu!$I$99,M1494=phu!$I$100),"Huyện khác",""),IF(OR(M1494=phu!$I$101,M1494=phu!$I$102),"Tỉnh khác",""))</f>
        <v/>
      </c>
      <c r="O1494" s="814" t="str">
        <f t="shared" si="139"/>
        <v/>
      </c>
      <c r="P1494" s="254"/>
      <c r="Q1494" s="254"/>
      <c r="R1494" s="254"/>
      <c r="S1494" s="254"/>
      <c r="T1494" s="254"/>
      <c r="U1494" s="254"/>
      <c r="V1494" s="254"/>
      <c r="W1494" s="254"/>
      <c r="Y1494" s="246" t="str">
        <f t="shared" si="140"/>
        <v/>
      </c>
      <c r="Z1494" s="247" t="str">
        <f t="shared" si="138"/>
        <v/>
      </c>
      <c r="AA1494" s="246" t="str">
        <f t="shared" si="141"/>
        <v/>
      </c>
    </row>
    <row r="1495" spans="1:27" x14ac:dyDescent="0.25">
      <c r="A1495" s="248" t="str">
        <f t="shared" si="142"/>
        <v/>
      </c>
      <c r="B1495" s="249" t="str">
        <f t="shared" si="143"/>
        <v/>
      </c>
      <c r="C1495" s="250"/>
      <c r="D1495" s="251"/>
      <c r="E1495" s="241"/>
      <c r="F1495" s="252"/>
      <c r="G1495" s="252"/>
      <c r="H1495" s="253"/>
      <c r="I1495" s="250"/>
      <c r="J1495" s="250"/>
      <c r="K1495" s="270"/>
      <c r="L1495" s="250"/>
      <c r="M1495" s="250"/>
      <c r="N1495" s="553" t="str">
        <f>CONCATENATE(IF(OR(M1495=phu!$I$1,M1495=phu!$I$2,M1495=phu!$I$3),"Cam Thành Nam",""),IF(OR(M1495=phu!$I$4,M1495=phu!$I$5,M1495=phu!$I$6,M1495=phu!$I$7,M1495=phu!$I$8,M1495=phu!$I$9,M1495=phu!$I$10,M1495=phu!$I$11,M1495=phu!$I$12,M1495=phu!$I$13,M1495=phu!$I$14),"Cam Nghĩa",""),IF(OR(M1495=phu!$I$15,M1495=phu!$I$16,M1495=phu!$I$17,M1495=phu!$I$18,M1495=phu!$I$19,M1495=phu!$I$20,M1495=phu!$I$21),"Cam Phúc Bắc",""),IF(OR(M1495=phu!$I$22,M1495=phu!$I$23,M1495=phu!$I$24,M1495=phu!$I$25),"Cam Phúc Nam",""),IF(OR(M1495=phu!$I$26,M1495=phu!$I$27,M1495=phu!$I$28,M1495=phu!$I$29,M1495=phu!$I$30,M1495=phu!$I$31),"Cam Phú",""),IF(OR(M1495=phu!$I$32,M1495=phu!$I$33,M1495=phu!$I$34,M1495=phu!$I$35,M1495=phu!$I$36,M1495=phu!$I$37),"Cam Lộc",""),IF(OR(M1495=phu!$I$38,M1495=phu!$I$39,M1495=phu!$I$40,M1495=phu!$I$41,M1495=phu!$I$42,M1495=phu!$I$43,M1495=phu!$I$44),"Cam Thuận",""),IF(OR(M1495=phu!$I$45,M1495=phu!$I$46,M1495=phu!$I$47,M1495=phu!$I$48,M1495=phu!$I$49,M1495=phu!$I$50,M1495=phu!$I$51,M1495=phu!$I$52,M1495=phu!$I$53),"Cam Linh",""),IF(OR(M1495=phu!$I$54,M1495=phu!$I$55,M1495=phu!$I$56,M1495=phu!$I$57,M1495=phu!$I$58,M1495=phu!$I$59,M1495=phu!$I$60,M1495=phu!$I$61,M1495=phu!$I$62),"Cam Lợi",""),IF(OR(M1495=phu!$I$63,M1495=phu!$I$64,M1495=phu!$I$65,M1495=phu!$I$66,M1495=phu!$I$67,M1495=phu!$I$68,M1495=phu!$I$69,M1495=phu!$I$70,M1495=phu!$I$71),"Ba Ngòi",""),IF(OR(M1495=phu!$I$72,M1495=phu!$I$73,M1495=phu!$I$74,M1495=phu!$I$75,M1495=phu!$I$76,M1495=phu!$I$77,M1495=phu!$I$78),"Cam Phước Đông",""),IF(OR(M1495=phu!$I$79,M1495=phu!$I$80,M1495=phu!$I$81,M1495=phu!$I$82,M1495=phu!$I$83,M1495=phu!$I$84),"Cam Thịnh Đông",""),IF(OR(M1495=phu!$I$85,M1495=phu!$I$86,M1495=phu!$I$87,M1495=phu!$I$88),"Cam Thịnh Tây",""),IF(OR(M1495=phu!$I$89,M1495=phu!$I$90),"Cam Lập",""),IF(OR(M1495=phu!$I$91,M1495=phu!$I$92,M1495=phu!$I$93),"Cam Bình",""),IF(OR(M1495=phu!$I$94,M1495=phu!$I$95,M1495=phu!$I$96,M1495=phu!$I$97,M1495=phu!$I$98,M1495=phu!$I$99,M1495=phu!$I$100),"Huyện khác",""),IF(OR(M1495=phu!$I$101,M1495=phu!$I$102),"Tỉnh khác",""))</f>
        <v/>
      </c>
      <c r="O1495" s="814" t="str">
        <f t="shared" si="139"/>
        <v/>
      </c>
      <c r="P1495" s="254"/>
      <c r="Q1495" s="254"/>
      <c r="R1495" s="254"/>
      <c r="S1495" s="254"/>
      <c r="T1495" s="254"/>
      <c r="U1495" s="254"/>
      <c r="V1495" s="254"/>
      <c r="W1495" s="254"/>
      <c r="Y1495" s="246" t="str">
        <f t="shared" si="140"/>
        <v/>
      </c>
      <c r="Z1495" s="247" t="str">
        <f t="shared" si="138"/>
        <v/>
      </c>
      <c r="AA1495" s="246" t="str">
        <f t="shared" si="141"/>
        <v/>
      </c>
    </row>
    <row r="1496" spans="1:27" x14ac:dyDescent="0.25">
      <c r="A1496" s="248" t="str">
        <f t="shared" si="142"/>
        <v/>
      </c>
      <c r="B1496" s="249" t="str">
        <f t="shared" si="143"/>
        <v/>
      </c>
      <c r="C1496" s="250"/>
      <c r="D1496" s="251"/>
      <c r="E1496" s="241"/>
      <c r="F1496" s="252"/>
      <c r="G1496" s="252"/>
      <c r="H1496" s="253"/>
      <c r="I1496" s="250"/>
      <c r="J1496" s="250"/>
      <c r="K1496" s="270"/>
      <c r="L1496" s="250"/>
      <c r="M1496" s="250"/>
      <c r="N1496" s="553" t="str">
        <f>CONCATENATE(IF(OR(M1496=phu!$I$1,M1496=phu!$I$2,M1496=phu!$I$3),"Cam Thành Nam",""),IF(OR(M1496=phu!$I$4,M1496=phu!$I$5,M1496=phu!$I$6,M1496=phu!$I$7,M1496=phu!$I$8,M1496=phu!$I$9,M1496=phu!$I$10,M1496=phu!$I$11,M1496=phu!$I$12,M1496=phu!$I$13,M1496=phu!$I$14),"Cam Nghĩa",""),IF(OR(M1496=phu!$I$15,M1496=phu!$I$16,M1496=phu!$I$17,M1496=phu!$I$18,M1496=phu!$I$19,M1496=phu!$I$20,M1496=phu!$I$21),"Cam Phúc Bắc",""),IF(OR(M1496=phu!$I$22,M1496=phu!$I$23,M1496=phu!$I$24,M1496=phu!$I$25),"Cam Phúc Nam",""),IF(OR(M1496=phu!$I$26,M1496=phu!$I$27,M1496=phu!$I$28,M1496=phu!$I$29,M1496=phu!$I$30,M1496=phu!$I$31),"Cam Phú",""),IF(OR(M1496=phu!$I$32,M1496=phu!$I$33,M1496=phu!$I$34,M1496=phu!$I$35,M1496=phu!$I$36,M1496=phu!$I$37),"Cam Lộc",""),IF(OR(M1496=phu!$I$38,M1496=phu!$I$39,M1496=phu!$I$40,M1496=phu!$I$41,M1496=phu!$I$42,M1496=phu!$I$43,M1496=phu!$I$44),"Cam Thuận",""),IF(OR(M1496=phu!$I$45,M1496=phu!$I$46,M1496=phu!$I$47,M1496=phu!$I$48,M1496=phu!$I$49,M1496=phu!$I$50,M1496=phu!$I$51,M1496=phu!$I$52,M1496=phu!$I$53),"Cam Linh",""),IF(OR(M1496=phu!$I$54,M1496=phu!$I$55,M1496=phu!$I$56,M1496=phu!$I$57,M1496=phu!$I$58,M1496=phu!$I$59,M1496=phu!$I$60,M1496=phu!$I$61,M1496=phu!$I$62),"Cam Lợi",""),IF(OR(M1496=phu!$I$63,M1496=phu!$I$64,M1496=phu!$I$65,M1496=phu!$I$66,M1496=phu!$I$67,M1496=phu!$I$68,M1496=phu!$I$69,M1496=phu!$I$70,M1496=phu!$I$71),"Ba Ngòi",""),IF(OR(M1496=phu!$I$72,M1496=phu!$I$73,M1496=phu!$I$74,M1496=phu!$I$75,M1496=phu!$I$76,M1496=phu!$I$77,M1496=phu!$I$78),"Cam Phước Đông",""),IF(OR(M1496=phu!$I$79,M1496=phu!$I$80,M1496=phu!$I$81,M1496=phu!$I$82,M1496=phu!$I$83,M1496=phu!$I$84),"Cam Thịnh Đông",""),IF(OR(M1496=phu!$I$85,M1496=phu!$I$86,M1496=phu!$I$87,M1496=phu!$I$88),"Cam Thịnh Tây",""),IF(OR(M1496=phu!$I$89,M1496=phu!$I$90),"Cam Lập",""),IF(OR(M1496=phu!$I$91,M1496=phu!$I$92,M1496=phu!$I$93),"Cam Bình",""),IF(OR(M1496=phu!$I$94,M1496=phu!$I$95,M1496=phu!$I$96,M1496=phu!$I$97,M1496=phu!$I$98,M1496=phu!$I$99,M1496=phu!$I$100),"Huyện khác",""),IF(OR(M1496=phu!$I$101,M1496=phu!$I$102),"Tỉnh khác",""))</f>
        <v/>
      </c>
      <c r="O1496" s="814" t="str">
        <f t="shared" si="139"/>
        <v/>
      </c>
      <c r="P1496" s="254"/>
      <c r="Q1496" s="254"/>
      <c r="R1496" s="254"/>
      <c r="S1496" s="254"/>
      <c r="T1496" s="254"/>
      <c r="U1496" s="254"/>
      <c r="V1496" s="254"/>
      <c r="W1496" s="254"/>
      <c r="Y1496" s="246" t="str">
        <f t="shared" si="140"/>
        <v/>
      </c>
      <c r="Z1496" s="247" t="str">
        <f t="shared" si="138"/>
        <v/>
      </c>
      <c r="AA1496" s="246" t="str">
        <f t="shared" si="141"/>
        <v/>
      </c>
    </row>
    <row r="1497" spans="1:27" x14ac:dyDescent="0.25">
      <c r="A1497" s="248" t="str">
        <f t="shared" si="142"/>
        <v/>
      </c>
      <c r="B1497" s="249" t="str">
        <f t="shared" si="143"/>
        <v/>
      </c>
      <c r="C1497" s="250"/>
      <c r="D1497" s="251"/>
      <c r="E1497" s="241"/>
      <c r="F1497" s="252"/>
      <c r="G1497" s="252"/>
      <c r="H1497" s="253"/>
      <c r="I1497" s="250"/>
      <c r="J1497" s="250"/>
      <c r="K1497" s="270"/>
      <c r="L1497" s="250"/>
      <c r="M1497" s="250"/>
      <c r="N1497" s="553" t="str">
        <f>CONCATENATE(IF(OR(M1497=phu!$I$1,M1497=phu!$I$2,M1497=phu!$I$3),"Cam Thành Nam",""),IF(OR(M1497=phu!$I$4,M1497=phu!$I$5,M1497=phu!$I$6,M1497=phu!$I$7,M1497=phu!$I$8,M1497=phu!$I$9,M1497=phu!$I$10,M1497=phu!$I$11,M1497=phu!$I$12,M1497=phu!$I$13,M1497=phu!$I$14),"Cam Nghĩa",""),IF(OR(M1497=phu!$I$15,M1497=phu!$I$16,M1497=phu!$I$17,M1497=phu!$I$18,M1497=phu!$I$19,M1497=phu!$I$20,M1497=phu!$I$21),"Cam Phúc Bắc",""),IF(OR(M1497=phu!$I$22,M1497=phu!$I$23,M1497=phu!$I$24,M1497=phu!$I$25),"Cam Phúc Nam",""),IF(OR(M1497=phu!$I$26,M1497=phu!$I$27,M1497=phu!$I$28,M1497=phu!$I$29,M1497=phu!$I$30,M1497=phu!$I$31),"Cam Phú",""),IF(OR(M1497=phu!$I$32,M1497=phu!$I$33,M1497=phu!$I$34,M1497=phu!$I$35,M1497=phu!$I$36,M1497=phu!$I$37),"Cam Lộc",""),IF(OR(M1497=phu!$I$38,M1497=phu!$I$39,M1497=phu!$I$40,M1497=phu!$I$41,M1497=phu!$I$42,M1497=phu!$I$43,M1497=phu!$I$44),"Cam Thuận",""),IF(OR(M1497=phu!$I$45,M1497=phu!$I$46,M1497=phu!$I$47,M1497=phu!$I$48,M1497=phu!$I$49,M1497=phu!$I$50,M1497=phu!$I$51,M1497=phu!$I$52,M1497=phu!$I$53),"Cam Linh",""),IF(OR(M1497=phu!$I$54,M1497=phu!$I$55,M1497=phu!$I$56,M1497=phu!$I$57,M1497=phu!$I$58,M1497=phu!$I$59,M1497=phu!$I$60,M1497=phu!$I$61,M1497=phu!$I$62),"Cam Lợi",""),IF(OR(M1497=phu!$I$63,M1497=phu!$I$64,M1497=phu!$I$65,M1497=phu!$I$66,M1497=phu!$I$67,M1497=phu!$I$68,M1497=phu!$I$69,M1497=phu!$I$70,M1497=phu!$I$71),"Ba Ngòi",""),IF(OR(M1497=phu!$I$72,M1497=phu!$I$73,M1497=phu!$I$74,M1497=phu!$I$75,M1497=phu!$I$76,M1497=phu!$I$77,M1497=phu!$I$78),"Cam Phước Đông",""),IF(OR(M1497=phu!$I$79,M1497=phu!$I$80,M1497=phu!$I$81,M1497=phu!$I$82,M1497=phu!$I$83,M1497=phu!$I$84),"Cam Thịnh Đông",""),IF(OR(M1497=phu!$I$85,M1497=phu!$I$86,M1497=phu!$I$87,M1497=phu!$I$88),"Cam Thịnh Tây",""),IF(OR(M1497=phu!$I$89,M1497=phu!$I$90),"Cam Lập",""),IF(OR(M1497=phu!$I$91,M1497=phu!$I$92,M1497=phu!$I$93),"Cam Bình",""),IF(OR(M1497=phu!$I$94,M1497=phu!$I$95,M1497=phu!$I$96,M1497=phu!$I$97,M1497=phu!$I$98,M1497=phu!$I$99,M1497=phu!$I$100),"Huyện khác",""),IF(OR(M1497=phu!$I$101,M1497=phu!$I$102),"Tỉnh khác",""))</f>
        <v/>
      </c>
      <c r="O1497" s="814" t="str">
        <f t="shared" si="139"/>
        <v/>
      </c>
      <c r="P1497" s="254"/>
      <c r="Q1497" s="254"/>
      <c r="R1497" s="254"/>
      <c r="S1497" s="254"/>
      <c r="T1497" s="254"/>
      <c r="U1497" s="254"/>
      <c r="V1497" s="254"/>
      <c r="W1497" s="254"/>
      <c r="Y1497" s="246" t="str">
        <f t="shared" si="140"/>
        <v/>
      </c>
      <c r="Z1497" s="247" t="str">
        <f t="shared" si="138"/>
        <v/>
      </c>
      <c r="AA1497" s="246" t="str">
        <f t="shared" si="141"/>
        <v/>
      </c>
    </row>
    <row r="1498" spans="1:27" x14ac:dyDescent="0.25">
      <c r="A1498" s="248" t="str">
        <f t="shared" si="142"/>
        <v/>
      </c>
      <c r="B1498" s="249" t="str">
        <f t="shared" si="143"/>
        <v/>
      </c>
      <c r="C1498" s="250"/>
      <c r="D1498" s="251"/>
      <c r="E1498" s="241"/>
      <c r="F1498" s="252"/>
      <c r="G1498" s="252"/>
      <c r="H1498" s="253"/>
      <c r="I1498" s="250"/>
      <c r="J1498" s="250"/>
      <c r="K1498" s="270"/>
      <c r="L1498" s="250"/>
      <c r="M1498" s="250"/>
      <c r="N1498" s="553" t="str">
        <f>CONCATENATE(IF(OR(M1498=phu!$I$1,M1498=phu!$I$2,M1498=phu!$I$3),"Cam Thành Nam",""),IF(OR(M1498=phu!$I$4,M1498=phu!$I$5,M1498=phu!$I$6,M1498=phu!$I$7,M1498=phu!$I$8,M1498=phu!$I$9,M1498=phu!$I$10,M1498=phu!$I$11,M1498=phu!$I$12,M1498=phu!$I$13,M1498=phu!$I$14),"Cam Nghĩa",""),IF(OR(M1498=phu!$I$15,M1498=phu!$I$16,M1498=phu!$I$17,M1498=phu!$I$18,M1498=phu!$I$19,M1498=phu!$I$20,M1498=phu!$I$21),"Cam Phúc Bắc",""),IF(OR(M1498=phu!$I$22,M1498=phu!$I$23,M1498=phu!$I$24,M1498=phu!$I$25),"Cam Phúc Nam",""),IF(OR(M1498=phu!$I$26,M1498=phu!$I$27,M1498=phu!$I$28,M1498=phu!$I$29,M1498=phu!$I$30,M1498=phu!$I$31),"Cam Phú",""),IF(OR(M1498=phu!$I$32,M1498=phu!$I$33,M1498=phu!$I$34,M1498=phu!$I$35,M1498=phu!$I$36,M1498=phu!$I$37),"Cam Lộc",""),IF(OR(M1498=phu!$I$38,M1498=phu!$I$39,M1498=phu!$I$40,M1498=phu!$I$41,M1498=phu!$I$42,M1498=phu!$I$43,M1498=phu!$I$44),"Cam Thuận",""),IF(OR(M1498=phu!$I$45,M1498=phu!$I$46,M1498=phu!$I$47,M1498=phu!$I$48,M1498=phu!$I$49,M1498=phu!$I$50,M1498=phu!$I$51,M1498=phu!$I$52,M1498=phu!$I$53),"Cam Linh",""),IF(OR(M1498=phu!$I$54,M1498=phu!$I$55,M1498=phu!$I$56,M1498=phu!$I$57,M1498=phu!$I$58,M1498=phu!$I$59,M1498=phu!$I$60,M1498=phu!$I$61,M1498=phu!$I$62),"Cam Lợi",""),IF(OR(M1498=phu!$I$63,M1498=phu!$I$64,M1498=phu!$I$65,M1498=phu!$I$66,M1498=phu!$I$67,M1498=phu!$I$68,M1498=phu!$I$69,M1498=phu!$I$70,M1498=phu!$I$71),"Ba Ngòi",""),IF(OR(M1498=phu!$I$72,M1498=phu!$I$73,M1498=phu!$I$74,M1498=phu!$I$75,M1498=phu!$I$76,M1498=phu!$I$77,M1498=phu!$I$78),"Cam Phước Đông",""),IF(OR(M1498=phu!$I$79,M1498=phu!$I$80,M1498=phu!$I$81,M1498=phu!$I$82,M1498=phu!$I$83,M1498=phu!$I$84),"Cam Thịnh Đông",""),IF(OR(M1498=phu!$I$85,M1498=phu!$I$86,M1498=phu!$I$87,M1498=phu!$I$88),"Cam Thịnh Tây",""),IF(OR(M1498=phu!$I$89,M1498=phu!$I$90),"Cam Lập",""),IF(OR(M1498=phu!$I$91,M1498=phu!$I$92,M1498=phu!$I$93),"Cam Bình",""),IF(OR(M1498=phu!$I$94,M1498=phu!$I$95,M1498=phu!$I$96,M1498=phu!$I$97,M1498=phu!$I$98,M1498=phu!$I$99,M1498=phu!$I$100),"Huyện khác",""),IF(OR(M1498=phu!$I$101,M1498=phu!$I$102),"Tỉnh khác",""))</f>
        <v/>
      </c>
      <c r="O1498" s="814" t="str">
        <f t="shared" si="139"/>
        <v/>
      </c>
      <c r="P1498" s="254"/>
      <c r="Q1498" s="254"/>
      <c r="R1498" s="254"/>
      <c r="S1498" s="254"/>
      <c r="T1498" s="254"/>
      <c r="U1498" s="254"/>
      <c r="V1498" s="254"/>
      <c r="W1498" s="254"/>
      <c r="Y1498" s="246" t="str">
        <f t="shared" si="140"/>
        <v/>
      </c>
      <c r="Z1498" s="247" t="str">
        <f t="shared" si="138"/>
        <v/>
      </c>
      <c r="AA1498" s="246" t="str">
        <f t="shared" si="141"/>
        <v/>
      </c>
    </row>
    <row r="1499" spans="1:27" x14ac:dyDescent="0.25">
      <c r="A1499" s="248" t="str">
        <f t="shared" si="142"/>
        <v/>
      </c>
      <c r="B1499" s="249" t="str">
        <f t="shared" si="143"/>
        <v/>
      </c>
      <c r="C1499" s="250"/>
      <c r="D1499" s="251"/>
      <c r="E1499" s="241"/>
      <c r="F1499" s="252"/>
      <c r="G1499" s="252"/>
      <c r="H1499" s="253"/>
      <c r="I1499" s="250"/>
      <c r="J1499" s="250"/>
      <c r="K1499" s="270"/>
      <c r="L1499" s="250"/>
      <c r="M1499" s="250"/>
      <c r="N1499" s="553" t="str">
        <f>CONCATENATE(IF(OR(M1499=phu!$I$1,M1499=phu!$I$2,M1499=phu!$I$3),"Cam Thành Nam",""),IF(OR(M1499=phu!$I$4,M1499=phu!$I$5,M1499=phu!$I$6,M1499=phu!$I$7,M1499=phu!$I$8,M1499=phu!$I$9,M1499=phu!$I$10,M1499=phu!$I$11,M1499=phu!$I$12,M1499=phu!$I$13,M1499=phu!$I$14),"Cam Nghĩa",""),IF(OR(M1499=phu!$I$15,M1499=phu!$I$16,M1499=phu!$I$17,M1499=phu!$I$18,M1499=phu!$I$19,M1499=phu!$I$20,M1499=phu!$I$21),"Cam Phúc Bắc",""),IF(OR(M1499=phu!$I$22,M1499=phu!$I$23,M1499=phu!$I$24,M1499=phu!$I$25),"Cam Phúc Nam",""),IF(OR(M1499=phu!$I$26,M1499=phu!$I$27,M1499=phu!$I$28,M1499=phu!$I$29,M1499=phu!$I$30,M1499=phu!$I$31),"Cam Phú",""),IF(OR(M1499=phu!$I$32,M1499=phu!$I$33,M1499=phu!$I$34,M1499=phu!$I$35,M1499=phu!$I$36,M1499=phu!$I$37),"Cam Lộc",""),IF(OR(M1499=phu!$I$38,M1499=phu!$I$39,M1499=phu!$I$40,M1499=phu!$I$41,M1499=phu!$I$42,M1499=phu!$I$43,M1499=phu!$I$44),"Cam Thuận",""),IF(OR(M1499=phu!$I$45,M1499=phu!$I$46,M1499=phu!$I$47,M1499=phu!$I$48,M1499=phu!$I$49,M1499=phu!$I$50,M1499=phu!$I$51,M1499=phu!$I$52,M1499=phu!$I$53),"Cam Linh",""),IF(OR(M1499=phu!$I$54,M1499=phu!$I$55,M1499=phu!$I$56,M1499=phu!$I$57,M1499=phu!$I$58,M1499=phu!$I$59,M1499=phu!$I$60,M1499=phu!$I$61,M1499=phu!$I$62),"Cam Lợi",""),IF(OR(M1499=phu!$I$63,M1499=phu!$I$64,M1499=phu!$I$65,M1499=phu!$I$66,M1499=phu!$I$67,M1499=phu!$I$68,M1499=phu!$I$69,M1499=phu!$I$70,M1499=phu!$I$71),"Ba Ngòi",""),IF(OR(M1499=phu!$I$72,M1499=phu!$I$73,M1499=phu!$I$74,M1499=phu!$I$75,M1499=phu!$I$76,M1499=phu!$I$77,M1499=phu!$I$78),"Cam Phước Đông",""),IF(OR(M1499=phu!$I$79,M1499=phu!$I$80,M1499=phu!$I$81,M1499=phu!$I$82,M1499=phu!$I$83,M1499=phu!$I$84),"Cam Thịnh Đông",""),IF(OR(M1499=phu!$I$85,M1499=phu!$I$86,M1499=phu!$I$87,M1499=phu!$I$88),"Cam Thịnh Tây",""),IF(OR(M1499=phu!$I$89,M1499=phu!$I$90),"Cam Lập",""),IF(OR(M1499=phu!$I$91,M1499=phu!$I$92,M1499=phu!$I$93),"Cam Bình",""),IF(OR(M1499=phu!$I$94,M1499=phu!$I$95,M1499=phu!$I$96,M1499=phu!$I$97,M1499=phu!$I$98,M1499=phu!$I$99,M1499=phu!$I$100),"Huyện khác",""),IF(OR(M1499=phu!$I$101,M1499=phu!$I$102),"Tỉnh khác",""))</f>
        <v/>
      </c>
      <c r="O1499" s="814" t="str">
        <f t="shared" si="139"/>
        <v/>
      </c>
      <c r="P1499" s="254"/>
      <c r="Q1499" s="254"/>
      <c r="R1499" s="254"/>
      <c r="S1499" s="254"/>
      <c r="T1499" s="254"/>
      <c r="U1499" s="254"/>
      <c r="V1499" s="254"/>
      <c r="W1499" s="254"/>
      <c r="Y1499" s="246" t="str">
        <f t="shared" si="140"/>
        <v/>
      </c>
      <c r="Z1499" s="247" t="str">
        <f t="shared" si="138"/>
        <v/>
      </c>
      <c r="AA1499" s="246" t="str">
        <f t="shared" si="141"/>
        <v/>
      </c>
    </row>
    <row r="1500" spans="1:27" x14ac:dyDescent="0.25">
      <c r="A1500" s="248" t="str">
        <f t="shared" si="142"/>
        <v/>
      </c>
      <c r="B1500" s="249" t="str">
        <f t="shared" si="143"/>
        <v/>
      </c>
      <c r="C1500" s="250"/>
      <c r="D1500" s="251"/>
      <c r="E1500" s="241"/>
      <c r="F1500" s="252"/>
      <c r="G1500" s="252"/>
      <c r="H1500" s="253"/>
      <c r="I1500" s="250"/>
      <c r="J1500" s="250"/>
      <c r="K1500" s="270"/>
      <c r="L1500" s="250"/>
      <c r="M1500" s="250"/>
      <c r="N1500" s="553" t="str">
        <f>CONCATENATE(IF(OR(M1500=phu!$I$1,M1500=phu!$I$2,M1500=phu!$I$3),"Cam Thành Nam",""),IF(OR(M1500=phu!$I$4,M1500=phu!$I$5,M1500=phu!$I$6,M1500=phu!$I$7,M1500=phu!$I$8,M1500=phu!$I$9,M1500=phu!$I$10,M1500=phu!$I$11,M1500=phu!$I$12,M1500=phu!$I$13,M1500=phu!$I$14),"Cam Nghĩa",""),IF(OR(M1500=phu!$I$15,M1500=phu!$I$16,M1500=phu!$I$17,M1500=phu!$I$18,M1500=phu!$I$19,M1500=phu!$I$20,M1500=phu!$I$21),"Cam Phúc Bắc",""),IF(OR(M1500=phu!$I$22,M1500=phu!$I$23,M1500=phu!$I$24,M1500=phu!$I$25),"Cam Phúc Nam",""),IF(OR(M1500=phu!$I$26,M1500=phu!$I$27,M1500=phu!$I$28,M1500=phu!$I$29,M1500=phu!$I$30,M1500=phu!$I$31),"Cam Phú",""),IF(OR(M1500=phu!$I$32,M1500=phu!$I$33,M1500=phu!$I$34,M1500=phu!$I$35,M1500=phu!$I$36,M1500=phu!$I$37),"Cam Lộc",""),IF(OR(M1500=phu!$I$38,M1500=phu!$I$39,M1500=phu!$I$40,M1500=phu!$I$41,M1500=phu!$I$42,M1500=phu!$I$43,M1500=phu!$I$44),"Cam Thuận",""),IF(OR(M1500=phu!$I$45,M1500=phu!$I$46,M1500=phu!$I$47,M1500=phu!$I$48,M1500=phu!$I$49,M1500=phu!$I$50,M1500=phu!$I$51,M1500=phu!$I$52,M1500=phu!$I$53),"Cam Linh",""),IF(OR(M1500=phu!$I$54,M1500=phu!$I$55,M1500=phu!$I$56,M1500=phu!$I$57,M1500=phu!$I$58,M1500=phu!$I$59,M1500=phu!$I$60,M1500=phu!$I$61,M1500=phu!$I$62),"Cam Lợi",""),IF(OR(M1500=phu!$I$63,M1500=phu!$I$64,M1500=phu!$I$65,M1500=phu!$I$66,M1500=phu!$I$67,M1500=phu!$I$68,M1500=phu!$I$69,M1500=phu!$I$70,M1500=phu!$I$71),"Ba Ngòi",""),IF(OR(M1500=phu!$I$72,M1500=phu!$I$73,M1500=phu!$I$74,M1500=phu!$I$75,M1500=phu!$I$76,M1500=phu!$I$77,M1500=phu!$I$78),"Cam Phước Đông",""),IF(OR(M1500=phu!$I$79,M1500=phu!$I$80,M1500=phu!$I$81,M1500=phu!$I$82,M1500=phu!$I$83,M1500=phu!$I$84),"Cam Thịnh Đông",""),IF(OR(M1500=phu!$I$85,M1500=phu!$I$86,M1500=phu!$I$87,M1500=phu!$I$88),"Cam Thịnh Tây",""),IF(OR(M1500=phu!$I$89,M1500=phu!$I$90),"Cam Lập",""),IF(OR(M1500=phu!$I$91,M1500=phu!$I$92,M1500=phu!$I$93),"Cam Bình",""),IF(OR(M1500=phu!$I$94,M1500=phu!$I$95,M1500=phu!$I$96,M1500=phu!$I$97,M1500=phu!$I$98,M1500=phu!$I$99,M1500=phu!$I$100),"Huyện khác",""),IF(OR(M1500=phu!$I$101,M1500=phu!$I$102),"Tỉnh khác",""))</f>
        <v/>
      </c>
      <c r="O1500" s="814" t="str">
        <f t="shared" si="139"/>
        <v/>
      </c>
      <c r="P1500" s="254"/>
      <c r="Q1500" s="254"/>
      <c r="R1500" s="254"/>
      <c r="S1500" s="254"/>
      <c r="T1500" s="254"/>
      <c r="U1500" s="254"/>
      <c r="V1500" s="254"/>
      <c r="W1500" s="254"/>
      <c r="Y1500" s="246" t="str">
        <f t="shared" si="140"/>
        <v/>
      </c>
      <c r="Z1500" s="247" t="str">
        <f t="shared" si="138"/>
        <v/>
      </c>
      <c r="AA1500" s="246" t="str">
        <f t="shared" si="141"/>
        <v/>
      </c>
    </row>
    <row r="1501" spans="1:27" x14ac:dyDescent="0.25">
      <c r="A1501" s="248" t="str">
        <f t="shared" si="142"/>
        <v/>
      </c>
      <c r="B1501" s="249" t="str">
        <f t="shared" si="143"/>
        <v/>
      </c>
      <c r="C1501" s="250"/>
      <c r="D1501" s="251"/>
      <c r="E1501" s="241"/>
      <c r="F1501" s="252"/>
      <c r="G1501" s="252"/>
      <c r="H1501" s="253"/>
      <c r="I1501" s="250"/>
      <c r="J1501" s="250"/>
      <c r="K1501" s="270"/>
      <c r="L1501" s="250"/>
      <c r="M1501" s="250"/>
      <c r="N1501" s="553" t="str">
        <f>CONCATENATE(IF(OR(M1501=phu!$I$1,M1501=phu!$I$2,M1501=phu!$I$3),"Cam Thành Nam",""),IF(OR(M1501=phu!$I$4,M1501=phu!$I$5,M1501=phu!$I$6,M1501=phu!$I$7,M1501=phu!$I$8,M1501=phu!$I$9,M1501=phu!$I$10,M1501=phu!$I$11,M1501=phu!$I$12,M1501=phu!$I$13,M1501=phu!$I$14),"Cam Nghĩa",""),IF(OR(M1501=phu!$I$15,M1501=phu!$I$16,M1501=phu!$I$17,M1501=phu!$I$18,M1501=phu!$I$19,M1501=phu!$I$20,M1501=phu!$I$21),"Cam Phúc Bắc",""),IF(OR(M1501=phu!$I$22,M1501=phu!$I$23,M1501=phu!$I$24,M1501=phu!$I$25),"Cam Phúc Nam",""),IF(OR(M1501=phu!$I$26,M1501=phu!$I$27,M1501=phu!$I$28,M1501=phu!$I$29,M1501=phu!$I$30,M1501=phu!$I$31),"Cam Phú",""),IF(OR(M1501=phu!$I$32,M1501=phu!$I$33,M1501=phu!$I$34,M1501=phu!$I$35,M1501=phu!$I$36,M1501=phu!$I$37),"Cam Lộc",""),IF(OR(M1501=phu!$I$38,M1501=phu!$I$39,M1501=phu!$I$40,M1501=phu!$I$41,M1501=phu!$I$42,M1501=phu!$I$43,M1501=phu!$I$44),"Cam Thuận",""),IF(OR(M1501=phu!$I$45,M1501=phu!$I$46,M1501=phu!$I$47,M1501=phu!$I$48,M1501=phu!$I$49,M1501=phu!$I$50,M1501=phu!$I$51,M1501=phu!$I$52,M1501=phu!$I$53),"Cam Linh",""),IF(OR(M1501=phu!$I$54,M1501=phu!$I$55,M1501=phu!$I$56,M1501=phu!$I$57,M1501=phu!$I$58,M1501=phu!$I$59,M1501=phu!$I$60,M1501=phu!$I$61,M1501=phu!$I$62),"Cam Lợi",""),IF(OR(M1501=phu!$I$63,M1501=phu!$I$64,M1501=phu!$I$65,M1501=phu!$I$66,M1501=phu!$I$67,M1501=phu!$I$68,M1501=phu!$I$69,M1501=phu!$I$70,M1501=phu!$I$71),"Ba Ngòi",""),IF(OR(M1501=phu!$I$72,M1501=phu!$I$73,M1501=phu!$I$74,M1501=phu!$I$75,M1501=phu!$I$76,M1501=phu!$I$77,M1501=phu!$I$78),"Cam Phước Đông",""),IF(OR(M1501=phu!$I$79,M1501=phu!$I$80,M1501=phu!$I$81,M1501=phu!$I$82,M1501=phu!$I$83,M1501=phu!$I$84),"Cam Thịnh Đông",""),IF(OR(M1501=phu!$I$85,M1501=phu!$I$86,M1501=phu!$I$87,M1501=phu!$I$88),"Cam Thịnh Tây",""),IF(OR(M1501=phu!$I$89,M1501=phu!$I$90),"Cam Lập",""),IF(OR(M1501=phu!$I$91,M1501=phu!$I$92,M1501=phu!$I$93),"Cam Bình",""),IF(OR(M1501=phu!$I$94,M1501=phu!$I$95,M1501=phu!$I$96,M1501=phu!$I$97,M1501=phu!$I$98,M1501=phu!$I$99,M1501=phu!$I$100),"Huyện khác",""),IF(OR(M1501=phu!$I$101,M1501=phu!$I$102),"Tỉnh khác",""))</f>
        <v/>
      </c>
      <c r="O1501" s="814" t="str">
        <f t="shared" si="139"/>
        <v/>
      </c>
      <c r="P1501" s="254"/>
      <c r="Q1501" s="254"/>
      <c r="R1501" s="254"/>
      <c r="S1501" s="254"/>
      <c r="T1501" s="254"/>
      <c r="U1501" s="254"/>
      <c r="V1501" s="254"/>
      <c r="W1501" s="254"/>
      <c r="Y1501" s="246" t="str">
        <f t="shared" si="140"/>
        <v/>
      </c>
      <c r="Z1501" s="247" t="str">
        <f t="shared" si="138"/>
        <v/>
      </c>
      <c r="AA1501" s="246" t="str">
        <f t="shared" si="141"/>
        <v/>
      </c>
    </row>
    <row r="1502" spans="1:27" x14ac:dyDescent="0.25">
      <c r="A1502" s="248" t="str">
        <f t="shared" si="142"/>
        <v/>
      </c>
      <c r="B1502" s="249" t="str">
        <f t="shared" si="143"/>
        <v/>
      </c>
      <c r="C1502" s="250"/>
      <c r="D1502" s="251"/>
      <c r="E1502" s="241"/>
      <c r="F1502" s="252"/>
      <c r="G1502" s="252"/>
      <c r="H1502" s="253"/>
      <c r="I1502" s="250"/>
      <c r="J1502" s="250"/>
      <c r="K1502" s="270"/>
      <c r="L1502" s="250"/>
      <c r="M1502" s="250"/>
      <c r="N1502" s="553" t="str">
        <f>CONCATENATE(IF(OR(M1502=phu!$I$1,M1502=phu!$I$2,M1502=phu!$I$3),"Cam Thành Nam",""),IF(OR(M1502=phu!$I$4,M1502=phu!$I$5,M1502=phu!$I$6,M1502=phu!$I$7,M1502=phu!$I$8,M1502=phu!$I$9,M1502=phu!$I$10,M1502=phu!$I$11,M1502=phu!$I$12,M1502=phu!$I$13,M1502=phu!$I$14),"Cam Nghĩa",""),IF(OR(M1502=phu!$I$15,M1502=phu!$I$16,M1502=phu!$I$17,M1502=phu!$I$18,M1502=phu!$I$19,M1502=phu!$I$20,M1502=phu!$I$21),"Cam Phúc Bắc",""),IF(OR(M1502=phu!$I$22,M1502=phu!$I$23,M1502=phu!$I$24,M1502=phu!$I$25),"Cam Phúc Nam",""),IF(OR(M1502=phu!$I$26,M1502=phu!$I$27,M1502=phu!$I$28,M1502=phu!$I$29,M1502=phu!$I$30,M1502=phu!$I$31),"Cam Phú",""),IF(OR(M1502=phu!$I$32,M1502=phu!$I$33,M1502=phu!$I$34,M1502=phu!$I$35,M1502=phu!$I$36,M1502=phu!$I$37),"Cam Lộc",""),IF(OR(M1502=phu!$I$38,M1502=phu!$I$39,M1502=phu!$I$40,M1502=phu!$I$41,M1502=phu!$I$42,M1502=phu!$I$43,M1502=phu!$I$44),"Cam Thuận",""),IF(OR(M1502=phu!$I$45,M1502=phu!$I$46,M1502=phu!$I$47,M1502=phu!$I$48,M1502=phu!$I$49,M1502=phu!$I$50,M1502=phu!$I$51,M1502=phu!$I$52,M1502=phu!$I$53),"Cam Linh",""),IF(OR(M1502=phu!$I$54,M1502=phu!$I$55,M1502=phu!$I$56,M1502=phu!$I$57,M1502=phu!$I$58,M1502=phu!$I$59,M1502=phu!$I$60,M1502=phu!$I$61,M1502=phu!$I$62),"Cam Lợi",""),IF(OR(M1502=phu!$I$63,M1502=phu!$I$64,M1502=phu!$I$65,M1502=phu!$I$66,M1502=phu!$I$67,M1502=phu!$I$68,M1502=phu!$I$69,M1502=phu!$I$70,M1502=phu!$I$71),"Ba Ngòi",""),IF(OR(M1502=phu!$I$72,M1502=phu!$I$73,M1502=phu!$I$74,M1502=phu!$I$75,M1502=phu!$I$76,M1502=phu!$I$77,M1502=phu!$I$78),"Cam Phước Đông",""),IF(OR(M1502=phu!$I$79,M1502=phu!$I$80,M1502=phu!$I$81,M1502=phu!$I$82,M1502=phu!$I$83,M1502=phu!$I$84),"Cam Thịnh Đông",""),IF(OR(M1502=phu!$I$85,M1502=phu!$I$86,M1502=phu!$I$87,M1502=phu!$I$88),"Cam Thịnh Tây",""),IF(OR(M1502=phu!$I$89,M1502=phu!$I$90),"Cam Lập",""),IF(OR(M1502=phu!$I$91,M1502=phu!$I$92,M1502=phu!$I$93),"Cam Bình",""),IF(OR(M1502=phu!$I$94,M1502=phu!$I$95,M1502=phu!$I$96,M1502=phu!$I$97,M1502=phu!$I$98,M1502=phu!$I$99,M1502=phu!$I$100),"Huyện khác",""),IF(OR(M1502=phu!$I$101,M1502=phu!$I$102),"Tỉnh khác",""))</f>
        <v/>
      </c>
      <c r="O1502" s="814" t="str">
        <f t="shared" si="139"/>
        <v/>
      </c>
      <c r="P1502" s="254"/>
      <c r="Q1502" s="254"/>
      <c r="R1502" s="254"/>
      <c r="S1502" s="254"/>
      <c r="T1502" s="254"/>
      <c r="U1502" s="254"/>
      <c r="V1502" s="254"/>
      <c r="W1502" s="254"/>
      <c r="Y1502" s="246" t="str">
        <f t="shared" si="140"/>
        <v/>
      </c>
      <c r="Z1502" s="247" t="str">
        <f t="shared" si="138"/>
        <v/>
      </c>
      <c r="AA1502" s="246" t="str">
        <f t="shared" si="141"/>
        <v/>
      </c>
    </row>
    <row r="1503" spans="1:27" x14ac:dyDescent="0.25">
      <c r="A1503" s="248" t="str">
        <f t="shared" si="142"/>
        <v/>
      </c>
      <c r="B1503" s="249" t="str">
        <f t="shared" si="143"/>
        <v/>
      </c>
      <c r="C1503" s="250"/>
      <c r="D1503" s="251"/>
      <c r="E1503" s="241"/>
      <c r="F1503" s="252"/>
      <c r="G1503" s="252"/>
      <c r="H1503" s="253"/>
      <c r="I1503" s="250"/>
      <c r="J1503" s="250"/>
      <c r="K1503" s="270"/>
      <c r="L1503" s="250"/>
      <c r="M1503" s="250"/>
      <c r="N1503" s="553" t="str">
        <f>CONCATENATE(IF(OR(M1503=phu!$I$1,M1503=phu!$I$2,M1503=phu!$I$3),"Cam Thành Nam",""),IF(OR(M1503=phu!$I$4,M1503=phu!$I$5,M1503=phu!$I$6,M1503=phu!$I$7,M1503=phu!$I$8,M1503=phu!$I$9,M1503=phu!$I$10,M1503=phu!$I$11,M1503=phu!$I$12,M1503=phu!$I$13,M1503=phu!$I$14),"Cam Nghĩa",""),IF(OR(M1503=phu!$I$15,M1503=phu!$I$16,M1503=phu!$I$17,M1503=phu!$I$18,M1503=phu!$I$19,M1503=phu!$I$20,M1503=phu!$I$21),"Cam Phúc Bắc",""),IF(OR(M1503=phu!$I$22,M1503=phu!$I$23,M1503=phu!$I$24,M1503=phu!$I$25),"Cam Phúc Nam",""),IF(OR(M1503=phu!$I$26,M1503=phu!$I$27,M1503=phu!$I$28,M1503=phu!$I$29,M1503=phu!$I$30,M1503=phu!$I$31),"Cam Phú",""),IF(OR(M1503=phu!$I$32,M1503=phu!$I$33,M1503=phu!$I$34,M1503=phu!$I$35,M1503=phu!$I$36,M1503=phu!$I$37),"Cam Lộc",""),IF(OR(M1503=phu!$I$38,M1503=phu!$I$39,M1503=phu!$I$40,M1503=phu!$I$41,M1503=phu!$I$42,M1503=phu!$I$43,M1503=phu!$I$44),"Cam Thuận",""),IF(OR(M1503=phu!$I$45,M1503=phu!$I$46,M1503=phu!$I$47,M1503=phu!$I$48,M1503=phu!$I$49,M1503=phu!$I$50,M1503=phu!$I$51,M1503=phu!$I$52,M1503=phu!$I$53),"Cam Linh",""),IF(OR(M1503=phu!$I$54,M1503=phu!$I$55,M1503=phu!$I$56,M1503=phu!$I$57,M1503=phu!$I$58,M1503=phu!$I$59,M1503=phu!$I$60,M1503=phu!$I$61,M1503=phu!$I$62),"Cam Lợi",""),IF(OR(M1503=phu!$I$63,M1503=phu!$I$64,M1503=phu!$I$65,M1503=phu!$I$66,M1503=phu!$I$67,M1503=phu!$I$68,M1503=phu!$I$69,M1503=phu!$I$70,M1503=phu!$I$71),"Ba Ngòi",""),IF(OR(M1503=phu!$I$72,M1503=phu!$I$73,M1503=phu!$I$74,M1503=phu!$I$75,M1503=phu!$I$76,M1503=phu!$I$77,M1503=phu!$I$78),"Cam Phước Đông",""),IF(OR(M1503=phu!$I$79,M1503=phu!$I$80,M1503=phu!$I$81,M1503=phu!$I$82,M1503=phu!$I$83,M1503=phu!$I$84),"Cam Thịnh Đông",""),IF(OR(M1503=phu!$I$85,M1503=phu!$I$86,M1503=phu!$I$87,M1503=phu!$I$88),"Cam Thịnh Tây",""),IF(OR(M1503=phu!$I$89,M1503=phu!$I$90),"Cam Lập",""),IF(OR(M1503=phu!$I$91,M1503=phu!$I$92,M1503=phu!$I$93),"Cam Bình",""),IF(OR(M1503=phu!$I$94,M1503=phu!$I$95,M1503=phu!$I$96,M1503=phu!$I$97,M1503=phu!$I$98,M1503=phu!$I$99,M1503=phu!$I$100),"Huyện khác",""),IF(OR(M1503=phu!$I$101,M1503=phu!$I$102),"Tỉnh khác",""))</f>
        <v/>
      </c>
      <c r="O1503" s="814" t="str">
        <f t="shared" si="139"/>
        <v/>
      </c>
      <c r="P1503" s="254"/>
      <c r="Q1503" s="254"/>
      <c r="R1503" s="254"/>
      <c r="S1503" s="254"/>
      <c r="T1503" s="254"/>
      <c r="U1503" s="254"/>
      <c r="V1503" s="254"/>
      <c r="W1503" s="254"/>
      <c r="Y1503" s="246" t="str">
        <f t="shared" si="140"/>
        <v/>
      </c>
      <c r="Z1503" s="247" t="str">
        <f t="shared" si="138"/>
        <v/>
      </c>
      <c r="AA1503" s="246" t="str">
        <f t="shared" si="141"/>
        <v/>
      </c>
    </row>
    <row r="1504" spans="1:27" x14ac:dyDescent="0.25">
      <c r="A1504" s="248" t="str">
        <f t="shared" si="142"/>
        <v/>
      </c>
      <c r="B1504" s="249" t="str">
        <f t="shared" si="143"/>
        <v/>
      </c>
      <c r="C1504" s="250"/>
      <c r="D1504" s="251"/>
      <c r="E1504" s="241"/>
      <c r="F1504" s="252"/>
      <c r="G1504" s="252"/>
      <c r="H1504" s="253"/>
      <c r="I1504" s="250"/>
      <c r="J1504" s="250"/>
      <c r="K1504" s="270"/>
      <c r="L1504" s="250"/>
      <c r="M1504" s="250"/>
      <c r="N1504" s="553" t="str">
        <f>CONCATENATE(IF(OR(M1504=phu!$I$1,M1504=phu!$I$2,M1504=phu!$I$3),"Cam Thành Nam",""),IF(OR(M1504=phu!$I$4,M1504=phu!$I$5,M1504=phu!$I$6,M1504=phu!$I$7,M1504=phu!$I$8,M1504=phu!$I$9,M1504=phu!$I$10,M1504=phu!$I$11,M1504=phu!$I$12,M1504=phu!$I$13,M1504=phu!$I$14),"Cam Nghĩa",""),IF(OR(M1504=phu!$I$15,M1504=phu!$I$16,M1504=phu!$I$17,M1504=phu!$I$18,M1504=phu!$I$19,M1504=phu!$I$20,M1504=phu!$I$21),"Cam Phúc Bắc",""),IF(OR(M1504=phu!$I$22,M1504=phu!$I$23,M1504=phu!$I$24,M1504=phu!$I$25),"Cam Phúc Nam",""),IF(OR(M1504=phu!$I$26,M1504=phu!$I$27,M1504=phu!$I$28,M1504=phu!$I$29,M1504=phu!$I$30,M1504=phu!$I$31),"Cam Phú",""),IF(OR(M1504=phu!$I$32,M1504=phu!$I$33,M1504=phu!$I$34,M1504=phu!$I$35,M1504=phu!$I$36,M1504=phu!$I$37),"Cam Lộc",""),IF(OR(M1504=phu!$I$38,M1504=phu!$I$39,M1504=phu!$I$40,M1504=phu!$I$41,M1504=phu!$I$42,M1504=phu!$I$43,M1504=phu!$I$44),"Cam Thuận",""),IF(OR(M1504=phu!$I$45,M1504=phu!$I$46,M1504=phu!$I$47,M1504=phu!$I$48,M1504=phu!$I$49,M1504=phu!$I$50,M1504=phu!$I$51,M1504=phu!$I$52,M1504=phu!$I$53),"Cam Linh",""),IF(OR(M1504=phu!$I$54,M1504=phu!$I$55,M1504=phu!$I$56,M1504=phu!$I$57,M1504=phu!$I$58,M1504=phu!$I$59,M1504=phu!$I$60,M1504=phu!$I$61,M1504=phu!$I$62),"Cam Lợi",""),IF(OR(M1504=phu!$I$63,M1504=phu!$I$64,M1504=phu!$I$65,M1504=phu!$I$66,M1504=phu!$I$67,M1504=phu!$I$68,M1504=phu!$I$69,M1504=phu!$I$70,M1504=phu!$I$71),"Ba Ngòi",""),IF(OR(M1504=phu!$I$72,M1504=phu!$I$73,M1504=phu!$I$74,M1504=phu!$I$75,M1504=phu!$I$76,M1504=phu!$I$77,M1504=phu!$I$78),"Cam Phước Đông",""),IF(OR(M1504=phu!$I$79,M1504=phu!$I$80,M1504=phu!$I$81,M1504=phu!$I$82,M1504=phu!$I$83,M1504=phu!$I$84),"Cam Thịnh Đông",""),IF(OR(M1504=phu!$I$85,M1504=phu!$I$86,M1504=phu!$I$87,M1504=phu!$I$88),"Cam Thịnh Tây",""),IF(OR(M1504=phu!$I$89,M1504=phu!$I$90),"Cam Lập",""),IF(OR(M1504=phu!$I$91,M1504=phu!$I$92,M1504=phu!$I$93),"Cam Bình",""),IF(OR(M1504=phu!$I$94,M1504=phu!$I$95,M1504=phu!$I$96,M1504=phu!$I$97,M1504=phu!$I$98,M1504=phu!$I$99,M1504=phu!$I$100),"Huyện khác",""),IF(OR(M1504=phu!$I$101,M1504=phu!$I$102),"Tỉnh khác",""))</f>
        <v/>
      </c>
      <c r="O1504" s="814" t="str">
        <f t="shared" si="139"/>
        <v/>
      </c>
      <c r="P1504" s="254"/>
      <c r="Q1504" s="254"/>
      <c r="R1504" s="254"/>
      <c r="S1504" s="254"/>
      <c r="T1504" s="254"/>
      <c r="U1504" s="254"/>
      <c r="V1504" s="254"/>
      <c r="W1504" s="254"/>
      <c r="Y1504" s="246" t="str">
        <f t="shared" si="140"/>
        <v/>
      </c>
      <c r="Z1504" s="247" t="str">
        <f t="shared" si="138"/>
        <v/>
      </c>
      <c r="AA1504" s="246" t="str">
        <f t="shared" si="141"/>
        <v/>
      </c>
    </row>
    <row r="1505" spans="1:27" x14ac:dyDescent="0.25">
      <c r="A1505" s="248" t="str">
        <f t="shared" si="142"/>
        <v/>
      </c>
      <c r="B1505" s="249" t="str">
        <f t="shared" si="143"/>
        <v/>
      </c>
      <c r="C1505" s="250"/>
      <c r="D1505" s="251"/>
      <c r="E1505" s="241"/>
      <c r="F1505" s="252"/>
      <c r="G1505" s="252"/>
      <c r="H1505" s="253"/>
      <c r="I1505" s="250"/>
      <c r="J1505" s="250"/>
      <c r="K1505" s="270"/>
      <c r="L1505" s="250"/>
      <c r="M1505" s="250"/>
      <c r="N1505" s="553" t="str">
        <f>CONCATENATE(IF(OR(M1505=phu!$I$1,M1505=phu!$I$2,M1505=phu!$I$3),"Cam Thành Nam",""),IF(OR(M1505=phu!$I$4,M1505=phu!$I$5,M1505=phu!$I$6,M1505=phu!$I$7,M1505=phu!$I$8,M1505=phu!$I$9,M1505=phu!$I$10,M1505=phu!$I$11,M1505=phu!$I$12,M1505=phu!$I$13,M1505=phu!$I$14),"Cam Nghĩa",""),IF(OR(M1505=phu!$I$15,M1505=phu!$I$16,M1505=phu!$I$17,M1505=phu!$I$18,M1505=phu!$I$19,M1505=phu!$I$20,M1505=phu!$I$21),"Cam Phúc Bắc",""),IF(OR(M1505=phu!$I$22,M1505=phu!$I$23,M1505=phu!$I$24,M1505=phu!$I$25),"Cam Phúc Nam",""),IF(OR(M1505=phu!$I$26,M1505=phu!$I$27,M1505=phu!$I$28,M1505=phu!$I$29,M1505=phu!$I$30,M1505=phu!$I$31),"Cam Phú",""),IF(OR(M1505=phu!$I$32,M1505=phu!$I$33,M1505=phu!$I$34,M1505=phu!$I$35,M1505=phu!$I$36,M1505=phu!$I$37),"Cam Lộc",""),IF(OR(M1505=phu!$I$38,M1505=phu!$I$39,M1505=phu!$I$40,M1505=phu!$I$41,M1505=phu!$I$42,M1505=phu!$I$43,M1505=phu!$I$44),"Cam Thuận",""),IF(OR(M1505=phu!$I$45,M1505=phu!$I$46,M1505=phu!$I$47,M1505=phu!$I$48,M1505=phu!$I$49,M1505=phu!$I$50,M1505=phu!$I$51,M1505=phu!$I$52,M1505=phu!$I$53),"Cam Linh",""),IF(OR(M1505=phu!$I$54,M1505=phu!$I$55,M1505=phu!$I$56,M1505=phu!$I$57,M1505=phu!$I$58,M1505=phu!$I$59,M1505=phu!$I$60,M1505=phu!$I$61,M1505=phu!$I$62),"Cam Lợi",""),IF(OR(M1505=phu!$I$63,M1505=phu!$I$64,M1505=phu!$I$65,M1505=phu!$I$66,M1505=phu!$I$67,M1505=phu!$I$68,M1505=phu!$I$69,M1505=phu!$I$70,M1505=phu!$I$71),"Ba Ngòi",""),IF(OR(M1505=phu!$I$72,M1505=phu!$I$73,M1505=phu!$I$74,M1505=phu!$I$75,M1505=phu!$I$76,M1505=phu!$I$77,M1505=phu!$I$78),"Cam Phước Đông",""),IF(OR(M1505=phu!$I$79,M1505=phu!$I$80,M1505=phu!$I$81,M1505=phu!$I$82,M1505=phu!$I$83,M1505=phu!$I$84),"Cam Thịnh Đông",""),IF(OR(M1505=phu!$I$85,M1505=phu!$I$86,M1505=phu!$I$87,M1505=phu!$I$88),"Cam Thịnh Tây",""),IF(OR(M1505=phu!$I$89,M1505=phu!$I$90),"Cam Lập",""),IF(OR(M1505=phu!$I$91,M1505=phu!$I$92,M1505=phu!$I$93),"Cam Bình",""),IF(OR(M1505=phu!$I$94,M1505=phu!$I$95,M1505=phu!$I$96,M1505=phu!$I$97,M1505=phu!$I$98,M1505=phu!$I$99,M1505=phu!$I$100),"Huyện khác",""),IF(OR(M1505=phu!$I$101,M1505=phu!$I$102),"Tỉnh khác",""))</f>
        <v/>
      </c>
      <c r="O1505" s="814" t="str">
        <f t="shared" si="139"/>
        <v/>
      </c>
      <c r="P1505" s="254"/>
      <c r="Q1505" s="254"/>
      <c r="R1505" s="254"/>
      <c r="S1505" s="254"/>
      <c r="T1505" s="254"/>
      <c r="U1505" s="254"/>
      <c r="V1505" s="254"/>
      <c r="W1505" s="254"/>
      <c r="Y1505" s="246" t="str">
        <f t="shared" si="140"/>
        <v/>
      </c>
      <c r="Z1505" s="247" t="str">
        <f t="shared" si="138"/>
        <v/>
      </c>
      <c r="AA1505" s="246" t="str">
        <f t="shared" si="141"/>
        <v/>
      </c>
    </row>
    <row r="1506" spans="1:27" x14ac:dyDescent="0.25">
      <c r="A1506" s="248" t="str">
        <f t="shared" si="142"/>
        <v/>
      </c>
      <c r="B1506" s="249" t="str">
        <f t="shared" si="143"/>
        <v/>
      </c>
      <c r="C1506" s="250"/>
      <c r="D1506" s="251"/>
      <c r="E1506" s="241"/>
      <c r="F1506" s="252"/>
      <c r="G1506" s="252"/>
      <c r="H1506" s="253"/>
      <c r="I1506" s="250"/>
      <c r="J1506" s="250"/>
      <c r="K1506" s="270"/>
      <c r="L1506" s="250"/>
      <c r="M1506" s="250"/>
      <c r="N1506" s="553" t="str">
        <f>CONCATENATE(IF(OR(M1506=phu!$I$1,M1506=phu!$I$2,M1506=phu!$I$3),"Cam Thành Nam",""),IF(OR(M1506=phu!$I$4,M1506=phu!$I$5,M1506=phu!$I$6,M1506=phu!$I$7,M1506=phu!$I$8,M1506=phu!$I$9,M1506=phu!$I$10,M1506=phu!$I$11,M1506=phu!$I$12,M1506=phu!$I$13,M1506=phu!$I$14),"Cam Nghĩa",""),IF(OR(M1506=phu!$I$15,M1506=phu!$I$16,M1506=phu!$I$17,M1506=phu!$I$18,M1506=phu!$I$19,M1506=phu!$I$20,M1506=phu!$I$21),"Cam Phúc Bắc",""),IF(OR(M1506=phu!$I$22,M1506=phu!$I$23,M1506=phu!$I$24,M1506=phu!$I$25),"Cam Phúc Nam",""),IF(OR(M1506=phu!$I$26,M1506=phu!$I$27,M1506=phu!$I$28,M1506=phu!$I$29,M1506=phu!$I$30,M1506=phu!$I$31),"Cam Phú",""),IF(OR(M1506=phu!$I$32,M1506=phu!$I$33,M1506=phu!$I$34,M1506=phu!$I$35,M1506=phu!$I$36,M1506=phu!$I$37),"Cam Lộc",""),IF(OR(M1506=phu!$I$38,M1506=phu!$I$39,M1506=phu!$I$40,M1506=phu!$I$41,M1506=phu!$I$42,M1506=phu!$I$43,M1506=phu!$I$44),"Cam Thuận",""),IF(OR(M1506=phu!$I$45,M1506=phu!$I$46,M1506=phu!$I$47,M1506=phu!$I$48,M1506=phu!$I$49,M1506=phu!$I$50,M1506=phu!$I$51,M1506=phu!$I$52,M1506=phu!$I$53),"Cam Linh",""),IF(OR(M1506=phu!$I$54,M1506=phu!$I$55,M1506=phu!$I$56,M1506=phu!$I$57,M1506=phu!$I$58,M1506=phu!$I$59,M1506=phu!$I$60,M1506=phu!$I$61,M1506=phu!$I$62),"Cam Lợi",""),IF(OR(M1506=phu!$I$63,M1506=phu!$I$64,M1506=phu!$I$65,M1506=phu!$I$66,M1506=phu!$I$67,M1506=phu!$I$68,M1506=phu!$I$69,M1506=phu!$I$70,M1506=phu!$I$71),"Ba Ngòi",""),IF(OR(M1506=phu!$I$72,M1506=phu!$I$73,M1506=phu!$I$74,M1506=phu!$I$75,M1506=phu!$I$76,M1506=phu!$I$77,M1506=phu!$I$78),"Cam Phước Đông",""),IF(OR(M1506=phu!$I$79,M1506=phu!$I$80,M1506=phu!$I$81,M1506=phu!$I$82,M1506=phu!$I$83,M1506=phu!$I$84),"Cam Thịnh Đông",""),IF(OR(M1506=phu!$I$85,M1506=phu!$I$86,M1506=phu!$I$87,M1506=phu!$I$88),"Cam Thịnh Tây",""),IF(OR(M1506=phu!$I$89,M1506=phu!$I$90),"Cam Lập",""),IF(OR(M1506=phu!$I$91,M1506=phu!$I$92,M1506=phu!$I$93),"Cam Bình",""),IF(OR(M1506=phu!$I$94,M1506=phu!$I$95,M1506=phu!$I$96,M1506=phu!$I$97,M1506=phu!$I$98,M1506=phu!$I$99,M1506=phu!$I$100),"Huyện khác",""),IF(OR(M1506=phu!$I$101,M1506=phu!$I$102),"Tỉnh khác",""))</f>
        <v/>
      </c>
      <c r="O1506" s="814" t="str">
        <f t="shared" si="139"/>
        <v/>
      </c>
      <c r="P1506" s="254"/>
      <c r="Q1506" s="254"/>
      <c r="R1506" s="254"/>
      <c r="S1506" s="254"/>
      <c r="T1506" s="254"/>
      <c r="U1506" s="254"/>
      <c r="V1506" s="254"/>
      <c r="W1506" s="254"/>
      <c r="Y1506" s="246" t="str">
        <f t="shared" si="140"/>
        <v/>
      </c>
      <c r="Z1506" s="247" t="str">
        <f t="shared" si="138"/>
        <v/>
      </c>
      <c r="AA1506" s="246" t="str">
        <f t="shared" si="141"/>
        <v/>
      </c>
    </row>
    <row r="1507" spans="1:27" x14ac:dyDescent="0.25">
      <c r="A1507" s="248" t="str">
        <f t="shared" si="142"/>
        <v/>
      </c>
      <c r="B1507" s="249" t="str">
        <f t="shared" si="143"/>
        <v/>
      </c>
      <c r="C1507" s="250"/>
      <c r="D1507" s="251"/>
      <c r="E1507" s="241"/>
      <c r="F1507" s="252"/>
      <c r="G1507" s="252"/>
      <c r="H1507" s="253"/>
      <c r="I1507" s="250"/>
      <c r="J1507" s="250"/>
      <c r="K1507" s="270"/>
      <c r="L1507" s="250"/>
      <c r="M1507" s="250"/>
      <c r="N1507" s="553" t="str">
        <f>CONCATENATE(IF(OR(M1507=phu!$I$1,M1507=phu!$I$2,M1507=phu!$I$3),"Cam Thành Nam",""),IF(OR(M1507=phu!$I$4,M1507=phu!$I$5,M1507=phu!$I$6,M1507=phu!$I$7,M1507=phu!$I$8,M1507=phu!$I$9,M1507=phu!$I$10,M1507=phu!$I$11,M1507=phu!$I$12,M1507=phu!$I$13,M1507=phu!$I$14),"Cam Nghĩa",""),IF(OR(M1507=phu!$I$15,M1507=phu!$I$16,M1507=phu!$I$17,M1507=phu!$I$18,M1507=phu!$I$19,M1507=phu!$I$20,M1507=phu!$I$21),"Cam Phúc Bắc",""),IF(OR(M1507=phu!$I$22,M1507=phu!$I$23,M1507=phu!$I$24,M1507=phu!$I$25),"Cam Phúc Nam",""),IF(OR(M1507=phu!$I$26,M1507=phu!$I$27,M1507=phu!$I$28,M1507=phu!$I$29,M1507=phu!$I$30,M1507=phu!$I$31),"Cam Phú",""),IF(OR(M1507=phu!$I$32,M1507=phu!$I$33,M1507=phu!$I$34,M1507=phu!$I$35,M1507=phu!$I$36,M1507=phu!$I$37),"Cam Lộc",""),IF(OR(M1507=phu!$I$38,M1507=phu!$I$39,M1507=phu!$I$40,M1507=phu!$I$41,M1507=phu!$I$42,M1507=phu!$I$43,M1507=phu!$I$44),"Cam Thuận",""),IF(OR(M1507=phu!$I$45,M1507=phu!$I$46,M1507=phu!$I$47,M1507=phu!$I$48,M1507=phu!$I$49,M1507=phu!$I$50,M1507=phu!$I$51,M1507=phu!$I$52,M1507=phu!$I$53),"Cam Linh",""),IF(OR(M1507=phu!$I$54,M1507=phu!$I$55,M1507=phu!$I$56,M1507=phu!$I$57,M1507=phu!$I$58,M1507=phu!$I$59,M1507=phu!$I$60,M1507=phu!$I$61,M1507=phu!$I$62),"Cam Lợi",""),IF(OR(M1507=phu!$I$63,M1507=phu!$I$64,M1507=phu!$I$65,M1507=phu!$I$66,M1507=phu!$I$67,M1507=phu!$I$68,M1507=phu!$I$69,M1507=phu!$I$70,M1507=phu!$I$71),"Ba Ngòi",""),IF(OR(M1507=phu!$I$72,M1507=phu!$I$73,M1507=phu!$I$74,M1507=phu!$I$75,M1507=phu!$I$76,M1507=phu!$I$77,M1507=phu!$I$78),"Cam Phước Đông",""),IF(OR(M1507=phu!$I$79,M1507=phu!$I$80,M1507=phu!$I$81,M1507=phu!$I$82,M1507=phu!$I$83,M1507=phu!$I$84),"Cam Thịnh Đông",""),IF(OR(M1507=phu!$I$85,M1507=phu!$I$86,M1507=phu!$I$87,M1507=phu!$I$88),"Cam Thịnh Tây",""),IF(OR(M1507=phu!$I$89,M1507=phu!$I$90),"Cam Lập",""),IF(OR(M1507=phu!$I$91,M1507=phu!$I$92,M1507=phu!$I$93),"Cam Bình",""),IF(OR(M1507=phu!$I$94,M1507=phu!$I$95,M1507=phu!$I$96,M1507=phu!$I$97,M1507=phu!$I$98,M1507=phu!$I$99,M1507=phu!$I$100),"Huyện khác",""),IF(OR(M1507=phu!$I$101,M1507=phu!$I$102),"Tỉnh khác",""))</f>
        <v/>
      </c>
      <c r="O1507" s="814" t="str">
        <f t="shared" si="139"/>
        <v/>
      </c>
      <c r="P1507" s="254"/>
      <c r="Q1507" s="254"/>
      <c r="R1507" s="254"/>
      <c r="S1507" s="254"/>
      <c r="T1507" s="254"/>
      <c r="U1507" s="254"/>
      <c r="V1507" s="254"/>
      <c r="W1507" s="254"/>
      <c r="Y1507" s="246" t="str">
        <f t="shared" si="140"/>
        <v/>
      </c>
      <c r="Z1507" s="247" t="str">
        <f t="shared" si="138"/>
        <v/>
      </c>
      <c r="AA1507" s="246" t="str">
        <f t="shared" si="141"/>
        <v/>
      </c>
    </row>
    <row r="1508" spans="1:27" x14ac:dyDescent="0.25">
      <c r="A1508" s="248" t="str">
        <f t="shared" si="142"/>
        <v/>
      </c>
      <c r="B1508" s="249" t="str">
        <f t="shared" si="143"/>
        <v/>
      </c>
      <c r="C1508" s="250"/>
      <c r="D1508" s="251"/>
      <c r="E1508" s="241"/>
      <c r="F1508" s="252"/>
      <c r="G1508" s="252"/>
      <c r="H1508" s="253"/>
      <c r="I1508" s="250"/>
      <c r="J1508" s="250"/>
      <c r="K1508" s="270"/>
      <c r="L1508" s="250"/>
      <c r="M1508" s="250"/>
      <c r="N1508" s="553" t="str">
        <f>CONCATENATE(IF(OR(M1508=phu!$I$1,M1508=phu!$I$2,M1508=phu!$I$3),"Cam Thành Nam",""),IF(OR(M1508=phu!$I$4,M1508=phu!$I$5,M1508=phu!$I$6,M1508=phu!$I$7,M1508=phu!$I$8,M1508=phu!$I$9,M1508=phu!$I$10,M1508=phu!$I$11,M1508=phu!$I$12,M1508=phu!$I$13,M1508=phu!$I$14),"Cam Nghĩa",""),IF(OR(M1508=phu!$I$15,M1508=phu!$I$16,M1508=phu!$I$17,M1508=phu!$I$18,M1508=phu!$I$19,M1508=phu!$I$20,M1508=phu!$I$21),"Cam Phúc Bắc",""),IF(OR(M1508=phu!$I$22,M1508=phu!$I$23,M1508=phu!$I$24,M1508=phu!$I$25),"Cam Phúc Nam",""),IF(OR(M1508=phu!$I$26,M1508=phu!$I$27,M1508=phu!$I$28,M1508=phu!$I$29,M1508=phu!$I$30,M1508=phu!$I$31),"Cam Phú",""),IF(OR(M1508=phu!$I$32,M1508=phu!$I$33,M1508=phu!$I$34,M1508=phu!$I$35,M1508=phu!$I$36,M1508=phu!$I$37),"Cam Lộc",""),IF(OR(M1508=phu!$I$38,M1508=phu!$I$39,M1508=phu!$I$40,M1508=phu!$I$41,M1508=phu!$I$42,M1508=phu!$I$43,M1508=phu!$I$44),"Cam Thuận",""),IF(OR(M1508=phu!$I$45,M1508=phu!$I$46,M1508=phu!$I$47,M1508=phu!$I$48,M1508=phu!$I$49,M1508=phu!$I$50,M1508=phu!$I$51,M1508=phu!$I$52,M1508=phu!$I$53),"Cam Linh",""),IF(OR(M1508=phu!$I$54,M1508=phu!$I$55,M1508=phu!$I$56,M1508=phu!$I$57,M1508=phu!$I$58,M1508=phu!$I$59,M1508=phu!$I$60,M1508=phu!$I$61,M1508=phu!$I$62),"Cam Lợi",""),IF(OR(M1508=phu!$I$63,M1508=phu!$I$64,M1508=phu!$I$65,M1508=phu!$I$66,M1508=phu!$I$67,M1508=phu!$I$68,M1508=phu!$I$69,M1508=phu!$I$70,M1508=phu!$I$71),"Ba Ngòi",""),IF(OR(M1508=phu!$I$72,M1508=phu!$I$73,M1508=phu!$I$74,M1508=phu!$I$75,M1508=phu!$I$76,M1508=phu!$I$77,M1508=phu!$I$78),"Cam Phước Đông",""),IF(OR(M1508=phu!$I$79,M1508=phu!$I$80,M1508=phu!$I$81,M1508=phu!$I$82,M1508=phu!$I$83,M1508=phu!$I$84),"Cam Thịnh Đông",""),IF(OR(M1508=phu!$I$85,M1508=phu!$I$86,M1508=phu!$I$87,M1508=phu!$I$88),"Cam Thịnh Tây",""),IF(OR(M1508=phu!$I$89,M1508=phu!$I$90),"Cam Lập",""),IF(OR(M1508=phu!$I$91,M1508=phu!$I$92,M1508=phu!$I$93),"Cam Bình",""),IF(OR(M1508=phu!$I$94,M1508=phu!$I$95,M1508=phu!$I$96,M1508=phu!$I$97,M1508=phu!$I$98,M1508=phu!$I$99,M1508=phu!$I$100),"Huyện khác",""),IF(OR(M1508=phu!$I$101,M1508=phu!$I$102),"Tỉnh khác",""))</f>
        <v/>
      </c>
      <c r="O1508" s="814" t="str">
        <f t="shared" si="139"/>
        <v/>
      </c>
      <c r="P1508" s="254"/>
      <c r="Q1508" s="254"/>
      <c r="R1508" s="254"/>
      <c r="S1508" s="254"/>
      <c r="T1508" s="254"/>
      <c r="U1508" s="254"/>
      <c r="V1508" s="254"/>
      <c r="W1508" s="254"/>
      <c r="Y1508" s="246" t="str">
        <f t="shared" si="140"/>
        <v/>
      </c>
      <c r="Z1508" s="247" t="str">
        <f t="shared" si="138"/>
        <v/>
      </c>
      <c r="AA1508" s="246" t="str">
        <f t="shared" si="141"/>
        <v/>
      </c>
    </row>
    <row r="1509" spans="1:27" x14ac:dyDescent="0.25">
      <c r="A1509" s="248" t="str">
        <f t="shared" si="142"/>
        <v/>
      </c>
      <c r="B1509" s="249" t="str">
        <f t="shared" si="143"/>
        <v/>
      </c>
      <c r="C1509" s="250"/>
      <c r="D1509" s="251"/>
      <c r="E1509" s="241"/>
      <c r="F1509" s="252"/>
      <c r="G1509" s="252"/>
      <c r="H1509" s="253"/>
      <c r="I1509" s="250"/>
      <c r="J1509" s="250"/>
      <c r="K1509" s="270"/>
      <c r="L1509" s="250"/>
      <c r="M1509" s="250"/>
      <c r="N1509" s="553" t="str">
        <f>CONCATENATE(IF(OR(M1509=phu!$I$1,M1509=phu!$I$2,M1509=phu!$I$3),"Cam Thành Nam",""),IF(OR(M1509=phu!$I$4,M1509=phu!$I$5,M1509=phu!$I$6,M1509=phu!$I$7,M1509=phu!$I$8,M1509=phu!$I$9,M1509=phu!$I$10,M1509=phu!$I$11,M1509=phu!$I$12,M1509=phu!$I$13,M1509=phu!$I$14),"Cam Nghĩa",""),IF(OR(M1509=phu!$I$15,M1509=phu!$I$16,M1509=phu!$I$17,M1509=phu!$I$18,M1509=phu!$I$19,M1509=phu!$I$20,M1509=phu!$I$21),"Cam Phúc Bắc",""),IF(OR(M1509=phu!$I$22,M1509=phu!$I$23,M1509=phu!$I$24,M1509=phu!$I$25),"Cam Phúc Nam",""),IF(OR(M1509=phu!$I$26,M1509=phu!$I$27,M1509=phu!$I$28,M1509=phu!$I$29,M1509=phu!$I$30,M1509=phu!$I$31),"Cam Phú",""),IF(OR(M1509=phu!$I$32,M1509=phu!$I$33,M1509=phu!$I$34,M1509=phu!$I$35,M1509=phu!$I$36,M1509=phu!$I$37),"Cam Lộc",""),IF(OR(M1509=phu!$I$38,M1509=phu!$I$39,M1509=phu!$I$40,M1509=phu!$I$41,M1509=phu!$I$42,M1509=phu!$I$43,M1509=phu!$I$44),"Cam Thuận",""),IF(OR(M1509=phu!$I$45,M1509=phu!$I$46,M1509=phu!$I$47,M1509=phu!$I$48,M1509=phu!$I$49,M1509=phu!$I$50,M1509=phu!$I$51,M1509=phu!$I$52,M1509=phu!$I$53),"Cam Linh",""),IF(OR(M1509=phu!$I$54,M1509=phu!$I$55,M1509=phu!$I$56,M1509=phu!$I$57,M1509=phu!$I$58,M1509=phu!$I$59,M1509=phu!$I$60,M1509=phu!$I$61,M1509=phu!$I$62),"Cam Lợi",""),IF(OR(M1509=phu!$I$63,M1509=phu!$I$64,M1509=phu!$I$65,M1509=phu!$I$66,M1509=phu!$I$67,M1509=phu!$I$68,M1509=phu!$I$69,M1509=phu!$I$70,M1509=phu!$I$71),"Ba Ngòi",""),IF(OR(M1509=phu!$I$72,M1509=phu!$I$73,M1509=phu!$I$74,M1509=phu!$I$75,M1509=phu!$I$76,M1509=phu!$I$77,M1509=phu!$I$78),"Cam Phước Đông",""),IF(OR(M1509=phu!$I$79,M1509=phu!$I$80,M1509=phu!$I$81,M1509=phu!$I$82,M1509=phu!$I$83,M1509=phu!$I$84),"Cam Thịnh Đông",""),IF(OR(M1509=phu!$I$85,M1509=phu!$I$86,M1509=phu!$I$87,M1509=phu!$I$88),"Cam Thịnh Tây",""),IF(OR(M1509=phu!$I$89,M1509=phu!$I$90),"Cam Lập",""),IF(OR(M1509=phu!$I$91,M1509=phu!$I$92,M1509=phu!$I$93),"Cam Bình",""),IF(OR(M1509=phu!$I$94,M1509=phu!$I$95,M1509=phu!$I$96,M1509=phu!$I$97,M1509=phu!$I$98,M1509=phu!$I$99,M1509=phu!$I$100),"Huyện khác",""),IF(OR(M1509=phu!$I$101,M1509=phu!$I$102),"Tỉnh khác",""))</f>
        <v/>
      </c>
      <c r="O1509" s="814" t="str">
        <f t="shared" si="139"/>
        <v/>
      </c>
      <c r="P1509" s="254"/>
      <c r="Q1509" s="254"/>
      <c r="R1509" s="254"/>
      <c r="S1509" s="254"/>
      <c r="T1509" s="254"/>
      <c r="U1509" s="254"/>
      <c r="V1509" s="254"/>
      <c r="W1509" s="254"/>
      <c r="Y1509" s="246" t="str">
        <f t="shared" si="140"/>
        <v/>
      </c>
      <c r="Z1509" s="247" t="str">
        <f t="shared" si="138"/>
        <v/>
      </c>
      <c r="AA1509" s="246" t="str">
        <f t="shared" si="141"/>
        <v/>
      </c>
    </row>
    <row r="1510" spans="1:27" x14ac:dyDescent="0.25">
      <c r="A1510" s="248" t="str">
        <f t="shared" si="142"/>
        <v/>
      </c>
      <c r="B1510" s="249" t="str">
        <f t="shared" si="143"/>
        <v/>
      </c>
      <c r="C1510" s="250"/>
      <c r="D1510" s="251"/>
      <c r="E1510" s="241"/>
      <c r="F1510" s="252"/>
      <c r="G1510" s="252"/>
      <c r="H1510" s="253"/>
      <c r="I1510" s="250"/>
      <c r="J1510" s="250"/>
      <c r="K1510" s="270"/>
      <c r="L1510" s="250"/>
      <c r="M1510" s="250"/>
      <c r="N1510" s="553" t="str">
        <f>CONCATENATE(IF(OR(M1510=phu!$I$1,M1510=phu!$I$2,M1510=phu!$I$3),"Cam Thành Nam",""),IF(OR(M1510=phu!$I$4,M1510=phu!$I$5,M1510=phu!$I$6,M1510=phu!$I$7,M1510=phu!$I$8,M1510=phu!$I$9,M1510=phu!$I$10,M1510=phu!$I$11,M1510=phu!$I$12,M1510=phu!$I$13,M1510=phu!$I$14),"Cam Nghĩa",""),IF(OR(M1510=phu!$I$15,M1510=phu!$I$16,M1510=phu!$I$17,M1510=phu!$I$18,M1510=phu!$I$19,M1510=phu!$I$20,M1510=phu!$I$21),"Cam Phúc Bắc",""),IF(OR(M1510=phu!$I$22,M1510=phu!$I$23,M1510=phu!$I$24,M1510=phu!$I$25),"Cam Phúc Nam",""),IF(OR(M1510=phu!$I$26,M1510=phu!$I$27,M1510=phu!$I$28,M1510=phu!$I$29,M1510=phu!$I$30,M1510=phu!$I$31),"Cam Phú",""),IF(OR(M1510=phu!$I$32,M1510=phu!$I$33,M1510=phu!$I$34,M1510=phu!$I$35,M1510=phu!$I$36,M1510=phu!$I$37),"Cam Lộc",""),IF(OR(M1510=phu!$I$38,M1510=phu!$I$39,M1510=phu!$I$40,M1510=phu!$I$41,M1510=phu!$I$42,M1510=phu!$I$43,M1510=phu!$I$44),"Cam Thuận",""),IF(OR(M1510=phu!$I$45,M1510=phu!$I$46,M1510=phu!$I$47,M1510=phu!$I$48,M1510=phu!$I$49,M1510=phu!$I$50,M1510=phu!$I$51,M1510=phu!$I$52,M1510=phu!$I$53),"Cam Linh",""),IF(OR(M1510=phu!$I$54,M1510=phu!$I$55,M1510=phu!$I$56,M1510=phu!$I$57,M1510=phu!$I$58,M1510=phu!$I$59,M1510=phu!$I$60,M1510=phu!$I$61,M1510=phu!$I$62),"Cam Lợi",""),IF(OR(M1510=phu!$I$63,M1510=phu!$I$64,M1510=phu!$I$65,M1510=phu!$I$66,M1510=phu!$I$67,M1510=phu!$I$68,M1510=phu!$I$69,M1510=phu!$I$70,M1510=phu!$I$71),"Ba Ngòi",""),IF(OR(M1510=phu!$I$72,M1510=phu!$I$73,M1510=phu!$I$74,M1510=phu!$I$75,M1510=phu!$I$76,M1510=phu!$I$77,M1510=phu!$I$78),"Cam Phước Đông",""),IF(OR(M1510=phu!$I$79,M1510=phu!$I$80,M1510=phu!$I$81,M1510=phu!$I$82,M1510=phu!$I$83,M1510=phu!$I$84),"Cam Thịnh Đông",""),IF(OR(M1510=phu!$I$85,M1510=phu!$I$86,M1510=phu!$I$87,M1510=phu!$I$88),"Cam Thịnh Tây",""),IF(OR(M1510=phu!$I$89,M1510=phu!$I$90),"Cam Lập",""),IF(OR(M1510=phu!$I$91,M1510=phu!$I$92,M1510=phu!$I$93),"Cam Bình",""),IF(OR(M1510=phu!$I$94,M1510=phu!$I$95,M1510=phu!$I$96,M1510=phu!$I$97,M1510=phu!$I$98,M1510=phu!$I$99,M1510=phu!$I$100),"Huyện khác",""),IF(OR(M1510=phu!$I$101,M1510=phu!$I$102),"Tỉnh khác",""))</f>
        <v/>
      </c>
      <c r="O1510" s="814" t="str">
        <f t="shared" si="139"/>
        <v/>
      </c>
      <c r="P1510" s="254"/>
      <c r="Q1510" s="254"/>
      <c r="R1510" s="254"/>
      <c r="S1510" s="254"/>
      <c r="T1510" s="254"/>
      <c r="U1510" s="254"/>
      <c r="V1510" s="254"/>
      <c r="W1510" s="254"/>
      <c r="Y1510" s="246" t="str">
        <f t="shared" si="140"/>
        <v/>
      </c>
      <c r="Z1510" s="247" t="str">
        <f t="shared" si="138"/>
        <v/>
      </c>
      <c r="AA1510" s="246" t="str">
        <f t="shared" si="141"/>
        <v/>
      </c>
    </row>
    <row r="1511" spans="1:27" x14ac:dyDescent="0.25">
      <c r="A1511" s="248" t="str">
        <f t="shared" si="142"/>
        <v/>
      </c>
      <c r="B1511" s="249" t="str">
        <f t="shared" si="143"/>
        <v/>
      </c>
      <c r="C1511" s="250"/>
      <c r="D1511" s="251"/>
      <c r="E1511" s="241"/>
      <c r="F1511" s="252"/>
      <c r="G1511" s="252"/>
      <c r="H1511" s="253"/>
      <c r="I1511" s="250"/>
      <c r="J1511" s="250"/>
      <c r="K1511" s="270"/>
      <c r="L1511" s="250"/>
      <c r="M1511" s="250"/>
      <c r="N1511" s="553" t="str">
        <f>CONCATENATE(IF(OR(M1511=phu!$I$1,M1511=phu!$I$2,M1511=phu!$I$3),"Cam Thành Nam",""),IF(OR(M1511=phu!$I$4,M1511=phu!$I$5,M1511=phu!$I$6,M1511=phu!$I$7,M1511=phu!$I$8,M1511=phu!$I$9,M1511=phu!$I$10,M1511=phu!$I$11,M1511=phu!$I$12,M1511=phu!$I$13,M1511=phu!$I$14),"Cam Nghĩa",""),IF(OR(M1511=phu!$I$15,M1511=phu!$I$16,M1511=phu!$I$17,M1511=phu!$I$18,M1511=phu!$I$19,M1511=phu!$I$20,M1511=phu!$I$21),"Cam Phúc Bắc",""),IF(OR(M1511=phu!$I$22,M1511=phu!$I$23,M1511=phu!$I$24,M1511=phu!$I$25),"Cam Phúc Nam",""),IF(OR(M1511=phu!$I$26,M1511=phu!$I$27,M1511=phu!$I$28,M1511=phu!$I$29,M1511=phu!$I$30,M1511=phu!$I$31),"Cam Phú",""),IF(OR(M1511=phu!$I$32,M1511=phu!$I$33,M1511=phu!$I$34,M1511=phu!$I$35,M1511=phu!$I$36,M1511=phu!$I$37),"Cam Lộc",""),IF(OR(M1511=phu!$I$38,M1511=phu!$I$39,M1511=phu!$I$40,M1511=phu!$I$41,M1511=phu!$I$42,M1511=phu!$I$43,M1511=phu!$I$44),"Cam Thuận",""),IF(OR(M1511=phu!$I$45,M1511=phu!$I$46,M1511=phu!$I$47,M1511=phu!$I$48,M1511=phu!$I$49,M1511=phu!$I$50,M1511=phu!$I$51,M1511=phu!$I$52,M1511=phu!$I$53),"Cam Linh",""),IF(OR(M1511=phu!$I$54,M1511=phu!$I$55,M1511=phu!$I$56,M1511=phu!$I$57,M1511=phu!$I$58,M1511=phu!$I$59,M1511=phu!$I$60,M1511=phu!$I$61,M1511=phu!$I$62),"Cam Lợi",""),IF(OR(M1511=phu!$I$63,M1511=phu!$I$64,M1511=phu!$I$65,M1511=phu!$I$66,M1511=phu!$I$67,M1511=phu!$I$68,M1511=phu!$I$69,M1511=phu!$I$70,M1511=phu!$I$71),"Ba Ngòi",""),IF(OR(M1511=phu!$I$72,M1511=phu!$I$73,M1511=phu!$I$74,M1511=phu!$I$75,M1511=phu!$I$76,M1511=phu!$I$77,M1511=phu!$I$78),"Cam Phước Đông",""),IF(OR(M1511=phu!$I$79,M1511=phu!$I$80,M1511=phu!$I$81,M1511=phu!$I$82,M1511=phu!$I$83,M1511=phu!$I$84),"Cam Thịnh Đông",""),IF(OR(M1511=phu!$I$85,M1511=phu!$I$86,M1511=phu!$I$87,M1511=phu!$I$88),"Cam Thịnh Tây",""),IF(OR(M1511=phu!$I$89,M1511=phu!$I$90),"Cam Lập",""),IF(OR(M1511=phu!$I$91,M1511=phu!$I$92,M1511=phu!$I$93),"Cam Bình",""),IF(OR(M1511=phu!$I$94,M1511=phu!$I$95,M1511=phu!$I$96,M1511=phu!$I$97,M1511=phu!$I$98,M1511=phu!$I$99,M1511=phu!$I$100),"Huyện khác",""),IF(OR(M1511=phu!$I$101,M1511=phu!$I$102),"Tỉnh khác",""))</f>
        <v/>
      </c>
      <c r="O1511" s="814" t="str">
        <f t="shared" si="139"/>
        <v/>
      </c>
      <c r="P1511" s="254"/>
      <c r="Q1511" s="254"/>
      <c r="R1511" s="254"/>
      <c r="S1511" s="254"/>
      <c r="T1511" s="254"/>
      <c r="U1511" s="254"/>
      <c r="V1511" s="254"/>
      <c r="W1511" s="254"/>
      <c r="Y1511" s="246" t="str">
        <f t="shared" si="140"/>
        <v/>
      </c>
      <c r="Z1511" s="247" t="str">
        <f t="shared" si="138"/>
        <v/>
      </c>
      <c r="AA1511" s="246" t="str">
        <f t="shared" si="141"/>
        <v/>
      </c>
    </row>
    <row r="1512" spans="1:27" x14ac:dyDescent="0.25">
      <c r="A1512" s="248" t="str">
        <f t="shared" si="142"/>
        <v/>
      </c>
      <c r="B1512" s="249" t="str">
        <f t="shared" si="143"/>
        <v/>
      </c>
      <c r="C1512" s="250"/>
      <c r="D1512" s="251"/>
      <c r="E1512" s="241"/>
      <c r="F1512" s="252"/>
      <c r="G1512" s="252"/>
      <c r="H1512" s="253"/>
      <c r="I1512" s="250"/>
      <c r="J1512" s="250"/>
      <c r="K1512" s="270"/>
      <c r="L1512" s="250"/>
      <c r="M1512" s="250"/>
      <c r="N1512" s="553" t="str">
        <f>CONCATENATE(IF(OR(M1512=phu!$I$1,M1512=phu!$I$2,M1512=phu!$I$3),"Cam Thành Nam",""),IF(OR(M1512=phu!$I$4,M1512=phu!$I$5,M1512=phu!$I$6,M1512=phu!$I$7,M1512=phu!$I$8,M1512=phu!$I$9,M1512=phu!$I$10,M1512=phu!$I$11,M1512=phu!$I$12,M1512=phu!$I$13,M1512=phu!$I$14),"Cam Nghĩa",""),IF(OR(M1512=phu!$I$15,M1512=phu!$I$16,M1512=phu!$I$17,M1512=phu!$I$18,M1512=phu!$I$19,M1512=phu!$I$20,M1512=phu!$I$21),"Cam Phúc Bắc",""),IF(OR(M1512=phu!$I$22,M1512=phu!$I$23,M1512=phu!$I$24,M1512=phu!$I$25),"Cam Phúc Nam",""),IF(OR(M1512=phu!$I$26,M1512=phu!$I$27,M1512=phu!$I$28,M1512=phu!$I$29,M1512=phu!$I$30,M1512=phu!$I$31),"Cam Phú",""),IF(OR(M1512=phu!$I$32,M1512=phu!$I$33,M1512=phu!$I$34,M1512=phu!$I$35,M1512=phu!$I$36,M1512=phu!$I$37),"Cam Lộc",""),IF(OR(M1512=phu!$I$38,M1512=phu!$I$39,M1512=phu!$I$40,M1512=phu!$I$41,M1512=phu!$I$42,M1512=phu!$I$43,M1512=phu!$I$44),"Cam Thuận",""),IF(OR(M1512=phu!$I$45,M1512=phu!$I$46,M1512=phu!$I$47,M1512=phu!$I$48,M1512=phu!$I$49,M1512=phu!$I$50,M1512=phu!$I$51,M1512=phu!$I$52,M1512=phu!$I$53),"Cam Linh",""),IF(OR(M1512=phu!$I$54,M1512=phu!$I$55,M1512=phu!$I$56,M1512=phu!$I$57,M1512=phu!$I$58,M1512=phu!$I$59,M1512=phu!$I$60,M1512=phu!$I$61,M1512=phu!$I$62),"Cam Lợi",""),IF(OR(M1512=phu!$I$63,M1512=phu!$I$64,M1512=phu!$I$65,M1512=phu!$I$66,M1512=phu!$I$67,M1512=phu!$I$68,M1512=phu!$I$69,M1512=phu!$I$70,M1512=phu!$I$71),"Ba Ngòi",""),IF(OR(M1512=phu!$I$72,M1512=phu!$I$73,M1512=phu!$I$74,M1512=phu!$I$75,M1512=phu!$I$76,M1512=phu!$I$77,M1512=phu!$I$78),"Cam Phước Đông",""),IF(OR(M1512=phu!$I$79,M1512=phu!$I$80,M1512=phu!$I$81,M1512=phu!$I$82,M1512=phu!$I$83,M1512=phu!$I$84),"Cam Thịnh Đông",""),IF(OR(M1512=phu!$I$85,M1512=phu!$I$86,M1512=phu!$I$87,M1512=phu!$I$88),"Cam Thịnh Tây",""),IF(OR(M1512=phu!$I$89,M1512=phu!$I$90),"Cam Lập",""),IF(OR(M1512=phu!$I$91,M1512=phu!$I$92,M1512=phu!$I$93),"Cam Bình",""),IF(OR(M1512=phu!$I$94,M1512=phu!$I$95,M1512=phu!$I$96,M1512=phu!$I$97,M1512=phu!$I$98,M1512=phu!$I$99,M1512=phu!$I$100),"Huyện khác",""),IF(OR(M1512=phu!$I$101,M1512=phu!$I$102),"Tỉnh khác",""))</f>
        <v/>
      </c>
      <c r="O1512" s="814" t="str">
        <f t="shared" si="139"/>
        <v/>
      </c>
      <c r="P1512" s="254"/>
      <c r="Q1512" s="254"/>
      <c r="R1512" s="254"/>
      <c r="S1512" s="254"/>
      <c r="T1512" s="254"/>
      <c r="U1512" s="254"/>
      <c r="V1512" s="254"/>
      <c r="W1512" s="254"/>
      <c r="Y1512" s="246" t="str">
        <f t="shared" si="140"/>
        <v/>
      </c>
      <c r="Z1512" s="247" t="str">
        <f t="shared" si="138"/>
        <v/>
      </c>
      <c r="AA1512" s="246" t="str">
        <f t="shared" si="141"/>
        <v/>
      </c>
    </row>
    <row r="1513" spans="1:27" x14ac:dyDescent="0.25">
      <c r="A1513" s="248" t="str">
        <f t="shared" si="142"/>
        <v/>
      </c>
      <c r="B1513" s="249" t="str">
        <f t="shared" si="143"/>
        <v/>
      </c>
      <c r="C1513" s="250"/>
      <c r="D1513" s="251"/>
      <c r="E1513" s="241"/>
      <c r="F1513" s="252"/>
      <c r="G1513" s="252"/>
      <c r="H1513" s="253"/>
      <c r="I1513" s="250"/>
      <c r="J1513" s="250"/>
      <c r="K1513" s="270"/>
      <c r="L1513" s="250"/>
      <c r="M1513" s="250"/>
      <c r="N1513" s="553" t="str">
        <f>CONCATENATE(IF(OR(M1513=phu!$I$1,M1513=phu!$I$2,M1513=phu!$I$3),"Cam Thành Nam",""),IF(OR(M1513=phu!$I$4,M1513=phu!$I$5,M1513=phu!$I$6,M1513=phu!$I$7,M1513=phu!$I$8,M1513=phu!$I$9,M1513=phu!$I$10,M1513=phu!$I$11,M1513=phu!$I$12,M1513=phu!$I$13,M1513=phu!$I$14),"Cam Nghĩa",""),IF(OR(M1513=phu!$I$15,M1513=phu!$I$16,M1513=phu!$I$17,M1513=phu!$I$18,M1513=phu!$I$19,M1513=phu!$I$20,M1513=phu!$I$21),"Cam Phúc Bắc",""),IF(OR(M1513=phu!$I$22,M1513=phu!$I$23,M1513=phu!$I$24,M1513=phu!$I$25),"Cam Phúc Nam",""),IF(OR(M1513=phu!$I$26,M1513=phu!$I$27,M1513=phu!$I$28,M1513=phu!$I$29,M1513=phu!$I$30,M1513=phu!$I$31),"Cam Phú",""),IF(OR(M1513=phu!$I$32,M1513=phu!$I$33,M1513=phu!$I$34,M1513=phu!$I$35,M1513=phu!$I$36,M1513=phu!$I$37),"Cam Lộc",""),IF(OR(M1513=phu!$I$38,M1513=phu!$I$39,M1513=phu!$I$40,M1513=phu!$I$41,M1513=phu!$I$42,M1513=phu!$I$43,M1513=phu!$I$44),"Cam Thuận",""),IF(OR(M1513=phu!$I$45,M1513=phu!$I$46,M1513=phu!$I$47,M1513=phu!$I$48,M1513=phu!$I$49,M1513=phu!$I$50,M1513=phu!$I$51,M1513=phu!$I$52,M1513=phu!$I$53),"Cam Linh",""),IF(OR(M1513=phu!$I$54,M1513=phu!$I$55,M1513=phu!$I$56,M1513=phu!$I$57,M1513=phu!$I$58,M1513=phu!$I$59,M1513=phu!$I$60,M1513=phu!$I$61,M1513=phu!$I$62),"Cam Lợi",""),IF(OR(M1513=phu!$I$63,M1513=phu!$I$64,M1513=phu!$I$65,M1513=phu!$I$66,M1513=phu!$I$67,M1513=phu!$I$68,M1513=phu!$I$69,M1513=phu!$I$70,M1513=phu!$I$71),"Ba Ngòi",""),IF(OR(M1513=phu!$I$72,M1513=phu!$I$73,M1513=phu!$I$74,M1513=phu!$I$75,M1513=phu!$I$76,M1513=phu!$I$77,M1513=phu!$I$78),"Cam Phước Đông",""),IF(OR(M1513=phu!$I$79,M1513=phu!$I$80,M1513=phu!$I$81,M1513=phu!$I$82,M1513=phu!$I$83,M1513=phu!$I$84),"Cam Thịnh Đông",""),IF(OR(M1513=phu!$I$85,M1513=phu!$I$86,M1513=phu!$I$87,M1513=phu!$I$88),"Cam Thịnh Tây",""),IF(OR(M1513=phu!$I$89,M1513=phu!$I$90),"Cam Lập",""),IF(OR(M1513=phu!$I$91,M1513=phu!$I$92,M1513=phu!$I$93),"Cam Bình",""),IF(OR(M1513=phu!$I$94,M1513=phu!$I$95,M1513=phu!$I$96,M1513=phu!$I$97,M1513=phu!$I$98,M1513=phu!$I$99,M1513=phu!$I$100),"Huyện khác",""),IF(OR(M1513=phu!$I$101,M1513=phu!$I$102),"Tỉnh khác",""))</f>
        <v/>
      </c>
      <c r="O1513" s="814" t="str">
        <f t="shared" si="139"/>
        <v/>
      </c>
      <c r="P1513" s="254"/>
      <c r="Q1513" s="254"/>
      <c r="R1513" s="254"/>
      <c r="S1513" s="254"/>
      <c r="T1513" s="254"/>
      <c r="U1513" s="254"/>
      <c r="V1513" s="254"/>
      <c r="W1513" s="254"/>
      <c r="Y1513" s="246" t="str">
        <f t="shared" si="140"/>
        <v/>
      </c>
      <c r="Z1513" s="247" t="str">
        <f t="shared" si="138"/>
        <v/>
      </c>
      <c r="AA1513" s="246" t="str">
        <f t="shared" si="141"/>
        <v/>
      </c>
    </row>
    <row r="1514" spans="1:27" x14ac:dyDescent="0.25">
      <c r="A1514" s="248" t="str">
        <f t="shared" si="142"/>
        <v/>
      </c>
      <c r="B1514" s="249" t="str">
        <f t="shared" si="143"/>
        <v/>
      </c>
      <c r="C1514" s="250"/>
      <c r="D1514" s="251"/>
      <c r="E1514" s="241"/>
      <c r="F1514" s="252"/>
      <c r="G1514" s="252"/>
      <c r="H1514" s="253"/>
      <c r="I1514" s="250"/>
      <c r="J1514" s="250"/>
      <c r="K1514" s="270"/>
      <c r="L1514" s="250"/>
      <c r="M1514" s="250"/>
      <c r="N1514" s="553" t="str">
        <f>CONCATENATE(IF(OR(M1514=phu!$I$1,M1514=phu!$I$2,M1514=phu!$I$3),"Cam Thành Nam",""),IF(OR(M1514=phu!$I$4,M1514=phu!$I$5,M1514=phu!$I$6,M1514=phu!$I$7,M1514=phu!$I$8,M1514=phu!$I$9,M1514=phu!$I$10,M1514=phu!$I$11,M1514=phu!$I$12,M1514=phu!$I$13,M1514=phu!$I$14),"Cam Nghĩa",""),IF(OR(M1514=phu!$I$15,M1514=phu!$I$16,M1514=phu!$I$17,M1514=phu!$I$18,M1514=phu!$I$19,M1514=phu!$I$20,M1514=phu!$I$21),"Cam Phúc Bắc",""),IF(OR(M1514=phu!$I$22,M1514=phu!$I$23,M1514=phu!$I$24,M1514=phu!$I$25),"Cam Phúc Nam",""),IF(OR(M1514=phu!$I$26,M1514=phu!$I$27,M1514=phu!$I$28,M1514=phu!$I$29,M1514=phu!$I$30,M1514=phu!$I$31),"Cam Phú",""),IF(OR(M1514=phu!$I$32,M1514=phu!$I$33,M1514=phu!$I$34,M1514=phu!$I$35,M1514=phu!$I$36,M1514=phu!$I$37),"Cam Lộc",""),IF(OR(M1514=phu!$I$38,M1514=phu!$I$39,M1514=phu!$I$40,M1514=phu!$I$41,M1514=phu!$I$42,M1514=phu!$I$43,M1514=phu!$I$44),"Cam Thuận",""),IF(OR(M1514=phu!$I$45,M1514=phu!$I$46,M1514=phu!$I$47,M1514=phu!$I$48,M1514=phu!$I$49,M1514=phu!$I$50,M1514=phu!$I$51,M1514=phu!$I$52,M1514=phu!$I$53),"Cam Linh",""),IF(OR(M1514=phu!$I$54,M1514=phu!$I$55,M1514=phu!$I$56,M1514=phu!$I$57,M1514=phu!$I$58,M1514=phu!$I$59,M1514=phu!$I$60,M1514=phu!$I$61,M1514=phu!$I$62),"Cam Lợi",""),IF(OR(M1514=phu!$I$63,M1514=phu!$I$64,M1514=phu!$I$65,M1514=phu!$I$66,M1514=phu!$I$67,M1514=phu!$I$68,M1514=phu!$I$69,M1514=phu!$I$70,M1514=phu!$I$71),"Ba Ngòi",""),IF(OR(M1514=phu!$I$72,M1514=phu!$I$73,M1514=phu!$I$74,M1514=phu!$I$75,M1514=phu!$I$76,M1514=phu!$I$77,M1514=phu!$I$78),"Cam Phước Đông",""),IF(OR(M1514=phu!$I$79,M1514=phu!$I$80,M1514=phu!$I$81,M1514=phu!$I$82,M1514=phu!$I$83,M1514=phu!$I$84),"Cam Thịnh Đông",""),IF(OR(M1514=phu!$I$85,M1514=phu!$I$86,M1514=phu!$I$87,M1514=phu!$I$88),"Cam Thịnh Tây",""),IF(OR(M1514=phu!$I$89,M1514=phu!$I$90),"Cam Lập",""),IF(OR(M1514=phu!$I$91,M1514=phu!$I$92,M1514=phu!$I$93),"Cam Bình",""),IF(OR(M1514=phu!$I$94,M1514=phu!$I$95,M1514=phu!$I$96,M1514=phu!$I$97,M1514=phu!$I$98,M1514=phu!$I$99,M1514=phu!$I$100),"Huyện khác",""),IF(OR(M1514=phu!$I$101,M1514=phu!$I$102),"Tỉnh khác",""))</f>
        <v/>
      </c>
      <c r="O1514" s="814" t="str">
        <f t="shared" si="139"/>
        <v/>
      </c>
      <c r="P1514" s="254"/>
      <c r="Q1514" s="254"/>
      <c r="R1514" s="254"/>
      <c r="S1514" s="254"/>
      <c r="T1514" s="254"/>
      <c r="U1514" s="254"/>
      <c r="V1514" s="254"/>
      <c r="W1514" s="254"/>
      <c r="Y1514" s="246" t="str">
        <f t="shared" si="140"/>
        <v/>
      </c>
      <c r="Z1514" s="247" t="str">
        <f t="shared" si="138"/>
        <v/>
      </c>
      <c r="AA1514" s="246" t="str">
        <f t="shared" si="141"/>
        <v/>
      </c>
    </row>
    <row r="1515" spans="1:27" x14ac:dyDescent="0.25">
      <c r="A1515" s="248" t="str">
        <f t="shared" si="142"/>
        <v/>
      </c>
      <c r="B1515" s="249" t="str">
        <f t="shared" si="143"/>
        <v/>
      </c>
      <c r="C1515" s="250"/>
      <c r="D1515" s="251"/>
      <c r="E1515" s="241"/>
      <c r="F1515" s="252"/>
      <c r="G1515" s="252"/>
      <c r="H1515" s="253"/>
      <c r="I1515" s="250"/>
      <c r="J1515" s="250"/>
      <c r="K1515" s="270"/>
      <c r="L1515" s="250"/>
      <c r="M1515" s="250"/>
      <c r="N1515" s="553" t="str">
        <f>CONCATENATE(IF(OR(M1515=phu!$I$1,M1515=phu!$I$2,M1515=phu!$I$3),"Cam Thành Nam",""),IF(OR(M1515=phu!$I$4,M1515=phu!$I$5,M1515=phu!$I$6,M1515=phu!$I$7,M1515=phu!$I$8,M1515=phu!$I$9,M1515=phu!$I$10,M1515=phu!$I$11,M1515=phu!$I$12,M1515=phu!$I$13,M1515=phu!$I$14),"Cam Nghĩa",""),IF(OR(M1515=phu!$I$15,M1515=phu!$I$16,M1515=phu!$I$17,M1515=phu!$I$18,M1515=phu!$I$19,M1515=phu!$I$20,M1515=phu!$I$21),"Cam Phúc Bắc",""),IF(OR(M1515=phu!$I$22,M1515=phu!$I$23,M1515=phu!$I$24,M1515=phu!$I$25),"Cam Phúc Nam",""),IF(OR(M1515=phu!$I$26,M1515=phu!$I$27,M1515=phu!$I$28,M1515=phu!$I$29,M1515=phu!$I$30,M1515=phu!$I$31),"Cam Phú",""),IF(OR(M1515=phu!$I$32,M1515=phu!$I$33,M1515=phu!$I$34,M1515=phu!$I$35,M1515=phu!$I$36,M1515=phu!$I$37),"Cam Lộc",""),IF(OR(M1515=phu!$I$38,M1515=phu!$I$39,M1515=phu!$I$40,M1515=phu!$I$41,M1515=phu!$I$42,M1515=phu!$I$43,M1515=phu!$I$44),"Cam Thuận",""),IF(OR(M1515=phu!$I$45,M1515=phu!$I$46,M1515=phu!$I$47,M1515=phu!$I$48,M1515=phu!$I$49,M1515=phu!$I$50,M1515=phu!$I$51,M1515=phu!$I$52,M1515=phu!$I$53),"Cam Linh",""),IF(OR(M1515=phu!$I$54,M1515=phu!$I$55,M1515=phu!$I$56,M1515=phu!$I$57,M1515=phu!$I$58,M1515=phu!$I$59,M1515=phu!$I$60,M1515=phu!$I$61,M1515=phu!$I$62),"Cam Lợi",""),IF(OR(M1515=phu!$I$63,M1515=phu!$I$64,M1515=phu!$I$65,M1515=phu!$I$66,M1515=phu!$I$67,M1515=phu!$I$68,M1515=phu!$I$69,M1515=phu!$I$70,M1515=phu!$I$71),"Ba Ngòi",""),IF(OR(M1515=phu!$I$72,M1515=phu!$I$73,M1515=phu!$I$74,M1515=phu!$I$75,M1515=phu!$I$76,M1515=phu!$I$77,M1515=phu!$I$78),"Cam Phước Đông",""),IF(OR(M1515=phu!$I$79,M1515=phu!$I$80,M1515=phu!$I$81,M1515=phu!$I$82,M1515=phu!$I$83,M1515=phu!$I$84),"Cam Thịnh Đông",""),IF(OR(M1515=phu!$I$85,M1515=phu!$I$86,M1515=phu!$I$87,M1515=phu!$I$88),"Cam Thịnh Tây",""),IF(OR(M1515=phu!$I$89,M1515=phu!$I$90),"Cam Lập",""),IF(OR(M1515=phu!$I$91,M1515=phu!$I$92,M1515=phu!$I$93),"Cam Bình",""),IF(OR(M1515=phu!$I$94,M1515=phu!$I$95,M1515=phu!$I$96,M1515=phu!$I$97,M1515=phu!$I$98,M1515=phu!$I$99,M1515=phu!$I$100),"Huyện khác",""),IF(OR(M1515=phu!$I$101,M1515=phu!$I$102),"Tỉnh khác",""))</f>
        <v/>
      </c>
      <c r="O1515" s="814" t="str">
        <f t="shared" si="139"/>
        <v/>
      </c>
      <c r="P1515" s="254"/>
      <c r="Q1515" s="254"/>
      <c r="R1515" s="254"/>
      <c r="S1515" s="254"/>
      <c r="T1515" s="254"/>
      <c r="U1515" s="254"/>
      <c r="V1515" s="254"/>
      <c r="W1515" s="254"/>
      <c r="Y1515" s="246" t="str">
        <f t="shared" si="140"/>
        <v/>
      </c>
      <c r="Z1515" s="247" t="str">
        <f t="shared" si="138"/>
        <v/>
      </c>
      <c r="AA1515" s="246" t="str">
        <f t="shared" si="141"/>
        <v/>
      </c>
    </row>
    <row r="1516" spans="1:27" x14ac:dyDescent="0.25">
      <c r="A1516" s="248" t="str">
        <f t="shared" si="142"/>
        <v/>
      </c>
      <c r="B1516" s="249" t="str">
        <f t="shared" si="143"/>
        <v/>
      </c>
      <c r="C1516" s="250"/>
      <c r="D1516" s="251"/>
      <c r="E1516" s="241"/>
      <c r="F1516" s="252"/>
      <c r="G1516" s="252"/>
      <c r="H1516" s="253"/>
      <c r="I1516" s="250"/>
      <c r="J1516" s="250"/>
      <c r="K1516" s="270"/>
      <c r="L1516" s="250"/>
      <c r="M1516" s="250"/>
      <c r="N1516" s="553" t="str">
        <f>CONCATENATE(IF(OR(M1516=phu!$I$1,M1516=phu!$I$2,M1516=phu!$I$3),"Cam Thành Nam",""),IF(OR(M1516=phu!$I$4,M1516=phu!$I$5,M1516=phu!$I$6,M1516=phu!$I$7,M1516=phu!$I$8,M1516=phu!$I$9,M1516=phu!$I$10,M1516=phu!$I$11,M1516=phu!$I$12,M1516=phu!$I$13,M1516=phu!$I$14),"Cam Nghĩa",""),IF(OR(M1516=phu!$I$15,M1516=phu!$I$16,M1516=phu!$I$17,M1516=phu!$I$18,M1516=phu!$I$19,M1516=phu!$I$20,M1516=phu!$I$21),"Cam Phúc Bắc",""),IF(OR(M1516=phu!$I$22,M1516=phu!$I$23,M1516=phu!$I$24,M1516=phu!$I$25),"Cam Phúc Nam",""),IF(OR(M1516=phu!$I$26,M1516=phu!$I$27,M1516=phu!$I$28,M1516=phu!$I$29,M1516=phu!$I$30,M1516=phu!$I$31),"Cam Phú",""),IF(OR(M1516=phu!$I$32,M1516=phu!$I$33,M1516=phu!$I$34,M1516=phu!$I$35,M1516=phu!$I$36,M1516=phu!$I$37),"Cam Lộc",""),IF(OR(M1516=phu!$I$38,M1516=phu!$I$39,M1516=phu!$I$40,M1516=phu!$I$41,M1516=phu!$I$42,M1516=phu!$I$43,M1516=phu!$I$44),"Cam Thuận",""),IF(OR(M1516=phu!$I$45,M1516=phu!$I$46,M1516=phu!$I$47,M1516=phu!$I$48,M1516=phu!$I$49,M1516=phu!$I$50,M1516=phu!$I$51,M1516=phu!$I$52,M1516=phu!$I$53),"Cam Linh",""),IF(OR(M1516=phu!$I$54,M1516=phu!$I$55,M1516=phu!$I$56,M1516=phu!$I$57,M1516=phu!$I$58,M1516=phu!$I$59,M1516=phu!$I$60,M1516=phu!$I$61,M1516=phu!$I$62),"Cam Lợi",""),IF(OR(M1516=phu!$I$63,M1516=phu!$I$64,M1516=phu!$I$65,M1516=phu!$I$66,M1516=phu!$I$67,M1516=phu!$I$68,M1516=phu!$I$69,M1516=phu!$I$70,M1516=phu!$I$71),"Ba Ngòi",""),IF(OR(M1516=phu!$I$72,M1516=phu!$I$73,M1516=phu!$I$74,M1516=phu!$I$75,M1516=phu!$I$76,M1516=phu!$I$77,M1516=phu!$I$78),"Cam Phước Đông",""),IF(OR(M1516=phu!$I$79,M1516=phu!$I$80,M1516=phu!$I$81,M1516=phu!$I$82,M1516=phu!$I$83,M1516=phu!$I$84),"Cam Thịnh Đông",""),IF(OR(M1516=phu!$I$85,M1516=phu!$I$86,M1516=phu!$I$87,M1516=phu!$I$88),"Cam Thịnh Tây",""),IF(OR(M1516=phu!$I$89,M1516=phu!$I$90),"Cam Lập",""),IF(OR(M1516=phu!$I$91,M1516=phu!$I$92,M1516=phu!$I$93),"Cam Bình",""),IF(OR(M1516=phu!$I$94,M1516=phu!$I$95,M1516=phu!$I$96,M1516=phu!$I$97,M1516=phu!$I$98,M1516=phu!$I$99,M1516=phu!$I$100),"Huyện khác",""),IF(OR(M1516=phu!$I$101,M1516=phu!$I$102),"Tỉnh khác",""))</f>
        <v/>
      </c>
      <c r="O1516" s="814" t="str">
        <f t="shared" si="139"/>
        <v/>
      </c>
      <c r="P1516" s="254"/>
      <c r="Q1516" s="254"/>
      <c r="R1516" s="254"/>
      <c r="S1516" s="254"/>
      <c r="T1516" s="254"/>
      <c r="U1516" s="254"/>
      <c r="V1516" s="254"/>
      <c r="W1516" s="254"/>
      <c r="Y1516" s="246" t="str">
        <f t="shared" si="140"/>
        <v/>
      </c>
      <c r="Z1516" s="247" t="str">
        <f t="shared" si="138"/>
        <v/>
      </c>
      <c r="AA1516" s="246" t="str">
        <f t="shared" si="141"/>
        <v/>
      </c>
    </row>
    <row r="1517" spans="1:27" x14ac:dyDescent="0.25">
      <c r="A1517" s="248" t="str">
        <f t="shared" si="142"/>
        <v/>
      </c>
      <c r="B1517" s="249" t="str">
        <f t="shared" si="143"/>
        <v/>
      </c>
      <c r="C1517" s="250"/>
      <c r="D1517" s="251"/>
      <c r="E1517" s="241"/>
      <c r="F1517" s="252"/>
      <c r="G1517" s="252"/>
      <c r="H1517" s="253"/>
      <c r="I1517" s="250"/>
      <c r="J1517" s="250"/>
      <c r="K1517" s="270"/>
      <c r="L1517" s="250"/>
      <c r="M1517" s="250"/>
      <c r="N1517" s="553" t="str">
        <f>CONCATENATE(IF(OR(M1517=phu!$I$1,M1517=phu!$I$2,M1517=phu!$I$3),"Cam Thành Nam",""),IF(OR(M1517=phu!$I$4,M1517=phu!$I$5,M1517=phu!$I$6,M1517=phu!$I$7,M1517=phu!$I$8,M1517=phu!$I$9,M1517=phu!$I$10,M1517=phu!$I$11,M1517=phu!$I$12,M1517=phu!$I$13,M1517=phu!$I$14),"Cam Nghĩa",""),IF(OR(M1517=phu!$I$15,M1517=phu!$I$16,M1517=phu!$I$17,M1517=phu!$I$18,M1517=phu!$I$19,M1517=phu!$I$20,M1517=phu!$I$21),"Cam Phúc Bắc",""),IF(OR(M1517=phu!$I$22,M1517=phu!$I$23,M1517=phu!$I$24,M1517=phu!$I$25),"Cam Phúc Nam",""),IF(OR(M1517=phu!$I$26,M1517=phu!$I$27,M1517=phu!$I$28,M1517=phu!$I$29,M1517=phu!$I$30,M1517=phu!$I$31),"Cam Phú",""),IF(OR(M1517=phu!$I$32,M1517=phu!$I$33,M1517=phu!$I$34,M1517=phu!$I$35,M1517=phu!$I$36,M1517=phu!$I$37),"Cam Lộc",""),IF(OR(M1517=phu!$I$38,M1517=phu!$I$39,M1517=phu!$I$40,M1517=phu!$I$41,M1517=phu!$I$42,M1517=phu!$I$43,M1517=phu!$I$44),"Cam Thuận",""),IF(OR(M1517=phu!$I$45,M1517=phu!$I$46,M1517=phu!$I$47,M1517=phu!$I$48,M1517=phu!$I$49,M1517=phu!$I$50,M1517=phu!$I$51,M1517=phu!$I$52,M1517=phu!$I$53),"Cam Linh",""),IF(OR(M1517=phu!$I$54,M1517=phu!$I$55,M1517=phu!$I$56,M1517=phu!$I$57,M1517=phu!$I$58,M1517=phu!$I$59,M1517=phu!$I$60,M1517=phu!$I$61,M1517=phu!$I$62),"Cam Lợi",""),IF(OR(M1517=phu!$I$63,M1517=phu!$I$64,M1517=phu!$I$65,M1517=phu!$I$66,M1517=phu!$I$67,M1517=phu!$I$68,M1517=phu!$I$69,M1517=phu!$I$70,M1517=phu!$I$71),"Ba Ngòi",""),IF(OR(M1517=phu!$I$72,M1517=phu!$I$73,M1517=phu!$I$74,M1517=phu!$I$75,M1517=phu!$I$76,M1517=phu!$I$77,M1517=phu!$I$78),"Cam Phước Đông",""),IF(OR(M1517=phu!$I$79,M1517=phu!$I$80,M1517=phu!$I$81,M1517=phu!$I$82,M1517=phu!$I$83,M1517=phu!$I$84),"Cam Thịnh Đông",""),IF(OR(M1517=phu!$I$85,M1517=phu!$I$86,M1517=phu!$I$87,M1517=phu!$I$88),"Cam Thịnh Tây",""),IF(OR(M1517=phu!$I$89,M1517=phu!$I$90),"Cam Lập",""),IF(OR(M1517=phu!$I$91,M1517=phu!$I$92,M1517=phu!$I$93),"Cam Bình",""),IF(OR(M1517=phu!$I$94,M1517=phu!$I$95,M1517=phu!$I$96,M1517=phu!$I$97,M1517=phu!$I$98,M1517=phu!$I$99,M1517=phu!$I$100),"Huyện khác",""),IF(OR(M1517=phu!$I$101,M1517=phu!$I$102),"Tỉnh khác",""))</f>
        <v/>
      </c>
      <c r="O1517" s="814" t="str">
        <f t="shared" si="139"/>
        <v/>
      </c>
      <c r="P1517" s="254"/>
      <c r="Q1517" s="254"/>
      <c r="R1517" s="254"/>
      <c r="S1517" s="254"/>
      <c r="T1517" s="254"/>
      <c r="U1517" s="254"/>
      <c r="V1517" s="254"/>
      <c r="W1517" s="254"/>
      <c r="Y1517" s="246" t="str">
        <f t="shared" si="140"/>
        <v/>
      </c>
      <c r="Z1517" s="247" t="str">
        <f t="shared" si="138"/>
        <v/>
      </c>
      <c r="AA1517" s="246" t="str">
        <f t="shared" si="141"/>
        <v/>
      </c>
    </row>
    <row r="1518" spans="1:27" x14ac:dyDescent="0.25">
      <c r="A1518" s="248" t="str">
        <f t="shared" si="142"/>
        <v/>
      </c>
      <c r="B1518" s="249" t="str">
        <f t="shared" si="143"/>
        <v/>
      </c>
      <c r="C1518" s="250"/>
      <c r="D1518" s="251"/>
      <c r="E1518" s="241"/>
      <c r="F1518" s="252"/>
      <c r="G1518" s="252"/>
      <c r="H1518" s="253"/>
      <c r="I1518" s="250"/>
      <c r="J1518" s="250"/>
      <c r="K1518" s="270"/>
      <c r="L1518" s="250"/>
      <c r="M1518" s="250"/>
      <c r="N1518" s="553" t="str">
        <f>CONCATENATE(IF(OR(M1518=phu!$I$1,M1518=phu!$I$2,M1518=phu!$I$3),"Cam Thành Nam",""),IF(OR(M1518=phu!$I$4,M1518=phu!$I$5,M1518=phu!$I$6,M1518=phu!$I$7,M1518=phu!$I$8,M1518=phu!$I$9,M1518=phu!$I$10,M1518=phu!$I$11,M1518=phu!$I$12,M1518=phu!$I$13,M1518=phu!$I$14),"Cam Nghĩa",""),IF(OR(M1518=phu!$I$15,M1518=phu!$I$16,M1518=phu!$I$17,M1518=phu!$I$18,M1518=phu!$I$19,M1518=phu!$I$20,M1518=phu!$I$21),"Cam Phúc Bắc",""),IF(OR(M1518=phu!$I$22,M1518=phu!$I$23,M1518=phu!$I$24,M1518=phu!$I$25),"Cam Phúc Nam",""),IF(OR(M1518=phu!$I$26,M1518=phu!$I$27,M1518=phu!$I$28,M1518=phu!$I$29,M1518=phu!$I$30,M1518=phu!$I$31),"Cam Phú",""),IF(OR(M1518=phu!$I$32,M1518=phu!$I$33,M1518=phu!$I$34,M1518=phu!$I$35,M1518=phu!$I$36,M1518=phu!$I$37),"Cam Lộc",""),IF(OR(M1518=phu!$I$38,M1518=phu!$I$39,M1518=phu!$I$40,M1518=phu!$I$41,M1518=phu!$I$42,M1518=phu!$I$43,M1518=phu!$I$44),"Cam Thuận",""),IF(OR(M1518=phu!$I$45,M1518=phu!$I$46,M1518=phu!$I$47,M1518=phu!$I$48,M1518=phu!$I$49,M1518=phu!$I$50,M1518=phu!$I$51,M1518=phu!$I$52,M1518=phu!$I$53),"Cam Linh",""),IF(OR(M1518=phu!$I$54,M1518=phu!$I$55,M1518=phu!$I$56,M1518=phu!$I$57,M1518=phu!$I$58,M1518=phu!$I$59,M1518=phu!$I$60,M1518=phu!$I$61,M1518=phu!$I$62),"Cam Lợi",""),IF(OR(M1518=phu!$I$63,M1518=phu!$I$64,M1518=phu!$I$65,M1518=phu!$I$66,M1518=phu!$I$67,M1518=phu!$I$68,M1518=phu!$I$69,M1518=phu!$I$70,M1518=phu!$I$71),"Ba Ngòi",""),IF(OR(M1518=phu!$I$72,M1518=phu!$I$73,M1518=phu!$I$74,M1518=phu!$I$75,M1518=phu!$I$76,M1518=phu!$I$77,M1518=phu!$I$78),"Cam Phước Đông",""),IF(OR(M1518=phu!$I$79,M1518=phu!$I$80,M1518=phu!$I$81,M1518=phu!$I$82,M1518=phu!$I$83,M1518=phu!$I$84),"Cam Thịnh Đông",""),IF(OR(M1518=phu!$I$85,M1518=phu!$I$86,M1518=phu!$I$87,M1518=phu!$I$88),"Cam Thịnh Tây",""),IF(OR(M1518=phu!$I$89,M1518=phu!$I$90),"Cam Lập",""),IF(OR(M1518=phu!$I$91,M1518=phu!$I$92,M1518=phu!$I$93),"Cam Bình",""),IF(OR(M1518=phu!$I$94,M1518=phu!$I$95,M1518=phu!$I$96,M1518=phu!$I$97,M1518=phu!$I$98,M1518=phu!$I$99,M1518=phu!$I$100),"Huyện khác",""),IF(OR(M1518=phu!$I$101,M1518=phu!$I$102),"Tỉnh khác",""))</f>
        <v/>
      </c>
      <c r="O1518" s="814" t="str">
        <f t="shared" si="139"/>
        <v/>
      </c>
      <c r="P1518" s="254"/>
      <c r="Q1518" s="254"/>
      <c r="R1518" s="254"/>
      <c r="S1518" s="254"/>
      <c r="T1518" s="254"/>
      <c r="U1518" s="254"/>
      <c r="V1518" s="254"/>
      <c r="W1518" s="254"/>
      <c r="Y1518" s="246" t="str">
        <f t="shared" si="140"/>
        <v/>
      </c>
      <c r="Z1518" s="247" t="str">
        <f t="shared" si="138"/>
        <v/>
      </c>
      <c r="AA1518" s="246" t="str">
        <f t="shared" si="141"/>
        <v/>
      </c>
    </row>
    <row r="1519" spans="1:27" x14ac:dyDescent="0.25">
      <c r="A1519" s="248" t="str">
        <f t="shared" si="142"/>
        <v/>
      </c>
      <c r="B1519" s="249" t="str">
        <f t="shared" si="143"/>
        <v/>
      </c>
      <c r="C1519" s="250"/>
      <c r="D1519" s="251"/>
      <c r="E1519" s="241"/>
      <c r="F1519" s="252"/>
      <c r="G1519" s="252"/>
      <c r="H1519" s="253"/>
      <c r="I1519" s="250"/>
      <c r="J1519" s="250"/>
      <c r="K1519" s="270"/>
      <c r="L1519" s="250"/>
      <c r="M1519" s="250"/>
      <c r="N1519" s="553" t="str">
        <f>CONCATENATE(IF(OR(M1519=phu!$I$1,M1519=phu!$I$2,M1519=phu!$I$3),"Cam Thành Nam",""),IF(OR(M1519=phu!$I$4,M1519=phu!$I$5,M1519=phu!$I$6,M1519=phu!$I$7,M1519=phu!$I$8,M1519=phu!$I$9,M1519=phu!$I$10,M1519=phu!$I$11,M1519=phu!$I$12,M1519=phu!$I$13,M1519=phu!$I$14),"Cam Nghĩa",""),IF(OR(M1519=phu!$I$15,M1519=phu!$I$16,M1519=phu!$I$17,M1519=phu!$I$18,M1519=phu!$I$19,M1519=phu!$I$20,M1519=phu!$I$21),"Cam Phúc Bắc",""),IF(OR(M1519=phu!$I$22,M1519=phu!$I$23,M1519=phu!$I$24,M1519=phu!$I$25),"Cam Phúc Nam",""),IF(OR(M1519=phu!$I$26,M1519=phu!$I$27,M1519=phu!$I$28,M1519=phu!$I$29,M1519=phu!$I$30,M1519=phu!$I$31),"Cam Phú",""),IF(OR(M1519=phu!$I$32,M1519=phu!$I$33,M1519=phu!$I$34,M1519=phu!$I$35,M1519=phu!$I$36,M1519=phu!$I$37),"Cam Lộc",""),IF(OR(M1519=phu!$I$38,M1519=phu!$I$39,M1519=phu!$I$40,M1519=phu!$I$41,M1519=phu!$I$42,M1519=phu!$I$43,M1519=phu!$I$44),"Cam Thuận",""),IF(OR(M1519=phu!$I$45,M1519=phu!$I$46,M1519=phu!$I$47,M1519=phu!$I$48,M1519=phu!$I$49,M1519=phu!$I$50,M1519=phu!$I$51,M1519=phu!$I$52,M1519=phu!$I$53),"Cam Linh",""),IF(OR(M1519=phu!$I$54,M1519=phu!$I$55,M1519=phu!$I$56,M1519=phu!$I$57,M1519=phu!$I$58,M1519=phu!$I$59,M1519=phu!$I$60,M1519=phu!$I$61,M1519=phu!$I$62),"Cam Lợi",""),IF(OR(M1519=phu!$I$63,M1519=phu!$I$64,M1519=phu!$I$65,M1519=phu!$I$66,M1519=phu!$I$67,M1519=phu!$I$68,M1519=phu!$I$69,M1519=phu!$I$70,M1519=phu!$I$71),"Ba Ngòi",""),IF(OR(M1519=phu!$I$72,M1519=phu!$I$73,M1519=phu!$I$74,M1519=phu!$I$75,M1519=phu!$I$76,M1519=phu!$I$77,M1519=phu!$I$78),"Cam Phước Đông",""),IF(OR(M1519=phu!$I$79,M1519=phu!$I$80,M1519=phu!$I$81,M1519=phu!$I$82,M1519=phu!$I$83,M1519=phu!$I$84),"Cam Thịnh Đông",""),IF(OR(M1519=phu!$I$85,M1519=phu!$I$86,M1519=phu!$I$87,M1519=phu!$I$88),"Cam Thịnh Tây",""),IF(OR(M1519=phu!$I$89,M1519=phu!$I$90),"Cam Lập",""),IF(OR(M1519=phu!$I$91,M1519=phu!$I$92,M1519=phu!$I$93),"Cam Bình",""),IF(OR(M1519=phu!$I$94,M1519=phu!$I$95,M1519=phu!$I$96,M1519=phu!$I$97,M1519=phu!$I$98,M1519=phu!$I$99,M1519=phu!$I$100),"Huyện khác",""),IF(OR(M1519=phu!$I$101,M1519=phu!$I$102),"Tỉnh khác",""))</f>
        <v/>
      </c>
      <c r="O1519" s="814" t="str">
        <f t="shared" si="139"/>
        <v/>
      </c>
      <c r="P1519" s="254"/>
      <c r="Q1519" s="254"/>
      <c r="R1519" s="254"/>
      <c r="S1519" s="254"/>
      <c r="T1519" s="254"/>
      <c r="U1519" s="254"/>
      <c r="V1519" s="254"/>
      <c r="W1519" s="254"/>
      <c r="Y1519" s="246" t="str">
        <f t="shared" si="140"/>
        <v/>
      </c>
      <c r="Z1519" s="247" t="str">
        <f t="shared" si="138"/>
        <v/>
      </c>
      <c r="AA1519" s="246" t="str">
        <f t="shared" si="141"/>
        <v/>
      </c>
    </row>
    <row r="1520" spans="1:27" x14ac:dyDescent="0.25">
      <c r="A1520" s="248" t="str">
        <f t="shared" si="142"/>
        <v/>
      </c>
      <c r="B1520" s="249" t="str">
        <f t="shared" si="143"/>
        <v/>
      </c>
      <c r="C1520" s="250"/>
      <c r="D1520" s="251"/>
      <c r="E1520" s="241"/>
      <c r="F1520" s="252"/>
      <c r="G1520" s="252"/>
      <c r="H1520" s="253"/>
      <c r="I1520" s="250"/>
      <c r="J1520" s="250"/>
      <c r="K1520" s="270"/>
      <c r="L1520" s="250"/>
      <c r="M1520" s="250"/>
      <c r="N1520" s="553" t="str">
        <f>CONCATENATE(IF(OR(M1520=phu!$I$1,M1520=phu!$I$2,M1520=phu!$I$3),"Cam Thành Nam",""),IF(OR(M1520=phu!$I$4,M1520=phu!$I$5,M1520=phu!$I$6,M1520=phu!$I$7,M1520=phu!$I$8,M1520=phu!$I$9,M1520=phu!$I$10,M1520=phu!$I$11,M1520=phu!$I$12,M1520=phu!$I$13,M1520=phu!$I$14),"Cam Nghĩa",""),IF(OR(M1520=phu!$I$15,M1520=phu!$I$16,M1520=phu!$I$17,M1520=phu!$I$18,M1520=phu!$I$19,M1520=phu!$I$20,M1520=phu!$I$21),"Cam Phúc Bắc",""),IF(OR(M1520=phu!$I$22,M1520=phu!$I$23,M1520=phu!$I$24,M1520=phu!$I$25),"Cam Phúc Nam",""),IF(OR(M1520=phu!$I$26,M1520=phu!$I$27,M1520=phu!$I$28,M1520=phu!$I$29,M1520=phu!$I$30,M1520=phu!$I$31),"Cam Phú",""),IF(OR(M1520=phu!$I$32,M1520=phu!$I$33,M1520=phu!$I$34,M1520=phu!$I$35,M1520=phu!$I$36,M1520=phu!$I$37),"Cam Lộc",""),IF(OR(M1520=phu!$I$38,M1520=phu!$I$39,M1520=phu!$I$40,M1520=phu!$I$41,M1520=phu!$I$42,M1520=phu!$I$43,M1520=phu!$I$44),"Cam Thuận",""),IF(OR(M1520=phu!$I$45,M1520=phu!$I$46,M1520=phu!$I$47,M1520=phu!$I$48,M1520=phu!$I$49,M1520=phu!$I$50,M1520=phu!$I$51,M1520=phu!$I$52,M1520=phu!$I$53),"Cam Linh",""),IF(OR(M1520=phu!$I$54,M1520=phu!$I$55,M1520=phu!$I$56,M1520=phu!$I$57,M1520=phu!$I$58,M1520=phu!$I$59,M1520=phu!$I$60,M1520=phu!$I$61,M1520=phu!$I$62),"Cam Lợi",""),IF(OR(M1520=phu!$I$63,M1520=phu!$I$64,M1520=phu!$I$65,M1520=phu!$I$66,M1520=phu!$I$67,M1520=phu!$I$68,M1520=phu!$I$69,M1520=phu!$I$70,M1520=phu!$I$71),"Ba Ngòi",""),IF(OR(M1520=phu!$I$72,M1520=phu!$I$73,M1520=phu!$I$74,M1520=phu!$I$75,M1520=phu!$I$76,M1520=phu!$I$77,M1520=phu!$I$78),"Cam Phước Đông",""),IF(OR(M1520=phu!$I$79,M1520=phu!$I$80,M1520=phu!$I$81,M1520=phu!$I$82,M1520=phu!$I$83,M1520=phu!$I$84),"Cam Thịnh Đông",""),IF(OR(M1520=phu!$I$85,M1520=phu!$I$86,M1520=phu!$I$87,M1520=phu!$I$88),"Cam Thịnh Tây",""),IF(OR(M1520=phu!$I$89,M1520=phu!$I$90),"Cam Lập",""),IF(OR(M1520=phu!$I$91,M1520=phu!$I$92,M1520=phu!$I$93),"Cam Bình",""),IF(OR(M1520=phu!$I$94,M1520=phu!$I$95,M1520=phu!$I$96,M1520=phu!$I$97,M1520=phu!$I$98,M1520=phu!$I$99,M1520=phu!$I$100),"Huyện khác",""),IF(OR(M1520=phu!$I$101,M1520=phu!$I$102),"Tỉnh khác",""))</f>
        <v/>
      </c>
      <c r="O1520" s="814" t="str">
        <f t="shared" si="139"/>
        <v/>
      </c>
      <c r="P1520" s="254"/>
      <c r="Q1520" s="254"/>
      <c r="R1520" s="254"/>
      <c r="S1520" s="254"/>
      <c r="T1520" s="254"/>
      <c r="U1520" s="254"/>
      <c r="V1520" s="254"/>
      <c r="W1520" s="254"/>
      <c r="Y1520" s="246" t="str">
        <f t="shared" si="140"/>
        <v/>
      </c>
      <c r="Z1520" s="247" t="str">
        <f t="shared" si="138"/>
        <v/>
      </c>
      <c r="AA1520" s="246" t="str">
        <f t="shared" si="141"/>
        <v/>
      </c>
    </row>
    <row r="1521" spans="1:27" x14ac:dyDescent="0.25">
      <c r="A1521" s="248" t="str">
        <f t="shared" si="142"/>
        <v/>
      </c>
      <c r="B1521" s="249" t="str">
        <f t="shared" si="143"/>
        <v/>
      </c>
      <c r="C1521" s="250"/>
      <c r="D1521" s="251"/>
      <c r="E1521" s="241"/>
      <c r="F1521" s="252"/>
      <c r="G1521" s="252"/>
      <c r="H1521" s="253"/>
      <c r="I1521" s="250"/>
      <c r="J1521" s="250"/>
      <c r="K1521" s="270"/>
      <c r="L1521" s="250"/>
      <c r="M1521" s="250"/>
      <c r="N1521" s="553" t="str">
        <f>CONCATENATE(IF(OR(M1521=phu!$I$1,M1521=phu!$I$2,M1521=phu!$I$3),"Cam Thành Nam",""),IF(OR(M1521=phu!$I$4,M1521=phu!$I$5,M1521=phu!$I$6,M1521=phu!$I$7,M1521=phu!$I$8,M1521=phu!$I$9,M1521=phu!$I$10,M1521=phu!$I$11,M1521=phu!$I$12,M1521=phu!$I$13,M1521=phu!$I$14),"Cam Nghĩa",""),IF(OR(M1521=phu!$I$15,M1521=phu!$I$16,M1521=phu!$I$17,M1521=phu!$I$18,M1521=phu!$I$19,M1521=phu!$I$20,M1521=phu!$I$21),"Cam Phúc Bắc",""),IF(OR(M1521=phu!$I$22,M1521=phu!$I$23,M1521=phu!$I$24,M1521=phu!$I$25),"Cam Phúc Nam",""),IF(OR(M1521=phu!$I$26,M1521=phu!$I$27,M1521=phu!$I$28,M1521=phu!$I$29,M1521=phu!$I$30,M1521=phu!$I$31),"Cam Phú",""),IF(OR(M1521=phu!$I$32,M1521=phu!$I$33,M1521=phu!$I$34,M1521=phu!$I$35,M1521=phu!$I$36,M1521=phu!$I$37),"Cam Lộc",""),IF(OR(M1521=phu!$I$38,M1521=phu!$I$39,M1521=phu!$I$40,M1521=phu!$I$41,M1521=phu!$I$42,M1521=phu!$I$43,M1521=phu!$I$44),"Cam Thuận",""),IF(OR(M1521=phu!$I$45,M1521=phu!$I$46,M1521=phu!$I$47,M1521=phu!$I$48,M1521=phu!$I$49,M1521=phu!$I$50,M1521=phu!$I$51,M1521=phu!$I$52,M1521=phu!$I$53),"Cam Linh",""),IF(OR(M1521=phu!$I$54,M1521=phu!$I$55,M1521=phu!$I$56,M1521=phu!$I$57,M1521=phu!$I$58,M1521=phu!$I$59,M1521=phu!$I$60,M1521=phu!$I$61,M1521=phu!$I$62),"Cam Lợi",""),IF(OR(M1521=phu!$I$63,M1521=phu!$I$64,M1521=phu!$I$65,M1521=phu!$I$66,M1521=phu!$I$67,M1521=phu!$I$68,M1521=phu!$I$69,M1521=phu!$I$70,M1521=phu!$I$71),"Ba Ngòi",""),IF(OR(M1521=phu!$I$72,M1521=phu!$I$73,M1521=phu!$I$74,M1521=phu!$I$75,M1521=phu!$I$76,M1521=phu!$I$77,M1521=phu!$I$78),"Cam Phước Đông",""),IF(OR(M1521=phu!$I$79,M1521=phu!$I$80,M1521=phu!$I$81,M1521=phu!$I$82,M1521=phu!$I$83,M1521=phu!$I$84),"Cam Thịnh Đông",""),IF(OR(M1521=phu!$I$85,M1521=phu!$I$86,M1521=phu!$I$87,M1521=phu!$I$88),"Cam Thịnh Tây",""),IF(OR(M1521=phu!$I$89,M1521=phu!$I$90),"Cam Lập",""),IF(OR(M1521=phu!$I$91,M1521=phu!$I$92,M1521=phu!$I$93),"Cam Bình",""),IF(OR(M1521=phu!$I$94,M1521=phu!$I$95,M1521=phu!$I$96,M1521=phu!$I$97,M1521=phu!$I$98,M1521=phu!$I$99,M1521=phu!$I$100),"Huyện khác",""),IF(OR(M1521=phu!$I$101,M1521=phu!$I$102),"Tỉnh khác",""))</f>
        <v/>
      </c>
      <c r="O1521" s="814" t="str">
        <f t="shared" si="139"/>
        <v/>
      </c>
      <c r="P1521" s="254"/>
      <c r="Q1521" s="254"/>
      <c r="R1521" s="254"/>
      <c r="S1521" s="254"/>
      <c r="T1521" s="254"/>
      <c r="U1521" s="254"/>
      <c r="V1521" s="254"/>
      <c r="W1521" s="254"/>
      <c r="Y1521" s="246" t="str">
        <f t="shared" si="140"/>
        <v/>
      </c>
      <c r="Z1521" s="247" t="str">
        <f t="shared" si="138"/>
        <v/>
      </c>
      <c r="AA1521" s="246" t="str">
        <f t="shared" si="141"/>
        <v/>
      </c>
    </row>
    <row r="1522" spans="1:27" x14ac:dyDescent="0.25">
      <c r="A1522" s="248" t="str">
        <f t="shared" si="142"/>
        <v/>
      </c>
      <c r="B1522" s="249" t="str">
        <f t="shared" si="143"/>
        <v/>
      </c>
      <c r="C1522" s="250"/>
      <c r="D1522" s="251"/>
      <c r="E1522" s="241"/>
      <c r="F1522" s="252"/>
      <c r="G1522" s="252"/>
      <c r="H1522" s="253"/>
      <c r="I1522" s="250"/>
      <c r="J1522" s="250"/>
      <c r="K1522" s="270"/>
      <c r="L1522" s="250"/>
      <c r="M1522" s="250"/>
      <c r="N1522" s="553" t="str">
        <f>CONCATENATE(IF(OR(M1522=phu!$I$1,M1522=phu!$I$2,M1522=phu!$I$3),"Cam Thành Nam",""),IF(OR(M1522=phu!$I$4,M1522=phu!$I$5,M1522=phu!$I$6,M1522=phu!$I$7,M1522=phu!$I$8,M1522=phu!$I$9,M1522=phu!$I$10,M1522=phu!$I$11,M1522=phu!$I$12,M1522=phu!$I$13,M1522=phu!$I$14),"Cam Nghĩa",""),IF(OR(M1522=phu!$I$15,M1522=phu!$I$16,M1522=phu!$I$17,M1522=phu!$I$18,M1522=phu!$I$19,M1522=phu!$I$20,M1522=phu!$I$21),"Cam Phúc Bắc",""),IF(OR(M1522=phu!$I$22,M1522=phu!$I$23,M1522=phu!$I$24,M1522=phu!$I$25),"Cam Phúc Nam",""),IF(OR(M1522=phu!$I$26,M1522=phu!$I$27,M1522=phu!$I$28,M1522=phu!$I$29,M1522=phu!$I$30,M1522=phu!$I$31),"Cam Phú",""),IF(OR(M1522=phu!$I$32,M1522=phu!$I$33,M1522=phu!$I$34,M1522=phu!$I$35,M1522=phu!$I$36,M1522=phu!$I$37),"Cam Lộc",""),IF(OR(M1522=phu!$I$38,M1522=phu!$I$39,M1522=phu!$I$40,M1522=phu!$I$41,M1522=phu!$I$42,M1522=phu!$I$43,M1522=phu!$I$44),"Cam Thuận",""),IF(OR(M1522=phu!$I$45,M1522=phu!$I$46,M1522=phu!$I$47,M1522=phu!$I$48,M1522=phu!$I$49,M1522=phu!$I$50,M1522=phu!$I$51,M1522=phu!$I$52,M1522=phu!$I$53),"Cam Linh",""),IF(OR(M1522=phu!$I$54,M1522=phu!$I$55,M1522=phu!$I$56,M1522=phu!$I$57,M1522=phu!$I$58,M1522=phu!$I$59,M1522=phu!$I$60,M1522=phu!$I$61,M1522=phu!$I$62),"Cam Lợi",""),IF(OR(M1522=phu!$I$63,M1522=phu!$I$64,M1522=phu!$I$65,M1522=phu!$I$66,M1522=phu!$I$67,M1522=phu!$I$68,M1522=phu!$I$69,M1522=phu!$I$70,M1522=phu!$I$71),"Ba Ngòi",""),IF(OR(M1522=phu!$I$72,M1522=phu!$I$73,M1522=phu!$I$74,M1522=phu!$I$75,M1522=phu!$I$76,M1522=phu!$I$77,M1522=phu!$I$78),"Cam Phước Đông",""),IF(OR(M1522=phu!$I$79,M1522=phu!$I$80,M1522=phu!$I$81,M1522=phu!$I$82,M1522=phu!$I$83,M1522=phu!$I$84),"Cam Thịnh Đông",""),IF(OR(M1522=phu!$I$85,M1522=phu!$I$86,M1522=phu!$I$87,M1522=phu!$I$88),"Cam Thịnh Tây",""),IF(OR(M1522=phu!$I$89,M1522=phu!$I$90),"Cam Lập",""),IF(OR(M1522=phu!$I$91,M1522=phu!$I$92,M1522=phu!$I$93),"Cam Bình",""),IF(OR(M1522=phu!$I$94,M1522=phu!$I$95,M1522=phu!$I$96,M1522=phu!$I$97,M1522=phu!$I$98,M1522=phu!$I$99,M1522=phu!$I$100),"Huyện khác",""),IF(OR(M1522=phu!$I$101,M1522=phu!$I$102),"Tỉnh khác",""))</f>
        <v/>
      </c>
      <c r="O1522" s="814" t="str">
        <f t="shared" si="139"/>
        <v/>
      </c>
      <c r="P1522" s="254"/>
      <c r="Q1522" s="254"/>
      <c r="R1522" s="254"/>
      <c r="S1522" s="254"/>
      <c r="T1522" s="254"/>
      <c r="U1522" s="254"/>
      <c r="V1522" s="254"/>
      <c r="W1522" s="254"/>
      <c r="Y1522" s="246" t="str">
        <f t="shared" si="140"/>
        <v/>
      </c>
      <c r="Z1522" s="247" t="str">
        <f t="shared" si="138"/>
        <v/>
      </c>
      <c r="AA1522" s="246" t="str">
        <f t="shared" si="141"/>
        <v/>
      </c>
    </row>
    <row r="1523" spans="1:27" x14ac:dyDescent="0.25">
      <c r="A1523" s="248" t="str">
        <f t="shared" si="142"/>
        <v/>
      </c>
      <c r="B1523" s="249" t="str">
        <f t="shared" si="143"/>
        <v/>
      </c>
      <c r="C1523" s="250"/>
      <c r="D1523" s="251"/>
      <c r="E1523" s="241"/>
      <c r="F1523" s="252"/>
      <c r="G1523" s="252"/>
      <c r="H1523" s="253"/>
      <c r="I1523" s="250"/>
      <c r="J1523" s="250"/>
      <c r="K1523" s="270"/>
      <c r="L1523" s="250"/>
      <c r="M1523" s="250"/>
      <c r="N1523" s="553" t="str">
        <f>CONCATENATE(IF(OR(M1523=phu!$I$1,M1523=phu!$I$2,M1523=phu!$I$3),"Cam Thành Nam",""),IF(OR(M1523=phu!$I$4,M1523=phu!$I$5,M1523=phu!$I$6,M1523=phu!$I$7,M1523=phu!$I$8,M1523=phu!$I$9,M1523=phu!$I$10,M1523=phu!$I$11,M1523=phu!$I$12,M1523=phu!$I$13,M1523=phu!$I$14),"Cam Nghĩa",""),IF(OR(M1523=phu!$I$15,M1523=phu!$I$16,M1523=phu!$I$17,M1523=phu!$I$18,M1523=phu!$I$19,M1523=phu!$I$20,M1523=phu!$I$21),"Cam Phúc Bắc",""),IF(OR(M1523=phu!$I$22,M1523=phu!$I$23,M1523=phu!$I$24,M1523=phu!$I$25),"Cam Phúc Nam",""),IF(OR(M1523=phu!$I$26,M1523=phu!$I$27,M1523=phu!$I$28,M1523=phu!$I$29,M1523=phu!$I$30,M1523=phu!$I$31),"Cam Phú",""),IF(OR(M1523=phu!$I$32,M1523=phu!$I$33,M1523=phu!$I$34,M1523=phu!$I$35,M1523=phu!$I$36,M1523=phu!$I$37),"Cam Lộc",""),IF(OR(M1523=phu!$I$38,M1523=phu!$I$39,M1523=phu!$I$40,M1523=phu!$I$41,M1523=phu!$I$42,M1523=phu!$I$43,M1523=phu!$I$44),"Cam Thuận",""),IF(OR(M1523=phu!$I$45,M1523=phu!$I$46,M1523=phu!$I$47,M1523=phu!$I$48,M1523=phu!$I$49,M1523=phu!$I$50,M1523=phu!$I$51,M1523=phu!$I$52,M1523=phu!$I$53),"Cam Linh",""),IF(OR(M1523=phu!$I$54,M1523=phu!$I$55,M1523=phu!$I$56,M1523=phu!$I$57,M1523=phu!$I$58,M1523=phu!$I$59,M1523=phu!$I$60,M1523=phu!$I$61,M1523=phu!$I$62),"Cam Lợi",""),IF(OR(M1523=phu!$I$63,M1523=phu!$I$64,M1523=phu!$I$65,M1523=phu!$I$66,M1523=phu!$I$67,M1523=phu!$I$68,M1523=phu!$I$69,M1523=phu!$I$70,M1523=phu!$I$71),"Ba Ngòi",""),IF(OR(M1523=phu!$I$72,M1523=phu!$I$73,M1523=phu!$I$74,M1523=phu!$I$75,M1523=phu!$I$76,M1523=phu!$I$77,M1523=phu!$I$78),"Cam Phước Đông",""),IF(OR(M1523=phu!$I$79,M1523=phu!$I$80,M1523=phu!$I$81,M1523=phu!$I$82,M1523=phu!$I$83,M1523=phu!$I$84),"Cam Thịnh Đông",""),IF(OR(M1523=phu!$I$85,M1523=phu!$I$86,M1523=phu!$I$87,M1523=phu!$I$88),"Cam Thịnh Tây",""),IF(OR(M1523=phu!$I$89,M1523=phu!$I$90),"Cam Lập",""),IF(OR(M1523=phu!$I$91,M1523=phu!$I$92,M1523=phu!$I$93),"Cam Bình",""),IF(OR(M1523=phu!$I$94,M1523=phu!$I$95,M1523=phu!$I$96,M1523=phu!$I$97,M1523=phu!$I$98,M1523=phu!$I$99,M1523=phu!$I$100),"Huyện khác",""),IF(OR(M1523=phu!$I$101,M1523=phu!$I$102),"Tỉnh khác",""))</f>
        <v/>
      </c>
      <c r="O1523" s="814" t="str">
        <f t="shared" si="139"/>
        <v/>
      </c>
      <c r="P1523" s="254"/>
      <c r="Q1523" s="254"/>
      <c r="R1523" s="254"/>
      <c r="S1523" s="254"/>
      <c r="T1523" s="254"/>
      <c r="U1523" s="254"/>
      <c r="V1523" s="254"/>
      <c r="W1523" s="254"/>
      <c r="Y1523" s="246" t="str">
        <f t="shared" si="140"/>
        <v/>
      </c>
      <c r="Z1523" s="247" t="str">
        <f t="shared" si="138"/>
        <v/>
      </c>
      <c r="AA1523" s="246" t="str">
        <f t="shared" si="141"/>
        <v/>
      </c>
    </row>
    <row r="1524" spans="1:27" x14ac:dyDescent="0.25">
      <c r="A1524" s="248" t="str">
        <f t="shared" si="142"/>
        <v/>
      </c>
      <c r="B1524" s="249" t="str">
        <f t="shared" si="143"/>
        <v/>
      </c>
      <c r="C1524" s="250"/>
      <c r="D1524" s="251"/>
      <c r="E1524" s="241"/>
      <c r="F1524" s="252"/>
      <c r="G1524" s="252"/>
      <c r="H1524" s="253"/>
      <c r="I1524" s="250"/>
      <c r="J1524" s="250"/>
      <c r="K1524" s="270"/>
      <c r="L1524" s="250"/>
      <c r="M1524" s="250"/>
      <c r="N1524" s="553" t="str">
        <f>CONCATENATE(IF(OR(M1524=phu!$I$1,M1524=phu!$I$2,M1524=phu!$I$3),"Cam Thành Nam",""),IF(OR(M1524=phu!$I$4,M1524=phu!$I$5,M1524=phu!$I$6,M1524=phu!$I$7,M1524=phu!$I$8,M1524=phu!$I$9,M1524=phu!$I$10,M1524=phu!$I$11,M1524=phu!$I$12,M1524=phu!$I$13,M1524=phu!$I$14),"Cam Nghĩa",""),IF(OR(M1524=phu!$I$15,M1524=phu!$I$16,M1524=phu!$I$17,M1524=phu!$I$18,M1524=phu!$I$19,M1524=phu!$I$20,M1524=phu!$I$21),"Cam Phúc Bắc",""),IF(OR(M1524=phu!$I$22,M1524=phu!$I$23,M1524=phu!$I$24,M1524=phu!$I$25),"Cam Phúc Nam",""),IF(OR(M1524=phu!$I$26,M1524=phu!$I$27,M1524=phu!$I$28,M1524=phu!$I$29,M1524=phu!$I$30,M1524=phu!$I$31),"Cam Phú",""),IF(OR(M1524=phu!$I$32,M1524=phu!$I$33,M1524=phu!$I$34,M1524=phu!$I$35,M1524=phu!$I$36,M1524=phu!$I$37),"Cam Lộc",""),IF(OR(M1524=phu!$I$38,M1524=phu!$I$39,M1524=phu!$I$40,M1524=phu!$I$41,M1524=phu!$I$42,M1524=phu!$I$43,M1524=phu!$I$44),"Cam Thuận",""),IF(OR(M1524=phu!$I$45,M1524=phu!$I$46,M1524=phu!$I$47,M1524=phu!$I$48,M1524=phu!$I$49,M1524=phu!$I$50,M1524=phu!$I$51,M1524=phu!$I$52,M1524=phu!$I$53),"Cam Linh",""),IF(OR(M1524=phu!$I$54,M1524=phu!$I$55,M1524=phu!$I$56,M1524=phu!$I$57,M1524=phu!$I$58,M1524=phu!$I$59,M1524=phu!$I$60,M1524=phu!$I$61,M1524=phu!$I$62),"Cam Lợi",""),IF(OR(M1524=phu!$I$63,M1524=phu!$I$64,M1524=phu!$I$65,M1524=phu!$I$66,M1524=phu!$I$67,M1524=phu!$I$68,M1524=phu!$I$69,M1524=phu!$I$70,M1524=phu!$I$71),"Ba Ngòi",""),IF(OR(M1524=phu!$I$72,M1524=phu!$I$73,M1524=phu!$I$74,M1524=phu!$I$75,M1524=phu!$I$76,M1524=phu!$I$77,M1524=phu!$I$78),"Cam Phước Đông",""),IF(OR(M1524=phu!$I$79,M1524=phu!$I$80,M1524=phu!$I$81,M1524=phu!$I$82,M1524=phu!$I$83,M1524=phu!$I$84),"Cam Thịnh Đông",""),IF(OR(M1524=phu!$I$85,M1524=phu!$I$86,M1524=phu!$I$87,M1524=phu!$I$88),"Cam Thịnh Tây",""),IF(OR(M1524=phu!$I$89,M1524=phu!$I$90),"Cam Lập",""),IF(OR(M1524=phu!$I$91,M1524=phu!$I$92,M1524=phu!$I$93),"Cam Bình",""),IF(OR(M1524=phu!$I$94,M1524=phu!$I$95,M1524=phu!$I$96,M1524=phu!$I$97,M1524=phu!$I$98,M1524=phu!$I$99,M1524=phu!$I$100),"Huyện khác",""),IF(OR(M1524=phu!$I$101,M1524=phu!$I$102),"Tỉnh khác",""))</f>
        <v/>
      </c>
      <c r="O1524" s="814" t="str">
        <f t="shared" si="139"/>
        <v/>
      </c>
      <c r="P1524" s="254"/>
      <c r="Q1524" s="254"/>
      <c r="R1524" s="254"/>
      <c r="S1524" s="254"/>
      <c r="T1524" s="254"/>
      <c r="U1524" s="254"/>
      <c r="V1524" s="254"/>
      <c r="W1524" s="254"/>
      <c r="Y1524" s="246" t="str">
        <f t="shared" si="140"/>
        <v/>
      </c>
      <c r="Z1524" s="247" t="str">
        <f t="shared" si="138"/>
        <v/>
      </c>
      <c r="AA1524" s="246" t="str">
        <f t="shared" si="141"/>
        <v/>
      </c>
    </row>
    <row r="1525" spans="1:27" x14ac:dyDescent="0.25">
      <c r="A1525" s="248" t="str">
        <f t="shared" si="142"/>
        <v/>
      </c>
      <c r="B1525" s="249" t="str">
        <f t="shared" si="143"/>
        <v/>
      </c>
      <c r="C1525" s="250"/>
      <c r="D1525" s="251"/>
      <c r="E1525" s="241"/>
      <c r="F1525" s="252"/>
      <c r="G1525" s="252"/>
      <c r="H1525" s="253"/>
      <c r="I1525" s="250"/>
      <c r="J1525" s="250"/>
      <c r="K1525" s="270"/>
      <c r="L1525" s="250"/>
      <c r="M1525" s="250"/>
      <c r="N1525" s="553" t="str">
        <f>CONCATENATE(IF(OR(M1525=phu!$I$1,M1525=phu!$I$2,M1525=phu!$I$3),"Cam Thành Nam",""),IF(OR(M1525=phu!$I$4,M1525=phu!$I$5,M1525=phu!$I$6,M1525=phu!$I$7,M1525=phu!$I$8,M1525=phu!$I$9,M1525=phu!$I$10,M1525=phu!$I$11,M1525=phu!$I$12,M1525=phu!$I$13,M1525=phu!$I$14),"Cam Nghĩa",""),IF(OR(M1525=phu!$I$15,M1525=phu!$I$16,M1525=phu!$I$17,M1525=phu!$I$18,M1525=phu!$I$19,M1525=phu!$I$20,M1525=phu!$I$21),"Cam Phúc Bắc",""),IF(OR(M1525=phu!$I$22,M1525=phu!$I$23,M1525=phu!$I$24,M1525=phu!$I$25),"Cam Phúc Nam",""),IF(OR(M1525=phu!$I$26,M1525=phu!$I$27,M1525=phu!$I$28,M1525=phu!$I$29,M1525=phu!$I$30,M1525=phu!$I$31),"Cam Phú",""),IF(OR(M1525=phu!$I$32,M1525=phu!$I$33,M1525=phu!$I$34,M1525=phu!$I$35,M1525=phu!$I$36,M1525=phu!$I$37),"Cam Lộc",""),IF(OR(M1525=phu!$I$38,M1525=phu!$I$39,M1525=phu!$I$40,M1525=phu!$I$41,M1525=phu!$I$42,M1525=phu!$I$43,M1525=phu!$I$44),"Cam Thuận",""),IF(OR(M1525=phu!$I$45,M1525=phu!$I$46,M1525=phu!$I$47,M1525=phu!$I$48,M1525=phu!$I$49,M1525=phu!$I$50,M1525=phu!$I$51,M1525=phu!$I$52,M1525=phu!$I$53),"Cam Linh",""),IF(OR(M1525=phu!$I$54,M1525=phu!$I$55,M1525=phu!$I$56,M1525=phu!$I$57,M1525=phu!$I$58,M1525=phu!$I$59,M1525=phu!$I$60,M1525=phu!$I$61,M1525=phu!$I$62),"Cam Lợi",""),IF(OR(M1525=phu!$I$63,M1525=phu!$I$64,M1525=phu!$I$65,M1525=phu!$I$66,M1525=phu!$I$67,M1525=phu!$I$68,M1525=phu!$I$69,M1525=phu!$I$70,M1525=phu!$I$71),"Ba Ngòi",""),IF(OR(M1525=phu!$I$72,M1525=phu!$I$73,M1525=phu!$I$74,M1525=phu!$I$75,M1525=phu!$I$76,M1525=phu!$I$77,M1525=phu!$I$78),"Cam Phước Đông",""),IF(OR(M1525=phu!$I$79,M1525=phu!$I$80,M1525=phu!$I$81,M1525=phu!$I$82,M1525=phu!$I$83,M1525=phu!$I$84),"Cam Thịnh Đông",""),IF(OR(M1525=phu!$I$85,M1525=phu!$I$86,M1525=phu!$I$87,M1525=phu!$I$88),"Cam Thịnh Tây",""),IF(OR(M1525=phu!$I$89,M1525=phu!$I$90),"Cam Lập",""),IF(OR(M1525=phu!$I$91,M1525=phu!$I$92,M1525=phu!$I$93),"Cam Bình",""),IF(OR(M1525=phu!$I$94,M1525=phu!$I$95,M1525=phu!$I$96,M1525=phu!$I$97,M1525=phu!$I$98,M1525=phu!$I$99,M1525=phu!$I$100),"Huyện khác",""),IF(OR(M1525=phu!$I$101,M1525=phu!$I$102),"Tỉnh khác",""))</f>
        <v/>
      </c>
      <c r="O1525" s="814" t="str">
        <f t="shared" si="139"/>
        <v/>
      </c>
      <c r="P1525" s="254"/>
      <c r="Q1525" s="254"/>
      <c r="R1525" s="254"/>
      <c r="S1525" s="254"/>
      <c r="T1525" s="254"/>
      <c r="U1525" s="254"/>
      <c r="V1525" s="254"/>
      <c r="W1525" s="254"/>
      <c r="Y1525" s="246" t="str">
        <f t="shared" si="140"/>
        <v/>
      </c>
      <c r="Z1525" s="247" t="str">
        <f t="shared" si="138"/>
        <v/>
      </c>
      <c r="AA1525" s="246" t="str">
        <f t="shared" si="141"/>
        <v/>
      </c>
    </row>
    <row r="1526" spans="1:27" x14ac:dyDescent="0.25">
      <c r="A1526" s="248" t="str">
        <f t="shared" si="142"/>
        <v/>
      </c>
      <c r="B1526" s="249" t="str">
        <f t="shared" si="143"/>
        <v/>
      </c>
      <c r="C1526" s="250"/>
      <c r="D1526" s="251"/>
      <c r="E1526" s="241"/>
      <c r="F1526" s="252"/>
      <c r="G1526" s="252"/>
      <c r="H1526" s="253"/>
      <c r="I1526" s="250"/>
      <c r="J1526" s="250"/>
      <c r="K1526" s="270"/>
      <c r="L1526" s="250"/>
      <c r="M1526" s="250"/>
      <c r="N1526" s="553" t="str">
        <f>CONCATENATE(IF(OR(M1526=phu!$I$1,M1526=phu!$I$2,M1526=phu!$I$3),"Cam Thành Nam",""),IF(OR(M1526=phu!$I$4,M1526=phu!$I$5,M1526=phu!$I$6,M1526=phu!$I$7,M1526=phu!$I$8,M1526=phu!$I$9,M1526=phu!$I$10,M1526=phu!$I$11,M1526=phu!$I$12,M1526=phu!$I$13,M1526=phu!$I$14),"Cam Nghĩa",""),IF(OR(M1526=phu!$I$15,M1526=phu!$I$16,M1526=phu!$I$17,M1526=phu!$I$18,M1526=phu!$I$19,M1526=phu!$I$20,M1526=phu!$I$21),"Cam Phúc Bắc",""),IF(OR(M1526=phu!$I$22,M1526=phu!$I$23,M1526=phu!$I$24,M1526=phu!$I$25),"Cam Phúc Nam",""),IF(OR(M1526=phu!$I$26,M1526=phu!$I$27,M1526=phu!$I$28,M1526=phu!$I$29,M1526=phu!$I$30,M1526=phu!$I$31),"Cam Phú",""),IF(OR(M1526=phu!$I$32,M1526=phu!$I$33,M1526=phu!$I$34,M1526=phu!$I$35,M1526=phu!$I$36,M1526=phu!$I$37),"Cam Lộc",""),IF(OR(M1526=phu!$I$38,M1526=phu!$I$39,M1526=phu!$I$40,M1526=phu!$I$41,M1526=phu!$I$42,M1526=phu!$I$43,M1526=phu!$I$44),"Cam Thuận",""),IF(OR(M1526=phu!$I$45,M1526=phu!$I$46,M1526=phu!$I$47,M1526=phu!$I$48,M1526=phu!$I$49,M1526=phu!$I$50,M1526=phu!$I$51,M1526=phu!$I$52,M1526=phu!$I$53),"Cam Linh",""),IF(OR(M1526=phu!$I$54,M1526=phu!$I$55,M1526=phu!$I$56,M1526=phu!$I$57,M1526=phu!$I$58,M1526=phu!$I$59,M1526=phu!$I$60,M1526=phu!$I$61,M1526=phu!$I$62),"Cam Lợi",""),IF(OR(M1526=phu!$I$63,M1526=phu!$I$64,M1526=phu!$I$65,M1526=phu!$I$66,M1526=phu!$I$67,M1526=phu!$I$68,M1526=phu!$I$69,M1526=phu!$I$70,M1526=phu!$I$71),"Ba Ngòi",""),IF(OR(M1526=phu!$I$72,M1526=phu!$I$73,M1526=phu!$I$74,M1526=phu!$I$75,M1526=phu!$I$76,M1526=phu!$I$77,M1526=phu!$I$78),"Cam Phước Đông",""),IF(OR(M1526=phu!$I$79,M1526=phu!$I$80,M1526=phu!$I$81,M1526=phu!$I$82,M1526=phu!$I$83,M1526=phu!$I$84),"Cam Thịnh Đông",""),IF(OR(M1526=phu!$I$85,M1526=phu!$I$86,M1526=phu!$I$87,M1526=phu!$I$88),"Cam Thịnh Tây",""),IF(OR(M1526=phu!$I$89,M1526=phu!$I$90),"Cam Lập",""),IF(OR(M1526=phu!$I$91,M1526=phu!$I$92,M1526=phu!$I$93),"Cam Bình",""),IF(OR(M1526=phu!$I$94,M1526=phu!$I$95,M1526=phu!$I$96,M1526=phu!$I$97,M1526=phu!$I$98,M1526=phu!$I$99,M1526=phu!$I$100),"Huyện khác",""),IF(OR(M1526=phu!$I$101,M1526=phu!$I$102),"Tỉnh khác",""))</f>
        <v/>
      </c>
      <c r="O1526" s="814" t="str">
        <f t="shared" si="139"/>
        <v/>
      </c>
      <c r="P1526" s="254"/>
      <c r="Q1526" s="254"/>
      <c r="R1526" s="254"/>
      <c r="S1526" s="254"/>
      <c r="T1526" s="254"/>
      <c r="U1526" s="254"/>
      <c r="V1526" s="254"/>
      <c r="W1526" s="254"/>
      <c r="Y1526" s="246" t="str">
        <f t="shared" si="140"/>
        <v/>
      </c>
      <c r="Z1526" s="247" t="str">
        <f t="shared" si="138"/>
        <v/>
      </c>
      <c r="AA1526" s="246" t="str">
        <f t="shared" si="141"/>
        <v/>
      </c>
    </row>
    <row r="1527" spans="1:27" x14ac:dyDescent="0.25">
      <c r="A1527" s="248" t="str">
        <f t="shared" si="142"/>
        <v/>
      </c>
      <c r="B1527" s="249" t="str">
        <f t="shared" si="143"/>
        <v/>
      </c>
      <c r="C1527" s="250"/>
      <c r="D1527" s="251"/>
      <c r="E1527" s="241"/>
      <c r="F1527" s="252"/>
      <c r="G1527" s="252"/>
      <c r="H1527" s="253"/>
      <c r="I1527" s="250"/>
      <c r="J1527" s="250"/>
      <c r="K1527" s="270"/>
      <c r="L1527" s="250"/>
      <c r="M1527" s="250"/>
      <c r="N1527" s="553" t="str">
        <f>CONCATENATE(IF(OR(M1527=phu!$I$1,M1527=phu!$I$2,M1527=phu!$I$3),"Cam Thành Nam",""),IF(OR(M1527=phu!$I$4,M1527=phu!$I$5,M1527=phu!$I$6,M1527=phu!$I$7,M1527=phu!$I$8,M1527=phu!$I$9,M1527=phu!$I$10,M1527=phu!$I$11,M1527=phu!$I$12,M1527=phu!$I$13,M1527=phu!$I$14),"Cam Nghĩa",""),IF(OR(M1527=phu!$I$15,M1527=phu!$I$16,M1527=phu!$I$17,M1527=phu!$I$18,M1527=phu!$I$19,M1527=phu!$I$20,M1527=phu!$I$21),"Cam Phúc Bắc",""),IF(OR(M1527=phu!$I$22,M1527=phu!$I$23,M1527=phu!$I$24,M1527=phu!$I$25),"Cam Phúc Nam",""),IF(OR(M1527=phu!$I$26,M1527=phu!$I$27,M1527=phu!$I$28,M1527=phu!$I$29,M1527=phu!$I$30,M1527=phu!$I$31),"Cam Phú",""),IF(OR(M1527=phu!$I$32,M1527=phu!$I$33,M1527=phu!$I$34,M1527=phu!$I$35,M1527=phu!$I$36,M1527=phu!$I$37),"Cam Lộc",""),IF(OR(M1527=phu!$I$38,M1527=phu!$I$39,M1527=phu!$I$40,M1527=phu!$I$41,M1527=phu!$I$42,M1527=phu!$I$43,M1527=phu!$I$44),"Cam Thuận",""),IF(OR(M1527=phu!$I$45,M1527=phu!$I$46,M1527=phu!$I$47,M1527=phu!$I$48,M1527=phu!$I$49,M1527=phu!$I$50,M1527=phu!$I$51,M1527=phu!$I$52,M1527=phu!$I$53),"Cam Linh",""),IF(OR(M1527=phu!$I$54,M1527=phu!$I$55,M1527=phu!$I$56,M1527=phu!$I$57,M1527=phu!$I$58,M1527=phu!$I$59,M1527=phu!$I$60,M1527=phu!$I$61,M1527=phu!$I$62),"Cam Lợi",""),IF(OR(M1527=phu!$I$63,M1527=phu!$I$64,M1527=phu!$I$65,M1527=phu!$I$66,M1527=phu!$I$67,M1527=phu!$I$68,M1527=phu!$I$69,M1527=phu!$I$70,M1527=phu!$I$71),"Ba Ngòi",""),IF(OR(M1527=phu!$I$72,M1527=phu!$I$73,M1527=phu!$I$74,M1527=phu!$I$75,M1527=phu!$I$76,M1527=phu!$I$77,M1527=phu!$I$78),"Cam Phước Đông",""),IF(OR(M1527=phu!$I$79,M1527=phu!$I$80,M1527=phu!$I$81,M1527=phu!$I$82,M1527=phu!$I$83,M1527=phu!$I$84),"Cam Thịnh Đông",""),IF(OR(M1527=phu!$I$85,M1527=phu!$I$86,M1527=phu!$I$87,M1527=phu!$I$88),"Cam Thịnh Tây",""),IF(OR(M1527=phu!$I$89,M1527=phu!$I$90),"Cam Lập",""),IF(OR(M1527=phu!$I$91,M1527=phu!$I$92,M1527=phu!$I$93),"Cam Bình",""),IF(OR(M1527=phu!$I$94,M1527=phu!$I$95,M1527=phu!$I$96,M1527=phu!$I$97,M1527=phu!$I$98,M1527=phu!$I$99,M1527=phu!$I$100),"Huyện khác",""),IF(OR(M1527=phu!$I$101,M1527=phu!$I$102),"Tỉnh khác",""))</f>
        <v/>
      </c>
      <c r="O1527" s="814" t="str">
        <f t="shared" si="139"/>
        <v/>
      </c>
      <c r="P1527" s="254"/>
      <c r="Q1527" s="254"/>
      <c r="R1527" s="254"/>
      <c r="S1527" s="254"/>
      <c r="T1527" s="254"/>
      <c r="U1527" s="254"/>
      <c r="V1527" s="254"/>
      <c r="W1527" s="254"/>
      <c r="Y1527" s="246" t="str">
        <f t="shared" si="140"/>
        <v/>
      </c>
      <c r="Z1527" s="247" t="str">
        <f t="shared" si="138"/>
        <v/>
      </c>
      <c r="AA1527" s="246" t="str">
        <f t="shared" si="141"/>
        <v/>
      </c>
    </row>
    <row r="1528" spans="1:27" x14ac:dyDescent="0.25">
      <c r="A1528" s="248" t="str">
        <f t="shared" si="142"/>
        <v/>
      </c>
      <c r="B1528" s="249" t="str">
        <f t="shared" si="143"/>
        <v/>
      </c>
      <c r="C1528" s="250"/>
      <c r="D1528" s="251"/>
      <c r="E1528" s="241"/>
      <c r="F1528" s="252"/>
      <c r="G1528" s="252"/>
      <c r="H1528" s="253"/>
      <c r="I1528" s="250"/>
      <c r="J1528" s="250"/>
      <c r="K1528" s="270"/>
      <c r="L1528" s="250"/>
      <c r="M1528" s="250"/>
      <c r="N1528" s="553" t="str">
        <f>CONCATENATE(IF(OR(M1528=phu!$I$1,M1528=phu!$I$2,M1528=phu!$I$3),"Cam Thành Nam",""),IF(OR(M1528=phu!$I$4,M1528=phu!$I$5,M1528=phu!$I$6,M1528=phu!$I$7,M1528=phu!$I$8,M1528=phu!$I$9,M1528=phu!$I$10,M1528=phu!$I$11,M1528=phu!$I$12,M1528=phu!$I$13,M1528=phu!$I$14),"Cam Nghĩa",""),IF(OR(M1528=phu!$I$15,M1528=phu!$I$16,M1528=phu!$I$17,M1528=phu!$I$18,M1528=phu!$I$19,M1528=phu!$I$20,M1528=phu!$I$21),"Cam Phúc Bắc",""),IF(OR(M1528=phu!$I$22,M1528=phu!$I$23,M1528=phu!$I$24,M1528=phu!$I$25),"Cam Phúc Nam",""),IF(OR(M1528=phu!$I$26,M1528=phu!$I$27,M1528=phu!$I$28,M1528=phu!$I$29,M1528=phu!$I$30,M1528=phu!$I$31),"Cam Phú",""),IF(OR(M1528=phu!$I$32,M1528=phu!$I$33,M1528=phu!$I$34,M1528=phu!$I$35,M1528=phu!$I$36,M1528=phu!$I$37),"Cam Lộc",""),IF(OR(M1528=phu!$I$38,M1528=phu!$I$39,M1528=phu!$I$40,M1528=phu!$I$41,M1528=phu!$I$42,M1528=phu!$I$43,M1528=phu!$I$44),"Cam Thuận",""),IF(OR(M1528=phu!$I$45,M1528=phu!$I$46,M1528=phu!$I$47,M1528=phu!$I$48,M1528=phu!$I$49,M1528=phu!$I$50,M1528=phu!$I$51,M1528=phu!$I$52,M1528=phu!$I$53),"Cam Linh",""),IF(OR(M1528=phu!$I$54,M1528=phu!$I$55,M1528=phu!$I$56,M1528=phu!$I$57,M1528=phu!$I$58,M1528=phu!$I$59,M1528=phu!$I$60,M1528=phu!$I$61,M1528=phu!$I$62),"Cam Lợi",""),IF(OR(M1528=phu!$I$63,M1528=phu!$I$64,M1528=phu!$I$65,M1528=phu!$I$66,M1528=phu!$I$67,M1528=phu!$I$68,M1528=phu!$I$69,M1528=phu!$I$70,M1528=phu!$I$71),"Ba Ngòi",""),IF(OR(M1528=phu!$I$72,M1528=phu!$I$73,M1528=phu!$I$74,M1528=phu!$I$75,M1528=phu!$I$76,M1528=phu!$I$77,M1528=phu!$I$78),"Cam Phước Đông",""),IF(OR(M1528=phu!$I$79,M1528=phu!$I$80,M1528=phu!$I$81,M1528=phu!$I$82,M1528=phu!$I$83,M1528=phu!$I$84),"Cam Thịnh Đông",""),IF(OR(M1528=phu!$I$85,M1528=phu!$I$86,M1528=phu!$I$87,M1528=phu!$I$88),"Cam Thịnh Tây",""),IF(OR(M1528=phu!$I$89,M1528=phu!$I$90),"Cam Lập",""),IF(OR(M1528=phu!$I$91,M1528=phu!$I$92,M1528=phu!$I$93),"Cam Bình",""),IF(OR(M1528=phu!$I$94,M1528=phu!$I$95,M1528=phu!$I$96,M1528=phu!$I$97,M1528=phu!$I$98,M1528=phu!$I$99,M1528=phu!$I$100),"Huyện khác",""),IF(OR(M1528=phu!$I$101,M1528=phu!$I$102),"Tỉnh khác",""))</f>
        <v/>
      </c>
      <c r="O1528" s="814" t="str">
        <f t="shared" si="139"/>
        <v/>
      </c>
      <c r="P1528" s="254"/>
      <c r="Q1528" s="254"/>
      <c r="R1528" s="254"/>
      <c r="S1528" s="254"/>
      <c r="T1528" s="254"/>
      <c r="U1528" s="254"/>
      <c r="V1528" s="254"/>
      <c r="W1528" s="254"/>
      <c r="Y1528" s="246" t="str">
        <f t="shared" si="140"/>
        <v/>
      </c>
      <c r="Z1528" s="247" t="str">
        <f t="shared" si="138"/>
        <v/>
      </c>
      <c r="AA1528" s="246" t="str">
        <f t="shared" si="141"/>
        <v/>
      </c>
    </row>
    <row r="1529" spans="1:27" x14ac:dyDescent="0.25">
      <c r="A1529" s="248" t="str">
        <f t="shared" si="142"/>
        <v/>
      </c>
      <c r="B1529" s="249" t="str">
        <f t="shared" si="143"/>
        <v/>
      </c>
      <c r="C1529" s="250"/>
      <c r="D1529" s="251"/>
      <c r="E1529" s="241"/>
      <c r="F1529" s="252"/>
      <c r="G1529" s="252"/>
      <c r="H1529" s="253"/>
      <c r="I1529" s="250"/>
      <c r="J1529" s="250"/>
      <c r="K1529" s="270"/>
      <c r="L1529" s="250"/>
      <c r="M1529" s="250"/>
      <c r="N1529" s="553" t="str">
        <f>CONCATENATE(IF(OR(M1529=phu!$I$1,M1529=phu!$I$2,M1529=phu!$I$3),"Cam Thành Nam",""),IF(OR(M1529=phu!$I$4,M1529=phu!$I$5,M1529=phu!$I$6,M1529=phu!$I$7,M1529=phu!$I$8,M1529=phu!$I$9,M1529=phu!$I$10,M1529=phu!$I$11,M1529=phu!$I$12,M1529=phu!$I$13,M1529=phu!$I$14),"Cam Nghĩa",""),IF(OR(M1529=phu!$I$15,M1529=phu!$I$16,M1529=phu!$I$17,M1529=phu!$I$18,M1529=phu!$I$19,M1529=phu!$I$20,M1529=phu!$I$21),"Cam Phúc Bắc",""),IF(OR(M1529=phu!$I$22,M1529=phu!$I$23,M1529=phu!$I$24,M1529=phu!$I$25),"Cam Phúc Nam",""),IF(OR(M1529=phu!$I$26,M1529=phu!$I$27,M1529=phu!$I$28,M1529=phu!$I$29,M1529=phu!$I$30,M1529=phu!$I$31),"Cam Phú",""),IF(OR(M1529=phu!$I$32,M1529=phu!$I$33,M1529=phu!$I$34,M1529=phu!$I$35,M1529=phu!$I$36,M1529=phu!$I$37),"Cam Lộc",""),IF(OR(M1529=phu!$I$38,M1529=phu!$I$39,M1529=phu!$I$40,M1529=phu!$I$41,M1529=phu!$I$42,M1529=phu!$I$43,M1529=phu!$I$44),"Cam Thuận",""),IF(OR(M1529=phu!$I$45,M1529=phu!$I$46,M1529=phu!$I$47,M1529=phu!$I$48,M1529=phu!$I$49,M1529=phu!$I$50,M1529=phu!$I$51,M1529=phu!$I$52,M1529=phu!$I$53),"Cam Linh",""),IF(OR(M1529=phu!$I$54,M1529=phu!$I$55,M1529=phu!$I$56,M1529=phu!$I$57,M1529=phu!$I$58,M1529=phu!$I$59,M1529=phu!$I$60,M1529=phu!$I$61,M1529=phu!$I$62),"Cam Lợi",""),IF(OR(M1529=phu!$I$63,M1529=phu!$I$64,M1529=phu!$I$65,M1529=phu!$I$66,M1529=phu!$I$67,M1529=phu!$I$68,M1529=phu!$I$69,M1529=phu!$I$70,M1529=phu!$I$71),"Ba Ngòi",""),IF(OR(M1529=phu!$I$72,M1529=phu!$I$73,M1529=phu!$I$74,M1529=phu!$I$75,M1529=phu!$I$76,M1529=phu!$I$77,M1529=phu!$I$78),"Cam Phước Đông",""),IF(OR(M1529=phu!$I$79,M1529=phu!$I$80,M1529=phu!$I$81,M1529=phu!$I$82,M1529=phu!$I$83,M1529=phu!$I$84),"Cam Thịnh Đông",""),IF(OR(M1529=phu!$I$85,M1529=phu!$I$86,M1529=phu!$I$87,M1529=phu!$I$88),"Cam Thịnh Tây",""),IF(OR(M1529=phu!$I$89,M1529=phu!$I$90),"Cam Lập",""),IF(OR(M1529=phu!$I$91,M1529=phu!$I$92,M1529=phu!$I$93),"Cam Bình",""),IF(OR(M1529=phu!$I$94,M1529=phu!$I$95,M1529=phu!$I$96,M1529=phu!$I$97,M1529=phu!$I$98,M1529=phu!$I$99,M1529=phu!$I$100),"Huyện khác",""),IF(OR(M1529=phu!$I$101,M1529=phu!$I$102),"Tỉnh khác",""))</f>
        <v/>
      </c>
      <c r="O1529" s="814" t="str">
        <f t="shared" si="139"/>
        <v/>
      </c>
      <c r="P1529" s="254"/>
      <c r="Q1529" s="254"/>
      <c r="R1529" s="254"/>
      <c r="S1529" s="254"/>
      <c r="T1529" s="254"/>
      <c r="U1529" s="254"/>
      <c r="V1529" s="254"/>
      <c r="W1529" s="254"/>
      <c r="Y1529" s="246" t="str">
        <f t="shared" si="140"/>
        <v/>
      </c>
      <c r="Z1529" s="247" t="str">
        <f t="shared" si="138"/>
        <v/>
      </c>
      <c r="AA1529" s="246" t="str">
        <f t="shared" si="141"/>
        <v/>
      </c>
    </row>
    <row r="1530" spans="1:27" x14ac:dyDescent="0.25">
      <c r="A1530" s="248" t="str">
        <f t="shared" si="142"/>
        <v/>
      </c>
      <c r="B1530" s="249" t="str">
        <f t="shared" si="143"/>
        <v/>
      </c>
      <c r="C1530" s="250"/>
      <c r="D1530" s="251"/>
      <c r="E1530" s="241"/>
      <c r="F1530" s="252"/>
      <c r="G1530" s="252"/>
      <c r="H1530" s="253"/>
      <c r="I1530" s="250"/>
      <c r="J1530" s="250"/>
      <c r="K1530" s="270"/>
      <c r="L1530" s="250"/>
      <c r="M1530" s="250"/>
      <c r="N1530" s="553" t="str">
        <f>CONCATENATE(IF(OR(M1530=phu!$I$1,M1530=phu!$I$2,M1530=phu!$I$3),"Cam Thành Nam",""),IF(OR(M1530=phu!$I$4,M1530=phu!$I$5,M1530=phu!$I$6,M1530=phu!$I$7,M1530=phu!$I$8,M1530=phu!$I$9,M1530=phu!$I$10,M1530=phu!$I$11,M1530=phu!$I$12,M1530=phu!$I$13,M1530=phu!$I$14),"Cam Nghĩa",""),IF(OR(M1530=phu!$I$15,M1530=phu!$I$16,M1530=phu!$I$17,M1530=phu!$I$18,M1530=phu!$I$19,M1530=phu!$I$20,M1530=phu!$I$21),"Cam Phúc Bắc",""),IF(OR(M1530=phu!$I$22,M1530=phu!$I$23,M1530=phu!$I$24,M1530=phu!$I$25),"Cam Phúc Nam",""),IF(OR(M1530=phu!$I$26,M1530=phu!$I$27,M1530=phu!$I$28,M1530=phu!$I$29,M1530=phu!$I$30,M1530=phu!$I$31),"Cam Phú",""),IF(OR(M1530=phu!$I$32,M1530=phu!$I$33,M1530=phu!$I$34,M1530=phu!$I$35,M1530=phu!$I$36,M1530=phu!$I$37),"Cam Lộc",""),IF(OR(M1530=phu!$I$38,M1530=phu!$I$39,M1530=phu!$I$40,M1530=phu!$I$41,M1530=phu!$I$42,M1530=phu!$I$43,M1530=phu!$I$44),"Cam Thuận",""),IF(OR(M1530=phu!$I$45,M1530=phu!$I$46,M1530=phu!$I$47,M1530=phu!$I$48,M1530=phu!$I$49,M1530=phu!$I$50,M1530=phu!$I$51,M1530=phu!$I$52,M1530=phu!$I$53),"Cam Linh",""),IF(OR(M1530=phu!$I$54,M1530=phu!$I$55,M1530=phu!$I$56,M1530=phu!$I$57,M1530=phu!$I$58,M1530=phu!$I$59,M1530=phu!$I$60,M1530=phu!$I$61,M1530=phu!$I$62),"Cam Lợi",""),IF(OR(M1530=phu!$I$63,M1530=phu!$I$64,M1530=phu!$I$65,M1530=phu!$I$66,M1530=phu!$I$67,M1530=phu!$I$68,M1530=phu!$I$69,M1530=phu!$I$70,M1530=phu!$I$71),"Ba Ngòi",""),IF(OR(M1530=phu!$I$72,M1530=phu!$I$73,M1530=phu!$I$74,M1530=phu!$I$75,M1530=phu!$I$76,M1530=phu!$I$77,M1530=phu!$I$78),"Cam Phước Đông",""),IF(OR(M1530=phu!$I$79,M1530=phu!$I$80,M1530=phu!$I$81,M1530=phu!$I$82,M1530=phu!$I$83,M1530=phu!$I$84),"Cam Thịnh Đông",""),IF(OR(M1530=phu!$I$85,M1530=phu!$I$86,M1530=phu!$I$87,M1530=phu!$I$88),"Cam Thịnh Tây",""),IF(OR(M1530=phu!$I$89,M1530=phu!$I$90),"Cam Lập",""),IF(OR(M1530=phu!$I$91,M1530=phu!$I$92,M1530=phu!$I$93),"Cam Bình",""),IF(OR(M1530=phu!$I$94,M1530=phu!$I$95,M1530=phu!$I$96,M1530=phu!$I$97,M1530=phu!$I$98,M1530=phu!$I$99,M1530=phu!$I$100),"Huyện khác",""),IF(OR(M1530=phu!$I$101,M1530=phu!$I$102),"Tỉnh khác",""))</f>
        <v/>
      </c>
      <c r="O1530" s="814" t="str">
        <f t="shared" si="139"/>
        <v/>
      </c>
      <c r="P1530" s="254"/>
      <c r="Q1530" s="254"/>
      <c r="R1530" s="254"/>
      <c r="S1530" s="254"/>
      <c r="T1530" s="254"/>
      <c r="U1530" s="254"/>
      <c r="V1530" s="254"/>
      <c r="W1530" s="254"/>
      <c r="Y1530" s="246" t="str">
        <f t="shared" si="140"/>
        <v/>
      </c>
      <c r="Z1530" s="247" t="str">
        <f t="shared" si="138"/>
        <v/>
      </c>
      <c r="AA1530" s="246" t="str">
        <f t="shared" si="141"/>
        <v/>
      </c>
    </row>
    <row r="1531" spans="1:27" x14ac:dyDescent="0.25">
      <c r="A1531" s="248" t="str">
        <f t="shared" si="142"/>
        <v/>
      </c>
      <c r="B1531" s="249" t="str">
        <f t="shared" si="143"/>
        <v/>
      </c>
      <c r="C1531" s="250"/>
      <c r="D1531" s="251"/>
      <c r="E1531" s="241"/>
      <c r="F1531" s="252"/>
      <c r="G1531" s="252"/>
      <c r="H1531" s="253"/>
      <c r="I1531" s="250"/>
      <c r="J1531" s="250"/>
      <c r="K1531" s="270"/>
      <c r="L1531" s="250"/>
      <c r="M1531" s="250"/>
      <c r="N1531" s="553" t="str">
        <f>CONCATENATE(IF(OR(M1531=phu!$I$1,M1531=phu!$I$2,M1531=phu!$I$3),"Cam Thành Nam",""),IF(OR(M1531=phu!$I$4,M1531=phu!$I$5,M1531=phu!$I$6,M1531=phu!$I$7,M1531=phu!$I$8,M1531=phu!$I$9,M1531=phu!$I$10,M1531=phu!$I$11,M1531=phu!$I$12,M1531=phu!$I$13,M1531=phu!$I$14),"Cam Nghĩa",""),IF(OR(M1531=phu!$I$15,M1531=phu!$I$16,M1531=phu!$I$17,M1531=phu!$I$18,M1531=phu!$I$19,M1531=phu!$I$20,M1531=phu!$I$21),"Cam Phúc Bắc",""),IF(OR(M1531=phu!$I$22,M1531=phu!$I$23,M1531=phu!$I$24,M1531=phu!$I$25),"Cam Phúc Nam",""),IF(OR(M1531=phu!$I$26,M1531=phu!$I$27,M1531=phu!$I$28,M1531=phu!$I$29,M1531=phu!$I$30,M1531=phu!$I$31),"Cam Phú",""),IF(OR(M1531=phu!$I$32,M1531=phu!$I$33,M1531=phu!$I$34,M1531=phu!$I$35,M1531=phu!$I$36,M1531=phu!$I$37),"Cam Lộc",""),IF(OR(M1531=phu!$I$38,M1531=phu!$I$39,M1531=phu!$I$40,M1531=phu!$I$41,M1531=phu!$I$42,M1531=phu!$I$43,M1531=phu!$I$44),"Cam Thuận",""),IF(OR(M1531=phu!$I$45,M1531=phu!$I$46,M1531=phu!$I$47,M1531=phu!$I$48,M1531=phu!$I$49,M1531=phu!$I$50,M1531=phu!$I$51,M1531=phu!$I$52,M1531=phu!$I$53),"Cam Linh",""),IF(OR(M1531=phu!$I$54,M1531=phu!$I$55,M1531=phu!$I$56,M1531=phu!$I$57,M1531=phu!$I$58,M1531=phu!$I$59,M1531=phu!$I$60,M1531=phu!$I$61,M1531=phu!$I$62),"Cam Lợi",""),IF(OR(M1531=phu!$I$63,M1531=phu!$I$64,M1531=phu!$I$65,M1531=phu!$I$66,M1531=phu!$I$67,M1531=phu!$I$68,M1531=phu!$I$69,M1531=phu!$I$70,M1531=phu!$I$71),"Ba Ngòi",""),IF(OR(M1531=phu!$I$72,M1531=phu!$I$73,M1531=phu!$I$74,M1531=phu!$I$75,M1531=phu!$I$76,M1531=phu!$I$77,M1531=phu!$I$78),"Cam Phước Đông",""),IF(OR(M1531=phu!$I$79,M1531=phu!$I$80,M1531=phu!$I$81,M1531=phu!$I$82,M1531=phu!$I$83,M1531=phu!$I$84),"Cam Thịnh Đông",""),IF(OR(M1531=phu!$I$85,M1531=phu!$I$86,M1531=phu!$I$87,M1531=phu!$I$88),"Cam Thịnh Tây",""),IF(OR(M1531=phu!$I$89,M1531=phu!$I$90),"Cam Lập",""),IF(OR(M1531=phu!$I$91,M1531=phu!$I$92,M1531=phu!$I$93),"Cam Bình",""),IF(OR(M1531=phu!$I$94,M1531=phu!$I$95,M1531=phu!$I$96,M1531=phu!$I$97,M1531=phu!$I$98,M1531=phu!$I$99,M1531=phu!$I$100),"Huyện khác",""),IF(OR(M1531=phu!$I$101,M1531=phu!$I$102),"Tỉnh khác",""))</f>
        <v/>
      </c>
      <c r="O1531" s="814" t="str">
        <f t="shared" si="139"/>
        <v/>
      </c>
      <c r="P1531" s="254"/>
      <c r="Q1531" s="254"/>
      <c r="R1531" s="254"/>
      <c r="S1531" s="254"/>
      <c r="T1531" s="254"/>
      <c r="U1531" s="254"/>
      <c r="V1531" s="254"/>
      <c r="W1531" s="254"/>
      <c r="Y1531" s="246" t="str">
        <f t="shared" si="140"/>
        <v/>
      </c>
      <c r="Z1531" s="247" t="str">
        <f t="shared" si="138"/>
        <v/>
      </c>
      <c r="AA1531" s="246" t="str">
        <f t="shared" si="141"/>
        <v/>
      </c>
    </row>
    <row r="1532" spans="1:27" x14ac:dyDescent="0.25">
      <c r="A1532" s="248" t="str">
        <f t="shared" si="142"/>
        <v/>
      </c>
      <c r="B1532" s="249" t="str">
        <f t="shared" si="143"/>
        <v/>
      </c>
      <c r="C1532" s="250"/>
      <c r="D1532" s="251"/>
      <c r="E1532" s="241"/>
      <c r="F1532" s="252"/>
      <c r="G1532" s="252"/>
      <c r="H1532" s="253"/>
      <c r="I1532" s="250"/>
      <c r="J1532" s="250"/>
      <c r="K1532" s="270"/>
      <c r="L1532" s="250"/>
      <c r="M1532" s="250"/>
      <c r="N1532" s="553" t="str">
        <f>CONCATENATE(IF(OR(M1532=phu!$I$1,M1532=phu!$I$2,M1532=phu!$I$3),"Cam Thành Nam",""),IF(OR(M1532=phu!$I$4,M1532=phu!$I$5,M1532=phu!$I$6,M1532=phu!$I$7,M1532=phu!$I$8,M1532=phu!$I$9,M1532=phu!$I$10,M1532=phu!$I$11,M1532=phu!$I$12,M1532=phu!$I$13,M1532=phu!$I$14),"Cam Nghĩa",""),IF(OR(M1532=phu!$I$15,M1532=phu!$I$16,M1532=phu!$I$17,M1532=phu!$I$18,M1532=phu!$I$19,M1532=phu!$I$20,M1532=phu!$I$21),"Cam Phúc Bắc",""),IF(OR(M1532=phu!$I$22,M1532=phu!$I$23,M1532=phu!$I$24,M1532=phu!$I$25),"Cam Phúc Nam",""),IF(OR(M1532=phu!$I$26,M1532=phu!$I$27,M1532=phu!$I$28,M1532=phu!$I$29,M1532=phu!$I$30,M1532=phu!$I$31),"Cam Phú",""),IF(OR(M1532=phu!$I$32,M1532=phu!$I$33,M1532=phu!$I$34,M1532=phu!$I$35,M1532=phu!$I$36,M1532=phu!$I$37),"Cam Lộc",""),IF(OR(M1532=phu!$I$38,M1532=phu!$I$39,M1532=phu!$I$40,M1532=phu!$I$41,M1532=phu!$I$42,M1532=phu!$I$43,M1532=phu!$I$44),"Cam Thuận",""),IF(OR(M1532=phu!$I$45,M1532=phu!$I$46,M1532=phu!$I$47,M1532=phu!$I$48,M1532=phu!$I$49,M1532=phu!$I$50,M1532=phu!$I$51,M1532=phu!$I$52,M1532=phu!$I$53),"Cam Linh",""),IF(OR(M1532=phu!$I$54,M1532=phu!$I$55,M1532=phu!$I$56,M1532=phu!$I$57,M1532=phu!$I$58,M1532=phu!$I$59,M1532=phu!$I$60,M1532=phu!$I$61,M1532=phu!$I$62),"Cam Lợi",""),IF(OR(M1532=phu!$I$63,M1532=phu!$I$64,M1532=phu!$I$65,M1532=phu!$I$66,M1532=phu!$I$67,M1532=phu!$I$68,M1532=phu!$I$69,M1532=phu!$I$70,M1532=phu!$I$71),"Ba Ngòi",""),IF(OR(M1532=phu!$I$72,M1532=phu!$I$73,M1532=phu!$I$74,M1532=phu!$I$75,M1532=phu!$I$76,M1532=phu!$I$77,M1532=phu!$I$78),"Cam Phước Đông",""),IF(OR(M1532=phu!$I$79,M1532=phu!$I$80,M1532=phu!$I$81,M1532=phu!$I$82,M1532=phu!$I$83,M1532=phu!$I$84),"Cam Thịnh Đông",""),IF(OR(M1532=phu!$I$85,M1532=phu!$I$86,M1532=phu!$I$87,M1532=phu!$I$88),"Cam Thịnh Tây",""),IF(OR(M1532=phu!$I$89,M1532=phu!$I$90),"Cam Lập",""),IF(OR(M1532=phu!$I$91,M1532=phu!$I$92,M1532=phu!$I$93),"Cam Bình",""),IF(OR(M1532=phu!$I$94,M1532=phu!$I$95,M1532=phu!$I$96,M1532=phu!$I$97,M1532=phu!$I$98,M1532=phu!$I$99,M1532=phu!$I$100),"Huyện khác",""),IF(OR(M1532=phu!$I$101,M1532=phu!$I$102),"Tỉnh khác",""))</f>
        <v/>
      </c>
      <c r="O1532" s="814" t="str">
        <f t="shared" si="139"/>
        <v/>
      </c>
      <c r="P1532" s="254"/>
      <c r="Q1532" s="254"/>
      <c r="R1532" s="254"/>
      <c r="S1532" s="254"/>
      <c r="T1532" s="254"/>
      <c r="U1532" s="254"/>
      <c r="V1532" s="254"/>
      <c r="W1532" s="254"/>
      <c r="Y1532" s="246" t="str">
        <f t="shared" si="140"/>
        <v/>
      </c>
      <c r="Z1532" s="247" t="str">
        <f t="shared" si="138"/>
        <v/>
      </c>
      <c r="AA1532" s="246" t="str">
        <f t="shared" si="141"/>
        <v/>
      </c>
    </row>
    <row r="1533" spans="1:27" x14ac:dyDescent="0.25">
      <c r="A1533" s="248" t="str">
        <f t="shared" si="142"/>
        <v/>
      </c>
      <c r="B1533" s="249" t="str">
        <f t="shared" si="143"/>
        <v/>
      </c>
      <c r="C1533" s="250"/>
      <c r="D1533" s="251"/>
      <c r="E1533" s="241"/>
      <c r="F1533" s="252"/>
      <c r="G1533" s="252"/>
      <c r="H1533" s="253"/>
      <c r="I1533" s="250"/>
      <c r="J1533" s="250"/>
      <c r="K1533" s="270"/>
      <c r="L1533" s="250"/>
      <c r="M1533" s="250"/>
      <c r="N1533" s="553" t="str">
        <f>CONCATENATE(IF(OR(M1533=phu!$I$1,M1533=phu!$I$2,M1533=phu!$I$3),"Cam Thành Nam",""),IF(OR(M1533=phu!$I$4,M1533=phu!$I$5,M1533=phu!$I$6,M1533=phu!$I$7,M1533=phu!$I$8,M1533=phu!$I$9,M1533=phu!$I$10,M1533=phu!$I$11,M1533=phu!$I$12,M1533=phu!$I$13,M1533=phu!$I$14),"Cam Nghĩa",""),IF(OR(M1533=phu!$I$15,M1533=phu!$I$16,M1533=phu!$I$17,M1533=phu!$I$18,M1533=phu!$I$19,M1533=phu!$I$20,M1533=phu!$I$21),"Cam Phúc Bắc",""),IF(OR(M1533=phu!$I$22,M1533=phu!$I$23,M1533=phu!$I$24,M1533=phu!$I$25),"Cam Phúc Nam",""),IF(OR(M1533=phu!$I$26,M1533=phu!$I$27,M1533=phu!$I$28,M1533=phu!$I$29,M1533=phu!$I$30,M1533=phu!$I$31),"Cam Phú",""),IF(OR(M1533=phu!$I$32,M1533=phu!$I$33,M1533=phu!$I$34,M1533=phu!$I$35,M1533=phu!$I$36,M1533=phu!$I$37),"Cam Lộc",""),IF(OR(M1533=phu!$I$38,M1533=phu!$I$39,M1533=phu!$I$40,M1533=phu!$I$41,M1533=phu!$I$42,M1533=phu!$I$43,M1533=phu!$I$44),"Cam Thuận",""),IF(OR(M1533=phu!$I$45,M1533=phu!$I$46,M1533=phu!$I$47,M1533=phu!$I$48,M1533=phu!$I$49,M1533=phu!$I$50,M1533=phu!$I$51,M1533=phu!$I$52,M1533=phu!$I$53),"Cam Linh",""),IF(OR(M1533=phu!$I$54,M1533=phu!$I$55,M1533=phu!$I$56,M1533=phu!$I$57,M1533=phu!$I$58,M1533=phu!$I$59,M1533=phu!$I$60,M1533=phu!$I$61,M1533=phu!$I$62),"Cam Lợi",""),IF(OR(M1533=phu!$I$63,M1533=phu!$I$64,M1533=phu!$I$65,M1533=phu!$I$66,M1533=phu!$I$67,M1533=phu!$I$68,M1533=phu!$I$69,M1533=phu!$I$70,M1533=phu!$I$71),"Ba Ngòi",""),IF(OR(M1533=phu!$I$72,M1533=phu!$I$73,M1533=phu!$I$74,M1533=phu!$I$75,M1533=phu!$I$76,M1533=phu!$I$77,M1533=phu!$I$78),"Cam Phước Đông",""),IF(OR(M1533=phu!$I$79,M1533=phu!$I$80,M1533=phu!$I$81,M1533=phu!$I$82,M1533=phu!$I$83,M1533=phu!$I$84),"Cam Thịnh Đông",""),IF(OR(M1533=phu!$I$85,M1533=phu!$I$86,M1533=phu!$I$87,M1533=phu!$I$88),"Cam Thịnh Tây",""),IF(OR(M1533=phu!$I$89,M1533=phu!$I$90),"Cam Lập",""),IF(OR(M1533=phu!$I$91,M1533=phu!$I$92,M1533=phu!$I$93),"Cam Bình",""),IF(OR(M1533=phu!$I$94,M1533=phu!$I$95,M1533=phu!$I$96,M1533=phu!$I$97,M1533=phu!$I$98,M1533=phu!$I$99,M1533=phu!$I$100),"Huyện khác",""),IF(OR(M1533=phu!$I$101,M1533=phu!$I$102),"Tỉnh khác",""))</f>
        <v/>
      </c>
      <c r="O1533" s="814" t="str">
        <f t="shared" si="139"/>
        <v/>
      </c>
      <c r="P1533" s="254"/>
      <c r="Q1533" s="254"/>
      <c r="R1533" s="254"/>
      <c r="S1533" s="254"/>
      <c r="T1533" s="254"/>
      <c r="U1533" s="254"/>
      <c r="V1533" s="254"/>
      <c r="W1533" s="254"/>
      <c r="Y1533" s="246" t="str">
        <f t="shared" si="140"/>
        <v/>
      </c>
      <c r="Z1533" s="247" t="str">
        <f t="shared" si="138"/>
        <v/>
      </c>
      <c r="AA1533" s="246" t="str">
        <f t="shared" si="141"/>
        <v/>
      </c>
    </row>
    <row r="1534" spans="1:27" x14ac:dyDescent="0.25">
      <c r="A1534" s="248" t="str">
        <f t="shared" si="142"/>
        <v/>
      </c>
      <c r="B1534" s="249" t="str">
        <f t="shared" si="143"/>
        <v/>
      </c>
      <c r="C1534" s="250"/>
      <c r="D1534" s="251"/>
      <c r="E1534" s="241"/>
      <c r="F1534" s="252"/>
      <c r="G1534" s="252"/>
      <c r="H1534" s="253"/>
      <c r="I1534" s="250"/>
      <c r="J1534" s="250"/>
      <c r="K1534" s="270"/>
      <c r="L1534" s="250"/>
      <c r="M1534" s="250"/>
      <c r="N1534" s="553" t="str">
        <f>CONCATENATE(IF(OR(M1534=phu!$I$1,M1534=phu!$I$2,M1534=phu!$I$3),"Cam Thành Nam",""),IF(OR(M1534=phu!$I$4,M1534=phu!$I$5,M1534=phu!$I$6,M1534=phu!$I$7,M1534=phu!$I$8,M1534=phu!$I$9,M1534=phu!$I$10,M1534=phu!$I$11,M1534=phu!$I$12,M1534=phu!$I$13,M1534=phu!$I$14),"Cam Nghĩa",""),IF(OR(M1534=phu!$I$15,M1534=phu!$I$16,M1534=phu!$I$17,M1534=phu!$I$18,M1534=phu!$I$19,M1534=phu!$I$20,M1534=phu!$I$21),"Cam Phúc Bắc",""),IF(OR(M1534=phu!$I$22,M1534=phu!$I$23,M1534=phu!$I$24,M1534=phu!$I$25),"Cam Phúc Nam",""),IF(OR(M1534=phu!$I$26,M1534=phu!$I$27,M1534=phu!$I$28,M1534=phu!$I$29,M1534=phu!$I$30,M1534=phu!$I$31),"Cam Phú",""),IF(OR(M1534=phu!$I$32,M1534=phu!$I$33,M1534=phu!$I$34,M1534=phu!$I$35,M1534=phu!$I$36,M1534=phu!$I$37),"Cam Lộc",""),IF(OR(M1534=phu!$I$38,M1534=phu!$I$39,M1534=phu!$I$40,M1534=phu!$I$41,M1534=phu!$I$42,M1534=phu!$I$43,M1534=phu!$I$44),"Cam Thuận",""),IF(OR(M1534=phu!$I$45,M1534=phu!$I$46,M1534=phu!$I$47,M1534=phu!$I$48,M1534=phu!$I$49,M1534=phu!$I$50,M1534=phu!$I$51,M1534=phu!$I$52,M1534=phu!$I$53),"Cam Linh",""),IF(OR(M1534=phu!$I$54,M1534=phu!$I$55,M1534=phu!$I$56,M1534=phu!$I$57,M1534=phu!$I$58,M1534=phu!$I$59,M1534=phu!$I$60,M1534=phu!$I$61,M1534=phu!$I$62),"Cam Lợi",""),IF(OR(M1534=phu!$I$63,M1534=phu!$I$64,M1534=phu!$I$65,M1534=phu!$I$66,M1534=phu!$I$67,M1534=phu!$I$68,M1534=phu!$I$69,M1534=phu!$I$70,M1534=phu!$I$71),"Ba Ngòi",""),IF(OR(M1534=phu!$I$72,M1534=phu!$I$73,M1534=phu!$I$74,M1534=phu!$I$75,M1534=phu!$I$76,M1534=phu!$I$77,M1534=phu!$I$78),"Cam Phước Đông",""),IF(OR(M1534=phu!$I$79,M1534=phu!$I$80,M1534=phu!$I$81,M1534=phu!$I$82,M1534=phu!$I$83,M1534=phu!$I$84),"Cam Thịnh Đông",""),IF(OR(M1534=phu!$I$85,M1534=phu!$I$86,M1534=phu!$I$87,M1534=phu!$I$88),"Cam Thịnh Tây",""),IF(OR(M1534=phu!$I$89,M1534=phu!$I$90),"Cam Lập",""),IF(OR(M1534=phu!$I$91,M1534=phu!$I$92,M1534=phu!$I$93),"Cam Bình",""),IF(OR(M1534=phu!$I$94,M1534=phu!$I$95,M1534=phu!$I$96,M1534=phu!$I$97,M1534=phu!$I$98,M1534=phu!$I$99,M1534=phu!$I$100),"Huyện khác",""),IF(OR(M1534=phu!$I$101,M1534=phu!$I$102),"Tỉnh khác",""))</f>
        <v/>
      </c>
      <c r="O1534" s="814" t="str">
        <f t="shared" si="139"/>
        <v/>
      </c>
      <c r="P1534" s="254"/>
      <c r="Q1534" s="254"/>
      <c r="R1534" s="254"/>
      <c r="S1534" s="254"/>
      <c r="T1534" s="254"/>
      <c r="U1534" s="254"/>
      <c r="V1534" s="254"/>
      <c r="W1534" s="254"/>
      <c r="Y1534" s="246" t="str">
        <f t="shared" si="140"/>
        <v/>
      </c>
      <c r="Z1534" s="247" t="str">
        <f t="shared" si="138"/>
        <v/>
      </c>
      <c r="AA1534" s="246" t="str">
        <f t="shared" si="141"/>
        <v/>
      </c>
    </row>
    <row r="1535" spans="1:27" x14ac:dyDescent="0.25">
      <c r="A1535" s="248" t="str">
        <f t="shared" si="142"/>
        <v/>
      </c>
      <c r="B1535" s="249" t="str">
        <f t="shared" si="143"/>
        <v/>
      </c>
      <c r="C1535" s="250"/>
      <c r="D1535" s="251"/>
      <c r="E1535" s="241"/>
      <c r="F1535" s="252"/>
      <c r="G1535" s="252"/>
      <c r="H1535" s="253"/>
      <c r="I1535" s="250"/>
      <c r="J1535" s="250"/>
      <c r="K1535" s="270"/>
      <c r="L1535" s="250"/>
      <c r="M1535" s="250"/>
      <c r="N1535" s="553" t="str">
        <f>CONCATENATE(IF(OR(M1535=phu!$I$1,M1535=phu!$I$2,M1535=phu!$I$3),"Cam Thành Nam",""),IF(OR(M1535=phu!$I$4,M1535=phu!$I$5,M1535=phu!$I$6,M1535=phu!$I$7,M1535=phu!$I$8,M1535=phu!$I$9,M1535=phu!$I$10,M1535=phu!$I$11,M1535=phu!$I$12,M1535=phu!$I$13,M1535=phu!$I$14),"Cam Nghĩa",""),IF(OR(M1535=phu!$I$15,M1535=phu!$I$16,M1535=phu!$I$17,M1535=phu!$I$18,M1535=phu!$I$19,M1535=phu!$I$20,M1535=phu!$I$21),"Cam Phúc Bắc",""),IF(OR(M1535=phu!$I$22,M1535=phu!$I$23,M1535=phu!$I$24,M1535=phu!$I$25),"Cam Phúc Nam",""),IF(OR(M1535=phu!$I$26,M1535=phu!$I$27,M1535=phu!$I$28,M1535=phu!$I$29,M1535=phu!$I$30,M1535=phu!$I$31),"Cam Phú",""),IF(OR(M1535=phu!$I$32,M1535=phu!$I$33,M1535=phu!$I$34,M1535=phu!$I$35,M1535=phu!$I$36,M1535=phu!$I$37),"Cam Lộc",""),IF(OR(M1535=phu!$I$38,M1535=phu!$I$39,M1535=phu!$I$40,M1535=phu!$I$41,M1535=phu!$I$42,M1535=phu!$I$43,M1535=phu!$I$44),"Cam Thuận",""),IF(OR(M1535=phu!$I$45,M1535=phu!$I$46,M1535=phu!$I$47,M1535=phu!$I$48,M1535=phu!$I$49,M1535=phu!$I$50,M1535=phu!$I$51,M1535=phu!$I$52,M1535=phu!$I$53),"Cam Linh",""),IF(OR(M1535=phu!$I$54,M1535=phu!$I$55,M1535=phu!$I$56,M1535=phu!$I$57,M1535=phu!$I$58,M1535=phu!$I$59,M1535=phu!$I$60,M1535=phu!$I$61,M1535=phu!$I$62),"Cam Lợi",""),IF(OR(M1535=phu!$I$63,M1535=phu!$I$64,M1535=phu!$I$65,M1535=phu!$I$66,M1535=phu!$I$67,M1535=phu!$I$68,M1535=phu!$I$69,M1535=phu!$I$70,M1535=phu!$I$71),"Ba Ngòi",""),IF(OR(M1535=phu!$I$72,M1535=phu!$I$73,M1535=phu!$I$74,M1535=phu!$I$75,M1535=phu!$I$76,M1535=phu!$I$77,M1535=phu!$I$78),"Cam Phước Đông",""),IF(OR(M1535=phu!$I$79,M1535=phu!$I$80,M1535=phu!$I$81,M1535=phu!$I$82,M1535=phu!$I$83,M1535=phu!$I$84),"Cam Thịnh Đông",""),IF(OR(M1535=phu!$I$85,M1535=phu!$I$86,M1535=phu!$I$87,M1535=phu!$I$88),"Cam Thịnh Tây",""),IF(OR(M1535=phu!$I$89,M1535=phu!$I$90),"Cam Lập",""),IF(OR(M1535=phu!$I$91,M1535=phu!$I$92,M1535=phu!$I$93),"Cam Bình",""),IF(OR(M1535=phu!$I$94,M1535=phu!$I$95,M1535=phu!$I$96,M1535=phu!$I$97,M1535=phu!$I$98,M1535=phu!$I$99,M1535=phu!$I$100),"Huyện khác",""),IF(OR(M1535=phu!$I$101,M1535=phu!$I$102),"Tỉnh khác",""))</f>
        <v/>
      </c>
      <c r="O1535" s="814" t="str">
        <f t="shared" si="139"/>
        <v/>
      </c>
      <c r="P1535" s="254"/>
      <c r="Q1535" s="254"/>
      <c r="R1535" s="254"/>
      <c r="S1535" s="254"/>
      <c r="T1535" s="254"/>
      <c r="U1535" s="254"/>
      <c r="V1535" s="254"/>
      <c r="W1535" s="254"/>
      <c r="Y1535" s="246" t="str">
        <f t="shared" si="140"/>
        <v/>
      </c>
      <c r="Z1535" s="247" t="str">
        <f t="shared" si="138"/>
        <v/>
      </c>
      <c r="AA1535" s="246" t="str">
        <f t="shared" si="141"/>
        <v/>
      </c>
    </row>
    <row r="1536" spans="1:27" x14ac:dyDescent="0.25">
      <c r="A1536" s="248" t="str">
        <f t="shared" si="142"/>
        <v/>
      </c>
      <c r="B1536" s="249" t="str">
        <f t="shared" si="143"/>
        <v/>
      </c>
      <c r="C1536" s="250"/>
      <c r="D1536" s="251"/>
      <c r="E1536" s="241"/>
      <c r="F1536" s="252"/>
      <c r="G1536" s="252"/>
      <c r="H1536" s="253"/>
      <c r="I1536" s="250"/>
      <c r="J1536" s="250"/>
      <c r="K1536" s="270"/>
      <c r="L1536" s="250"/>
      <c r="M1536" s="250"/>
      <c r="N1536" s="553" t="str">
        <f>CONCATENATE(IF(OR(M1536=phu!$I$1,M1536=phu!$I$2,M1536=phu!$I$3),"Cam Thành Nam",""),IF(OR(M1536=phu!$I$4,M1536=phu!$I$5,M1536=phu!$I$6,M1536=phu!$I$7,M1536=phu!$I$8,M1536=phu!$I$9,M1536=phu!$I$10,M1536=phu!$I$11,M1536=phu!$I$12,M1536=phu!$I$13,M1536=phu!$I$14),"Cam Nghĩa",""),IF(OR(M1536=phu!$I$15,M1536=phu!$I$16,M1536=phu!$I$17,M1536=phu!$I$18,M1536=phu!$I$19,M1536=phu!$I$20,M1536=phu!$I$21),"Cam Phúc Bắc",""),IF(OR(M1536=phu!$I$22,M1536=phu!$I$23,M1536=phu!$I$24,M1536=phu!$I$25),"Cam Phúc Nam",""),IF(OR(M1536=phu!$I$26,M1536=phu!$I$27,M1536=phu!$I$28,M1536=phu!$I$29,M1536=phu!$I$30,M1536=phu!$I$31),"Cam Phú",""),IF(OR(M1536=phu!$I$32,M1536=phu!$I$33,M1536=phu!$I$34,M1536=phu!$I$35,M1536=phu!$I$36,M1536=phu!$I$37),"Cam Lộc",""),IF(OR(M1536=phu!$I$38,M1536=phu!$I$39,M1536=phu!$I$40,M1536=phu!$I$41,M1536=phu!$I$42,M1536=phu!$I$43,M1536=phu!$I$44),"Cam Thuận",""),IF(OR(M1536=phu!$I$45,M1536=phu!$I$46,M1536=phu!$I$47,M1536=phu!$I$48,M1536=phu!$I$49,M1536=phu!$I$50,M1536=phu!$I$51,M1536=phu!$I$52,M1536=phu!$I$53),"Cam Linh",""),IF(OR(M1536=phu!$I$54,M1536=phu!$I$55,M1536=phu!$I$56,M1536=phu!$I$57,M1536=phu!$I$58,M1536=phu!$I$59,M1536=phu!$I$60,M1536=phu!$I$61,M1536=phu!$I$62),"Cam Lợi",""),IF(OR(M1536=phu!$I$63,M1536=phu!$I$64,M1536=phu!$I$65,M1536=phu!$I$66,M1536=phu!$I$67,M1536=phu!$I$68,M1536=phu!$I$69,M1536=phu!$I$70,M1536=phu!$I$71),"Ba Ngòi",""),IF(OR(M1536=phu!$I$72,M1536=phu!$I$73,M1536=phu!$I$74,M1536=phu!$I$75,M1536=phu!$I$76,M1536=phu!$I$77,M1536=phu!$I$78),"Cam Phước Đông",""),IF(OR(M1536=phu!$I$79,M1536=phu!$I$80,M1536=phu!$I$81,M1536=phu!$I$82,M1536=phu!$I$83,M1536=phu!$I$84),"Cam Thịnh Đông",""),IF(OR(M1536=phu!$I$85,M1536=phu!$I$86,M1536=phu!$I$87,M1536=phu!$I$88),"Cam Thịnh Tây",""),IF(OR(M1536=phu!$I$89,M1536=phu!$I$90),"Cam Lập",""),IF(OR(M1536=phu!$I$91,M1536=phu!$I$92,M1536=phu!$I$93),"Cam Bình",""),IF(OR(M1536=phu!$I$94,M1536=phu!$I$95,M1536=phu!$I$96,M1536=phu!$I$97,M1536=phu!$I$98,M1536=phu!$I$99,M1536=phu!$I$100),"Huyện khác",""),IF(OR(M1536=phu!$I$101,M1536=phu!$I$102),"Tỉnh khác",""))</f>
        <v/>
      </c>
      <c r="O1536" s="814" t="str">
        <f t="shared" si="139"/>
        <v/>
      </c>
      <c r="P1536" s="254"/>
      <c r="Q1536" s="254"/>
      <c r="R1536" s="254"/>
      <c r="S1536" s="254"/>
      <c r="T1536" s="254"/>
      <c r="U1536" s="254"/>
      <c r="V1536" s="254"/>
      <c r="W1536" s="254"/>
      <c r="Y1536" s="246" t="str">
        <f t="shared" si="140"/>
        <v/>
      </c>
      <c r="Z1536" s="247" t="str">
        <f t="shared" si="138"/>
        <v/>
      </c>
      <c r="AA1536" s="246" t="str">
        <f t="shared" si="141"/>
        <v/>
      </c>
    </row>
    <row r="1537" spans="1:27" x14ac:dyDescent="0.25">
      <c r="A1537" s="248" t="str">
        <f t="shared" si="142"/>
        <v/>
      </c>
      <c r="B1537" s="249" t="str">
        <f t="shared" si="143"/>
        <v/>
      </c>
      <c r="C1537" s="250"/>
      <c r="D1537" s="251"/>
      <c r="E1537" s="241"/>
      <c r="F1537" s="252"/>
      <c r="G1537" s="252"/>
      <c r="H1537" s="253"/>
      <c r="I1537" s="250"/>
      <c r="J1537" s="250"/>
      <c r="K1537" s="270"/>
      <c r="L1537" s="250"/>
      <c r="M1537" s="250"/>
      <c r="N1537" s="553" t="str">
        <f>CONCATENATE(IF(OR(M1537=phu!$I$1,M1537=phu!$I$2,M1537=phu!$I$3),"Cam Thành Nam",""),IF(OR(M1537=phu!$I$4,M1537=phu!$I$5,M1537=phu!$I$6,M1537=phu!$I$7,M1537=phu!$I$8,M1537=phu!$I$9,M1537=phu!$I$10,M1537=phu!$I$11,M1537=phu!$I$12,M1537=phu!$I$13,M1537=phu!$I$14),"Cam Nghĩa",""),IF(OR(M1537=phu!$I$15,M1537=phu!$I$16,M1537=phu!$I$17,M1537=phu!$I$18,M1537=phu!$I$19,M1537=phu!$I$20,M1537=phu!$I$21),"Cam Phúc Bắc",""),IF(OR(M1537=phu!$I$22,M1537=phu!$I$23,M1537=phu!$I$24,M1537=phu!$I$25),"Cam Phúc Nam",""),IF(OR(M1537=phu!$I$26,M1537=phu!$I$27,M1537=phu!$I$28,M1537=phu!$I$29,M1537=phu!$I$30,M1537=phu!$I$31),"Cam Phú",""),IF(OR(M1537=phu!$I$32,M1537=phu!$I$33,M1537=phu!$I$34,M1537=phu!$I$35,M1537=phu!$I$36,M1537=phu!$I$37),"Cam Lộc",""),IF(OR(M1537=phu!$I$38,M1537=phu!$I$39,M1537=phu!$I$40,M1537=phu!$I$41,M1537=phu!$I$42,M1537=phu!$I$43,M1537=phu!$I$44),"Cam Thuận",""),IF(OR(M1537=phu!$I$45,M1537=phu!$I$46,M1537=phu!$I$47,M1537=phu!$I$48,M1537=phu!$I$49,M1537=phu!$I$50,M1537=phu!$I$51,M1537=phu!$I$52,M1537=phu!$I$53),"Cam Linh",""),IF(OR(M1537=phu!$I$54,M1537=phu!$I$55,M1537=phu!$I$56,M1537=phu!$I$57,M1537=phu!$I$58,M1537=phu!$I$59,M1537=phu!$I$60,M1537=phu!$I$61,M1537=phu!$I$62),"Cam Lợi",""),IF(OR(M1537=phu!$I$63,M1537=phu!$I$64,M1537=phu!$I$65,M1537=phu!$I$66,M1537=phu!$I$67,M1537=phu!$I$68,M1537=phu!$I$69,M1537=phu!$I$70,M1537=phu!$I$71),"Ba Ngòi",""),IF(OR(M1537=phu!$I$72,M1537=phu!$I$73,M1537=phu!$I$74,M1537=phu!$I$75,M1537=phu!$I$76,M1537=phu!$I$77,M1537=phu!$I$78),"Cam Phước Đông",""),IF(OR(M1537=phu!$I$79,M1537=phu!$I$80,M1537=phu!$I$81,M1537=phu!$I$82,M1537=phu!$I$83,M1537=phu!$I$84),"Cam Thịnh Đông",""),IF(OR(M1537=phu!$I$85,M1537=phu!$I$86,M1537=phu!$I$87,M1537=phu!$I$88),"Cam Thịnh Tây",""),IF(OR(M1537=phu!$I$89,M1537=phu!$I$90),"Cam Lập",""),IF(OR(M1537=phu!$I$91,M1537=phu!$I$92,M1537=phu!$I$93),"Cam Bình",""),IF(OR(M1537=phu!$I$94,M1537=phu!$I$95,M1537=phu!$I$96,M1537=phu!$I$97,M1537=phu!$I$98,M1537=phu!$I$99,M1537=phu!$I$100),"Huyện khác",""),IF(OR(M1537=phu!$I$101,M1537=phu!$I$102),"Tỉnh khác",""))</f>
        <v/>
      </c>
      <c r="O1537" s="814" t="str">
        <f t="shared" si="139"/>
        <v/>
      </c>
      <c r="P1537" s="254"/>
      <c r="Q1537" s="254"/>
      <c r="R1537" s="254"/>
      <c r="S1537" s="254"/>
      <c r="T1537" s="254"/>
      <c r="U1537" s="254"/>
      <c r="V1537" s="254"/>
      <c r="W1537" s="254"/>
      <c r="Y1537" s="246" t="str">
        <f t="shared" si="140"/>
        <v/>
      </c>
      <c r="Z1537" s="247" t="str">
        <f t="shared" si="138"/>
        <v/>
      </c>
      <c r="AA1537" s="246" t="str">
        <f t="shared" si="141"/>
        <v/>
      </c>
    </row>
    <row r="1538" spans="1:27" x14ac:dyDescent="0.25">
      <c r="A1538" s="248" t="str">
        <f t="shared" si="142"/>
        <v/>
      </c>
      <c r="B1538" s="249" t="str">
        <f t="shared" si="143"/>
        <v/>
      </c>
      <c r="C1538" s="250"/>
      <c r="D1538" s="251"/>
      <c r="E1538" s="241"/>
      <c r="F1538" s="252"/>
      <c r="G1538" s="252"/>
      <c r="H1538" s="253"/>
      <c r="I1538" s="250"/>
      <c r="J1538" s="250"/>
      <c r="K1538" s="270"/>
      <c r="L1538" s="250"/>
      <c r="M1538" s="250"/>
      <c r="N1538" s="553" t="str">
        <f>CONCATENATE(IF(OR(M1538=phu!$I$1,M1538=phu!$I$2,M1538=phu!$I$3),"Cam Thành Nam",""),IF(OR(M1538=phu!$I$4,M1538=phu!$I$5,M1538=phu!$I$6,M1538=phu!$I$7,M1538=phu!$I$8,M1538=phu!$I$9,M1538=phu!$I$10,M1538=phu!$I$11,M1538=phu!$I$12,M1538=phu!$I$13,M1538=phu!$I$14),"Cam Nghĩa",""),IF(OR(M1538=phu!$I$15,M1538=phu!$I$16,M1538=phu!$I$17,M1538=phu!$I$18,M1538=phu!$I$19,M1538=phu!$I$20,M1538=phu!$I$21),"Cam Phúc Bắc",""),IF(OR(M1538=phu!$I$22,M1538=phu!$I$23,M1538=phu!$I$24,M1538=phu!$I$25),"Cam Phúc Nam",""),IF(OR(M1538=phu!$I$26,M1538=phu!$I$27,M1538=phu!$I$28,M1538=phu!$I$29,M1538=phu!$I$30,M1538=phu!$I$31),"Cam Phú",""),IF(OR(M1538=phu!$I$32,M1538=phu!$I$33,M1538=phu!$I$34,M1538=phu!$I$35,M1538=phu!$I$36,M1538=phu!$I$37),"Cam Lộc",""),IF(OR(M1538=phu!$I$38,M1538=phu!$I$39,M1538=phu!$I$40,M1538=phu!$I$41,M1538=phu!$I$42,M1538=phu!$I$43,M1538=phu!$I$44),"Cam Thuận",""),IF(OR(M1538=phu!$I$45,M1538=phu!$I$46,M1538=phu!$I$47,M1538=phu!$I$48,M1538=phu!$I$49,M1538=phu!$I$50,M1538=phu!$I$51,M1538=phu!$I$52,M1538=phu!$I$53),"Cam Linh",""),IF(OR(M1538=phu!$I$54,M1538=phu!$I$55,M1538=phu!$I$56,M1538=phu!$I$57,M1538=phu!$I$58,M1538=phu!$I$59,M1538=phu!$I$60,M1538=phu!$I$61,M1538=phu!$I$62),"Cam Lợi",""),IF(OR(M1538=phu!$I$63,M1538=phu!$I$64,M1538=phu!$I$65,M1538=phu!$I$66,M1538=phu!$I$67,M1538=phu!$I$68,M1538=phu!$I$69,M1538=phu!$I$70,M1538=phu!$I$71),"Ba Ngòi",""),IF(OR(M1538=phu!$I$72,M1538=phu!$I$73,M1538=phu!$I$74,M1538=phu!$I$75,M1538=phu!$I$76,M1538=phu!$I$77,M1538=phu!$I$78),"Cam Phước Đông",""),IF(OR(M1538=phu!$I$79,M1538=phu!$I$80,M1538=phu!$I$81,M1538=phu!$I$82,M1538=phu!$I$83,M1538=phu!$I$84),"Cam Thịnh Đông",""),IF(OR(M1538=phu!$I$85,M1538=phu!$I$86,M1538=phu!$I$87,M1538=phu!$I$88),"Cam Thịnh Tây",""),IF(OR(M1538=phu!$I$89,M1538=phu!$I$90),"Cam Lập",""),IF(OR(M1538=phu!$I$91,M1538=phu!$I$92,M1538=phu!$I$93),"Cam Bình",""),IF(OR(M1538=phu!$I$94,M1538=phu!$I$95,M1538=phu!$I$96,M1538=phu!$I$97,M1538=phu!$I$98,M1538=phu!$I$99,M1538=phu!$I$100),"Huyện khác",""),IF(OR(M1538=phu!$I$101,M1538=phu!$I$102),"Tỉnh khác",""))</f>
        <v/>
      </c>
      <c r="O1538" s="814" t="str">
        <f t="shared" si="139"/>
        <v/>
      </c>
      <c r="P1538" s="254"/>
      <c r="Q1538" s="254"/>
      <c r="R1538" s="254"/>
      <c r="S1538" s="254"/>
      <c r="T1538" s="254"/>
      <c r="U1538" s="254"/>
      <c r="V1538" s="254"/>
      <c r="W1538" s="254"/>
      <c r="Y1538" s="246" t="str">
        <f t="shared" si="140"/>
        <v/>
      </c>
      <c r="Z1538" s="247" t="str">
        <f t="shared" si="138"/>
        <v/>
      </c>
      <c r="AA1538" s="246" t="str">
        <f t="shared" si="141"/>
        <v/>
      </c>
    </row>
    <row r="1539" spans="1:27" x14ac:dyDescent="0.25">
      <c r="A1539" s="248" t="str">
        <f t="shared" si="142"/>
        <v/>
      </c>
      <c r="B1539" s="249" t="str">
        <f t="shared" si="143"/>
        <v/>
      </c>
      <c r="C1539" s="250"/>
      <c r="D1539" s="251"/>
      <c r="E1539" s="241"/>
      <c r="F1539" s="252"/>
      <c r="G1539" s="252"/>
      <c r="H1539" s="253"/>
      <c r="I1539" s="250"/>
      <c r="J1539" s="250"/>
      <c r="K1539" s="270"/>
      <c r="L1539" s="250"/>
      <c r="M1539" s="250"/>
      <c r="N1539" s="553" t="str">
        <f>CONCATENATE(IF(OR(M1539=phu!$I$1,M1539=phu!$I$2,M1539=phu!$I$3),"Cam Thành Nam",""),IF(OR(M1539=phu!$I$4,M1539=phu!$I$5,M1539=phu!$I$6,M1539=phu!$I$7,M1539=phu!$I$8,M1539=phu!$I$9,M1539=phu!$I$10,M1539=phu!$I$11,M1539=phu!$I$12,M1539=phu!$I$13,M1539=phu!$I$14),"Cam Nghĩa",""),IF(OR(M1539=phu!$I$15,M1539=phu!$I$16,M1539=phu!$I$17,M1539=phu!$I$18,M1539=phu!$I$19,M1539=phu!$I$20,M1539=phu!$I$21),"Cam Phúc Bắc",""),IF(OR(M1539=phu!$I$22,M1539=phu!$I$23,M1539=phu!$I$24,M1539=phu!$I$25),"Cam Phúc Nam",""),IF(OR(M1539=phu!$I$26,M1539=phu!$I$27,M1539=phu!$I$28,M1539=phu!$I$29,M1539=phu!$I$30,M1539=phu!$I$31),"Cam Phú",""),IF(OR(M1539=phu!$I$32,M1539=phu!$I$33,M1539=phu!$I$34,M1539=phu!$I$35,M1539=phu!$I$36,M1539=phu!$I$37),"Cam Lộc",""),IF(OR(M1539=phu!$I$38,M1539=phu!$I$39,M1539=phu!$I$40,M1539=phu!$I$41,M1539=phu!$I$42,M1539=phu!$I$43,M1539=phu!$I$44),"Cam Thuận",""),IF(OR(M1539=phu!$I$45,M1539=phu!$I$46,M1539=phu!$I$47,M1539=phu!$I$48,M1539=phu!$I$49,M1539=phu!$I$50,M1539=phu!$I$51,M1539=phu!$I$52,M1539=phu!$I$53),"Cam Linh",""),IF(OR(M1539=phu!$I$54,M1539=phu!$I$55,M1539=phu!$I$56,M1539=phu!$I$57,M1539=phu!$I$58,M1539=phu!$I$59,M1539=phu!$I$60,M1539=phu!$I$61,M1539=phu!$I$62),"Cam Lợi",""),IF(OR(M1539=phu!$I$63,M1539=phu!$I$64,M1539=phu!$I$65,M1539=phu!$I$66,M1539=phu!$I$67,M1539=phu!$I$68,M1539=phu!$I$69,M1539=phu!$I$70,M1539=phu!$I$71),"Ba Ngòi",""),IF(OR(M1539=phu!$I$72,M1539=phu!$I$73,M1539=phu!$I$74,M1539=phu!$I$75,M1539=phu!$I$76,M1539=phu!$I$77,M1539=phu!$I$78),"Cam Phước Đông",""),IF(OR(M1539=phu!$I$79,M1539=phu!$I$80,M1539=phu!$I$81,M1539=phu!$I$82,M1539=phu!$I$83,M1539=phu!$I$84),"Cam Thịnh Đông",""),IF(OR(M1539=phu!$I$85,M1539=phu!$I$86,M1539=phu!$I$87,M1539=phu!$I$88),"Cam Thịnh Tây",""),IF(OR(M1539=phu!$I$89,M1539=phu!$I$90),"Cam Lập",""),IF(OR(M1539=phu!$I$91,M1539=phu!$I$92,M1539=phu!$I$93),"Cam Bình",""),IF(OR(M1539=phu!$I$94,M1539=phu!$I$95,M1539=phu!$I$96,M1539=phu!$I$97,M1539=phu!$I$98,M1539=phu!$I$99,M1539=phu!$I$100),"Huyện khác",""),IF(OR(M1539=phu!$I$101,M1539=phu!$I$102),"Tỉnh khác",""))</f>
        <v/>
      </c>
      <c r="O1539" s="814" t="str">
        <f t="shared" si="139"/>
        <v/>
      </c>
      <c r="P1539" s="254"/>
      <c r="Q1539" s="254"/>
      <c r="R1539" s="254"/>
      <c r="S1539" s="254"/>
      <c r="T1539" s="254"/>
      <c r="U1539" s="254"/>
      <c r="V1539" s="254"/>
      <c r="W1539" s="254"/>
      <c r="Y1539" s="246" t="str">
        <f t="shared" si="140"/>
        <v/>
      </c>
      <c r="Z1539" s="247" t="str">
        <f t="shared" si="138"/>
        <v/>
      </c>
      <c r="AA1539" s="246" t="str">
        <f t="shared" si="141"/>
        <v/>
      </c>
    </row>
    <row r="1540" spans="1:27" x14ac:dyDescent="0.25">
      <c r="A1540" s="248" t="str">
        <f t="shared" si="142"/>
        <v/>
      </c>
      <c r="B1540" s="249" t="str">
        <f t="shared" si="143"/>
        <v/>
      </c>
      <c r="C1540" s="250"/>
      <c r="D1540" s="251"/>
      <c r="E1540" s="241"/>
      <c r="F1540" s="252"/>
      <c r="G1540" s="252"/>
      <c r="H1540" s="253"/>
      <c r="I1540" s="250"/>
      <c r="J1540" s="250"/>
      <c r="K1540" s="270"/>
      <c r="L1540" s="250"/>
      <c r="M1540" s="250"/>
      <c r="N1540" s="553" t="str">
        <f>CONCATENATE(IF(OR(M1540=phu!$I$1,M1540=phu!$I$2,M1540=phu!$I$3),"Cam Thành Nam",""),IF(OR(M1540=phu!$I$4,M1540=phu!$I$5,M1540=phu!$I$6,M1540=phu!$I$7,M1540=phu!$I$8,M1540=phu!$I$9,M1540=phu!$I$10,M1540=phu!$I$11,M1540=phu!$I$12,M1540=phu!$I$13,M1540=phu!$I$14),"Cam Nghĩa",""),IF(OR(M1540=phu!$I$15,M1540=phu!$I$16,M1540=phu!$I$17,M1540=phu!$I$18,M1540=phu!$I$19,M1540=phu!$I$20,M1540=phu!$I$21),"Cam Phúc Bắc",""),IF(OR(M1540=phu!$I$22,M1540=phu!$I$23,M1540=phu!$I$24,M1540=phu!$I$25),"Cam Phúc Nam",""),IF(OR(M1540=phu!$I$26,M1540=phu!$I$27,M1540=phu!$I$28,M1540=phu!$I$29,M1540=phu!$I$30,M1540=phu!$I$31),"Cam Phú",""),IF(OR(M1540=phu!$I$32,M1540=phu!$I$33,M1540=phu!$I$34,M1540=phu!$I$35,M1540=phu!$I$36,M1540=phu!$I$37),"Cam Lộc",""),IF(OR(M1540=phu!$I$38,M1540=phu!$I$39,M1540=phu!$I$40,M1540=phu!$I$41,M1540=phu!$I$42,M1540=phu!$I$43,M1540=phu!$I$44),"Cam Thuận",""),IF(OR(M1540=phu!$I$45,M1540=phu!$I$46,M1540=phu!$I$47,M1540=phu!$I$48,M1540=phu!$I$49,M1540=phu!$I$50,M1540=phu!$I$51,M1540=phu!$I$52,M1540=phu!$I$53),"Cam Linh",""),IF(OR(M1540=phu!$I$54,M1540=phu!$I$55,M1540=phu!$I$56,M1540=phu!$I$57,M1540=phu!$I$58,M1540=phu!$I$59,M1540=phu!$I$60,M1540=phu!$I$61,M1540=phu!$I$62),"Cam Lợi",""),IF(OR(M1540=phu!$I$63,M1540=phu!$I$64,M1540=phu!$I$65,M1540=phu!$I$66,M1540=phu!$I$67,M1540=phu!$I$68,M1540=phu!$I$69,M1540=phu!$I$70,M1540=phu!$I$71),"Ba Ngòi",""),IF(OR(M1540=phu!$I$72,M1540=phu!$I$73,M1540=phu!$I$74,M1540=phu!$I$75,M1540=phu!$I$76,M1540=phu!$I$77,M1540=phu!$I$78),"Cam Phước Đông",""),IF(OR(M1540=phu!$I$79,M1540=phu!$I$80,M1540=phu!$I$81,M1540=phu!$I$82,M1540=phu!$I$83,M1540=phu!$I$84),"Cam Thịnh Đông",""),IF(OR(M1540=phu!$I$85,M1540=phu!$I$86,M1540=phu!$I$87,M1540=phu!$I$88),"Cam Thịnh Tây",""),IF(OR(M1540=phu!$I$89,M1540=phu!$I$90),"Cam Lập",""),IF(OR(M1540=phu!$I$91,M1540=phu!$I$92,M1540=phu!$I$93),"Cam Bình",""),IF(OR(M1540=phu!$I$94,M1540=phu!$I$95,M1540=phu!$I$96,M1540=phu!$I$97,M1540=phu!$I$98,M1540=phu!$I$99,M1540=phu!$I$100),"Huyện khác",""),IF(OR(M1540=phu!$I$101,M1540=phu!$I$102),"Tỉnh khác",""))</f>
        <v/>
      </c>
      <c r="O1540" s="814" t="str">
        <f t="shared" si="139"/>
        <v/>
      </c>
      <c r="P1540" s="254"/>
      <c r="Q1540" s="254"/>
      <c r="R1540" s="254"/>
      <c r="S1540" s="254"/>
      <c r="T1540" s="254"/>
      <c r="U1540" s="254"/>
      <c r="V1540" s="254"/>
      <c r="W1540" s="254"/>
      <c r="Y1540" s="246" t="str">
        <f t="shared" si="140"/>
        <v/>
      </c>
      <c r="Z1540" s="247" t="str">
        <f t="shared" si="138"/>
        <v/>
      </c>
      <c r="AA1540" s="246" t="str">
        <f t="shared" si="141"/>
        <v/>
      </c>
    </row>
    <row r="1541" spans="1:27" x14ac:dyDescent="0.25">
      <c r="A1541" s="248" t="str">
        <f t="shared" si="142"/>
        <v/>
      </c>
      <c r="B1541" s="249" t="str">
        <f t="shared" si="143"/>
        <v/>
      </c>
      <c r="C1541" s="250"/>
      <c r="D1541" s="251"/>
      <c r="E1541" s="241"/>
      <c r="F1541" s="252"/>
      <c r="G1541" s="252"/>
      <c r="H1541" s="253"/>
      <c r="I1541" s="250"/>
      <c r="J1541" s="250"/>
      <c r="K1541" s="270"/>
      <c r="L1541" s="250"/>
      <c r="M1541" s="250"/>
      <c r="N1541" s="553" t="str">
        <f>CONCATENATE(IF(OR(M1541=phu!$I$1,M1541=phu!$I$2,M1541=phu!$I$3),"Cam Thành Nam",""),IF(OR(M1541=phu!$I$4,M1541=phu!$I$5,M1541=phu!$I$6,M1541=phu!$I$7,M1541=phu!$I$8,M1541=phu!$I$9,M1541=phu!$I$10,M1541=phu!$I$11,M1541=phu!$I$12,M1541=phu!$I$13,M1541=phu!$I$14),"Cam Nghĩa",""),IF(OR(M1541=phu!$I$15,M1541=phu!$I$16,M1541=phu!$I$17,M1541=phu!$I$18,M1541=phu!$I$19,M1541=phu!$I$20,M1541=phu!$I$21),"Cam Phúc Bắc",""),IF(OR(M1541=phu!$I$22,M1541=phu!$I$23,M1541=phu!$I$24,M1541=phu!$I$25),"Cam Phúc Nam",""),IF(OR(M1541=phu!$I$26,M1541=phu!$I$27,M1541=phu!$I$28,M1541=phu!$I$29,M1541=phu!$I$30,M1541=phu!$I$31),"Cam Phú",""),IF(OR(M1541=phu!$I$32,M1541=phu!$I$33,M1541=phu!$I$34,M1541=phu!$I$35,M1541=phu!$I$36,M1541=phu!$I$37),"Cam Lộc",""),IF(OR(M1541=phu!$I$38,M1541=phu!$I$39,M1541=phu!$I$40,M1541=phu!$I$41,M1541=phu!$I$42,M1541=phu!$I$43,M1541=phu!$I$44),"Cam Thuận",""),IF(OR(M1541=phu!$I$45,M1541=phu!$I$46,M1541=phu!$I$47,M1541=phu!$I$48,M1541=phu!$I$49,M1541=phu!$I$50,M1541=phu!$I$51,M1541=phu!$I$52,M1541=phu!$I$53),"Cam Linh",""),IF(OR(M1541=phu!$I$54,M1541=phu!$I$55,M1541=phu!$I$56,M1541=phu!$I$57,M1541=phu!$I$58,M1541=phu!$I$59,M1541=phu!$I$60,M1541=phu!$I$61,M1541=phu!$I$62),"Cam Lợi",""),IF(OR(M1541=phu!$I$63,M1541=phu!$I$64,M1541=phu!$I$65,M1541=phu!$I$66,M1541=phu!$I$67,M1541=phu!$I$68,M1541=phu!$I$69,M1541=phu!$I$70,M1541=phu!$I$71),"Ba Ngòi",""),IF(OR(M1541=phu!$I$72,M1541=phu!$I$73,M1541=phu!$I$74,M1541=phu!$I$75,M1541=phu!$I$76,M1541=phu!$I$77,M1541=phu!$I$78),"Cam Phước Đông",""),IF(OR(M1541=phu!$I$79,M1541=phu!$I$80,M1541=phu!$I$81,M1541=phu!$I$82,M1541=phu!$I$83,M1541=phu!$I$84),"Cam Thịnh Đông",""),IF(OR(M1541=phu!$I$85,M1541=phu!$I$86,M1541=phu!$I$87,M1541=phu!$I$88),"Cam Thịnh Tây",""),IF(OR(M1541=phu!$I$89,M1541=phu!$I$90),"Cam Lập",""),IF(OR(M1541=phu!$I$91,M1541=phu!$I$92,M1541=phu!$I$93),"Cam Bình",""),IF(OR(M1541=phu!$I$94,M1541=phu!$I$95,M1541=phu!$I$96,M1541=phu!$I$97,M1541=phu!$I$98,M1541=phu!$I$99,M1541=phu!$I$100),"Huyện khác",""),IF(OR(M1541=phu!$I$101,M1541=phu!$I$102),"Tỉnh khác",""))</f>
        <v/>
      </c>
      <c r="O1541" s="814" t="str">
        <f t="shared" si="139"/>
        <v/>
      </c>
      <c r="P1541" s="254"/>
      <c r="Q1541" s="254"/>
      <c r="R1541" s="254"/>
      <c r="S1541" s="254"/>
      <c r="T1541" s="254"/>
      <c r="U1541" s="254"/>
      <c r="V1541" s="254"/>
      <c r="W1541" s="254"/>
      <c r="Y1541" s="246" t="str">
        <f t="shared" si="140"/>
        <v/>
      </c>
      <c r="Z1541" s="247" t="str">
        <f t="shared" si="138"/>
        <v/>
      </c>
      <c r="AA1541" s="246" t="str">
        <f t="shared" si="141"/>
        <v/>
      </c>
    </row>
    <row r="1542" spans="1:27" x14ac:dyDescent="0.25">
      <c r="A1542" s="248" t="str">
        <f t="shared" si="142"/>
        <v/>
      </c>
      <c r="B1542" s="249" t="str">
        <f t="shared" si="143"/>
        <v/>
      </c>
      <c r="C1542" s="250"/>
      <c r="D1542" s="251"/>
      <c r="E1542" s="241"/>
      <c r="F1542" s="252"/>
      <c r="G1542" s="252"/>
      <c r="H1542" s="253"/>
      <c r="I1542" s="250"/>
      <c r="J1542" s="250"/>
      <c r="K1542" s="270"/>
      <c r="L1542" s="250"/>
      <c r="M1542" s="250"/>
      <c r="N1542" s="553" t="str">
        <f>CONCATENATE(IF(OR(M1542=phu!$I$1,M1542=phu!$I$2,M1542=phu!$I$3),"Cam Thành Nam",""),IF(OR(M1542=phu!$I$4,M1542=phu!$I$5,M1542=phu!$I$6,M1542=phu!$I$7,M1542=phu!$I$8,M1542=phu!$I$9,M1542=phu!$I$10,M1542=phu!$I$11,M1542=phu!$I$12,M1542=phu!$I$13,M1542=phu!$I$14),"Cam Nghĩa",""),IF(OR(M1542=phu!$I$15,M1542=phu!$I$16,M1542=phu!$I$17,M1542=phu!$I$18,M1542=phu!$I$19,M1542=phu!$I$20,M1542=phu!$I$21),"Cam Phúc Bắc",""),IF(OR(M1542=phu!$I$22,M1542=phu!$I$23,M1542=phu!$I$24,M1542=phu!$I$25),"Cam Phúc Nam",""),IF(OR(M1542=phu!$I$26,M1542=phu!$I$27,M1542=phu!$I$28,M1542=phu!$I$29,M1542=phu!$I$30,M1542=phu!$I$31),"Cam Phú",""),IF(OR(M1542=phu!$I$32,M1542=phu!$I$33,M1542=phu!$I$34,M1542=phu!$I$35,M1542=phu!$I$36,M1542=phu!$I$37),"Cam Lộc",""),IF(OR(M1542=phu!$I$38,M1542=phu!$I$39,M1542=phu!$I$40,M1542=phu!$I$41,M1542=phu!$I$42,M1542=phu!$I$43,M1542=phu!$I$44),"Cam Thuận",""),IF(OR(M1542=phu!$I$45,M1542=phu!$I$46,M1542=phu!$I$47,M1542=phu!$I$48,M1542=phu!$I$49,M1542=phu!$I$50,M1542=phu!$I$51,M1542=phu!$I$52,M1542=phu!$I$53),"Cam Linh",""),IF(OR(M1542=phu!$I$54,M1542=phu!$I$55,M1542=phu!$I$56,M1542=phu!$I$57,M1542=phu!$I$58,M1542=phu!$I$59,M1542=phu!$I$60,M1542=phu!$I$61,M1542=phu!$I$62),"Cam Lợi",""),IF(OR(M1542=phu!$I$63,M1542=phu!$I$64,M1542=phu!$I$65,M1542=phu!$I$66,M1542=phu!$I$67,M1542=phu!$I$68,M1542=phu!$I$69,M1542=phu!$I$70,M1542=phu!$I$71),"Ba Ngòi",""),IF(OR(M1542=phu!$I$72,M1542=phu!$I$73,M1542=phu!$I$74,M1542=phu!$I$75,M1542=phu!$I$76,M1542=phu!$I$77,M1542=phu!$I$78),"Cam Phước Đông",""),IF(OR(M1542=phu!$I$79,M1542=phu!$I$80,M1542=phu!$I$81,M1542=phu!$I$82,M1542=phu!$I$83,M1542=phu!$I$84),"Cam Thịnh Đông",""),IF(OR(M1542=phu!$I$85,M1542=phu!$I$86,M1542=phu!$I$87,M1542=phu!$I$88),"Cam Thịnh Tây",""),IF(OR(M1542=phu!$I$89,M1542=phu!$I$90),"Cam Lập",""),IF(OR(M1542=phu!$I$91,M1542=phu!$I$92,M1542=phu!$I$93),"Cam Bình",""),IF(OR(M1542=phu!$I$94,M1542=phu!$I$95,M1542=phu!$I$96,M1542=phu!$I$97,M1542=phu!$I$98,M1542=phu!$I$99,M1542=phu!$I$100),"Huyện khác",""),IF(OR(M1542=phu!$I$101,M1542=phu!$I$102),"Tỉnh khác",""))</f>
        <v/>
      </c>
      <c r="O1542" s="814" t="str">
        <f t="shared" si="139"/>
        <v/>
      </c>
      <c r="P1542" s="254"/>
      <c r="Q1542" s="254"/>
      <c r="R1542" s="254"/>
      <c r="S1542" s="254"/>
      <c r="T1542" s="254"/>
      <c r="U1542" s="254"/>
      <c r="V1542" s="254"/>
      <c r="W1542" s="254"/>
      <c r="Y1542" s="246" t="str">
        <f t="shared" si="140"/>
        <v/>
      </c>
      <c r="Z1542" s="247" t="str">
        <f t="shared" ref="Z1542:Z1605" si="144">IF(H1542="","",$Z$1-H1542)</f>
        <v/>
      </c>
      <c r="AA1542" s="246" t="str">
        <f t="shared" si="141"/>
        <v/>
      </c>
    </row>
    <row r="1543" spans="1:27" x14ac:dyDescent="0.25">
      <c r="A1543" s="248" t="str">
        <f t="shared" si="142"/>
        <v/>
      </c>
      <c r="B1543" s="249" t="str">
        <f t="shared" si="143"/>
        <v/>
      </c>
      <c r="C1543" s="250"/>
      <c r="D1543" s="251"/>
      <c r="E1543" s="241"/>
      <c r="F1543" s="252"/>
      <c r="G1543" s="252"/>
      <c r="H1543" s="253"/>
      <c r="I1543" s="250"/>
      <c r="J1543" s="250"/>
      <c r="K1543" s="270"/>
      <c r="L1543" s="250"/>
      <c r="M1543" s="250"/>
      <c r="N1543" s="553" t="str">
        <f>CONCATENATE(IF(OR(M1543=phu!$I$1,M1543=phu!$I$2,M1543=phu!$I$3),"Cam Thành Nam",""),IF(OR(M1543=phu!$I$4,M1543=phu!$I$5,M1543=phu!$I$6,M1543=phu!$I$7,M1543=phu!$I$8,M1543=phu!$I$9,M1543=phu!$I$10,M1543=phu!$I$11,M1543=phu!$I$12,M1543=phu!$I$13,M1543=phu!$I$14),"Cam Nghĩa",""),IF(OR(M1543=phu!$I$15,M1543=phu!$I$16,M1543=phu!$I$17,M1543=phu!$I$18,M1543=phu!$I$19,M1543=phu!$I$20,M1543=phu!$I$21),"Cam Phúc Bắc",""),IF(OR(M1543=phu!$I$22,M1543=phu!$I$23,M1543=phu!$I$24,M1543=phu!$I$25),"Cam Phúc Nam",""),IF(OR(M1543=phu!$I$26,M1543=phu!$I$27,M1543=phu!$I$28,M1543=phu!$I$29,M1543=phu!$I$30,M1543=phu!$I$31),"Cam Phú",""),IF(OR(M1543=phu!$I$32,M1543=phu!$I$33,M1543=phu!$I$34,M1543=phu!$I$35,M1543=phu!$I$36,M1543=phu!$I$37),"Cam Lộc",""),IF(OR(M1543=phu!$I$38,M1543=phu!$I$39,M1543=phu!$I$40,M1543=phu!$I$41,M1543=phu!$I$42,M1543=phu!$I$43,M1543=phu!$I$44),"Cam Thuận",""),IF(OR(M1543=phu!$I$45,M1543=phu!$I$46,M1543=phu!$I$47,M1543=phu!$I$48,M1543=phu!$I$49,M1543=phu!$I$50,M1543=phu!$I$51,M1543=phu!$I$52,M1543=phu!$I$53),"Cam Linh",""),IF(OR(M1543=phu!$I$54,M1543=phu!$I$55,M1543=phu!$I$56,M1543=phu!$I$57,M1543=phu!$I$58,M1543=phu!$I$59,M1543=phu!$I$60,M1543=phu!$I$61,M1543=phu!$I$62),"Cam Lợi",""),IF(OR(M1543=phu!$I$63,M1543=phu!$I$64,M1543=phu!$I$65,M1543=phu!$I$66,M1543=phu!$I$67,M1543=phu!$I$68,M1543=phu!$I$69,M1543=phu!$I$70,M1543=phu!$I$71),"Ba Ngòi",""),IF(OR(M1543=phu!$I$72,M1543=phu!$I$73,M1543=phu!$I$74,M1543=phu!$I$75,M1543=phu!$I$76,M1543=phu!$I$77,M1543=phu!$I$78),"Cam Phước Đông",""),IF(OR(M1543=phu!$I$79,M1543=phu!$I$80,M1543=phu!$I$81,M1543=phu!$I$82,M1543=phu!$I$83,M1543=phu!$I$84),"Cam Thịnh Đông",""),IF(OR(M1543=phu!$I$85,M1543=phu!$I$86,M1543=phu!$I$87,M1543=phu!$I$88),"Cam Thịnh Tây",""),IF(OR(M1543=phu!$I$89,M1543=phu!$I$90),"Cam Lập",""),IF(OR(M1543=phu!$I$91,M1543=phu!$I$92,M1543=phu!$I$93),"Cam Bình",""),IF(OR(M1543=phu!$I$94,M1543=phu!$I$95,M1543=phu!$I$96,M1543=phu!$I$97,M1543=phu!$I$98,M1543=phu!$I$99,M1543=phu!$I$100),"Huyện khác",""),IF(OR(M1543=phu!$I$101,M1543=phu!$I$102),"Tỉnh khác",""))</f>
        <v/>
      </c>
      <c r="O1543" s="814" t="str">
        <f t="shared" ref="O1543:O1605" si="145">CONCATENATE(IF(OR(N1543="Cam Thành Nam",N1543="Cam Nghĩa",N1543="Cam Phúc Bắc"),"Bắc Cam Ranh",""),IF(OR(N1543="Cam Phúc Nam",N1543="Cam Phú",N1543="Cam Lộc"),"Cam Ranh",""),IF(OR(N1543="Cam Thuận",N1543="Cam Linh",N1543="Cam Lợi"),"Cam Linh",""),IF(OR(N1543="Ba Ngòi",N1543="Cam Phước Đông"),"Ba Ngòi",""),IF(OR(N1543="Cam Thịnh Đông",N1543="Cam Thịnh Tây",N1543="Cam Lập",N1543="Cam Bình"),"Nam Cam Ranh",""),IF(N1543="Huyện khác","Huyện khác",""),IF(N1543="Tỉnh khác","Tỉnh khác",""))</f>
        <v/>
      </c>
      <c r="P1543" s="254"/>
      <c r="Q1543" s="254"/>
      <c r="R1543" s="254"/>
      <c r="S1543" s="254"/>
      <c r="T1543" s="254"/>
      <c r="U1543" s="254"/>
      <c r="V1543" s="254"/>
      <c r="W1543" s="254"/>
      <c r="Y1543" s="246" t="str">
        <f t="shared" ref="Y1543:Y1605" si="146">IF(OR(AND(B1543="",C1543="",D1543="",E1543="",F1543="",G1543="",H1543="",I1543="",J1543="",L1543="",M1543="",N1543="",P1543="",Q1543="",R1543="",S1543=""),AND(B1543&lt;&gt;"",C1543&lt;&gt;"",D1543&lt;&gt;"",E1543&lt;&gt;"",F1543&lt;&gt;"",G1543&lt;&gt;"",H1543&lt;&gt;"",J1543&lt;&gt;"",M1543&lt;&gt;"",N1543&lt;&gt;"",P1543&lt;&gt;"",OR(AND(Q1543&lt;&gt;"",R1543=""),AND(Q1543="",R1543&lt;&gt;""),AND(Q1543&lt;&gt;"",R1543&lt;&gt;"")),OR(AND(K1543="X",T1543&lt;&gt;""),AND(K1543="",T1543="")))),"","er")</f>
        <v/>
      </c>
      <c r="Z1543" s="247" t="str">
        <f t="shared" si="144"/>
        <v/>
      </c>
      <c r="AA1543" s="246" t="str">
        <f t="shared" ref="AA1543:AA1605" si="147">IF(OR(AND(Z1543=5,B1543&gt;0),AND(Z1543=6,B1543&gt;1),AND(Z1543=7,B1543&gt;2),AND(Z1543=8,B1543&gt;3),AND(Z1543=9,B1543&gt;4),AND(Z1543=10,B1543&gt;5),AND(Z1543=5,B1543=0,L1543="X"),AND(Z1543=6,B1543=1,L1543="X"),AND(Z1543=7,B1543=2,L1543="X"),AND(Z1543=8,B1543=3,L1543="X"),AND(Z1543=9,B1543=4,L1543="X"),AND(Z1543=10,B1543=5,L1543="X")),"er","")</f>
        <v/>
      </c>
    </row>
    <row r="1544" spans="1:27" x14ac:dyDescent="0.25">
      <c r="A1544" s="248" t="str">
        <f t="shared" ref="A1544:A1604" si="148">IF(OR(A1543="",B1544="",C1544="",D1544="",E1544=""),"",A1543+1)</f>
        <v/>
      </c>
      <c r="B1544" s="249" t="str">
        <f t="shared" ref="B1544:B1605" si="149">IF(C1544="","",VALUE(LEFT(C1544,1)))</f>
        <v/>
      </c>
      <c r="C1544" s="250"/>
      <c r="D1544" s="251"/>
      <c r="E1544" s="241"/>
      <c r="F1544" s="252"/>
      <c r="G1544" s="252"/>
      <c r="H1544" s="253"/>
      <c r="I1544" s="250"/>
      <c r="J1544" s="250"/>
      <c r="K1544" s="270"/>
      <c r="L1544" s="250"/>
      <c r="M1544" s="250"/>
      <c r="N1544" s="553" t="str">
        <f>CONCATENATE(IF(OR(M1544=phu!$I$1,M1544=phu!$I$2,M1544=phu!$I$3),"Cam Thành Nam",""),IF(OR(M1544=phu!$I$4,M1544=phu!$I$5,M1544=phu!$I$6,M1544=phu!$I$7,M1544=phu!$I$8,M1544=phu!$I$9,M1544=phu!$I$10,M1544=phu!$I$11,M1544=phu!$I$12,M1544=phu!$I$13,M1544=phu!$I$14),"Cam Nghĩa",""),IF(OR(M1544=phu!$I$15,M1544=phu!$I$16,M1544=phu!$I$17,M1544=phu!$I$18,M1544=phu!$I$19,M1544=phu!$I$20,M1544=phu!$I$21),"Cam Phúc Bắc",""),IF(OR(M1544=phu!$I$22,M1544=phu!$I$23,M1544=phu!$I$24,M1544=phu!$I$25),"Cam Phúc Nam",""),IF(OR(M1544=phu!$I$26,M1544=phu!$I$27,M1544=phu!$I$28,M1544=phu!$I$29,M1544=phu!$I$30,M1544=phu!$I$31),"Cam Phú",""),IF(OR(M1544=phu!$I$32,M1544=phu!$I$33,M1544=phu!$I$34,M1544=phu!$I$35,M1544=phu!$I$36,M1544=phu!$I$37),"Cam Lộc",""),IF(OR(M1544=phu!$I$38,M1544=phu!$I$39,M1544=phu!$I$40,M1544=phu!$I$41,M1544=phu!$I$42,M1544=phu!$I$43,M1544=phu!$I$44),"Cam Thuận",""),IF(OR(M1544=phu!$I$45,M1544=phu!$I$46,M1544=phu!$I$47,M1544=phu!$I$48,M1544=phu!$I$49,M1544=phu!$I$50,M1544=phu!$I$51,M1544=phu!$I$52,M1544=phu!$I$53),"Cam Linh",""),IF(OR(M1544=phu!$I$54,M1544=phu!$I$55,M1544=phu!$I$56,M1544=phu!$I$57,M1544=phu!$I$58,M1544=phu!$I$59,M1544=phu!$I$60,M1544=phu!$I$61,M1544=phu!$I$62),"Cam Lợi",""),IF(OR(M1544=phu!$I$63,M1544=phu!$I$64,M1544=phu!$I$65,M1544=phu!$I$66,M1544=phu!$I$67,M1544=phu!$I$68,M1544=phu!$I$69,M1544=phu!$I$70,M1544=phu!$I$71),"Ba Ngòi",""),IF(OR(M1544=phu!$I$72,M1544=phu!$I$73,M1544=phu!$I$74,M1544=phu!$I$75,M1544=phu!$I$76,M1544=phu!$I$77,M1544=phu!$I$78),"Cam Phước Đông",""),IF(OR(M1544=phu!$I$79,M1544=phu!$I$80,M1544=phu!$I$81,M1544=phu!$I$82,M1544=phu!$I$83,M1544=phu!$I$84),"Cam Thịnh Đông",""),IF(OR(M1544=phu!$I$85,M1544=phu!$I$86,M1544=phu!$I$87,M1544=phu!$I$88),"Cam Thịnh Tây",""),IF(OR(M1544=phu!$I$89,M1544=phu!$I$90),"Cam Lập",""),IF(OR(M1544=phu!$I$91,M1544=phu!$I$92,M1544=phu!$I$93),"Cam Bình",""),IF(OR(M1544=phu!$I$94,M1544=phu!$I$95,M1544=phu!$I$96,M1544=phu!$I$97,M1544=phu!$I$98,M1544=phu!$I$99,M1544=phu!$I$100),"Huyện khác",""),IF(OR(M1544=phu!$I$101,M1544=phu!$I$102),"Tỉnh khác",""))</f>
        <v/>
      </c>
      <c r="O1544" s="814" t="str">
        <f t="shared" si="145"/>
        <v/>
      </c>
      <c r="P1544" s="254"/>
      <c r="Q1544" s="254"/>
      <c r="R1544" s="254"/>
      <c r="S1544" s="254"/>
      <c r="T1544" s="254"/>
      <c r="U1544" s="254"/>
      <c r="V1544" s="254"/>
      <c r="W1544" s="254"/>
      <c r="Y1544" s="246" t="str">
        <f t="shared" si="146"/>
        <v/>
      </c>
      <c r="Z1544" s="247" t="str">
        <f t="shared" si="144"/>
        <v/>
      </c>
      <c r="AA1544" s="246" t="str">
        <f t="shared" si="147"/>
        <v/>
      </c>
    </row>
    <row r="1545" spans="1:27" x14ac:dyDescent="0.25">
      <c r="A1545" s="248" t="str">
        <f t="shared" si="148"/>
        <v/>
      </c>
      <c r="B1545" s="249" t="str">
        <f t="shared" si="149"/>
        <v/>
      </c>
      <c r="C1545" s="250"/>
      <c r="D1545" s="251"/>
      <c r="E1545" s="241"/>
      <c r="F1545" s="252"/>
      <c r="G1545" s="252"/>
      <c r="H1545" s="253"/>
      <c r="I1545" s="250"/>
      <c r="J1545" s="250"/>
      <c r="K1545" s="270"/>
      <c r="L1545" s="250"/>
      <c r="M1545" s="250"/>
      <c r="N1545" s="553" t="str">
        <f>CONCATENATE(IF(OR(M1545=phu!$I$1,M1545=phu!$I$2,M1545=phu!$I$3),"Cam Thành Nam",""),IF(OR(M1545=phu!$I$4,M1545=phu!$I$5,M1545=phu!$I$6,M1545=phu!$I$7,M1545=phu!$I$8,M1545=phu!$I$9,M1545=phu!$I$10,M1545=phu!$I$11,M1545=phu!$I$12,M1545=phu!$I$13,M1545=phu!$I$14),"Cam Nghĩa",""),IF(OR(M1545=phu!$I$15,M1545=phu!$I$16,M1545=phu!$I$17,M1545=phu!$I$18,M1545=phu!$I$19,M1545=phu!$I$20,M1545=phu!$I$21),"Cam Phúc Bắc",""),IF(OR(M1545=phu!$I$22,M1545=phu!$I$23,M1545=phu!$I$24,M1545=phu!$I$25),"Cam Phúc Nam",""),IF(OR(M1545=phu!$I$26,M1545=phu!$I$27,M1545=phu!$I$28,M1545=phu!$I$29,M1545=phu!$I$30,M1545=phu!$I$31),"Cam Phú",""),IF(OR(M1545=phu!$I$32,M1545=phu!$I$33,M1545=phu!$I$34,M1545=phu!$I$35,M1545=phu!$I$36,M1545=phu!$I$37),"Cam Lộc",""),IF(OR(M1545=phu!$I$38,M1545=phu!$I$39,M1545=phu!$I$40,M1545=phu!$I$41,M1545=phu!$I$42,M1545=phu!$I$43,M1545=phu!$I$44),"Cam Thuận",""),IF(OR(M1545=phu!$I$45,M1545=phu!$I$46,M1545=phu!$I$47,M1545=phu!$I$48,M1545=phu!$I$49,M1545=phu!$I$50,M1545=phu!$I$51,M1545=phu!$I$52,M1545=phu!$I$53),"Cam Linh",""),IF(OR(M1545=phu!$I$54,M1545=phu!$I$55,M1545=phu!$I$56,M1545=phu!$I$57,M1545=phu!$I$58,M1545=phu!$I$59,M1545=phu!$I$60,M1545=phu!$I$61,M1545=phu!$I$62),"Cam Lợi",""),IF(OR(M1545=phu!$I$63,M1545=phu!$I$64,M1545=phu!$I$65,M1545=phu!$I$66,M1545=phu!$I$67,M1545=phu!$I$68,M1545=phu!$I$69,M1545=phu!$I$70,M1545=phu!$I$71),"Ba Ngòi",""),IF(OR(M1545=phu!$I$72,M1545=phu!$I$73,M1545=phu!$I$74,M1545=phu!$I$75,M1545=phu!$I$76,M1545=phu!$I$77,M1545=phu!$I$78),"Cam Phước Đông",""),IF(OR(M1545=phu!$I$79,M1545=phu!$I$80,M1545=phu!$I$81,M1545=phu!$I$82,M1545=phu!$I$83,M1545=phu!$I$84),"Cam Thịnh Đông",""),IF(OR(M1545=phu!$I$85,M1545=phu!$I$86,M1545=phu!$I$87,M1545=phu!$I$88),"Cam Thịnh Tây",""),IF(OR(M1545=phu!$I$89,M1545=phu!$I$90),"Cam Lập",""),IF(OR(M1545=phu!$I$91,M1545=phu!$I$92,M1545=phu!$I$93),"Cam Bình",""),IF(OR(M1545=phu!$I$94,M1545=phu!$I$95,M1545=phu!$I$96,M1545=phu!$I$97,M1545=phu!$I$98,M1545=phu!$I$99,M1545=phu!$I$100),"Huyện khác",""),IF(OR(M1545=phu!$I$101,M1545=phu!$I$102),"Tỉnh khác",""))</f>
        <v/>
      </c>
      <c r="O1545" s="814" t="str">
        <f t="shared" si="145"/>
        <v/>
      </c>
      <c r="P1545" s="254"/>
      <c r="Q1545" s="254"/>
      <c r="R1545" s="254"/>
      <c r="S1545" s="254"/>
      <c r="T1545" s="254"/>
      <c r="U1545" s="254"/>
      <c r="V1545" s="254"/>
      <c r="W1545" s="254"/>
      <c r="Y1545" s="246" t="str">
        <f t="shared" si="146"/>
        <v/>
      </c>
      <c r="Z1545" s="247" t="str">
        <f t="shared" si="144"/>
        <v/>
      </c>
      <c r="AA1545" s="246" t="str">
        <f t="shared" si="147"/>
        <v/>
      </c>
    </row>
    <row r="1546" spans="1:27" x14ac:dyDescent="0.25">
      <c r="A1546" s="248" t="str">
        <f t="shared" si="148"/>
        <v/>
      </c>
      <c r="B1546" s="249" t="str">
        <f t="shared" si="149"/>
        <v/>
      </c>
      <c r="C1546" s="250"/>
      <c r="D1546" s="251"/>
      <c r="E1546" s="241"/>
      <c r="F1546" s="252"/>
      <c r="G1546" s="252"/>
      <c r="H1546" s="253"/>
      <c r="I1546" s="250"/>
      <c r="J1546" s="250"/>
      <c r="K1546" s="270"/>
      <c r="L1546" s="250"/>
      <c r="M1546" s="250"/>
      <c r="N1546" s="553" t="str">
        <f>CONCATENATE(IF(OR(M1546=phu!$I$1,M1546=phu!$I$2,M1546=phu!$I$3),"Cam Thành Nam",""),IF(OR(M1546=phu!$I$4,M1546=phu!$I$5,M1546=phu!$I$6,M1546=phu!$I$7,M1546=phu!$I$8,M1546=phu!$I$9,M1546=phu!$I$10,M1546=phu!$I$11,M1546=phu!$I$12,M1546=phu!$I$13,M1546=phu!$I$14),"Cam Nghĩa",""),IF(OR(M1546=phu!$I$15,M1546=phu!$I$16,M1546=phu!$I$17,M1546=phu!$I$18,M1546=phu!$I$19,M1546=phu!$I$20,M1546=phu!$I$21),"Cam Phúc Bắc",""),IF(OR(M1546=phu!$I$22,M1546=phu!$I$23,M1546=phu!$I$24,M1546=phu!$I$25),"Cam Phúc Nam",""),IF(OR(M1546=phu!$I$26,M1546=phu!$I$27,M1546=phu!$I$28,M1546=phu!$I$29,M1546=phu!$I$30,M1546=phu!$I$31),"Cam Phú",""),IF(OR(M1546=phu!$I$32,M1546=phu!$I$33,M1546=phu!$I$34,M1546=phu!$I$35,M1546=phu!$I$36,M1546=phu!$I$37),"Cam Lộc",""),IF(OR(M1546=phu!$I$38,M1546=phu!$I$39,M1546=phu!$I$40,M1546=phu!$I$41,M1546=phu!$I$42,M1546=phu!$I$43,M1546=phu!$I$44),"Cam Thuận",""),IF(OR(M1546=phu!$I$45,M1546=phu!$I$46,M1546=phu!$I$47,M1546=phu!$I$48,M1546=phu!$I$49,M1546=phu!$I$50,M1546=phu!$I$51,M1546=phu!$I$52,M1546=phu!$I$53),"Cam Linh",""),IF(OR(M1546=phu!$I$54,M1546=phu!$I$55,M1546=phu!$I$56,M1546=phu!$I$57,M1546=phu!$I$58,M1546=phu!$I$59,M1546=phu!$I$60,M1546=phu!$I$61,M1546=phu!$I$62),"Cam Lợi",""),IF(OR(M1546=phu!$I$63,M1546=phu!$I$64,M1546=phu!$I$65,M1546=phu!$I$66,M1546=phu!$I$67,M1546=phu!$I$68,M1546=phu!$I$69,M1546=phu!$I$70,M1546=phu!$I$71),"Ba Ngòi",""),IF(OR(M1546=phu!$I$72,M1546=phu!$I$73,M1546=phu!$I$74,M1546=phu!$I$75,M1546=phu!$I$76,M1546=phu!$I$77,M1546=phu!$I$78),"Cam Phước Đông",""),IF(OR(M1546=phu!$I$79,M1546=phu!$I$80,M1546=phu!$I$81,M1546=phu!$I$82,M1546=phu!$I$83,M1546=phu!$I$84),"Cam Thịnh Đông",""),IF(OR(M1546=phu!$I$85,M1546=phu!$I$86,M1546=phu!$I$87,M1546=phu!$I$88),"Cam Thịnh Tây",""),IF(OR(M1546=phu!$I$89,M1546=phu!$I$90),"Cam Lập",""),IF(OR(M1546=phu!$I$91,M1546=phu!$I$92,M1546=phu!$I$93),"Cam Bình",""),IF(OR(M1546=phu!$I$94,M1546=phu!$I$95,M1546=phu!$I$96,M1546=phu!$I$97,M1546=phu!$I$98,M1546=phu!$I$99,M1546=phu!$I$100),"Huyện khác",""),IF(OR(M1546=phu!$I$101,M1546=phu!$I$102),"Tỉnh khác",""))</f>
        <v/>
      </c>
      <c r="O1546" s="814" t="str">
        <f t="shared" si="145"/>
        <v/>
      </c>
      <c r="P1546" s="254"/>
      <c r="Q1546" s="254"/>
      <c r="R1546" s="254"/>
      <c r="S1546" s="254"/>
      <c r="T1546" s="254"/>
      <c r="U1546" s="254"/>
      <c r="V1546" s="254"/>
      <c r="W1546" s="254"/>
      <c r="Y1546" s="246" t="str">
        <f t="shared" si="146"/>
        <v/>
      </c>
      <c r="Z1546" s="247" t="str">
        <f t="shared" si="144"/>
        <v/>
      </c>
      <c r="AA1546" s="246" t="str">
        <f t="shared" si="147"/>
        <v/>
      </c>
    </row>
    <row r="1547" spans="1:27" x14ac:dyDescent="0.25">
      <c r="A1547" s="248" t="str">
        <f t="shared" si="148"/>
        <v/>
      </c>
      <c r="B1547" s="249" t="str">
        <f t="shared" si="149"/>
        <v/>
      </c>
      <c r="C1547" s="250"/>
      <c r="D1547" s="251"/>
      <c r="E1547" s="241"/>
      <c r="F1547" s="252"/>
      <c r="G1547" s="252"/>
      <c r="H1547" s="253"/>
      <c r="I1547" s="250"/>
      <c r="J1547" s="250"/>
      <c r="K1547" s="270"/>
      <c r="L1547" s="250"/>
      <c r="M1547" s="250"/>
      <c r="N1547" s="553" t="str">
        <f>CONCATENATE(IF(OR(M1547=phu!$I$1,M1547=phu!$I$2,M1547=phu!$I$3),"Cam Thành Nam",""),IF(OR(M1547=phu!$I$4,M1547=phu!$I$5,M1547=phu!$I$6,M1547=phu!$I$7,M1547=phu!$I$8,M1547=phu!$I$9,M1547=phu!$I$10,M1547=phu!$I$11,M1547=phu!$I$12,M1547=phu!$I$13,M1547=phu!$I$14),"Cam Nghĩa",""),IF(OR(M1547=phu!$I$15,M1547=phu!$I$16,M1547=phu!$I$17,M1547=phu!$I$18,M1547=phu!$I$19,M1547=phu!$I$20,M1547=phu!$I$21),"Cam Phúc Bắc",""),IF(OR(M1547=phu!$I$22,M1547=phu!$I$23,M1547=phu!$I$24,M1547=phu!$I$25),"Cam Phúc Nam",""),IF(OR(M1547=phu!$I$26,M1547=phu!$I$27,M1547=phu!$I$28,M1547=phu!$I$29,M1547=phu!$I$30,M1547=phu!$I$31),"Cam Phú",""),IF(OR(M1547=phu!$I$32,M1547=phu!$I$33,M1547=phu!$I$34,M1547=phu!$I$35,M1547=phu!$I$36,M1547=phu!$I$37),"Cam Lộc",""),IF(OR(M1547=phu!$I$38,M1547=phu!$I$39,M1547=phu!$I$40,M1547=phu!$I$41,M1547=phu!$I$42,M1547=phu!$I$43,M1547=phu!$I$44),"Cam Thuận",""),IF(OR(M1547=phu!$I$45,M1547=phu!$I$46,M1547=phu!$I$47,M1547=phu!$I$48,M1547=phu!$I$49,M1547=phu!$I$50,M1547=phu!$I$51,M1547=phu!$I$52,M1547=phu!$I$53),"Cam Linh",""),IF(OR(M1547=phu!$I$54,M1547=phu!$I$55,M1547=phu!$I$56,M1547=phu!$I$57,M1547=phu!$I$58,M1547=phu!$I$59,M1547=phu!$I$60,M1547=phu!$I$61,M1547=phu!$I$62),"Cam Lợi",""),IF(OR(M1547=phu!$I$63,M1547=phu!$I$64,M1547=phu!$I$65,M1547=phu!$I$66,M1547=phu!$I$67,M1547=phu!$I$68,M1547=phu!$I$69,M1547=phu!$I$70,M1547=phu!$I$71),"Ba Ngòi",""),IF(OR(M1547=phu!$I$72,M1547=phu!$I$73,M1547=phu!$I$74,M1547=phu!$I$75,M1547=phu!$I$76,M1547=phu!$I$77,M1547=phu!$I$78),"Cam Phước Đông",""),IF(OR(M1547=phu!$I$79,M1547=phu!$I$80,M1547=phu!$I$81,M1547=phu!$I$82,M1547=phu!$I$83,M1547=phu!$I$84),"Cam Thịnh Đông",""),IF(OR(M1547=phu!$I$85,M1547=phu!$I$86,M1547=phu!$I$87,M1547=phu!$I$88),"Cam Thịnh Tây",""),IF(OR(M1547=phu!$I$89,M1547=phu!$I$90),"Cam Lập",""),IF(OR(M1547=phu!$I$91,M1547=phu!$I$92,M1547=phu!$I$93),"Cam Bình",""),IF(OR(M1547=phu!$I$94,M1547=phu!$I$95,M1547=phu!$I$96,M1547=phu!$I$97,M1547=phu!$I$98,M1547=phu!$I$99,M1547=phu!$I$100),"Huyện khác",""),IF(OR(M1547=phu!$I$101,M1547=phu!$I$102),"Tỉnh khác",""))</f>
        <v/>
      </c>
      <c r="O1547" s="814" t="str">
        <f t="shared" si="145"/>
        <v/>
      </c>
      <c r="P1547" s="254"/>
      <c r="Q1547" s="254"/>
      <c r="R1547" s="254"/>
      <c r="S1547" s="254"/>
      <c r="T1547" s="254"/>
      <c r="U1547" s="254"/>
      <c r="V1547" s="254"/>
      <c r="W1547" s="254"/>
      <c r="Y1547" s="246" t="str">
        <f t="shared" si="146"/>
        <v/>
      </c>
      <c r="Z1547" s="247" t="str">
        <f t="shared" si="144"/>
        <v/>
      </c>
      <c r="AA1547" s="246" t="str">
        <f t="shared" si="147"/>
        <v/>
      </c>
    </row>
    <row r="1548" spans="1:27" x14ac:dyDescent="0.25">
      <c r="A1548" s="248" t="str">
        <f t="shared" si="148"/>
        <v/>
      </c>
      <c r="B1548" s="249" t="str">
        <f t="shared" si="149"/>
        <v/>
      </c>
      <c r="C1548" s="250"/>
      <c r="D1548" s="251"/>
      <c r="E1548" s="241"/>
      <c r="F1548" s="252"/>
      <c r="G1548" s="252"/>
      <c r="H1548" s="253"/>
      <c r="I1548" s="250"/>
      <c r="J1548" s="250"/>
      <c r="K1548" s="270"/>
      <c r="L1548" s="250"/>
      <c r="M1548" s="250"/>
      <c r="N1548" s="553" t="str">
        <f>CONCATENATE(IF(OR(M1548=phu!$I$1,M1548=phu!$I$2,M1548=phu!$I$3),"Cam Thành Nam",""),IF(OR(M1548=phu!$I$4,M1548=phu!$I$5,M1548=phu!$I$6,M1548=phu!$I$7,M1548=phu!$I$8,M1548=phu!$I$9,M1548=phu!$I$10,M1548=phu!$I$11,M1548=phu!$I$12,M1548=phu!$I$13,M1548=phu!$I$14),"Cam Nghĩa",""),IF(OR(M1548=phu!$I$15,M1548=phu!$I$16,M1548=phu!$I$17,M1548=phu!$I$18,M1548=phu!$I$19,M1548=phu!$I$20,M1548=phu!$I$21),"Cam Phúc Bắc",""),IF(OR(M1548=phu!$I$22,M1548=phu!$I$23,M1548=phu!$I$24,M1548=phu!$I$25),"Cam Phúc Nam",""),IF(OR(M1548=phu!$I$26,M1548=phu!$I$27,M1548=phu!$I$28,M1548=phu!$I$29,M1548=phu!$I$30,M1548=phu!$I$31),"Cam Phú",""),IF(OR(M1548=phu!$I$32,M1548=phu!$I$33,M1548=phu!$I$34,M1548=phu!$I$35,M1548=phu!$I$36,M1548=phu!$I$37),"Cam Lộc",""),IF(OR(M1548=phu!$I$38,M1548=phu!$I$39,M1548=phu!$I$40,M1548=phu!$I$41,M1548=phu!$I$42,M1548=phu!$I$43,M1548=phu!$I$44),"Cam Thuận",""),IF(OR(M1548=phu!$I$45,M1548=phu!$I$46,M1548=phu!$I$47,M1548=phu!$I$48,M1548=phu!$I$49,M1548=phu!$I$50,M1548=phu!$I$51,M1548=phu!$I$52,M1548=phu!$I$53),"Cam Linh",""),IF(OR(M1548=phu!$I$54,M1548=phu!$I$55,M1548=phu!$I$56,M1548=phu!$I$57,M1548=phu!$I$58,M1548=phu!$I$59,M1548=phu!$I$60,M1548=phu!$I$61,M1548=phu!$I$62),"Cam Lợi",""),IF(OR(M1548=phu!$I$63,M1548=phu!$I$64,M1548=phu!$I$65,M1548=phu!$I$66,M1548=phu!$I$67,M1548=phu!$I$68,M1548=phu!$I$69,M1548=phu!$I$70,M1548=phu!$I$71),"Ba Ngòi",""),IF(OR(M1548=phu!$I$72,M1548=phu!$I$73,M1548=phu!$I$74,M1548=phu!$I$75,M1548=phu!$I$76,M1548=phu!$I$77,M1548=phu!$I$78),"Cam Phước Đông",""),IF(OR(M1548=phu!$I$79,M1548=phu!$I$80,M1548=phu!$I$81,M1548=phu!$I$82,M1548=phu!$I$83,M1548=phu!$I$84),"Cam Thịnh Đông",""),IF(OR(M1548=phu!$I$85,M1548=phu!$I$86,M1548=phu!$I$87,M1548=phu!$I$88),"Cam Thịnh Tây",""),IF(OR(M1548=phu!$I$89,M1548=phu!$I$90),"Cam Lập",""),IF(OR(M1548=phu!$I$91,M1548=phu!$I$92,M1548=phu!$I$93),"Cam Bình",""),IF(OR(M1548=phu!$I$94,M1548=phu!$I$95,M1548=phu!$I$96,M1548=phu!$I$97,M1548=phu!$I$98,M1548=phu!$I$99,M1548=phu!$I$100),"Huyện khác",""),IF(OR(M1548=phu!$I$101,M1548=phu!$I$102),"Tỉnh khác",""))</f>
        <v/>
      </c>
      <c r="O1548" s="814" t="str">
        <f t="shared" si="145"/>
        <v/>
      </c>
      <c r="P1548" s="254"/>
      <c r="Q1548" s="254"/>
      <c r="R1548" s="254"/>
      <c r="S1548" s="254"/>
      <c r="T1548" s="254"/>
      <c r="U1548" s="254"/>
      <c r="V1548" s="254"/>
      <c r="W1548" s="254"/>
      <c r="Y1548" s="246" t="str">
        <f t="shared" si="146"/>
        <v/>
      </c>
      <c r="Z1548" s="247" t="str">
        <f t="shared" si="144"/>
        <v/>
      </c>
      <c r="AA1548" s="246" t="str">
        <f t="shared" si="147"/>
        <v/>
      </c>
    </row>
    <row r="1549" spans="1:27" x14ac:dyDescent="0.25">
      <c r="A1549" s="248" t="str">
        <f t="shared" si="148"/>
        <v/>
      </c>
      <c r="B1549" s="249" t="str">
        <f t="shared" si="149"/>
        <v/>
      </c>
      <c r="C1549" s="250"/>
      <c r="D1549" s="251"/>
      <c r="E1549" s="241"/>
      <c r="F1549" s="252"/>
      <c r="G1549" s="252"/>
      <c r="H1549" s="253"/>
      <c r="I1549" s="250"/>
      <c r="J1549" s="250"/>
      <c r="K1549" s="270"/>
      <c r="L1549" s="250"/>
      <c r="M1549" s="250"/>
      <c r="N1549" s="553" t="str">
        <f>CONCATENATE(IF(OR(M1549=phu!$I$1,M1549=phu!$I$2,M1549=phu!$I$3),"Cam Thành Nam",""),IF(OR(M1549=phu!$I$4,M1549=phu!$I$5,M1549=phu!$I$6,M1549=phu!$I$7,M1549=phu!$I$8,M1549=phu!$I$9,M1549=phu!$I$10,M1549=phu!$I$11,M1549=phu!$I$12,M1549=phu!$I$13,M1549=phu!$I$14),"Cam Nghĩa",""),IF(OR(M1549=phu!$I$15,M1549=phu!$I$16,M1549=phu!$I$17,M1549=phu!$I$18,M1549=phu!$I$19,M1549=phu!$I$20,M1549=phu!$I$21),"Cam Phúc Bắc",""),IF(OR(M1549=phu!$I$22,M1549=phu!$I$23,M1549=phu!$I$24,M1549=phu!$I$25),"Cam Phúc Nam",""),IF(OR(M1549=phu!$I$26,M1549=phu!$I$27,M1549=phu!$I$28,M1549=phu!$I$29,M1549=phu!$I$30,M1549=phu!$I$31),"Cam Phú",""),IF(OR(M1549=phu!$I$32,M1549=phu!$I$33,M1549=phu!$I$34,M1549=phu!$I$35,M1549=phu!$I$36,M1549=phu!$I$37),"Cam Lộc",""),IF(OR(M1549=phu!$I$38,M1549=phu!$I$39,M1549=phu!$I$40,M1549=phu!$I$41,M1549=phu!$I$42,M1549=phu!$I$43,M1549=phu!$I$44),"Cam Thuận",""),IF(OR(M1549=phu!$I$45,M1549=phu!$I$46,M1549=phu!$I$47,M1549=phu!$I$48,M1549=phu!$I$49,M1549=phu!$I$50,M1549=phu!$I$51,M1549=phu!$I$52,M1549=phu!$I$53),"Cam Linh",""),IF(OR(M1549=phu!$I$54,M1549=phu!$I$55,M1549=phu!$I$56,M1549=phu!$I$57,M1549=phu!$I$58,M1549=phu!$I$59,M1549=phu!$I$60,M1549=phu!$I$61,M1549=phu!$I$62),"Cam Lợi",""),IF(OR(M1549=phu!$I$63,M1549=phu!$I$64,M1549=phu!$I$65,M1549=phu!$I$66,M1549=phu!$I$67,M1549=phu!$I$68,M1549=phu!$I$69,M1549=phu!$I$70,M1549=phu!$I$71),"Ba Ngòi",""),IF(OR(M1549=phu!$I$72,M1549=phu!$I$73,M1549=phu!$I$74,M1549=phu!$I$75,M1549=phu!$I$76,M1549=phu!$I$77,M1549=phu!$I$78),"Cam Phước Đông",""),IF(OR(M1549=phu!$I$79,M1549=phu!$I$80,M1549=phu!$I$81,M1549=phu!$I$82,M1549=phu!$I$83,M1549=phu!$I$84),"Cam Thịnh Đông",""),IF(OR(M1549=phu!$I$85,M1549=phu!$I$86,M1549=phu!$I$87,M1549=phu!$I$88),"Cam Thịnh Tây",""),IF(OR(M1549=phu!$I$89,M1549=phu!$I$90),"Cam Lập",""),IF(OR(M1549=phu!$I$91,M1549=phu!$I$92,M1549=phu!$I$93),"Cam Bình",""),IF(OR(M1549=phu!$I$94,M1549=phu!$I$95,M1549=phu!$I$96,M1549=phu!$I$97,M1549=phu!$I$98,M1549=phu!$I$99,M1549=phu!$I$100),"Huyện khác",""),IF(OR(M1549=phu!$I$101,M1549=phu!$I$102),"Tỉnh khác",""))</f>
        <v/>
      </c>
      <c r="O1549" s="814" t="str">
        <f t="shared" si="145"/>
        <v/>
      </c>
      <c r="P1549" s="254"/>
      <c r="Q1549" s="254"/>
      <c r="R1549" s="254"/>
      <c r="S1549" s="254"/>
      <c r="T1549" s="254"/>
      <c r="U1549" s="254"/>
      <c r="V1549" s="254"/>
      <c r="W1549" s="254"/>
      <c r="Y1549" s="246" t="str">
        <f t="shared" si="146"/>
        <v/>
      </c>
      <c r="Z1549" s="247" t="str">
        <f t="shared" si="144"/>
        <v/>
      </c>
      <c r="AA1549" s="246" t="str">
        <f t="shared" si="147"/>
        <v/>
      </c>
    </row>
    <row r="1550" spans="1:27" x14ac:dyDescent="0.25">
      <c r="A1550" s="248" t="str">
        <f t="shared" si="148"/>
        <v/>
      </c>
      <c r="B1550" s="249" t="str">
        <f t="shared" si="149"/>
        <v/>
      </c>
      <c r="C1550" s="250"/>
      <c r="D1550" s="251"/>
      <c r="E1550" s="241"/>
      <c r="F1550" s="252"/>
      <c r="G1550" s="252"/>
      <c r="H1550" s="253"/>
      <c r="I1550" s="250"/>
      <c r="J1550" s="250"/>
      <c r="K1550" s="270"/>
      <c r="L1550" s="250"/>
      <c r="M1550" s="250"/>
      <c r="N1550" s="553" t="str">
        <f>CONCATENATE(IF(OR(M1550=phu!$I$1,M1550=phu!$I$2,M1550=phu!$I$3),"Cam Thành Nam",""),IF(OR(M1550=phu!$I$4,M1550=phu!$I$5,M1550=phu!$I$6,M1550=phu!$I$7,M1550=phu!$I$8,M1550=phu!$I$9,M1550=phu!$I$10,M1550=phu!$I$11,M1550=phu!$I$12,M1550=phu!$I$13,M1550=phu!$I$14),"Cam Nghĩa",""),IF(OR(M1550=phu!$I$15,M1550=phu!$I$16,M1550=phu!$I$17,M1550=phu!$I$18,M1550=phu!$I$19,M1550=phu!$I$20,M1550=phu!$I$21),"Cam Phúc Bắc",""),IF(OR(M1550=phu!$I$22,M1550=phu!$I$23,M1550=phu!$I$24,M1550=phu!$I$25),"Cam Phúc Nam",""),IF(OR(M1550=phu!$I$26,M1550=phu!$I$27,M1550=phu!$I$28,M1550=phu!$I$29,M1550=phu!$I$30,M1550=phu!$I$31),"Cam Phú",""),IF(OR(M1550=phu!$I$32,M1550=phu!$I$33,M1550=phu!$I$34,M1550=phu!$I$35,M1550=phu!$I$36,M1550=phu!$I$37),"Cam Lộc",""),IF(OR(M1550=phu!$I$38,M1550=phu!$I$39,M1550=phu!$I$40,M1550=phu!$I$41,M1550=phu!$I$42,M1550=phu!$I$43,M1550=phu!$I$44),"Cam Thuận",""),IF(OR(M1550=phu!$I$45,M1550=phu!$I$46,M1550=phu!$I$47,M1550=phu!$I$48,M1550=phu!$I$49,M1550=phu!$I$50,M1550=phu!$I$51,M1550=phu!$I$52,M1550=phu!$I$53),"Cam Linh",""),IF(OR(M1550=phu!$I$54,M1550=phu!$I$55,M1550=phu!$I$56,M1550=phu!$I$57,M1550=phu!$I$58,M1550=phu!$I$59,M1550=phu!$I$60,M1550=phu!$I$61,M1550=phu!$I$62),"Cam Lợi",""),IF(OR(M1550=phu!$I$63,M1550=phu!$I$64,M1550=phu!$I$65,M1550=phu!$I$66,M1550=phu!$I$67,M1550=phu!$I$68,M1550=phu!$I$69,M1550=phu!$I$70,M1550=phu!$I$71),"Ba Ngòi",""),IF(OR(M1550=phu!$I$72,M1550=phu!$I$73,M1550=phu!$I$74,M1550=phu!$I$75,M1550=phu!$I$76,M1550=phu!$I$77,M1550=phu!$I$78),"Cam Phước Đông",""),IF(OR(M1550=phu!$I$79,M1550=phu!$I$80,M1550=phu!$I$81,M1550=phu!$I$82,M1550=phu!$I$83,M1550=phu!$I$84),"Cam Thịnh Đông",""),IF(OR(M1550=phu!$I$85,M1550=phu!$I$86,M1550=phu!$I$87,M1550=phu!$I$88),"Cam Thịnh Tây",""),IF(OR(M1550=phu!$I$89,M1550=phu!$I$90),"Cam Lập",""),IF(OR(M1550=phu!$I$91,M1550=phu!$I$92,M1550=phu!$I$93),"Cam Bình",""),IF(OR(M1550=phu!$I$94,M1550=phu!$I$95,M1550=phu!$I$96,M1550=phu!$I$97,M1550=phu!$I$98,M1550=phu!$I$99,M1550=phu!$I$100),"Huyện khác",""),IF(OR(M1550=phu!$I$101,M1550=phu!$I$102),"Tỉnh khác",""))</f>
        <v/>
      </c>
      <c r="O1550" s="814" t="str">
        <f t="shared" si="145"/>
        <v/>
      </c>
      <c r="P1550" s="254"/>
      <c r="Q1550" s="254"/>
      <c r="R1550" s="254"/>
      <c r="S1550" s="254"/>
      <c r="T1550" s="254"/>
      <c r="U1550" s="254"/>
      <c r="V1550" s="254"/>
      <c r="W1550" s="254"/>
      <c r="Y1550" s="246" t="str">
        <f t="shared" si="146"/>
        <v/>
      </c>
      <c r="Z1550" s="247" t="str">
        <f t="shared" si="144"/>
        <v/>
      </c>
      <c r="AA1550" s="246" t="str">
        <f t="shared" si="147"/>
        <v/>
      </c>
    </row>
    <row r="1551" spans="1:27" x14ac:dyDescent="0.25">
      <c r="A1551" s="248" t="str">
        <f t="shared" si="148"/>
        <v/>
      </c>
      <c r="B1551" s="249" t="str">
        <f t="shared" si="149"/>
        <v/>
      </c>
      <c r="C1551" s="250"/>
      <c r="D1551" s="251"/>
      <c r="E1551" s="241"/>
      <c r="F1551" s="252"/>
      <c r="G1551" s="252"/>
      <c r="H1551" s="253"/>
      <c r="I1551" s="250"/>
      <c r="J1551" s="250"/>
      <c r="K1551" s="270"/>
      <c r="L1551" s="250"/>
      <c r="M1551" s="250"/>
      <c r="N1551" s="553" t="str">
        <f>CONCATENATE(IF(OR(M1551=phu!$I$1,M1551=phu!$I$2,M1551=phu!$I$3),"Cam Thành Nam",""),IF(OR(M1551=phu!$I$4,M1551=phu!$I$5,M1551=phu!$I$6,M1551=phu!$I$7,M1551=phu!$I$8,M1551=phu!$I$9,M1551=phu!$I$10,M1551=phu!$I$11,M1551=phu!$I$12,M1551=phu!$I$13,M1551=phu!$I$14),"Cam Nghĩa",""),IF(OR(M1551=phu!$I$15,M1551=phu!$I$16,M1551=phu!$I$17,M1551=phu!$I$18,M1551=phu!$I$19,M1551=phu!$I$20,M1551=phu!$I$21),"Cam Phúc Bắc",""),IF(OR(M1551=phu!$I$22,M1551=phu!$I$23,M1551=phu!$I$24,M1551=phu!$I$25),"Cam Phúc Nam",""),IF(OR(M1551=phu!$I$26,M1551=phu!$I$27,M1551=phu!$I$28,M1551=phu!$I$29,M1551=phu!$I$30,M1551=phu!$I$31),"Cam Phú",""),IF(OR(M1551=phu!$I$32,M1551=phu!$I$33,M1551=phu!$I$34,M1551=phu!$I$35,M1551=phu!$I$36,M1551=phu!$I$37),"Cam Lộc",""),IF(OR(M1551=phu!$I$38,M1551=phu!$I$39,M1551=phu!$I$40,M1551=phu!$I$41,M1551=phu!$I$42,M1551=phu!$I$43,M1551=phu!$I$44),"Cam Thuận",""),IF(OR(M1551=phu!$I$45,M1551=phu!$I$46,M1551=phu!$I$47,M1551=phu!$I$48,M1551=phu!$I$49,M1551=phu!$I$50,M1551=phu!$I$51,M1551=phu!$I$52,M1551=phu!$I$53),"Cam Linh",""),IF(OR(M1551=phu!$I$54,M1551=phu!$I$55,M1551=phu!$I$56,M1551=phu!$I$57,M1551=phu!$I$58,M1551=phu!$I$59,M1551=phu!$I$60,M1551=phu!$I$61,M1551=phu!$I$62),"Cam Lợi",""),IF(OR(M1551=phu!$I$63,M1551=phu!$I$64,M1551=phu!$I$65,M1551=phu!$I$66,M1551=phu!$I$67,M1551=phu!$I$68,M1551=phu!$I$69,M1551=phu!$I$70,M1551=phu!$I$71),"Ba Ngòi",""),IF(OR(M1551=phu!$I$72,M1551=phu!$I$73,M1551=phu!$I$74,M1551=phu!$I$75,M1551=phu!$I$76,M1551=phu!$I$77,M1551=phu!$I$78),"Cam Phước Đông",""),IF(OR(M1551=phu!$I$79,M1551=phu!$I$80,M1551=phu!$I$81,M1551=phu!$I$82,M1551=phu!$I$83,M1551=phu!$I$84),"Cam Thịnh Đông",""),IF(OR(M1551=phu!$I$85,M1551=phu!$I$86,M1551=phu!$I$87,M1551=phu!$I$88),"Cam Thịnh Tây",""),IF(OR(M1551=phu!$I$89,M1551=phu!$I$90),"Cam Lập",""),IF(OR(M1551=phu!$I$91,M1551=phu!$I$92,M1551=phu!$I$93),"Cam Bình",""),IF(OR(M1551=phu!$I$94,M1551=phu!$I$95,M1551=phu!$I$96,M1551=phu!$I$97,M1551=phu!$I$98,M1551=phu!$I$99,M1551=phu!$I$100),"Huyện khác",""),IF(OR(M1551=phu!$I$101,M1551=phu!$I$102),"Tỉnh khác",""))</f>
        <v/>
      </c>
      <c r="O1551" s="814" t="str">
        <f t="shared" si="145"/>
        <v/>
      </c>
      <c r="P1551" s="254"/>
      <c r="Q1551" s="254"/>
      <c r="R1551" s="254"/>
      <c r="S1551" s="254"/>
      <c r="T1551" s="254"/>
      <c r="U1551" s="254"/>
      <c r="V1551" s="254"/>
      <c r="W1551" s="254"/>
      <c r="Y1551" s="246" t="str">
        <f t="shared" si="146"/>
        <v/>
      </c>
      <c r="Z1551" s="247" t="str">
        <f t="shared" si="144"/>
        <v/>
      </c>
      <c r="AA1551" s="246" t="str">
        <f t="shared" si="147"/>
        <v/>
      </c>
    </row>
    <row r="1552" spans="1:27" x14ac:dyDescent="0.25">
      <c r="A1552" s="248" t="str">
        <f t="shared" si="148"/>
        <v/>
      </c>
      <c r="B1552" s="249" t="str">
        <f t="shared" si="149"/>
        <v/>
      </c>
      <c r="C1552" s="250"/>
      <c r="D1552" s="251"/>
      <c r="E1552" s="241"/>
      <c r="F1552" s="252"/>
      <c r="G1552" s="252"/>
      <c r="H1552" s="253"/>
      <c r="I1552" s="250"/>
      <c r="J1552" s="250"/>
      <c r="K1552" s="270"/>
      <c r="L1552" s="250"/>
      <c r="M1552" s="250"/>
      <c r="N1552" s="553" t="str">
        <f>CONCATENATE(IF(OR(M1552=phu!$I$1,M1552=phu!$I$2,M1552=phu!$I$3),"Cam Thành Nam",""),IF(OR(M1552=phu!$I$4,M1552=phu!$I$5,M1552=phu!$I$6,M1552=phu!$I$7,M1552=phu!$I$8,M1552=phu!$I$9,M1552=phu!$I$10,M1552=phu!$I$11,M1552=phu!$I$12,M1552=phu!$I$13,M1552=phu!$I$14),"Cam Nghĩa",""),IF(OR(M1552=phu!$I$15,M1552=phu!$I$16,M1552=phu!$I$17,M1552=phu!$I$18,M1552=phu!$I$19,M1552=phu!$I$20,M1552=phu!$I$21),"Cam Phúc Bắc",""),IF(OR(M1552=phu!$I$22,M1552=phu!$I$23,M1552=phu!$I$24,M1552=phu!$I$25),"Cam Phúc Nam",""),IF(OR(M1552=phu!$I$26,M1552=phu!$I$27,M1552=phu!$I$28,M1552=phu!$I$29,M1552=phu!$I$30,M1552=phu!$I$31),"Cam Phú",""),IF(OR(M1552=phu!$I$32,M1552=phu!$I$33,M1552=phu!$I$34,M1552=phu!$I$35,M1552=phu!$I$36,M1552=phu!$I$37),"Cam Lộc",""),IF(OR(M1552=phu!$I$38,M1552=phu!$I$39,M1552=phu!$I$40,M1552=phu!$I$41,M1552=phu!$I$42,M1552=phu!$I$43,M1552=phu!$I$44),"Cam Thuận",""),IF(OR(M1552=phu!$I$45,M1552=phu!$I$46,M1552=phu!$I$47,M1552=phu!$I$48,M1552=phu!$I$49,M1552=phu!$I$50,M1552=phu!$I$51,M1552=phu!$I$52,M1552=phu!$I$53),"Cam Linh",""),IF(OR(M1552=phu!$I$54,M1552=phu!$I$55,M1552=phu!$I$56,M1552=phu!$I$57,M1552=phu!$I$58,M1552=phu!$I$59,M1552=phu!$I$60,M1552=phu!$I$61,M1552=phu!$I$62),"Cam Lợi",""),IF(OR(M1552=phu!$I$63,M1552=phu!$I$64,M1552=phu!$I$65,M1552=phu!$I$66,M1552=phu!$I$67,M1552=phu!$I$68,M1552=phu!$I$69,M1552=phu!$I$70,M1552=phu!$I$71),"Ba Ngòi",""),IF(OR(M1552=phu!$I$72,M1552=phu!$I$73,M1552=phu!$I$74,M1552=phu!$I$75,M1552=phu!$I$76,M1552=phu!$I$77,M1552=phu!$I$78),"Cam Phước Đông",""),IF(OR(M1552=phu!$I$79,M1552=phu!$I$80,M1552=phu!$I$81,M1552=phu!$I$82,M1552=phu!$I$83,M1552=phu!$I$84),"Cam Thịnh Đông",""),IF(OR(M1552=phu!$I$85,M1552=phu!$I$86,M1552=phu!$I$87,M1552=phu!$I$88),"Cam Thịnh Tây",""),IF(OR(M1552=phu!$I$89,M1552=phu!$I$90),"Cam Lập",""),IF(OR(M1552=phu!$I$91,M1552=phu!$I$92,M1552=phu!$I$93),"Cam Bình",""),IF(OR(M1552=phu!$I$94,M1552=phu!$I$95,M1552=phu!$I$96,M1552=phu!$I$97,M1552=phu!$I$98,M1552=phu!$I$99,M1552=phu!$I$100),"Huyện khác",""),IF(OR(M1552=phu!$I$101,M1552=phu!$I$102),"Tỉnh khác",""))</f>
        <v/>
      </c>
      <c r="O1552" s="814" t="str">
        <f t="shared" si="145"/>
        <v/>
      </c>
      <c r="P1552" s="254"/>
      <c r="Q1552" s="254"/>
      <c r="R1552" s="254"/>
      <c r="S1552" s="254"/>
      <c r="T1552" s="254"/>
      <c r="U1552" s="254"/>
      <c r="V1552" s="254"/>
      <c r="W1552" s="254"/>
      <c r="Y1552" s="246" t="str">
        <f t="shared" si="146"/>
        <v/>
      </c>
      <c r="Z1552" s="247" t="str">
        <f t="shared" si="144"/>
        <v/>
      </c>
      <c r="AA1552" s="246" t="str">
        <f t="shared" si="147"/>
        <v/>
      </c>
    </row>
    <row r="1553" spans="1:27" x14ac:dyDescent="0.25">
      <c r="A1553" s="248" t="str">
        <f t="shared" si="148"/>
        <v/>
      </c>
      <c r="B1553" s="249" t="str">
        <f t="shared" si="149"/>
        <v/>
      </c>
      <c r="C1553" s="250"/>
      <c r="D1553" s="251"/>
      <c r="E1553" s="241"/>
      <c r="F1553" s="252"/>
      <c r="G1553" s="252"/>
      <c r="H1553" s="253"/>
      <c r="I1553" s="250"/>
      <c r="J1553" s="250"/>
      <c r="K1553" s="270"/>
      <c r="L1553" s="250"/>
      <c r="M1553" s="250"/>
      <c r="N1553" s="553" t="str">
        <f>CONCATENATE(IF(OR(M1553=phu!$I$1,M1553=phu!$I$2,M1553=phu!$I$3),"Cam Thành Nam",""),IF(OR(M1553=phu!$I$4,M1553=phu!$I$5,M1553=phu!$I$6,M1553=phu!$I$7,M1553=phu!$I$8,M1553=phu!$I$9,M1553=phu!$I$10,M1553=phu!$I$11,M1553=phu!$I$12,M1553=phu!$I$13,M1553=phu!$I$14),"Cam Nghĩa",""),IF(OR(M1553=phu!$I$15,M1553=phu!$I$16,M1553=phu!$I$17,M1553=phu!$I$18,M1553=phu!$I$19,M1553=phu!$I$20,M1553=phu!$I$21),"Cam Phúc Bắc",""),IF(OR(M1553=phu!$I$22,M1553=phu!$I$23,M1553=phu!$I$24,M1553=phu!$I$25),"Cam Phúc Nam",""),IF(OR(M1553=phu!$I$26,M1553=phu!$I$27,M1553=phu!$I$28,M1553=phu!$I$29,M1553=phu!$I$30,M1553=phu!$I$31),"Cam Phú",""),IF(OR(M1553=phu!$I$32,M1553=phu!$I$33,M1553=phu!$I$34,M1553=phu!$I$35,M1553=phu!$I$36,M1553=phu!$I$37),"Cam Lộc",""),IF(OR(M1553=phu!$I$38,M1553=phu!$I$39,M1553=phu!$I$40,M1553=phu!$I$41,M1553=phu!$I$42,M1553=phu!$I$43,M1553=phu!$I$44),"Cam Thuận",""),IF(OR(M1553=phu!$I$45,M1553=phu!$I$46,M1553=phu!$I$47,M1553=phu!$I$48,M1553=phu!$I$49,M1553=phu!$I$50,M1553=phu!$I$51,M1553=phu!$I$52,M1553=phu!$I$53),"Cam Linh",""),IF(OR(M1553=phu!$I$54,M1553=phu!$I$55,M1553=phu!$I$56,M1553=phu!$I$57,M1553=phu!$I$58,M1553=phu!$I$59,M1553=phu!$I$60,M1553=phu!$I$61,M1553=phu!$I$62),"Cam Lợi",""),IF(OR(M1553=phu!$I$63,M1553=phu!$I$64,M1553=phu!$I$65,M1553=phu!$I$66,M1553=phu!$I$67,M1553=phu!$I$68,M1553=phu!$I$69,M1553=phu!$I$70,M1553=phu!$I$71),"Ba Ngòi",""),IF(OR(M1553=phu!$I$72,M1553=phu!$I$73,M1553=phu!$I$74,M1553=phu!$I$75,M1553=phu!$I$76,M1553=phu!$I$77,M1553=phu!$I$78),"Cam Phước Đông",""),IF(OR(M1553=phu!$I$79,M1553=phu!$I$80,M1553=phu!$I$81,M1553=phu!$I$82,M1553=phu!$I$83,M1553=phu!$I$84),"Cam Thịnh Đông",""),IF(OR(M1553=phu!$I$85,M1553=phu!$I$86,M1553=phu!$I$87,M1553=phu!$I$88),"Cam Thịnh Tây",""),IF(OR(M1553=phu!$I$89,M1553=phu!$I$90),"Cam Lập",""),IF(OR(M1553=phu!$I$91,M1553=phu!$I$92,M1553=phu!$I$93),"Cam Bình",""),IF(OR(M1553=phu!$I$94,M1553=phu!$I$95,M1553=phu!$I$96,M1553=phu!$I$97,M1553=phu!$I$98,M1553=phu!$I$99,M1553=phu!$I$100),"Huyện khác",""),IF(OR(M1553=phu!$I$101,M1553=phu!$I$102),"Tỉnh khác",""))</f>
        <v/>
      </c>
      <c r="O1553" s="814" t="str">
        <f t="shared" si="145"/>
        <v/>
      </c>
      <c r="P1553" s="254"/>
      <c r="Q1553" s="254"/>
      <c r="R1553" s="254"/>
      <c r="S1553" s="254"/>
      <c r="T1553" s="254"/>
      <c r="U1553" s="254"/>
      <c r="V1553" s="254"/>
      <c r="W1553" s="254"/>
      <c r="Y1553" s="246" t="str">
        <f t="shared" si="146"/>
        <v/>
      </c>
      <c r="Z1553" s="247" t="str">
        <f t="shared" si="144"/>
        <v/>
      </c>
      <c r="AA1553" s="246" t="str">
        <f t="shared" si="147"/>
        <v/>
      </c>
    </row>
    <row r="1554" spans="1:27" x14ac:dyDescent="0.25">
      <c r="A1554" s="248" t="str">
        <f t="shared" si="148"/>
        <v/>
      </c>
      <c r="B1554" s="249" t="str">
        <f t="shared" si="149"/>
        <v/>
      </c>
      <c r="C1554" s="250"/>
      <c r="D1554" s="251"/>
      <c r="E1554" s="241"/>
      <c r="F1554" s="252"/>
      <c r="G1554" s="252"/>
      <c r="H1554" s="253"/>
      <c r="I1554" s="250"/>
      <c r="J1554" s="250"/>
      <c r="K1554" s="270"/>
      <c r="L1554" s="250"/>
      <c r="M1554" s="250"/>
      <c r="N1554" s="553" t="str">
        <f>CONCATENATE(IF(OR(M1554=phu!$I$1,M1554=phu!$I$2,M1554=phu!$I$3),"Cam Thành Nam",""),IF(OR(M1554=phu!$I$4,M1554=phu!$I$5,M1554=phu!$I$6,M1554=phu!$I$7,M1554=phu!$I$8,M1554=phu!$I$9,M1554=phu!$I$10,M1554=phu!$I$11,M1554=phu!$I$12,M1554=phu!$I$13,M1554=phu!$I$14),"Cam Nghĩa",""),IF(OR(M1554=phu!$I$15,M1554=phu!$I$16,M1554=phu!$I$17,M1554=phu!$I$18,M1554=phu!$I$19,M1554=phu!$I$20,M1554=phu!$I$21),"Cam Phúc Bắc",""),IF(OR(M1554=phu!$I$22,M1554=phu!$I$23,M1554=phu!$I$24,M1554=phu!$I$25),"Cam Phúc Nam",""),IF(OR(M1554=phu!$I$26,M1554=phu!$I$27,M1554=phu!$I$28,M1554=phu!$I$29,M1554=phu!$I$30,M1554=phu!$I$31),"Cam Phú",""),IF(OR(M1554=phu!$I$32,M1554=phu!$I$33,M1554=phu!$I$34,M1554=phu!$I$35,M1554=phu!$I$36,M1554=phu!$I$37),"Cam Lộc",""),IF(OR(M1554=phu!$I$38,M1554=phu!$I$39,M1554=phu!$I$40,M1554=phu!$I$41,M1554=phu!$I$42,M1554=phu!$I$43,M1554=phu!$I$44),"Cam Thuận",""),IF(OR(M1554=phu!$I$45,M1554=phu!$I$46,M1554=phu!$I$47,M1554=phu!$I$48,M1554=phu!$I$49,M1554=phu!$I$50,M1554=phu!$I$51,M1554=phu!$I$52,M1554=phu!$I$53),"Cam Linh",""),IF(OR(M1554=phu!$I$54,M1554=phu!$I$55,M1554=phu!$I$56,M1554=phu!$I$57,M1554=phu!$I$58,M1554=phu!$I$59,M1554=phu!$I$60,M1554=phu!$I$61,M1554=phu!$I$62),"Cam Lợi",""),IF(OR(M1554=phu!$I$63,M1554=phu!$I$64,M1554=phu!$I$65,M1554=phu!$I$66,M1554=phu!$I$67,M1554=phu!$I$68,M1554=phu!$I$69,M1554=phu!$I$70,M1554=phu!$I$71),"Ba Ngòi",""),IF(OR(M1554=phu!$I$72,M1554=phu!$I$73,M1554=phu!$I$74,M1554=phu!$I$75,M1554=phu!$I$76,M1554=phu!$I$77,M1554=phu!$I$78),"Cam Phước Đông",""),IF(OR(M1554=phu!$I$79,M1554=phu!$I$80,M1554=phu!$I$81,M1554=phu!$I$82,M1554=phu!$I$83,M1554=phu!$I$84),"Cam Thịnh Đông",""),IF(OR(M1554=phu!$I$85,M1554=phu!$I$86,M1554=phu!$I$87,M1554=phu!$I$88),"Cam Thịnh Tây",""),IF(OR(M1554=phu!$I$89,M1554=phu!$I$90),"Cam Lập",""),IF(OR(M1554=phu!$I$91,M1554=phu!$I$92,M1554=phu!$I$93),"Cam Bình",""),IF(OR(M1554=phu!$I$94,M1554=phu!$I$95,M1554=phu!$I$96,M1554=phu!$I$97,M1554=phu!$I$98,M1554=phu!$I$99,M1554=phu!$I$100),"Huyện khác",""),IF(OR(M1554=phu!$I$101,M1554=phu!$I$102),"Tỉnh khác",""))</f>
        <v/>
      </c>
      <c r="O1554" s="814" t="str">
        <f t="shared" si="145"/>
        <v/>
      </c>
      <c r="P1554" s="254"/>
      <c r="Q1554" s="254"/>
      <c r="R1554" s="254"/>
      <c r="S1554" s="254"/>
      <c r="T1554" s="254"/>
      <c r="U1554" s="254"/>
      <c r="V1554" s="254"/>
      <c r="W1554" s="254"/>
      <c r="Y1554" s="246" t="str">
        <f t="shared" si="146"/>
        <v/>
      </c>
      <c r="Z1554" s="247" t="str">
        <f t="shared" si="144"/>
        <v/>
      </c>
      <c r="AA1554" s="246" t="str">
        <f t="shared" si="147"/>
        <v/>
      </c>
    </row>
    <row r="1555" spans="1:27" x14ac:dyDescent="0.25">
      <c r="A1555" s="248" t="str">
        <f t="shared" si="148"/>
        <v/>
      </c>
      <c r="B1555" s="249" t="str">
        <f t="shared" si="149"/>
        <v/>
      </c>
      <c r="C1555" s="250"/>
      <c r="D1555" s="251"/>
      <c r="E1555" s="241"/>
      <c r="F1555" s="252"/>
      <c r="G1555" s="252"/>
      <c r="H1555" s="253"/>
      <c r="I1555" s="250"/>
      <c r="J1555" s="250"/>
      <c r="K1555" s="270"/>
      <c r="L1555" s="250"/>
      <c r="M1555" s="250"/>
      <c r="N1555" s="553" t="str">
        <f>CONCATENATE(IF(OR(M1555=phu!$I$1,M1555=phu!$I$2,M1555=phu!$I$3),"Cam Thành Nam",""),IF(OR(M1555=phu!$I$4,M1555=phu!$I$5,M1555=phu!$I$6,M1555=phu!$I$7,M1555=phu!$I$8,M1555=phu!$I$9,M1555=phu!$I$10,M1555=phu!$I$11,M1555=phu!$I$12,M1555=phu!$I$13,M1555=phu!$I$14),"Cam Nghĩa",""),IF(OR(M1555=phu!$I$15,M1555=phu!$I$16,M1555=phu!$I$17,M1555=phu!$I$18,M1555=phu!$I$19,M1555=phu!$I$20,M1555=phu!$I$21),"Cam Phúc Bắc",""),IF(OR(M1555=phu!$I$22,M1555=phu!$I$23,M1555=phu!$I$24,M1555=phu!$I$25),"Cam Phúc Nam",""),IF(OR(M1555=phu!$I$26,M1555=phu!$I$27,M1555=phu!$I$28,M1555=phu!$I$29,M1555=phu!$I$30,M1555=phu!$I$31),"Cam Phú",""),IF(OR(M1555=phu!$I$32,M1555=phu!$I$33,M1555=phu!$I$34,M1555=phu!$I$35,M1555=phu!$I$36,M1555=phu!$I$37),"Cam Lộc",""),IF(OR(M1555=phu!$I$38,M1555=phu!$I$39,M1555=phu!$I$40,M1555=phu!$I$41,M1555=phu!$I$42,M1555=phu!$I$43,M1555=phu!$I$44),"Cam Thuận",""),IF(OR(M1555=phu!$I$45,M1555=phu!$I$46,M1555=phu!$I$47,M1555=phu!$I$48,M1555=phu!$I$49,M1555=phu!$I$50,M1555=phu!$I$51,M1555=phu!$I$52,M1555=phu!$I$53),"Cam Linh",""),IF(OR(M1555=phu!$I$54,M1555=phu!$I$55,M1555=phu!$I$56,M1555=phu!$I$57,M1555=phu!$I$58,M1555=phu!$I$59,M1555=phu!$I$60,M1555=phu!$I$61,M1555=phu!$I$62),"Cam Lợi",""),IF(OR(M1555=phu!$I$63,M1555=phu!$I$64,M1555=phu!$I$65,M1555=phu!$I$66,M1555=phu!$I$67,M1555=phu!$I$68,M1555=phu!$I$69,M1555=phu!$I$70,M1555=phu!$I$71),"Ba Ngòi",""),IF(OR(M1555=phu!$I$72,M1555=phu!$I$73,M1555=phu!$I$74,M1555=phu!$I$75,M1555=phu!$I$76,M1555=phu!$I$77,M1555=phu!$I$78),"Cam Phước Đông",""),IF(OR(M1555=phu!$I$79,M1555=phu!$I$80,M1555=phu!$I$81,M1555=phu!$I$82,M1555=phu!$I$83,M1555=phu!$I$84),"Cam Thịnh Đông",""),IF(OR(M1555=phu!$I$85,M1555=phu!$I$86,M1555=phu!$I$87,M1555=phu!$I$88),"Cam Thịnh Tây",""),IF(OR(M1555=phu!$I$89,M1555=phu!$I$90),"Cam Lập",""),IF(OR(M1555=phu!$I$91,M1555=phu!$I$92,M1555=phu!$I$93),"Cam Bình",""),IF(OR(M1555=phu!$I$94,M1555=phu!$I$95,M1555=phu!$I$96,M1555=phu!$I$97,M1555=phu!$I$98,M1555=phu!$I$99,M1555=phu!$I$100),"Huyện khác",""),IF(OR(M1555=phu!$I$101,M1555=phu!$I$102),"Tỉnh khác",""))</f>
        <v/>
      </c>
      <c r="O1555" s="814" t="str">
        <f t="shared" si="145"/>
        <v/>
      </c>
      <c r="P1555" s="254"/>
      <c r="Q1555" s="254"/>
      <c r="R1555" s="254"/>
      <c r="S1555" s="254"/>
      <c r="T1555" s="254"/>
      <c r="U1555" s="254"/>
      <c r="V1555" s="254"/>
      <c r="W1555" s="254"/>
      <c r="Y1555" s="246" t="str">
        <f t="shared" si="146"/>
        <v/>
      </c>
      <c r="Z1555" s="247" t="str">
        <f t="shared" si="144"/>
        <v/>
      </c>
      <c r="AA1555" s="246" t="str">
        <f t="shared" si="147"/>
        <v/>
      </c>
    </row>
    <row r="1556" spans="1:27" x14ac:dyDescent="0.25">
      <c r="A1556" s="248" t="str">
        <f t="shared" si="148"/>
        <v/>
      </c>
      <c r="B1556" s="249" t="str">
        <f t="shared" si="149"/>
        <v/>
      </c>
      <c r="C1556" s="250"/>
      <c r="D1556" s="251"/>
      <c r="E1556" s="241"/>
      <c r="F1556" s="252"/>
      <c r="G1556" s="252"/>
      <c r="H1556" s="253"/>
      <c r="I1556" s="250"/>
      <c r="J1556" s="250"/>
      <c r="K1556" s="270"/>
      <c r="L1556" s="250"/>
      <c r="M1556" s="250"/>
      <c r="N1556" s="553" t="str">
        <f>CONCATENATE(IF(OR(M1556=phu!$I$1,M1556=phu!$I$2,M1556=phu!$I$3),"Cam Thành Nam",""),IF(OR(M1556=phu!$I$4,M1556=phu!$I$5,M1556=phu!$I$6,M1556=phu!$I$7,M1556=phu!$I$8,M1556=phu!$I$9,M1556=phu!$I$10,M1556=phu!$I$11,M1556=phu!$I$12,M1556=phu!$I$13,M1556=phu!$I$14),"Cam Nghĩa",""),IF(OR(M1556=phu!$I$15,M1556=phu!$I$16,M1556=phu!$I$17,M1556=phu!$I$18,M1556=phu!$I$19,M1556=phu!$I$20,M1556=phu!$I$21),"Cam Phúc Bắc",""),IF(OR(M1556=phu!$I$22,M1556=phu!$I$23,M1556=phu!$I$24,M1556=phu!$I$25),"Cam Phúc Nam",""),IF(OR(M1556=phu!$I$26,M1556=phu!$I$27,M1556=phu!$I$28,M1556=phu!$I$29,M1556=phu!$I$30,M1556=phu!$I$31),"Cam Phú",""),IF(OR(M1556=phu!$I$32,M1556=phu!$I$33,M1556=phu!$I$34,M1556=phu!$I$35,M1556=phu!$I$36,M1556=phu!$I$37),"Cam Lộc",""),IF(OR(M1556=phu!$I$38,M1556=phu!$I$39,M1556=phu!$I$40,M1556=phu!$I$41,M1556=phu!$I$42,M1556=phu!$I$43,M1556=phu!$I$44),"Cam Thuận",""),IF(OR(M1556=phu!$I$45,M1556=phu!$I$46,M1556=phu!$I$47,M1556=phu!$I$48,M1556=phu!$I$49,M1556=phu!$I$50,M1556=phu!$I$51,M1556=phu!$I$52,M1556=phu!$I$53),"Cam Linh",""),IF(OR(M1556=phu!$I$54,M1556=phu!$I$55,M1556=phu!$I$56,M1556=phu!$I$57,M1556=phu!$I$58,M1556=phu!$I$59,M1556=phu!$I$60,M1556=phu!$I$61,M1556=phu!$I$62),"Cam Lợi",""),IF(OR(M1556=phu!$I$63,M1556=phu!$I$64,M1556=phu!$I$65,M1556=phu!$I$66,M1556=phu!$I$67,M1556=phu!$I$68,M1556=phu!$I$69,M1556=phu!$I$70,M1556=phu!$I$71),"Ba Ngòi",""),IF(OR(M1556=phu!$I$72,M1556=phu!$I$73,M1556=phu!$I$74,M1556=phu!$I$75,M1556=phu!$I$76,M1556=phu!$I$77,M1556=phu!$I$78),"Cam Phước Đông",""),IF(OR(M1556=phu!$I$79,M1556=phu!$I$80,M1556=phu!$I$81,M1556=phu!$I$82,M1556=phu!$I$83,M1556=phu!$I$84),"Cam Thịnh Đông",""),IF(OR(M1556=phu!$I$85,M1556=phu!$I$86,M1556=phu!$I$87,M1556=phu!$I$88),"Cam Thịnh Tây",""),IF(OR(M1556=phu!$I$89,M1556=phu!$I$90),"Cam Lập",""),IF(OR(M1556=phu!$I$91,M1556=phu!$I$92,M1556=phu!$I$93),"Cam Bình",""),IF(OR(M1556=phu!$I$94,M1556=phu!$I$95,M1556=phu!$I$96,M1556=phu!$I$97,M1556=phu!$I$98,M1556=phu!$I$99,M1556=phu!$I$100),"Huyện khác",""),IF(OR(M1556=phu!$I$101,M1556=phu!$I$102),"Tỉnh khác",""))</f>
        <v/>
      </c>
      <c r="O1556" s="814" t="str">
        <f t="shared" si="145"/>
        <v/>
      </c>
      <c r="P1556" s="254"/>
      <c r="Q1556" s="254"/>
      <c r="R1556" s="254"/>
      <c r="S1556" s="254"/>
      <c r="T1556" s="254"/>
      <c r="U1556" s="254"/>
      <c r="V1556" s="254"/>
      <c r="W1556" s="254"/>
      <c r="Y1556" s="246" t="str">
        <f t="shared" si="146"/>
        <v/>
      </c>
      <c r="Z1556" s="247" t="str">
        <f t="shared" si="144"/>
        <v/>
      </c>
      <c r="AA1556" s="246" t="str">
        <f t="shared" si="147"/>
        <v/>
      </c>
    </row>
    <row r="1557" spans="1:27" x14ac:dyDescent="0.25">
      <c r="A1557" s="248" t="str">
        <f t="shared" si="148"/>
        <v/>
      </c>
      <c r="B1557" s="249" t="str">
        <f t="shared" si="149"/>
        <v/>
      </c>
      <c r="C1557" s="250"/>
      <c r="D1557" s="251"/>
      <c r="E1557" s="241"/>
      <c r="F1557" s="252"/>
      <c r="G1557" s="252"/>
      <c r="H1557" s="253"/>
      <c r="I1557" s="250"/>
      <c r="J1557" s="250"/>
      <c r="K1557" s="270"/>
      <c r="L1557" s="250"/>
      <c r="M1557" s="250"/>
      <c r="N1557" s="553" t="str">
        <f>CONCATENATE(IF(OR(M1557=phu!$I$1,M1557=phu!$I$2,M1557=phu!$I$3),"Cam Thành Nam",""),IF(OR(M1557=phu!$I$4,M1557=phu!$I$5,M1557=phu!$I$6,M1557=phu!$I$7,M1557=phu!$I$8,M1557=phu!$I$9,M1557=phu!$I$10,M1557=phu!$I$11,M1557=phu!$I$12,M1557=phu!$I$13,M1557=phu!$I$14),"Cam Nghĩa",""),IF(OR(M1557=phu!$I$15,M1557=phu!$I$16,M1557=phu!$I$17,M1557=phu!$I$18,M1557=phu!$I$19,M1557=phu!$I$20,M1557=phu!$I$21),"Cam Phúc Bắc",""),IF(OR(M1557=phu!$I$22,M1557=phu!$I$23,M1557=phu!$I$24,M1557=phu!$I$25),"Cam Phúc Nam",""),IF(OR(M1557=phu!$I$26,M1557=phu!$I$27,M1557=phu!$I$28,M1557=phu!$I$29,M1557=phu!$I$30,M1557=phu!$I$31),"Cam Phú",""),IF(OR(M1557=phu!$I$32,M1557=phu!$I$33,M1557=phu!$I$34,M1557=phu!$I$35,M1557=phu!$I$36,M1557=phu!$I$37),"Cam Lộc",""),IF(OR(M1557=phu!$I$38,M1557=phu!$I$39,M1557=phu!$I$40,M1557=phu!$I$41,M1557=phu!$I$42,M1557=phu!$I$43,M1557=phu!$I$44),"Cam Thuận",""),IF(OR(M1557=phu!$I$45,M1557=phu!$I$46,M1557=phu!$I$47,M1557=phu!$I$48,M1557=phu!$I$49,M1557=phu!$I$50,M1557=phu!$I$51,M1557=phu!$I$52,M1557=phu!$I$53),"Cam Linh",""),IF(OR(M1557=phu!$I$54,M1557=phu!$I$55,M1557=phu!$I$56,M1557=phu!$I$57,M1557=phu!$I$58,M1557=phu!$I$59,M1557=phu!$I$60,M1557=phu!$I$61,M1557=phu!$I$62),"Cam Lợi",""),IF(OR(M1557=phu!$I$63,M1557=phu!$I$64,M1557=phu!$I$65,M1557=phu!$I$66,M1557=phu!$I$67,M1557=phu!$I$68,M1557=phu!$I$69,M1557=phu!$I$70,M1557=phu!$I$71),"Ba Ngòi",""),IF(OR(M1557=phu!$I$72,M1557=phu!$I$73,M1557=phu!$I$74,M1557=phu!$I$75,M1557=phu!$I$76,M1557=phu!$I$77,M1557=phu!$I$78),"Cam Phước Đông",""),IF(OR(M1557=phu!$I$79,M1557=phu!$I$80,M1557=phu!$I$81,M1557=phu!$I$82,M1557=phu!$I$83,M1557=phu!$I$84),"Cam Thịnh Đông",""),IF(OR(M1557=phu!$I$85,M1557=phu!$I$86,M1557=phu!$I$87,M1557=phu!$I$88),"Cam Thịnh Tây",""),IF(OR(M1557=phu!$I$89,M1557=phu!$I$90),"Cam Lập",""),IF(OR(M1557=phu!$I$91,M1557=phu!$I$92,M1557=phu!$I$93),"Cam Bình",""),IF(OR(M1557=phu!$I$94,M1557=phu!$I$95,M1557=phu!$I$96,M1557=phu!$I$97,M1557=phu!$I$98,M1557=phu!$I$99,M1557=phu!$I$100),"Huyện khác",""),IF(OR(M1557=phu!$I$101,M1557=phu!$I$102),"Tỉnh khác",""))</f>
        <v/>
      </c>
      <c r="O1557" s="814" t="str">
        <f t="shared" si="145"/>
        <v/>
      </c>
      <c r="P1557" s="254"/>
      <c r="Q1557" s="254"/>
      <c r="R1557" s="254"/>
      <c r="S1557" s="254"/>
      <c r="T1557" s="254"/>
      <c r="U1557" s="254"/>
      <c r="V1557" s="254"/>
      <c r="W1557" s="254"/>
      <c r="Y1557" s="246" t="str">
        <f t="shared" si="146"/>
        <v/>
      </c>
      <c r="Z1557" s="247" t="str">
        <f t="shared" si="144"/>
        <v/>
      </c>
      <c r="AA1557" s="246" t="str">
        <f t="shared" si="147"/>
        <v/>
      </c>
    </row>
    <row r="1558" spans="1:27" x14ac:dyDescent="0.25">
      <c r="A1558" s="248" t="str">
        <f t="shared" si="148"/>
        <v/>
      </c>
      <c r="B1558" s="249" t="str">
        <f t="shared" si="149"/>
        <v/>
      </c>
      <c r="C1558" s="250"/>
      <c r="D1558" s="251"/>
      <c r="E1558" s="241"/>
      <c r="F1558" s="252"/>
      <c r="G1558" s="252"/>
      <c r="H1558" s="253"/>
      <c r="I1558" s="250"/>
      <c r="J1558" s="250"/>
      <c r="K1558" s="270"/>
      <c r="L1558" s="250"/>
      <c r="M1558" s="250"/>
      <c r="N1558" s="553" t="str">
        <f>CONCATENATE(IF(OR(M1558=phu!$I$1,M1558=phu!$I$2,M1558=phu!$I$3),"Cam Thành Nam",""),IF(OR(M1558=phu!$I$4,M1558=phu!$I$5,M1558=phu!$I$6,M1558=phu!$I$7,M1558=phu!$I$8,M1558=phu!$I$9,M1558=phu!$I$10,M1558=phu!$I$11,M1558=phu!$I$12,M1558=phu!$I$13,M1558=phu!$I$14),"Cam Nghĩa",""),IF(OR(M1558=phu!$I$15,M1558=phu!$I$16,M1558=phu!$I$17,M1558=phu!$I$18,M1558=phu!$I$19,M1558=phu!$I$20,M1558=phu!$I$21),"Cam Phúc Bắc",""),IF(OR(M1558=phu!$I$22,M1558=phu!$I$23,M1558=phu!$I$24,M1558=phu!$I$25),"Cam Phúc Nam",""),IF(OR(M1558=phu!$I$26,M1558=phu!$I$27,M1558=phu!$I$28,M1558=phu!$I$29,M1558=phu!$I$30,M1558=phu!$I$31),"Cam Phú",""),IF(OR(M1558=phu!$I$32,M1558=phu!$I$33,M1558=phu!$I$34,M1558=phu!$I$35,M1558=phu!$I$36,M1558=phu!$I$37),"Cam Lộc",""),IF(OR(M1558=phu!$I$38,M1558=phu!$I$39,M1558=phu!$I$40,M1558=phu!$I$41,M1558=phu!$I$42,M1558=phu!$I$43,M1558=phu!$I$44),"Cam Thuận",""),IF(OR(M1558=phu!$I$45,M1558=phu!$I$46,M1558=phu!$I$47,M1558=phu!$I$48,M1558=phu!$I$49,M1558=phu!$I$50,M1558=phu!$I$51,M1558=phu!$I$52,M1558=phu!$I$53),"Cam Linh",""),IF(OR(M1558=phu!$I$54,M1558=phu!$I$55,M1558=phu!$I$56,M1558=phu!$I$57,M1558=phu!$I$58,M1558=phu!$I$59,M1558=phu!$I$60,M1558=phu!$I$61,M1558=phu!$I$62),"Cam Lợi",""),IF(OR(M1558=phu!$I$63,M1558=phu!$I$64,M1558=phu!$I$65,M1558=phu!$I$66,M1558=phu!$I$67,M1558=phu!$I$68,M1558=phu!$I$69,M1558=phu!$I$70,M1558=phu!$I$71),"Ba Ngòi",""),IF(OR(M1558=phu!$I$72,M1558=phu!$I$73,M1558=phu!$I$74,M1558=phu!$I$75,M1558=phu!$I$76,M1558=phu!$I$77,M1558=phu!$I$78),"Cam Phước Đông",""),IF(OR(M1558=phu!$I$79,M1558=phu!$I$80,M1558=phu!$I$81,M1558=phu!$I$82,M1558=phu!$I$83,M1558=phu!$I$84),"Cam Thịnh Đông",""),IF(OR(M1558=phu!$I$85,M1558=phu!$I$86,M1558=phu!$I$87,M1558=phu!$I$88),"Cam Thịnh Tây",""),IF(OR(M1558=phu!$I$89,M1558=phu!$I$90),"Cam Lập",""),IF(OR(M1558=phu!$I$91,M1558=phu!$I$92,M1558=phu!$I$93),"Cam Bình",""),IF(OR(M1558=phu!$I$94,M1558=phu!$I$95,M1558=phu!$I$96,M1558=phu!$I$97,M1558=phu!$I$98,M1558=phu!$I$99,M1558=phu!$I$100),"Huyện khác",""),IF(OR(M1558=phu!$I$101,M1558=phu!$I$102),"Tỉnh khác",""))</f>
        <v/>
      </c>
      <c r="O1558" s="814" t="str">
        <f t="shared" si="145"/>
        <v/>
      </c>
      <c r="P1558" s="254"/>
      <c r="Q1558" s="254"/>
      <c r="R1558" s="254"/>
      <c r="S1558" s="254"/>
      <c r="T1558" s="254"/>
      <c r="U1558" s="254"/>
      <c r="V1558" s="254"/>
      <c r="W1558" s="254"/>
      <c r="Y1558" s="246" t="str">
        <f t="shared" si="146"/>
        <v/>
      </c>
      <c r="Z1558" s="247" t="str">
        <f t="shared" si="144"/>
        <v/>
      </c>
      <c r="AA1558" s="246" t="str">
        <f t="shared" si="147"/>
        <v/>
      </c>
    </row>
    <row r="1559" spans="1:27" x14ac:dyDescent="0.25">
      <c r="A1559" s="248" t="str">
        <f t="shared" si="148"/>
        <v/>
      </c>
      <c r="B1559" s="249" t="str">
        <f t="shared" si="149"/>
        <v/>
      </c>
      <c r="C1559" s="250"/>
      <c r="D1559" s="251"/>
      <c r="E1559" s="241"/>
      <c r="F1559" s="252"/>
      <c r="G1559" s="252"/>
      <c r="H1559" s="253"/>
      <c r="I1559" s="250"/>
      <c r="J1559" s="250"/>
      <c r="K1559" s="270"/>
      <c r="L1559" s="250"/>
      <c r="M1559" s="250"/>
      <c r="N1559" s="553" t="str">
        <f>CONCATENATE(IF(OR(M1559=phu!$I$1,M1559=phu!$I$2,M1559=phu!$I$3),"Cam Thành Nam",""),IF(OR(M1559=phu!$I$4,M1559=phu!$I$5,M1559=phu!$I$6,M1559=phu!$I$7,M1559=phu!$I$8,M1559=phu!$I$9,M1559=phu!$I$10,M1559=phu!$I$11,M1559=phu!$I$12,M1559=phu!$I$13,M1559=phu!$I$14),"Cam Nghĩa",""),IF(OR(M1559=phu!$I$15,M1559=phu!$I$16,M1559=phu!$I$17,M1559=phu!$I$18,M1559=phu!$I$19,M1559=phu!$I$20,M1559=phu!$I$21),"Cam Phúc Bắc",""),IF(OR(M1559=phu!$I$22,M1559=phu!$I$23,M1559=phu!$I$24,M1559=phu!$I$25),"Cam Phúc Nam",""),IF(OR(M1559=phu!$I$26,M1559=phu!$I$27,M1559=phu!$I$28,M1559=phu!$I$29,M1559=phu!$I$30,M1559=phu!$I$31),"Cam Phú",""),IF(OR(M1559=phu!$I$32,M1559=phu!$I$33,M1559=phu!$I$34,M1559=phu!$I$35,M1559=phu!$I$36,M1559=phu!$I$37),"Cam Lộc",""),IF(OR(M1559=phu!$I$38,M1559=phu!$I$39,M1559=phu!$I$40,M1559=phu!$I$41,M1559=phu!$I$42,M1559=phu!$I$43,M1559=phu!$I$44),"Cam Thuận",""),IF(OR(M1559=phu!$I$45,M1559=phu!$I$46,M1559=phu!$I$47,M1559=phu!$I$48,M1559=phu!$I$49,M1559=phu!$I$50,M1559=phu!$I$51,M1559=phu!$I$52,M1559=phu!$I$53),"Cam Linh",""),IF(OR(M1559=phu!$I$54,M1559=phu!$I$55,M1559=phu!$I$56,M1559=phu!$I$57,M1559=phu!$I$58,M1559=phu!$I$59,M1559=phu!$I$60,M1559=phu!$I$61,M1559=phu!$I$62),"Cam Lợi",""),IF(OR(M1559=phu!$I$63,M1559=phu!$I$64,M1559=phu!$I$65,M1559=phu!$I$66,M1559=phu!$I$67,M1559=phu!$I$68,M1559=phu!$I$69,M1559=phu!$I$70,M1559=phu!$I$71),"Ba Ngòi",""),IF(OR(M1559=phu!$I$72,M1559=phu!$I$73,M1559=phu!$I$74,M1559=phu!$I$75,M1559=phu!$I$76,M1559=phu!$I$77,M1559=phu!$I$78),"Cam Phước Đông",""),IF(OR(M1559=phu!$I$79,M1559=phu!$I$80,M1559=phu!$I$81,M1559=phu!$I$82,M1559=phu!$I$83,M1559=phu!$I$84),"Cam Thịnh Đông",""),IF(OR(M1559=phu!$I$85,M1559=phu!$I$86,M1559=phu!$I$87,M1559=phu!$I$88),"Cam Thịnh Tây",""),IF(OR(M1559=phu!$I$89,M1559=phu!$I$90),"Cam Lập",""),IF(OR(M1559=phu!$I$91,M1559=phu!$I$92,M1559=phu!$I$93),"Cam Bình",""),IF(OR(M1559=phu!$I$94,M1559=phu!$I$95,M1559=phu!$I$96,M1559=phu!$I$97,M1559=phu!$I$98,M1559=phu!$I$99,M1559=phu!$I$100),"Huyện khác",""),IF(OR(M1559=phu!$I$101,M1559=phu!$I$102),"Tỉnh khác",""))</f>
        <v/>
      </c>
      <c r="O1559" s="814" t="str">
        <f t="shared" si="145"/>
        <v/>
      </c>
      <c r="P1559" s="254"/>
      <c r="Q1559" s="254"/>
      <c r="R1559" s="254"/>
      <c r="S1559" s="254"/>
      <c r="T1559" s="254"/>
      <c r="U1559" s="254"/>
      <c r="V1559" s="254"/>
      <c r="W1559" s="254"/>
      <c r="Y1559" s="246" t="str">
        <f t="shared" si="146"/>
        <v/>
      </c>
      <c r="Z1559" s="247" t="str">
        <f t="shared" si="144"/>
        <v/>
      </c>
      <c r="AA1559" s="246" t="str">
        <f t="shared" si="147"/>
        <v/>
      </c>
    </row>
    <row r="1560" spans="1:27" x14ac:dyDescent="0.25">
      <c r="A1560" s="248" t="str">
        <f t="shared" si="148"/>
        <v/>
      </c>
      <c r="B1560" s="249" t="str">
        <f t="shared" si="149"/>
        <v/>
      </c>
      <c r="C1560" s="250"/>
      <c r="D1560" s="251"/>
      <c r="E1560" s="241"/>
      <c r="F1560" s="252"/>
      <c r="G1560" s="252"/>
      <c r="H1560" s="253"/>
      <c r="I1560" s="250"/>
      <c r="J1560" s="250"/>
      <c r="K1560" s="270"/>
      <c r="L1560" s="250"/>
      <c r="M1560" s="250"/>
      <c r="N1560" s="553" t="str">
        <f>CONCATENATE(IF(OR(M1560=phu!$I$1,M1560=phu!$I$2,M1560=phu!$I$3),"Cam Thành Nam",""),IF(OR(M1560=phu!$I$4,M1560=phu!$I$5,M1560=phu!$I$6,M1560=phu!$I$7,M1560=phu!$I$8,M1560=phu!$I$9,M1560=phu!$I$10,M1560=phu!$I$11,M1560=phu!$I$12,M1560=phu!$I$13,M1560=phu!$I$14),"Cam Nghĩa",""),IF(OR(M1560=phu!$I$15,M1560=phu!$I$16,M1560=phu!$I$17,M1560=phu!$I$18,M1560=phu!$I$19,M1560=phu!$I$20,M1560=phu!$I$21),"Cam Phúc Bắc",""),IF(OR(M1560=phu!$I$22,M1560=phu!$I$23,M1560=phu!$I$24,M1560=phu!$I$25),"Cam Phúc Nam",""),IF(OR(M1560=phu!$I$26,M1560=phu!$I$27,M1560=phu!$I$28,M1560=phu!$I$29,M1560=phu!$I$30,M1560=phu!$I$31),"Cam Phú",""),IF(OR(M1560=phu!$I$32,M1560=phu!$I$33,M1560=phu!$I$34,M1560=phu!$I$35,M1560=phu!$I$36,M1560=phu!$I$37),"Cam Lộc",""),IF(OR(M1560=phu!$I$38,M1560=phu!$I$39,M1560=phu!$I$40,M1560=phu!$I$41,M1560=phu!$I$42,M1560=phu!$I$43,M1560=phu!$I$44),"Cam Thuận",""),IF(OR(M1560=phu!$I$45,M1560=phu!$I$46,M1560=phu!$I$47,M1560=phu!$I$48,M1560=phu!$I$49,M1560=phu!$I$50,M1560=phu!$I$51,M1560=phu!$I$52,M1560=phu!$I$53),"Cam Linh",""),IF(OR(M1560=phu!$I$54,M1560=phu!$I$55,M1560=phu!$I$56,M1560=phu!$I$57,M1560=phu!$I$58,M1560=phu!$I$59,M1560=phu!$I$60,M1560=phu!$I$61,M1560=phu!$I$62),"Cam Lợi",""),IF(OR(M1560=phu!$I$63,M1560=phu!$I$64,M1560=phu!$I$65,M1560=phu!$I$66,M1560=phu!$I$67,M1560=phu!$I$68,M1560=phu!$I$69,M1560=phu!$I$70,M1560=phu!$I$71),"Ba Ngòi",""),IF(OR(M1560=phu!$I$72,M1560=phu!$I$73,M1560=phu!$I$74,M1560=phu!$I$75,M1560=phu!$I$76,M1560=phu!$I$77,M1560=phu!$I$78),"Cam Phước Đông",""),IF(OR(M1560=phu!$I$79,M1560=phu!$I$80,M1560=phu!$I$81,M1560=phu!$I$82,M1560=phu!$I$83,M1560=phu!$I$84),"Cam Thịnh Đông",""),IF(OR(M1560=phu!$I$85,M1560=phu!$I$86,M1560=phu!$I$87,M1560=phu!$I$88),"Cam Thịnh Tây",""),IF(OR(M1560=phu!$I$89,M1560=phu!$I$90),"Cam Lập",""),IF(OR(M1560=phu!$I$91,M1560=phu!$I$92,M1560=phu!$I$93),"Cam Bình",""),IF(OR(M1560=phu!$I$94,M1560=phu!$I$95,M1560=phu!$I$96,M1560=phu!$I$97,M1560=phu!$I$98,M1560=phu!$I$99,M1560=phu!$I$100),"Huyện khác",""),IF(OR(M1560=phu!$I$101,M1560=phu!$I$102),"Tỉnh khác",""))</f>
        <v/>
      </c>
      <c r="O1560" s="814" t="str">
        <f t="shared" si="145"/>
        <v/>
      </c>
      <c r="P1560" s="254"/>
      <c r="Q1560" s="254"/>
      <c r="R1560" s="254"/>
      <c r="S1560" s="254"/>
      <c r="T1560" s="254"/>
      <c r="U1560" s="254"/>
      <c r="V1560" s="254"/>
      <c r="W1560" s="254"/>
      <c r="Y1560" s="246" t="str">
        <f t="shared" si="146"/>
        <v/>
      </c>
      <c r="Z1560" s="247" t="str">
        <f t="shared" si="144"/>
        <v/>
      </c>
      <c r="AA1560" s="246" t="str">
        <f t="shared" si="147"/>
        <v/>
      </c>
    </row>
    <row r="1561" spans="1:27" x14ac:dyDescent="0.25">
      <c r="A1561" s="248" t="str">
        <f t="shared" si="148"/>
        <v/>
      </c>
      <c r="B1561" s="249" t="str">
        <f t="shared" si="149"/>
        <v/>
      </c>
      <c r="C1561" s="250"/>
      <c r="D1561" s="251"/>
      <c r="E1561" s="241"/>
      <c r="F1561" s="252"/>
      <c r="G1561" s="252"/>
      <c r="H1561" s="253"/>
      <c r="I1561" s="250"/>
      <c r="J1561" s="250"/>
      <c r="K1561" s="270"/>
      <c r="L1561" s="250"/>
      <c r="M1561" s="250"/>
      <c r="N1561" s="553" t="str">
        <f>CONCATENATE(IF(OR(M1561=phu!$I$1,M1561=phu!$I$2,M1561=phu!$I$3),"Cam Thành Nam",""),IF(OR(M1561=phu!$I$4,M1561=phu!$I$5,M1561=phu!$I$6,M1561=phu!$I$7,M1561=phu!$I$8,M1561=phu!$I$9,M1561=phu!$I$10,M1561=phu!$I$11,M1561=phu!$I$12,M1561=phu!$I$13,M1561=phu!$I$14),"Cam Nghĩa",""),IF(OR(M1561=phu!$I$15,M1561=phu!$I$16,M1561=phu!$I$17,M1561=phu!$I$18,M1561=phu!$I$19,M1561=phu!$I$20,M1561=phu!$I$21),"Cam Phúc Bắc",""),IF(OR(M1561=phu!$I$22,M1561=phu!$I$23,M1561=phu!$I$24,M1561=phu!$I$25),"Cam Phúc Nam",""),IF(OR(M1561=phu!$I$26,M1561=phu!$I$27,M1561=phu!$I$28,M1561=phu!$I$29,M1561=phu!$I$30,M1561=phu!$I$31),"Cam Phú",""),IF(OR(M1561=phu!$I$32,M1561=phu!$I$33,M1561=phu!$I$34,M1561=phu!$I$35,M1561=phu!$I$36,M1561=phu!$I$37),"Cam Lộc",""),IF(OR(M1561=phu!$I$38,M1561=phu!$I$39,M1561=phu!$I$40,M1561=phu!$I$41,M1561=phu!$I$42,M1561=phu!$I$43,M1561=phu!$I$44),"Cam Thuận",""),IF(OR(M1561=phu!$I$45,M1561=phu!$I$46,M1561=phu!$I$47,M1561=phu!$I$48,M1561=phu!$I$49,M1561=phu!$I$50,M1561=phu!$I$51,M1561=phu!$I$52,M1561=phu!$I$53),"Cam Linh",""),IF(OR(M1561=phu!$I$54,M1561=phu!$I$55,M1561=phu!$I$56,M1561=phu!$I$57,M1561=phu!$I$58,M1561=phu!$I$59,M1561=phu!$I$60,M1561=phu!$I$61,M1561=phu!$I$62),"Cam Lợi",""),IF(OR(M1561=phu!$I$63,M1561=phu!$I$64,M1561=phu!$I$65,M1561=phu!$I$66,M1561=phu!$I$67,M1561=phu!$I$68,M1561=phu!$I$69,M1561=phu!$I$70,M1561=phu!$I$71),"Ba Ngòi",""),IF(OR(M1561=phu!$I$72,M1561=phu!$I$73,M1561=phu!$I$74,M1561=phu!$I$75,M1561=phu!$I$76,M1561=phu!$I$77,M1561=phu!$I$78),"Cam Phước Đông",""),IF(OR(M1561=phu!$I$79,M1561=phu!$I$80,M1561=phu!$I$81,M1561=phu!$I$82,M1561=phu!$I$83,M1561=phu!$I$84),"Cam Thịnh Đông",""),IF(OR(M1561=phu!$I$85,M1561=phu!$I$86,M1561=phu!$I$87,M1561=phu!$I$88),"Cam Thịnh Tây",""),IF(OR(M1561=phu!$I$89,M1561=phu!$I$90),"Cam Lập",""),IF(OR(M1561=phu!$I$91,M1561=phu!$I$92,M1561=phu!$I$93),"Cam Bình",""),IF(OR(M1561=phu!$I$94,M1561=phu!$I$95,M1561=phu!$I$96,M1561=phu!$I$97,M1561=phu!$I$98,M1561=phu!$I$99,M1561=phu!$I$100),"Huyện khác",""),IF(OR(M1561=phu!$I$101,M1561=phu!$I$102),"Tỉnh khác",""))</f>
        <v/>
      </c>
      <c r="O1561" s="814" t="str">
        <f t="shared" si="145"/>
        <v/>
      </c>
      <c r="P1561" s="254"/>
      <c r="Q1561" s="254"/>
      <c r="R1561" s="254"/>
      <c r="S1561" s="254"/>
      <c r="T1561" s="254"/>
      <c r="U1561" s="254"/>
      <c r="V1561" s="254"/>
      <c r="W1561" s="254"/>
      <c r="Y1561" s="246" t="str">
        <f t="shared" si="146"/>
        <v/>
      </c>
      <c r="Z1561" s="247" t="str">
        <f t="shared" si="144"/>
        <v/>
      </c>
      <c r="AA1561" s="246" t="str">
        <f t="shared" si="147"/>
        <v/>
      </c>
    </row>
    <row r="1562" spans="1:27" x14ac:dyDescent="0.25">
      <c r="A1562" s="248" t="str">
        <f t="shared" si="148"/>
        <v/>
      </c>
      <c r="B1562" s="249" t="str">
        <f t="shared" si="149"/>
        <v/>
      </c>
      <c r="C1562" s="250"/>
      <c r="D1562" s="251"/>
      <c r="E1562" s="241"/>
      <c r="F1562" s="252"/>
      <c r="G1562" s="252"/>
      <c r="H1562" s="253"/>
      <c r="I1562" s="250"/>
      <c r="J1562" s="250"/>
      <c r="K1562" s="270"/>
      <c r="L1562" s="250"/>
      <c r="M1562" s="250"/>
      <c r="N1562" s="553" t="str">
        <f>CONCATENATE(IF(OR(M1562=phu!$I$1,M1562=phu!$I$2,M1562=phu!$I$3),"Cam Thành Nam",""),IF(OR(M1562=phu!$I$4,M1562=phu!$I$5,M1562=phu!$I$6,M1562=phu!$I$7,M1562=phu!$I$8,M1562=phu!$I$9,M1562=phu!$I$10,M1562=phu!$I$11,M1562=phu!$I$12,M1562=phu!$I$13,M1562=phu!$I$14),"Cam Nghĩa",""),IF(OR(M1562=phu!$I$15,M1562=phu!$I$16,M1562=phu!$I$17,M1562=phu!$I$18,M1562=phu!$I$19,M1562=phu!$I$20,M1562=phu!$I$21),"Cam Phúc Bắc",""),IF(OR(M1562=phu!$I$22,M1562=phu!$I$23,M1562=phu!$I$24,M1562=phu!$I$25),"Cam Phúc Nam",""),IF(OR(M1562=phu!$I$26,M1562=phu!$I$27,M1562=phu!$I$28,M1562=phu!$I$29,M1562=phu!$I$30,M1562=phu!$I$31),"Cam Phú",""),IF(OR(M1562=phu!$I$32,M1562=phu!$I$33,M1562=phu!$I$34,M1562=phu!$I$35,M1562=phu!$I$36,M1562=phu!$I$37),"Cam Lộc",""),IF(OR(M1562=phu!$I$38,M1562=phu!$I$39,M1562=phu!$I$40,M1562=phu!$I$41,M1562=phu!$I$42,M1562=phu!$I$43,M1562=phu!$I$44),"Cam Thuận",""),IF(OR(M1562=phu!$I$45,M1562=phu!$I$46,M1562=phu!$I$47,M1562=phu!$I$48,M1562=phu!$I$49,M1562=phu!$I$50,M1562=phu!$I$51,M1562=phu!$I$52,M1562=phu!$I$53),"Cam Linh",""),IF(OR(M1562=phu!$I$54,M1562=phu!$I$55,M1562=phu!$I$56,M1562=phu!$I$57,M1562=phu!$I$58,M1562=phu!$I$59,M1562=phu!$I$60,M1562=phu!$I$61,M1562=phu!$I$62),"Cam Lợi",""),IF(OR(M1562=phu!$I$63,M1562=phu!$I$64,M1562=phu!$I$65,M1562=phu!$I$66,M1562=phu!$I$67,M1562=phu!$I$68,M1562=phu!$I$69,M1562=phu!$I$70,M1562=phu!$I$71),"Ba Ngòi",""),IF(OR(M1562=phu!$I$72,M1562=phu!$I$73,M1562=phu!$I$74,M1562=phu!$I$75,M1562=phu!$I$76,M1562=phu!$I$77,M1562=phu!$I$78),"Cam Phước Đông",""),IF(OR(M1562=phu!$I$79,M1562=phu!$I$80,M1562=phu!$I$81,M1562=phu!$I$82,M1562=phu!$I$83,M1562=phu!$I$84),"Cam Thịnh Đông",""),IF(OR(M1562=phu!$I$85,M1562=phu!$I$86,M1562=phu!$I$87,M1562=phu!$I$88),"Cam Thịnh Tây",""),IF(OR(M1562=phu!$I$89,M1562=phu!$I$90),"Cam Lập",""),IF(OR(M1562=phu!$I$91,M1562=phu!$I$92,M1562=phu!$I$93),"Cam Bình",""),IF(OR(M1562=phu!$I$94,M1562=phu!$I$95,M1562=phu!$I$96,M1562=phu!$I$97,M1562=phu!$I$98,M1562=phu!$I$99,M1562=phu!$I$100),"Huyện khác",""),IF(OR(M1562=phu!$I$101,M1562=phu!$I$102),"Tỉnh khác",""))</f>
        <v/>
      </c>
      <c r="O1562" s="814" t="str">
        <f t="shared" si="145"/>
        <v/>
      </c>
      <c r="P1562" s="254"/>
      <c r="Q1562" s="254"/>
      <c r="R1562" s="254"/>
      <c r="S1562" s="254"/>
      <c r="T1562" s="254"/>
      <c r="U1562" s="254"/>
      <c r="V1562" s="254"/>
      <c r="W1562" s="254"/>
      <c r="Y1562" s="246" t="str">
        <f t="shared" si="146"/>
        <v/>
      </c>
      <c r="Z1562" s="247" t="str">
        <f t="shared" si="144"/>
        <v/>
      </c>
      <c r="AA1562" s="246" t="str">
        <f t="shared" si="147"/>
        <v/>
      </c>
    </row>
    <row r="1563" spans="1:27" x14ac:dyDescent="0.25">
      <c r="A1563" s="248" t="str">
        <f t="shared" si="148"/>
        <v/>
      </c>
      <c r="B1563" s="249" t="str">
        <f t="shared" si="149"/>
        <v/>
      </c>
      <c r="C1563" s="250"/>
      <c r="D1563" s="251"/>
      <c r="E1563" s="241"/>
      <c r="F1563" s="252"/>
      <c r="G1563" s="252"/>
      <c r="H1563" s="253"/>
      <c r="I1563" s="250"/>
      <c r="J1563" s="250"/>
      <c r="K1563" s="270"/>
      <c r="L1563" s="250"/>
      <c r="M1563" s="250"/>
      <c r="N1563" s="553" t="str">
        <f>CONCATENATE(IF(OR(M1563=phu!$I$1,M1563=phu!$I$2,M1563=phu!$I$3),"Cam Thành Nam",""),IF(OR(M1563=phu!$I$4,M1563=phu!$I$5,M1563=phu!$I$6,M1563=phu!$I$7,M1563=phu!$I$8,M1563=phu!$I$9,M1563=phu!$I$10,M1563=phu!$I$11,M1563=phu!$I$12,M1563=phu!$I$13,M1563=phu!$I$14),"Cam Nghĩa",""),IF(OR(M1563=phu!$I$15,M1563=phu!$I$16,M1563=phu!$I$17,M1563=phu!$I$18,M1563=phu!$I$19,M1563=phu!$I$20,M1563=phu!$I$21),"Cam Phúc Bắc",""),IF(OR(M1563=phu!$I$22,M1563=phu!$I$23,M1563=phu!$I$24,M1563=phu!$I$25),"Cam Phúc Nam",""),IF(OR(M1563=phu!$I$26,M1563=phu!$I$27,M1563=phu!$I$28,M1563=phu!$I$29,M1563=phu!$I$30,M1563=phu!$I$31),"Cam Phú",""),IF(OR(M1563=phu!$I$32,M1563=phu!$I$33,M1563=phu!$I$34,M1563=phu!$I$35,M1563=phu!$I$36,M1563=phu!$I$37),"Cam Lộc",""),IF(OR(M1563=phu!$I$38,M1563=phu!$I$39,M1563=phu!$I$40,M1563=phu!$I$41,M1563=phu!$I$42,M1563=phu!$I$43,M1563=phu!$I$44),"Cam Thuận",""),IF(OR(M1563=phu!$I$45,M1563=phu!$I$46,M1563=phu!$I$47,M1563=phu!$I$48,M1563=phu!$I$49,M1563=phu!$I$50,M1563=phu!$I$51,M1563=phu!$I$52,M1563=phu!$I$53),"Cam Linh",""),IF(OR(M1563=phu!$I$54,M1563=phu!$I$55,M1563=phu!$I$56,M1563=phu!$I$57,M1563=phu!$I$58,M1563=phu!$I$59,M1563=phu!$I$60,M1563=phu!$I$61,M1563=phu!$I$62),"Cam Lợi",""),IF(OR(M1563=phu!$I$63,M1563=phu!$I$64,M1563=phu!$I$65,M1563=phu!$I$66,M1563=phu!$I$67,M1563=phu!$I$68,M1563=phu!$I$69,M1563=phu!$I$70,M1563=phu!$I$71),"Ba Ngòi",""),IF(OR(M1563=phu!$I$72,M1563=phu!$I$73,M1563=phu!$I$74,M1563=phu!$I$75,M1563=phu!$I$76,M1563=phu!$I$77,M1563=phu!$I$78),"Cam Phước Đông",""),IF(OR(M1563=phu!$I$79,M1563=phu!$I$80,M1563=phu!$I$81,M1563=phu!$I$82,M1563=phu!$I$83,M1563=phu!$I$84),"Cam Thịnh Đông",""),IF(OR(M1563=phu!$I$85,M1563=phu!$I$86,M1563=phu!$I$87,M1563=phu!$I$88),"Cam Thịnh Tây",""),IF(OR(M1563=phu!$I$89,M1563=phu!$I$90),"Cam Lập",""),IF(OR(M1563=phu!$I$91,M1563=phu!$I$92,M1563=phu!$I$93),"Cam Bình",""),IF(OR(M1563=phu!$I$94,M1563=phu!$I$95,M1563=phu!$I$96,M1563=phu!$I$97,M1563=phu!$I$98,M1563=phu!$I$99,M1563=phu!$I$100),"Huyện khác",""),IF(OR(M1563=phu!$I$101,M1563=phu!$I$102),"Tỉnh khác",""))</f>
        <v/>
      </c>
      <c r="O1563" s="814" t="str">
        <f t="shared" si="145"/>
        <v/>
      </c>
      <c r="P1563" s="254"/>
      <c r="Q1563" s="254"/>
      <c r="R1563" s="254"/>
      <c r="S1563" s="254"/>
      <c r="T1563" s="254"/>
      <c r="U1563" s="254"/>
      <c r="V1563" s="254"/>
      <c r="W1563" s="254"/>
      <c r="Y1563" s="246" t="str">
        <f t="shared" si="146"/>
        <v/>
      </c>
      <c r="Z1563" s="247" t="str">
        <f t="shared" si="144"/>
        <v/>
      </c>
      <c r="AA1563" s="246" t="str">
        <f t="shared" si="147"/>
        <v/>
      </c>
    </row>
    <row r="1564" spans="1:27" x14ac:dyDescent="0.25">
      <c r="A1564" s="248" t="str">
        <f t="shared" si="148"/>
        <v/>
      </c>
      <c r="B1564" s="249" t="str">
        <f t="shared" si="149"/>
        <v/>
      </c>
      <c r="C1564" s="250"/>
      <c r="D1564" s="251"/>
      <c r="E1564" s="241"/>
      <c r="F1564" s="252"/>
      <c r="G1564" s="252"/>
      <c r="H1564" s="253"/>
      <c r="I1564" s="250"/>
      <c r="J1564" s="250"/>
      <c r="K1564" s="270"/>
      <c r="L1564" s="250"/>
      <c r="M1564" s="250"/>
      <c r="N1564" s="553" t="str">
        <f>CONCATENATE(IF(OR(M1564=phu!$I$1,M1564=phu!$I$2,M1564=phu!$I$3),"Cam Thành Nam",""),IF(OR(M1564=phu!$I$4,M1564=phu!$I$5,M1564=phu!$I$6,M1564=phu!$I$7,M1564=phu!$I$8,M1564=phu!$I$9,M1564=phu!$I$10,M1564=phu!$I$11,M1564=phu!$I$12,M1564=phu!$I$13,M1564=phu!$I$14),"Cam Nghĩa",""),IF(OR(M1564=phu!$I$15,M1564=phu!$I$16,M1564=phu!$I$17,M1564=phu!$I$18,M1564=phu!$I$19,M1564=phu!$I$20,M1564=phu!$I$21),"Cam Phúc Bắc",""),IF(OR(M1564=phu!$I$22,M1564=phu!$I$23,M1564=phu!$I$24,M1564=phu!$I$25),"Cam Phúc Nam",""),IF(OR(M1564=phu!$I$26,M1564=phu!$I$27,M1564=phu!$I$28,M1564=phu!$I$29,M1564=phu!$I$30,M1564=phu!$I$31),"Cam Phú",""),IF(OR(M1564=phu!$I$32,M1564=phu!$I$33,M1564=phu!$I$34,M1564=phu!$I$35,M1564=phu!$I$36,M1564=phu!$I$37),"Cam Lộc",""),IF(OR(M1564=phu!$I$38,M1564=phu!$I$39,M1564=phu!$I$40,M1564=phu!$I$41,M1564=phu!$I$42,M1564=phu!$I$43,M1564=phu!$I$44),"Cam Thuận",""),IF(OR(M1564=phu!$I$45,M1564=phu!$I$46,M1564=phu!$I$47,M1564=phu!$I$48,M1564=phu!$I$49,M1564=phu!$I$50,M1564=phu!$I$51,M1564=phu!$I$52,M1564=phu!$I$53),"Cam Linh",""),IF(OR(M1564=phu!$I$54,M1564=phu!$I$55,M1564=phu!$I$56,M1564=phu!$I$57,M1564=phu!$I$58,M1564=phu!$I$59,M1564=phu!$I$60,M1564=phu!$I$61,M1564=phu!$I$62),"Cam Lợi",""),IF(OR(M1564=phu!$I$63,M1564=phu!$I$64,M1564=phu!$I$65,M1564=phu!$I$66,M1564=phu!$I$67,M1564=phu!$I$68,M1564=phu!$I$69,M1564=phu!$I$70,M1564=phu!$I$71),"Ba Ngòi",""),IF(OR(M1564=phu!$I$72,M1564=phu!$I$73,M1564=phu!$I$74,M1564=phu!$I$75,M1564=phu!$I$76,M1564=phu!$I$77,M1564=phu!$I$78),"Cam Phước Đông",""),IF(OR(M1564=phu!$I$79,M1564=phu!$I$80,M1564=phu!$I$81,M1564=phu!$I$82,M1564=phu!$I$83,M1564=phu!$I$84),"Cam Thịnh Đông",""),IF(OR(M1564=phu!$I$85,M1564=phu!$I$86,M1564=phu!$I$87,M1564=phu!$I$88),"Cam Thịnh Tây",""),IF(OR(M1564=phu!$I$89,M1564=phu!$I$90),"Cam Lập",""),IF(OR(M1564=phu!$I$91,M1564=phu!$I$92,M1564=phu!$I$93),"Cam Bình",""),IF(OR(M1564=phu!$I$94,M1564=phu!$I$95,M1564=phu!$I$96,M1564=phu!$I$97,M1564=phu!$I$98,M1564=phu!$I$99,M1564=phu!$I$100),"Huyện khác",""),IF(OR(M1564=phu!$I$101,M1564=phu!$I$102),"Tỉnh khác",""))</f>
        <v/>
      </c>
      <c r="O1564" s="814" t="str">
        <f t="shared" si="145"/>
        <v/>
      </c>
      <c r="P1564" s="254"/>
      <c r="Q1564" s="254"/>
      <c r="R1564" s="254"/>
      <c r="S1564" s="254"/>
      <c r="T1564" s="254"/>
      <c r="U1564" s="254"/>
      <c r="V1564" s="254"/>
      <c r="W1564" s="254"/>
      <c r="Y1564" s="246" t="str">
        <f t="shared" si="146"/>
        <v/>
      </c>
      <c r="Z1564" s="247" t="str">
        <f t="shared" si="144"/>
        <v/>
      </c>
      <c r="AA1564" s="246" t="str">
        <f t="shared" si="147"/>
        <v/>
      </c>
    </row>
    <row r="1565" spans="1:27" x14ac:dyDescent="0.25">
      <c r="A1565" s="248" t="str">
        <f t="shared" si="148"/>
        <v/>
      </c>
      <c r="B1565" s="249" t="str">
        <f t="shared" si="149"/>
        <v/>
      </c>
      <c r="C1565" s="250"/>
      <c r="D1565" s="251"/>
      <c r="E1565" s="241"/>
      <c r="F1565" s="252"/>
      <c r="G1565" s="252"/>
      <c r="H1565" s="253"/>
      <c r="I1565" s="250"/>
      <c r="J1565" s="250"/>
      <c r="K1565" s="270"/>
      <c r="L1565" s="250"/>
      <c r="M1565" s="250"/>
      <c r="N1565" s="553" t="str">
        <f>CONCATENATE(IF(OR(M1565=phu!$I$1,M1565=phu!$I$2,M1565=phu!$I$3),"Cam Thành Nam",""),IF(OR(M1565=phu!$I$4,M1565=phu!$I$5,M1565=phu!$I$6,M1565=phu!$I$7,M1565=phu!$I$8,M1565=phu!$I$9,M1565=phu!$I$10,M1565=phu!$I$11,M1565=phu!$I$12,M1565=phu!$I$13,M1565=phu!$I$14),"Cam Nghĩa",""),IF(OR(M1565=phu!$I$15,M1565=phu!$I$16,M1565=phu!$I$17,M1565=phu!$I$18,M1565=phu!$I$19,M1565=phu!$I$20,M1565=phu!$I$21),"Cam Phúc Bắc",""),IF(OR(M1565=phu!$I$22,M1565=phu!$I$23,M1565=phu!$I$24,M1565=phu!$I$25),"Cam Phúc Nam",""),IF(OR(M1565=phu!$I$26,M1565=phu!$I$27,M1565=phu!$I$28,M1565=phu!$I$29,M1565=phu!$I$30,M1565=phu!$I$31),"Cam Phú",""),IF(OR(M1565=phu!$I$32,M1565=phu!$I$33,M1565=phu!$I$34,M1565=phu!$I$35,M1565=phu!$I$36,M1565=phu!$I$37),"Cam Lộc",""),IF(OR(M1565=phu!$I$38,M1565=phu!$I$39,M1565=phu!$I$40,M1565=phu!$I$41,M1565=phu!$I$42,M1565=phu!$I$43,M1565=phu!$I$44),"Cam Thuận",""),IF(OR(M1565=phu!$I$45,M1565=phu!$I$46,M1565=phu!$I$47,M1565=phu!$I$48,M1565=phu!$I$49,M1565=phu!$I$50,M1565=phu!$I$51,M1565=phu!$I$52,M1565=phu!$I$53),"Cam Linh",""),IF(OR(M1565=phu!$I$54,M1565=phu!$I$55,M1565=phu!$I$56,M1565=phu!$I$57,M1565=phu!$I$58,M1565=phu!$I$59,M1565=phu!$I$60,M1565=phu!$I$61,M1565=phu!$I$62),"Cam Lợi",""),IF(OR(M1565=phu!$I$63,M1565=phu!$I$64,M1565=phu!$I$65,M1565=phu!$I$66,M1565=phu!$I$67,M1565=phu!$I$68,M1565=phu!$I$69,M1565=phu!$I$70,M1565=phu!$I$71),"Ba Ngòi",""),IF(OR(M1565=phu!$I$72,M1565=phu!$I$73,M1565=phu!$I$74,M1565=phu!$I$75,M1565=phu!$I$76,M1565=phu!$I$77,M1565=phu!$I$78),"Cam Phước Đông",""),IF(OR(M1565=phu!$I$79,M1565=phu!$I$80,M1565=phu!$I$81,M1565=phu!$I$82,M1565=phu!$I$83,M1565=phu!$I$84),"Cam Thịnh Đông",""),IF(OR(M1565=phu!$I$85,M1565=phu!$I$86,M1565=phu!$I$87,M1565=phu!$I$88),"Cam Thịnh Tây",""),IF(OR(M1565=phu!$I$89,M1565=phu!$I$90),"Cam Lập",""),IF(OR(M1565=phu!$I$91,M1565=phu!$I$92,M1565=phu!$I$93),"Cam Bình",""),IF(OR(M1565=phu!$I$94,M1565=phu!$I$95,M1565=phu!$I$96,M1565=phu!$I$97,M1565=phu!$I$98,M1565=phu!$I$99,M1565=phu!$I$100),"Huyện khác",""),IF(OR(M1565=phu!$I$101,M1565=phu!$I$102),"Tỉnh khác",""))</f>
        <v/>
      </c>
      <c r="O1565" s="814" t="str">
        <f t="shared" si="145"/>
        <v/>
      </c>
      <c r="P1565" s="254"/>
      <c r="Q1565" s="254"/>
      <c r="R1565" s="254"/>
      <c r="S1565" s="254"/>
      <c r="T1565" s="254"/>
      <c r="U1565" s="254"/>
      <c r="V1565" s="254"/>
      <c r="W1565" s="254"/>
      <c r="Y1565" s="246" t="str">
        <f t="shared" si="146"/>
        <v/>
      </c>
      <c r="Z1565" s="247" t="str">
        <f t="shared" si="144"/>
        <v/>
      </c>
      <c r="AA1565" s="246" t="str">
        <f t="shared" si="147"/>
        <v/>
      </c>
    </row>
    <row r="1566" spans="1:27" x14ac:dyDescent="0.25">
      <c r="A1566" s="248" t="str">
        <f t="shared" si="148"/>
        <v/>
      </c>
      <c r="B1566" s="249" t="str">
        <f t="shared" si="149"/>
        <v/>
      </c>
      <c r="C1566" s="250"/>
      <c r="D1566" s="251"/>
      <c r="E1566" s="241"/>
      <c r="F1566" s="252"/>
      <c r="G1566" s="252"/>
      <c r="H1566" s="253"/>
      <c r="I1566" s="250"/>
      <c r="J1566" s="250"/>
      <c r="K1566" s="270"/>
      <c r="L1566" s="250"/>
      <c r="M1566" s="250"/>
      <c r="N1566" s="553" t="str">
        <f>CONCATENATE(IF(OR(M1566=phu!$I$1,M1566=phu!$I$2,M1566=phu!$I$3),"Cam Thành Nam",""),IF(OR(M1566=phu!$I$4,M1566=phu!$I$5,M1566=phu!$I$6,M1566=phu!$I$7,M1566=phu!$I$8,M1566=phu!$I$9,M1566=phu!$I$10,M1566=phu!$I$11,M1566=phu!$I$12,M1566=phu!$I$13,M1566=phu!$I$14),"Cam Nghĩa",""),IF(OR(M1566=phu!$I$15,M1566=phu!$I$16,M1566=phu!$I$17,M1566=phu!$I$18,M1566=phu!$I$19,M1566=phu!$I$20,M1566=phu!$I$21),"Cam Phúc Bắc",""),IF(OR(M1566=phu!$I$22,M1566=phu!$I$23,M1566=phu!$I$24,M1566=phu!$I$25),"Cam Phúc Nam",""),IF(OR(M1566=phu!$I$26,M1566=phu!$I$27,M1566=phu!$I$28,M1566=phu!$I$29,M1566=phu!$I$30,M1566=phu!$I$31),"Cam Phú",""),IF(OR(M1566=phu!$I$32,M1566=phu!$I$33,M1566=phu!$I$34,M1566=phu!$I$35,M1566=phu!$I$36,M1566=phu!$I$37),"Cam Lộc",""),IF(OR(M1566=phu!$I$38,M1566=phu!$I$39,M1566=phu!$I$40,M1566=phu!$I$41,M1566=phu!$I$42,M1566=phu!$I$43,M1566=phu!$I$44),"Cam Thuận",""),IF(OR(M1566=phu!$I$45,M1566=phu!$I$46,M1566=phu!$I$47,M1566=phu!$I$48,M1566=phu!$I$49,M1566=phu!$I$50,M1566=phu!$I$51,M1566=phu!$I$52,M1566=phu!$I$53),"Cam Linh",""),IF(OR(M1566=phu!$I$54,M1566=phu!$I$55,M1566=phu!$I$56,M1566=phu!$I$57,M1566=phu!$I$58,M1566=phu!$I$59,M1566=phu!$I$60,M1566=phu!$I$61,M1566=phu!$I$62),"Cam Lợi",""),IF(OR(M1566=phu!$I$63,M1566=phu!$I$64,M1566=phu!$I$65,M1566=phu!$I$66,M1566=phu!$I$67,M1566=phu!$I$68,M1566=phu!$I$69,M1566=phu!$I$70,M1566=phu!$I$71),"Ba Ngòi",""),IF(OR(M1566=phu!$I$72,M1566=phu!$I$73,M1566=phu!$I$74,M1566=phu!$I$75,M1566=phu!$I$76,M1566=phu!$I$77,M1566=phu!$I$78),"Cam Phước Đông",""),IF(OR(M1566=phu!$I$79,M1566=phu!$I$80,M1566=phu!$I$81,M1566=phu!$I$82,M1566=phu!$I$83,M1566=phu!$I$84),"Cam Thịnh Đông",""),IF(OR(M1566=phu!$I$85,M1566=phu!$I$86,M1566=phu!$I$87,M1566=phu!$I$88),"Cam Thịnh Tây",""),IF(OR(M1566=phu!$I$89,M1566=phu!$I$90),"Cam Lập",""),IF(OR(M1566=phu!$I$91,M1566=phu!$I$92,M1566=phu!$I$93),"Cam Bình",""),IF(OR(M1566=phu!$I$94,M1566=phu!$I$95,M1566=phu!$I$96,M1566=phu!$I$97,M1566=phu!$I$98,M1566=phu!$I$99,M1566=phu!$I$100),"Huyện khác",""),IF(OR(M1566=phu!$I$101,M1566=phu!$I$102),"Tỉnh khác",""))</f>
        <v/>
      </c>
      <c r="O1566" s="814" t="str">
        <f t="shared" si="145"/>
        <v/>
      </c>
      <c r="P1566" s="254"/>
      <c r="Q1566" s="254"/>
      <c r="R1566" s="254"/>
      <c r="S1566" s="254"/>
      <c r="T1566" s="254"/>
      <c r="U1566" s="254"/>
      <c r="V1566" s="254"/>
      <c r="W1566" s="254"/>
      <c r="Y1566" s="246" t="str">
        <f t="shared" si="146"/>
        <v/>
      </c>
      <c r="Z1566" s="247" t="str">
        <f t="shared" si="144"/>
        <v/>
      </c>
      <c r="AA1566" s="246" t="str">
        <f t="shared" si="147"/>
        <v/>
      </c>
    </row>
    <row r="1567" spans="1:27" x14ac:dyDescent="0.25">
      <c r="A1567" s="248" t="str">
        <f t="shared" si="148"/>
        <v/>
      </c>
      <c r="B1567" s="249" t="str">
        <f t="shared" si="149"/>
        <v/>
      </c>
      <c r="C1567" s="250"/>
      <c r="D1567" s="251"/>
      <c r="E1567" s="241"/>
      <c r="F1567" s="252"/>
      <c r="G1567" s="252"/>
      <c r="H1567" s="253"/>
      <c r="I1567" s="250"/>
      <c r="J1567" s="250"/>
      <c r="K1567" s="270"/>
      <c r="L1567" s="250"/>
      <c r="M1567" s="250"/>
      <c r="N1567" s="553" t="str">
        <f>CONCATENATE(IF(OR(M1567=phu!$I$1,M1567=phu!$I$2,M1567=phu!$I$3),"Cam Thành Nam",""),IF(OR(M1567=phu!$I$4,M1567=phu!$I$5,M1567=phu!$I$6,M1567=phu!$I$7,M1567=phu!$I$8,M1567=phu!$I$9,M1567=phu!$I$10,M1567=phu!$I$11,M1567=phu!$I$12,M1567=phu!$I$13,M1567=phu!$I$14),"Cam Nghĩa",""),IF(OR(M1567=phu!$I$15,M1567=phu!$I$16,M1567=phu!$I$17,M1567=phu!$I$18,M1567=phu!$I$19,M1567=phu!$I$20,M1567=phu!$I$21),"Cam Phúc Bắc",""),IF(OR(M1567=phu!$I$22,M1567=phu!$I$23,M1567=phu!$I$24,M1567=phu!$I$25),"Cam Phúc Nam",""),IF(OR(M1567=phu!$I$26,M1567=phu!$I$27,M1567=phu!$I$28,M1567=phu!$I$29,M1567=phu!$I$30,M1567=phu!$I$31),"Cam Phú",""),IF(OR(M1567=phu!$I$32,M1567=phu!$I$33,M1567=phu!$I$34,M1567=phu!$I$35,M1567=phu!$I$36,M1567=phu!$I$37),"Cam Lộc",""),IF(OR(M1567=phu!$I$38,M1567=phu!$I$39,M1567=phu!$I$40,M1567=phu!$I$41,M1567=phu!$I$42,M1567=phu!$I$43,M1567=phu!$I$44),"Cam Thuận",""),IF(OR(M1567=phu!$I$45,M1567=phu!$I$46,M1567=phu!$I$47,M1567=phu!$I$48,M1567=phu!$I$49,M1567=phu!$I$50,M1567=phu!$I$51,M1567=phu!$I$52,M1567=phu!$I$53),"Cam Linh",""),IF(OR(M1567=phu!$I$54,M1567=phu!$I$55,M1567=phu!$I$56,M1567=phu!$I$57,M1567=phu!$I$58,M1567=phu!$I$59,M1567=phu!$I$60,M1567=phu!$I$61,M1567=phu!$I$62),"Cam Lợi",""),IF(OR(M1567=phu!$I$63,M1567=phu!$I$64,M1567=phu!$I$65,M1567=phu!$I$66,M1567=phu!$I$67,M1567=phu!$I$68,M1567=phu!$I$69,M1567=phu!$I$70,M1567=phu!$I$71),"Ba Ngòi",""),IF(OR(M1567=phu!$I$72,M1567=phu!$I$73,M1567=phu!$I$74,M1567=phu!$I$75,M1567=phu!$I$76,M1567=phu!$I$77,M1567=phu!$I$78),"Cam Phước Đông",""),IF(OR(M1567=phu!$I$79,M1567=phu!$I$80,M1567=phu!$I$81,M1567=phu!$I$82,M1567=phu!$I$83,M1567=phu!$I$84),"Cam Thịnh Đông",""),IF(OR(M1567=phu!$I$85,M1567=phu!$I$86,M1567=phu!$I$87,M1567=phu!$I$88),"Cam Thịnh Tây",""),IF(OR(M1567=phu!$I$89,M1567=phu!$I$90),"Cam Lập",""),IF(OR(M1567=phu!$I$91,M1567=phu!$I$92,M1567=phu!$I$93),"Cam Bình",""),IF(OR(M1567=phu!$I$94,M1567=phu!$I$95,M1567=phu!$I$96,M1567=phu!$I$97,M1567=phu!$I$98,M1567=phu!$I$99,M1567=phu!$I$100),"Huyện khác",""),IF(OR(M1567=phu!$I$101,M1567=phu!$I$102),"Tỉnh khác",""))</f>
        <v/>
      </c>
      <c r="O1567" s="814" t="str">
        <f t="shared" si="145"/>
        <v/>
      </c>
      <c r="P1567" s="254"/>
      <c r="Q1567" s="254"/>
      <c r="R1567" s="254"/>
      <c r="S1567" s="254"/>
      <c r="T1567" s="254"/>
      <c r="U1567" s="254"/>
      <c r="V1567" s="254"/>
      <c r="W1567" s="254"/>
      <c r="Y1567" s="246" t="str">
        <f t="shared" si="146"/>
        <v/>
      </c>
      <c r="Z1567" s="247" t="str">
        <f t="shared" si="144"/>
        <v/>
      </c>
      <c r="AA1567" s="246" t="str">
        <f t="shared" si="147"/>
        <v/>
      </c>
    </row>
    <row r="1568" spans="1:27" x14ac:dyDescent="0.25">
      <c r="A1568" s="248" t="str">
        <f t="shared" si="148"/>
        <v/>
      </c>
      <c r="B1568" s="249" t="str">
        <f t="shared" si="149"/>
        <v/>
      </c>
      <c r="C1568" s="250"/>
      <c r="D1568" s="251"/>
      <c r="E1568" s="241"/>
      <c r="F1568" s="252"/>
      <c r="G1568" s="252"/>
      <c r="H1568" s="253"/>
      <c r="I1568" s="250"/>
      <c r="J1568" s="250"/>
      <c r="K1568" s="270"/>
      <c r="L1568" s="250"/>
      <c r="M1568" s="250"/>
      <c r="N1568" s="553" t="str">
        <f>CONCATENATE(IF(OR(M1568=phu!$I$1,M1568=phu!$I$2,M1568=phu!$I$3),"Cam Thành Nam",""),IF(OR(M1568=phu!$I$4,M1568=phu!$I$5,M1568=phu!$I$6,M1568=phu!$I$7,M1568=phu!$I$8,M1568=phu!$I$9,M1568=phu!$I$10,M1568=phu!$I$11,M1568=phu!$I$12,M1568=phu!$I$13,M1568=phu!$I$14),"Cam Nghĩa",""),IF(OR(M1568=phu!$I$15,M1568=phu!$I$16,M1568=phu!$I$17,M1568=phu!$I$18,M1568=phu!$I$19,M1568=phu!$I$20,M1568=phu!$I$21),"Cam Phúc Bắc",""),IF(OR(M1568=phu!$I$22,M1568=phu!$I$23,M1568=phu!$I$24,M1568=phu!$I$25),"Cam Phúc Nam",""),IF(OR(M1568=phu!$I$26,M1568=phu!$I$27,M1568=phu!$I$28,M1568=phu!$I$29,M1568=phu!$I$30,M1568=phu!$I$31),"Cam Phú",""),IF(OR(M1568=phu!$I$32,M1568=phu!$I$33,M1568=phu!$I$34,M1568=phu!$I$35,M1568=phu!$I$36,M1568=phu!$I$37),"Cam Lộc",""),IF(OR(M1568=phu!$I$38,M1568=phu!$I$39,M1568=phu!$I$40,M1568=phu!$I$41,M1568=phu!$I$42,M1568=phu!$I$43,M1568=phu!$I$44),"Cam Thuận",""),IF(OR(M1568=phu!$I$45,M1568=phu!$I$46,M1568=phu!$I$47,M1568=phu!$I$48,M1568=phu!$I$49,M1568=phu!$I$50,M1568=phu!$I$51,M1568=phu!$I$52,M1568=phu!$I$53),"Cam Linh",""),IF(OR(M1568=phu!$I$54,M1568=phu!$I$55,M1568=phu!$I$56,M1568=phu!$I$57,M1568=phu!$I$58,M1568=phu!$I$59,M1568=phu!$I$60,M1568=phu!$I$61,M1568=phu!$I$62),"Cam Lợi",""),IF(OR(M1568=phu!$I$63,M1568=phu!$I$64,M1568=phu!$I$65,M1568=phu!$I$66,M1568=phu!$I$67,M1568=phu!$I$68,M1568=phu!$I$69,M1568=phu!$I$70,M1568=phu!$I$71),"Ba Ngòi",""),IF(OR(M1568=phu!$I$72,M1568=phu!$I$73,M1568=phu!$I$74,M1568=phu!$I$75,M1568=phu!$I$76,M1568=phu!$I$77,M1568=phu!$I$78),"Cam Phước Đông",""),IF(OR(M1568=phu!$I$79,M1568=phu!$I$80,M1568=phu!$I$81,M1568=phu!$I$82,M1568=phu!$I$83,M1568=phu!$I$84),"Cam Thịnh Đông",""),IF(OR(M1568=phu!$I$85,M1568=phu!$I$86,M1568=phu!$I$87,M1568=phu!$I$88),"Cam Thịnh Tây",""),IF(OR(M1568=phu!$I$89,M1568=phu!$I$90),"Cam Lập",""),IF(OR(M1568=phu!$I$91,M1568=phu!$I$92,M1568=phu!$I$93),"Cam Bình",""),IF(OR(M1568=phu!$I$94,M1568=phu!$I$95,M1568=phu!$I$96,M1568=phu!$I$97,M1568=phu!$I$98,M1568=phu!$I$99,M1568=phu!$I$100),"Huyện khác",""),IF(OR(M1568=phu!$I$101,M1568=phu!$I$102),"Tỉnh khác",""))</f>
        <v/>
      </c>
      <c r="O1568" s="814" t="str">
        <f t="shared" si="145"/>
        <v/>
      </c>
      <c r="P1568" s="254"/>
      <c r="Q1568" s="254"/>
      <c r="R1568" s="254"/>
      <c r="S1568" s="254"/>
      <c r="T1568" s="254"/>
      <c r="U1568" s="254"/>
      <c r="V1568" s="254"/>
      <c r="W1568" s="254"/>
      <c r="Y1568" s="246" t="str">
        <f t="shared" si="146"/>
        <v/>
      </c>
      <c r="Z1568" s="247" t="str">
        <f t="shared" si="144"/>
        <v/>
      </c>
      <c r="AA1568" s="246" t="str">
        <f t="shared" si="147"/>
        <v/>
      </c>
    </row>
    <row r="1569" spans="1:27" x14ac:dyDescent="0.25">
      <c r="A1569" s="248" t="str">
        <f t="shared" si="148"/>
        <v/>
      </c>
      <c r="B1569" s="249" t="str">
        <f t="shared" si="149"/>
        <v/>
      </c>
      <c r="C1569" s="250"/>
      <c r="D1569" s="251"/>
      <c r="E1569" s="241"/>
      <c r="F1569" s="252"/>
      <c r="G1569" s="252"/>
      <c r="H1569" s="253"/>
      <c r="I1569" s="250"/>
      <c r="J1569" s="250"/>
      <c r="K1569" s="270"/>
      <c r="L1569" s="250"/>
      <c r="M1569" s="250"/>
      <c r="N1569" s="553" t="str">
        <f>CONCATENATE(IF(OR(M1569=phu!$I$1,M1569=phu!$I$2,M1569=phu!$I$3),"Cam Thành Nam",""),IF(OR(M1569=phu!$I$4,M1569=phu!$I$5,M1569=phu!$I$6,M1569=phu!$I$7,M1569=phu!$I$8,M1569=phu!$I$9,M1569=phu!$I$10,M1569=phu!$I$11,M1569=phu!$I$12,M1569=phu!$I$13,M1569=phu!$I$14),"Cam Nghĩa",""),IF(OR(M1569=phu!$I$15,M1569=phu!$I$16,M1569=phu!$I$17,M1569=phu!$I$18,M1569=phu!$I$19,M1569=phu!$I$20,M1569=phu!$I$21),"Cam Phúc Bắc",""),IF(OR(M1569=phu!$I$22,M1569=phu!$I$23,M1569=phu!$I$24,M1569=phu!$I$25),"Cam Phúc Nam",""),IF(OR(M1569=phu!$I$26,M1569=phu!$I$27,M1569=phu!$I$28,M1569=phu!$I$29,M1569=phu!$I$30,M1569=phu!$I$31),"Cam Phú",""),IF(OR(M1569=phu!$I$32,M1569=phu!$I$33,M1569=phu!$I$34,M1569=phu!$I$35,M1569=phu!$I$36,M1569=phu!$I$37),"Cam Lộc",""),IF(OR(M1569=phu!$I$38,M1569=phu!$I$39,M1569=phu!$I$40,M1569=phu!$I$41,M1569=phu!$I$42,M1569=phu!$I$43,M1569=phu!$I$44),"Cam Thuận",""),IF(OR(M1569=phu!$I$45,M1569=phu!$I$46,M1569=phu!$I$47,M1569=phu!$I$48,M1569=phu!$I$49,M1569=phu!$I$50,M1569=phu!$I$51,M1569=phu!$I$52,M1569=phu!$I$53),"Cam Linh",""),IF(OR(M1569=phu!$I$54,M1569=phu!$I$55,M1569=phu!$I$56,M1569=phu!$I$57,M1569=phu!$I$58,M1569=phu!$I$59,M1569=phu!$I$60,M1569=phu!$I$61,M1569=phu!$I$62),"Cam Lợi",""),IF(OR(M1569=phu!$I$63,M1569=phu!$I$64,M1569=phu!$I$65,M1569=phu!$I$66,M1569=phu!$I$67,M1569=phu!$I$68,M1569=phu!$I$69,M1569=phu!$I$70,M1569=phu!$I$71),"Ba Ngòi",""),IF(OR(M1569=phu!$I$72,M1569=phu!$I$73,M1569=phu!$I$74,M1569=phu!$I$75,M1569=phu!$I$76,M1569=phu!$I$77,M1569=phu!$I$78),"Cam Phước Đông",""),IF(OR(M1569=phu!$I$79,M1569=phu!$I$80,M1569=phu!$I$81,M1569=phu!$I$82,M1569=phu!$I$83,M1569=phu!$I$84),"Cam Thịnh Đông",""),IF(OR(M1569=phu!$I$85,M1569=phu!$I$86,M1569=phu!$I$87,M1569=phu!$I$88),"Cam Thịnh Tây",""),IF(OR(M1569=phu!$I$89,M1569=phu!$I$90),"Cam Lập",""),IF(OR(M1569=phu!$I$91,M1569=phu!$I$92,M1569=phu!$I$93),"Cam Bình",""),IF(OR(M1569=phu!$I$94,M1569=phu!$I$95,M1569=phu!$I$96,M1569=phu!$I$97,M1569=phu!$I$98,M1569=phu!$I$99,M1569=phu!$I$100),"Huyện khác",""),IF(OR(M1569=phu!$I$101,M1569=phu!$I$102),"Tỉnh khác",""))</f>
        <v/>
      </c>
      <c r="O1569" s="814" t="str">
        <f t="shared" si="145"/>
        <v/>
      </c>
      <c r="P1569" s="254"/>
      <c r="Q1569" s="254"/>
      <c r="R1569" s="254"/>
      <c r="S1569" s="254"/>
      <c r="T1569" s="254"/>
      <c r="U1569" s="254"/>
      <c r="V1569" s="254"/>
      <c r="W1569" s="254"/>
      <c r="Y1569" s="246" t="str">
        <f t="shared" si="146"/>
        <v/>
      </c>
      <c r="Z1569" s="247" t="str">
        <f t="shared" si="144"/>
        <v/>
      </c>
      <c r="AA1569" s="246" t="str">
        <f t="shared" si="147"/>
        <v/>
      </c>
    </row>
    <row r="1570" spans="1:27" x14ac:dyDescent="0.25">
      <c r="A1570" s="248" t="str">
        <f t="shared" si="148"/>
        <v/>
      </c>
      <c r="B1570" s="249" t="str">
        <f t="shared" si="149"/>
        <v/>
      </c>
      <c r="C1570" s="250"/>
      <c r="D1570" s="251"/>
      <c r="E1570" s="241"/>
      <c r="F1570" s="252"/>
      <c r="G1570" s="252"/>
      <c r="H1570" s="253"/>
      <c r="I1570" s="250"/>
      <c r="J1570" s="250"/>
      <c r="K1570" s="270"/>
      <c r="L1570" s="250"/>
      <c r="M1570" s="250"/>
      <c r="N1570" s="553" t="str">
        <f>CONCATENATE(IF(OR(M1570=phu!$I$1,M1570=phu!$I$2,M1570=phu!$I$3),"Cam Thành Nam",""),IF(OR(M1570=phu!$I$4,M1570=phu!$I$5,M1570=phu!$I$6,M1570=phu!$I$7,M1570=phu!$I$8,M1570=phu!$I$9,M1570=phu!$I$10,M1570=phu!$I$11,M1570=phu!$I$12,M1570=phu!$I$13,M1570=phu!$I$14),"Cam Nghĩa",""),IF(OR(M1570=phu!$I$15,M1570=phu!$I$16,M1570=phu!$I$17,M1570=phu!$I$18,M1570=phu!$I$19,M1570=phu!$I$20,M1570=phu!$I$21),"Cam Phúc Bắc",""),IF(OR(M1570=phu!$I$22,M1570=phu!$I$23,M1570=phu!$I$24,M1570=phu!$I$25),"Cam Phúc Nam",""),IF(OR(M1570=phu!$I$26,M1570=phu!$I$27,M1570=phu!$I$28,M1570=phu!$I$29,M1570=phu!$I$30,M1570=phu!$I$31),"Cam Phú",""),IF(OR(M1570=phu!$I$32,M1570=phu!$I$33,M1570=phu!$I$34,M1570=phu!$I$35,M1570=phu!$I$36,M1570=phu!$I$37),"Cam Lộc",""),IF(OR(M1570=phu!$I$38,M1570=phu!$I$39,M1570=phu!$I$40,M1570=phu!$I$41,M1570=phu!$I$42,M1570=phu!$I$43,M1570=phu!$I$44),"Cam Thuận",""),IF(OR(M1570=phu!$I$45,M1570=phu!$I$46,M1570=phu!$I$47,M1570=phu!$I$48,M1570=phu!$I$49,M1570=phu!$I$50,M1570=phu!$I$51,M1570=phu!$I$52,M1570=phu!$I$53),"Cam Linh",""),IF(OR(M1570=phu!$I$54,M1570=phu!$I$55,M1570=phu!$I$56,M1570=phu!$I$57,M1570=phu!$I$58,M1570=phu!$I$59,M1570=phu!$I$60,M1570=phu!$I$61,M1570=phu!$I$62),"Cam Lợi",""),IF(OR(M1570=phu!$I$63,M1570=phu!$I$64,M1570=phu!$I$65,M1570=phu!$I$66,M1570=phu!$I$67,M1570=phu!$I$68,M1570=phu!$I$69,M1570=phu!$I$70,M1570=phu!$I$71),"Ba Ngòi",""),IF(OR(M1570=phu!$I$72,M1570=phu!$I$73,M1570=phu!$I$74,M1570=phu!$I$75,M1570=phu!$I$76,M1570=phu!$I$77,M1570=phu!$I$78),"Cam Phước Đông",""),IF(OR(M1570=phu!$I$79,M1570=phu!$I$80,M1570=phu!$I$81,M1570=phu!$I$82,M1570=phu!$I$83,M1570=phu!$I$84),"Cam Thịnh Đông",""),IF(OR(M1570=phu!$I$85,M1570=phu!$I$86,M1570=phu!$I$87,M1570=phu!$I$88),"Cam Thịnh Tây",""),IF(OR(M1570=phu!$I$89,M1570=phu!$I$90),"Cam Lập",""),IF(OR(M1570=phu!$I$91,M1570=phu!$I$92,M1570=phu!$I$93),"Cam Bình",""),IF(OR(M1570=phu!$I$94,M1570=phu!$I$95,M1570=phu!$I$96,M1570=phu!$I$97,M1570=phu!$I$98,M1570=phu!$I$99,M1570=phu!$I$100),"Huyện khác",""),IF(OR(M1570=phu!$I$101,M1570=phu!$I$102),"Tỉnh khác",""))</f>
        <v/>
      </c>
      <c r="O1570" s="814" t="str">
        <f t="shared" si="145"/>
        <v/>
      </c>
      <c r="P1570" s="254"/>
      <c r="Q1570" s="254"/>
      <c r="R1570" s="254"/>
      <c r="S1570" s="254"/>
      <c r="T1570" s="254"/>
      <c r="U1570" s="254"/>
      <c r="V1570" s="254"/>
      <c r="W1570" s="254"/>
      <c r="Y1570" s="246" t="str">
        <f t="shared" si="146"/>
        <v/>
      </c>
      <c r="Z1570" s="247" t="str">
        <f t="shared" si="144"/>
        <v/>
      </c>
      <c r="AA1570" s="246" t="str">
        <f t="shared" si="147"/>
        <v/>
      </c>
    </row>
    <row r="1571" spans="1:27" x14ac:dyDescent="0.25">
      <c r="A1571" s="248" t="str">
        <f t="shared" si="148"/>
        <v/>
      </c>
      <c r="B1571" s="249" t="str">
        <f t="shared" si="149"/>
        <v/>
      </c>
      <c r="C1571" s="250"/>
      <c r="D1571" s="251"/>
      <c r="E1571" s="241"/>
      <c r="F1571" s="252"/>
      <c r="G1571" s="252"/>
      <c r="H1571" s="253"/>
      <c r="I1571" s="250"/>
      <c r="J1571" s="250"/>
      <c r="K1571" s="270"/>
      <c r="L1571" s="250"/>
      <c r="M1571" s="250"/>
      <c r="N1571" s="553" t="str">
        <f>CONCATENATE(IF(OR(M1571=phu!$I$1,M1571=phu!$I$2,M1571=phu!$I$3),"Cam Thành Nam",""),IF(OR(M1571=phu!$I$4,M1571=phu!$I$5,M1571=phu!$I$6,M1571=phu!$I$7,M1571=phu!$I$8,M1571=phu!$I$9,M1571=phu!$I$10,M1571=phu!$I$11,M1571=phu!$I$12,M1571=phu!$I$13,M1571=phu!$I$14),"Cam Nghĩa",""),IF(OR(M1571=phu!$I$15,M1571=phu!$I$16,M1571=phu!$I$17,M1571=phu!$I$18,M1571=phu!$I$19,M1571=phu!$I$20,M1571=phu!$I$21),"Cam Phúc Bắc",""),IF(OR(M1571=phu!$I$22,M1571=phu!$I$23,M1571=phu!$I$24,M1571=phu!$I$25),"Cam Phúc Nam",""),IF(OR(M1571=phu!$I$26,M1571=phu!$I$27,M1571=phu!$I$28,M1571=phu!$I$29,M1571=phu!$I$30,M1571=phu!$I$31),"Cam Phú",""),IF(OR(M1571=phu!$I$32,M1571=phu!$I$33,M1571=phu!$I$34,M1571=phu!$I$35,M1571=phu!$I$36,M1571=phu!$I$37),"Cam Lộc",""),IF(OR(M1571=phu!$I$38,M1571=phu!$I$39,M1571=phu!$I$40,M1571=phu!$I$41,M1571=phu!$I$42,M1571=phu!$I$43,M1571=phu!$I$44),"Cam Thuận",""),IF(OR(M1571=phu!$I$45,M1571=phu!$I$46,M1571=phu!$I$47,M1571=phu!$I$48,M1571=phu!$I$49,M1571=phu!$I$50,M1571=phu!$I$51,M1571=phu!$I$52,M1571=phu!$I$53),"Cam Linh",""),IF(OR(M1571=phu!$I$54,M1571=phu!$I$55,M1571=phu!$I$56,M1571=phu!$I$57,M1571=phu!$I$58,M1571=phu!$I$59,M1571=phu!$I$60,M1571=phu!$I$61,M1571=phu!$I$62),"Cam Lợi",""),IF(OR(M1571=phu!$I$63,M1571=phu!$I$64,M1571=phu!$I$65,M1571=phu!$I$66,M1571=phu!$I$67,M1571=phu!$I$68,M1571=phu!$I$69,M1571=phu!$I$70,M1571=phu!$I$71),"Ba Ngòi",""),IF(OR(M1571=phu!$I$72,M1571=phu!$I$73,M1571=phu!$I$74,M1571=phu!$I$75,M1571=phu!$I$76,M1571=phu!$I$77,M1571=phu!$I$78),"Cam Phước Đông",""),IF(OR(M1571=phu!$I$79,M1571=phu!$I$80,M1571=phu!$I$81,M1571=phu!$I$82,M1571=phu!$I$83,M1571=phu!$I$84),"Cam Thịnh Đông",""),IF(OR(M1571=phu!$I$85,M1571=phu!$I$86,M1571=phu!$I$87,M1571=phu!$I$88),"Cam Thịnh Tây",""),IF(OR(M1571=phu!$I$89,M1571=phu!$I$90),"Cam Lập",""),IF(OR(M1571=phu!$I$91,M1571=phu!$I$92,M1571=phu!$I$93),"Cam Bình",""),IF(OR(M1571=phu!$I$94,M1571=phu!$I$95,M1571=phu!$I$96,M1571=phu!$I$97,M1571=phu!$I$98,M1571=phu!$I$99,M1571=phu!$I$100),"Huyện khác",""),IF(OR(M1571=phu!$I$101,M1571=phu!$I$102),"Tỉnh khác",""))</f>
        <v/>
      </c>
      <c r="O1571" s="814" t="str">
        <f t="shared" si="145"/>
        <v/>
      </c>
      <c r="P1571" s="254"/>
      <c r="Q1571" s="254"/>
      <c r="R1571" s="254"/>
      <c r="S1571" s="254"/>
      <c r="T1571" s="254"/>
      <c r="U1571" s="254"/>
      <c r="V1571" s="254"/>
      <c r="W1571" s="254"/>
      <c r="Y1571" s="246" t="str">
        <f t="shared" si="146"/>
        <v/>
      </c>
      <c r="Z1571" s="247" t="str">
        <f t="shared" si="144"/>
        <v/>
      </c>
      <c r="AA1571" s="246" t="str">
        <f t="shared" si="147"/>
        <v/>
      </c>
    </row>
    <row r="1572" spans="1:27" x14ac:dyDescent="0.25">
      <c r="A1572" s="248" t="str">
        <f t="shared" si="148"/>
        <v/>
      </c>
      <c r="B1572" s="249" t="str">
        <f t="shared" si="149"/>
        <v/>
      </c>
      <c r="C1572" s="250"/>
      <c r="D1572" s="251"/>
      <c r="E1572" s="241"/>
      <c r="F1572" s="252"/>
      <c r="G1572" s="252"/>
      <c r="H1572" s="253"/>
      <c r="I1572" s="250"/>
      <c r="J1572" s="250"/>
      <c r="K1572" s="270"/>
      <c r="L1572" s="250"/>
      <c r="M1572" s="250"/>
      <c r="N1572" s="553" t="str">
        <f>CONCATENATE(IF(OR(M1572=phu!$I$1,M1572=phu!$I$2,M1572=phu!$I$3),"Cam Thành Nam",""),IF(OR(M1572=phu!$I$4,M1572=phu!$I$5,M1572=phu!$I$6,M1572=phu!$I$7,M1572=phu!$I$8,M1572=phu!$I$9,M1572=phu!$I$10,M1572=phu!$I$11,M1572=phu!$I$12,M1572=phu!$I$13,M1572=phu!$I$14),"Cam Nghĩa",""),IF(OR(M1572=phu!$I$15,M1572=phu!$I$16,M1572=phu!$I$17,M1572=phu!$I$18,M1572=phu!$I$19,M1572=phu!$I$20,M1572=phu!$I$21),"Cam Phúc Bắc",""),IF(OR(M1572=phu!$I$22,M1572=phu!$I$23,M1572=phu!$I$24,M1572=phu!$I$25),"Cam Phúc Nam",""),IF(OR(M1572=phu!$I$26,M1572=phu!$I$27,M1572=phu!$I$28,M1572=phu!$I$29,M1572=phu!$I$30,M1572=phu!$I$31),"Cam Phú",""),IF(OR(M1572=phu!$I$32,M1572=phu!$I$33,M1572=phu!$I$34,M1572=phu!$I$35,M1572=phu!$I$36,M1572=phu!$I$37),"Cam Lộc",""),IF(OR(M1572=phu!$I$38,M1572=phu!$I$39,M1572=phu!$I$40,M1572=phu!$I$41,M1572=phu!$I$42,M1572=phu!$I$43,M1572=phu!$I$44),"Cam Thuận",""),IF(OR(M1572=phu!$I$45,M1572=phu!$I$46,M1572=phu!$I$47,M1572=phu!$I$48,M1572=phu!$I$49,M1572=phu!$I$50,M1572=phu!$I$51,M1572=phu!$I$52,M1572=phu!$I$53),"Cam Linh",""),IF(OR(M1572=phu!$I$54,M1572=phu!$I$55,M1572=phu!$I$56,M1572=phu!$I$57,M1572=phu!$I$58,M1572=phu!$I$59,M1572=phu!$I$60,M1572=phu!$I$61,M1572=phu!$I$62),"Cam Lợi",""),IF(OR(M1572=phu!$I$63,M1572=phu!$I$64,M1572=phu!$I$65,M1572=phu!$I$66,M1572=phu!$I$67,M1572=phu!$I$68,M1572=phu!$I$69,M1572=phu!$I$70,M1572=phu!$I$71),"Ba Ngòi",""),IF(OR(M1572=phu!$I$72,M1572=phu!$I$73,M1572=phu!$I$74,M1572=phu!$I$75,M1572=phu!$I$76,M1572=phu!$I$77,M1572=phu!$I$78),"Cam Phước Đông",""),IF(OR(M1572=phu!$I$79,M1572=phu!$I$80,M1572=phu!$I$81,M1572=phu!$I$82,M1572=phu!$I$83,M1572=phu!$I$84),"Cam Thịnh Đông",""),IF(OR(M1572=phu!$I$85,M1572=phu!$I$86,M1572=phu!$I$87,M1572=phu!$I$88),"Cam Thịnh Tây",""),IF(OR(M1572=phu!$I$89,M1572=phu!$I$90),"Cam Lập",""),IF(OR(M1572=phu!$I$91,M1572=phu!$I$92,M1572=phu!$I$93),"Cam Bình",""),IF(OR(M1572=phu!$I$94,M1572=phu!$I$95,M1572=phu!$I$96,M1572=phu!$I$97,M1572=phu!$I$98,M1572=phu!$I$99,M1572=phu!$I$100),"Huyện khác",""),IF(OR(M1572=phu!$I$101,M1572=phu!$I$102),"Tỉnh khác",""))</f>
        <v/>
      </c>
      <c r="O1572" s="814" t="str">
        <f t="shared" si="145"/>
        <v/>
      </c>
      <c r="P1572" s="254"/>
      <c r="Q1572" s="254"/>
      <c r="R1572" s="254"/>
      <c r="S1572" s="254"/>
      <c r="T1572" s="254"/>
      <c r="U1572" s="254"/>
      <c r="V1572" s="254"/>
      <c r="W1572" s="254"/>
      <c r="Y1572" s="246" t="str">
        <f t="shared" si="146"/>
        <v/>
      </c>
      <c r="Z1572" s="247" t="str">
        <f t="shared" si="144"/>
        <v/>
      </c>
      <c r="AA1572" s="246" t="str">
        <f t="shared" si="147"/>
        <v/>
      </c>
    </row>
    <row r="1573" spans="1:27" x14ac:dyDescent="0.25">
      <c r="A1573" s="248" t="str">
        <f t="shared" si="148"/>
        <v/>
      </c>
      <c r="B1573" s="249" t="str">
        <f t="shared" si="149"/>
        <v/>
      </c>
      <c r="C1573" s="250"/>
      <c r="D1573" s="251"/>
      <c r="E1573" s="241"/>
      <c r="F1573" s="252"/>
      <c r="G1573" s="252"/>
      <c r="H1573" s="253"/>
      <c r="I1573" s="250"/>
      <c r="J1573" s="250"/>
      <c r="K1573" s="270"/>
      <c r="L1573" s="250"/>
      <c r="M1573" s="250"/>
      <c r="N1573" s="553" t="str">
        <f>CONCATENATE(IF(OR(M1573=phu!$I$1,M1573=phu!$I$2,M1573=phu!$I$3),"Cam Thành Nam",""),IF(OR(M1573=phu!$I$4,M1573=phu!$I$5,M1573=phu!$I$6,M1573=phu!$I$7,M1573=phu!$I$8,M1573=phu!$I$9,M1573=phu!$I$10,M1573=phu!$I$11,M1573=phu!$I$12,M1573=phu!$I$13,M1573=phu!$I$14),"Cam Nghĩa",""),IF(OR(M1573=phu!$I$15,M1573=phu!$I$16,M1573=phu!$I$17,M1573=phu!$I$18,M1573=phu!$I$19,M1573=phu!$I$20,M1573=phu!$I$21),"Cam Phúc Bắc",""),IF(OR(M1573=phu!$I$22,M1573=phu!$I$23,M1573=phu!$I$24,M1573=phu!$I$25),"Cam Phúc Nam",""),IF(OR(M1573=phu!$I$26,M1573=phu!$I$27,M1573=phu!$I$28,M1573=phu!$I$29,M1573=phu!$I$30,M1573=phu!$I$31),"Cam Phú",""),IF(OR(M1573=phu!$I$32,M1573=phu!$I$33,M1573=phu!$I$34,M1573=phu!$I$35,M1573=phu!$I$36,M1573=phu!$I$37),"Cam Lộc",""),IF(OR(M1573=phu!$I$38,M1573=phu!$I$39,M1573=phu!$I$40,M1573=phu!$I$41,M1573=phu!$I$42,M1573=phu!$I$43,M1573=phu!$I$44),"Cam Thuận",""),IF(OR(M1573=phu!$I$45,M1573=phu!$I$46,M1573=phu!$I$47,M1573=phu!$I$48,M1573=phu!$I$49,M1573=phu!$I$50,M1573=phu!$I$51,M1573=phu!$I$52,M1573=phu!$I$53),"Cam Linh",""),IF(OR(M1573=phu!$I$54,M1573=phu!$I$55,M1573=phu!$I$56,M1573=phu!$I$57,M1573=phu!$I$58,M1573=phu!$I$59,M1573=phu!$I$60,M1573=phu!$I$61,M1573=phu!$I$62),"Cam Lợi",""),IF(OR(M1573=phu!$I$63,M1573=phu!$I$64,M1573=phu!$I$65,M1573=phu!$I$66,M1573=phu!$I$67,M1573=phu!$I$68,M1573=phu!$I$69,M1573=phu!$I$70,M1573=phu!$I$71),"Ba Ngòi",""),IF(OR(M1573=phu!$I$72,M1573=phu!$I$73,M1573=phu!$I$74,M1573=phu!$I$75,M1573=phu!$I$76,M1573=phu!$I$77,M1573=phu!$I$78),"Cam Phước Đông",""),IF(OR(M1573=phu!$I$79,M1573=phu!$I$80,M1573=phu!$I$81,M1573=phu!$I$82,M1573=phu!$I$83,M1573=phu!$I$84),"Cam Thịnh Đông",""),IF(OR(M1573=phu!$I$85,M1573=phu!$I$86,M1573=phu!$I$87,M1573=phu!$I$88),"Cam Thịnh Tây",""),IF(OR(M1573=phu!$I$89,M1573=phu!$I$90),"Cam Lập",""),IF(OR(M1573=phu!$I$91,M1573=phu!$I$92,M1573=phu!$I$93),"Cam Bình",""),IF(OR(M1573=phu!$I$94,M1573=phu!$I$95,M1573=phu!$I$96,M1573=phu!$I$97,M1573=phu!$I$98,M1573=phu!$I$99,M1573=phu!$I$100),"Huyện khác",""),IF(OR(M1573=phu!$I$101,M1573=phu!$I$102),"Tỉnh khác",""))</f>
        <v/>
      </c>
      <c r="O1573" s="814" t="str">
        <f t="shared" si="145"/>
        <v/>
      </c>
      <c r="P1573" s="254"/>
      <c r="Q1573" s="254"/>
      <c r="R1573" s="254"/>
      <c r="S1573" s="254"/>
      <c r="T1573" s="254"/>
      <c r="U1573" s="254"/>
      <c r="V1573" s="254"/>
      <c r="W1573" s="254"/>
      <c r="Y1573" s="246" t="str">
        <f t="shared" si="146"/>
        <v/>
      </c>
      <c r="Z1573" s="247" t="str">
        <f t="shared" si="144"/>
        <v/>
      </c>
      <c r="AA1573" s="246" t="str">
        <f t="shared" si="147"/>
        <v/>
      </c>
    </row>
    <row r="1574" spans="1:27" x14ac:dyDescent="0.25">
      <c r="A1574" s="248" t="str">
        <f t="shared" si="148"/>
        <v/>
      </c>
      <c r="B1574" s="249" t="str">
        <f t="shared" si="149"/>
        <v/>
      </c>
      <c r="C1574" s="250"/>
      <c r="D1574" s="251"/>
      <c r="E1574" s="241"/>
      <c r="F1574" s="252"/>
      <c r="G1574" s="252"/>
      <c r="H1574" s="253"/>
      <c r="I1574" s="250"/>
      <c r="J1574" s="250"/>
      <c r="K1574" s="270"/>
      <c r="L1574" s="250"/>
      <c r="M1574" s="250"/>
      <c r="N1574" s="553" t="str">
        <f>CONCATENATE(IF(OR(M1574=phu!$I$1,M1574=phu!$I$2,M1574=phu!$I$3),"Cam Thành Nam",""),IF(OR(M1574=phu!$I$4,M1574=phu!$I$5,M1574=phu!$I$6,M1574=phu!$I$7,M1574=phu!$I$8,M1574=phu!$I$9,M1574=phu!$I$10,M1574=phu!$I$11,M1574=phu!$I$12,M1574=phu!$I$13,M1574=phu!$I$14),"Cam Nghĩa",""),IF(OR(M1574=phu!$I$15,M1574=phu!$I$16,M1574=phu!$I$17,M1574=phu!$I$18,M1574=phu!$I$19,M1574=phu!$I$20,M1574=phu!$I$21),"Cam Phúc Bắc",""),IF(OR(M1574=phu!$I$22,M1574=phu!$I$23,M1574=phu!$I$24,M1574=phu!$I$25),"Cam Phúc Nam",""),IF(OR(M1574=phu!$I$26,M1574=phu!$I$27,M1574=phu!$I$28,M1574=phu!$I$29,M1574=phu!$I$30,M1574=phu!$I$31),"Cam Phú",""),IF(OR(M1574=phu!$I$32,M1574=phu!$I$33,M1574=phu!$I$34,M1574=phu!$I$35,M1574=phu!$I$36,M1574=phu!$I$37),"Cam Lộc",""),IF(OR(M1574=phu!$I$38,M1574=phu!$I$39,M1574=phu!$I$40,M1574=phu!$I$41,M1574=phu!$I$42,M1574=phu!$I$43,M1574=phu!$I$44),"Cam Thuận",""),IF(OR(M1574=phu!$I$45,M1574=phu!$I$46,M1574=phu!$I$47,M1574=phu!$I$48,M1574=phu!$I$49,M1574=phu!$I$50,M1574=phu!$I$51,M1574=phu!$I$52,M1574=phu!$I$53),"Cam Linh",""),IF(OR(M1574=phu!$I$54,M1574=phu!$I$55,M1574=phu!$I$56,M1574=phu!$I$57,M1574=phu!$I$58,M1574=phu!$I$59,M1574=phu!$I$60,M1574=phu!$I$61,M1574=phu!$I$62),"Cam Lợi",""),IF(OR(M1574=phu!$I$63,M1574=phu!$I$64,M1574=phu!$I$65,M1574=phu!$I$66,M1574=phu!$I$67,M1574=phu!$I$68,M1574=phu!$I$69,M1574=phu!$I$70,M1574=phu!$I$71),"Ba Ngòi",""),IF(OR(M1574=phu!$I$72,M1574=phu!$I$73,M1574=phu!$I$74,M1574=phu!$I$75,M1574=phu!$I$76,M1574=phu!$I$77,M1574=phu!$I$78),"Cam Phước Đông",""),IF(OR(M1574=phu!$I$79,M1574=phu!$I$80,M1574=phu!$I$81,M1574=phu!$I$82,M1574=phu!$I$83,M1574=phu!$I$84),"Cam Thịnh Đông",""),IF(OR(M1574=phu!$I$85,M1574=phu!$I$86,M1574=phu!$I$87,M1574=phu!$I$88),"Cam Thịnh Tây",""),IF(OR(M1574=phu!$I$89,M1574=phu!$I$90),"Cam Lập",""),IF(OR(M1574=phu!$I$91,M1574=phu!$I$92,M1574=phu!$I$93),"Cam Bình",""),IF(OR(M1574=phu!$I$94,M1574=phu!$I$95,M1574=phu!$I$96,M1574=phu!$I$97,M1574=phu!$I$98,M1574=phu!$I$99,M1574=phu!$I$100),"Huyện khác",""),IF(OR(M1574=phu!$I$101,M1574=phu!$I$102),"Tỉnh khác",""))</f>
        <v/>
      </c>
      <c r="O1574" s="814" t="str">
        <f t="shared" si="145"/>
        <v/>
      </c>
      <c r="P1574" s="254"/>
      <c r="Q1574" s="254"/>
      <c r="R1574" s="254"/>
      <c r="S1574" s="254"/>
      <c r="T1574" s="254"/>
      <c r="U1574" s="254"/>
      <c r="V1574" s="254"/>
      <c r="W1574" s="254"/>
      <c r="Y1574" s="246" t="str">
        <f t="shared" si="146"/>
        <v/>
      </c>
      <c r="Z1574" s="247" t="str">
        <f t="shared" si="144"/>
        <v/>
      </c>
      <c r="AA1574" s="246" t="str">
        <f t="shared" si="147"/>
        <v/>
      </c>
    </row>
    <row r="1575" spans="1:27" x14ac:dyDescent="0.25">
      <c r="A1575" s="248" t="str">
        <f t="shared" si="148"/>
        <v/>
      </c>
      <c r="B1575" s="249" t="str">
        <f t="shared" si="149"/>
        <v/>
      </c>
      <c r="C1575" s="250"/>
      <c r="D1575" s="251"/>
      <c r="E1575" s="241"/>
      <c r="F1575" s="252"/>
      <c r="G1575" s="252"/>
      <c r="H1575" s="253"/>
      <c r="I1575" s="250"/>
      <c r="J1575" s="250"/>
      <c r="K1575" s="270"/>
      <c r="L1575" s="250"/>
      <c r="M1575" s="250"/>
      <c r="N1575" s="553" t="str">
        <f>CONCATENATE(IF(OR(M1575=phu!$I$1,M1575=phu!$I$2,M1575=phu!$I$3),"Cam Thành Nam",""),IF(OR(M1575=phu!$I$4,M1575=phu!$I$5,M1575=phu!$I$6,M1575=phu!$I$7,M1575=phu!$I$8,M1575=phu!$I$9,M1575=phu!$I$10,M1575=phu!$I$11,M1575=phu!$I$12,M1575=phu!$I$13,M1575=phu!$I$14),"Cam Nghĩa",""),IF(OR(M1575=phu!$I$15,M1575=phu!$I$16,M1575=phu!$I$17,M1575=phu!$I$18,M1575=phu!$I$19,M1575=phu!$I$20,M1575=phu!$I$21),"Cam Phúc Bắc",""),IF(OR(M1575=phu!$I$22,M1575=phu!$I$23,M1575=phu!$I$24,M1575=phu!$I$25),"Cam Phúc Nam",""),IF(OR(M1575=phu!$I$26,M1575=phu!$I$27,M1575=phu!$I$28,M1575=phu!$I$29,M1575=phu!$I$30,M1575=phu!$I$31),"Cam Phú",""),IF(OR(M1575=phu!$I$32,M1575=phu!$I$33,M1575=phu!$I$34,M1575=phu!$I$35,M1575=phu!$I$36,M1575=phu!$I$37),"Cam Lộc",""),IF(OR(M1575=phu!$I$38,M1575=phu!$I$39,M1575=phu!$I$40,M1575=phu!$I$41,M1575=phu!$I$42,M1575=phu!$I$43,M1575=phu!$I$44),"Cam Thuận",""),IF(OR(M1575=phu!$I$45,M1575=phu!$I$46,M1575=phu!$I$47,M1575=phu!$I$48,M1575=phu!$I$49,M1575=phu!$I$50,M1575=phu!$I$51,M1575=phu!$I$52,M1575=phu!$I$53),"Cam Linh",""),IF(OR(M1575=phu!$I$54,M1575=phu!$I$55,M1575=phu!$I$56,M1575=phu!$I$57,M1575=phu!$I$58,M1575=phu!$I$59,M1575=phu!$I$60,M1575=phu!$I$61,M1575=phu!$I$62),"Cam Lợi",""),IF(OR(M1575=phu!$I$63,M1575=phu!$I$64,M1575=phu!$I$65,M1575=phu!$I$66,M1575=phu!$I$67,M1575=phu!$I$68,M1575=phu!$I$69,M1575=phu!$I$70,M1575=phu!$I$71),"Ba Ngòi",""),IF(OR(M1575=phu!$I$72,M1575=phu!$I$73,M1575=phu!$I$74,M1575=phu!$I$75,M1575=phu!$I$76,M1575=phu!$I$77,M1575=phu!$I$78),"Cam Phước Đông",""),IF(OR(M1575=phu!$I$79,M1575=phu!$I$80,M1575=phu!$I$81,M1575=phu!$I$82,M1575=phu!$I$83,M1575=phu!$I$84),"Cam Thịnh Đông",""),IF(OR(M1575=phu!$I$85,M1575=phu!$I$86,M1575=phu!$I$87,M1575=phu!$I$88),"Cam Thịnh Tây",""),IF(OR(M1575=phu!$I$89,M1575=phu!$I$90),"Cam Lập",""),IF(OR(M1575=phu!$I$91,M1575=phu!$I$92,M1575=phu!$I$93),"Cam Bình",""),IF(OR(M1575=phu!$I$94,M1575=phu!$I$95,M1575=phu!$I$96,M1575=phu!$I$97,M1575=phu!$I$98,M1575=phu!$I$99,M1575=phu!$I$100),"Huyện khác",""),IF(OR(M1575=phu!$I$101,M1575=phu!$I$102),"Tỉnh khác",""))</f>
        <v/>
      </c>
      <c r="O1575" s="814" t="str">
        <f t="shared" si="145"/>
        <v/>
      </c>
      <c r="P1575" s="254"/>
      <c r="Q1575" s="254"/>
      <c r="R1575" s="254"/>
      <c r="S1575" s="254"/>
      <c r="T1575" s="254"/>
      <c r="U1575" s="254"/>
      <c r="V1575" s="254"/>
      <c r="W1575" s="254"/>
      <c r="Y1575" s="246" t="str">
        <f t="shared" si="146"/>
        <v/>
      </c>
      <c r="Z1575" s="247" t="str">
        <f t="shared" si="144"/>
        <v/>
      </c>
      <c r="AA1575" s="246" t="str">
        <f t="shared" si="147"/>
        <v/>
      </c>
    </row>
    <row r="1576" spans="1:27" x14ac:dyDescent="0.25">
      <c r="A1576" s="248" t="str">
        <f t="shared" si="148"/>
        <v/>
      </c>
      <c r="B1576" s="249" t="str">
        <f t="shared" si="149"/>
        <v/>
      </c>
      <c r="C1576" s="250"/>
      <c r="D1576" s="251"/>
      <c r="E1576" s="241"/>
      <c r="F1576" s="252"/>
      <c r="G1576" s="252"/>
      <c r="H1576" s="253"/>
      <c r="I1576" s="250"/>
      <c r="J1576" s="250"/>
      <c r="K1576" s="270"/>
      <c r="L1576" s="250"/>
      <c r="M1576" s="250"/>
      <c r="N1576" s="553" t="str">
        <f>CONCATENATE(IF(OR(M1576=phu!$I$1,M1576=phu!$I$2,M1576=phu!$I$3),"Cam Thành Nam",""),IF(OR(M1576=phu!$I$4,M1576=phu!$I$5,M1576=phu!$I$6,M1576=phu!$I$7,M1576=phu!$I$8,M1576=phu!$I$9,M1576=phu!$I$10,M1576=phu!$I$11,M1576=phu!$I$12,M1576=phu!$I$13,M1576=phu!$I$14),"Cam Nghĩa",""),IF(OR(M1576=phu!$I$15,M1576=phu!$I$16,M1576=phu!$I$17,M1576=phu!$I$18,M1576=phu!$I$19,M1576=phu!$I$20,M1576=phu!$I$21),"Cam Phúc Bắc",""),IF(OR(M1576=phu!$I$22,M1576=phu!$I$23,M1576=phu!$I$24,M1576=phu!$I$25),"Cam Phúc Nam",""),IF(OR(M1576=phu!$I$26,M1576=phu!$I$27,M1576=phu!$I$28,M1576=phu!$I$29,M1576=phu!$I$30,M1576=phu!$I$31),"Cam Phú",""),IF(OR(M1576=phu!$I$32,M1576=phu!$I$33,M1576=phu!$I$34,M1576=phu!$I$35,M1576=phu!$I$36,M1576=phu!$I$37),"Cam Lộc",""),IF(OR(M1576=phu!$I$38,M1576=phu!$I$39,M1576=phu!$I$40,M1576=phu!$I$41,M1576=phu!$I$42,M1576=phu!$I$43,M1576=phu!$I$44),"Cam Thuận",""),IF(OR(M1576=phu!$I$45,M1576=phu!$I$46,M1576=phu!$I$47,M1576=phu!$I$48,M1576=phu!$I$49,M1576=phu!$I$50,M1576=phu!$I$51,M1576=phu!$I$52,M1576=phu!$I$53),"Cam Linh",""),IF(OR(M1576=phu!$I$54,M1576=phu!$I$55,M1576=phu!$I$56,M1576=phu!$I$57,M1576=phu!$I$58,M1576=phu!$I$59,M1576=phu!$I$60,M1576=phu!$I$61,M1576=phu!$I$62),"Cam Lợi",""),IF(OR(M1576=phu!$I$63,M1576=phu!$I$64,M1576=phu!$I$65,M1576=phu!$I$66,M1576=phu!$I$67,M1576=phu!$I$68,M1576=phu!$I$69,M1576=phu!$I$70,M1576=phu!$I$71),"Ba Ngòi",""),IF(OR(M1576=phu!$I$72,M1576=phu!$I$73,M1576=phu!$I$74,M1576=phu!$I$75,M1576=phu!$I$76,M1576=phu!$I$77,M1576=phu!$I$78),"Cam Phước Đông",""),IF(OR(M1576=phu!$I$79,M1576=phu!$I$80,M1576=phu!$I$81,M1576=phu!$I$82,M1576=phu!$I$83,M1576=phu!$I$84),"Cam Thịnh Đông",""),IF(OR(M1576=phu!$I$85,M1576=phu!$I$86,M1576=phu!$I$87,M1576=phu!$I$88),"Cam Thịnh Tây",""),IF(OR(M1576=phu!$I$89,M1576=phu!$I$90),"Cam Lập",""),IF(OR(M1576=phu!$I$91,M1576=phu!$I$92,M1576=phu!$I$93),"Cam Bình",""),IF(OR(M1576=phu!$I$94,M1576=phu!$I$95,M1576=phu!$I$96,M1576=phu!$I$97,M1576=phu!$I$98,M1576=phu!$I$99,M1576=phu!$I$100),"Huyện khác",""),IF(OR(M1576=phu!$I$101,M1576=phu!$I$102),"Tỉnh khác",""))</f>
        <v/>
      </c>
      <c r="O1576" s="814" t="str">
        <f t="shared" si="145"/>
        <v/>
      </c>
      <c r="P1576" s="254"/>
      <c r="Q1576" s="254"/>
      <c r="R1576" s="254"/>
      <c r="S1576" s="254"/>
      <c r="T1576" s="254"/>
      <c r="U1576" s="254"/>
      <c r="V1576" s="254"/>
      <c r="W1576" s="254"/>
      <c r="Y1576" s="246" t="str">
        <f t="shared" si="146"/>
        <v/>
      </c>
      <c r="Z1576" s="247" t="str">
        <f t="shared" si="144"/>
        <v/>
      </c>
      <c r="AA1576" s="246" t="str">
        <f t="shared" si="147"/>
        <v/>
      </c>
    </row>
    <row r="1577" spans="1:27" x14ac:dyDescent="0.25">
      <c r="A1577" s="248" t="str">
        <f t="shared" si="148"/>
        <v/>
      </c>
      <c r="B1577" s="249" t="str">
        <f t="shared" si="149"/>
        <v/>
      </c>
      <c r="C1577" s="250"/>
      <c r="D1577" s="251"/>
      <c r="E1577" s="241"/>
      <c r="F1577" s="252"/>
      <c r="G1577" s="252"/>
      <c r="H1577" s="253"/>
      <c r="I1577" s="250"/>
      <c r="J1577" s="250"/>
      <c r="K1577" s="270"/>
      <c r="L1577" s="250"/>
      <c r="M1577" s="250"/>
      <c r="N1577" s="553" t="str">
        <f>CONCATENATE(IF(OR(M1577=phu!$I$1,M1577=phu!$I$2,M1577=phu!$I$3),"Cam Thành Nam",""),IF(OR(M1577=phu!$I$4,M1577=phu!$I$5,M1577=phu!$I$6,M1577=phu!$I$7,M1577=phu!$I$8,M1577=phu!$I$9,M1577=phu!$I$10,M1577=phu!$I$11,M1577=phu!$I$12,M1577=phu!$I$13,M1577=phu!$I$14),"Cam Nghĩa",""),IF(OR(M1577=phu!$I$15,M1577=phu!$I$16,M1577=phu!$I$17,M1577=phu!$I$18,M1577=phu!$I$19,M1577=phu!$I$20,M1577=phu!$I$21),"Cam Phúc Bắc",""),IF(OR(M1577=phu!$I$22,M1577=phu!$I$23,M1577=phu!$I$24,M1577=phu!$I$25),"Cam Phúc Nam",""),IF(OR(M1577=phu!$I$26,M1577=phu!$I$27,M1577=phu!$I$28,M1577=phu!$I$29,M1577=phu!$I$30,M1577=phu!$I$31),"Cam Phú",""),IF(OR(M1577=phu!$I$32,M1577=phu!$I$33,M1577=phu!$I$34,M1577=phu!$I$35,M1577=phu!$I$36,M1577=phu!$I$37),"Cam Lộc",""),IF(OR(M1577=phu!$I$38,M1577=phu!$I$39,M1577=phu!$I$40,M1577=phu!$I$41,M1577=phu!$I$42,M1577=phu!$I$43,M1577=phu!$I$44),"Cam Thuận",""),IF(OR(M1577=phu!$I$45,M1577=phu!$I$46,M1577=phu!$I$47,M1577=phu!$I$48,M1577=phu!$I$49,M1577=phu!$I$50,M1577=phu!$I$51,M1577=phu!$I$52,M1577=phu!$I$53),"Cam Linh",""),IF(OR(M1577=phu!$I$54,M1577=phu!$I$55,M1577=phu!$I$56,M1577=phu!$I$57,M1577=phu!$I$58,M1577=phu!$I$59,M1577=phu!$I$60,M1577=phu!$I$61,M1577=phu!$I$62),"Cam Lợi",""),IF(OR(M1577=phu!$I$63,M1577=phu!$I$64,M1577=phu!$I$65,M1577=phu!$I$66,M1577=phu!$I$67,M1577=phu!$I$68,M1577=phu!$I$69,M1577=phu!$I$70,M1577=phu!$I$71),"Ba Ngòi",""),IF(OR(M1577=phu!$I$72,M1577=phu!$I$73,M1577=phu!$I$74,M1577=phu!$I$75,M1577=phu!$I$76,M1577=phu!$I$77,M1577=phu!$I$78),"Cam Phước Đông",""),IF(OR(M1577=phu!$I$79,M1577=phu!$I$80,M1577=phu!$I$81,M1577=phu!$I$82,M1577=phu!$I$83,M1577=phu!$I$84),"Cam Thịnh Đông",""),IF(OR(M1577=phu!$I$85,M1577=phu!$I$86,M1577=phu!$I$87,M1577=phu!$I$88),"Cam Thịnh Tây",""),IF(OR(M1577=phu!$I$89,M1577=phu!$I$90),"Cam Lập",""),IF(OR(M1577=phu!$I$91,M1577=phu!$I$92,M1577=phu!$I$93),"Cam Bình",""),IF(OR(M1577=phu!$I$94,M1577=phu!$I$95,M1577=phu!$I$96,M1577=phu!$I$97,M1577=phu!$I$98,M1577=phu!$I$99,M1577=phu!$I$100),"Huyện khác",""),IF(OR(M1577=phu!$I$101,M1577=phu!$I$102),"Tỉnh khác",""))</f>
        <v/>
      </c>
      <c r="O1577" s="814" t="str">
        <f t="shared" si="145"/>
        <v/>
      </c>
      <c r="P1577" s="254"/>
      <c r="Q1577" s="254"/>
      <c r="R1577" s="254"/>
      <c r="S1577" s="254"/>
      <c r="T1577" s="254"/>
      <c r="U1577" s="254"/>
      <c r="V1577" s="254"/>
      <c r="W1577" s="254"/>
      <c r="Y1577" s="246" t="str">
        <f t="shared" si="146"/>
        <v/>
      </c>
      <c r="Z1577" s="247" t="str">
        <f t="shared" si="144"/>
        <v/>
      </c>
      <c r="AA1577" s="246" t="str">
        <f t="shared" si="147"/>
        <v/>
      </c>
    </row>
    <row r="1578" spans="1:27" x14ac:dyDescent="0.25">
      <c r="A1578" s="248" t="str">
        <f t="shared" si="148"/>
        <v/>
      </c>
      <c r="B1578" s="249" t="str">
        <f t="shared" si="149"/>
        <v/>
      </c>
      <c r="C1578" s="250"/>
      <c r="D1578" s="251"/>
      <c r="E1578" s="241"/>
      <c r="F1578" s="252"/>
      <c r="G1578" s="252"/>
      <c r="H1578" s="253"/>
      <c r="I1578" s="250"/>
      <c r="J1578" s="250"/>
      <c r="K1578" s="270"/>
      <c r="L1578" s="250"/>
      <c r="M1578" s="250"/>
      <c r="N1578" s="553" t="str">
        <f>CONCATENATE(IF(OR(M1578=phu!$I$1,M1578=phu!$I$2,M1578=phu!$I$3),"Cam Thành Nam",""),IF(OR(M1578=phu!$I$4,M1578=phu!$I$5,M1578=phu!$I$6,M1578=phu!$I$7,M1578=phu!$I$8,M1578=phu!$I$9,M1578=phu!$I$10,M1578=phu!$I$11,M1578=phu!$I$12,M1578=phu!$I$13,M1578=phu!$I$14),"Cam Nghĩa",""),IF(OR(M1578=phu!$I$15,M1578=phu!$I$16,M1578=phu!$I$17,M1578=phu!$I$18,M1578=phu!$I$19,M1578=phu!$I$20,M1578=phu!$I$21),"Cam Phúc Bắc",""),IF(OR(M1578=phu!$I$22,M1578=phu!$I$23,M1578=phu!$I$24,M1578=phu!$I$25),"Cam Phúc Nam",""),IF(OR(M1578=phu!$I$26,M1578=phu!$I$27,M1578=phu!$I$28,M1578=phu!$I$29,M1578=phu!$I$30,M1578=phu!$I$31),"Cam Phú",""),IF(OR(M1578=phu!$I$32,M1578=phu!$I$33,M1578=phu!$I$34,M1578=phu!$I$35,M1578=phu!$I$36,M1578=phu!$I$37),"Cam Lộc",""),IF(OR(M1578=phu!$I$38,M1578=phu!$I$39,M1578=phu!$I$40,M1578=phu!$I$41,M1578=phu!$I$42,M1578=phu!$I$43,M1578=phu!$I$44),"Cam Thuận",""),IF(OR(M1578=phu!$I$45,M1578=phu!$I$46,M1578=phu!$I$47,M1578=phu!$I$48,M1578=phu!$I$49,M1578=phu!$I$50,M1578=phu!$I$51,M1578=phu!$I$52,M1578=phu!$I$53),"Cam Linh",""),IF(OR(M1578=phu!$I$54,M1578=phu!$I$55,M1578=phu!$I$56,M1578=phu!$I$57,M1578=phu!$I$58,M1578=phu!$I$59,M1578=phu!$I$60,M1578=phu!$I$61,M1578=phu!$I$62),"Cam Lợi",""),IF(OR(M1578=phu!$I$63,M1578=phu!$I$64,M1578=phu!$I$65,M1578=phu!$I$66,M1578=phu!$I$67,M1578=phu!$I$68,M1578=phu!$I$69,M1578=phu!$I$70,M1578=phu!$I$71),"Ba Ngòi",""),IF(OR(M1578=phu!$I$72,M1578=phu!$I$73,M1578=phu!$I$74,M1578=phu!$I$75,M1578=phu!$I$76,M1578=phu!$I$77,M1578=phu!$I$78),"Cam Phước Đông",""),IF(OR(M1578=phu!$I$79,M1578=phu!$I$80,M1578=phu!$I$81,M1578=phu!$I$82,M1578=phu!$I$83,M1578=phu!$I$84),"Cam Thịnh Đông",""),IF(OR(M1578=phu!$I$85,M1578=phu!$I$86,M1578=phu!$I$87,M1578=phu!$I$88),"Cam Thịnh Tây",""),IF(OR(M1578=phu!$I$89,M1578=phu!$I$90),"Cam Lập",""),IF(OR(M1578=phu!$I$91,M1578=phu!$I$92,M1578=phu!$I$93),"Cam Bình",""),IF(OR(M1578=phu!$I$94,M1578=phu!$I$95,M1578=phu!$I$96,M1578=phu!$I$97,M1578=phu!$I$98,M1578=phu!$I$99,M1578=phu!$I$100),"Huyện khác",""),IF(OR(M1578=phu!$I$101,M1578=phu!$I$102),"Tỉnh khác",""))</f>
        <v/>
      </c>
      <c r="O1578" s="814" t="str">
        <f t="shared" si="145"/>
        <v/>
      </c>
      <c r="P1578" s="254"/>
      <c r="Q1578" s="254"/>
      <c r="R1578" s="254"/>
      <c r="S1578" s="254"/>
      <c r="T1578" s="254"/>
      <c r="U1578" s="254"/>
      <c r="V1578" s="254"/>
      <c r="W1578" s="254"/>
      <c r="Y1578" s="246" t="str">
        <f t="shared" si="146"/>
        <v/>
      </c>
      <c r="Z1578" s="247" t="str">
        <f t="shared" si="144"/>
        <v/>
      </c>
      <c r="AA1578" s="246" t="str">
        <f t="shared" si="147"/>
        <v/>
      </c>
    </row>
    <row r="1579" spans="1:27" x14ac:dyDescent="0.25">
      <c r="A1579" s="248" t="str">
        <f t="shared" si="148"/>
        <v/>
      </c>
      <c r="B1579" s="249" t="str">
        <f t="shared" si="149"/>
        <v/>
      </c>
      <c r="C1579" s="250"/>
      <c r="D1579" s="251"/>
      <c r="E1579" s="241"/>
      <c r="F1579" s="252"/>
      <c r="G1579" s="252"/>
      <c r="H1579" s="253"/>
      <c r="I1579" s="250"/>
      <c r="J1579" s="250"/>
      <c r="K1579" s="270"/>
      <c r="L1579" s="250"/>
      <c r="M1579" s="250"/>
      <c r="N1579" s="553" t="str">
        <f>CONCATENATE(IF(OR(M1579=phu!$I$1,M1579=phu!$I$2,M1579=phu!$I$3),"Cam Thành Nam",""),IF(OR(M1579=phu!$I$4,M1579=phu!$I$5,M1579=phu!$I$6,M1579=phu!$I$7,M1579=phu!$I$8,M1579=phu!$I$9,M1579=phu!$I$10,M1579=phu!$I$11,M1579=phu!$I$12,M1579=phu!$I$13,M1579=phu!$I$14),"Cam Nghĩa",""),IF(OR(M1579=phu!$I$15,M1579=phu!$I$16,M1579=phu!$I$17,M1579=phu!$I$18,M1579=phu!$I$19,M1579=phu!$I$20,M1579=phu!$I$21),"Cam Phúc Bắc",""),IF(OR(M1579=phu!$I$22,M1579=phu!$I$23,M1579=phu!$I$24,M1579=phu!$I$25),"Cam Phúc Nam",""),IF(OR(M1579=phu!$I$26,M1579=phu!$I$27,M1579=phu!$I$28,M1579=phu!$I$29,M1579=phu!$I$30,M1579=phu!$I$31),"Cam Phú",""),IF(OR(M1579=phu!$I$32,M1579=phu!$I$33,M1579=phu!$I$34,M1579=phu!$I$35,M1579=phu!$I$36,M1579=phu!$I$37),"Cam Lộc",""),IF(OR(M1579=phu!$I$38,M1579=phu!$I$39,M1579=phu!$I$40,M1579=phu!$I$41,M1579=phu!$I$42,M1579=phu!$I$43,M1579=phu!$I$44),"Cam Thuận",""),IF(OR(M1579=phu!$I$45,M1579=phu!$I$46,M1579=phu!$I$47,M1579=phu!$I$48,M1579=phu!$I$49,M1579=phu!$I$50,M1579=phu!$I$51,M1579=phu!$I$52,M1579=phu!$I$53),"Cam Linh",""),IF(OR(M1579=phu!$I$54,M1579=phu!$I$55,M1579=phu!$I$56,M1579=phu!$I$57,M1579=phu!$I$58,M1579=phu!$I$59,M1579=phu!$I$60,M1579=phu!$I$61,M1579=phu!$I$62),"Cam Lợi",""),IF(OR(M1579=phu!$I$63,M1579=phu!$I$64,M1579=phu!$I$65,M1579=phu!$I$66,M1579=phu!$I$67,M1579=phu!$I$68,M1579=phu!$I$69,M1579=phu!$I$70,M1579=phu!$I$71),"Ba Ngòi",""),IF(OR(M1579=phu!$I$72,M1579=phu!$I$73,M1579=phu!$I$74,M1579=phu!$I$75,M1579=phu!$I$76,M1579=phu!$I$77,M1579=phu!$I$78),"Cam Phước Đông",""),IF(OR(M1579=phu!$I$79,M1579=phu!$I$80,M1579=phu!$I$81,M1579=phu!$I$82,M1579=phu!$I$83,M1579=phu!$I$84),"Cam Thịnh Đông",""),IF(OR(M1579=phu!$I$85,M1579=phu!$I$86,M1579=phu!$I$87,M1579=phu!$I$88),"Cam Thịnh Tây",""),IF(OR(M1579=phu!$I$89,M1579=phu!$I$90),"Cam Lập",""),IF(OR(M1579=phu!$I$91,M1579=phu!$I$92,M1579=phu!$I$93),"Cam Bình",""),IF(OR(M1579=phu!$I$94,M1579=phu!$I$95,M1579=phu!$I$96,M1579=phu!$I$97,M1579=phu!$I$98,M1579=phu!$I$99,M1579=phu!$I$100),"Huyện khác",""),IF(OR(M1579=phu!$I$101,M1579=phu!$I$102),"Tỉnh khác",""))</f>
        <v/>
      </c>
      <c r="O1579" s="814" t="str">
        <f t="shared" si="145"/>
        <v/>
      </c>
      <c r="P1579" s="254"/>
      <c r="Q1579" s="254"/>
      <c r="R1579" s="254"/>
      <c r="S1579" s="254"/>
      <c r="T1579" s="254"/>
      <c r="U1579" s="254"/>
      <c r="V1579" s="254"/>
      <c r="W1579" s="254"/>
      <c r="Y1579" s="246" t="str">
        <f t="shared" si="146"/>
        <v/>
      </c>
      <c r="Z1579" s="247" t="str">
        <f t="shared" si="144"/>
        <v/>
      </c>
      <c r="AA1579" s="246" t="str">
        <f t="shared" si="147"/>
        <v/>
      </c>
    </row>
    <row r="1580" spans="1:27" x14ac:dyDescent="0.25">
      <c r="A1580" s="248" t="str">
        <f t="shared" si="148"/>
        <v/>
      </c>
      <c r="B1580" s="249" t="str">
        <f t="shared" si="149"/>
        <v/>
      </c>
      <c r="C1580" s="250"/>
      <c r="D1580" s="251"/>
      <c r="E1580" s="241"/>
      <c r="F1580" s="252"/>
      <c r="G1580" s="252"/>
      <c r="H1580" s="253"/>
      <c r="I1580" s="250"/>
      <c r="J1580" s="250"/>
      <c r="K1580" s="270"/>
      <c r="L1580" s="250"/>
      <c r="M1580" s="250"/>
      <c r="N1580" s="553" t="str">
        <f>CONCATENATE(IF(OR(M1580=phu!$I$1,M1580=phu!$I$2,M1580=phu!$I$3),"Cam Thành Nam",""),IF(OR(M1580=phu!$I$4,M1580=phu!$I$5,M1580=phu!$I$6,M1580=phu!$I$7,M1580=phu!$I$8,M1580=phu!$I$9,M1580=phu!$I$10,M1580=phu!$I$11,M1580=phu!$I$12,M1580=phu!$I$13,M1580=phu!$I$14),"Cam Nghĩa",""),IF(OR(M1580=phu!$I$15,M1580=phu!$I$16,M1580=phu!$I$17,M1580=phu!$I$18,M1580=phu!$I$19,M1580=phu!$I$20,M1580=phu!$I$21),"Cam Phúc Bắc",""),IF(OR(M1580=phu!$I$22,M1580=phu!$I$23,M1580=phu!$I$24,M1580=phu!$I$25),"Cam Phúc Nam",""),IF(OR(M1580=phu!$I$26,M1580=phu!$I$27,M1580=phu!$I$28,M1580=phu!$I$29,M1580=phu!$I$30,M1580=phu!$I$31),"Cam Phú",""),IF(OR(M1580=phu!$I$32,M1580=phu!$I$33,M1580=phu!$I$34,M1580=phu!$I$35,M1580=phu!$I$36,M1580=phu!$I$37),"Cam Lộc",""),IF(OR(M1580=phu!$I$38,M1580=phu!$I$39,M1580=phu!$I$40,M1580=phu!$I$41,M1580=phu!$I$42,M1580=phu!$I$43,M1580=phu!$I$44),"Cam Thuận",""),IF(OR(M1580=phu!$I$45,M1580=phu!$I$46,M1580=phu!$I$47,M1580=phu!$I$48,M1580=phu!$I$49,M1580=phu!$I$50,M1580=phu!$I$51,M1580=phu!$I$52,M1580=phu!$I$53),"Cam Linh",""),IF(OR(M1580=phu!$I$54,M1580=phu!$I$55,M1580=phu!$I$56,M1580=phu!$I$57,M1580=phu!$I$58,M1580=phu!$I$59,M1580=phu!$I$60,M1580=phu!$I$61,M1580=phu!$I$62),"Cam Lợi",""),IF(OR(M1580=phu!$I$63,M1580=phu!$I$64,M1580=phu!$I$65,M1580=phu!$I$66,M1580=phu!$I$67,M1580=phu!$I$68,M1580=phu!$I$69,M1580=phu!$I$70,M1580=phu!$I$71),"Ba Ngòi",""),IF(OR(M1580=phu!$I$72,M1580=phu!$I$73,M1580=phu!$I$74,M1580=phu!$I$75,M1580=phu!$I$76,M1580=phu!$I$77,M1580=phu!$I$78),"Cam Phước Đông",""),IF(OR(M1580=phu!$I$79,M1580=phu!$I$80,M1580=phu!$I$81,M1580=phu!$I$82,M1580=phu!$I$83,M1580=phu!$I$84),"Cam Thịnh Đông",""),IF(OR(M1580=phu!$I$85,M1580=phu!$I$86,M1580=phu!$I$87,M1580=phu!$I$88),"Cam Thịnh Tây",""),IF(OR(M1580=phu!$I$89,M1580=phu!$I$90),"Cam Lập",""),IF(OR(M1580=phu!$I$91,M1580=phu!$I$92,M1580=phu!$I$93),"Cam Bình",""),IF(OR(M1580=phu!$I$94,M1580=phu!$I$95,M1580=phu!$I$96,M1580=phu!$I$97,M1580=phu!$I$98,M1580=phu!$I$99,M1580=phu!$I$100),"Huyện khác",""),IF(OR(M1580=phu!$I$101,M1580=phu!$I$102),"Tỉnh khác",""))</f>
        <v/>
      </c>
      <c r="O1580" s="814" t="str">
        <f t="shared" si="145"/>
        <v/>
      </c>
      <c r="P1580" s="254"/>
      <c r="Q1580" s="254"/>
      <c r="R1580" s="254"/>
      <c r="S1580" s="254"/>
      <c r="T1580" s="254"/>
      <c r="U1580" s="254"/>
      <c r="V1580" s="254"/>
      <c r="W1580" s="254"/>
      <c r="Y1580" s="246" t="str">
        <f t="shared" si="146"/>
        <v/>
      </c>
      <c r="Z1580" s="247" t="str">
        <f t="shared" si="144"/>
        <v/>
      </c>
      <c r="AA1580" s="246" t="str">
        <f t="shared" si="147"/>
        <v/>
      </c>
    </row>
    <row r="1581" spans="1:27" x14ac:dyDescent="0.25">
      <c r="A1581" s="248" t="str">
        <f t="shared" si="148"/>
        <v/>
      </c>
      <c r="B1581" s="249" t="str">
        <f t="shared" si="149"/>
        <v/>
      </c>
      <c r="C1581" s="250"/>
      <c r="D1581" s="251"/>
      <c r="E1581" s="241"/>
      <c r="F1581" s="252"/>
      <c r="G1581" s="252"/>
      <c r="H1581" s="253"/>
      <c r="I1581" s="250"/>
      <c r="J1581" s="250"/>
      <c r="K1581" s="270"/>
      <c r="L1581" s="250"/>
      <c r="M1581" s="250"/>
      <c r="N1581" s="553" t="str">
        <f>CONCATENATE(IF(OR(M1581=phu!$I$1,M1581=phu!$I$2,M1581=phu!$I$3),"Cam Thành Nam",""),IF(OR(M1581=phu!$I$4,M1581=phu!$I$5,M1581=phu!$I$6,M1581=phu!$I$7,M1581=phu!$I$8,M1581=phu!$I$9,M1581=phu!$I$10,M1581=phu!$I$11,M1581=phu!$I$12,M1581=phu!$I$13,M1581=phu!$I$14),"Cam Nghĩa",""),IF(OR(M1581=phu!$I$15,M1581=phu!$I$16,M1581=phu!$I$17,M1581=phu!$I$18,M1581=phu!$I$19,M1581=phu!$I$20,M1581=phu!$I$21),"Cam Phúc Bắc",""),IF(OR(M1581=phu!$I$22,M1581=phu!$I$23,M1581=phu!$I$24,M1581=phu!$I$25),"Cam Phúc Nam",""),IF(OR(M1581=phu!$I$26,M1581=phu!$I$27,M1581=phu!$I$28,M1581=phu!$I$29,M1581=phu!$I$30,M1581=phu!$I$31),"Cam Phú",""),IF(OR(M1581=phu!$I$32,M1581=phu!$I$33,M1581=phu!$I$34,M1581=phu!$I$35,M1581=phu!$I$36,M1581=phu!$I$37),"Cam Lộc",""),IF(OR(M1581=phu!$I$38,M1581=phu!$I$39,M1581=phu!$I$40,M1581=phu!$I$41,M1581=phu!$I$42,M1581=phu!$I$43,M1581=phu!$I$44),"Cam Thuận",""),IF(OR(M1581=phu!$I$45,M1581=phu!$I$46,M1581=phu!$I$47,M1581=phu!$I$48,M1581=phu!$I$49,M1581=phu!$I$50,M1581=phu!$I$51,M1581=phu!$I$52,M1581=phu!$I$53),"Cam Linh",""),IF(OR(M1581=phu!$I$54,M1581=phu!$I$55,M1581=phu!$I$56,M1581=phu!$I$57,M1581=phu!$I$58,M1581=phu!$I$59,M1581=phu!$I$60,M1581=phu!$I$61,M1581=phu!$I$62),"Cam Lợi",""),IF(OR(M1581=phu!$I$63,M1581=phu!$I$64,M1581=phu!$I$65,M1581=phu!$I$66,M1581=phu!$I$67,M1581=phu!$I$68,M1581=phu!$I$69,M1581=phu!$I$70,M1581=phu!$I$71),"Ba Ngòi",""),IF(OR(M1581=phu!$I$72,M1581=phu!$I$73,M1581=phu!$I$74,M1581=phu!$I$75,M1581=phu!$I$76,M1581=phu!$I$77,M1581=phu!$I$78),"Cam Phước Đông",""),IF(OR(M1581=phu!$I$79,M1581=phu!$I$80,M1581=phu!$I$81,M1581=phu!$I$82,M1581=phu!$I$83,M1581=phu!$I$84),"Cam Thịnh Đông",""),IF(OR(M1581=phu!$I$85,M1581=phu!$I$86,M1581=phu!$I$87,M1581=phu!$I$88),"Cam Thịnh Tây",""),IF(OR(M1581=phu!$I$89,M1581=phu!$I$90),"Cam Lập",""),IF(OR(M1581=phu!$I$91,M1581=phu!$I$92,M1581=phu!$I$93),"Cam Bình",""),IF(OR(M1581=phu!$I$94,M1581=phu!$I$95,M1581=phu!$I$96,M1581=phu!$I$97,M1581=phu!$I$98,M1581=phu!$I$99,M1581=phu!$I$100),"Huyện khác",""),IF(OR(M1581=phu!$I$101,M1581=phu!$I$102),"Tỉnh khác",""))</f>
        <v/>
      </c>
      <c r="O1581" s="814" t="str">
        <f t="shared" si="145"/>
        <v/>
      </c>
      <c r="P1581" s="254"/>
      <c r="Q1581" s="254"/>
      <c r="R1581" s="254"/>
      <c r="S1581" s="254"/>
      <c r="T1581" s="254"/>
      <c r="U1581" s="254"/>
      <c r="V1581" s="254"/>
      <c r="W1581" s="254"/>
      <c r="Y1581" s="246" t="str">
        <f t="shared" si="146"/>
        <v/>
      </c>
      <c r="Z1581" s="247" t="str">
        <f t="shared" si="144"/>
        <v/>
      </c>
      <c r="AA1581" s="246" t="str">
        <f t="shared" si="147"/>
        <v/>
      </c>
    </row>
    <row r="1582" spans="1:27" x14ac:dyDescent="0.25">
      <c r="A1582" s="248" t="str">
        <f t="shared" si="148"/>
        <v/>
      </c>
      <c r="B1582" s="249" t="str">
        <f t="shared" si="149"/>
        <v/>
      </c>
      <c r="C1582" s="250"/>
      <c r="D1582" s="251"/>
      <c r="E1582" s="241"/>
      <c r="F1582" s="252"/>
      <c r="G1582" s="252"/>
      <c r="H1582" s="253"/>
      <c r="I1582" s="250"/>
      <c r="J1582" s="250"/>
      <c r="K1582" s="270"/>
      <c r="L1582" s="250"/>
      <c r="M1582" s="250"/>
      <c r="N1582" s="553" t="str">
        <f>CONCATENATE(IF(OR(M1582=phu!$I$1,M1582=phu!$I$2,M1582=phu!$I$3),"Cam Thành Nam",""),IF(OR(M1582=phu!$I$4,M1582=phu!$I$5,M1582=phu!$I$6,M1582=phu!$I$7,M1582=phu!$I$8,M1582=phu!$I$9,M1582=phu!$I$10,M1582=phu!$I$11,M1582=phu!$I$12,M1582=phu!$I$13,M1582=phu!$I$14),"Cam Nghĩa",""),IF(OR(M1582=phu!$I$15,M1582=phu!$I$16,M1582=phu!$I$17,M1582=phu!$I$18,M1582=phu!$I$19,M1582=phu!$I$20,M1582=phu!$I$21),"Cam Phúc Bắc",""),IF(OR(M1582=phu!$I$22,M1582=phu!$I$23,M1582=phu!$I$24,M1582=phu!$I$25),"Cam Phúc Nam",""),IF(OR(M1582=phu!$I$26,M1582=phu!$I$27,M1582=phu!$I$28,M1582=phu!$I$29,M1582=phu!$I$30,M1582=phu!$I$31),"Cam Phú",""),IF(OR(M1582=phu!$I$32,M1582=phu!$I$33,M1582=phu!$I$34,M1582=phu!$I$35,M1582=phu!$I$36,M1582=phu!$I$37),"Cam Lộc",""),IF(OR(M1582=phu!$I$38,M1582=phu!$I$39,M1582=phu!$I$40,M1582=phu!$I$41,M1582=phu!$I$42,M1582=phu!$I$43,M1582=phu!$I$44),"Cam Thuận",""),IF(OR(M1582=phu!$I$45,M1582=phu!$I$46,M1582=phu!$I$47,M1582=phu!$I$48,M1582=phu!$I$49,M1582=phu!$I$50,M1582=phu!$I$51,M1582=phu!$I$52,M1582=phu!$I$53),"Cam Linh",""),IF(OR(M1582=phu!$I$54,M1582=phu!$I$55,M1582=phu!$I$56,M1582=phu!$I$57,M1582=phu!$I$58,M1582=phu!$I$59,M1582=phu!$I$60,M1582=phu!$I$61,M1582=phu!$I$62),"Cam Lợi",""),IF(OR(M1582=phu!$I$63,M1582=phu!$I$64,M1582=phu!$I$65,M1582=phu!$I$66,M1582=phu!$I$67,M1582=phu!$I$68,M1582=phu!$I$69,M1582=phu!$I$70,M1582=phu!$I$71),"Ba Ngòi",""),IF(OR(M1582=phu!$I$72,M1582=phu!$I$73,M1582=phu!$I$74,M1582=phu!$I$75,M1582=phu!$I$76,M1582=phu!$I$77,M1582=phu!$I$78),"Cam Phước Đông",""),IF(OR(M1582=phu!$I$79,M1582=phu!$I$80,M1582=phu!$I$81,M1582=phu!$I$82,M1582=phu!$I$83,M1582=phu!$I$84),"Cam Thịnh Đông",""),IF(OR(M1582=phu!$I$85,M1582=phu!$I$86,M1582=phu!$I$87,M1582=phu!$I$88),"Cam Thịnh Tây",""),IF(OR(M1582=phu!$I$89,M1582=phu!$I$90),"Cam Lập",""),IF(OR(M1582=phu!$I$91,M1582=phu!$I$92,M1582=phu!$I$93),"Cam Bình",""),IF(OR(M1582=phu!$I$94,M1582=phu!$I$95,M1582=phu!$I$96,M1582=phu!$I$97,M1582=phu!$I$98,M1582=phu!$I$99,M1582=phu!$I$100),"Huyện khác",""),IF(OR(M1582=phu!$I$101,M1582=phu!$I$102),"Tỉnh khác",""))</f>
        <v/>
      </c>
      <c r="O1582" s="814" t="str">
        <f t="shared" si="145"/>
        <v/>
      </c>
      <c r="P1582" s="254"/>
      <c r="Q1582" s="254"/>
      <c r="R1582" s="254"/>
      <c r="S1582" s="254"/>
      <c r="T1582" s="254"/>
      <c r="U1582" s="254"/>
      <c r="V1582" s="254"/>
      <c r="W1582" s="254"/>
      <c r="Y1582" s="246" t="str">
        <f t="shared" si="146"/>
        <v/>
      </c>
      <c r="Z1582" s="247" t="str">
        <f t="shared" si="144"/>
        <v/>
      </c>
      <c r="AA1582" s="246" t="str">
        <f t="shared" si="147"/>
        <v/>
      </c>
    </row>
    <row r="1583" spans="1:27" x14ac:dyDescent="0.25">
      <c r="A1583" s="248" t="str">
        <f t="shared" si="148"/>
        <v/>
      </c>
      <c r="B1583" s="249" t="str">
        <f t="shared" si="149"/>
        <v/>
      </c>
      <c r="C1583" s="250"/>
      <c r="D1583" s="251"/>
      <c r="E1583" s="241"/>
      <c r="F1583" s="252"/>
      <c r="G1583" s="252"/>
      <c r="H1583" s="253"/>
      <c r="I1583" s="250"/>
      <c r="J1583" s="250"/>
      <c r="K1583" s="270"/>
      <c r="L1583" s="250"/>
      <c r="M1583" s="250"/>
      <c r="N1583" s="553" t="str">
        <f>CONCATENATE(IF(OR(M1583=phu!$I$1,M1583=phu!$I$2,M1583=phu!$I$3),"Cam Thành Nam",""),IF(OR(M1583=phu!$I$4,M1583=phu!$I$5,M1583=phu!$I$6,M1583=phu!$I$7,M1583=phu!$I$8,M1583=phu!$I$9,M1583=phu!$I$10,M1583=phu!$I$11,M1583=phu!$I$12,M1583=phu!$I$13,M1583=phu!$I$14),"Cam Nghĩa",""),IF(OR(M1583=phu!$I$15,M1583=phu!$I$16,M1583=phu!$I$17,M1583=phu!$I$18,M1583=phu!$I$19,M1583=phu!$I$20,M1583=phu!$I$21),"Cam Phúc Bắc",""),IF(OR(M1583=phu!$I$22,M1583=phu!$I$23,M1583=phu!$I$24,M1583=phu!$I$25),"Cam Phúc Nam",""),IF(OR(M1583=phu!$I$26,M1583=phu!$I$27,M1583=phu!$I$28,M1583=phu!$I$29,M1583=phu!$I$30,M1583=phu!$I$31),"Cam Phú",""),IF(OR(M1583=phu!$I$32,M1583=phu!$I$33,M1583=phu!$I$34,M1583=phu!$I$35,M1583=phu!$I$36,M1583=phu!$I$37),"Cam Lộc",""),IF(OR(M1583=phu!$I$38,M1583=phu!$I$39,M1583=phu!$I$40,M1583=phu!$I$41,M1583=phu!$I$42,M1583=phu!$I$43,M1583=phu!$I$44),"Cam Thuận",""),IF(OR(M1583=phu!$I$45,M1583=phu!$I$46,M1583=phu!$I$47,M1583=phu!$I$48,M1583=phu!$I$49,M1583=phu!$I$50,M1583=phu!$I$51,M1583=phu!$I$52,M1583=phu!$I$53),"Cam Linh",""),IF(OR(M1583=phu!$I$54,M1583=phu!$I$55,M1583=phu!$I$56,M1583=phu!$I$57,M1583=phu!$I$58,M1583=phu!$I$59,M1583=phu!$I$60,M1583=phu!$I$61,M1583=phu!$I$62),"Cam Lợi",""),IF(OR(M1583=phu!$I$63,M1583=phu!$I$64,M1583=phu!$I$65,M1583=phu!$I$66,M1583=phu!$I$67,M1583=phu!$I$68,M1583=phu!$I$69,M1583=phu!$I$70,M1583=phu!$I$71),"Ba Ngòi",""),IF(OR(M1583=phu!$I$72,M1583=phu!$I$73,M1583=phu!$I$74,M1583=phu!$I$75,M1583=phu!$I$76,M1583=phu!$I$77,M1583=phu!$I$78),"Cam Phước Đông",""),IF(OR(M1583=phu!$I$79,M1583=phu!$I$80,M1583=phu!$I$81,M1583=phu!$I$82,M1583=phu!$I$83,M1583=phu!$I$84),"Cam Thịnh Đông",""),IF(OR(M1583=phu!$I$85,M1583=phu!$I$86,M1583=phu!$I$87,M1583=phu!$I$88),"Cam Thịnh Tây",""),IF(OR(M1583=phu!$I$89,M1583=phu!$I$90),"Cam Lập",""),IF(OR(M1583=phu!$I$91,M1583=phu!$I$92,M1583=phu!$I$93),"Cam Bình",""),IF(OR(M1583=phu!$I$94,M1583=phu!$I$95,M1583=phu!$I$96,M1583=phu!$I$97,M1583=phu!$I$98,M1583=phu!$I$99,M1583=phu!$I$100),"Huyện khác",""),IF(OR(M1583=phu!$I$101,M1583=phu!$I$102),"Tỉnh khác",""))</f>
        <v/>
      </c>
      <c r="O1583" s="814" t="str">
        <f t="shared" si="145"/>
        <v/>
      </c>
      <c r="P1583" s="254"/>
      <c r="Q1583" s="254"/>
      <c r="R1583" s="254"/>
      <c r="S1583" s="254"/>
      <c r="T1583" s="254"/>
      <c r="U1583" s="254"/>
      <c r="V1583" s="254"/>
      <c r="W1583" s="254"/>
      <c r="Y1583" s="246" t="str">
        <f t="shared" si="146"/>
        <v/>
      </c>
      <c r="Z1583" s="247" t="str">
        <f t="shared" si="144"/>
        <v/>
      </c>
      <c r="AA1583" s="246" t="str">
        <f t="shared" si="147"/>
        <v/>
      </c>
    </row>
    <row r="1584" spans="1:27" x14ac:dyDescent="0.25">
      <c r="A1584" s="248" t="str">
        <f t="shared" si="148"/>
        <v/>
      </c>
      <c r="B1584" s="249" t="str">
        <f t="shared" si="149"/>
        <v/>
      </c>
      <c r="C1584" s="250"/>
      <c r="D1584" s="251"/>
      <c r="E1584" s="241"/>
      <c r="F1584" s="252"/>
      <c r="G1584" s="252"/>
      <c r="H1584" s="253"/>
      <c r="I1584" s="250"/>
      <c r="J1584" s="250"/>
      <c r="K1584" s="270"/>
      <c r="L1584" s="250"/>
      <c r="M1584" s="250"/>
      <c r="N1584" s="553" t="str">
        <f>CONCATENATE(IF(OR(M1584=phu!$I$1,M1584=phu!$I$2,M1584=phu!$I$3),"Cam Thành Nam",""),IF(OR(M1584=phu!$I$4,M1584=phu!$I$5,M1584=phu!$I$6,M1584=phu!$I$7,M1584=phu!$I$8,M1584=phu!$I$9,M1584=phu!$I$10,M1584=phu!$I$11,M1584=phu!$I$12,M1584=phu!$I$13,M1584=phu!$I$14),"Cam Nghĩa",""),IF(OR(M1584=phu!$I$15,M1584=phu!$I$16,M1584=phu!$I$17,M1584=phu!$I$18,M1584=phu!$I$19,M1584=phu!$I$20,M1584=phu!$I$21),"Cam Phúc Bắc",""),IF(OR(M1584=phu!$I$22,M1584=phu!$I$23,M1584=phu!$I$24,M1584=phu!$I$25),"Cam Phúc Nam",""),IF(OR(M1584=phu!$I$26,M1584=phu!$I$27,M1584=phu!$I$28,M1584=phu!$I$29,M1584=phu!$I$30,M1584=phu!$I$31),"Cam Phú",""),IF(OR(M1584=phu!$I$32,M1584=phu!$I$33,M1584=phu!$I$34,M1584=phu!$I$35,M1584=phu!$I$36,M1584=phu!$I$37),"Cam Lộc",""),IF(OR(M1584=phu!$I$38,M1584=phu!$I$39,M1584=phu!$I$40,M1584=phu!$I$41,M1584=phu!$I$42,M1584=phu!$I$43,M1584=phu!$I$44),"Cam Thuận",""),IF(OR(M1584=phu!$I$45,M1584=phu!$I$46,M1584=phu!$I$47,M1584=phu!$I$48,M1584=phu!$I$49,M1584=phu!$I$50,M1584=phu!$I$51,M1584=phu!$I$52,M1584=phu!$I$53),"Cam Linh",""),IF(OR(M1584=phu!$I$54,M1584=phu!$I$55,M1584=phu!$I$56,M1584=phu!$I$57,M1584=phu!$I$58,M1584=phu!$I$59,M1584=phu!$I$60,M1584=phu!$I$61,M1584=phu!$I$62),"Cam Lợi",""),IF(OR(M1584=phu!$I$63,M1584=phu!$I$64,M1584=phu!$I$65,M1584=phu!$I$66,M1584=phu!$I$67,M1584=phu!$I$68,M1584=phu!$I$69,M1584=phu!$I$70,M1584=phu!$I$71),"Ba Ngòi",""),IF(OR(M1584=phu!$I$72,M1584=phu!$I$73,M1584=phu!$I$74,M1584=phu!$I$75,M1584=phu!$I$76,M1584=phu!$I$77,M1584=phu!$I$78),"Cam Phước Đông",""),IF(OR(M1584=phu!$I$79,M1584=phu!$I$80,M1584=phu!$I$81,M1584=phu!$I$82,M1584=phu!$I$83,M1584=phu!$I$84),"Cam Thịnh Đông",""),IF(OR(M1584=phu!$I$85,M1584=phu!$I$86,M1584=phu!$I$87,M1584=phu!$I$88),"Cam Thịnh Tây",""),IF(OR(M1584=phu!$I$89,M1584=phu!$I$90),"Cam Lập",""),IF(OR(M1584=phu!$I$91,M1584=phu!$I$92,M1584=phu!$I$93),"Cam Bình",""),IF(OR(M1584=phu!$I$94,M1584=phu!$I$95,M1584=phu!$I$96,M1584=phu!$I$97,M1584=phu!$I$98,M1584=phu!$I$99,M1584=phu!$I$100),"Huyện khác",""),IF(OR(M1584=phu!$I$101,M1584=phu!$I$102),"Tỉnh khác",""))</f>
        <v/>
      </c>
      <c r="O1584" s="814" t="str">
        <f t="shared" si="145"/>
        <v/>
      </c>
      <c r="P1584" s="254"/>
      <c r="Q1584" s="254"/>
      <c r="R1584" s="254"/>
      <c r="S1584" s="254"/>
      <c r="T1584" s="254"/>
      <c r="U1584" s="254"/>
      <c r="V1584" s="254"/>
      <c r="W1584" s="254"/>
      <c r="Y1584" s="246" t="str">
        <f t="shared" si="146"/>
        <v/>
      </c>
      <c r="Z1584" s="247" t="str">
        <f t="shared" si="144"/>
        <v/>
      </c>
      <c r="AA1584" s="246" t="str">
        <f t="shared" si="147"/>
        <v/>
      </c>
    </row>
    <row r="1585" spans="1:27" x14ac:dyDescent="0.25">
      <c r="A1585" s="248" t="str">
        <f t="shared" si="148"/>
        <v/>
      </c>
      <c r="B1585" s="249" t="str">
        <f t="shared" si="149"/>
        <v/>
      </c>
      <c r="C1585" s="250"/>
      <c r="D1585" s="251"/>
      <c r="E1585" s="241"/>
      <c r="F1585" s="252"/>
      <c r="G1585" s="252"/>
      <c r="H1585" s="253"/>
      <c r="I1585" s="250"/>
      <c r="J1585" s="250"/>
      <c r="K1585" s="270"/>
      <c r="L1585" s="250"/>
      <c r="M1585" s="250"/>
      <c r="N1585" s="553" t="str">
        <f>CONCATENATE(IF(OR(M1585=phu!$I$1,M1585=phu!$I$2,M1585=phu!$I$3),"Cam Thành Nam",""),IF(OR(M1585=phu!$I$4,M1585=phu!$I$5,M1585=phu!$I$6,M1585=phu!$I$7,M1585=phu!$I$8,M1585=phu!$I$9,M1585=phu!$I$10,M1585=phu!$I$11,M1585=phu!$I$12,M1585=phu!$I$13,M1585=phu!$I$14),"Cam Nghĩa",""),IF(OR(M1585=phu!$I$15,M1585=phu!$I$16,M1585=phu!$I$17,M1585=phu!$I$18,M1585=phu!$I$19,M1585=phu!$I$20,M1585=phu!$I$21),"Cam Phúc Bắc",""),IF(OR(M1585=phu!$I$22,M1585=phu!$I$23,M1585=phu!$I$24,M1585=phu!$I$25),"Cam Phúc Nam",""),IF(OR(M1585=phu!$I$26,M1585=phu!$I$27,M1585=phu!$I$28,M1585=phu!$I$29,M1585=phu!$I$30,M1585=phu!$I$31),"Cam Phú",""),IF(OR(M1585=phu!$I$32,M1585=phu!$I$33,M1585=phu!$I$34,M1585=phu!$I$35,M1585=phu!$I$36,M1585=phu!$I$37),"Cam Lộc",""),IF(OR(M1585=phu!$I$38,M1585=phu!$I$39,M1585=phu!$I$40,M1585=phu!$I$41,M1585=phu!$I$42,M1585=phu!$I$43,M1585=phu!$I$44),"Cam Thuận",""),IF(OR(M1585=phu!$I$45,M1585=phu!$I$46,M1585=phu!$I$47,M1585=phu!$I$48,M1585=phu!$I$49,M1585=phu!$I$50,M1585=phu!$I$51,M1585=phu!$I$52,M1585=phu!$I$53),"Cam Linh",""),IF(OR(M1585=phu!$I$54,M1585=phu!$I$55,M1585=phu!$I$56,M1585=phu!$I$57,M1585=phu!$I$58,M1585=phu!$I$59,M1585=phu!$I$60,M1585=phu!$I$61,M1585=phu!$I$62),"Cam Lợi",""),IF(OR(M1585=phu!$I$63,M1585=phu!$I$64,M1585=phu!$I$65,M1585=phu!$I$66,M1585=phu!$I$67,M1585=phu!$I$68,M1585=phu!$I$69,M1585=phu!$I$70,M1585=phu!$I$71),"Ba Ngòi",""),IF(OR(M1585=phu!$I$72,M1585=phu!$I$73,M1585=phu!$I$74,M1585=phu!$I$75,M1585=phu!$I$76,M1585=phu!$I$77,M1585=phu!$I$78),"Cam Phước Đông",""),IF(OR(M1585=phu!$I$79,M1585=phu!$I$80,M1585=phu!$I$81,M1585=phu!$I$82,M1585=phu!$I$83,M1585=phu!$I$84),"Cam Thịnh Đông",""),IF(OR(M1585=phu!$I$85,M1585=phu!$I$86,M1585=phu!$I$87,M1585=phu!$I$88),"Cam Thịnh Tây",""),IF(OR(M1585=phu!$I$89,M1585=phu!$I$90),"Cam Lập",""),IF(OR(M1585=phu!$I$91,M1585=phu!$I$92,M1585=phu!$I$93),"Cam Bình",""),IF(OR(M1585=phu!$I$94,M1585=phu!$I$95,M1585=phu!$I$96,M1585=phu!$I$97,M1585=phu!$I$98,M1585=phu!$I$99,M1585=phu!$I$100),"Huyện khác",""),IF(OR(M1585=phu!$I$101,M1585=phu!$I$102),"Tỉnh khác",""))</f>
        <v/>
      </c>
      <c r="O1585" s="814" t="str">
        <f t="shared" si="145"/>
        <v/>
      </c>
      <c r="P1585" s="254"/>
      <c r="Q1585" s="254"/>
      <c r="R1585" s="254"/>
      <c r="S1585" s="254"/>
      <c r="T1585" s="254"/>
      <c r="U1585" s="254"/>
      <c r="V1585" s="254"/>
      <c r="W1585" s="254"/>
      <c r="Y1585" s="246" t="str">
        <f t="shared" si="146"/>
        <v/>
      </c>
      <c r="Z1585" s="247" t="str">
        <f t="shared" si="144"/>
        <v/>
      </c>
      <c r="AA1585" s="246" t="str">
        <f t="shared" si="147"/>
        <v/>
      </c>
    </row>
    <row r="1586" spans="1:27" x14ac:dyDescent="0.25">
      <c r="A1586" s="248" t="str">
        <f t="shared" si="148"/>
        <v/>
      </c>
      <c r="B1586" s="249" t="str">
        <f t="shared" si="149"/>
        <v/>
      </c>
      <c r="C1586" s="250"/>
      <c r="D1586" s="251"/>
      <c r="E1586" s="241"/>
      <c r="F1586" s="252"/>
      <c r="G1586" s="252"/>
      <c r="H1586" s="253"/>
      <c r="I1586" s="250"/>
      <c r="J1586" s="250"/>
      <c r="K1586" s="270"/>
      <c r="L1586" s="250"/>
      <c r="M1586" s="250"/>
      <c r="N1586" s="553" t="str">
        <f>CONCATENATE(IF(OR(M1586=phu!$I$1,M1586=phu!$I$2,M1586=phu!$I$3),"Cam Thành Nam",""),IF(OR(M1586=phu!$I$4,M1586=phu!$I$5,M1586=phu!$I$6,M1586=phu!$I$7,M1586=phu!$I$8,M1586=phu!$I$9,M1586=phu!$I$10,M1586=phu!$I$11,M1586=phu!$I$12,M1586=phu!$I$13,M1586=phu!$I$14),"Cam Nghĩa",""),IF(OR(M1586=phu!$I$15,M1586=phu!$I$16,M1586=phu!$I$17,M1586=phu!$I$18,M1586=phu!$I$19,M1586=phu!$I$20,M1586=phu!$I$21),"Cam Phúc Bắc",""),IF(OR(M1586=phu!$I$22,M1586=phu!$I$23,M1586=phu!$I$24,M1586=phu!$I$25),"Cam Phúc Nam",""),IF(OR(M1586=phu!$I$26,M1586=phu!$I$27,M1586=phu!$I$28,M1586=phu!$I$29,M1586=phu!$I$30,M1586=phu!$I$31),"Cam Phú",""),IF(OR(M1586=phu!$I$32,M1586=phu!$I$33,M1586=phu!$I$34,M1586=phu!$I$35,M1586=phu!$I$36,M1586=phu!$I$37),"Cam Lộc",""),IF(OR(M1586=phu!$I$38,M1586=phu!$I$39,M1586=phu!$I$40,M1586=phu!$I$41,M1586=phu!$I$42,M1586=phu!$I$43,M1586=phu!$I$44),"Cam Thuận",""),IF(OR(M1586=phu!$I$45,M1586=phu!$I$46,M1586=phu!$I$47,M1586=phu!$I$48,M1586=phu!$I$49,M1586=phu!$I$50,M1586=phu!$I$51,M1586=phu!$I$52,M1586=phu!$I$53),"Cam Linh",""),IF(OR(M1586=phu!$I$54,M1586=phu!$I$55,M1586=phu!$I$56,M1586=phu!$I$57,M1586=phu!$I$58,M1586=phu!$I$59,M1586=phu!$I$60,M1586=phu!$I$61,M1586=phu!$I$62),"Cam Lợi",""),IF(OR(M1586=phu!$I$63,M1586=phu!$I$64,M1586=phu!$I$65,M1586=phu!$I$66,M1586=phu!$I$67,M1586=phu!$I$68,M1586=phu!$I$69,M1586=phu!$I$70,M1586=phu!$I$71),"Ba Ngòi",""),IF(OR(M1586=phu!$I$72,M1586=phu!$I$73,M1586=phu!$I$74,M1586=phu!$I$75,M1586=phu!$I$76,M1586=phu!$I$77,M1586=phu!$I$78),"Cam Phước Đông",""),IF(OR(M1586=phu!$I$79,M1586=phu!$I$80,M1586=phu!$I$81,M1586=phu!$I$82,M1586=phu!$I$83,M1586=phu!$I$84),"Cam Thịnh Đông",""),IF(OR(M1586=phu!$I$85,M1586=phu!$I$86,M1586=phu!$I$87,M1586=phu!$I$88),"Cam Thịnh Tây",""),IF(OR(M1586=phu!$I$89,M1586=phu!$I$90),"Cam Lập",""),IF(OR(M1586=phu!$I$91,M1586=phu!$I$92,M1586=phu!$I$93),"Cam Bình",""),IF(OR(M1586=phu!$I$94,M1586=phu!$I$95,M1586=phu!$I$96,M1586=phu!$I$97,M1586=phu!$I$98,M1586=phu!$I$99,M1586=phu!$I$100),"Huyện khác",""),IF(OR(M1586=phu!$I$101,M1586=phu!$I$102),"Tỉnh khác",""))</f>
        <v/>
      </c>
      <c r="O1586" s="814" t="str">
        <f t="shared" si="145"/>
        <v/>
      </c>
      <c r="P1586" s="254"/>
      <c r="Q1586" s="254"/>
      <c r="R1586" s="254"/>
      <c r="S1586" s="254"/>
      <c r="T1586" s="254"/>
      <c r="U1586" s="254"/>
      <c r="V1586" s="254"/>
      <c r="W1586" s="254"/>
      <c r="Y1586" s="246" t="str">
        <f t="shared" si="146"/>
        <v/>
      </c>
      <c r="Z1586" s="247" t="str">
        <f t="shared" si="144"/>
        <v/>
      </c>
      <c r="AA1586" s="246" t="str">
        <f t="shared" si="147"/>
        <v/>
      </c>
    </row>
    <row r="1587" spans="1:27" x14ac:dyDescent="0.25">
      <c r="A1587" s="248" t="str">
        <f t="shared" si="148"/>
        <v/>
      </c>
      <c r="B1587" s="249" t="str">
        <f t="shared" si="149"/>
        <v/>
      </c>
      <c r="C1587" s="250"/>
      <c r="D1587" s="251"/>
      <c r="E1587" s="241"/>
      <c r="F1587" s="252"/>
      <c r="G1587" s="252"/>
      <c r="H1587" s="253"/>
      <c r="I1587" s="250"/>
      <c r="J1587" s="250"/>
      <c r="K1587" s="270"/>
      <c r="L1587" s="250"/>
      <c r="M1587" s="250"/>
      <c r="N1587" s="553" t="str">
        <f>CONCATENATE(IF(OR(M1587=phu!$I$1,M1587=phu!$I$2,M1587=phu!$I$3),"Cam Thành Nam",""),IF(OR(M1587=phu!$I$4,M1587=phu!$I$5,M1587=phu!$I$6,M1587=phu!$I$7,M1587=phu!$I$8,M1587=phu!$I$9,M1587=phu!$I$10,M1587=phu!$I$11,M1587=phu!$I$12,M1587=phu!$I$13,M1587=phu!$I$14),"Cam Nghĩa",""),IF(OR(M1587=phu!$I$15,M1587=phu!$I$16,M1587=phu!$I$17,M1587=phu!$I$18,M1587=phu!$I$19,M1587=phu!$I$20,M1587=phu!$I$21),"Cam Phúc Bắc",""),IF(OR(M1587=phu!$I$22,M1587=phu!$I$23,M1587=phu!$I$24,M1587=phu!$I$25),"Cam Phúc Nam",""),IF(OR(M1587=phu!$I$26,M1587=phu!$I$27,M1587=phu!$I$28,M1587=phu!$I$29,M1587=phu!$I$30,M1587=phu!$I$31),"Cam Phú",""),IF(OR(M1587=phu!$I$32,M1587=phu!$I$33,M1587=phu!$I$34,M1587=phu!$I$35,M1587=phu!$I$36,M1587=phu!$I$37),"Cam Lộc",""),IF(OR(M1587=phu!$I$38,M1587=phu!$I$39,M1587=phu!$I$40,M1587=phu!$I$41,M1587=phu!$I$42,M1587=phu!$I$43,M1587=phu!$I$44),"Cam Thuận",""),IF(OR(M1587=phu!$I$45,M1587=phu!$I$46,M1587=phu!$I$47,M1587=phu!$I$48,M1587=phu!$I$49,M1587=phu!$I$50,M1587=phu!$I$51,M1587=phu!$I$52,M1587=phu!$I$53),"Cam Linh",""),IF(OR(M1587=phu!$I$54,M1587=phu!$I$55,M1587=phu!$I$56,M1587=phu!$I$57,M1587=phu!$I$58,M1587=phu!$I$59,M1587=phu!$I$60,M1587=phu!$I$61,M1587=phu!$I$62),"Cam Lợi",""),IF(OR(M1587=phu!$I$63,M1587=phu!$I$64,M1587=phu!$I$65,M1587=phu!$I$66,M1587=phu!$I$67,M1587=phu!$I$68,M1587=phu!$I$69,M1587=phu!$I$70,M1587=phu!$I$71),"Ba Ngòi",""),IF(OR(M1587=phu!$I$72,M1587=phu!$I$73,M1587=phu!$I$74,M1587=phu!$I$75,M1587=phu!$I$76,M1587=phu!$I$77,M1587=phu!$I$78),"Cam Phước Đông",""),IF(OR(M1587=phu!$I$79,M1587=phu!$I$80,M1587=phu!$I$81,M1587=phu!$I$82,M1587=phu!$I$83,M1587=phu!$I$84),"Cam Thịnh Đông",""),IF(OR(M1587=phu!$I$85,M1587=phu!$I$86,M1587=phu!$I$87,M1587=phu!$I$88),"Cam Thịnh Tây",""),IF(OR(M1587=phu!$I$89,M1587=phu!$I$90),"Cam Lập",""),IF(OR(M1587=phu!$I$91,M1587=phu!$I$92,M1587=phu!$I$93),"Cam Bình",""),IF(OR(M1587=phu!$I$94,M1587=phu!$I$95,M1587=phu!$I$96,M1587=phu!$I$97,M1587=phu!$I$98,M1587=phu!$I$99,M1587=phu!$I$100),"Huyện khác",""),IF(OR(M1587=phu!$I$101,M1587=phu!$I$102),"Tỉnh khác",""))</f>
        <v/>
      </c>
      <c r="O1587" s="814" t="str">
        <f t="shared" si="145"/>
        <v/>
      </c>
      <c r="P1587" s="254"/>
      <c r="Q1587" s="254"/>
      <c r="R1587" s="254"/>
      <c r="S1587" s="254"/>
      <c r="T1587" s="254"/>
      <c r="U1587" s="254"/>
      <c r="V1587" s="254"/>
      <c r="W1587" s="254"/>
      <c r="Y1587" s="246" t="str">
        <f t="shared" si="146"/>
        <v/>
      </c>
      <c r="Z1587" s="247" t="str">
        <f t="shared" si="144"/>
        <v/>
      </c>
      <c r="AA1587" s="246" t="str">
        <f t="shared" si="147"/>
        <v/>
      </c>
    </row>
    <row r="1588" spans="1:27" x14ac:dyDescent="0.25">
      <c r="A1588" s="248" t="str">
        <f t="shared" si="148"/>
        <v/>
      </c>
      <c r="B1588" s="249" t="str">
        <f t="shared" si="149"/>
        <v/>
      </c>
      <c r="C1588" s="250"/>
      <c r="D1588" s="251"/>
      <c r="E1588" s="241"/>
      <c r="F1588" s="252"/>
      <c r="G1588" s="252"/>
      <c r="H1588" s="253"/>
      <c r="I1588" s="250"/>
      <c r="J1588" s="250"/>
      <c r="K1588" s="270"/>
      <c r="L1588" s="250"/>
      <c r="M1588" s="250"/>
      <c r="N1588" s="553" t="str">
        <f>CONCATENATE(IF(OR(M1588=phu!$I$1,M1588=phu!$I$2,M1588=phu!$I$3),"Cam Thành Nam",""),IF(OR(M1588=phu!$I$4,M1588=phu!$I$5,M1588=phu!$I$6,M1588=phu!$I$7,M1588=phu!$I$8,M1588=phu!$I$9,M1588=phu!$I$10,M1588=phu!$I$11,M1588=phu!$I$12,M1588=phu!$I$13,M1588=phu!$I$14),"Cam Nghĩa",""),IF(OR(M1588=phu!$I$15,M1588=phu!$I$16,M1588=phu!$I$17,M1588=phu!$I$18,M1588=phu!$I$19,M1588=phu!$I$20,M1588=phu!$I$21),"Cam Phúc Bắc",""),IF(OR(M1588=phu!$I$22,M1588=phu!$I$23,M1588=phu!$I$24,M1588=phu!$I$25),"Cam Phúc Nam",""),IF(OR(M1588=phu!$I$26,M1588=phu!$I$27,M1588=phu!$I$28,M1588=phu!$I$29,M1588=phu!$I$30,M1588=phu!$I$31),"Cam Phú",""),IF(OR(M1588=phu!$I$32,M1588=phu!$I$33,M1588=phu!$I$34,M1588=phu!$I$35,M1588=phu!$I$36,M1588=phu!$I$37),"Cam Lộc",""),IF(OR(M1588=phu!$I$38,M1588=phu!$I$39,M1588=phu!$I$40,M1588=phu!$I$41,M1588=phu!$I$42,M1588=phu!$I$43,M1588=phu!$I$44),"Cam Thuận",""),IF(OR(M1588=phu!$I$45,M1588=phu!$I$46,M1588=phu!$I$47,M1588=phu!$I$48,M1588=phu!$I$49,M1588=phu!$I$50,M1588=phu!$I$51,M1588=phu!$I$52,M1588=phu!$I$53),"Cam Linh",""),IF(OR(M1588=phu!$I$54,M1588=phu!$I$55,M1588=phu!$I$56,M1588=phu!$I$57,M1588=phu!$I$58,M1588=phu!$I$59,M1588=phu!$I$60,M1588=phu!$I$61,M1588=phu!$I$62),"Cam Lợi",""),IF(OR(M1588=phu!$I$63,M1588=phu!$I$64,M1588=phu!$I$65,M1588=phu!$I$66,M1588=phu!$I$67,M1588=phu!$I$68,M1588=phu!$I$69,M1588=phu!$I$70,M1588=phu!$I$71),"Ba Ngòi",""),IF(OR(M1588=phu!$I$72,M1588=phu!$I$73,M1588=phu!$I$74,M1588=phu!$I$75,M1588=phu!$I$76,M1588=phu!$I$77,M1588=phu!$I$78),"Cam Phước Đông",""),IF(OR(M1588=phu!$I$79,M1588=phu!$I$80,M1588=phu!$I$81,M1588=phu!$I$82,M1588=phu!$I$83,M1588=phu!$I$84),"Cam Thịnh Đông",""),IF(OR(M1588=phu!$I$85,M1588=phu!$I$86,M1588=phu!$I$87,M1588=phu!$I$88),"Cam Thịnh Tây",""),IF(OR(M1588=phu!$I$89,M1588=phu!$I$90),"Cam Lập",""),IF(OR(M1588=phu!$I$91,M1588=phu!$I$92,M1588=phu!$I$93),"Cam Bình",""),IF(OR(M1588=phu!$I$94,M1588=phu!$I$95,M1588=phu!$I$96,M1588=phu!$I$97,M1588=phu!$I$98,M1588=phu!$I$99,M1588=phu!$I$100),"Huyện khác",""),IF(OR(M1588=phu!$I$101,M1588=phu!$I$102),"Tỉnh khác",""))</f>
        <v/>
      </c>
      <c r="O1588" s="814" t="str">
        <f t="shared" si="145"/>
        <v/>
      </c>
      <c r="P1588" s="254"/>
      <c r="Q1588" s="254"/>
      <c r="R1588" s="254"/>
      <c r="S1588" s="254"/>
      <c r="T1588" s="254"/>
      <c r="U1588" s="254"/>
      <c r="V1588" s="254"/>
      <c r="W1588" s="254"/>
      <c r="Y1588" s="246" t="str">
        <f t="shared" si="146"/>
        <v/>
      </c>
      <c r="Z1588" s="247" t="str">
        <f t="shared" si="144"/>
        <v/>
      </c>
      <c r="AA1588" s="246" t="str">
        <f t="shared" si="147"/>
        <v/>
      </c>
    </row>
    <row r="1589" spans="1:27" x14ac:dyDescent="0.25">
      <c r="A1589" s="248" t="str">
        <f t="shared" si="148"/>
        <v/>
      </c>
      <c r="B1589" s="249" t="str">
        <f t="shared" si="149"/>
        <v/>
      </c>
      <c r="C1589" s="250"/>
      <c r="D1589" s="251"/>
      <c r="E1589" s="241"/>
      <c r="F1589" s="252"/>
      <c r="G1589" s="252"/>
      <c r="H1589" s="253"/>
      <c r="I1589" s="250"/>
      <c r="J1589" s="250"/>
      <c r="K1589" s="270"/>
      <c r="L1589" s="250"/>
      <c r="M1589" s="250"/>
      <c r="N1589" s="553" t="str">
        <f>CONCATENATE(IF(OR(M1589=phu!$I$1,M1589=phu!$I$2,M1589=phu!$I$3),"Cam Thành Nam",""),IF(OR(M1589=phu!$I$4,M1589=phu!$I$5,M1589=phu!$I$6,M1589=phu!$I$7,M1589=phu!$I$8,M1589=phu!$I$9,M1589=phu!$I$10,M1589=phu!$I$11,M1589=phu!$I$12,M1589=phu!$I$13,M1589=phu!$I$14),"Cam Nghĩa",""),IF(OR(M1589=phu!$I$15,M1589=phu!$I$16,M1589=phu!$I$17,M1589=phu!$I$18,M1589=phu!$I$19,M1589=phu!$I$20,M1589=phu!$I$21),"Cam Phúc Bắc",""),IF(OR(M1589=phu!$I$22,M1589=phu!$I$23,M1589=phu!$I$24,M1589=phu!$I$25),"Cam Phúc Nam",""),IF(OR(M1589=phu!$I$26,M1589=phu!$I$27,M1589=phu!$I$28,M1589=phu!$I$29,M1589=phu!$I$30,M1589=phu!$I$31),"Cam Phú",""),IF(OR(M1589=phu!$I$32,M1589=phu!$I$33,M1589=phu!$I$34,M1589=phu!$I$35,M1589=phu!$I$36,M1589=phu!$I$37),"Cam Lộc",""),IF(OR(M1589=phu!$I$38,M1589=phu!$I$39,M1589=phu!$I$40,M1589=phu!$I$41,M1589=phu!$I$42,M1589=phu!$I$43,M1589=phu!$I$44),"Cam Thuận",""),IF(OR(M1589=phu!$I$45,M1589=phu!$I$46,M1589=phu!$I$47,M1589=phu!$I$48,M1589=phu!$I$49,M1589=phu!$I$50,M1589=phu!$I$51,M1589=phu!$I$52,M1589=phu!$I$53),"Cam Linh",""),IF(OR(M1589=phu!$I$54,M1589=phu!$I$55,M1589=phu!$I$56,M1589=phu!$I$57,M1589=phu!$I$58,M1589=phu!$I$59,M1589=phu!$I$60,M1589=phu!$I$61,M1589=phu!$I$62),"Cam Lợi",""),IF(OR(M1589=phu!$I$63,M1589=phu!$I$64,M1589=phu!$I$65,M1589=phu!$I$66,M1589=phu!$I$67,M1589=phu!$I$68,M1589=phu!$I$69,M1589=phu!$I$70,M1589=phu!$I$71),"Ba Ngòi",""),IF(OR(M1589=phu!$I$72,M1589=phu!$I$73,M1589=phu!$I$74,M1589=phu!$I$75,M1589=phu!$I$76,M1589=phu!$I$77,M1589=phu!$I$78),"Cam Phước Đông",""),IF(OR(M1589=phu!$I$79,M1589=phu!$I$80,M1589=phu!$I$81,M1589=phu!$I$82,M1589=phu!$I$83,M1589=phu!$I$84),"Cam Thịnh Đông",""),IF(OR(M1589=phu!$I$85,M1589=phu!$I$86,M1589=phu!$I$87,M1589=phu!$I$88),"Cam Thịnh Tây",""),IF(OR(M1589=phu!$I$89,M1589=phu!$I$90),"Cam Lập",""),IF(OR(M1589=phu!$I$91,M1589=phu!$I$92,M1589=phu!$I$93),"Cam Bình",""),IF(OR(M1589=phu!$I$94,M1589=phu!$I$95,M1589=phu!$I$96,M1589=phu!$I$97,M1589=phu!$I$98,M1589=phu!$I$99,M1589=phu!$I$100),"Huyện khác",""),IF(OR(M1589=phu!$I$101,M1589=phu!$I$102),"Tỉnh khác",""))</f>
        <v/>
      </c>
      <c r="O1589" s="814" t="str">
        <f t="shared" si="145"/>
        <v/>
      </c>
      <c r="P1589" s="254"/>
      <c r="Q1589" s="254"/>
      <c r="R1589" s="254"/>
      <c r="S1589" s="254"/>
      <c r="T1589" s="254"/>
      <c r="U1589" s="254"/>
      <c r="V1589" s="254"/>
      <c r="W1589" s="254"/>
      <c r="Y1589" s="246" t="str">
        <f t="shared" si="146"/>
        <v/>
      </c>
      <c r="Z1589" s="247" t="str">
        <f t="shared" si="144"/>
        <v/>
      </c>
      <c r="AA1589" s="246" t="str">
        <f t="shared" si="147"/>
        <v/>
      </c>
    </row>
    <row r="1590" spans="1:27" x14ac:dyDescent="0.25">
      <c r="A1590" s="248" t="str">
        <f t="shared" si="148"/>
        <v/>
      </c>
      <c r="B1590" s="249" t="str">
        <f t="shared" si="149"/>
        <v/>
      </c>
      <c r="C1590" s="250"/>
      <c r="D1590" s="251"/>
      <c r="E1590" s="241"/>
      <c r="F1590" s="252"/>
      <c r="G1590" s="252"/>
      <c r="H1590" s="253"/>
      <c r="I1590" s="250"/>
      <c r="J1590" s="250"/>
      <c r="K1590" s="270"/>
      <c r="L1590" s="250"/>
      <c r="M1590" s="250"/>
      <c r="N1590" s="553" t="str">
        <f>CONCATENATE(IF(OR(M1590=phu!$I$1,M1590=phu!$I$2,M1590=phu!$I$3),"Cam Thành Nam",""),IF(OR(M1590=phu!$I$4,M1590=phu!$I$5,M1590=phu!$I$6,M1590=phu!$I$7,M1590=phu!$I$8,M1590=phu!$I$9,M1590=phu!$I$10,M1590=phu!$I$11,M1590=phu!$I$12,M1590=phu!$I$13,M1590=phu!$I$14),"Cam Nghĩa",""),IF(OR(M1590=phu!$I$15,M1590=phu!$I$16,M1590=phu!$I$17,M1590=phu!$I$18,M1590=phu!$I$19,M1590=phu!$I$20,M1590=phu!$I$21),"Cam Phúc Bắc",""),IF(OR(M1590=phu!$I$22,M1590=phu!$I$23,M1590=phu!$I$24,M1590=phu!$I$25),"Cam Phúc Nam",""),IF(OR(M1590=phu!$I$26,M1590=phu!$I$27,M1590=phu!$I$28,M1590=phu!$I$29,M1590=phu!$I$30,M1590=phu!$I$31),"Cam Phú",""),IF(OR(M1590=phu!$I$32,M1590=phu!$I$33,M1590=phu!$I$34,M1590=phu!$I$35,M1590=phu!$I$36,M1590=phu!$I$37),"Cam Lộc",""),IF(OR(M1590=phu!$I$38,M1590=phu!$I$39,M1590=phu!$I$40,M1590=phu!$I$41,M1590=phu!$I$42,M1590=phu!$I$43,M1590=phu!$I$44),"Cam Thuận",""),IF(OR(M1590=phu!$I$45,M1590=phu!$I$46,M1590=phu!$I$47,M1590=phu!$I$48,M1590=phu!$I$49,M1590=phu!$I$50,M1590=phu!$I$51,M1590=phu!$I$52,M1590=phu!$I$53),"Cam Linh",""),IF(OR(M1590=phu!$I$54,M1590=phu!$I$55,M1590=phu!$I$56,M1590=phu!$I$57,M1590=phu!$I$58,M1590=phu!$I$59,M1590=phu!$I$60,M1590=phu!$I$61,M1590=phu!$I$62),"Cam Lợi",""),IF(OR(M1590=phu!$I$63,M1590=phu!$I$64,M1590=phu!$I$65,M1590=phu!$I$66,M1590=phu!$I$67,M1590=phu!$I$68,M1590=phu!$I$69,M1590=phu!$I$70,M1590=phu!$I$71),"Ba Ngòi",""),IF(OR(M1590=phu!$I$72,M1590=phu!$I$73,M1590=phu!$I$74,M1590=phu!$I$75,M1590=phu!$I$76,M1590=phu!$I$77,M1590=phu!$I$78),"Cam Phước Đông",""),IF(OR(M1590=phu!$I$79,M1590=phu!$I$80,M1590=phu!$I$81,M1590=phu!$I$82,M1590=phu!$I$83,M1590=phu!$I$84),"Cam Thịnh Đông",""),IF(OR(M1590=phu!$I$85,M1590=phu!$I$86,M1590=phu!$I$87,M1590=phu!$I$88),"Cam Thịnh Tây",""),IF(OR(M1590=phu!$I$89,M1590=phu!$I$90),"Cam Lập",""),IF(OR(M1590=phu!$I$91,M1590=phu!$I$92,M1590=phu!$I$93),"Cam Bình",""),IF(OR(M1590=phu!$I$94,M1590=phu!$I$95,M1590=phu!$I$96,M1590=phu!$I$97,M1590=phu!$I$98,M1590=phu!$I$99,M1590=phu!$I$100),"Huyện khác",""),IF(OR(M1590=phu!$I$101,M1590=phu!$I$102),"Tỉnh khác",""))</f>
        <v/>
      </c>
      <c r="O1590" s="814" t="str">
        <f t="shared" si="145"/>
        <v/>
      </c>
      <c r="P1590" s="254"/>
      <c r="Q1590" s="254"/>
      <c r="R1590" s="254"/>
      <c r="S1590" s="254"/>
      <c r="T1590" s="254"/>
      <c r="U1590" s="254"/>
      <c r="V1590" s="254"/>
      <c r="W1590" s="254"/>
      <c r="Y1590" s="246" t="str">
        <f t="shared" si="146"/>
        <v/>
      </c>
      <c r="Z1590" s="247" t="str">
        <f t="shared" si="144"/>
        <v/>
      </c>
      <c r="AA1590" s="246" t="str">
        <f t="shared" si="147"/>
        <v/>
      </c>
    </row>
    <row r="1591" spans="1:27" x14ac:dyDescent="0.25">
      <c r="A1591" s="248" t="str">
        <f t="shared" si="148"/>
        <v/>
      </c>
      <c r="B1591" s="249" t="str">
        <f t="shared" si="149"/>
        <v/>
      </c>
      <c r="C1591" s="250"/>
      <c r="D1591" s="251"/>
      <c r="E1591" s="241"/>
      <c r="F1591" s="252"/>
      <c r="G1591" s="252"/>
      <c r="H1591" s="253"/>
      <c r="I1591" s="250"/>
      <c r="J1591" s="250"/>
      <c r="K1591" s="270"/>
      <c r="L1591" s="250"/>
      <c r="M1591" s="250"/>
      <c r="N1591" s="553" t="str">
        <f>CONCATENATE(IF(OR(M1591=phu!$I$1,M1591=phu!$I$2,M1591=phu!$I$3),"Cam Thành Nam",""),IF(OR(M1591=phu!$I$4,M1591=phu!$I$5,M1591=phu!$I$6,M1591=phu!$I$7,M1591=phu!$I$8,M1591=phu!$I$9,M1591=phu!$I$10,M1591=phu!$I$11,M1591=phu!$I$12,M1591=phu!$I$13,M1591=phu!$I$14),"Cam Nghĩa",""),IF(OR(M1591=phu!$I$15,M1591=phu!$I$16,M1591=phu!$I$17,M1591=phu!$I$18,M1591=phu!$I$19,M1591=phu!$I$20,M1591=phu!$I$21),"Cam Phúc Bắc",""),IF(OR(M1591=phu!$I$22,M1591=phu!$I$23,M1591=phu!$I$24,M1591=phu!$I$25),"Cam Phúc Nam",""),IF(OR(M1591=phu!$I$26,M1591=phu!$I$27,M1591=phu!$I$28,M1591=phu!$I$29,M1591=phu!$I$30,M1591=phu!$I$31),"Cam Phú",""),IF(OR(M1591=phu!$I$32,M1591=phu!$I$33,M1591=phu!$I$34,M1591=phu!$I$35,M1591=phu!$I$36,M1591=phu!$I$37),"Cam Lộc",""),IF(OR(M1591=phu!$I$38,M1591=phu!$I$39,M1591=phu!$I$40,M1591=phu!$I$41,M1591=phu!$I$42,M1591=phu!$I$43,M1591=phu!$I$44),"Cam Thuận",""),IF(OR(M1591=phu!$I$45,M1591=phu!$I$46,M1591=phu!$I$47,M1591=phu!$I$48,M1591=phu!$I$49,M1591=phu!$I$50,M1591=phu!$I$51,M1591=phu!$I$52,M1591=phu!$I$53),"Cam Linh",""),IF(OR(M1591=phu!$I$54,M1591=phu!$I$55,M1591=phu!$I$56,M1591=phu!$I$57,M1591=phu!$I$58,M1591=phu!$I$59,M1591=phu!$I$60,M1591=phu!$I$61,M1591=phu!$I$62),"Cam Lợi",""),IF(OR(M1591=phu!$I$63,M1591=phu!$I$64,M1591=phu!$I$65,M1591=phu!$I$66,M1591=phu!$I$67,M1591=phu!$I$68,M1591=phu!$I$69,M1591=phu!$I$70,M1591=phu!$I$71),"Ba Ngòi",""),IF(OR(M1591=phu!$I$72,M1591=phu!$I$73,M1591=phu!$I$74,M1591=phu!$I$75,M1591=phu!$I$76,M1591=phu!$I$77,M1591=phu!$I$78),"Cam Phước Đông",""),IF(OR(M1591=phu!$I$79,M1591=phu!$I$80,M1591=phu!$I$81,M1591=phu!$I$82,M1591=phu!$I$83,M1591=phu!$I$84),"Cam Thịnh Đông",""),IF(OR(M1591=phu!$I$85,M1591=phu!$I$86,M1591=phu!$I$87,M1591=phu!$I$88),"Cam Thịnh Tây",""),IF(OR(M1591=phu!$I$89,M1591=phu!$I$90),"Cam Lập",""),IF(OR(M1591=phu!$I$91,M1591=phu!$I$92,M1591=phu!$I$93),"Cam Bình",""),IF(OR(M1591=phu!$I$94,M1591=phu!$I$95,M1591=phu!$I$96,M1591=phu!$I$97,M1591=phu!$I$98,M1591=phu!$I$99,M1591=phu!$I$100),"Huyện khác",""),IF(OR(M1591=phu!$I$101,M1591=phu!$I$102),"Tỉnh khác",""))</f>
        <v/>
      </c>
      <c r="O1591" s="814" t="str">
        <f t="shared" si="145"/>
        <v/>
      </c>
      <c r="P1591" s="254"/>
      <c r="Q1591" s="254"/>
      <c r="R1591" s="254"/>
      <c r="S1591" s="254"/>
      <c r="T1591" s="254"/>
      <c r="U1591" s="254"/>
      <c r="V1591" s="254"/>
      <c r="W1591" s="254"/>
      <c r="Y1591" s="246" t="str">
        <f t="shared" si="146"/>
        <v/>
      </c>
      <c r="Z1591" s="247" t="str">
        <f t="shared" si="144"/>
        <v/>
      </c>
      <c r="AA1591" s="246" t="str">
        <f t="shared" si="147"/>
        <v/>
      </c>
    </row>
    <row r="1592" spans="1:27" x14ac:dyDescent="0.25">
      <c r="A1592" s="248" t="str">
        <f t="shared" si="148"/>
        <v/>
      </c>
      <c r="B1592" s="249" t="str">
        <f t="shared" si="149"/>
        <v/>
      </c>
      <c r="C1592" s="250"/>
      <c r="D1592" s="251"/>
      <c r="E1592" s="241"/>
      <c r="F1592" s="252"/>
      <c r="G1592" s="252"/>
      <c r="H1592" s="253"/>
      <c r="I1592" s="250"/>
      <c r="J1592" s="250"/>
      <c r="K1592" s="270"/>
      <c r="L1592" s="250"/>
      <c r="M1592" s="250"/>
      <c r="N1592" s="553" t="str">
        <f>CONCATENATE(IF(OR(M1592=phu!$I$1,M1592=phu!$I$2,M1592=phu!$I$3),"Cam Thành Nam",""),IF(OR(M1592=phu!$I$4,M1592=phu!$I$5,M1592=phu!$I$6,M1592=phu!$I$7,M1592=phu!$I$8,M1592=phu!$I$9,M1592=phu!$I$10,M1592=phu!$I$11,M1592=phu!$I$12,M1592=phu!$I$13,M1592=phu!$I$14),"Cam Nghĩa",""),IF(OR(M1592=phu!$I$15,M1592=phu!$I$16,M1592=phu!$I$17,M1592=phu!$I$18,M1592=phu!$I$19,M1592=phu!$I$20,M1592=phu!$I$21),"Cam Phúc Bắc",""),IF(OR(M1592=phu!$I$22,M1592=phu!$I$23,M1592=phu!$I$24,M1592=phu!$I$25),"Cam Phúc Nam",""),IF(OR(M1592=phu!$I$26,M1592=phu!$I$27,M1592=phu!$I$28,M1592=phu!$I$29,M1592=phu!$I$30,M1592=phu!$I$31),"Cam Phú",""),IF(OR(M1592=phu!$I$32,M1592=phu!$I$33,M1592=phu!$I$34,M1592=phu!$I$35,M1592=phu!$I$36,M1592=phu!$I$37),"Cam Lộc",""),IF(OR(M1592=phu!$I$38,M1592=phu!$I$39,M1592=phu!$I$40,M1592=phu!$I$41,M1592=phu!$I$42,M1592=phu!$I$43,M1592=phu!$I$44),"Cam Thuận",""),IF(OR(M1592=phu!$I$45,M1592=phu!$I$46,M1592=phu!$I$47,M1592=phu!$I$48,M1592=phu!$I$49,M1592=phu!$I$50,M1592=phu!$I$51,M1592=phu!$I$52,M1592=phu!$I$53),"Cam Linh",""),IF(OR(M1592=phu!$I$54,M1592=phu!$I$55,M1592=phu!$I$56,M1592=phu!$I$57,M1592=phu!$I$58,M1592=phu!$I$59,M1592=phu!$I$60,M1592=phu!$I$61,M1592=phu!$I$62),"Cam Lợi",""),IF(OR(M1592=phu!$I$63,M1592=phu!$I$64,M1592=phu!$I$65,M1592=phu!$I$66,M1592=phu!$I$67,M1592=phu!$I$68,M1592=phu!$I$69,M1592=phu!$I$70,M1592=phu!$I$71),"Ba Ngòi",""),IF(OR(M1592=phu!$I$72,M1592=phu!$I$73,M1592=phu!$I$74,M1592=phu!$I$75,M1592=phu!$I$76,M1592=phu!$I$77,M1592=phu!$I$78),"Cam Phước Đông",""),IF(OR(M1592=phu!$I$79,M1592=phu!$I$80,M1592=phu!$I$81,M1592=phu!$I$82,M1592=phu!$I$83,M1592=phu!$I$84),"Cam Thịnh Đông",""),IF(OR(M1592=phu!$I$85,M1592=phu!$I$86,M1592=phu!$I$87,M1592=phu!$I$88),"Cam Thịnh Tây",""),IF(OR(M1592=phu!$I$89,M1592=phu!$I$90),"Cam Lập",""),IF(OR(M1592=phu!$I$91,M1592=phu!$I$92,M1592=phu!$I$93),"Cam Bình",""),IF(OR(M1592=phu!$I$94,M1592=phu!$I$95,M1592=phu!$I$96,M1592=phu!$I$97,M1592=phu!$I$98,M1592=phu!$I$99,M1592=phu!$I$100),"Huyện khác",""),IF(OR(M1592=phu!$I$101,M1592=phu!$I$102),"Tỉnh khác",""))</f>
        <v/>
      </c>
      <c r="O1592" s="814" t="str">
        <f t="shared" si="145"/>
        <v/>
      </c>
      <c r="P1592" s="254"/>
      <c r="Q1592" s="254"/>
      <c r="R1592" s="254"/>
      <c r="S1592" s="254"/>
      <c r="T1592" s="254"/>
      <c r="U1592" s="254"/>
      <c r="V1592" s="254"/>
      <c r="W1592" s="254"/>
      <c r="Y1592" s="246" t="str">
        <f t="shared" si="146"/>
        <v/>
      </c>
      <c r="Z1592" s="247" t="str">
        <f t="shared" si="144"/>
        <v/>
      </c>
      <c r="AA1592" s="246" t="str">
        <f t="shared" si="147"/>
        <v/>
      </c>
    </row>
    <row r="1593" spans="1:27" x14ac:dyDescent="0.25">
      <c r="A1593" s="248" t="str">
        <f t="shared" si="148"/>
        <v/>
      </c>
      <c r="B1593" s="249" t="str">
        <f t="shared" si="149"/>
        <v/>
      </c>
      <c r="C1593" s="250"/>
      <c r="D1593" s="251"/>
      <c r="E1593" s="241"/>
      <c r="F1593" s="252"/>
      <c r="G1593" s="252"/>
      <c r="H1593" s="253"/>
      <c r="I1593" s="250"/>
      <c r="J1593" s="250"/>
      <c r="K1593" s="270"/>
      <c r="L1593" s="250"/>
      <c r="M1593" s="250"/>
      <c r="N1593" s="553" t="str">
        <f>CONCATENATE(IF(OR(M1593=phu!$I$1,M1593=phu!$I$2,M1593=phu!$I$3),"Cam Thành Nam",""),IF(OR(M1593=phu!$I$4,M1593=phu!$I$5,M1593=phu!$I$6,M1593=phu!$I$7,M1593=phu!$I$8,M1593=phu!$I$9,M1593=phu!$I$10,M1593=phu!$I$11,M1593=phu!$I$12,M1593=phu!$I$13,M1593=phu!$I$14),"Cam Nghĩa",""),IF(OR(M1593=phu!$I$15,M1593=phu!$I$16,M1593=phu!$I$17,M1593=phu!$I$18,M1593=phu!$I$19,M1593=phu!$I$20,M1593=phu!$I$21),"Cam Phúc Bắc",""),IF(OR(M1593=phu!$I$22,M1593=phu!$I$23,M1593=phu!$I$24,M1593=phu!$I$25),"Cam Phúc Nam",""),IF(OR(M1593=phu!$I$26,M1593=phu!$I$27,M1593=phu!$I$28,M1593=phu!$I$29,M1593=phu!$I$30,M1593=phu!$I$31),"Cam Phú",""),IF(OR(M1593=phu!$I$32,M1593=phu!$I$33,M1593=phu!$I$34,M1593=phu!$I$35,M1593=phu!$I$36,M1593=phu!$I$37),"Cam Lộc",""),IF(OR(M1593=phu!$I$38,M1593=phu!$I$39,M1593=phu!$I$40,M1593=phu!$I$41,M1593=phu!$I$42,M1593=phu!$I$43,M1593=phu!$I$44),"Cam Thuận",""),IF(OR(M1593=phu!$I$45,M1593=phu!$I$46,M1593=phu!$I$47,M1593=phu!$I$48,M1593=phu!$I$49,M1593=phu!$I$50,M1593=phu!$I$51,M1593=phu!$I$52,M1593=phu!$I$53),"Cam Linh",""),IF(OR(M1593=phu!$I$54,M1593=phu!$I$55,M1593=phu!$I$56,M1593=phu!$I$57,M1593=phu!$I$58,M1593=phu!$I$59,M1593=phu!$I$60,M1593=phu!$I$61,M1593=phu!$I$62),"Cam Lợi",""),IF(OR(M1593=phu!$I$63,M1593=phu!$I$64,M1593=phu!$I$65,M1593=phu!$I$66,M1593=phu!$I$67,M1593=phu!$I$68,M1593=phu!$I$69,M1593=phu!$I$70,M1593=phu!$I$71),"Ba Ngòi",""),IF(OR(M1593=phu!$I$72,M1593=phu!$I$73,M1593=phu!$I$74,M1593=phu!$I$75,M1593=phu!$I$76,M1593=phu!$I$77,M1593=phu!$I$78),"Cam Phước Đông",""),IF(OR(M1593=phu!$I$79,M1593=phu!$I$80,M1593=phu!$I$81,M1593=phu!$I$82,M1593=phu!$I$83,M1593=phu!$I$84),"Cam Thịnh Đông",""),IF(OR(M1593=phu!$I$85,M1593=phu!$I$86,M1593=phu!$I$87,M1593=phu!$I$88),"Cam Thịnh Tây",""),IF(OR(M1593=phu!$I$89,M1593=phu!$I$90),"Cam Lập",""),IF(OR(M1593=phu!$I$91,M1593=phu!$I$92,M1593=phu!$I$93),"Cam Bình",""),IF(OR(M1593=phu!$I$94,M1593=phu!$I$95,M1593=phu!$I$96,M1593=phu!$I$97,M1593=phu!$I$98,M1593=phu!$I$99,M1593=phu!$I$100),"Huyện khác",""),IF(OR(M1593=phu!$I$101,M1593=phu!$I$102),"Tỉnh khác",""))</f>
        <v/>
      </c>
      <c r="O1593" s="814" t="str">
        <f t="shared" si="145"/>
        <v/>
      </c>
      <c r="P1593" s="254"/>
      <c r="Q1593" s="254"/>
      <c r="R1593" s="254"/>
      <c r="S1593" s="254"/>
      <c r="T1593" s="254"/>
      <c r="U1593" s="254"/>
      <c r="V1593" s="254"/>
      <c r="W1593" s="254"/>
      <c r="Y1593" s="246" t="str">
        <f t="shared" si="146"/>
        <v/>
      </c>
      <c r="Z1593" s="247" t="str">
        <f t="shared" si="144"/>
        <v/>
      </c>
      <c r="AA1593" s="246" t="str">
        <f t="shared" si="147"/>
        <v/>
      </c>
    </row>
    <row r="1594" spans="1:27" x14ac:dyDescent="0.25">
      <c r="A1594" s="248" t="str">
        <f t="shared" si="148"/>
        <v/>
      </c>
      <c r="B1594" s="249" t="str">
        <f t="shared" si="149"/>
        <v/>
      </c>
      <c r="C1594" s="250"/>
      <c r="D1594" s="251"/>
      <c r="E1594" s="241"/>
      <c r="F1594" s="252"/>
      <c r="G1594" s="252"/>
      <c r="H1594" s="253"/>
      <c r="I1594" s="250"/>
      <c r="J1594" s="250"/>
      <c r="K1594" s="270"/>
      <c r="L1594" s="250"/>
      <c r="M1594" s="250"/>
      <c r="N1594" s="553" t="str">
        <f>CONCATENATE(IF(OR(M1594=phu!$I$1,M1594=phu!$I$2,M1594=phu!$I$3),"Cam Thành Nam",""),IF(OR(M1594=phu!$I$4,M1594=phu!$I$5,M1594=phu!$I$6,M1594=phu!$I$7,M1594=phu!$I$8,M1594=phu!$I$9,M1594=phu!$I$10,M1594=phu!$I$11,M1594=phu!$I$12,M1594=phu!$I$13,M1594=phu!$I$14),"Cam Nghĩa",""),IF(OR(M1594=phu!$I$15,M1594=phu!$I$16,M1594=phu!$I$17,M1594=phu!$I$18,M1594=phu!$I$19,M1594=phu!$I$20,M1594=phu!$I$21),"Cam Phúc Bắc",""),IF(OR(M1594=phu!$I$22,M1594=phu!$I$23,M1594=phu!$I$24,M1594=phu!$I$25),"Cam Phúc Nam",""),IF(OR(M1594=phu!$I$26,M1594=phu!$I$27,M1594=phu!$I$28,M1594=phu!$I$29,M1594=phu!$I$30,M1594=phu!$I$31),"Cam Phú",""),IF(OR(M1594=phu!$I$32,M1594=phu!$I$33,M1594=phu!$I$34,M1594=phu!$I$35,M1594=phu!$I$36,M1594=phu!$I$37),"Cam Lộc",""),IF(OR(M1594=phu!$I$38,M1594=phu!$I$39,M1594=phu!$I$40,M1594=phu!$I$41,M1594=phu!$I$42,M1594=phu!$I$43,M1594=phu!$I$44),"Cam Thuận",""),IF(OR(M1594=phu!$I$45,M1594=phu!$I$46,M1594=phu!$I$47,M1594=phu!$I$48,M1594=phu!$I$49,M1594=phu!$I$50,M1594=phu!$I$51,M1594=phu!$I$52,M1594=phu!$I$53),"Cam Linh",""),IF(OR(M1594=phu!$I$54,M1594=phu!$I$55,M1594=phu!$I$56,M1594=phu!$I$57,M1594=phu!$I$58,M1594=phu!$I$59,M1594=phu!$I$60,M1594=phu!$I$61,M1594=phu!$I$62),"Cam Lợi",""),IF(OR(M1594=phu!$I$63,M1594=phu!$I$64,M1594=phu!$I$65,M1594=phu!$I$66,M1594=phu!$I$67,M1594=phu!$I$68,M1594=phu!$I$69,M1594=phu!$I$70,M1594=phu!$I$71),"Ba Ngòi",""),IF(OR(M1594=phu!$I$72,M1594=phu!$I$73,M1594=phu!$I$74,M1594=phu!$I$75,M1594=phu!$I$76,M1594=phu!$I$77,M1594=phu!$I$78),"Cam Phước Đông",""),IF(OR(M1594=phu!$I$79,M1594=phu!$I$80,M1594=phu!$I$81,M1594=phu!$I$82,M1594=phu!$I$83,M1594=phu!$I$84),"Cam Thịnh Đông",""),IF(OR(M1594=phu!$I$85,M1594=phu!$I$86,M1594=phu!$I$87,M1594=phu!$I$88),"Cam Thịnh Tây",""),IF(OR(M1594=phu!$I$89,M1594=phu!$I$90),"Cam Lập",""),IF(OR(M1594=phu!$I$91,M1594=phu!$I$92,M1594=phu!$I$93),"Cam Bình",""),IF(OR(M1594=phu!$I$94,M1594=phu!$I$95,M1594=phu!$I$96,M1594=phu!$I$97,M1594=phu!$I$98,M1594=phu!$I$99,M1594=phu!$I$100),"Huyện khác",""),IF(OR(M1594=phu!$I$101,M1594=phu!$I$102),"Tỉnh khác",""))</f>
        <v/>
      </c>
      <c r="O1594" s="814" t="str">
        <f t="shared" si="145"/>
        <v/>
      </c>
      <c r="P1594" s="254"/>
      <c r="Q1594" s="254"/>
      <c r="R1594" s="254"/>
      <c r="S1594" s="254"/>
      <c r="T1594" s="254"/>
      <c r="U1594" s="254"/>
      <c r="V1594" s="254"/>
      <c r="W1594" s="254"/>
      <c r="Y1594" s="246" t="str">
        <f t="shared" si="146"/>
        <v/>
      </c>
      <c r="Z1594" s="247" t="str">
        <f t="shared" si="144"/>
        <v/>
      </c>
      <c r="AA1594" s="246" t="str">
        <f t="shared" si="147"/>
        <v/>
      </c>
    </row>
    <row r="1595" spans="1:27" x14ac:dyDescent="0.25">
      <c r="A1595" s="248" t="str">
        <f t="shared" si="148"/>
        <v/>
      </c>
      <c r="B1595" s="249" t="str">
        <f t="shared" si="149"/>
        <v/>
      </c>
      <c r="C1595" s="250"/>
      <c r="D1595" s="251"/>
      <c r="E1595" s="241"/>
      <c r="F1595" s="252"/>
      <c r="G1595" s="252"/>
      <c r="H1595" s="253"/>
      <c r="I1595" s="250"/>
      <c r="J1595" s="250"/>
      <c r="K1595" s="270"/>
      <c r="L1595" s="250"/>
      <c r="M1595" s="250"/>
      <c r="N1595" s="553" t="str">
        <f>CONCATENATE(IF(OR(M1595=phu!$I$1,M1595=phu!$I$2,M1595=phu!$I$3),"Cam Thành Nam",""),IF(OR(M1595=phu!$I$4,M1595=phu!$I$5,M1595=phu!$I$6,M1595=phu!$I$7,M1595=phu!$I$8,M1595=phu!$I$9,M1595=phu!$I$10,M1595=phu!$I$11,M1595=phu!$I$12,M1595=phu!$I$13,M1595=phu!$I$14),"Cam Nghĩa",""),IF(OR(M1595=phu!$I$15,M1595=phu!$I$16,M1595=phu!$I$17,M1595=phu!$I$18,M1595=phu!$I$19,M1595=phu!$I$20,M1595=phu!$I$21),"Cam Phúc Bắc",""),IF(OR(M1595=phu!$I$22,M1595=phu!$I$23,M1595=phu!$I$24,M1595=phu!$I$25),"Cam Phúc Nam",""),IF(OR(M1595=phu!$I$26,M1595=phu!$I$27,M1595=phu!$I$28,M1595=phu!$I$29,M1595=phu!$I$30,M1595=phu!$I$31),"Cam Phú",""),IF(OR(M1595=phu!$I$32,M1595=phu!$I$33,M1595=phu!$I$34,M1595=phu!$I$35,M1595=phu!$I$36,M1595=phu!$I$37),"Cam Lộc",""),IF(OR(M1595=phu!$I$38,M1595=phu!$I$39,M1595=phu!$I$40,M1595=phu!$I$41,M1595=phu!$I$42,M1595=phu!$I$43,M1595=phu!$I$44),"Cam Thuận",""),IF(OR(M1595=phu!$I$45,M1595=phu!$I$46,M1595=phu!$I$47,M1595=phu!$I$48,M1595=phu!$I$49,M1595=phu!$I$50,M1595=phu!$I$51,M1595=phu!$I$52,M1595=phu!$I$53),"Cam Linh",""),IF(OR(M1595=phu!$I$54,M1595=phu!$I$55,M1595=phu!$I$56,M1595=phu!$I$57,M1595=phu!$I$58,M1595=phu!$I$59,M1595=phu!$I$60,M1595=phu!$I$61,M1595=phu!$I$62),"Cam Lợi",""),IF(OR(M1595=phu!$I$63,M1595=phu!$I$64,M1595=phu!$I$65,M1595=phu!$I$66,M1595=phu!$I$67,M1595=phu!$I$68,M1595=phu!$I$69,M1595=phu!$I$70,M1595=phu!$I$71),"Ba Ngòi",""),IF(OR(M1595=phu!$I$72,M1595=phu!$I$73,M1595=phu!$I$74,M1595=phu!$I$75,M1595=phu!$I$76,M1595=phu!$I$77,M1595=phu!$I$78),"Cam Phước Đông",""),IF(OR(M1595=phu!$I$79,M1595=phu!$I$80,M1595=phu!$I$81,M1595=phu!$I$82,M1595=phu!$I$83,M1595=phu!$I$84),"Cam Thịnh Đông",""),IF(OR(M1595=phu!$I$85,M1595=phu!$I$86,M1595=phu!$I$87,M1595=phu!$I$88),"Cam Thịnh Tây",""),IF(OR(M1595=phu!$I$89,M1595=phu!$I$90),"Cam Lập",""),IF(OR(M1595=phu!$I$91,M1595=phu!$I$92,M1595=phu!$I$93),"Cam Bình",""),IF(OR(M1595=phu!$I$94,M1595=phu!$I$95,M1595=phu!$I$96,M1595=phu!$I$97,M1595=phu!$I$98,M1595=phu!$I$99,M1595=phu!$I$100),"Huyện khác",""),IF(OR(M1595=phu!$I$101,M1595=phu!$I$102),"Tỉnh khác",""))</f>
        <v/>
      </c>
      <c r="O1595" s="814" t="str">
        <f t="shared" si="145"/>
        <v/>
      </c>
      <c r="P1595" s="254"/>
      <c r="Q1595" s="254"/>
      <c r="R1595" s="254"/>
      <c r="S1595" s="254"/>
      <c r="T1595" s="254"/>
      <c r="U1595" s="254"/>
      <c r="V1595" s="254"/>
      <c r="W1595" s="254"/>
      <c r="Y1595" s="246" t="str">
        <f t="shared" si="146"/>
        <v/>
      </c>
      <c r="Z1595" s="247" t="str">
        <f t="shared" si="144"/>
        <v/>
      </c>
      <c r="AA1595" s="246" t="str">
        <f t="shared" si="147"/>
        <v/>
      </c>
    </row>
    <row r="1596" spans="1:27" x14ac:dyDescent="0.25">
      <c r="A1596" s="248" t="str">
        <f t="shared" si="148"/>
        <v/>
      </c>
      <c r="B1596" s="249" t="str">
        <f t="shared" si="149"/>
        <v/>
      </c>
      <c r="C1596" s="250"/>
      <c r="D1596" s="251"/>
      <c r="E1596" s="241"/>
      <c r="F1596" s="252"/>
      <c r="G1596" s="252"/>
      <c r="H1596" s="253"/>
      <c r="I1596" s="250"/>
      <c r="J1596" s="250"/>
      <c r="K1596" s="270"/>
      <c r="L1596" s="250"/>
      <c r="M1596" s="250"/>
      <c r="N1596" s="553" t="str">
        <f>CONCATENATE(IF(OR(M1596=phu!$I$1,M1596=phu!$I$2,M1596=phu!$I$3),"Cam Thành Nam",""),IF(OR(M1596=phu!$I$4,M1596=phu!$I$5,M1596=phu!$I$6,M1596=phu!$I$7,M1596=phu!$I$8,M1596=phu!$I$9,M1596=phu!$I$10,M1596=phu!$I$11,M1596=phu!$I$12,M1596=phu!$I$13,M1596=phu!$I$14),"Cam Nghĩa",""),IF(OR(M1596=phu!$I$15,M1596=phu!$I$16,M1596=phu!$I$17,M1596=phu!$I$18,M1596=phu!$I$19,M1596=phu!$I$20,M1596=phu!$I$21),"Cam Phúc Bắc",""),IF(OR(M1596=phu!$I$22,M1596=phu!$I$23,M1596=phu!$I$24,M1596=phu!$I$25),"Cam Phúc Nam",""),IF(OR(M1596=phu!$I$26,M1596=phu!$I$27,M1596=phu!$I$28,M1596=phu!$I$29,M1596=phu!$I$30,M1596=phu!$I$31),"Cam Phú",""),IF(OR(M1596=phu!$I$32,M1596=phu!$I$33,M1596=phu!$I$34,M1596=phu!$I$35,M1596=phu!$I$36,M1596=phu!$I$37),"Cam Lộc",""),IF(OR(M1596=phu!$I$38,M1596=phu!$I$39,M1596=phu!$I$40,M1596=phu!$I$41,M1596=phu!$I$42,M1596=phu!$I$43,M1596=phu!$I$44),"Cam Thuận",""),IF(OR(M1596=phu!$I$45,M1596=phu!$I$46,M1596=phu!$I$47,M1596=phu!$I$48,M1596=phu!$I$49,M1596=phu!$I$50,M1596=phu!$I$51,M1596=phu!$I$52,M1596=phu!$I$53),"Cam Linh",""),IF(OR(M1596=phu!$I$54,M1596=phu!$I$55,M1596=phu!$I$56,M1596=phu!$I$57,M1596=phu!$I$58,M1596=phu!$I$59,M1596=phu!$I$60,M1596=phu!$I$61,M1596=phu!$I$62),"Cam Lợi",""),IF(OR(M1596=phu!$I$63,M1596=phu!$I$64,M1596=phu!$I$65,M1596=phu!$I$66,M1596=phu!$I$67,M1596=phu!$I$68,M1596=phu!$I$69,M1596=phu!$I$70,M1596=phu!$I$71),"Ba Ngòi",""),IF(OR(M1596=phu!$I$72,M1596=phu!$I$73,M1596=phu!$I$74,M1596=phu!$I$75,M1596=phu!$I$76,M1596=phu!$I$77,M1596=phu!$I$78),"Cam Phước Đông",""),IF(OR(M1596=phu!$I$79,M1596=phu!$I$80,M1596=phu!$I$81,M1596=phu!$I$82,M1596=phu!$I$83,M1596=phu!$I$84),"Cam Thịnh Đông",""),IF(OR(M1596=phu!$I$85,M1596=phu!$I$86,M1596=phu!$I$87,M1596=phu!$I$88),"Cam Thịnh Tây",""),IF(OR(M1596=phu!$I$89,M1596=phu!$I$90),"Cam Lập",""),IF(OR(M1596=phu!$I$91,M1596=phu!$I$92,M1596=phu!$I$93),"Cam Bình",""),IF(OR(M1596=phu!$I$94,M1596=phu!$I$95,M1596=phu!$I$96,M1596=phu!$I$97,M1596=phu!$I$98,M1596=phu!$I$99,M1596=phu!$I$100),"Huyện khác",""),IF(OR(M1596=phu!$I$101,M1596=phu!$I$102),"Tỉnh khác",""))</f>
        <v/>
      </c>
      <c r="O1596" s="814" t="str">
        <f t="shared" si="145"/>
        <v/>
      </c>
      <c r="P1596" s="254"/>
      <c r="Q1596" s="254"/>
      <c r="R1596" s="254"/>
      <c r="S1596" s="254"/>
      <c r="T1596" s="254"/>
      <c r="U1596" s="254"/>
      <c r="V1596" s="254"/>
      <c r="W1596" s="254"/>
      <c r="Y1596" s="246" t="str">
        <f t="shared" si="146"/>
        <v/>
      </c>
      <c r="Z1596" s="247" t="str">
        <f t="shared" si="144"/>
        <v/>
      </c>
      <c r="AA1596" s="246" t="str">
        <f t="shared" si="147"/>
        <v/>
      </c>
    </row>
    <row r="1597" spans="1:27" x14ac:dyDescent="0.25">
      <c r="A1597" s="248" t="str">
        <f t="shared" si="148"/>
        <v/>
      </c>
      <c r="B1597" s="249" t="str">
        <f t="shared" si="149"/>
        <v/>
      </c>
      <c r="C1597" s="250"/>
      <c r="D1597" s="251"/>
      <c r="E1597" s="241"/>
      <c r="F1597" s="252"/>
      <c r="G1597" s="252"/>
      <c r="H1597" s="253"/>
      <c r="I1597" s="250"/>
      <c r="J1597" s="250"/>
      <c r="K1597" s="270"/>
      <c r="L1597" s="250"/>
      <c r="M1597" s="250"/>
      <c r="N1597" s="553" t="str">
        <f>CONCATENATE(IF(OR(M1597=phu!$I$1,M1597=phu!$I$2,M1597=phu!$I$3),"Cam Thành Nam",""),IF(OR(M1597=phu!$I$4,M1597=phu!$I$5,M1597=phu!$I$6,M1597=phu!$I$7,M1597=phu!$I$8,M1597=phu!$I$9,M1597=phu!$I$10,M1597=phu!$I$11,M1597=phu!$I$12,M1597=phu!$I$13,M1597=phu!$I$14),"Cam Nghĩa",""),IF(OR(M1597=phu!$I$15,M1597=phu!$I$16,M1597=phu!$I$17,M1597=phu!$I$18,M1597=phu!$I$19,M1597=phu!$I$20,M1597=phu!$I$21),"Cam Phúc Bắc",""),IF(OR(M1597=phu!$I$22,M1597=phu!$I$23,M1597=phu!$I$24,M1597=phu!$I$25),"Cam Phúc Nam",""),IF(OR(M1597=phu!$I$26,M1597=phu!$I$27,M1597=phu!$I$28,M1597=phu!$I$29,M1597=phu!$I$30,M1597=phu!$I$31),"Cam Phú",""),IF(OR(M1597=phu!$I$32,M1597=phu!$I$33,M1597=phu!$I$34,M1597=phu!$I$35,M1597=phu!$I$36,M1597=phu!$I$37),"Cam Lộc",""),IF(OR(M1597=phu!$I$38,M1597=phu!$I$39,M1597=phu!$I$40,M1597=phu!$I$41,M1597=phu!$I$42,M1597=phu!$I$43,M1597=phu!$I$44),"Cam Thuận",""),IF(OR(M1597=phu!$I$45,M1597=phu!$I$46,M1597=phu!$I$47,M1597=phu!$I$48,M1597=phu!$I$49,M1597=phu!$I$50,M1597=phu!$I$51,M1597=phu!$I$52,M1597=phu!$I$53),"Cam Linh",""),IF(OR(M1597=phu!$I$54,M1597=phu!$I$55,M1597=phu!$I$56,M1597=phu!$I$57,M1597=phu!$I$58,M1597=phu!$I$59,M1597=phu!$I$60,M1597=phu!$I$61,M1597=phu!$I$62),"Cam Lợi",""),IF(OR(M1597=phu!$I$63,M1597=phu!$I$64,M1597=phu!$I$65,M1597=phu!$I$66,M1597=phu!$I$67,M1597=phu!$I$68,M1597=phu!$I$69,M1597=phu!$I$70,M1597=phu!$I$71),"Ba Ngòi",""),IF(OR(M1597=phu!$I$72,M1597=phu!$I$73,M1597=phu!$I$74,M1597=phu!$I$75,M1597=phu!$I$76,M1597=phu!$I$77,M1597=phu!$I$78),"Cam Phước Đông",""),IF(OR(M1597=phu!$I$79,M1597=phu!$I$80,M1597=phu!$I$81,M1597=phu!$I$82,M1597=phu!$I$83,M1597=phu!$I$84),"Cam Thịnh Đông",""),IF(OR(M1597=phu!$I$85,M1597=phu!$I$86,M1597=phu!$I$87,M1597=phu!$I$88),"Cam Thịnh Tây",""),IF(OR(M1597=phu!$I$89,M1597=phu!$I$90),"Cam Lập",""),IF(OR(M1597=phu!$I$91,M1597=phu!$I$92,M1597=phu!$I$93),"Cam Bình",""),IF(OR(M1597=phu!$I$94,M1597=phu!$I$95,M1597=phu!$I$96,M1597=phu!$I$97,M1597=phu!$I$98,M1597=phu!$I$99,M1597=phu!$I$100),"Huyện khác",""),IF(OR(M1597=phu!$I$101,M1597=phu!$I$102),"Tỉnh khác",""))</f>
        <v/>
      </c>
      <c r="O1597" s="814" t="str">
        <f t="shared" si="145"/>
        <v/>
      </c>
      <c r="P1597" s="254"/>
      <c r="Q1597" s="254"/>
      <c r="R1597" s="254"/>
      <c r="S1597" s="254"/>
      <c r="T1597" s="254"/>
      <c r="U1597" s="254"/>
      <c r="V1597" s="254"/>
      <c r="W1597" s="254"/>
      <c r="Y1597" s="246" t="str">
        <f t="shared" si="146"/>
        <v/>
      </c>
      <c r="Z1597" s="247" t="str">
        <f t="shared" si="144"/>
        <v/>
      </c>
      <c r="AA1597" s="246" t="str">
        <f t="shared" si="147"/>
        <v/>
      </c>
    </row>
    <row r="1598" spans="1:27" x14ac:dyDescent="0.25">
      <c r="A1598" s="248" t="str">
        <f t="shared" si="148"/>
        <v/>
      </c>
      <c r="B1598" s="249" t="str">
        <f t="shared" si="149"/>
        <v/>
      </c>
      <c r="C1598" s="250"/>
      <c r="D1598" s="251"/>
      <c r="E1598" s="241"/>
      <c r="F1598" s="252"/>
      <c r="G1598" s="252"/>
      <c r="H1598" s="253"/>
      <c r="I1598" s="250"/>
      <c r="J1598" s="250"/>
      <c r="K1598" s="270"/>
      <c r="L1598" s="250"/>
      <c r="M1598" s="250"/>
      <c r="N1598" s="553" t="str">
        <f>CONCATENATE(IF(OR(M1598=phu!$I$1,M1598=phu!$I$2,M1598=phu!$I$3),"Cam Thành Nam",""),IF(OR(M1598=phu!$I$4,M1598=phu!$I$5,M1598=phu!$I$6,M1598=phu!$I$7,M1598=phu!$I$8,M1598=phu!$I$9,M1598=phu!$I$10,M1598=phu!$I$11,M1598=phu!$I$12,M1598=phu!$I$13,M1598=phu!$I$14),"Cam Nghĩa",""),IF(OR(M1598=phu!$I$15,M1598=phu!$I$16,M1598=phu!$I$17,M1598=phu!$I$18,M1598=phu!$I$19,M1598=phu!$I$20,M1598=phu!$I$21),"Cam Phúc Bắc",""),IF(OR(M1598=phu!$I$22,M1598=phu!$I$23,M1598=phu!$I$24,M1598=phu!$I$25),"Cam Phúc Nam",""),IF(OR(M1598=phu!$I$26,M1598=phu!$I$27,M1598=phu!$I$28,M1598=phu!$I$29,M1598=phu!$I$30,M1598=phu!$I$31),"Cam Phú",""),IF(OR(M1598=phu!$I$32,M1598=phu!$I$33,M1598=phu!$I$34,M1598=phu!$I$35,M1598=phu!$I$36,M1598=phu!$I$37),"Cam Lộc",""),IF(OR(M1598=phu!$I$38,M1598=phu!$I$39,M1598=phu!$I$40,M1598=phu!$I$41,M1598=phu!$I$42,M1598=phu!$I$43,M1598=phu!$I$44),"Cam Thuận",""),IF(OR(M1598=phu!$I$45,M1598=phu!$I$46,M1598=phu!$I$47,M1598=phu!$I$48,M1598=phu!$I$49,M1598=phu!$I$50,M1598=phu!$I$51,M1598=phu!$I$52,M1598=phu!$I$53),"Cam Linh",""),IF(OR(M1598=phu!$I$54,M1598=phu!$I$55,M1598=phu!$I$56,M1598=phu!$I$57,M1598=phu!$I$58,M1598=phu!$I$59,M1598=phu!$I$60,M1598=phu!$I$61,M1598=phu!$I$62),"Cam Lợi",""),IF(OR(M1598=phu!$I$63,M1598=phu!$I$64,M1598=phu!$I$65,M1598=phu!$I$66,M1598=phu!$I$67,M1598=phu!$I$68,M1598=phu!$I$69,M1598=phu!$I$70,M1598=phu!$I$71),"Ba Ngòi",""),IF(OR(M1598=phu!$I$72,M1598=phu!$I$73,M1598=phu!$I$74,M1598=phu!$I$75,M1598=phu!$I$76,M1598=phu!$I$77,M1598=phu!$I$78),"Cam Phước Đông",""),IF(OR(M1598=phu!$I$79,M1598=phu!$I$80,M1598=phu!$I$81,M1598=phu!$I$82,M1598=phu!$I$83,M1598=phu!$I$84),"Cam Thịnh Đông",""),IF(OR(M1598=phu!$I$85,M1598=phu!$I$86,M1598=phu!$I$87,M1598=phu!$I$88),"Cam Thịnh Tây",""),IF(OR(M1598=phu!$I$89,M1598=phu!$I$90),"Cam Lập",""),IF(OR(M1598=phu!$I$91,M1598=phu!$I$92,M1598=phu!$I$93),"Cam Bình",""),IF(OR(M1598=phu!$I$94,M1598=phu!$I$95,M1598=phu!$I$96,M1598=phu!$I$97,M1598=phu!$I$98,M1598=phu!$I$99,M1598=phu!$I$100),"Huyện khác",""),IF(OR(M1598=phu!$I$101,M1598=phu!$I$102),"Tỉnh khác",""))</f>
        <v/>
      </c>
      <c r="O1598" s="814" t="str">
        <f t="shared" si="145"/>
        <v/>
      </c>
      <c r="P1598" s="254"/>
      <c r="Q1598" s="254"/>
      <c r="R1598" s="254"/>
      <c r="S1598" s="254"/>
      <c r="T1598" s="254"/>
      <c r="U1598" s="254"/>
      <c r="V1598" s="254"/>
      <c r="W1598" s="254"/>
      <c r="Y1598" s="246" t="str">
        <f t="shared" si="146"/>
        <v/>
      </c>
      <c r="Z1598" s="247" t="str">
        <f t="shared" si="144"/>
        <v/>
      </c>
      <c r="AA1598" s="246" t="str">
        <f t="shared" si="147"/>
        <v/>
      </c>
    </row>
    <row r="1599" spans="1:27" x14ac:dyDescent="0.25">
      <c r="A1599" s="248" t="str">
        <f t="shared" si="148"/>
        <v/>
      </c>
      <c r="B1599" s="249" t="str">
        <f t="shared" si="149"/>
        <v/>
      </c>
      <c r="C1599" s="250"/>
      <c r="D1599" s="251"/>
      <c r="E1599" s="241"/>
      <c r="F1599" s="252"/>
      <c r="G1599" s="252"/>
      <c r="H1599" s="253"/>
      <c r="I1599" s="250"/>
      <c r="J1599" s="250"/>
      <c r="K1599" s="270"/>
      <c r="L1599" s="250"/>
      <c r="M1599" s="250"/>
      <c r="N1599" s="553" t="str">
        <f>CONCATENATE(IF(OR(M1599=phu!$I$1,M1599=phu!$I$2,M1599=phu!$I$3),"Cam Thành Nam",""),IF(OR(M1599=phu!$I$4,M1599=phu!$I$5,M1599=phu!$I$6,M1599=phu!$I$7,M1599=phu!$I$8,M1599=phu!$I$9,M1599=phu!$I$10,M1599=phu!$I$11,M1599=phu!$I$12,M1599=phu!$I$13,M1599=phu!$I$14),"Cam Nghĩa",""),IF(OR(M1599=phu!$I$15,M1599=phu!$I$16,M1599=phu!$I$17,M1599=phu!$I$18,M1599=phu!$I$19,M1599=phu!$I$20,M1599=phu!$I$21),"Cam Phúc Bắc",""),IF(OR(M1599=phu!$I$22,M1599=phu!$I$23,M1599=phu!$I$24,M1599=phu!$I$25),"Cam Phúc Nam",""),IF(OR(M1599=phu!$I$26,M1599=phu!$I$27,M1599=phu!$I$28,M1599=phu!$I$29,M1599=phu!$I$30,M1599=phu!$I$31),"Cam Phú",""),IF(OR(M1599=phu!$I$32,M1599=phu!$I$33,M1599=phu!$I$34,M1599=phu!$I$35,M1599=phu!$I$36,M1599=phu!$I$37),"Cam Lộc",""),IF(OR(M1599=phu!$I$38,M1599=phu!$I$39,M1599=phu!$I$40,M1599=phu!$I$41,M1599=phu!$I$42,M1599=phu!$I$43,M1599=phu!$I$44),"Cam Thuận",""),IF(OR(M1599=phu!$I$45,M1599=phu!$I$46,M1599=phu!$I$47,M1599=phu!$I$48,M1599=phu!$I$49,M1599=phu!$I$50,M1599=phu!$I$51,M1599=phu!$I$52,M1599=phu!$I$53),"Cam Linh",""),IF(OR(M1599=phu!$I$54,M1599=phu!$I$55,M1599=phu!$I$56,M1599=phu!$I$57,M1599=phu!$I$58,M1599=phu!$I$59,M1599=phu!$I$60,M1599=phu!$I$61,M1599=phu!$I$62),"Cam Lợi",""),IF(OR(M1599=phu!$I$63,M1599=phu!$I$64,M1599=phu!$I$65,M1599=phu!$I$66,M1599=phu!$I$67,M1599=phu!$I$68,M1599=phu!$I$69,M1599=phu!$I$70,M1599=phu!$I$71),"Ba Ngòi",""),IF(OR(M1599=phu!$I$72,M1599=phu!$I$73,M1599=phu!$I$74,M1599=phu!$I$75,M1599=phu!$I$76,M1599=phu!$I$77,M1599=phu!$I$78),"Cam Phước Đông",""),IF(OR(M1599=phu!$I$79,M1599=phu!$I$80,M1599=phu!$I$81,M1599=phu!$I$82,M1599=phu!$I$83,M1599=phu!$I$84),"Cam Thịnh Đông",""),IF(OR(M1599=phu!$I$85,M1599=phu!$I$86,M1599=phu!$I$87,M1599=phu!$I$88),"Cam Thịnh Tây",""),IF(OR(M1599=phu!$I$89,M1599=phu!$I$90),"Cam Lập",""),IF(OR(M1599=phu!$I$91,M1599=phu!$I$92,M1599=phu!$I$93),"Cam Bình",""),IF(OR(M1599=phu!$I$94,M1599=phu!$I$95,M1599=phu!$I$96,M1599=phu!$I$97,M1599=phu!$I$98,M1599=phu!$I$99,M1599=phu!$I$100),"Huyện khác",""),IF(OR(M1599=phu!$I$101,M1599=phu!$I$102),"Tỉnh khác",""))</f>
        <v/>
      </c>
      <c r="O1599" s="814" t="str">
        <f t="shared" si="145"/>
        <v/>
      </c>
      <c r="P1599" s="254"/>
      <c r="Q1599" s="254"/>
      <c r="R1599" s="254"/>
      <c r="S1599" s="254"/>
      <c r="T1599" s="254"/>
      <c r="U1599" s="254"/>
      <c r="V1599" s="254"/>
      <c r="W1599" s="254"/>
      <c r="Y1599" s="246" t="str">
        <f t="shared" si="146"/>
        <v/>
      </c>
      <c r="Z1599" s="247" t="str">
        <f t="shared" si="144"/>
        <v/>
      </c>
      <c r="AA1599" s="246" t="str">
        <f t="shared" si="147"/>
        <v/>
      </c>
    </row>
    <row r="1600" spans="1:27" x14ac:dyDescent="0.25">
      <c r="A1600" s="248" t="str">
        <f t="shared" si="148"/>
        <v/>
      </c>
      <c r="B1600" s="249" t="str">
        <f t="shared" si="149"/>
        <v/>
      </c>
      <c r="C1600" s="250"/>
      <c r="D1600" s="251"/>
      <c r="E1600" s="241"/>
      <c r="F1600" s="252"/>
      <c r="G1600" s="252"/>
      <c r="H1600" s="253"/>
      <c r="I1600" s="250"/>
      <c r="J1600" s="250"/>
      <c r="K1600" s="270"/>
      <c r="L1600" s="250"/>
      <c r="M1600" s="250"/>
      <c r="N1600" s="553" t="str">
        <f>CONCATENATE(IF(OR(M1600=phu!$I$1,M1600=phu!$I$2,M1600=phu!$I$3),"Cam Thành Nam",""),IF(OR(M1600=phu!$I$4,M1600=phu!$I$5,M1600=phu!$I$6,M1600=phu!$I$7,M1600=phu!$I$8,M1600=phu!$I$9,M1600=phu!$I$10,M1600=phu!$I$11,M1600=phu!$I$12,M1600=phu!$I$13,M1600=phu!$I$14),"Cam Nghĩa",""),IF(OR(M1600=phu!$I$15,M1600=phu!$I$16,M1600=phu!$I$17,M1600=phu!$I$18,M1600=phu!$I$19,M1600=phu!$I$20,M1600=phu!$I$21),"Cam Phúc Bắc",""),IF(OR(M1600=phu!$I$22,M1600=phu!$I$23,M1600=phu!$I$24,M1600=phu!$I$25),"Cam Phúc Nam",""),IF(OR(M1600=phu!$I$26,M1600=phu!$I$27,M1600=phu!$I$28,M1600=phu!$I$29,M1600=phu!$I$30,M1600=phu!$I$31),"Cam Phú",""),IF(OR(M1600=phu!$I$32,M1600=phu!$I$33,M1600=phu!$I$34,M1600=phu!$I$35,M1600=phu!$I$36,M1600=phu!$I$37),"Cam Lộc",""),IF(OR(M1600=phu!$I$38,M1600=phu!$I$39,M1600=phu!$I$40,M1600=phu!$I$41,M1600=phu!$I$42,M1600=phu!$I$43,M1600=phu!$I$44),"Cam Thuận",""),IF(OR(M1600=phu!$I$45,M1600=phu!$I$46,M1600=phu!$I$47,M1600=phu!$I$48,M1600=phu!$I$49,M1600=phu!$I$50,M1600=phu!$I$51,M1600=phu!$I$52,M1600=phu!$I$53),"Cam Linh",""),IF(OR(M1600=phu!$I$54,M1600=phu!$I$55,M1600=phu!$I$56,M1600=phu!$I$57,M1600=phu!$I$58,M1600=phu!$I$59,M1600=phu!$I$60,M1600=phu!$I$61,M1600=phu!$I$62),"Cam Lợi",""),IF(OR(M1600=phu!$I$63,M1600=phu!$I$64,M1600=phu!$I$65,M1600=phu!$I$66,M1600=phu!$I$67,M1600=phu!$I$68,M1600=phu!$I$69,M1600=phu!$I$70,M1600=phu!$I$71),"Ba Ngòi",""),IF(OR(M1600=phu!$I$72,M1600=phu!$I$73,M1600=phu!$I$74,M1600=phu!$I$75,M1600=phu!$I$76,M1600=phu!$I$77,M1600=phu!$I$78),"Cam Phước Đông",""),IF(OR(M1600=phu!$I$79,M1600=phu!$I$80,M1600=phu!$I$81,M1600=phu!$I$82,M1600=phu!$I$83,M1600=phu!$I$84),"Cam Thịnh Đông",""),IF(OR(M1600=phu!$I$85,M1600=phu!$I$86,M1600=phu!$I$87,M1600=phu!$I$88),"Cam Thịnh Tây",""),IF(OR(M1600=phu!$I$89,M1600=phu!$I$90),"Cam Lập",""),IF(OR(M1600=phu!$I$91,M1600=phu!$I$92,M1600=phu!$I$93),"Cam Bình",""),IF(OR(M1600=phu!$I$94,M1600=phu!$I$95,M1600=phu!$I$96,M1600=phu!$I$97,M1600=phu!$I$98,M1600=phu!$I$99,M1600=phu!$I$100),"Huyện khác",""),IF(OR(M1600=phu!$I$101,M1600=phu!$I$102),"Tỉnh khác",""))</f>
        <v/>
      </c>
      <c r="O1600" s="814" t="str">
        <f t="shared" si="145"/>
        <v/>
      </c>
      <c r="P1600" s="254"/>
      <c r="Q1600" s="254"/>
      <c r="R1600" s="254"/>
      <c r="S1600" s="254"/>
      <c r="T1600" s="254"/>
      <c r="U1600" s="254"/>
      <c r="V1600" s="254"/>
      <c r="W1600" s="254"/>
      <c r="Y1600" s="246" t="str">
        <f t="shared" si="146"/>
        <v/>
      </c>
      <c r="Z1600" s="247" t="str">
        <f t="shared" si="144"/>
        <v/>
      </c>
      <c r="AA1600" s="246" t="str">
        <f t="shared" si="147"/>
        <v/>
      </c>
    </row>
    <row r="1601" spans="1:27" x14ac:dyDescent="0.25">
      <c r="A1601" s="248" t="str">
        <f t="shared" si="148"/>
        <v/>
      </c>
      <c r="B1601" s="249" t="str">
        <f t="shared" si="149"/>
        <v/>
      </c>
      <c r="C1601" s="250"/>
      <c r="D1601" s="251"/>
      <c r="E1601" s="241"/>
      <c r="F1601" s="252"/>
      <c r="G1601" s="252"/>
      <c r="H1601" s="253"/>
      <c r="I1601" s="250"/>
      <c r="J1601" s="250"/>
      <c r="K1601" s="270"/>
      <c r="L1601" s="250"/>
      <c r="M1601" s="250"/>
      <c r="N1601" s="553" t="str">
        <f>CONCATENATE(IF(OR(M1601=phu!$I$1,M1601=phu!$I$2,M1601=phu!$I$3),"Cam Thành Nam",""),IF(OR(M1601=phu!$I$4,M1601=phu!$I$5,M1601=phu!$I$6,M1601=phu!$I$7,M1601=phu!$I$8,M1601=phu!$I$9,M1601=phu!$I$10,M1601=phu!$I$11,M1601=phu!$I$12,M1601=phu!$I$13,M1601=phu!$I$14),"Cam Nghĩa",""),IF(OR(M1601=phu!$I$15,M1601=phu!$I$16,M1601=phu!$I$17,M1601=phu!$I$18,M1601=phu!$I$19,M1601=phu!$I$20,M1601=phu!$I$21),"Cam Phúc Bắc",""),IF(OR(M1601=phu!$I$22,M1601=phu!$I$23,M1601=phu!$I$24,M1601=phu!$I$25),"Cam Phúc Nam",""),IF(OR(M1601=phu!$I$26,M1601=phu!$I$27,M1601=phu!$I$28,M1601=phu!$I$29,M1601=phu!$I$30,M1601=phu!$I$31),"Cam Phú",""),IF(OR(M1601=phu!$I$32,M1601=phu!$I$33,M1601=phu!$I$34,M1601=phu!$I$35,M1601=phu!$I$36,M1601=phu!$I$37),"Cam Lộc",""),IF(OR(M1601=phu!$I$38,M1601=phu!$I$39,M1601=phu!$I$40,M1601=phu!$I$41,M1601=phu!$I$42,M1601=phu!$I$43,M1601=phu!$I$44),"Cam Thuận",""),IF(OR(M1601=phu!$I$45,M1601=phu!$I$46,M1601=phu!$I$47,M1601=phu!$I$48,M1601=phu!$I$49,M1601=phu!$I$50,M1601=phu!$I$51,M1601=phu!$I$52,M1601=phu!$I$53),"Cam Linh",""),IF(OR(M1601=phu!$I$54,M1601=phu!$I$55,M1601=phu!$I$56,M1601=phu!$I$57,M1601=phu!$I$58,M1601=phu!$I$59,M1601=phu!$I$60,M1601=phu!$I$61,M1601=phu!$I$62),"Cam Lợi",""),IF(OR(M1601=phu!$I$63,M1601=phu!$I$64,M1601=phu!$I$65,M1601=phu!$I$66,M1601=phu!$I$67,M1601=phu!$I$68,M1601=phu!$I$69,M1601=phu!$I$70,M1601=phu!$I$71),"Ba Ngòi",""),IF(OR(M1601=phu!$I$72,M1601=phu!$I$73,M1601=phu!$I$74,M1601=phu!$I$75,M1601=phu!$I$76,M1601=phu!$I$77,M1601=phu!$I$78),"Cam Phước Đông",""),IF(OR(M1601=phu!$I$79,M1601=phu!$I$80,M1601=phu!$I$81,M1601=phu!$I$82,M1601=phu!$I$83,M1601=phu!$I$84),"Cam Thịnh Đông",""),IF(OR(M1601=phu!$I$85,M1601=phu!$I$86,M1601=phu!$I$87,M1601=phu!$I$88),"Cam Thịnh Tây",""),IF(OR(M1601=phu!$I$89,M1601=phu!$I$90),"Cam Lập",""),IF(OR(M1601=phu!$I$91,M1601=phu!$I$92,M1601=phu!$I$93),"Cam Bình",""),IF(OR(M1601=phu!$I$94,M1601=phu!$I$95,M1601=phu!$I$96,M1601=phu!$I$97,M1601=phu!$I$98,M1601=phu!$I$99,M1601=phu!$I$100),"Huyện khác",""),IF(OR(M1601=phu!$I$101,M1601=phu!$I$102),"Tỉnh khác",""))</f>
        <v/>
      </c>
      <c r="O1601" s="814" t="str">
        <f t="shared" si="145"/>
        <v/>
      </c>
      <c r="P1601" s="254"/>
      <c r="Q1601" s="254"/>
      <c r="R1601" s="254"/>
      <c r="S1601" s="254"/>
      <c r="T1601" s="254"/>
      <c r="U1601" s="254"/>
      <c r="V1601" s="254"/>
      <c r="W1601" s="254"/>
      <c r="Y1601" s="246" t="str">
        <f t="shared" si="146"/>
        <v/>
      </c>
      <c r="Z1601" s="247" t="str">
        <f t="shared" si="144"/>
        <v/>
      </c>
      <c r="AA1601" s="246" t="str">
        <f t="shared" si="147"/>
        <v/>
      </c>
    </row>
    <row r="1602" spans="1:27" x14ac:dyDescent="0.25">
      <c r="A1602" s="248" t="str">
        <f t="shared" si="148"/>
        <v/>
      </c>
      <c r="B1602" s="249" t="str">
        <f t="shared" si="149"/>
        <v/>
      </c>
      <c r="C1602" s="250"/>
      <c r="D1602" s="251"/>
      <c r="E1602" s="241"/>
      <c r="F1602" s="252"/>
      <c r="G1602" s="252"/>
      <c r="H1602" s="253"/>
      <c r="I1602" s="250"/>
      <c r="J1602" s="250"/>
      <c r="K1602" s="270"/>
      <c r="L1602" s="250"/>
      <c r="M1602" s="250"/>
      <c r="N1602" s="553" t="str">
        <f>CONCATENATE(IF(OR(M1602=phu!$I$1,M1602=phu!$I$2,M1602=phu!$I$3),"Cam Thành Nam",""),IF(OR(M1602=phu!$I$4,M1602=phu!$I$5,M1602=phu!$I$6,M1602=phu!$I$7,M1602=phu!$I$8,M1602=phu!$I$9,M1602=phu!$I$10,M1602=phu!$I$11,M1602=phu!$I$12,M1602=phu!$I$13,M1602=phu!$I$14),"Cam Nghĩa",""),IF(OR(M1602=phu!$I$15,M1602=phu!$I$16,M1602=phu!$I$17,M1602=phu!$I$18,M1602=phu!$I$19,M1602=phu!$I$20,M1602=phu!$I$21),"Cam Phúc Bắc",""),IF(OR(M1602=phu!$I$22,M1602=phu!$I$23,M1602=phu!$I$24,M1602=phu!$I$25),"Cam Phúc Nam",""),IF(OR(M1602=phu!$I$26,M1602=phu!$I$27,M1602=phu!$I$28,M1602=phu!$I$29,M1602=phu!$I$30,M1602=phu!$I$31),"Cam Phú",""),IF(OR(M1602=phu!$I$32,M1602=phu!$I$33,M1602=phu!$I$34,M1602=phu!$I$35,M1602=phu!$I$36,M1602=phu!$I$37),"Cam Lộc",""),IF(OR(M1602=phu!$I$38,M1602=phu!$I$39,M1602=phu!$I$40,M1602=phu!$I$41,M1602=phu!$I$42,M1602=phu!$I$43,M1602=phu!$I$44),"Cam Thuận",""),IF(OR(M1602=phu!$I$45,M1602=phu!$I$46,M1602=phu!$I$47,M1602=phu!$I$48,M1602=phu!$I$49,M1602=phu!$I$50,M1602=phu!$I$51,M1602=phu!$I$52,M1602=phu!$I$53),"Cam Linh",""),IF(OR(M1602=phu!$I$54,M1602=phu!$I$55,M1602=phu!$I$56,M1602=phu!$I$57,M1602=phu!$I$58,M1602=phu!$I$59,M1602=phu!$I$60,M1602=phu!$I$61,M1602=phu!$I$62),"Cam Lợi",""),IF(OR(M1602=phu!$I$63,M1602=phu!$I$64,M1602=phu!$I$65,M1602=phu!$I$66,M1602=phu!$I$67,M1602=phu!$I$68,M1602=phu!$I$69,M1602=phu!$I$70,M1602=phu!$I$71),"Ba Ngòi",""),IF(OR(M1602=phu!$I$72,M1602=phu!$I$73,M1602=phu!$I$74,M1602=phu!$I$75,M1602=phu!$I$76,M1602=phu!$I$77,M1602=phu!$I$78),"Cam Phước Đông",""),IF(OR(M1602=phu!$I$79,M1602=phu!$I$80,M1602=phu!$I$81,M1602=phu!$I$82,M1602=phu!$I$83,M1602=phu!$I$84),"Cam Thịnh Đông",""),IF(OR(M1602=phu!$I$85,M1602=phu!$I$86,M1602=phu!$I$87,M1602=phu!$I$88),"Cam Thịnh Tây",""),IF(OR(M1602=phu!$I$89,M1602=phu!$I$90),"Cam Lập",""),IF(OR(M1602=phu!$I$91,M1602=phu!$I$92,M1602=phu!$I$93),"Cam Bình",""),IF(OR(M1602=phu!$I$94,M1602=phu!$I$95,M1602=phu!$I$96,M1602=phu!$I$97,M1602=phu!$I$98,M1602=phu!$I$99,M1602=phu!$I$100),"Huyện khác",""),IF(OR(M1602=phu!$I$101,M1602=phu!$I$102),"Tỉnh khác",""))</f>
        <v/>
      </c>
      <c r="O1602" s="814" t="str">
        <f t="shared" si="145"/>
        <v/>
      </c>
      <c r="P1602" s="254"/>
      <c r="Q1602" s="254"/>
      <c r="R1602" s="254"/>
      <c r="S1602" s="254"/>
      <c r="T1602" s="254"/>
      <c r="U1602" s="254"/>
      <c r="V1602" s="254"/>
      <c r="W1602" s="254"/>
      <c r="Y1602" s="246" t="str">
        <f t="shared" si="146"/>
        <v/>
      </c>
      <c r="Z1602" s="247" t="str">
        <f t="shared" si="144"/>
        <v/>
      </c>
      <c r="AA1602" s="246" t="str">
        <f t="shared" si="147"/>
        <v/>
      </c>
    </row>
    <row r="1603" spans="1:27" x14ac:dyDescent="0.25">
      <c r="A1603" s="248" t="str">
        <f t="shared" si="148"/>
        <v/>
      </c>
      <c r="B1603" s="249" t="str">
        <f t="shared" si="149"/>
        <v/>
      </c>
      <c r="C1603" s="250"/>
      <c r="D1603" s="251"/>
      <c r="E1603" s="241"/>
      <c r="F1603" s="252"/>
      <c r="G1603" s="252"/>
      <c r="H1603" s="253"/>
      <c r="I1603" s="250"/>
      <c r="J1603" s="250"/>
      <c r="K1603" s="270"/>
      <c r="L1603" s="250"/>
      <c r="M1603" s="250"/>
      <c r="N1603" s="553" t="str">
        <f>CONCATENATE(IF(OR(M1603=phu!$I$1,M1603=phu!$I$2,M1603=phu!$I$3),"Cam Thành Nam",""),IF(OR(M1603=phu!$I$4,M1603=phu!$I$5,M1603=phu!$I$6,M1603=phu!$I$7,M1603=phu!$I$8,M1603=phu!$I$9,M1603=phu!$I$10,M1603=phu!$I$11,M1603=phu!$I$12,M1603=phu!$I$13,M1603=phu!$I$14),"Cam Nghĩa",""),IF(OR(M1603=phu!$I$15,M1603=phu!$I$16,M1603=phu!$I$17,M1603=phu!$I$18,M1603=phu!$I$19,M1603=phu!$I$20,M1603=phu!$I$21),"Cam Phúc Bắc",""),IF(OR(M1603=phu!$I$22,M1603=phu!$I$23,M1603=phu!$I$24,M1603=phu!$I$25),"Cam Phúc Nam",""),IF(OR(M1603=phu!$I$26,M1603=phu!$I$27,M1603=phu!$I$28,M1603=phu!$I$29,M1603=phu!$I$30,M1603=phu!$I$31),"Cam Phú",""),IF(OR(M1603=phu!$I$32,M1603=phu!$I$33,M1603=phu!$I$34,M1603=phu!$I$35,M1603=phu!$I$36,M1603=phu!$I$37),"Cam Lộc",""),IF(OR(M1603=phu!$I$38,M1603=phu!$I$39,M1603=phu!$I$40,M1603=phu!$I$41,M1603=phu!$I$42,M1603=phu!$I$43,M1603=phu!$I$44),"Cam Thuận",""),IF(OR(M1603=phu!$I$45,M1603=phu!$I$46,M1603=phu!$I$47,M1603=phu!$I$48,M1603=phu!$I$49,M1603=phu!$I$50,M1603=phu!$I$51,M1603=phu!$I$52,M1603=phu!$I$53),"Cam Linh",""),IF(OR(M1603=phu!$I$54,M1603=phu!$I$55,M1603=phu!$I$56,M1603=phu!$I$57,M1603=phu!$I$58,M1603=phu!$I$59,M1603=phu!$I$60,M1603=phu!$I$61,M1603=phu!$I$62),"Cam Lợi",""),IF(OR(M1603=phu!$I$63,M1603=phu!$I$64,M1603=phu!$I$65,M1603=phu!$I$66,M1603=phu!$I$67,M1603=phu!$I$68,M1603=phu!$I$69,M1603=phu!$I$70,M1603=phu!$I$71),"Ba Ngòi",""),IF(OR(M1603=phu!$I$72,M1603=phu!$I$73,M1603=phu!$I$74,M1603=phu!$I$75,M1603=phu!$I$76,M1603=phu!$I$77,M1603=phu!$I$78),"Cam Phước Đông",""),IF(OR(M1603=phu!$I$79,M1603=phu!$I$80,M1603=phu!$I$81,M1603=phu!$I$82,M1603=phu!$I$83,M1603=phu!$I$84),"Cam Thịnh Đông",""),IF(OR(M1603=phu!$I$85,M1603=phu!$I$86,M1603=phu!$I$87,M1603=phu!$I$88),"Cam Thịnh Tây",""),IF(OR(M1603=phu!$I$89,M1603=phu!$I$90),"Cam Lập",""),IF(OR(M1603=phu!$I$91,M1603=phu!$I$92,M1603=phu!$I$93),"Cam Bình",""),IF(OR(M1603=phu!$I$94,M1603=phu!$I$95,M1603=phu!$I$96,M1603=phu!$I$97,M1603=phu!$I$98,M1603=phu!$I$99,M1603=phu!$I$100),"Huyện khác",""),IF(OR(M1603=phu!$I$101,M1603=phu!$I$102),"Tỉnh khác",""))</f>
        <v/>
      </c>
      <c r="O1603" s="814" t="str">
        <f t="shared" si="145"/>
        <v/>
      </c>
      <c r="P1603" s="254"/>
      <c r="Q1603" s="254"/>
      <c r="R1603" s="254"/>
      <c r="S1603" s="254"/>
      <c r="T1603" s="254"/>
      <c r="U1603" s="254"/>
      <c r="V1603" s="254"/>
      <c r="W1603" s="254"/>
      <c r="Y1603" s="246" t="str">
        <f t="shared" si="146"/>
        <v/>
      </c>
      <c r="Z1603" s="247" t="str">
        <f t="shared" si="144"/>
        <v/>
      </c>
      <c r="AA1603" s="246" t="str">
        <f t="shared" si="147"/>
        <v/>
      </c>
    </row>
    <row r="1604" spans="1:27" x14ac:dyDescent="0.25">
      <c r="A1604" s="248" t="str">
        <f t="shared" si="148"/>
        <v/>
      </c>
      <c r="B1604" s="249" t="str">
        <f t="shared" si="149"/>
        <v/>
      </c>
      <c r="C1604" s="250"/>
      <c r="D1604" s="251"/>
      <c r="E1604" s="241"/>
      <c r="F1604" s="252"/>
      <c r="G1604" s="252"/>
      <c r="H1604" s="253"/>
      <c r="I1604" s="250"/>
      <c r="J1604" s="250"/>
      <c r="K1604" s="270"/>
      <c r="L1604" s="250"/>
      <c r="M1604" s="250"/>
      <c r="N1604" s="553" t="str">
        <f>CONCATENATE(IF(OR(M1604=phu!$I$1,M1604=phu!$I$2,M1604=phu!$I$3),"Cam Thành Nam",""),IF(OR(M1604=phu!$I$4,M1604=phu!$I$5,M1604=phu!$I$6,M1604=phu!$I$7,M1604=phu!$I$8,M1604=phu!$I$9,M1604=phu!$I$10,M1604=phu!$I$11,M1604=phu!$I$12,M1604=phu!$I$13,M1604=phu!$I$14),"Cam Nghĩa",""),IF(OR(M1604=phu!$I$15,M1604=phu!$I$16,M1604=phu!$I$17,M1604=phu!$I$18,M1604=phu!$I$19,M1604=phu!$I$20,M1604=phu!$I$21),"Cam Phúc Bắc",""),IF(OR(M1604=phu!$I$22,M1604=phu!$I$23,M1604=phu!$I$24,M1604=phu!$I$25),"Cam Phúc Nam",""),IF(OR(M1604=phu!$I$26,M1604=phu!$I$27,M1604=phu!$I$28,M1604=phu!$I$29,M1604=phu!$I$30,M1604=phu!$I$31),"Cam Phú",""),IF(OR(M1604=phu!$I$32,M1604=phu!$I$33,M1604=phu!$I$34,M1604=phu!$I$35,M1604=phu!$I$36,M1604=phu!$I$37),"Cam Lộc",""),IF(OR(M1604=phu!$I$38,M1604=phu!$I$39,M1604=phu!$I$40,M1604=phu!$I$41,M1604=phu!$I$42,M1604=phu!$I$43,M1604=phu!$I$44),"Cam Thuận",""),IF(OR(M1604=phu!$I$45,M1604=phu!$I$46,M1604=phu!$I$47,M1604=phu!$I$48,M1604=phu!$I$49,M1604=phu!$I$50,M1604=phu!$I$51,M1604=phu!$I$52,M1604=phu!$I$53),"Cam Linh",""),IF(OR(M1604=phu!$I$54,M1604=phu!$I$55,M1604=phu!$I$56,M1604=phu!$I$57,M1604=phu!$I$58,M1604=phu!$I$59,M1604=phu!$I$60,M1604=phu!$I$61,M1604=phu!$I$62),"Cam Lợi",""),IF(OR(M1604=phu!$I$63,M1604=phu!$I$64,M1604=phu!$I$65,M1604=phu!$I$66,M1604=phu!$I$67,M1604=phu!$I$68,M1604=phu!$I$69,M1604=phu!$I$70,M1604=phu!$I$71),"Ba Ngòi",""),IF(OR(M1604=phu!$I$72,M1604=phu!$I$73,M1604=phu!$I$74,M1604=phu!$I$75,M1604=phu!$I$76,M1604=phu!$I$77,M1604=phu!$I$78),"Cam Phước Đông",""),IF(OR(M1604=phu!$I$79,M1604=phu!$I$80,M1604=phu!$I$81,M1604=phu!$I$82,M1604=phu!$I$83,M1604=phu!$I$84),"Cam Thịnh Đông",""),IF(OR(M1604=phu!$I$85,M1604=phu!$I$86,M1604=phu!$I$87,M1604=phu!$I$88),"Cam Thịnh Tây",""),IF(OR(M1604=phu!$I$89,M1604=phu!$I$90),"Cam Lập",""),IF(OR(M1604=phu!$I$91,M1604=phu!$I$92,M1604=phu!$I$93),"Cam Bình",""),IF(OR(M1604=phu!$I$94,M1604=phu!$I$95,M1604=phu!$I$96,M1604=phu!$I$97,M1604=phu!$I$98,M1604=phu!$I$99,M1604=phu!$I$100),"Huyện khác",""),IF(OR(M1604=phu!$I$101,M1604=phu!$I$102),"Tỉnh khác",""))</f>
        <v/>
      </c>
      <c r="O1604" s="814" t="str">
        <f t="shared" si="145"/>
        <v/>
      </c>
      <c r="P1604" s="254"/>
      <c r="Q1604" s="254"/>
      <c r="R1604" s="254"/>
      <c r="S1604" s="254"/>
      <c r="T1604" s="254"/>
      <c r="U1604" s="254"/>
      <c r="V1604" s="254"/>
      <c r="W1604" s="254"/>
      <c r="Y1604" s="246" t="str">
        <f t="shared" si="146"/>
        <v/>
      </c>
      <c r="Z1604" s="247" t="str">
        <f t="shared" si="144"/>
        <v/>
      </c>
      <c r="AA1604" s="246" t="str">
        <f t="shared" si="147"/>
        <v/>
      </c>
    </row>
    <row r="1605" spans="1:27" x14ac:dyDescent="0.25">
      <c r="A1605" s="257" t="str">
        <f>IF(OR(A1604="",B1605="",C1605="",D1605="",E1605=""),"",A1604+1)</f>
        <v/>
      </c>
      <c r="B1605" s="258" t="str">
        <f t="shared" si="149"/>
        <v/>
      </c>
      <c r="C1605" s="259"/>
      <c r="D1605" s="260"/>
      <c r="E1605" s="261"/>
      <c r="F1605" s="262"/>
      <c r="G1605" s="262"/>
      <c r="H1605" s="263"/>
      <c r="I1605" s="259"/>
      <c r="J1605" s="259"/>
      <c r="K1605" s="271"/>
      <c r="L1605" s="259"/>
      <c r="M1605" s="259"/>
      <c r="N1605" s="554" t="str">
        <f>CONCATENATE(IF(OR(M1605=phu!$I$1,M1605=phu!$I$2,M1605=phu!$I$3),"Cam Thành Nam",""),IF(OR(M1605=phu!$I$4,M1605=phu!$I$5,M1605=phu!$I$6,M1605=phu!$I$7,M1605=phu!$I$8,M1605=phu!$I$9,M1605=phu!$I$10,M1605=phu!$I$11,M1605=phu!$I$12,M1605=phu!$I$13,M1605=phu!$I$14),"Cam Nghĩa",""),IF(OR(M1605=phu!$I$15,M1605=phu!$I$16,M1605=phu!$I$17,M1605=phu!$I$18,M1605=phu!$I$19,M1605=phu!$I$20,M1605=phu!$I$21),"Cam Phúc Bắc",""),IF(OR(M1605=phu!$I$22,M1605=phu!$I$23,M1605=phu!$I$24,M1605=phu!$I$25),"Cam Phúc Nam",""),IF(OR(M1605=phu!$I$26,M1605=phu!$I$27,M1605=phu!$I$28,M1605=phu!$I$29,M1605=phu!$I$30,M1605=phu!$I$31),"Cam Phú",""),IF(OR(M1605=phu!$I$32,M1605=phu!$I$33,M1605=phu!$I$34,M1605=phu!$I$35,M1605=phu!$I$36,M1605=phu!$I$37),"Cam Lộc",""),IF(OR(M1605=phu!$I$38,M1605=phu!$I$39,M1605=phu!$I$40,M1605=phu!$I$41,M1605=phu!$I$42,M1605=phu!$I$43,M1605=phu!$I$44),"Cam Thuận",""),IF(OR(M1605=phu!$I$45,M1605=phu!$I$46,M1605=phu!$I$47,M1605=phu!$I$48,M1605=phu!$I$49,M1605=phu!$I$50,M1605=phu!$I$51,M1605=phu!$I$52,M1605=phu!$I$53),"Cam Linh",""),IF(OR(M1605=phu!$I$54,M1605=phu!$I$55,M1605=phu!$I$56,M1605=phu!$I$57,M1605=phu!$I$58,M1605=phu!$I$59,M1605=phu!$I$60,M1605=phu!$I$61,M1605=phu!$I$62),"Cam Lợi",""),IF(OR(M1605=phu!$I$63,M1605=phu!$I$64,M1605=phu!$I$65,M1605=phu!$I$66,M1605=phu!$I$67,M1605=phu!$I$68,M1605=phu!$I$69,M1605=phu!$I$70,M1605=phu!$I$71),"Ba Ngòi",""),IF(OR(M1605=phu!$I$72,M1605=phu!$I$73,M1605=phu!$I$74,M1605=phu!$I$75,M1605=phu!$I$76,M1605=phu!$I$77,M1605=phu!$I$78),"Cam Phước Đông",""),IF(OR(M1605=phu!$I$79,M1605=phu!$I$80,M1605=phu!$I$81,M1605=phu!$I$82,M1605=phu!$I$83,M1605=phu!$I$84),"Cam Thịnh Đông",""),IF(OR(M1605=phu!$I$85,M1605=phu!$I$86,M1605=phu!$I$87,M1605=phu!$I$88),"Cam Thịnh Tây",""),IF(OR(M1605=phu!$I$89,M1605=phu!$I$90),"Cam Lập",""),IF(OR(M1605=phu!$I$91,M1605=phu!$I$92,M1605=phu!$I$93),"Cam Bình",""),IF(OR(M1605=phu!$I$94,M1605=phu!$I$95,M1605=phu!$I$96,M1605=phu!$I$97,M1605=phu!$I$98,M1605=phu!$I$99,M1605=phu!$I$100),"Huyện khác",""),IF(OR(M1605=phu!$I$101,M1605=phu!$I$102),"Tỉnh khác",""))</f>
        <v/>
      </c>
      <c r="O1605" s="816" t="str">
        <f t="shared" si="145"/>
        <v/>
      </c>
      <c r="P1605" s="264"/>
      <c r="Q1605" s="264"/>
      <c r="R1605" s="264"/>
      <c r="S1605" s="264"/>
      <c r="T1605" s="264"/>
      <c r="U1605" s="264"/>
      <c r="V1605" s="264"/>
      <c r="W1605" s="264"/>
      <c r="Y1605" s="246" t="str">
        <f t="shared" si="146"/>
        <v/>
      </c>
      <c r="Z1605" s="247" t="str">
        <f t="shared" si="144"/>
        <v/>
      </c>
      <c r="AA1605" s="246" t="str">
        <f t="shared" si="147"/>
        <v/>
      </c>
    </row>
    <row r="1606" spans="1:27" x14ac:dyDescent="0.25">
      <c r="M1606" s="544"/>
      <c r="N1606" s="548"/>
      <c r="O1606" s="548"/>
      <c r="P1606" s="268"/>
      <c r="Q1606" s="268"/>
      <c r="R1606" s="268"/>
      <c r="S1606" s="268"/>
      <c r="T1606" s="268"/>
    </row>
    <row r="1607" spans="1:27" x14ac:dyDescent="0.25">
      <c r="M1607" s="544"/>
      <c r="N1607" s="548"/>
      <c r="O1607" s="548"/>
      <c r="P1607" s="268"/>
      <c r="Q1607" s="268"/>
      <c r="R1607" s="268"/>
      <c r="S1607" s="268"/>
      <c r="T1607" s="268"/>
    </row>
    <row r="1608" spans="1:27" x14ac:dyDescent="0.25">
      <c r="M1608" s="544"/>
      <c r="N1608" s="548"/>
      <c r="O1608" s="548"/>
      <c r="P1608" s="268"/>
      <c r="Q1608" s="268"/>
      <c r="R1608" s="268"/>
      <c r="S1608" s="268"/>
      <c r="T1608" s="268"/>
    </row>
    <row r="1609" spans="1:27" x14ac:dyDescent="0.25">
      <c r="M1609" s="544"/>
      <c r="N1609" s="548"/>
      <c r="O1609" s="548"/>
      <c r="P1609" s="268"/>
      <c r="Q1609" s="268"/>
      <c r="R1609" s="268"/>
      <c r="S1609" s="268"/>
      <c r="T1609" s="268"/>
    </row>
    <row r="1610" spans="1:27" x14ac:dyDescent="0.25">
      <c r="M1610" s="544"/>
      <c r="N1610" s="548"/>
      <c r="O1610" s="548"/>
      <c r="P1610" s="268"/>
      <c r="Q1610" s="268"/>
      <c r="R1610" s="268"/>
      <c r="S1610" s="268"/>
      <c r="T1610" s="268"/>
    </row>
    <row r="1611" spans="1:27" x14ac:dyDescent="0.25">
      <c r="M1611" s="544"/>
      <c r="N1611" s="548"/>
      <c r="O1611" s="548"/>
      <c r="P1611" s="268"/>
      <c r="Q1611" s="268"/>
      <c r="R1611" s="268"/>
      <c r="S1611" s="268"/>
      <c r="T1611" s="268"/>
    </row>
    <row r="1612" spans="1:27" x14ac:dyDescent="0.25">
      <c r="M1612" s="544"/>
      <c r="N1612" s="548"/>
      <c r="O1612" s="548"/>
      <c r="P1612" s="268"/>
      <c r="Q1612" s="268"/>
      <c r="R1612" s="268"/>
      <c r="S1612" s="268"/>
      <c r="T1612" s="268"/>
    </row>
    <row r="1613" spans="1:27" x14ac:dyDescent="0.25">
      <c r="M1613" s="544"/>
      <c r="N1613" s="548"/>
      <c r="O1613" s="548"/>
      <c r="P1613" s="268"/>
      <c r="Q1613" s="268"/>
      <c r="R1613" s="268"/>
      <c r="S1613" s="268"/>
      <c r="T1613" s="268"/>
    </row>
    <row r="1614" spans="1:27" x14ac:dyDescent="0.25">
      <c r="M1614" s="544"/>
      <c r="N1614" s="548"/>
      <c r="O1614" s="548"/>
      <c r="P1614" s="268"/>
      <c r="Q1614" s="268"/>
      <c r="R1614" s="268"/>
      <c r="S1614" s="268"/>
      <c r="T1614" s="268"/>
    </row>
    <row r="1615" spans="1:27" x14ac:dyDescent="0.25">
      <c r="M1615" s="544"/>
      <c r="N1615" s="548"/>
      <c r="O1615" s="548"/>
      <c r="P1615" s="268"/>
      <c r="Q1615" s="268"/>
      <c r="R1615" s="268"/>
      <c r="S1615" s="268"/>
      <c r="T1615" s="268"/>
    </row>
    <row r="1616" spans="1:27" x14ac:dyDescent="0.25">
      <c r="M1616" s="544"/>
      <c r="N1616" s="548"/>
      <c r="O1616" s="548"/>
      <c r="P1616" s="268"/>
      <c r="Q1616" s="268"/>
      <c r="R1616" s="268"/>
      <c r="S1616" s="268"/>
      <c r="T1616" s="268"/>
    </row>
    <row r="1617" spans="13:20" x14ac:dyDescent="0.25">
      <c r="M1617" s="544"/>
      <c r="N1617" s="548"/>
      <c r="O1617" s="548"/>
      <c r="P1617" s="268"/>
      <c r="Q1617" s="268"/>
      <c r="R1617" s="268"/>
      <c r="S1617" s="268"/>
      <c r="T1617" s="268"/>
    </row>
    <row r="1618" spans="13:20" x14ac:dyDescent="0.25">
      <c r="M1618" s="544"/>
      <c r="N1618" s="548"/>
      <c r="O1618" s="548"/>
      <c r="P1618" s="268"/>
      <c r="Q1618" s="268"/>
      <c r="R1618" s="268"/>
      <c r="S1618" s="268"/>
      <c r="T1618" s="268"/>
    </row>
    <row r="1619" spans="13:20" x14ac:dyDescent="0.25">
      <c r="M1619" s="544"/>
      <c r="N1619" s="548"/>
      <c r="O1619" s="548"/>
      <c r="P1619" s="268"/>
      <c r="Q1619" s="268"/>
      <c r="R1619" s="268"/>
      <c r="S1619" s="268"/>
      <c r="T1619" s="268"/>
    </row>
    <row r="1620" spans="13:20" x14ac:dyDescent="0.25">
      <c r="M1620" s="544"/>
      <c r="N1620" s="548"/>
      <c r="O1620" s="548"/>
      <c r="P1620" s="268"/>
      <c r="Q1620" s="268"/>
      <c r="R1620" s="268"/>
      <c r="S1620" s="268"/>
      <c r="T1620" s="268"/>
    </row>
    <row r="1621" spans="13:20" x14ac:dyDescent="0.25">
      <c r="M1621" s="544"/>
      <c r="N1621" s="548"/>
      <c r="O1621" s="548"/>
      <c r="P1621" s="268"/>
      <c r="Q1621" s="268"/>
      <c r="R1621" s="268"/>
      <c r="S1621" s="268"/>
      <c r="T1621" s="268"/>
    </row>
    <row r="1622" spans="13:20" x14ac:dyDescent="0.25">
      <c r="M1622" s="544"/>
      <c r="N1622" s="548"/>
      <c r="O1622" s="548"/>
      <c r="P1622" s="268"/>
      <c r="Q1622" s="268"/>
      <c r="R1622" s="268"/>
      <c r="S1622" s="268"/>
      <c r="T1622" s="268"/>
    </row>
    <row r="1623" spans="13:20" x14ac:dyDescent="0.25">
      <c r="M1623" s="544"/>
      <c r="N1623" s="548"/>
      <c r="O1623" s="548"/>
      <c r="P1623" s="268"/>
      <c r="Q1623" s="268"/>
      <c r="R1623" s="268"/>
      <c r="S1623" s="268"/>
      <c r="T1623" s="268"/>
    </row>
    <row r="1624" spans="13:20" x14ac:dyDescent="0.25">
      <c r="M1624" s="544"/>
      <c r="N1624" s="548"/>
      <c r="O1624" s="548"/>
      <c r="P1624" s="268"/>
      <c r="Q1624" s="268"/>
      <c r="R1624" s="268"/>
      <c r="S1624" s="268"/>
      <c r="T1624" s="268"/>
    </row>
    <row r="1625" spans="13:20" x14ac:dyDescent="0.25">
      <c r="M1625" s="544"/>
      <c r="N1625" s="548"/>
      <c r="O1625" s="548"/>
      <c r="P1625" s="268"/>
      <c r="Q1625" s="268"/>
      <c r="R1625" s="268"/>
      <c r="S1625" s="268"/>
      <c r="T1625" s="268"/>
    </row>
    <row r="1626" spans="13:20" x14ac:dyDescent="0.25">
      <c r="M1626" s="544"/>
      <c r="N1626" s="548"/>
      <c r="O1626" s="548"/>
      <c r="P1626" s="268"/>
      <c r="Q1626" s="268"/>
      <c r="R1626" s="268"/>
      <c r="S1626" s="268"/>
      <c r="T1626" s="268"/>
    </row>
    <row r="1627" spans="13:20" x14ac:dyDescent="0.25">
      <c r="M1627" s="544"/>
      <c r="N1627" s="548"/>
      <c r="O1627" s="548"/>
      <c r="P1627" s="268"/>
      <c r="Q1627" s="268"/>
      <c r="R1627" s="268"/>
      <c r="S1627" s="268"/>
      <c r="T1627" s="268"/>
    </row>
    <row r="1628" spans="13:20" x14ac:dyDescent="0.25">
      <c r="M1628" s="544"/>
      <c r="N1628" s="548"/>
      <c r="O1628" s="548"/>
      <c r="P1628" s="268"/>
      <c r="Q1628" s="268"/>
      <c r="R1628" s="268"/>
      <c r="S1628" s="268"/>
      <c r="T1628" s="268"/>
    </row>
    <row r="1629" spans="13:20" x14ac:dyDescent="0.25">
      <c r="M1629" s="544"/>
      <c r="N1629" s="548"/>
      <c r="O1629" s="548"/>
      <c r="P1629" s="268"/>
      <c r="Q1629" s="268"/>
      <c r="R1629" s="268"/>
      <c r="S1629" s="268"/>
      <c r="T1629" s="268"/>
    </row>
    <row r="1630" spans="13:20" x14ac:dyDescent="0.25">
      <c r="M1630" s="544"/>
      <c r="N1630" s="548"/>
      <c r="O1630" s="548"/>
      <c r="P1630" s="268"/>
      <c r="Q1630" s="268"/>
      <c r="R1630" s="268"/>
      <c r="S1630" s="268"/>
      <c r="T1630" s="268"/>
    </row>
    <row r="1631" spans="13:20" x14ac:dyDescent="0.25">
      <c r="M1631" s="544"/>
      <c r="N1631" s="548"/>
      <c r="O1631" s="548"/>
      <c r="P1631" s="268"/>
      <c r="Q1631" s="268"/>
      <c r="R1631" s="268"/>
      <c r="S1631" s="268"/>
      <c r="T1631" s="268"/>
    </row>
    <row r="1632" spans="13:20" x14ac:dyDescent="0.25">
      <c r="M1632" s="544"/>
      <c r="N1632" s="548"/>
      <c r="O1632" s="548"/>
      <c r="P1632" s="268"/>
      <c r="Q1632" s="268"/>
      <c r="R1632" s="268"/>
      <c r="S1632" s="268"/>
      <c r="T1632" s="268"/>
    </row>
    <row r="1633" spans="13:20" x14ac:dyDescent="0.25">
      <c r="M1633" s="544"/>
      <c r="N1633" s="548"/>
      <c r="O1633" s="548"/>
      <c r="P1633" s="268"/>
      <c r="Q1633" s="268"/>
      <c r="R1633" s="268"/>
      <c r="S1633" s="268"/>
      <c r="T1633" s="268"/>
    </row>
    <row r="1634" spans="13:20" x14ac:dyDescent="0.25">
      <c r="M1634" s="544"/>
      <c r="N1634" s="548"/>
      <c r="O1634" s="548"/>
      <c r="P1634" s="268"/>
      <c r="Q1634" s="268"/>
      <c r="R1634" s="268"/>
      <c r="S1634" s="268"/>
      <c r="T1634" s="268"/>
    </row>
    <row r="1635" spans="13:20" x14ac:dyDescent="0.25">
      <c r="M1635" s="544"/>
      <c r="N1635" s="548"/>
      <c r="O1635" s="548"/>
      <c r="P1635" s="268"/>
      <c r="Q1635" s="268"/>
      <c r="R1635" s="268"/>
      <c r="S1635" s="268"/>
      <c r="T1635" s="268"/>
    </row>
    <row r="1636" spans="13:20" x14ac:dyDescent="0.25">
      <c r="M1636" s="544"/>
      <c r="N1636" s="548"/>
      <c r="O1636" s="548"/>
      <c r="P1636" s="268"/>
      <c r="Q1636" s="268"/>
      <c r="R1636" s="268"/>
      <c r="S1636" s="268"/>
      <c r="T1636" s="268"/>
    </row>
    <row r="1637" spans="13:20" x14ac:dyDescent="0.25">
      <c r="M1637" s="544"/>
      <c r="N1637" s="548"/>
      <c r="O1637" s="548"/>
      <c r="P1637" s="268"/>
      <c r="Q1637" s="268"/>
      <c r="R1637" s="268"/>
      <c r="S1637" s="268"/>
      <c r="T1637" s="268"/>
    </row>
    <row r="1638" spans="13:20" x14ac:dyDescent="0.25">
      <c r="M1638" s="544"/>
      <c r="N1638" s="548"/>
      <c r="O1638" s="548"/>
      <c r="P1638" s="268"/>
      <c r="Q1638" s="268"/>
      <c r="R1638" s="268"/>
      <c r="S1638" s="268"/>
      <c r="T1638" s="268"/>
    </row>
    <row r="1639" spans="13:20" x14ac:dyDescent="0.25">
      <c r="M1639" s="544"/>
      <c r="N1639" s="548"/>
      <c r="O1639" s="548"/>
      <c r="P1639" s="268"/>
      <c r="Q1639" s="268"/>
      <c r="R1639" s="268"/>
      <c r="S1639" s="268"/>
      <c r="T1639" s="268"/>
    </row>
    <row r="1640" spans="13:20" x14ac:dyDescent="0.25">
      <c r="M1640" s="544"/>
      <c r="N1640" s="548"/>
      <c r="O1640" s="548"/>
      <c r="P1640" s="268"/>
      <c r="Q1640" s="268"/>
      <c r="R1640" s="268"/>
      <c r="S1640" s="268"/>
      <c r="T1640" s="268"/>
    </row>
    <row r="1641" spans="13:20" x14ac:dyDescent="0.25">
      <c r="M1641" s="544"/>
      <c r="N1641" s="548"/>
      <c r="O1641" s="548"/>
      <c r="P1641" s="268"/>
      <c r="Q1641" s="268"/>
      <c r="R1641" s="268"/>
      <c r="S1641" s="268"/>
      <c r="T1641" s="268"/>
    </row>
    <row r="1642" spans="13:20" x14ac:dyDescent="0.25">
      <c r="M1642" s="544"/>
      <c r="N1642" s="548"/>
      <c r="O1642" s="548"/>
      <c r="P1642" s="268"/>
      <c r="Q1642" s="268"/>
      <c r="R1642" s="268"/>
      <c r="S1642" s="268"/>
      <c r="T1642" s="268"/>
    </row>
    <row r="1643" spans="13:20" x14ac:dyDescent="0.25">
      <c r="M1643" s="544"/>
      <c r="N1643" s="548"/>
      <c r="O1643" s="548"/>
      <c r="P1643" s="268"/>
      <c r="Q1643" s="268"/>
      <c r="R1643" s="268"/>
      <c r="S1643" s="268"/>
      <c r="T1643" s="268"/>
    </row>
    <row r="1644" spans="13:20" x14ac:dyDescent="0.25">
      <c r="M1644" s="544"/>
      <c r="N1644" s="548"/>
      <c r="O1644" s="548"/>
      <c r="P1644" s="268"/>
      <c r="Q1644" s="268"/>
      <c r="R1644" s="268"/>
      <c r="S1644" s="268"/>
      <c r="T1644" s="268"/>
    </row>
    <row r="1645" spans="13:20" x14ac:dyDescent="0.25">
      <c r="M1645" s="544"/>
      <c r="N1645" s="548"/>
      <c r="O1645" s="548"/>
      <c r="P1645" s="268"/>
      <c r="Q1645" s="268"/>
      <c r="R1645" s="268"/>
      <c r="S1645" s="268"/>
      <c r="T1645" s="268"/>
    </row>
    <row r="1646" spans="13:20" x14ac:dyDescent="0.25">
      <c r="M1646" s="544"/>
      <c r="N1646" s="548"/>
      <c r="O1646" s="548"/>
      <c r="P1646" s="268"/>
      <c r="Q1646" s="268"/>
      <c r="R1646" s="268"/>
      <c r="S1646" s="268"/>
      <c r="T1646" s="268"/>
    </row>
    <row r="1647" spans="13:20" x14ac:dyDescent="0.25">
      <c r="M1647" s="544"/>
      <c r="N1647" s="548"/>
      <c r="O1647" s="548"/>
      <c r="P1647" s="268"/>
      <c r="Q1647" s="268"/>
      <c r="R1647" s="268"/>
      <c r="S1647" s="268"/>
      <c r="T1647" s="268"/>
    </row>
    <row r="1648" spans="13:20" x14ac:dyDescent="0.25">
      <c r="M1648" s="544"/>
      <c r="N1648" s="548"/>
      <c r="O1648" s="548"/>
      <c r="P1648" s="268"/>
      <c r="Q1648" s="268"/>
      <c r="R1648" s="268"/>
      <c r="S1648" s="268"/>
      <c r="T1648" s="268"/>
    </row>
    <row r="1649" spans="13:20" x14ac:dyDescent="0.25">
      <c r="M1649" s="544"/>
      <c r="N1649" s="548"/>
      <c r="O1649" s="548"/>
      <c r="P1649" s="268"/>
      <c r="Q1649" s="268"/>
      <c r="R1649" s="268"/>
      <c r="S1649" s="268"/>
      <c r="T1649" s="268"/>
    </row>
    <row r="1650" spans="13:20" x14ac:dyDescent="0.25">
      <c r="M1650" s="544"/>
      <c r="N1650" s="548"/>
      <c r="O1650" s="548"/>
      <c r="P1650" s="268"/>
      <c r="Q1650" s="268"/>
      <c r="R1650" s="268"/>
      <c r="S1650" s="268"/>
      <c r="T1650" s="268"/>
    </row>
    <row r="1651" spans="13:20" x14ac:dyDescent="0.25">
      <c r="M1651" s="544"/>
      <c r="N1651" s="548"/>
      <c r="O1651" s="548"/>
      <c r="P1651" s="268"/>
      <c r="Q1651" s="268"/>
      <c r="R1651" s="268"/>
      <c r="S1651" s="268"/>
      <c r="T1651" s="268"/>
    </row>
    <row r="1652" spans="13:20" x14ac:dyDescent="0.25">
      <c r="M1652" s="544"/>
      <c r="N1652" s="548"/>
      <c r="O1652" s="548"/>
      <c r="P1652" s="268"/>
      <c r="Q1652" s="268"/>
      <c r="R1652" s="268"/>
      <c r="S1652" s="268"/>
      <c r="T1652" s="268"/>
    </row>
    <row r="1653" spans="13:20" x14ac:dyDescent="0.25">
      <c r="M1653" s="544"/>
      <c r="N1653" s="548"/>
      <c r="O1653" s="548"/>
      <c r="P1653" s="268"/>
      <c r="Q1653" s="268"/>
      <c r="R1653" s="268"/>
      <c r="S1653" s="268"/>
      <c r="T1653" s="268"/>
    </row>
    <row r="1654" spans="13:20" x14ac:dyDescent="0.25">
      <c r="M1654" s="544"/>
      <c r="N1654" s="548"/>
      <c r="O1654" s="548"/>
      <c r="P1654" s="268"/>
      <c r="Q1654" s="268"/>
      <c r="R1654" s="268"/>
      <c r="S1654" s="268"/>
      <c r="T1654" s="268"/>
    </row>
    <row r="1655" spans="13:20" x14ac:dyDescent="0.25">
      <c r="M1655" s="544"/>
      <c r="N1655" s="548"/>
      <c r="O1655" s="548"/>
      <c r="P1655" s="268"/>
      <c r="Q1655" s="268"/>
      <c r="R1655" s="268"/>
      <c r="S1655" s="268"/>
      <c r="T1655" s="268"/>
    </row>
    <row r="1656" spans="13:20" x14ac:dyDescent="0.25">
      <c r="M1656" s="544"/>
      <c r="N1656" s="548"/>
      <c r="O1656" s="548"/>
      <c r="P1656" s="268"/>
      <c r="Q1656" s="268"/>
      <c r="R1656" s="268"/>
      <c r="S1656" s="268"/>
      <c r="T1656" s="268"/>
    </row>
    <row r="1657" spans="13:20" x14ac:dyDescent="0.25">
      <c r="M1657" s="544"/>
      <c r="N1657" s="548"/>
      <c r="O1657" s="548"/>
      <c r="P1657" s="268"/>
      <c r="Q1657" s="268"/>
      <c r="R1657" s="268"/>
      <c r="S1657" s="268"/>
      <c r="T1657" s="268"/>
    </row>
    <row r="1658" spans="13:20" x14ac:dyDescent="0.25">
      <c r="M1658" s="544"/>
      <c r="N1658" s="548"/>
      <c r="O1658" s="548"/>
      <c r="P1658" s="268"/>
      <c r="Q1658" s="268"/>
      <c r="R1658" s="268"/>
      <c r="S1658" s="268"/>
      <c r="T1658" s="268"/>
    </row>
    <row r="1659" spans="13:20" x14ac:dyDescent="0.25">
      <c r="M1659" s="544"/>
      <c r="N1659" s="548"/>
      <c r="O1659" s="548"/>
      <c r="P1659" s="268"/>
      <c r="Q1659" s="268"/>
      <c r="R1659" s="268"/>
      <c r="S1659" s="268"/>
      <c r="T1659" s="268"/>
    </row>
    <row r="1660" spans="13:20" x14ac:dyDescent="0.25">
      <c r="M1660" s="544"/>
      <c r="N1660" s="548"/>
      <c r="O1660" s="548"/>
      <c r="P1660" s="268"/>
      <c r="Q1660" s="268"/>
      <c r="R1660" s="268"/>
      <c r="S1660" s="268"/>
      <c r="T1660" s="268"/>
    </row>
    <row r="1661" spans="13:20" x14ac:dyDescent="0.25">
      <c r="M1661" s="544"/>
      <c r="N1661" s="548"/>
      <c r="O1661" s="548"/>
      <c r="P1661" s="268"/>
      <c r="Q1661" s="268"/>
      <c r="R1661" s="268"/>
      <c r="S1661" s="268"/>
      <c r="T1661" s="268"/>
    </row>
    <row r="1662" spans="13:20" x14ac:dyDescent="0.25">
      <c r="M1662" s="544"/>
      <c r="N1662" s="548"/>
      <c r="O1662" s="548"/>
      <c r="P1662" s="268"/>
      <c r="Q1662" s="268"/>
      <c r="R1662" s="268"/>
      <c r="S1662" s="268"/>
      <c r="T1662" s="268"/>
    </row>
    <row r="1663" spans="13:20" x14ac:dyDescent="0.25">
      <c r="M1663" s="544"/>
      <c r="N1663" s="548"/>
      <c r="O1663" s="548"/>
      <c r="P1663" s="268"/>
      <c r="Q1663" s="268"/>
      <c r="R1663" s="268"/>
      <c r="S1663" s="268"/>
      <c r="T1663" s="268"/>
    </row>
    <row r="1664" spans="13:20" x14ac:dyDescent="0.25">
      <c r="M1664" s="544"/>
      <c r="N1664" s="548"/>
      <c r="O1664" s="548"/>
      <c r="P1664" s="268"/>
      <c r="Q1664" s="268"/>
      <c r="R1664" s="268"/>
      <c r="S1664" s="268"/>
      <c r="T1664" s="268"/>
    </row>
    <row r="1665" spans="13:20" x14ac:dyDescent="0.25">
      <c r="M1665" s="544"/>
      <c r="N1665" s="548"/>
      <c r="O1665" s="548"/>
      <c r="P1665" s="268"/>
      <c r="Q1665" s="268"/>
      <c r="R1665" s="268"/>
      <c r="S1665" s="268"/>
      <c r="T1665" s="268"/>
    </row>
    <row r="1666" spans="13:20" x14ac:dyDescent="0.25">
      <c r="M1666" s="544"/>
      <c r="N1666" s="548"/>
      <c r="O1666" s="548"/>
      <c r="P1666" s="268"/>
      <c r="Q1666" s="268"/>
      <c r="R1666" s="268"/>
      <c r="S1666" s="268"/>
      <c r="T1666" s="268"/>
    </row>
    <row r="1667" spans="13:20" x14ac:dyDescent="0.25">
      <c r="M1667" s="544"/>
      <c r="N1667" s="548"/>
      <c r="O1667" s="548"/>
      <c r="P1667" s="268"/>
      <c r="Q1667" s="268"/>
      <c r="R1667" s="268"/>
      <c r="S1667" s="268"/>
      <c r="T1667" s="268"/>
    </row>
    <row r="1668" spans="13:20" x14ac:dyDescent="0.25">
      <c r="M1668" s="544"/>
      <c r="N1668" s="548"/>
      <c r="O1668" s="548"/>
      <c r="P1668" s="268"/>
      <c r="Q1668" s="268"/>
      <c r="R1668" s="268"/>
      <c r="S1668" s="268"/>
      <c r="T1668" s="268"/>
    </row>
    <row r="1669" spans="13:20" x14ac:dyDescent="0.25">
      <c r="M1669" s="544"/>
      <c r="N1669" s="548"/>
      <c r="O1669" s="548"/>
      <c r="P1669" s="268"/>
      <c r="Q1669" s="268"/>
      <c r="R1669" s="268"/>
      <c r="S1669" s="268"/>
      <c r="T1669" s="268"/>
    </row>
    <row r="1670" spans="13:20" x14ac:dyDescent="0.25">
      <c r="M1670" s="544"/>
      <c r="N1670" s="548"/>
      <c r="O1670" s="548"/>
      <c r="P1670" s="268"/>
      <c r="Q1670" s="268"/>
      <c r="R1670" s="268"/>
      <c r="S1670" s="268"/>
      <c r="T1670" s="268"/>
    </row>
    <row r="1671" spans="13:20" x14ac:dyDescent="0.25">
      <c r="M1671" s="544"/>
      <c r="N1671" s="548"/>
      <c r="O1671" s="548"/>
      <c r="P1671" s="268"/>
      <c r="Q1671" s="268"/>
      <c r="R1671" s="268"/>
      <c r="S1671" s="268"/>
      <c r="T1671" s="268"/>
    </row>
    <row r="1672" spans="13:20" x14ac:dyDescent="0.25">
      <c r="M1672" s="544"/>
      <c r="N1672" s="548"/>
      <c r="O1672" s="548"/>
      <c r="P1672" s="268"/>
      <c r="Q1672" s="268"/>
      <c r="R1672" s="268"/>
      <c r="S1672" s="268"/>
      <c r="T1672" s="268"/>
    </row>
    <row r="1673" spans="13:20" x14ac:dyDescent="0.25">
      <c r="M1673" s="544"/>
      <c r="N1673" s="548"/>
      <c r="O1673" s="548"/>
      <c r="P1673" s="268"/>
      <c r="Q1673" s="268"/>
      <c r="R1673" s="268"/>
      <c r="S1673" s="268"/>
      <c r="T1673" s="268"/>
    </row>
    <row r="1674" spans="13:20" x14ac:dyDescent="0.25">
      <c r="M1674" s="544"/>
      <c r="N1674" s="548"/>
      <c r="O1674" s="548"/>
      <c r="P1674" s="268"/>
      <c r="Q1674" s="268"/>
      <c r="R1674" s="268"/>
      <c r="S1674" s="268"/>
      <c r="T1674" s="268"/>
    </row>
    <row r="1675" spans="13:20" x14ac:dyDescent="0.25">
      <c r="M1675" s="544"/>
      <c r="N1675" s="548"/>
      <c r="O1675" s="548"/>
      <c r="P1675" s="268"/>
      <c r="Q1675" s="268"/>
      <c r="R1675" s="268"/>
      <c r="S1675" s="268"/>
      <c r="T1675" s="268"/>
    </row>
    <row r="1676" spans="13:20" x14ac:dyDescent="0.25">
      <c r="M1676" s="544"/>
      <c r="N1676" s="548"/>
      <c r="O1676" s="548"/>
      <c r="P1676" s="268"/>
      <c r="Q1676" s="268"/>
      <c r="R1676" s="268"/>
      <c r="S1676" s="268"/>
      <c r="T1676" s="268"/>
    </row>
    <row r="1677" spans="13:20" x14ac:dyDescent="0.25">
      <c r="M1677" s="544"/>
      <c r="N1677" s="548"/>
      <c r="O1677" s="548"/>
      <c r="P1677" s="268"/>
      <c r="Q1677" s="268"/>
      <c r="R1677" s="268"/>
      <c r="S1677" s="268"/>
      <c r="T1677" s="268"/>
    </row>
    <row r="1678" spans="13:20" x14ac:dyDescent="0.25">
      <c r="M1678" s="544"/>
      <c r="N1678" s="548"/>
      <c r="O1678" s="548"/>
      <c r="P1678" s="268"/>
      <c r="Q1678" s="268"/>
      <c r="R1678" s="268"/>
      <c r="S1678" s="268"/>
      <c r="T1678" s="268"/>
    </row>
    <row r="1679" spans="13:20" x14ac:dyDescent="0.25">
      <c r="M1679" s="544"/>
      <c r="N1679" s="548"/>
      <c r="O1679" s="548"/>
      <c r="P1679" s="268"/>
      <c r="Q1679" s="268"/>
      <c r="R1679" s="268"/>
      <c r="S1679" s="268"/>
      <c r="T1679" s="268"/>
    </row>
    <row r="1680" spans="13:20" x14ac:dyDescent="0.25">
      <c r="M1680" s="544"/>
      <c r="N1680" s="548"/>
      <c r="O1680" s="548"/>
      <c r="P1680" s="268"/>
      <c r="Q1680" s="268"/>
      <c r="R1680" s="268"/>
      <c r="S1680" s="268"/>
      <c r="T1680" s="268"/>
    </row>
    <row r="1681" spans="13:20" x14ac:dyDescent="0.25">
      <c r="M1681" s="544"/>
      <c r="N1681" s="548"/>
      <c r="O1681" s="548"/>
      <c r="P1681" s="268"/>
      <c r="Q1681" s="268"/>
      <c r="R1681" s="268"/>
      <c r="S1681" s="268"/>
      <c r="T1681" s="268"/>
    </row>
    <row r="1682" spans="13:20" x14ac:dyDescent="0.25">
      <c r="M1682" s="544"/>
      <c r="N1682" s="548"/>
      <c r="O1682" s="548"/>
      <c r="P1682" s="268"/>
      <c r="Q1682" s="268"/>
      <c r="R1682" s="268"/>
      <c r="S1682" s="268"/>
      <c r="T1682" s="268"/>
    </row>
    <row r="1683" spans="13:20" x14ac:dyDescent="0.25">
      <c r="M1683" s="544"/>
      <c r="N1683" s="548"/>
      <c r="O1683" s="548"/>
      <c r="P1683" s="268"/>
      <c r="Q1683" s="268"/>
      <c r="R1683" s="268"/>
      <c r="S1683" s="268"/>
      <c r="T1683" s="268"/>
    </row>
    <row r="1684" spans="13:20" x14ac:dyDescent="0.25">
      <c r="M1684" s="544"/>
      <c r="N1684" s="548"/>
      <c r="O1684" s="548"/>
      <c r="P1684" s="268"/>
      <c r="Q1684" s="268"/>
      <c r="R1684" s="268"/>
      <c r="S1684" s="268"/>
      <c r="T1684" s="268"/>
    </row>
    <row r="1685" spans="13:20" x14ac:dyDescent="0.25">
      <c r="M1685" s="544"/>
      <c r="N1685" s="548"/>
      <c r="O1685" s="548"/>
      <c r="P1685" s="268"/>
      <c r="Q1685" s="268"/>
      <c r="R1685" s="268"/>
      <c r="S1685" s="268"/>
      <c r="T1685" s="268"/>
    </row>
    <row r="1686" spans="13:20" x14ac:dyDescent="0.25">
      <c r="M1686" s="544"/>
      <c r="N1686" s="548"/>
      <c r="O1686" s="548"/>
      <c r="P1686" s="268"/>
      <c r="Q1686" s="268"/>
      <c r="R1686" s="268"/>
      <c r="S1686" s="268"/>
      <c r="T1686" s="268"/>
    </row>
    <row r="1687" spans="13:20" x14ac:dyDescent="0.25">
      <c r="M1687" s="544"/>
      <c r="N1687" s="548"/>
      <c r="O1687" s="548"/>
      <c r="P1687" s="268"/>
      <c r="Q1687" s="268"/>
      <c r="R1687" s="268"/>
      <c r="S1687" s="268"/>
      <c r="T1687" s="268"/>
    </row>
    <row r="1688" spans="13:20" x14ac:dyDescent="0.25">
      <c r="M1688" s="544"/>
      <c r="N1688" s="548"/>
      <c r="O1688" s="548"/>
      <c r="P1688" s="268"/>
      <c r="Q1688" s="268"/>
      <c r="R1688" s="268"/>
      <c r="S1688" s="268"/>
      <c r="T1688" s="268"/>
    </row>
    <row r="1689" spans="13:20" x14ac:dyDescent="0.25">
      <c r="M1689" s="544"/>
      <c r="N1689" s="548"/>
      <c r="O1689" s="548"/>
      <c r="P1689" s="268"/>
      <c r="Q1689" s="268"/>
      <c r="R1689" s="268"/>
      <c r="S1689" s="268"/>
      <c r="T1689" s="268"/>
    </row>
    <row r="1690" spans="13:20" x14ac:dyDescent="0.25">
      <c r="M1690" s="544"/>
      <c r="N1690" s="548"/>
      <c r="O1690" s="548"/>
      <c r="P1690" s="268"/>
      <c r="Q1690" s="268"/>
      <c r="R1690" s="268"/>
      <c r="S1690" s="268"/>
      <c r="T1690" s="268"/>
    </row>
    <row r="1691" spans="13:20" x14ac:dyDescent="0.25">
      <c r="M1691" s="544"/>
      <c r="N1691" s="548"/>
      <c r="O1691" s="548"/>
      <c r="P1691" s="268"/>
      <c r="Q1691" s="268"/>
      <c r="R1691" s="268"/>
      <c r="S1691" s="268"/>
      <c r="T1691" s="268"/>
    </row>
    <row r="1692" spans="13:20" x14ac:dyDescent="0.25">
      <c r="M1692" s="544"/>
      <c r="N1692" s="548"/>
      <c r="O1692" s="548"/>
      <c r="P1692" s="268"/>
      <c r="Q1692" s="268"/>
      <c r="R1692" s="268"/>
      <c r="S1692" s="268"/>
      <c r="T1692" s="268"/>
    </row>
    <row r="1693" spans="13:20" x14ac:dyDescent="0.25">
      <c r="M1693" s="544"/>
      <c r="N1693" s="548"/>
      <c r="O1693" s="548"/>
      <c r="P1693" s="268"/>
      <c r="Q1693" s="268"/>
      <c r="R1693" s="268"/>
      <c r="S1693" s="268"/>
      <c r="T1693" s="268"/>
    </row>
    <row r="1694" spans="13:20" x14ac:dyDescent="0.25">
      <c r="M1694" s="544"/>
      <c r="N1694" s="548"/>
      <c r="O1694" s="548"/>
      <c r="P1694" s="268"/>
      <c r="Q1694" s="268"/>
      <c r="R1694" s="268"/>
      <c r="S1694" s="268"/>
      <c r="T1694" s="268"/>
    </row>
    <row r="1695" spans="13:20" x14ac:dyDescent="0.25">
      <c r="M1695" s="544"/>
      <c r="N1695" s="548"/>
      <c r="O1695" s="548"/>
      <c r="P1695" s="268"/>
      <c r="Q1695" s="268"/>
      <c r="R1695" s="268"/>
      <c r="S1695" s="268"/>
      <c r="T1695" s="268"/>
    </row>
    <row r="1696" spans="13:20" x14ac:dyDescent="0.25">
      <c r="M1696" s="544"/>
      <c r="N1696" s="548"/>
      <c r="O1696" s="548"/>
      <c r="P1696" s="268"/>
      <c r="Q1696" s="268"/>
      <c r="R1696" s="268"/>
      <c r="S1696" s="268"/>
      <c r="T1696" s="268"/>
    </row>
    <row r="1697" spans="13:20" x14ac:dyDescent="0.25">
      <c r="M1697" s="544"/>
      <c r="N1697" s="548"/>
      <c r="O1697" s="548"/>
      <c r="P1697" s="268"/>
      <c r="Q1697" s="268"/>
      <c r="R1697" s="268"/>
      <c r="S1697" s="268"/>
      <c r="T1697" s="268"/>
    </row>
    <row r="1698" spans="13:20" x14ac:dyDescent="0.25">
      <c r="M1698" s="544"/>
      <c r="N1698" s="548"/>
      <c r="O1698" s="548"/>
      <c r="P1698" s="268"/>
      <c r="Q1698" s="268"/>
      <c r="R1698" s="268"/>
      <c r="S1698" s="268"/>
      <c r="T1698" s="268"/>
    </row>
    <row r="1699" spans="13:20" x14ac:dyDescent="0.25">
      <c r="M1699" s="544"/>
      <c r="N1699" s="548"/>
      <c r="O1699" s="548"/>
      <c r="P1699" s="268"/>
      <c r="Q1699" s="268"/>
      <c r="R1699" s="268"/>
      <c r="S1699" s="268"/>
      <c r="T1699" s="268"/>
    </row>
    <row r="1700" spans="13:20" x14ac:dyDescent="0.25">
      <c r="M1700" s="544"/>
      <c r="N1700" s="548"/>
      <c r="O1700" s="548"/>
      <c r="P1700" s="268"/>
      <c r="Q1700" s="268"/>
      <c r="R1700" s="268"/>
      <c r="S1700" s="268"/>
      <c r="T1700" s="268"/>
    </row>
    <row r="1701" spans="13:20" x14ac:dyDescent="0.25">
      <c r="M1701" s="544"/>
      <c r="N1701" s="548"/>
      <c r="O1701" s="548"/>
      <c r="P1701" s="268"/>
      <c r="Q1701" s="268"/>
      <c r="R1701" s="268"/>
      <c r="S1701" s="268"/>
      <c r="T1701" s="268"/>
    </row>
    <row r="1702" spans="13:20" x14ac:dyDescent="0.25">
      <c r="M1702" s="544"/>
      <c r="N1702" s="548"/>
      <c r="O1702" s="548"/>
      <c r="P1702" s="268"/>
      <c r="Q1702" s="268"/>
      <c r="R1702" s="268"/>
      <c r="S1702" s="268"/>
      <c r="T1702" s="268"/>
    </row>
    <row r="1703" spans="13:20" x14ac:dyDescent="0.25">
      <c r="M1703" s="544"/>
      <c r="N1703" s="548"/>
      <c r="O1703" s="548"/>
      <c r="P1703" s="268"/>
      <c r="Q1703" s="268"/>
      <c r="R1703" s="268"/>
      <c r="S1703" s="268"/>
      <c r="T1703" s="268"/>
    </row>
    <row r="1704" spans="13:20" x14ac:dyDescent="0.25">
      <c r="M1704" s="544"/>
      <c r="N1704" s="548"/>
      <c r="O1704" s="548"/>
      <c r="P1704" s="268"/>
      <c r="Q1704" s="268"/>
      <c r="R1704" s="268"/>
      <c r="S1704" s="268"/>
      <c r="T1704" s="268"/>
    </row>
    <row r="1705" spans="13:20" x14ac:dyDescent="0.25">
      <c r="M1705" s="544"/>
      <c r="N1705" s="548"/>
      <c r="O1705" s="548"/>
      <c r="P1705" s="268"/>
      <c r="Q1705" s="268"/>
      <c r="R1705" s="268"/>
      <c r="S1705" s="268"/>
      <c r="T1705" s="268"/>
    </row>
    <row r="1706" spans="13:20" x14ac:dyDescent="0.25">
      <c r="M1706" s="544"/>
      <c r="N1706" s="548"/>
      <c r="O1706" s="548"/>
      <c r="P1706" s="268"/>
      <c r="Q1706" s="268"/>
      <c r="R1706" s="268"/>
      <c r="S1706" s="268"/>
      <c r="T1706" s="268"/>
    </row>
    <row r="1707" spans="13:20" x14ac:dyDescent="0.25">
      <c r="M1707" s="544"/>
      <c r="N1707" s="548"/>
      <c r="O1707" s="548"/>
      <c r="P1707" s="268"/>
      <c r="Q1707" s="268"/>
      <c r="R1707" s="268"/>
      <c r="S1707" s="268"/>
      <c r="T1707" s="268"/>
    </row>
    <row r="1708" spans="13:20" x14ac:dyDescent="0.25">
      <c r="M1708" s="544"/>
      <c r="N1708" s="548"/>
      <c r="O1708" s="548"/>
      <c r="P1708" s="268"/>
      <c r="Q1708" s="268"/>
      <c r="R1708" s="268"/>
      <c r="S1708" s="268"/>
      <c r="T1708" s="268"/>
    </row>
    <row r="1709" spans="13:20" x14ac:dyDescent="0.25">
      <c r="M1709" s="544"/>
      <c r="N1709" s="548"/>
      <c r="O1709" s="548"/>
      <c r="P1709" s="268"/>
      <c r="Q1709" s="268"/>
      <c r="R1709" s="268"/>
      <c r="S1709" s="268"/>
      <c r="T1709" s="268"/>
    </row>
    <row r="1710" spans="13:20" x14ac:dyDescent="0.25">
      <c r="M1710" s="544"/>
      <c r="N1710" s="548"/>
      <c r="O1710" s="548"/>
      <c r="P1710" s="268"/>
      <c r="Q1710" s="268"/>
      <c r="R1710" s="268"/>
      <c r="S1710" s="268"/>
      <c r="T1710" s="268"/>
    </row>
    <row r="1711" spans="13:20" x14ac:dyDescent="0.25">
      <c r="M1711" s="544"/>
      <c r="N1711" s="548"/>
      <c r="O1711" s="548"/>
      <c r="P1711" s="268"/>
      <c r="Q1711" s="268"/>
      <c r="R1711" s="268"/>
      <c r="S1711" s="268"/>
      <c r="T1711" s="268"/>
    </row>
    <row r="1712" spans="13:20" x14ac:dyDescent="0.25">
      <c r="M1712" s="544"/>
      <c r="N1712" s="548"/>
      <c r="O1712" s="548"/>
      <c r="P1712" s="268"/>
      <c r="Q1712" s="268"/>
      <c r="R1712" s="268"/>
      <c r="S1712" s="268"/>
      <c r="T1712" s="268"/>
    </row>
    <row r="1713" spans="13:20" x14ac:dyDescent="0.25">
      <c r="M1713" s="544"/>
      <c r="N1713" s="548"/>
      <c r="O1713" s="548"/>
      <c r="P1713" s="268"/>
      <c r="Q1713" s="268"/>
      <c r="R1713" s="268"/>
      <c r="S1713" s="268"/>
      <c r="T1713" s="268"/>
    </row>
    <row r="1714" spans="13:20" x14ac:dyDescent="0.25">
      <c r="M1714" s="544"/>
      <c r="N1714" s="548"/>
      <c r="O1714" s="548"/>
      <c r="P1714" s="268"/>
      <c r="Q1714" s="268"/>
      <c r="R1714" s="268"/>
      <c r="S1714" s="268"/>
      <c r="T1714" s="268"/>
    </row>
    <row r="1715" spans="13:20" x14ac:dyDescent="0.25">
      <c r="M1715" s="544"/>
      <c r="N1715" s="548"/>
      <c r="O1715" s="548"/>
      <c r="P1715" s="268"/>
      <c r="Q1715" s="268"/>
      <c r="R1715" s="268"/>
      <c r="S1715" s="268"/>
      <c r="T1715" s="268"/>
    </row>
    <row r="1716" spans="13:20" x14ac:dyDescent="0.25">
      <c r="M1716" s="544"/>
      <c r="N1716" s="548"/>
      <c r="O1716" s="548"/>
      <c r="P1716" s="268"/>
      <c r="Q1716" s="268"/>
      <c r="R1716" s="268"/>
      <c r="S1716" s="268"/>
      <c r="T1716" s="268"/>
    </row>
    <row r="1717" spans="13:20" x14ac:dyDescent="0.25">
      <c r="M1717" s="544"/>
      <c r="N1717" s="548"/>
      <c r="O1717" s="548"/>
      <c r="P1717" s="268"/>
      <c r="Q1717" s="268"/>
      <c r="R1717" s="268"/>
      <c r="S1717" s="268"/>
      <c r="T1717" s="268"/>
    </row>
    <row r="1718" spans="13:20" x14ac:dyDescent="0.25">
      <c r="M1718" s="544"/>
      <c r="N1718" s="548"/>
      <c r="O1718" s="548"/>
      <c r="P1718" s="268"/>
      <c r="Q1718" s="268"/>
      <c r="R1718" s="268"/>
      <c r="S1718" s="268"/>
      <c r="T1718" s="268"/>
    </row>
    <row r="1719" spans="13:20" x14ac:dyDescent="0.25">
      <c r="M1719" s="544"/>
      <c r="N1719" s="548"/>
      <c r="O1719" s="548"/>
      <c r="P1719" s="268"/>
      <c r="Q1719" s="268"/>
      <c r="R1719" s="268"/>
      <c r="S1719" s="268"/>
      <c r="T1719" s="268"/>
    </row>
    <row r="1720" spans="13:20" x14ac:dyDescent="0.25">
      <c r="M1720" s="544"/>
      <c r="N1720" s="548"/>
      <c r="O1720" s="548"/>
      <c r="P1720" s="268"/>
      <c r="Q1720" s="268"/>
      <c r="R1720" s="268"/>
      <c r="S1720" s="268"/>
      <c r="T1720" s="268"/>
    </row>
    <row r="1721" spans="13:20" x14ac:dyDescent="0.25">
      <c r="M1721" s="544"/>
      <c r="N1721" s="548"/>
      <c r="O1721" s="548"/>
      <c r="P1721" s="268"/>
      <c r="Q1721" s="268"/>
      <c r="R1721" s="268"/>
      <c r="S1721" s="268"/>
      <c r="T1721" s="268"/>
    </row>
    <row r="1722" spans="13:20" x14ac:dyDescent="0.25">
      <c r="M1722" s="544"/>
      <c r="N1722" s="548"/>
      <c r="O1722" s="548"/>
      <c r="P1722" s="268"/>
      <c r="Q1722" s="268"/>
      <c r="R1722" s="268"/>
      <c r="S1722" s="268"/>
      <c r="T1722" s="268"/>
    </row>
    <row r="1723" spans="13:20" x14ac:dyDescent="0.25">
      <c r="M1723" s="544"/>
      <c r="N1723" s="548"/>
      <c r="O1723" s="548"/>
      <c r="P1723" s="268"/>
      <c r="Q1723" s="268"/>
      <c r="R1723" s="268"/>
      <c r="S1723" s="268"/>
      <c r="T1723" s="268"/>
    </row>
    <row r="1724" spans="13:20" x14ac:dyDescent="0.25">
      <c r="M1724" s="544"/>
      <c r="N1724" s="548"/>
      <c r="O1724" s="548"/>
      <c r="P1724" s="268"/>
      <c r="Q1724" s="268"/>
      <c r="R1724" s="268"/>
      <c r="S1724" s="268"/>
      <c r="T1724" s="268"/>
    </row>
    <row r="1725" spans="13:20" x14ac:dyDescent="0.25">
      <c r="M1725" s="544"/>
      <c r="N1725" s="548"/>
      <c r="O1725" s="548"/>
      <c r="P1725" s="268"/>
      <c r="Q1725" s="268"/>
      <c r="R1725" s="268"/>
      <c r="S1725" s="268"/>
      <c r="T1725" s="268"/>
    </row>
    <row r="1726" spans="13:20" x14ac:dyDescent="0.25">
      <c r="M1726" s="544"/>
      <c r="N1726" s="548"/>
      <c r="O1726" s="548"/>
      <c r="P1726" s="268"/>
      <c r="Q1726" s="268"/>
      <c r="R1726" s="268"/>
      <c r="S1726" s="268"/>
      <c r="T1726" s="268"/>
    </row>
    <row r="1727" spans="13:20" x14ac:dyDescent="0.25">
      <c r="M1727" s="544"/>
      <c r="N1727" s="548"/>
      <c r="O1727" s="548"/>
      <c r="P1727" s="268"/>
      <c r="Q1727" s="268"/>
      <c r="R1727" s="268"/>
      <c r="S1727" s="268"/>
      <c r="T1727" s="268"/>
    </row>
    <row r="1728" spans="13:20" x14ac:dyDescent="0.25">
      <c r="M1728" s="544"/>
      <c r="N1728" s="548"/>
      <c r="O1728" s="548"/>
      <c r="P1728" s="268"/>
      <c r="Q1728" s="268"/>
      <c r="R1728" s="268"/>
      <c r="S1728" s="268"/>
      <c r="T1728" s="268"/>
    </row>
    <row r="1729" spans="13:20" x14ac:dyDescent="0.25">
      <c r="M1729" s="544"/>
      <c r="N1729" s="548"/>
      <c r="O1729" s="548"/>
      <c r="P1729" s="268"/>
      <c r="Q1729" s="268"/>
      <c r="R1729" s="268"/>
      <c r="S1729" s="268"/>
      <c r="T1729" s="268"/>
    </row>
    <row r="1730" spans="13:20" x14ac:dyDescent="0.25">
      <c r="M1730" s="544"/>
      <c r="N1730" s="548"/>
      <c r="O1730" s="548"/>
      <c r="P1730" s="268"/>
      <c r="Q1730" s="268"/>
      <c r="R1730" s="268"/>
      <c r="S1730" s="268"/>
      <c r="T1730" s="268"/>
    </row>
    <row r="1731" spans="13:20" x14ac:dyDescent="0.25">
      <c r="M1731" s="544"/>
      <c r="N1731" s="548"/>
      <c r="O1731" s="548"/>
      <c r="P1731" s="268"/>
      <c r="Q1731" s="268"/>
      <c r="R1731" s="268"/>
      <c r="S1731" s="268"/>
      <c r="T1731" s="268"/>
    </row>
    <row r="1732" spans="13:20" x14ac:dyDescent="0.25">
      <c r="M1732" s="544"/>
      <c r="N1732" s="548"/>
      <c r="O1732" s="548"/>
      <c r="P1732" s="268"/>
      <c r="Q1732" s="268"/>
      <c r="R1732" s="268"/>
      <c r="S1732" s="268"/>
      <c r="T1732" s="268"/>
    </row>
    <row r="1733" spans="13:20" x14ac:dyDescent="0.25">
      <c r="M1733" s="544"/>
      <c r="N1733" s="548"/>
      <c r="O1733" s="548"/>
      <c r="P1733" s="268"/>
      <c r="Q1733" s="268"/>
      <c r="R1733" s="268"/>
      <c r="S1733" s="268"/>
      <c r="T1733" s="268"/>
    </row>
    <row r="1734" spans="13:20" x14ac:dyDescent="0.25">
      <c r="M1734" s="544"/>
      <c r="N1734" s="548"/>
      <c r="O1734" s="548"/>
      <c r="P1734" s="268"/>
      <c r="Q1734" s="268"/>
      <c r="R1734" s="268"/>
      <c r="S1734" s="268"/>
      <c r="T1734" s="268"/>
    </row>
    <row r="1735" spans="13:20" x14ac:dyDescent="0.25">
      <c r="M1735" s="544"/>
      <c r="N1735" s="548"/>
      <c r="O1735" s="548"/>
      <c r="P1735" s="268"/>
      <c r="Q1735" s="268"/>
      <c r="R1735" s="268"/>
      <c r="S1735" s="268"/>
      <c r="T1735" s="268"/>
    </row>
    <row r="1736" spans="13:20" x14ac:dyDescent="0.25">
      <c r="M1736" s="544"/>
      <c r="N1736" s="548"/>
      <c r="O1736" s="548"/>
      <c r="P1736" s="268"/>
      <c r="Q1736" s="268"/>
      <c r="R1736" s="268"/>
      <c r="S1736" s="268"/>
      <c r="T1736" s="268"/>
    </row>
    <row r="1737" spans="13:20" x14ac:dyDescent="0.25">
      <c r="M1737" s="544"/>
      <c r="N1737" s="548"/>
      <c r="O1737" s="548"/>
      <c r="P1737" s="268"/>
      <c r="Q1737" s="268"/>
      <c r="R1737" s="268"/>
      <c r="S1737" s="268"/>
      <c r="T1737" s="268"/>
    </row>
    <row r="1738" spans="13:20" x14ac:dyDescent="0.25">
      <c r="M1738" s="544"/>
      <c r="N1738" s="548"/>
      <c r="O1738" s="548"/>
      <c r="P1738" s="268"/>
      <c r="Q1738" s="268"/>
      <c r="R1738" s="268"/>
      <c r="S1738" s="268"/>
      <c r="T1738" s="268"/>
    </row>
    <row r="1739" spans="13:20" x14ac:dyDescent="0.25">
      <c r="M1739" s="544"/>
      <c r="N1739" s="548"/>
      <c r="O1739" s="548"/>
      <c r="P1739" s="268"/>
      <c r="Q1739" s="268"/>
      <c r="R1739" s="268"/>
      <c r="S1739" s="268"/>
      <c r="T1739" s="268"/>
    </row>
    <row r="1740" spans="13:20" x14ac:dyDescent="0.25">
      <c r="M1740" s="544"/>
      <c r="N1740" s="548"/>
      <c r="O1740" s="548"/>
      <c r="P1740" s="268"/>
      <c r="Q1740" s="268"/>
      <c r="R1740" s="268"/>
      <c r="S1740" s="268"/>
      <c r="T1740" s="268"/>
    </row>
    <row r="1741" spans="13:20" x14ac:dyDescent="0.25">
      <c r="M1741" s="544"/>
      <c r="N1741" s="548"/>
      <c r="O1741" s="548"/>
      <c r="P1741" s="268"/>
      <c r="Q1741" s="268"/>
      <c r="R1741" s="268"/>
      <c r="S1741" s="268"/>
      <c r="T1741" s="268"/>
    </row>
    <row r="1742" spans="13:20" x14ac:dyDescent="0.25">
      <c r="M1742" s="544"/>
      <c r="N1742" s="548"/>
      <c r="O1742" s="548"/>
      <c r="P1742" s="268"/>
      <c r="Q1742" s="268"/>
      <c r="R1742" s="268"/>
      <c r="S1742" s="268"/>
      <c r="T1742" s="268"/>
    </row>
    <row r="1743" spans="13:20" x14ac:dyDescent="0.25">
      <c r="M1743" s="544"/>
      <c r="N1743" s="548"/>
      <c r="O1743" s="548"/>
      <c r="P1743" s="268"/>
      <c r="Q1743" s="268"/>
      <c r="R1743" s="268"/>
      <c r="S1743" s="268"/>
      <c r="T1743" s="268"/>
    </row>
    <row r="1744" spans="13:20" x14ac:dyDescent="0.25">
      <c r="M1744" s="544"/>
      <c r="N1744" s="548"/>
      <c r="O1744" s="548"/>
      <c r="P1744" s="268"/>
      <c r="Q1744" s="268"/>
      <c r="R1744" s="268"/>
      <c r="S1744" s="268"/>
      <c r="T1744" s="268"/>
    </row>
    <row r="1745" spans="13:20" x14ac:dyDescent="0.25">
      <c r="M1745" s="544"/>
      <c r="N1745" s="548"/>
      <c r="O1745" s="548"/>
      <c r="P1745" s="268"/>
      <c r="Q1745" s="268"/>
      <c r="R1745" s="268"/>
      <c r="S1745" s="268"/>
      <c r="T1745" s="268"/>
    </row>
    <row r="1746" spans="13:20" x14ac:dyDescent="0.25">
      <c r="M1746" s="544"/>
      <c r="N1746" s="548"/>
      <c r="O1746" s="548"/>
      <c r="P1746" s="268"/>
      <c r="Q1746" s="268"/>
      <c r="R1746" s="268"/>
      <c r="S1746" s="268"/>
      <c r="T1746" s="268"/>
    </row>
    <row r="1747" spans="13:20" x14ac:dyDescent="0.25">
      <c r="M1747" s="544"/>
      <c r="N1747" s="548"/>
      <c r="O1747" s="548"/>
      <c r="P1747" s="268"/>
      <c r="Q1747" s="268"/>
      <c r="R1747" s="268"/>
      <c r="S1747" s="268"/>
      <c r="T1747" s="268"/>
    </row>
    <row r="1748" spans="13:20" x14ac:dyDescent="0.25">
      <c r="M1748" s="544"/>
      <c r="N1748" s="548"/>
      <c r="O1748" s="548"/>
      <c r="P1748" s="268"/>
      <c r="Q1748" s="268"/>
      <c r="R1748" s="268"/>
      <c r="S1748" s="268"/>
      <c r="T1748" s="268"/>
    </row>
    <row r="1749" spans="13:20" x14ac:dyDescent="0.25">
      <c r="M1749" s="544"/>
      <c r="N1749" s="548"/>
      <c r="O1749" s="548"/>
      <c r="P1749" s="268"/>
      <c r="Q1749" s="268"/>
      <c r="R1749" s="268"/>
      <c r="S1749" s="268"/>
      <c r="T1749" s="268"/>
    </row>
    <row r="1750" spans="13:20" x14ac:dyDescent="0.25">
      <c r="M1750" s="544"/>
      <c r="N1750" s="548"/>
      <c r="O1750" s="548"/>
      <c r="P1750" s="268"/>
      <c r="Q1750" s="268"/>
      <c r="R1750" s="268"/>
      <c r="S1750" s="268"/>
      <c r="T1750" s="268"/>
    </row>
    <row r="1751" spans="13:20" x14ac:dyDescent="0.25">
      <c r="M1751" s="544"/>
      <c r="N1751" s="548"/>
      <c r="O1751" s="548"/>
      <c r="P1751" s="268"/>
      <c r="Q1751" s="268"/>
      <c r="R1751" s="268"/>
      <c r="S1751" s="268"/>
      <c r="T1751" s="268"/>
    </row>
    <row r="1752" spans="13:20" x14ac:dyDescent="0.25">
      <c r="M1752" s="544"/>
      <c r="N1752" s="548"/>
      <c r="O1752" s="548"/>
      <c r="P1752" s="268"/>
      <c r="Q1752" s="268"/>
      <c r="R1752" s="268"/>
      <c r="S1752" s="268"/>
      <c r="T1752" s="268"/>
    </row>
    <row r="1753" spans="13:20" x14ac:dyDescent="0.25">
      <c r="M1753" s="544"/>
      <c r="N1753" s="548"/>
      <c r="O1753" s="548"/>
      <c r="P1753" s="268"/>
      <c r="Q1753" s="268"/>
      <c r="R1753" s="268"/>
      <c r="S1753" s="268"/>
      <c r="T1753" s="268"/>
    </row>
    <row r="1754" spans="13:20" x14ac:dyDescent="0.25">
      <c r="M1754" s="544"/>
      <c r="N1754" s="548"/>
      <c r="O1754" s="548"/>
      <c r="P1754" s="268"/>
      <c r="Q1754" s="268"/>
      <c r="R1754" s="268"/>
      <c r="S1754" s="268"/>
      <c r="T1754" s="268"/>
    </row>
    <row r="1755" spans="13:20" x14ac:dyDescent="0.25">
      <c r="M1755" s="544"/>
      <c r="N1755" s="548"/>
      <c r="O1755" s="548"/>
      <c r="P1755" s="268"/>
      <c r="Q1755" s="268"/>
      <c r="R1755" s="268"/>
      <c r="S1755" s="268"/>
      <c r="T1755" s="268"/>
    </row>
    <row r="1756" spans="13:20" x14ac:dyDescent="0.25">
      <c r="M1756" s="544"/>
      <c r="N1756" s="548"/>
      <c r="O1756" s="548"/>
      <c r="P1756" s="268"/>
      <c r="Q1756" s="268"/>
      <c r="R1756" s="268"/>
      <c r="S1756" s="268"/>
      <c r="T1756" s="268"/>
    </row>
    <row r="1757" spans="13:20" x14ac:dyDescent="0.25">
      <c r="M1757" s="544"/>
      <c r="N1757" s="548"/>
      <c r="O1757" s="548"/>
      <c r="P1757" s="268"/>
      <c r="Q1757" s="268"/>
      <c r="R1757" s="268"/>
      <c r="S1757" s="268"/>
      <c r="T1757" s="268"/>
    </row>
    <row r="1758" spans="13:20" x14ac:dyDescent="0.25">
      <c r="M1758" s="544"/>
      <c r="N1758" s="548"/>
      <c r="O1758" s="548"/>
      <c r="P1758" s="268"/>
      <c r="Q1758" s="268"/>
      <c r="R1758" s="268"/>
      <c r="S1758" s="268"/>
      <c r="T1758" s="268"/>
    </row>
  </sheetData>
  <sheetProtection algorithmName="SHA-512" hashValue="j2oBVmqJulngTLKFr9NFjOdLL/Y0fWXG9Ni+zuj1Xf1qomXPht7I/2QhC6a3OqjrR0RHoz8PiIP7FIkz6645QA==" saltValue="GiyQ4EbuVgw1+MHpdxaDNA==" spinCount="100000" sheet="1" formatCells="0" formatColumns="0" formatRows="0" deleteRows="0" sort="0" autoFilter="0" pivotTables="0"/>
  <autoFilter ref="M5:O5"/>
  <mergeCells count="21">
    <mergeCell ref="R4:R5"/>
    <mergeCell ref="S4:S5"/>
    <mergeCell ref="W4:W5"/>
    <mergeCell ref="U4:U5"/>
    <mergeCell ref="V4:V5"/>
    <mergeCell ref="T4:T5"/>
    <mergeCell ref="A1:E1"/>
    <mergeCell ref="A2:E2"/>
    <mergeCell ref="P2:Q2"/>
    <mergeCell ref="A4:A5"/>
    <mergeCell ref="B4:B5"/>
    <mergeCell ref="C4:C5"/>
    <mergeCell ref="D4:D5"/>
    <mergeCell ref="E4:E5"/>
    <mergeCell ref="F4:H4"/>
    <mergeCell ref="I4:I5"/>
    <mergeCell ref="K4:K5"/>
    <mergeCell ref="J4:J5"/>
    <mergeCell ref="L4:L5"/>
    <mergeCell ref="M4:P4"/>
    <mergeCell ref="Q4:Q5"/>
  </mergeCells>
  <conditionalFormatting sqref="A2:E2">
    <cfRule type="cellIs" dxfId="81" priority="10" stopIfTrue="1" operator="between">
      <formula>0</formula>
      <formula>0</formula>
    </cfRule>
  </conditionalFormatting>
  <conditionalFormatting sqref="E6:E1605">
    <cfRule type="cellIs" dxfId="80" priority="9" stopIfTrue="1" operator="between">
      <formula>""</formula>
      <formula>""</formula>
    </cfRule>
  </conditionalFormatting>
  <conditionalFormatting sqref="P2">
    <cfRule type="cellIs" dxfId="79" priority="6" stopIfTrue="1" operator="between">
      <formula>"Còn lỗi!"</formula>
      <formula>"Còn lỗi!"</formula>
    </cfRule>
    <cfRule type="cellIs" dxfId="78" priority="7" stopIfTrue="1" operator="between">
      <formula>"Hoàn thành!"</formula>
      <formula>"Hoàn thành!"</formula>
    </cfRule>
    <cfRule type="cellIs" dxfId="77" priority="8" stopIfTrue="1" operator="between">
      <formula>"Nhập danh sách học sinh!"</formula>
      <formula>"Nhập danh sách học sinh!"</formula>
    </cfRule>
  </conditionalFormatting>
  <conditionalFormatting sqref="P2:Q2">
    <cfRule type="cellIs" dxfId="76" priority="5" stopIfTrue="1" operator="between">
      <formula>"Có HS học trước tuổi!"</formula>
      <formula>"Có HS học trước tuổi!"</formula>
    </cfRule>
  </conditionalFormatting>
  <conditionalFormatting sqref="N8:N1605">
    <cfRule type="cellIs" dxfId="75" priority="3" operator="between">
      <formula>"Tỉnh khác"</formula>
      <formula>"Tỉnh khác"</formula>
    </cfRule>
    <cfRule type="cellIs" dxfId="74" priority="4" operator="between">
      <formula>"Huyện khác"</formula>
      <formula>"Huyện khác"</formula>
    </cfRule>
  </conditionalFormatting>
  <conditionalFormatting sqref="O6:O1605">
    <cfRule type="cellIs" dxfId="73" priority="1" operator="between">
      <formula>"Huyện khác"</formula>
      <formula>"Huyện khác"</formula>
    </cfRule>
    <cfRule type="cellIs" dxfId="72" priority="2" operator="between">
      <formula>"Tỉnh khác"</formula>
      <formula>"Tỉnh khác"</formula>
    </cfRule>
  </conditionalFormatting>
  <dataValidations count="3">
    <dataValidation type="list" allowBlank="1" showInputMessage="1" showErrorMessage="1" sqref="JI6:JI1605 TE6:TE1605 ADA6:ADA1605 AMW6:AMW1605 AWS6:AWS1605 BGO6:BGO1605 BQK6:BQK1605 CAG6:CAG1605 CKC6:CKC1605 CTY6:CTY1605 DDU6:DDU1605 DNQ6:DNQ1605 DXM6:DXM1605 EHI6:EHI1605 ERE6:ERE1605 FBA6:FBA1605 FKW6:FKW1605 FUS6:FUS1605 GEO6:GEO1605 GOK6:GOK1605 GYG6:GYG1605 HIC6:HIC1605 HRY6:HRY1605 IBU6:IBU1605 ILQ6:ILQ1605 IVM6:IVM1605 JFI6:JFI1605 JPE6:JPE1605 JZA6:JZA1605 KIW6:KIW1605 KSS6:KSS1605 LCO6:LCO1605 LMK6:LMK1605 LWG6:LWG1605 MGC6:MGC1605 MPY6:MPY1605 MZU6:MZU1605 NJQ6:NJQ1605 NTM6:NTM1605 ODI6:ODI1605 ONE6:ONE1605 OXA6:OXA1605 PGW6:PGW1605 PQS6:PQS1605 QAO6:QAO1605 QKK6:QKK1605 QUG6:QUG1605 REC6:REC1605 RNY6:RNY1605 RXU6:RXU1605 SHQ6:SHQ1605 SRM6:SRM1605 TBI6:TBI1605 TLE6:TLE1605 TVA6:TVA1605 UEW6:UEW1605 UOS6:UOS1605 UYO6:UYO1605 VIK6:VIK1605 VSG6:VSG1605 WCC6:WCC1605 WLY6:WLY1605 WVU6:WVU1605 JI65542:JI67141 TE65542:TE67141 ADA65542:ADA67141 AMW65542:AMW67141 AWS65542:AWS67141 BGO65542:BGO67141 BQK65542:BQK67141 CAG65542:CAG67141 CKC65542:CKC67141 CTY65542:CTY67141 DDU65542:DDU67141 DNQ65542:DNQ67141 DXM65542:DXM67141 EHI65542:EHI67141 ERE65542:ERE67141 FBA65542:FBA67141 FKW65542:FKW67141 FUS65542:FUS67141 GEO65542:GEO67141 GOK65542:GOK67141 GYG65542:GYG67141 HIC65542:HIC67141 HRY65542:HRY67141 IBU65542:IBU67141 ILQ65542:ILQ67141 IVM65542:IVM67141 JFI65542:JFI67141 JPE65542:JPE67141 JZA65542:JZA67141 KIW65542:KIW67141 KSS65542:KSS67141 LCO65542:LCO67141 LMK65542:LMK67141 LWG65542:LWG67141 MGC65542:MGC67141 MPY65542:MPY67141 MZU65542:MZU67141 NJQ65542:NJQ67141 NTM65542:NTM67141 ODI65542:ODI67141 ONE65542:ONE67141 OXA65542:OXA67141 PGW65542:PGW67141 PQS65542:PQS67141 QAO65542:QAO67141 QKK65542:QKK67141 QUG65542:QUG67141 REC65542:REC67141 RNY65542:RNY67141 RXU65542:RXU67141 SHQ65542:SHQ67141 SRM65542:SRM67141 TBI65542:TBI67141 TLE65542:TLE67141 TVA65542:TVA67141 UEW65542:UEW67141 UOS65542:UOS67141 UYO65542:UYO67141 VIK65542:VIK67141 VSG65542:VSG67141 WCC65542:WCC67141 WLY65542:WLY67141 WVU65542:WVU67141 JI131078:JI132677 TE131078:TE132677 ADA131078:ADA132677 AMW131078:AMW132677 AWS131078:AWS132677 BGO131078:BGO132677 BQK131078:BQK132677 CAG131078:CAG132677 CKC131078:CKC132677 CTY131078:CTY132677 DDU131078:DDU132677 DNQ131078:DNQ132677 DXM131078:DXM132677 EHI131078:EHI132677 ERE131078:ERE132677 FBA131078:FBA132677 FKW131078:FKW132677 FUS131078:FUS132677 GEO131078:GEO132677 GOK131078:GOK132677 GYG131078:GYG132677 HIC131078:HIC132677 HRY131078:HRY132677 IBU131078:IBU132677 ILQ131078:ILQ132677 IVM131078:IVM132677 JFI131078:JFI132677 JPE131078:JPE132677 JZA131078:JZA132677 KIW131078:KIW132677 KSS131078:KSS132677 LCO131078:LCO132677 LMK131078:LMK132677 LWG131078:LWG132677 MGC131078:MGC132677 MPY131078:MPY132677 MZU131078:MZU132677 NJQ131078:NJQ132677 NTM131078:NTM132677 ODI131078:ODI132677 ONE131078:ONE132677 OXA131078:OXA132677 PGW131078:PGW132677 PQS131078:PQS132677 QAO131078:QAO132677 QKK131078:QKK132677 QUG131078:QUG132677 REC131078:REC132677 RNY131078:RNY132677 RXU131078:RXU132677 SHQ131078:SHQ132677 SRM131078:SRM132677 TBI131078:TBI132677 TLE131078:TLE132677 TVA131078:TVA132677 UEW131078:UEW132677 UOS131078:UOS132677 UYO131078:UYO132677 VIK131078:VIK132677 VSG131078:VSG132677 WCC131078:WCC132677 WLY131078:WLY132677 WVU131078:WVU132677 JI196614:JI198213 TE196614:TE198213 ADA196614:ADA198213 AMW196614:AMW198213 AWS196614:AWS198213 BGO196614:BGO198213 BQK196614:BQK198213 CAG196614:CAG198213 CKC196614:CKC198213 CTY196614:CTY198213 DDU196614:DDU198213 DNQ196614:DNQ198213 DXM196614:DXM198213 EHI196614:EHI198213 ERE196614:ERE198213 FBA196614:FBA198213 FKW196614:FKW198213 FUS196614:FUS198213 GEO196614:GEO198213 GOK196614:GOK198213 GYG196614:GYG198213 HIC196614:HIC198213 HRY196614:HRY198213 IBU196614:IBU198213 ILQ196614:ILQ198213 IVM196614:IVM198213 JFI196614:JFI198213 JPE196614:JPE198213 JZA196614:JZA198213 KIW196614:KIW198213 KSS196614:KSS198213 LCO196614:LCO198213 LMK196614:LMK198213 LWG196614:LWG198213 MGC196614:MGC198213 MPY196614:MPY198213 MZU196614:MZU198213 NJQ196614:NJQ198213 NTM196614:NTM198213 ODI196614:ODI198213 ONE196614:ONE198213 OXA196614:OXA198213 PGW196614:PGW198213 PQS196614:PQS198213 QAO196614:QAO198213 QKK196614:QKK198213 QUG196614:QUG198213 REC196614:REC198213 RNY196614:RNY198213 RXU196614:RXU198213 SHQ196614:SHQ198213 SRM196614:SRM198213 TBI196614:TBI198213 TLE196614:TLE198213 TVA196614:TVA198213 UEW196614:UEW198213 UOS196614:UOS198213 UYO196614:UYO198213 VIK196614:VIK198213 VSG196614:VSG198213 WCC196614:WCC198213 WLY196614:WLY198213 WVU196614:WVU198213 JI262150:JI263749 TE262150:TE263749 ADA262150:ADA263749 AMW262150:AMW263749 AWS262150:AWS263749 BGO262150:BGO263749 BQK262150:BQK263749 CAG262150:CAG263749 CKC262150:CKC263749 CTY262150:CTY263749 DDU262150:DDU263749 DNQ262150:DNQ263749 DXM262150:DXM263749 EHI262150:EHI263749 ERE262150:ERE263749 FBA262150:FBA263749 FKW262150:FKW263749 FUS262150:FUS263749 GEO262150:GEO263749 GOK262150:GOK263749 GYG262150:GYG263749 HIC262150:HIC263749 HRY262150:HRY263749 IBU262150:IBU263749 ILQ262150:ILQ263749 IVM262150:IVM263749 JFI262150:JFI263749 JPE262150:JPE263749 JZA262150:JZA263749 KIW262150:KIW263749 KSS262150:KSS263749 LCO262150:LCO263749 LMK262150:LMK263749 LWG262150:LWG263749 MGC262150:MGC263749 MPY262150:MPY263749 MZU262150:MZU263749 NJQ262150:NJQ263749 NTM262150:NTM263749 ODI262150:ODI263749 ONE262150:ONE263749 OXA262150:OXA263749 PGW262150:PGW263749 PQS262150:PQS263749 QAO262150:QAO263749 QKK262150:QKK263749 QUG262150:QUG263749 REC262150:REC263749 RNY262150:RNY263749 RXU262150:RXU263749 SHQ262150:SHQ263749 SRM262150:SRM263749 TBI262150:TBI263749 TLE262150:TLE263749 TVA262150:TVA263749 UEW262150:UEW263749 UOS262150:UOS263749 UYO262150:UYO263749 VIK262150:VIK263749 VSG262150:VSG263749 WCC262150:WCC263749 WLY262150:WLY263749 WVU262150:WVU263749 JI327686:JI329285 TE327686:TE329285 ADA327686:ADA329285 AMW327686:AMW329285 AWS327686:AWS329285 BGO327686:BGO329285 BQK327686:BQK329285 CAG327686:CAG329285 CKC327686:CKC329285 CTY327686:CTY329285 DDU327686:DDU329285 DNQ327686:DNQ329285 DXM327686:DXM329285 EHI327686:EHI329285 ERE327686:ERE329285 FBA327686:FBA329285 FKW327686:FKW329285 FUS327686:FUS329285 GEO327686:GEO329285 GOK327686:GOK329285 GYG327686:GYG329285 HIC327686:HIC329285 HRY327686:HRY329285 IBU327686:IBU329285 ILQ327686:ILQ329285 IVM327686:IVM329285 JFI327686:JFI329285 JPE327686:JPE329285 JZA327686:JZA329285 KIW327686:KIW329285 KSS327686:KSS329285 LCO327686:LCO329285 LMK327686:LMK329285 LWG327686:LWG329285 MGC327686:MGC329285 MPY327686:MPY329285 MZU327686:MZU329285 NJQ327686:NJQ329285 NTM327686:NTM329285 ODI327686:ODI329285 ONE327686:ONE329285 OXA327686:OXA329285 PGW327686:PGW329285 PQS327686:PQS329285 QAO327686:QAO329285 QKK327686:QKK329285 QUG327686:QUG329285 REC327686:REC329285 RNY327686:RNY329285 RXU327686:RXU329285 SHQ327686:SHQ329285 SRM327686:SRM329285 TBI327686:TBI329285 TLE327686:TLE329285 TVA327686:TVA329285 UEW327686:UEW329285 UOS327686:UOS329285 UYO327686:UYO329285 VIK327686:VIK329285 VSG327686:VSG329285 WCC327686:WCC329285 WLY327686:WLY329285 WVU327686:WVU329285 JI393222:JI394821 TE393222:TE394821 ADA393222:ADA394821 AMW393222:AMW394821 AWS393222:AWS394821 BGO393222:BGO394821 BQK393222:BQK394821 CAG393222:CAG394821 CKC393222:CKC394821 CTY393222:CTY394821 DDU393222:DDU394821 DNQ393222:DNQ394821 DXM393222:DXM394821 EHI393222:EHI394821 ERE393222:ERE394821 FBA393222:FBA394821 FKW393222:FKW394821 FUS393222:FUS394821 GEO393222:GEO394821 GOK393222:GOK394821 GYG393222:GYG394821 HIC393222:HIC394821 HRY393222:HRY394821 IBU393222:IBU394821 ILQ393222:ILQ394821 IVM393222:IVM394821 JFI393222:JFI394821 JPE393222:JPE394821 JZA393222:JZA394821 KIW393222:KIW394821 KSS393222:KSS394821 LCO393222:LCO394821 LMK393222:LMK394821 LWG393222:LWG394821 MGC393222:MGC394821 MPY393222:MPY394821 MZU393222:MZU394821 NJQ393222:NJQ394821 NTM393222:NTM394821 ODI393222:ODI394821 ONE393222:ONE394821 OXA393222:OXA394821 PGW393222:PGW394821 PQS393222:PQS394821 QAO393222:QAO394821 QKK393222:QKK394821 QUG393222:QUG394821 REC393222:REC394821 RNY393222:RNY394821 RXU393222:RXU394821 SHQ393222:SHQ394821 SRM393222:SRM394821 TBI393222:TBI394821 TLE393222:TLE394821 TVA393222:TVA394821 UEW393222:UEW394821 UOS393222:UOS394821 UYO393222:UYO394821 VIK393222:VIK394821 VSG393222:VSG394821 WCC393222:WCC394821 WLY393222:WLY394821 WVU393222:WVU394821 JI458758:JI460357 TE458758:TE460357 ADA458758:ADA460357 AMW458758:AMW460357 AWS458758:AWS460357 BGO458758:BGO460357 BQK458758:BQK460357 CAG458758:CAG460357 CKC458758:CKC460357 CTY458758:CTY460357 DDU458758:DDU460357 DNQ458758:DNQ460357 DXM458758:DXM460357 EHI458758:EHI460357 ERE458758:ERE460357 FBA458758:FBA460357 FKW458758:FKW460357 FUS458758:FUS460357 GEO458758:GEO460357 GOK458758:GOK460357 GYG458758:GYG460357 HIC458758:HIC460357 HRY458758:HRY460357 IBU458758:IBU460357 ILQ458758:ILQ460357 IVM458758:IVM460357 JFI458758:JFI460357 JPE458758:JPE460357 JZA458758:JZA460357 KIW458758:KIW460357 KSS458758:KSS460357 LCO458758:LCO460357 LMK458758:LMK460357 LWG458758:LWG460357 MGC458758:MGC460357 MPY458758:MPY460357 MZU458758:MZU460357 NJQ458758:NJQ460357 NTM458758:NTM460357 ODI458758:ODI460357 ONE458758:ONE460357 OXA458758:OXA460357 PGW458758:PGW460357 PQS458758:PQS460357 QAO458758:QAO460357 QKK458758:QKK460357 QUG458758:QUG460357 REC458758:REC460357 RNY458758:RNY460357 RXU458758:RXU460357 SHQ458758:SHQ460357 SRM458758:SRM460357 TBI458758:TBI460357 TLE458758:TLE460357 TVA458758:TVA460357 UEW458758:UEW460357 UOS458758:UOS460357 UYO458758:UYO460357 VIK458758:VIK460357 VSG458758:VSG460357 WCC458758:WCC460357 WLY458758:WLY460357 WVU458758:WVU460357 JI524294:JI525893 TE524294:TE525893 ADA524294:ADA525893 AMW524294:AMW525893 AWS524294:AWS525893 BGO524294:BGO525893 BQK524294:BQK525893 CAG524294:CAG525893 CKC524294:CKC525893 CTY524294:CTY525893 DDU524294:DDU525893 DNQ524294:DNQ525893 DXM524294:DXM525893 EHI524294:EHI525893 ERE524294:ERE525893 FBA524294:FBA525893 FKW524294:FKW525893 FUS524294:FUS525893 GEO524294:GEO525893 GOK524294:GOK525893 GYG524294:GYG525893 HIC524294:HIC525893 HRY524294:HRY525893 IBU524294:IBU525893 ILQ524294:ILQ525893 IVM524294:IVM525893 JFI524294:JFI525893 JPE524294:JPE525893 JZA524294:JZA525893 KIW524294:KIW525893 KSS524294:KSS525893 LCO524294:LCO525893 LMK524294:LMK525893 LWG524294:LWG525893 MGC524294:MGC525893 MPY524294:MPY525893 MZU524294:MZU525893 NJQ524294:NJQ525893 NTM524294:NTM525893 ODI524294:ODI525893 ONE524294:ONE525893 OXA524294:OXA525893 PGW524294:PGW525893 PQS524294:PQS525893 QAO524294:QAO525893 QKK524294:QKK525893 QUG524294:QUG525893 REC524294:REC525893 RNY524294:RNY525893 RXU524294:RXU525893 SHQ524294:SHQ525893 SRM524294:SRM525893 TBI524294:TBI525893 TLE524294:TLE525893 TVA524294:TVA525893 UEW524294:UEW525893 UOS524294:UOS525893 UYO524294:UYO525893 VIK524294:VIK525893 VSG524294:VSG525893 WCC524294:WCC525893 WLY524294:WLY525893 WVU524294:WVU525893 JI589830:JI591429 TE589830:TE591429 ADA589830:ADA591429 AMW589830:AMW591429 AWS589830:AWS591429 BGO589830:BGO591429 BQK589830:BQK591429 CAG589830:CAG591429 CKC589830:CKC591429 CTY589830:CTY591429 DDU589830:DDU591429 DNQ589830:DNQ591429 DXM589830:DXM591429 EHI589830:EHI591429 ERE589830:ERE591429 FBA589830:FBA591429 FKW589830:FKW591429 FUS589830:FUS591429 GEO589830:GEO591429 GOK589830:GOK591429 GYG589830:GYG591429 HIC589830:HIC591429 HRY589830:HRY591429 IBU589830:IBU591429 ILQ589830:ILQ591429 IVM589830:IVM591429 JFI589830:JFI591429 JPE589830:JPE591429 JZA589830:JZA591429 KIW589830:KIW591429 KSS589830:KSS591429 LCO589830:LCO591429 LMK589830:LMK591429 LWG589830:LWG591429 MGC589830:MGC591429 MPY589830:MPY591429 MZU589830:MZU591429 NJQ589830:NJQ591429 NTM589830:NTM591429 ODI589830:ODI591429 ONE589830:ONE591429 OXA589830:OXA591429 PGW589830:PGW591429 PQS589830:PQS591429 QAO589830:QAO591429 QKK589830:QKK591429 QUG589830:QUG591429 REC589830:REC591429 RNY589830:RNY591429 RXU589830:RXU591429 SHQ589830:SHQ591429 SRM589830:SRM591429 TBI589830:TBI591429 TLE589830:TLE591429 TVA589830:TVA591429 UEW589830:UEW591429 UOS589830:UOS591429 UYO589830:UYO591429 VIK589830:VIK591429 VSG589830:VSG591429 WCC589830:WCC591429 WLY589830:WLY591429 WVU589830:WVU591429 JI655366:JI656965 TE655366:TE656965 ADA655366:ADA656965 AMW655366:AMW656965 AWS655366:AWS656965 BGO655366:BGO656965 BQK655366:BQK656965 CAG655366:CAG656965 CKC655366:CKC656965 CTY655366:CTY656965 DDU655366:DDU656965 DNQ655366:DNQ656965 DXM655366:DXM656965 EHI655366:EHI656965 ERE655366:ERE656965 FBA655366:FBA656965 FKW655366:FKW656965 FUS655366:FUS656965 GEO655366:GEO656965 GOK655366:GOK656965 GYG655366:GYG656965 HIC655366:HIC656965 HRY655366:HRY656965 IBU655366:IBU656965 ILQ655366:ILQ656965 IVM655366:IVM656965 JFI655366:JFI656965 JPE655366:JPE656965 JZA655366:JZA656965 KIW655366:KIW656965 KSS655366:KSS656965 LCO655366:LCO656965 LMK655366:LMK656965 LWG655366:LWG656965 MGC655366:MGC656965 MPY655366:MPY656965 MZU655366:MZU656965 NJQ655366:NJQ656965 NTM655366:NTM656965 ODI655366:ODI656965 ONE655366:ONE656965 OXA655366:OXA656965 PGW655366:PGW656965 PQS655366:PQS656965 QAO655366:QAO656965 QKK655366:QKK656965 QUG655366:QUG656965 REC655366:REC656965 RNY655366:RNY656965 RXU655366:RXU656965 SHQ655366:SHQ656965 SRM655366:SRM656965 TBI655366:TBI656965 TLE655366:TLE656965 TVA655366:TVA656965 UEW655366:UEW656965 UOS655366:UOS656965 UYO655366:UYO656965 VIK655366:VIK656965 VSG655366:VSG656965 WCC655366:WCC656965 WLY655366:WLY656965 WVU655366:WVU656965 JI720902:JI722501 TE720902:TE722501 ADA720902:ADA722501 AMW720902:AMW722501 AWS720902:AWS722501 BGO720902:BGO722501 BQK720902:BQK722501 CAG720902:CAG722501 CKC720902:CKC722501 CTY720902:CTY722501 DDU720902:DDU722501 DNQ720902:DNQ722501 DXM720902:DXM722501 EHI720902:EHI722501 ERE720902:ERE722501 FBA720902:FBA722501 FKW720902:FKW722501 FUS720902:FUS722501 GEO720902:GEO722501 GOK720902:GOK722501 GYG720902:GYG722501 HIC720902:HIC722501 HRY720902:HRY722501 IBU720902:IBU722501 ILQ720902:ILQ722501 IVM720902:IVM722501 JFI720902:JFI722501 JPE720902:JPE722501 JZA720902:JZA722501 KIW720902:KIW722501 KSS720902:KSS722501 LCO720902:LCO722501 LMK720902:LMK722501 LWG720902:LWG722501 MGC720902:MGC722501 MPY720902:MPY722501 MZU720902:MZU722501 NJQ720902:NJQ722501 NTM720902:NTM722501 ODI720902:ODI722501 ONE720902:ONE722501 OXA720902:OXA722501 PGW720902:PGW722501 PQS720902:PQS722501 QAO720902:QAO722501 QKK720902:QKK722501 QUG720902:QUG722501 REC720902:REC722501 RNY720902:RNY722501 RXU720902:RXU722501 SHQ720902:SHQ722501 SRM720902:SRM722501 TBI720902:TBI722501 TLE720902:TLE722501 TVA720902:TVA722501 UEW720902:UEW722501 UOS720902:UOS722501 UYO720902:UYO722501 VIK720902:VIK722501 VSG720902:VSG722501 WCC720902:WCC722501 WLY720902:WLY722501 WVU720902:WVU722501 JI786438:JI788037 TE786438:TE788037 ADA786438:ADA788037 AMW786438:AMW788037 AWS786438:AWS788037 BGO786438:BGO788037 BQK786438:BQK788037 CAG786438:CAG788037 CKC786438:CKC788037 CTY786438:CTY788037 DDU786438:DDU788037 DNQ786438:DNQ788037 DXM786438:DXM788037 EHI786438:EHI788037 ERE786438:ERE788037 FBA786438:FBA788037 FKW786438:FKW788037 FUS786438:FUS788037 GEO786438:GEO788037 GOK786438:GOK788037 GYG786438:GYG788037 HIC786438:HIC788037 HRY786438:HRY788037 IBU786438:IBU788037 ILQ786438:ILQ788037 IVM786438:IVM788037 JFI786438:JFI788037 JPE786438:JPE788037 JZA786438:JZA788037 KIW786438:KIW788037 KSS786438:KSS788037 LCO786438:LCO788037 LMK786438:LMK788037 LWG786438:LWG788037 MGC786438:MGC788037 MPY786438:MPY788037 MZU786438:MZU788037 NJQ786438:NJQ788037 NTM786438:NTM788037 ODI786438:ODI788037 ONE786438:ONE788037 OXA786438:OXA788037 PGW786438:PGW788037 PQS786438:PQS788037 QAO786438:QAO788037 QKK786438:QKK788037 QUG786438:QUG788037 REC786438:REC788037 RNY786438:RNY788037 RXU786438:RXU788037 SHQ786438:SHQ788037 SRM786438:SRM788037 TBI786438:TBI788037 TLE786438:TLE788037 TVA786438:TVA788037 UEW786438:UEW788037 UOS786438:UOS788037 UYO786438:UYO788037 VIK786438:VIK788037 VSG786438:VSG788037 WCC786438:WCC788037 WLY786438:WLY788037 WVU786438:WVU788037 JI851974:JI853573 TE851974:TE853573 ADA851974:ADA853573 AMW851974:AMW853573 AWS851974:AWS853573 BGO851974:BGO853573 BQK851974:BQK853573 CAG851974:CAG853573 CKC851974:CKC853573 CTY851974:CTY853573 DDU851974:DDU853573 DNQ851974:DNQ853573 DXM851974:DXM853573 EHI851974:EHI853573 ERE851974:ERE853573 FBA851974:FBA853573 FKW851974:FKW853573 FUS851974:FUS853573 GEO851974:GEO853573 GOK851974:GOK853573 GYG851974:GYG853573 HIC851974:HIC853573 HRY851974:HRY853573 IBU851974:IBU853573 ILQ851974:ILQ853573 IVM851974:IVM853573 JFI851974:JFI853573 JPE851974:JPE853573 JZA851974:JZA853573 KIW851974:KIW853573 KSS851974:KSS853573 LCO851974:LCO853573 LMK851974:LMK853573 LWG851974:LWG853573 MGC851974:MGC853573 MPY851974:MPY853573 MZU851974:MZU853573 NJQ851974:NJQ853573 NTM851974:NTM853573 ODI851974:ODI853573 ONE851974:ONE853573 OXA851974:OXA853573 PGW851974:PGW853573 PQS851974:PQS853573 QAO851974:QAO853573 QKK851974:QKK853573 QUG851974:QUG853573 REC851974:REC853573 RNY851974:RNY853573 RXU851974:RXU853573 SHQ851974:SHQ853573 SRM851974:SRM853573 TBI851974:TBI853573 TLE851974:TLE853573 TVA851974:TVA853573 UEW851974:UEW853573 UOS851974:UOS853573 UYO851974:UYO853573 VIK851974:VIK853573 VSG851974:VSG853573 WCC851974:WCC853573 WLY851974:WLY853573 WVU851974:WVU853573 JI917510:JI919109 TE917510:TE919109 ADA917510:ADA919109 AMW917510:AMW919109 AWS917510:AWS919109 BGO917510:BGO919109 BQK917510:BQK919109 CAG917510:CAG919109 CKC917510:CKC919109 CTY917510:CTY919109 DDU917510:DDU919109 DNQ917510:DNQ919109 DXM917510:DXM919109 EHI917510:EHI919109 ERE917510:ERE919109 FBA917510:FBA919109 FKW917510:FKW919109 FUS917510:FUS919109 GEO917510:GEO919109 GOK917510:GOK919109 GYG917510:GYG919109 HIC917510:HIC919109 HRY917510:HRY919109 IBU917510:IBU919109 ILQ917510:ILQ919109 IVM917510:IVM919109 JFI917510:JFI919109 JPE917510:JPE919109 JZA917510:JZA919109 KIW917510:KIW919109 KSS917510:KSS919109 LCO917510:LCO919109 LMK917510:LMK919109 LWG917510:LWG919109 MGC917510:MGC919109 MPY917510:MPY919109 MZU917510:MZU919109 NJQ917510:NJQ919109 NTM917510:NTM919109 ODI917510:ODI919109 ONE917510:ONE919109 OXA917510:OXA919109 PGW917510:PGW919109 PQS917510:PQS919109 QAO917510:QAO919109 QKK917510:QKK919109 QUG917510:QUG919109 REC917510:REC919109 RNY917510:RNY919109 RXU917510:RXU919109 SHQ917510:SHQ919109 SRM917510:SRM919109 TBI917510:TBI919109 TLE917510:TLE919109 TVA917510:TVA919109 UEW917510:UEW919109 UOS917510:UOS919109 UYO917510:UYO919109 VIK917510:VIK919109 VSG917510:VSG919109 WCC917510:WCC919109 WLY917510:WLY919109 WVU917510:WVU919109 JI983046:JI984645 TE983046:TE984645 ADA983046:ADA984645 AMW983046:AMW984645 AWS983046:AWS984645 BGO983046:BGO984645 BQK983046:BQK984645 CAG983046:CAG984645 CKC983046:CKC984645 CTY983046:CTY984645 DDU983046:DDU984645 DNQ983046:DNQ984645 DXM983046:DXM984645 EHI983046:EHI984645 ERE983046:ERE984645 FBA983046:FBA984645 FKW983046:FKW984645 FUS983046:FUS984645 GEO983046:GEO984645 GOK983046:GOK984645 GYG983046:GYG984645 HIC983046:HIC984645 HRY983046:HRY984645 IBU983046:IBU984645 ILQ983046:ILQ984645 IVM983046:IVM984645 JFI983046:JFI984645 JPE983046:JPE984645 JZA983046:JZA984645 KIW983046:KIW984645 KSS983046:KSS984645 LCO983046:LCO984645 LMK983046:LMK984645 LWG983046:LWG984645 MGC983046:MGC984645 MPY983046:MPY984645 MZU983046:MZU984645 NJQ983046:NJQ984645 NTM983046:NTM984645 ODI983046:ODI984645 ONE983046:ONE984645 OXA983046:OXA984645 PGW983046:PGW984645 PQS983046:PQS984645 QAO983046:QAO984645 QKK983046:QKK984645 QUG983046:QUG984645 REC983046:REC984645 RNY983046:RNY984645 RXU983046:RXU984645 SHQ983046:SHQ984645 SRM983046:SRM984645 TBI983046:TBI984645 TLE983046:TLE984645 TVA983046:TVA984645 UEW983046:UEW984645 UOS983046:UOS984645 UYO983046:UYO984645 VIK983046:VIK984645 VSG983046:VSG984645 WCC983046:WCC984645 WLY983046:WLY984645 WVU983046:WVU984645 JK6:JK1605 TG6:TG1605 ADC6:ADC1605 AMY6:AMY1605 AWU6:AWU1605 BGQ6:BGQ1605 BQM6:BQM1605 CAI6:CAI1605 CKE6:CKE1605 CUA6:CUA1605 DDW6:DDW1605 DNS6:DNS1605 DXO6:DXO1605 EHK6:EHK1605 ERG6:ERG1605 FBC6:FBC1605 FKY6:FKY1605 FUU6:FUU1605 GEQ6:GEQ1605 GOM6:GOM1605 GYI6:GYI1605 HIE6:HIE1605 HSA6:HSA1605 IBW6:IBW1605 ILS6:ILS1605 IVO6:IVO1605 JFK6:JFK1605 JPG6:JPG1605 JZC6:JZC1605 KIY6:KIY1605 KSU6:KSU1605 LCQ6:LCQ1605 LMM6:LMM1605 LWI6:LWI1605 MGE6:MGE1605 MQA6:MQA1605 MZW6:MZW1605 NJS6:NJS1605 NTO6:NTO1605 ODK6:ODK1605 ONG6:ONG1605 OXC6:OXC1605 PGY6:PGY1605 PQU6:PQU1605 QAQ6:QAQ1605 QKM6:QKM1605 QUI6:QUI1605 REE6:REE1605 ROA6:ROA1605 RXW6:RXW1605 SHS6:SHS1605 SRO6:SRO1605 TBK6:TBK1605 TLG6:TLG1605 TVC6:TVC1605 UEY6:UEY1605 UOU6:UOU1605 UYQ6:UYQ1605 VIM6:VIM1605 VSI6:VSI1605 WCE6:WCE1605 WMA6:WMA1605 WVW6:WVW1605 JK65542:JK67141 TG65542:TG67141 ADC65542:ADC67141 AMY65542:AMY67141 AWU65542:AWU67141 BGQ65542:BGQ67141 BQM65542:BQM67141 CAI65542:CAI67141 CKE65542:CKE67141 CUA65542:CUA67141 DDW65542:DDW67141 DNS65542:DNS67141 DXO65542:DXO67141 EHK65542:EHK67141 ERG65542:ERG67141 FBC65542:FBC67141 FKY65542:FKY67141 FUU65542:FUU67141 GEQ65542:GEQ67141 GOM65542:GOM67141 GYI65542:GYI67141 HIE65542:HIE67141 HSA65542:HSA67141 IBW65542:IBW67141 ILS65542:ILS67141 IVO65542:IVO67141 JFK65542:JFK67141 JPG65542:JPG67141 JZC65542:JZC67141 KIY65542:KIY67141 KSU65542:KSU67141 LCQ65542:LCQ67141 LMM65542:LMM67141 LWI65542:LWI67141 MGE65542:MGE67141 MQA65542:MQA67141 MZW65542:MZW67141 NJS65542:NJS67141 NTO65542:NTO67141 ODK65542:ODK67141 ONG65542:ONG67141 OXC65542:OXC67141 PGY65542:PGY67141 PQU65542:PQU67141 QAQ65542:QAQ67141 QKM65542:QKM67141 QUI65542:QUI67141 REE65542:REE67141 ROA65542:ROA67141 RXW65542:RXW67141 SHS65542:SHS67141 SRO65542:SRO67141 TBK65542:TBK67141 TLG65542:TLG67141 TVC65542:TVC67141 UEY65542:UEY67141 UOU65542:UOU67141 UYQ65542:UYQ67141 VIM65542:VIM67141 VSI65542:VSI67141 WCE65542:WCE67141 WMA65542:WMA67141 WVW65542:WVW67141 JK131078:JK132677 TG131078:TG132677 ADC131078:ADC132677 AMY131078:AMY132677 AWU131078:AWU132677 BGQ131078:BGQ132677 BQM131078:BQM132677 CAI131078:CAI132677 CKE131078:CKE132677 CUA131078:CUA132677 DDW131078:DDW132677 DNS131078:DNS132677 DXO131078:DXO132677 EHK131078:EHK132677 ERG131078:ERG132677 FBC131078:FBC132677 FKY131078:FKY132677 FUU131078:FUU132677 GEQ131078:GEQ132677 GOM131078:GOM132677 GYI131078:GYI132677 HIE131078:HIE132677 HSA131078:HSA132677 IBW131078:IBW132677 ILS131078:ILS132677 IVO131078:IVO132677 JFK131078:JFK132677 JPG131078:JPG132677 JZC131078:JZC132677 KIY131078:KIY132677 KSU131078:KSU132677 LCQ131078:LCQ132677 LMM131078:LMM132677 LWI131078:LWI132677 MGE131078:MGE132677 MQA131078:MQA132677 MZW131078:MZW132677 NJS131078:NJS132677 NTO131078:NTO132677 ODK131078:ODK132677 ONG131078:ONG132677 OXC131078:OXC132677 PGY131078:PGY132677 PQU131078:PQU132677 QAQ131078:QAQ132677 QKM131078:QKM132677 QUI131078:QUI132677 REE131078:REE132677 ROA131078:ROA132677 RXW131078:RXW132677 SHS131078:SHS132677 SRO131078:SRO132677 TBK131078:TBK132677 TLG131078:TLG132677 TVC131078:TVC132677 UEY131078:UEY132677 UOU131078:UOU132677 UYQ131078:UYQ132677 VIM131078:VIM132677 VSI131078:VSI132677 WCE131078:WCE132677 WMA131078:WMA132677 WVW131078:WVW132677 JK196614:JK198213 TG196614:TG198213 ADC196614:ADC198213 AMY196614:AMY198213 AWU196614:AWU198213 BGQ196614:BGQ198213 BQM196614:BQM198213 CAI196614:CAI198213 CKE196614:CKE198213 CUA196614:CUA198213 DDW196614:DDW198213 DNS196614:DNS198213 DXO196614:DXO198213 EHK196614:EHK198213 ERG196614:ERG198213 FBC196614:FBC198213 FKY196614:FKY198213 FUU196614:FUU198213 GEQ196614:GEQ198213 GOM196614:GOM198213 GYI196614:GYI198213 HIE196614:HIE198213 HSA196614:HSA198213 IBW196614:IBW198213 ILS196614:ILS198213 IVO196614:IVO198213 JFK196614:JFK198213 JPG196614:JPG198213 JZC196614:JZC198213 KIY196614:KIY198213 KSU196614:KSU198213 LCQ196614:LCQ198213 LMM196614:LMM198213 LWI196614:LWI198213 MGE196614:MGE198213 MQA196614:MQA198213 MZW196614:MZW198213 NJS196614:NJS198213 NTO196614:NTO198213 ODK196614:ODK198213 ONG196614:ONG198213 OXC196614:OXC198213 PGY196614:PGY198213 PQU196614:PQU198213 QAQ196614:QAQ198213 QKM196614:QKM198213 QUI196614:QUI198213 REE196614:REE198213 ROA196614:ROA198213 RXW196614:RXW198213 SHS196614:SHS198213 SRO196614:SRO198213 TBK196614:TBK198213 TLG196614:TLG198213 TVC196614:TVC198213 UEY196614:UEY198213 UOU196614:UOU198213 UYQ196614:UYQ198213 VIM196614:VIM198213 VSI196614:VSI198213 WCE196614:WCE198213 WMA196614:WMA198213 WVW196614:WVW198213 JK262150:JK263749 TG262150:TG263749 ADC262150:ADC263749 AMY262150:AMY263749 AWU262150:AWU263749 BGQ262150:BGQ263749 BQM262150:BQM263749 CAI262150:CAI263749 CKE262150:CKE263749 CUA262150:CUA263749 DDW262150:DDW263749 DNS262150:DNS263749 DXO262150:DXO263749 EHK262150:EHK263749 ERG262150:ERG263749 FBC262150:FBC263749 FKY262150:FKY263749 FUU262150:FUU263749 GEQ262150:GEQ263749 GOM262150:GOM263749 GYI262150:GYI263749 HIE262150:HIE263749 HSA262150:HSA263749 IBW262150:IBW263749 ILS262150:ILS263749 IVO262150:IVO263749 JFK262150:JFK263749 JPG262150:JPG263749 JZC262150:JZC263749 KIY262150:KIY263749 KSU262150:KSU263749 LCQ262150:LCQ263749 LMM262150:LMM263749 LWI262150:LWI263749 MGE262150:MGE263749 MQA262150:MQA263749 MZW262150:MZW263749 NJS262150:NJS263749 NTO262150:NTO263749 ODK262150:ODK263749 ONG262150:ONG263749 OXC262150:OXC263749 PGY262150:PGY263749 PQU262150:PQU263749 QAQ262150:QAQ263749 QKM262150:QKM263749 QUI262150:QUI263749 REE262150:REE263749 ROA262150:ROA263749 RXW262150:RXW263749 SHS262150:SHS263749 SRO262150:SRO263749 TBK262150:TBK263749 TLG262150:TLG263749 TVC262150:TVC263749 UEY262150:UEY263749 UOU262150:UOU263749 UYQ262150:UYQ263749 VIM262150:VIM263749 VSI262150:VSI263749 WCE262150:WCE263749 WMA262150:WMA263749 WVW262150:WVW263749 JK327686:JK329285 TG327686:TG329285 ADC327686:ADC329285 AMY327686:AMY329285 AWU327686:AWU329285 BGQ327686:BGQ329285 BQM327686:BQM329285 CAI327686:CAI329285 CKE327686:CKE329285 CUA327686:CUA329285 DDW327686:DDW329285 DNS327686:DNS329285 DXO327686:DXO329285 EHK327686:EHK329285 ERG327686:ERG329285 FBC327686:FBC329285 FKY327686:FKY329285 FUU327686:FUU329285 GEQ327686:GEQ329285 GOM327686:GOM329285 GYI327686:GYI329285 HIE327686:HIE329285 HSA327686:HSA329285 IBW327686:IBW329285 ILS327686:ILS329285 IVO327686:IVO329285 JFK327686:JFK329285 JPG327686:JPG329285 JZC327686:JZC329285 KIY327686:KIY329285 KSU327686:KSU329285 LCQ327686:LCQ329285 LMM327686:LMM329285 LWI327686:LWI329285 MGE327686:MGE329285 MQA327686:MQA329285 MZW327686:MZW329285 NJS327686:NJS329285 NTO327686:NTO329285 ODK327686:ODK329285 ONG327686:ONG329285 OXC327686:OXC329285 PGY327686:PGY329285 PQU327686:PQU329285 QAQ327686:QAQ329285 QKM327686:QKM329285 QUI327686:QUI329285 REE327686:REE329285 ROA327686:ROA329285 RXW327686:RXW329285 SHS327686:SHS329285 SRO327686:SRO329285 TBK327686:TBK329285 TLG327686:TLG329285 TVC327686:TVC329285 UEY327686:UEY329285 UOU327686:UOU329285 UYQ327686:UYQ329285 VIM327686:VIM329285 VSI327686:VSI329285 WCE327686:WCE329285 WMA327686:WMA329285 WVW327686:WVW329285 JK393222:JK394821 TG393222:TG394821 ADC393222:ADC394821 AMY393222:AMY394821 AWU393222:AWU394821 BGQ393222:BGQ394821 BQM393222:BQM394821 CAI393222:CAI394821 CKE393222:CKE394821 CUA393222:CUA394821 DDW393222:DDW394821 DNS393222:DNS394821 DXO393222:DXO394821 EHK393222:EHK394821 ERG393222:ERG394821 FBC393222:FBC394821 FKY393222:FKY394821 FUU393222:FUU394821 GEQ393222:GEQ394821 GOM393222:GOM394821 GYI393222:GYI394821 HIE393222:HIE394821 HSA393222:HSA394821 IBW393222:IBW394821 ILS393222:ILS394821 IVO393222:IVO394821 JFK393222:JFK394821 JPG393222:JPG394821 JZC393222:JZC394821 KIY393222:KIY394821 KSU393222:KSU394821 LCQ393222:LCQ394821 LMM393222:LMM394821 LWI393222:LWI394821 MGE393222:MGE394821 MQA393222:MQA394821 MZW393222:MZW394821 NJS393222:NJS394821 NTO393222:NTO394821 ODK393222:ODK394821 ONG393222:ONG394821 OXC393222:OXC394821 PGY393222:PGY394821 PQU393222:PQU394821 QAQ393222:QAQ394821 QKM393222:QKM394821 QUI393222:QUI394821 REE393222:REE394821 ROA393222:ROA394821 RXW393222:RXW394821 SHS393222:SHS394821 SRO393222:SRO394821 TBK393222:TBK394821 TLG393222:TLG394821 TVC393222:TVC394821 UEY393222:UEY394821 UOU393222:UOU394821 UYQ393222:UYQ394821 VIM393222:VIM394821 VSI393222:VSI394821 WCE393222:WCE394821 WMA393222:WMA394821 WVW393222:WVW394821 JK458758:JK460357 TG458758:TG460357 ADC458758:ADC460357 AMY458758:AMY460357 AWU458758:AWU460357 BGQ458758:BGQ460357 BQM458758:BQM460357 CAI458758:CAI460357 CKE458758:CKE460357 CUA458758:CUA460357 DDW458758:DDW460357 DNS458758:DNS460357 DXO458758:DXO460357 EHK458758:EHK460357 ERG458758:ERG460357 FBC458758:FBC460357 FKY458758:FKY460357 FUU458758:FUU460357 GEQ458758:GEQ460357 GOM458758:GOM460357 GYI458758:GYI460357 HIE458758:HIE460357 HSA458758:HSA460357 IBW458758:IBW460357 ILS458758:ILS460357 IVO458758:IVO460357 JFK458758:JFK460357 JPG458758:JPG460357 JZC458758:JZC460357 KIY458758:KIY460357 KSU458758:KSU460357 LCQ458758:LCQ460357 LMM458758:LMM460357 LWI458758:LWI460357 MGE458758:MGE460357 MQA458758:MQA460357 MZW458758:MZW460357 NJS458758:NJS460357 NTO458758:NTO460357 ODK458758:ODK460357 ONG458758:ONG460357 OXC458758:OXC460357 PGY458758:PGY460357 PQU458758:PQU460357 QAQ458758:QAQ460357 QKM458758:QKM460357 QUI458758:QUI460357 REE458758:REE460357 ROA458758:ROA460357 RXW458758:RXW460357 SHS458758:SHS460357 SRO458758:SRO460357 TBK458758:TBK460357 TLG458758:TLG460357 TVC458758:TVC460357 UEY458758:UEY460357 UOU458758:UOU460357 UYQ458758:UYQ460357 VIM458758:VIM460357 VSI458758:VSI460357 WCE458758:WCE460357 WMA458758:WMA460357 WVW458758:WVW460357 JK524294:JK525893 TG524294:TG525893 ADC524294:ADC525893 AMY524294:AMY525893 AWU524294:AWU525893 BGQ524294:BGQ525893 BQM524294:BQM525893 CAI524294:CAI525893 CKE524294:CKE525893 CUA524294:CUA525893 DDW524294:DDW525893 DNS524294:DNS525893 DXO524294:DXO525893 EHK524294:EHK525893 ERG524294:ERG525893 FBC524294:FBC525893 FKY524294:FKY525893 FUU524294:FUU525893 GEQ524294:GEQ525893 GOM524294:GOM525893 GYI524294:GYI525893 HIE524294:HIE525893 HSA524294:HSA525893 IBW524294:IBW525893 ILS524294:ILS525893 IVO524294:IVO525893 JFK524294:JFK525893 JPG524294:JPG525893 JZC524294:JZC525893 KIY524294:KIY525893 KSU524294:KSU525893 LCQ524294:LCQ525893 LMM524294:LMM525893 LWI524294:LWI525893 MGE524294:MGE525893 MQA524294:MQA525893 MZW524294:MZW525893 NJS524294:NJS525893 NTO524294:NTO525893 ODK524294:ODK525893 ONG524294:ONG525893 OXC524294:OXC525893 PGY524294:PGY525893 PQU524294:PQU525893 QAQ524294:QAQ525893 QKM524294:QKM525893 QUI524294:QUI525893 REE524294:REE525893 ROA524294:ROA525893 RXW524294:RXW525893 SHS524294:SHS525893 SRO524294:SRO525893 TBK524294:TBK525893 TLG524294:TLG525893 TVC524294:TVC525893 UEY524294:UEY525893 UOU524294:UOU525893 UYQ524294:UYQ525893 VIM524294:VIM525893 VSI524294:VSI525893 WCE524294:WCE525893 WMA524294:WMA525893 WVW524294:WVW525893 JK589830:JK591429 TG589830:TG591429 ADC589830:ADC591429 AMY589830:AMY591429 AWU589830:AWU591429 BGQ589830:BGQ591429 BQM589830:BQM591429 CAI589830:CAI591429 CKE589830:CKE591429 CUA589830:CUA591429 DDW589830:DDW591429 DNS589830:DNS591429 DXO589830:DXO591429 EHK589830:EHK591429 ERG589830:ERG591429 FBC589830:FBC591429 FKY589830:FKY591429 FUU589830:FUU591429 GEQ589830:GEQ591429 GOM589830:GOM591429 GYI589830:GYI591429 HIE589830:HIE591429 HSA589830:HSA591429 IBW589830:IBW591429 ILS589830:ILS591429 IVO589830:IVO591429 JFK589830:JFK591429 JPG589830:JPG591429 JZC589830:JZC591429 KIY589830:KIY591429 KSU589830:KSU591429 LCQ589830:LCQ591429 LMM589830:LMM591429 LWI589830:LWI591429 MGE589830:MGE591429 MQA589830:MQA591429 MZW589830:MZW591429 NJS589830:NJS591429 NTO589830:NTO591429 ODK589830:ODK591429 ONG589830:ONG591429 OXC589830:OXC591429 PGY589830:PGY591429 PQU589830:PQU591429 QAQ589830:QAQ591429 QKM589830:QKM591429 QUI589830:QUI591429 REE589830:REE591429 ROA589830:ROA591429 RXW589830:RXW591429 SHS589830:SHS591429 SRO589830:SRO591429 TBK589830:TBK591429 TLG589830:TLG591429 TVC589830:TVC591429 UEY589830:UEY591429 UOU589830:UOU591429 UYQ589830:UYQ591429 VIM589830:VIM591429 VSI589830:VSI591429 WCE589830:WCE591429 WMA589830:WMA591429 WVW589830:WVW591429 JK655366:JK656965 TG655366:TG656965 ADC655366:ADC656965 AMY655366:AMY656965 AWU655366:AWU656965 BGQ655366:BGQ656965 BQM655366:BQM656965 CAI655366:CAI656965 CKE655366:CKE656965 CUA655366:CUA656965 DDW655366:DDW656965 DNS655366:DNS656965 DXO655366:DXO656965 EHK655366:EHK656965 ERG655366:ERG656965 FBC655366:FBC656965 FKY655366:FKY656965 FUU655366:FUU656965 GEQ655366:GEQ656965 GOM655366:GOM656965 GYI655366:GYI656965 HIE655366:HIE656965 HSA655366:HSA656965 IBW655366:IBW656965 ILS655366:ILS656965 IVO655366:IVO656965 JFK655366:JFK656965 JPG655366:JPG656965 JZC655366:JZC656965 KIY655366:KIY656965 KSU655366:KSU656965 LCQ655366:LCQ656965 LMM655366:LMM656965 LWI655366:LWI656965 MGE655366:MGE656965 MQA655366:MQA656965 MZW655366:MZW656965 NJS655366:NJS656965 NTO655366:NTO656965 ODK655366:ODK656965 ONG655366:ONG656965 OXC655366:OXC656965 PGY655366:PGY656965 PQU655366:PQU656965 QAQ655366:QAQ656965 QKM655366:QKM656965 QUI655366:QUI656965 REE655366:REE656965 ROA655366:ROA656965 RXW655366:RXW656965 SHS655366:SHS656965 SRO655366:SRO656965 TBK655366:TBK656965 TLG655366:TLG656965 TVC655366:TVC656965 UEY655366:UEY656965 UOU655366:UOU656965 UYQ655366:UYQ656965 VIM655366:VIM656965 VSI655366:VSI656965 WCE655366:WCE656965 WMA655366:WMA656965 WVW655366:WVW656965 JK720902:JK722501 TG720902:TG722501 ADC720902:ADC722501 AMY720902:AMY722501 AWU720902:AWU722501 BGQ720902:BGQ722501 BQM720902:BQM722501 CAI720902:CAI722501 CKE720902:CKE722501 CUA720902:CUA722501 DDW720902:DDW722501 DNS720902:DNS722501 DXO720902:DXO722501 EHK720902:EHK722501 ERG720902:ERG722501 FBC720902:FBC722501 FKY720902:FKY722501 FUU720902:FUU722501 GEQ720902:GEQ722501 GOM720902:GOM722501 GYI720902:GYI722501 HIE720902:HIE722501 HSA720902:HSA722501 IBW720902:IBW722501 ILS720902:ILS722501 IVO720902:IVO722501 JFK720902:JFK722501 JPG720902:JPG722501 JZC720902:JZC722501 KIY720902:KIY722501 KSU720902:KSU722501 LCQ720902:LCQ722501 LMM720902:LMM722501 LWI720902:LWI722501 MGE720902:MGE722501 MQA720902:MQA722501 MZW720902:MZW722501 NJS720902:NJS722501 NTO720902:NTO722501 ODK720902:ODK722501 ONG720902:ONG722501 OXC720902:OXC722501 PGY720902:PGY722501 PQU720902:PQU722501 QAQ720902:QAQ722501 QKM720902:QKM722501 QUI720902:QUI722501 REE720902:REE722501 ROA720902:ROA722501 RXW720902:RXW722501 SHS720902:SHS722501 SRO720902:SRO722501 TBK720902:TBK722501 TLG720902:TLG722501 TVC720902:TVC722501 UEY720902:UEY722501 UOU720902:UOU722501 UYQ720902:UYQ722501 VIM720902:VIM722501 VSI720902:VSI722501 WCE720902:WCE722501 WMA720902:WMA722501 WVW720902:WVW722501 JK786438:JK788037 TG786438:TG788037 ADC786438:ADC788037 AMY786438:AMY788037 AWU786438:AWU788037 BGQ786438:BGQ788037 BQM786438:BQM788037 CAI786438:CAI788037 CKE786438:CKE788037 CUA786438:CUA788037 DDW786438:DDW788037 DNS786438:DNS788037 DXO786438:DXO788037 EHK786438:EHK788037 ERG786438:ERG788037 FBC786438:FBC788037 FKY786438:FKY788037 FUU786438:FUU788037 GEQ786438:GEQ788037 GOM786438:GOM788037 GYI786438:GYI788037 HIE786438:HIE788037 HSA786438:HSA788037 IBW786438:IBW788037 ILS786438:ILS788037 IVO786438:IVO788037 JFK786438:JFK788037 JPG786438:JPG788037 JZC786438:JZC788037 KIY786438:KIY788037 KSU786438:KSU788037 LCQ786438:LCQ788037 LMM786438:LMM788037 LWI786438:LWI788037 MGE786438:MGE788037 MQA786438:MQA788037 MZW786438:MZW788037 NJS786438:NJS788037 NTO786438:NTO788037 ODK786438:ODK788037 ONG786438:ONG788037 OXC786438:OXC788037 PGY786438:PGY788037 PQU786438:PQU788037 QAQ786438:QAQ788037 QKM786438:QKM788037 QUI786438:QUI788037 REE786438:REE788037 ROA786438:ROA788037 RXW786438:RXW788037 SHS786438:SHS788037 SRO786438:SRO788037 TBK786438:TBK788037 TLG786438:TLG788037 TVC786438:TVC788037 UEY786438:UEY788037 UOU786438:UOU788037 UYQ786438:UYQ788037 VIM786438:VIM788037 VSI786438:VSI788037 WCE786438:WCE788037 WMA786438:WMA788037 WVW786438:WVW788037 JK851974:JK853573 TG851974:TG853573 ADC851974:ADC853573 AMY851974:AMY853573 AWU851974:AWU853573 BGQ851974:BGQ853573 BQM851974:BQM853573 CAI851974:CAI853573 CKE851974:CKE853573 CUA851974:CUA853573 DDW851974:DDW853573 DNS851974:DNS853573 DXO851974:DXO853573 EHK851974:EHK853573 ERG851974:ERG853573 FBC851974:FBC853573 FKY851974:FKY853573 FUU851974:FUU853573 GEQ851974:GEQ853573 GOM851974:GOM853573 GYI851974:GYI853573 HIE851974:HIE853573 HSA851974:HSA853573 IBW851974:IBW853573 ILS851974:ILS853573 IVO851974:IVO853573 JFK851974:JFK853573 JPG851974:JPG853573 JZC851974:JZC853573 KIY851974:KIY853573 KSU851974:KSU853573 LCQ851974:LCQ853573 LMM851974:LMM853573 LWI851974:LWI853573 MGE851974:MGE853573 MQA851974:MQA853573 MZW851974:MZW853573 NJS851974:NJS853573 NTO851974:NTO853573 ODK851974:ODK853573 ONG851974:ONG853573 OXC851974:OXC853573 PGY851974:PGY853573 PQU851974:PQU853573 QAQ851974:QAQ853573 QKM851974:QKM853573 QUI851974:QUI853573 REE851974:REE853573 ROA851974:ROA853573 RXW851974:RXW853573 SHS851974:SHS853573 SRO851974:SRO853573 TBK851974:TBK853573 TLG851974:TLG853573 TVC851974:TVC853573 UEY851974:UEY853573 UOU851974:UOU853573 UYQ851974:UYQ853573 VIM851974:VIM853573 VSI851974:VSI853573 WCE851974:WCE853573 WMA851974:WMA853573 WVW851974:WVW853573 JK917510:JK919109 TG917510:TG919109 ADC917510:ADC919109 AMY917510:AMY919109 AWU917510:AWU919109 BGQ917510:BGQ919109 BQM917510:BQM919109 CAI917510:CAI919109 CKE917510:CKE919109 CUA917510:CUA919109 DDW917510:DDW919109 DNS917510:DNS919109 DXO917510:DXO919109 EHK917510:EHK919109 ERG917510:ERG919109 FBC917510:FBC919109 FKY917510:FKY919109 FUU917510:FUU919109 GEQ917510:GEQ919109 GOM917510:GOM919109 GYI917510:GYI919109 HIE917510:HIE919109 HSA917510:HSA919109 IBW917510:IBW919109 ILS917510:ILS919109 IVO917510:IVO919109 JFK917510:JFK919109 JPG917510:JPG919109 JZC917510:JZC919109 KIY917510:KIY919109 KSU917510:KSU919109 LCQ917510:LCQ919109 LMM917510:LMM919109 LWI917510:LWI919109 MGE917510:MGE919109 MQA917510:MQA919109 MZW917510:MZW919109 NJS917510:NJS919109 NTO917510:NTO919109 ODK917510:ODK919109 ONG917510:ONG919109 OXC917510:OXC919109 PGY917510:PGY919109 PQU917510:PQU919109 QAQ917510:QAQ919109 QKM917510:QKM919109 QUI917510:QUI919109 REE917510:REE919109 ROA917510:ROA919109 RXW917510:RXW919109 SHS917510:SHS919109 SRO917510:SRO919109 TBK917510:TBK919109 TLG917510:TLG919109 TVC917510:TVC919109 UEY917510:UEY919109 UOU917510:UOU919109 UYQ917510:UYQ919109 VIM917510:VIM919109 VSI917510:VSI919109 WCE917510:WCE919109 WMA917510:WMA919109 WVW917510:WVW919109 JK983046:JK984645 TG983046:TG984645 ADC983046:ADC984645 AMY983046:AMY984645 AWU983046:AWU984645 BGQ983046:BGQ984645 BQM983046:BQM984645 CAI983046:CAI984645 CKE983046:CKE984645 CUA983046:CUA984645 DDW983046:DDW984645 DNS983046:DNS984645 DXO983046:DXO984645 EHK983046:EHK984645 ERG983046:ERG984645 FBC983046:FBC984645 FKY983046:FKY984645 FUU983046:FUU984645 GEQ983046:GEQ984645 GOM983046:GOM984645 GYI983046:GYI984645 HIE983046:HIE984645 HSA983046:HSA984645 IBW983046:IBW984645 ILS983046:ILS984645 IVO983046:IVO984645 JFK983046:JFK984645 JPG983046:JPG984645 JZC983046:JZC984645 KIY983046:KIY984645 KSU983046:KSU984645 LCQ983046:LCQ984645 LMM983046:LMM984645 LWI983046:LWI984645 MGE983046:MGE984645 MQA983046:MQA984645 MZW983046:MZW984645 NJS983046:NJS984645 NTO983046:NTO984645 ODK983046:ODK984645 ONG983046:ONG984645 OXC983046:OXC984645 PGY983046:PGY984645 PQU983046:PQU984645 QAQ983046:QAQ984645 QKM983046:QKM984645 QUI983046:QUI984645 REE983046:REE984645 ROA983046:ROA984645 RXW983046:RXW984645 SHS983046:SHS984645 SRO983046:SRO984645 TBK983046:TBK984645 TLG983046:TLG984645 TVC983046:TVC984645 UEY983046:UEY984645 UOU983046:UOU984645 UYQ983046:UYQ984645 VIM983046:VIM984645 VSI983046:VSI984645 WCE983046:WCE984645 WMA983046:WMA984645 WVW983046:WVW984645 I6:I1605 L983046:L984645 L917510:L919109 L851974:L853573 L786438:L788037 L720902:L722501 L655366:L656965 L589830:L591429 L524294:L525893 L458758:L460357 L393222:L394821 L327686:L329285 L262150:L263749 L196614:L198213 L131078:L132677 L65542:L67141 I983046:I984645 I917510:I919109 I851974:I853573 I786438:I788037 I720902:I722501 I655366:I656965 I589830:I591429 I524294:I525893 I458758:I460357 I393222:I394821 I327686:I329285 I262150:I263749 I196614:I198213 I131078:I132677 I65542:I67141 K6:K1605">
      <formula1>"X"</formula1>
    </dataValidation>
    <dataValidation type="list" allowBlank="1" showInputMessage="1" showErrorMessage="1" sqref="JM6:JM1605 TI6:TI1605 ADE6:ADE1605 ANA6:ANA1605 AWW6:AWW1605 BGS6:BGS1605 BQO6:BQO1605 CAK6:CAK1605 CKG6:CKG1605 CUC6:CUC1605 DDY6:DDY1605 DNU6:DNU1605 DXQ6:DXQ1605 EHM6:EHM1605 ERI6:ERI1605 FBE6:FBE1605 FLA6:FLA1605 FUW6:FUW1605 GES6:GES1605 GOO6:GOO1605 GYK6:GYK1605 HIG6:HIG1605 HSC6:HSC1605 IBY6:IBY1605 ILU6:ILU1605 IVQ6:IVQ1605 JFM6:JFM1605 JPI6:JPI1605 JZE6:JZE1605 KJA6:KJA1605 KSW6:KSW1605 LCS6:LCS1605 LMO6:LMO1605 LWK6:LWK1605 MGG6:MGG1605 MQC6:MQC1605 MZY6:MZY1605 NJU6:NJU1605 NTQ6:NTQ1605 ODM6:ODM1605 ONI6:ONI1605 OXE6:OXE1605 PHA6:PHA1605 PQW6:PQW1605 QAS6:QAS1605 QKO6:QKO1605 QUK6:QUK1605 REG6:REG1605 ROC6:ROC1605 RXY6:RXY1605 SHU6:SHU1605 SRQ6:SRQ1605 TBM6:TBM1605 TLI6:TLI1605 TVE6:TVE1605 UFA6:UFA1605 UOW6:UOW1605 UYS6:UYS1605 VIO6:VIO1605 VSK6:VSK1605 WCG6:WCG1605 WMC6:WMC1605 WVY6:WVY1605 JM65542:JM67141 TI65542:TI67141 ADE65542:ADE67141 ANA65542:ANA67141 AWW65542:AWW67141 BGS65542:BGS67141 BQO65542:BQO67141 CAK65542:CAK67141 CKG65542:CKG67141 CUC65542:CUC67141 DDY65542:DDY67141 DNU65542:DNU67141 DXQ65542:DXQ67141 EHM65542:EHM67141 ERI65542:ERI67141 FBE65542:FBE67141 FLA65542:FLA67141 FUW65542:FUW67141 GES65542:GES67141 GOO65542:GOO67141 GYK65542:GYK67141 HIG65542:HIG67141 HSC65542:HSC67141 IBY65542:IBY67141 ILU65542:ILU67141 IVQ65542:IVQ67141 JFM65542:JFM67141 JPI65542:JPI67141 JZE65542:JZE67141 KJA65542:KJA67141 KSW65542:KSW67141 LCS65542:LCS67141 LMO65542:LMO67141 LWK65542:LWK67141 MGG65542:MGG67141 MQC65542:MQC67141 MZY65542:MZY67141 NJU65542:NJU67141 NTQ65542:NTQ67141 ODM65542:ODM67141 ONI65542:ONI67141 OXE65542:OXE67141 PHA65542:PHA67141 PQW65542:PQW67141 QAS65542:QAS67141 QKO65542:QKO67141 QUK65542:QUK67141 REG65542:REG67141 ROC65542:ROC67141 RXY65542:RXY67141 SHU65542:SHU67141 SRQ65542:SRQ67141 TBM65542:TBM67141 TLI65542:TLI67141 TVE65542:TVE67141 UFA65542:UFA67141 UOW65542:UOW67141 UYS65542:UYS67141 VIO65542:VIO67141 VSK65542:VSK67141 WCG65542:WCG67141 WMC65542:WMC67141 WVY65542:WVY67141 JM131078:JM132677 TI131078:TI132677 ADE131078:ADE132677 ANA131078:ANA132677 AWW131078:AWW132677 BGS131078:BGS132677 BQO131078:BQO132677 CAK131078:CAK132677 CKG131078:CKG132677 CUC131078:CUC132677 DDY131078:DDY132677 DNU131078:DNU132677 DXQ131078:DXQ132677 EHM131078:EHM132677 ERI131078:ERI132677 FBE131078:FBE132677 FLA131078:FLA132677 FUW131078:FUW132677 GES131078:GES132677 GOO131078:GOO132677 GYK131078:GYK132677 HIG131078:HIG132677 HSC131078:HSC132677 IBY131078:IBY132677 ILU131078:ILU132677 IVQ131078:IVQ132677 JFM131078:JFM132677 JPI131078:JPI132677 JZE131078:JZE132677 KJA131078:KJA132677 KSW131078:KSW132677 LCS131078:LCS132677 LMO131078:LMO132677 LWK131078:LWK132677 MGG131078:MGG132677 MQC131078:MQC132677 MZY131078:MZY132677 NJU131078:NJU132677 NTQ131078:NTQ132677 ODM131078:ODM132677 ONI131078:ONI132677 OXE131078:OXE132677 PHA131078:PHA132677 PQW131078:PQW132677 QAS131078:QAS132677 QKO131078:QKO132677 QUK131078:QUK132677 REG131078:REG132677 ROC131078:ROC132677 RXY131078:RXY132677 SHU131078:SHU132677 SRQ131078:SRQ132677 TBM131078:TBM132677 TLI131078:TLI132677 TVE131078:TVE132677 UFA131078:UFA132677 UOW131078:UOW132677 UYS131078:UYS132677 VIO131078:VIO132677 VSK131078:VSK132677 WCG131078:WCG132677 WMC131078:WMC132677 WVY131078:WVY132677 JM196614:JM198213 TI196614:TI198213 ADE196614:ADE198213 ANA196614:ANA198213 AWW196614:AWW198213 BGS196614:BGS198213 BQO196614:BQO198213 CAK196614:CAK198213 CKG196614:CKG198213 CUC196614:CUC198213 DDY196614:DDY198213 DNU196614:DNU198213 DXQ196614:DXQ198213 EHM196614:EHM198213 ERI196614:ERI198213 FBE196614:FBE198213 FLA196614:FLA198213 FUW196614:FUW198213 GES196614:GES198213 GOO196614:GOO198213 GYK196614:GYK198213 HIG196614:HIG198213 HSC196614:HSC198213 IBY196614:IBY198213 ILU196614:ILU198213 IVQ196614:IVQ198213 JFM196614:JFM198213 JPI196614:JPI198213 JZE196614:JZE198213 KJA196614:KJA198213 KSW196614:KSW198213 LCS196614:LCS198213 LMO196614:LMO198213 LWK196614:LWK198213 MGG196614:MGG198213 MQC196614:MQC198213 MZY196614:MZY198213 NJU196614:NJU198213 NTQ196614:NTQ198213 ODM196614:ODM198213 ONI196614:ONI198213 OXE196614:OXE198213 PHA196614:PHA198213 PQW196614:PQW198213 QAS196614:QAS198213 QKO196614:QKO198213 QUK196614:QUK198213 REG196614:REG198213 ROC196614:ROC198213 RXY196614:RXY198213 SHU196614:SHU198213 SRQ196614:SRQ198213 TBM196614:TBM198213 TLI196614:TLI198213 TVE196614:TVE198213 UFA196614:UFA198213 UOW196614:UOW198213 UYS196614:UYS198213 VIO196614:VIO198213 VSK196614:VSK198213 WCG196614:WCG198213 WMC196614:WMC198213 WVY196614:WVY198213 JM262150:JM263749 TI262150:TI263749 ADE262150:ADE263749 ANA262150:ANA263749 AWW262150:AWW263749 BGS262150:BGS263749 BQO262150:BQO263749 CAK262150:CAK263749 CKG262150:CKG263749 CUC262150:CUC263749 DDY262150:DDY263749 DNU262150:DNU263749 DXQ262150:DXQ263749 EHM262150:EHM263749 ERI262150:ERI263749 FBE262150:FBE263749 FLA262150:FLA263749 FUW262150:FUW263749 GES262150:GES263749 GOO262150:GOO263749 GYK262150:GYK263749 HIG262150:HIG263749 HSC262150:HSC263749 IBY262150:IBY263749 ILU262150:ILU263749 IVQ262150:IVQ263749 JFM262150:JFM263749 JPI262150:JPI263749 JZE262150:JZE263749 KJA262150:KJA263749 KSW262150:KSW263749 LCS262150:LCS263749 LMO262150:LMO263749 LWK262150:LWK263749 MGG262150:MGG263749 MQC262150:MQC263749 MZY262150:MZY263749 NJU262150:NJU263749 NTQ262150:NTQ263749 ODM262150:ODM263749 ONI262150:ONI263749 OXE262150:OXE263749 PHA262150:PHA263749 PQW262150:PQW263749 QAS262150:QAS263749 QKO262150:QKO263749 QUK262150:QUK263749 REG262150:REG263749 ROC262150:ROC263749 RXY262150:RXY263749 SHU262150:SHU263749 SRQ262150:SRQ263749 TBM262150:TBM263749 TLI262150:TLI263749 TVE262150:TVE263749 UFA262150:UFA263749 UOW262150:UOW263749 UYS262150:UYS263749 VIO262150:VIO263749 VSK262150:VSK263749 WCG262150:WCG263749 WMC262150:WMC263749 WVY262150:WVY263749 JM327686:JM329285 TI327686:TI329285 ADE327686:ADE329285 ANA327686:ANA329285 AWW327686:AWW329285 BGS327686:BGS329285 BQO327686:BQO329285 CAK327686:CAK329285 CKG327686:CKG329285 CUC327686:CUC329285 DDY327686:DDY329285 DNU327686:DNU329285 DXQ327686:DXQ329285 EHM327686:EHM329285 ERI327686:ERI329285 FBE327686:FBE329285 FLA327686:FLA329285 FUW327686:FUW329285 GES327686:GES329285 GOO327686:GOO329285 GYK327686:GYK329285 HIG327686:HIG329285 HSC327686:HSC329285 IBY327686:IBY329285 ILU327686:ILU329285 IVQ327686:IVQ329285 JFM327686:JFM329285 JPI327686:JPI329285 JZE327686:JZE329285 KJA327686:KJA329285 KSW327686:KSW329285 LCS327686:LCS329285 LMO327686:LMO329285 LWK327686:LWK329285 MGG327686:MGG329285 MQC327686:MQC329285 MZY327686:MZY329285 NJU327686:NJU329285 NTQ327686:NTQ329285 ODM327686:ODM329285 ONI327686:ONI329285 OXE327686:OXE329285 PHA327686:PHA329285 PQW327686:PQW329285 QAS327686:QAS329285 QKO327686:QKO329285 QUK327686:QUK329285 REG327686:REG329285 ROC327686:ROC329285 RXY327686:RXY329285 SHU327686:SHU329285 SRQ327686:SRQ329285 TBM327686:TBM329285 TLI327686:TLI329285 TVE327686:TVE329285 UFA327686:UFA329285 UOW327686:UOW329285 UYS327686:UYS329285 VIO327686:VIO329285 VSK327686:VSK329285 WCG327686:WCG329285 WMC327686:WMC329285 WVY327686:WVY329285 JM393222:JM394821 TI393222:TI394821 ADE393222:ADE394821 ANA393222:ANA394821 AWW393222:AWW394821 BGS393222:BGS394821 BQO393222:BQO394821 CAK393222:CAK394821 CKG393222:CKG394821 CUC393222:CUC394821 DDY393222:DDY394821 DNU393222:DNU394821 DXQ393222:DXQ394821 EHM393222:EHM394821 ERI393222:ERI394821 FBE393222:FBE394821 FLA393222:FLA394821 FUW393222:FUW394821 GES393222:GES394821 GOO393222:GOO394821 GYK393222:GYK394821 HIG393222:HIG394821 HSC393222:HSC394821 IBY393222:IBY394821 ILU393222:ILU394821 IVQ393222:IVQ394821 JFM393222:JFM394821 JPI393222:JPI394821 JZE393222:JZE394821 KJA393222:KJA394821 KSW393222:KSW394821 LCS393222:LCS394821 LMO393222:LMO394821 LWK393222:LWK394821 MGG393222:MGG394821 MQC393222:MQC394821 MZY393222:MZY394821 NJU393222:NJU394821 NTQ393222:NTQ394821 ODM393222:ODM394821 ONI393222:ONI394821 OXE393222:OXE394821 PHA393222:PHA394821 PQW393222:PQW394821 QAS393222:QAS394821 QKO393222:QKO394821 QUK393222:QUK394821 REG393222:REG394821 ROC393222:ROC394821 RXY393222:RXY394821 SHU393222:SHU394821 SRQ393222:SRQ394821 TBM393222:TBM394821 TLI393222:TLI394821 TVE393222:TVE394821 UFA393222:UFA394821 UOW393222:UOW394821 UYS393222:UYS394821 VIO393222:VIO394821 VSK393222:VSK394821 WCG393222:WCG394821 WMC393222:WMC394821 WVY393222:WVY394821 JM458758:JM460357 TI458758:TI460357 ADE458758:ADE460357 ANA458758:ANA460357 AWW458758:AWW460357 BGS458758:BGS460357 BQO458758:BQO460357 CAK458758:CAK460357 CKG458758:CKG460357 CUC458758:CUC460357 DDY458758:DDY460357 DNU458758:DNU460357 DXQ458758:DXQ460357 EHM458758:EHM460357 ERI458758:ERI460357 FBE458758:FBE460357 FLA458758:FLA460357 FUW458758:FUW460357 GES458758:GES460357 GOO458758:GOO460357 GYK458758:GYK460357 HIG458758:HIG460357 HSC458758:HSC460357 IBY458758:IBY460357 ILU458758:ILU460357 IVQ458758:IVQ460357 JFM458758:JFM460357 JPI458758:JPI460357 JZE458758:JZE460357 KJA458758:KJA460357 KSW458758:KSW460357 LCS458758:LCS460357 LMO458758:LMO460357 LWK458758:LWK460357 MGG458758:MGG460357 MQC458758:MQC460357 MZY458758:MZY460357 NJU458758:NJU460357 NTQ458758:NTQ460357 ODM458758:ODM460357 ONI458758:ONI460357 OXE458758:OXE460357 PHA458758:PHA460357 PQW458758:PQW460357 QAS458758:QAS460357 QKO458758:QKO460357 QUK458758:QUK460357 REG458758:REG460357 ROC458758:ROC460357 RXY458758:RXY460357 SHU458758:SHU460357 SRQ458758:SRQ460357 TBM458758:TBM460357 TLI458758:TLI460357 TVE458758:TVE460357 UFA458758:UFA460357 UOW458758:UOW460357 UYS458758:UYS460357 VIO458758:VIO460357 VSK458758:VSK460357 WCG458758:WCG460357 WMC458758:WMC460357 WVY458758:WVY460357 JM524294:JM525893 TI524294:TI525893 ADE524294:ADE525893 ANA524294:ANA525893 AWW524294:AWW525893 BGS524294:BGS525893 BQO524294:BQO525893 CAK524294:CAK525893 CKG524294:CKG525893 CUC524294:CUC525893 DDY524294:DDY525893 DNU524294:DNU525893 DXQ524294:DXQ525893 EHM524294:EHM525893 ERI524294:ERI525893 FBE524294:FBE525893 FLA524294:FLA525893 FUW524294:FUW525893 GES524294:GES525893 GOO524294:GOO525893 GYK524294:GYK525893 HIG524294:HIG525893 HSC524294:HSC525893 IBY524294:IBY525893 ILU524294:ILU525893 IVQ524294:IVQ525893 JFM524294:JFM525893 JPI524294:JPI525893 JZE524294:JZE525893 KJA524294:KJA525893 KSW524294:KSW525893 LCS524294:LCS525893 LMO524294:LMO525893 LWK524294:LWK525893 MGG524294:MGG525893 MQC524294:MQC525893 MZY524294:MZY525893 NJU524294:NJU525893 NTQ524294:NTQ525893 ODM524294:ODM525893 ONI524294:ONI525893 OXE524294:OXE525893 PHA524294:PHA525893 PQW524294:PQW525893 QAS524294:QAS525893 QKO524294:QKO525893 QUK524294:QUK525893 REG524294:REG525893 ROC524294:ROC525893 RXY524294:RXY525893 SHU524294:SHU525893 SRQ524294:SRQ525893 TBM524294:TBM525893 TLI524294:TLI525893 TVE524294:TVE525893 UFA524294:UFA525893 UOW524294:UOW525893 UYS524294:UYS525893 VIO524294:VIO525893 VSK524294:VSK525893 WCG524294:WCG525893 WMC524294:WMC525893 WVY524294:WVY525893 JM589830:JM591429 TI589830:TI591429 ADE589830:ADE591429 ANA589830:ANA591429 AWW589830:AWW591429 BGS589830:BGS591429 BQO589830:BQO591429 CAK589830:CAK591429 CKG589830:CKG591429 CUC589830:CUC591429 DDY589830:DDY591429 DNU589830:DNU591429 DXQ589830:DXQ591429 EHM589830:EHM591429 ERI589830:ERI591429 FBE589830:FBE591429 FLA589830:FLA591429 FUW589830:FUW591429 GES589830:GES591429 GOO589830:GOO591429 GYK589830:GYK591429 HIG589830:HIG591429 HSC589830:HSC591429 IBY589830:IBY591429 ILU589830:ILU591429 IVQ589830:IVQ591429 JFM589830:JFM591429 JPI589830:JPI591429 JZE589830:JZE591429 KJA589830:KJA591429 KSW589830:KSW591429 LCS589830:LCS591429 LMO589830:LMO591429 LWK589830:LWK591429 MGG589830:MGG591429 MQC589830:MQC591429 MZY589830:MZY591429 NJU589830:NJU591429 NTQ589830:NTQ591429 ODM589830:ODM591429 ONI589830:ONI591429 OXE589830:OXE591429 PHA589830:PHA591429 PQW589830:PQW591429 QAS589830:QAS591429 QKO589830:QKO591429 QUK589830:QUK591429 REG589830:REG591429 ROC589830:ROC591429 RXY589830:RXY591429 SHU589830:SHU591429 SRQ589830:SRQ591429 TBM589830:TBM591429 TLI589830:TLI591429 TVE589830:TVE591429 UFA589830:UFA591429 UOW589830:UOW591429 UYS589830:UYS591429 VIO589830:VIO591429 VSK589830:VSK591429 WCG589830:WCG591429 WMC589830:WMC591429 WVY589830:WVY591429 JM655366:JM656965 TI655366:TI656965 ADE655366:ADE656965 ANA655366:ANA656965 AWW655366:AWW656965 BGS655366:BGS656965 BQO655366:BQO656965 CAK655366:CAK656965 CKG655366:CKG656965 CUC655366:CUC656965 DDY655366:DDY656965 DNU655366:DNU656965 DXQ655366:DXQ656965 EHM655366:EHM656965 ERI655366:ERI656965 FBE655366:FBE656965 FLA655366:FLA656965 FUW655366:FUW656965 GES655366:GES656965 GOO655366:GOO656965 GYK655366:GYK656965 HIG655366:HIG656965 HSC655366:HSC656965 IBY655366:IBY656965 ILU655366:ILU656965 IVQ655366:IVQ656965 JFM655366:JFM656965 JPI655366:JPI656965 JZE655366:JZE656965 KJA655366:KJA656965 KSW655366:KSW656965 LCS655366:LCS656965 LMO655366:LMO656965 LWK655366:LWK656965 MGG655366:MGG656965 MQC655366:MQC656965 MZY655366:MZY656965 NJU655366:NJU656965 NTQ655366:NTQ656965 ODM655366:ODM656965 ONI655366:ONI656965 OXE655366:OXE656965 PHA655366:PHA656965 PQW655366:PQW656965 QAS655366:QAS656965 QKO655366:QKO656965 QUK655366:QUK656965 REG655366:REG656965 ROC655366:ROC656965 RXY655366:RXY656965 SHU655366:SHU656965 SRQ655366:SRQ656965 TBM655366:TBM656965 TLI655366:TLI656965 TVE655366:TVE656965 UFA655366:UFA656965 UOW655366:UOW656965 UYS655366:UYS656965 VIO655366:VIO656965 VSK655366:VSK656965 WCG655366:WCG656965 WMC655366:WMC656965 WVY655366:WVY656965 JM720902:JM722501 TI720902:TI722501 ADE720902:ADE722501 ANA720902:ANA722501 AWW720902:AWW722501 BGS720902:BGS722501 BQO720902:BQO722501 CAK720902:CAK722501 CKG720902:CKG722501 CUC720902:CUC722501 DDY720902:DDY722501 DNU720902:DNU722501 DXQ720902:DXQ722501 EHM720902:EHM722501 ERI720902:ERI722501 FBE720902:FBE722501 FLA720902:FLA722501 FUW720902:FUW722501 GES720902:GES722501 GOO720902:GOO722501 GYK720902:GYK722501 HIG720902:HIG722501 HSC720902:HSC722501 IBY720902:IBY722501 ILU720902:ILU722501 IVQ720902:IVQ722501 JFM720902:JFM722501 JPI720902:JPI722501 JZE720902:JZE722501 KJA720902:KJA722501 KSW720902:KSW722501 LCS720902:LCS722501 LMO720902:LMO722501 LWK720902:LWK722501 MGG720902:MGG722501 MQC720902:MQC722501 MZY720902:MZY722501 NJU720902:NJU722501 NTQ720902:NTQ722501 ODM720902:ODM722501 ONI720902:ONI722501 OXE720902:OXE722501 PHA720902:PHA722501 PQW720902:PQW722501 QAS720902:QAS722501 QKO720902:QKO722501 QUK720902:QUK722501 REG720902:REG722501 ROC720902:ROC722501 RXY720902:RXY722501 SHU720902:SHU722501 SRQ720902:SRQ722501 TBM720902:TBM722501 TLI720902:TLI722501 TVE720902:TVE722501 UFA720902:UFA722501 UOW720902:UOW722501 UYS720902:UYS722501 VIO720902:VIO722501 VSK720902:VSK722501 WCG720902:WCG722501 WMC720902:WMC722501 WVY720902:WVY722501 JM786438:JM788037 TI786438:TI788037 ADE786438:ADE788037 ANA786438:ANA788037 AWW786438:AWW788037 BGS786438:BGS788037 BQO786438:BQO788037 CAK786438:CAK788037 CKG786438:CKG788037 CUC786438:CUC788037 DDY786438:DDY788037 DNU786438:DNU788037 DXQ786438:DXQ788037 EHM786438:EHM788037 ERI786438:ERI788037 FBE786438:FBE788037 FLA786438:FLA788037 FUW786438:FUW788037 GES786438:GES788037 GOO786438:GOO788037 GYK786438:GYK788037 HIG786438:HIG788037 HSC786438:HSC788037 IBY786438:IBY788037 ILU786438:ILU788037 IVQ786438:IVQ788037 JFM786438:JFM788037 JPI786438:JPI788037 JZE786438:JZE788037 KJA786438:KJA788037 KSW786438:KSW788037 LCS786438:LCS788037 LMO786438:LMO788037 LWK786438:LWK788037 MGG786438:MGG788037 MQC786438:MQC788037 MZY786438:MZY788037 NJU786438:NJU788037 NTQ786438:NTQ788037 ODM786438:ODM788037 ONI786438:ONI788037 OXE786438:OXE788037 PHA786438:PHA788037 PQW786438:PQW788037 QAS786438:QAS788037 QKO786438:QKO788037 QUK786438:QUK788037 REG786438:REG788037 ROC786438:ROC788037 RXY786438:RXY788037 SHU786438:SHU788037 SRQ786438:SRQ788037 TBM786438:TBM788037 TLI786438:TLI788037 TVE786438:TVE788037 UFA786438:UFA788037 UOW786438:UOW788037 UYS786438:UYS788037 VIO786438:VIO788037 VSK786438:VSK788037 WCG786438:WCG788037 WMC786438:WMC788037 WVY786438:WVY788037 JM851974:JM853573 TI851974:TI853573 ADE851974:ADE853573 ANA851974:ANA853573 AWW851974:AWW853573 BGS851974:BGS853573 BQO851974:BQO853573 CAK851974:CAK853573 CKG851974:CKG853573 CUC851974:CUC853573 DDY851974:DDY853573 DNU851974:DNU853573 DXQ851974:DXQ853573 EHM851974:EHM853573 ERI851974:ERI853573 FBE851974:FBE853573 FLA851974:FLA853573 FUW851974:FUW853573 GES851974:GES853573 GOO851974:GOO853573 GYK851974:GYK853573 HIG851974:HIG853573 HSC851974:HSC853573 IBY851974:IBY853573 ILU851974:ILU853573 IVQ851974:IVQ853573 JFM851974:JFM853573 JPI851974:JPI853573 JZE851974:JZE853573 KJA851974:KJA853573 KSW851974:KSW853573 LCS851974:LCS853573 LMO851974:LMO853573 LWK851974:LWK853573 MGG851974:MGG853573 MQC851974:MQC853573 MZY851974:MZY853573 NJU851974:NJU853573 NTQ851974:NTQ853573 ODM851974:ODM853573 ONI851974:ONI853573 OXE851974:OXE853573 PHA851974:PHA853573 PQW851974:PQW853573 QAS851974:QAS853573 QKO851974:QKO853573 QUK851974:QUK853573 REG851974:REG853573 ROC851974:ROC853573 RXY851974:RXY853573 SHU851974:SHU853573 SRQ851974:SRQ853573 TBM851974:TBM853573 TLI851974:TLI853573 TVE851974:TVE853573 UFA851974:UFA853573 UOW851974:UOW853573 UYS851974:UYS853573 VIO851974:VIO853573 VSK851974:VSK853573 WCG851974:WCG853573 WMC851974:WMC853573 WVY851974:WVY853573 JM917510:JM919109 TI917510:TI919109 ADE917510:ADE919109 ANA917510:ANA919109 AWW917510:AWW919109 BGS917510:BGS919109 BQO917510:BQO919109 CAK917510:CAK919109 CKG917510:CKG919109 CUC917510:CUC919109 DDY917510:DDY919109 DNU917510:DNU919109 DXQ917510:DXQ919109 EHM917510:EHM919109 ERI917510:ERI919109 FBE917510:FBE919109 FLA917510:FLA919109 FUW917510:FUW919109 GES917510:GES919109 GOO917510:GOO919109 GYK917510:GYK919109 HIG917510:HIG919109 HSC917510:HSC919109 IBY917510:IBY919109 ILU917510:ILU919109 IVQ917510:IVQ919109 JFM917510:JFM919109 JPI917510:JPI919109 JZE917510:JZE919109 KJA917510:KJA919109 KSW917510:KSW919109 LCS917510:LCS919109 LMO917510:LMO919109 LWK917510:LWK919109 MGG917510:MGG919109 MQC917510:MQC919109 MZY917510:MZY919109 NJU917510:NJU919109 NTQ917510:NTQ919109 ODM917510:ODM919109 ONI917510:ONI919109 OXE917510:OXE919109 PHA917510:PHA919109 PQW917510:PQW919109 QAS917510:QAS919109 QKO917510:QKO919109 QUK917510:QUK919109 REG917510:REG919109 ROC917510:ROC919109 RXY917510:RXY919109 SHU917510:SHU919109 SRQ917510:SRQ919109 TBM917510:TBM919109 TLI917510:TLI919109 TVE917510:TVE919109 UFA917510:UFA919109 UOW917510:UOW919109 UYS917510:UYS919109 VIO917510:VIO919109 VSK917510:VSK919109 WCG917510:WCG919109 WMC917510:WMC919109 WVY917510:WVY919109 JM983046:JM984645 TI983046:TI984645 ADE983046:ADE984645 ANA983046:ANA984645 AWW983046:AWW984645 BGS983046:BGS984645 BQO983046:BQO984645 CAK983046:CAK984645 CKG983046:CKG984645 CUC983046:CUC984645 DDY983046:DDY984645 DNU983046:DNU984645 DXQ983046:DXQ984645 EHM983046:EHM984645 ERI983046:ERI984645 FBE983046:FBE984645 FLA983046:FLA984645 FUW983046:FUW984645 GES983046:GES984645 GOO983046:GOO984645 GYK983046:GYK984645 HIG983046:HIG984645 HSC983046:HSC984645 IBY983046:IBY984645 ILU983046:ILU984645 IVQ983046:IVQ984645 JFM983046:JFM984645 JPI983046:JPI984645 JZE983046:JZE984645 KJA983046:KJA984645 KSW983046:KSW984645 LCS983046:LCS984645 LMO983046:LMO984645 LWK983046:LWK984645 MGG983046:MGG984645 MQC983046:MQC984645 MZY983046:MZY984645 NJU983046:NJU984645 NTQ983046:NTQ984645 ODM983046:ODM984645 ONI983046:ONI984645 OXE983046:OXE984645 PHA983046:PHA984645 PQW983046:PQW984645 QAS983046:QAS984645 QKO983046:QKO984645 QUK983046:QUK984645 REG983046:REG984645 ROC983046:ROC984645 RXY983046:RXY984645 SHU983046:SHU984645 SRQ983046:SRQ984645 TBM983046:TBM984645 TLI983046:TLI984645 TVE983046:TVE984645 UFA983046:UFA984645 UOW983046:UOW984645 UYS983046:UYS984645 VIO983046:VIO984645 VSK983046:VSK984645 WCG983046:WCG984645 WMC983046:WMC984645 WVY983046:WVY984645 N983046:O984645 N917510:O919109 N851974:O853573 N786438:O788037 N720902:O722501 N655366:O656965 N589830:O591429 N524294:O525893 N458758:O460357 N393222:O394821 N327686:O329285 N262150:O263749 N196614:O198213 N131078:O132677 N65542:O67141">
      <formula1>xa.phuong</formula1>
    </dataValidation>
    <dataValidation type="list" allowBlank="1" showInputMessage="1" showErrorMessage="1" sqref="L6:L1605">
      <formula1>"x"</formula1>
    </dataValidation>
  </dataValidations>
  <pageMargins left="3.937007874015748E-2" right="0" top="0" bottom="0" header="0" footer="0"/>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MN</vt:lpstr>
      <vt:lpstr>TuoiMN</vt:lpstr>
      <vt:lpstr>TKe HSMN</vt:lpstr>
      <vt:lpstr>DS-CBGVNV-MN</vt:lpstr>
      <vt:lpstr>phu</vt:lpstr>
      <vt:lpstr>Chinh</vt:lpstr>
      <vt:lpstr>TKe-CBGVNV-MN</vt:lpstr>
      <vt:lpstr>TKe-CSVC-MN</vt:lpstr>
      <vt:lpstr>TH</vt:lpstr>
      <vt:lpstr>TuoiTH</vt:lpstr>
      <vt:lpstr>TKe HSTH</vt:lpstr>
      <vt:lpstr>DS-CBGVNV-TH</vt:lpstr>
      <vt:lpstr>TKe-CBGVNV-TH</vt:lpstr>
      <vt:lpstr>TKe-CSVC</vt:lpstr>
      <vt:lpstr>BH</vt:lpstr>
      <vt:lpstr>THCS</vt:lpstr>
      <vt:lpstr>TuoiTHCS</vt:lpstr>
      <vt:lpstr>TKe HSTHCS</vt:lpstr>
      <vt:lpstr>DS-CBGVNV-THCS</vt:lpstr>
      <vt:lpstr>TKe-CBGVNV-THCS</vt:lpstr>
      <vt:lpstr>TKe-CSVC-THCS</vt:lpstr>
      <vt:lpstr>BH2</vt:lpstr>
      <vt:lpstr>CMonTHCS</vt:lpstr>
      <vt:lpstr>diaphuong</vt:lpstr>
      <vt:lpstr>'DS-CBGVNV-MN'!Print_Titles</vt:lpstr>
      <vt:lpstr>'DS-CBGVNV-TH'!Print_Titles</vt:lpstr>
      <vt:lpstr>'DS-CBGVNV-THCS'!Print_Titles</vt:lpstr>
      <vt:lpstr>Truong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 Van Phuc Tran</dc:creator>
  <cp:lastModifiedBy>HO VAN PHUC TRAN</cp:lastModifiedBy>
  <cp:lastPrinted>2025-08-26T14:29:51Z</cp:lastPrinted>
  <dcterms:created xsi:type="dcterms:W3CDTF">2022-06-30T00:29:22Z</dcterms:created>
  <dcterms:modified xsi:type="dcterms:W3CDTF">2025-08-26T15:53:26Z</dcterms:modified>
</cp:coreProperties>
</file>